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theme/themeOverride1.xml" ContentType="application/vnd.openxmlformats-officedocument.themeOverride+xml"/>
  <Override PartName="/xl/charts/chart2.xml" ContentType="application/vnd.openxmlformats-officedocument.drawingml.chart+xml"/>
  <Override PartName="/xl/theme/themeOverride2.xml" ContentType="application/vnd.openxmlformats-officedocument.themeOverride+xml"/>
  <Override PartName="/xl/charts/chart3.xml" ContentType="application/vnd.openxmlformats-officedocument.drawingml.chart+xml"/>
  <Override PartName="/xl/theme/themeOverride3.xml" ContentType="application/vnd.openxmlformats-officedocument.themeOverride+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charts/chart11.xml" ContentType="application/vnd.openxmlformats-officedocument.drawingml.chart+xml"/>
  <Override PartName="/xl/theme/themeOverride8.xml" ContentType="application/vnd.openxmlformats-officedocument.themeOverride+xml"/>
  <Override PartName="/xl/charts/chart12.xml" ContentType="application/vnd.openxmlformats-officedocument.drawingml.chart+xml"/>
  <Override PartName="/xl/theme/themeOverride9.xml" ContentType="application/vnd.openxmlformats-officedocument.themeOverride+xml"/>
  <Override PartName="/xl/charts/chart13.xml" ContentType="application/vnd.openxmlformats-officedocument.drawingml.chart+xml"/>
  <Override PartName="/xl/theme/themeOverride10.xml" ContentType="application/vnd.openxmlformats-officedocument.themeOverride+xml"/>
  <Override PartName="/xl/charts/chart14.xml" ContentType="application/vnd.openxmlformats-officedocument.drawingml.chart+xml"/>
  <Override PartName="/xl/theme/themeOverride11.xml" ContentType="application/vnd.openxmlformats-officedocument.themeOverride+xml"/>
  <Override PartName="/xl/charts/chart15.xml" ContentType="application/vnd.openxmlformats-officedocument.drawingml.chart+xml"/>
  <Override PartName="/xl/theme/themeOverride12.xml" ContentType="application/vnd.openxmlformats-officedocument.themeOverride+xml"/>
  <Override PartName="/xl/charts/chart16.xml" ContentType="application/vnd.openxmlformats-officedocument.drawingml.chart+xml"/>
  <Override PartName="/xl/theme/themeOverride13.xml" ContentType="application/vnd.openxmlformats-officedocument.themeOverride+xml"/>
  <Override PartName="/xl/charts/chart17.xml" ContentType="application/vnd.openxmlformats-officedocument.drawingml.chart+xml"/>
  <Override PartName="/xl/theme/themeOverride14.xml" ContentType="application/vnd.openxmlformats-officedocument.themeOverride+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mc:AlternateContent xmlns:mc="http://schemas.openxmlformats.org/markup-compatibility/2006">
    <mc:Choice Requires="x15">
      <x15ac:absPath xmlns:x15ac="http://schemas.microsoft.com/office/spreadsheetml/2010/11/ac" url="U:\Dept\Promotions\Kimberly Clark\Scott\2017\Scott Towels\Food Truck Events\Station Recap materials\"/>
    </mc:Choice>
  </mc:AlternateContent>
  <bookViews>
    <workbookView xWindow="0" yWindow="0" windowWidth="19200" windowHeight="10995"/>
  </bookViews>
  <sheets>
    <sheet name="Charts" sheetId="8" r:id="rId1"/>
    <sheet name="Scorecard" sheetId="26" r:id="rId2"/>
    <sheet name="Appendix" sheetId="28" r:id="rId3"/>
    <sheet name="Tables" sheetId="13" r:id="rId4"/>
    <sheet name="Controls" sheetId="7" r:id="rId5"/>
    <sheet name="Calculations" sheetId="11" r:id="rId6"/>
    <sheet name="Annotations" sheetId="23" state="hidden" r:id="rId7"/>
    <sheet name="Media" sheetId="5" r:id="rId8"/>
    <sheet name="Keywords" sheetId="21" r:id="rId9"/>
    <sheet name="People" sheetId="14" r:id="rId10"/>
    <sheet name="Filters" sheetId="15" r:id="rId11"/>
    <sheet name="Other Tags" sheetId="17" r:id="rId12"/>
    <sheet name="Cities" sheetId="16" r:id="rId13"/>
    <sheet name="Countries" sheetId="20" r:id="rId14"/>
    <sheet name="Terms" sheetId="22" r:id="rId15"/>
    <sheet name="PreviousPeople" sheetId="24" state="hidden" r:id="rId16"/>
    <sheet name="Scorecard Calcs" sheetId="25" state="hidden" r:id="rId17"/>
    <sheet name="TopMedia" sheetId="27" r:id="rId18"/>
    <sheet name="Definitions" sheetId="29" state="hidden" r:id="rId19"/>
  </sheets>
  <definedNames>
    <definedName name="_xlnm._FilterDatabase" localSheetId="2" hidden="1">Appendix!#REF!</definedName>
    <definedName name="_xlnm._FilterDatabase" localSheetId="0" hidden="1">Charts!#REF!</definedName>
    <definedName name="_xlnm._FilterDatabase" localSheetId="7" hidden="1">Media!$A$1:$AC$1</definedName>
    <definedName name="chart.tags_by_engagement.labels">IF(Calculations!$G$322=FALSE, Calculations!$XX$1, OFFSET(Calculations!$F$327, , , COUNT(Calculations!$G$327:$G$336)))</definedName>
    <definedName name="chart.tags_by_engagement.values">IF(Calculations!$G$322=FALSE, Calculations!$XX$1, OFFSET(Calculations!$G$327, , , COUNT(Calculations!$G$327:$G$336)))</definedName>
    <definedName name="chart.tags_by_mentions.labels">IF(Calculations!$C$322=FALSE, Calculations!$XX$1, OFFSET(Calculations!$B$327, , , COUNT(Calculations!$C$327:$C$336)))</definedName>
    <definedName name="chart.tags_by_mentions.values">IF(Calculations!$C$322=FALSE, Calculations!$XX$1, OFFSET(Calculations!$C$327, , , COUNT(Calculations!$C$327:$C$336)))</definedName>
    <definedName name="chart.top_users_by_engagement_per_post.labels">IF(Calculations!$C$206=FALSE, Calculations!$XX$1, OFFSET(Calculations!$B$211, , , COUNT(Calculations!$C$211:$C$220)))</definedName>
    <definedName name="chart.top_users_by_engagement_per_post.values">IF(Calculations!$C$206=FALSE, Calculations!$XX$1, OFFSET(Calculations!$C$211, , , COUNT(Calculations!$C$211:$C$220)))</definedName>
    <definedName name="chart.top_users_by_followers.labels">IF(Calculations!$C$187=FALSE, Calculations!$XX$1, OFFSET(Calculations!$B$192, , , COUNT(Calculations!$C$192:$C$201)))</definedName>
    <definedName name="chart.top_users_by_followers.values">IF(Calculations!$C$187=FALSE, Calculations!$XX$1, OFFSET(Calculations!$C$192, , , COUNT(Calculations!$C$192:$C$201)))</definedName>
    <definedName name="chart.top_users_by_posts.carousels.values">IF(Calculations!$C$168=FALSE, Calculations!$XX$1, OFFSET(Calculations!$F$173, , , COUNT(Calculations!$C$173:$C$182)))</definedName>
    <definedName name="chart.top_users_by_posts.labels">IF(Calculations!$C$168=FALSE, Calculations!$XX$1, OFFSET(Calculations!$B$173, , , COUNT(Calculations!$C$173:$C$182)))</definedName>
    <definedName name="chart.top_users_by_posts.photos.values">IF(Calculations!$C$168=FALSE, Calculations!$XX$1, OFFSET(Calculations!$D$173, , , COUNT(Calculations!$C$173:$C$182)))</definedName>
    <definedName name="chart.top_users_by_posts.videos.values">IF(Calculations!$C$168=FALSE, Calculations!$XX$1, OFFSET(Calculations!$E$173, , , COUNT(Calculations!$C$173:$C$182)))</definedName>
    <definedName name="cities_count">IF(COUNT(Calculations!$C$252:$C$256)=0, Calculations!$XX$1, OFFSET(Calculations!$C$252, , , COUNT(Calculations!$C$252:$C$256)))</definedName>
    <definedName name="cities_dummy">IF(COUNT(Calculations!$C$252:$C$256)=0, Calculations!$XX$1, OFFSET(Calculations!$E$252, , , COUNT(Calculations!$C$252:$C$256)))</definedName>
    <definedName name="cities_engagement_per_photo">IF(COUNT(Calculations!$C$252:$C$256)=0, Calculations!$XX$1, OFFSET(Calculations!$D$252, , , COUNT(Calculations!$C$252:$C$256)))</definedName>
    <definedName name="cities_names">IF(COUNT(Calculations!$C$252:$C$256)=0, Calculations!$XX$373, OFFSET(Calculations!$B$252, , , COUNT(Calculations!$C$252:$C$256)))</definedName>
    <definedName name="commenters_names">IF(COUNT(Calculations!$D$173:$D$182)=0, Calculations!$XX$173, OFFSET(Calculations!$B$173, , , COUNT(Calculations!$D$173:$D$182)))</definedName>
    <definedName name="commenters_values">IF(COUNT(Calculations!$D$173:$D$182)=0, Calculations!$XX$173, OFFSET(Calculations!$C$173, , , COUNT(Calculations!$D$173:$D$182)))</definedName>
    <definedName name="countries_names">IF(COUNT(Calculations!$C$266:$C$275)=0, Calculations!$XX$373, OFFSET(Calculations!$B$266, , , COUNT(Calculations!$C$266:$C$275)))</definedName>
    <definedName name="countries_values">IF(COUNT(Calculations!$C$266:$C$275)=0, Calculations!$XX$373, OFFSET(Calculations!$C$266, , , COUNT(Calculations!$C$266:$C$275)))</definedName>
    <definedName name="data.media.dates">OFFSET(Media!$C$1, 1, , COUNT(Media!$C:$C))</definedName>
    <definedName name="data.media.engagement">OFFSET(Media!$L$1, 1, , COUNT(Media!$C:$C))</definedName>
    <definedName name="data.media.posted_at.report_period" localSheetId="2">IF(data.media.posted_at&gt;=Controls!$E$28, IF(data.media.posted_at&lt;Controls!$F$28+Controls!$L$24, data.media.posted_at))</definedName>
    <definedName name="data.media.posted_at.report_period">IF(data.media.posted_at&gt;=Controls!$E$28, IF(data.media.posted_at&lt;Controls!$F$28+Controls!$L$24, data.media.posted_at))</definedName>
    <definedName name="data.peak1.values">IF(Media!$C:$C&gt;=Calculations!$E$85, IF(Media!$C:$C&lt;Calculations!$F$85, Media!$L:$L))</definedName>
    <definedName name="data.peak2.values">IF(Media!$C:$C&gt;=Calculations!$E$86, IF(Media!$C:$C&lt;Calculations!$F$86, Media!$L:$L))</definedName>
    <definedName name="data.peak3.values">IF(Media!$C:$C&gt;=Calculations!$E$87, IF(Media!$C:$C&lt;Calculations!$F$87, Media!$L:$L))</definedName>
    <definedName name="Engagement_Per_Photo">OFFSET(Calculations!$D$1,0,0,(ROWS(Calculations!A:A)-COUNTBLANK(Calculations!A:A)),0)</definedName>
    <definedName name="engagementperphoto">OFFSET(Filters!$D$1,1,,(ROWS(Filters!$D:$D)-COUNTBLANK(Filters!$D:$D)-1),)</definedName>
    <definedName name="filters_count_photo">IF(COUNT(Calculations!$C$345:$C$349)=0, Calculations!$XX$1, OFFSET(Calculations!$C$345, , , COUNT(Calculations!$C$345:$C$349)))</definedName>
    <definedName name="filters_count_video">IF(COUNT(Calculations!$C$360:$C$364)=0, Calculations!$XX$1, OFFSET(Calculations!$C$360, , , COUNT(Calculations!$C$360:$C$364)))</definedName>
    <definedName name="filters_dummy_photos">IF(COUNT(Calculations!$C$345:$C$349)=0, Calculations!$XX$1, OFFSET(Calculations!$E$345, , , COUNT(Calculations!$C$345:$C$349)))</definedName>
    <definedName name="filters_dummy_videos">IF(COUNT(Calculations!$C$360:$C$364)=0, Calculations!$XX$1, OFFSET(Calculations!$E$360, , , COUNT(Calculations!$C$360:$C$364)))</definedName>
    <definedName name="filters_engagement_per_photo">IF(COUNT(Calculations!$C$345:$C$349)=0, Calculations!$XX$1, OFFSET(Calculations!$D$345, , , COUNT(Calculations!$C$345:$C$349)))</definedName>
    <definedName name="filters_engagement_per_video">IF(COUNT(Calculations!$D$360:$D$364)=0, Calculations!$XX$1, OFFSET(Calculations!$D$360, , , COUNT(Calculations!$D$360:$D$364)))</definedName>
    <definedName name="filters_names_photos">IF(COUNT(Calculations!$C$345:$C$349)=0, Calculations!$XX$1, OFFSET(Calculations!$B$345, , , COUNT(Calculations!$C$345:$C$349)))</definedName>
    <definedName name="filters_names_videos">IF(COUNT(Calculations!$C$360:$C$364)=0, Calculations!$XX$1, OFFSET(Calculations!$B$360, , , COUNT(Calculations!$C$360:$C$364)))</definedName>
    <definedName name="filtersposttypes">OFFSET(Filters!$E$1,1,,(ROWS(Filters!$E:$E)-COUNTBLANK(Filters!$E:$E)-1),)</definedName>
    <definedName name="filterstimesused">OFFSET(Filters!$B$1,1,,(ROWS(Filters!$D:$D)-COUNTBLANK(Filters!$B:$B)-1),)</definedName>
    <definedName name="id">OFFSET(Media!$D$1, 1, , COUNT(Media!$C:$C))</definedName>
    <definedName name="id_TopMedia">OFFSET(TopMedia!$D$1, 1, , COUNT(TopMedia!$C:$C))</definedName>
    <definedName name="keywords_names">IF(SUM(Calculations!$D$313:$D$320)=0, Calculations!$XX$1,Calculations!$E$313:$E$320)</definedName>
    <definedName name="keywords_values">IF(SUM(Calculations!$F$313:$F$320)=0, Calculations!$XX$311, Calculations!$F$313:$F$320)</definedName>
    <definedName name="kw_1">OFFSET(Charts!$A$1,MATCH("Type keywords to search within captions. Most common are shown by default. Edit yellow cells to search.",Charts!$B:$B,0)+2,5)</definedName>
    <definedName name="kw_2">OFFSET(Charts!$A$1,MATCH("Type keywords to search within captions. Most common are shown by default. Edit yellow cells to search.",Charts!$B:$B,0)+2,7)</definedName>
    <definedName name="kw_3">OFFSET(Charts!$A$1,MATCH("Type keywords to search within captions. Most common are shown by default. Edit yellow cells to search.",Charts!$B:$B,0)+2,9)</definedName>
    <definedName name="kw_4">OFFSET(Charts!$A$1,MATCH("Type keywords to search within captions. Most common are shown by default. Edit yellow cells to search.",Charts!$B:$B,0)+2,11)</definedName>
    <definedName name="kw_5">OFFSET(Charts!$A$1,MATCH("Type keywords to search within captions. Most common are shown by default. Edit yellow cells to search.",Charts!$B:$B,0)+2,14)</definedName>
    <definedName name="kw_6">OFFSET(Charts!$A$1,MATCH("Type keywords to search within captions. Most common are shown by default. Edit yellow cells to search.",Charts!$B:$B,0)+2,17)</definedName>
    <definedName name="kw_7">OFFSET(Charts!$A$1,MATCH("Type keywords to search within captions. Most common are shown by default. Edit yellow cells to search.",Charts!$B:$B,0)+2,19)</definedName>
    <definedName name="kw_8">OFFSET(Charts!$A$1,MATCH("Type keywords to search within captions. Most common are shown by default. Edit yellow cells to search.",Charts!$B:$B,0)+2,22)</definedName>
    <definedName name="_xlnm.Print_Area" localSheetId="0">Charts!$A$8:$Y$351</definedName>
    <definedName name="_xlnm.Print_Area" localSheetId="1">Scorecard!$B$11:$L$35</definedName>
    <definedName name="sort_by">OFFSET(Media!$A$1, 1, VLOOKUP(Appendix!$E$12, Calculations!$B$388:$D$392, 3, 0)-1, COUNT(Media!$C:$C), 1)</definedName>
    <definedName name="sort_by_TopMedia">OFFSET(TopMedia!$A$1, 1, VLOOKUP(Appendix!$E$12, Calculations!$B$388:$D$392, 3, 0)-1, COUNT(TopMedia!$C:$C), 1)</definedName>
    <definedName name="tables.carousel_mentions">OFFSET(Tables!$H$1, Controls!$E$24, , Controls!$G$24, 1)</definedName>
    <definedName name="tables.day">OFFSET(Tables!$C$1, Controls!$E$24, , Controls!$G$24, 1)</definedName>
    <definedName name="tables.engagement_buffer">OFFSET(Tables!$AC$1, Controls!$E$24, , Controls!$G$24, 1)</definedName>
    <definedName name="tables.engagement_peak_1">OFFSET(Tables!$Z$1, Controls!$E$24, , Controls!$G$24, 1)</definedName>
    <definedName name="tables.engagement_peak_2">OFFSET(Tables!$AA$1, Controls!$E$24, , Controls!$G$24, 1)</definedName>
    <definedName name="tables.engagement_peak_3">OFFSET(Tables!$AB$1, Controls!$E$24, , Controls!$G$24, 1)</definedName>
    <definedName name="tables.FB_engagement">OFFSET(Tables!$Q$1, Controls!$E$24, , Controls!$G$24, 1)</definedName>
    <definedName name="tables.IG_comments">OFFSET(Tables!$L$1, Controls!$E$24, , Controls!$G$24, 1)</definedName>
    <definedName name="tables.IG_engagement">OFFSET(Tables!$M$1, Controls!$E$24, , Controls!$G$24, 1)</definedName>
    <definedName name="tables.IG_likes">OFFSET(Tables!$K$1, Controls!$E$24, , Controls!$G$24, 1)</definedName>
    <definedName name="tables.impressions">OFFSET(Tables!$S$1, Controls!$E$24, , Controls!$G$24, 1)</definedName>
    <definedName name="tables.impressions_buffer">OFFSET(Tables!$AF$1, Controls!$E$24, , Controls!$G$24, 1)</definedName>
    <definedName name="tables.impressions_peak">OFFSET(Tables!$AE$1, Controls!$E$24, , Controls!$G$24, 1)</definedName>
    <definedName name="tables.mentions">OFFSET(Tables!$I$1, Controls!$E$24, , Controls!$G$24, 1)</definedName>
    <definedName name="tables.mentions_buffer">OFFSET(Tables!$X$1, Controls!$E$24, , Controls!$G$24, 1)</definedName>
    <definedName name="tables.mentions_peak">OFFSET(Tables!$W$1, Controls!$E$24, , Controls!$G$24, 1)</definedName>
    <definedName name="tables.photo_mentions">OFFSET(Tables!$F$1, Controls!$E$24, , Controls!$G$24, 1)</definedName>
    <definedName name="tables.slope_x">OFFSET(Tables!$U$1, Controls!$E$24, , Controls!$G$24, 1)</definedName>
    <definedName name="tables.times">OFFSET(Tables!$A$1, Controls!$E$24, Controls!$F$24, Controls!$G$24, 1)</definedName>
    <definedName name="tables.tweets">OFFSET(Tables!$O$1, Controls!$E$24, , Controls!$G$24, 1)</definedName>
    <definedName name="tables.video_mentions">OFFSET(Tables!$G$1, Controls!$E$24, , Controls!$G$24, 1)</definedName>
    <definedName name="tagsengement">OFFSET('Other Tags'!$D$1,1,,(ROWS('Other Tags'!$D:$D)-COUNTBLANK('Other Tags'!$D:$D)-1),)</definedName>
    <definedName name="top_keyword.col.count">OFFSET(Keywords!$B$1, 1,0, COUNT(Keywords!$B:$B), 1)</definedName>
    <definedName name="top_keyword.col.keyword">OFFSET(Keywords!$A$1, 1,0, COUNT(Keywords!$B:$B), 1)</definedName>
    <definedName name="Total_Posts">"kw_3"</definedName>
    <definedName name="videofiltersvalues">IF(COUNT(Calculations!$C$360:$C$364)=0, Calculations!#REF!, OFFSET(Calculations!$C$360, , , COUNT(Calculations!$C$360:$C$364)))</definedName>
  </definedNames>
  <calcPr calcId="152511" concurrentCalc="0"/>
  <fileRecoveryPr repairLoad="1"/>
</workbook>
</file>

<file path=xl/calcChain.xml><?xml version="1.0" encoding="utf-8"?>
<calcChain xmlns="http://schemas.openxmlformats.org/spreadsheetml/2006/main">
  <c r="E110" i="27" l="1"/>
  <c r="E109" i="27"/>
  <c r="E108" i="27"/>
  <c r="E107" i="27"/>
  <c r="E106" i="27"/>
  <c r="E105" i="27"/>
  <c r="E104" i="27"/>
  <c r="E103" i="27"/>
  <c r="E102" i="27"/>
  <c r="E101" i="27"/>
  <c r="E100" i="27"/>
  <c r="E99" i="27"/>
  <c r="E98" i="27"/>
  <c r="E97" i="27"/>
  <c r="E96" i="27"/>
  <c r="E95" i="27"/>
  <c r="E94" i="27"/>
  <c r="E93" i="27"/>
  <c r="E92" i="27"/>
  <c r="E91" i="27"/>
  <c r="E90" i="27"/>
  <c r="E89" i="27"/>
  <c r="E88" i="27"/>
  <c r="E87" i="27"/>
  <c r="E86" i="27"/>
  <c r="E85" i="27"/>
  <c r="E84" i="27"/>
  <c r="E83" i="27"/>
  <c r="E82" i="27"/>
  <c r="E81" i="27"/>
  <c r="E80" i="27"/>
  <c r="E79" i="27"/>
  <c r="E78" i="27"/>
  <c r="E77" i="27"/>
  <c r="E76" i="27"/>
  <c r="E75" i="27"/>
  <c r="E74" i="27"/>
  <c r="E73" i="27"/>
  <c r="E72" i="27"/>
  <c r="E71" i="27"/>
  <c r="E70" i="27"/>
  <c r="E69" i="27"/>
  <c r="E68" i="27"/>
  <c r="E67" i="27"/>
  <c r="E66" i="27"/>
  <c r="E65" i="27"/>
  <c r="E64" i="27"/>
  <c r="E63" i="27"/>
  <c r="E62" i="27"/>
  <c r="E61" i="27"/>
  <c r="E60" i="27"/>
  <c r="E59" i="27"/>
  <c r="E58" i="27"/>
  <c r="E57" i="27"/>
  <c r="E56" i="27"/>
  <c r="E55" i="27"/>
  <c r="E54" i="27"/>
  <c r="E53" i="27"/>
  <c r="E52" i="27"/>
  <c r="E51" i="27"/>
  <c r="E50" i="27"/>
  <c r="E49" i="27"/>
  <c r="E48" i="27"/>
  <c r="E47" i="27"/>
  <c r="E46" i="27"/>
  <c r="E45" i="27"/>
  <c r="E44" i="27"/>
  <c r="E43" i="27"/>
  <c r="E42" i="27"/>
  <c r="E41" i="27"/>
  <c r="E40" i="27"/>
  <c r="E39" i="27"/>
  <c r="E38" i="27"/>
  <c r="E37" i="27"/>
  <c r="E36" i="27"/>
  <c r="E35" i="27"/>
  <c r="E34" i="27"/>
  <c r="E33" i="27"/>
  <c r="E32" i="27"/>
  <c r="E31" i="27"/>
  <c r="E30" i="27"/>
  <c r="E29" i="27"/>
  <c r="E28" i="27"/>
  <c r="E27" i="27"/>
  <c r="E26" i="27"/>
  <c r="E25" i="27"/>
  <c r="E24" i="27"/>
  <c r="E23" i="27"/>
  <c r="E22" i="27"/>
  <c r="E21" i="27"/>
  <c r="E20" i="27"/>
  <c r="E19" i="27"/>
  <c r="E18" i="27"/>
  <c r="E17" i="27"/>
  <c r="E16" i="27"/>
  <c r="E15" i="27"/>
  <c r="E14" i="27"/>
  <c r="E13" i="27"/>
  <c r="E12" i="27"/>
  <c r="E11" i="27"/>
  <c r="E10" i="27"/>
  <c r="E9" i="27"/>
  <c r="E8" i="27"/>
  <c r="E7" i="27"/>
  <c r="E6" i="27"/>
  <c r="E5" i="27"/>
  <c r="E4" i="27"/>
  <c r="E3" i="27"/>
  <c r="E2" i="27"/>
  <c r="F24" i="25"/>
  <c r="D24" i="25"/>
  <c r="F23" i="25"/>
  <c r="D23" i="25"/>
  <c r="F20" i="25"/>
  <c r="D20" i="25"/>
  <c r="F19" i="25"/>
  <c r="D19" i="25"/>
  <c r="F18" i="25"/>
  <c r="D18" i="25"/>
  <c r="F17" i="25"/>
  <c r="D17" i="25"/>
  <c r="F14" i="25"/>
  <c r="D14" i="25"/>
  <c r="F13" i="25"/>
  <c r="D13" i="25"/>
  <c r="F12" i="25"/>
  <c r="D12" i="25"/>
  <c r="F11" i="25"/>
  <c r="D11" i="25"/>
  <c r="F8" i="25"/>
  <c r="D8" i="25"/>
  <c r="F7" i="25"/>
  <c r="D7" i="25"/>
  <c r="F6" i="25"/>
  <c r="D6" i="25"/>
  <c r="B6" i="25"/>
  <c r="B23" i="25"/>
  <c r="F5" i="25"/>
  <c r="D5" i="25"/>
  <c r="F4" i="25"/>
  <c r="D4" i="25"/>
  <c r="B4" i="25"/>
  <c r="D2" i="25"/>
  <c r="F1" i="25"/>
  <c r="D1" i="25"/>
  <c r="B2" i="22"/>
  <c r="C2" i="22"/>
  <c r="D2" i="22"/>
  <c r="C7" i="11"/>
  <c r="C1386" i="11"/>
  <c r="C2" i="23"/>
  <c r="AE5718" i="5"/>
  <c r="AD5718" i="5"/>
  <c r="E5718" i="5"/>
  <c r="AE5717" i="5"/>
  <c r="AD5717" i="5"/>
  <c r="E5717" i="5"/>
  <c r="AE5716" i="5"/>
  <c r="AD5716" i="5"/>
  <c r="E5716" i="5"/>
  <c r="AE5715" i="5"/>
  <c r="AD5715" i="5"/>
  <c r="E5715" i="5"/>
  <c r="AE5714" i="5"/>
  <c r="AD5714" i="5"/>
  <c r="E5714" i="5"/>
  <c r="AE5713" i="5"/>
  <c r="AD5713" i="5"/>
  <c r="E5713" i="5"/>
  <c r="AE5712" i="5"/>
  <c r="AD5712" i="5"/>
  <c r="E5712" i="5"/>
  <c r="AE5711" i="5"/>
  <c r="AD5711" i="5"/>
  <c r="E5711" i="5"/>
  <c r="AE5710" i="5"/>
  <c r="AD5710" i="5"/>
  <c r="E5710" i="5"/>
  <c r="AE5709" i="5"/>
  <c r="AD5709" i="5"/>
  <c r="E5709" i="5"/>
  <c r="AE5708" i="5"/>
  <c r="AD5708" i="5"/>
  <c r="E5708" i="5"/>
  <c r="AE5707" i="5"/>
  <c r="AD5707" i="5"/>
  <c r="E5707" i="5"/>
  <c r="AE5706" i="5"/>
  <c r="AD5706" i="5"/>
  <c r="E5706" i="5"/>
  <c r="AE5705" i="5"/>
  <c r="AD5705" i="5"/>
  <c r="E5705" i="5"/>
  <c r="AE5704" i="5"/>
  <c r="AD5704" i="5"/>
  <c r="E5704" i="5"/>
  <c r="AE5703" i="5"/>
  <c r="AD5703" i="5"/>
  <c r="E5703" i="5"/>
  <c r="AE5702" i="5"/>
  <c r="AD5702" i="5"/>
  <c r="E5702" i="5"/>
  <c r="AE5701" i="5"/>
  <c r="AD5701" i="5"/>
  <c r="E5701" i="5"/>
  <c r="AE5700" i="5"/>
  <c r="AD5700" i="5"/>
  <c r="E5700" i="5"/>
  <c r="AE5699" i="5"/>
  <c r="AD5699" i="5"/>
  <c r="E5699" i="5"/>
  <c r="AE5698" i="5"/>
  <c r="AD5698" i="5"/>
  <c r="E5698" i="5"/>
  <c r="AE5697" i="5"/>
  <c r="AD5697" i="5"/>
  <c r="E5697" i="5"/>
  <c r="AE5696" i="5"/>
  <c r="AD5696" i="5"/>
  <c r="E5696" i="5"/>
  <c r="AE5695" i="5"/>
  <c r="AD5695" i="5"/>
  <c r="E5695" i="5"/>
  <c r="AE5694" i="5"/>
  <c r="AD5694" i="5"/>
  <c r="E5694" i="5"/>
  <c r="AE5693" i="5"/>
  <c r="AD5693" i="5"/>
  <c r="E5693" i="5"/>
  <c r="AE5692" i="5"/>
  <c r="AD5692" i="5"/>
  <c r="E5692" i="5"/>
  <c r="AE5691" i="5"/>
  <c r="AD5691" i="5"/>
  <c r="E5691" i="5"/>
  <c r="AE5690" i="5"/>
  <c r="AD5690" i="5"/>
  <c r="E5690" i="5"/>
  <c r="AE5689" i="5"/>
  <c r="AD5689" i="5"/>
  <c r="E5689" i="5"/>
  <c r="AE5688" i="5"/>
  <c r="AD5688" i="5"/>
  <c r="E5688" i="5"/>
  <c r="AE5687" i="5"/>
  <c r="AD5687" i="5"/>
  <c r="E5687" i="5"/>
  <c r="AE5686" i="5"/>
  <c r="AD5686" i="5"/>
  <c r="E5686" i="5"/>
  <c r="AE5685" i="5"/>
  <c r="AD5685" i="5"/>
  <c r="E5685" i="5"/>
  <c r="AE5684" i="5"/>
  <c r="AD5684" i="5"/>
  <c r="E5684" i="5"/>
  <c r="AE5683" i="5"/>
  <c r="AD5683" i="5"/>
  <c r="E5683" i="5"/>
  <c r="AE5682" i="5"/>
  <c r="AD5682" i="5"/>
  <c r="E5682" i="5"/>
  <c r="AE5681" i="5"/>
  <c r="AD5681" i="5"/>
  <c r="E5681" i="5"/>
  <c r="AE5680" i="5"/>
  <c r="AD5680" i="5"/>
  <c r="E5680" i="5"/>
  <c r="AE5679" i="5"/>
  <c r="AD5679" i="5"/>
  <c r="E5679" i="5"/>
  <c r="AE5678" i="5"/>
  <c r="AD5678" i="5"/>
  <c r="E5678" i="5"/>
  <c r="AE5677" i="5"/>
  <c r="AD5677" i="5"/>
  <c r="E5677" i="5"/>
  <c r="AE5676" i="5"/>
  <c r="AD5676" i="5"/>
  <c r="E5676" i="5"/>
  <c r="AE5675" i="5"/>
  <c r="AD5675" i="5"/>
  <c r="E5675" i="5"/>
  <c r="AE5674" i="5"/>
  <c r="AD5674" i="5"/>
  <c r="E5674" i="5"/>
  <c r="AE5673" i="5"/>
  <c r="AD5673" i="5"/>
  <c r="E5673" i="5"/>
  <c r="AE5672" i="5"/>
  <c r="AD5672" i="5"/>
  <c r="E5672" i="5"/>
  <c r="AE5671" i="5"/>
  <c r="AD5671" i="5"/>
  <c r="E5671" i="5"/>
  <c r="AE5670" i="5"/>
  <c r="AD5670" i="5"/>
  <c r="E5670" i="5"/>
  <c r="AE5669" i="5"/>
  <c r="AD5669" i="5"/>
  <c r="E5669" i="5"/>
  <c r="AE5668" i="5"/>
  <c r="AD5668" i="5"/>
  <c r="E5668" i="5"/>
  <c r="AE5667" i="5"/>
  <c r="AD5667" i="5"/>
  <c r="E5667" i="5"/>
  <c r="AE5666" i="5"/>
  <c r="AD5666" i="5"/>
  <c r="E5666" i="5"/>
  <c r="AE5665" i="5"/>
  <c r="AD5665" i="5"/>
  <c r="E5665" i="5"/>
  <c r="AE5664" i="5"/>
  <c r="AD5664" i="5"/>
  <c r="E5664" i="5"/>
  <c r="AE5663" i="5"/>
  <c r="AD5663" i="5"/>
  <c r="E5663" i="5"/>
  <c r="AE5662" i="5"/>
  <c r="AD5662" i="5"/>
  <c r="E5662" i="5"/>
  <c r="AE5661" i="5"/>
  <c r="AD5661" i="5"/>
  <c r="E5661" i="5"/>
  <c r="AE5660" i="5"/>
  <c r="AD5660" i="5"/>
  <c r="E5660" i="5"/>
  <c r="AE5659" i="5"/>
  <c r="AD5659" i="5"/>
  <c r="E5659" i="5"/>
  <c r="AE5658" i="5"/>
  <c r="AD5658" i="5"/>
  <c r="E5658" i="5"/>
  <c r="AE5657" i="5"/>
  <c r="AD5657" i="5"/>
  <c r="E5657" i="5"/>
  <c r="AE5656" i="5"/>
  <c r="AD5656" i="5"/>
  <c r="E5656" i="5"/>
  <c r="AE5655" i="5"/>
  <c r="AD5655" i="5"/>
  <c r="E5655" i="5"/>
  <c r="AE5654" i="5"/>
  <c r="AD5654" i="5"/>
  <c r="E5654" i="5"/>
  <c r="AE5653" i="5"/>
  <c r="AD5653" i="5"/>
  <c r="E5653" i="5"/>
  <c r="AE5652" i="5"/>
  <c r="AD5652" i="5"/>
  <c r="E5652" i="5"/>
  <c r="AE5651" i="5"/>
  <c r="AD5651" i="5"/>
  <c r="E5651" i="5"/>
  <c r="AE5650" i="5"/>
  <c r="AD5650" i="5"/>
  <c r="E5650" i="5"/>
  <c r="AE5649" i="5"/>
  <c r="AD5649" i="5"/>
  <c r="E5649" i="5"/>
  <c r="AE5648" i="5"/>
  <c r="AD5648" i="5"/>
  <c r="E5648" i="5"/>
  <c r="AE5647" i="5"/>
  <c r="AD5647" i="5"/>
  <c r="E5647" i="5"/>
  <c r="AE5646" i="5"/>
  <c r="AD5646" i="5"/>
  <c r="E5646" i="5"/>
  <c r="AE5645" i="5"/>
  <c r="AD5645" i="5"/>
  <c r="E5645" i="5"/>
  <c r="AE5644" i="5"/>
  <c r="AD5644" i="5"/>
  <c r="E5644" i="5"/>
  <c r="AE5643" i="5"/>
  <c r="AD5643" i="5"/>
  <c r="E5643" i="5"/>
  <c r="AE5642" i="5"/>
  <c r="AD5642" i="5"/>
  <c r="E5642" i="5"/>
  <c r="AE5641" i="5"/>
  <c r="AD5641" i="5"/>
  <c r="E5641" i="5"/>
  <c r="AE5640" i="5"/>
  <c r="AD5640" i="5"/>
  <c r="E5640" i="5"/>
  <c r="AE5639" i="5"/>
  <c r="AD5639" i="5"/>
  <c r="E5639" i="5"/>
  <c r="AE5638" i="5"/>
  <c r="AD5638" i="5"/>
  <c r="E5638" i="5"/>
  <c r="AE5637" i="5"/>
  <c r="AD5637" i="5"/>
  <c r="E5637" i="5"/>
  <c r="AE5636" i="5"/>
  <c r="AD5636" i="5"/>
  <c r="E5636" i="5"/>
  <c r="AE5635" i="5"/>
  <c r="AD5635" i="5"/>
  <c r="E5635" i="5"/>
  <c r="AE5634" i="5"/>
  <c r="AD5634" i="5"/>
  <c r="E5634" i="5"/>
  <c r="AE5633" i="5"/>
  <c r="AD5633" i="5"/>
  <c r="E5633" i="5"/>
  <c r="AE5632" i="5"/>
  <c r="AD5632" i="5"/>
  <c r="E5632" i="5"/>
  <c r="AE5631" i="5"/>
  <c r="AD5631" i="5"/>
  <c r="E5631" i="5"/>
  <c r="AE5630" i="5"/>
  <c r="AD5630" i="5"/>
  <c r="E5630" i="5"/>
  <c r="AE5629" i="5"/>
  <c r="AD5629" i="5"/>
  <c r="E5629" i="5"/>
  <c r="AE5628" i="5"/>
  <c r="AD5628" i="5"/>
  <c r="E5628" i="5"/>
  <c r="AE5627" i="5"/>
  <c r="AD5627" i="5"/>
  <c r="E5627" i="5"/>
  <c r="AE5626" i="5"/>
  <c r="AD5626" i="5"/>
  <c r="E5626" i="5"/>
  <c r="AE5625" i="5"/>
  <c r="AD5625" i="5"/>
  <c r="E5625" i="5"/>
  <c r="AE5624" i="5"/>
  <c r="AD5624" i="5"/>
  <c r="E5624" i="5"/>
  <c r="AE5623" i="5"/>
  <c r="AD5623" i="5"/>
  <c r="E5623" i="5"/>
  <c r="AE5622" i="5"/>
  <c r="AD5622" i="5"/>
  <c r="E5622" i="5"/>
  <c r="AE5621" i="5"/>
  <c r="AD5621" i="5"/>
  <c r="E5621" i="5"/>
  <c r="AE5620" i="5"/>
  <c r="AD5620" i="5"/>
  <c r="E5620" i="5"/>
  <c r="AE5619" i="5"/>
  <c r="AD5619" i="5"/>
  <c r="E5619" i="5"/>
  <c r="AE5618" i="5"/>
  <c r="AD5618" i="5"/>
  <c r="E5618" i="5"/>
  <c r="AE5617" i="5"/>
  <c r="AD5617" i="5"/>
  <c r="E5617" i="5"/>
  <c r="AE5616" i="5"/>
  <c r="AD5616" i="5"/>
  <c r="E5616" i="5"/>
  <c r="AE5615" i="5"/>
  <c r="AD5615" i="5"/>
  <c r="E5615" i="5"/>
  <c r="AE5614" i="5"/>
  <c r="AD5614" i="5"/>
  <c r="E5614" i="5"/>
  <c r="AE5613" i="5"/>
  <c r="AD5613" i="5"/>
  <c r="E5613" i="5"/>
  <c r="AE5612" i="5"/>
  <c r="AD5612" i="5"/>
  <c r="E5612" i="5"/>
  <c r="AE5611" i="5"/>
  <c r="AD5611" i="5"/>
  <c r="E5611" i="5"/>
  <c r="AE5610" i="5"/>
  <c r="AD5610" i="5"/>
  <c r="E5610" i="5"/>
  <c r="AE5609" i="5"/>
  <c r="AD5609" i="5"/>
  <c r="E5609" i="5"/>
  <c r="AE5608" i="5"/>
  <c r="AD5608" i="5"/>
  <c r="E5608" i="5"/>
  <c r="AE5607" i="5"/>
  <c r="AD5607" i="5"/>
  <c r="E5607" i="5"/>
  <c r="AE5606" i="5"/>
  <c r="AD5606" i="5"/>
  <c r="E5606" i="5"/>
  <c r="AE5605" i="5"/>
  <c r="AD5605" i="5"/>
  <c r="E5605" i="5"/>
  <c r="AE5604" i="5"/>
  <c r="AD5604" i="5"/>
  <c r="E5604" i="5"/>
  <c r="AE5603" i="5"/>
  <c r="AD5603" i="5"/>
  <c r="E5603" i="5"/>
  <c r="AE5602" i="5"/>
  <c r="AD5602" i="5"/>
  <c r="E5602" i="5"/>
  <c r="AE5601" i="5"/>
  <c r="AD5601" i="5"/>
  <c r="E5601" i="5"/>
  <c r="AE5600" i="5"/>
  <c r="AD5600" i="5"/>
  <c r="E5600" i="5"/>
  <c r="AE5599" i="5"/>
  <c r="AD5599" i="5"/>
  <c r="E5599" i="5"/>
  <c r="AE5598" i="5"/>
  <c r="AD5598" i="5"/>
  <c r="E5598" i="5"/>
  <c r="AE5597" i="5"/>
  <c r="AD5597" i="5"/>
  <c r="E5597" i="5"/>
  <c r="AE5596" i="5"/>
  <c r="AD5596" i="5"/>
  <c r="E5596" i="5"/>
  <c r="AE5595" i="5"/>
  <c r="AD5595" i="5"/>
  <c r="E5595" i="5"/>
  <c r="AE5594" i="5"/>
  <c r="AD5594" i="5"/>
  <c r="E5594" i="5"/>
  <c r="AE5593" i="5"/>
  <c r="AD5593" i="5"/>
  <c r="E5593" i="5"/>
  <c r="AE5592" i="5"/>
  <c r="AD5592" i="5"/>
  <c r="E5592" i="5"/>
  <c r="AE5591" i="5"/>
  <c r="AD5591" i="5"/>
  <c r="E5591" i="5"/>
  <c r="AE5590" i="5"/>
  <c r="AD5590" i="5"/>
  <c r="E5590" i="5"/>
  <c r="AE5589" i="5"/>
  <c r="AD5589" i="5"/>
  <c r="E5589" i="5"/>
  <c r="AE5588" i="5"/>
  <c r="AD5588" i="5"/>
  <c r="E5588" i="5"/>
  <c r="AE5587" i="5"/>
  <c r="AD5587" i="5"/>
  <c r="E5587" i="5"/>
  <c r="AE5586" i="5"/>
  <c r="AD5586" i="5"/>
  <c r="E5586" i="5"/>
  <c r="AE5585" i="5"/>
  <c r="AD5585" i="5"/>
  <c r="E5585" i="5"/>
  <c r="AE5584" i="5"/>
  <c r="AD5584" i="5"/>
  <c r="E5584" i="5"/>
  <c r="AE5583" i="5"/>
  <c r="AD5583" i="5"/>
  <c r="E5583" i="5"/>
  <c r="AE5582" i="5"/>
  <c r="AD5582" i="5"/>
  <c r="E5582" i="5"/>
  <c r="AE5581" i="5"/>
  <c r="AD5581" i="5"/>
  <c r="E5581" i="5"/>
  <c r="AE5580" i="5"/>
  <c r="AD5580" i="5"/>
  <c r="E5580" i="5"/>
  <c r="AE5579" i="5"/>
  <c r="AD5579" i="5"/>
  <c r="E5579" i="5"/>
  <c r="AE5578" i="5"/>
  <c r="AD5578" i="5"/>
  <c r="E5578" i="5"/>
  <c r="AE5577" i="5"/>
  <c r="AD5577" i="5"/>
  <c r="E5577" i="5"/>
  <c r="AE5576" i="5"/>
  <c r="AD5576" i="5"/>
  <c r="E5576" i="5"/>
  <c r="AE5575" i="5"/>
  <c r="AD5575" i="5"/>
  <c r="E5575" i="5"/>
  <c r="AE5574" i="5"/>
  <c r="AD5574" i="5"/>
  <c r="E5574" i="5"/>
  <c r="AE5573" i="5"/>
  <c r="AD5573" i="5"/>
  <c r="E5573" i="5"/>
  <c r="AE5572" i="5"/>
  <c r="AD5572" i="5"/>
  <c r="E5572" i="5"/>
  <c r="AE5571" i="5"/>
  <c r="AD5571" i="5"/>
  <c r="E5571" i="5"/>
  <c r="AE5570" i="5"/>
  <c r="AD5570" i="5"/>
  <c r="E5570" i="5"/>
  <c r="AE5569" i="5"/>
  <c r="AD5569" i="5"/>
  <c r="E5569" i="5"/>
  <c r="AE5568" i="5"/>
  <c r="AD5568" i="5"/>
  <c r="E5568" i="5"/>
  <c r="AE5567" i="5"/>
  <c r="AD5567" i="5"/>
  <c r="E5567" i="5"/>
  <c r="AE5566" i="5"/>
  <c r="AD5566" i="5"/>
  <c r="E5566" i="5"/>
  <c r="AE5565" i="5"/>
  <c r="AD5565" i="5"/>
  <c r="E5565" i="5"/>
  <c r="AE5564" i="5"/>
  <c r="AD5564" i="5"/>
  <c r="E5564" i="5"/>
  <c r="AE5563" i="5"/>
  <c r="AD5563" i="5"/>
  <c r="E5563" i="5"/>
  <c r="AE5562" i="5"/>
  <c r="AD5562" i="5"/>
  <c r="E5562" i="5"/>
  <c r="AE5561" i="5"/>
  <c r="AD5561" i="5"/>
  <c r="E5561" i="5"/>
  <c r="AE5560" i="5"/>
  <c r="AD5560" i="5"/>
  <c r="E5560" i="5"/>
  <c r="AE5559" i="5"/>
  <c r="AD5559" i="5"/>
  <c r="E5559" i="5"/>
  <c r="AE5558" i="5"/>
  <c r="AD5558" i="5"/>
  <c r="E5558" i="5"/>
  <c r="AE5557" i="5"/>
  <c r="AD5557" i="5"/>
  <c r="E5557" i="5"/>
  <c r="AE5556" i="5"/>
  <c r="AD5556" i="5"/>
  <c r="E5556" i="5"/>
  <c r="AE5555" i="5"/>
  <c r="AD5555" i="5"/>
  <c r="E5555" i="5"/>
  <c r="AE5554" i="5"/>
  <c r="AD5554" i="5"/>
  <c r="E5554" i="5"/>
  <c r="AE5553" i="5"/>
  <c r="AD5553" i="5"/>
  <c r="E5553" i="5"/>
  <c r="AE5552" i="5"/>
  <c r="AD5552" i="5"/>
  <c r="E5552" i="5"/>
  <c r="AE5551" i="5"/>
  <c r="AD5551" i="5"/>
  <c r="E5551" i="5"/>
  <c r="AE5550" i="5"/>
  <c r="AD5550" i="5"/>
  <c r="E5550" i="5"/>
  <c r="AE5549" i="5"/>
  <c r="AD5549" i="5"/>
  <c r="E5549" i="5"/>
  <c r="AE5548" i="5"/>
  <c r="AD5548" i="5"/>
  <c r="E5548" i="5"/>
  <c r="AE5547" i="5"/>
  <c r="AD5547" i="5"/>
  <c r="E5547" i="5"/>
  <c r="AE5546" i="5"/>
  <c r="AD5546" i="5"/>
  <c r="E5546" i="5"/>
  <c r="AE5545" i="5"/>
  <c r="AD5545" i="5"/>
  <c r="E5545" i="5"/>
  <c r="AE5544" i="5"/>
  <c r="AD5544" i="5"/>
  <c r="E5544" i="5"/>
  <c r="AE5543" i="5"/>
  <c r="AD5543" i="5"/>
  <c r="E5543" i="5"/>
  <c r="AE5542" i="5"/>
  <c r="AD5542" i="5"/>
  <c r="E5542" i="5"/>
  <c r="AE5541" i="5"/>
  <c r="AD5541" i="5"/>
  <c r="E5541" i="5"/>
  <c r="AE5540" i="5"/>
  <c r="AD5540" i="5"/>
  <c r="E5540" i="5"/>
  <c r="AE5539" i="5"/>
  <c r="AD5539" i="5"/>
  <c r="E5539" i="5"/>
  <c r="AE5538" i="5"/>
  <c r="AD5538" i="5"/>
  <c r="E5538" i="5"/>
  <c r="AE5537" i="5"/>
  <c r="AD5537" i="5"/>
  <c r="E5537" i="5"/>
  <c r="AE5536" i="5"/>
  <c r="AD5536" i="5"/>
  <c r="E5536" i="5"/>
  <c r="AE5535" i="5"/>
  <c r="AD5535" i="5"/>
  <c r="E5535" i="5"/>
  <c r="AE5534" i="5"/>
  <c r="AD5534" i="5"/>
  <c r="E5534" i="5"/>
  <c r="AE5533" i="5"/>
  <c r="AD5533" i="5"/>
  <c r="E5533" i="5"/>
  <c r="AE5532" i="5"/>
  <c r="AD5532" i="5"/>
  <c r="E5532" i="5"/>
  <c r="AE5531" i="5"/>
  <c r="AD5531" i="5"/>
  <c r="E5531" i="5"/>
  <c r="AE5530" i="5"/>
  <c r="AD5530" i="5"/>
  <c r="E5530" i="5"/>
  <c r="AE5529" i="5"/>
  <c r="AD5529" i="5"/>
  <c r="E5529" i="5"/>
  <c r="AE5528" i="5"/>
  <c r="AD5528" i="5"/>
  <c r="E5528" i="5"/>
  <c r="AE5527" i="5"/>
  <c r="AD5527" i="5"/>
  <c r="E5527" i="5"/>
  <c r="AE5526" i="5"/>
  <c r="AD5526" i="5"/>
  <c r="E5526" i="5"/>
  <c r="AE5525" i="5"/>
  <c r="AD5525" i="5"/>
  <c r="E5525" i="5"/>
  <c r="AE5524" i="5"/>
  <c r="AD5524" i="5"/>
  <c r="E5524" i="5"/>
  <c r="AE5523" i="5"/>
  <c r="AD5523" i="5"/>
  <c r="E5523" i="5"/>
  <c r="AE5522" i="5"/>
  <c r="AD5522" i="5"/>
  <c r="E5522" i="5"/>
  <c r="AE5521" i="5"/>
  <c r="AD5521" i="5"/>
  <c r="E5521" i="5"/>
  <c r="AE5520" i="5"/>
  <c r="AD5520" i="5"/>
  <c r="E5520" i="5"/>
  <c r="AE5519" i="5"/>
  <c r="AD5519" i="5"/>
  <c r="E5519" i="5"/>
  <c r="AE5518" i="5"/>
  <c r="AD5518" i="5"/>
  <c r="E5518" i="5"/>
  <c r="AE5517" i="5"/>
  <c r="AD5517" i="5"/>
  <c r="E5517" i="5"/>
  <c r="AE5516" i="5"/>
  <c r="AD5516" i="5"/>
  <c r="E5516" i="5"/>
  <c r="AE5515" i="5"/>
  <c r="AD5515" i="5"/>
  <c r="E5515" i="5"/>
  <c r="AE5514" i="5"/>
  <c r="AD5514" i="5"/>
  <c r="E5514" i="5"/>
  <c r="AE5513" i="5"/>
  <c r="AD5513" i="5"/>
  <c r="E5513" i="5"/>
  <c r="AE5512" i="5"/>
  <c r="AD5512" i="5"/>
  <c r="E5512" i="5"/>
  <c r="AE5511" i="5"/>
  <c r="AD5511" i="5"/>
  <c r="E5511" i="5"/>
  <c r="AE5510" i="5"/>
  <c r="AD5510" i="5"/>
  <c r="E5510" i="5"/>
  <c r="AE5509" i="5"/>
  <c r="AD5509" i="5"/>
  <c r="E5509" i="5"/>
  <c r="AE5508" i="5"/>
  <c r="AD5508" i="5"/>
  <c r="E5508" i="5"/>
  <c r="AE5507" i="5"/>
  <c r="AD5507" i="5"/>
  <c r="E5507" i="5"/>
  <c r="AE5506" i="5"/>
  <c r="AD5506" i="5"/>
  <c r="E5506" i="5"/>
  <c r="AE5505" i="5"/>
  <c r="AD5505" i="5"/>
  <c r="E5505" i="5"/>
  <c r="AE5504" i="5"/>
  <c r="AD5504" i="5"/>
  <c r="E5504" i="5"/>
  <c r="AE5503" i="5"/>
  <c r="AD5503" i="5"/>
  <c r="E5503" i="5"/>
  <c r="AE5502" i="5"/>
  <c r="AD5502" i="5"/>
  <c r="E5502" i="5"/>
  <c r="AE5501" i="5"/>
  <c r="AD5501" i="5"/>
  <c r="E5501" i="5"/>
  <c r="AE5500" i="5"/>
  <c r="AD5500" i="5"/>
  <c r="E5500" i="5"/>
  <c r="AE5499" i="5"/>
  <c r="AD5499" i="5"/>
  <c r="E5499" i="5"/>
  <c r="AE5498" i="5"/>
  <c r="AD5498" i="5"/>
  <c r="E5498" i="5"/>
  <c r="AE5497" i="5"/>
  <c r="AD5497" i="5"/>
  <c r="E5497" i="5"/>
  <c r="AE5496" i="5"/>
  <c r="AD5496" i="5"/>
  <c r="E5496" i="5"/>
  <c r="AE5495" i="5"/>
  <c r="AD5495" i="5"/>
  <c r="E5495" i="5"/>
  <c r="AE5494" i="5"/>
  <c r="AD5494" i="5"/>
  <c r="E5494" i="5"/>
  <c r="AE5493" i="5"/>
  <c r="AD5493" i="5"/>
  <c r="E5493" i="5"/>
  <c r="AE5492" i="5"/>
  <c r="AD5492" i="5"/>
  <c r="E5492" i="5"/>
  <c r="AE5491" i="5"/>
  <c r="AD5491" i="5"/>
  <c r="E5491" i="5"/>
  <c r="AE5490" i="5"/>
  <c r="AD5490" i="5"/>
  <c r="E5490" i="5"/>
  <c r="AE5489" i="5"/>
  <c r="AD5489" i="5"/>
  <c r="E5489" i="5"/>
  <c r="AE5488" i="5"/>
  <c r="AD5488" i="5"/>
  <c r="E5488" i="5"/>
  <c r="AE5487" i="5"/>
  <c r="AD5487" i="5"/>
  <c r="E5487" i="5"/>
  <c r="AE5486" i="5"/>
  <c r="AD5486" i="5"/>
  <c r="E5486" i="5"/>
  <c r="AE5485" i="5"/>
  <c r="AD5485" i="5"/>
  <c r="E5485" i="5"/>
  <c r="AE5484" i="5"/>
  <c r="AD5484" i="5"/>
  <c r="E5484" i="5"/>
  <c r="AE5483" i="5"/>
  <c r="AD5483" i="5"/>
  <c r="E5483" i="5"/>
  <c r="AE5482" i="5"/>
  <c r="AD5482" i="5"/>
  <c r="E5482" i="5"/>
  <c r="AE5481" i="5"/>
  <c r="AD5481" i="5"/>
  <c r="E5481" i="5"/>
  <c r="AE5480" i="5"/>
  <c r="AD5480" i="5"/>
  <c r="E5480" i="5"/>
  <c r="AE5479" i="5"/>
  <c r="AD5479" i="5"/>
  <c r="E5479" i="5"/>
  <c r="AE5478" i="5"/>
  <c r="AD5478" i="5"/>
  <c r="E5478" i="5"/>
  <c r="AE5477" i="5"/>
  <c r="AD5477" i="5"/>
  <c r="E5477" i="5"/>
  <c r="AE5476" i="5"/>
  <c r="AD5476" i="5"/>
  <c r="E5476" i="5"/>
  <c r="AE5475" i="5"/>
  <c r="AD5475" i="5"/>
  <c r="E5475" i="5"/>
  <c r="AE5474" i="5"/>
  <c r="AD5474" i="5"/>
  <c r="E5474" i="5"/>
  <c r="AE5473" i="5"/>
  <c r="AD5473" i="5"/>
  <c r="E5473" i="5"/>
  <c r="AE5472" i="5"/>
  <c r="AD5472" i="5"/>
  <c r="E5472" i="5"/>
  <c r="AE5471" i="5"/>
  <c r="AD5471" i="5"/>
  <c r="E5471" i="5"/>
  <c r="AE5470" i="5"/>
  <c r="AD5470" i="5"/>
  <c r="E5470" i="5"/>
  <c r="AE5469" i="5"/>
  <c r="AD5469" i="5"/>
  <c r="E5469" i="5"/>
  <c r="AE5468" i="5"/>
  <c r="AD5468" i="5"/>
  <c r="E5468" i="5"/>
  <c r="AE5467" i="5"/>
  <c r="AD5467" i="5"/>
  <c r="E5467" i="5"/>
  <c r="AE5466" i="5"/>
  <c r="AD5466" i="5"/>
  <c r="E5466" i="5"/>
  <c r="AE5465" i="5"/>
  <c r="AD5465" i="5"/>
  <c r="E5465" i="5"/>
  <c r="AE5464" i="5"/>
  <c r="AD5464" i="5"/>
  <c r="E5464" i="5"/>
  <c r="AE5463" i="5"/>
  <c r="AD5463" i="5"/>
  <c r="E5463" i="5"/>
  <c r="AE5462" i="5"/>
  <c r="AD5462" i="5"/>
  <c r="E5462" i="5"/>
  <c r="AE5461" i="5"/>
  <c r="AD5461" i="5"/>
  <c r="E5461" i="5"/>
  <c r="AE5460" i="5"/>
  <c r="AD5460" i="5"/>
  <c r="E5460" i="5"/>
  <c r="AE5459" i="5"/>
  <c r="AD5459" i="5"/>
  <c r="E5459" i="5"/>
  <c r="AE5458" i="5"/>
  <c r="AD5458" i="5"/>
  <c r="E5458" i="5"/>
  <c r="AE5457" i="5"/>
  <c r="AD5457" i="5"/>
  <c r="E5457" i="5"/>
  <c r="AE5456" i="5"/>
  <c r="AD5456" i="5"/>
  <c r="E5456" i="5"/>
  <c r="AE5455" i="5"/>
  <c r="AD5455" i="5"/>
  <c r="E5455" i="5"/>
  <c r="AE5454" i="5"/>
  <c r="AD5454" i="5"/>
  <c r="E5454" i="5"/>
  <c r="AE5453" i="5"/>
  <c r="AD5453" i="5"/>
  <c r="E5453" i="5"/>
  <c r="AE5452" i="5"/>
  <c r="AD5452" i="5"/>
  <c r="E5452" i="5"/>
  <c r="AE5451" i="5"/>
  <c r="AD5451" i="5"/>
  <c r="E5451" i="5"/>
  <c r="AE5450" i="5"/>
  <c r="AD5450" i="5"/>
  <c r="E5450" i="5"/>
  <c r="AE5449" i="5"/>
  <c r="AD5449" i="5"/>
  <c r="E5449" i="5"/>
  <c r="AE5448" i="5"/>
  <c r="AD5448" i="5"/>
  <c r="E5448" i="5"/>
  <c r="AE5447" i="5"/>
  <c r="AD5447" i="5"/>
  <c r="E5447" i="5"/>
  <c r="AE5446" i="5"/>
  <c r="AD5446" i="5"/>
  <c r="E5446" i="5"/>
  <c r="AE5445" i="5"/>
  <c r="AD5445" i="5"/>
  <c r="E5445" i="5"/>
  <c r="AE5444" i="5"/>
  <c r="AD5444" i="5"/>
  <c r="E5444" i="5"/>
  <c r="AE5443" i="5"/>
  <c r="AD5443" i="5"/>
  <c r="E5443" i="5"/>
  <c r="AE5442" i="5"/>
  <c r="AD5442" i="5"/>
  <c r="E5442" i="5"/>
  <c r="AE5441" i="5"/>
  <c r="AD5441" i="5"/>
  <c r="E5441" i="5"/>
  <c r="AE5440" i="5"/>
  <c r="AD5440" i="5"/>
  <c r="E5440" i="5"/>
  <c r="AE5439" i="5"/>
  <c r="AD5439" i="5"/>
  <c r="E5439" i="5"/>
  <c r="AE5438" i="5"/>
  <c r="AD5438" i="5"/>
  <c r="E5438" i="5"/>
  <c r="AE5437" i="5"/>
  <c r="AD5437" i="5"/>
  <c r="E5437" i="5"/>
  <c r="AE5436" i="5"/>
  <c r="AD5436" i="5"/>
  <c r="E5436" i="5"/>
  <c r="AE5435" i="5"/>
  <c r="AD5435" i="5"/>
  <c r="E5435" i="5"/>
  <c r="AE5434" i="5"/>
  <c r="AD5434" i="5"/>
  <c r="E5434" i="5"/>
  <c r="AE5433" i="5"/>
  <c r="AD5433" i="5"/>
  <c r="E5433" i="5"/>
  <c r="AE5432" i="5"/>
  <c r="AD5432" i="5"/>
  <c r="E5432" i="5"/>
  <c r="AE5431" i="5"/>
  <c r="AD5431" i="5"/>
  <c r="E5431" i="5"/>
  <c r="AE5430" i="5"/>
  <c r="AD5430" i="5"/>
  <c r="E5430" i="5"/>
  <c r="AE5429" i="5"/>
  <c r="AD5429" i="5"/>
  <c r="E5429" i="5"/>
  <c r="AE5428" i="5"/>
  <c r="AD5428" i="5"/>
  <c r="E5428" i="5"/>
  <c r="AE5427" i="5"/>
  <c r="AD5427" i="5"/>
  <c r="E5427" i="5"/>
  <c r="AE5426" i="5"/>
  <c r="AD5426" i="5"/>
  <c r="E5426" i="5"/>
  <c r="AE5425" i="5"/>
  <c r="AD5425" i="5"/>
  <c r="E5425" i="5"/>
  <c r="AE5424" i="5"/>
  <c r="AD5424" i="5"/>
  <c r="E5424" i="5"/>
  <c r="AE5423" i="5"/>
  <c r="AD5423" i="5"/>
  <c r="E5423" i="5"/>
  <c r="AE5422" i="5"/>
  <c r="AD5422" i="5"/>
  <c r="E5422" i="5"/>
  <c r="AE5421" i="5"/>
  <c r="AD5421" i="5"/>
  <c r="E5421" i="5"/>
  <c r="AE5420" i="5"/>
  <c r="AD5420" i="5"/>
  <c r="E5420" i="5"/>
  <c r="AE5419" i="5"/>
  <c r="AD5419" i="5"/>
  <c r="E5419" i="5"/>
  <c r="AE5418" i="5"/>
  <c r="AD5418" i="5"/>
  <c r="E5418" i="5"/>
  <c r="AE5417" i="5"/>
  <c r="AD5417" i="5"/>
  <c r="E5417" i="5"/>
  <c r="AE5416" i="5"/>
  <c r="AD5416" i="5"/>
  <c r="E5416" i="5"/>
  <c r="AE5415" i="5"/>
  <c r="AD5415" i="5"/>
  <c r="E5415" i="5"/>
  <c r="AE5414" i="5"/>
  <c r="AD5414" i="5"/>
  <c r="E5414" i="5"/>
  <c r="AE5413" i="5"/>
  <c r="AD5413" i="5"/>
  <c r="E5413" i="5"/>
  <c r="AE5412" i="5"/>
  <c r="AD5412" i="5"/>
  <c r="E5412" i="5"/>
  <c r="AE5411" i="5"/>
  <c r="AD5411" i="5"/>
  <c r="E5411" i="5"/>
  <c r="AE5410" i="5"/>
  <c r="AD5410" i="5"/>
  <c r="E5410" i="5"/>
  <c r="AE5409" i="5"/>
  <c r="AD5409" i="5"/>
  <c r="E5409" i="5"/>
  <c r="AE5408" i="5"/>
  <c r="AD5408" i="5"/>
  <c r="E5408" i="5"/>
  <c r="AE5407" i="5"/>
  <c r="AD5407" i="5"/>
  <c r="E5407" i="5"/>
  <c r="AE5406" i="5"/>
  <c r="AD5406" i="5"/>
  <c r="E5406" i="5"/>
  <c r="AE5405" i="5"/>
  <c r="AD5405" i="5"/>
  <c r="E5405" i="5"/>
  <c r="AE5404" i="5"/>
  <c r="AD5404" i="5"/>
  <c r="E5404" i="5"/>
  <c r="AE5403" i="5"/>
  <c r="AD5403" i="5"/>
  <c r="E5403" i="5"/>
  <c r="AE5402" i="5"/>
  <c r="AD5402" i="5"/>
  <c r="E5402" i="5"/>
  <c r="AE5401" i="5"/>
  <c r="AD5401" i="5"/>
  <c r="E5401" i="5"/>
  <c r="AE5400" i="5"/>
  <c r="AD5400" i="5"/>
  <c r="E5400" i="5"/>
  <c r="AE5399" i="5"/>
  <c r="AD5399" i="5"/>
  <c r="E5399" i="5"/>
  <c r="AE5398" i="5"/>
  <c r="AD5398" i="5"/>
  <c r="E5398" i="5"/>
  <c r="AE5397" i="5"/>
  <c r="AD5397" i="5"/>
  <c r="E5397" i="5"/>
  <c r="AE5396" i="5"/>
  <c r="AD5396" i="5"/>
  <c r="E5396" i="5"/>
  <c r="AE5395" i="5"/>
  <c r="AD5395" i="5"/>
  <c r="E5395" i="5"/>
  <c r="AE5394" i="5"/>
  <c r="AD5394" i="5"/>
  <c r="E5394" i="5"/>
  <c r="AE5393" i="5"/>
  <c r="AD5393" i="5"/>
  <c r="E5393" i="5"/>
  <c r="AE5392" i="5"/>
  <c r="AD5392" i="5"/>
  <c r="E5392" i="5"/>
  <c r="AE5391" i="5"/>
  <c r="AD5391" i="5"/>
  <c r="E5391" i="5"/>
  <c r="AE5390" i="5"/>
  <c r="AD5390" i="5"/>
  <c r="E5390" i="5"/>
  <c r="AE5389" i="5"/>
  <c r="AD5389" i="5"/>
  <c r="E5389" i="5"/>
  <c r="AE5388" i="5"/>
  <c r="AD5388" i="5"/>
  <c r="E5388" i="5"/>
  <c r="AE5387" i="5"/>
  <c r="AD5387" i="5"/>
  <c r="E5387" i="5"/>
  <c r="AE5386" i="5"/>
  <c r="AD5386" i="5"/>
  <c r="E5386" i="5"/>
  <c r="AE5385" i="5"/>
  <c r="AD5385" i="5"/>
  <c r="E5385" i="5"/>
  <c r="AE5384" i="5"/>
  <c r="AD5384" i="5"/>
  <c r="E5384" i="5"/>
  <c r="AE5383" i="5"/>
  <c r="AD5383" i="5"/>
  <c r="E5383" i="5"/>
  <c r="AE5382" i="5"/>
  <c r="AD5382" i="5"/>
  <c r="E5382" i="5"/>
  <c r="AE5381" i="5"/>
  <c r="AD5381" i="5"/>
  <c r="E5381" i="5"/>
  <c r="AE5380" i="5"/>
  <c r="AD5380" i="5"/>
  <c r="E5380" i="5"/>
  <c r="AE5379" i="5"/>
  <c r="AD5379" i="5"/>
  <c r="E5379" i="5"/>
  <c r="AE5378" i="5"/>
  <c r="AD5378" i="5"/>
  <c r="E5378" i="5"/>
  <c r="AE5377" i="5"/>
  <c r="AD5377" i="5"/>
  <c r="E5377" i="5"/>
  <c r="AE5376" i="5"/>
  <c r="AD5376" i="5"/>
  <c r="E5376" i="5"/>
  <c r="AE5375" i="5"/>
  <c r="AD5375" i="5"/>
  <c r="E5375" i="5"/>
  <c r="AE5374" i="5"/>
  <c r="AD5374" i="5"/>
  <c r="E5374" i="5"/>
  <c r="AE5373" i="5"/>
  <c r="AD5373" i="5"/>
  <c r="E5373" i="5"/>
  <c r="AE5372" i="5"/>
  <c r="AD5372" i="5"/>
  <c r="E5372" i="5"/>
  <c r="AE5371" i="5"/>
  <c r="AD5371" i="5"/>
  <c r="E5371" i="5"/>
  <c r="AE5370" i="5"/>
  <c r="AD5370" i="5"/>
  <c r="E5370" i="5"/>
  <c r="AE5369" i="5"/>
  <c r="AD5369" i="5"/>
  <c r="E5369" i="5"/>
  <c r="AE5368" i="5"/>
  <c r="AD5368" i="5"/>
  <c r="E5368" i="5"/>
  <c r="AE5367" i="5"/>
  <c r="AD5367" i="5"/>
  <c r="E5367" i="5"/>
  <c r="AE5366" i="5"/>
  <c r="AD5366" i="5"/>
  <c r="E5366" i="5"/>
  <c r="AE5365" i="5"/>
  <c r="AD5365" i="5"/>
  <c r="E5365" i="5"/>
  <c r="AE5364" i="5"/>
  <c r="AD5364" i="5"/>
  <c r="E5364" i="5"/>
  <c r="AE5363" i="5"/>
  <c r="AD5363" i="5"/>
  <c r="E5363" i="5"/>
  <c r="AE5362" i="5"/>
  <c r="AD5362" i="5"/>
  <c r="E5362" i="5"/>
  <c r="AE5361" i="5"/>
  <c r="AD5361" i="5"/>
  <c r="E5361" i="5"/>
  <c r="AE5360" i="5"/>
  <c r="AD5360" i="5"/>
  <c r="E5360" i="5"/>
  <c r="AE5359" i="5"/>
  <c r="AD5359" i="5"/>
  <c r="E5359" i="5"/>
  <c r="AE5358" i="5"/>
  <c r="AD5358" i="5"/>
  <c r="E5358" i="5"/>
  <c r="AE5357" i="5"/>
  <c r="AD5357" i="5"/>
  <c r="E5357" i="5"/>
  <c r="AE5356" i="5"/>
  <c r="AD5356" i="5"/>
  <c r="E5356" i="5"/>
  <c r="AE5355" i="5"/>
  <c r="AD5355" i="5"/>
  <c r="E5355" i="5"/>
  <c r="AE5354" i="5"/>
  <c r="AD5354" i="5"/>
  <c r="E5354" i="5"/>
  <c r="AE5353" i="5"/>
  <c r="AD5353" i="5"/>
  <c r="E5353" i="5"/>
  <c r="AE5352" i="5"/>
  <c r="AD5352" i="5"/>
  <c r="E5352" i="5"/>
  <c r="AE5351" i="5"/>
  <c r="AD5351" i="5"/>
  <c r="E5351" i="5"/>
  <c r="AE5350" i="5"/>
  <c r="AD5350" i="5"/>
  <c r="E5350" i="5"/>
  <c r="AE5349" i="5"/>
  <c r="AD5349" i="5"/>
  <c r="E5349" i="5"/>
  <c r="AE5348" i="5"/>
  <c r="AD5348" i="5"/>
  <c r="E5348" i="5"/>
  <c r="AE5347" i="5"/>
  <c r="AD5347" i="5"/>
  <c r="E5347" i="5"/>
  <c r="AE5346" i="5"/>
  <c r="AD5346" i="5"/>
  <c r="E5346" i="5"/>
  <c r="AE5345" i="5"/>
  <c r="AD5345" i="5"/>
  <c r="E5345" i="5"/>
  <c r="AE5344" i="5"/>
  <c r="AD5344" i="5"/>
  <c r="E5344" i="5"/>
  <c r="AE5343" i="5"/>
  <c r="AD5343" i="5"/>
  <c r="E5343" i="5"/>
  <c r="AE5342" i="5"/>
  <c r="AD5342" i="5"/>
  <c r="E5342" i="5"/>
  <c r="AE5341" i="5"/>
  <c r="AD5341" i="5"/>
  <c r="E5341" i="5"/>
  <c r="AE5340" i="5"/>
  <c r="AD5340" i="5"/>
  <c r="E5340" i="5"/>
  <c r="AE5339" i="5"/>
  <c r="AD5339" i="5"/>
  <c r="E5339" i="5"/>
  <c r="AE5338" i="5"/>
  <c r="AD5338" i="5"/>
  <c r="E5338" i="5"/>
  <c r="AE5337" i="5"/>
  <c r="AD5337" i="5"/>
  <c r="E5337" i="5"/>
  <c r="AE5336" i="5"/>
  <c r="AD5336" i="5"/>
  <c r="E5336" i="5"/>
  <c r="AE5335" i="5"/>
  <c r="AD5335" i="5"/>
  <c r="E5335" i="5"/>
  <c r="AE5334" i="5"/>
  <c r="AD5334" i="5"/>
  <c r="E5334" i="5"/>
  <c r="AE5333" i="5"/>
  <c r="AD5333" i="5"/>
  <c r="E5333" i="5"/>
  <c r="AE5332" i="5"/>
  <c r="AD5332" i="5"/>
  <c r="E5332" i="5"/>
  <c r="AE5331" i="5"/>
  <c r="AD5331" i="5"/>
  <c r="E5331" i="5"/>
  <c r="AE5330" i="5"/>
  <c r="AD5330" i="5"/>
  <c r="E5330" i="5"/>
  <c r="AE5329" i="5"/>
  <c r="AD5329" i="5"/>
  <c r="E5329" i="5"/>
  <c r="AE5328" i="5"/>
  <c r="AD5328" i="5"/>
  <c r="E5328" i="5"/>
  <c r="AE5327" i="5"/>
  <c r="AD5327" i="5"/>
  <c r="E5327" i="5"/>
  <c r="AE5326" i="5"/>
  <c r="AD5326" i="5"/>
  <c r="E5326" i="5"/>
  <c r="AE5325" i="5"/>
  <c r="AD5325" i="5"/>
  <c r="E5325" i="5"/>
  <c r="AE5324" i="5"/>
  <c r="AD5324" i="5"/>
  <c r="E5324" i="5"/>
  <c r="AE5323" i="5"/>
  <c r="AD5323" i="5"/>
  <c r="E5323" i="5"/>
  <c r="AE5322" i="5"/>
  <c r="AD5322" i="5"/>
  <c r="E5322" i="5"/>
  <c r="AE5321" i="5"/>
  <c r="AD5321" i="5"/>
  <c r="E5321" i="5"/>
  <c r="AE5320" i="5"/>
  <c r="AD5320" i="5"/>
  <c r="E5320" i="5"/>
  <c r="AE5319" i="5"/>
  <c r="AD5319" i="5"/>
  <c r="E5319" i="5"/>
  <c r="AE5318" i="5"/>
  <c r="AD5318" i="5"/>
  <c r="E5318" i="5"/>
  <c r="AE5317" i="5"/>
  <c r="AD5317" i="5"/>
  <c r="E5317" i="5"/>
  <c r="AE5316" i="5"/>
  <c r="AD5316" i="5"/>
  <c r="E5316" i="5"/>
  <c r="AE5315" i="5"/>
  <c r="AD5315" i="5"/>
  <c r="E5315" i="5"/>
  <c r="AE5314" i="5"/>
  <c r="AD5314" i="5"/>
  <c r="E5314" i="5"/>
  <c r="AE5313" i="5"/>
  <c r="AD5313" i="5"/>
  <c r="E5313" i="5"/>
  <c r="AE5312" i="5"/>
  <c r="AD5312" i="5"/>
  <c r="E5312" i="5"/>
  <c r="AE5311" i="5"/>
  <c r="AD5311" i="5"/>
  <c r="E5311" i="5"/>
  <c r="AE5310" i="5"/>
  <c r="AD5310" i="5"/>
  <c r="E5310" i="5"/>
  <c r="AE5309" i="5"/>
  <c r="AD5309" i="5"/>
  <c r="E5309" i="5"/>
  <c r="AE5308" i="5"/>
  <c r="AD5308" i="5"/>
  <c r="E5308" i="5"/>
  <c r="AE5307" i="5"/>
  <c r="AD5307" i="5"/>
  <c r="E5307" i="5"/>
  <c r="AE5306" i="5"/>
  <c r="AD5306" i="5"/>
  <c r="E5306" i="5"/>
  <c r="AE5305" i="5"/>
  <c r="AD5305" i="5"/>
  <c r="E5305" i="5"/>
  <c r="AE5304" i="5"/>
  <c r="AD5304" i="5"/>
  <c r="E5304" i="5"/>
  <c r="AE5303" i="5"/>
  <c r="AD5303" i="5"/>
  <c r="E5303" i="5"/>
  <c r="AE5302" i="5"/>
  <c r="AD5302" i="5"/>
  <c r="E5302" i="5"/>
  <c r="AE5301" i="5"/>
  <c r="AD5301" i="5"/>
  <c r="E5301" i="5"/>
  <c r="AE5300" i="5"/>
  <c r="AD5300" i="5"/>
  <c r="E5300" i="5"/>
  <c r="AE5299" i="5"/>
  <c r="AD5299" i="5"/>
  <c r="E5299" i="5"/>
  <c r="AE5298" i="5"/>
  <c r="AD5298" i="5"/>
  <c r="E5298" i="5"/>
  <c r="AE5297" i="5"/>
  <c r="AD5297" i="5"/>
  <c r="E5297" i="5"/>
  <c r="AE5296" i="5"/>
  <c r="AD5296" i="5"/>
  <c r="E5296" i="5"/>
  <c r="AE5295" i="5"/>
  <c r="AD5295" i="5"/>
  <c r="E5295" i="5"/>
  <c r="AE5294" i="5"/>
  <c r="AD5294" i="5"/>
  <c r="E5294" i="5"/>
  <c r="AE5293" i="5"/>
  <c r="AD5293" i="5"/>
  <c r="E5293" i="5"/>
  <c r="AE5292" i="5"/>
  <c r="AD5292" i="5"/>
  <c r="E5292" i="5"/>
  <c r="AE5291" i="5"/>
  <c r="AD5291" i="5"/>
  <c r="E5291" i="5"/>
  <c r="AE5290" i="5"/>
  <c r="AD5290" i="5"/>
  <c r="E5290" i="5"/>
  <c r="AE5289" i="5"/>
  <c r="AD5289" i="5"/>
  <c r="E5289" i="5"/>
  <c r="AE5288" i="5"/>
  <c r="AD5288" i="5"/>
  <c r="E5288" i="5"/>
  <c r="AE5287" i="5"/>
  <c r="AD5287" i="5"/>
  <c r="E5287" i="5"/>
  <c r="AE5286" i="5"/>
  <c r="AD5286" i="5"/>
  <c r="E5286" i="5"/>
  <c r="AE5285" i="5"/>
  <c r="AD5285" i="5"/>
  <c r="E5285" i="5"/>
  <c r="AE5284" i="5"/>
  <c r="AD5284" i="5"/>
  <c r="E5284" i="5"/>
  <c r="AE5283" i="5"/>
  <c r="AD5283" i="5"/>
  <c r="E5283" i="5"/>
  <c r="AE5282" i="5"/>
  <c r="AD5282" i="5"/>
  <c r="E5282" i="5"/>
  <c r="AE5281" i="5"/>
  <c r="AD5281" i="5"/>
  <c r="E5281" i="5"/>
  <c r="AE5280" i="5"/>
  <c r="AD5280" i="5"/>
  <c r="E5280" i="5"/>
  <c r="AE5279" i="5"/>
  <c r="AD5279" i="5"/>
  <c r="E5279" i="5"/>
  <c r="AE5278" i="5"/>
  <c r="AD5278" i="5"/>
  <c r="E5278" i="5"/>
  <c r="AE5277" i="5"/>
  <c r="AD5277" i="5"/>
  <c r="E5277" i="5"/>
  <c r="AE5276" i="5"/>
  <c r="AD5276" i="5"/>
  <c r="E5276" i="5"/>
  <c r="AE5275" i="5"/>
  <c r="AD5275" i="5"/>
  <c r="E5275" i="5"/>
  <c r="AE5274" i="5"/>
  <c r="AD5274" i="5"/>
  <c r="E5274" i="5"/>
  <c r="AE5273" i="5"/>
  <c r="AD5273" i="5"/>
  <c r="E5273" i="5"/>
  <c r="AE5272" i="5"/>
  <c r="AD5272" i="5"/>
  <c r="E5272" i="5"/>
  <c r="AE5271" i="5"/>
  <c r="AD5271" i="5"/>
  <c r="E5271" i="5"/>
  <c r="AE5270" i="5"/>
  <c r="AD5270" i="5"/>
  <c r="E5270" i="5"/>
  <c r="AE5269" i="5"/>
  <c r="AD5269" i="5"/>
  <c r="E5269" i="5"/>
  <c r="AE5268" i="5"/>
  <c r="AD5268" i="5"/>
  <c r="E5268" i="5"/>
  <c r="AE5267" i="5"/>
  <c r="AD5267" i="5"/>
  <c r="E5267" i="5"/>
  <c r="AE5266" i="5"/>
  <c r="AD5266" i="5"/>
  <c r="E5266" i="5"/>
  <c r="AE5265" i="5"/>
  <c r="AD5265" i="5"/>
  <c r="E5265" i="5"/>
  <c r="AE5264" i="5"/>
  <c r="AD5264" i="5"/>
  <c r="E5264" i="5"/>
  <c r="AE5263" i="5"/>
  <c r="AD5263" i="5"/>
  <c r="E5263" i="5"/>
  <c r="AE5262" i="5"/>
  <c r="AD5262" i="5"/>
  <c r="E5262" i="5"/>
  <c r="AE5261" i="5"/>
  <c r="AD5261" i="5"/>
  <c r="E5261" i="5"/>
  <c r="AE5260" i="5"/>
  <c r="AD5260" i="5"/>
  <c r="E5260" i="5"/>
  <c r="AE5259" i="5"/>
  <c r="AD5259" i="5"/>
  <c r="E5259" i="5"/>
  <c r="AE5258" i="5"/>
  <c r="AD5258" i="5"/>
  <c r="E5258" i="5"/>
  <c r="AE5257" i="5"/>
  <c r="AD5257" i="5"/>
  <c r="E5257" i="5"/>
  <c r="AE5256" i="5"/>
  <c r="AD5256" i="5"/>
  <c r="E5256" i="5"/>
  <c r="AE5255" i="5"/>
  <c r="AD5255" i="5"/>
  <c r="E5255" i="5"/>
  <c r="AE5254" i="5"/>
  <c r="AD5254" i="5"/>
  <c r="E5254" i="5"/>
  <c r="AE5253" i="5"/>
  <c r="AD5253" i="5"/>
  <c r="E5253" i="5"/>
  <c r="AE5252" i="5"/>
  <c r="AD5252" i="5"/>
  <c r="E5252" i="5"/>
  <c r="AE5251" i="5"/>
  <c r="AD5251" i="5"/>
  <c r="E5251" i="5"/>
  <c r="AE5250" i="5"/>
  <c r="AD5250" i="5"/>
  <c r="E5250" i="5"/>
  <c r="AE5249" i="5"/>
  <c r="AD5249" i="5"/>
  <c r="E5249" i="5"/>
  <c r="AE5248" i="5"/>
  <c r="AD5248" i="5"/>
  <c r="E5248" i="5"/>
  <c r="AE5247" i="5"/>
  <c r="AD5247" i="5"/>
  <c r="E5247" i="5"/>
  <c r="AE5246" i="5"/>
  <c r="AD5246" i="5"/>
  <c r="E5246" i="5"/>
  <c r="AE5245" i="5"/>
  <c r="AD5245" i="5"/>
  <c r="E5245" i="5"/>
  <c r="AE5244" i="5"/>
  <c r="AD5244" i="5"/>
  <c r="E5244" i="5"/>
  <c r="AE5243" i="5"/>
  <c r="AD5243" i="5"/>
  <c r="E5243" i="5"/>
  <c r="AE5242" i="5"/>
  <c r="AD5242" i="5"/>
  <c r="E5242" i="5"/>
  <c r="AE5241" i="5"/>
  <c r="AD5241" i="5"/>
  <c r="E5241" i="5"/>
  <c r="AE5240" i="5"/>
  <c r="AD5240" i="5"/>
  <c r="E5240" i="5"/>
  <c r="AE5239" i="5"/>
  <c r="AD5239" i="5"/>
  <c r="E5239" i="5"/>
  <c r="AE5238" i="5"/>
  <c r="AD5238" i="5"/>
  <c r="E5238" i="5"/>
  <c r="AE5237" i="5"/>
  <c r="AD5237" i="5"/>
  <c r="E5237" i="5"/>
  <c r="AE5236" i="5"/>
  <c r="AD5236" i="5"/>
  <c r="E5236" i="5"/>
  <c r="AE5235" i="5"/>
  <c r="AD5235" i="5"/>
  <c r="E5235" i="5"/>
  <c r="AE5234" i="5"/>
  <c r="AD5234" i="5"/>
  <c r="E5234" i="5"/>
  <c r="AE5233" i="5"/>
  <c r="AD5233" i="5"/>
  <c r="E5233" i="5"/>
  <c r="AE5232" i="5"/>
  <c r="AD5232" i="5"/>
  <c r="E5232" i="5"/>
  <c r="AE5231" i="5"/>
  <c r="AD5231" i="5"/>
  <c r="E5231" i="5"/>
  <c r="AE5230" i="5"/>
  <c r="AD5230" i="5"/>
  <c r="E5230" i="5"/>
  <c r="AE5229" i="5"/>
  <c r="AD5229" i="5"/>
  <c r="E5229" i="5"/>
  <c r="AE5228" i="5"/>
  <c r="AD5228" i="5"/>
  <c r="E5228" i="5"/>
  <c r="AE5227" i="5"/>
  <c r="AD5227" i="5"/>
  <c r="E5227" i="5"/>
  <c r="AE5226" i="5"/>
  <c r="AD5226" i="5"/>
  <c r="E5226" i="5"/>
  <c r="AE5225" i="5"/>
  <c r="AD5225" i="5"/>
  <c r="E5225" i="5"/>
  <c r="AE5224" i="5"/>
  <c r="AD5224" i="5"/>
  <c r="E5224" i="5"/>
  <c r="AE5223" i="5"/>
  <c r="AD5223" i="5"/>
  <c r="E5223" i="5"/>
  <c r="AE5222" i="5"/>
  <c r="AD5222" i="5"/>
  <c r="E5222" i="5"/>
  <c r="AE5221" i="5"/>
  <c r="AD5221" i="5"/>
  <c r="E5221" i="5"/>
  <c r="AE5220" i="5"/>
  <c r="AD5220" i="5"/>
  <c r="E5220" i="5"/>
  <c r="AE5219" i="5"/>
  <c r="AD5219" i="5"/>
  <c r="E5219" i="5"/>
  <c r="AE5218" i="5"/>
  <c r="AD5218" i="5"/>
  <c r="E5218" i="5"/>
  <c r="AE5217" i="5"/>
  <c r="AD5217" i="5"/>
  <c r="E5217" i="5"/>
  <c r="AE5216" i="5"/>
  <c r="AD5216" i="5"/>
  <c r="E5216" i="5"/>
  <c r="AE5215" i="5"/>
  <c r="AD5215" i="5"/>
  <c r="E5215" i="5"/>
  <c r="AE5214" i="5"/>
  <c r="AD5214" i="5"/>
  <c r="E5214" i="5"/>
  <c r="AE5213" i="5"/>
  <c r="AD5213" i="5"/>
  <c r="E5213" i="5"/>
  <c r="AE5212" i="5"/>
  <c r="AD5212" i="5"/>
  <c r="E5212" i="5"/>
  <c r="AE5211" i="5"/>
  <c r="AD5211" i="5"/>
  <c r="E5211" i="5"/>
  <c r="AE5210" i="5"/>
  <c r="AD5210" i="5"/>
  <c r="E5210" i="5"/>
  <c r="AE5209" i="5"/>
  <c r="AD5209" i="5"/>
  <c r="E5209" i="5"/>
  <c r="AE5208" i="5"/>
  <c r="AD5208" i="5"/>
  <c r="E5208" i="5"/>
  <c r="AE5207" i="5"/>
  <c r="AD5207" i="5"/>
  <c r="E5207" i="5"/>
  <c r="AE5206" i="5"/>
  <c r="AD5206" i="5"/>
  <c r="E5206" i="5"/>
  <c r="AE5205" i="5"/>
  <c r="AD5205" i="5"/>
  <c r="E5205" i="5"/>
  <c r="AE5204" i="5"/>
  <c r="AD5204" i="5"/>
  <c r="E5204" i="5"/>
  <c r="AE5203" i="5"/>
  <c r="AD5203" i="5"/>
  <c r="E5203" i="5"/>
  <c r="AE5202" i="5"/>
  <c r="AD5202" i="5"/>
  <c r="E5202" i="5"/>
  <c r="AE5201" i="5"/>
  <c r="AD5201" i="5"/>
  <c r="E5201" i="5"/>
  <c r="AE5200" i="5"/>
  <c r="AD5200" i="5"/>
  <c r="E5200" i="5"/>
  <c r="AE5199" i="5"/>
  <c r="AD5199" i="5"/>
  <c r="E5199" i="5"/>
  <c r="AE5198" i="5"/>
  <c r="AD5198" i="5"/>
  <c r="E5198" i="5"/>
  <c r="AE5197" i="5"/>
  <c r="AD5197" i="5"/>
  <c r="E5197" i="5"/>
  <c r="AE5196" i="5"/>
  <c r="AD5196" i="5"/>
  <c r="E5196" i="5"/>
  <c r="AE5195" i="5"/>
  <c r="AD5195" i="5"/>
  <c r="E5195" i="5"/>
  <c r="AE5194" i="5"/>
  <c r="AD5194" i="5"/>
  <c r="E5194" i="5"/>
  <c r="AE5193" i="5"/>
  <c r="AD5193" i="5"/>
  <c r="E5193" i="5"/>
  <c r="AE5192" i="5"/>
  <c r="AD5192" i="5"/>
  <c r="E5192" i="5"/>
  <c r="AE5191" i="5"/>
  <c r="AD5191" i="5"/>
  <c r="E5191" i="5"/>
  <c r="AE5190" i="5"/>
  <c r="AD5190" i="5"/>
  <c r="E5190" i="5"/>
  <c r="AE5189" i="5"/>
  <c r="AD5189" i="5"/>
  <c r="E5189" i="5"/>
  <c r="AE5188" i="5"/>
  <c r="AD5188" i="5"/>
  <c r="E5188" i="5"/>
  <c r="AE5187" i="5"/>
  <c r="AD5187" i="5"/>
  <c r="E5187" i="5"/>
  <c r="AE5186" i="5"/>
  <c r="AD5186" i="5"/>
  <c r="E5186" i="5"/>
  <c r="AE5185" i="5"/>
  <c r="AD5185" i="5"/>
  <c r="E5185" i="5"/>
  <c r="AE5184" i="5"/>
  <c r="AD5184" i="5"/>
  <c r="E5184" i="5"/>
  <c r="AE5183" i="5"/>
  <c r="AD5183" i="5"/>
  <c r="E5183" i="5"/>
  <c r="AE5182" i="5"/>
  <c r="AD5182" i="5"/>
  <c r="E5182" i="5"/>
  <c r="AE5181" i="5"/>
  <c r="AD5181" i="5"/>
  <c r="E5181" i="5"/>
  <c r="AE5180" i="5"/>
  <c r="AD5180" i="5"/>
  <c r="E5180" i="5"/>
  <c r="AE5179" i="5"/>
  <c r="AD5179" i="5"/>
  <c r="E5179" i="5"/>
  <c r="AE5178" i="5"/>
  <c r="AD5178" i="5"/>
  <c r="E5178" i="5"/>
  <c r="AE5177" i="5"/>
  <c r="AD5177" i="5"/>
  <c r="E5177" i="5"/>
  <c r="AE5176" i="5"/>
  <c r="AD5176" i="5"/>
  <c r="E5176" i="5"/>
  <c r="AE5175" i="5"/>
  <c r="AD5175" i="5"/>
  <c r="E5175" i="5"/>
  <c r="AE5174" i="5"/>
  <c r="AD5174" i="5"/>
  <c r="E5174" i="5"/>
  <c r="AE5173" i="5"/>
  <c r="AD5173" i="5"/>
  <c r="E5173" i="5"/>
  <c r="AE5172" i="5"/>
  <c r="AD5172" i="5"/>
  <c r="E5172" i="5"/>
  <c r="AE5171" i="5"/>
  <c r="AD5171" i="5"/>
  <c r="E5171" i="5"/>
  <c r="AE5170" i="5"/>
  <c r="AD5170" i="5"/>
  <c r="E5170" i="5"/>
  <c r="AE5169" i="5"/>
  <c r="AD5169" i="5"/>
  <c r="E5169" i="5"/>
  <c r="AE5168" i="5"/>
  <c r="AD5168" i="5"/>
  <c r="E5168" i="5"/>
  <c r="AE5167" i="5"/>
  <c r="AD5167" i="5"/>
  <c r="E5167" i="5"/>
  <c r="AE5166" i="5"/>
  <c r="AD5166" i="5"/>
  <c r="E5166" i="5"/>
  <c r="AE5165" i="5"/>
  <c r="AD5165" i="5"/>
  <c r="E5165" i="5"/>
  <c r="AE5164" i="5"/>
  <c r="AD5164" i="5"/>
  <c r="E5164" i="5"/>
  <c r="AE5163" i="5"/>
  <c r="AD5163" i="5"/>
  <c r="E5163" i="5"/>
  <c r="AE5162" i="5"/>
  <c r="AD5162" i="5"/>
  <c r="E5162" i="5"/>
  <c r="AE5161" i="5"/>
  <c r="AD5161" i="5"/>
  <c r="E5161" i="5"/>
  <c r="AE5160" i="5"/>
  <c r="AD5160" i="5"/>
  <c r="E5160" i="5"/>
  <c r="AE5159" i="5"/>
  <c r="AD5159" i="5"/>
  <c r="E5159" i="5"/>
  <c r="AE5158" i="5"/>
  <c r="AD5158" i="5"/>
  <c r="E5158" i="5"/>
  <c r="AE5157" i="5"/>
  <c r="AD5157" i="5"/>
  <c r="E5157" i="5"/>
  <c r="AE5156" i="5"/>
  <c r="AD5156" i="5"/>
  <c r="E5156" i="5"/>
  <c r="AE5155" i="5"/>
  <c r="AD5155" i="5"/>
  <c r="E5155" i="5"/>
  <c r="AE5154" i="5"/>
  <c r="AD5154" i="5"/>
  <c r="E5154" i="5"/>
  <c r="AE5153" i="5"/>
  <c r="AD5153" i="5"/>
  <c r="E5153" i="5"/>
  <c r="AE5152" i="5"/>
  <c r="AD5152" i="5"/>
  <c r="E5152" i="5"/>
  <c r="AE5151" i="5"/>
  <c r="AD5151" i="5"/>
  <c r="E5151" i="5"/>
  <c r="AE5150" i="5"/>
  <c r="AD5150" i="5"/>
  <c r="E5150" i="5"/>
  <c r="AE5149" i="5"/>
  <c r="AD5149" i="5"/>
  <c r="E5149" i="5"/>
  <c r="AE5148" i="5"/>
  <c r="AD5148" i="5"/>
  <c r="E5148" i="5"/>
  <c r="AE5147" i="5"/>
  <c r="AD5147" i="5"/>
  <c r="E5147" i="5"/>
  <c r="AE5146" i="5"/>
  <c r="AD5146" i="5"/>
  <c r="E5146" i="5"/>
  <c r="AE5145" i="5"/>
  <c r="AD5145" i="5"/>
  <c r="E5145" i="5"/>
  <c r="AE5144" i="5"/>
  <c r="AD5144" i="5"/>
  <c r="E5144" i="5"/>
  <c r="AE5143" i="5"/>
  <c r="AD5143" i="5"/>
  <c r="E5143" i="5"/>
  <c r="AE5142" i="5"/>
  <c r="AD5142" i="5"/>
  <c r="E5142" i="5"/>
  <c r="AE5141" i="5"/>
  <c r="AD5141" i="5"/>
  <c r="E5141" i="5"/>
  <c r="AE5140" i="5"/>
  <c r="AD5140" i="5"/>
  <c r="E5140" i="5"/>
  <c r="AE5139" i="5"/>
  <c r="AD5139" i="5"/>
  <c r="E5139" i="5"/>
  <c r="AE5138" i="5"/>
  <c r="AD5138" i="5"/>
  <c r="E5138" i="5"/>
  <c r="AE5137" i="5"/>
  <c r="AD5137" i="5"/>
  <c r="E5137" i="5"/>
  <c r="AE5136" i="5"/>
  <c r="AD5136" i="5"/>
  <c r="E5136" i="5"/>
  <c r="AE5135" i="5"/>
  <c r="AD5135" i="5"/>
  <c r="E5135" i="5"/>
  <c r="AE5134" i="5"/>
  <c r="AD5134" i="5"/>
  <c r="E5134" i="5"/>
  <c r="AE5133" i="5"/>
  <c r="AD5133" i="5"/>
  <c r="E5133" i="5"/>
  <c r="AE5132" i="5"/>
  <c r="AD5132" i="5"/>
  <c r="E5132" i="5"/>
  <c r="AE5131" i="5"/>
  <c r="AD5131" i="5"/>
  <c r="E5131" i="5"/>
  <c r="AE5130" i="5"/>
  <c r="AD5130" i="5"/>
  <c r="E5130" i="5"/>
  <c r="AE5129" i="5"/>
  <c r="AD5129" i="5"/>
  <c r="E5129" i="5"/>
  <c r="AE5128" i="5"/>
  <c r="AD5128" i="5"/>
  <c r="E5128" i="5"/>
  <c r="AE5127" i="5"/>
  <c r="AD5127" i="5"/>
  <c r="E5127" i="5"/>
  <c r="AE5126" i="5"/>
  <c r="AD5126" i="5"/>
  <c r="E5126" i="5"/>
  <c r="AE5125" i="5"/>
  <c r="AD5125" i="5"/>
  <c r="E5125" i="5"/>
  <c r="AE5124" i="5"/>
  <c r="AD5124" i="5"/>
  <c r="E5124" i="5"/>
  <c r="AE5123" i="5"/>
  <c r="AD5123" i="5"/>
  <c r="E5123" i="5"/>
  <c r="AE5122" i="5"/>
  <c r="AD5122" i="5"/>
  <c r="E5122" i="5"/>
  <c r="AE5121" i="5"/>
  <c r="AD5121" i="5"/>
  <c r="E5121" i="5"/>
  <c r="AE5120" i="5"/>
  <c r="AD5120" i="5"/>
  <c r="E5120" i="5"/>
  <c r="AE5119" i="5"/>
  <c r="AD5119" i="5"/>
  <c r="E5119" i="5"/>
  <c r="AE5118" i="5"/>
  <c r="AD5118" i="5"/>
  <c r="E5118" i="5"/>
  <c r="AE5117" i="5"/>
  <c r="AD5117" i="5"/>
  <c r="E5117" i="5"/>
  <c r="AE5116" i="5"/>
  <c r="AD5116" i="5"/>
  <c r="E5116" i="5"/>
  <c r="AE5115" i="5"/>
  <c r="AD5115" i="5"/>
  <c r="E5115" i="5"/>
  <c r="AE5114" i="5"/>
  <c r="AD5114" i="5"/>
  <c r="E5114" i="5"/>
  <c r="AE5113" i="5"/>
  <c r="AD5113" i="5"/>
  <c r="E5113" i="5"/>
  <c r="AE5112" i="5"/>
  <c r="AD5112" i="5"/>
  <c r="E5112" i="5"/>
  <c r="AE5111" i="5"/>
  <c r="AD5111" i="5"/>
  <c r="E5111" i="5"/>
  <c r="AE5110" i="5"/>
  <c r="AD5110" i="5"/>
  <c r="E5110" i="5"/>
  <c r="AE5109" i="5"/>
  <c r="AD5109" i="5"/>
  <c r="E5109" i="5"/>
  <c r="AE5108" i="5"/>
  <c r="AD5108" i="5"/>
  <c r="E5108" i="5"/>
  <c r="AE5107" i="5"/>
  <c r="AD5107" i="5"/>
  <c r="E5107" i="5"/>
  <c r="AE5106" i="5"/>
  <c r="AD5106" i="5"/>
  <c r="E5106" i="5"/>
  <c r="AE5105" i="5"/>
  <c r="AD5105" i="5"/>
  <c r="E5105" i="5"/>
  <c r="AE5104" i="5"/>
  <c r="AD5104" i="5"/>
  <c r="E5104" i="5"/>
  <c r="AE5103" i="5"/>
  <c r="AD5103" i="5"/>
  <c r="E5103" i="5"/>
  <c r="AE5102" i="5"/>
  <c r="AD5102" i="5"/>
  <c r="E5102" i="5"/>
  <c r="AE5101" i="5"/>
  <c r="AD5101" i="5"/>
  <c r="E5101" i="5"/>
  <c r="AE5100" i="5"/>
  <c r="AD5100" i="5"/>
  <c r="E5100" i="5"/>
  <c r="AE5099" i="5"/>
  <c r="AD5099" i="5"/>
  <c r="E5099" i="5"/>
  <c r="AE5098" i="5"/>
  <c r="AD5098" i="5"/>
  <c r="E5098" i="5"/>
  <c r="AE5097" i="5"/>
  <c r="AD5097" i="5"/>
  <c r="E5097" i="5"/>
  <c r="AE5096" i="5"/>
  <c r="AD5096" i="5"/>
  <c r="E5096" i="5"/>
  <c r="AE5095" i="5"/>
  <c r="AD5095" i="5"/>
  <c r="E5095" i="5"/>
  <c r="AE5094" i="5"/>
  <c r="AD5094" i="5"/>
  <c r="E5094" i="5"/>
  <c r="AE5093" i="5"/>
  <c r="AD5093" i="5"/>
  <c r="E5093" i="5"/>
  <c r="AE5092" i="5"/>
  <c r="AD5092" i="5"/>
  <c r="E5092" i="5"/>
  <c r="AE5091" i="5"/>
  <c r="AD5091" i="5"/>
  <c r="E5091" i="5"/>
  <c r="AE5090" i="5"/>
  <c r="AD5090" i="5"/>
  <c r="E5090" i="5"/>
  <c r="AE5089" i="5"/>
  <c r="AD5089" i="5"/>
  <c r="E5089" i="5"/>
  <c r="AE5088" i="5"/>
  <c r="AD5088" i="5"/>
  <c r="E5088" i="5"/>
  <c r="AE5087" i="5"/>
  <c r="AD5087" i="5"/>
  <c r="E5087" i="5"/>
  <c r="AE5086" i="5"/>
  <c r="AD5086" i="5"/>
  <c r="E5086" i="5"/>
  <c r="AE5085" i="5"/>
  <c r="AD5085" i="5"/>
  <c r="E5085" i="5"/>
  <c r="AE5084" i="5"/>
  <c r="AD5084" i="5"/>
  <c r="E5084" i="5"/>
  <c r="AE5083" i="5"/>
  <c r="AD5083" i="5"/>
  <c r="E5083" i="5"/>
  <c r="AE5082" i="5"/>
  <c r="AD5082" i="5"/>
  <c r="E5082" i="5"/>
  <c r="AE5081" i="5"/>
  <c r="AD5081" i="5"/>
  <c r="E5081" i="5"/>
  <c r="AE5080" i="5"/>
  <c r="AD5080" i="5"/>
  <c r="E5080" i="5"/>
  <c r="AE5079" i="5"/>
  <c r="AD5079" i="5"/>
  <c r="E5079" i="5"/>
  <c r="AE5078" i="5"/>
  <c r="AD5078" i="5"/>
  <c r="E5078" i="5"/>
  <c r="AE5077" i="5"/>
  <c r="AD5077" i="5"/>
  <c r="E5077" i="5"/>
  <c r="AE5076" i="5"/>
  <c r="AD5076" i="5"/>
  <c r="E5076" i="5"/>
  <c r="AE5075" i="5"/>
  <c r="AD5075" i="5"/>
  <c r="E5075" i="5"/>
  <c r="AE5074" i="5"/>
  <c r="AD5074" i="5"/>
  <c r="E5074" i="5"/>
  <c r="AE5073" i="5"/>
  <c r="AD5073" i="5"/>
  <c r="E5073" i="5"/>
  <c r="AE5072" i="5"/>
  <c r="AD5072" i="5"/>
  <c r="E5072" i="5"/>
  <c r="AE5071" i="5"/>
  <c r="AD5071" i="5"/>
  <c r="E5071" i="5"/>
  <c r="AE5070" i="5"/>
  <c r="AD5070" i="5"/>
  <c r="E5070" i="5"/>
  <c r="AE5069" i="5"/>
  <c r="AD5069" i="5"/>
  <c r="E5069" i="5"/>
  <c r="AE5068" i="5"/>
  <c r="AD5068" i="5"/>
  <c r="E5068" i="5"/>
  <c r="AE5067" i="5"/>
  <c r="AD5067" i="5"/>
  <c r="E5067" i="5"/>
  <c r="AE5066" i="5"/>
  <c r="AD5066" i="5"/>
  <c r="E5066" i="5"/>
  <c r="AE5065" i="5"/>
  <c r="AD5065" i="5"/>
  <c r="E5065" i="5"/>
  <c r="AE5064" i="5"/>
  <c r="AD5064" i="5"/>
  <c r="E5064" i="5"/>
  <c r="AE5063" i="5"/>
  <c r="AD5063" i="5"/>
  <c r="E5063" i="5"/>
  <c r="AE5062" i="5"/>
  <c r="AD5062" i="5"/>
  <c r="E5062" i="5"/>
  <c r="AE5061" i="5"/>
  <c r="AD5061" i="5"/>
  <c r="E5061" i="5"/>
  <c r="AE5060" i="5"/>
  <c r="AD5060" i="5"/>
  <c r="E5060" i="5"/>
  <c r="AE5059" i="5"/>
  <c r="AD5059" i="5"/>
  <c r="E5059" i="5"/>
  <c r="AE5058" i="5"/>
  <c r="AD5058" i="5"/>
  <c r="E5058" i="5"/>
  <c r="AE5057" i="5"/>
  <c r="AD5057" i="5"/>
  <c r="E5057" i="5"/>
  <c r="AE5056" i="5"/>
  <c r="AD5056" i="5"/>
  <c r="E5056" i="5"/>
  <c r="AE5055" i="5"/>
  <c r="AD5055" i="5"/>
  <c r="E5055" i="5"/>
  <c r="AE5054" i="5"/>
  <c r="AD5054" i="5"/>
  <c r="E5054" i="5"/>
  <c r="AE5053" i="5"/>
  <c r="AD5053" i="5"/>
  <c r="E5053" i="5"/>
  <c r="AE5052" i="5"/>
  <c r="AD5052" i="5"/>
  <c r="E5052" i="5"/>
  <c r="AE5051" i="5"/>
  <c r="AD5051" i="5"/>
  <c r="E5051" i="5"/>
  <c r="AE5050" i="5"/>
  <c r="AD5050" i="5"/>
  <c r="E5050" i="5"/>
  <c r="AE5049" i="5"/>
  <c r="AD5049" i="5"/>
  <c r="E5049" i="5"/>
  <c r="AE5048" i="5"/>
  <c r="AD5048" i="5"/>
  <c r="E5048" i="5"/>
  <c r="AE5047" i="5"/>
  <c r="AD5047" i="5"/>
  <c r="E5047" i="5"/>
  <c r="AE5046" i="5"/>
  <c r="AD5046" i="5"/>
  <c r="E5046" i="5"/>
  <c r="AE5045" i="5"/>
  <c r="AD5045" i="5"/>
  <c r="E5045" i="5"/>
  <c r="AE5044" i="5"/>
  <c r="AD5044" i="5"/>
  <c r="E5044" i="5"/>
  <c r="AE5043" i="5"/>
  <c r="AD5043" i="5"/>
  <c r="E5043" i="5"/>
  <c r="AE5042" i="5"/>
  <c r="AD5042" i="5"/>
  <c r="E5042" i="5"/>
  <c r="AE5041" i="5"/>
  <c r="AD5041" i="5"/>
  <c r="E5041" i="5"/>
  <c r="AE5040" i="5"/>
  <c r="AD5040" i="5"/>
  <c r="E5040" i="5"/>
  <c r="AE5039" i="5"/>
  <c r="AD5039" i="5"/>
  <c r="E5039" i="5"/>
  <c r="AE5038" i="5"/>
  <c r="AD5038" i="5"/>
  <c r="E5038" i="5"/>
  <c r="AE5037" i="5"/>
  <c r="AD5037" i="5"/>
  <c r="E5037" i="5"/>
  <c r="AE5036" i="5"/>
  <c r="AD5036" i="5"/>
  <c r="E5036" i="5"/>
  <c r="AE5035" i="5"/>
  <c r="AD5035" i="5"/>
  <c r="E5035" i="5"/>
  <c r="AE5034" i="5"/>
  <c r="AD5034" i="5"/>
  <c r="E5034" i="5"/>
  <c r="AE5033" i="5"/>
  <c r="AD5033" i="5"/>
  <c r="E5033" i="5"/>
  <c r="AE5032" i="5"/>
  <c r="AD5032" i="5"/>
  <c r="E5032" i="5"/>
  <c r="AE5031" i="5"/>
  <c r="AD5031" i="5"/>
  <c r="E5031" i="5"/>
  <c r="AE5030" i="5"/>
  <c r="AD5030" i="5"/>
  <c r="E5030" i="5"/>
  <c r="AE5029" i="5"/>
  <c r="AD5029" i="5"/>
  <c r="E5029" i="5"/>
  <c r="AE5028" i="5"/>
  <c r="AD5028" i="5"/>
  <c r="E5028" i="5"/>
  <c r="AE5027" i="5"/>
  <c r="AD5027" i="5"/>
  <c r="E5027" i="5"/>
  <c r="AE5026" i="5"/>
  <c r="AD5026" i="5"/>
  <c r="E5026" i="5"/>
  <c r="AE5025" i="5"/>
  <c r="AD5025" i="5"/>
  <c r="E5025" i="5"/>
  <c r="AE5024" i="5"/>
  <c r="AD5024" i="5"/>
  <c r="E5024" i="5"/>
  <c r="AE5023" i="5"/>
  <c r="AD5023" i="5"/>
  <c r="E5023" i="5"/>
  <c r="AE5022" i="5"/>
  <c r="AD5022" i="5"/>
  <c r="E5022" i="5"/>
  <c r="AE5021" i="5"/>
  <c r="AD5021" i="5"/>
  <c r="E5021" i="5"/>
  <c r="AE5020" i="5"/>
  <c r="AD5020" i="5"/>
  <c r="E5020" i="5"/>
  <c r="AE5019" i="5"/>
  <c r="AD5019" i="5"/>
  <c r="E5019" i="5"/>
  <c r="AE5018" i="5"/>
  <c r="AD5018" i="5"/>
  <c r="E5018" i="5"/>
  <c r="AE5017" i="5"/>
  <c r="AD5017" i="5"/>
  <c r="E5017" i="5"/>
  <c r="AE5016" i="5"/>
  <c r="AD5016" i="5"/>
  <c r="E5016" i="5"/>
  <c r="AE5015" i="5"/>
  <c r="AD5015" i="5"/>
  <c r="E5015" i="5"/>
  <c r="AE5014" i="5"/>
  <c r="AD5014" i="5"/>
  <c r="E5014" i="5"/>
  <c r="AE5013" i="5"/>
  <c r="AD5013" i="5"/>
  <c r="E5013" i="5"/>
  <c r="AE5012" i="5"/>
  <c r="AD5012" i="5"/>
  <c r="E5012" i="5"/>
  <c r="AE5011" i="5"/>
  <c r="AD5011" i="5"/>
  <c r="E5011" i="5"/>
  <c r="AE5010" i="5"/>
  <c r="AD5010" i="5"/>
  <c r="E5010" i="5"/>
  <c r="AE5009" i="5"/>
  <c r="AD5009" i="5"/>
  <c r="E5009" i="5"/>
  <c r="AE5008" i="5"/>
  <c r="AD5008" i="5"/>
  <c r="E5008" i="5"/>
  <c r="AE5007" i="5"/>
  <c r="AD5007" i="5"/>
  <c r="E5007" i="5"/>
  <c r="AE5006" i="5"/>
  <c r="AD5006" i="5"/>
  <c r="E5006" i="5"/>
  <c r="AE5005" i="5"/>
  <c r="AD5005" i="5"/>
  <c r="E5005" i="5"/>
  <c r="AE5004" i="5"/>
  <c r="AD5004" i="5"/>
  <c r="E5004" i="5"/>
  <c r="AE5003" i="5"/>
  <c r="AD5003" i="5"/>
  <c r="E5003" i="5"/>
  <c r="AE5002" i="5"/>
  <c r="AD5002" i="5"/>
  <c r="E5002" i="5"/>
  <c r="AE5001" i="5"/>
  <c r="AD5001" i="5"/>
  <c r="E5001" i="5"/>
  <c r="AE5000" i="5"/>
  <c r="AD5000" i="5"/>
  <c r="E5000" i="5"/>
  <c r="AE4999" i="5"/>
  <c r="AD4999" i="5"/>
  <c r="E4999" i="5"/>
  <c r="AE4998" i="5"/>
  <c r="AD4998" i="5"/>
  <c r="E4998" i="5"/>
  <c r="AE4997" i="5"/>
  <c r="AD4997" i="5"/>
  <c r="E4997" i="5"/>
  <c r="AE4996" i="5"/>
  <c r="AD4996" i="5"/>
  <c r="E4996" i="5"/>
  <c r="AE4995" i="5"/>
  <c r="AD4995" i="5"/>
  <c r="E4995" i="5"/>
  <c r="AE4994" i="5"/>
  <c r="AD4994" i="5"/>
  <c r="E4994" i="5"/>
  <c r="AE4993" i="5"/>
  <c r="AD4993" i="5"/>
  <c r="E4993" i="5"/>
  <c r="AE4992" i="5"/>
  <c r="AD4992" i="5"/>
  <c r="E4992" i="5"/>
  <c r="AE4991" i="5"/>
  <c r="AD4991" i="5"/>
  <c r="E4991" i="5"/>
  <c r="AE4990" i="5"/>
  <c r="AD4990" i="5"/>
  <c r="E4990" i="5"/>
  <c r="AE4989" i="5"/>
  <c r="AD4989" i="5"/>
  <c r="E4989" i="5"/>
  <c r="AE4988" i="5"/>
  <c r="AD4988" i="5"/>
  <c r="E4988" i="5"/>
  <c r="AE4987" i="5"/>
  <c r="AD4987" i="5"/>
  <c r="E4987" i="5"/>
  <c r="AE4986" i="5"/>
  <c r="AD4986" i="5"/>
  <c r="E4986" i="5"/>
  <c r="AE4985" i="5"/>
  <c r="AD4985" i="5"/>
  <c r="E4985" i="5"/>
  <c r="AE4984" i="5"/>
  <c r="AD4984" i="5"/>
  <c r="E4984" i="5"/>
  <c r="AE4983" i="5"/>
  <c r="AD4983" i="5"/>
  <c r="E4983" i="5"/>
  <c r="AE4982" i="5"/>
  <c r="AD4982" i="5"/>
  <c r="E4982" i="5"/>
  <c r="AE4981" i="5"/>
  <c r="AD4981" i="5"/>
  <c r="E4981" i="5"/>
  <c r="AE4980" i="5"/>
  <c r="AD4980" i="5"/>
  <c r="E4980" i="5"/>
  <c r="AE4979" i="5"/>
  <c r="AD4979" i="5"/>
  <c r="E4979" i="5"/>
  <c r="AE4978" i="5"/>
  <c r="AD4978" i="5"/>
  <c r="E4978" i="5"/>
  <c r="AE4977" i="5"/>
  <c r="AD4977" i="5"/>
  <c r="E4977" i="5"/>
  <c r="AE4976" i="5"/>
  <c r="AD4976" i="5"/>
  <c r="E4976" i="5"/>
  <c r="AE4975" i="5"/>
  <c r="AD4975" i="5"/>
  <c r="E4975" i="5"/>
  <c r="AE4974" i="5"/>
  <c r="AD4974" i="5"/>
  <c r="E4974" i="5"/>
  <c r="AE4973" i="5"/>
  <c r="AD4973" i="5"/>
  <c r="E4973" i="5"/>
  <c r="AE4972" i="5"/>
  <c r="AD4972" i="5"/>
  <c r="E4972" i="5"/>
  <c r="AE4971" i="5"/>
  <c r="AD4971" i="5"/>
  <c r="E4971" i="5"/>
  <c r="AE4970" i="5"/>
  <c r="AD4970" i="5"/>
  <c r="E4970" i="5"/>
  <c r="AE4969" i="5"/>
  <c r="AD4969" i="5"/>
  <c r="E4969" i="5"/>
  <c r="AE4968" i="5"/>
  <c r="AD4968" i="5"/>
  <c r="E4968" i="5"/>
  <c r="AE4967" i="5"/>
  <c r="AD4967" i="5"/>
  <c r="E4967" i="5"/>
  <c r="AE4966" i="5"/>
  <c r="AD4966" i="5"/>
  <c r="E4966" i="5"/>
  <c r="AE4965" i="5"/>
  <c r="AD4965" i="5"/>
  <c r="E4965" i="5"/>
  <c r="AE4964" i="5"/>
  <c r="AD4964" i="5"/>
  <c r="E4964" i="5"/>
  <c r="AE4963" i="5"/>
  <c r="AD4963" i="5"/>
  <c r="E4963" i="5"/>
  <c r="AE4962" i="5"/>
  <c r="AD4962" i="5"/>
  <c r="E4962" i="5"/>
  <c r="AE4961" i="5"/>
  <c r="AD4961" i="5"/>
  <c r="E4961" i="5"/>
  <c r="AE4960" i="5"/>
  <c r="AD4960" i="5"/>
  <c r="E4960" i="5"/>
  <c r="AE4959" i="5"/>
  <c r="AD4959" i="5"/>
  <c r="E4959" i="5"/>
  <c r="AE4958" i="5"/>
  <c r="AD4958" i="5"/>
  <c r="E4958" i="5"/>
  <c r="AE4957" i="5"/>
  <c r="AD4957" i="5"/>
  <c r="E4957" i="5"/>
  <c r="AE4956" i="5"/>
  <c r="AD4956" i="5"/>
  <c r="E4956" i="5"/>
  <c r="AE4955" i="5"/>
  <c r="AD4955" i="5"/>
  <c r="E4955" i="5"/>
  <c r="AE4954" i="5"/>
  <c r="AD4954" i="5"/>
  <c r="E4954" i="5"/>
  <c r="AE4953" i="5"/>
  <c r="AD4953" i="5"/>
  <c r="E4953" i="5"/>
  <c r="AE4952" i="5"/>
  <c r="AD4952" i="5"/>
  <c r="E4952" i="5"/>
  <c r="AE4951" i="5"/>
  <c r="AD4951" i="5"/>
  <c r="E4951" i="5"/>
  <c r="AE4950" i="5"/>
  <c r="AD4950" i="5"/>
  <c r="E4950" i="5"/>
  <c r="AE4949" i="5"/>
  <c r="AD4949" i="5"/>
  <c r="E4949" i="5"/>
  <c r="AE4948" i="5"/>
  <c r="AD4948" i="5"/>
  <c r="E4948" i="5"/>
  <c r="AE4947" i="5"/>
  <c r="AD4947" i="5"/>
  <c r="E4947" i="5"/>
  <c r="AE4946" i="5"/>
  <c r="AD4946" i="5"/>
  <c r="E4946" i="5"/>
  <c r="AE4945" i="5"/>
  <c r="AD4945" i="5"/>
  <c r="E4945" i="5"/>
  <c r="AE4944" i="5"/>
  <c r="AD4944" i="5"/>
  <c r="E4944" i="5"/>
  <c r="AE4943" i="5"/>
  <c r="AD4943" i="5"/>
  <c r="E4943" i="5"/>
  <c r="AE4942" i="5"/>
  <c r="AD4942" i="5"/>
  <c r="E4942" i="5"/>
  <c r="AE4941" i="5"/>
  <c r="AD4941" i="5"/>
  <c r="E4941" i="5"/>
  <c r="AE4940" i="5"/>
  <c r="AD4940" i="5"/>
  <c r="E4940" i="5"/>
  <c r="AE4939" i="5"/>
  <c r="AD4939" i="5"/>
  <c r="E4939" i="5"/>
  <c r="AE4938" i="5"/>
  <c r="AD4938" i="5"/>
  <c r="E4938" i="5"/>
  <c r="AE4937" i="5"/>
  <c r="AD4937" i="5"/>
  <c r="E4937" i="5"/>
  <c r="AE4936" i="5"/>
  <c r="AD4936" i="5"/>
  <c r="E4936" i="5"/>
  <c r="AE4935" i="5"/>
  <c r="AD4935" i="5"/>
  <c r="E4935" i="5"/>
  <c r="AE4934" i="5"/>
  <c r="AD4934" i="5"/>
  <c r="E4934" i="5"/>
  <c r="AE4933" i="5"/>
  <c r="AD4933" i="5"/>
  <c r="E4933" i="5"/>
  <c r="AE4932" i="5"/>
  <c r="AD4932" i="5"/>
  <c r="E4932" i="5"/>
  <c r="AE4931" i="5"/>
  <c r="AD4931" i="5"/>
  <c r="E4931" i="5"/>
  <c r="AE4930" i="5"/>
  <c r="AD4930" i="5"/>
  <c r="E4930" i="5"/>
  <c r="AE4929" i="5"/>
  <c r="AD4929" i="5"/>
  <c r="E4929" i="5"/>
  <c r="AE4928" i="5"/>
  <c r="AD4928" i="5"/>
  <c r="E4928" i="5"/>
  <c r="AE4927" i="5"/>
  <c r="AD4927" i="5"/>
  <c r="E4927" i="5"/>
  <c r="AE4926" i="5"/>
  <c r="AD4926" i="5"/>
  <c r="E4926" i="5"/>
  <c r="AE4925" i="5"/>
  <c r="AD4925" i="5"/>
  <c r="E4925" i="5"/>
  <c r="AE4924" i="5"/>
  <c r="AD4924" i="5"/>
  <c r="E4924" i="5"/>
  <c r="AE4923" i="5"/>
  <c r="AD4923" i="5"/>
  <c r="E4923" i="5"/>
  <c r="AE4922" i="5"/>
  <c r="AD4922" i="5"/>
  <c r="E4922" i="5"/>
  <c r="AE4921" i="5"/>
  <c r="AD4921" i="5"/>
  <c r="E4921" i="5"/>
  <c r="AE4920" i="5"/>
  <c r="AD4920" i="5"/>
  <c r="E4920" i="5"/>
  <c r="AE4919" i="5"/>
  <c r="AD4919" i="5"/>
  <c r="E4919" i="5"/>
  <c r="AE4918" i="5"/>
  <c r="AD4918" i="5"/>
  <c r="E4918" i="5"/>
  <c r="AE4917" i="5"/>
  <c r="AD4917" i="5"/>
  <c r="E4917" i="5"/>
  <c r="AE4916" i="5"/>
  <c r="AD4916" i="5"/>
  <c r="E4916" i="5"/>
  <c r="AE4915" i="5"/>
  <c r="AD4915" i="5"/>
  <c r="E4915" i="5"/>
  <c r="AE4914" i="5"/>
  <c r="AD4914" i="5"/>
  <c r="E4914" i="5"/>
  <c r="AE4913" i="5"/>
  <c r="AD4913" i="5"/>
  <c r="E4913" i="5"/>
  <c r="AE4912" i="5"/>
  <c r="AD4912" i="5"/>
  <c r="E4912" i="5"/>
  <c r="AE4911" i="5"/>
  <c r="AD4911" i="5"/>
  <c r="E4911" i="5"/>
  <c r="AE4910" i="5"/>
  <c r="AD4910" i="5"/>
  <c r="E4910" i="5"/>
  <c r="AE4909" i="5"/>
  <c r="AD4909" i="5"/>
  <c r="E4909" i="5"/>
  <c r="AE4908" i="5"/>
  <c r="AD4908" i="5"/>
  <c r="E4908" i="5"/>
  <c r="AE4907" i="5"/>
  <c r="AD4907" i="5"/>
  <c r="E4907" i="5"/>
  <c r="AE4906" i="5"/>
  <c r="AD4906" i="5"/>
  <c r="E4906" i="5"/>
  <c r="AE4905" i="5"/>
  <c r="AD4905" i="5"/>
  <c r="E4905" i="5"/>
  <c r="AE4904" i="5"/>
  <c r="AD4904" i="5"/>
  <c r="E4904" i="5"/>
  <c r="AE4903" i="5"/>
  <c r="AD4903" i="5"/>
  <c r="E4903" i="5"/>
  <c r="AE4902" i="5"/>
  <c r="AD4902" i="5"/>
  <c r="E4902" i="5"/>
  <c r="AE4901" i="5"/>
  <c r="AD4901" i="5"/>
  <c r="E4901" i="5"/>
  <c r="AE4900" i="5"/>
  <c r="AD4900" i="5"/>
  <c r="E4900" i="5"/>
  <c r="AE4899" i="5"/>
  <c r="AD4899" i="5"/>
  <c r="E4899" i="5"/>
  <c r="AE4898" i="5"/>
  <c r="AD4898" i="5"/>
  <c r="E4898" i="5"/>
  <c r="AE4897" i="5"/>
  <c r="AD4897" i="5"/>
  <c r="E4897" i="5"/>
  <c r="AE4896" i="5"/>
  <c r="AD4896" i="5"/>
  <c r="E4896" i="5"/>
  <c r="AE4895" i="5"/>
  <c r="AD4895" i="5"/>
  <c r="E4895" i="5"/>
  <c r="AE4894" i="5"/>
  <c r="AD4894" i="5"/>
  <c r="E4894" i="5"/>
  <c r="AE4893" i="5"/>
  <c r="AD4893" i="5"/>
  <c r="E4893" i="5"/>
  <c r="AE4892" i="5"/>
  <c r="AD4892" i="5"/>
  <c r="E4892" i="5"/>
  <c r="AE4891" i="5"/>
  <c r="AD4891" i="5"/>
  <c r="E4891" i="5"/>
  <c r="AE4890" i="5"/>
  <c r="AD4890" i="5"/>
  <c r="E4890" i="5"/>
  <c r="AE4889" i="5"/>
  <c r="AD4889" i="5"/>
  <c r="E4889" i="5"/>
  <c r="AE4888" i="5"/>
  <c r="AD4888" i="5"/>
  <c r="E4888" i="5"/>
  <c r="AE4887" i="5"/>
  <c r="AD4887" i="5"/>
  <c r="E4887" i="5"/>
  <c r="AE4886" i="5"/>
  <c r="AD4886" i="5"/>
  <c r="E4886" i="5"/>
  <c r="AE4885" i="5"/>
  <c r="AD4885" i="5"/>
  <c r="E4885" i="5"/>
  <c r="AE4884" i="5"/>
  <c r="AD4884" i="5"/>
  <c r="E4884" i="5"/>
  <c r="AE4883" i="5"/>
  <c r="AD4883" i="5"/>
  <c r="E4883" i="5"/>
  <c r="AE4882" i="5"/>
  <c r="AD4882" i="5"/>
  <c r="E4882" i="5"/>
  <c r="AE4881" i="5"/>
  <c r="AD4881" i="5"/>
  <c r="E4881" i="5"/>
  <c r="AE4880" i="5"/>
  <c r="AD4880" i="5"/>
  <c r="E4880" i="5"/>
  <c r="AE4879" i="5"/>
  <c r="AD4879" i="5"/>
  <c r="E4879" i="5"/>
  <c r="AE4878" i="5"/>
  <c r="AD4878" i="5"/>
  <c r="E4878" i="5"/>
  <c r="AE4877" i="5"/>
  <c r="AD4877" i="5"/>
  <c r="E4877" i="5"/>
  <c r="AE4876" i="5"/>
  <c r="AD4876" i="5"/>
  <c r="E4876" i="5"/>
  <c r="AE4875" i="5"/>
  <c r="AD4875" i="5"/>
  <c r="E4875" i="5"/>
  <c r="AE4874" i="5"/>
  <c r="AD4874" i="5"/>
  <c r="E4874" i="5"/>
  <c r="AE4873" i="5"/>
  <c r="AD4873" i="5"/>
  <c r="E4873" i="5"/>
  <c r="AE4872" i="5"/>
  <c r="AD4872" i="5"/>
  <c r="E4872" i="5"/>
  <c r="AE4871" i="5"/>
  <c r="AD4871" i="5"/>
  <c r="E4871" i="5"/>
  <c r="AE4870" i="5"/>
  <c r="AD4870" i="5"/>
  <c r="E4870" i="5"/>
  <c r="AE4869" i="5"/>
  <c r="AD4869" i="5"/>
  <c r="E4869" i="5"/>
  <c r="AE4868" i="5"/>
  <c r="AD4868" i="5"/>
  <c r="E4868" i="5"/>
  <c r="AE4867" i="5"/>
  <c r="AD4867" i="5"/>
  <c r="E4867" i="5"/>
  <c r="AE4866" i="5"/>
  <c r="AD4866" i="5"/>
  <c r="E4866" i="5"/>
  <c r="AE4865" i="5"/>
  <c r="AD4865" i="5"/>
  <c r="E4865" i="5"/>
  <c r="AE4864" i="5"/>
  <c r="AD4864" i="5"/>
  <c r="E4864" i="5"/>
  <c r="AE4863" i="5"/>
  <c r="AD4863" i="5"/>
  <c r="E4863" i="5"/>
  <c r="AE4862" i="5"/>
  <c r="AD4862" i="5"/>
  <c r="E4862" i="5"/>
  <c r="AE4861" i="5"/>
  <c r="AD4861" i="5"/>
  <c r="E4861" i="5"/>
  <c r="AE4860" i="5"/>
  <c r="AD4860" i="5"/>
  <c r="E4860" i="5"/>
  <c r="AE4859" i="5"/>
  <c r="AD4859" i="5"/>
  <c r="E4859" i="5"/>
  <c r="AE4858" i="5"/>
  <c r="AD4858" i="5"/>
  <c r="E4858" i="5"/>
  <c r="AE4857" i="5"/>
  <c r="AD4857" i="5"/>
  <c r="E4857" i="5"/>
  <c r="AE4856" i="5"/>
  <c r="AD4856" i="5"/>
  <c r="E4856" i="5"/>
  <c r="AE4855" i="5"/>
  <c r="AD4855" i="5"/>
  <c r="E4855" i="5"/>
  <c r="AE4854" i="5"/>
  <c r="AD4854" i="5"/>
  <c r="E4854" i="5"/>
  <c r="AE4853" i="5"/>
  <c r="AD4853" i="5"/>
  <c r="E4853" i="5"/>
  <c r="AE4852" i="5"/>
  <c r="AD4852" i="5"/>
  <c r="E4852" i="5"/>
  <c r="AE4851" i="5"/>
  <c r="AD4851" i="5"/>
  <c r="E4851" i="5"/>
  <c r="AE4850" i="5"/>
  <c r="AD4850" i="5"/>
  <c r="E4850" i="5"/>
  <c r="AE4849" i="5"/>
  <c r="AD4849" i="5"/>
  <c r="E4849" i="5"/>
  <c r="AE4848" i="5"/>
  <c r="AD4848" i="5"/>
  <c r="E4848" i="5"/>
  <c r="AE4847" i="5"/>
  <c r="AD4847" i="5"/>
  <c r="E4847" i="5"/>
  <c r="AE4846" i="5"/>
  <c r="AD4846" i="5"/>
  <c r="E4846" i="5"/>
  <c r="AE4845" i="5"/>
  <c r="AD4845" i="5"/>
  <c r="E4845" i="5"/>
  <c r="AE4844" i="5"/>
  <c r="AD4844" i="5"/>
  <c r="E4844" i="5"/>
  <c r="AE4843" i="5"/>
  <c r="AD4843" i="5"/>
  <c r="E4843" i="5"/>
  <c r="AE4842" i="5"/>
  <c r="AD4842" i="5"/>
  <c r="E4842" i="5"/>
  <c r="AE4841" i="5"/>
  <c r="AD4841" i="5"/>
  <c r="E4841" i="5"/>
  <c r="AE4840" i="5"/>
  <c r="AD4840" i="5"/>
  <c r="E4840" i="5"/>
  <c r="AE4839" i="5"/>
  <c r="AD4839" i="5"/>
  <c r="E4839" i="5"/>
  <c r="AE4838" i="5"/>
  <c r="AD4838" i="5"/>
  <c r="E4838" i="5"/>
  <c r="AE4837" i="5"/>
  <c r="AD4837" i="5"/>
  <c r="E4837" i="5"/>
  <c r="AE4836" i="5"/>
  <c r="AD4836" i="5"/>
  <c r="E4836" i="5"/>
  <c r="AE4835" i="5"/>
  <c r="AD4835" i="5"/>
  <c r="E4835" i="5"/>
  <c r="AE4834" i="5"/>
  <c r="AD4834" i="5"/>
  <c r="E4834" i="5"/>
  <c r="AE4833" i="5"/>
  <c r="AD4833" i="5"/>
  <c r="E4833" i="5"/>
  <c r="AE4832" i="5"/>
  <c r="AD4832" i="5"/>
  <c r="E4832" i="5"/>
  <c r="AE4831" i="5"/>
  <c r="AD4831" i="5"/>
  <c r="E4831" i="5"/>
  <c r="AE4830" i="5"/>
  <c r="AD4830" i="5"/>
  <c r="E4830" i="5"/>
  <c r="AE4829" i="5"/>
  <c r="AD4829" i="5"/>
  <c r="E4829" i="5"/>
  <c r="AE4828" i="5"/>
  <c r="AD4828" i="5"/>
  <c r="E4828" i="5"/>
  <c r="AE4827" i="5"/>
  <c r="AD4827" i="5"/>
  <c r="E4827" i="5"/>
  <c r="AE4826" i="5"/>
  <c r="AD4826" i="5"/>
  <c r="E4826" i="5"/>
  <c r="AE4825" i="5"/>
  <c r="AD4825" i="5"/>
  <c r="E4825" i="5"/>
  <c r="AE4824" i="5"/>
  <c r="AD4824" i="5"/>
  <c r="E4824" i="5"/>
  <c r="AE4823" i="5"/>
  <c r="AD4823" i="5"/>
  <c r="E4823" i="5"/>
  <c r="AE4822" i="5"/>
  <c r="AD4822" i="5"/>
  <c r="E4822" i="5"/>
  <c r="AE4821" i="5"/>
  <c r="AD4821" i="5"/>
  <c r="E4821" i="5"/>
  <c r="AE4820" i="5"/>
  <c r="AD4820" i="5"/>
  <c r="E4820" i="5"/>
  <c r="AE4819" i="5"/>
  <c r="AD4819" i="5"/>
  <c r="E4819" i="5"/>
  <c r="AE4818" i="5"/>
  <c r="AD4818" i="5"/>
  <c r="E4818" i="5"/>
  <c r="AE4817" i="5"/>
  <c r="AD4817" i="5"/>
  <c r="E4817" i="5"/>
  <c r="AE4816" i="5"/>
  <c r="AD4816" i="5"/>
  <c r="E4816" i="5"/>
  <c r="AE4815" i="5"/>
  <c r="AD4815" i="5"/>
  <c r="E4815" i="5"/>
  <c r="AE4814" i="5"/>
  <c r="AD4814" i="5"/>
  <c r="E4814" i="5"/>
  <c r="AE4813" i="5"/>
  <c r="AD4813" i="5"/>
  <c r="E4813" i="5"/>
  <c r="AE4812" i="5"/>
  <c r="AD4812" i="5"/>
  <c r="E4812" i="5"/>
  <c r="AE4811" i="5"/>
  <c r="AD4811" i="5"/>
  <c r="E4811" i="5"/>
  <c r="AE4810" i="5"/>
  <c r="AD4810" i="5"/>
  <c r="E4810" i="5"/>
  <c r="AE4809" i="5"/>
  <c r="AD4809" i="5"/>
  <c r="E4809" i="5"/>
  <c r="AE4808" i="5"/>
  <c r="AD4808" i="5"/>
  <c r="E4808" i="5"/>
  <c r="AE4807" i="5"/>
  <c r="AD4807" i="5"/>
  <c r="E4807" i="5"/>
  <c r="AE4806" i="5"/>
  <c r="AD4806" i="5"/>
  <c r="E4806" i="5"/>
  <c r="AE4805" i="5"/>
  <c r="AD4805" i="5"/>
  <c r="E4805" i="5"/>
  <c r="AE4804" i="5"/>
  <c r="AD4804" i="5"/>
  <c r="E4804" i="5"/>
  <c r="AE4803" i="5"/>
  <c r="AD4803" i="5"/>
  <c r="E4803" i="5"/>
  <c r="AE4802" i="5"/>
  <c r="AD4802" i="5"/>
  <c r="E4802" i="5"/>
  <c r="AE4801" i="5"/>
  <c r="AD4801" i="5"/>
  <c r="E4801" i="5"/>
  <c r="AE4800" i="5"/>
  <c r="AD4800" i="5"/>
  <c r="E4800" i="5"/>
  <c r="AE4799" i="5"/>
  <c r="AD4799" i="5"/>
  <c r="E4799" i="5"/>
  <c r="AE4798" i="5"/>
  <c r="AD4798" i="5"/>
  <c r="E4798" i="5"/>
  <c r="AE4797" i="5"/>
  <c r="AD4797" i="5"/>
  <c r="E4797" i="5"/>
  <c r="AE4796" i="5"/>
  <c r="AD4796" i="5"/>
  <c r="E4796" i="5"/>
  <c r="AE4795" i="5"/>
  <c r="AD4795" i="5"/>
  <c r="E4795" i="5"/>
  <c r="AE4794" i="5"/>
  <c r="AD4794" i="5"/>
  <c r="E4794" i="5"/>
  <c r="AE4793" i="5"/>
  <c r="AD4793" i="5"/>
  <c r="E4793" i="5"/>
  <c r="AE4792" i="5"/>
  <c r="AD4792" i="5"/>
  <c r="E4792" i="5"/>
  <c r="AE4791" i="5"/>
  <c r="AD4791" i="5"/>
  <c r="E4791" i="5"/>
  <c r="AE4790" i="5"/>
  <c r="AD4790" i="5"/>
  <c r="E4790" i="5"/>
  <c r="AE4789" i="5"/>
  <c r="AD4789" i="5"/>
  <c r="E4789" i="5"/>
  <c r="AE4788" i="5"/>
  <c r="AD4788" i="5"/>
  <c r="E4788" i="5"/>
  <c r="AE4787" i="5"/>
  <c r="AD4787" i="5"/>
  <c r="E4787" i="5"/>
  <c r="AE4786" i="5"/>
  <c r="AD4786" i="5"/>
  <c r="E4786" i="5"/>
  <c r="AE4785" i="5"/>
  <c r="AD4785" i="5"/>
  <c r="E4785" i="5"/>
  <c r="AE4784" i="5"/>
  <c r="AD4784" i="5"/>
  <c r="E4784" i="5"/>
  <c r="AE4783" i="5"/>
  <c r="AD4783" i="5"/>
  <c r="E4783" i="5"/>
  <c r="AE4782" i="5"/>
  <c r="AD4782" i="5"/>
  <c r="E4782" i="5"/>
  <c r="AE4781" i="5"/>
  <c r="AD4781" i="5"/>
  <c r="E4781" i="5"/>
  <c r="AE4780" i="5"/>
  <c r="AD4780" i="5"/>
  <c r="E4780" i="5"/>
  <c r="AE4779" i="5"/>
  <c r="AD4779" i="5"/>
  <c r="E4779" i="5"/>
  <c r="AE4778" i="5"/>
  <c r="AD4778" i="5"/>
  <c r="E4778" i="5"/>
  <c r="AE4777" i="5"/>
  <c r="AD4777" i="5"/>
  <c r="E4777" i="5"/>
  <c r="AE4776" i="5"/>
  <c r="AD4776" i="5"/>
  <c r="E4776" i="5"/>
  <c r="AE4775" i="5"/>
  <c r="AD4775" i="5"/>
  <c r="E4775" i="5"/>
  <c r="AE4774" i="5"/>
  <c r="AD4774" i="5"/>
  <c r="E4774" i="5"/>
  <c r="AE4773" i="5"/>
  <c r="AD4773" i="5"/>
  <c r="E4773" i="5"/>
  <c r="AE4772" i="5"/>
  <c r="AD4772" i="5"/>
  <c r="E4772" i="5"/>
  <c r="AE4771" i="5"/>
  <c r="AD4771" i="5"/>
  <c r="E4771" i="5"/>
  <c r="AE4770" i="5"/>
  <c r="AD4770" i="5"/>
  <c r="E4770" i="5"/>
  <c r="AE4769" i="5"/>
  <c r="AD4769" i="5"/>
  <c r="E4769" i="5"/>
  <c r="AE4768" i="5"/>
  <c r="AD4768" i="5"/>
  <c r="E4768" i="5"/>
  <c r="AE4767" i="5"/>
  <c r="AD4767" i="5"/>
  <c r="E4767" i="5"/>
  <c r="AE4766" i="5"/>
  <c r="AD4766" i="5"/>
  <c r="E4766" i="5"/>
  <c r="AE4765" i="5"/>
  <c r="AD4765" i="5"/>
  <c r="E4765" i="5"/>
  <c r="AE4764" i="5"/>
  <c r="AD4764" i="5"/>
  <c r="E4764" i="5"/>
  <c r="AE4763" i="5"/>
  <c r="AD4763" i="5"/>
  <c r="E4763" i="5"/>
  <c r="AE4762" i="5"/>
  <c r="AD4762" i="5"/>
  <c r="E4762" i="5"/>
  <c r="AE4761" i="5"/>
  <c r="AD4761" i="5"/>
  <c r="E4761" i="5"/>
  <c r="AE4760" i="5"/>
  <c r="AD4760" i="5"/>
  <c r="E4760" i="5"/>
  <c r="AE4759" i="5"/>
  <c r="AD4759" i="5"/>
  <c r="E4759" i="5"/>
  <c r="AE4758" i="5"/>
  <c r="AD4758" i="5"/>
  <c r="E4758" i="5"/>
  <c r="AE4757" i="5"/>
  <c r="AD4757" i="5"/>
  <c r="E4757" i="5"/>
  <c r="AE4756" i="5"/>
  <c r="AD4756" i="5"/>
  <c r="E4756" i="5"/>
  <c r="AE4755" i="5"/>
  <c r="AD4755" i="5"/>
  <c r="E4755" i="5"/>
  <c r="AE4754" i="5"/>
  <c r="AD4754" i="5"/>
  <c r="E4754" i="5"/>
  <c r="AE4753" i="5"/>
  <c r="AD4753" i="5"/>
  <c r="E4753" i="5"/>
  <c r="AE4752" i="5"/>
  <c r="AD4752" i="5"/>
  <c r="E4752" i="5"/>
  <c r="AE4751" i="5"/>
  <c r="AD4751" i="5"/>
  <c r="E4751" i="5"/>
  <c r="AE4750" i="5"/>
  <c r="AD4750" i="5"/>
  <c r="E4750" i="5"/>
  <c r="AE4749" i="5"/>
  <c r="AD4749" i="5"/>
  <c r="E4749" i="5"/>
  <c r="AE4748" i="5"/>
  <c r="AD4748" i="5"/>
  <c r="E4748" i="5"/>
  <c r="AE4747" i="5"/>
  <c r="AD4747" i="5"/>
  <c r="E4747" i="5"/>
  <c r="AE4746" i="5"/>
  <c r="AD4746" i="5"/>
  <c r="E4746" i="5"/>
  <c r="AE4745" i="5"/>
  <c r="AD4745" i="5"/>
  <c r="E4745" i="5"/>
  <c r="AE4744" i="5"/>
  <c r="AD4744" i="5"/>
  <c r="E4744" i="5"/>
  <c r="AE4743" i="5"/>
  <c r="AD4743" i="5"/>
  <c r="E4743" i="5"/>
  <c r="AE4742" i="5"/>
  <c r="AD4742" i="5"/>
  <c r="E4742" i="5"/>
  <c r="AE4741" i="5"/>
  <c r="AD4741" i="5"/>
  <c r="E4741" i="5"/>
  <c r="AE4740" i="5"/>
  <c r="AD4740" i="5"/>
  <c r="E4740" i="5"/>
  <c r="AE4739" i="5"/>
  <c r="AD4739" i="5"/>
  <c r="E4739" i="5"/>
  <c r="AE4738" i="5"/>
  <c r="AD4738" i="5"/>
  <c r="E4738" i="5"/>
  <c r="AE4737" i="5"/>
  <c r="AD4737" i="5"/>
  <c r="E4737" i="5"/>
  <c r="AE4736" i="5"/>
  <c r="AD4736" i="5"/>
  <c r="E4736" i="5"/>
  <c r="AE4735" i="5"/>
  <c r="AD4735" i="5"/>
  <c r="E4735" i="5"/>
  <c r="AE4734" i="5"/>
  <c r="AD4734" i="5"/>
  <c r="E4734" i="5"/>
  <c r="AE4733" i="5"/>
  <c r="AD4733" i="5"/>
  <c r="E4733" i="5"/>
  <c r="AE4732" i="5"/>
  <c r="AD4732" i="5"/>
  <c r="E4732" i="5"/>
  <c r="AE4731" i="5"/>
  <c r="AD4731" i="5"/>
  <c r="E4731" i="5"/>
  <c r="AE4730" i="5"/>
  <c r="AD4730" i="5"/>
  <c r="E4730" i="5"/>
  <c r="AE4729" i="5"/>
  <c r="AD4729" i="5"/>
  <c r="E4729" i="5"/>
  <c r="AE4728" i="5"/>
  <c r="AD4728" i="5"/>
  <c r="E4728" i="5"/>
  <c r="AE4727" i="5"/>
  <c r="AD4727" i="5"/>
  <c r="E4727" i="5"/>
  <c r="AE4726" i="5"/>
  <c r="AD4726" i="5"/>
  <c r="E4726" i="5"/>
  <c r="AE4725" i="5"/>
  <c r="AD4725" i="5"/>
  <c r="E4725" i="5"/>
  <c r="AE4724" i="5"/>
  <c r="AD4724" i="5"/>
  <c r="E4724" i="5"/>
  <c r="AE4723" i="5"/>
  <c r="AD4723" i="5"/>
  <c r="E4723" i="5"/>
  <c r="AE4722" i="5"/>
  <c r="AD4722" i="5"/>
  <c r="E4722" i="5"/>
  <c r="AE4721" i="5"/>
  <c r="AD4721" i="5"/>
  <c r="E4721" i="5"/>
  <c r="AE4720" i="5"/>
  <c r="AD4720" i="5"/>
  <c r="E4720" i="5"/>
  <c r="AE4719" i="5"/>
  <c r="AD4719" i="5"/>
  <c r="E4719" i="5"/>
  <c r="AE4718" i="5"/>
  <c r="AD4718" i="5"/>
  <c r="E4718" i="5"/>
  <c r="AE4717" i="5"/>
  <c r="AD4717" i="5"/>
  <c r="E4717" i="5"/>
  <c r="AE4716" i="5"/>
  <c r="AD4716" i="5"/>
  <c r="E4716" i="5"/>
  <c r="AE4715" i="5"/>
  <c r="AD4715" i="5"/>
  <c r="E4715" i="5"/>
  <c r="AE4714" i="5"/>
  <c r="AD4714" i="5"/>
  <c r="E4714" i="5"/>
  <c r="AE4713" i="5"/>
  <c r="AD4713" i="5"/>
  <c r="E4713" i="5"/>
  <c r="AE4712" i="5"/>
  <c r="AD4712" i="5"/>
  <c r="E4712" i="5"/>
  <c r="AE4711" i="5"/>
  <c r="AD4711" i="5"/>
  <c r="E4711" i="5"/>
  <c r="AE4710" i="5"/>
  <c r="AD4710" i="5"/>
  <c r="E4710" i="5"/>
  <c r="AE4709" i="5"/>
  <c r="AD4709" i="5"/>
  <c r="E4709" i="5"/>
  <c r="AE4708" i="5"/>
  <c r="AD4708" i="5"/>
  <c r="E4708" i="5"/>
  <c r="AE4707" i="5"/>
  <c r="AD4707" i="5"/>
  <c r="E4707" i="5"/>
  <c r="AE4706" i="5"/>
  <c r="AD4706" i="5"/>
  <c r="E4706" i="5"/>
  <c r="AE4705" i="5"/>
  <c r="AD4705" i="5"/>
  <c r="E4705" i="5"/>
  <c r="AE4704" i="5"/>
  <c r="AD4704" i="5"/>
  <c r="E4704" i="5"/>
  <c r="AE4703" i="5"/>
  <c r="AD4703" i="5"/>
  <c r="E4703" i="5"/>
  <c r="AE4702" i="5"/>
  <c r="AD4702" i="5"/>
  <c r="E4702" i="5"/>
  <c r="AE4701" i="5"/>
  <c r="AD4701" i="5"/>
  <c r="E4701" i="5"/>
  <c r="AE4700" i="5"/>
  <c r="AD4700" i="5"/>
  <c r="E4700" i="5"/>
  <c r="AE4699" i="5"/>
  <c r="AD4699" i="5"/>
  <c r="E4699" i="5"/>
  <c r="AE4698" i="5"/>
  <c r="AD4698" i="5"/>
  <c r="E4698" i="5"/>
  <c r="AE4697" i="5"/>
  <c r="AD4697" i="5"/>
  <c r="E4697" i="5"/>
  <c r="AE4696" i="5"/>
  <c r="AD4696" i="5"/>
  <c r="E4696" i="5"/>
  <c r="AE4695" i="5"/>
  <c r="AD4695" i="5"/>
  <c r="E4695" i="5"/>
  <c r="AE4694" i="5"/>
  <c r="AD4694" i="5"/>
  <c r="E4694" i="5"/>
  <c r="AE4693" i="5"/>
  <c r="AD4693" i="5"/>
  <c r="E4693" i="5"/>
  <c r="AE4692" i="5"/>
  <c r="AD4692" i="5"/>
  <c r="E4692" i="5"/>
  <c r="AE4691" i="5"/>
  <c r="AD4691" i="5"/>
  <c r="E4691" i="5"/>
  <c r="AE4690" i="5"/>
  <c r="AD4690" i="5"/>
  <c r="E4690" i="5"/>
  <c r="AE4689" i="5"/>
  <c r="AD4689" i="5"/>
  <c r="E4689" i="5"/>
  <c r="AE4688" i="5"/>
  <c r="AD4688" i="5"/>
  <c r="E4688" i="5"/>
  <c r="AE4687" i="5"/>
  <c r="AD4687" i="5"/>
  <c r="E4687" i="5"/>
  <c r="AE4686" i="5"/>
  <c r="AD4686" i="5"/>
  <c r="E4686" i="5"/>
  <c r="AE4685" i="5"/>
  <c r="AD4685" i="5"/>
  <c r="E4685" i="5"/>
  <c r="AE4684" i="5"/>
  <c r="AD4684" i="5"/>
  <c r="E4684" i="5"/>
  <c r="AE4683" i="5"/>
  <c r="AD4683" i="5"/>
  <c r="E4683" i="5"/>
  <c r="AE4682" i="5"/>
  <c r="AD4682" i="5"/>
  <c r="E4682" i="5"/>
  <c r="AE4681" i="5"/>
  <c r="AD4681" i="5"/>
  <c r="E4681" i="5"/>
  <c r="AE4680" i="5"/>
  <c r="AD4680" i="5"/>
  <c r="E4680" i="5"/>
  <c r="AE4679" i="5"/>
  <c r="AD4679" i="5"/>
  <c r="E4679" i="5"/>
  <c r="AE4678" i="5"/>
  <c r="AD4678" i="5"/>
  <c r="E4678" i="5"/>
  <c r="AE4677" i="5"/>
  <c r="AD4677" i="5"/>
  <c r="E4677" i="5"/>
  <c r="AE4676" i="5"/>
  <c r="AD4676" i="5"/>
  <c r="E4676" i="5"/>
  <c r="AE4675" i="5"/>
  <c r="AD4675" i="5"/>
  <c r="E4675" i="5"/>
  <c r="AE4674" i="5"/>
  <c r="AD4674" i="5"/>
  <c r="E4674" i="5"/>
  <c r="AE4673" i="5"/>
  <c r="AD4673" i="5"/>
  <c r="E4673" i="5"/>
  <c r="AE4672" i="5"/>
  <c r="AD4672" i="5"/>
  <c r="E4672" i="5"/>
  <c r="AE4671" i="5"/>
  <c r="AD4671" i="5"/>
  <c r="E4671" i="5"/>
  <c r="AE4670" i="5"/>
  <c r="AD4670" i="5"/>
  <c r="E4670" i="5"/>
  <c r="AE4669" i="5"/>
  <c r="AD4669" i="5"/>
  <c r="E4669" i="5"/>
  <c r="AE4668" i="5"/>
  <c r="AD4668" i="5"/>
  <c r="E4668" i="5"/>
  <c r="AE4667" i="5"/>
  <c r="AD4667" i="5"/>
  <c r="E4667" i="5"/>
  <c r="AE4666" i="5"/>
  <c r="AD4666" i="5"/>
  <c r="E4666" i="5"/>
  <c r="AE4665" i="5"/>
  <c r="AD4665" i="5"/>
  <c r="E4665" i="5"/>
  <c r="AE4664" i="5"/>
  <c r="AD4664" i="5"/>
  <c r="E4664" i="5"/>
  <c r="AE4663" i="5"/>
  <c r="AD4663" i="5"/>
  <c r="E4663" i="5"/>
  <c r="AE4662" i="5"/>
  <c r="AD4662" i="5"/>
  <c r="E4662" i="5"/>
  <c r="AE4661" i="5"/>
  <c r="AD4661" i="5"/>
  <c r="E4661" i="5"/>
  <c r="AE4660" i="5"/>
  <c r="AD4660" i="5"/>
  <c r="E4660" i="5"/>
  <c r="AE4659" i="5"/>
  <c r="AD4659" i="5"/>
  <c r="E4659" i="5"/>
  <c r="AE4658" i="5"/>
  <c r="AD4658" i="5"/>
  <c r="E4658" i="5"/>
  <c r="AE4657" i="5"/>
  <c r="AD4657" i="5"/>
  <c r="E4657" i="5"/>
  <c r="AE4656" i="5"/>
  <c r="AD4656" i="5"/>
  <c r="E4656" i="5"/>
  <c r="AE4655" i="5"/>
  <c r="AD4655" i="5"/>
  <c r="E4655" i="5"/>
  <c r="AE4654" i="5"/>
  <c r="AD4654" i="5"/>
  <c r="E4654" i="5"/>
  <c r="AE4653" i="5"/>
  <c r="AD4653" i="5"/>
  <c r="E4653" i="5"/>
  <c r="AE4652" i="5"/>
  <c r="AD4652" i="5"/>
  <c r="E4652" i="5"/>
  <c r="AE4651" i="5"/>
  <c r="AD4651" i="5"/>
  <c r="E4651" i="5"/>
  <c r="AE4650" i="5"/>
  <c r="AD4650" i="5"/>
  <c r="E4650" i="5"/>
  <c r="AE4649" i="5"/>
  <c r="AD4649" i="5"/>
  <c r="E4649" i="5"/>
  <c r="AE4648" i="5"/>
  <c r="AD4648" i="5"/>
  <c r="E4648" i="5"/>
  <c r="AE4647" i="5"/>
  <c r="AD4647" i="5"/>
  <c r="E4647" i="5"/>
  <c r="AE4646" i="5"/>
  <c r="AD4646" i="5"/>
  <c r="E4646" i="5"/>
  <c r="AE4645" i="5"/>
  <c r="AD4645" i="5"/>
  <c r="E4645" i="5"/>
  <c r="AE4644" i="5"/>
  <c r="AD4644" i="5"/>
  <c r="E4644" i="5"/>
  <c r="AE4643" i="5"/>
  <c r="AD4643" i="5"/>
  <c r="E4643" i="5"/>
  <c r="AE4642" i="5"/>
  <c r="AD4642" i="5"/>
  <c r="E4642" i="5"/>
  <c r="AE4641" i="5"/>
  <c r="AD4641" i="5"/>
  <c r="E4641" i="5"/>
  <c r="AE4640" i="5"/>
  <c r="AD4640" i="5"/>
  <c r="E4640" i="5"/>
  <c r="AE4639" i="5"/>
  <c r="AD4639" i="5"/>
  <c r="E4639" i="5"/>
  <c r="AE4638" i="5"/>
  <c r="AD4638" i="5"/>
  <c r="E4638" i="5"/>
  <c r="AE4637" i="5"/>
  <c r="AD4637" i="5"/>
  <c r="E4637" i="5"/>
  <c r="AE4636" i="5"/>
  <c r="AD4636" i="5"/>
  <c r="E4636" i="5"/>
  <c r="AE4635" i="5"/>
  <c r="AD4635" i="5"/>
  <c r="E4635" i="5"/>
  <c r="AE4634" i="5"/>
  <c r="AD4634" i="5"/>
  <c r="E4634" i="5"/>
  <c r="AE4633" i="5"/>
  <c r="AD4633" i="5"/>
  <c r="E4633" i="5"/>
  <c r="AE4632" i="5"/>
  <c r="AD4632" i="5"/>
  <c r="E4632" i="5"/>
  <c r="AE4631" i="5"/>
  <c r="AD4631" i="5"/>
  <c r="E4631" i="5"/>
  <c r="AE4630" i="5"/>
  <c r="AD4630" i="5"/>
  <c r="E4630" i="5"/>
  <c r="AE4629" i="5"/>
  <c r="AD4629" i="5"/>
  <c r="E4629" i="5"/>
  <c r="AE4628" i="5"/>
  <c r="AD4628" i="5"/>
  <c r="E4628" i="5"/>
  <c r="AE4627" i="5"/>
  <c r="AD4627" i="5"/>
  <c r="E4627" i="5"/>
  <c r="AE4626" i="5"/>
  <c r="AD4626" i="5"/>
  <c r="E4626" i="5"/>
  <c r="AE4625" i="5"/>
  <c r="AD4625" i="5"/>
  <c r="E4625" i="5"/>
  <c r="AE4624" i="5"/>
  <c r="AD4624" i="5"/>
  <c r="E4624" i="5"/>
  <c r="AE4623" i="5"/>
  <c r="AD4623" i="5"/>
  <c r="E4623" i="5"/>
  <c r="AE4622" i="5"/>
  <c r="AD4622" i="5"/>
  <c r="E4622" i="5"/>
  <c r="AE4621" i="5"/>
  <c r="AD4621" i="5"/>
  <c r="E4621" i="5"/>
  <c r="AE4620" i="5"/>
  <c r="AD4620" i="5"/>
  <c r="E4620" i="5"/>
  <c r="AE4619" i="5"/>
  <c r="AD4619" i="5"/>
  <c r="E4619" i="5"/>
  <c r="AE4618" i="5"/>
  <c r="AD4618" i="5"/>
  <c r="E4618" i="5"/>
  <c r="AE4617" i="5"/>
  <c r="AD4617" i="5"/>
  <c r="E4617" i="5"/>
  <c r="AE4616" i="5"/>
  <c r="AD4616" i="5"/>
  <c r="E4616" i="5"/>
  <c r="AE4615" i="5"/>
  <c r="AD4615" i="5"/>
  <c r="E4615" i="5"/>
  <c r="AE4614" i="5"/>
  <c r="AD4614" i="5"/>
  <c r="E4614" i="5"/>
  <c r="AE4613" i="5"/>
  <c r="AD4613" i="5"/>
  <c r="E4613" i="5"/>
  <c r="AE4612" i="5"/>
  <c r="AD4612" i="5"/>
  <c r="E4612" i="5"/>
  <c r="AE4611" i="5"/>
  <c r="AD4611" i="5"/>
  <c r="E4611" i="5"/>
  <c r="AE4610" i="5"/>
  <c r="AD4610" i="5"/>
  <c r="E4610" i="5"/>
  <c r="AE4609" i="5"/>
  <c r="AD4609" i="5"/>
  <c r="E4609" i="5"/>
  <c r="AE4608" i="5"/>
  <c r="AD4608" i="5"/>
  <c r="E4608" i="5"/>
  <c r="AE4607" i="5"/>
  <c r="AD4607" i="5"/>
  <c r="E4607" i="5"/>
  <c r="AE4606" i="5"/>
  <c r="AD4606" i="5"/>
  <c r="E4606" i="5"/>
  <c r="AE4605" i="5"/>
  <c r="AD4605" i="5"/>
  <c r="E4605" i="5"/>
  <c r="AE4604" i="5"/>
  <c r="AD4604" i="5"/>
  <c r="E4604" i="5"/>
  <c r="AE4603" i="5"/>
  <c r="AD4603" i="5"/>
  <c r="E4603" i="5"/>
  <c r="AE4602" i="5"/>
  <c r="AD4602" i="5"/>
  <c r="E4602" i="5"/>
  <c r="AE4601" i="5"/>
  <c r="AD4601" i="5"/>
  <c r="E4601" i="5"/>
  <c r="AE4600" i="5"/>
  <c r="AD4600" i="5"/>
  <c r="E4600" i="5"/>
  <c r="AE4599" i="5"/>
  <c r="AD4599" i="5"/>
  <c r="E4599" i="5"/>
  <c r="AE4598" i="5"/>
  <c r="AD4598" i="5"/>
  <c r="E4598" i="5"/>
  <c r="AE4597" i="5"/>
  <c r="AD4597" i="5"/>
  <c r="E4597" i="5"/>
  <c r="AE4596" i="5"/>
  <c r="AD4596" i="5"/>
  <c r="E4596" i="5"/>
  <c r="AE4595" i="5"/>
  <c r="AD4595" i="5"/>
  <c r="E4595" i="5"/>
  <c r="AE4594" i="5"/>
  <c r="AD4594" i="5"/>
  <c r="E4594" i="5"/>
  <c r="AE4593" i="5"/>
  <c r="AD4593" i="5"/>
  <c r="E4593" i="5"/>
  <c r="AE4592" i="5"/>
  <c r="AD4592" i="5"/>
  <c r="E4592" i="5"/>
  <c r="AE4591" i="5"/>
  <c r="AD4591" i="5"/>
  <c r="E4591" i="5"/>
  <c r="AE4590" i="5"/>
  <c r="AD4590" i="5"/>
  <c r="E4590" i="5"/>
  <c r="AE4589" i="5"/>
  <c r="AD4589" i="5"/>
  <c r="E4589" i="5"/>
  <c r="AE4588" i="5"/>
  <c r="AD4588" i="5"/>
  <c r="E4588" i="5"/>
  <c r="AE4587" i="5"/>
  <c r="AD4587" i="5"/>
  <c r="E4587" i="5"/>
  <c r="AE4586" i="5"/>
  <c r="AD4586" i="5"/>
  <c r="E4586" i="5"/>
  <c r="AE4585" i="5"/>
  <c r="AD4585" i="5"/>
  <c r="E4585" i="5"/>
  <c r="AE4584" i="5"/>
  <c r="AD4584" i="5"/>
  <c r="E4584" i="5"/>
  <c r="AE4583" i="5"/>
  <c r="AD4583" i="5"/>
  <c r="E4583" i="5"/>
  <c r="AE4582" i="5"/>
  <c r="AD4582" i="5"/>
  <c r="E4582" i="5"/>
  <c r="AE4581" i="5"/>
  <c r="AD4581" i="5"/>
  <c r="E4581" i="5"/>
  <c r="AE4580" i="5"/>
  <c r="AD4580" i="5"/>
  <c r="E4580" i="5"/>
  <c r="AE4579" i="5"/>
  <c r="AD4579" i="5"/>
  <c r="E4579" i="5"/>
  <c r="AE4578" i="5"/>
  <c r="AD4578" i="5"/>
  <c r="E4578" i="5"/>
  <c r="AE4577" i="5"/>
  <c r="AD4577" i="5"/>
  <c r="E4577" i="5"/>
  <c r="AE4576" i="5"/>
  <c r="AD4576" i="5"/>
  <c r="E4576" i="5"/>
  <c r="AE4575" i="5"/>
  <c r="AD4575" i="5"/>
  <c r="E4575" i="5"/>
  <c r="AE4574" i="5"/>
  <c r="AD4574" i="5"/>
  <c r="E4574" i="5"/>
  <c r="AE4573" i="5"/>
  <c r="AD4573" i="5"/>
  <c r="E4573" i="5"/>
  <c r="AE4572" i="5"/>
  <c r="AD4572" i="5"/>
  <c r="E4572" i="5"/>
  <c r="AE4571" i="5"/>
  <c r="AD4571" i="5"/>
  <c r="E4571" i="5"/>
  <c r="AE4570" i="5"/>
  <c r="AD4570" i="5"/>
  <c r="E4570" i="5"/>
  <c r="AE4569" i="5"/>
  <c r="AD4569" i="5"/>
  <c r="E4569" i="5"/>
  <c r="AE4568" i="5"/>
  <c r="AD4568" i="5"/>
  <c r="E4568" i="5"/>
  <c r="AE4567" i="5"/>
  <c r="AD4567" i="5"/>
  <c r="E4567" i="5"/>
  <c r="AE4566" i="5"/>
  <c r="AD4566" i="5"/>
  <c r="E4566" i="5"/>
  <c r="AE4565" i="5"/>
  <c r="AD4565" i="5"/>
  <c r="E4565" i="5"/>
  <c r="AE4564" i="5"/>
  <c r="AD4564" i="5"/>
  <c r="E4564" i="5"/>
  <c r="AE4563" i="5"/>
  <c r="AD4563" i="5"/>
  <c r="E4563" i="5"/>
  <c r="AE4562" i="5"/>
  <c r="AD4562" i="5"/>
  <c r="E4562" i="5"/>
  <c r="AE4561" i="5"/>
  <c r="AD4561" i="5"/>
  <c r="E4561" i="5"/>
  <c r="AE4560" i="5"/>
  <c r="AD4560" i="5"/>
  <c r="E4560" i="5"/>
  <c r="AE4559" i="5"/>
  <c r="AD4559" i="5"/>
  <c r="E4559" i="5"/>
  <c r="AE4558" i="5"/>
  <c r="AD4558" i="5"/>
  <c r="E4558" i="5"/>
  <c r="AE4557" i="5"/>
  <c r="AD4557" i="5"/>
  <c r="E4557" i="5"/>
  <c r="AE4556" i="5"/>
  <c r="AD4556" i="5"/>
  <c r="E4556" i="5"/>
  <c r="AE4555" i="5"/>
  <c r="AD4555" i="5"/>
  <c r="E4555" i="5"/>
  <c r="AE4554" i="5"/>
  <c r="AD4554" i="5"/>
  <c r="E4554" i="5"/>
  <c r="AE4553" i="5"/>
  <c r="AD4553" i="5"/>
  <c r="E4553" i="5"/>
  <c r="AE4552" i="5"/>
  <c r="AD4552" i="5"/>
  <c r="E4552" i="5"/>
  <c r="AE4551" i="5"/>
  <c r="AD4551" i="5"/>
  <c r="E4551" i="5"/>
  <c r="AE4550" i="5"/>
  <c r="AD4550" i="5"/>
  <c r="E4550" i="5"/>
  <c r="AE4549" i="5"/>
  <c r="AD4549" i="5"/>
  <c r="E4549" i="5"/>
  <c r="AE4548" i="5"/>
  <c r="AD4548" i="5"/>
  <c r="E4548" i="5"/>
  <c r="AE4547" i="5"/>
  <c r="AD4547" i="5"/>
  <c r="E4547" i="5"/>
  <c r="AE4546" i="5"/>
  <c r="AD4546" i="5"/>
  <c r="E4546" i="5"/>
  <c r="AE4545" i="5"/>
  <c r="AD4545" i="5"/>
  <c r="E4545" i="5"/>
  <c r="AE4544" i="5"/>
  <c r="AD4544" i="5"/>
  <c r="E4544" i="5"/>
  <c r="AE4543" i="5"/>
  <c r="AD4543" i="5"/>
  <c r="E4543" i="5"/>
  <c r="AE4542" i="5"/>
  <c r="AD4542" i="5"/>
  <c r="E4542" i="5"/>
  <c r="AE4541" i="5"/>
  <c r="AD4541" i="5"/>
  <c r="E4541" i="5"/>
  <c r="AE4540" i="5"/>
  <c r="AD4540" i="5"/>
  <c r="E4540" i="5"/>
  <c r="AE4539" i="5"/>
  <c r="AD4539" i="5"/>
  <c r="E4539" i="5"/>
  <c r="AE4538" i="5"/>
  <c r="AD4538" i="5"/>
  <c r="E4538" i="5"/>
  <c r="AE4537" i="5"/>
  <c r="AD4537" i="5"/>
  <c r="E4537" i="5"/>
  <c r="AE4536" i="5"/>
  <c r="AD4536" i="5"/>
  <c r="E4536" i="5"/>
  <c r="AE4535" i="5"/>
  <c r="AD4535" i="5"/>
  <c r="E4535" i="5"/>
  <c r="AE4534" i="5"/>
  <c r="AD4534" i="5"/>
  <c r="E4534" i="5"/>
  <c r="AE4533" i="5"/>
  <c r="AD4533" i="5"/>
  <c r="E4533" i="5"/>
  <c r="AE4532" i="5"/>
  <c r="AD4532" i="5"/>
  <c r="E4532" i="5"/>
  <c r="AE4531" i="5"/>
  <c r="AD4531" i="5"/>
  <c r="E4531" i="5"/>
  <c r="AE4530" i="5"/>
  <c r="AD4530" i="5"/>
  <c r="E4530" i="5"/>
  <c r="AE4529" i="5"/>
  <c r="AD4529" i="5"/>
  <c r="E4529" i="5"/>
  <c r="AE4528" i="5"/>
  <c r="AD4528" i="5"/>
  <c r="E4528" i="5"/>
  <c r="AE4527" i="5"/>
  <c r="AD4527" i="5"/>
  <c r="E4527" i="5"/>
  <c r="AE4526" i="5"/>
  <c r="AD4526" i="5"/>
  <c r="E4526" i="5"/>
  <c r="AE4525" i="5"/>
  <c r="AD4525" i="5"/>
  <c r="E4525" i="5"/>
  <c r="AE4524" i="5"/>
  <c r="AD4524" i="5"/>
  <c r="E4524" i="5"/>
  <c r="AE4523" i="5"/>
  <c r="AD4523" i="5"/>
  <c r="E4523" i="5"/>
  <c r="AE4522" i="5"/>
  <c r="AD4522" i="5"/>
  <c r="E4522" i="5"/>
  <c r="AE4521" i="5"/>
  <c r="AD4521" i="5"/>
  <c r="E4521" i="5"/>
  <c r="AE4520" i="5"/>
  <c r="AD4520" i="5"/>
  <c r="E4520" i="5"/>
  <c r="AE4519" i="5"/>
  <c r="AD4519" i="5"/>
  <c r="E4519" i="5"/>
  <c r="AE4518" i="5"/>
  <c r="AD4518" i="5"/>
  <c r="E4518" i="5"/>
  <c r="AE4517" i="5"/>
  <c r="AD4517" i="5"/>
  <c r="E4517" i="5"/>
  <c r="AE4516" i="5"/>
  <c r="AD4516" i="5"/>
  <c r="E4516" i="5"/>
  <c r="AE4515" i="5"/>
  <c r="AD4515" i="5"/>
  <c r="E4515" i="5"/>
  <c r="AE4514" i="5"/>
  <c r="AD4514" i="5"/>
  <c r="E4514" i="5"/>
  <c r="AE4513" i="5"/>
  <c r="AD4513" i="5"/>
  <c r="E4513" i="5"/>
  <c r="AE4512" i="5"/>
  <c r="AD4512" i="5"/>
  <c r="E4512" i="5"/>
  <c r="AE4511" i="5"/>
  <c r="AD4511" i="5"/>
  <c r="E4511" i="5"/>
  <c r="AE4510" i="5"/>
  <c r="AD4510" i="5"/>
  <c r="E4510" i="5"/>
  <c r="AE4509" i="5"/>
  <c r="AD4509" i="5"/>
  <c r="E4509" i="5"/>
  <c r="AE4508" i="5"/>
  <c r="AD4508" i="5"/>
  <c r="E4508" i="5"/>
  <c r="AE4507" i="5"/>
  <c r="AD4507" i="5"/>
  <c r="E4507" i="5"/>
  <c r="AE4506" i="5"/>
  <c r="AD4506" i="5"/>
  <c r="E4506" i="5"/>
  <c r="AE4505" i="5"/>
  <c r="AD4505" i="5"/>
  <c r="E4505" i="5"/>
  <c r="AE4504" i="5"/>
  <c r="AD4504" i="5"/>
  <c r="E4504" i="5"/>
  <c r="AE4503" i="5"/>
  <c r="AD4503" i="5"/>
  <c r="E4503" i="5"/>
  <c r="AE4502" i="5"/>
  <c r="AD4502" i="5"/>
  <c r="E4502" i="5"/>
  <c r="AE4501" i="5"/>
  <c r="AD4501" i="5"/>
  <c r="E4501" i="5"/>
  <c r="AE4500" i="5"/>
  <c r="AD4500" i="5"/>
  <c r="E4500" i="5"/>
  <c r="AE4499" i="5"/>
  <c r="AD4499" i="5"/>
  <c r="E4499" i="5"/>
  <c r="AE4498" i="5"/>
  <c r="AD4498" i="5"/>
  <c r="E4498" i="5"/>
  <c r="AE4497" i="5"/>
  <c r="AD4497" i="5"/>
  <c r="E4497" i="5"/>
  <c r="AE4496" i="5"/>
  <c r="AD4496" i="5"/>
  <c r="E4496" i="5"/>
  <c r="AE4495" i="5"/>
  <c r="AD4495" i="5"/>
  <c r="E4495" i="5"/>
  <c r="AE4494" i="5"/>
  <c r="AD4494" i="5"/>
  <c r="E4494" i="5"/>
  <c r="AE4493" i="5"/>
  <c r="AD4493" i="5"/>
  <c r="E4493" i="5"/>
  <c r="AE4492" i="5"/>
  <c r="AD4492" i="5"/>
  <c r="E4492" i="5"/>
  <c r="AE4491" i="5"/>
  <c r="AD4491" i="5"/>
  <c r="E4491" i="5"/>
  <c r="AE4490" i="5"/>
  <c r="AD4490" i="5"/>
  <c r="E4490" i="5"/>
  <c r="AE4489" i="5"/>
  <c r="AD4489" i="5"/>
  <c r="E4489" i="5"/>
  <c r="AE4488" i="5"/>
  <c r="AD4488" i="5"/>
  <c r="E4488" i="5"/>
  <c r="AE4487" i="5"/>
  <c r="AD4487" i="5"/>
  <c r="E4487" i="5"/>
  <c r="AE4486" i="5"/>
  <c r="AD4486" i="5"/>
  <c r="E4486" i="5"/>
  <c r="AE4485" i="5"/>
  <c r="AD4485" i="5"/>
  <c r="E4485" i="5"/>
  <c r="AE4484" i="5"/>
  <c r="AD4484" i="5"/>
  <c r="E4484" i="5"/>
  <c r="AE4483" i="5"/>
  <c r="AD4483" i="5"/>
  <c r="E4483" i="5"/>
  <c r="AE4482" i="5"/>
  <c r="AD4482" i="5"/>
  <c r="E4482" i="5"/>
  <c r="AE4481" i="5"/>
  <c r="AD4481" i="5"/>
  <c r="E4481" i="5"/>
  <c r="AE4480" i="5"/>
  <c r="AD4480" i="5"/>
  <c r="E4480" i="5"/>
  <c r="AE4479" i="5"/>
  <c r="AD4479" i="5"/>
  <c r="E4479" i="5"/>
  <c r="AE4478" i="5"/>
  <c r="AD4478" i="5"/>
  <c r="E4478" i="5"/>
  <c r="AE4477" i="5"/>
  <c r="AD4477" i="5"/>
  <c r="E4477" i="5"/>
  <c r="AE4476" i="5"/>
  <c r="AD4476" i="5"/>
  <c r="E4476" i="5"/>
  <c r="AE4475" i="5"/>
  <c r="AD4475" i="5"/>
  <c r="E4475" i="5"/>
  <c r="AE4474" i="5"/>
  <c r="AD4474" i="5"/>
  <c r="E4474" i="5"/>
  <c r="AE4473" i="5"/>
  <c r="AD4473" i="5"/>
  <c r="E4473" i="5"/>
  <c r="AE4472" i="5"/>
  <c r="AD4472" i="5"/>
  <c r="E4472" i="5"/>
  <c r="AE4471" i="5"/>
  <c r="AD4471" i="5"/>
  <c r="E4471" i="5"/>
  <c r="AE4470" i="5"/>
  <c r="AD4470" i="5"/>
  <c r="E4470" i="5"/>
  <c r="AE4469" i="5"/>
  <c r="AD4469" i="5"/>
  <c r="E4469" i="5"/>
  <c r="AE4468" i="5"/>
  <c r="AD4468" i="5"/>
  <c r="E4468" i="5"/>
  <c r="AE4467" i="5"/>
  <c r="AD4467" i="5"/>
  <c r="E4467" i="5"/>
  <c r="AE4466" i="5"/>
  <c r="AD4466" i="5"/>
  <c r="E4466" i="5"/>
  <c r="AE4465" i="5"/>
  <c r="AD4465" i="5"/>
  <c r="E4465" i="5"/>
  <c r="AE4464" i="5"/>
  <c r="AD4464" i="5"/>
  <c r="E4464" i="5"/>
  <c r="AE4463" i="5"/>
  <c r="AD4463" i="5"/>
  <c r="E4463" i="5"/>
  <c r="AE4462" i="5"/>
  <c r="AD4462" i="5"/>
  <c r="E4462" i="5"/>
  <c r="AE4461" i="5"/>
  <c r="AD4461" i="5"/>
  <c r="E4461" i="5"/>
  <c r="AE4460" i="5"/>
  <c r="AD4460" i="5"/>
  <c r="E4460" i="5"/>
  <c r="AE4459" i="5"/>
  <c r="AD4459" i="5"/>
  <c r="E4459" i="5"/>
  <c r="AE4458" i="5"/>
  <c r="AD4458" i="5"/>
  <c r="E4458" i="5"/>
  <c r="AE4457" i="5"/>
  <c r="AD4457" i="5"/>
  <c r="E4457" i="5"/>
  <c r="AE4456" i="5"/>
  <c r="AD4456" i="5"/>
  <c r="E4456" i="5"/>
  <c r="AE4455" i="5"/>
  <c r="AD4455" i="5"/>
  <c r="E4455" i="5"/>
  <c r="AE4454" i="5"/>
  <c r="AD4454" i="5"/>
  <c r="E4454" i="5"/>
  <c r="AE4453" i="5"/>
  <c r="AD4453" i="5"/>
  <c r="E4453" i="5"/>
  <c r="AE4452" i="5"/>
  <c r="AD4452" i="5"/>
  <c r="E4452" i="5"/>
  <c r="AE4451" i="5"/>
  <c r="AD4451" i="5"/>
  <c r="E4451" i="5"/>
  <c r="AE4450" i="5"/>
  <c r="AD4450" i="5"/>
  <c r="E4450" i="5"/>
  <c r="AE4449" i="5"/>
  <c r="AD4449" i="5"/>
  <c r="E4449" i="5"/>
  <c r="AE4448" i="5"/>
  <c r="AD4448" i="5"/>
  <c r="E4448" i="5"/>
  <c r="AE4447" i="5"/>
  <c r="AD4447" i="5"/>
  <c r="E4447" i="5"/>
  <c r="AE4446" i="5"/>
  <c r="AD4446" i="5"/>
  <c r="E4446" i="5"/>
  <c r="AE4445" i="5"/>
  <c r="AD4445" i="5"/>
  <c r="E4445" i="5"/>
  <c r="AE4444" i="5"/>
  <c r="AD4444" i="5"/>
  <c r="E4444" i="5"/>
  <c r="AE4443" i="5"/>
  <c r="AD4443" i="5"/>
  <c r="E4443" i="5"/>
  <c r="AE4442" i="5"/>
  <c r="AD4442" i="5"/>
  <c r="E4442" i="5"/>
  <c r="AE4441" i="5"/>
  <c r="AD4441" i="5"/>
  <c r="E4441" i="5"/>
  <c r="AE4440" i="5"/>
  <c r="AD4440" i="5"/>
  <c r="E4440" i="5"/>
  <c r="AE4439" i="5"/>
  <c r="AD4439" i="5"/>
  <c r="E4439" i="5"/>
  <c r="AE4438" i="5"/>
  <c r="AD4438" i="5"/>
  <c r="E4438" i="5"/>
  <c r="AE4437" i="5"/>
  <c r="AD4437" i="5"/>
  <c r="E4437" i="5"/>
  <c r="AE4436" i="5"/>
  <c r="AD4436" i="5"/>
  <c r="E4436" i="5"/>
  <c r="AE4435" i="5"/>
  <c r="AD4435" i="5"/>
  <c r="E4435" i="5"/>
  <c r="AE4434" i="5"/>
  <c r="AD4434" i="5"/>
  <c r="E4434" i="5"/>
  <c r="AE4433" i="5"/>
  <c r="AD4433" i="5"/>
  <c r="E4433" i="5"/>
  <c r="AE4432" i="5"/>
  <c r="AD4432" i="5"/>
  <c r="E4432" i="5"/>
  <c r="AE4431" i="5"/>
  <c r="AD4431" i="5"/>
  <c r="E4431" i="5"/>
  <c r="AE4430" i="5"/>
  <c r="AD4430" i="5"/>
  <c r="E4430" i="5"/>
  <c r="AE4429" i="5"/>
  <c r="AD4429" i="5"/>
  <c r="E4429" i="5"/>
  <c r="AE4428" i="5"/>
  <c r="AD4428" i="5"/>
  <c r="E4428" i="5"/>
  <c r="AE4427" i="5"/>
  <c r="AD4427" i="5"/>
  <c r="E4427" i="5"/>
  <c r="AE4426" i="5"/>
  <c r="AD4426" i="5"/>
  <c r="E4426" i="5"/>
  <c r="AE4425" i="5"/>
  <c r="AD4425" i="5"/>
  <c r="E4425" i="5"/>
  <c r="AE4424" i="5"/>
  <c r="AD4424" i="5"/>
  <c r="E4424" i="5"/>
  <c r="AE4423" i="5"/>
  <c r="AD4423" i="5"/>
  <c r="E4423" i="5"/>
  <c r="AE4422" i="5"/>
  <c r="AD4422" i="5"/>
  <c r="E4422" i="5"/>
  <c r="AE4421" i="5"/>
  <c r="AD4421" i="5"/>
  <c r="E4421" i="5"/>
  <c r="AE4420" i="5"/>
  <c r="AD4420" i="5"/>
  <c r="E4420" i="5"/>
  <c r="AE4419" i="5"/>
  <c r="AD4419" i="5"/>
  <c r="E4419" i="5"/>
  <c r="AE4418" i="5"/>
  <c r="AD4418" i="5"/>
  <c r="E4418" i="5"/>
  <c r="AE4417" i="5"/>
  <c r="AD4417" i="5"/>
  <c r="E4417" i="5"/>
  <c r="AE4416" i="5"/>
  <c r="AD4416" i="5"/>
  <c r="E4416" i="5"/>
  <c r="AE4415" i="5"/>
  <c r="AD4415" i="5"/>
  <c r="E4415" i="5"/>
  <c r="AE4414" i="5"/>
  <c r="AD4414" i="5"/>
  <c r="E4414" i="5"/>
  <c r="AE4413" i="5"/>
  <c r="AD4413" i="5"/>
  <c r="E4413" i="5"/>
  <c r="AE4412" i="5"/>
  <c r="AD4412" i="5"/>
  <c r="E4412" i="5"/>
  <c r="AE4411" i="5"/>
  <c r="AD4411" i="5"/>
  <c r="E4411" i="5"/>
  <c r="AE4410" i="5"/>
  <c r="AD4410" i="5"/>
  <c r="E4410" i="5"/>
  <c r="AE4409" i="5"/>
  <c r="AD4409" i="5"/>
  <c r="E4409" i="5"/>
  <c r="AE4408" i="5"/>
  <c r="AD4408" i="5"/>
  <c r="E4408" i="5"/>
  <c r="AE4407" i="5"/>
  <c r="AD4407" i="5"/>
  <c r="E4407" i="5"/>
  <c r="AE4406" i="5"/>
  <c r="AD4406" i="5"/>
  <c r="E4406" i="5"/>
  <c r="AE4405" i="5"/>
  <c r="AD4405" i="5"/>
  <c r="E4405" i="5"/>
  <c r="AE4404" i="5"/>
  <c r="AD4404" i="5"/>
  <c r="E4404" i="5"/>
  <c r="AE4403" i="5"/>
  <c r="AD4403" i="5"/>
  <c r="E4403" i="5"/>
  <c r="AE4402" i="5"/>
  <c r="AD4402" i="5"/>
  <c r="E4402" i="5"/>
  <c r="AE4401" i="5"/>
  <c r="AD4401" i="5"/>
  <c r="E4401" i="5"/>
  <c r="AE4400" i="5"/>
  <c r="AD4400" i="5"/>
  <c r="E4400" i="5"/>
  <c r="AE4399" i="5"/>
  <c r="AD4399" i="5"/>
  <c r="E4399" i="5"/>
  <c r="AE4398" i="5"/>
  <c r="AD4398" i="5"/>
  <c r="E4398" i="5"/>
  <c r="AE4397" i="5"/>
  <c r="AD4397" i="5"/>
  <c r="E4397" i="5"/>
  <c r="AE4396" i="5"/>
  <c r="AD4396" i="5"/>
  <c r="E4396" i="5"/>
  <c r="AE4395" i="5"/>
  <c r="AD4395" i="5"/>
  <c r="E4395" i="5"/>
  <c r="AE4394" i="5"/>
  <c r="AD4394" i="5"/>
  <c r="E4394" i="5"/>
  <c r="AE4393" i="5"/>
  <c r="AD4393" i="5"/>
  <c r="E4393" i="5"/>
  <c r="AE4392" i="5"/>
  <c r="AD4392" i="5"/>
  <c r="E4392" i="5"/>
  <c r="AE4391" i="5"/>
  <c r="AD4391" i="5"/>
  <c r="E4391" i="5"/>
  <c r="AE4390" i="5"/>
  <c r="AD4390" i="5"/>
  <c r="E4390" i="5"/>
  <c r="AE4389" i="5"/>
  <c r="AD4389" i="5"/>
  <c r="E4389" i="5"/>
  <c r="AE4388" i="5"/>
  <c r="AD4388" i="5"/>
  <c r="E4388" i="5"/>
  <c r="AE4387" i="5"/>
  <c r="AD4387" i="5"/>
  <c r="E4387" i="5"/>
  <c r="AE4386" i="5"/>
  <c r="AD4386" i="5"/>
  <c r="E4386" i="5"/>
  <c r="AE4385" i="5"/>
  <c r="AD4385" i="5"/>
  <c r="E4385" i="5"/>
  <c r="AE4384" i="5"/>
  <c r="AD4384" i="5"/>
  <c r="E4384" i="5"/>
  <c r="AE4383" i="5"/>
  <c r="AD4383" i="5"/>
  <c r="E4383" i="5"/>
  <c r="AE4382" i="5"/>
  <c r="AD4382" i="5"/>
  <c r="E4382" i="5"/>
  <c r="AE4381" i="5"/>
  <c r="AD4381" i="5"/>
  <c r="E4381" i="5"/>
  <c r="AE4380" i="5"/>
  <c r="AD4380" i="5"/>
  <c r="E4380" i="5"/>
  <c r="AE4379" i="5"/>
  <c r="AD4379" i="5"/>
  <c r="E4379" i="5"/>
  <c r="AE4378" i="5"/>
  <c r="AD4378" i="5"/>
  <c r="E4378" i="5"/>
  <c r="AE4377" i="5"/>
  <c r="AD4377" i="5"/>
  <c r="E4377" i="5"/>
  <c r="AE4376" i="5"/>
  <c r="AD4376" i="5"/>
  <c r="E4376" i="5"/>
  <c r="AE4375" i="5"/>
  <c r="AD4375" i="5"/>
  <c r="E4375" i="5"/>
  <c r="AE4374" i="5"/>
  <c r="AD4374" i="5"/>
  <c r="E4374" i="5"/>
  <c r="AE4373" i="5"/>
  <c r="AD4373" i="5"/>
  <c r="E4373" i="5"/>
  <c r="AE4372" i="5"/>
  <c r="AD4372" i="5"/>
  <c r="E4372" i="5"/>
  <c r="AE4371" i="5"/>
  <c r="AD4371" i="5"/>
  <c r="E4371" i="5"/>
  <c r="AE4370" i="5"/>
  <c r="AD4370" i="5"/>
  <c r="E4370" i="5"/>
  <c r="AE4369" i="5"/>
  <c r="AD4369" i="5"/>
  <c r="E4369" i="5"/>
  <c r="AE4368" i="5"/>
  <c r="AD4368" i="5"/>
  <c r="E4368" i="5"/>
  <c r="AE4367" i="5"/>
  <c r="AD4367" i="5"/>
  <c r="E4367" i="5"/>
  <c r="AE4366" i="5"/>
  <c r="AD4366" i="5"/>
  <c r="E4366" i="5"/>
  <c r="AE4365" i="5"/>
  <c r="AD4365" i="5"/>
  <c r="E4365" i="5"/>
  <c r="AE4364" i="5"/>
  <c r="AD4364" i="5"/>
  <c r="E4364" i="5"/>
  <c r="AE4363" i="5"/>
  <c r="AD4363" i="5"/>
  <c r="E4363" i="5"/>
  <c r="AE4362" i="5"/>
  <c r="AD4362" i="5"/>
  <c r="E4362" i="5"/>
  <c r="AE4361" i="5"/>
  <c r="AD4361" i="5"/>
  <c r="E4361" i="5"/>
  <c r="AE4360" i="5"/>
  <c r="AD4360" i="5"/>
  <c r="E4360" i="5"/>
  <c r="AE4359" i="5"/>
  <c r="AD4359" i="5"/>
  <c r="E4359" i="5"/>
  <c r="AE4358" i="5"/>
  <c r="AD4358" i="5"/>
  <c r="E4358" i="5"/>
  <c r="AE4357" i="5"/>
  <c r="AD4357" i="5"/>
  <c r="E4357" i="5"/>
  <c r="AE4356" i="5"/>
  <c r="AD4356" i="5"/>
  <c r="E4356" i="5"/>
  <c r="AE4355" i="5"/>
  <c r="AD4355" i="5"/>
  <c r="E4355" i="5"/>
  <c r="AE4354" i="5"/>
  <c r="AD4354" i="5"/>
  <c r="E4354" i="5"/>
  <c r="AE4353" i="5"/>
  <c r="AD4353" i="5"/>
  <c r="E4353" i="5"/>
  <c r="AE4352" i="5"/>
  <c r="AD4352" i="5"/>
  <c r="E4352" i="5"/>
  <c r="AE4351" i="5"/>
  <c r="AD4351" i="5"/>
  <c r="E4351" i="5"/>
  <c r="AE4350" i="5"/>
  <c r="AD4350" i="5"/>
  <c r="E4350" i="5"/>
  <c r="AE4349" i="5"/>
  <c r="AD4349" i="5"/>
  <c r="E4349" i="5"/>
  <c r="AE4348" i="5"/>
  <c r="AD4348" i="5"/>
  <c r="E4348" i="5"/>
  <c r="AE4347" i="5"/>
  <c r="AD4347" i="5"/>
  <c r="E4347" i="5"/>
  <c r="AE4346" i="5"/>
  <c r="AD4346" i="5"/>
  <c r="E4346" i="5"/>
  <c r="AE4345" i="5"/>
  <c r="AD4345" i="5"/>
  <c r="E4345" i="5"/>
  <c r="AE4344" i="5"/>
  <c r="AD4344" i="5"/>
  <c r="E4344" i="5"/>
  <c r="AE4343" i="5"/>
  <c r="AD4343" i="5"/>
  <c r="E4343" i="5"/>
  <c r="AE4342" i="5"/>
  <c r="AD4342" i="5"/>
  <c r="E4342" i="5"/>
  <c r="AE4341" i="5"/>
  <c r="AD4341" i="5"/>
  <c r="E4341" i="5"/>
  <c r="AE4340" i="5"/>
  <c r="AD4340" i="5"/>
  <c r="E4340" i="5"/>
  <c r="AE4339" i="5"/>
  <c r="AD4339" i="5"/>
  <c r="E4339" i="5"/>
  <c r="AE4338" i="5"/>
  <c r="AD4338" i="5"/>
  <c r="E4338" i="5"/>
  <c r="AE4337" i="5"/>
  <c r="AD4337" i="5"/>
  <c r="E4337" i="5"/>
  <c r="AE4336" i="5"/>
  <c r="AD4336" i="5"/>
  <c r="E4336" i="5"/>
  <c r="AE4335" i="5"/>
  <c r="AD4335" i="5"/>
  <c r="E4335" i="5"/>
  <c r="AE4334" i="5"/>
  <c r="AD4334" i="5"/>
  <c r="E4334" i="5"/>
  <c r="AE4333" i="5"/>
  <c r="AD4333" i="5"/>
  <c r="E4333" i="5"/>
  <c r="AE4332" i="5"/>
  <c r="AD4332" i="5"/>
  <c r="E4332" i="5"/>
  <c r="AE4331" i="5"/>
  <c r="AD4331" i="5"/>
  <c r="E4331" i="5"/>
  <c r="AE4330" i="5"/>
  <c r="AD4330" i="5"/>
  <c r="E4330" i="5"/>
  <c r="AE4329" i="5"/>
  <c r="AD4329" i="5"/>
  <c r="E4329" i="5"/>
  <c r="AE4328" i="5"/>
  <c r="AD4328" i="5"/>
  <c r="E4328" i="5"/>
  <c r="AE4327" i="5"/>
  <c r="AD4327" i="5"/>
  <c r="E4327" i="5"/>
  <c r="AE4326" i="5"/>
  <c r="AD4326" i="5"/>
  <c r="E4326" i="5"/>
  <c r="AE4325" i="5"/>
  <c r="AD4325" i="5"/>
  <c r="E4325" i="5"/>
  <c r="AE4324" i="5"/>
  <c r="AD4324" i="5"/>
  <c r="E4324" i="5"/>
  <c r="AE4323" i="5"/>
  <c r="AD4323" i="5"/>
  <c r="E4323" i="5"/>
  <c r="AE4322" i="5"/>
  <c r="AD4322" i="5"/>
  <c r="E4322" i="5"/>
  <c r="AE4321" i="5"/>
  <c r="AD4321" i="5"/>
  <c r="E4321" i="5"/>
  <c r="AE4320" i="5"/>
  <c r="AD4320" i="5"/>
  <c r="E4320" i="5"/>
  <c r="AE4319" i="5"/>
  <c r="AD4319" i="5"/>
  <c r="E4319" i="5"/>
  <c r="AE4318" i="5"/>
  <c r="AD4318" i="5"/>
  <c r="E4318" i="5"/>
  <c r="AE4317" i="5"/>
  <c r="AD4317" i="5"/>
  <c r="E4317" i="5"/>
  <c r="AE4316" i="5"/>
  <c r="AD4316" i="5"/>
  <c r="E4316" i="5"/>
  <c r="AE4315" i="5"/>
  <c r="AD4315" i="5"/>
  <c r="E4315" i="5"/>
  <c r="AE4314" i="5"/>
  <c r="AD4314" i="5"/>
  <c r="E4314" i="5"/>
  <c r="AE4313" i="5"/>
  <c r="AD4313" i="5"/>
  <c r="E4313" i="5"/>
  <c r="AE4312" i="5"/>
  <c r="AD4312" i="5"/>
  <c r="E4312" i="5"/>
  <c r="AE4311" i="5"/>
  <c r="AD4311" i="5"/>
  <c r="E4311" i="5"/>
  <c r="AE4310" i="5"/>
  <c r="AD4310" i="5"/>
  <c r="E4310" i="5"/>
  <c r="AE4309" i="5"/>
  <c r="AD4309" i="5"/>
  <c r="E4309" i="5"/>
  <c r="AE4308" i="5"/>
  <c r="AD4308" i="5"/>
  <c r="E4308" i="5"/>
  <c r="AE4307" i="5"/>
  <c r="AD4307" i="5"/>
  <c r="E4307" i="5"/>
  <c r="AE4306" i="5"/>
  <c r="AD4306" i="5"/>
  <c r="E4306" i="5"/>
  <c r="AE4305" i="5"/>
  <c r="AD4305" i="5"/>
  <c r="E4305" i="5"/>
  <c r="AE4304" i="5"/>
  <c r="AD4304" i="5"/>
  <c r="E4304" i="5"/>
  <c r="AE4303" i="5"/>
  <c r="AD4303" i="5"/>
  <c r="E4303" i="5"/>
  <c r="AE4302" i="5"/>
  <c r="AD4302" i="5"/>
  <c r="E4302" i="5"/>
  <c r="AE4301" i="5"/>
  <c r="AD4301" i="5"/>
  <c r="E4301" i="5"/>
  <c r="AE4300" i="5"/>
  <c r="AD4300" i="5"/>
  <c r="E4300" i="5"/>
  <c r="AE4299" i="5"/>
  <c r="AD4299" i="5"/>
  <c r="E4299" i="5"/>
  <c r="AE4298" i="5"/>
  <c r="AD4298" i="5"/>
  <c r="E4298" i="5"/>
  <c r="AE4297" i="5"/>
  <c r="AD4297" i="5"/>
  <c r="E4297" i="5"/>
  <c r="AE4296" i="5"/>
  <c r="AD4296" i="5"/>
  <c r="E4296" i="5"/>
  <c r="AE4295" i="5"/>
  <c r="AD4295" i="5"/>
  <c r="E4295" i="5"/>
  <c r="AE4294" i="5"/>
  <c r="AD4294" i="5"/>
  <c r="E4294" i="5"/>
  <c r="AE4293" i="5"/>
  <c r="AD4293" i="5"/>
  <c r="E4293" i="5"/>
  <c r="AE4292" i="5"/>
  <c r="AD4292" i="5"/>
  <c r="E4292" i="5"/>
  <c r="AE4291" i="5"/>
  <c r="AD4291" i="5"/>
  <c r="E4291" i="5"/>
  <c r="AE4290" i="5"/>
  <c r="AD4290" i="5"/>
  <c r="E4290" i="5"/>
  <c r="AE4289" i="5"/>
  <c r="AD4289" i="5"/>
  <c r="E4289" i="5"/>
  <c r="AE4288" i="5"/>
  <c r="AD4288" i="5"/>
  <c r="E4288" i="5"/>
  <c r="AE4287" i="5"/>
  <c r="AD4287" i="5"/>
  <c r="E4287" i="5"/>
  <c r="AE4286" i="5"/>
  <c r="AD4286" i="5"/>
  <c r="E4286" i="5"/>
  <c r="AE4285" i="5"/>
  <c r="AD4285" i="5"/>
  <c r="E4285" i="5"/>
  <c r="AE4284" i="5"/>
  <c r="AD4284" i="5"/>
  <c r="E4284" i="5"/>
  <c r="AE4283" i="5"/>
  <c r="AD4283" i="5"/>
  <c r="E4283" i="5"/>
  <c r="AE4282" i="5"/>
  <c r="AD4282" i="5"/>
  <c r="E4282" i="5"/>
  <c r="AE4281" i="5"/>
  <c r="AD4281" i="5"/>
  <c r="E4281" i="5"/>
  <c r="AE4280" i="5"/>
  <c r="AD4280" i="5"/>
  <c r="E4280" i="5"/>
  <c r="AE4279" i="5"/>
  <c r="AD4279" i="5"/>
  <c r="E4279" i="5"/>
  <c r="AE4278" i="5"/>
  <c r="AD4278" i="5"/>
  <c r="E4278" i="5"/>
  <c r="AE4277" i="5"/>
  <c r="AD4277" i="5"/>
  <c r="E4277" i="5"/>
  <c r="AE4276" i="5"/>
  <c r="AD4276" i="5"/>
  <c r="E4276" i="5"/>
  <c r="AE4275" i="5"/>
  <c r="AD4275" i="5"/>
  <c r="E4275" i="5"/>
  <c r="AE4274" i="5"/>
  <c r="AD4274" i="5"/>
  <c r="E4274" i="5"/>
  <c r="AE4273" i="5"/>
  <c r="AD4273" i="5"/>
  <c r="E4273" i="5"/>
  <c r="AE4272" i="5"/>
  <c r="AD4272" i="5"/>
  <c r="E4272" i="5"/>
  <c r="AE4271" i="5"/>
  <c r="AD4271" i="5"/>
  <c r="E4271" i="5"/>
  <c r="AE4270" i="5"/>
  <c r="AD4270" i="5"/>
  <c r="E4270" i="5"/>
  <c r="AE4269" i="5"/>
  <c r="AD4269" i="5"/>
  <c r="E4269" i="5"/>
  <c r="AE4268" i="5"/>
  <c r="AD4268" i="5"/>
  <c r="E4268" i="5"/>
  <c r="AE4267" i="5"/>
  <c r="AD4267" i="5"/>
  <c r="E4267" i="5"/>
  <c r="AE4266" i="5"/>
  <c r="AD4266" i="5"/>
  <c r="E4266" i="5"/>
  <c r="AE4265" i="5"/>
  <c r="AD4265" i="5"/>
  <c r="E4265" i="5"/>
  <c r="AE4264" i="5"/>
  <c r="AD4264" i="5"/>
  <c r="E4264" i="5"/>
  <c r="AE4263" i="5"/>
  <c r="AD4263" i="5"/>
  <c r="E4263" i="5"/>
  <c r="AE4262" i="5"/>
  <c r="AD4262" i="5"/>
  <c r="E4262" i="5"/>
  <c r="AE4261" i="5"/>
  <c r="AD4261" i="5"/>
  <c r="E4261" i="5"/>
  <c r="AE4260" i="5"/>
  <c r="AD4260" i="5"/>
  <c r="E4260" i="5"/>
  <c r="AE4259" i="5"/>
  <c r="AD4259" i="5"/>
  <c r="E4259" i="5"/>
  <c r="AE4258" i="5"/>
  <c r="AD4258" i="5"/>
  <c r="E4258" i="5"/>
  <c r="AE4257" i="5"/>
  <c r="AD4257" i="5"/>
  <c r="E4257" i="5"/>
  <c r="AE4256" i="5"/>
  <c r="AD4256" i="5"/>
  <c r="E4256" i="5"/>
  <c r="AE4255" i="5"/>
  <c r="AD4255" i="5"/>
  <c r="E4255" i="5"/>
  <c r="AE4254" i="5"/>
  <c r="AD4254" i="5"/>
  <c r="E4254" i="5"/>
  <c r="AE4253" i="5"/>
  <c r="AD4253" i="5"/>
  <c r="E4253" i="5"/>
  <c r="AE4252" i="5"/>
  <c r="AD4252" i="5"/>
  <c r="E4252" i="5"/>
  <c r="AE4251" i="5"/>
  <c r="AD4251" i="5"/>
  <c r="E4251" i="5"/>
  <c r="AE4250" i="5"/>
  <c r="AD4250" i="5"/>
  <c r="E4250" i="5"/>
  <c r="AE4249" i="5"/>
  <c r="AD4249" i="5"/>
  <c r="E4249" i="5"/>
  <c r="AE4248" i="5"/>
  <c r="AD4248" i="5"/>
  <c r="E4248" i="5"/>
  <c r="AE4247" i="5"/>
  <c r="AD4247" i="5"/>
  <c r="E4247" i="5"/>
  <c r="AE4246" i="5"/>
  <c r="AD4246" i="5"/>
  <c r="E4246" i="5"/>
  <c r="AE4245" i="5"/>
  <c r="AD4245" i="5"/>
  <c r="E4245" i="5"/>
  <c r="AE4244" i="5"/>
  <c r="AD4244" i="5"/>
  <c r="E4244" i="5"/>
  <c r="AE4243" i="5"/>
  <c r="AD4243" i="5"/>
  <c r="E4243" i="5"/>
  <c r="AE4242" i="5"/>
  <c r="AD4242" i="5"/>
  <c r="E4242" i="5"/>
  <c r="AE4241" i="5"/>
  <c r="AD4241" i="5"/>
  <c r="E4241" i="5"/>
  <c r="AE4240" i="5"/>
  <c r="AD4240" i="5"/>
  <c r="E4240" i="5"/>
  <c r="AE4239" i="5"/>
  <c r="AD4239" i="5"/>
  <c r="E4239" i="5"/>
  <c r="AE4238" i="5"/>
  <c r="AD4238" i="5"/>
  <c r="E4238" i="5"/>
  <c r="AE4237" i="5"/>
  <c r="AD4237" i="5"/>
  <c r="E4237" i="5"/>
  <c r="AE4236" i="5"/>
  <c r="AD4236" i="5"/>
  <c r="E4236" i="5"/>
  <c r="AE4235" i="5"/>
  <c r="AD4235" i="5"/>
  <c r="E4235" i="5"/>
  <c r="AE4234" i="5"/>
  <c r="AD4234" i="5"/>
  <c r="E4234" i="5"/>
  <c r="AE4233" i="5"/>
  <c r="AD4233" i="5"/>
  <c r="E4233" i="5"/>
  <c r="AE4232" i="5"/>
  <c r="AD4232" i="5"/>
  <c r="E4232" i="5"/>
  <c r="AE4231" i="5"/>
  <c r="AD4231" i="5"/>
  <c r="E4231" i="5"/>
  <c r="AE4230" i="5"/>
  <c r="AD4230" i="5"/>
  <c r="E4230" i="5"/>
  <c r="AE4229" i="5"/>
  <c r="AD4229" i="5"/>
  <c r="E4229" i="5"/>
  <c r="AE4228" i="5"/>
  <c r="AD4228" i="5"/>
  <c r="E4228" i="5"/>
  <c r="AE4227" i="5"/>
  <c r="AD4227" i="5"/>
  <c r="E4227" i="5"/>
  <c r="AE4226" i="5"/>
  <c r="AD4226" i="5"/>
  <c r="E4226" i="5"/>
  <c r="AE4225" i="5"/>
  <c r="AD4225" i="5"/>
  <c r="E4225" i="5"/>
  <c r="AE4224" i="5"/>
  <c r="AD4224" i="5"/>
  <c r="E4224" i="5"/>
  <c r="AE4223" i="5"/>
  <c r="AD4223" i="5"/>
  <c r="E4223" i="5"/>
  <c r="AE4222" i="5"/>
  <c r="AD4222" i="5"/>
  <c r="E4222" i="5"/>
  <c r="AE4221" i="5"/>
  <c r="AD4221" i="5"/>
  <c r="E4221" i="5"/>
  <c r="AE4220" i="5"/>
  <c r="AD4220" i="5"/>
  <c r="E4220" i="5"/>
  <c r="AE4219" i="5"/>
  <c r="AD4219" i="5"/>
  <c r="E4219" i="5"/>
  <c r="AE4218" i="5"/>
  <c r="AD4218" i="5"/>
  <c r="E4218" i="5"/>
  <c r="AE4217" i="5"/>
  <c r="AD4217" i="5"/>
  <c r="E4217" i="5"/>
  <c r="AE4216" i="5"/>
  <c r="AD4216" i="5"/>
  <c r="E4216" i="5"/>
  <c r="AE4215" i="5"/>
  <c r="AD4215" i="5"/>
  <c r="E4215" i="5"/>
  <c r="AE4214" i="5"/>
  <c r="AD4214" i="5"/>
  <c r="E4214" i="5"/>
  <c r="AE4213" i="5"/>
  <c r="AD4213" i="5"/>
  <c r="E4213" i="5"/>
  <c r="AE4212" i="5"/>
  <c r="AD4212" i="5"/>
  <c r="E4212" i="5"/>
  <c r="AE4211" i="5"/>
  <c r="AD4211" i="5"/>
  <c r="E4211" i="5"/>
  <c r="AE4210" i="5"/>
  <c r="AD4210" i="5"/>
  <c r="E4210" i="5"/>
  <c r="AE4209" i="5"/>
  <c r="AD4209" i="5"/>
  <c r="E4209" i="5"/>
  <c r="AE4208" i="5"/>
  <c r="AD4208" i="5"/>
  <c r="E4208" i="5"/>
  <c r="AE4207" i="5"/>
  <c r="AD4207" i="5"/>
  <c r="E4207" i="5"/>
  <c r="AE4206" i="5"/>
  <c r="AD4206" i="5"/>
  <c r="E4206" i="5"/>
  <c r="AE4205" i="5"/>
  <c r="AD4205" i="5"/>
  <c r="E4205" i="5"/>
  <c r="AE4204" i="5"/>
  <c r="AD4204" i="5"/>
  <c r="E4204" i="5"/>
  <c r="AE4203" i="5"/>
  <c r="AD4203" i="5"/>
  <c r="E4203" i="5"/>
  <c r="AE4202" i="5"/>
  <c r="AD4202" i="5"/>
  <c r="E4202" i="5"/>
  <c r="AE4201" i="5"/>
  <c r="AD4201" i="5"/>
  <c r="E4201" i="5"/>
  <c r="AE4200" i="5"/>
  <c r="AD4200" i="5"/>
  <c r="E4200" i="5"/>
  <c r="AE4199" i="5"/>
  <c r="AD4199" i="5"/>
  <c r="E4199" i="5"/>
  <c r="AE4198" i="5"/>
  <c r="AD4198" i="5"/>
  <c r="E4198" i="5"/>
  <c r="AE4197" i="5"/>
  <c r="AD4197" i="5"/>
  <c r="E4197" i="5"/>
  <c r="AE4196" i="5"/>
  <c r="AD4196" i="5"/>
  <c r="E4196" i="5"/>
  <c r="AE4195" i="5"/>
  <c r="AD4195" i="5"/>
  <c r="E4195" i="5"/>
  <c r="AE4194" i="5"/>
  <c r="AD4194" i="5"/>
  <c r="E4194" i="5"/>
  <c r="AE4193" i="5"/>
  <c r="AD4193" i="5"/>
  <c r="E4193" i="5"/>
  <c r="AE4192" i="5"/>
  <c r="AD4192" i="5"/>
  <c r="E4192" i="5"/>
  <c r="AE4191" i="5"/>
  <c r="AD4191" i="5"/>
  <c r="E4191" i="5"/>
  <c r="AE4190" i="5"/>
  <c r="AD4190" i="5"/>
  <c r="E4190" i="5"/>
  <c r="AE4189" i="5"/>
  <c r="AD4189" i="5"/>
  <c r="E4189" i="5"/>
  <c r="AE4188" i="5"/>
  <c r="AD4188" i="5"/>
  <c r="E4188" i="5"/>
  <c r="AE4187" i="5"/>
  <c r="AD4187" i="5"/>
  <c r="E4187" i="5"/>
  <c r="AE4186" i="5"/>
  <c r="AD4186" i="5"/>
  <c r="E4186" i="5"/>
  <c r="AE4185" i="5"/>
  <c r="AD4185" i="5"/>
  <c r="E4185" i="5"/>
  <c r="AE4184" i="5"/>
  <c r="AD4184" i="5"/>
  <c r="E4184" i="5"/>
  <c r="AE4183" i="5"/>
  <c r="AD4183" i="5"/>
  <c r="E4183" i="5"/>
  <c r="AE4182" i="5"/>
  <c r="AD4182" i="5"/>
  <c r="E4182" i="5"/>
  <c r="AE4181" i="5"/>
  <c r="AD4181" i="5"/>
  <c r="E4181" i="5"/>
  <c r="AE4180" i="5"/>
  <c r="AD4180" i="5"/>
  <c r="E4180" i="5"/>
  <c r="AE4179" i="5"/>
  <c r="AD4179" i="5"/>
  <c r="E4179" i="5"/>
  <c r="AE4178" i="5"/>
  <c r="AD4178" i="5"/>
  <c r="E4178" i="5"/>
  <c r="AE4177" i="5"/>
  <c r="AD4177" i="5"/>
  <c r="E4177" i="5"/>
  <c r="AE4176" i="5"/>
  <c r="AD4176" i="5"/>
  <c r="E4176" i="5"/>
  <c r="AE4175" i="5"/>
  <c r="AD4175" i="5"/>
  <c r="E4175" i="5"/>
  <c r="AE4174" i="5"/>
  <c r="AD4174" i="5"/>
  <c r="E4174" i="5"/>
  <c r="AE4173" i="5"/>
  <c r="AD4173" i="5"/>
  <c r="E4173" i="5"/>
  <c r="AE4172" i="5"/>
  <c r="AD4172" i="5"/>
  <c r="E4172" i="5"/>
  <c r="AE4171" i="5"/>
  <c r="AD4171" i="5"/>
  <c r="E4171" i="5"/>
  <c r="AE4170" i="5"/>
  <c r="AD4170" i="5"/>
  <c r="E4170" i="5"/>
  <c r="AE4169" i="5"/>
  <c r="AD4169" i="5"/>
  <c r="E4169" i="5"/>
  <c r="AE4168" i="5"/>
  <c r="AD4168" i="5"/>
  <c r="E4168" i="5"/>
  <c r="AE4167" i="5"/>
  <c r="AD4167" i="5"/>
  <c r="E4167" i="5"/>
  <c r="AE4166" i="5"/>
  <c r="AD4166" i="5"/>
  <c r="E4166" i="5"/>
  <c r="AE4165" i="5"/>
  <c r="AD4165" i="5"/>
  <c r="E4165" i="5"/>
  <c r="AE4164" i="5"/>
  <c r="AD4164" i="5"/>
  <c r="E4164" i="5"/>
  <c r="AE4163" i="5"/>
  <c r="AD4163" i="5"/>
  <c r="E4163" i="5"/>
  <c r="AE4162" i="5"/>
  <c r="AD4162" i="5"/>
  <c r="E4162" i="5"/>
  <c r="AE4161" i="5"/>
  <c r="AD4161" i="5"/>
  <c r="E4161" i="5"/>
  <c r="AE4160" i="5"/>
  <c r="AD4160" i="5"/>
  <c r="E4160" i="5"/>
  <c r="AE4159" i="5"/>
  <c r="AD4159" i="5"/>
  <c r="E4159" i="5"/>
  <c r="AE4158" i="5"/>
  <c r="AD4158" i="5"/>
  <c r="E4158" i="5"/>
  <c r="AE4157" i="5"/>
  <c r="AD4157" i="5"/>
  <c r="E4157" i="5"/>
  <c r="AE4156" i="5"/>
  <c r="AD4156" i="5"/>
  <c r="E4156" i="5"/>
  <c r="AE4155" i="5"/>
  <c r="AD4155" i="5"/>
  <c r="E4155" i="5"/>
  <c r="AE4154" i="5"/>
  <c r="AD4154" i="5"/>
  <c r="E4154" i="5"/>
  <c r="AE4153" i="5"/>
  <c r="AD4153" i="5"/>
  <c r="E4153" i="5"/>
  <c r="AE4152" i="5"/>
  <c r="AD4152" i="5"/>
  <c r="E4152" i="5"/>
  <c r="AE4151" i="5"/>
  <c r="AD4151" i="5"/>
  <c r="E4151" i="5"/>
  <c r="AE4150" i="5"/>
  <c r="AD4150" i="5"/>
  <c r="E4150" i="5"/>
  <c r="AE4149" i="5"/>
  <c r="AD4149" i="5"/>
  <c r="E4149" i="5"/>
  <c r="AE4148" i="5"/>
  <c r="AD4148" i="5"/>
  <c r="E4148" i="5"/>
  <c r="AE4147" i="5"/>
  <c r="AD4147" i="5"/>
  <c r="E4147" i="5"/>
  <c r="AE4146" i="5"/>
  <c r="AD4146" i="5"/>
  <c r="E4146" i="5"/>
  <c r="AE4145" i="5"/>
  <c r="AD4145" i="5"/>
  <c r="E4145" i="5"/>
  <c r="AE4144" i="5"/>
  <c r="AD4144" i="5"/>
  <c r="E4144" i="5"/>
  <c r="AE4143" i="5"/>
  <c r="AD4143" i="5"/>
  <c r="E4143" i="5"/>
  <c r="AE4142" i="5"/>
  <c r="AD4142" i="5"/>
  <c r="E4142" i="5"/>
  <c r="AE4141" i="5"/>
  <c r="AD4141" i="5"/>
  <c r="E4141" i="5"/>
  <c r="AE4140" i="5"/>
  <c r="AD4140" i="5"/>
  <c r="E4140" i="5"/>
  <c r="AE4139" i="5"/>
  <c r="AD4139" i="5"/>
  <c r="E4139" i="5"/>
  <c r="AE4138" i="5"/>
  <c r="AD4138" i="5"/>
  <c r="E4138" i="5"/>
  <c r="AE4137" i="5"/>
  <c r="AD4137" i="5"/>
  <c r="E4137" i="5"/>
  <c r="AE4136" i="5"/>
  <c r="AD4136" i="5"/>
  <c r="E4136" i="5"/>
  <c r="AE4135" i="5"/>
  <c r="AD4135" i="5"/>
  <c r="E4135" i="5"/>
  <c r="AE4134" i="5"/>
  <c r="AD4134" i="5"/>
  <c r="E4134" i="5"/>
  <c r="AE4133" i="5"/>
  <c r="AD4133" i="5"/>
  <c r="E4133" i="5"/>
  <c r="AE4132" i="5"/>
  <c r="AD4132" i="5"/>
  <c r="E4132" i="5"/>
  <c r="AE4131" i="5"/>
  <c r="AD4131" i="5"/>
  <c r="E4131" i="5"/>
  <c r="AE4130" i="5"/>
  <c r="AD4130" i="5"/>
  <c r="E4130" i="5"/>
  <c r="AE4129" i="5"/>
  <c r="AD4129" i="5"/>
  <c r="E4129" i="5"/>
  <c r="AE4128" i="5"/>
  <c r="AD4128" i="5"/>
  <c r="E4128" i="5"/>
  <c r="AE4127" i="5"/>
  <c r="AD4127" i="5"/>
  <c r="E4127" i="5"/>
  <c r="AE4126" i="5"/>
  <c r="AD4126" i="5"/>
  <c r="E4126" i="5"/>
  <c r="AE4125" i="5"/>
  <c r="AD4125" i="5"/>
  <c r="E4125" i="5"/>
  <c r="AE4124" i="5"/>
  <c r="AD4124" i="5"/>
  <c r="E4124" i="5"/>
  <c r="AE4123" i="5"/>
  <c r="AD4123" i="5"/>
  <c r="E4123" i="5"/>
  <c r="AE4122" i="5"/>
  <c r="AD4122" i="5"/>
  <c r="E4122" i="5"/>
  <c r="AE4121" i="5"/>
  <c r="AD4121" i="5"/>
  <c r="E4121" i="5"/>
  <c r="AE4120" i="5"/>
  <c r="AD4120" i="5"/>
  <c r="E4120" i="5"/>
  <c r="AE4119" i="5"/>
  <c r="AD4119" i="5"/>
  <c r="E4119" i="5"/>
  <c r="AE4118" i="5"/>
  <c r="AD4118" i="5"/>
  <c r="E4118" i="5"/>
  <c r="AE4117" i="5"/>
  <c r="AD4117" i="5"/>
  <c r="E4117" i="5"/>
  <c r="AE4116" i="5"/>
  <c r="AD4116" i="5"/>
  <c r="E4116" i="5"/>
  <c r="AE4115" i="5"/>
  <c r="AD4115" i="5"/>
  <c r="E4115" i="5"/>
  <c r="AE4114" i="5"/>
  <c r="AD4114" i="5"/>
  <c r="E4114" i="5"/>
  <c r="AE4113" i="5"/>
  <c r="AD4113" i="5"/>
  <c r="E4113" i="5"/>
  <c r="AE4112" i="5"/>
  <c r="AD4112" i="5"/>
  <c r="E4112" i="5"/>
  <c r="AE4111" i="5"/>
  <c r="AD4111" i="5"/>
  <c r="E4111" i="5"/>
  <c r="AE4110" i="5"/>
  <c r="AD4110" i="5"/>
  <c r="E4110" i="5"/>
  <c r="AE4109" i="5"/>
  <c r="AD4109" i="5"/>
  <c r="E4109" i="5"/>
  <c r="AE4108" i="5"/>
  <c r="AD4108" i="5"/>
  <c r="E4108" i="5"/>
  <c r="AE4107" i="5"/>
  <c r="AD4107" i="5"/>
  <c r="E4107" i="5"/>
  <c r="AE4106" i="5"/>
  <c r="AD4106" i="5"/>
  <c r="E4106" i="5"/>
  <c r="AE4105" i="5"/>
  <c r="AD4105" i="5"/>
  <c r="E4105" i="5"/>
  <c r="AE4104" i="5"/>
  <c r="AD4104" i="5"/>
  <c r="E4104" i="5"/>
  <c r="AE4103" i="5"/>
  <c r="AD4103" i="5"/>
  <c r="E4103" i="5"/>
  <c r="AE4102" i="5"/>
  <c r="AD4102" i="5"/>
  <c r="E4102" i="5"/>
  <c r="AE4101" i="5"/>
  <c r="AD4101" i="5"/>
  <c r="E4101" i="5"/>
  <c r="AE4100" i="5"/>
  <c r="AD4100" i="5"/>
  <c r="E4100" i="5"/>
  <c r="AE4099" i="5"/>
  <c r="AD4099" i="5"/>
  <c r="E4099" i="5"/>
  <c r="AE4098" i="5"/>
  <c r="AD4098" i="5"/>
  <c r="E4098" i="5"/>
  <c r="AE4097" i="5"/>
  <c r="AD4097" i="5"/>
  <c r="E4097" i="5"/>
  <c r="AE4096" i="5"/>
  <c r="AD4096" i="5"/>
  <c r="E4096" i="5"/>
  <c r="AE4095" i="5"/>
  <c r="AD4095" i="5"/>
  <c r="E4095" i="5"/>
  <c r="AE4094" i="5"/>
  <c r="AD4094" i="5"/>
  <c r="E4094" i="5"/>
  <c r="AE4093" i="5"/>
  <c r="AD4093" i="5"/>
  <c r="E4093" i="5"/>
  <c r="AE4092" i="5"/>
  <c r="AD4092" i="5"/>
  <c r="E4092" i="5"/>
  <c r="AE4091" i="5"/>
  <c r="AD4091" i="5"/>
  <c r="E4091" i="5"/>
  <c r="AE4090" i="5"/>
  <c r="AD4090" i="5"/>
  <c r="E4090" i="5"/>
  <c r="AE4089" i="5"/>
  <c r="AD4089" i="5"/>
  <c r="E4089" i="5"/>
  <c r="AE4088" i="5"/>
  <c r="AD4088" i="5"/>
  <c r="E4088" i="5"/>
  <c r="AE4087" i="5"/>
  <c r="AD4087" i="5"/>
  <c r="E4087" i="5"/>
  <c r="AE4086" i="5"/>
  <c r="AD4086" i="5"/>
  <c r="E4086" i="5"/>
  <c r="AE4085" i="5"/>
  <c r="AD4085" i="5"/>
  <c r="E4085" i="5"/>
  <c r="AE4084" i="5"/>
  <c r="AD4084" i="5"/>
  <c r="E4084" i="5"/>
  <c r="AE4083" i="5"/>
  <c r="AD4083" i="5"/>
  <c r="E4083" i="5"/>
  <c r="AE4082" i="5"/>
  <c r="AD4082" i="5"/>
  <c r="E4082" i="5"/>
  <c r="AE4081" i="5"/>
  <c r="AD4081" i="5"/>
  <c r="E4081" i="5"/>
  <c r="AE4080" i="5"/>
  <c r="AD4080" i="5"/>
  <c r="E4080" i="5"/>
  <c r="AE4079" i="5"/>
  <c r="AD4079" i="5"/>
  <c r="E4079" i="5"/>
  <c r="AE4078" i="5"/>
  <c r="AD4078" i="5"/>
  <c r="E4078" i="5"/>
  <c r="AE4077" i="5"/>
  <c r="AD4077" i="5"/>
  <c r="E4077" i="5"/>
  <c r="AE4076" i="5"/>
  <c r="AD4076" i="5"/>
  <c r="E4076" i="5"/>
  <c r="AE4075" i="5"/>
  <c r="AD4075" i="5"/>
  <c r="E4075" i="5"/>
  <c r="AE4074" i="5"/>
  <c r="AD4074" i="5"/>
  <c r="E4074" i="5"/>
  <c r="AE4073" i="5"/>
  <c r="AD4073" i="5"/>
  <c r="E4073" i="5"/>
  <c r="AE4072" i="5"/>
  <c r="AD4072" i="5"/>
  <c r="E4072" i="5"/>
  <c r="AE4071" i="5"/>
  <c r="AD4071" i="5"/>
  <c r="E4071" i="5"/>
  <c r="AE4070" i="5"/>
  <c r="AD4070" i="5"/>
  <c r="E4070" i="5"/>
  <c r="AE4069" i="5"/>
  <c r="AD4069" i="5"/>
  <c r="E4069" i="5"/>
  <c r="AE4068" i="5"/>
  <c r="AD4068" i="5"/>
  <c r="E4068" i="5"/>
  <c r="AE4067" i="5"/>
  <c r="AD4067" i="5"/>
  <c r="E4067" i="5"/>
  <c r="AE4066" i="5"/>
  <c r="AD4066" i="5"/>
  <c r="E4066" i="5"/>
  <c r="AE4065" i="5"/>
  <c r="AD4065" i="5"/>
  <c r="E4065" i="5"/>
  <c r="AE4064" i="5"/>
  <c r="AD4064" i="5"/>
  <c r="E4064" i="5"/>
  <c r="AE4063" i="5"/>
  <c r="AD4063" i="5"/>
  <c r="E4063" i="5"/>
  <c r="AE4062" i="5"/>
  <c r="AD4062" i="5"/>
  <c r="E4062" i="5"/>
  <c r="AE4061" i="5"/>
  <c r="AD4061" i="5"/>
  <c r="E4061" i="5"/>
  <c r="AE4060" i="5"/>
  <c r="AD4060" i="5"/>
  <c r="E4060" i="5"/>
  <c r="AE4059" i="5"/>
  <c r="AD4059" i="5"/>
  <c r="E4059" i="5"/>
  <c r="AE4058" i="5"/>
  <c r="AD4058" i="5"/>
  <c r="E4058" i="5"/>
  <c r="AE4057" i="5"/>
  <c r="AD4057" i="5"/>
  <c r="E4057" i="5"/>
  <c r="AE4056" i="5"/>
  <c r="AD4056" i="5"/>
  <c r="E4056" i="5"/>
  <c r="AE4055" i="5"/>
  <c r="AD4055" i="5"/>
  <c r="E4055" i="5"/>
  <c r="AE4054" i="5"/>
  <c r="AD4054" i="5"/>
  <c r="E4054" i="5"/>
  <c r="AE4053" i="5"/>
  <c r="AD4053" i="5"/>
  <c r="E4053" i="5"/>
  <c r="AE4052" i="5"/>
  <c r="AD4052" i="5"/>
  <c r="E4052" i="5"/>
  <c r="AE4051" i="5"/>
  <c r="AD4051" i="5"/>
  <c r="E4051" i="5"/>
  <c r="AE4050" i="5"/>
  <c r="AD4050" i="5"/>
  <c r="E4050" i="5"/>
  <c r="AE4049" i="5"/>
  <c r="AD4049" i="5"/>
  <c r="E4049" i="5"/>
  <c r="AE4048" i="5"/>
  <c r="AD4048" i="5"/>
  <c r="E4048" i="5"/>
  <c r="AE4047" i="5"/>
  <c r="AD4047" i="5"/>
  <c r="E4047" i="5"/>
  <c r="AE4046" i="5"/>
  <c r="AD4046" i="5"/>
  <c r="E4046" i="5"/>
  <c r="AE4045" i="5"/>
  <c r="AD4045" i="5"/>
  <c r="E4045" i="5"/>
  <c r="AE4044" i="5"/>
  <c r="AD4044" i="5"/>
  <c r="E4044" i="5"/>
  <c r="AE4043" i="5"/>
  <c r="AD4043" i="5"/>
  <c r="E4043" i="5"/>
  <c r="AE4042" i="5"/>
  <c r="AD4042" i="5"/>
  <c r="E4042" i="5"/>
  <c r="AE4041" i="5"/>
  <c r="AD4041" i="5"/>
  <c r="E4041" i="5"/>
  <c r="AE4040" i="5"/>
  <c r="AD4040" i="5"/>
  <c r="E4040" i="5"/>
  <c r="AE4039" i="5"/>
  <c r="AD4039" i="5"/>
  <c r="E4039" i="5"/>
  <c r="AE4038" i="5"/>
  <c r="AD4038" i="5"/>
  <c r="E4038" i="5"/>
  <c r="AE4037" i="5"/>
  <c r="AD4037" i="5"/>
  <c r="E4037" i="5"/>
  <c r="AE4036" i="5"/>
  <c r="AD4036" i="5"/>
  <c r="E4036" i="5"/>
  <c r="AE4035" i="5"/>
  <c r="AD4035" i="5"/>
  <c r="E4035" i="5"/>
  <c r="AE4034" i="5"/>
  <c r="AD4034" i="5"/>
  <c r="E4034" i="5"/>
  <c r="AE4033" i="5"/>
  <c r="AD4033" i="5"/>
  <c r="E4033" i="5"/>
  <c r="AE4032" i="5"/>
  <c r="AD4032" i="5"/>
  <c r="E4032" i="5"/>
  <c r="AE4031" i="5"/>
  <c r="AD4031" i="5"/>
  <c r="E4031" i="5"/>
  <c r="AE4030" i="5"/>
  <c r="AD4030" i="5"/>
  <c r="E4030" i="5"/>
  <c r="AE4029" i="5"/>
  <c r="AD4029" i="5"/>
  <c r="E4029" i="5"/>
  <c r="AE4028" i="5"/>
  <c r="AD4028" i="5"/>
  <c r="E4028" i="5"/>
  <c r="AE4027" i="5"/>
  <c r="AD4027" i="5"/>
  <c r="E4027" i="5"/>
  <c r="AE4026" i="5"/>
  <c r="AD4026" i="5"/>
  <c r="E4026" i="5"/>
  <c r="AE4025" i="5"/>
  <c r="AD4025" i="5"/>
  <c r="E4025" i="5"/>
  <c r="AE4024" i="5"/>
  <c r="AD4024" i="5"/>
  <c r="E4024" i="5"/>
  <c r="AE4023" i="5"/>
  <c r="AD4023" i="5"/>
  <c r="E4023" i="5"/>
  <c r="AE4022" i="5"/>
  <c r="AD4022" i="5"/>
  <c r="E4022" i="5"/>
  <c r="AE4021" i="5"/>
  <c r="AD4021" i="5"/>
  <c r="E4021" i="5"/>
  <c r="AE4020" i="5"/>
  <c r="AD4020" i="5"/>
  <c r="E4020" i="5"/>
  <c r="AE4019" i="5"/>
  <c r="AD4019" i="5"/>
  <c r="E4019" i="5"/>
  <c r="AE4018" i="5"/>
  <c r="AD4018" i="5"/>
  <c r="E4018" i="5"/>
  <c r="AE4017" i="5"/>
  <c r="AD4017" i="5"/>
  <c r="E4017" i="5"/>
  <c r="AE4016" i="5"/>
  <c r="AD4016" i="5"/>
  <c r="E4016" i="5"/>
  <c r="AE4015" i="5"/>
  <c r="AD4015" i="5"/>
  <c r="E4015" i="5"/>
  <c r="AE4014" i="5"/>
  <c r="AD4014" i="5"/>
  <c r="E4014" i="5"/>
  <c r="AE4013" i="5"/>
  <c r="AD4013" i="5"/>
  <c r="E4013" i="5"/>
  <c r="AE4012" i="5"/>
  <c r="AD4012" i="5"/>
  <c r="E4012" i="5"/>
  <c r="AE4011" i="5"/>
  <c r="AD4011" i="5"/>
  <c r="E4011" i="5"/>
  <c r="AE4010" i="5"/>
  <c r="AD4010" i="5"/>
  <c r="E4010" i="5"/>
  <c r="AE4009" i="5"/>
  <c r="AD4009" i="5"/>
  <c r="E4009" i="5"/>
  <c r="AE4008" i="5"/>
  <c r="AD4008" i="5"/>
  <c r="E4008" i="5"/>
  <c r="AE4007" i="5"/>
  <c r="AD4007" i="5"/>
  <c r="E4007" i="5"/>
  <c r="AE4006" i="5"/>
  <c r="AD4006" i="5"/>
  <c r="E4006" i="5"/>
  <c r="AE4005" i="5"/>
  <c r="AD4005" i="5"/>
  <c r="E4005" i="5"/>
  <c r="AE4004" i="5"/>
  <c r="AD4004" i="5"/>
  <c r="E4004" i="5"/>
  <c r="AE4003" i="5"/>
  <c r="AD4003" i="5"/>
  <c r="E4003" i="5"/>
  <c r="AE4002" i="5"/>
  <c r="AD4002" i="5"/>
  <c r="E4002" i="5"/>
  <c r="AE4001" i="5"/>
  <c r="AD4001" i="5"/>
  <c r="E4001" i="5"/>
  <c r="AE4000" i="5"/>
  <c r="AD4000" i="5"/>
  <c r="E4000" i="5"/>
  <c r="AE3999" i="5"/>
  <c r="AD3999" i="5"/>
  <c r="E3999" i="5"/>
  <c r="AE3998" i="5"/>
  <c r="AD3998" i="5"/>
  <c r="E3998" i="5"/>
  <c r="AE3997" i="5"/>
  <c r="AD3997" i="5"/>
  <c r="E3997" i="5"/>
  <c r="AE3996" i="5"/>
  <c r="AD3996" i="5"/>
  <c r="E3996" i="5"/>
  <c r="AE3995" i="5"/>
  <c r="AD3995" i="5"/>
  <c r="E3995" i="5"/>
  <c r="AE3994" i="5"/>
  <c r="AD3994" i="5"/>
  <c r="E3994" i="5"/>
  <c r="AE3993" i="5"/>
  <c r="AD3993" i="5"/>
  <c r="E3993" i="5"/>
  <c r="AE3992" i="5"/>
  <c r="AD3992" i="5"/>
  <c r="E3992" i="5"/>
  <c r="AE3991" i="5"/>
  <c r="AD3991" i="5"/>
  <c r="E3991" i="5"/>
  <c r="AE3990" i="5"/>
  <c r="AD3990" i="5"/>
  <c r="E3990" i="5"/>
  <c r="AE3989" i="5"/>
  <c r="AD3989" i="5"/>
  <c r="E3989" i="5"/>
  <c r="AE3988" i="5"/>
  <c r="AD3988" i="5"/>
  <c r="E3988" i="5"/>
  <c r="AE3987" i="5"/>
  <c r="AD3987" i="5"/>
  <c r="E3987" i="5"/>
  <c r="AE3986" i="5"/>
  <c r="AD3986" i="5"/>
  <c r="E3986" i="5"/>
  <c r="AE3985" i="5"/>
  <c r="AD3985" i="5"/>
  <c r="E3985" i="5"/>
  <c r="AE3984" i="5"/>
  <c r="AD3984" i="5"/>
  <c r="E3984" i="5"/>
  <c r="AE3983" i="5"/>
  <c r="AD3983" i="5"/>
  <c r="E3983" i="5"/>
  <c r="AE3982" i="5"/>
  <c r="AD3982" i="5"/>
  <c r="E3982" i="5"/>
  <c r="AE3981" i="5"/>
  <c r="AD3981" i="5"/>
  <c r="E3981" i="5"/>
  <c r="AE3980" i="5"/>
  <c r="AD3980" i="5"/>
  <c r="E3980" i="5"/>
  <c r="AE3979" i="5"/>
  <c r="AD3979" i="5"/>
  <c r="E3979" i="5"/>
  <c r="AE3978" i="5"/>
  <c r="AD3978" i="5"/>
  <c r="E3978" i="5"/>
  <c r="AE3977" i="5"/>
  <c r="AD3977" i="5"/>
  <c r="E3977" i="5"/>
  <c r="AE3976" i="5"/>
  <c r="AD3976" i="5"/>
  <c r="E3976" i="5"/>
  <c r="AE3975" i="5"/>
  <c r="AD3975" i="5"/>
  <c r="E3975" i="5"/>
  <c r="AE3974" i="5"/>
  <c r="AD3974" i="5"/>
  <c r="E3974" i="5"/>
  <c r="AE3973" i="5"/>
  <c r="AD3973" i="5"/>
  <c r="E3973" i="5"/>
  <c r="AE3972" i="5"/>
  <c r="AD3972" i="5"/>
  <c r="E3972" i="5"/>
  <c r="AE3971" i="5"/>
  <c r="AD3971" i="5"/>
  <c r="E3971" i="5"/>
  <c r="AE3970" i="5"/>
  <c r="AD3970" i="5"/>
  <c r="E3970" i="5"/>
  <c r="AE3969" i="5"/>
  <c r="AD3969" i="5"/>
  <c r="E3969" i="5"/>
  <c r="AE3968" i="5"/>
  <c r="AD3968" i="5"/>
  <c r="E3968" i="5"/>
  <c r="AE3967" i="5"/>
  <c r="AD3967" i="5"/>
  <c r="E3967" i="5"/>
  <c r="AE3966" i="5"/>
  <c r="AD3966" i="5"/>
  <c r="E3966" i="5"/>
  <c r="AE3965" i="5"/>
  <c r="AD3965" i="5"/>
  <c r="E3965" i="5"/>
  <c r="AE3964" i="5"/>
  <c r="AD3964" i="5"/>
  <c r="E3964" i="5"/>
  <c r="AE3963" i="5"/>
  <c r="AD3963" i="5"/>
  <c r="E3963" i="5"/>
  <c r="AE3962" i="5"/>
  <c r="AD3962" i="5"/>
  <c r="E3962" i="5"/>
  <c r="AE3961" i="5"/>
  <c r="AD3961" i="5"/>
  <c r="E3961" i="5"/>
  <c r="AE3960" i="5"/>
  <c r="AD3960" i="5"/>
  <c r="E3960" i="5"/>
  <c r="AE3959" i="5"/>
  <c r="AD3959" i="5"/>
  <c r="E3959" i="5"/>
  <c r="AE3958" i="5"/>
  <c r="AD3958" i="5"/>
  <c r="E3958" i="5"/>
  <c r="AE3957" i="5"/>
  <c r="AD3957" i="5"/>
  <c r="E3957" i="5"/>
  <c r="AE3956" i="5"/>
  <c r="AD3956" i="5"/>
  <c r="E3956" i="5"/>
  <c r="AE3955" i="5"/>
  <c r="AD3955" i="5"/>
  <c r="E3955" i="5"/>
  <c r="AE3954" i="5"/>
  <c r="AD3954" i="5"/>
  <c r="E3954" i="5"/>
  <c r="AE3953" i="5"/>
  <c r="AD3953" i="5"/>
  <c r="E3953" i="5"/>
  <c r="AE3952" i="5"/>
  <c r="AD3952" i="5"/>
  <c r="E3952" i="5"/>
  <c r="AE3951" i="5"/>
  <c r="AD3951" i="5"/>
  <c r="E3951" i="5"/>
  <c r="AE3950" i="5"/>
  <c r="AD3950" i="5"/>
  <c r="E3950" i="5"/>
  <c r="AE3949" i="5"/>
  <c r="AD3949" i="5"/>
  <c r="E3949" i="5"/>
  <c r="AE3948" i="5"/>
  <c r="AD3948" i="5"/>
  <c r="E3948" i="5"/>
  <c r="AE3947" i="5"/>
  <c r="AD3947" i="5"/>
  <c r="E3947" i="5"/>
  <c r="AE3946" i="5"/>
  <c r="AD3946" i="5"/>
  <c r="E3946" i="5"/>
  <c r="AE3945" i="5"/>
  <c r="AD3945" i="5"/>
  <c r="E3945" i="5"/>
  <c r="AE3944" i="5"/>
  <c r="AD3944" i="5"/>
  <c r="E3944" i="5"/>
  <c r="AE3943" i="5"/>
  <c r="AD3943" i="5"/>
  <c r="E3943" i="5"/>
  <c r="AE3942" i="5"/>
  <c r="AD3942" i="5"/>
  <c r="E3942" i="5"/>
  <c r="AE3941" i="5"/>
  <c r="AD3941" i="5"/>
  <c r="E3941" i="5"/>
  <c r="AE3940" i="5"/>
  <c r="AD3940" i="5"/>
  <c r="E3940" i="5"/>
  <c r="AE3939" i="5"/>
  <c r="AD3939" i="5"/>
  <c r="E3939" i="5"/>
  <c r="AE3938" i="5"/>
  <c r="AD3938" i="5"/>
  <c r="E3938" i="5"/>
  <c r="AE3937" i="5"/>
  <c r="AD3937" i="5"/>
  <c r="E3937" i="5"/>
  <c r="AE3936" i="5"/>
  <c r="AD3936" i="5"/>
  <c r="E3936" i="5"/>
  <c r="AE3935" i="5"/>
  <c r="AD3935" i="5"/>
  <c r="E3935" i="5"/>
  <c r="AE3934" i="5"/>
  <c r="AD3934" i="5"/>
  <c r="E3934" i="5"/>
  <c r="AE3933" i="5"/>
  <c r="AD3933" i="5"/>
  <c r="E3933" i="5"/>
  <c r="AE3932" i="5"/>
  <c r="AD3932" i="5"/>
  <c r="E3932" i="5"/>
  <c r="AE3931" i="5"/>
  <c r="AD3931" i="5"/>
  <c r="E3931" i="5"/>
  <c r="AE3930" i="5"/>
  <c r="AD3930" i="5"/>
  <c r="E3930" i="5"/>
  <c r="AE3929" i="5"/>
  <c r="AD3929" i="5"/>
  <c r="E3929" i="5"/>
  <c r="AE3928" i="5"/>
  <c r="AD3928" i="5"/>
  <c r="E3928" i="5"/>
  <c r="AE3927" i="5"/>
  <c r="AD3927" i="5"/>
  <c r="E3927" i="5"/>
  <c r="AE3926" i="5"/>
  <c r="AD3926" i="5"/>
  <c r="E3926" i="5"/>
  <c r="AE3925" i="5"/>
  <c r="AD3925" i="5"/>
  <c r="E3925" i="5"/>
  <c r="AE3924" i="5"/>
  <c r="AD3924" i="5"/>
  <c r="E3924" i="5"/>
  <c r="AE3923" i="5"/>
  <c r="AD3923" i="5"/>
  <c r="E3923" i="5"/>
  <c r="AE3922" i="5"/>
  <c r="AD3922" i="5"/>
  <c r="E3922" i="5"/>
  <c r="AE3921" i="5"/>
  <c r="AD3921" i="5"/>
  <c r="E3921" i="5"/>
  <c r="AE3920" i="5"/>
  <c r="AD3920" i="5"/>
  <c r="E3920" i="5"/>
  <c r="AE3919" i="5"/>
  <c r="AD3919" i="5"/>
  <c r="E3919" i="5"/>
  <c r="AE3918" i="5"/>
  <c r="AD3918" i="5"/>
  <c r="E3918" i="5"/>
  <c r="AE3917" i="5"/>
  <c r="AD3917" i="5"/>
  <c r="E3917" i="5"/>
  <c r="AE3916" i="5"/>
  <c r="AD3916" i="5"/>
  <c r="E3916" i="5"/>
  <c r="AE3915" i="5"/>
  <c r="AD3915" i="5"/>
  <c r="E3915" i="5"/>
  <c r="AE3914" i="5"/>
  <c r="AD3914" i="5"/>
  <c r="E3914" i="5"/>
  <c r="AE3913" i="5"/>
  <c r="AD3913" i="5"/>
  <c r="E3913" i="5"/>
  <c r="AE3912" i="5"/>
  <c r="AD3912" i="5"/>
  <c r="E3912" i="5"/>
  <c r="AE3911" i="5"/>
  <c r="AD3911" i="5"/>
  <c r="E3911" i="5"/>
  <c r="AE3910" i="5"/>
  <c r="AD3910" i="5"/>
  <c r="E3910" i="5"/>
  <c r="AE3909" i="5"/>
  <c r="AD3909" i="5"/>
  <c r="E3909" i="5"/>
  <c r="AE3908" i="5"/>
  <c r="AD3908" i="5"/>
  <c r="E3908" i="5"/>
  <c r="AE3907" i="5"/>
  <c r="AD3907" i="5"/>
  <c r="E3907" i="5"/>
  <c r="AE3906" i="5"/>
  <c r="AD3906" i="5"/>
  <c r="E3906" i="5"/>
  <c r="AE3905" i="5"/>
  <c r="AD3905" i="5"/>
  <c r="E3905" i="5"/>
  <c r="AE3904" i="5"/>
  <c r="AD3904" i="5"/>
  <c r="E3904" i="5"/>
  <c r="AE3903" i="5"/>
  <c r="AD3903" i="5"/>
  <c r="E3903" i="5"/>
  <c r="AE3902" i="5"/>
  <c r="AD3902" i="5"/>
  <c r="E3902" i="5"/>
  <c r="AE3901" i="5"/>
  <c r="AD3901" i="5"/>
  <c r="E3901" i="5"/>
  <c r="AE3900" i="5"/>
  <c r="AD3900" i="5"/>
  <c r="E3900" i="5"/>
  <c r="AE3899" i="5"/>
  <c r="AD3899" i="5"/>
  <c r="E3899" i="5"/>
  <c r="AE3898" i="5"/>
  <c r="AD3898" i="5"/>
  <c r="E3898" i="5"/>
  <c r="AE3897" i="5"/>
  <c r="AD3897" i="5"/>
  <c r="E3897" i="5"/>
  <c r="AE3896" i="5"/>
  <c r="AD3896" i="5"/>
  <c r="E3896" i="5"/>
  <c r="AE3895" i="5"/>
  <c r="AD3895" i="5"/>
  <c r="E3895" i="5"/>
  <c r="AE3894" i="5"/>
  <c r="AD3894" i="5"/>
  <c r="E3894" i="5"/>
  <c r="AE3893" i="5"/>
  <c r="AD3893" i="5"/>
  <c r="E3893" i="5"/>
  <c r="AE3892" i="5"/>
  <c r="AD3892" i="5"/>
  <c r="E3892" i="5"/>
  <c r="AE3891" i="5"/>
  <c r="AD3891" i="5"/>
  <c r="E3891" i="5"/>
  <c r="AE3890" i="5"/>
  <c r="AD3890" i="5"/>
  <c r="E3890" i="5"/>
  <c r="AE3889" i="5"/>
  <c r="AD3889" i="5"/>
  <c r="E3889" i="5"/>
  <c r="AE3888" i="5"/>
  <c r="AD3888" i="5"/>
  <c r="E3888" i="5"/>
  <c r="AE3887" i="5"/>
  <c r="AD3887" i="5"/>
  <c r="E3887" i="5"/>
  <c r="AE3886" i="5"/>
  <c r="AD3886" i="5"/>
  <c r="E3886" i="5"/>
  <c r="AE3885" i="5"/>
  <c r="AD3885" i="5"/>
  <c r="E3885" i="5"/>
  <c r="AE3884" i="5"/>
  <c r="AD3884" i="5"/>
  <c r="E3884" i="5"/>
  <c r="AE3883" i="5"/>
  <c r="AD3883" i="5"/>
  <c r="E3883" i="5"/>
  <c r="AE3882" i="5"/>
  <c r="AD3882" i="5"/>
  <c r="E3882" i="5"/>
  <c r="AE3881" i="5"/>
  <c r="AD3881" i="5"/>
  <c r="E3881" i="5"/>
  <c r="AE3880" i="5"/>
  <c r="AD3880" i="5"/>
  <c r="E3880" i="5"/>
  <c r="AE3879" i="5"/>
  <c r="AD3879" i="5"/>
  <c r="E3879" i="5"/>
  <c r="AE3878" i="5"/>
  <c r="AD3878" i="5"/>
  <c r="E3878" i="5"/>
  <c r="AE3877" i="5"/>
  <c r="AD3877" i="5"/>
  <c r="E3877" i="5"/>
  <c r="AE3876" i="5"/>
  <c r="AD3876" i="5"/>
  <c r="E3876" i="5"/>
  <c r="AE3875" i="5"/>
  <c r="AD3875" i="5"/>
  <c r="E3875" i="5"/>
  <c r="AE3874" i="5"/>
  <c r="AD3874" i="5"/>
  <c r="E3874" i="5"/>
  <c r="AE3873" i="5"/>
  <c r="AD3873" i="5"/>
  <c r="E3873" i="5"/>
  <c r="AE3872" i="5"/>
  <c r="AD3872" i="5"/>
  <c r="E3872" i="5"/>
  <c r="AE3871" i="5"/>
  <c r="AD3871" i="5"/>
  <c r="E3871" i="5"/>
  <c r="AE3870" i="5"/>
  <c r="AD3870" i="5"/>
  <c r="E3870" i="5"/>
  <c r="AE3869" i="5"/>
  <c r="AD3869" i="5"/>
  <c r="E3869" i="5"/>
  <c r="AE3868" i="5"/>
  <c r="AD3868" i="5"/>
  <c r="E3868" i="5"/>
  <c r="AE3867" i="5"/>
  <c r="AD3867" i="5"/>
  <c r="E3867" i="5"/>
  <c r="AE3866" i="5"/>
  <c r="AD3866" i="5"/>
  <c r="E3866" i="5"/>
  <c r="AE3865" i="5"/>
  <c r="AD3865" i="5"/>
  <c r="E3865" i="5"/>
  <c r="AE3864" i="5"/>
  <c r="AD3864" i="5"/>
  <c r="E3864" i="5"/>
  <c r="AE3863" i="5"/>
  <c r="AD3863" i="5"/>
  <c r="E3863" i="5"/>
  <c r="AE3862" i="5"/>
  <c r="AD3862" i="5"/>
  <c r="E3862" i="5"/>
  <c r="AE3861" i="5"/>
  <c r="AD3861" i="5"/>
  <c r="E3861" i="5"/>
  <c r="AE3860" i="5"/>
  <c r="AD3860" i="5"/>
  <c r="E3860" i="5"/>
  <c r="AE3859" i="5"/>
  <c r="AD3859" i="5"/>
  <c r="E3859" i="5"/>
  <c r="AE3858" i="5"/>
  <c r="AD3858" i="5"/>
  <c r="E3858" i="5"/>
  <c r="AE3857" i="5"/>
  <c r="AD3857" i="5"/>
  <c r="E3857" i="5"/>
  <c r="AE3856" i="5"/>
  <c r="AD3856" i="5"/>
  <c r="E3856" i="5"/>
  <c r="AE3855" i="5"/>
  <c r="AD3855" i="5"/>
  <c r="E3855" i="5"/>
  <c r="AE3854" i="5"/>
  <c r="AD3854" i="5"/>
  <c r="E3854" i="5"/>
  <c r="AE3853" i="5"/>
  <c r="AD3853" i="5"/>
  <c r="E3853" i="5"/>
  <c r="AE3852" i="5"/>
  <c r="AD3852" i="5"/>
  <c r="E3852" i="5"/>
  <c r="AE3851" i="5"/>
  <c r="AD3851" i="5"/>
  <c r="E3851" i="5"/>
  <c r="AE3850" i="5"/>
  <c r="AD3850" i="5"/>
  <c r="E3850" i="5"/>
  <c r="AE3849" i="5"/>
  <c r="AD3849" i="5"/>
  <c r="E3849" i="5"/>
  <c r="AE3848" i="5"/>
  <c r="AD3848" i="5"/>
  <c r="E3848" i="5"/>
  <c r="AE3847" i="5"/>
  <c r="AD3847" i="5"/>
  <c r="E3847" i="5"/>
  <c r="AE3846" i="5"/>
  <c r="AD3846" i="5"/>
  <c r="E3846" i="5"/>
  <c r="AE3845" i="5"/>
  <c r="AD3845" i="5"/>
  <c r="E3845" i="5"/>
  <c r="AE3844" i="5"/>
  <c r="AD3844" i="5"/>
  <c r="E3844" i="5"/>
  <c r="AE3843" i="5"/>
  <c r="AD3843" i="5"/>
  <c r="E3843" i="5"/>
  <c r="AE3842" i="5"/>
  <c r="AD3842" i="5"/>
  <c r="E3842" i="5"/>
  <c r="AE3841" i="5"/>
  <c r="AD3841" i="5"/>
  <c r="E3841" i="5"/>
  <c r="AE3840" i="5"/>
  <c r="AD3840" i="5"/>
  <c r="E3840" i="5"/>
  <c r="AE3839" i="5"/>
  <c r="AD3839" i="5"/>
  <c r="E3839" i="5"/>
  <c r="AE3838" i="5"/>
  <c r="AD3838" i="5"/>
  <c r="E3838" i="5"/>
  <c r="AE3837" i="5"/>
  <c r="AD3837" i="5"/>
  <c r="E3837" i="5"/>
  <c r="AE3836" i="5"/>
  <c r="AD3836" i="5"/>
  <c r="E3836" i="5"/>
  <c r="AE3835" i="5"/>
  <c r="AD3835" i="5"/>
  <c r="E3835" i="5"/>
  <c r="AE3834" i="5"/>
  <c r="AD3834" i="5"/>
  <c r="E3834" i="5"/>
  <c r="AE3833" i="5"/>
  <c r="AD3833" i="5"/>
  <c r="E3833" i="5"/>
  <c r="AE3832" i="5"/>
  <c r="AD3832" i="5"/>
  <c r="E3832" i="5"/>
  <c r="AE3831" i="5"/>
  <c r="AD3831" i="5"/>
  <c r="E3831" i="5"/>
  <c r="AE3830" i="5"/>
  <c r="AD3830" i="5"/>
  <c r="E3830" i="5"/>
  <c r="AE3829" i="5"/>
  <c r="AD3829" i="5"/>
  <c r="E3829" i="5"/>
  <c r="AE3828" i="5"/>
  <c r="AD3828" i="5"/>
  <c r="E3828" i="5"/>
  <c r="AE3827" i="5"/>
  <c r="AD3827" i="5"/>
  <c r="E3827" i="5"/>
  <c r="AE3826" i="5"/>
  <c r="AD3826" i="5"/>
  <c r="E3826" i="5"/>
  <c r="AE3825" i="5"/>
  <c r="AD3825" i="5"/>
  <c r="E3825" i="5"/>
  <c r="AE3824" i="5"/>
  <c r="AD3824" i="5"/>
  <c r="E3824" i="5"/>
  <c r="AE3823" i="5"/>
  <c r="AD3823" i="5"/>
  <c r="E3823" i="5"/>
  <c r="AE3822" i="5"/>
  <c r="AD3822" i="5"/>
  <c r="E3822" i="5"/>
  <c r="AE3821" i="5"/>
  <c r="AD3821" i="5"/>
  <c r="E3821" i="5"/>
  <c r="AE3820" i="5"/>
  <c r="AD3820" i="5"/>
  <c r="E3820" i="5"/>
  <c r="AE3819" i="5"/>
  <c r="AD3819" i="5"/>
  <c r="E3819" i="5"/>
  <c r="AE3818" i="5"/>
  <c r="AD3818" i="5"/>
  <c r="E3818" i="5"/>
  <c r="AE3817" i="5"/>
  <c r="AD3817" i="5"/>
  <c r="E3817" i="5"/>
  <c r="AE3816" i="5"/>
  <c r="AD3816" i="5"/>
  <c r="E3816" i="5"/>
  <c r="AE3815" i="5"/>
  <c r="AD3815" i="5"/>
  <c r="E3815" i="5"/>
  <c r="AE3814" i="5"/>
  <c r="AD3814" i="5"/>
  <c r="E3814" i="5"/>
  <c r="AE3813" i="5"/>
  <c r="AD3813" i="5"/>
  <c r="E3813" i="5"/>
  <c r="AE3812" i="5"/>
  <c r="AD3812" i="5"/>
  <c r="E3812" i="5"/>
  <c r="AE3811" i="5"/>
  <c r="AD3811" i="5"/>
  <c r="E3811" i="5"/>
  <c r="AE3810" i="5"/>
  <c r="AD3810" i="5"/>
  <c r="E3810" i="5"/>
  <c r="AE3809" i="5"/>
  <c r="AD3809" i="5"/>
  <c r="E3809" i="5"/>
  <c r="AE3808" i="5"/>
  <c r="AD3808" i="5"/>
  <c r="E3808" i="5"/>
  <c r="AE3807" i="5"/>
  <c r="AD3807" i="5"/>
  <c r="E3807" i="5"/>
  <c r="AE3806" i="5"/>
  <c r="AD3806" i="5"/>
  <c r="E3806" i="5"/>
  <c r="AE3805" i="5"/>
  <c r="AD3805" i="5"/>
  <c r="E3805" i="5"/>
  <c r="AE3804" i="5"/>
  <c r="AD3804" i="5"/>
  <c r="E3804" i="5"/>
  <c r="AE3803" i="5"/>
  <c r="AD3803" i="5"/>
  <c r="E3803" i="5"/>
  <c r="AE3802" i="5"/>
  <c r="AD3802" i="5"/>
  <c r="E3802" i="5"/>
  <c r="AE3801" i="5"/>
  <c r="AD3801" i="5"/>
  <c r="E3801" i="5"/>
  <c r="AE3800" i="5"/>
  <c r="AD3800" i="5"/>
  <c r="E3800" i="5"/>
  <c r="AE3799" i="5"/>
  <c r="AD3799" i="5"/>
  <c r="E3799" i="5"/>
  <c r="AE3798" i="5"/>
  <c r="AD3798" i="5"/>
  <c r="E3798" i="5"/>
  <c r="AE3797" i="5"/>
  <c r="AD3797" i="5"/>
  <c r="E3797" i="5"/>
  <c r="AE3796" i="5"/>
  <c r="AD3796" i="5"/>
  <c r="E3796" i="5"/>
  <c r="AE3795" i="5"/>
  <c r="AD3795" i="5"/>
  <c r="E3795" i="5"/>
  <c r="AE3794" i="5"/>
  <c r="AD3794" i="5"/>
  <c r="E3794" i="5"/>
  <c r="AE3793" i="5"/>
  <c r="AD3793" i="5"/>
  <c r="E3793" i="5"/>
  <c r="AE3792" i="5"/>
  <c r="AD3792" i="5"/>
  <c r="E3792" i="5"/>
  <c r="AE3791" i="5"/>
  <c r="AD3791" i="5"/>
  <c r="E3791" i="5"/>
  <c r="AE3790" i="5"/>
  <c r="AD3790" i="5"/>
  <c r="E3790" i="5"/>
  <c r="AE3789" i="5"/>
  <c r="AD3789" i="5"/>
  <c r="E3789" i="5"/>
  <c r="AE3788" i="5"/>
  <c r="AD3788" i="5"/>
  <c r="E3788" i="5"/>
  <c r="AE3787" i="5"/>
  <c r="AD3787" i="5"/>
  <c r="E3787" i="5"/>
  <c r="AE3786" i="5"/>
  <c r="AD3786" i="5"/>
  <c r="E3786" i="5"/>
  <c r="AE3785" i="5"/>
  <c r="AD3785" i="5"/>
  <c r="E3785" i="5"/>
  <c r="AE3784" i="5"/>
  <c r="AD3784" i="5"/>
  <c r="E3784" i="5"/>
  <c r="AE3783" i="5"/>
  <c r="AD3783" i="5"/>
  <c r="E3783" i="5"/>
  <c r="AE3782" i="5"/>
  <c r="AD3782" i="5"/>
  <c r="E3782" i="5"/>
  <c r="AE3781" i="5"/>
  <c r="AD3781" i="5"/>
  <c r="E3781" i="5"/>
  <c r="AE3780" i="5"/>
  <c r="AD3780" i="5"/>
  <c r="E3780" i="5"/>
  <c r="AE3779" i="5"/>
  <c r="AD3779" i="5"/>
  <c r="E3779" i="5"/>
  <c r="AE3778" i="5"/>
  <c r="AD3778" i="5"/>
  <c r="E3778" i="5"/>
  <c r="AE3777" i="5"/>
  <c r="AD3777" i="5"/>
  <c r="E3777" i="5"/>
  <c r="AE3776" i="5"/>
  <c r="AD3776" i="5"/>
  <c r="E3776" i="5"/>
  <c r="AE3775" i="5"/>
  <c r="AD3775" i="5"/>
  <c r="E3775" i="5"/>
  <c r="AE3774" i="5"/>
  <c r="AD3774" i="5"/>
  <c r="E3774" i="5"/>
  <c r="AE3773" i="5"/>
  <c r="AD3773" i="5"/>
  <c r="E3773" i="5"/>
  <c r="AE3772" i="5"/>
  <c r="AD3772" i="5"/>
  <c r="E3772" i="5"/>
  <c r="AE3771" i="5"/>
  <c r="AD3771" i="5"/>
  <c r="E3771" i="5"/>
  <c r="AE3770" i="5"/>
  <c r="AD3770" i="5"/>
  <c r="E3770" i="5"/>
  <c r="AE3769" i="5"/>
  <c r="AD3769" i="5"/>
  <c r="E3769" i="5"/>
  <c r="AE3768" i="5"/>
  <c r="AD3768" i="5"/>
  <c r="E3768" i="5"/>
  <c r="AE3767" i="5"/>
  <c r="AD3767" i="5"/>
  <c r="E3767" i="5"/>
  <c r="AE3766" i="5"/>
  <c r="AD3766" i="5"/>
  <c r="E3766" i="5"/>
  <c r="AE3765" i="5"/>
  <c r="AD3765" i="5"/>
  <c r="E3765" i="5"/>
  <c r="AE3764" i="5"/>
  <c r="AD3764" i="5"/>
  <c r="E3764" i="5"/>
  <c r="AE3763" i="5"/>
  <c r="AD3763" i="5"/>
  <c r="E3763" i="5"/>
  <c r="AE3762" i="5"/>
  <c r="AD3762" i="5"/>
  <c r="E3762" i="5"/>
  <c r="AE3761" i="5"/>
  <c r="AD3761" i="5"/>
  <c r="E3761" i="5"/>
  <c r="AE3760" i="5"/>
  <c r="AD3760" i="5"/>
  <c r="E3760" i="5"/>
  <c r="AE3759" i="5"/>
  <c r="AD3759" i="5"/>
  <c r="E3759" i="5"/>
  <c r="AE3758" i="5"/>
  <c r="AD3758" i="5"/>
  <c r="E3758" i="5"/>
  <c r="AE3757" i="5"/>
  <c r="AD3757" i="5"/>
  <c r="E3757" i="5"/>
  <c r="AE3756" i="5"/>
  <c r="AD3756" i="5"/>
  <c r="E3756" i="5"/>
  <c r="AE3755" i="5"/>
  <c r="AD3755" i="5"/>
  <c r="E3755" i="5"/>
  <c r="AE3754" i="5"/>
  <c r="AD3754" i="5"/>
  <c r="E3754" i="5"/>
  <c r="AE3753" i="5"/>
  <c r="AD3753" i="5"/>
  <c r="E3753" i="5"/>
  <c r="AE3752" i="5"/>
  <c r="AD3752" i="5"/>
  <c r="E3752" i="5"/>
  <c r="AE3751" i="5"/>
  <c r="AD3751" i="5"/>
  <c r="E3751" i="5"/>
  <c r="AE3750" i="5"/>
  <c r="AD3750" i="5"/>
  <c r="E3750" i="5"/>
  <c r="AE3749" i="5"/>
  <c r="AD3749" i="5"/>
  <c r="E3749" i="5"/>
  <c r="AE3748" i="5"/>
  <c r="AD3748" i="5"/>
  <c r="E3748" i="5"/>
  <c r="AE3747" i="5"/>
  <c r="AD3747" i="5"/>
  <c r="E3747" i="5"/>
  <c r="AE3746" i="5"/>
  <c r="AD3746" i="5"/>
  <c r="E3746" i="5"/>
  <c r="AE3745" i="5"/>
  <c r="AD3745" i="5"/>
  <c r="E3745" i="5"/>
  <c r="AE3744" i="5"/>
  <c r="AD3744" i="5"/>
  <c r="E3744" i="5"/>
  <c r="AE3743" i="5"/>
  <c r="AD3743" i="5"/>
  <c r="E3743" i="5"/>
  <c r="AE3742" i="5"/>
  <c r="AD3742" i="5"/>
  <c r="E3742" i="5"/>
  <c r="AE3741" i="5"/>
  <c r="AD3741" i="5"/>
  <c r="E3741" i="5"/>
  <c r="AE3740" i="5"/>
  <c r="AD3740" i="5"/>
  <c r="E3740" i="5"/>
  <c r="AE3739" i="5"/>
  <c r="AD3739" i="5"/>
  <c r="E3739" i="5"/>
  <c r="AE3738" i="5"/>
  <c r="AD3738" i="5"/>
  <c r="E3738" i="5"/>
  <c r="AE3737" i="5"/>
  <c r="AD3737" i="5"/>
  <c r="E3737" i="5"/>
  <c r="AE3736" i="5"/>
  <c r="AD3736" i="5"/>
  <c r="E3736" i="5"/>
  <c r="AE3735" i="5"/>
  <c r="AD3735" i="5"/>
  <c r="E3735" i="5"/>
  <c r="AE3734" i="5"/>
  <c r="AD3734" i="5"/>
  <c r="E3734" i="5"/>
  <c r="AE3733" i="5"/>
  <c r="AD3733" i="5"/>
  <c r="E3733" i="5"/>
  <c r="AE3732" i="5"/>
  <c r="AD3732" i="5"/>
  <c r="E3732" i="5"/>
  <c r="AE3731" i="5"/>
  <c r="AD3731" i="5"/>
  <c r="E3731" i="5"/>
  <c r="AE3730" i="5"/>
  <c r="AD3730" i="5"/>
  <c r="E3730" i="5"/>
  <c r="AE3729" i="5"/>
  <c r="AD3729" i="5"/>
  <c r="E3729" i="5"/>
  <c r="AE3728" i="5"/>
  <c r="AD3728" i="5"/>
  <c r="E3728" i="5"/>
  <c r="AE3727" i="5"/>
  <c r="AD3727" i="5"/>
  <c r="E3727" i="5"/>
  <c r="AE3726" i="5"/>
  <c r="AD3726" i="5"/>
  <c r="E3726" i="5"/>
  <c r="AE3725" i="5"/>
  <c r="AD3725" i="5"/>
  <c r="E3725" i="5"/>
  <c r="AE3724" i="5"/>
  <c r="AD3724" i="5"/>
  <c r="E3724" i="5"/>
  <c r="AE3723" i="5"/>
  <c r="AD3723" i="5"/>
  <c r="E3723" i="5"/>
  <c r="AE3722" i="5"/>
  <c r="AD3722" i="5"/>
  <c r="E3722" i="5"/>
  <c r="AE3721" i="5"/>
  <c r="AD3721" i="5"/>
  <c r="E3721" i="5"/>
  <c r="AE3720" i="5"/>
  <c r="AD3720" i="5"/>
  <c r="E3720" i="5"/>
  <c r="AE3719" i="5"/>
  <c r="AD3719" i="5"/>
  <c r="E3719" i="5"/>
  <c r="AE3718" i="5"/>
  <c r="AD3718" i="5"/>
  <c r="E3718" i="5"/>
  <c r="AE3717" i="5"/>
  <c r="AD3717" i="5"/>
  <c r="E3717" i="5"/>
  <c r="AE3716" i="5"/>
  <c r="AD3716" i="5"/>
  <c r="E3716" i="5"/>
  <c r="AE3715" i="5"/>
  <c r="AD3715" i="5"/>
  <c r="E3715" i="5"/>
  <c r="AE3714" i="5"/>
  <c r="AD3714" i="5"/>
  <c r="E3714" i="5"/>
  <c r="AE3713" i="5"/>
  <c r="AD3713" i="5"/>
  <c r="E3713" i="5"/>
  <c r="AE3712" i="5"/>
  <c r="AD3712" i="5"/>
  <c r="E3712" i="5"/>
  <c r="AE3711" i="5"/>
  <c r="AD3711" i="5"/>
  <c r="E3711" i="5"/>
  <c r="AE3710" i="5"/>
  <c r="AD3710" i="5"/>
  <c r="E3710" i="5"/>
  <c r="AE3709" i="5"/>
  <c r="AD3709" i="5"/>
  <c r="E3709" i="5"/>
  <c r="AE3708" i="5"/>
  <c r="AD3708" i="5"/>
  <c r="E3708" i="5"/>
  <c r="AE3707" i="5"/>
  <c r="AD3707" i="5"/>
  <c r="E3707" i="5"/>
  <c r="AE3706" i="5"/>
  <c r="AD3706" i="5"/>
  <c r="E3706" i="5"/>
  <c r="AE3705" i="5"/>
  <c r="AD3705" i="5"/>
  <c r="E3705" i="5"/>
  <c r="AE3704" i="5"/>
  <c r="AD3704" i="5"/>
  <c r="E3704" i="5"/>
  <c r="AE3703" i="5"/>
  <c r="AD3703" i="5"/>
  <c r="E3703" i="5"/>
  <c r="AE3702" i="5"/>
  <c r="AD3702" i="5"/>
  <c r="E3702" i="5"/>
  <c r="AE3701" i="5"/>
  <c r="AD3701" i="5"/>
  <c r="E3701" i="5"/>
  <c r="AE3700" i="5"/>
  <c r="AD3700" i="5"/>
  <c r="E3700" i="5"/>
  <c r="AE3699" i="5"/>
  <c r="AD3699" i="5"/>
  <c r="E3699" i="5"/>
  <c r="AE3698" i="5"/>
  <c r="AD3698" i="5"/>
  <c r="E3698" i="5"/>
  <c r="AE3697" i="5"/>
  <c r="AD3697" i="5"/>
  <c r="E3697" i="5"/>
  <c r="AE3696" i="5"/>
  <c r="AD3696" i="5"/>
  <c r="E3696" i="5"/>
  <c r="AE3695" i="5"/>
  <c r="AD3695" i="5"/>
  <c r="E3695" i="5"/>
  <c r="AE3694" i="5"/>
  <c r="AD3694" i="5"/>
  <c r="E3694" i="5"/>
  <c r="AE3693" i="5"/>
  <c r="AD3693" i="5"/>
  <c r="E3693" i="5"/>
  <c r="AE3692" i="5"/>
  <c r="AD3692" i="5"/>
  <c r="E3692" i="5"/>
  <c r="AE3691" i="5"/>
  <c r="AD3691" i="5"/>
  <c r="E3691" i="5"/>
  <c r="AE3690" i="5"/>
  <c r="AD3690" i="5"/>
  <c r="E3690" i="5"/>
  <c r="AE3689" i="5"/>
  <c r="AD3689" i="5"/>
  <c r="E3689" i="5"/>
  <c r="AE3688" i="5"/>
  <c r="AD3688" i="5"/>
  <c r="E3688" i="5"/>
  <c r="AE3687" i="5"/>
  <c r="AD3687" i="5"/>
  <c r="E3687" i="5"/>
  <c r="AE3686" i="5"/>
  <c r="AD3686" i="5"/>
  <c r="E3686" i="5"/>
  <c r="AE3685" i="5"/>
  <c r="AD3685" i="5"/>
  <c r="E3685" i="5"/>
  <c r="AE3684" i="5"/>
  <c r="AD3684" i="5"/>
  <c r="E3684" i="5"/>
  <c r="AE3683" i="5"/>
  <c r="AD3683" i="5"/>
  <c r="E3683" i="5"/>
  <c r="AE3682" i="5"/>
  <c r="AD3682" i="5"/>
  <c r="E3682" i="5"/>
  <c r="AE3681" i="5"/>
  <c r="AD3681" i="5"/>
  <c r="E3681" i="5"/>
  <c r="AE3680" i="5"/>
  <c r="AD3680" i="5"/>
  <c r="E3680" i="5"/>
  <c r="AE3679" i="5"/>
  <c r="AD3679" i="5"/>
  <c r="E3679" i="5"/>
  <c r="AE3678" i="5"/>
  <c r="AD3678" i="5"/>
  <c r="E3678" i="5"/>
  <c r="AE3677" i="5"/>
  <c r="AD3677" i="5"/>
  <c r="E3677" i="5"/>
  <c r="AE3676" i="5"/>
  <c r="AD3676" i="5"/>
  <c r="E3676" i="5"/>
  <c r="AE3675" i="5"/>
  <c r="AD3675" i="5"/>
  <c r="E3675" i="5"/>
  <c r="AE3674" i="5"/>
  <c r="AD3674" i="5"/>
  <c r="E3674" i="5"/>
  <c r="AE3673" i="5"/>
  <c r="AD3673" i="5"/>
  <c r="E3673" i="5"/>
  <c r="AE3672" i="5"/>
  <c r="AD3672" i="5"/>
  <c r="E3672" i="5"/>
  <c r="AE3671" i="5"/>
  <c r="AD3671" i="5"/>
  <c r="E3671" i="5"/>
  <c r="AE3670" i="5"/>
  <c r="AD3670" i="5"/>
  <c r="E3670" i="5"/>
  <c r="AE3669" i="5"/>
  <c r="AD3669" i="5"/>
  <c r="E3669" i="5"/>
  <c r="AE3668" i="5"/>
  <c r="AD3668" i="5"/>
  <c r="E3668" i="5"/>
  <c r="AE3667" i="5"/>
  <c r="AD3667" i="5"/>
  <c r="E3667" i="5"/>
  <c r="AE3666" i="5"/>
  <c r="AD3666" i="5"/>
  <c r="E3666" i="5"/>
  <c r="AE3665" i="5"/>
  <c r="AD3665" i="5"/>
  <c r="E3665" i="5"/>
  <c r="AE3664" i="5"/>
  <c r="AD3664" i="5"/>
  <c r="E3664" i="5"/>
  <c r="AE3663" i="5"/>
  <c r="AD3663" i="5"/>
  <c r="E3663" i="5"/>
  <c r="AE3662" i="5"/>
  <c r="AD3662" i="5"/>
  <c r="E3662" i="5"/>
  <c r="AE3661" i="5"/>
  <c r="AD3661" i="5"/>
  <c r="E3661" i="5"/>
  <c r="AE3660" i="5"/>
  <c r="AD3660" i="5"/>
  <c r="E3660" i="5"/>
  <c r="AE3659" i="5"/>
  <c r="AD3659" i="5"/>
  <c r="E3659" i="5"/>
  <c r="AE3658" i="5"/>
  <c r="AD3658" i="5"/>
  <c r="E3658" i="5"/>
  <c r="AE3657" i="5"/>
  <c r="AD3657" i="5"/>
  <c r="E3657" i="5"/>
  <c r="AE3656" i="5"/>
  <c r="AD3656" i="5"/>
  <c r="E3656" i="5"/>
  <c r="AE3655" i="5"/>
  <c r="AD3655" i="5"/>
  <c r="E3655" i="5"/>
  <c r="AE3654" i="5"/>
  <c r="AD3654" i="5"/>
  <c r="E3654" i="5"/>
  <c r="AE3653" i="5"/>
  <c r="AD3653" i="5"/>
  <c r="E3653" i="5"/>
  <c r="AE3652" i="5"/>
  <c r="AD3652" i="5"/>
  <c r="E3652" i="5"/>
  <c r="AE3651" i="5"/>
  <c r="AD3651" i="5"/>
  <c r="E3651" i="5"/>
  <c r="AE3650" i="5"/>
  <c r="AD3650" i="5"/>
  <c r="E3650" i="5"/>
  <c r="AE3649" i="5"/>
  <c r="AD3649" i="5"/>
  <c r="E3649" i="5"/>
  <c r="AE3648" i="5"/>
  <c r="AD3648" i="5"/>
  <c r="E3648" i="5"/>
  <c r="AE3647" i="5"/>
  <c r="AD3647" i="5"/>
  <c r="E3647" i="5"/>
  <c r="AE3646" i="5"/>
  <c r="AD3646" i="5"/>
  <c r="E3646" i="5"/>
  <c r="AE3645" i="5"/>
  <c r="AD3645" i="5"/>
  <c r="E3645" i="5"/>
  <c r="AE3644" i="5"/>
  <c r="AD3644" i="5"/>
  <c r="E3644" i="5"/>
  <c r="AE3643" i="5"/>
  <c r="AD3643" i="5"/>
  <c r="E3643" i="5"/>
  <c r="AE3642" i="5"/>
  <c r="AD3642" i="5"/>
  <c r="E3642" i="5"/>
  <c r="AE3641" i="5"/>
  <c r="AD3641" i="5"/>
  <c r="E3641" i="5"/>
  <c r="AE3640" i="5"/>
  <c r="AD3640" i="5"/>
  <c r="E3640" i="5"/>
  <c r="AE3639" i="5"/>
  <c r="AD3639" i="5"/>
  <c r="E3639" i="5"/>
  <c r="AE3638" i="5"/>
  <c r="AD3638" i="5"/>
  <c r="E3638" i="5"/>
  <c r="AE3637" i="5"/>
  <c r="AD3637" i="5"/>
  <c r="E3637" i="5"/>
  <c r="AE3636" i="5"/>
  <c r="AD3636" i="5"/>
  <c r="E3636" i="5"/>
  <c r="AE3635" i="5"/>
  <c r="AD3635" i="5"/>
  <c r="E3635" i="5"/>
  <c r="AE3634" i="5"/>
  <c r="AD3634" i="5"/>
  <c r="E3634" i="5"/>
  <c r="AE3633" i="5"/>
  <c r="AD3633" i="5"/>
  <c r="E3633" i="5"/>
  <c r="AE3632" i="5"/>
  <c r="AD3632" i="5"/>
  <c r="E3632" i="5"/>
  <c r="AE3631" i="5"/>
  <c r="AD3631" i="5"/>
  <c r="E3631" i="5"/>
  <c r="AE3630" i="5"/>
  <c r="AD3630" i="5"/>
  <c r="E3630" i="5"/>
  <c r="AE3629" i="5"/>
  <c r="AD3629" i="5"/>
  <c r="E3629" i="5"/>
  <c r="AE3628" i="5"/>
  <c r="AD3628" i="5"/>
  <c r="E3628" i="5"/>
  <c r="AE3627" i="5"/>
  <c r="AD3627" i="5"/>
  <c r="E3627" i="5"/>
  <c r="AE3626" i="5"/>
  <c r="AD3626" i="5"/>
  <c r="E3626" i="5"/>
  <c r="AE3625" i="5"/>
  <c r="AD3625" i="5"/>
  <c r="E3625" i="5"/>
  <c r="AE3624" i="5"/>
  <c r="AD3624" i="5"/>
  <c r="E3624" i="5"/>
  <c r="AE3623" i="5"/>
  <c r="AD3623" i="5"/>
  <c r="E3623" i="5"/>
  <c r="AE3622" i="5"/>
  <c r="AD3622" i="5"/>
  <c r="E3622" i="5"/>
  <c r="AE3621" i="5"/>
  <c r="AD3621" i="5"/>
  <c r="E3621" i="5"/>
  <c r="AE3620" i="5"/>
  <c r="AD3620" i="5"/>
  <c r="E3620" i="5"/>
  <c r="AE3619" i="5"/>
  <c r="AD3619" i="5"/>
  <c r="E3619" i="5"/>
  <c r="AE3618" i="5"/>
  <c r="AD3618" i="5"/>
  <c r="E3618" i="5"/>
  <c r="AE3617" i="5"/>
  <c r="AD3617" i="5"/>
  <c r="E3617" i="5"/>
  <c r="AE3616" i="5"/>
  <c r="AD3616" i="5"/>
  <c r="E3616" i="5"/>
  <c r="AE3615" i="5"/>
  <c r="AD3615" i="5"/>
  <c r="E3615" i="5"/>
  <c r="AE3614" i="5"/>
  <c r="AD3614" i="5"/>
  <c r="E3614" i="5"/>
  <c r="AE3613" i="5"/>
  <c r="AD3613" i="5"/>
  <c r="E3613" i="5"/>
  <c r="AE3612" i="5"/>
  <c r="AD3612" i="5"/>
  <c r="E3612" i="5"/>
  <c r="AE3611" i="5"/>
  <c r="AD3611" i="5"/>
  <c r="E3611" i="5"/>
  <c r="AE3610" i="5"/>
  <c r="AD3610" i="5"/>
  <c r="E3610" i="5"/>
  <c r="AE3609" i="5"/>
  <c r="AD3609" i="5"/>
  <c r="E3609" i="5"/>
  <c r="AE3608" i="5"/>
  <c r="AD3608" i="5"/>
  <c r="E3608" i="5"/>
  <c r="AE3607" i="5"/>
  <c r="AD3607" i="5"/>
  <c r="E3607" i="5"/>
  <c r="AE3606" i="5"/>
  <c r="AD3606" i="5"/>
  <c r="E3606" i="5"/>
  <c r="AE3605" i="5"/>
  <c r="AD3605" i="5"/>
  <c r="E3605" i="5"/>
  <c r="AE3604" i="5"/>
  <c r="AD3604" i="5"/>
  <c r="E3604" i="5"/>
  <c r="AE3603" i="5"/>
  <c r="AD3603" i="5"/>
  <c r="E3603" i="5"/>
  <c r="AE3602" i="5"/>
  <c r="AD3602" i="5"/>
  <c r="E3602" i="5"/>
  <c r="AE3601" i="5"/>
  <c r="AD3601" i="5"/>
  <c r="E3601" i="5"/>
  <c r="AE3600" i="5"/>
  <c r="AD3600" i="5"/>
  <c r="E3600" i="5"/>
  <c r="AE3599" i="5"/>
  <c r="AD3599" i="5"/>
  <c r="E3599" i="5"/>
  <c r="AE3598" i="5"/>
  <c r="AD3598" i="5"/>
  <c r="E3598" i="5"/>
  <c r="AE3597" i="5"/>
  <c r="AD3597" i="5"/>
  <c r="E3597" i="5"/>
  <c r="AE3596" i="5"/>
  <c r="AD3596" i="5"/>
  <c r="E3596" i="5"/>
  <c r="AE3595" i="5"/>
  <c r="AD3595" i="5"/>
  <c r="E3595" i="5"/>
  <c r="AE3594" i="5"/>
  <c r="AD3594" i="5"/>
  <c r="E3594" i="5"/>
  <c r="AE3593" i="5"/>
  <c r="AD3593" i="5"/>
  <c r="E3593" i="5"/>
  <c r="AE3592" i="5"/>
  <c r="AD3592" i="5"/>
  <c r="E3592" i="5"/>
  <c r="AE3591" i="5"/>
  <c r="AD3591" i="5"/>
  <c r="E3591" i="5"/>
  <c r="AE3590" i="5"/>
  <c r="AD3590" i="5"/>
  <c r="E3590" i="5"/>
  <c r="AE3589" i="5"/>
  <c r="AD3589" i="5"/>
  <c r="E3589" i="5"/>
  <c r="AE3588" i="5"/>
  <c r="AD3588" i="5"/>
  <c r="E3588" i="5"/>
  <c r="AE3587" i="5"/>
  <c r="AD3587" i="5"/>
  <c r="E3587" i="5"/>
  <c r="AE3586" i="5"/>
  <c r="AD3586" i="5"/>
  <c r="E3586" i="5"/>
  <c r="AE3585" i="5"/>
  <c r="AD3585" i="5"/>
  <c r="E3585" i="5"/>
  <c r="AE3584" i="5"/>
  <c r="AD3584" i="5"/>
  <c r="E3584" i="5"/>
  <c r="AE3583" i="5"/>
  <c r="AD3583" i="5"/>
  <c r="E3583" i="5"/>
  <c r="AE3582" i="5"/>
  <c r="AD3582" i="5"/>
  <c r="E3582" i="5"/>
  <c r="AE3581" i="5"/>
  <c r="AD3581" i="5"/>
  <c r="E3581" i="5"/>
  <c r="AE3580" i="5"/>
  <c r="AD3580" i="5"/>
  <c r="E3580" i="5"/>
  <c r="AE3579" i="5"/>
  <c r="AD3579" i="5"/>
  <c r="E3579" i="5"/>
  <c r="AE3578" i="5"/>
  <c r="AD3578" i="5"/>
  <c r="E3578" i="5"/>
  <c r="AE3577" i="5"/>
  <c r="AD3577" i="5"/>
  <c r="E3577" i="5"/>
  <c r="AE3576" i="5"/>
  <c r="AD3576" i="5"/>
  <c r="E3576" i="5"/>
  <c r="AE3575" i="5"/>
  <c r="AD3575" i="5"/>
  <c r="E3575" i="5"/>
  <c r="AE3574" i="5"/>
  <c r="AD3574" i="5"/>
  <c r="E3574" i="5"/>
  <c r="AE3573" i="5"/>
  <c r="AD3573" i="5"/>
  <c r="E3573" i="5"/>
  <c r="AE3572" i="5"/>
  <c r="AD3572" i="5"/>
  <c r="E3572" i="5"/>
  <c r="AE3571" i="5"/>
  <c r="AD3571" i="5"/>
  <c r="E3571" i="5"/>
  <c r="AE3570" i="5"/>
  <c r="AD3570" i="5"/>
  <c r="E3570" i="5"/>
  <c r="AE3569" i="5"/>
  <c r="AD3569" i="5"/>
  <c r="E3569" i="5"/>
  <c r="AE3568" i="5"/>
  <c r="AD3568" i="5"/>
  <c r="E3568" i="5"/>
  <c r="AE3567" i="5"/>
  <c r="AD3567" i="5"/>
  <c r="E3567" i="5"/>
  <c r="AE3566" i="5"/>
  <c r="AD3566" i="5"/>
  <c r="E3566" i="5"/>
  <c r="AE3565" i="5"/>
  <c r="AD3565" i="5"/>
  <c r="E3565" i="5"/>
  <c r="AE3564" i="5"/>
  <c r="AD3564" i="5"/>
  <c r="E3564" i="5"/>
  <c r="AE3563" i="5"/>
  <c r="AD3563" i="5"/>
  <c r="E3563" i="5"/>
  <c r="AE3562" i="5"/>
  <c r="AD3562" i="5"/>
  <c r="E3562" i="5"/>
  <c r="AE3561" i="5"/>
  <c r="AD3561" i="5"/>
  <c r="E3561" i="5"/>
  <c r="AE3560" i="5"/>
  <c r="AD3560" i="5"/>
  <c r="E3560" i="5"/>
  <c r="AE3559" i="5"/>
  <c r="AD3559" i="5"/>
  <c r="E3559" i="5"/>
  <c r="AE3558" i="5"/>
  <c r="AD3558" i="5"/>
  <c r="E3558" i="5"/>
  <c r="AE3557" i="5"/>
  <c r="AD3557" i="5"/>
  <c r="E3557" i="5"/>
  <c r="AE3556" i="5"/>
  <c r="AD3556" i="5"/>
  <c r="E3556" i="5"/>
  <c r="AE3555" i="5"/>
  <c r="AD3555" i="5"/>
  <c r="E3555" i="5"/>
  <c r="AE3554" i="5"/>
  <c r="AD3554" i="5"/>
  <c r="E3554" i="5"/>
  <c r="AE3553" i="5"/>
  <c r="AD3553" i="5"/>
  <c r="E3553" i="5"/>
  <c r="AE3552" i="5"/>
  <c r="AD3552" i="5"/>
  <c r="E3552" i="5"/>
  <c r="AE3551" i="5"/>
  <c r="AD3551" i="5"/>
  <c r="E3551" i="5"/>
  <c r="AE3550" i="5"/>
  <c r="AD3550" i="5"/>
  <c r="E3550" i="5"/>
  <c r="AE3549" i="5"/>
  <c r="AD3549" i="5"/>
  <c r="E3549" i="5"/>
  <c r="AE3548" i="5"/>
  <c r="AD3548" i="5"/>
  <c r="E3548" i="5"/>
  <c r="AE3547" i="5"/>
  <c r="AD3547" i="5"/>
  <c r="E3547" i="5"/>
  <c r="AE3546" i="5"/>
  <c r="AD3546" i="5"/>
  <c r="E3546" i="5"/>
  <c r="AE3545" i="5"/>
  <c r="AD3545" i="5"/>
  <c r="E3545" i="5"/>
  <c r="AE3544" i="5"/>
  <c r="AD3544" i="5"/>
  <c r="E3544" i="5"/>
  <c r="AE3543" i="5"/>
  <c r="AD3543" i="5"/>
  <c r="E3543" i="5"/>
  <c r="AE3542" i="5"/>
  <c r="AD3542" i="5"/>
  <c r="E3542" i="5"/>
  <c r="AE3541" i="5"/>
  <c r="AD3541" i="5"/>
  <c r="E3541" i="5"/>
  <c r="AE3540" i="5"/>
  <c r="AD3540" i="5"/>
  <c r="E3540" i="5"/>
  <c r="AE3539" i="5"/>
  <c r="AD3539" i="5"/>
  <c r="E3539" i="5"/>
  <c r="AE3538" i="5"/>
  <c r="AD3538" i="5"/>
  <c r="E3538" i="5"/>
  <c r="AE3537" i="5"/>
  <c r="AD3537" i="5"/>
  <c r="E3537" i="5"/>
  <c r="AE3536" i="5"/>
  <c r="AD3536" i="5"/>
  <c r="E3536" i="5"/>
  <c r="AE3535" i="5"/>
  <c r="AD3535" i="5"/>
  <c r="E3535" i="5"/>
  <c r="AE3534" i="5"/>
  <c r="AD3534" i="5"/>
  <c r="E3534" i="5"/>
  <c r="AE3533" i="5"/>
  <c r="AD3533" i="5"/>
  <c r="E3533" i="5"/>
  <c r="AE3532" i="5"/>
  <c r="AD3532" i="5"/>
  <c r="E3532" i="5"/>
  <c r="AE3531" i="5"/>
  <c r="AD3531" i="5"/>
  <c r="E3531" i="5"/>
  <c r="AE3530" i="5"/>
  <c r="AD3530" i="5"/>
  <c r="E3530" i="5"/>
  <c r="AE3529" i="5"/>
  <c r="AD3529" i="5"/>
  <c r="E3529" i="5"/>
  <c r="AE3528" i="5"/>
  <c r="AD3528" i="5"/>
  <c r="E3528" i="5"/>
  <c r="AE3527" i="5"/>
  <c r="AD3527" i="5"/>
  <c r="E3527" i="5"/>
  <c r="AE3526" i="5"/>
  <c r="AD3526" i="5"/>
  <c r="E3526" i="5"/>
  <c r="AE3525" i="5"/>
  <c r="AD3525" i="5"/>
  <c r="E3525" i="5"/>
  <c r="AE3524" i="5"/>
  <c r="AD3524" i="5"/>
  <c r="E3524" i="5"/>
  <c r="AE3523" i="5"/>
  <c r="AD3523" i="5"/>
  <c r="E3523" i="5"/>
  <c r="AE3522" i="5"/>
  <c r="AD3522" i="5"/>
  <c r="E3522" i="5"/>
  <c r="AE3521" i="5"/>
  <c r="AD3521" i="5"/>
  <c r="E3521" i="5"/>
  <c r="AE3520" i="5"/>
  <c r="AD3520" i="5"/>
  <c r="E3520" i="5"/>
  <c r="AE3519" i="5"/>
  <c r="AD3519" i="5"/>
  <c r="E3519" i="5"/>
  <c r="AE3518" i="5"/>
  <c r="AD3518" i="5"/>
  <c r="E3518" i="5"/>
  <c r="AE3517" i="5"/>
  <c r="AD3517" i="5"/>
  <c r="E3517" i="5"/>
  <c r="AE3516" i="5"/>
  <c r="AD3516" i="5"/>
  <c r="E3516" i="5"/>
  <c r="AE3515" i="5"/>
  <c r="AD3515" i="5"/>
  <c r="E3515" i="5"/>
  <c r="AE3514" i="5"/>
  <c r="AD3514" i="5"/>
  <c r="E3514" i="5"/>
  <c r="AE3513" i="5"/>
  <c r="AD3513" i="5"/>
  <c r="E3513" i="5"/>
  <c r="AE3512" i="5"/>
  <c r="AD3512" i="5"/>
  <c r="E3512" i="5"/>
  <c r="AE3511" i="5"/>
  <c r="AD3511" i="5"/>
  <c r="E3511" i="5"/>
  <c r="AE3510" i="5"/>
  <c r="AD3510" i="5"/>
  <c r="E3510" i="5"/>
  <c r="AE3509" i="5"/>
  <c r="AD3509" i="5"/>
  <c r="E3509" i="5"/>
  <c r="AE3508" i="5"/>
  <c r="AD3508" i="5"/>
  <c r="E3508" i="5"/>
  <c r="AE3507" i="5"/>
  <c r="AD3507" i="5"/>
  <c r="E3507" i="5"/>
  <c r="AE3506" i="5"/>
  <c r="AD3506" i="5"/>
  <c r="E3506" i="5"/>
  <c r="AE3505" i="5"/>
  <c r="AD3505" i="5"/>
  <c r="E3505" i="5"/>
  <c r="AE3504" i="5"/>
  <c r="AD3504" i="5"/>
  <c r="E3504" i="5"/>
  <c r="AE3503" i="5"/>
  <c r="AD3503" i="5"/>
  <c r="E3503" i="5"/>
  <c r="AE3502" i="5"/>
  <c r="AD3502" i="5"/>
  <c r="E3502" i="5"/>
  <c r="AE3501" i="5"/>
  <c r="AD3501" i="5"/>
  <c r="E3501" i="5"/>
  <c r="AE3500" i="5"/>
  <c r="AD3500" i="5"/>
  <c r="E3500" i="5"/>
  <c r="AE3499" i="5"/>
  <c r="AD3499" i="5"/>
  <c r="E3499" i="5"/>
  <c r="AE3498" i="5"/>
  <c r="AD3498" i="5"/>
  <c r="E3498" i="5"/>
  <c r="AE3497" i="5"/>
  <c r="AD3497" i="5"/>
  <c r="E3497" i="5"/>
  <c r="AE3496" i="5"/>
  <c r="AD3496" i="5"/>
  <c r="E3496" i="5"/>
  <c r="AE3495" i="5"/>
  <c r="AD3495" i="5"/>
  <c r="E3495" i="5"/>
  <c r="AE3494" i="5"/>
  <c r="AD3494" i="5"/>
  <c r="E3494" i="5"/>
  <c r="AE3493" i="5"/>
  <c r="AD3493" i="5"/>
  <c r="E3493" i="5"/>
  <c r="AE3492" i="5"/>
  <c r="AD3492" i="5"/>
  <c r="E3492" i="5"/>
  <c r="AE3491" i="5"/>
  <c r="AD3491" i="5"/>
  <c r="E3491" i="5"/>
  <c r="AE3490" i="5"/>
  <c r="AD3490" i="5"/>
  <c r="E3490" i="5"/>
  <c r="AE3489" i="5"/>
  <c r="AD3489" i="5"/>
  <c r="E3489" i="5"/>
  <c r="AE3488" i="5"/>
  <c r="AD3488" i="5"/>
  <c r="E3488" i="5"/>
  <c r="AE3487" i="5"/>
  <c r="AD3487" i="5"/>
  <c r="E3487" i="5"/>
  <c r="AE3486" i="5"/>
  <c r="AD3486" i="5"/>
  <c r="E3486" i="5"/>
  <c r="AE3485" i="5"/>
  <c r="AD3485" i="5"/>
  <c r="E3485" i="5"/>
  <c r="AE3484" i="5"/>
  <c r="AD3484" i="5"/>
  <c r="E3484" i="5"/>
  <c r="AE3483" i="5"/>
  <c r="AD3483" i="5"/>
  <c r="E3483" i="5"/>
  <c r="AE3482" i="5"/>
  <c r="AD3482" i="5"/>
  <c r="E3482" i="5"/>
  <c r="AE3481" i="5"/>
  <c r="AD3481" i="5"/>
  <c r="E3481" i="5"/>
  <c r="AE3480" i="5"/>
  <c r="AD3480" i="5"/>
  <c r="E3480" i="5"/>
  <c r="AE3479" i="5"/>
  <c r="AD3479" i="5"/>
  <c r="E3479" i="5"/>
  <c r="AE3478" i="5"/>
  <c r="AD3478" i="5"/>
  <c r="E3478" i="5"/>
  <c r="AE3477" i="5"/>
  <c r="AD3477" i="5"/>
  <c r="E3477" i="5"/>
  <c r="AE3476" i="5"/>
  <c r="AD3476" i="5"/>
  <c r="E3476" i="5"/>
  <c r="AE3475" i="5"/>
  <c r="AD3475" i="5"/>
  <c r="E3475" i="5"/>
  <c r="AE3474" i="5"/>
  <c r="AD3474" i="5"/>
  <c r="E3474" i="5"/>
  <c r="AE3473" i="5"/>
  <c r="AD3473" i="5"/>
  <c r="E3473" i="5"/>
  <c r="AE3472" i="5"/>
  <c r="AD3472" i="5"/>
  <c r="E3472" i="5"/>
  <c r="AE3471" i="5"/>
  <c r="AD3471" i="5"/>
  <c r="E3471" i="5"/>
  <c r="AE3470" i="5"/>
  <c r="AD3470" i="5"/>
  <c r="E3470" i="5"/>
  <c r="AE3469" i="5"/>
  <c r="AD3469" i="5"/>
  <c r="E3469" i="5"/>
  <c r="AE3468" i="5"/>
  <c r="AD3468" i="5"/>
  <c r="E3468" i="5"/>
  <c r="AE3467" i="5"/>
  <c r="AD3467" i="5"/>
  <c r="E3467" i="5"/>
  <c r="AE3466" i="5"/>
  <c r="AD3466" i="5"/>
  <c r="E3466" i="5"/>
  <c r="AE3465" i="5"/>
  <c r="AD3465" i="5"/>
  <c r="E3465" i="5"/>
  <c r="AE3464" i="5"/>
  <c r="AD3464" i="5"/>
  <c r="E3464" i="5"/>
  <c r="AE3463" i="5"/>
  <c r="AD3463" i="5"/>
  <c r="E3463" i="5"/>
  <c r="AE3462" i="5"/>
  <c r="AD3462" i="5"/>
  <c r="E3462" i="5"/>
  <c r="AE3461" i="5"/>
  <c r="AD3461" i="5"/>
  <c r="E3461" i="5"/>
  <c r="AE3460" i="5"/>
  <c r="AD3460" i="5"/>
  <c r="E3460" i="5"/>
  <c r="AE3459" i="5"/>
  <c r="AD3459" i="5"/>
  <c r="E3459" i="5"/>
  <c r="AE3458" i="5"/>
  <c r="AD3458" i="5"/>
  <c r="E3458" i="5"/>
  <c r="AE3457" i="5"/>
  <c r="AD3457" i="5"/>
  <c r="E3457" i="5"/>
  <c r="AE3456" i="5"/>
  <c r="AD3456" i="5"/>
  <c r="E3456" i="5"/>
  <c r="AE3455" i="5"/>
  <c r="AD3455" i="5"/>
  <c r="E3455" i="5"/>
  <c r="AE3454" i="5"/>
  <c r="AD3454" i="5"/>
  <c r="E3454" i="5"/>
  <c r="AE3453" i="5"/>
  <c r="AD3453" i="5"/>
  <c r="E3453" i="5"/>
  <c r="AE3452" i="5"/>
  <c r="AD3452" i="5"/>
  <c r="E3452" i="5"/>
  <c r="AE3451" i="5"/>
  <c r="AD3451" i="5"/>
  <c r="E3451" i="5"/>
  <c r="AE3450" i="5"/>
  <c r="AD3450" i="5"/>
  <c r="E3450" i="5"/>
  <c r="AE3449" i="5"/>
  <c r="AD3449" i="5"/>
  <c r="E3449" i="5"/>
  <c r="AE3448" i="5"/>
  <c r="AD3448" i="5"/>
  <c r="E3448" i="5"/>
  <c r="AE3447" i="5"/>
  <c r="AD3447" i="5"/>
  <c r="E3447" i="5"/>
  <c r="AE3446" i="5"/>
  <c r="AD3446" i="5"/>
  <c r="E3446" i="5"/>
  <c r="AE3445" i="5"/>
  <c r="AD3445" i="5"/>
  <c r="E3445" i="5"/>
  <c r="AE3444" i="5"/>
  <c r="AD3444" i="5"/>
  <c r="E3444" i="5"/>
  <c r="AE3443" i="5"/>
  <c r="AD3443" i="5"/>
  <c r="E3443" i="5"/>
  <c r="AE3442" i="5"/>
  <c r="AD3442" i="5"/>
  <c r="E3442" i="5"/>
  <c r="AE3441" i="5"/>
  <c r="AD3441" i="5"/>
  <c r="E3441" i="5"/>
  <c r="AE3440" i="5"/>
  <c r="AD3440" i="5"/>
  <c r="E3440" i="5"/>
  <c r="AE3439" i="5"/>
  <c r="AD3439" i="5"/>
  <c r="E3439" i="5"/>
  <c r="AE3438" i="5"/>
  <c r="AD3438" i="5"/>
  <c r="E3438" i="5"/>
  <c r="AE3437" i="5"/>
  <c r="AD3437" i="5"/>
  <c r="E3437" i="5"/>
  <c r="AE3436" i="5"/>
  <c r="AD3436" i="5"/>
  <c r="E3436" i="5"/>
  <c r="AE3435" i="5"/>
  <c r="AD3435" i="5"/>
  <c r="E3435" i="5"/>
  <c r="AE3434" i="5"/>
  <c r="AD3434" i="5"/>
  <c r="E3434" i="5"/>
  <c r="AE3433" i="5"/>
  <c r="AD3433" i="5"/>
  <c r="E3433" i="5"/>
  <c r="AE3432" i="5"/>
  <c r="AD3432" i="5"/>
  <c r="E3432" i="5"/>
  <c r="AE3431" i="5"/>
  <c r="AD3431" i="5"/>
  <c r="E3431" i="5"/>
  <c r="AE3430" i="5"/>
  <c r="AD3430" i="5"/>
  <c r="E3430" i="5"/>
  <c r="AE3429" i="5"/>
  <c r="AD3429" i="5"/>
  <c r="E3429" i="5"/>
  <c r="AE3428" i="5"/>
  <c r="AD3428" i="5"/>
  <c r="E3428" i="5"/>
  <c r="AE3427" i="5"/>
  <c r="AD3427" i="5"/>
  <c r="E3427" i="5"/>
  <c r="AE3426" i="5"/>
  <c r="AD3426" i="5"/>
  <c r="E3426" i="5"/>
  <c r="AE3425" i="5"/>
  <c r="AD3425" i="5"/>
  <c r="E3425" i="5"/>
  <c r="AE3424" i="5"/>
  <c r="AD3424" i="5"/>
  <c r="E3424" i="5"/>
  <c r="AE3423" i="5"/>
  <c r="AD3423" i="5"/>
  <c r="E3423" i="5"/>
  <c r="AE3422" i="5"/>
  <c r="AD3422" i="5"/>
  <c r="E3422" i="5"/>
  <c r="AE3421" i="5"/>
  <c r="AD3421" i="5"/>
  <c r="E3421" i="5"/>
  <c r="AE3420" i="5"/>
  <c r="AD3420" i="5"/>
  <c r="E3420" i="5"/>
  <c r="AE3419" i="5"/>
  <c r="AD3419" i="5"/>
  <c r="E3419" i="5"/>
  <c r="AE3418" i="5"/>
  <c r="AD3418" i="5"/>
  <c r="E3418" i="5"/>
  <c r="AE3417" i="5"/>
  <c r="AD3417" i="5"/>
  <c r="E3417" i="5"/>
  <c r="AE3416" i="5"/>
  <c r="AD3416" i="5"/>
  <c r="E3416" i="5"/>
  <c r="AE3415" i="5"/>
  <c r="AD3415" i="5"/>
  <c r="E3415" i="5"/>
  <c r="AE3414" i="5"/>
  <c r="AD3414" i="5"/>
  <c r="E3414" i="5"/>
  <c r="AE3413" i="5"/>
  <c r="AD3413" i="5"/>
  <c r="E3413" i="5"/>
  <c r="AE3412" i="5"/>
  <c r="AD3412" i="5"/>
  <c r="E3412" i="5"/>
  <c r="AE3411" i="5"/>
  <c r="AD3411" i="5"/>
  <c r="E3411" i="5"/>
  <c r="AE3410" i="5"/>
  <c r="AD3410" i="5"/>
  <c r="E3410" i="5"/>
  <c r="AE3409" i="5"/>
  <c r="AD3409" i="5"/>
  <c r="E3409" i="5"/>
  <c r="AE3408" i="5"/>
  <c r="AD3408" i="5"/>
  <c r="E3408" i="5"/>
  <c r="AE3407" i="5"/>
  <c r="AD3407" i="5"/>
  <c r="E3407" i="5"/>
  <c r="AE3406" i="5"/>
  <c r="AD3406" i="5"/>
  <c r="E3406" i="5"/>
  <c r="AE3405" i="5"/>
  <c r="AD3405" i="5"/>
  <c r="E3405" i="5"/>
  <c r="AE3404" i="5"/>
  <c r="AD3404" i="5"/>
  <c r="E3404" i="5"/>
  <c r="AE3403" i="5"/>
  <c r="AD3403" i="5"/>
  <c r="E3403" i="5"/>
  <c r="AE3402" i="5"/>
  <c r="AD3402" i="5"/>
  <c r="E3402" i="5"/>
  <c r="AE3401" i="5"/>
  <c r="AD3401" i="5"/>
  <c r="E3401" i="5"/>
  <c r="AE3400" i="5"/>
  <c r="AD3400" i="5"/>
  <c r="E3400" i="5"/>
  <c r="AE3399" i="5"/>
  <c r="AD3399" i="5"/>
  <c r="E3399" i="5"/>
  <c r="AE3398" i="5"/>
  <c r="AD3398" i="5"/>
  <c r="E3398" i="5"/>
  <c r="AE3397" i="5"/>
  <c r="AD3397" i="5"/>
  <c r="E3397" i="5"/>
  <c r="AE3396" i="5"/>
  <c r="AD3396" i="5"/>
  <c r="E3396" i="5"/>
  <c r="AE3395" i="5"/>
  <c r="AD3395" i="5"/>
  <c r="E3395" i="5"/>
  <c r="AE3394" i="5"/>
  <c r="AD3394" i="5"/>
  <c r="E3394" i="5"/>
  <c r="AE3393" i="5"/>
  <c r="AD3393" i="5"/>
  <c r="E3393" i="5"/>
  <c r="AE3392" i="5"/>
  <c r="AD3392" i="5"/>
  <c r="E3392" i="5"/>
  <c r="AE3391" i="5"/>
  <c r="AD3391" i="5"/>
  <c r="E3391" i="5"/>
  <c r="AE3390" i="5"/>
  <c r="AD3390" i="5"/>
  <c r="E3390" i="5"/>
  <c r="AE3389" i="5"/>
  <c r="AD3389" i="5"/>
  <c r="E3389" i="5"/>
  <c r="AE3388" i="5"/>
  <c r="AD3388" i="5"/>
  <c r="E3388" i="5"/>
  <c r="AE3387" i="5"/>
  <c r="AD3387" i="5"/>
  <c r="E3387" i="5"/>
  <c r="AE3386" i="5"/>
  <c r="AD3386" i="5"/>
  <c r="E3386" i="5"/>
  <c r="AE3385" i="5"/>
  <c r="AD3385" i="5"/>
  <c r="E3385" i="5"/>
  <c r="AE3384" i="5"/>
  <c r="AD3384" i="5"/>
  <c r="E3384" i="5"/>
  <c r="AE3383" i="5"/>
  <c r="AD3383" i="5"/>
  <c r="E3383" i="5"/>
  <c r="AE3382" i="5"/>
  <c r="AD3382" i="5"/>
  <c r="E3382" i="5"/>
  <c r="AE3381" i="5"/>
  <c r="AD3381" i="5"/>
  <c r="E3381" i="5"/>
  <c r="AE3380" i="5"/>
  <c r="AD3380" i="5"/>
  <c r="E3380" i="5"/>
  <c r="AE3379" i="5"/>
  <c r="AD3379" i="5"/>
  <c r="E3379" i="5"/>
  <c r="AE3378" i="5"/>
  <c r="AD3378" i="5"/>
  <c r="E3378" i="5"/>
  <c r="AE3377" i="5"/>
  <c r="AD3377" i="5"/>
  <c r="E3377" i="5"/>
  <c r="AE3376" i="5"/>
  <c r="AD3376" i="5"/>
  <c r="E3376" i="5"/>
  <c r="AE3375" i="5"/>
  <c r="AD3375" i="5"/>
  <c r="E3375" i="5"/>
  <c r="AE3374" i="5"/>
  <c r="AD3374" i="5"/>
  <c r="E3374" i="5"/>
  <c r="AE3373" i="5"/>
  <c r="AD3373" i="5"/>
  <c r="E3373" i="5"/>
  <c r="AE3372" i="5"/>
  <c r="AD3372" i="5"/>
  <c r="E3372" i="5"/>
  <c r="AE3371" i="5"/>
  <c r="AD3371" i="5"/>
  <c r="E3371" i="5"/>
  <c r="AE3370" i="5"/>
  <c r="AD3370" i="5"/>
  <c r="E3370" i="5"/>
  <c r="AE3369" i="5"/>
  <c r="AD3369" i="5"/>
  <c r="E3369" i="5"/>
  <c r="AE3368" i="5"/>
  <c r="AD3368" i="5"/>
  <c r="E3368" i="5"/>
  <c r="AE3367" i="5"/>
  <c r="AD3367" i="5"/>
  <c r="E3367" i="5"/>
  <c r="AE3366" i="5"/>
  <c r="AD3366" i="5"/>
  <c r="E3366" i="5"/>
  <c r="AE3365" i="5"/>
  <c r="AD3365" i="5"/>
  <c r="E3365" i="5"/>
  <c r="AE3364" i="5"/>
  <c r="AD3364" i="5"/>
  <c r="E3364" i="5"/>
  <c r="AE3363" i="5"/>
  <c r="AD3363" i="5"/>
  <c r="E3363" i="5"/>
  <c r="AE3362" i="5"/>
  <c r="AD3362" i="5"/>
  <c r="E3362" i="5"/>
  <c r="AE3361" i="5"/>
  <c r="AD3361" i="5"/>
  <c r="E3361" i="5"/>
  <c r="AE3360" i="5"/>
  <c r="AD3360" i="5"/>
  <c r="E3360" i="5"/>
  <c r="AE3359" i="5"/>
  <c r="AD3359" i="5"/>
  <c r="E3359" i="5"/>
  <c r="AE3358" i="5"/>
  <c r="AD3358" i="5"/>
  <c r="E3358" i="5"/>
  <c r="AE3357" i="5"/>
  <c r="AD3357" i="5"/>
  <c r="E3357" i="5"/>
  <c r="AE3356" i="5"/>
  <c r="AD3356" i="5"/>
  <c r="E3356" i="5"/>
  <c r="AE3355" i="5"/>
  <c r="AD3355" i="5"/>
  <c r="E3355" i="5"/>
  <c r="AE3354" i="5"/>
  <c r="AD3354" i="5"/>
  <c r="E3354" i="5"/>
  <c r="AE3353" i="5"/>
  <c r="AD3353" i="5"/>
  <c r="E3353" i="5"/>
  <c r="AE3352" i="5"/>
  <c r="AD3352" i="5"/>
  <c r="E3352" i="5"/>
  <c r="AE3351" i="5"/>
  <c r="AD3351" i="5"/>
  <c r="E3351" i="5"/>
  <c r="AE3350" i="5"/>
  <c r="AD3350" i="5"/>
  <c r="E3350" i="5"/>
  <c r="AE3349" i="5"/>
  <c r="AD3349" i="5"/>
  <c r="E3349" i="5"/>
  <c r="AE3348" i="5"/>
  <c r="AD3348" i="5"/>
  <c r="E3348" i="5"/>
  <c r="AE3347" i="5"/>
  <c r="AD3347" i="5"/>
  <c r="E3347" i="5"/>
  <c r="AE3346" i="5"/>
  <c r="AD3346" i="5"/>
  <c r="E3346" i="5"/>
  <c r="AE3345" i="5"/>
  <c r="AD3345" i="5"/>
  <c r="E3345" i="5"/>
  <c r="AE3344" i="5"/>
  <c r="AD3344" i="5"/>
  <c r="E3344" i="5"/>
  <c r="AE3343" i="5"/>
  <c r="AD3343" i="5"/>
  <c r="E3343" i="5"/>
  <c r="AE3342" i="5"/>
  <c r="AD3342" i="5"/>
  <c r="E3342" i="5"/>
  <c r="AE3341" i="5"/>
  <c r="AD3341" i="5"/>
  <c r="E3341" i="5"/>
  <c r="AE3340" i="5"/>
  <c r="AD3340" i="5"/>
  <c r="E3340" i="5"/>
  <c r="AE3339" i="5"/>
  <c r="AD3339" i="5"/>
  <c r="E3339" i="5"/>
  <c r="AE3338" i="5"/>
  <c r="AD3338" i="5"/>
  <c r="E3338" i="5"/>
  <c r="AE3337" i="5"/>
  <c r="AD3337" i="5"/>
  <c r="E3337" i="5"/>
  <c r="AE3336" i="5"/>
  <c r="AD3336" i="5"/>
  <c r="E3336" i="5"/>
  <c r="AE3335" i="5"/>
  <c r="AD3335" i="5"/>
  <c r="E3335" i="5"/>
  <c r="AE3334" i="5"/>
  <c r="AD3334" i="5"/>
  <c r="E3334" i="5"/>
  <c r="AE3333" i="5"/>
  <c r="AD3333" i="5"/>
  <c r="E3333" i="5"/>
  <c r="AE3332" i="5"/>
  <c r="AD3332" i="5"/>
  <c r="E3332" i="5"/>
  <c r="AE3331" i="5"/>
  <c r="AD3331" i="5"/>
  <c r="E3331" i="5"/>
  <c r="AE3330" i="5"/>
  <c r="AD3330" i="5"/>
  <c r="E3330" i="5"/>
  <c r="AE3329" i="5"/>
  <c r="AD3329" i="5"/>
  <c r="E3329" i="5"/>
  <c r="AE3328" i="5"/>
  <c r="AD3328" i="5"/>
  <c r="E3328" i="5"/>
  <c r="AE3327" i="5"/>
  <c r="AD3327" i="5"/>
  <c r="E3327" i="5"/>
  <c r="AE3326" i="5"/>
  <c r="AD3326" i="5"/>
  <c r="E3326" i="5"/>
  <c r="AE3325" i="5"/>
  <c r="AD3325" i="5"/>
  <c r="E3325" i="5"/>
  <c r="AE3324" i="5"/>
  <c r="AD3324" i="5"/>
  <c r="E3324" i="5"/>
  <c r="AE3323" i="5"/>
  <c r="AD3323" i="5"/>
  <c r="E3323" i="5"/>
  <c r="AE3322" i="5"/>
  <c r="AD3322" i="5"/>
  <c r="E3322" i="5"/>
  <c r="AE3321" i="5"/>
  <c r="AD3321" i="5"/>
  <c r="E3321" i="5"/>
  <c r="AE3320" i="5"/>
  <c r="AD3320" i="5"/>
  <c r="E3320" i="5"/>
  <c r="AE3319" i="5"/>
  <c r="AD3319" i="5"/>
  <c r="E3319" i="5"/>
  <c r="AE3318" i="5"/>
  <c r="AD3318" i="5"/>
  <c r="E3318" i="5"/>
  <c r="AE3317" i="5"/>
  <c r="AD3317" i="5"/>
  <c r="E3317" i="5"/>
  <c r="AE3316" i="5"/>
  <c r="AD3316" i="5"/>
  <c r="E3316" i="5"/>
  <c r="AE3315" i="5"/>
  <c r="AD3315" i="5"/>
  <c r="E3315" i="5"/>
  <c r="AE3314" i="5"/>
  <c r="AD3314" i="5"/>
  <c r="E3314" i="5"/>
  <c r="AE3313" i="5"/>
  <c r="AD3313" i="5"/>
  <c r="E3313" i="5"/>
  <c r="AE3312" i="5"/>
  <c r="AD3312" i="5"/>
  <c r="E3312" i="5"/>
  <c r="AE3311" i="5"/>
  <c r="AD3311" i="5"/>
  <c r="E3311" i="5"/>
  <c r="AE3310" i="5"/>
  <c r="AD3310" i="5"/>
  <c r="E3310" i="5"/>
  <c r="AE3309" i="5"/>
  <c r="AD3309" i="5"/>
  <c r="E3309" i="5"/>
  <c r="AE3308" i="5"/>
  <c r="AD3308" i="5"/>
  <c r="E3308" i="5"/>
  <c r="AE3307" i="5"/>
  <c r="AD3307" i="5"/>
  <c r="E3307" i="5"/>
  <c r="AE3306" i="5"/>
  <c r="AD3306" i="5"/>
  <c r="E3306" i="5"/>
  <c r="AE3305" i="5"/>
  <c r="AD3305" i="5"/>
  <c r="E3305" i="5"/>
  <c r="AE3304" i="5"/>
  <c r="AD3304" i="5"/>
  <c r="E3304" i="5"/>
  <c r="AE3303" i="5"/>
  <c r="AD3303" i="5"/>
  <c r="E3303" i="5"/>
  <c r="AE3302" i="5"/>
  <c r="AD3302" i="5"/>
  <c r="E3302" i="5"/>
  <c r="AE3301" i="5"/>
  <c r="AD3301" i="5"/>
  <c r="E3301" i="5"/>
  <c r="AE3300" i="5"/>
  <c r="AD3300" i="5"/>
  <c r="E3300" i="5"/>
  <c r="AE3299" i="5"/>
  <c r="AD3299" i="5"/>
  <c r="E3299" i="5"/>
  <c r="AE3298" i="5"/>
  <c r="AD3298" i="5"/>
  <c r="E3298" i="5"/>
  <c r="AE3297" i="5"/>
  <c r="AD3297" i="5"/>
  <c r="E3297" i="5"/>
  <c r="AE3296" i="5"/>
  <c r="AD3296" i="5"/>
  <c r="E3296" i="5"/>
  <c r="AE3295" i="5"/>
  <c r="AD3295" i="5"/>
  <c r="E3295" i="5"/>
  <c r="AE3294" i="5"/>
  <c r="AD3294" i="5"/>
  <c r="E3294" i="5"/>
  <c r="AE3293" i="5"/>
  <c r="AD3293" i="5"/>
  <c r="E3293" i="5"/>
  <c r="AE3292" i="5"/>
  <c r="AD3292" i="5"/>
  <c r="E3292" i="5"/>
  <c r="AE3291" i="5"/>
  <c r="AD3291" i="5"/>
  <c r="E3291" i="5"/>
  <c r="AE3290" i="5"/>
  <c r="AD3290" i="5"/>
  <c r="E3290" i="5"/>
  <c r="AE3289" i="5"/>
  <c r="AD3289" i="5"/>
  <c r="E3289" i="5"/>
  <c r="AE3288" i="5"/>
  <c r="AD3288" i="5"/>
  <c r="E3288" i="5"/>
  <c r="AE3287" i="5"/>
  <c r="AD3287" i="5"/>
  <c r="E3287" i="5"/>
  <c r="AE3286" i="5"/>
  <c r="AD3286" i="5"/>
  <c r="E3286" i="5"/>
  <c r="AE3285" i="5"/>
  <c r="AD3285" i="5"/>
  <c r="E3285" i="5"/>
  <c r="AE3284" i="5"/>
  <c r="AD3284" i="5"/>
  <c r="E3284" i="5"/>
  <c r="AE3283" i="5"/>
  <c r="AD3283" i="5"/>
  <c r="E3283" i="5"/>
  <c r="AE3282" i="5"/>
  <c r="AD3282" i="5"/>
  <c r="E3282" i="5"/>
  <c r="AE3281" i="5"/>
  <c r="AD3281" i="5"/>
  <c r="E3281" i="5"/>
  <c r="AE3280" i="5"/>
  <c r="AD3280" i="5"/>
  <c r="E3280" i="5"/>
  <c r="AE3279" i="5"/>
  <c r="AD3279" i="5"/>
  <c r="E3279" i="5"/>
  <c r="AE3278" i="5"/>
  <c r="AD3278" i="5"/>
  <c r="E3278" i="5"/>
  <c r="AE3277" i="5"/>
  <c r="AD3277" i="5"/>
  <c r="E3277" i="5"/>
  <c r="AE3276" i="5"/>
  <c r="AD3276" i="5"/>
  <c r="E3276" i="5"/>
  <c r="AE3275" i="5"/>
  <c r="AD3275" i="5"/>
  <c r="E3275" i="5"/>
  <c r="AE3274" i="5"/>
  <c r="AD3274" i="5"/>
  <c r="E3274" i="5"/>
  <c r="AE3273" i="5"/>
  <c r="AD3273" i="5"/>
  <c r="E3273" i="5"/>
  <c r="AE3272" i="5"/>
  <c r="AD3272" i="5"/>
  <c r="E3272" i="5"/>
  <c r="AE3271" i="5"/>
  <c r="AD3271" i="5"/>
  <c r="E3271" i="5"/>
  <c r="AE3270" i="5"/>
  <c r="AD3270" i="5"/>
  <c r="E3270" i="5"/>
  <c r="AE3269" i="5"/>
  <c r="AD3269" i="5"/>
  <c r="E3269" i="5"/>
  <c r="AE3268" i="5"/>
  <c r="AD3268" i="5"/>
  <c r="E3268" i="5"/>
  <c r="AE3267" i="5"/>
  <c r="AD3267" i="5"/>
  <c r="E3267" i="5"/>
  <c r="AE3266" i="5"/>
  <c r="AD3266" i="5"/>
  <c r="E3266" i="5"/>
  <c r="AE3265" i="5"/>
  <c r="AD3265" i="5"/>
  <c r="E3265" i="5"/>
  <c r="AE3264" i="5"/>
  <c r="AD3264" i="5"/>
  <c r="E3264" i="5"/>
  <c r="AE3263" i="5"/>
  <c r="AD3263" i="5"/>
  <c r="E3263" i="5"/>
  <c r="AE3262" i="5"/>
  <c r="AD3262" i="5"/>
  <c r="E3262" i="5"/>
  <c r="AE3261" i="5"/>
  <c r="AD3261" i="5"/>
  <c r="E3261" i="5"/>
  <c r="AE3260" i="5"/>
  <c r="AD3260" i="5"/>
  <c r="E3260" i="5"/>
  <c r="AE3259" i="5"/>
  <c r="AD3259" i="5"/>
  <c r="E3259" i="5"/>
  <c r="AE3258" i="5"/>
  <c r="AD3258" i="5"/>
  <c r="E3258" i="5"/>
  <c r="AE3257" i="5"/>
  <c r="AD3257" i="5"/>
  <c r="E3257" i="5"/>
  <c r="AE3256" i="5"/>
  <c r="AD3256" i="5"/>
  <c r="E3256" i="5"/>
  <c r="AE3255" i="5"/>
  <c r="AD3255" i="5"/>
  <c r="E3255" i="5"/>
  <c r="AE3254" i="5"/>
  <c r="AD3254" i="5"/>
  <c r="E3254" i="5"/>
  <c r="AE3253" i="5"/>
  <c r="AD3253" i="5"/>
  <c r="E3253" i="5"/>
  <c r="AE3252" i="5"/>
  <c r="AD3252" i="5"/>
  <c r="E3252" i="5"/>
  <c r="AE3251" i="5"/>
  <c r="AD3251" i="5"/>
  <c r="E3251" i="5"/>
  <c r="AE3250" i="5"/>
  <c r="AD3250" i="5"/>
  <c r="E3250" i="5"/>
  <c r="AE3249" i="5"/>
  <c r="AD3249" i="5"/>
  <c r="E3249" i="5"/>
  <c r="AE3248" i="5"/>
  <c r="AD3248" i="5"/>
  <c r="E3248" i="5"/>
  <c r="AE3247" i="5"/>
  <c r="AD3247" i="5"/>
  <c r="E3247" i="5"/>
  <c r="AE3246" i="5"/>
  <c r="AD3246" i="5"/>
  <c r="E3246" i="5"/>
  <c r="AE3245" i="5"/>
  <c r="AD3245" i="5"/>
  <c r="E3245" i="5"/>
  <c r="AE3244" i="5"/>
  <c r="AD3244" i="5"/>
  <c r="E3244" i="5"/>
  <c r="AE3243" i="5"/>
  <c r="AD3243" i="5"/>
  <c r="E3243" i="5"/>
  <c r="AE3242" i="5"/>
  <c r="AD3242" i="5"/>
  <c r="E3242" i="5"/>
  <c r="AE3241" i="5"/>
  <c r="AD3241" i="5"/>
  <c r="E3241" i="5"/>
  <c r="AE3240" i="5"/>
  <c r="AD3240" i="5"/>
  <c r="E3240" i="5"/>
  <c r="AE3239" i="5"/>
  <c r="AD3239" i="5"/>
  <c r="E3239" i="5"/>
  <c r="AE3238" i="5"/>
  <c r="AD3238" i="5"/>
  <c r="E3238" i="5"/>
  <c r="AE3237" i="5"/>
  <c r="AD3237" i="5"/>
  <c r="E3237" i="5"/>
  <c r="AE3236" i="5"/>
  <c r="AD3236" i="5"/>
  <c r="E3236" i="5"/>
  <c r="AE3235" i="5"/>
  <c r="AD3235" i="5"/>
  <c r="E3235" i="5"/>
  <c r="AE3234" i="5"/>
  <c r="AD3234" i="5"/>
  <c r="E3234" i="5"/>
  <c r="AE3233" i="5"/>
  <c r="AD3233" i="5"/>
  <c r="E3233" i="5"/>
  <c r="AE3232" i="5"/>
  <c r="AD3232" i="5"/>
  <c r="E3232" i="5"/>
  <c r="AE3231" i="5"/>
  <c r="AD3231" i="5"/>
  <c r="E3231" i="5"/>
  <c r="AE3230" i="5"/>
  <c r="AD3230" i="5"/>
  <c r="E3230" i="5"/>
  <c r="AE3229" i="5"/>
  <c r="AD3229" i="5"/>
  <c r="E3229" i="5"/>
  <c r="AE3228" i="5"/>
  <c r="AD3228" i="5"/>
  <c r="E3228" i="5"/>
  <c r="AE3227" i="5"/>
  <c r="AD3227" i="5"/>
  <c r="E3227" i="5"/>
  <c r="AE3226" i="5"/>
  <c r="AD3226" i="5"/>
  <c r="E3226" i="5"/>
  <c r="AE3225" i="5"/>
  <c r="AD3225" i="5"/>
  <c r="E3225" i="5"/>
  <c r="AE3224" i="5"/>
  <c r="AD3224" i="5"/>
  <c r="E3224" i="5"/>
  <c r="AE3223" i="5"/>
  <c r="AD3223" i="5"/>
  <c r="E3223" i="5"/>
  <c r="AE3222" i="5"/>
  <c r="AD3222" i="5"/>
  <c r="E3222" i="5"/>
  <c r="AE3221" i="5"/>
  <c r="AD3221" i="5"/>
  <c r="E3221" i="5"/>
  <c r="AE3220" i="5"/>
  <c r="AD3220" i="5"/>
  <c r="E3220" i="5"/>
  <c r="AE3219" i="5"/>
  <c r="AD3219" i="5"/>
  <c r="E3219" i="5"/>
  <c r="AE3218" i="5"/>
  <c r="AD3218" i="5"/>
  <c r="E3218" i="5"/>
  <c r="AE3217" i="5"/>
  <c r="AD3217" i="5"/>
  <c r="E3217" i="5"/>
  <c r="AE3216" i="5"/>
  <c r="AD3216" i="5"/>
  <c r="E3216" i="5"/>
  <c r="AE3215" i="5"/>
  <c r="AD3215" i="5"/>
  <c r="E3215" i="5"/>
  <c r="AE3214" i="5"/>
  <c r="AD3214" i="5"/>
  <c r="E3214" i="5"/>
  <c r="AE3213" i="5"/>
  <c r="AD3213" i="5"/>
  <c r="E3213" i="5"/>
  <c r="AE3212" i="5"/>
  <c r="AD3212" i="5"/>
  <c r="E3212" i="5"/>
  <c r="AE3211" i="5"/>
  <c r="AD3211" i="5"/>
  <c r="E3211" i="5"/>
  <c r="AE3210" i="5"/>
  <c r="AD3210" i="5"/>
  <c r="E3210" i="5"/>
  <c r="AE3209" i="5"/>
  <c r="AD3209" i="5"/>
  <c r="E3209" i="5"/>
  <c r="AE3208" i="5"/>
  <c r="AD3208" i="5"/>
  <c r="E3208" i="5"/>
  <c r="AE3207" i="5"/>
  <c r="AD3207" i="5"/>
  <c r="E3207" i="5"/>
  <c r="AE3206" i="5"/>
  <c r="AD3206" i="5"/>
  <c r="E3206" i="5"/>
  <c r="AE3205" i="5"/>
  <c r="AD3205" i="5"/>
  <c r="E3205" i="5"/>
  <c r="AE3204" i="5"/>
  <c r="AD3204" i="5"/>
  <c r="E3204" i="5"/>
  <c r="AE3203" i="5"/>
  <c r="AD3203" i="5"/>
  <c r="E3203" i="5"/>
  <c r="AE3202" i="5"/>
  <c r="AD3202" i="5"/>
  <c r="E3202" i="5"/>
  <c r="AE3201" i="5"/>
  <c r="AD3201" i="5"/>
  <c r="E3201" i="5"/>
  <c r="AE3200" i="5"/>
  <c r="AD3200" i="5"/>
  <c r="E3200" i="5"/>
  <c r="AE3199" i="5"/>
  <c r="AD3199" i="5"/>
  <c r="E3199" i="5"/>
  <c r="AE3198" i="5"/>
  <c r="AD3198" i="5"/>
  <c r="E3198" i="5"/>
  <c r="AE3197" i="5"/>
  <c r="AD3197" i="5"/>
  <c r="E3197" i="5"/>
  <c r="AE3196" i="5"/>
  <c r="AD3196" i="5"/>
  <c r="E3196" i="5"/>
  <c r="AE3195" i="5"/>
  <c r="AD3195" i="5"/>
  <c r="E3195" i="5"/>
  <c r="AE3194" i="5"/>
  <c r="AD3194" i="5"/>
  <c r="E3194" i="5"/>
  <c r="AE3193" i="5"/>
  <c r="AD3193" i="5"/>
  <c r="E3193" i="5"/>
  <c r="AE3192" i="5"/>
  <c r="AD3192" i="5"/>
  <c r="E3192" i="5"/>
  <c r="AE3191" i="5"/>
  <c r="AD3191" i="5"/>
  <c r="E3191" i="5"/>
  <c r="AE3190" i="5"/>
  <c r="AD3190" i="5"/>
  <c r="E3190" i="5"/>
  <c r="AE3189" i="5"/>
  <c r="AD3189" i="5"/>
  <c r="E3189" i="5"/>
  <c r="AE3188" i="5"/>
  <c r="AD3188" i="5"/>
  <c r="E3188" i="5"/>
  <c r="AE3187" i="5"/>
  <c r="AD3187" i="5"/>
  <c r="E3187" i="5"/>
  <c r="AE3186" i="5"/>
  <c r="AD3186" i="5"/>
  <c r="E3186" i="5"/>
  <c r="AE3185" i="5"/>
  <c r="AD3185" i="5"/>
  <c r="E3185" i="5"/>
  <c r="AE3184" i="5"/>
  <c r="AD3184" i="5"/>
  <c r="E3184" i="5"/>
  <c r="AE3183" i="5"/>
  <c r="AD3183" i="5"/>
  <c r="E3183" i="5"/>
  <c r="AE3182" i="5"/>
  <c r="AD3182" i="5"/>
  <c r="E3182" i="5"/>
  <c r="AE3181" i="5"/>
  <c r="AD3181" i="5"/>
  <c r="E3181" i="5"/>
  <c r="AE3180" i="5"/>
  <c r="AD3180" i="5"/>
  <c r="E3180" i="5"/>
  <c r="AE3179" i="5"/>
  <c r="AD3179" i="5"/>
  <c r="E3179" i="5"/>
  <c r="AE3178" i="5"/>
  <c r="AD3178" i="5"/>
  <c r="E3178" i="5"/>
  <c r="AE3177" i="5"/>
  <c r="AD3177" i="5"/>
  <c r="E3177" i="5"/>
  <c r="AE3176" i="5"/>
  <c r="AD3176" i="5"/>
  <c r="E3176" i="5"/>
  <c r="AE3175" i="5"/>
  <c r="AD3175" i="5"/>
  <c r="E3175" i="5"/>
  <c r="AE3174" i="5"/>
  <c r="AD3174" i="5"/>
  <c r="E3174" i="5"/>
  <c r="AE3173" i="5"/>
  <c r="AD3173" i="5"/>
  <c r="E3173" i="5"/>
  <c r="AE3172" i="5"/>
  <c r="AD3172" i="5"/>
  <c r="E3172" i="5"/>
  <c r="AE3171" i="5"/>
  <c r="AD3171" i="5"/>
  <c r="E3171" i="5"/>
  <c r="AE3170" i="5"/>
  <c r="AD3170" i="5"/>
  <c r="E3170" i="5"/>
  <c r="AE3169" i="5"/>
  <c r="AD3169" i="5"/>
  <c r="E3169" i="5"/>
  <c r="AE3168" i="5"/>
  <c r="AD3168" i="5"/>
  <c r="E3168" i="5"/>
  <c r="AE3167" i="5"/>
  <c r="AD3167" i="5"/>
  <c r="E3167" i="5"/>
  <c r="AE3166" i="5"/>
  <c r="AD3166" i="5"/>
  <c r="E3166" i="5"/>
  <c r="AE3165" i="5"/>
  <c r="AD3165" i="5"/>
  <c r="E3165" i="5"/>
  <c r="AE3164" i="5"/>
  <c r="AD3164" i="5"/>
  <c r="E3164" i="5"/>
  <c r="AE3163" i="5"/>
  <c r="AD3163" i="5"/>
  <c r="E3163" i="5"/>
  <c r="AE3162" i="5"/>
  <c r="AD3162" i="5"/>
  <c r="E3162" i="5"/>
  <c r="AE3161" i="5"/>
  <c r="AD3161" i="5"/>
  <c r="E3161" i="5"/>
  <c r="AE3160" i="5"/>
  <c r="AD3160" i="5"/>
  <c r="E3160" i="5"/>
  <c r="AE3159" i="5"/>
  <c r="AD3159" i="5"/>
  <c r="E3159" i="5"/>
  <c r="AE3158" i="5"/>
  <c r="AD3158" i="5"/>
  <c r="E3158" i="5"/>
  <c r="AE3157" i="5"/>
  <c r="AD3157" i="5"/>
  <c r="E3157" i="5"/>
  <c r="AE3156" i="5"/>
  <c r="AD3156" i="5"/>
  <c r="E3156" i="5"/>
  <c r="AE3155" i="5"/>
  <c r="AD3155" i="5"/>
  <c r="E3155" i="5"/>
  <c r="AE3154" i="5"/>
  <c r="AD3154" i="5"/>
  <c r="E3154" i="5"/>
  <c r="AE3153" i="5"/>
  <c r="AD3153" i="5"/>
  <c r="E3153" i="5"/>
  <c r="AE3152" i="5"/>
  <c r="AD3152" i="5"/>
  <c r="E3152" i="5"/>
  <c r="AE3151" i="5"/>
  <c r="AD3151" i="5"/>
  <c r="E3151" i="5"/>
  <c r="AE3150" i="5"/>
  <c r="AD3150" i="5"/>
  <c r="E3150" i="5"/>
  <c r="AE3149" i="5"/>
  <c r="AD3149" i="5"/>
  <c r="E3149" i="5"/>
  <c r="AE3148" i="5"/>
  <c r="AD3148" i="5"/>
  <c r="E3148" i="5"/>
  <c r="AE3147" i="5"/>
  <c r="AD3147" i="5"/>
  <c r="E3147" i="5"/>
  <c r="AE3146" i="5"/>
  <c r="AD3146" i="5"/>
  <c r="E3146" i="5"/>
  <c r="AE3145" i="5"/>
  <c r="AD3145" i="5"/>
  <c r="E3145" i="5"/>
  <c r="AE3144" i="5"/>
  <c r="AD3144" i="5"/>
  <c r="E3144" i="5"/>
  <c r="AE3143" i="5"/>
  <c r="AD3143" i="5"/>
  <c r="E3143" i="5"/>
  <c r="AE3142" i="5"/>
  <c r="AD3142" i="5"/>
  <c r="E3142" i="5"/>
  <c r="AE3141" i="5"/>
  <c r="AD3141" i="5"/>
  <c r="E3141" i="5"/>
  <c r="AE3140" i="5"/>
  <c r="AD3140" i="5"/>
  <c r="E3140" i="5"/>
  <c r="AE3139" i="5"/>
  <c r="AD3139" i="5"/>
  <c r="E3139" i="5"/>
  <c r="AE3138" i="5"/>
  <c r="AD3138" i="5"/>
  <c r="E3138" i="5"/>
  <c r="AE3137" i="5"/>
  <c r="AD3137" i="5"/>
  <c r="E3137" i="5"/>
  <c r="AE3136" i="5"/>
  <c r="AD3136" i="5"/>
  <c r="E3136" i="5"/>
  <c r="AE3135" i="5"/>
  <c r="AD3135" i="5"/>
  <c r="E3135" i="5"/>
  <c r="AE3134" i="5"/>
  <c r="AD3134" i="5"/>
  <c r="E3134" i="5"/>
  <c r="AE3133" i="5"/>
  <c r="AD3133" i="5"/>
  <c r="E3133" i="5"/>
  <c r="AE3132" i="5"/>
  <c r="AD3132" i="5"/>
  <c r="E3132" i="5"/>
  <c r="AE3131" i="5"/>
  <c r="AD3131" i="5"/>
  <c r="E3131" i="5"/>
  <c r="AE3130" i="5"/>
  <c r="AD3130" i="5"/>
  <c r="E3130" i="5"/>
  <c r="AE3129" i="5"/>
  <c r="AD3129" i="5"/>
  <c r="E3129" i="5"/>
  <c r="AE3128" i="5"/>
  <c r="AD3128" i="5"/>
  <c r="E3128" i="5"/>
  <c r="AE3127" i="5"/>
  <c r="AD3127" i="5"/>
  <c r="E3127" i="5"/>
  <c r="AE3126" i="5"/>
  <c r="AD3126" i="5"/>
  <c r="E3126" i="5"/>
  <c r="AE3125" i="5"/>
  <c r="AD3125" i="5"/>
  <c r="E3125" i="5"/>
  <c r="AE3124" i="5"/>
  <c r="AD3124" i="5"/>
  <c r="E3124" i="5"/>
  <c r="AE3123" i="5"/>
  <c r="AD3123" i="5"/>
  <c r="E3123" i="5"/>
  <c r="AE3122" i="5"/>
  <c r="AD3122" i="5"/>
  <c r="E3122" i="5"/>
  <c r="AE3121" i="5"/>
  <c r="AD3121" i="5"/>
  <c r="E3121" i="5"/>
  <c r="AE3120" i="5"/>
  <c r="AD3120" i="5"/>
  <c r="E3120" i="5"/>
  <c r="AE3119" i="5"/>
  <c r="AD3119" i="5"/>
  <c r="E3119" i="5"/>
  <c r="AE3118" i="5"/>
  <c r="AD3118" i="5"/>
  <c r="E3118" i="5"/>
  <c r="AE3117" i="5"/>
  <c r="AD3117" i="5"/>
  <c r="E3117" i="5"/>
  <c r="AE3116" i="5"/>
  <c r="AD3116" i="5"/>
  <c r="E3116" i="5"/>
  <c r="AE3115" i="5"/>
  <c r="AD3115" i="5"/>
  <c r="E3115" i="5"/>
  <c r="AE3114" i="5"/>
  <c r="AD3114" i="5"/>
  <c r="E3114" i="5"/>
  <c r="AE3113" i="5"/>
  <c r="AD3113" i="5"/>
  <c r="E3113" i="5"/>
  <c r="AE3112" i="5"/>
  <c r="AD3112" i="5"/>
  <c r="E3112" i="5"/>
  <c r="AE3111" i="5"/>
  <c r="AD3111" i="5"/>
  <c r="E3111" i="5"/>
  <c r="AE3110" i="5"/>
  <c r="AD3110" i="5"/>
  <c r="E3110" i="5"/>
  <c r="AE3109" i="5"/>
  <c r="AD3109" i="5"/>
  <c r="E3109" i="5"/>
  <c r="AE3108" i="5"/>
  <c r="AD3108" i="5"/>
  <c r="E3108" i="5"/>
  <c r="AE3107" i="5"/>
  <c r="AD3107" i="5"/>
  <c r="E3107" i="5"/>
  <c r="AE3106" i="5"/>
  <c r="AD3106" i="5"/>
  <c r="E3106" i="5"/>
  <c r="AE3105" i="5"/>
  <c r="AD3105" i="5"/>
  <c r="E3105" i="5"/>
  <c r="AE3104" i="5"/>
  <c r="AD3104" i="5"/>
  <c r="E3104" i="5"/>
  <c r="AE3103" i="5"/>
  <c r="AD3103" i="5"/>
  <c r="E3103" i="5"/>
  <c r="AE3102" i="5"/>
  <c r="AD3102" i="5"/>
  <c r="E3102" i="5"/>
  <c r="AE3101" i="5"/>
  <c r="AD3101" i="5"/>
  <c r="E3101" i="5"/>
  <c r="AE3100" i="5"/>
  <c r="AD3100" i="5"/>
  <c r="E3100" i="5"/>
  <c r="AE3099" i="5"/>
  <c r="AD3099" i="5"/>
  <c r="E3099" i="5"/>
  <c r="AE3098" i="5"/>
  <c r="AD3098" i="5"/>
  <c r="E3098" i="5"/>
  <c r="AE3097" i="5"/>
  <c r="AD3097" i="5"/>
  <c r="E3097" i="5"/>
  <c r="AE3096" i="5"/>
  <c r="AD3096" i="5"/>
  <c r="E3096" i="5"/>
  <c r="AE3095" i="5"/>
  <c r="AD3095" i="5"/>
  <c r="E3095" i="5"/>
  <c r="AE3094" i="5"/>
  <c r="AD3094" i="5"/>
  <c r="E3094" i="5"/>
  <c r="AE3093" i="5"/>
  <c r="AD3093" i="5"/>
  <c r="E3093" i="5"/>
  <c r="AE3092" i="5"/>
  <c r="AD3092" i="5"/>
  <c r="E3092" i="5"/>
  <c r="AE3091" i="5"/>
  <c r="AD3091" i="5"/>
  <c r="E3091" i="5"/>
  <c r="AE3090" i="5"/>
  <c r="AD3090" i="5"/>
  <c r="E3090" i="5"/>
  <c r="AE3089" i="5"/>
  <c r="AD3089" i="5"/>
  <c r="E3089" i="5"/>
  <c r="AE3088" i="5"/>
  <c r="AD3088" i="5"/>
  <c r="E3088" i="5"/>
  <c r="AE3087" i="5"/>
  <c r="AD3087" i="5"/>
  <c r="E3087" i="5"/>
  <c r="AE3086" i="5"/>
  <c r="AD3086" i="5"/>
  <c r="E3086" i="5"/>
  <c r="AE3085" i="5"/>
  <c r="AD3085" i="5"/>
  <c r="E3085" i="5"/>
  <c r="AE3084" i="5"/>
  <c r="AD3084" i="5"/>
  <c r="E3084" i="5"/>
  <c r="AE3083" i="5"/>
  <c r="AD3083" i="5"/>
  <c r="E3083" i="5"/>
  <c r="AE3082" i="5"/>
  <c r="AD3082" i="5"/>
  <c r="E3082" i="5"/>
  <c r="AE3081" i="5"/>
  <c r="AD3081" i="5"/>
  <c r="E3081" i="5"/>
  <c r="AE3080" i="5"/>
  <c r="AD3080" i="5"/>
  <c r="E3080" i="5"/>
  <c r="AE3079" i="5"/>
  <c r="AD3079" i="5"/>
  <c r="E3079" i="5"/>
  <c r="AE3078" i="5"/>
  <c r="AD3078" i="5"/>
  <c r="E3078" i="5"/>
  <c r="AE3077" i="5"/>
  <c r="AD3077" i="5"/>
  <c r="E3077" i="5"/>
  <c r="AE3076" i="5"/>
  <c r="AD3076" i="5"/>
  <c r="E3076" i="5"/>
  <c r="AE3075" i="5"/>
  <c r="AD3075" i="5"/>
  <c r="E3075" i="5"/>
  <c r="AE3074" i="5"/>
  <c r="AD3074" i="5"/>
  <c r="E3074" i="5"/>
  <c r="AE3073" i="5"/>
  <c r="AD3073" i="5"/>
  <c r="E3073" i="5"/>
  <c r="AE3072" i="5"/>
  <c r="AD3072" i="5"/>
  <c r="E3072" i="5"/>
  <c r="AE3071" i="5"/>
  <c r="AD3071" i="5"/>
  <c r="E3071" i="5"/>
  <c r="AE3070" i="5"/>
  <c r="AD3070" i="5"/>
  <c r="E3070" i="5"/>
  <c r="AE3069" i="5"/>
  <c r="AD3069" i="5"/>
  <c r="E3069" i="5"/>
  <c r="AE3068" i="5"/>
  <c r="AD3068" i="5"/>
  <c r="E3068" i="5"/>
  <c r="AE3067" i="5"/>
  <c r="AD3067" i="5"/>
  <c r="E3067" i="5"/>
  <c r="AE3066" i="5"/>
  <c r="AD3066" i="5"/>
  <c r="E3066" i="5"/>
  <c r="AE3065" i="5"/>
  <c r="AD3065" i="5"/>
  <c r="E3065" i="5"/>
  <c r="AE3064" i="5"/>
  <c r="AD3064" i="5"/>
  <c r="E3064" i="5"/>
  <c r="AE3063" i="5"/>
  <c r="AD3063" i="5"/>
  <c r="E3063" i="5"/>
  <c r="AE3062" i="5"/>
  <c r="AD3062" i="5"/>
  <c r="E3062" i="5"/>
  <c r="AE3061" i="5"/>
  <c r="AD3061" i="5"/>
  <c r="E3061" i="5"/>
  <c r="AE3060" i="5"/>
  <c r="AD3060" i="5"/>
  <c r="E3060" i="5"/>
  <c r="AE3059" i="5"/>
  <c r="AD3059" i="5"/>
  <c r="E3059" i="5"/>
  <c r="AE3058" i="5"/>
  <c r="AD3058" i="5"/>
  <c r="E3058" i="5"/>
  <c r="AE3057" i="5"/>
  <c r="AD3057" i="5"/>
  <c r="E3057" i="5"/>
  <c r="AE3056" i="5"/>
  <c r="AD3056" i="5"/>
  <c r="E3056" i="5"/>
  <c r="AE3055" i="5"/>
  <c r="AD3055" i="5"/>
  <c r="E3055" i="5"/>
  <c r="AE3054" i="5"/>
  <c r="AD3054" i="5"/>
  <c r="E3054" i="5"/>
  <c r="AE3053" i="5"/>
  <c r="AD3053" i="5"/>
  <c r="E3053" i="5"/>
  <c r="AE3052" i="5"/>
  <c r="AD3052" i="5"/>
  <c r="E3052" i="5"/>
  <c r="AE3051" i="5"/>
  <c r="AD3051" i="5"/>
  <c r="E3051" i="5"/>
  <c r="AE3050" i="5"/>
  <c r="AD3050" i="5"/>
  <c r="E3050" i="5"/>
  <c r="AE3049" i="5"/>
  <c r="AD3049" i="5"/>
  <c r="E3049" i="5"/>
  <c r="AE3048" i="5"/>
  <c r="AD3048" i="5"/>
  <c r="E3048" i="5"/>
  <c r="AE3047" i="5"/>
  <c r="AD3047" i="5"/>
  <c r="E3047" i="5"/>
  <c r="AE3046" i="5"/>
  <c r="AD3046" i="5"/>
  <c r="E3046" i="5"/>
  <c r="AE3045" i="5"/>
  <c r="AD3045" i="5"/>
  <c r="E3045" i="5"/>
  <c r="AE3044" i="5"/>
  <c r="AD3044" i="5"/>
  <c r="E3044" i="5"/>
  <c r="AE3043" i="5"/>
  <c r="AD3043" i="5"/>
  <c r="E3043" i="5"/>
  <c r="AE3042" i="5"/>
  <c r="AD3042" i="5"/>
  <c r="E3042" i="5"/>
  <c r="AE3041" i="5"/>
  <c r="AD3041" i="5"/>
  <c r="E3041" i="5"/>
  <c r="AE3040" i="5"/>
  <c r="AD3040" i="5"/>
  <c r="E3040" i="5"/>
  <c r="AE3039" i="5"/>
  <c r="AD3039" i="5"/>
  <c r="E3039" i="5"/>
  <c r="AE3038" i="5"/>
  <c r="AD3038" i="5"/>
  <c r="E3038" i="5"/>
  <c r="AE3037" i="5"/>
  <c r="AD3037" i="5"/>
  <c r="E3037" i="5"/>
  <c r="AE3036" i="5"/>
  <c r="AD3036" i="5"/>
  <c r="E3036" i="5"/>
  <c r="AE3035" i="5"/>
  <c r="AD3035" i="5"/>
  <c r="E3035" i="5"/>
  <c r="AE3034" i="5"/>
  <c r="AD3034" i="5"/>
  <c r="E3034" i="5"/>
  <c r="AE3033" i="5"/>
  <c r="AD3033" i="5"/>
  <c r="E3033" i="5"/>
  <c r="AE3032" i="5"/>
  <c r="AD3032" i="5"/>
  <c r="E3032" i="5"/>
  <c r="AE3031" i="5"/>
  <c r="AD3031" i="5"/>
  <c r="E3031" i="5"/>
  <c r="AE3030" i="5"/>
  <c r="AD3030" i="5"/>
  <c r="E3030" i="5"/>
  <c r="AE3029" i="5"/>
  <c r="AD3029" i="5"/>
  <c r="E3029" i="5"/>
  <c r="AE3028" i="5"/>
  <c r="AD3028" i="5"/>
  <c r="E3028" i="5"/>
  <c r="AE3027" i="5"/>
  <c r="AD3027" i="5"/>
  <c r="E3027" i="5"/>
  <c r="AE3026" i="5"/>
  <c r="AD3026" i="5"/>
  <c r="E3026" i="5"/>
  <c r="AE3025" i="5"/>
  <c r="AD3025" i="5"/>
  <c r="E3025" i="5"/>
  <c r="AE3024" i="5"/>
  <c r="AD3024" i="5"/>
  <c r="E3024" i="5"/>
  <c r="AE3023" i="5"/>
  <c r="AD3023" i="5"/>
  <c r="E3023" i="5"/>
  <c r="AE3022" i="5"/>
  <c r="AD3022" i="5"/>
  <c r="E3022" i="5"/>
  <c r="AE3021" i="5"/>
  <c r="AD3021" i="5"/>
  <c r="E3021" i="5"/>
  <c r="AE3020" i="5"/>
  <c r="AD3020" i="5"/>
  <c r="E3020" i="5"/>
  <c r="AE3019" i="5"/>
  <c r="AD3019" i="5"/>
  <c r="E3019" i="5"/>
  <c r="AE3018" i="5"/>
  <c r="AD3018" i="5"/>
  <c r="E3018" i="5"/>
  <c r="AE3017" i="5"/>
  <c r="AD3017" i="5"/>
  <c r="E3017" i="5"/>
  <c r="AE3016" i="5"/>
  <c r="AD3016" i="5"/>
  <c r="E3016" i="5"/>
  <c r="AE3015" i="5"/>
  <c r="AD3015" i="5"/>
  <c r="E3015" i="5"/>
  <c r="AE3014" i="5"/>
  <c r="AD3014" i="5"/>
  <c r="E3014" i="5"/>
  <c r="AE3013" i="5"/>
  <c r="AD3013" i="5"/>
  <c r="E3013" i="5"/>
  <c r="AE3012" i="5"/>
  <c r="AD3012" i="5"/>
  <c r="E3012" i="5"/>
  <c r="AE3011" i="5"/>
  <c r="AD3011" i="5"/>
  <c r="E3011" i="5"/>
  <c r="AE3010" i="5"/>
  <c r="AD3010" i="5"/>
  <c r="E3010" i="5"/>
  <c r="AE3009" i="5"/>
  <c r="AD3009" i="5"/>
  <c r="E3009" i="5"/>
  <c r="AE3008" i="5"/>
  <c r="AD3008" i="5"/>
  <c r="E3008" i="5"/>
  <c r="AE3007" i="5"/>
  <c r="AD3007" i="5"/>
  <c r="E3007" i="5"/>
  <c r="AE3006" i="5"/>
  <c r="AD3006" i="5"/>
  <c r="E3006" i="5"/>
  <c r="AE3005" i="5"/>
  <c r="AD3005" i="5"/>
  <c r="E3005" i="5"/>
  <c r="AE3004" i="5"/>
  <c r="AD3004" i="5"/>
  <c r="E3004" i="5"/>
  <c r="AE3003" i="5"/>
  <c r="AD3003" i="5"/>
  <c r="E3003" i="5"/>
  <c r="AE3002" i="5"/>
  <c r="AD3002" i="5"/>
  <c r="E3002" i="5"/>
  <c r="AE3001" i="5"/>
  <c r="AD3001" i="5"/>
  <c r="E3001" i="5"/>
  <c r="AE3000" i="5"/>
  <c r="AD3000" i="5"/>
  <c r="E3000" i="5"/>
  <c r="AE2999" i="5"/>
  <c r="AD2999" i="5"/>
  <c r="E2999" i="5"/>
  <c r="AE2998" i="5"/>
  <c r="AD2998" i="5"/>
  <c r="E2998" i="5"/>
  <c r="AE2997" i="5"/>
  <c r="AD2997" i="5"/>
  <c r="E2997" i="5"/>
  <c r="AE2996" i="5"/>
  <c r="AD2996" i="5"/>
  <c r="E2996" i="5"/>
  <c r="AE2995" i="5"/>
  <c r="AD2995" i="5"/>
  <c r="E2995" i="5"/>
  <c r="AE2994" i="5"/>
  <c r="AD2994" i="5"/>
  <c r="E2994" i="5"/>
  <c r="AE2993" i="5"/>
  <c r="AD2993" i="5"/>
  <c r="E2993" i="5"/>
  <c r="AE2992" i="5"/>
  <c r="AD2992" i="5"/>
  <c r="E2992" i="5"/>
  <c r="AE2991" i="5"/>
  <c r="AD2991" i="5"/>
  <c r="E2991" i="5"/>
  <c r="AE2990" i="5"/>
  <c r="AD2990" i="5"/>
  <c r="E2990" i="5"/>
  <c r="AE2989" i="5"/>
  <c r="AD2989" i="5"/>
  <c r="E2989" i="5"/>
  <c r="AE2988" i="5"/>
  <c r="AD2988" i="5"/>
  <c r="E2988" i="5"/>
  <c r="AE2987" i="5"/>
  <c r="AD2987" i="5"/>
  <c r="E2987" i="5"/>
  <c r="AE2986" i="5"/>
  <c r="AD2986" i="5"/>
  <c r="E2986" i="5"/>
  <c r="AE2985" i="5"/>
  <c r="AD2985" i="5"/>
  <c r="E2985" i="5"/>
  <c r="AE2984" i="5"/>
  <c r="AD2984" i="5"/>
  <c r="E2984" i="5"/>
  <c r="AE2983" i="5"/>
  <c r="AD2983" i="5"/>
  <c r="E2983" i="5"/>
  <c r="AE2982" i="5"/>
  <c r="AD2982" i="5"/>
  <c r="E2982" i="5"/>
  <c r="AE2981" i="5"/>
  <c r="AD2981" i="5"/>
  <c r="E2981" i="5"/>
  <c r="AE2980" i="5"/>
  <c r="AD2980" i="5"/>
  <c r="E2980" i="5"/>
  <c r="AE2979" i="5"/>
  <c r="AD2979" i="5"/>
  <c r="E2979" i="5"/>
  <c r="AE2978" i="5"/>
  <c r="AD2978" i="5"/>
  <c r="E2978" i="5"/>
  <c r="AE2977" i="5"/>
  <c r="AD2977" i="5"/>
  <c r="E2977" i="5"/>
  <c r="AE2976" i="5"/>
  <c r="AD2976" i="5"/>
  <c r="E2976" i="5"/>
  <c r="AE2975" i="5"/>
  <c r="AD2975" i="5"/>
  <c r="E2975" i="5"/>
  <c r="AE2974" i="5"/>
  <c r="AD2974" i="5"/>
  <c r="E2974" i="5"/>
  <c r="AE2973" i="5"/>
  <c r="AD2973" i="5"/>
  <c r="E2973" i="5"/>
  <c r="AE2972" i="5"/>
  <c r="AD2972" i="5"/>
  <c r="E2972" i="5"/>
  <c r="AE2971" i="5"/>
  <c r="AD2971" i="5"/>
  <c r="E2971" i="5"/>
  <c r="AE2970" i="5"/>
  <c r="AD2970" i="5"/>
  <c r="E2970" i="5"/>
  <c r="AE2969" i="5"/>
  <c r="AD2969" i="5"/>
  <c r="E2969" i="5"/>
  <c r="AE2968" i="5"/>
  <c r="AD2968" i="5"/>
  <c r="E2968" i="5"/>
  <c r="AE2967" i="5"/>
  <c r="AD2967" i="5"/>
  <c r="E2967" i="5"/>
  <c r="AE2966" i="5"/>
  <c r="AD2966" i="5"/>
  <c r="E2966" i="5"/>
  <c r="AE2965" i="5"/>
  <c r="AD2965" i="5"/>
  <c r="E2965" i="5"/>
  <c r="AE2964" i="5"/>
  <c r="AD2964" i="5"/>
  <c r="E2964" i="5"/>
  <c r="AE2963" i="5"/>
  <c r="AD2963" i="5"/>
  <c r="E2963" i="5"/>
  <c r="AE2962" i="5"/>
  <c r="AD2962" i="5"/>
  <c r="E2962" i="5"/>
  <c r="AE2961" i="5"/>
  <c r="AD2961" i="5"/>
  <c r="E2961" i="5"/>
  <c r="AE2960" i="5"/>
  <c r="AD2960" i="5"/>
  <c r="E2960" i="5"/>
  <c r="AE2959" i="5"/>
  <c r="AD2959" i="5"/>
  <c r="E2959" i="5"/>
  <c r="AE2958" i="5"/>
  <c r="AD2958" i="5"/>
  <c r="E2958" i="5"/>
  <c r="AE2957" i="5"/>
  <c r="AD2957" i="5"/>
  <c r="E2957" i="5"/>
  <c r="AE2956" i="5"/>
  <c r="AD2956" i="5"/>
  <c r="E2956" i="5"/>
  <c r="AE2955" i="5"/>
  <c r="AD2955" i="5"/>
  <c r="E2955" i="5"/>
  <c r="AE2954" i="5"/>
  <c r="AD2954" i="5"/>
  <c r="E2954" i="5"/>
  <c r="AE2953" i="5"/>
  <c r="AD2953" i="5"/>
  <c r="E2953" i="5"/>
  <c r="AE2952" i="5"/>
  <c r="AD2952" i="5"/>
  <c r="E2952" i="5"/>
  <c r="AE2951" i="5"/>
  <c r="AD2951" i="5"/>
  <c r="E2951" i="5"/>
  <c r="AE2950" i="5"/>
  <c r="AD2950" i="5"/>
  <c r="E2950" i="5"/>
  <c r="AE2949" i="5"/>
  <c r="AD2949" i="5"/>
  <c r="E2949" i="5"/>
  <c r="AE2948" i="5"/>
  <c r="AD2948" i="5"/>
  <c r="E2948" i="5"/>
  <c r="AE2947" i="5"/>
  <c r="AD2947" i="5"/>
  <c r="E2947" i="5"/>
  <c r="AE2946" i="5"/>
  <c r="AD2946" i="5"/>
  <c r="E2946" i="5"/>
  <c r="AE2945" i="5"/>
  <c r="AD2945" i="5"/>
  <c r="E2945" i="5"/>
  <c r="AE2944" i="5"/>
  <c r="AD2944" i="5"/>
  <c r="E2944" i="5"/>
  <c r="AE2943" i="5"/>
  <c r="AD2943" i="5"/>
  <c r="E2943" i="5"/>
  <c r="AE2942" i="5"/>
  <c r="AD2942" i="5"/>
  <c r="E2942" i="5"/>
  <c r="AE2941" i="5"/>
  <c r="AD2941" i="5"/>
  <c r="E2941" i="5"/>
  <c r="AE2940" i="5"/>
  <c r="AD2940" i="5"/>
  <c r="E2940" i="5"/>
  <c r="AE2939" i="5"/>
  <c r="AD2939" i="5"/>
  <c r="E2939" i="5"/>
  <c r="AE2938" i="5"/>
  <c r="AD2938" i="5"/>
  <c r="E2938" i="5"/>
  <c r="AE2937" i="5"/>
  <c r="AD2937" i="5"/>
  <c r="E2937" i="5"/>
  <c r="AE2936" i="5"/>
  <c r="AD2936" i="5"/>
  <c r="E2936" i="5"/>
  <c r="AE2935" i="5"/>
  <c r="AD2935" i="5"/>
  <c r="E2935" i="5"/>
  <c r="AE2934" i="5"/>
  <c r="AD2934" i="5"/>
  <c r="E2934" i="5"/>
  <c r="AE2933" i="5"/>
  <c r="AD2933" i="5"/>
  <c r="E2933" i="5"/>
  <c r="AE2932" i="5"/>
  <c r="AD2932" i="5"/>
  <c r="E2932" i="5"/>
  <c r="AE2931" i="5"/>
  <c r="AD2931" i="5"/>
  <c r="E2931" i="5"/>
  <c r="AE2930" i="5"/>
  <c r="AD2930" i="5"/>
  <c r="E2930" i="5"/>
  <c r="AE2929" i="5"/>
  <c r="AD2929" i="5"/>
  <c r="E2929" i="5"/>
  <c r="AE2928" i="5"/>
  <c r="AD2928" i="5"/>
  <c r="E2928" i="5"/>
  <c r="AE2927" i="5"/>
  <c r="AD2927" i="5"/>
  <c r="E2927" i="5"/>
  <c r="AE2926" i="5"/>
  <c r="AD2926" i="5"/>
  <c r="E2926" i="5"/>
  <c r="AE2925" i="5"/>
  <c r="AD2925" i="5"/>
  <c r="E2925" i="5"/>
  <c r="AE2924" i="5"/>
  <c r="AD2924" i="5"/>
  <c r="E2924" i="5"/>
  <c r="AE2923" i="5"/>
  <c r="AD2923" i="5"/>
  <c r="E2923" i="5"/>
  <c r="AE2922" i="5"/>
  <c r="AD2922" i="5"/>
  <c r="E2922" i="5"/>
  <c r="AE2921" i="5"/>
  <c r="AD2921" i="5"/>
  <c r="E2921" i="5"/>
  <c r="AE2920" i="5"/>
  <c r="AD2920" i="5"/>
  <c r="E2920" i="5"/>
  <c r="AE2919" i="5"/>
  <c r="AD2919" i="5"/>
  <c r="E2919" i="5"/>
  <c r="AE2918" i="5"/>
  <c r="AD2918" i="5"/>
  <c r="E2918" i="5"/>
  <c r="AE2917" i="5"/>
  <c r="AD2917" i="5"/>
  <c r="E2917" i="5"/>
  <c r="AE2916" i="5"/>
  <c r="AD2916" i="5"/>
  <c r="E2916" i="5"/>
  <c r="AE2915" i="5"/>
  <c r="AD2915" i="5"/>
  <c r="E2915" i="5"/>
  <c r="AE2914" i="5"/>
  <c r="AD2914" i="5"/>
  <c r="E2914" i="5"/>
  <c r="AE2913" i="5"/>
  <c r="AD2913" i="5"/>
  <c r="E2913" i="5"/>
  <c r="AE2912" i="5"/>
  <c r="AD2912" i="5"/>
  <c r="E2912" i="5"/>
  <c r="AE2911" i="5"/>
  <c r="AD2911" i="5"/>
  <c r="E2911" i="5"/>
  <c r="AE2910" i="5"/>
  <c r="AD2910" i="5"/>
  <c r="E2910" i="5"/>
  <c r="AE2909" i="5"/>
  <c r="AD2909" i="5"/>
  <c r="E2909" i="5"/>
  <c r="AE2908" i="5"/>
  <c r="AD2908" i="5"/>
  <c r="E2908" i="5"/>
  <c r="AE2907" i="5"/>
  <c r="AD2907" i="5"/>
  <c r="E2907" i="5"/>
  <c r="AE2906" i="5"/>
  <c r="AD2906" i="5"/>
  <c r="E2906" i="5"/>
  <c r="AE2905" i="5"/>
  <c r="AD2905" i="5"/>
  <c r="E2905" i="5"/>
  <c r="AE2904" i="5"/>
  <c r="AD2904" i="5"/>
  <c r="E2904" i="5"/>
  <c r="AE2903" i="5"/>
  <c r="AD2903" i="5"/>
  <c r="E2903" i="5"/>
  <c r="AE2902" i="5"/>
  <c r="AD2902" i="5"/>
  <c r="E2902" i="5"/>
  <c r="AE2901" i="5"/>
  <c r="AD2901" i="5"/>
  <c r="E2901" i="5"/>
  <c r="AE2900" i="5"/>
  <c r="AD2900" i="5"/>
  <c r="E2900" i="5"/>
  <c r="AE2899" i="5"/>
  <c r="AD2899" i="5"/>
  <c r="E2899" i="5"/>
  <c r="AE2898" i="5"/>
  <c r="AD2898" i="5"/>
  <c r="E2898" i="5"/>
  <c r="AE2897" i="5"/>
  <c r="AD2897" i="5"/>
  <c r="E2897" i="5"/>
  <c r="AE2896" i="5"/>
  <c r="AD2896" i="5"/>
  <c r="E2896" i="5"/>
  <c r="AE2895" i="5"/>
  <c r="AD2895" i="5"/>
  <c r="E2895" i="5"/>
  <c r="AE2894" i="5"/>
  <c r="AD2894" i="5"/>
  <c r="E2894" i="5"/>
  <c r="AE2893" i="5"/>
  <c r="AD2893" i="5"/>
  <c r="E2893" i="5"/>
  <c r="AE2892" i="5"/>
  <c r="AD2892" i="5"/>
  <c r="E2892" i="5"/>
  <c r="AE2891" i="5"/>
  <c r="AD2891" i="5"/>
  <c r="E2891" i="5"/>
  <c r="AE2890" i="5"/>
  <c r="AD2890" i="5"/>
  <c r="E2890" i="5"/>
  <c r="AE2889" i="5"/>
  <c r="AD2889" i="5"/>
  <c r="E2889" i="5"/>
  <c r="AE2888" i="5"/>
  <c r="AD2888" i="5"/>
  <c r="E2888" i="5"/>
  <c r="AE2887" i="5"/>
  <c r="AD2887" i="5"/>
  <c r="E2887" i="5"/>
  <c r="AE2886" i="5"/>
  <c r="AD2886" i="5"/>
  <c r="E2886" i="5"/>
  <c r="AE2885" i="5"/>
  <c r="AD2885" i="5"/>
  <c r="E2885" i="5"/>
  <c r="AE2884" i="5"/>
  <c r="AD2884" i="5"/>
  <c r="E2884" i="5"/>
  <c r="AE2883" i="5"/>
  <c r="AD2883" i="5"/>
  <c r="E2883" i="5"/>
  <c r="AE2882" i="5"/>
  <c r="AD2882" i="5"/>
  <c r="E2882" i="5"/>
  <c r="AE2881" i="5"/>
  <c r="AD2881" i="5"/>
  <c r="E2881" i="5"/>
  <c r="AE2880" i="5"/>
  <c r="AD2880" i="5"/>
  <c r="E2880" i="5"/>
  <c r="AE2879" i="5"/>
  <c r="AD2879" i="5"/>
  <c r="E2879" i="5"/>
  <c r="AE2878" i="5"/>
  <c r="AD2878" i="5"/>
  <c r="E2878" i="5"/>
  <c r="AE2877" i="5"/>
  <c r="AD2877" i="5"/>
  <c r="E2877" i="5"/>
  <c r="AE2876" i="5"/>
  <c r="AD2876" i="5"/>
  <c r="E2876" i="5"/>
  <c r="AE2875" i="5"/>
  <c r="AD2875" i="5"/>
  <c r="E2875" i="5"/>
  <c r="AE2874" i="5"/>
  <c r="AD2874" i="5"/>
  <c r="E2874" i="5"/>
  <c r="AE2873" i="5"/>
  <c r="AD2873" i="5"/>
  <c r="E2873" i="5"/>
  <c r="AE2872" i="5"/>
  <c r="AD2872" i="5"/>
  <c r="E2872" i="5"/>
  <c r="AE2871" i="5"/>
  <c r="AD2871" i="5"/>
  <c r="E2871" i="5"/>
  <c r="AE2870" i="5"/>
  <c r="AD2870" i="5"/>
  <c r="E2870" i="5"/>
  <c r="AE2869" i="5"/>
  <c r="AD2869" i="5"/>
  <c r="E2869" i="5"/>
  <c r="AE2868" i="5"/>
  <c r="AD2868" i="5"/>
  <c r="E2868" i="5"/>
  <c r="AE2867" i="5"/>
  <c r="AD2867" i="5"/>
  <c r="E2867" i="5"/>
  <c r="AE2866" i="5"/>
  <c r="AD2866" i="5"/>
  <c r="E2866" i="5"/>
  <c r="AE2865" i="5"/>
  <c r="AD2865" i="5"/>
  <c r="E2865" i="5"/>
  <c r="AE2864" i="5"/>
  <c r="AD2864" i="5"/>
  <c r="E2864" i="5"/>
  <c r="AE2863" i="5"/>
  <c r="AD2863" i="5"/>
  <c r="E2863" i="5"/>
  <c r="AE2862" i="5"/>
  <c r="AD2862" i="5"/>
  <c r="E2862" i="5"/>
  <c r="AE2861" i="5"/>
  <c r="AD2861" i="5"/>
  <c r="E2861" i="5"/>
  <c r="AE2860" i="5"/>
  <c r="AD2860" i="5"/>
  <c r="E2860" i="5"/>
  <c r="AE2859" i="5"/>
  <c r="AD2859" i="5"/>
  <c r="E2859" i="5"/>
  <c r="AE2858" i="5"/>
  <c r="AD2858" i="5"/>
  <c r="E2858" i="5"/>
  <c r="AE2857" i="5"/>
  <c r="AD2857" i="5"/>
  <c r="E2857" i="5"/>
  <c r="AE2856" i="5"/>
  <c r="AD2856" i="5"/>
  <c r="E2856" i="5"/>
  <c r="AE2855" i="5"/>
  <c r="AD2855" i="5"/>
  <c r="E2855" i="5"/>
  <c r="AE2854" i="5"/>
  <c r="AD2854" i="5"/>
  <c r="E2854" i="5"/>
  <c r="AE2853" i="5"/>
  <c r="AD2853" i="5"/>
  <c r="E2853" i="5"/>
  <c r="AE2852" i="5"/>
  <c r="AD2852" i="5"/>
  <c r="E2852" i="5"/>
  <c r="AE2851" i="5"/>
  <c r="AD2851" i="5"/>
  <c r="E2851" i="5"/>
  <c r="AE2850" i="5"/>
  <c r="AD2850" i="5"/>
  <c r="E2850" i="5"/>
  <c r="AE2849" i="5"/>
  <c r="AD2849" i="5"/>
  <c r="E2849" i="5"/>
  <c r="AE2848" i="5"/>
  <c r="AD2848" i="5"/>
  <c r="E2848" i="5"/>
  <c r="AE2847" i="5"/>
  <c r="AD2847" i="5"/>
  <c r="E2847" i="5"/>
  <c r="AE2846" i="5"/>
  <c r="AD2846" i="5"/>
  <c r="E2846" i="5"/>
  <c r="AE2845" i="5"/>
  <c r="AD2845" i="5"/>
  <c r="E2845" i="5"/>
  <c r="AE2844" i="5"/>
  <c r="AD2844" i="5"/>
  <c r="E2844" i="5"/>
  <c r="AE2843" i="5"/>
  <c r="AD2843" i="5"/>
  <c r="E2843" i="5"/>
  <c r="AE2842" i="5"/>
  <c r="AD2842" i="5"/>
  <c r="E2842" i="5"/>
  <c r="AE2841" i="5"/>
  <c r="AD2841" i="5"/>
  <c r="E2841" i="5"/>
  <c r="AE2840" i="5"/>
  <c r="AD2840" i="5"/>
  <c r="E2840" i="5"/>
  <c r="AE2839" i="5"/>
  <c r="AD2839" i="5"/>
  <c r="E2839" i="5"/>
  <c r="AE2838" i="5"/>
  <c r="AD2838" i="5"/>
  <c r="E2838" i="5"/>
  <c r="AE2837" i="5"/>
  <c r="AD2837" i="5"/>
  <c r="E2837" i="5"/>
  <c r="AE2836" i="5"/>
  <c r="AD2836" i="5"/>
  <c r="E2836" i="5"/>
  <c r="AE2835" i="5"/>
  <c r="AD2835" i="5"/>
  <c r="E2835" i="5"/>
  <c r="AE2834" i="5"/>
  <c r="AD2834" i="5"/>
  <c r="E2834" i="5"/>
  <c r="AE2833" i="5"/>
  <c r="AD2833" i="5"/>
  <c r="E2833" i="5"/>
  <c r="AE2832" i="5"/>
  <c r="AD2832" i="5"/>
  <c r="E2832" i="5"/>
  <c r="AE2831" i="5"/>
  <c r="AD2831" i="5"/>
  <c r="E2831" i="5"/>
  <c r="AE2830" i="5"/>
  <c r="AD2830" i="5"/>
  <c r="E2830" i="5"/>
  <c r="AE2829" i="5"/>
  <c r="AD2829" i="5"/>
  <c r="E2829" i="5"/>
  <c r="AE2828" i="5"/>
  <c r="AD2828" i="5"/>
  <c r="E2828" i="5"/>
  <c r="AE2827" i="5"/>
  <c r="AD2827" i="5"/>
  <c r="E2827" i="5"/>
  <c r="AE2826" i="5"/>
  <c r="AD2826" i="5"/>
  <c r="E2826" i="5"/>
  <c r="AE2825" i="5"/>
  <c r="AD2825" i="5"/>
  <c r="E2825" i="5"/>
  <c r="AE2824" i="5"/>
  <c r="AD2824" i="5"/>
  <c r="E2824" i="5"/>
  <c r="AE2823" i="5"/>
  <c r="AD2823" i="5"/>
  <c r="E2823" i="5"/>
  <c r="AE2822" i="5"/>
  <c r="AD2822" i="5"/>
  <c r="E2822" i="5"/>
  <c r="AE2821" i="5"/>
  <c r="AD2821" i="5"/>
  <c r="E2821" i="5"/>
  <c r="AE2820" i="5"/>
  <c r="AD2820" i="5"/>
  <c r="E2820" i="5"/>
  <c r="AE2819" i="5"/>
  <c r="AD2819" i="5"/>
  <c r="E2819" i="5"/>
  <c r="AE2818" i="5"/>
  <c r="AD2818" i="5"/>
  <c r="E2818" i="5"/>
  <c r="AE2817" i="5"/>
  <c r="AD2817" i="5"/>
  <c r="E2817" i="5"/>
  <c r="AE2816" i="5"/>
  <c r="AD2816" i="5"/>
  <c r="E2816" i="5"/>
  <c r="AE2815" i="5"/>
  <c r="AD2815" i="5"/>
  <c r="E2815" i="5"/>
  <c r="AE2814" i="5"/>
  <c r="AD2814" i="5"/>
  <c r="E2814" i="5"/>
  <c r="AE2813" i="5"/>
  <c r="AD2813" i="5"/>
  <c r="E2813" i="5"/>
  <c r="AE2812" i="5"/>
  <c r="AD2812" i="5"/>
  <c r="E2812" i="5"/>
  <c r="AE2811" i="5"/>
  <c r="AD2811" i="5"/>
  <c r="E2811" i="5"/>
  <c r="AE2810" i="5"/>
  <c r="AD2810" i="5"/>
  <c r="E2810" i="5"/>
  <c r="AE2809" i="5"/>
  <c r="AD2809" i="5"/>
  <c r="E2809" i="5"/>
  <c r="AE2808" i="5"/>
  <c r="AD2808" i="5"/>
  <c r="E2808" i="5"/>
  <c r="AE2807" i="5"/>
  <c r="AD2807" i="5"/>
  <c r="E2807" i="5"/>
  <c r="AE2806" i="5"/>
  <c r="AD2806" i="5"/>
  <c r="E2806" i="5"/>
  <c r="AE2805" i="5"/>
  <c r="AD2805" i="5"/>
  <c r="E2805" i="5"/>
  <c r="AE2804" i="5"/>
  <c r="AD2804" i="5"/>
  <c r="E2804" i="5"/>
  <c r="AE2803" i="5"/>
  <c r="AD2803" i="5"/>
  <c r="E2803" i="5"/>
  <c r="AE2802" i="5"/>
  <c r="AD2802" i="5"/>
  <c r="E2802" i="5"/>
  <c r="AE2801" i="5"/>
  <c r="AD2801" i="5"/>
  <c r="E2801" i="5"/>
  <c r="AE2800" i="5"/>
  <c r="AD2800" i="5"/>
  <c r="E2800" i="5"/>
  <c r="AE2799" i="5"/>
  <c r="AD2799" i="5"/>
  <c r="E2799" i="5"/>
  <c r="AE2798" i="5"/>
  <c r="AD2798" i="5"/>
  <c r="E2798" i="5"/>
  <c r="AE2797" i="5"/>
  <c r="AD2797" i="5"/>
  <c r="E2797" i="5"/>
  <c r="AE2796" i="5"/>
  <c r="AD2796" i="5"/>
  <c r="E2796" i="5"/>
  <c r="AE2795" i="5"/>
  <c r="AD2795" i="5"/>
  <c r="E2795" i="5"/>
  <c r="AE2794" i="5"/>
  <c r="AD2794" i="5"/>
  <c r="E2794" i="5"/>
  <c r="AE2793" i="5"/>
  <c r="AD2793" i="5"/>
  <c r="E2793" i="5"/>
  <c r="AE2792" i="5"/>
  <c r="AD2792" i="5"/>
  <c r="E2792" i="5"/>
  <c r="AE2791" i="5"/>
  <c r="AD2791" i="5"/>
  <c r="E2791" i="5"/>
  <c r="AE2790" i="5"/>
  <c r="AD2790" i="5"/>
  <c r="E2790" i="5"/>
  <c r="AE2789" i="5"/>
  <c r="AD2789" i="5"/>
  <c r="E2789" i="5"/>
  <c r="AE2788" i="5"/>
  <c r="AD2788" i="5"/>
  <c r="E2788" i="5"/>
  <c r="AE2787" i="5"/>
  <c r="AD2787" i="5"/>
  <c r="E2787" i="5"/>
  <c r="AE2786" i="5"/>
  <c r="AD2786" i="5"/>
  <c r="E2786" i="5"/>
  <c r="AE2785" i="5"/>
  <c r="AD2785" i="5"/>
  <c r="E2785" i="5"/>
  <c r="AE2784" i="5"/>
  <c r="AD2784" i="5"/>
  <c r="E2784" i="5"/>
  <c r="AE2783" i="5"/>
  <c r="AD2783" i="5"/>
  <c r="E2783" i="5"/>
  <c r="AE2782" i="5"/>
  <c r="AD2782" i="5"/>
  <c r="E2782" i="5"/>
  <c r="AE2781" i="5"/>
  <c r="AD2781" i="5"/>
  <c r="E2781" i="5"/>
  <c r="AE2780" i="5"/>
  <c r="AD2780" i="5"/>
  <c r="E2780" i="5"/>
  <c r="AE2779" i="5"/>
  <c r="AD2779" i="5"/>
  <c r="E2779" i="5"/>
  <c r="AE2778" i="5"/>
  <c r="AD2778" i="5"/>
  <c r="E2778" i="5"/>
  <c r="AE2777" i="5"/>
  <c r="AD2777" i="5"/>
  <c r="E2777" i="5"/>
  <c r="AE2776" i="5"/>
  <c r="AD2776" i="5"/>
  <c r="E2776" i="5"/>
  <c r="AE2775" i="5"/>
  <c r="AD2775" i="5"/>
  <c r="E2775" i="5"/>
  <c r="AE2774" i="5"/>
  <c r="AD2774" i="5"/>
  <c r="E2774" i="5"/>
  <c r="AE2773" i="5"/>
  <c r="AD2773" i="5"/>
  <c r="E2773" i="5"/>
  <c r="AE2772" i="5"/>
  <c r="AD2772" i="5"/>
  <c r="E2772" i="5"/>
  <c r="AE2771" i="5"/>
  <c r="AD2771" i="5"/>
  <c r="E2771" i="5"/>
  <c r="AE2770" i="5"/>
  <c r="AD2770" i="5"/>
  <c r="E2770" i="5"/>
  <c r="AE2769" i="5"/>
  <c r="AD2769" i="5"/>
  <c r="E2769" i="5"/>
  <c r="AE2768" i="5"/>
  <c r="AD2768" i="5"/>
  <c r="E2768" i="5"/>
  <c r="AE2767" i="5"/>
  <c r="AD2767" i="5"/>
  <c r="E2767" i="5"/>
  <c r="AE2766" i="5"/>
  <c r="AD2766" i="5"/>
  <c r="E2766" i="5"/>
  <c r="AE2765" i="5"/>
  <c r="AD2765" i="5"/>
  <c r="E2765" i="5"/>
  <c r="AE2764" i="5"/>
  <c r="AD2764" i="5"/>
  <c r="E2764" i="5"/>
  <c r="AE2763" i="5"/>
  <c r="AD2763" i="5"/>
  <c r="E2763" i="5"/>
  <c r="AE2762" i="5"/>
  <c r="AD2762" i="5"/>
  <c r="E2762" i="5"/>
  <c r="AE2761" i="5"/>
  <c r="AD2761" i="5"/>
  <c r="E2761" i="5"/>
  <c r="AE2760" i="5"/>
  <c r="AD2760" i="5"/>
  <c r="E2760" i="5"/>
  <c r="AE2759" i="5"/>
  <c r="AD2759" i="5"/>
  <c r="E2759" i="5"/>
  <c r="AE2758" i="5"/>
  <c r="AD2758" i="5"/>
  <c r="E2758" i="5"/>
  <c r="AE2757" i="5"/>
  <c r="AD2757" i="5"/>
  <c r="E2757" i="5"/>
  <c r="AE2756" i="5"/>
  <c r="AD2756" i="5"/>
  <c r="E2756" i="5"/>
  <c r="AE2755" i="5"/>
  <c r="AD2755" i="5"/>
  <c r="E2755" i="5"/>
  <c r="AE2754" i="5"/>
  <c r="AD2754" i="5"/>
  <c r="E2754" i="5"/>
  <c r="AE2753" i="5"/>
  <c r="AD2753" i="5"/>
  <c r="E2753" i="5"/>
  <c r="AE2752" i="5"/>
  <c r="AD2752" i="5"/>
  <c r="E2752" i="5"/>
  <c r="AE2751" i="5"/>
  <c r="AD2751" i="5"/>
  <c r="E2751" i="5"/>
  <c r="AE2750" i="5"/>
  <c r="AD2750" i="5"/>
  <c r="E2750" i="5"/>
  <c r="AE2749" i="5"/>
  <c r="AD2749" i="5"/>
  <c r="E2749" i="5"/>
  <c r="AE2748" i="5"/>
  <c r="AD2748" i="5"/>
  <c r="E2748" i="5"/>
  <c r="AE2747" i="5"/>
  <c r="AD2747" i="5"/>
  <c r="E2747" i="5"/>
  <c r="AE2746" i="5"/>
  <c r="AD2746" i="5"/>
  <c r="E2746" i="5"/>
  <c r="AE2745" i="5"/>
  <c r="AD2745" i="5"/>
  <c r="E2745" i="5"/>
  <c r="AE2744" i="5"/>
  <c r="AD2744" i="5"/>
  <c r="E2744" i="5"/>
  <c r="AE2743" i="5"/>
  <c r="AD2743" i="5"/>
  <c r="E2743" i="5"/>
  <c r="AE2742" i="5"/>
  <c r="AD2742" i="5"/>
  <c r="E2742" i="5"/>
  <c r="AE2741" i="5"/>
  <c r="AD2741" i="5"/>
  <c r="E2741" i="5"/>
  <c r="AE2740" i="5"/>
  <c r="AD2740" i="5"/>
  <c r="E2740" i="5"/>
  <c r="AE2739" i="5"/>
  <c r="AD2739" i="5"/>
  <c r="E2739" i="5"/>
  <c r="AE2738" i="5"/>
  <c r="AD2738" i="5"/>
  <c r="E2738" i="5"/>
  <c r="AE2737" i="5"/>
  <c r="AD2737" i="5"/>
  <c r="E2737" i="5"/>
  <c r="AE2736" i="5"/>
  <c r="AD2736" i="5"/>
  <c r="E2736" i="5"/>
  <c r="AE2735" i="5"/>
  <c r="AD2735" i="5"/>
  <c r="E2735" i="5"/>
  <c r="AE2734" i="5"/>
  <c r="AD2734" i="5"/>
  <c r="E2734" i="5"/>
  <c r="AE2733" i="5"/>
  <c r="AD2733" i="5"/>
  <c r="E2733" i="5"/>
  <c r="AE2732" i="5"/>
  <c r="AD2732" i="5"/>
  <c r="E2732" i="5"/>
  <c r="AE2731" i="5"/>
  <c r="AD2731" i="5"/>
  <c r="E2731" i="5"/>
  <c r="AE2730" i="5"/>
  <c r="AD2730" i="5"/>
  <c r="E2730" i="5"/>
  <c r="AE2729" i="5"/>
  <c r="AD2729" i="5"/>
  <c r="E2729" i="5"/>
  <c r="AE2728" i="5"/>
  <c r="AD2728" i="5"/>
  <c r="E2728" i="5"/>
  <c r="AE2727" i="5"/>
  <c r="AD2727" i="5"/>
  <c r="E2727" i="5"/>
  <c r="AE2726" i="5"/>
  <c r="AD2726" i="5"/>
  <c r="E2726" i="5"/>
  <c r="AE2725" i="5"/>
  <c r="AD2725" i="5"/>
  <c r="E2725" i="5"/>
  <c r="AE2724" i="5"/>
  <c r="AD2724" i="5"/>
  <c r="E2724" i="5"/>
  <c r="AE2723" i="5"/>
  <c r="AD2723" i="5"/>
  <c r="E2723" i="5"/>
  <c r="AE2722" i="5"/>
  <c r="AD2722" i="5"/>
  <c r="E2722" i="5"/>
  <c r="AE2721" i="5"/>
  <c r="AD2721" i="5"/>
  <c r="E2721" i="5"/>
  <c r="AE2720" i="5"/>
  <c r="AD2720" i="5"/>
  <c r="E2720" i="5"/>
  <c r="AE2719" i="5"/>
  <c r="AD2719" i="5"/>
  <c r="E2719" i="5"/>
  <c r="AE2718" i="5"/>
  <c r="AD2718" i="5"/>
  <c r="E2718" i="5"/>
  <c r="AE2717" i="5"/>
  <c r="AD2717" i="5"/>
  <c r="E2717" i="5"/>
  <c r="AE2716" i="5"/>
  <c r="AD2716" i="5"/>
  <c r="E2716" i="5"/>
  <c r="AE2715" i="5"/>
  <c r="AD2715" i="5"/>
  <c r="E2715" i="5"/>
  <c r="AE2714" i="5"/>
  <c r="AD2714" i="5"/>
  <c r="E2714" i="5"/>
  <c r="AE2713" i="5"/>
  <c r="AD2713" i="5"/>
  <c r="E2713" i="5"/>
  <c r="AE2712" i="5"/>
  <c r="AD2712" i="5"/>
  <c r="E2712" i="5"/>
  <c r="AE2711" i="5"/>
  <c r="AD2711" i="5"/>
  <c r="E2711" i="5"/>
  <c r="AE2710" i="5"/>
  <c r="AD2710" i="5"/>
  <c r="E2710" i="5"/>
  <c r="AE2709" i="5"/>
  <c r="AD2709" i="5"/>
  <c r="E2709" i="5"/>
  <c r="AE2708" i="5"/>
  <c r="AD2708" i="5"/>
  <c r="E2708" i="5"/>
  <c r="AE2707" i="5"/>
  <c r="AD2707" i="5"/>
  <c r="E2707" i="5"/>
  <c r="AE2706" i="5"/>
  <c r="AD2706" i="5"/>
  <c r="E2706" i="5"/>
  <c r="AE2705" i="5"/>
  <c r="AD2705" i="5"/>
  <c r="E2705" i="5"/>
  <c r="AE2704" i="5"/>
  <c r="AD2704" i="5"/>
  <c r="E2704" i="5"/>
  <c r="AE2703" i="5"/>
  <c r="AD2703" i="5"/>
  <c r="E2703" i="5"/>
  <c r="AE2702" i="5"/>
  <c r="AD2702" i="5"/>
  <c r="E2702" i="5"/>
  <c r="AE2701" i="5"/>
  <c r="AD2701" i="5"/>
  <c r="E2701" i="5"/>
  <c r="AE2700" i="5"/>
  <c r="AD2700" i="5"/>
  <c r="E2700" i="5"/>
  <c r="AE2699" i="5"/>
  <c r="AD2699" i="5"/>
  <c r="E2699" i="5"/>
  <c r="AE2698" i="5"/>
  <c r="AD2698" i="5"/>
  <c r="E2698" i="5"/>
  <c r="AE2697" i="5"/>
  <c r="AD2697" i="5"/>
  <c r="E2697" i="5"/>
  <c r="AE2696" i="5"/>
  <c r="AD2696" i="5"/>
  <c r="E2696" i="5"/>
  <c r="AE2695" i="5"/>
  <c r="AD2695" i="5"/>
  <c r="E2695" i="5"/>
  <c r="AE2694" i="5"/>
  <c r="AD2694" i="5"/>
  <c r="E2694" i="5"/>
  <c r="AE2693" i="5"/>
  <c r="AD2693" i="5"/>
  <c r="E2693" i="5"/>
  <c r="AE2692" i="5"/>
  <c r="AD2692" i="5"/>
  <c r="E2692" i="5"/>
  <c r="AE2691" i="5"/>
  <c r="AD2691" i="5"/>
  <c r="E2691" i="5"/>
  <c r="AE2690" i="5"/>
  <c r="AD2690" i="5"/>
  <c r="E2690" i="5"/>
  <c r="AE2689" i="5"/>
  <c r="AD2689" i="5"/>
  <c r="E2689" i="5"/>
  <c r="AE2688" i="5"/>
  <c r="AD2688" i="5"/>
  <c r="E2688" i="5"/>
  <c r="AE2687" i="5"/>
  <c r="AD2687" i="5"/>
  <c r="E2687" i="5"/>
  <c r="AE2686" i="5"/>
  <c r="AD2686" i="5"/>
  <c r="E2686" i="5"/>
  <c r="AE2685" i="5"/>
  <c r="AD2685" i="5"/>
  <c r="E2685" i="5"/>
  <c r="AE2684" i="5"/>
  <c r="AD2684" i="5"/>
  <c r="E2684" i="5"/>
  <c r="AE2683" i="5"/>
  <c r="AD2683" i="5"/>
  <c r="E2683" i="5"/>
  <c r="AE2682" i="5"/>
  <c r="AD2682" i="5"/>
  <c r="E2682" i="5"/>
  <c r="AE2681" i="5"/>
  <c r="AD2681" i="5"/>
  <c r="E2681" i="5"/>
  <c r="AE2680" i="5"/>
  <c r="AD2680" i="5"/>
  <c r="E2680" i="5"/>
  <c r="AE2679" i="5"/>
  <c r="AD2679" i="5"/>
  <c r="E2679" i="5"/>
  <c r="AE2678" i="5"/>
  <c r="AD2678" i="5"/>
  <c r="E2678" i="5"/>
  <c r="AE2677" i="5"/>
  <c r="AD2677" i="5"/>
  <c r="E2677" i="5"/>
  <c r="AE2676" i="5"/>
  <c r="AD2676" i="5"/>
  <c r="E2676" i="5"/>
  <c r="AE2675" i="5"/>
  <c r="AD2675" i="5"/>
  <c r="E2675" i="5"/>
  <c r="AE2674" i="5"/>
  <c r="AD2674" i="5"/>
  <c r="E2674" i="5"/>
  <c r="AE2673" i="5"/>
  <c r="AD2673" i="5"/>
  <c r="E2673" i="5"/>
  <c r="AE2672" i="5"/>
  <c r="AD2672" i="5"/>
  <c r="E2672" i="5"/>
  <c r="AE2671" i="5"/>
  <c r="AD2671" i="5"/>
  <c r="E2671" i="5"/>
  <c r="AE2670" i="5"/>
  <c r="AD2670" i="5"/>
  <c r="E2670" i="5"/>
  <c r="AE2669" i="5"/>
  <c r="AD2669" i="5"/>
  <c r="E2669" i="5"/>
  <c r="AE2668" i="5"/>
  <c r="AD2668" i="5"/>
  <c r="E2668" i="5"/>
  <c r="AE2667" i="5"/>
  <c r="AD2667" i="5"/>
  <c r="E2667" i="5"/>
  <c r="AE2666" i="5"/>
  <c r="AD2666" i="5"/>
  <c r="E2666" i="5"/>
  <c r="AE2665" i="5"/>
  <c r="AD2665" i="5"/>
  <c r="E2665" i="5"/>
  <c r="AE2664" i="5"/>
  <c r="AD2664" i="5"/>
  <c r="E2664" i="5"/>
  <c r="AE2663" i="5"/>
  <c r="AD2663" i="5"/>
  <c r="E2663" i="5"/>
  <c r="AE2662" i="5"/>
  <c r="AD2662" i="5"/>
  <c r="E2662" i="5"/>
  <c r="AE2661" i="5"/>
  <c r="AD2661" i="5"/>
  <c r="E2661" i="5"/>
  <c r="AE2660" i="5"/>
  <c r="AD2660" i="5"/>
  <c r="E2660" i="5"/>
  <c r="AE2659" i="5"/>
  <c r="AD2659" i="5"/>
  <c r="E2659" i="5"/>
  <c r="AE2658" i="5"/>
  <c r="AD2658" i="5"/>
  <c r="E2658" i="5"/>
  <c r="AE2657" i="5"/>
  <c r="AD2657" i="5"/>
  <c r="E2657" i="5"/>
  <c r="AE2656" i="5"/>
  <c r="AD2656" i="5"/>
  <c r="E2656" i="5"/>
  <c r="AE2655" i="5"/>
  <c r="AD2655" i="5"/>
  <c r="E2655" i="5"/>
  <c r="AE2654" i="5"/>
  <c r="AD2654" i="5"/>
  <c r="E2654" i="5"/>
  <c r="AE2653" i="5"/>
  <c r="AD2653" i="5"/>
  <c r="E2653" i="5"/>
  <c r="AE2652" i="5"/>
  <c r="AD2652" i="5"/>
  <c r="E2652" i="5"/>
  <c r="AE2651" i="5"/>
  <c r="AD2651" i="5"/>
  <c r="E2651" i="5"/>
  <c r="AE2650" i="5"/>
  <c r="AD2650" i="5"/>
  <c r="E2650" i="5"/>
  <c r="AE2649" i="5"/>
  <c r="AD2649" i="5"/>
  <c r="E2649" i="5"/>
  <c r="AE2648" i="5"/>
  <c r="AD2648" i="5"/>
  <c r="E2648" i="5"/>
  <c r="AE2647" i="5"/>
  <c r="AD2647" i="5"/>
  <c r="E2647" i="5"/>
  <c r="AE2646" i="5"/>
  <c r="AD2646" i="5"/>
  <c r="E2646" i="5"/>
  <c r="AE2645" i="5"/>
  <c r="AD2645" i="5"/>
  <c r="E2645" i="5"/>
  <c r="AE2644" i="5"/>
  <c r="AD2644" i="5"/>
  <c r="E2644" i="5"/>
  <c r="AE2643" i="5"/>
  <c r="AD2643" i="5"/>
  <c r="E2643" i="5"/>
  <c r="AE2642" i="5"/>
  <c r="AD2642" i="5"/>
  <c r="E2642" i="5"/>
  <c r="AE2641" i="5"/>
  <c r="AD2641" i="5"/>
  <c r="E2641" i="5"/>
  <c r="AE2640" i="5"/>
  <c r="AD2640" i="5"/>
  <c r="E2640" i="5"/>
  <c r="AE2639" i="5"/>
  <c r="AD2639" i="5"/>
  <c r="E2639" i="5"/>
  <c r="AE2638" i="5"/>
  <c r="AD2638" i="5"/>
  <c r="E2638" i="5"/>
  <c r="AE2637" i="5"/>
  <c r="AD2637" i="5"/>
  <c r="E2637" i="5"/>
  <c r="AE2636" i="5"/>
  <c r="AD2636" i="5"/>
  <c r="E2636" i="5"/>
  <c r="AE2635" i="5"/>
  <c r="AD2635" i="5"/>
  <c r="E2635" i="5"/>
  <c r="AE2634" i="5"/>
  <c r="AD2634" i="5"/>
  <c r="E2634" i="5"/>
  <c r="AE2633" i="5"/>
  <c r="AD2633" i="5"/>
  <c r="E2633" i="5"/>
  <c r="AE2632" i="5"/>
  <c r="AD2632" i="5"/>
  <c r="E2632" i="5"/>
  <c r="AE2631" i="5"/>
  <c r="AD2631" i="5"/>
  <c r="E2631" i="5"/>
  <c r="AE2630" i="5"/>
  <c r="AD2630" i="5"/>
  <c r="E2630" i="5"/>
  <c r="AE2629" i="5"/>
  <c r="AD2629" i="5"/>
  <c r="E2629" i="5"/>
  <c r="AE2628" i="5"/>
  <c r="AD2628" i="5"/>
  <c r="E2628" i="5"/>
  <c r="AE2627" i="5"/>
  <c r="AD2627" i="5"/>
  <c r="E2627" i="5"/>
  <c r="AE2626" i="5"/>
  <c r="AD2626" i="5"/>
  <c r="E2626" i="5"/>
  <c r="AE2625" i="5"/>
  <c r="AD2625" i="5"/>
  <c r="E2625" i="5"/>
  <c r="AE2624" i="5"/>
  <c r="AD2624" i="5"/>
  <c r="E2624" i="5"/>
  <c r="AE2623" i="5"/>
  <c r="AD2623" i="5"/>
  <c r="E2623" i="5"/>
  <c r="AE2622" i="5"/>
  <c r="AD2622" i="5"/>
  <c r="E2622" i="5"/>
  <c r="AE2621" i="5"/>
  <c r="AD2621" i="5"/>
  <c r="E2621" i="5"/>
  <c r="AE2620" i="5"/>
  <c r="AD2620" i="5"/>
  <c r="E2620" i="5"/>
  <c r="AE2619" i="5"/>
  <c r="AD2619" i="5"/>
  <c r="E2619" i="5"/>
  <c r="AE2618" i="5"/>
  <c r="AD2618" i="5"/>
  <c r="E2618" i="5"/>
  <c r="AE2617" i="5"/>
  <c r="AD2617" i="5"/>
  <c r="E2617" i="5"/>
  <c r="AE2616" i="5"/>
  <c r="AD2616" i="5"/>
  <c r="E2616" i="5"/>
  <c r="AE2615" i="5"/>
  <c r="AD2615" i="5"/>
  <c r="E2615" i="5"/>
  <c r="AE2614" i="5"/>
  <c r="AD2614" i="5"/>
  <c r="E2614" i="5"/>
  <c r="AE2613" i="5"/>
  <c r="AD2613" i="5"/>
  <c r="E2613" i="5"/>
  <c r="AE2612" i="5"/>
  <c r="AD2612" i="5"/>
  <c r="E2612" i="5"/>
  <c r="AE2611" i="5"/>
  <c r="AD2611" i="5"/>
  <c r="E2611" i="5"/>
  <c r="AE2610" i="5"/>
  <c r="AD2610" i="5"/>
  <c r="E2610" i="5"/>
  <c r="AE2609" i="5"/>
  <c r="AD2609" i="5"/>
  <c r="E2609" i="5"/>
  <c r="AE2608" i="5"/>
  <c r="AD2608" i="5"/>
  <c r="E2608" i="5"/>
  <c r="AE2607" i="5"/>
  <c r="AD2607" i="5"/>
  <c r="E2607" i="5"/>
  <c r="AE2606" i="5"/>
  <c r="AD2606" i="5"/>
  <c r="E2606" i="5"/>
  <c r="AE2605" i="5"/>
  <c r="AD2605" i="5"/>
  <c r="E2605" i="5"/>
  <c r="AE2604" i="5"/>
  <c r="AD2604" i="5"/>
  <c r="E2604" i="5"/>
  <c r="AE2603" i="5"/>
  <c r="AD2603" i="5"/>
  <c r="E2603" i="5"/>
  <c r="AE2602" i="5"/>
  <c r="AD2602" i="5"/>
  <c r="E2602" i="5"/>
  <c r="AE2601" i="5"/>
  <c r="AD2601" i="5"/>
  <c r="E2601" i="5"/>
  <c r="AE2600" i="5"/>
  <c r="AD2600" i="5"/>
  <c r="E2600" i="5"/>
  <c r="AE2599" i="5"/>
  <c r="AD2599" i="5"/>
  <c r="E2599" i="5"/>
  <c r="AE2598" i="5"/>
  <c r="AD2598" i="5"/>
  <c r="E2598" i="5"/>
  <c r="AE2597" i="5"/>
  <c r="AD2597" i="5"/>
  <c r="E2597" i="5"/>
  <c r="AE2596" i="5"/>
  <c r="AD2596" i="5"/>
  <c r="E2596" i="5"/>
  <c r="AE2595" i="5"/>
  <c r="AD2595" i="5"/>
  <c r="E2595" i="5"/>
  <c r="AE2594" i="5"/>
  <c r="AD2594" i="5"/>
  <c r="E2594" i="5"/>
  <c r="AE2593" i="5"/>
  <c r="AD2593" i="5"/>
  <c r="E2593" i="5"/>
  <c r="AE2592" i="5"/>
  <c r="AD2592" i="5"/>
  <c r="E2592" i="5"/>
  <c r="AE2591" i="5"/>
  <c r="AD2591" i="5"/>
  <c r="E2591" i="5"/>
  <c r="AE2590" i="5"/>
  <c r="AD2590" i="5"/>
  <c r="E2590" i="5"/>
  <c r="AE2589" i="5"/>
  <c r="AD2589" i="5"/>
  <c r="E2589" i="5"/>
  <c r="AE2588" i="5"/>
  <c r="AD2588" i="5"/>
  <c r="E2588" i="5"/>
  <c r="AE2587" i="5"/>
  <c r="AD2587" i="5"/>
  <c r="E2587" i="5"/>
  <c r="AE2586" i="5"/>
  <c r="AD2586" i="5"/>
  <c r="E2586" i="5"/>
  <c r="AE2585" i="5"/>
  <c r="AD2585" i="5"/>
  <c r="E2585" i="5"/>
  <c r="AE2584" i="5"/>
  <c r="AD2584" i="5"/>
  <c r="E2584" i="5"/>
  <c r="AE2583" i="5"/>
  <c r="AD2583" i="5"/>
  <c r="E2583" i="5"/>
  <c r="AE2582" i="5"/>
  <c r="AD2582" i="5"/>
  <c r="E2582" i="5"/>
  <c r="AE2581" i="5"/>
  <c r="AD2581" i="5"/>
  <c r="E2581" i="5"/>
  <c r="AE2580" i="5"/>
  <c r="AD2580" i="5"/>
  <c r="E2580" i="5"/>
  <c r="AE2579" i="5"/>
  <c r="AD2579" i="5"/>
  <c r="E2579" i="5"/>
  <c r="AE2578" i="5"/>
  <c r="AD2578" i="5"/>
  <c r="E2578" i="5"/>
  <c r="AE2577" i="5"/>
  <c r="AD2577" i="5"/>
  <c r="E2577" i="5"/>
  <c r="AE2576" i="5"/>
  <c r="AD2576" i="5"/>
  <c r="E2576" i="5"/>
  <c r="AE2575" i="5"/>
  <c r="AD2575" i="5"/>
  <c r="E2575" i="5"/>
  <c r="AE2574" i="5"/>
  <c r="AD2574" i="5"/>
  <c r="E2574" i="5"/>
  <c r="AE2573" i="5"/>
  <c r="AD2573" i="5"/>
  <c r="E2573" i="5"/>
  <c r="AE2572" i="5"/>
  <c r="AD2572" i="5"/>
  <c r="E2572" i="5"/>
  <c r="AE2571" i="5"/>
  <c r="AD2571" i="5"/>
  <c r="E2571" i="5"/>
  <c r="AE2570" i="5"/>
  <c r="AD2570" i="5"/>
  <c r="E2570" i="5"/>
  <c r="AE2569" i="5"/>
  <c r="AD2569" i="5"/>
  <c r="E2569" i="5"/>
  <c r="AE2568" i="5"/>
  <c r="AD2568" i="5"/>
  <c r="E2568" i="5"/>
  <c r="AE2567" i="5"/>
  <c r="AD2567" i="5"/>
  <c r="E2567" i="5"/>
  <c r="AE2566" i="5"/>
  <c r="AD2566" i="5"/>
  <c r="E2566" i="5"/>
  <c r="AE2565" i="5"/>
  <c r="AD2565" i="5"/>
  <c r="E2565" i="5"/>
  <c r="AE2564" i="5"/>
  <c r="AD2564" i="5"/>
  <c r="E2564" i="5"/>
  <c r="AE2563" i="5"/>
  <c r="AD2563" i="5"/>
  <c r="E2563" i="5"/>
  <c r="AE2562" i="5"/>
  <c r="AD2562" i="5"/>
  <c r="E2562" i="5"/>
  <c r="AE2561" i="5"/>
  <c r="AD2561" i="5"/>
  <c r="E2561" i="5"/>
  <c r="AE2560" i="5"/>
  <c r="AD2560" i="5"/>
  <c r="E2560" i="5"/>
  <c r="AE2559" i="5"/>
  <c r="AD2559" i="5"/>
  <c r="E2559" i="5"/>
  <c r="AE2558" i="5"/>
  <c r="AD2558" i="5"/>
  <c r="E2558" i="5"/>
  <c r="AE2557" i="5"/>
  <c r="AD2557" i="5"/>
  <c r="E2557" i="5"/>
  <c r="AE2556" i="5"/>
  <c r="AD2556" i="5"/>
  <c r="E2556" i="5"/>
  <c r="AE2555" i="5"/>
  <c r="AD2555" i="5"/>
  <c r="E2555" i="5"/>
  <c r="AE2554" i="5"/>
  <c r="AD2554" i="5"/>
  <c r="E2554" i="5"/>
  <c r="AE2553" i="5"/>
  <c r="AD2553" i="5"/>
  <c r="E2553" i="5"/>
  <c r="AE2552" i="5"/>
  <c r="AD2552" i="5"/>
  <c r="E2552" i="5"/>
  <c r="AE2551" i="5"/>
  <c r="AD2551" i="5"/>
  <c r="E2551" i="5"/>
  <c r="AE2550" i="5"/>
  <c r="AD2550" i="5"/>
  <c r="E2550" i="5"/>
  <c r="AE2549" i="5"/>
  <c r="AD2549" i="5"/>
  <c r="E2549" i="5"/>
  <c r="AE2548" i="5"/>
  <c r="AD2548" i="5"/>
  <c r="E2548" i="5"/>
  <c r="AE2547" i="5"/>
  <c r="AD2547" i="5"/>
  <c r="E2547" i="5"/>
  <c r="AE2546" i="5"/>
  <c r="AD2546" i="5"/>
  <c r="E2546" i="5"/>
  <c r="AE2545" i="5"/>
  <c r="AD2545" i="5"/>
  <c r="E2545" i="5"/>
  <c r="AE2544" i="5"/>
  <c r="AD2544" i="5"/>
  <c r="E2544" i="5"/>
  <c r="AE2543" i="5"/>
  <c r="AD2543" i="5"/>
  <c r="E2543" i="5"/>
  <c r="AE2542" i="5"/>
  <c r="AD2542" i="5"/>
  <c r="E2542" i="5"/>
  <c r="AE2541" i="5"/>
  <c r="AD2541" i="5"/>
  <c r="E2541" i="5"/>
  <c r="AE2540" i="5"/>
  <c r="AD2540" i="5"/>
  <c r="E2540" i="5"/>
  <c r="AE2539" i="5"/>
  <c r="AD2539" i="5"/>
  <c r="E2539" i="5"/>
  <c r="AE2538" i="5"/>
  <c r="AD2538" i="5"/>
  <c r="E2538" i="5"/>
  <c r="AE2537" i="5"/>
  <c r="AD2537" i="5"/>
  <c r="E2537" i="5"/>
  <c r="AE2536" i="5"/>
  <c r="AD2536" i="5"/>
  <c r="E2536" i="5"/>
  <c r="AE2535" i="5"/>
  <c r="AD2535" i="5"/>
  <c r="E2535" i="5"/>
  <c r="AE2534" i="5"/>
  <c r="AD2534" i="5"/>
  <c r="E2534" i="5"/>
  <c r="AE2533" i="5"/>
  <c r="AD2533" i="5"/>
  <c r="E2533" i="5"/>
  <c r="AE2532" i="5"/>
  <c r="AD2532" i="5"/>
  <c r="E2532" i="5"/>
  <c r="AE2531" i="5"/>
  <c r="AD2531" i="5"/>
  <c r="E2531" i="5"/>
  <c r="AE2530" i="5"/>
  <c r="AD2530" i="5"/>
  <c r="E2530" i="5"/>
  <c r="AE2529" i="5"/>
  <c r="AD2529" i="5"/>
  <c r="E2529" i="5"/>
  <c r="AE2528" i="5"/>
  <c r="AD2528" i="5"/>
  <c r="E2528" i="5"/>
  <c r="AE2527" i="5"/>
  <c r="AD2527" i="5"/>
  <c r="E2527" i="5"/>
  <c r="AE2526" i="5"/>
  <c r="AD2526" i="5"/>
  <c r="E2526" i="5"/>
  <c r="AE2525" i="5"/>
  <c r="AD2525" i="5"/>
  <c r="E2525" i="5"/>
  <c r="AE2524" i="5"/>
  <c r="AD2524" i="5"/>
  <c r="E2524" i="5"/>
  <c r="AE2523" i="5"/>
  <c r="AD2523" i="5"/>
  <c r="E2523" i="5"/>
  <c r="AE2522" i="5"/>
  <c r="AD2522" i="5"/>
  <c r="E2522" i="5"/>
  <c r="AE2521" i="5"/>
  <c r="AD2521" i="5"/>
  <c r="E2521" i="5"/>
  <c r="AE2520" i="5"/>
  <c r="AD2520" i="5"/>
  <c r="E2520" i="5"/>
  <c r="AE2519" i="5"/>
  <c r="AD2519" i="5"/>
  <c r="E2519" i="5"/>
  <c r="AE2518" i="5"/>
  <c r="AD2518" i="5"/>
  <c r="E2518" i="5"/>
  <c r="AE2517" i="5"/>
  <c r="AD2517" i="5"/>
  <c r="E2517" i="5"/>
  <c r="AE2516" i="5"/>
  <c r="AD2516" i="5"/>
  <c r="E2516" i="5"/>
  <c r="AE2515" i="5"/>
  <c r="AD2515" i="5"/>
  <c r="E2515" i="5"/>
  <c r="AE2514" i="5"/>
  <c r="AD2514" i="5"/>
  <c r="E2514" i="5"/>
  <c r="AE2513" i="5"/>
  <c r="AD2513" i="5"/>
  <c r="E2513" i="5"/>
  <c r="AE2512" i="5"/>
  <c r="AD2512" i="5"/>
  <c r="E2512" i="5"/>
  <c r="AE2511" i="5"/>
  <c r="AD2511" i="5"/>
  <c r="E2511" i="5"/>
  <c r="AE2510" i="5"/>
  <c r="AD2510" i="5"/>
  <c r="E2510" i="5"/>
  <c r="AE2509" i="5"/>
  <c r="AD2509" i="5"/>
  <c r="E2509" i="5"/>
  <c r="AE2508" i="5"/>
  <c r="AD2508" i="5"/>
  <c r="E2508" i="5"/>
  <c r="AE2507" i="5"/>
  <c r="AD2507" i="5"/>
  <c r="E2507" i="5"/>
  <c r="AE2506" i="5"/>
  <c r="AD2506" i="5"/>
  <c r="E2506" i="5"/>
  <c r="AE2505" i="5"/>
  <c r="AD2505" i="5"/>
  <c r="E2505" i="5"/>
  <c r="AE2504" i="5"/>
  <c r="AD2504" i="5"/>
  <c r="E2504" i="5"/>
  <c r="AE2503" i="5"/>
  <c r="AD2503" i="5"/>
  <c r="E2503" i="5"/>
  <c r="AE2502" i="5"/>
  <c r="AD2502" i="5"/>
  <c r="E2502" i="5"/>
  <c r="AE2501" i="5"/>
  <c r="AD2501" i="5"/>
  <c r="E2501" i="5"/>
  <c r="AE2500" i="5"/>
  <c r="AD2500" i="5"/>
  <c r="E2500" i="5"/>
  <c r="AE2499" i="5"/>
  <c r="AD2499" i="5"/>
  <c r="E2499" i="5"/>
  <c r="AE2498" i="5"/>
  <c r="AD2498" i="5"/>
  <c r="E2498" i="5"/>
  <c r="AE2497" i="5"/>
  <c r="AD2497" i="5"/>
  <c r="E2497" i="5"/>
  <c r="AE2496" i="5"/>
  <c r="AD2496" i="5"/>
  <c r="E2496" i="5"/>
  <c r="AE2495" i="5"/>
  <c r="AD2495" i="5"/>
  <c r="E2495" i="5"/>
  <c r="AE2494" i="5"/>
  <c r="AD2494" i="5"/>
  <c r="E2494" i="5"/>
  <c r="AE2493" i="5"/>
  <c r="AD2493" i="5"/>
  <c r="E2493" i="5"/>
  <c r="AE2492" i="5"/>
  <c r="AD2492" i="5"/>
  <c r="E2492" i="5"/>
  <c r="AE2491" i="5"/>
  <c r="AD2491" i="5"/>
  <c r="E2491" i="5"/>
  <c r="AE2490" i="5"/>
  <c r="AD2490" i="5"/>
  <c r="E2490" i="5"/>
  <c r="AE2489" i="5"/>
  <c r="AD2489" i="5"/>
  <c r="E2489" i="5"/>
  <c r="AE2488" i="5"/>
  <c r="AD2488" i="5"/>
  <c r="E2488" i="5"/>
  <c r="AE2487" i="5"/>
  <c r="AD2487" i="5"/>
  <c r="E2487" i="5"/>
  <c r="AE2486" i="5"/>
  <c r="AD2486" i="5"/>
  <c r="E2486" i="5"/>
  <c r="AE2485" i="5"/>
  <c r="AD2485" i="5"/>
  <c r="E2485" i="5"/>
  <c r="AE2484" i="5"/>
  <c r="AD2484" i="5"/>
  <c r="E2484" i="5"/>
  <c r="AE2483" i="5"/>
  <c r="AD2483" i="5"/>
  <c r="E2483" i="5"/>
  <c r="AE2482" i="5"/>
  <c r="AD2482" i="5"/>
  <c r="E2482" i="5"/>
  <c r="AE2481" i="5"/>
  <c r="AD2481" i="5"/>
  <c r="E2481" i="5"/>
  <c r="AE2480" i="5"/>
  <c r="AD2480" i="5"/>
  <c r="E2480" i="5"/>
  <c r="AE2479" i="5"/>
  <c r="AD2479" i="5"/>
  <c r="E2479" i="5"/>
  <c r="AE2478" i="5"/>
  <c r="AD2478" i="5"/>
  <c r="E2478" i="5"/>
  <c r="AE2477" i="5"/>
  <c r="AD2477" i="5"/>
  <c r="E2477" i="5"/>
  <c r="AE2476" i="5"/>
  <c r="AD2476" i="5"/>
  <c r="E2476" i="5"/>
  <c r="AE2475" i="5"/>
  <c r="AD2475" i="5"/>
  <c r="E2475" i="5"/>
  <c r="AE2474" i="5"/>
  <c r="AD2474" i="5"/>
  <c r="E2474" i="5"/>
  <c r="AE2473" i="5"/>
  <c r="AD2473" i="5"/>
  <c r="E2473" i="5"/>
  <c r="AE2472" i="5"/>
  <c r="AD2472" i="5"/>
  <c r="E2472" i="5"/>
  <c r="AE2471" i="5"/>
  <c r="AD2471" i="5"/>
  <c r="E2471" i="5"/>
  <c r="AE2470" i="5"/>
  <c r="AD2470" i="5"/>
  <c r="E2470" i="5"/>
  <c r="AE2469" i="5"/>
  <c r="AD2469" i="5"/>
  <c r="E2469" i="5"/>
  <c r="AE2468" i="5"/>
  <c r="AD2468" i="5"/>
  <c r="E2468" i="5"/>
  <c r="AE2467" i="5"/>
  <c r="AD2467" i="5"/>
  <c r="E2467" i="5"/>
  <c r="AE2466" i="5"/>
  <c r="AD2466" i="5"/>
  <c r="E2466" i="5"/>
  <c r="AE2465" i="5"/>
  <c r="AD2465" i="5"/>
  <c r="E2465" i="5"/>
  <c r="AE2464" i="5"/>
  <c r="AD2464" i="5"/>
  <c r="E2464" i="5"/>
  <c r="AE2463" i="5"/>
  <c r="AD2463" i="5"/>
  <c r="E2463" i="5"/>
  <c r="AE2462" i="5"/>
  <c r="AD2462" i="5"/>
  <c r="E2462" i="5"/>
  <c r="AE2461" i="5"/>
  <c r="AD2461" i="5"/>
  <c r="E2461" i="5"/>
  <c r="AE2460" i="5"/>
  <c r="AD2460" i="5"/>
  <c r="E2460" i="5"/>
  <c r="AE2459" i="5"/>
  <c r="AD2459" i="5"/>
  <c r="E2459" i="5"/>
  <c r="AE2458" i="5"/>
  <c r="AD2458" i="5"/>
  <c r="E2458" i="5"/>
  <c r="AE2457" i="5"/>
  <c r="AD2457" i="5"/>
  <c r="E2457" i="5"/>
  <c r="AE2456" i="5"/>
  <c r="AD2456" i="5"/>
  <c r="E2456" i="5"/>
  <c r="AE2455" i="5"/>
  <c r="AD2455" i="5"/>
  <c r="E2455" i="5"/>
  <c r="AE2454" i="5"/>
  <c r="AD2454" i="5"/>
  <c r="E2454" i="5"/>
  <c r="AE2453" i="5"/>
  <c r="AD2453" i="5"/>
  <c r="E2453" i="5"/>
  <c r="AE2452" i="5"/>
  <c r="AD2452" i="5"/>
  <c r="E2452" i="5"/>
  <c r="AE2451" i="5"/>
  <c r="AD2451" i="5"/>
  <c r="E2451" i="5"/>
  <c r="AE2450" i="5"/>
  <c r="AD2450" i="5"/>
  <c r="E2450" i="5"/>
  <c r="AE2449" i="5"/>
  <c r="AD2449" i="5"/>
  <c r="E2449" i="5"/>
  <c r="AE2448" i="5"/>
  <c r="AD2448" i="5"/>
  <c r="E2448" i="5"/>
  <c r="AE2447" i="5"/>
  <c r="AD2447" i="5"/>
  <c r="E2447" i="5"/>
  <c r="AE2446" i="5"/>
  <c r="AD2446" i="5"/>
  <c r="E2446" i="5"/>
  <c r="AE2445" i="5"/>
  <c r="AD2445" i="5"/>
  <c r="E2445" i="5"/>
  <c r="AE2444" i="5"/>
  <c r="AD2444" i="5"/>
  <c r="E2444" i="5"/>
  <c r="AE2443" i="5"/>
  <c r="AD2443" i="5"/>
  <c r="E2443" i="5"/>
  <c r="AE2442" i="5"/>
  <c r="AD2442" i="5"/>
  <c r="E2442" i="5"/>
  <c r="AE2441" i="5"/>
  <c r="AD2441" i="5"/>
  <c r="E2441" i="5"/>
  <c r="AE2440" i="5"/>
  <c r="AD2440" i="5"/>
  <c r="E2440" i="5"/>
  <c r="AE2439" i="5"/>
  <c r="AD2439" i="5"/>
  <c r="E2439" i="5"/>
  <c r="AE2438" i="5"/>
  <c r="AD2438" i="5"/>
  <c r="E2438" i="5"/>
  <c r="AE2437" i="5"/>
  <c r="AD2437" i="5"/>
  <c r="E2437" i="5"/>
  <c r="AE2436" i="5"/>
  <c r="AD2436" i="5"/>
  <c r="E2436" i="5"/>
  <c r="AE2435" i="5"/>
  <c r="AD2435" i="5"/>
  <c r="E2435" i="5"/>
  <c r="AE2434" i="5"/>
  <c r="AD2434" i="5"/>
  <c r="E2434" i="5"/>
  <c r="AE2433" i="5"/>
  <c r="AD2433" i="5"/>
  <c r="E2433" i="5"/>
  <c r="AE2432" i="5"/>
  <c r="AD2432" i="5"/>
  <c r="E2432" i="5"/>
  <c r="AE2431" i="5"/>
  <c r="AD2431" i="5"/>
  <c r="E2431" i="5"/>
  <c r="AE2430" i="5"/>
  <c r="AD2430" i="5"/>
  <c r="E2430" i="5"/>
  <c r="AE2429" i="5"/>
  <c r="AD2429" i="5"/>
  <c r="E2429" i="5"/>
  <c r="AE2428" i="5"/>
  <c r="AD2428" i="5"/>
  <c r="E2428" i="5"/>
  <c r="AE2427" i="5"/>
  <c r="AD2427" i="5"/>
  <c r="E2427" i="5"/>
  <c r="AE2426" i="5"/>
  <c r="AD2426" i="5"/>
  <c r="E2426" i="5"/>
  <c r="AE2425" i="5"/>
  <c r="AD2425" i="5"/>
  <c r="E2425" i="5"/>
  <c r="AE2424" i="5"/>
  <c r="AD2424" i="5"/>
  <c r="E2424" i="5"/>
  <c r="AE2423" i="5"/>
  <c r="AD2423" i="5"/>
  <c r="E2423" i="5"/>
  <c r="AE2422" i="5"/>
  <c r="AD2422" i="5"/>
  <c r="E2422" i="5"/>
  <c r="AE2421" i="5"/>
  <c r="AD2421" i="5"/>
  <c r="E2421" i="5"/>
  <c r="AE2420" i="5"/>
  <c r="AD2420" i="5"/>
  <c r="E2420" i="5"/>
  <c r="AE2419" i="5"/>
  <c r="AD2419" i="5"/>
  <c r="E2419" i="5"/>
  <c r="AE2418" i="5"/>
  <c r="AD2418" i="5"/>
  <c r="E2418" i="5"/>
  <c r="AE2417" i="5"/>
  <c r="AD2417" i="5"/>
  <c r="E2417" i="5"/>
  <c r="AE2416" i="5"/>
  <c r="AD2416" i="5"/>
  <c r="E2416" i="5"/>
  <c r="AE2415" i="5"/>
  <c r="AD2415" i="5"/>
  <c r="E2415" i="5"/>
  <c r="AE2414" i="5"/>
  <c r="AD2414" i="5"/>
  <c r="E2414" i="5"/>
  <c r="AE2413" i="5"/>
  <c r="AD2413" i="5"/>
  <c r="E2413" i="5"/>
  <c r="AE2412" i="5"/>
  <c r="AD2412" i="5"/>
  <c r="E2412" i="5"/>
  <c r="AE2411" i="5"/>
  <c r="AD2411" i="5"/>
  <c r="E2411" i="5"/>
  <c r="AE2410" i="5"/>
  <c r="AD2410" i="5"/>
  <c r="E2410" i="5"/>
  <c r="AE2409" i="5"/>
  <c r="AD2409" i="5"/>
  <c r="E2409" i="5"/>
  <c r="AE2408" i="5"/>
  <c r="AD2408" i="5"/>
  <c r="E2408" i="5"/>
  <c r="AE2407" i="5"/>
  <c r="AD2407" i="5"/>
  <c r="E2407" i="5"/>
  <c r="AE2406" i="5"/>
  <c r="AD2406" i="5"/>
  <c r="E2406" i="5"/>
  <c r="AE2405" i="5"/>
  <c r="AD2405" i="5"/>
  <c r="E2405" i="5"/>
  <c r="AE2404" i="5"/>
  <c r="AD2404" i="5"/>
  <c r="E2404" i="5"/>
  <c r="AE2403" i="5"/>
  <c r="AD2403" i="5"/>
  <c r="E2403" i="5"/>
  <c r="AE2402" i="5"/>
  <c r="AD2402" i="5"/>
  <c r="E2402" i="5"/>
  <c r="AE2401" i="5"/>
  <c r="AD2401" i="5"/>
  <c r="E2401" i="5"/>
  <c r="AE2400" i="5"/>
  <c r="AD2400" i="5"/>
  <c r="E2400" i="5"/>
  <c r="AE2399" i="5"/>
  <c r="AD2399" i="5"/>
  <c r="E2399" i="5"/>
  <c r="AE2398" i="5"/>
  <c r="AD2398" i="5"/>
  <c r="E2398" i="5"/>
  <c r="AE2397" i="5"/>
  <c r="AD2397" i="5"/>
  <c r="E2397" i="5"/>
  <c r="AE2396" i="5"/>
  <c r="AD2396" i="5"/>
  <c r="E2396" i="5"/>
  <c r="AE2395" i="5"/>
  <c r="AD2395" i="5"/>
  <c r="E2395" i="5"/>
  <c r="AE2394" i="5"/>
  <c r="AD2394" i="5"/>
  <c r="E2394" i="5"/>
  <c r="AE2393" i="5"/>
  <c r="AD2393" i="5"/>
  <c r="E2393" i="5"/>
  <c r="AE2392" i="5"/>
  <c r="AD2392" i="5"/>
  <c r="E2392" i="5"/>
  <c r="AE2391" i="5"/>
  <c r="AD2391" i="5"/>
  <c r="E2391" i="5"/>
  <c r="AE2390" i="5"/>
  <c r="AD2390" i="5"/>
  <c r="E2390" i="5"/>
  <c r="AE2389" i="5"/>
  <c r="AD2389" i="5"/>
  <c r="E2389" i="5"/>
  <c r="AE2388" i="5"/>
  <c r="AD2388" i="5"/>
  <c r="E2388" i="5"/>
  <c r="AE2387" i="5"/>
  <c r="AD2387" i="5"/>
  <c r="E2387" i="5"/>
  <c r="AE2386" i="5"/>
  <c r="AD2386" i="5"/>
  <c r="E2386" i="5"/>
  <c r="AE2385" i="5"/>
  <c r="AD2385" i="5"/>
  <c r="E2385" i="5"/>
  <c r="AE2384" i="5"/>
  <c r="AD2384" i="5"/>
  <c r="E2384" i="5"/>
  <c r="AE2383" i="5"/>
  <c r="AD2383" i="5"/>
  <c r="E2383" i="5"/>
  <c r="AE2382" i="5"/>
  <c r="AD2382" i="5"/>
  <c r="E2382" i="5"/>
  <c r="AE2381" i="5"/>
  <c r="AD2381" i="5"/>
  <c r="E2381" i="5"/>
  <c r="AE2380" i="5"/>
  <c r="AD2380" i="5"/>
  <c r="E2380" i="5"/>
  <c r="AE2379" i="5"/>
  <c r="AD2379" i="5"/>
  <c r="E2379" i="5"/>
  <c r="AE2378" i="5"/>
  <c r="AD2378" i="5"/>
  <c r="E2378" i="5"/>
  <c r="AE2377" i="5"/>
  <c r="AD2377" i="5"/>
  <c r="E2377" i="5"/>
  <c r="AE2376" i="5"/>
  <c r="AD2376" i="5"/>
  <c r="E2376" i="5"/>
  <c r="AE2375" i="5"/>
  <c r="AD2375" i="5"/>
  <c r="E2375" i="5"/>
  <c r="AE2374" i="5"/>
  <c r="AD2374" i="5"/>
  <c r="E2374" i="5"/>
  <c r="AE2373" i="5"/>
  <c r="AD2373" i="5"/>
  <c r="E2373" i="5"/>
  <c r="AE2372" i="5"/>
  <c r="AD2372" i="5"/>
  <c r="E2372" i="5"/>
  <c r="AE2371" i="5"/>
  <c r="AD2371" i="5"/>
  <c r="E2371" i="5"/>
  <c r="AE2370" i="5"/>
  <c r="AD2370" i="5"/>
  <c r="E2370" i="5"/>
  <c r="AE2369" i="5"/>
  <c r="AD2369" i="5"/>
  <c r="E2369" i="5"/>
  <c r="AE2368" i="5"/>
  <c r="AD2368" i="5"/>
  <c r="E2368" i="5"/>
  <c r="AE2367" i="5"/>
  <c r="AD2367" i="5"/>
  <c r="E2367" i="5"/>
  <c r="AE2366" i="5"/>
  <c r="AD2366" i="5"/>
  <c r="E2366" i="5"/>
  <c r="AE2365" i="5"/>
  <c r="AD2365" i="5"/>
  <c r="E2365" i="5"/>
  <c r="AE2364" i="5"/>
  <c r="AD2364" i="5"/>
  <c r="E2364" i="5"/>
  <c r="AE2363" i="5"/>
  <c r="AD2363" i="5"/>
  <c r="E2363" i="5"/>
  <c r="AE2362" i="5"/>
  <c r="AD2362" i="5"/>
  <c r="E2362" i="5"/>
  <c r="AE2361" i="5"/>
  <c r="AD2361" i="5"/>
  <c r="E2361" i="5"/>
  <c r="AE2360" i="5"/>
  <c r="AD2360" i="5"/>
  <c r="E2360" i="5"/>
  <c r="AE2359" i="5"/>
  <c r="AD2359" i="5"/>
  <c r="E2359" i="5"/>
  <c r="AE2358" i="5"/>
  <c r="AD2358" i="5"/>
  <c r="E2358" i="5"/>
  <c r="AE2357" i="5"/>
  <c r="AD2357" i="5"/>
  <c r="E2357" i="5"/>
  <c r="AE2356" i="5"/>
  <c r="AD2356" i="5"/>
  <c r="E2356" i="5"/>
  <c r="AE2355" i="5"/>
  <c r="AD2355" i="5"/>
  <c r="E2355" i="5"/>
  <c r="AE2354" i="5"/>
  <c r="AD2354" i="5"/>
  <c r="E2354" i="5"/>
  <c r="AE2353" i="5"/>
  <c r="AD2353" i="5"/>
  <c r="E2353" i="5"/>
  <c r="AE2352" i="5"/>
  <c r="AD2352" i="5"/>
  <c r="E2352" i="5"/>
  <c r="AE2351" i="5"/>
  <c r="AD2351" i="5"/>
  <c r="E2351" i="5"/>
  <c r="AE2350" i="5"/>
  <c r="AD2350" i="5"/>
  <c r="E2350" i="5"/>
  <c r="AE2349" i="5"/>
  <c r="AD2349" i="5"/>
  <c r="E2349" i="5"/>
  <c r="AE2348" i="5"/>
  <c r="AD2348" i="5"/>
  <c r="E2348" i="5"/>
  <c r="AE2347" i="5"/>
  <c r="AD2347" i="5"/>
  <c r="E2347" i="5"/>
  <c r="AE2346" i="5"/>
  <c r="AD2346" i="5"/>
  <c r="E2346" i="5"/>
  <c r="AE2345" i="5"/>
  <c r="AD2345" i="5"/>
  <c r="E2345" i="5"/>
  <c r="AE2344" i="5"/>
  <c r="AD2344" i="5"/>
  <c r="E2344" i="5"/>
  <c r="AE2343" i="5"/>
  <c r="AD2343" i="5"/>
  <c r="E2343" i="5"/>
  <c r="AE2342" i="5"/>
  <c r="AD2342" i="5"/>
  <c r="E2342" i="5"/>
  <c r="AE2341" i="5"/>
  <c r="AD2341" i="5"/>
  <c r="E2341" i="5"/>
  <c r="AE2340" i="5"/>
  <c r="AD2340" i="5"/>
  <c r="E2340" i="5"/>
  <c r="AE2339" i="5"/>
  <c r="AD2339" i="5"/>
  <c r="E2339" i="5"/>
  <c r="AE2338" i="5"/>
  <c r="AD2338" i="5"/>
  <c r="E2338" i="5"/>
  <c r="AE2337" i="5"/>
  <c r="AD2337" i="5"/>
  <c r="E2337" i="5"/>
  <c r="AE2336" i="5"/>
  <c r="AD2336" i="5"/>
  <c r="E2336" i="5"/>
  <c r="AE2335" i="5"/>
  <c r="AD2335" i="5"/>
  <c r="E2335" i="5"/>
  <c r="AE2334" i="5"/>
  <c r="AD2334" i="5"/>
  <c r="E2334" i="5"/>
  <c r="AE2333" i="5"/>
  <c r="AD2333" i="5"/>
  <c r="E2333" i="5"/>
  <c r="AE2332" i="5"/>
  <c r="AD2332" i="5"/>
  <c r="E2332" i="5"/>
  <c r="AE2331" i="5"/>
  <c r="AD2331" i="5"/>
  <c r="E2331" i="5"/>
  <c r="AE2330" i="5"/>
  <c r="AD2330" i="5"/>
  <c r="E2330" i="5"/>
  <c r="AE2329" i="5"/>
  <c r="AD2329" i="5"/>
  <c r="E2329" i="5"/>
  <c r="AE2328" i="5"/>
  <c r="AD2328" i="5"/>
  <c r="E2328" i="5"/>
  <c r="AE2327" i="5"/>
  <c r="AD2327" i="5"/>
  <c r="E2327" i="5"/>
  <c r="AE2326" i="5"/>
  <c r="AD2326" i="5"/>
  <c r="E2326" i="5"/>
  <c r="AE2325" i="5"/>
  <c r="AD2325" i="5"/>
  <c r="E2325" i="5"/>
  <c r="AE2324" i="5"/>
  <c r="AD2324" i="5"/>
  <c r="E2324" i="5"/>
  <c r="AE2323" i="5"/>
  <c r="AD2323" i="5"/>
  <c r="E2323" i="5"/>
  <c r="AE2322" i="5"/>
  <c r="AD2322" i="5"/>
  <c r="E2322" i="5"/>
  <c r="AE2321" i="5"/>
  <c r="AD2321" i="5"/>
  <c r="E2321" i="5"/>
  <c r="AE2320" i="5"/>
  <c r="AD2320" i="5"/>
  <c r="E2320" i="5"/>
  <c r="AE2319" i="5"/>
  <c r="AD2319" i="5"/>
  <c r="E2319" i="5"/>
  <c r="AE2318" i="5"/>
  <c r="AD2318" i="5"/>
  <c r="E2318" i="5"/>
  <c r="AE2317" i="5"/>
  <c r="AD2317" i="5"/>
  <c r="E2317" i="5"/>
  <c r="AE2316" i="5"/>
  <c r="AD2316" i="5"/>
  <c r="E2316" i="5"/>
  <c r="AE2315" i="5"/>
  <c r="AD2315" i="5"/>
  <c r="E2315" i="5"/>
  <c r="AE2314" i="5"/>
  <c r="AD2314" i="5"/>
  <c r="E2314" i="5"/>
  <c r="AE2313" i="5"/>
  <c r="AD2313" i="5"/>
  <c r="E2313" i="5"/>
  <c r="AE2312" i="5"/>
  <c r="AD2312" i="5"/>
  <c r="E2312" i="5"/>
  <c r="AE2311" i="5"/>
  <c r="AD2311" i="5"/>
  <c r="E2311" i="5"/>
  <c r="AE2310" i="5"/>
  <c r="AD2310" i="5"/>
  <c r="E2310" i="5"/>
  <c r="AE2309" i="5"/>
  <c r="AD2309" i="5"/>
  <c r="E2309" i="5"/>
  <c r="AE2308" i="5"/>
  <c r="AD2308" i="5"/>
  <c r="E2308" i="5"/>
  <c r="AE2307" i="5"/>
  <c r="AD2307" i="5"/>
  <c r="E2307" i="5"/>
  <c r="AE2306" i="5"/>
  <c r="AD2306" i="5"/>
  <c r="E2306" i="5"/>
  <c r="AE2305" i="5"/>
  <c r="AD2305" i="5"/>
  <c r="E2305" i="5"/>
  <c r="AE2304" i="5"/>
  <c r="AD2304" i="5"/>
  <c r="E2304" i="5"/>
  <c r="AE2303" i="5"/>
  <c r="AD2303" i="5"/>
  <c r="E2303" i="5"/>
  <c r="AE2302" i="5"/>
  <c r="AD2302" i="5"/>
  <c r="E2302" i="5"/>
  <c r="AE2301" i="5"/>
  <c r="AD2301" i="5"/>
  <c r="E2301" i="5"/>
  <c r="AE2300" i="5"/>
  <c r="AD2300" i="5"/>
  <c r="E2300" i="5"/>
  <c r="AE2299" i="5"/>
  <c r="AD2299" i="5"/>
  <c r="E2299" i="5"/>
  <c r="AE2298" i="5"/>
  <c r="AD2298" i="5"/>
  <c r="E2298" i="5"/>
  <c r="AE2297" i="5"/>
  <c r="AD2297" i="5"/>
  <c r="E2297" i="5"/>
  <c r="AE2296" i="5"/>
  <c r="AD2296" i="5"/>
  <c r="E2296" i="5"/>
  <c r="AE2295" i="5"/>
  <c r="AD2295" i="5"/>
  <c r="E2295" i="5"/>
  <c r="AE2294" i="5"/>
  <c r="AD2294" i="5"/>
  <c r="E2294" i="5"/>
  <c r="AE2293" i="5"/>
  <c r="AD2293" i="5"/>
  <c r="E2293" i="5"/>
  <c r="AE2292" i="5"/>
  <c r="AD2292" i="5"/>
  <c r="E2292" i="5"/>
  <c r="AE2291" i="5"/>
  <c r="AD2291" i="5"/>
  <c r="E2291" i="5"/>
  <c r="AE2290" i="5"/>
  <c r="AD2290" i="5"/>
  <c r="E2290" i="5"/>
  <c r="AE2289" i="5"/>
  <c r="AD2289" i="5"/>
  <c r="E2289" i="5"/>
  <c r="AE2288" i="5"/>
  <c r="AD2288" i="5"/>
  <c r="E2288" i="5"/>
  <c r="AE2287" i="5"/>
  <c r="AD2287" i="5"/>
  <c r="E2287" i="5"/>
  <c r="AE2286" i="5"/>
  <c r="AD2286" i="5"/>
  <c r="E2286" i="5"/>
  <c r="AE2285" i="5"/>
  <c r="AD2285" i="5"/>
  <c r="E2285" i="5"/>
  <c r="AE2284" i="5"/>
  <c r="AD2284" i="5"/>
  <c r="E2284" i="5"/>
  <c r="AE2283" i="5"/>
  <c r="AD2283" i="5"/>
  <c r="E2283" i="5"/>
  <c r="AE2282" i="5"/>
  <c r="AD2282" i="5"/>
  <c r="E2282" i="5"/>
  <c r="AE2281" i="5"/>
  <c r="AD2281" i="5"/>
  <c r="E2281" i="5"/>
  <c r="AE2280" i="5"/>
  <c r="AD2280" i="5"/>
  <c r="E2280" i="5"/>
  <c r="AE2279" i="5"/>
  <c r="AD2279" i="5"/>
  <c r="E2279" i="5"/>
  <c r="AE2278" i="5"/>
  <c r="AD2278" i="5"/>
  <c r="E2278" i="5"/>
  <c r="AE2277" i="5"/>
  <c r="AD2277" i="5"/>
  <c r="E2277" i="5"/>
  <c r="AE2276" i="5"/>
  <c r="AD2276" i="5"/>
  <c r="E2276" i="5"/>
  <c r="AE2275" i="5"/>
  <c r="AD2275" i="5"/>
  <c r="E2275" i="5"/>
  <c r="AE2274" i="5"/>
  <c r="AD2274" i="5"/>
  <c r="E2274" i="5"/>
  <c r="AE2273" i="5"/>
  <c r="AD2273" i="5"/>
  <c r="E2273" i="5"/>
  <c r="AE2272" i="5"/>
  <c r="AD2272" i="5"/>
  <c r="E2272" i="5"/>
  <c r="AE2271" i="5"/>
  <c r="AD2271" i="5"/>
  <c r="E2271" i="5"/>
  <c r="AE2270" i="5"/>
  <c r="AD2270" i="5"/>
  <c r="E2270" i="5"/>
  <c r="AE2269" i="5"/>
  <c r="AD2269" i="5"/>
  <c r="E2269" i="5"/>
  <c r="AE2268" i="5"/>
  <c r="AD2268" i="5"/>
  <c r="E2268" i="5"/>
  <c r="AE2267" i="5"/>
  <c r="AD2267" i="5"/>
  <c r="E2267" i="5"/>
  <c r="AE2266" i="5"/>
  <c r="AD2266" i="5"/>
  <c r="E2266" i="5"/>
  <c r="AE2265" i="5"/>
  <c r="AD2265" i="5"/>
  <c r="E2265" i="5"/>
  <c r="AE2264" i="5"/>
  <c r="AD2264" i="5"/>
  <c r="E2264" i="5"/>
  <c r="AE2263" i="5"/>
  <c r="AD2263" i="5"/>
  <c r="E2263" i="5"/>
  <c r="AE2262" i="5"/>
  <c r="AD2262" i="5"/>
  <c r="E2262" i="5"/>
  <c r="AE2261" i="5"/>
  <c r="AD2261" i="5"/>
  <c r="E2261" i="5"/>
  <c r="AE2260" i="5"/>
  <c r="AD2260" i="5"/>
  <c r="E2260" i="5"/>
  <c r="AE2259" i="5"/>
  <c r="AD2259" i="5"/>
  <c r="E2259" i="5"/>
  <c r="AE2258" i="5"/>
  <c r="AD2258" i="5"/>
  <c r="E2258" i="5"/>
  <c r="AE2257" i="5"/>
  <c r="AD2257" i="5"/>
  <c r="E2257" i="5"/>
  <c r="AE2256" i="5"/>
  <c r="AD2256" i="5"/>
  <c r="E2256" i="5"/>
  <c r="AE2255" i="5"/>
  <c r="AD2255" i="5"/>
  <c r="E2255" i="5"/>
  <c r="AE2254" i="5"/>
  <c r="AD2254" i="5"/>
  <c r="E2254" i="5"/>
  <c r="AE2253" i="5"/>
  <c r="AD2253" i="5"/>
  <c r="E2253" i="5"/>
  <c r="AE2252" i="5"/>
  <c r="AD2252" i="5"/>
  <c r="E2252" i="5"/>
  <c r="AE2251" i="5"/>
  <c r="AD2251" i="5"/>
  <c r="E2251" i="5"/>
  <c r="AE2250" i="5"/>
  <c r="AD2250" i="5"/>
  <c r="E2250" i="5"/>
  <c r="AE2249" i="5"/>
  <c r="AD2249" i="5"/>
  <c r="E2249" i="5"/>
  <c r="AE2248" i="5"/>
  <c r="AD2248" i="5"/>
  <c r="E2248" i="5"/>
  <c r="AE2247" i="5"/>
  <c r="AD2247" i="5"/>
  <c r="E2247" i="5"/>
  <c r="AE2246" i="5"/>
  <c r="AD2246" i="5"/>
  <c r="E2246" i="5"/>
  <c r="AE2245" i="5"/>
  <c r="AD2245" i="5"/>
  <c r="E2245" i="5"/>
  <c r="AE2244" i="5"/>
  <c r="AD2244" i="5"/>
  <c r="E2244" i="5"/>
  <c r="AE2243" i="5"/>
  <c r="AD2243" i="5"/>
  <c r="E2243" i="5"/>
  <c r="AE2242" i="5"/>
  <c r="AD2242" i="5"/>
  <c r="E2242" i="5"/>
  <c r="AE2241" i="5"/>
  <c r="AD2241" i="5"/>
  <c r="E2241" i="5"/>
  <c r="AE2240" i="5"/>
  <c r="AD2240" i="5"/>
  <c r="E2240" i="5"/>
  <c r="AE2239" i="5"/>
  <c r="AD2239" i="5"/>
  <c r="E2239" i="5"/>
  <c r="AE2238" i="5"/>
  <c r="AD2238" i="5"/>
  <c r="E2238" i="5"/>
  <c r="AE2237" i="5"/>
  <c r="AD2237" i="5"/>
  <c r="E2237" i="5"/>
  <c r="AE2236" i="5"/>
  <c r="AD2236" i="5"/>
  <c r="E2236" i="5"/>
  <c r="AE2235" i="5"/>
  <c r="AD2235" i="5"/>
  <c r="E2235" i="5"/>
  <c r="AE2234" i="5"/>
  <c r="AD2234" i="5"/>
  <c r="E2234" i="5"/>
  <c r="AE2233" i="5"/>
  <c r="AD2233" i="5"/>
  <c r="E2233" i="5"/>
  <c r="AE2232" i="5"/>
  <c r="AD2232" i="5"/>
  <c r="E2232" i="5"/>
  <c r="AE2231" i="5"/>
  <c r="AD2231" i="5"/>
  <c r="E2231" i="5"/>
  <c r="AE2230" i="5"/>
  <c r="AD2230" i="5"/>
  <c r="E2230" i="5"/>
  <c r="AE2229" i="5"/>
  <c r="AD2229" i="5"/>
  <c r="E2229" i="5"/>
  <c r="AE2228" i="5"/>
  <c r="AD2228" i="5"/>
  <c r="E2228" i="5"/>
  <c r="AE2227" i="5"/>
  <c r="AD2227" i="5"/>
  <c r="E2227" i="5"/>
  <c r="AE2226" i="5"/>
  <c r="AD2226" i="5"/>
  <c r="E2226" i="5"/>
  <c r="AE2225" i="5"/>
  <c r="AD2225" i="5"/>
  <c r="E2225" i="5"/>
  <c r="AE2224" i="5"/>
  <c r="AD2224" i="5"/>
  <c r="E2224" i="5"/>
  <c r="AE2223" i="5"/>
  <c r="AD2223" i="5"/>
  <c r="E2223" i="5"/>
  <c r="AE2222" i="5"/>
  <c r="AD2222" i="5"/>
  <c r="E2222" i="5"/>
  <c r="AE2221" i="5"/>
  <c r="AD2221" i="5"/>
  <c r="E2221" i="5"/>
  <c r="AE2220" i="5"/>
  <c r="AD2220" i="5"/>
  <c r="E2220" i="5"/>
  <c r="AE2219" i="5"/>
  <c r="AD2219" i="5"/>
  <c r="E2219" i="5"/>
  <c r="AE2218" i="5"/>
  <c r="AD2218" i="5"/>
  <c r="E2218" i="5"/>
  <c r="AE2217" i="5"/>
  <c r="AD2217" i="5"/>
  <c r="E2217" i="5"/>
  <c r="AE2216" i="5"/>
  <c r="AD2216" i="5"/>
  <c r="E2216" i="5"/>
  <c r="AE2215" i="5"/>
  <c r="AD2215" i="5"/>
  <c r="E2215" i="5"/>
  <c r="AE2214" i="5"/>
  <c r="AD2214" i="5"/>
  <c r="E2214" i="5"/>
  <c r="AE2213" i="5"/>
  <c r="AD2213" i="5"/>
  <c r="E2213" i="5"/>
  <c r="AE2212" i="5"/>
  <c r="AD2212" i="5"/>
  <c r="E2212" i="5"/>
  <c r="AE2211" i="5"/>
  <c r="AD2211" i="5"/>
  <c r="E2211" i="5"/>
  <c r="AE2210" i="5"/>
  <c r="AD2210" i="5"/>
  <c r="E2210" i="5"/>
  <c r="AE2209" i="5"/>
  <c r="AD2209" i="5"/>
  <c r="E2209" i="5"/>
  <c r="AE2208" i="5"/>
  <c r="AD2208" i="5"/>
  <c r="E2208" i="5"/>
  <c r="AE2207" i="5"/>
  <c r="AD2207" i="5"/>
  <c r="E2207" i="5"/>
  <c r="AE2206" i="5"/>
  <c r="AD2206" i="5"/>
  <c r="E2206" i="5"/>
  <c r="AE2205" i="5"/>
  <c r="AD2205" i="5"/>
  <c r="E2205" i="5"/>
  <c r="AE2204" i="5"/>
  <c r="AD2204" i="5"/>
  <c r="E2204" i="5"/>
  <c r="AE2203" i="5"/>
  <c r="AD2203" i="5"/>
  <c r="E2203" i="5"/>
  <c r="AE2202" i="5"/>
  <c r="AD2202" i="5"/>
  <c r="E2202" i="5"/>
  <c r="AE2201" i="5"/>
  <c r="AD2201" i="5"/>
  <c r="E2201" i="5"/>
  <c r="AE2200" i="5"/>
  <c r="AD2200" i="5"/>
  <c r="E2200" i="5"/>
  <c r="AE2199" i="5"/>
  <c r="AD2199" i="5"/>
  <c r="E2199" i="5"/>
  <c r="AE2198" i="5"/>
  <c r="AD2198" i="5"/>
  <c r="E2198" i="5"/>
  <c r="AE2197" i="5"/>
  <c r="AD2197" i="5"/>
  <c r="E2197" i="5"/>
  <c r="AE2196" i="5"/>
  <c r="AD2196" i="5"/>
  <c r="E2196" i="5"/>
  <c r="AE2195" i="5"/>
  <c r="AD2195" i="5"/>
  <c r="E2195" i="5"/>
  <c r="AE2194" i="5"/>
  <c r="AD2194" i="5"/>
  <c r="E2194" i="5"/>
  <c r="AE2193" i="5"/>
  <c r="AD2193" i="5"/>
  <c r="E2193" i="5"/>
  <c r="AE2192" i="5"/>
  <c r="AD2192" i="5"/>
  <c r="E2192" i="5"/>
  <c r="AE2191" i="5"/>
  <c r="AD2191" i="5"/>
  <c r="E2191" i="5"/>
  <c r="AE2190" i="5"/>
  <c r="AD2190" i="5"/>
  <c r="E2190" i="5"/>
  <c r="AE2189" i="5"/>
  <c r="AD2189" i="5"/>
  <c r="E2189" i="5"/>
  <c r="AE2188" i="5"/>
  <c r="AD2188" i="5"/>
  <c r="E2188" i="5"/>
  <c r="AE2187" i="5"/>
  <c r="AD2187" i="5"/>
  <c r="E2187" i="5"/>
  <c r="AE2186" i="5"/>
  <c r="AD2186" i="5"/>
  <c r="E2186" i="5"/>
  <c r="AE2185" i="5"/>
  <c r="AD2185" i="5"/>
  <c r="E2185" i="5"/>
  <c r="AE2184" i="5"/>
  <c r="AD2184" i="5"/>
  <c r="E2184" i="5"/>
  <c r="AE2183" i="5"/>
  <c r="AD2183" i="5"/>
  <c r="E2183" i="5"/>
  <c r="AE2182" i="5"/>
  <c r="AD2182" i="5"/>
  <c r="E2182" i="5"/>
  <c r="AE2181" i="5"/>
  <c r="AD2181" i="5"/>
  <c r="E2181" i="5"/>
  <c r="AE2180" i="5"/>
  <c r="AD2180" i="5"/>
  <c r="E2180" i="5"/>
  <c r="AE2179" i="5"/>
  <c r="AD2179" i="5"/>
  <c r="E2179" i="5"/>
  <c r="AE2178" i="5"/>
  <c r="AD2178" i="5"/>
  <c r="E2178" i="5"/>
  <c r="AE2177" i="5"/>
  <c r="AD2177" i="5"/>
  <c r="E2177" i="5"/>
  <c r="AE2176" i="5"/>
  <c r="AD2176" i="5"/>
  <c r="E2176" i="5"/>
  <c r="AE2175" i="5"/>
  <c r="AD2175" i="5"/>
  <c r="E2175" i="5"/>
  <c r="AE2174" i="5"/>
  <c r="AD2174" i="5"/>
  <c r="E2174" i="5"/>
  <c r="AE2173" i="5"/>
  <c r="AD2173" i="5"/>
  <c r="E2173" i="5"/>
  <c r="AE2172" i="5"/>
  <c r="AD2172" i="5"/>
  <c r="E2172" i="5"/>
  <c r="AE2171" i="5"/>
  <c r="AD2171" i="5"/>
  <c r="E2171" i="5"/>
  <c r="AE2170" i="5"/>
  <c r="AD2170" i="5"/>
  <c r="E2170" i="5"/>
  <c r="AE2169" i="5"/>
  <c r="AD2169" i="5"/>
  <c r="E2169" i="5"/>
  <c r="AE2168" i="5"/>
  <c r="AD2168" i="5"/>
  <c r="E2168" i="5"/>
  <c r="AE2167" i="5"/>
  <c r="AD2167" i="5"/>
  <c r="E2167" i="5"/>
  <c r="AE2166" i="5"/>
  <c r="AD2166" i="5"/>
  <c r="E2166" i="5"/>
  <c r="AE2165" i="5"/>
  <c r="AD2165" i="5"/>
  <c r="E2165" i="5"/>
  <c r="AE2164" i="5"/>
  <c r="AD2164" i="5"/>
  <c r="E2164" i="5"/>
  <c r="AE2163" i="5"/>
  <c r="AD2163" i="5"/>
  <c r="E2163" i="5"/>
  <c r="AE2162" i="5"/>
  <c r="AD2162" i="5"/>
  <c r="E2162" i="5"/>
  <c r="AE2161" i="5"/>
  <c r="AD2161" i="5"/>
  <c r="E2161" i="5"/>
  <c r="AE2160" i="5"/>
  <c r="AD2160" i="5"/>
  <c r="E2160" i="5"/>
  <c r="AE2159" i="5"/>
  <c r="AD2159" i="5"/>
  <c r="E2159" i="5"/>
  <c r="AE2158" i="5"/>
  <c r="AD2158" i="5"/>
  <c r="E2158" i="5"/>
  <c r="AE2157" i="5"/>
  <c r="AD2157" i="5"/>
  <c r="E2157" i="5"/>
  <c r="AE2156" i="5"/>
  <c r="AD2156" i="5"/>
  <c r="E2156" i="5"/>
  <c r="AE2155" i="5"/>
  <c r="AD2155" i="5"/>
  <c r="E2155" i="5"/>
  <c r="AE2154" i="5"/>
  <c r="AD2154" i="5"/>
  <c r="E2154" i="5"/>
  <c r="AE2153" i="5"/>
  <c r="AD2153" i="5"/>
  <c r="E2153" i="5"/>
  <c r="AE2152" i="5"/>
  <c r="AD2152" i="5"/>
  <c r="E2152" i="5"/>
  <c r="AE2151" i="5"/>
  <c r="AD2151" i="5"/>
  <c r="E2151" i="5"/>
  <c r="AE2150" i="5"/>
  <c r="AD2150" i="5"/>
  <c r="E2150" i="5"/>
  <c r="AE2149" i="5"/>
  <c r="AD2149" i="5"/>
  <c r="E2149" i="5"/>
  <c r="AE2148" i="5"/>
  <c r="AD2148" i="5"/>
  <c r="E2148" i="5"/>
  <c r="AE2147" i="5"/>
  <c r="AD2147" i="5"/>
  <c r="E2147" i="5"/>
  <c r="AE2146" i="5"/>
  <c r="AD2146" i="5"/>
  <c r="E2146" i="5"/>
  <c r="AE2145" i="5"/>
  <c r="AD2145" i="5"/>
  <c r="E2145" i="5"/>
  <c r="AE2144" i="5"/>
  <c r="AD2144" i="5"/>
  <c r="E2144" i="5"/>
  <c r="AE2143" i="5"/>
  <c r="AD2143" i="5"/>
  <c r="E2143" i="5"/>
  <c r="AE2142" i="5"/>
  <c r="AD2142" i="5"/>
  <c r="E2142" i="5"/>
  <c r="AE2141" i="5"/>
  <c r="AD2141" i="5"/>
  <c r="E2141" i="5"/>
  <c r="AE2140" i="5"/>
  <c r="AD2140" i="5"/>
  <c r="E2140" i="5"/>
  <c r="AE2139" i="5"/>
  <c r="AD2139" i="5"/>
  <c r="E2139" i="5"/>
  <c r="AE2138" i="5"/>
  <c r="AD2138" i="5"/>
  <c r="E2138" i="5"/>
  <c r="AE2137" i="5"/>
  <c r="AD2137" i="5"/>
  <c r="E2137" i="5"/>
  <c r="AE2136" i="5"/>
  <c r="AD2136" i="5"/>
  <c r="E2136" i="5"/>
  <c r="AE2135" i="5"/>
  <c r="AD2135" i="5"/>
  <c r="E2135" i="5"/>
  <c r="AE2134" i="5"/>
  <c r="AD2134" i="5"/>
  <c r="E2134" i="5"/>
  <c r="AE2133" i="5"/>
  <c r="AD2133" i="5"/>
  <c r="E2133" i="5"/>
  <c r="AE2132" i="5"/>
  <c r="AD2132" i="5"/>
  <c r="E2132" i="5"/>
  <c r="AE2131" i="5"/>
  <c r="AD2131" i="5"/>
  <c r="E2131" i="5"/>
  <c r="AE2130" i="5"/>
  <c r="AD2130" i="5"/>
  <c r="E2130" i="5"/>
  <c r="AE2129" i="5"/>
  <c r="AD2129" i="5"/>
  <c r="E2129" i="5"/>
  <c r="AE2128" i="5"/>
  <c r="AD2128" i="5"/>
  <c r="E2128" i="5"/>
  <c r="AE2127" i="5"/>
  <c r="AD2127" i="5"/>
  <c r="E2127" i="5"/>
  <c r="AE2126" i="5"/>
  <c r="AD2126" i="5"/>
  <c r="E2126" i="5"/>
  <c r="AE2125" i="5"/>
  <c r="AD2125" i="5"/>
  <c r="E2125" i="5"/>
  <c r="AE2124" i="5"/>
  <c r="AD2124" i="5"/>
  <c r="E2124" i="5"/>
  <c r="AE2123" i="5"/>
  <c r="AD2123" i="5"/>
  <c r="E2123" i="5"/>
  <c r="AE2122" i="5"/>
  <c r="AD2122" i="5"/>
  <c r="E2122" i="5"/>
  <c r="AE2121" i="5"/>
  <c r="AD2121" i="5"/>
  <c r="E2121" i="5"/>
  <c r="AE2120" i="5"/>
  <c r="AD2120" i="5"/>
  <c r="E2120" i="5"/>
  <c r="AE2119" i="5"/>
  <c r="AD2119" i="5"/>
  <c r="E2119" i="5"/>
  <c r="AE2118" i="5"/>
  <c r="AD2118" i="5"/>
  <c r="E2118" i="5"/>
  <c r="AE2117" i="5"/>
  <c r="AD2117" i="5"/>
  <c r="E2117" i="5"/>
  <c r="AE2116" i="5"/>
  <c r="AD2116" i="5"/>
  <c r="E2116" i="5"/>
  <c r="AE2115" i="5"/>
  <c r="AD2115" i="5"/>
  <c r="E2115" i="5"/>
  <c r="AE2114" i="5"/>
  <c r="AD2114" i="5"/>
  <c r="E2114" i="5"/>
  <c r="AE2113" i="5"/>
  <c r="AD2113" i="5"/>
  <c r="E2113" i="5"/>
  <c r="AE2112" i="5"/>
  <c r="AD2112" i="5"/>
  <c r="E2112" i="5"/>
  <c r="AE2111" i="5"/>
  <c r="AD2111" i="5"/>
  <c r="E2111" i="5"/>
  <c r="AE2110" i="5"/>
  <c r="AD2110" i="5"/>
  <c r="E2110" i="5"/>
  <c r="AE2109" i="5"/>
  <c r="AD2109" i="5"/>
  <c r="E2109" i="5"/>
  <c r="AE2108" i="5"/>
  <c r="AD2108" i="5"/>
  <c r="E2108" i="5"/>
  <c r="AE2107" i="5"/>
  <c r="AD2107" i="5"/>
  <c r="E2107" i="5"/>
  <c r="AE2106" i="5"/>
  <c r="AD2106" i="5"/>
  <c r="E2106" i="5"/>
  <c r="AE2105" i="5"/>
  <c r="AD2105" i="5"/>
  <c r="E2105" i="5"/>
  <c r="AE2104" i="5"/>
  <c r="AD2104" i="5"/>
  <c r="E2104" i="5"/>
  <c r="AE2103" i="5"/>
  <c r="AD2103" i="5"/>
  <c r="E2103" i="5"/>
  <c r="AE2102" i="5"/>
  <c r="AD2102" i="5"/>
  <c r="E2102" i="5"/>
  <c r="AE2101" i="5"/>
  <c r="AD2101" i="5"/>
  <c r="E2101" i="5"/>
  <c r="AE2100" i="5"/>
  <c r="AD2100" i="5"/>
  <c r="E2100" i="5"/>
  <c r="AE2099" i="5"/>
  <c r="AD2099" i="5"/>
  <c r="E2099" i="5"/>
  <c r="AE2098" i="5"/>
  <c r="AD2098" i="5"/>
  <c r="E2098" i="5"/>
  <c r="AE2097" i="5"/>
  <c r="AD2097" i="5"/>
  <c r="E2097" i="5"/>
  <c r="AE2096" i="5"/>
  <c r="AD2096" i="5"/>
  <c r="E2096" i="5"/>
  <c r="AE2095" i="5"/>
  <c r="AD2095" i="5"/>
  <c r="E2095" i="5"/>
  <c r="AE2094" i="5"/>
  <c r="AD2094" i="5"/>
  <c r="E2094" i="5"/>
  <c r="AE2093" i="5"/>
  <c r="AD2093" i="5"/>
  <c r="E2093" i="5"/>
  <c r="AE2092" i="5"/>
  <c r="AD2092" i="5"/>
  <c r="E2092" i="5"/>
  <c r="AE2091" i="5"/>
  <c r="AD2091" i="5"/>
  <c r="E2091" i="5"/>
  <c r="AE2090" i="5"/>
  <c r="AD2090" i="5"/>
  <c r="E2090" i="5"/>
  <c r="AE2089" i="5"/>
  <c r="AD2089" i="5"/>
  <c r="E2089" i="5"/>
  <c r="AE2088" i="5"/>
  <c r="AD2088" i="5"/>
  <c r="E2088" i="5"/>
  <c r="AE2087" i="5"/>
  <c r="AD2087" i="5"/>
  <c r="E2087" i="5"/>
  <c r="AE2086" i="5"/>
  <c r="AD2086" i="5"/>
  <c r="E2086" i="5"/>
  <c r="AE2085" i="5"/>
  <c r="AD2085" i="5"/>
  <c r="E2085" i="5"/>
  <c r="AE2084" i="5"/>
  <c r="AD2084" i="5"/>
  <c r="E2084" i="5"/>
  <c r="AE2083" i="5"/>
  <c r="AD2083" i="5"/>
  <c r="E2083" i="5"/>
  <c r="AE2082" i="5"/>
  <c r="AD2082" i="5"/>
  <c r="E2082" i="5"/>
  <c r="AE2081" i="5"/>
  <c r="AD2081" i="5"/>
  <c r="E2081" i="5"/>
  <c r="AE2080" i="5"/>
  <c r="AD2080" i="5"/>
  <c r="E2080" i="5"/>
  <c r="AE2079" i="5"/>
  <c r="AD2079" i="5"/>
  <c r="E2079" i="5"/>
  <c r="AE2078" i="5"/>
  <c r="AD2078" i="5"/>
  <c r="E2078" i="5"/>
  <c r="AE2077" i="5"/>
  <c r="AD2077" i="5"/>
  <c r="E2077" i="5"/>
  <c r="AE2076" i="5"/>
  <c r="AD2076" i="5"/>
  <c r="E2076" i="5"/>
  <c r="AE2075" i="5"/>
  <c r="AD2075" i="5"/>
  <c r="E2075" i="5"/>
  <c r="AE2074" i="5"/>
  <c r="AD2074" i="5"/>
  <c r="E2074" i="5"/>
  <c r="AE2073" i="5"/>
  <c r="AD2073" i="5"/>
  <c r="E2073" i="5"/>
  <c r="AE2072" i="5"/>
  <c r="AD2072" i="5"/>
  <c r="E2072" i="5"/>
  <c r="AE2071" i="5"/>
  <c r="AD2071" i="5"/>
  <c r="E2071" i="5"/>
  <c r="AE2070" i="5"/>
  <c r="AD2070" i="5"/>
  <c r="E2070" i="5"/>
  <c r="AE2069" i="5"/>
  <c r="AD2069" i="5"/>
  <c r="E2069" i="5"/>
  <c r="AE2068" i="5"/>
  <c r="AD2068" i="5"/>
  <c r="E2068" i="5"/>
  <c r="AE2067" i="5"/>
  <c r="AD2067" i="5"/>
  <c r="E2067" i="5"/>
  <c r="AE2066" i="5"/>
  <c r="AD2066" i="5"/>
  <c r="E2066" i="5"/>
  <c r="AE2065" i="5"/>
  <c r="AD2065" i="5"/>
  <c r="E2065" i="5"/>
  <c r="AE2064" i="5"/>
  <c r="AD2064" i="5"/>
  <c r="E2064" i="5"/>
  <c r="AE2063" i="5"/>
  <c r="AD2063" i="5"/>
  <c r="E2063" i="5"/>
  <c r="AE2062" i="5"/>
  <c r="AD2062" i="5"/>
  <c r="E2062" i="5"/>
  <c r="AE2061" i="5"/>
  <c r="AD2061" i="5"/>
  <c r="E2061" i="5"/>
  <c r="AE2060" i="5"/>
  <c r="AD2060" i="5"/>
  <c r="E2060" i="5"/>
  <c r="AE2059" i="5"/>
  <c r="AD2059" i="5"/>
  <c r="E2059" i="5"/>
  <c r="AE2058" i="5"/>
  <c r="AD2058" i="5"/>
  <c r="E2058" i="5"/>
  <c r="AE2057" i="5"/>
  <c r="AD2057" i="5"/>
  <c r="E2057" i="5"/>
  <c r="AE2056" i="5"/>
  <c r="AD2056" i="5"/>
  <c r="E2056" i="5"/>
  <c r="AE2055" i="5"/>
  <c r="AD2055" i="5"/>
  <c r="E2055" i="5"/>
  <c r="AE2054" i="5"/>
  <c r="AD2054" i="5"/>
  <c r="E2054" i="5"/>
  <c r="AE2053" i="5"/>
  <c r="AD2053" i="5"/>
  <c r="E2053" i="5"/>
  <c r="AE2052" i="5"/>
  <c r="AD2052" i="5"/>
  <c r="E2052" i="5"/>
  <c r="AE2051" i="5"/>
  <c r="AD2051" i="5"/>
  <c r="E2051" i="5"/>
  <c r="AE2050" i="5"/>
  <c r="AD2050" i="5"/>
  <c r="E2050" i="5"/>
  <c r="AE2049" i="5"/>
  <c r="AD2049" i="5"/>
  <c r="E2049" i="5"/>
  <c r="AE2048" i="5"/>
  <c r="AD2048" i="5"/>
  <c r="E2048" i="5"/>
  <c r="AE2047" i="5"/>
  <c r="AD2047" i="5"/>
  <c r="E2047" i="5"/>
  <c r="AE2046" i="5"/>
  <c r="AD2046" i="5"/>
  <c r="E2046" i="5"/>
  <c r="AE2045" i="5"/>
  <c r="AD2045" i="5"/>
  <c r="E2045" i="5"/>
  <c r="AE2044" i="5"/>
  <c r="AD2044" i="5"/>
  <c r="E2044" i="5"/>
  <c r="AE2043" i="5"/>
  <c r="AD2043" i="5"/>
  <c r="E2043" i="5"/>
  <c r="AE2042" i="5"/>
  <c r="AD2042" i="5"/>
  <c r="E2042" i="5"/>
  <c r="AE2041" i="5"/>
  <c r="AD2041" i="5"/>
  <c r="E2041" i="5"/>
  <c r="AE2040" i="5"/>
  <c r="AD2040" i="5"/>
  <c r="E2040" i="5"/>
  <c r="AE2039" i="5"/>
  <c r="AD2039" i="5"/>
  <c r="E2039" i="5"/>
  <c r="AE2038" i="5"/>
  <c r="AD2038" i="5"/>
  <c r="E2038" i="5"/>
  <c r="AE2037" i="5"/>
  <c r="AD2037" i="5"/>
  <c r="E2037" i="5"/>
  <c r="AE2036" i="5"/>
  <c r="AD2036" i="5"/>
  <c r="E2036" i="5"/>
  <c r="AE2035" i="5"/>
  <c r="AD2035" i="5"/>
  <c r="E2035" i="5"/>
  <c r="AE2034" i="5"/>
  <c r="AD2034" i="5"/>
  <c r="E2034" i="5"/>
  <c r="AE2033" i="5"/>
  <c r="AD2033" i="5"/>
  <c r="E2033" i="5"/>
  <c r="AE2032" i="5"/>
  <c r="AD2032" i="5"/>
  <c r="E2032" i="5"/>
  <c r="AE2031" i="5"/>
  <c r="AD2031" i="5"/>
  <c r="E2031" i="5"/>
  <c r="AE2030" i="5"/>
  <c r="AD2030" i="5"/>
  <c r="E2030" i="5"/>
  <c r="AE2029" i="5"/>
  <c r="AD2029" i="5"/>
  <c r="E2029" i="5"/>
  <c r="AE2028" i="5"/>
  <c r="AD2028" i="5"/>
  <c r="E2028" i="5"/>
  <c r="AE2027" i="5"/>
  <c r="AD2027" i="5"/>
  <c r="E2027" i="5"/>
  <c r="AE2026" i="5"/>
  <c r="AD2026" i="5"/>
  <c r="E2026" i="5"/>
  <c r="AE2025" i="5"/>
  <c r="AD2025" i="5"/>
  <c r="E2025" i="5"/>
  <c r="AE2024" i="5"/>
  <c r="AD2024" i="5"/>
  <c r="E2024" i="5"/>
  <c r="AE2023" i="5"/>
  <c r="AD2023" i="5"/>
  <c r="E2023" i="5"/>
  <c r="AE2022" i="5"/>
  <c r="AD2022" i="5"/>
  <c r="E2022" i="5"/>
  <c r="AE2021" i="5"/>
  <c r="AD2021" i="5"/>
  <c r="E2021" i="5"/>
  <c r="AE2020" i="5"/>
  <c r="AD2020" i="5"/>
  <c r="E2020" i="5"/>
  <c r="AE2019" i="5"/>
  <c r="AD2019" i="5"/>
  <c r="E2019" i="5"/>
  <c r="AE2018" i="5"/>
  <c r="AD2018" i="5"/>
  <c r="E2018" i="5"/>
  <c r="AE2017" i="5"/>
  <c r="AD2017" i="5"/>
  <c r="E2017" i="5"/>
  <c r="AE2016" i="5"/>
  <c r="AD2016" i="5"/>
  <c r="E2016" i="5"/>
  <c r="AE2015" i="5"/>
  <c r="AD2015" i="5"/>
  <c r="E2015" i="5"/>
  <c r="AE2014" i="5"/>
  <c r="AD2014" i="5"/>
  <c r="E2014" i="5"/>
  <c r="AE2013" i="5"/>
  <c r="AD2013" i="5"/>
  <c r="E2013" i="5"/>
  <c r="AE2012" i="5"/>
  <c r="AD2012" i="5"/>
  <c r="E2012" i="5"/>
  <c r="AE2011" i="5"/>
  <c r="AD2011" i="5"/>
  <c r="E2011" i="5"/>
  <c r="AE2010" i="5"/>
  <c r="AD2010" i="5"/>
  <c r="E2010" i="5"/>
  <c r="AE2009" i="5"/>
  <c r="AD2009" i="5"/>
  <c r="E2009" i="5"/>
  <c r="AE2008" i="5"/>
  <c r="AD2008" i="5"/>
  <c r="E2008" i="5"/>
  <c r="AE2007" i="5"/>
  <c r="AD2007" i="5"/>
  <c r="E2007" i="5"/>
  <c r="AE2006" i="5"/>
  <c r="AD2006" i="5"/>
  <c r="E2006" i="5"/>
  <c r="AE2005" i="5"/>
  <c r="AD2005" i="5"/>
  <c r="E2005" i="5"/>
  <c r="AE2004" i="5"/>
  <c r="AD2004" i="5"/>
  <c r="E2004" i="5"/>
  <c r="AE2003" i="5"/>
  <c r="AD2003" i="5"/>
  <c r="E2003" i="5"/>
  <c r="AE2002" i="5"/>
  <c r="AD2002" i="5"/>
  <c r="E2002" i="5"/>
  <c r="AE2001" i="5"/>
  <c r="AD2001" i="5"/>
  <c r="E2001" i="5"/>
  <c r="AE2000" i="5"/>
  <c r="AD2000" i="5"/>
  <c r="E2000" i="5"/>
  <c r="AE1999" i="5"/>
  <c r="AD1999" i="5"/>
  <c r="E1999" i="5"/>
  <c r="AE1998" i="5"/>
  <c r="AD1998" i="5"/>
  <c r="E1998" i="5"/>
  <c r="AE1997" i="5"/>
  <c r="AD1997" i="5"/>
  <c r="E1997" i="5"/>
  <c r="AE1996" i="5"/>
  <c r="AD1996" i="5"/>
  <c r="E1996" i="5"/>
  <c r="AE1995" i="5"/>
  <c r="AD1995" i="5"/>
  <c r="E1995" i="5"/>
  <c r="AE1994" i="5"/>
  <c r="AD1994" i="5"/>
  <c r="E1994" i="5"/>
  <c r="AE1993" i="5"/>
  <c r="AD1993" i="5"/>
  <c r="E1993" i="5"/>
  <c r="AE1992" i="5"/>
  <c r="AD1992" i="5"/>
  <c r="E1992" i="5"/>
  <c r="AE1991" i="5"/>
  <c r="AD1991" i="5"/>
  <c r="E1991" i="5"/>
  <c r="AE1990" i="5"/>
  <c r="AD1990" i="5"/>
  <c r="E1990" i="5"/>
  <c r="AE1989" i="5"/>
  <c r="AD1989" i="5"/>
  <c r="E1989" i="5"/>
  <c r="AE1988" i="5"/>
  <c r="AD1988" i="5"/>
  <c r="E1988" i="5"/>
  <c r="AE1987" i="5"/>
  <c r="AD1987" i="5"/>
  <c r="E1987" i="5"/>
  <c r="AE1986" i="5"/>
  <c r="AD1986" i="5"/>
  <c r="E1986" i="5"/>
  <c r="AE1985" i="5"/>
  <c r="AD1985" i="5"/>
  <c r="E1985" i="5"/>
  <c r="AE1984" i="5"/>
  <c r="AD1984" i="5"/>
  <c r="E1984" i="5"/>
  <c r="AE1983" i="5"/>
  <c r="AD1983" i="5"/>
  <c r="E1983" i="5"/>
  <c r="AE1982" i="5"/>
  <c r="AD1982" i="5"/>
  <c r="E1982" i="5"/>
  <c r="AE1981" i="5"/>
  <c r="AD1981" i="5"/>
  <c r="E1981" i="5"/>
  <c r="AE1980" i="5"/>
  <c r="AD1980" i="5"/>
  <c r="E1980" i="5"/>
  <c r="AE1979" i="5"/>
  <c r="AD1979" i="5"/>
  <c r="E1979" i="5"/>
  <c r="AE1978" i="5"/>
  <c r="AD1978" i="5"/>
  <c r="E1978" i="5"/>
  <c r="AE1977" i="5"/>
  <c r="AD1977" i="5"/>
  <c r="E1977" i="5"/>
  <c r="AE1976" i="5"/>
  <c r="AD1976" i="5"/>
  <c r="E1976" i="5"/>
  <c r="AE1975" i="5"/>
  <c r="AD1975" i="5"/>
  <c r="E1975" i="5"/>
  <c r="AE1974" i="5"/>
  <c r="AD1974" i="5"/>
  <c r="E1974" i="5"/>
  <c r="AE1973" i="5"/>
  <c r="AD1973" i="5"/>
  <c r="E1973" i="5"/>
  <c r="AE1972" i="5"/>
  <c r="AD1972" i="5"/>
  <c r="E1972" i="5"/>
  <c r="AE1971" i="5"/>
  <c r="AD1971" i="5"/>
  <c r="E1971" i="5"/>
  <c r="AE1970" i="5"/>
  <c r="AD1970" i="5"/>
  <c r="E1970" i="5"/>
  <c r="AE1969" i="5"/>
  <c r="AD1969" i="5"/>
  <c r="E1969" i="5"/>
  <c r="AE1968" i="5"/>
  <c r="AD1968" i="5"/>
  <c r="E1968" i="5"/>
  <c r="AE1967" i="5"/>
  <c r="AD1967" i="5"/>
  <c r="E1967" i="5"/>
  <c r="AE1966" i="5"/>
  <c r="AD1966" i="5"/>
  <c r="E1966" i="5"/>
  <c r="AE1965" i="5"/>
  <c r="AD1965" i="5"/>
  <c r="E1965" i="5"/>
  <c r="AE1964" i="5"/>
  <c r="AD1964" i="5"/>
  <c r="E1964" i="5"/>
  <c r="AE1963" i="5"/>
  <c r="AD1963" i="5"/>
  <c r="E1963" i="5"/>
  <c r="AE1962" i="5"/>
  <c r="AD1962" i="5"/>
  <c r="E1962" i="5"/>
  <c r="AE1961" i="5"/>
  <c r="AD1961" i="5"/>
  <c r="E1961" i="5"/>
  <c r="AE1960" i="5"/>
  <c r="AD1960" i="5"/>
  <c r="E1960" i="5"/>
  <c r="AE1959" i="5"/>
  <c r="AD1959" i="5"/>
  <c r="E1959" i="5"/>
  <c r="AE1958" i="5"/>
  <c r="AD1958" i="5"/>
  <c r="E1958" i="5"/>
  <c r="AE1957" i="5"/>
  <c r="AD1957" i="5"/>
  <c r="E1957" i="5"/>
  <c r="AE1956" i="5"/>
  <c r="AD1956" i="5"/>
  <c r="E1956" i="5"/>
  <c r="AE1955" i="5"/>
  <c r="AD1955" i="5"/>
  <c r="E1955" i="5"/>
  <c r="AE1954" i="5"/>
  <c r="AD1954" i="5"/>
  <c r="E1954" i="5"/>
  <c r="AE1953" i="5"/>
  <c r="AD1953" i="5"/>
  <c r="E1953" i="5"/>
  <c r="AE1952" i="5"/>
  <c r="AD1952" i="5"/>
  <c r="E1952" i="5"/>
  <c r="AE1951" i="5"/>
  <c r="AD1951" i="5"/>
  <c r="E1951" i="5"/>
  <c r="AE1950" i="5"/>
  <c r="AD1950" i="5"/>
  <c r="E1950" i="5"/>
  <c r="AE1949" i="5"/>
  <c r="AD1949" i="5"/>
  <c r="E1949" i="5"/>
  <c r="AE1948" i="5"/>
  <c r="AD1948" i="5"/>
  <c r="E1948" i="5"/>
  <c r="AE1947" i="5"/>
  <c r="AD1947" i="5"/>
  <c r="E1947" i="5"/>
  <c r="AE1946" i="5"/>
  <c r="AD1946" i="5"/>
  <c r="E1946" i="5"/>
  <c r="AE1945" i="5"/>
  <c r="AD1945" i="5"/>
  <c r="E1945" i="5"/>
  <c r="AE1944" i="5"/>
  <c r="AD1944" i="5"/>
  <c r="E1944" i="5"/>
  <c r="AE1943" i="5"/>
  <c r="AD1943" i="5"/>
  <c r="E1943" i="5"/>
  <c r="AE1942" i="5"/>
  <c r="AD1942" i="5"/>
  <c r="E1942" i="5"/>
  <c r="AE1941" i="5"/>
  <c r="AD1941" i="5"/>
  <c r="E1941" i="5"/>
  <c r="AE1940" i="5"/>
  <c r="AD1940" i="5"/>
  <c r="E1940" i="5"/>
  <c r="AE1939" i="5"/>
  <c r="AD1939" i="5"/>
  <c r="E1939" i="5"/>
  <c r="AE1938" i="5"/>
  <c r="AD1938" i="5"/>
  <c r="E1938" i="5"/>
  <c r="AE1937" i="5"/>
  <c r="AD1937" i="5"/>
  <c r="E1937" i="5"/>
  <c r="AE1936" i="5"/>
  <c r="AD1936" i="5"/>
  <c r="E1936" i="5"/>
  <c r="AE1935" i="5"/>
  <c r="AD1935" i="5"/>
  <c r="E1935" i="5"/>
  <c r="AE1934" i="5"/>
  <c r="AD1934" i="5"/>
  <c r="E1934" i="5"/>
  <c r="AE1933" i="5"/>
  <c r="AD1933" i="5"/>
  <c r="E1933" i="5"/>
  <c r="AE1932" i="5"/>
  <c r="AD1932" i="5"/>
  <c r="E1932" i="5"/>
  <c r="AE1931" i="5"/>
  <c r="AD1931" i="5"/>
  <c r="E1931" i="5"/>
  <c r="AE1930" i="5"/>
  <c r="AD1930" i="5"/>
  <c r="E1930" i="5"/>
  <c r="AE1929" i="5"/>
  <c r="AD1929" i="5"/>
  <c r="E1929" i="5"/>
  <c r="AE1928" i="5"/>
  <c r="AD1928" i="5"/>
  <c r="E1928" i="5"/>
  <c r="AE1927" i="5"/>
  <c r="AD1927" i="5"/>
  <c r="E1927" i="5"/>
  <c r="AE1926" i="5"/>
  <c r="AD1926" i="5"/>
  <c r="E1926" i="5"/>
  <c r="AE1925" i="5"/>
  <c r="AD1925" i="5"/>
  <c r="E1925" i="5"/>
  <c r="AE1924" i="5"/>
  <c r="AD1924" i="5"/>
  <c r="E1924" i="5"/>
  <c r="AE1923" i="5"/>
  <c r="AD1923" i="5"/>
  <c r="E1923" i="5"/>
  <c r="AE1922" i="5"/>
  <c r="AD1922" i="5"/>
  <c r="E1922" i="5"/>
  <c r="AE1921" i="5"/>
  <c r="AD1921" i="5"/>
  <c r="E1921" i="5"/>
  <c r="AE1920" i="5"/>
  <c r="AD1920" i="5"/>
  <c r="E1920" i="5"/>
  <c r="AE1919" i="5"/>
  <c r="AD1919" i="5"/>
  <c r="E1919" i="5"/>
  <c r="AE1918" i="5"/>
  <c r="AD1918" i="5"/>
  <c r="E1918" i="5"/>
  <c r="AE1917" i="5"/>
  <c r="AD1917" i="5"/>
  <c r="E1917" i="5"/>
  <c r="AE1916" i="5"/>
  <c r="AD1916" i="5"/>
  <c r="E1916" i="5"/>
  <c r="AE1915" i="5"/>
  <c r="AD1915" i="5"/>
  <c r="E1915" i="5"/>
  <c r="AE1914" i="5"/>
  <c r="AD1914" i="5"/>
  <c r="E1914" i="5"/>
  <c r="AE1913" i="5"/>
  <c r="AD1913" i="5"/>
  <c r="E1913" i="5"/>
  <c r="AE1912" i="5"/>
  <c r="AD1912" i="5"/>
  <c r="E1912" i="5"/>
  <c r="AE1911" i="5"/>
  <c r="AD1911" i="5"/>
  <c r="E1911" i="5"/>
  <c r="AE1910" i="5"/>
  <c r="AD1910" i="5"/>
  <c r="E1910" i="5"/>
  <c r="AE1909" i="5"/>
  <c r="AD1909" i="5"/>
  <c r="E1909" i="5"/>
  <c r="AE1908" i="5"/>
  <c r="AD1908" i="5"/>
  <c r="E1908" i="5"/>
  <c r="AE1907" i="5"/>
  <c r="AD1907" i="5"/>
  <c r="E1907" i="5"/>
  <c r="AE1906" i="5"/>
  <c r="AD1906" i="5"/>
  <c r="E1906" i="5"/>
  <c r="AE1905" i="5"/>
  <c r="AD1905" i="5"/>
  <c r="E1905" i="5"/>
  <c r="AE1904" i="5"/>
  <c r="AD1904" i="5"/>
  <c r="E1904" i="5"/>
  <c r="AE1903" i="5"/>
  <c r="AD1903" i="5"/>
  <c r="E1903" i="5"/>
  <c r="AE1902" i="5"/>
  <c r="AD1902" i="5"/>
  <c r="E1902" i="5"/>
  <c r="AE1901" i="5"/>
  <c r="AD1901" i="5"/>
  <c r="E1901" i="5"/>
  <c r="AE1900" i="5"/>
  <c r="AD1900" i="5"/>
  <c r="E1900" i="5"/>
  <c r="AE1899" i="5"/>
  <c r="AD1899" i="5"/>
  <c r="E1899" i="5"/>
  <c r="AE1898" i="5"/>
  <c r="AD1898" i="5"/>
  <c r="E1898" i="5"/>
  <c r="AE1897" i="5"/>
  <c r="AD1897" i="5"/>
  <c r="E1897" i="5"/>
  <c r="AE1896" i="5"/>
  <c r="AD1896" i="5"/>
  <c r="E1896" i="5"/>
  <c r="AE1895" i="5"/>
  <c r="AD1895" i="5"/>
  <c r="E1895" i="5"/>
  <c r="AE1894" i="5"/>
  <c r="AD1894" i="5"/>
  <c r="E1894" i="5"/>
  <c r="AE1893" i="5"/>
  <c r="AD1893" i="5"/>
  <c r="E1893" i="5"/>
  <c r="AE1892" i="5"/>
  <c r="AD1892" i="5"/>
  <c r="E1892" i="5"/>
  <c r="AE1891" i="5"/>
  <c r="AD1891" i="5"/>
  <c r="E1891" i="5"/>
  <c r="AE1890" i="5"/>
  <c r="AD1890" i="5"/>
  <c r="E1890" i="5"/>
  <c r="AE1889" i="5"/>
  <c r="AD1889" i="5"/>
  <c r="E1889" i="5"/>
  <c r="AE1888" i="5"/>
  <c r="AD1888" i="5"/>
  <c r="E1888" i="5"/>
  <c r="AE1887" i="5"/>
  <c r="AD1887" i="5"/>
  <c r="E1887" i="5"/>
  <c r="AE1886" i="5"/>
  <c r="AD1886" i="5"/>
  <c r="E1886" i="5"/>
  <c r="AE1885" i="5"/>
  <c r="AD1885" i="5"/>
  <c r="E1885" i="5"/>
  <c r="AE1884" i="5"/>
  <c r="AD1884" i="5"/>
  <c r="E1884" i="5"/>
  <c r="AE1883" i="5"/>
  <c r="AD1883" i="5"/>
  <c r="E1883" i="5"/>
  <c r="AE1882" i="5"/>
  <c r="AD1882" i="5"/>
  <c r="E1882" i="5"/>
  <c r="AE1881" i="5"/>
  <c r="AD1881" i="5"/>
  <c r="E1881" i="5"/>
  <c r="AE1880" i="5"/>
  <c r="AD1880" i="5"/>
  <c r="E1880" i="5"/>
  <c r="AE1879" i="5"/>
  <c r="AD1879" i="5"/>
  <c r="E1879" i="5"/>
  <c r="AE1878" i="5"/>
  <c r="AD1878" i="5"/>
  <c r="E1878" i="5"/>
  <c r="AE1877" i="5"/>
  <c r="AD1877" i="5"/>
  <c r="E1877" i="5"/>
  <c r="AE1876" i="5"/>
  <c r="AD1876" i="5"/>
  <c r="E1876" i="5"/>
  <c r="AE1875" i="5"/>
  <c r="AD1875" i="5"/>
  <c r="E1875" i="5"/>
  <c r="AE1874" i="5"/>
  <c r="AD1874" i="5"/>
  <c r="E1874" i="5"/>
  <c r="AE1873" i="5"/>
  <c r="AD1873" i="5"/>
  <c r="E1873" i="5"/>
  <c r="AE1872" i="5"/>
  <c r="AD1872" i="5"/>
  <c r="E1872" i="5"/>
  <c r="AE1871" i="5"/>
  <c r="AD1871" i="5"/>
  <c r="E1871" i="5"/>
  <c r="AE1870" i="5"/>
  <c r="AD1870" i="5"/>
  <c r="E1870" i="5"/>
  <c r="AE1869" i="5"/>
  <c r="AD1869" i="5"/>
  <c r="E1869" i="5"/>
  <c r="AE1868" i="5"/>
  <c r="AD1868" i="5"/>
  <c r="E1868" i="5"/>
  <c r="AE1867" i="5"/>
  <c r="AD1867" i="5"/>
  <c r="E1867" i="5"/>
  <c r="AE1866" i="5"/>
  <c r="AD1866" i="5"/>
  <c r="E1866" i="5"/>
  <c r="AE1865" i="5"/>
  <c r="AD1865" i="5"/>
  <c r="E1865" i="5"/>
  <c r="AE1864" i="5"/>
  <c r="AD1864" i="5"/>
  <c r="E1864" i="5"/>
  <c r="AE1863" i="5"/>
  <c r="AD1863" i="5"/>
  <c r="E1863" i="5"/>
  <c r="AE1862" i="5"/>
  <c r="AD1862" i="5"/>
  <c r="E1862" i="5"/>
  <c r="AE1861" i="5"/>
  <c r="AD1861" i="5"/>
  <c r="E1861" i="5"/>
  <c r="AE1860" i="5"/>
  <c r="AD1860" i="5"/>
  <c r="E1860" i="5"/>
  <c r="AE1859" i="5"/>
  <c r="AD1859" i="5"/>
  <c r="E1859" i="5"/>
  <c r="AE1858" i="5"/>
  <c r="AD1858" i="5"/>
  <c r="E1858" i="5"/>
  <c r="AE1857" i="5"/>
  <c r="AD1857" i="5"/>
  <c r="E1857" i="5"/>
  <c r="AE1856" i="5"/>
  <c r="AD1856" i="5"/>
  <c r="E1856" i="5"/>
  <c r="AE1855" i="5"/>
  <c r="AD1855" i="5"/>
  <c r="E1855" i="5"/>
  <c r="AE1854" i="5"/>
  <c r="AD1854" i="5"/>
  <c r="E1854" i="5"/>
  <c r="AE1853" i="5"/>
  <c r="AD1853" i="5"/>
  <c r="E1853" i="5"/>
  <c r="AE1852" i="5"/>
  <c r="AD1852" i="5"/>
  <c r="E1852" i="5"/>
  <c r="AE1851" i="5"/>
  <c r="AD1851" i="5"/>
  <c r="E1851" i="5"/>
  <c r="AE1850" i="5"/>
  <c r="AD1850" i="5"/>
  <c r="E1850" i="5"/>
  <c r="AE1849" i="5"/>
  <c r="AD1849" i="5"/>
  <c r="E1849" i="5"/>
  <c r="AE1848" i="5"/>
  <c r="AD1848" i="5"/>
  <c r="E1848" i="5"/>
  <c r="AE1847" i="5"/>
  <c r="AD1847" i="5"/>
  <c r="E1847" i="5"/>
  <c r="AE1846" i="5"/>
  <c r="AD1846" i="5"/>
  <c r="E1846" i="5"/>
  <c r="AE1845" i="5"/>
  <c r="AD1845" i="5"/>
  <c r="E1845" i="5"/>
  <c r="AE1844" i="5"/>
  <c r="AD1844" i="5"/>
  <c r="E1844" i="5"/>
  <c r="AE1843" i="5"/>
  <c r="AD1843" i="5"/>
  <c r="E1843" i="5"/>
  <c r="AE1842" i="5"/>
  <c r="AD1842" i="5"/>
  <c r="E1842" i="5"/>
  <c r="AE1841" i="5"/>
  <c r="AD1841" i="5"/>
  <c r="E1841" i="5"/>
  <c r="AE1840" i="5"/>
  <c r="AD1840" i="5"/>
  <c r="E1840" i="5"/>
  <c r="AE1839" i="5"/>
  <c r="AD1839" i="5"/>
  <c r="E1839" i="5"/>
  <c r="AE1838" i="5"/>
  <c r="AD1838" i="5"/>
  <c r="E1838" i="5"/>
  <c r="AE1837" i="5"/>
  <c r="AD1837" i="5"/>
  <c r="E1837" i="5"/>
  <c r="AE1836" i="5"/>
  <c r="AD1836" i="5"/>
  <c r="E1836" i="5"/>
  <c r="AE1835" i="5"/>
  <c r="AD1835" i="5"/>
  <c r="E1835" i="5"/>
  <c r="AE1834" i="5"/>
  <c r="AD1834" i="5"/>
  <c r="E1834" i="5"/>
  <c r="AE1833" i="5"/>
  <c r="AD1833" i="5"/>
  <c r="E1833" i="5"/>
  <c r="AE1832" i="5"/>
  <c r="AD1832" i="5"/>
  <c r="E1832" i="5"/>
  <c r="AE1831" i="5"/>
  <c r="AD1831" i="5"/>
  <c r="E1831" i="5"/>
  <c r="AE1830" i="5"/>
  <c r="AD1830" i="5"/>
  <c r="E1830" i="5"/>
  <c r="AE1829" i="5"/>
  <c r="AD1829" i="5"/>
  <c r="E1829" i="5"/>
  <c r="AE1828" i="5"/>
  <c r="AD1828" i="5"/>
  <c r="E1828" i="5"/>
  <c r="AE1827" i="5"/>
  <c r="AD1827" i="5"/>
  <c r="E1827" i="5"/>
  <c r="AE1826" i="5"/>
  <c r="AD1826" i="5"/>
  <c r="E1826" i="5"/>
  <c r="AE1825" i="5"/>
  <c r="AD1825" i="5"/>
  <c r="E1825" i="5"/>
  <c r="AE1824" i="5"/>
  <c r="AD1824" i="5"/>
  <c r="E1824" i="5"/>
  <c r="AE1823" i="5"/>
  <c r="AD1823" i="5"/>
  <c r="E1823" i="5"/>
  <c r="AE1822" i="5"/>
  <c r="AD1822" i="5"/>
  <c r="E1822" i="5"/>
  <c r="AE1821" i="5"/>
  <c r="AD1821" i="5"/>
  <c r="E1821" i="5"/>
  <c r="AE1820" i="5"/>
  <c r="AD1820" i="5"/>
  <c r="E1820" i="5"/>
  <c r="AE1819" i="5"/>
  <c r="AD1819" i="5"/>
  <c r="E1819" i="5"/>
  <c r="AE1818" i="5"/>
  <c r="AD1818" i="5"/>
  <c r="E1818" i="5"/>
  <c r="AE1817" i="5"/>
  <c r="AD1817" i="5"/>
  <c r="E1817" i="5"/>
  <c r="AE1816" i="5"/>
  <c r="AD1816" i="5"/>
  <c r="E1816" i="5"/>
  <c r="AE1815" i="5"/>
  <c r="AD1815" i="5"/>
  <c r="E1815" i="5"/>
  <c r="AE1814" i="5"/>
  <c r="AD1814" i="5"/>
  <c r="E1814" i="5"/>
  <c r="AE1813" i="5"/>
  <c r="AD1813" i="5"/>
  <c r="E1813" i="5"/>
  <c r="AE1812" i="5"/>
  <c r="AD1812" i="5"/>
  <c r="E1812" i="5"/>
  <c r="AE1811" i="5"/>
  <c r="AD1811" i="5"/>
  <c r="E1811" i="5"/>
  <c r="AE1810" i="5"/>
  <c r="AD1810" i="5"/>
  <c r="E1810" i="5"/>
  <c r="AE1809" i="5"/>
  <c r="AD1809" i="5"/>
  <c r="E1809" i="5"/>
  <c r="AE1808" i="5"/>
  <c r="AD1808" i="5"/>
  <c r="E1808" i="5"/>
  <c r="AE1807" i="5"/>
  <c r="AD1807" i="5"/>
  <c r="E1807" i="5"/>
  <c r="AE1806" i="5"/>
  <c r="AD1806" i="5"/>
  <c r="E1806" i="5"/>
  <c r="AE1805" i="5"/>
  <c r="AD1805" i="5"/>
  <c r="E1805" i="5"/>
  <c r="AE1804" i="5"/>
  <c r="AD1804" i="5"/>
  <c r="E1804" i="5"/>
  <c r="AE1803" i="5"/>
  <c r="AD1803" i="5"/>
  <c r="E1803" i="5"/>
  <c r="AE1802" i="5"/>
  <c r="AD1802" i="5"/>
  <c r="E1802" i="5"/>
  <c r="AE1801" i="5"/>
  <c r="AD1801" i="5"/>
  <c r="E1801" i="5"/>
  <c r="AE1800" i="5"/>
  <c r="AD1800" i="5"/>
  <c r="E1800" i="5"/>
  <c r="AE1799" i="5"/>
  <c r="AD1799" i="5"/>
  <c r="E1799" i="5"/>
  <c r="AE1798" i="5"/>
  <c r="AD1798" i="5"/>
  <c r="E1798" i="5"/>
  <c r="AE1797" i="5"/>
  <c r="AD1797" i="5"/>
  <c r="E1797" i="5"/>
  <c r="AE1796" i="5"/>
  <c r="AD1796" i="5"/>
  <c r="E1796" i="5"/>
  <c r="AE1795" i="5"/>
  <c r="AD1795" i="5"/>
  <c r="E1795" i="5"/>
  <c r="AE1794" i="5"/>
  <c r="AD1794" i="5"/>
  <c r="E1794" i="5"/>
  <c r="AE1793" i="5"/>
  <c r="AD1793" i="5"/>
  <c r="E1793" i="5"/>
  <c r="AE1792" i="5"/>
  <c r="AD1792" i="5"/>
  <c r="E1792" i="5"/>
  <c r="AE1791" i="5"/>
  <c r="AD1791" i="5"/>
  <c r="E1791" i="5"/>
  <c r="AE1790" i="5"/>
  <c r="AD1790" i="5"/>
  <c r="E1790" i="5"/>
  <c r="AE1789" i="5"/>
  <c r="AD1789" i="5"/>
  <c r="E1789" i="5"/>
  <c r="AE1788" i="5"/>
  <c r="AD1788" i="5"/>
  <c r="E1788" i="5"/>
  <c r="AE1787" i="5"/>
  <c r="AD1787" i="5"/>
  <c r="E1787" i="5"/>
  <c r="AE1786" i="5"/>
  <c r="AD1786" i="5"/>
  <c r="E1786" i="5"/>
  <c r="AE1785" i="5"/>
  <c r="AD1785" i="5"/>
  <c r="E1785" i="5"/>
  <c r="AE1784" i="5"/>
  <c r="AD1784" i="5"/>
  <c r="E1784" i="5"/>
  <c r="AE1783" i="5"/>
  <c r="AD1783" i="5"/>
  <c r="E1783" i="5"/>
  <c r="AE1782" i="5"/>
  <c r="AD1782" i="5"/>
  <c r="E1782" i="5"/>
  <c r="AE1781" i="5"/>
  <c r="AD1781" i="5"/>
  <c r="E1781" i="5"/>
  <c r="AE1780" i="5"/>
  <c r="AD1780" i="5"/>
  <c r="E1780" i="5"/>
  <c r="AE1779" i="5"/>
  <c r="AD1779" i="5"/>
  <c r="E1779" i="5"/>
  <c r="AE1778" i="5"/>
  <c r="AD1778" i="5"/>
  <c r="E1778" i="5"/>
  <c r="AE1777" i="5"/>
  <c r="AD1777" i="5"/>
  <c r="E1777" i="5"/>
  <c r="AE1776" i="5"/>
  <c r="AD1776" i="5"/>
  <c r="E1776" i="5"/>
  <c r="AE1775" i="5"/>
  <c r="AD1775" i="5"/>
  <c r="E1775" i="5"/>
  <c r="AE1774" i="5"/>
  <c r="AD1774" i="5"/>
  <c r="E1774" i="5"/>
  <c r="AE1773" i="5"/>
  <c r="AD1773" i="5"/>
  <c r="E1773" i="5"/>
  <c r="AE1772" i="5"/>
  <c r="AD1772" i="5"/>
  <c r="E1772" i="5"/>
  <c r="AE1771" i="5"/>
  <c r="AD1771" i="5"/>
  <c r="E1771" i="5"/>
  <c r="AE1770" i="5"/>
  <c r="AD1770" i="5"/>
  <c r="E1770" i="5"/>
  <c r="AE1769" i="5"/>
  <c r="AD1769" i="5"/>
  <c r="E1769" i="5"/>
  <c r="AE1768" i="5"/>
  <c r="AD1768" i="5"/>
  <c r="E1768" i="5"/>
  <c r="AE1767" i="5"/>
  <c r="AD1767" i="5"/>
  <c r="E1767" i="5"/>
  <c r="AE1766" i="5"/>
  <c r="AD1766" i="5"/>
  <c r="E1766" i="5"/>
  <c r="AE1765" i="5"/>
  <c r="AD1765" i="5"/>
  <c r="E1765" i="5"/>
  <c r="AE1764" i="5"/>
  <c r="AD1764" i="5"/>
  <c r="E1764" i="5"/>
  <c r="AE1763" i="5"/>
  <c r="AD1763" i="5"/>
  <c r="E1763" i="5"/>
  <c r="AE1762" i="5"/>
  <c r="AD1762" i="5"/>
  <c r="E1762" i="5"/>
  <c r="AE1761" i="5"/>
  <c r="AD1761" i="5"/>
  <c r="E1761" i="5"/>
  <c r="AE1760" i="5"/>
  <c r="AD1760" i="5"/>
  <c r="E1760" i="5"/>
  <c r="AE1759" i="5"/>
  <c r="AD1759" i="5"/>
  <c r="E1759" i="5"/>
  <c r="AE1758" i="5"/>
  <c r="AD1758" i="5"/>
  <c r="E1758" i="5"/>
  <c r="AE1757" i="5"/>
  <c r="AD1757" i="5"/>
  <c r="E1757" i="5"/>
  <c r="AE1756" i="5"/>
  <c r="AD1756" i="5"/>
  <c r="E1756" i="5"/>
  <c r="AE1755" i="5"/>
  <c r="AD1755" i="5"/>
  <c r="E1755" i="5"/>
  <c r="AE1754" i="5"/>
  <c r="AD1754" i="5"/>
  <c r="E1754" i="5"/>
  <c r="AE1753" i="5"/>
  <c r="AD1753" i="5"/>
  <c r="E1753" i="5"/>
  <c r="AE1752" i="5"/>
  <c r="AD1752" i="5"/>
  <c r="E1752" i="5"/>
  <c r="AE1751" i="5"/>
  <c r="AD1751" i="5"/>
  <c r="E1751" i="5"/>
  <c r="AE1750" i="5"/>
  <c r="AD1750" i="5"/>
  <c r="E1750" i="5"/>
  <c r="AE1749" i="5"/>
  <c r="AD1749" i="5"/>
  <c r="E1749" i="5"/>
  <c r="AE1748" i="5"/>
  <c r="AD1748" i="5"/>
  <c r="E1748" i="5"/>
  <c r="AE1747" i="5"/>
  <c r="AD1747" i="5"/>
  <c r="E1747" i="5"/>
  <c r="AE1746" i="5"/>
  <c r="AD1746" i="5"/>
  <c r="E1746" i="5"/>
  <c r="AE1745" i="5"/>
  <c r="AD1745" i="5"/>
  <c r="E1745" i="5"/>
  <c r="AE1744" i="5"/>
  <c r="AD1744" i="5"/>
  <c r="E1744" i="5"/>
  <c r="AE1743" i="5"/>
  <c r="AD1743" i="5"/>
  <c r="E1743" i="5"/>
  <c r="AE1742" i="5"/>
  <c r="AD1742" i="5"/>
  <c r="E1742" i="5"/>
  <c r="AE1741" i="5"/>
  <c r="AD1741" i="5"/>
  <c r="E1741" i="5"/>
  <c r="AE1740" i="5"/>
  <c r="AD1740" i="5"/>
  <c r="E1740" i="5"/>
  <c r="AE1739" i="5"/>
  <c r="AD1739" i="5"/>
  <c r="E1739" i="5"/>
  <c r="AE1738" i="5"/>
  <c r="AD1738" i="5"/>
  <c r="E1738" i="5"/>
  <c r="AE1737" i="5"/>
  <c r="AD1737" i="5"/>
  <c r="E1737" i="5"/>
  <c r="AE1736" i="5"/>
  <c r="AD1736" i="5"/>
  <c r="E1736" i="5"/>
  <c r="AE1735" i="5"/>
  <c r="AD1735" i="5"/>
  <c r="E1735" i="5"/>
  <c r="AE1734" i="5"/>
  <c r="AD1734" i="5"/>
  <c r="E1734" i="5"/>
  <c r="AE1733" i="5"/>
  <c r="AD1733" i="5"/>
  <c r="E1733" i="5"/>
  <c r="AE1732" i="5"/>
  <c r="AD1732" i="5"/>
  <c r="E1732" i="5"/>
  <c r="AE1731" i="5"/>
  <c r="AD1731" i="5"/>
  <c r="E1731" i="5"/>
  <c r="AE1730" i="5"/>
  <c r="AD1730" i="5"/>
  <c r="E1730" i="5"/>
  <c r="AE1729" i="5"/>
  <c r="AD1729" i="5"/>
  <c r="E1729" i="5"/>
  <c r="AE1728" i="5"/>
  <c r="AD1728" i="5"/>
  <c r="E1728" i="5"/>
  <c r="AE1727" i="5"/>
  <c r="AD1727" i="5"/>
  <c r="E1727" i="5"/>
  <c r="AE1726" i="5"/>
  <c r="AD1726" i="5"/>
  <c r="E1726" i="5"/>
  <c r="AE1725" i="5"/>
  <c r="AD1725" i="5"/>
  <c r="E1725" i="5"/>
  <c r="AE1724" i="5"/>
  <c r="AD1724" i="5"/>
  <c r="E1724" i="5"/>
  <c r="AE1723" i="5"/>
  <c r="AD1723" i="5"/>
  <c r="E1723" i="5"/>
  <c r="AE1722" i="5"/>
  <c r="AD1722" i="5"/>
  <c r="E1722" i="5"/>
  <c r="AE1721" i="5"/>
  <c r="AD1721" i="5"/>
  <c r="E1721" i="5"/>
  <c r="AE1720" i="5"/>
  <c r="AD1720" i="5"/>
  <c r="E1720" i="5"/>
  <c r="AE1719" i="5"/>
  <c r="AD1719" i="5"/>
  <c r="E1719" i="5"/>
  <c r="AE1718" i="5"/>
  <c r="AD1718" i="5"/>
  <c r="E1718" i="5"/>
  <c r="AE1717" i="5"/>
  <c r="AD1717" i="5"/>
  <c r="E1717" i="5"/>
  <c r="AE1716" i="5"/>
  <c r="AD1716" i="5"/>
  <c r="E1716" i="5"/>
  <c r="AE1715" i="5"/>
  <c r="AD1715" i="5"/>
  <c r="E1715" i="5"/>
  <c r="AE1714" i="5"/>
  <c r="AD1714" i="5"/>
  <c r="E1714" i="5"/>
  <c r="AE1713" i="5"/>
  <c r="AD1713" i="5"/>
  <c r="E1713" i="5"/>
  <c r="AE1712" i="5"/>
  <c r="AD1712" i="5"/>
  <c r="E1712" i="5"/>
  <c r="AE1711" i="5"/>
  <c r="AD1711" i="5"/>
  <c r="E1711" i="5"/>
  <c r="AE1710" i="5"/>
  <c r="AD1710" i="5"/>
  <c r="E1710" i="5"/>
  <c r="AE1709" i="5"/>
  <c r="AD1709" i="5"/>
  <c r="E1709" i="5"/>
  <c r="AE1708" i="5"/>
  <c r="AD1708" i="5"/>
  <c r="E1708" i="5"/>
  <c r="AE1707" i="5"/>
  <c r="AD1707" i="5"/>
  <c r="E1707" i="5"/>
  <c r="AE1706" i="5"/>
  <c r="AD1706" i="5"/>
  <c r="E1706" i="5"/>
  <c r="AE1705" i="5"/>
  <c r="AD1705" i="5"/>
  <c r="E1705" i="5"/>
  <c r="AE1704" i="5"/>
  <c r="AD1704" i="5"/>
  <c r="E1704" i="5"/>
  <c r="AE1703" i="5"/>
  <c r="AD1703" i="5"/>
  <c r="E1703" i="5"/>
  <c r="AE1702" i="5"/>
  <c r="AD1702" i="5"/>
  <c r="E1702" i="5"/>
  <c r="AE1701" i="5"/>
  <c r="AD1701" i="5"/>
  <c r="E1701" i="5"/>
  <c r="AE1700" i="5"/>
  <c r="AD1700" i="5"/>
  <c r="E1700" i="5"/>
  <c r="AE1699" i="5"/>
  <c r="AD1699" i="5"/>
  <c r="E1699" i="5"/>
  <c r="AE1698" i="5"/>
  <c r="AD1698" i="5"/>
  <c r="E1698" i="5"/>
  <c r="AE1697" i="5"/>
  <c r="AD1697" i="5"/>
  <c r="E1697" i="5"/>
  <c r="AE1696" i="5"/>
  <c r="AD1696" i="5"/>
  <c r="E1696" i="5"/>
  <c r="AE1695" i="5"/>
  <c r="AD1695" i="5"/>
  <c r="E1695" i="5"/>
  <c r="AE1694" i="5"/>
  <c r="AD1694" i="5"/>
  <c r="E1694" i="5"/>
  <c r="AE1693" i="5"/>
  <c r="AD1693" i="5"/>
  <c r="E1693" i="5"/>
  <c r="AE1692" i="5"/>
  <c r="AD1692" i="5"/>
  <c r="E1692" i="5"/>
  <c r="AE1691" i="5"/>
  <c r="AD1691" i="5"/>
  <c r="E1691" i="5"/>
  <c r="AE1690" i="5"/>
  <c r="AD1690" i="5"/>
  <c r="E1690" i="5"/>
  <c r="AE1689" i="5"/>
  <c r="AD1689" i="5"/>
  <c r="E1689" i="5"/>
  <c r="AE1688" i="5"/>
  <c r="AD1688" i="5"/>
  <c r="E1688" i="5"/>
  <c r="AE1687" i="5"/>
  <c r="AD1687" i="5"/>
  <c r="E1687" i="5"/>
  <c r="AE1686" i="5"/>
  <c r="AD1686" i="5"/>
  <c r="E1686" i="5"/>
  <c r="AE1685" i="5"/>
  <c r="AD1685" i="5"/>
  <c r="E1685" i="5"/>
  <c r="AE1684" i="5"/>
  <c r="AD1684" i="5"/>
  <c r="E1684" i="5"/>
  <c r="AE1683" i="5"/>
  <c r="AD1683" i="5"/>
  <c r="E1683" i="5"/>
  <c r="AE1682" i="5"/>
  <c r="AD1682" i="5"/>
  <c r="E1682" i="5"/>
  <c r="AE1681" i="5"/>
  <c r="AD1681" i="5"/>
  <c r="E1681" i="5"/>
  <c r="AE1680" i="5"/>
  <c r="AD1680" i="5"/>
  <c r="E1680" i="5"/>
  <c r="AE1679" i="5"/>
  <c r="AD1679" i="5"/>
  <c r="E1679" i="5"/>
  <c r="AE1678" i="5"/>
  <c r="AD1678" i="5"/>
  <c r="E1678" i="5"/>
  <c r="AE1677" i="5"/>
  <c r="AD1677" i="5"/>
  <c r="E1677" i="5"/>
  <c r="AE1676" i="5"/>
  <c r="AD1676" i="5"/>
  <c r="E1676" i="5"/>
  <c r="AE1675" i="5"/>
  <c r="AD1675" i="5"/>
  <c r="E1675" i="5"/>
  <c r="AE1674" i="5"/>
  <c r="AD1674" i="5"/>
  <c r="E1674" i="5"/>
  <c r="AE1673" i="5"/>
  <c r="AD1673" i="5"/>
  <c r="E1673" i="5"/>
  <c r="AE1672" i="5"/>
  <c r="AD1672" i="5"/>
  <c r="E1672" i="5"/>
  <c r="AE1671" i="5"/>
  <c r="AD1671" i="5"/>
  <c r="E1671" i="5"/>
  <c r="AE1670" i="5"/>
  <c r="AD1670" i="5"/>
  <c r="E1670" i="5"/>
  <c r="AE1669" i="5"/>
  <c r="AD1669" i="5"/>
  <c r="E1669" i="5"/>
  <c r="AE1668" i="5"/>
  <c r="AD1668" i="5"/>
  <c r="E1668" i="5"/>
  <c r="AE1667" i="5"/>
  <c r="AD1667" i="5"/>
  <c r="E1667" i="5"/>
  <c r="AE1666" i="5"/>
  <c r="AD1666" i="5"/>
  <c r="E1666" i="5"/>
  <c r="AE1665" i="5"/>
  <c r="AD1665" i="5"/>
  <c r="E1665" i="5"/>
  <c r="AE1664" i="5"/>
  <c r="AD1664" i="5"/>
  <c r="E1664" i="5"/>
  <c r="AE1663" i="5"/>
  <c r="AD1663" i="5"/>
  <c r="E1663" i="5"/>
  <c r="AE1662" i="5"/>
  <c r="AD1662" i="5"/>
  <c r="E1662" i="5"/>
  <c r="AE1661" i="5"/>
  <c r="AD1661" i="5"/>
  <c r="E1661" i="5"/>
  <c r="AE1660" i="5"/>
  <c r="AD1660" i="5"/>
  <c r="E1660" i="5"/>
  <c r="AE1659" i="5"/>
  <c r="AD1659" i="5"/>
  <c r="E1659" i="5"/>
  <c r="AE1658" i="5"/>
  <c r="AD1658" i="5"/>
  <c r="E1658" i="5"/>
  <c r="AE1657" i="5"/>
  <c r="AD1657" i="5"/>
  <c r="E1657" i="5"/>
  <c r="AE1656" i="5"/>
  <c r="AD1656" i="5"/>
  <c r="E1656" i="5"/>
  <c r="AE1655" i="5"/>
  <c r="AD1655" i="5"/>
  <c r="E1655" i="5"/>
  <c r="AE1654" i="5"/>
  <c r="AD1654" i="5"/>
  <c r="E1654" i="5"/>
  <c r="AE1653" i="5"/>
  <c r="AD1653" i="5"/>
  <c r="E1653" i="5"/>
  <c r="AE1652" i="5"/>
  <c r="AD1652" i="5"/>
  <c r="E1652" i="5"/>
  <c r="AE1651" i="5"/>
  <c r="AD1651" i="5"/>
  <c r="E1651" i="5"/>
  <c r="AE1650" i="5"/>
  <c r="AD1650" i="5"/>
  <c r="E1650" i="5"/>
  <c r="AE1649" i="5"/>
  <c r="AD1649" i="5"/>
  <c r="E1649" i="5"/>
  <c r="AE1648" i="5"/>
  <c r="AD1648" i="5"/>
  <c r="E1648" i="5"/>
  <c r="AE1647" i="5"/>
  <c r="AD1647" i="5"/>
  <c r="E1647" i="5"/>
  <c r="AE1646" i="5"/>
  <c r="AD1646" i="5"/>
  <c r="E1646" i="5"/>
  <c r="AE1645" i="5"/>
  <c r="AD1645" i="5"/>
  <c r="E1645" i="5"/>
  <c r="AE1644" i="5"/>
  <c r="AD1644" i="5"/>
  <c r="E1644" i="5"/>
  <c r="AE1643" i="5"/>
  <c r="AD1643" i="5"/>
  <c r="E1643" i="5"/>
  <c r="AE1642" i="5"/>
  <c r="AD1642" i="5"/>
  <c r="E1642" i="5"/>
  <c r="AE1641" i="5"/>
  <c r="AD1641" i="5"/>
  <c r="E1641" i="5"/>
  <c r="AE1640" i="5"/>
  <c r="AD1640" i="5"/>
  <c r="E1640" i="5"/>
  <c r="AE1639" i="5"/>
  <c r="AD1639" i="5"/>
  <c r="E1639" i="5"/>
  <c r="AE1638" i="5"/>
  <c r="AD1638" i="5"/>
  <c r="E1638" i="5"/>
  <c r="AE1637" i="5"/>
  <c r="AD1637" i="5"/>
  <c r="E1637" i="5"/>
  <c r="AE1636" i="5"/>
  <c r="AD1636" i="5"/>
  <c r="E1636" i="5"/>
  <c r="AE1635" i="5"/>
  <c r="AD1635" i="5"/>
  <c r="E1635" i="5"/>
  <c r="AE1634" i="5"/>
  <c r="AD1634" i="5"/>
  <c r="E1634" i="5"/>
  <c r="AE1633" i="5"/>
  <c r="AD1633" i="5"/>
  <c r="E1633" i="5"/>
  <c r="AE1632" i="5"/>
  <c r="AD1632" i="5"/>
  <c r="E1632" i="5"/>
  <c r="AE1631" i="5"/>
  <c r="AD1631" i="5"/>
  <c r="E1631" i="5"/>
  <c r="AE1630" i="5"/>
  <c r="AD1630" i="5"/>
  <c r="E1630" i="5"/>
  <c r="AE1629" i="5"/>
  <c r="AD1629" i="5"/>
  <c r="E1629" i="5"/>
  <c r="AE1628" i="5"/>
  <c r="AD1628" i="5"/>
  <c r="E1628" i="5"/>
  <c r="AE1627" i="5"/>
  <c r="AD1627" i="5"/>
  <c r="E1627" i="5"/>
  <c r="AE1626" i="5"/>
  <c r="AD1626" i="5"/>
  <c r="E1626" i="5"/>
  <c r="AE1625" i="5"/>
  <c r="AD1625" i="5"/>
  <c r="E1625" i="5"/>
  <c r="AE1624" i="5"/>
  <c r="AD1624" i="5"/>
  <c r="E1624" i="5"/>
  <c r="AE1623" i="5"/>
  <c r="AD1623" i="5"/>
  <c r="E1623" i="5"/>
  <c r="AE1622" i="5"/>
  <c r="AD1622" i="5"/>
  <c r="E1622" i="5"/>
  <c r="AE1621" i="5"/>
  <c r="AD1621" i="5"/>
  <c r="E1621" i="5"/>
  <c r="AE1620" i="5"/>
  <c r="AD1620" i="5"/>
  <c r="E1620" i="5"/>
  <c r="AE1619" i="5"/>
  <c r="AD1619" i="5"/>
  <c r="E1619" i="5"/>
  <c r="AE1618" i="5"/>
  <c r="AD1618" i="5"/>
  <c r="E1618" i="5"/>
  <c r="AE1617" i="5"/>
  <c r="AD1617" i="5"/>
  <c r="E1617" i="5"/>
  <c r="AE1616" i="5"/>
  <c r="AD1616" i="5"/>
  <c r="E1616" i="5"/>
  <c r="AE1615" i="5"/>
  <c r="AD1615" i="5"/>
  <c r="E1615" i="5"/>
  <c r="AE1614" i="5"/>
  <c r="AD1614" i="5"/>
  <c r="E1614" i="5"/>
  <c r="AE1613" i="5"/>
  <c r="AD1613" i="5"/>
  <c r="E1613" i="5"/>
  <c r="AE1612" i="5"/>
  <c r="AD1612" i="5"/>
  <c r="E1612" i="5"/>
  <c r="AE1611" i="5"/>
  <c r="AD1611" i="5"/>
  <c r="E1611" i="5"/>
  <c r="AE1610" i="5"/>
  <c r="AD1610" i="5"/>
  <c r="E1610" i="5"/>
  <c r="AE1609" i="5"/>
  <c r="AD1609" i="5"/>
  <c r="E1609" i="5"/>
  <c r="AE1608" i="5"/>
  <c r="AD1608" i="5"/>
  <c r="E1608" i="5"/>
  <c r="AE1607" i="5"/>
  <c r="AD1607" i="5"/>
  <c r="E1607" i="5"/>
  <c r="AE1606" i="5"/>
  <c r="AD1606" i="5"/>
  <c r="E1606" i="5"/>
  <c r="AE1605" i="5"/>
  <c r="AD1605" i="5"/>
  <c r="E1605" i="5"/>
  <c r="AE1604" i="5"/>
  <c r="AD1604" i="5"/>
  <c r="E1604" i="5"/>
  <c r="AE1603" i="5"/>
  <c r="AD1603" i="5"/>
  <c r="E1603" i="5"/>
  <c r="AE1602" i="5"/>
  <c r="AD1602" i="5"/>
  <c r="E1602" i="5"/>
  <c r="AE1601" i="5"/>
  <c r="AD1601" i="5"/>
  <c r="E1601" i="5"/>
  <c r="AE1600" i="5"/>
  <c r="AD1600" i="5"/>
  <c r="E1600" i="5"/>
  <c r="AE1599" i="5"/>
  <c r="AD1599" i="5"/>
  <c r="E1599" i="5"/>
  <c r="AE1598" i="5"/>
  <c r="AD1598" i="5"/>
  <c r="E1598" i="5"/>
  <c r="AE1597" i="5"/>
  <c r="AD1597" i="5"/>
  <c r="E1597" i="5"/>
  <c r="AE1596" i="5"/>
  <c r="AD1596" i="5"/>
  <c r="E1596" i="5"/>
  <c r="AE1595" i="5"/>
  <c r="AD1595" i="5"/>
  <c r="E1595" i="5"/>
  <c r="AE1594" i="5"/>
  <c r="AD1594" i="5"/>
  <c r="E1594" i="5"/>
  <c r="AE1593" i="5"/>
  <c r="AD1593" i="5"/>
  <c r="E1593" i="5"/>
  <c r="AE1592" i="5"/>
  <c r="AD1592" i="5"/>
  <c r="E1592" i="5"/>
  <c r="AE1591" i="5"/>
  <c r="AD1591" i="5"/>
  <c r="E1591" i="5"/>
  <c r="AE1590" i="5"/>
  <c r="AD1590" i="5"/>
  <c r="E1590" i="5"/>
  <c r="AE1589" i="5"/>
  <c r="AD1589" i="5"/>
  <c r="E1589" i="5"/>
  <c r="AE1588" i="5"/>
  <c r="AD1588" i="5"/>
  <c r="E1588" i="5"/>
  <c r="AE1587" i="5"/>
  <c r="AD1587" i="5"/>
  <c r="E1587" i="5"/>
  <c r="AE1586" i="5"/>
  <c r="AD1586" i="5"/>
  <c r="E1586" i="5"/>
  <c r="AE1585" i="5"/>
  <c r="AD1585" i="5"/>
  <c r="E1585" i="5"/>
  <c r="AE1584" i="5"/>
  <c r="AD1584" i="5"/>
  <c r="E1584" i="5"/>
  <c r="AE1583" i="5"/>
  <c r="AD1583" i="5"/>
  <c r="E1583" i="5"/>
  <c r="AE1582" i="5"/>
  <c r="AD1582" i="5"/>
  <c r="E1582" i="5"/>
  <c r="AE1581" i="5"/>
  <c r="AD1581" i="5"/>
  <c r="E1581" i="5"/>
  <c r="AE1580" i="5"/>
  <c r="AD1580" i="5"/>
  <c r="E1580" i="5"/>
  <c r="AE1579" i="5"/>
  <c r="AD1579" i="5"/>
  <c r="E1579" i="5"/>
  <c r="AE1578" i="5"/>
  <c r="AD1578" i="5"/>
  <c r="E1578" i="5"/>
  <c r="AE1577" i="5"/>
  <c r="AD1577" i="5"/>
  <c r="E1577" i="5"/>
  <c r="AE1576" i="5"/>
  <c r="AD1576" i="5"/>
  <c r="E1576" i="5"/>
  <c r="AE1575" i="5"/>
  <c r="AD1575" i="5"/>
  <c r="E1575" i="5"/>
  <c r="AE1574" i="5"/>
  <c r="AD1574" i="5"/>
  <c r="E1574" i="5"/>
  <c r="AE1573" i="5"/>
  <c r="AD1573" i="5"/>
  <c r="E1573" i="5"/>
  <c r="AE1572" i="5"/>
  <c r="AD1572" i="5"/>
  <c r="E1572" i="5"/>
  <c r="AE1571" i="5"/>
  <c r="AD1571" i="5"/>
  <c r="E1571" i="5"/>
  <c r="AE1570" i="5"/>
  <c r="AD1570" i="5"/>
  <c r="E1570" i="5"/>
  <c r="AE1569" i="5"/>
  <c r="AD1569" i="5"/>
  <c r="E1569" i="5"/>
  <c r="AE1568" i="5"/>
  <c r="AD1568" i="5"/>
  <c r="E1568" i="5"/>
  <c r="AE1567" i="5"/>
  <c r="AD1567" i="5"/>
  <c r="E1567" i="5"/>
  <c r="AE1566" i="5"/>
  <c r="AD1566" i="5"/>
  <c r="E1566" i="5"/>
  <c r="AE1565" i="5"/>
  <c r="AD1565" i="5"/>
  <c r="E1565" i="5"/>
  <c r="AE1564" i="5"/>
  <c r="AD1564" i="5"/>
  <c r="E1564" i="5"/>
  <c r="AE1563" i="5"/>
  <c r="AD1563" i="5"/>
  <c r="E1563" i="5"/>
  <c r="AE1562" i="5"/>
  <c r="AD1562" i="5"/>
  <c r="E1562" i="5"/>
  <c r="AE1561" i="5"/>
  <c r="AD1561" i="5"/>
  <c r="E1561" i="5"/>
  <c r="AE1560" i="5"/>
  <c r="AD1560" i="5"/>
  <c r="E1560" i="5"/>
  <c r="AE1559" i="5"/>
  <c r="AD1559" i="5"/>
  <c r="E1559" i="5"/>
  <c r="AE1558" i="5"/>
  <c r="AD1558" i="5"/>
  <c r="E1558" i="5"/>
  <c r="AE1557" i="5"/>
  <c r="AD1557" i="5"/>
  <c r="E1557" i="5"/>
  <c r="AE1556" i="5"/>
  <c r="AD1556" i="5"/>
  <c r="E1556" i="5"/>
  <c r="AE1555" i="5"/>
  <c r="AD1555" i="5"/>
  <c r="E1555" i="5"/>
  <c r="AE1554" i="5"/>
  <c r="AD1554" i="5"/>
  <c r="E1554" i="5"/>
  <c r="AE1553" i="5"/>
  <c r="AD1553" i="5"/>
  <c r="E1553" i="5"/>
  <c r="AE1552" i="5"/>
  <c r="AD1552" i="5"/>
  <c r="E1552" i="5"/>
  <c r="AE1551" i="5"/>
  <c r="AD1551" i="5"/>
  <c r="E1551" i="5"/>
  <c r="AE1550" i="5"/>
  <c r="AD1550" i="5"/>
  <c r="E1550" i="5"/>
  <c r="AE1549" i="5"/>
  <c r="AD1549" i="5"/>
  <c r="E1549" i="5"/>
  <c r="AE1548" i="5"/>
  <c r="AD1548" i="5"/>
  <c r="E1548" i="5"/>
  <c r="AE1547" i="5"/>
  <c r="AD1547" i="5"/>
  <c r="E1547" i="5"/>
  <c r="AE1546" i="5"/>
  <c r="AD1546" i="5"/>
  <c r="E1546" i="5"/>
  <c r="AE1545" i="5"/>
  <c r="AD1545" i="5"/>
  <c r="E1545" i="5"/>
  <c r="AE1544" i="5"/>
  <c r="AD1544" i="5"/>
  <c r="E1544" i="5"/>
  <c r="AE1543" i="5"/>
  <c r="AD1543" i="5"/>
  <c r="E1543" i="5"/>
  <c r="AE1542" i="5"/>
  <c r="AD1542" i="5"/>
  <c r="E1542" i="5"/>
  <c r="AE1541" i="5"/>
  <c r="AD1541" i="5"/>
  <c r="E1541" i="5"/>
  <c r="AE1540" i="5"/>
  <c r="AD1540" i="5"/>
  <c r="E1540" i="5"/>
  <c r="AE1539" i="5"/>
  <c r="AD1539" i="5"/>
  <c r="E1539" i="5"/>
  <c r="AE1538" i="5"/>
  <c r="AD1538" i="5"/>
  <c r="E1538" i="5"/>
  <c r="AE1537" i="5"/>
  <c r="AD1537" i="5"/>
  <c r="E1537" i="5"/>
  <c r="AE1536" i="5"/>
  <c r="AD1536" i="5"/>
  <c r="E1536" i="5"/>
  <c r="AE1535" i="5"/>
  <c r="AD1535" i="5"/>
  <c r="E1535" i="5"/>
  <c r="AE1534" i="5"/>
  <c r="AD1534" i="5"/>
  <c r="E1534" i="5"/>
  <c r="AE1533" i="5"/>
  <c r="AD1533" i="5"/>
  <c r="E1533" i="5"/>
  <c r="AE1532" i="5"/>
  <c r="AD1532" i="5"/>
  <c r="E1532" i="5"/>
  <c r="AE1531" i="5"/>
  <c r="AD1531" i="5"/>
  <c r="E1531" i="5"/>
  <c r="AE1530" i="5"/>
  <c r="AD1530" i="5"/>
  <c r="E1530" i="5"/>
  <c r="AE1529" i="5"/>
  <c r="AD1529" i="5"/>
  <c r="E1529" i="5"/>
  <c r="AE1528" i="5"/>
  <c r="AD1528" i="5"/>
  <c r="E1528" i="5"/>
  <c r="AE1527" i="5"/>
  <c r="AD1527" i="5"/>
  <c r="E1527" i="5"/>
  <c r="AE1526" i="5"/>
  <c r="AD1526" i="5"/>
  <c r="E1526" i="5"/>
  <c r="AE1525" i="5"/>
  <c r="AD1525" i="5"/>
  <c r="E1525" i="5"/>
  <c r="AE1524" i="5"/>
  <c r="AD1524" i="5"/>
  <c r="E1524" i="5"/>
  <c r="AE1523" i="5"/>
  <c r="AD1523" i="5"/>
  <c r="E1523" i="5"/>
  <c r="AE1522" i="5"/>
  <c r="AD1522" i="5"/>
  <c r="E1522" i="5"/>
  <c r="AE1521" i="5"/>
  <c r="AD1521" i="5"/>
  <c r="E1521" i="5"/>
  <c r="AE1520" i="5"/>
  <c r="AD1520" i="5"/>
  <c r="E1520" i="5"/>
  <c r="AE1519" i="5"/>
  <c r="AD1519" i="5"/>
  <c r="E1519" i="5"/>
  <c r="AE1518" i="5"/>
  <c r="AD1518" i="5"/>
  <c r="E1518" i="5"/>
  <c r="AE1517" i="5"/>
  <c r="AD1517" i="5"/>
  <c r="E1517" i="5"/>
  <c r="AE1516" i="5"/>
  <c r="AD1516" i="5"/>
  <c r="E1516" i="5"/>
  <c r="AE1515" i="5"/>
  <c r="AD1515" i="5"/>
  <c r="E1515" i="5"/>
  <c r="AE1514" i="5"/>
  <c r="AD1514" i="5"/>
  <c r="E1514" i="5"/>
  <c r="AE1513" i="5"/>
  <c r="AD1513" i="5"/>
  <c r="E1513" i="5"/>
  <c r="AE1512" i="5"/>
  <c r="AD1512" i="5"/>
  <c r="E1512" i="5"/>
  <c r="AE1511" i="5"/>
  <c r="AD1511" i="5"/>
  <c r="E1511" i="5"/>
  <c r="AE1510" i="5"/>
  <c r="AD1510" i="5"/>
  <c r="E1510" i="5"/>
  <c r="AE1509" i="5"/>
  <c r="AD1509" i="5"/>
  <c r="E1509" i="5"/>
  <c r="AE1508" i="5"/>
  <c r="AD1508" i="5"/>
  <c r="E1508" i="5"/>
  <c r="AE1507" i="5"/>
  <c r="AD1507" i="5"/>
  <c r="E1507" i="5"/>
  <c r="AE1506" i="5"/>
  <c r="AD1506" i="5"/>
  <c r="E1506" i="5"/>
  <c r="AE1505" i="5"/>
  <c r="AD1505" i="5"/>
  <c r="E1505" i="5"/>
  <c r="AE1504" i="5"/>
  <c r="AD1504" i="5"/>
  <c r="E1504" i="5"/>
  <c r="AE1503" i="5"/>
  <c r="AD1503" i="5"/>
  <c r="E1503" i="5"/>
  <c r="AE1502" i="5"/>
  <c r="AD1502" i="5"/>
  <c r="E1502" i="5"/>
  <c r="AE1501" i="5"/>
  <c r="AD1501" i="5"/>
  <c r="E1501" i="5"/>
  <c r="AE1500" i="5"/>
  <c r="AD1500" i="5"/>
  <c r="E1500" i="5"/>
  <c r="AE1499" i="5"/>
  <c r="AD1499" i="5"/>
  <c r="E1499" i="5"/>
  <c r="AE1498" i="5"/>
  <c r="AD1498" i="5"/>
  <c r="E1498" i="5"/>
  <c r="AE1497" i="5"/>
  <c r="AD1497" i="5"/>
  <c r="E1497" i="5"/>
  <c r="AE1496" i="5"/>
  <c r="AD1496" i="5"/>
  <c r="E1496" i="5"/>
  <c r="AE1495" i="5"/>
  <c r="AD1495" i="5"/>
  <c r="E1495" i="5"/>
  <c r="AE1494" i="5"/>
  <c r="AD1494" i="5"/>
  <c r="E1494" i="5"/>
  <c r="AE1493" i="5"/>
  <c r="AD1493" i="5"/>
  <c r="E1493" i="5"/>
  <c r="AE1492" i="5"/>
  <c r="AD1492" i="5"/>
  <c r="E1492" i="5"/>
  <c r="AE1491" i="5"/>
  <c r="AD1491" i="5"/>
  <c r="E1491" i="5"/>
  <c r="AE1490" i="5"/>
  <c r="AD1490" i="5"/>
  <c r="E1490" i="5"/>
  <c r="AE1489" i="5"/>
  <c r="AD1489" i="5"/>
  <c r="E1489" i="5"/>
  <c r="AE1488" i="5"/>
  <c r="AD1488" i="5"/>
  <c r="E1488" i="5"/>
  <c r="AE1487" i="5"/>
  <c r="AD1487" i="5"/>
  <c r="E1487" i="5"/>
  <c r="AE1486" i="5"/>
  <c r="AD1486" i="5"/>
  <c r="E1486" i="5"/>
  <c r="AE1485" i="5"/>
  <c r="AD1485" i="5"/>
  <c r="E1485" i="5"/>
  <c r="AE1484" i="5"/>
  <c r="AD1484" i="5"/>
  <c r="E1484" i="5"/>
  <c r="AE1483" i="5"/>
  <c r="AD1483" i="5"/>
  <c r="E1483" i="5"/>
  <c r="AE1482" i="5"/>
  <c r="AD1482" i="5"/>
  <c r="E1482" i="5"/>
  <c r="AE1481" i="5"/>
  <c r="AD1481" i="5"/>
  <c r="E1481" i="5"/>
  <c r="AE1480" i="5"/>
  <c r="AD1480" i="5"/>
  <c r="E1480" i="5"/>
  <c r="AE1479" i="5"/>
  <c r="AD1479" i="5"/>
  <c r="E1479" i="5"/>
  <c r="AE1478" i="5"/>
  <c r="AD1478" i="5"/>
  <c r="E1478" i="5"/>
  <c r="AE1477" i="5"/>
  <c r="AD1477" i="5"/>
  <c r="E1477" i="5"/>
  <c r="AE1476" i="5"/>
  <c r="AD1476" i="5"/>
  <c r="E1476" i="5"/>
  <c r="AE1475" i="5"/>
  <c r="AD1475" i="5"/>
  <c r="E1475" i="5"/>
  <c r="AE1474" i="5"/>
  <c r="AD1474" i="5"/>
  <c r="E1474" i="5"/>
  <c r="AE1473" i="5"/>
  <c r="AD1473" i="5"/>
  <c r="E1473" i="5"/>
  <c r="AE1472" i="5"/>
  <c r="AD1472" i="5"/>
  <c r="E1472" i="5"/>
  <c r="AE1471" i="5"/>
  <c r="AD1471" i="5"/>
  <c r="E1471" i="5"/>
  <c r="AE1470" i="5"/>
  <c r="AD1470" i="5"/>
  <c r="E1470" i="5"/>
  <c r="AE1469" i="5"/>
  <c r="AD1469" i="5"/>
  <c r="E1469" i="5"/>
  <c r="AE1468" i="5"/>
  <c r="AD1468" i="5"/>
  <c r="E1468" i="5"/>
  <c r="AE1467" i="5"/>
  <c r="AD1467" i="5"/>
  <c r="E1467" i="5"/>
  <c r="AE1466" i="5"/>
  <c r="AD1466" i="5"/>
  <c r="E1466" i="5"/>
  <c r="AE1465" i="5"/>
  <c r="AD1465" i="5"/>
  <c r="E1465" i="5"/>
  <c r="AE1464" i="5"/>
  <c r="AD1464" i="5"/>
  <c r="E1464" i="5"/>
  <c r="AE1463" i="5"/>
  <c r="AD1463" i="5"/>
  <c r="E1463" i="5"/>
  <c r="AE1462" i="5"/>
  <c r="AD1462" i="5"/>
  <c r="E1462" i="5"/>
  <c r="AE1461" i="5"/>
  <c r="AD1461" i="5"/>
  <c r="E1461" i="5"/>
  <c r="AE1460" i="5"/>
  <c r="AD1460" i="5"/>
  <c r="E1460" i="5"/>
  <c r="AE1459" i="5"/>
  <c r="AD1459" i="5"/>
  <c r="E1459" i="5"/>
  <c r="AE1458" i="5"/>
  <c r="AD1458" i="5"/>
  <c r="E1458" i="5"/>
  <c r="AE1457" i="5"/>
  <c r="AD1457" i="5"/>
  <c r="E1457" i="5"/>
  <c r="AE1456" i="5"/>
  <c r="AD1456" i="5"/>
  <c r="E1456" i="5"/>
  <c r="AE1455" i="5"/>
  <c r="AD1455" i="5"/>
  <c r="E1455" i="5"/>
  <c r="AE1454" i="5"/>
  <c r="AD1454" i="5"/>
  <c r="E1454" i="5"/>
  <c r="AE1453" i="5"/>
  <c r="AD1453" i="5"/>
  <c r="E1453" i="5"/>
  <c r="AE1452" i="5"/>
  <c r="AD1452" i="5"/>
  <c r="E1452" i="5"/>
  <c r="AE1451" i="5"/>
  <c r="AD1451" i="5"/>
  <c r="E1451" i="5"/>
  <c r="AE1450" i="5"/>
  <c r="AD1450" i="5"/>
  <c r="E1450" i="5"/>
  <c r="AE1449" i="5"/>
  <c r="AD1449" i="5"/>
  <c r="E1449" i="5"/>
  <c r="AE1448" i="5"/>
  <c r="AD1448" i="5"/>
  <c r="E1448" i="5"/>
  <c r="AE1447" i="5"/>
  <c r="AD1447" i="5"/>
  <c r="E1447" i="5"/>
  <c r="AE1446" i="5"/>
  <c r="AD1446" i="5"/>
  <c r="E1446" i="5"/>
  <c r="AE1445" i="5"/>
  <c r="AD1445" i="5"/>
  <c r="E1445" i="5"/>
  <c r="AE1444" i="5"/>
  <c r="AD1444" i="5"/>
  <c r="E1444" i="5"/>
  <c r="AE1443" i="5"/>
  <c r="AD1443" i="5"/>
  <c r="E1443" i="5"/>
  <c r="AE1442" i="5"/>
  <c r="AD1442" i="5"/>
  <c r="E1442" i="5"/>
  <c r="AE1441" i="5"/>
  <c r="AD1441" i="5"/>
  <c r="E1441" i="5"/>
  <c r="AE1440" i="5"/>
  <c r="AD1440" i="5"/>
  <c r="E1440" i="5"/>
  <c r="AE1439" i="5"/>
  <c r="AD1439" i="5"/>
  <c r="E1439" i="5"/>
  <c r="AE1438" i="5"/>
  <c r="AD1438" i="5"/>
  <c r="E1438" i="5"/>
  <c r="AE1437" i="5"/>
  <c r="AD1437" i="5"/>
  <c r="E1437" i="5"/>
  <c r="AE1436" i="5"/>
  <c r="AD1436" i="5"/>
  <c r="E1436" i="5"/>
  <c r="AE1435" i="5"/>
  <c r="AD1435" i="5"/>
  <c r="E1435" i="5"/>
  <c r="AE1434" i="5"/>
  <c r="AD1434" i="5"/>
  <c r="E1434" i="5"/>
  <c r="AE1433" i="5"/>
  <c r="AD1433" i="5"/>
  <c r="E1433" i="5"/>
  <c r="AE1432" i="5"/>
  <c r="AD1432" i="5"/>
  <c r="E1432" i="5"/>
  <c r="AE1431" i="5"/>
  <c r="AD1431" i="5"/>
  <c r="E1431" i="5"/>
  <c r="AE1430" i="5"/>
  <c r="AD1430" i="5"/>
  <c r="E1430" i="5"/>
  <c r="AE1429" i="5"/>
  <c r="AD1429" i="5"/>
  <c r="E1429" i="5"/>
  <c r="AE1428" i="5"/>
  <c r="AD1428" i="5"/>
  <c r="E1428" i="5"/>
  <c r="AE1427" i="5"/>
  <c r="AD1427" i="5"/>
  <c r="E1427" i="5"/>
  <c r="AE1426" i="5"/>
  <c r="AD1426" i="5"/>
  <c r="E1426" i="5"/>
  <c r="AE1425" i="5"/>
  <c r="AD1425" i="5"/>
  <c r="E1425" i="5"/>
  <c r="AE1424" i="5"/>
  <c r="AD1424" i="5"/>
  <c r="E1424" i="5"/>
  <c r="AE1423" i="5"/>
  <c r="AD1423" i="5"/>
  <c r="E1423" i="5"/>
  <c r="AE1422" i="5"/>
  <c r="AD1422" i="5"/>
  <c r="E1422" i="5"/>
  <c r="AE1421" i="5"/>
  <c r="AD1421" i="5"/>
  <c r="E1421" i="5"/>
  <c r="AE1420" i="5"/>
  <c r="AD1420" i="5"/>
  <c r="E1420" i="5"/>
  <c r="AE1419" i="5"/>
  <c r="AD1419" i="5"/>
  <c r="E1419" i="5"/>
  <c r="AE1418" i="5"/>
  <c r="AD1418" i="5"/>
  <c r="E1418" i="5"/>
  <c r="AE1417" i="5"/>
  <c r="AD1417" i="5"/>
  <c r="E1417" i="5"/>
  <c r="AE1416" i="5"/>
  <c r="AD1416" i="5"/>
  <c r="E1416" i="5"/>
  <c r="AE1415" i="5"/>
  <c r="AD1415" i="5"/>
  <c r="E1415" i="5"/>
  <c r="AE1414" i="5"/>
  <c r="AD1414" i="5"/>
  <c r="E1414" i="5"/>
  <c r="AE1413" i="5"/>
  <c r="AD1413" i="5"/>
  <c r="E1413" i="5"/>
  <c r="AE1412" i="5"/>
  <c r="AD1412" i="5"/>
  <c r="E1412" i="5"/>
  <c r="AE1411" i="5"/>
  <c r="AD1411" i="5"/>
  <c r="E1411" i="5"/>
  <c r="AE1410" i="5"/>
  <c r="AD1410" i="5"/>
  <c r="E1410" i="5"/>
  <c r="AE1409" i="5"/>
  <c r="AD1409" i="5"/>
  <c r="E1409" i="5"/>
  <c r="AE1408" i="5"/>
  <c r="AD1408" i="5"/>
  <c r="E1408" i="5"/>
  <c r="AE1407" i="5"/>
  <c r="AD1407" i="5"/>
  <c r="E1407" i="5"/>
  <c r="AE1406" i="5"/>
  <c r="AD1406" i="5"/>
  <c r="E1406" i="5"/>
  <c r="AE1405" i="5"/>
  <c r="AD1405" i="5"/>
  <c r="E1405" i="5"/>
  <c r="AE1404" i="5"/>
  <c r="AD1404" i="5"/>
  <c r="E1404" i="5"/>
  <c r="AE1403" i="5"/>
  <c r="AD1403" i="5"/>
  <c r="E1403" i="5"/>
  <c r="AE1402" i="5"/>
  <c r="AD1402" i="5"/>
  <c r="E1402" i="5"/>
  <c r="AE1401" i="5"/>
  <c r="AD1401" i="5"/>
  <c r="E1401" i="5"/>
  <c r="AE1400" i="5"/>
  <c r="AD1400" i="5"/>
  <c r="E1400" i="5"/>
  <c r="AE1399" i="5"/>
  <c r="AD1399" i="5"/>
  <c r="E1399" i="5"/>
  <c r="AE1398" i="5"/>
  <c r="AD1398" i="5"/>
  <c r="E1398" i="5"/>
  <c r="AE1397" i="5"/>
  <c r="AD1397" i="5"/>
  <c r="E1397" i="5"/>
  <c r="AE1396" i="5"/>
  <c r="AD1396" i="5"/>
  <c r="E1396" i="5"/>
  <c r="AE1395" i="5"/>
  <c r="AD1395" i="5"/>
  <c r="E1395" i="5"/>
  <c r="AE1394" i="5"/>
  <c r="AD1394" i="5"/>
  <c r="E1394" i="5"/>
  <c r="AE1393" i="5"/>
  <c r="AD1393" i="5"/>
  <c r="E1393" i="5"/>
  <c r="AE1392" i="5"/>
  <c r="AD1392" i="5"/>
  <c r="E1392" i="5"/>
  <c r="AE1391" i="5"/>
  <c r="AD1391" i="5"/>
  <c r="E1391" i="5"/>
  <c r="AE1390" i="5"/>
  <c r="AD1390" i="5"/>
  <c r="E1390" i="5"/>
  <c r="AE1389" i="5"/>
  <c r="AD1389" i="5"/>
  <c r="E1389" i="5"/>
  <c r="AE1388" i="5"/>
  <c r="AD1388" i="5"/>
  <c r="E1388" i="5"/>
  <c r="AE1387" i="5"/>
  <c r="AD1387" i="5"/>
  <c r="E1387" i="5"/>
  <c r="AE1386" i="5"/>
  <c r="AD1386" i="5"/>
  <c r="E1386" i="5"/>
  <c r="AE1385" i="5"/>
  <c r="AD1385" i="5"/>
  <c r="E1385" i="5"/>
  <c r="AE1384" i="5"/>
  <c r="AD1384" i="5"/>
  <c r="E1384" i="5"/>
  <c r="AE1383" i="5"/>
  <c r="AD1383" i="5"/>
  <c r="E1383" i="5"/>
  <c r="AE1382" i="5"/>
  <c r="AD1382" i="5"/>
  <c r="E1382" i="5"/>
  <c r="AE1381" i="5"/>
  <c r="AD1381" i="5"/>
  <c r="E1381" i="5"/>
  <c r="AE1380" i="5"/>
  <c r="AD1380" i="5"/>
  <c r="E1380" i="5"/>
  <c r="AE1379" i="5"/>
  <c r="AD1379" i="5"/>
  <c r="E1379" i="5"/>
  <c r="AE1378" i="5"/>
  <c r="AD1378" i="5"/>
  <c r="E1378" i="5"/>
  <c r="AE1377" i="5"/>
  <c r="AD1377" i="5"/>
  <c r="E1377" i="5"/>
  <c r="AE1376" i="5"/>
  <c r="AD1376" i="5"/>
  <c r="E1376" i="5"/>
  <c r="AE1375" i="5"/>
  <c r="AD1375" i="5"/>
  <c r="E1375" i="5"/>
  <c r="AE1374" i="5"/>
  <c r="AD1374" i="5"/>
  <c r="E1374" i="5"/>
  <c r="AE1373" i="5"/>
  <c r="AD1373" i="5"/>
  <c r="E1373" i="5"/>
  <c r="AE1372" i="5"/>
  <c r="AD1372" i="5"/>
  <c r="E1372" i="5"/>
  <c r="AE1371" i="5"/>
  <c r="AD1371" i="5"/>
  <c r="E1371" i="5"/>
  <c r="AE1370" i="5"/>
  <c r="AD1370" i="5"/>
  <c r="E1370" i="5"/>
  <c r="AE1369" i="5"/>
  <c r="AD1369" i="5"/>
  <c r="E1369" i="5"/>
  <c r="AE1368" i="5"/>
  <c r="AD1368" i="5"/>
  <c r="E1368" i="5"/>
  <c r="AE1367" i="5"/>
  <c r="AD1367" i="5"/>
  <c r="E1367" i="5"/>
  <c r="AE1366" i="5"/>
  <c r="AD1366" i="5"/>
  <c r="E1366" i="5"/>
  <c r="AE1365" i="5"/>
  <c r="AD1365" i="5"/>
  <c r="E1365" i="5"/>
  <c r="AE1364" i="5"/>
  <c r="AD1364" i="5"/>
  <c r="E1364" i="5"/>
  <c r="AE1363" i="5"/>
  <c r="AD1363" i="5"/>
  <c r="E1363" i="5"/>
  <c r="AE1362" i="5"/>
  <c r="AD1362" i="5"/>
  <c r="E1362" i="5"/>
  <c r="AE1361" i="5"/>
  <c r="AD1361" i="5"/>
  <c r="E1361" i="5"/>
  <c r="AE1360" i="5"/>
  <c r="AD1360" i="5"/>
  <c r="E1360" i="5"/>
  <c r="AE1359" i="5"/>
  <c r="AD1359" i="5"/>
  <c r="E1359" i="5"/>
  <c r="AE1358" i="5"/>
  <c r="AD1358" i="5"/>
  <c r="E1358" i="5"/>
  <c r="AE1357" i="5"/>
  <c r="AD1357" i="5"/>
  <c r="E1357" i="5"/>
  <c r="AE1356" i="5"/>
  <c r="AD1356" i="5"/>
  <c r="E1356" i="5"/>
  <c r="AE1355" i="5"/>
  <c r="AD1355" i="5"/>
  <c r="E1355" i="5"/>
  <c r="AE1354" i="5"/>
  <c r="AD1354" i="5"/>
  <c r="E1354" i="5"/>
  <c r="AE1353" i="5"/>
  <c r="AD1353" i="5"/>
  <c r="E1353" i="5"/>
  <c r="AE1352" i="5"/>
  <c r="AD1352" i="5"/>
  <c r="E1352" i="5"/>
  <c r="AE1351" i="5"/>
  <c r="AD1351" i="5"/>
  <c r="E1351" i="5"/>
  <c r="AE1350" i="5"/>
  <c r="AD1350" i="5"/>
  <c r="E1350" i="5"/>
  <c r="AE1349" i="5"/>
  <c r="AD1349" i="5"/>
  <c r="E1349" i="5"/>
  <c r="AE1348" i="5"/>
  <c r="AD1348" i="5"/>
  <c r="E1348" i="5"/>
  <c r="AE1347" i="5"/>
  <c r="AD1347" i="5"/>
  <c r="E1347" i="5"/>
  <c r="AE1346" i="5"/>
  <c r="AD1346" i="5"/>
  <c r="E1346" i="5"/>
  <c r="AE1345" i="5"/>
  <c r="AD1345" i="5"/>
  <c r="E1345" i="5"/>
  <c r="AE1344" i="5"/>
  <c r="AD1344" i="5"/>
  <c r="E1344" i="5"/>
  <c r="AE1343" i="5"/>
  <c r="AD1343" i="5"/>
  <c r="E1343" i="5"/>
  <c r="AE1342" i="5"/>
  <c r="AD1342" i="5"/>
  <c r="E1342" i="5"/>
  <c r="AE1341" i="5"/>
  <c r="AD1341" i="5"/>
  <c r="E1341" i="5"/>
  <c r="AE1340" i="5"/>
  <c r="AD1340" i="5"/>
  <c r="E1340" i="5"/>
  <c r="AE1339" i="5"/>
  <c r="AD1339" i="5"/>
  <c r="E1339" i="5"/>
  <c r="AE1338" i="5"/>
  <c r="AD1338" i="5"/>
  <c r="E1338" i="5"/>
  <c r="AE1337" i="5"/>
  <c r="AD1337" i="5"/>
  <c r="E1337" i="5"/>
  <c r="AE1336" i="5"/>
  <c r="AD1336" i="5"/>
  <c r="E1336" i="5"/>
  <c r="AE1335" i="5"/>
  <c r="AD1335" i="5"/>
  <c r="E1335" i="5"/>
  <c r="AE1334" i="5"/>
  <c r="AD1334" i="5"/>
  <c r="E1334" i="5"/>
  <c r="AE1333" i="5"/>
  <c r="AD1333" i="5"/>
  <c r="E1333" i="5"/>
  <c r="AE1332" i="5"/>
  <c r="AD1332" i="5"/>
  <c r="E1332" i="5"/>
  <c r="AE1331" i="5"/>
  <c r="AD1331" i="5"/>
  <c r="E1331" i="5"/>
  <c r="AE1330" i="5"/>
  <c r="AD1330" i="5"/>
  <c r="E1330" i="5"/>
  <c r="AE1329" i="5"/>
  <c r="AD1329" i="5"/>
  <c r="E1329" i="5"/>
  <c r="AE1328" i="5"/>
  <c r="AD1328" i="5"/>
  <c r="E1328" i="5"/>
  <c r="AE1327" i="5"/>
  <c r="AD1327" i="5"/>
  <c r="E1327" i="5"/>
  <c r="AE1326" i="5"/>
  <c r="AD1326" i="5"/>
  <c r="E1326" i="5"/>
  <c r="AE1325" i="5"/>
  <c r="AD1325" i="5"/>
  <c r="E1325" i="5"/>
  <c r="AE1324" i="5"/>
  <c r="AD1324" i="5"/>
  <c r="E1324" i="5"/>
  <c r="AE1323" i="5"/>
  <c r="AD1323" i="5"/>
  <c r="E1323" i="5"/>
  <c r="AE1322" i="5"/>
  <c r="AD1322" i="5"/>
  <c r="E1322" i="5"/>
  <c r="AE1321" i="5"/>
  <c r="AD1321" i="5"/>
  <c r="E1321" i="5"/>
  <c r="AE1320" i="5"/>
  <c r="AD1320" i="5"/>
  <c r="E1320" i="5"/>
  <c r="AE1319" i="5"/>
  <c r="AD1319" i="5"/>
  <c r="E1319" i="5"/>
  <c r="AE1318" i="5"/>
  <c r="AD1318" i="5"/>
  <c r="E1318" i="5"/>
  <c r="AE1317" i="5"/>
  <c r="AD1317" i="5"/>
  <c r="E1317" i="5"/>
  <c r="AE1316" i="5"/>
  <c r="AD1316" i="5"/>
  <c r="E1316" i="5"/>
  <c r="AE1315" i="5"/>
  <c r="AD1315" i="5"/>
  <c r="E1315" i="5"/>
  <c r="AE1314" i="5"/>
  <c r="AD1314" i="5"/>
  <c r="E1314" i="5"/>
  <c r="AE1313" i="5"/>
  <c r="AD1313" i="5"/>
  <c r="E1313" i="5"/>
  <c r="AE1312" i="5"/>
  <c r="AD1312" i="5"/>
  <c r="E1312" i="5"/>
  <c r="AE1311" i="5"/>
  <c r="AD1311" i="5"/>
  <c r="E1311" i="5"/>
  <c r="AE1310" i="5"/>
  <c r="AD1310" i="5"/>
  <c r="E1310" i="5"/>
  <c r="AE1309" i="5"/>
  <c r="AD1309" i="5"/>
  <c r="E1309" i="5"/>
  <c r="AE1308" i="5"/>
  <c r="AD1308" i="5"/>
  <c r="E1308" i="5"/>
  <c r="AE1307" i="5"/>
  <c r="AD1307" i="5"/>
  <c r="E1307" i="5"/>
  <c r="AE1306" i="5"/>
  <c r="AD1306" i="5"/>
  <c r="E1306" i="5"/>
  <c r="AE1305" i="5"/>
  <c r="AD1305" i="5"/>
  <c r="E1305" i="5"/>
  <c r="AE1304" i="5"/>
  <c r="AD1304" i="5"/>
  <c r="E1304" i="5"/>
  <c r="AE1303" i="5"/>
  <c r="AD1303" i="5"/>
  <c r="E1303" i="5"/>
  <c r="AE1302" i="5"/>
  <c r="AD1302" i="5"/>
  <c r="E1302" i="5"/>
  <c r="AE1301" i="5"/>
  <c r="AD1301" i="5"/>
  <c r="E1301" i="5"/>
  <c r="AE1300" i="5"/>
  <c r="AD1300" i="5"/>
  <c r="E1300" i="5"/>
  <c r="AE1299" i="5"/>
  <c r="AD1299" i="5"/>
  <c r="E1299" i="5"/>
  <c r="AE1298" i="5"/>
  <c r="AD1298" i="5"/>
  <c r="E1298" i="5"/>
  <c r="AE1297" i="5"/>
  <c r="AD1297" i="5"/>
  <c r="E1297" i="5"/>
  <c r="AE1296" i="5"/>
  <c r="AD1296" i="5"/>
  <c r="E1296" i="5"/>
  <c r="AE1295" i="5"/>
  <c r="AD1295" i="5"/>
  <c r="E1295" i="5"/>
  <c r="AE1294" i="5"/>
  <c r="AD1294" i="5"/>
  <c r="E1294" i="5"/>
  <c r="AE1293" i="5"/>
  <c r="AD1293" i="5"/>
  <c r="E1293" i="5"/>
  <c r="AE1292" i="5"/>
  <c r="AD1292" i="5"/>
  <c r="E1292" i="5"/>
  <c r="AE1291" i="5"/>
  <c r="AD1291" i="5"/>
  <c r="E1291" i="5"/>
  <c r="AE1290" i="5"/>
  <c r="AD1290" i="5"/>
  <c r="E1290" i="5"/>
  <c r="AE1289" i="5"/>
  <c r="AD1289" i="5"/>
  <c r="E1289" i="5"/>
  <c r="AE1288" i="5"/>
  <c r="AD1288" i="5"/>
  <c r="E1288" i="5"/>
  <c r="AE1287" i="5"/>
  <c r="AD1287" i="5"/>
  <c r="E1287" i="5"/>
  <c r="AE1286" i="5"/>
  <c r="AD1286" i="5"/>
  <c r="E1286" i="5"/>
  <c r="AE1285" i="5"/>
  <c r="AD1285" i="5"/>
  <c r="E1285" i="5"/>
  <c r="AE1284" i="5"/>
  <c r="AD1284" i="5"/>
  <c r="E1284" i="5"/>
  <c r="AE1283" i="5"/>
  <c r="AD1283" i="5"/>
  <c r="E1283" i="5"/>
  <c r="AE1282" i="5"/>
  <c r="AD1282" i="5"/>
  <c r="E1282" i="5"/>
  <c r="AE1281" i="5"/>
  <c r="AD1281" i="5"/>
  <c r="E1281" i="5"/>
  <c r="AE1280" i="5"/>
  <c r="AD1280" i="5"/>
  <c r="E1280" i="5"/>
  <c r="AE1279" i="5"/>
  <c r="AD1279" i="5"/>
  <c r="E1279" i="5"/>
  <c r="AE1278" i="5"/>
  <c r="AD1278" i="5"/>
  <c r="E1278" i="5"/>
  <c r="AE1277" i="5"/>
  <c r="AD1277" i="5"/>
  <c r="E1277" i="5"/>
  <c r="AE1276" i="5"/>
  <c r="AD1276" i="5"/>
  <c r="E1276" i="5"/>
  <c r="AE1275" i="5"/>
  <c r="AD1275" i="5"/>
  <c r="E1275" i="5"/>
  <c r="AE1274" i="5"/>
  <c r="AD1274" i="5"/>
  <c r="E1274" i="5"/>
  <c r="AE1273" i="5"/>
  <c r="AD1273" i="5"/>
  <c r="E1273" i="5"/>
  <c r="AE1272" i="5"/>
  <c r="AD1272" i="5"/>
  <c r="E1272" i="5"/>
  <c r="AE1271" i="5"/>
  <c r="AD1271" i="5"/>
  <c r="E1271" i="5"/>
  <c r="AE1270" i="5"/>
  <c r="AD1270" i="5"/>
  <c r="E1270" i="5"/>
  <c r="AE1269" i="5"/>
  <c r="AD1269" i="5"/>
  <c r="E1269" i="5"/>
  <c r="AE1268" i="5"/>
  <c r="AD1268" i="5"/>
  <c r="E1268" i="5"/>
  <c r="AE1267" i="5"/>
  <c r="AD1267" i="5"/>
  <c r="E1267" i="5"/>
  <c r="AE1266" i="5"/>
  <c r="AD1266" i="5"/>
  <c r="E1266" i="5"/>
  <c r="AE1265" i="5"/>
  <c r="AD1265" i="5"/>
  <c r="E1265" i="5"/>
  <c r="AE1264" i="5"/>
  <c r="AD1264" i="5"/>
  <c r="E1264" i="5"/>
  <c r="AE1263" i="5"/>
  <c r="AD1263" i="5"/>
  <c r="E1263" i="5"/>
  <c r="AE1262" i="5"/>
  <c r="AD1262" i="5"/>
  <c r="E1262" i="5"/>
  <c r="AE1261" i="5"/>
  <c r="AD1261" i="5"/>
  <c r="E1261" i="5"/>
  <c r="AE1260" i="5"/>
  <c r="AD1260" i="5"/>
  <c r="E1260" i="5"/>
  <c r="AE1259" i="5"/>
  <c r="AD1259" i="5"/>
  <c r="E1259" i="5"/>
  <c r="AE1258" i="5"/>
  <c r="AD1258" i="5"/>
  <c r="E1258" i="5"/>
  <c r="AE1257" i="5"/>
  <c r="AD1257" i="5"/>
  <c r="E1257" i="5"/>
  <c r="AE1256" i="5"/>
  <c r="AD1256" i="5"/>
  <c r="E1256" i="5"/>
  <c r="AE1255" i="5"/>
  <c r="AD1255" i="5"/>
  <c r="E1255" i="5"/>
  <c r="AE1254" i="5"/>
  <c r="AD1254" i="5"/>
  <c r="E1254" i="5"/>
  <c r="AE1253" i="5"/>
  <c r="AD1253" i="5"/>
  <c r="E1253" i="5"/>
  <c r="AE1252" i="5"/>
  <c r="AD1252" i="5"/>
  <c r="E1252" i="5"/>
  <c r="AE1251" i="5"/>
  <c r="AD1251" i="5"/>
  <c r="E1251" i="5"/>
  <c r="AE1250" i="5"/>
  <c r="AD1250" i="5"/>
  <c r="E1250" i="5"/>
  <c r="AE1249" i="5"/>
  <c r="AD1249" i="5"/>
  <c r="E1249" i="5"/>
  <c r="AE1248" i="5"/>
  <c r="AD1248" i="5"/>
  <c r="E1248" i="5"/>
  <c r="AE1247" i="5"/>
  <c r="AD1247" i="5"/>
  <c r="E1247" i="5"/>
  <c r="AE1246" i="5"/>
  <c r="AD1246" i="5"/>
  <c r="E1246" i="5"/>
  <c r="AE1245" i="5"/>
  <c r="AD1245" i="5"/>
  <c r="E1245" i="5"/>
  <c r="AE1244" i="5"/>
  <c r="AD1244" i="5"/>
  <c r="E1244" i="5"/>
  <c r="AE1243" i="5"/>
  <c r="AD1243" i="5"/>
  <c r="E1243" i="5"/>
  <c r="AE1242" i="5"/>
  <c r="AD1242" i="5"/>
  <c r="E1242" i="5"/>
  <c r="AE1241" i="5"/>
  <c r="AD1241" i="5"/>
  <c r="E1241" i="5"/>
  <c r="AE1240" i="5"/>
  <c r="AD1240" i="5"/>
  <c r="E1240" i="5"/>
  <c r="AE1239" i="5"/>
  <c r="AD1239" i="5"/>
  <c r="E1239" i="5"/>
  <c r="AE1238" i="5"/>
  <c r="AD1238" i="5"/>
  <c r="E1238" i="5"/>
  <c r="AE1237" i="5"/>
  <c r="AD1237" i="5"/>
  <c r="E1237" i="5"/>
  <c r="AE1236" i="5"/>
  <c r="AD1236" i="5"/>
  <c r="E1236" i="5"/>
  <c r="AE1235" i="5"/>
  <c r="AD1235" i="5"/>
  <c r="E1235" i="5"/>
  <c r="AE1234" i="5"/>
  <c r="AD1234" i="5"/>
  <c r="E1234" i="5"/>
  <c r="AE1233" i="5"/>
  <c r="AD1233" i="5"/>
  <c r="E1233" i="5"/>
  <c r="AE1232" i="5"/>
  <c r="AD1232" i="5"/>
  <c r="E1232" i="5"/>
  <c r="AE1231" i="5"/>
  <c r="AD1231" i="5"/>
  <c r="E1231" i="5"/>
  <c r="AE1230" i="5"/>
  <c r="AD1230" i="5"/>
  <c r="E1230" i="5"/>
  <c r="AE1229" i="5"/>
  <c r="AD1229" i="5"/>
  <c r="E1229" i="5"/>
  <c r="AE1228" i="5"/>
  <c r="AD1228" i="5"/>
  <c r="E1228" i="5"/>
  <c r="AE1227" i="5"/>
  <c r="AD1227" i="5"/>
  <c r="E1227" i="5"/>
  <c r="AE1226" i="5"/>
  <c r="AD1226" i="5"/>
  <c r="E1226" i="5"/>
  <c r="AE1225" i="5"/>
  <c r="AD1225" i="5"/>
  <c r="E1225" i="5"/>
  <c r="AE1224" i="5"/>
  <c r="AD1224" i="5"/>
  <c r="E1224" i="5"/>
  <c r="AE1223" i="5"/>
  <c r="AD1223" i="5"/>
  <c r="E1223" i="5"/>
  <c r="AE1222" i="5"/>
  <c r="AD1222" i="5"/>
  <c r="E1222" i="5"/>
  <c r="AE1221" i="5"/>
  <c r="AD1221" i="5"/>
  <c r="E1221" i="5"/>
  <c r="AE1220" i="5"/>
  <c r="AD1220" i="5"/>
  <c r="E1220" i="5"/>
  <c r="AE1219" i="5"/>
  <c r="AD1219" i="5"/>
  <c r="E1219" i="5"/>
  <c r="AE1218" i="5"/>
  <c r="AD1218" i="5"/>
  <c r="E1218" i="5"/>
  <c r="AE1217" i="5"/>
  <c r="AD1217" i="5"/>
  <c r="E1217" i="5"/>
  <c r="AE1216" i="5"/>
  <c r="AD1216" i="5"/>
  <c r="E1216" i="5"/>
  <c r="AE1215" i="5"/>
  <c r="AD1215" i="5"/>
  <c r="E1215" i="5"/>
  <c r="AE1214" i="5"/>
  <c r="AD1214" i="5"/>
  <c r="E1214" i="5"/>
  <c r="AE1213" i="5"/>
  <c r="AD1213" i="5"/>
  <c r="E1213" i="5"/>
  <c r="AE1212" i="5"/>
  <c r="AD1212" i="5"/>
  <c r="E1212" i="5"/>
  <c r="AE1211" i="5"/>
  <c r="AD1211" i="5"/>
  <c r="E1211" i="5"/>
  <c r="AE1210" i="5"/>
  <c r="AD1210" i="5"/>
  <c r="E1210" i="5"/>
  <c r="AE1209" i="5"/>
  <c r="AD1209" i="5"/>
  <c r="E1209" i="5"/>
  <c r="AE1208" i="5"/>
  <c r="AD1208" i="5"/>
  <c r="E1208" i="5"/>
  <c r="AE1207" i="5"/>
  <c r="AD1207" i="5"/>
  <c r="E1207" i="5"/>
  <c r="AE1206" i="5"/>
  <c r="AD1206" i="5"/>
  <c r="E1206" i="5"/>
  <c r="AE1205" i="5"/>
  <c r="AD1205" i="5"/>
  <c r="E1205" i="5"/>
  <c r="AE1204" i="5"/>
  <c r="AD1204" i="5"/>
  <c r="E1204" i="5"/>
  <c r="AE1203" i="5"/>
  <c r="AD1203" i="5"/>
  <c r="E1203" i="5"/>
  <c r="AE1202" i="5"/>
  <c r="AD1202" i="5"/>
  <c r="E1202" i="5"/>
  <c r="AE1201" i="5"/>
  <c r="AD1201" i="5"/>
  <c r="E1201" i="5"/>
  <c r="AE1200" i="5"/>
  <c r="AD1200" i="5"/>
  <c r="E1200" i="5"/>
  <c r="AE1199" i="5"/>
  <c r="AD1199" i="5"/>
  <c r="E1199" i="5"/>
  <c r="AE1198" i="5"/>
  <c r="AD1198" i="5"/>
  <c r="E1198" i="5"/>
  <c r="AE1197" i="5"/>
  <c r="AD1197" i="5"/>
  <c r="E1197" i="5"/>
  <c r="AE1196" i="5"/>
  <c r="AD1196" i="5"/>
  <c r="E1196" i="5"/>
  <c r="AE1195" i="5"/>
  <c r="AD1195" i="5"/>
  <c r="E1195" i="5"/>
  <c r="AE1194" i="5"/>
  <c r="AD1194" i="5"/>
  <c r="E1194" i="5"/>
  <c r="AE1193" i="5"/>
  <c r="AD1193" i="5"/>
  <c r="E1193" i="5"/>
  <c r="AE1192" i="5"/>
  <c r="AD1192" i="5"/>
  <c r="E1192" i="5"/>
  <c r="AE1191" i="5"/>
  <c r="AD1191" i="5"/>
  <c r="E1191" i="5"/>
  <c r="AE1190" i="5"/>
  <c r="AD1190" i="5"/>
  <c r="E1190" i="5"/>
  <c r="AE1189" i="5"/>
  <c r="AD1189" i="5"/>
  <c r="E1189" i="5"/>
  <c r="AE1188" i="5"/>
  <c r="AD1188" i="5"/>
  <c r="E1188" i="5"/>
  <c r="AE1187" i="5"/>
  <c r="AD1187" i="5"/>
  <c r="E1187" i="5"/>
  <c r="AE1186" i="5"/>
  <c r="AD1186" i="5"/>
  <c r="E1186" i="5"/>
  <c r="AE1185" i="5"/>
  <c r="AD1185" i="5"/>
  <c r="E1185" i="5"/>
  <c r="AE1184" i="5"/>
  <c r="AD1184" i="5"/>
  <c r="E1184" i="5"/>
  <c r="AE1183" i="5"/>
  <c r="AD1183" i="5"/>
  <c r="E1183" i="5"/>
  <c r="AE1182" i="5"/>
  <c r="AD1182" i="5"/>
  <c r="E1182" i="5"/>
  <c r="AE1181" i="5"/>
  <c r="AD1181" i="5"/>
  <c r="E1181" i="5"/>
  <c r="AE1180" i="5"/>
  <c r="AD1180" i="5"/>
  <c r="E1180" i="5"/>
  <c r="AE1179" i="5"/>
  <c r="AD1179" i="5"/>
  <c r="E1179" i="5"/>
  <c r="AE1178" i="5"/>
  <c r="AD1178" i="5"/>
  <c r="E1178" i="5"/>
  <c r="AE1177" i="5"/>
  <c r="AD1177" i="5"/>
  <c r="E1177" i="5"/>
  <c r="AE1176" i="5"/>
  <c r="AD1176" i="5"/>
  <c r="E1176" i="5"/>
  <c r="AE1175" i="5"/>
  <c r="AD1175" i="5"/>
  <c r="E1175" i="5"/>
  <c r="AE1174" i="5"/>
  <c r="AD1174" i="5"/>
  <c r="E1174" i="5"/>
  <c r="AE1173" i="5"/>
  <c r="AD1173" i="5"/>
  <c r="E1173" i="5"/>
  <c r="AE1172" i="5"/>
  <c r="AD1172" i="5"/>
  <c r="E1172" i="5"/>
  <c r="AE1171" i="5"/>
  <c r="AD1171" i="5"/>
  <c r="E1171" i="5"/>
  <c r="AE1170" i="5"/>
  <c r="AD1170" i="5"/>
  <c r="E1170" i="5"/>
  <c r="AE1169" i="5"/>
  <c r="AD1169" i="5"/>
  <c r="E1169" i="5"/>
  <c r="AE1168" i="5"/>
  <c r="AD1168" i="5"/>
  <c r="E1168" i="5"/>
  <c r="AE1167" i="5"/>
  <c r="AD1167" i="5"/>
  <c r="E1167" i="5"/>
  <c r="AE1166" i="5"/>
  <c r="AD1166" i="5"/>
  <c r="E1166" i="5"/>
  <c r="AE1165" i="5"/>
  <c r="AD1165" i="5"/>
  <c r="E1165" i="5"/>
  <c r="AE1164" i="5"/>
  <c r="AD1164" i="5"/>
  <c r="E1164" i="5"/>
  <c r="AE1163" i="5"/>
  <c r="AD1163" i="5"/>
  <c r="E1163" i="5"/>
  <c r="AE1162" i="5"/>
  <c r="AD1162" i="5"/>
  <c r="E1162" i="5"/>
  <c r="AE1161" i="5"/>
  <c r="AD1161" i="5"/>
  <c r="E1161" i="5"/>
  <c r="AE1160" i="5"/>
  <c r="AD1160" i="5"/>
  <c r="E1160" i="5"/>
  <c r="AE1159" i="5"/>
  <c r="AD1159" i="5"/>
  <c r="E1159" i="5"/>
  <c r="AE1158" i="5"/>
  <c r="AD1158" i="5"/>
  <c r="E1158" i="5"/>
  <c r="AE1157" i="5"/>
  <c r="AD1157" i="5"/>
  <c r="E1157" i="5"/>
  <c r="AE1156" i="5"/>
  <c r="AD1156" i="5"/>
  <c r="E1156" i="5"/>
  <c r="AE1155" i="5"/>
  <c r="AD1155" i="5"/>
  <c r="E1155" i="5"/>
  <c r="AE1154" i="5"/>
  <c r="AD1154" i="5"/>
  <c r="E1154" i="5"/>
  <c r="AE1153" i="5"/>
  <c r="AD1153" i="5"/>
  <c r="E1153" i="5"/>
  <c r="AE1152" i="5"/>
  <c r="AD1152" i="5"/>
  <c r="E1152" i="5"/>
  <c r="AE1151" i="5"/>
  <c r="AD1151" i="5"/>
  <c r="E1151" i="5"/>
  <c r="AE1150" i="5"/>
  <c r="AD1150" i="5"/>
  <c r="E1150" i="5"/>
  <c r="AE1149" i="5"/>
  <c r="AD1149" i="5"/>
  <c r="E1149" i="5"/>
  <c r="AE1148" i="5"/>
  <c r="AD1148" i="5"/>
  <c r="E1148" i="5"/>
  <c r="AE1147" i="5"/>
  <c r="AD1147" i="5"/>
  <c r="E1147" i="5"/>
  <c r="AE1146" i="5"/>
  <c r="AD1146" i="5"/>
  <c r="E1146" i="5"/>
  <c r="AE1145" i="5"/>
  <c r="AD1145" i="5"/>
  <c r="E1145" i="5"/>
  <c r="AE1144" i="5"/>
  <c r="AD1144" i="5"/>
  <c r="E1144" i="5"/>
  <c r="AE1143" i="5"/>
  <c r="AD1143" i="5"/>
  <c r="E1143" i="5"/>
  <c r="AE1142" i="5"/>
  <c r="AD1142" i="5"/>
  <c r="E1142" i="5"/>
  <c r="AE1141" i="5"/>
  <c r="AD1141" i="5"/>
  <c r="E1141" i="5"/>
  <c r="AE1140" i="5"/>
  <c r="AD1140" i="5"/>
  <c r="E1140" i="5"/>
  <c r="AE1139" i="5"/>
  <c r="AD1139" i="5"/>
  <c r="E1139" i="5"/>
  <c r="AE1138" i="5"/>
  <c r="AD1138" i="5"/>
  <c r="E1138" i="5"/>
  <c r="AE1137" i="5"/>
  <c r="AD1137" i="5"/>
  <c r="E1137" i="5"/>
  <c r="AE1136" i="5"/>
  <c r="AD1136" i="5"/>
  <c r="E1136" i="5"/>
  <c r="AE1135" i="5"/>
  <c r="AD1135" i="5"/>
  <c r="E1135" i="5"/>
  <c r="AE1134" i="5"/>
  <c r="AD1134" i="5"/>
  <c r="E1134" i="5"/>
  <c r="AE1133" i="5"/>
  <c r="AD1133" i="5"/>
  <c r="E1133" i="5"/>
  <c r="AE1132" i="5"/>
  <c r="AD1132" i="5"/>
  <c r="E1132" i="5"/>
  <c r="AE1131" i="5"/>
  <c r="AD1131" i="5"/>
  <c r="E1131" i="5"/>
  <c r="AE1130" i="5"/>
  <c r="AD1130" i="5"/>
  <c r="E1130" i="5"/>
  <c r="AE1129" i="5"/>
  <c r="AD1129" i="5"/>
  <c r="E1129" i="5"/>
  <c r="AE1128" i="5"/>
  <c r="AD1128" i="5"/>
  <c r="E1128" i="5"/>
  <c r="AE1127" i="5"/>
  <c r="AD1127" i="5"/>
  <c r="E1127" i="5"/>
  <c r="AE1126" i="5"/>
  <c r="AD1126" i="5"/>
  <c r="E1126" i="5"/>
  <c r="AE1125" i="5"/>
  <c r="AD1125" i="5"/>
  <c r="E1125" i="5"/>
  <c r="AE1124" i="5"/>
  <c r="AD1124" i="5"/>
  <c r="E1124" i="5"/>
  <c r="AE1123" i="5"/>
  <c r="AD1123" i="5"/>
  <c r="E1123" i="5"/>
  <c r="AE1122" i="5"/>
  <c r="AD1122" i="5"/>
  <c r="E1122" i="5"/>
  <c r="AE1121" i="5"/>
  <c r="AD1121" i="5"/>
  <c r="E1121" i="5"/>
  <c r="AE1120" i="5"/>
  <c r="AD1120" i="5"/>
  <c r="E1120" i="5"/>
  <c r="AE1119" i="5"/>
  <c r="AD1119" i="5"/>
  <c r="E1119" i="5"/>
  <c r="AE1118" i="5"/>
  <c r="AD1118" i="5"/>
  <c r="E1118" i="5"/>
  <c r="AE1117" i="5"/>
  <c r="AD1117" i="5"/>
  <c r="E1117" i="5"/>
  <c r="AE1116" i="5"/>
  <c r="AD1116" i="5"/>
  <c r="E1116" i="5"/>
  <c r="AE1115" i="5"/>
  <c r="AD1115" i="5"/>
  <c r="E1115" i="5"/>
  <c r="AE1114" i="5"/>
  <c r="AD1114" i="5"/>
  <c r="E1114" i="5"/>
  <c r="AE1113" i="5"/>
  <c r="AD1113" i="5"/>
  <c r="E1113" i="5"/>
  <c r="AE1112" i="5"/>
  <c r="AD1112" i="5"/>
  <c r="E1112" i="5"/>
  <c r="AE1111" i="5"/>
  <c r="AD1111" i="5"/>
  <c r="E1111" i="5"/>
  <c r="AE1110" i="5"/>
  <c r="AD1110" i="5"/>
  <c r="E1110" i="5"/>
  <c r="AE1109" i="5"/>
  <c r="AD1109" i="5"/>
  <c r="E1109" i="5"/>
  <c r="AE1108" i="5"/>
  <c r="AD1108" i="5"/>
  <c r="E1108" i="5"/>
  <c r="AE1107" i="5"/>
  <c r="AD1107" i="5"/>
  <c r="E1107" i="5"/>
  <c r="AE1106" i="5"/>
  <c r="AD1106" i="5"/>
  <c r="E1106" i="5"/>
  <c r="AE1105" i="5"/>
  <c r="AD1105" i="5"/>
  <c r="E1105" i="5"/>
  <c r="AE1104" i="5"/>
  <c r="AD1104" i="5"/>
  <c r="E1104" i="5"/>
  <c r="AE1103" i="5"/>
  <c r="AD1103" i="5"/>
  <c r="E1103" i="5"/>
  <c r="AE1102" i="5"/>
  <c r="AD1102" i="5"/>
  <c r="E1102" i="5"/>
  <c r="AE1101" i="5"/>
  <c r="AD1101" i="5"/>
  <c r="E1101" i="5"/>
  <c r="AE1100" i="5"/>
  <c r="AD1100" i="5"/>
  <c r="E1100" i="5"/>
  <c r="AE1099" i="5"/>
  <c r="AD1099" i="5"/>
  <c r="E1099" i="5"/>
  <c r="AE1098" i="5"/>
  <c r="AD1098" i="5"/>
  <c r="E1098" i="5"/>
  <c r="AE1097" i="5"/>
  <c r="AD1097" i="5"/>
  <c r="E1097" i="5"/>
  <c r="AE1096" i="5"/>
  <c r="AD1096" i="5"/>
  <c r="E1096" i="5"/>
  <c r="AE1095" i="5"/>
  <c r="AD1095" i="5"/>
  <c r="E1095" i="5"/>
  <c r="AE1094" i="5"/>
  <c r="AD1094" i="5"/>
  <c r="E1094" i="5"/>
  <c r="AE1093" i="5"/>
  <c r="AD1093" i="5"/>
  <c r="E1093" i="5"/>
  <c r="AE1092" i="5"/>
  <c r="AD1092" i="5"/>
  <c r="E1092" i="5"/>
  <c r="AE1091" i="5"/>
  <c r="AD1091" i="5"/>
  <c r="E1091" i="5"/>
  <c r="AE1090" i="5"/>
  <c r="AD1090" i="5"/>
  <c r="E1090" i="5"/>
  <c r="AE1089" i="5"/>
  <c r="AD1089" i="5"/>
  <c r="E1089" i="5"/>
  <c r="AE1088" i="5"/>
  <c r="AD1088" i="5"/>
  <c r="E1088" i="5"/>
  <c r="AE1087" i="5"/>
  <c r="AD1087" i="5"/>
  <c r="E1087" i="5"/>
  <c r="AE1086" i="5"/>
  <c r="AD1086" i="5"/>
  <c r="E1086" i="5"/>
  <c r="AE1085" i="5"/>
  <c r="AD1085" i="5"/>
  <c r="E1085" i="5"/>
  <c r="AE1084" i="5"/>
  <c r="AD1084" i="5"/>
  <c r="E1084" i="5"/>
  <c r="AE1083" i="5"/>
  <c r="AD1083" i="5"/>
  <c r="E1083" i="5"/>
  <c r="AE1082" i="5"/>
  <c r="AD1082" i="5"/>
  <c r="E1082" i="5"/>
  <c r="AE1081" i="5"/>
  <c r="AD1081" i="5"/>
  <c r="E1081" i="5"/>
  <c r="AE1080" i="5"/>
  <c r="AD1080" i="5"/>
  <c r="E1080" i="5"/>
  <c r="AE1079" i="5"/>
  <c r="AD1079" i="5"/>
  <c r="E1079" i="5"/>
  <c r="AE1078" i="5"/>
  <c r="AD1078" i="5"/>
  <c r="E1078" i="5"/>
  <c r="AE1077" i="5"/>
  <c r="AD1077" i="5"/>
  <c r="E1077" i="5"/>
  <c r="AE1076" i="5"/>
  <c r="AD1076" i="5"/>
  <c r="E1076" i="5"/>
  <c r="AE1075" i="5"/>
  <c r="AD1075" i="5"/>
  <c r="E1075" i="5"/>
  <c r="AE1074" i="5"/>
  <c r="AD1074" i="5"/>
  <c r="E1074" i="5"/>
  <c r="AE1073" i="5"/>
  <c r="AD1073" i="5"/>
  <c r="E1073" i="5"/>
  <c r="AE1072" i="5"/>
  <c r="AD1072" i="5"/>
  <c r="E1072" i="5"/>
  <c r="AE1071" i="5"/>
  <c r="AD1071" i="5"/>
  <c r="E1071" i="5"/>
  <c r="AE1070" i="5"/>
  <c r="AD1070" i="5"/>
  <c r="E1070" i="5"/>
  <c r="AE1069" i="5"/>
  <c r="AD1069" i="5"/>
  <c r="E1069" i="5"/>
  <c r="AE1068" i="5"/>
  <c r="AD1068" i="5"/>
  <c r="E1068" i="5"/>
  <c r="AE1067" i="5"/>
  <c r="AD1067" i="5"/>
  <c r="E1067" i="5"/>
  <c r="AE1066" i="5"/>
  <c r="AD1066" i="5"/>
  <c r="E1066" i="5"/>
  <c r="AE1065" i="5"/>
  <c r="AD1065" i="5"/>
  <c r="E1065" i="5"/>
  <c r="AE1064" i="5"/>
  <c r="AD1064" i="5"/>
  <c r="E1064" i="5"/>
  <c r="AE1063" i="5"/>
  <c r="AD1063" i="5"/>
  <c r="E1063" i="5"/>
  <c r="AE1062" i="5"/>
  <c r="AD1062" i="5"/>
  <c r="E1062" i="5"/>
  <c r="AE1061" i="5"/>
  <c r="AD1061" i="5"/>
  <c r="E1061" i="5"/>
  <c r="AE1060" i="5"/>
  <c r="AD1060" i="5"/>
  <c r="E1060" i="5"/>
  <c r="AE1059" i="5"/>
  <c r="AD1059" i="5"/>
  <c r="E1059" i="5"/>
  <c r="AE1058" i="5"/>
  <c r="AD1058" i="5"/>
  <c r="E1058" i="5"/>
  <c r="AE1057" i="5"/>
  <c r="AD1057" i="5"/>
  <c r="E1057" i="5"/>
  <c r="AE1056" i="5"/>
  <c r="AD1056" i="5"/>
  <c r="E1056" i="5"/>
  <c r="AE1055" i="5"/>
  <c r="AD1055" i="5"/>
  <c r="E1055" i="5"/>
  <c r="AE1054" i="5"/>
  <c r="AD1054" i="5"/>
  <c r="E1054" i="5"/>
  <c r="AE1053" i="5"/>
  <c r="AD1053" i="5"/>
  <c r="E1053" i="5"/>
  <c r="AE1052" i="5"/>
  <c r="AD1052" i="5"/>
  <c r="E1052" i="5"/>
  <c r="AE1051" i="5"/>
  <c r="AD1051" i="5"/>
  <c r="E1051" i="5"/>
  <c r="AE1050" i="5"/>
  <c r="AD1050" i="5"/>
  <c r="E1050" i="5"/>
  <c r="AE1049" i="5"/>
  <c r="AD1049" i="5"/>
  <c r="E1049" i="5"/>
  <c r="AE1048" i="5"/>
  <c r="AD1048" i="5"/>
  <c r="E1048" i="5"/>
  <c r="AE1047" i="5"/>
  <c r="AD1047" i="5"/>
  <c r="E1047" i="5"/>
  <c r="AE1046" i="5"/>
  <c r="AD1046" i="5"/>
  <c r="E1046" i="5"/>
  <c r="AE1045" i="5"/>
  <c r="AD1045" i="5"/>
  <c r="E1045" i="5"/>
  <c r="AE1044" i="5"/>
  <c r="AD1044" i="5"/>
  <c r="E1044" i="5"/>
  <c r="AE1043" i="5"/>
  <c r="AD1043" i="5"/>
  <c r="E1043" i="5"/>
  <c r="AE1042" i="5"/>
  <c r="AD1042" i="5"/>
  <c r="E1042" i="5"/>
  <c r="AE1041" i="5"/>
  <c r="AD1041" i="5"/>
  <c r="E1041" i="5"/>
  <c r="AE1040" i="5"/>
  <c r="AD1040" i="5"/>
  <c r="E1040" i="5"/>
  <c r="AE1039" i="5"/>
  <c r="AD1039" i="5"/>
  <c r="E1039" i="5"/>
  <c r="AE1038" i="5"/>
  <c r="AD1038" i="5"/>
  <c r="E1038" i="5"/>
  <c r="AE1037" i="5"/>
  <c r="AD1037" i="5"/>
  <c r="E1037" i="5"/>
  <c r="AE1036" i="5"/>
  <c r="AD1036" i="5"/>
  <c r="E1036" i="5"/>
  <c r="AE1035" i="5"/>
  <c r="AD1035" i="5"/>
  <c r="E1035" i="5"/>
  <c r="AE1034" i="5"/>
  <c r="AD1034" i="5"/>
  <c r="E1034" i="5"/>
  <c r="AE1033" i="5"/>
  <c r="AD1033" i="5"/>
  <c r="E1033" i="5"/>
  <c r="AE1032" i="5"/>
  <c r="AD1032" i="5"/>
  <c r="E1032" i="5"/>
  <c r="AE1031" i="5"/>
  <c r="AD1031" i="5"/>
  <c r="E1031" i="5"/>
  <c r="AE1030" i="5"/>
  <c r="AD1030" i="5"/>
  <c r="E1030" i="5"/>
  <c r="AE1029" i="5"/>
  <c r="AD1029" i="5"/>
  <c r="E1029" i="5"/>
  <c r="AE1028" i="5"/>
  <c r="AD1028" i="5"/>
  <c r="E1028" i="5"/>
  <c r="AE1027" i="5"/>
  <c r="AD1027" i="5"/>
  <c r="E1027" i="5"/>
  <c r="AE1026" i="5"/>
  <c r="AD1026" i="5"/>
  <c r="E1026" i="5"/>
  <c r="AE1025" i="5"/>
  <c r="AD1025" i="5"/>
  <c r="E1025" i="5"/>
  <c r="AE1024" i="5"/>
  <c r="AD1024" i="5"/>
  <c r="E1024" i="5"/>
  <c r="AE1023" i="5"/>
  <c r="AD1023" i="5"/>
  <c r="E1023" i="5"/>
  <c r="AE1022" i="5"/>
  <c r="AD1022" i="5"/>
  <c r="E1022" i="5"/>
  <c r="AE1021" i="5"/>
  <c r="AD1021" i="5"/>
  <c r="E1021" i="5"/>
  <c r="AE1020" i="5"/>
  <c r="AD1020" i="5"/>
  <c r="E1020" i="5"/>
  <c r="AE1019" i="5"/>
  <c r="AD1019" i="5"/>
  <c r="E1019" i="5"/>
  <c r="AE1018" i="5"/>
  <c r="AD1018" i="5"/>
  <c r="E1018" i="5"/>
  <c r="AE1017" i="5"/>
  <c r="AD1017" i="5"/>
  <c r="E1017" i="5"/>
  <c r="AE1016" i="5"/>
  <c r="AD1016" i="5"/>
  <c r="E1016" i="5"/>
  <c r="AE1015" i="5"/>
  <c r="AD1015" i="5"/>
  <c r="E1015" i="5"/>
  <c r="AE1014" i="5"/>
  <c r="AD1014" i="5"/>
  <c r="E1014" i="5"/>
  <c r="AE1013" i="5"/>
  <c r="AD1013" i="5"/>
  <c r="E1013" i="5"/>
  <c r="AE1012" i="5"/>
  <c r="AD1012" i="5"/>
  <c r="E1012" i="5"/>
  <c r="AE1011" i="5"/>
  <c r="AD1011" i="5"/>
  <c r="E1011" i="5"/>
  <c r="AE1010" i="5"/>
  <c r="AD1010" i="5"/>
  <c r="E1010" i="5"/>
  <c r="AE1009" i="5"/>
  <c r="AD1009" i="5"/>
  <c r="E1009" i="5"/>
  <c r="AE1008" i="5"/>
  <c r="AD1008" i="5"/>
  <c r="E1008" i="5"/>
  <c r="AE1007" i="5"/>
  <c r="AD1007" i="5"/>
  <c r="E1007" i="5"/>
  <c r="AE1006" i="5"/>
  <c r="AD1006" i="5"/>
  <c r="E1006" i="5"/>
  <c r="AE1005" i="5"/>
  <c r="AD1005" i="5"/>
  <c r="E1005" i="5"/>
  <c r="AE1004" i="5"/>
  <c r="AD1004" i="5"/>
  <c r="E1004" i="5"/>
  <c r="AE1003" i="5"/>
  <c r="AD1003" i="5"/>
  <c r="E1003" i="5"/>
  <c r="AE1002" i="5"/>
  <c r="AD1002" i="5"/>
  <c r="E1002" i="5"/>
  <c r="AE1001" i="5"/>
  <c r="AD1001" i="5"/>
  <c r="E1001" i="5"/>
  <c r="AE1000" i="5"/>
  <c r="AD1000" i="5"/>
  <c r="E1000" i="5"/>
  <c r="AE999" i="5"/>
  <c r="AD999" i="5"/>
  <c r="E999" i="5"/>
  <c r="AE998" i="5"/>
  <c r="AD998" i="5"/>
  <c r="E998" i="5"/>
  <c r="AE997" i="5"/>
  <c r="AD997" i="5"/>
  <c r="E997" i="5"/>
  <c r="AE996" i="5"/>
  <c r="AD996" i="5"/>
  <c r="E996" i="5"/>
  <c r="AE995" i="5"/>
  <c r="AD995" i="5"/>
  <c r="E995" i="5"/>
  <c r="AE994" i="5"/>
  <c r="AD994" i="5"/>
  <c r="E994" i="5"/>
  <c r="AE993" i="5"/>
  <c r="AD993" i="5"/>
  <c r="E993" i="5"/>
  <c r="AE992" i="5"/>
  <c r="AD992" i="5"/>
  <c r="E992" i="5"/>
  <c r="AE991" i="5"/>
  <c r="AD991" i="5"/>
  <c r="E991" i="5"/>
  <c r="AE990" i="5"/>
  <c r="AD990" i="5"/>
  <c r="E990" i="5"/>
  <c r="AE989" i="5"/>
  <c r="AD989" i="5"/>
  <c r="E989" i="5"/>
  <c r="AE988" i="5"/>
  <c r="AD988" i="5"/>
  <c r="E988" i="5"/>
  <c r="AE987" i="5"/>
  <c r="AD987" i="5"/>
  <c r="E987" i="5"/>
  <c r="AE986" i="5"/>
  <c r="AD986" i="5"/>
  <c r="E986" i="5"/>
  <c r="AE985" i="5"/>
  <c r="AD985" i="5"/>
  <c r="E985" i="5"/>
  <c r="AE984" i="5"/>
  <c r="AD984" i="5"/>
  <c r="E984" i="5"/>
  <c r="AE983" i="5"/>
  <c r="AD983" i="5"/>
  <c r="E983" i="5"/>
  <c r="AE982" i="5"/>
  <c r="AD982" i="5"/>
  <c r="E982" i="5"/>
  <c r="AE981" i="5"/>
  <c r="AD981" i="5"/>
  <c r="E981" i="5"/>
  <c r="AE980" i="5"/>
  <c r="AD980" i="5"/>
  <c r="E980" i="5"/>
  <c r="AE979" i="5"/>
  <c r="AD979" i="5"/>
  <c r="E979" i="5"/>
  <c r="AE978" i="5"/>
  <c r="AD978" i="5"/>
  <c r="E978" i="5"/>
  <c r="AE977" i="5"/>
  <c r="AD977" i="5"/>
  <c r="E977" i="5"/>
  <c r="AE976" i="5"/>
  <c r="AD976" i="5"/>
  <c r="E976" i="5"/>
  <c r="AE975" i="5"/>
  <c r="AD975" i="5"/>
  <c r="E975" i="5"/>
  <c r="AE974" i="5"/>
  <c r="AD974" i="5"/>
  <c r="E974" i="5"/>
  <c r="AE973" i="5"/>
  <c r="AD973" i="5"/>
  <c r="E973" i="5"/>
  <c r="AE972" i="5"/>
  <c r="AD972" i="5"/>
  <c r="E972" i="5"/>
  <c r="AE971" i="5"/>
  <c r="AD971" i="5"/>
  <c r="E971" i="5"/>
  <c r="AE970" i="5"/>
  <c r="AD970" i="5"/>
  <c r="E970" i="5"/>
  <c r="AE969" i="5"/>
  <c r="AD969" i="5"/>
  <c r="E969" i="5"/>
  <c r="AE968" i="5"/>
  <c r="AD968" i="5"/>
  <c r="E968" i="5"/>
  <c r="AE967" i="5"/>
  <c r="AD967" i="5"/>
  <c r="E967" i="5"/>
  <c r="AE966" i="5"/>
  <c r="AD966" i="5"/>
  <c r="E966" i="5"/>
  <c r="AE965" i="5"/>
  <c r="AD965" i="5"/>
  <c r="E965" i="5"/>
  <c r="AE964" i="5"/>
  <c r="AD964" i="5"/>
  <c r="E964" i="5"/>
  <c r="AE963" i="5"/>
  <c r="AD963" i="5"/>
  <c r="E963" i="5"/>
  <c r="AE962" i="5"/>
  <c r="AD962" i="5"/>
  <c r="E962" i="5"/>
  <c r="AE961" i="5"/>
  <c r="AD961" i="5"/>
  <c r="E961" i="5"/>
  <c r="AE960" i="5"/>
  <c r="AD960" i="5"/>
  <c r="E960" i="5"/>
  <c r="AE959" i="5"/>
  <c r="AD959" i="5"/>
  <c r="E959" i="5"/>
  <c r="AE958" i="5"/>
  <c r="AD958" i="5"/>
  <c r="E958" i="5"/>
  <c r="AE957" i="5"/>
  <c r="AD957" i="5"/>
  <c r="E957" i="5"/>
  <c r="AE956" i="5"/>
  <c r="AD956" i="5"/>
  <c r="E956" i="5"/>
  <c r="AE955" i="5"/>
  <c r="AD955" i="5"/>
  <c r="E955" i="5"/>
  <c r="AE954" i="5"/>
  <c r="AD954" i="5"/>
  <c r="E954" i="5"/>
  <c r="AE953" i="5"/>
  <c r="AD953" i="5"/>
  <c r="E953" i="5"/>
  <c r="AE952" i="5"/>
  <c r="AD952" i="5"/>
  <c r="E952" i="5"/>
  <c r="AE951" i="5"/>
  <c r="AD951" i="5"/>
  <c r="E951" i="5"/>
  <c r="AE950" i="5"/>
  <c r="AD950" i="5"/>
  <c r="E950" i="5"/>
  <c r="AE949" i="5"/>
  <c r="AD949" i="5"/>
  <c r="E949" i="5"/>
  <c r="AE948" i="5"/>
  <c r="AD948" i="5"/>
  <c r="E948" i="5"/>
  <c r="AE947" i="5"/>
  <c r="AD947" i="5"/>
  <c r="E947" i="5"/>
  <c r="AE946" i="5"/>
  <c r="AD946" i="5"/>
  <c r="E946" i="5"/>
  <c r="AE945" i="5"/>
  <c r="AD945" i="5"/>
  <c r="E945" i="5"/>
  <c r="AE944" i="5"/>
  <c r="AD944" i="5"/>
  <c r="E944" i="5"/>
  <c r="AE943" i="5"/>
  <c r="AD943" i="5"/>
  <c r="E943" i="5"/>
  <c r="AE942" i="5"/>
  <c r="AD942" i="5"/>
  <c r="E942" i="5"/>
  <c r="AE941" i="5"/>
  <c r="AD941" i="5"/>
  <c r="E941" i="5"/>
  <c r="AE940" i="5"/>
  <c r="AD940" i="5"/>
  <c r="E940" i="5"/>
  <c r="AE939" i="5"/>
  <c r="AD939" i="5"/>
  <c r="E939" i="5"/>
  <c r="AE938" i="5"/>
  <c r="AD938" i="5"/>
  <c r="E938" i="5"/>
  <c r="AE937" i="5"/>
  <c r="AD937" i="5"/>
  <c r="E937" i="5"/>
  <c r="AE936" i="5"/>
  <c r="AD936" i="5"/>
  <c r="E936" i="5"/>
  <c r="AE935" i="5"/>
  <c r="AD935" i="5"/>
  <c r="E935" i="5"/>
  <c r="AE934" i="5"/>
  <c r="AD934" i="5"/>
  <c r="E934" i="5"/>
  <c r="AE933" i="5"/>
  <c r="AD933" i="5"/>
  <c r="E933" i="5"/>
  <c r="AE932" i="5"/>
  <c r="AD932" i="5"/>
  <c r="E932" i="5"/>
  <c r="AE931" i="5"/>
  <c r="AD931" i="5"/>
  <c r="E931" i="5"/>
  <c r="AE930" i="5"/>
  <c r="AD930" i="5"/>
  <c r="E930" i="5"/>
  <c r="AE929" i="5"/>
  <c r="AD929" i="5"/>
  <c r="E929" i="5"/>
  <c r="AE928" i="5"/>
  <c r="AD928" i="5"/>
  <c r="E928" i="5"/>
  <c r="AE927" i="5"/>
  <c r="AD927" i="5"/>
  <c r="E927" i="5"/>
  <c r="AE926" i="5"/>
  <c r="AD926" i="5"/>
  <c r="E926" i="5"/>
  <c r="AE925" i="5"/>
  <c r="AD925" i="5"/>
  <c r="E925" i="5"/>
  <c r="AE924" i="5"/>
  <c r="AD924" i="5"/>
  <c r="E924" i="5"/>
  <c r="AE923" i="5"/>
  <c r="AD923" i="5"/>
  <c r="E923" i="5"/>
  <c r="AE922" i="5"/>
  <c r="AD922" i="5"/>
  <c r="E922" i="5"/>
  <c r="AE921" i="5"/>
  <c r="AD921" i="5"/>
  <c r="E921" i="5"/>
  <c r="AE920" i="5"/>
  <c r="AD920" i="5"/>
  <c r="E920" i="5"/>
  <c r="AE919" i="5"/>
  <c r="AD919" i="5"/>
  <c r="E919" i="5"/>
  <c r="AE918" i="5"/>
  <c r="AD918" i="5"/>
  <c r="E918" i="5"/>
  <c r="AE917" i="5"/>
  <c r="AD917" i="5"/>
  <c r="E917" i="5"/>
  <c r="AE916" i="5"/>
  <c r="AD916" i="5"/>
  <c r="E916" i="5"/>
  <c r="AE915" i="5"/>
  <c r="AD915" i="5"/>
  <c r="E915" i="5"/>
  <c r="AE914" i="5"/>
  <c r="AD914" i="5"/>
  <c r="E914" i="5"/>
  <c r="AE913" i="5"/>
  <c r="AD913" i="5"/>
  <c r="E913" i="5"/>
  <c r="AE912" i="5"/>
  <c r="AD912" i="5"/>
  <c r="E912" i="5"/>
  <c r="AE911" i="5"/>
  <c r="AD911" i="5"/>
  <c r="E911" i="5"/>
  <c r="AE910" i="5"/>
  <c r="AD910" i="5"/>
  <c r="E910" i="5"/>
  <c r="AE909" i="5"/>
  <c r="AD909" i="5"/>
  <c r="E909" i="5"/>
  <c r="AE908" i="5"/>
  <c r="AD908" i="5"/>
  <c r="E908" i="5"/>
  <c r="AE907" i="5"/>
  <c r="AD907" i="5"/>
  <c r="E907" i="5"/>
  <c r="AE906" i="5"/>
  <c r="AD906" i="5"/>
  <c r="E906" i="5"/>
  <c r="AE905" i="5"/>
  <c r="AD905" i="5"/>
  <c r="E905" i="5"/>
  <c r="AE904" i="5"/>
  <c r="AD904" i="5"/>
  <c r="E904" i="5"/>
  <c r="AE903" i="5"/>
  <c r="AD903" i="5"/>
  <c r="E903" i="5"/>
  <c r="AE902" i="5"/>
  <c r="AD902" i="5"/>
  <c r="E902" i="5"/>
  <c r="AE901" i="5"/>
  <c r="AD901" i="5"/>
  <c r="E901" i="5"/>
  <c r="AE900" i="5"/>
  <c r="AD900" i="5"/>
  <c r="E900" i="5"/>
  <c r="AE899" i="5"/>
  <c r="AD899" i="5"/>
  <c r="E899" i="5"/>
  <c r="AE898" i="5"/>
  <c r="AD898" i="5"/>
  <c r="E898" i="5"/>
  <c r="AE897" i="5"/>
  <c r="AD897" i="5"/>
  <c r="E897" i="5"/>
  <c r="AE896" i="5"/>
  <c r="AD896" i="5"/>
  <c r="E896" i="5"/>
  <c r="AE895" i="5"/>
  <c r="AD895" i="5"/>
  <c r="E895" i="5"/>
  <c r="AE894" i="5"/>
  <c r="AD894" i="5"/>
  <c r="E894" i="5"/>
  <c r="AE893" i="5"/>
  <c r="AD893" i="5"/>
  <c r="E893" i="5"/>
  <c r="AE892" i="5"/>
  <c r="AD892" i="5"/>
  <c r="E892" i="5"/>
  <c r="AE891" i="5"/>
  <c r="AD891" i="5"/>
  <c r="E891" i="5"/>
  <c r="AE890" i="5"/>
  <c r="AD890" i="5"/>
  <c r="E890" i="5"/>
  <c r="AE889" i="5"/>
  <c r="AD889" i="5"/>
  <c r="E889" i="5"/>
  <c r="AE888" i="5"/>
  <c r="AD888" i="5"/>
  <c r="E888" i="5"/>
  <c r="AE887" i="5"/>
  <c r="AD887" i="5"/>
  <c r="E887" i="5"/>
  <c r="AE886" i="5"/>
  <c r="AD886" i="5"/>
  <c r="E886" i="5"/>
  <c r="AE885" i="5"/>
  <c r="AD885" i="5"/>
  <c r="E885" i="5"/>
  <c r="AE884" i="5"/>
  <c r="AD884" i="5"/>
  <c r="E884" i="5"/>
  <c r="AE883" i="5"/>
  <c r="AD883" i="5"/>
  <c r="E883" i="5"/>
  <c r="AE882" i="5"/>
  <c r="AD882" i="5"/>
  <c r="E882" i="5"/>
  <c r="AE881" i="5"/>
  <c r="AD881" i="5"/>
  <c r="E881" i="5"/>
  <c r="AE880" i="5"/>
  <c r="AD880" i="5"/>
  <c r="E880" i="5"/>
  <c r="AE879" i="5"/>
  <c r="AD879" i="5"/>
  <c r="E879" i="5"/>
  <c r="AE878" i="5"/>
  <c r="AD878" i="5"/>
  <c r="E878" i="5"/>
  <c r="AE877" i="5"/>
  <c r="AD877" i="5"/>
  <c r="E877" i="5"/>
  <c r="AE876" i="5"/>
  <c r="AD876" i="5"/>
  <c r="E876" i="5"/>
  <c r="AE875" i="5"/>
  <c r="AD875" i="5"/>
  <c r="E875" i="5"/>
  <c r="AE874" i="5"/>
  <c r="AD874" i="5"/>
  <c r="E874" i="5"/>
  <c r="AE873" i="5"/>
  <c r="AD873" i="5"/>
  <c r="E873" i="5"/>
  <c r="AE872" i="5"/>
  <c r="AD872" i="5"/>
  <c r="E872" i="5"/>
  <c r="AE871" i="5"/>
  <c r="AD871" i="5"/>
  <c r="E871" i="5"/>
  <c r="AE870" i="5"/>
  <c r="AD870" i="5"/>
  <c r="E870" i="5"/>
  <c r="AE869" i="5"/>
  <c r="AD869" i="5"/>
  <c r="E869" i="5"/>
  <c r="AE868" i="5"/>
  <c r="AD868" i="5"/>
  <c r="E868" i="5"/>
  <c r="AE867" i="5"/>
  <c r="AD867" i="5"/>
  <c r="E867" i="5"/>
  <c r="AE866" i="5"/>
  <c r="AD866" i="5"/>
  <c r="E866" i="5"/>
  <c r="AE865" i="5"/>
  <c r="AD865" i="5"/>
  <c r="E865" i="5"/>
  <c r="AE864" i="5"/>
  <c r="AD864" i="5"/>
  <c r="E864" i="5"/>
  <c r="AE863" i="5"/>
  <c r="AD863" i="5"/>
  <c r="E863" i="5"/>
  <c r="AE862" i="5"/>
  <c r="AD862" i="5"/>
  <c r="E862" i="5"/>
  <c r="AE861" i="5"/>
  <c r="AD861" i="5"/>
  <c r="E861" i="5"/>
  <c r="AE860" i="5"/>
  <c r="AD860" i="5"/>
  <c r="E860" i="5"/>
  <c r="AE859" i="5"/>
  <c r="AD859" i="5"/>
  <c r="E859" i="5"/>
  <c r="AE858" i="5"/>
  <c r="AD858" i="5"/>
  <c r="E858" i="5"/>
  <c r="AE857" i="5"/>
  <c r="AD857" i="5"/>
  <c r="E857" i="5"/>
  <c r="AE856" i="5"/>
  <c r="AD856" i="5"/>
  <c r="E856" i="5"/>
  <c r="AE855" i="5"/>
  <c r="AD855" i="5"/>
  <c r="E855" i="5"/>
  <c r="AE854" i="5"/>
  <c r="AD854" i="5"/>
  <c r="E854" i="5"/>
  <c r="AE853" i="5"/>
  <c r="AD853" i="5"/>
  <c r="E853" i="5"/>
  <c r="AE852" i="5"/>
  <c r="AD852" i="5"/>
  <c r="E852" i="5"/>
  <c r="AE851" i="5"/>
  <c r="AD851" i="5"/>
  <c r="E851" i="5"/>
  <c r="AE850" i="5"/>
  <c r="AD850" i="5"/>
  <c r="E850" i="5"/>
  <c r="AE849" i="5"/>
  <c r="AD849" i="5"/>
  <c r="E849" i="5"/>
  <c r="AE848" i="5"/>
  <c r="AD848" i="5"/>
  <c r="E848" i="5"/>
  <c r="AE847" i="5"/>
  <c r="AD847" i="5"/>
  <c r="E847" i="5"/>
  <c r="AE846" i="5"/>
  <c r="AD846" i="5"/>
  <c r="E846" i="5"/>
  <c r="AE845" i="5"/>
  <c r="AD845" i="5"/>
  <c r="E845" i="5"/>
  <c r="AE844" i="5"/>
  <c r="AD844" i="5"/>
  <c r="E844" i="5"/>
  <c r="AE843" i="5"/>
  <c r="AD843" i="5"/>
  <c r="E843" i="5"/>
  <c r="AE842" i="5"/>
  <c r="AD842" i="5"/>
  <c r="E842" i="5"/>
  <c r="AE841" i="5"/>
  <c r="AD841" i="5"/>
  <c r="E841" i="5"/>
  <c r="AE840" i="5"/>
  <c r="AD840" i="5"/>
  <c r="E840" i="5"/>
  <c r="AE839" i="5"/>
  <c r="AD839" i="5"/>
  <c r="E839" i="5"/>
  <c r="AE838" i="5"/>
  <c r="AD838" i="5"/>
  <c r="E838" i="5"/>
  <c r="AE837" i="5"/>
  <c r="AD837" i="5"/>
  <c r="E837" i="5"/>
  <c r="AE836" i="5"/>
  <c r="AD836" i="5"/>
  <c r="E836" i="5"/>
  <c r="AE835" i="5"/>
  <c r="AD835" i="5"/>
  <c r="E835" i="5"/>
  <c r="AE834" i="5"/>
  <c r="AD834" i="5"/>
  <c r="E834" i="5"/>
  <c r="AE833" i="5"/>
  <c r="AD833" i="5"/>
  <c r="E833" i="5"/>
  <c r="AE832" i="5"/>
  <c r="AD832" i="5"/>
  <c r="E832" i="5"/>
  <c r="AE831" i="5"/>
  <c r="AD831" i="5"/>
  <c r="E831" i="5"/>
  <c r="AE830" i="5"/>
  <c r="AD830" i="5"/>
  <c r="E830" i="5"/>
  <c r="AE829" i="5"/>
  <c r="AD829" i="5"/>
  <c r="E829" i="5"/>
  <c r="AE828" i="5"/>
  <c r="AD828" i="5"/>
  <c r="E828" i="5"/>
  <c r="AE827" i="5"/>
  <c r="AD827" i="5"/>
  <c r="E827" i="5"/>
  <c r="AE826" i="5"/>
  <c r="AD826" i="5"/>
  <c r="E826" i="5"/>
  <c r="AE825" i="5"/>
  <c r="AD825" i="5"/>
  <c r="E825" i="5"/>
  <c r="AE824" i="5"/>
  <c r="AD824" i="5"/>
  <c r="E824" i="5"/>
  <c r="AE823" i="5"/>
  <c r="AD823" i="5"/>
  <c r="E823" i="5"/>
  <c r="AE822" i="5"/>
  <c r="AD822" i="5"/>
  <c r="E822" i="5"/>
  <c r="AE821" i="5"/>
  <c r="AD821" i="5"/>
  <c r="E821" i="5"/>
  <c r="AE820" i="5"/>
  <c r="AD820" i="5"/>
  <c r="E820" i="5"/>
  <c r="AE819" i="5"/>
  <c r="AD819" i="5"/>
  <c r="E819" i="5"/>
  <c r="AE818" i="5"/>
  <c r="AD818" i="5"/>
  <c r="E818" i="5"/>
  <c r="AE817" i="5"/>
  <c r="AD817" i="5"/>
  <c r="E817" i="5"/>
  <c r="AE816" i="5"/>
  <c r="AD816" i="5"/>
  <c r="E816" i="5"/>
  <c r="AE815" i="5"/>
  <c r="AD815" i="5"/>
  <c r="E815" i="5"/>
  <c r="AE814" i="5"/>
  <c r="AD814" i="5"/>
  <c r="E814" i="5"/>
  <c r="AE813" i="5"/>
  <c r="AD813" i="5"/>
  <c r="E813" i="5"/>
  <c r="AE812" i="5"/>
  <c r="AD812" i="5"/>
  <c r="E812" i="5"/>
  <c r="AE811" i="5"/>
  <c r="AD811" i="5"/>
  <c r="E811" i="5"/>
  <c r="AE810" i="5"/>
  <c r="AD810" i="5"/>
  <c r="E810" i="5"/>
  <c r="AE809" i="5"/>
  <c r="AD809" i="5"/>
  <c r="E809" i="5"/>
  <c r="AE808" i="5"/>
  <c r="AD808" i="5"/>
  <c r="E808" i="5"/>
  <c r="AE807" i="5"/>
  <c r="AD807" i="5"/>
  <c r="E807" i="5"/>
  <c r="AE806" i="5"/>
  <c r="AD806" i="5"/>
  <c r="E806" i="5"/>
  <c r="AE805" i="5"/>
  <c r="AD805" i="5"/>
  <c r="E805" i="5"/>
  <c r="AE804" i="5"/>
  <c r="AD804" i="5"/>
  <c r="E804" i="5"/>
  <c r="AE803" i="5"/>
  <c r="AD803" i="5"/>
  <c r="E803" i="5"/>
  <c r="AE802" i="5"/>
  <c r="AD802" i="5"/>
  <c r="E802" i="5"/>
  <c r="AE801" i="5"/>
  <c r="AD801" i="5"/>
  <c r="E801" i="5"/>
  <c r="AE800" i="5"/>
  <c r="AD800" i="5"/>
  <c r="E800" i="5"/>
  <c r="AE799" i="5"/>
  <c r="AD799" i="5"/>
  <c r="E799" i="5"/>
  <c r="AE798" i="5"/>
  <c r="AD798" i="5"/>
  <c r="E798" i="5"/>
  <c r="AE797" i="5"/>
  <c r="AD797" i="5"/>
  <c r="E797" i="5"/>
  <c r="AE796" i="5"/>
  <c r="AD796" i="5"/>
  <c r="E796" i="5"/>
  <c r="AE795" i="5"/>
  <c r="AD795" i="5"/>
  <c r="E795" i="5"/>
  <c r="AE794" i="5"/>
  <c r="AD794" i="5"/>
  <c r="E794" i="5"/>
  <c r="AE793" i="5"/>
  <c r="AD793" i="5"/>
  <c r="E793" i="5"/>
  <c r="AE792" i="5"/>
  <c r="AD792" i="5"/>
  <c r="E792" i="5"/>
  <c r="AE791" i="5"/>
  <c r="AD791" i="5"/>
  <c r="E791" i="5"/>
  <c r="AE790" i="5"/>
  <c r="AD790" i="5"/>
  <c r="E790" i="5"/>
  <c r="AE789" i="5"/>
  <c r="AD789" i="5"/>
  <c r="E789" i="5"/>
  <c r="AE788" i="5"/>
  <c r="AD788" i="5"/>
  <c r="E788" i="5"/>
  <c r="AE787" i="5"/>
  <c r="AD787" i="5"/>
  <c r="E787" i="5"/>
  <c r="AE786" i="5"/>
  <c r="AD786" i="5"/>
  <c r="E786" i="5"/>
  <c r="AE785" i="5"/>
  <c r="AD785" i="5"/>
  <c r="E785" i="5"/>
  <c r="AE784" i="5"/>
  <c r="AD784" i="5"/>
  <c r="E784" i="5"/>
  <c r="AE783" i="5"/>
  <c r="AD783" i="5"/>
  <c r="E783" i="5"/>
  <c r="AE782" i="5"/>
  <c r="AD782" i="5"/>
  <c r="E782" i="5"/>
  <c r="AE781" i="5"/>
  <c r="AD781" i="5"/>
  <c r="E781" i="5"/>
  <c r="AE780" i="5"/>
  <c r="AD780" i="5"/>
  <c r="E780" i="5"/>
  <c r="AE779" i="5"/>
  <c r="AD779" i="5"/>
  <c r="E779" i="5"/>
  <c r="AE778" i="5"/>
  <c r="AD778" i="5"/>
  <c r="E778" i="5"/>
  <c r="AE777" i="5"/>
  <c r="AD777" i="5"/>
  <c r="E777" i="5"/>
  <c r="AE776" i="5"/>
  <c r="AD776" i="5"/>
  <c r="E776" i="5"/>
  <c r="AE775" i="5"/>
  <c r="AD775" i="5"/>
  <c r="E775" i="5"/>
  <c r="AE774" i="5"/>
  <c r="AD774" i="5"/>
  <c r="E774" i="5"/>
  <c r="AE773" i="5"/>
  <c r="AD773" i="5"/>
  <c r="E773" i="5"/>
  <c r="AE772" i="5"/>
  <c r="AD772" i="5"/>
  <c r="E772" i="5"/>
  <c r="AE771" i="5"/>
  <c r="AD771" i="5"/>
  <c r="E771" i="5"/>
  <c r="AE770" i="5"/>
  <c r="AD770" i="5"/>
  <c r="E770" i="5"/>
  <c r="AE769" i="5"/>
  <c r="AD769" i="5"/>
  <c r="E769" i="5"/>
  <c r="AE768" i="5"/>
  <c r="AD768" i="5"/>
  <c r="E768" i="5"/>
  <c r="AE767" i="5"/>
  <c r="AD767" i="5"/>
  <c r="E767" i="5"/>
  <c r="AE766" i="5"/>
  <c r="AD766" i="5"/>
  <c r="E766" i="5"/>
  <c r="AE765" i="5"/>
  <c r="AD765" i="5"/>
  <c r="E765" i="5"/>
  <c r="AE764" i="5"/>
  <c r="AD764" i="5"/>
  <c r="E764" i="5"/>
  <c r="AE763" i="5"/>
  <c r="AD763" i="5"/>
  <c r="E763" i="5"/>
  <c r="AE762" i="5"/>
  <c r="AD762" i="5"/>
  <c r="E762" i="5"/>
  <c r="AE761" i="5"/>
  <c r="AD761" i="5"/>
  <c r="E761" i="5"/>
  <c r="AE760" i="5"/>
  <c r="AD760" i="5"/>
  <c r="E760" i="5"/>
  <c r="AE759" i="5"/>
  <c r="AD759" i="5"/>
  <c r="E759" i="5"/>
  <c r="AE758" i="5"/>
  <c r="AD758" i="5"/>
  <c r="E758" i="5"/>
  <c r="AE757" i="5"/>
  <c r="AD757" i="5"/>
  <c r="E757" i="5"/>
  <c r="AE756" i="5"/>
  <c r="AD756" i="5"/>
  <c r="E756" i="5"/>
  <c r="AE755" i="5"/>
  <c r="AD755" i="5"/>
  <c r="E755" i="5"/>
  <c r="AE754" i="5"/>
  <c r="AD754" i="5"/>
  <c r="E754" i="5"/>
  <c r="AE753" i="5"/>
  <c r="AD753" i="5"/>
  <c r="E753" i="5"/>
  <c r="AE752" i="5"/>
  <c r="AD752" i="5"/>
  <c r="E752" i="5"/>
  <c r="AE751" i="5"/>
  <c r="AD751" i="5"/>
  <c r="E751" i="5"/>
  <c r="AE750" i="5"/>
  <c r="AD750" i="5"/>
  <c r="E750" i="5"/>
  <c r="AE749" i="5"/>
  <c r="AD749" i="5"/>
  <c r="E749" i="5"/>
  <c r="AE748" i="5"/>
  <c r="AD748" i="5"/>
  <c r="E748" i="5"/>
  <c r="AE747" i="5"/>
  <c r="AD747" i="5"/>
  <c r="E747" i="5"/>
  <c r="AE746" i="5"/>
  <c r="AD746" i="5"/>
  <c r="E746" i="5"/>
  <c r="AE745" i="5"/>
  <c r="AD745" i="5"/>
  <c r="E745" i="5"/>
  <c r="AE744" i="5"/>
  <c r="AD744" i="5"/>
  <c r="E744" i="5"/>
  <c r="AE743" i="5"/>
  <c r="AD743" i="5"/>
  <c r="E743" i="5"/>
  <c r="AE742" i="5"/>
  <c r="AD742" i="5"/>
  <c r="E742" i="5"/>
  <c r="AE741" i="5"/>
  <c r="AD741" i="5"/>
  <c r="E741" i="5"/>
  <c r="AE740" i="5"/>
  <c r="AD740" i="5"/>
  <c r="E740" i="5"/>
  <c r="AE739" i="5"/>
  <c r="AD739" i="5"/>
  <c r="E739" i="5"/>
  <c r="AE738" i="5"/>
  <c r="AD738" i="5"/>
  <c r="E738" i="5"/>
  <c r="AE737" i="5"/>
  <c r="AD737" i="5"/>
  <c r="E737" i="5"/>
  <c r="AE736" i="5"/>
  <c r="AD736" i="5"/>
  <c r="E736" i="5"/>
  <c r="AE735" i="5"/>
  <c r="AD735" i="5"/>
  <c r="E735" i="5"/>
  <c r="AE734" i="5"/>
  <c r="AD734" i="5"/>
  <c r="E734" i="5"/>
  <c r="AE733" i="5"/>
  <c r="AD733" i="5"/>
  <c r="E733" i="5"/>
  <c r="AE732" i="5"/>
  <c r="AD732" i="5"/>
  <c r="E732" i="5"/>
  <c r="AE731" i="5"/>
  <c r="AD731" i="5"/>
  <c r="E731" i="5"/>
  <c r="AE730" i="5"/>
  <c r="AD730" i="5"/>
  <c r="E730" i="5"/>
  <c r="AE729" i="5"/>
  <c r="AD729" i="5"/>
  <c r="E729" i="5"/>
  <c r="AE728" i="5"/>
  <c r="AD728" i="5"/>
  <c r="E728" i="5"/>
  <c r="AE727" i="5"/>
  <c r="AD727" i="5"/>
  <c r="E727" i="5"/>
  <c r="AE726" i="5"/>
  <c r="AD726" i="5"/>
  <c r="E726" i="5"/>
  <c r="AE725" i="5"/>
  <c r="AD725" i="5"/>
  <c r="E725" i="5"/>
  <c r="AE724" i="5"/>
  <c r="AD724" i="5"/>
  <c r="E724" i="5"/>
  <c r="AE723" i="5"/>
  <c r="AD723" i="5"/>
  <c r="E723" i="5"/>
  <c r="AE722" i="5"/>
  <c r="AD722" i="5"/>
  <c r="E722" i="5"/>
  <c r="AE721" i="5"/>
  <c r="AD721" i="5"/>
  <c r="E721" i="5"/>
  <c r="AE720" i="5"/>
  <c r="AD720" i="5"/>
  <c r="E720" i="5"/>
  <c r="AE719" i="5"/>
  <c r="AD719" i="5"/>
  <c r="E719" i="5"/>
  <c r="AE718" i="5"/>
  <c r="AD718" i="5"/>
  <c r="E718" i="5"/>
  <c r="AE717" i="5"/>
  <c r="AD717" i="5"/>
  <c r="E717" i="5"/>
  <c r="AE716" i="5"/>
  <c r="AD716" i="5"/>
  <c r="E716" i="5"/>
  <c r="AE715" i="5"/>
  <c r="AD715" i="5"/>
  <c r="E715" i="5"/>
  <c r="AE714" i="5"/>
  <c r="AD714" i="5"/>
  <c r="E714" i="5"/>
  <c r="AE713" i="5"/>
  <c r="AD713" i="5"/>
  <c r="E713" i="5"/>
  <c r="AE712" i="5"/>
  <c r="AD712" i="5"/>
  <c r="E712" i="5"/>
  <c r="AE711" i="5"/>
  <c r="AD711" i="5"/>
  <c r="E711" i="5"/>
  <c r="AE710" i="5"/>
  <c r="AD710" i="5"/>
  <c r="E710" i="5"/>
  <c r="AE709" i="5"/>
  <c r="AD709" i="5"/>
  <c r="E709" i="5"/>
  <c r="AE708" i="5"/>
  <c r="AD708" i="5"/>
  <c r="E708" i="5"/>
  <c r="AE707" i="5"/>
  <c r="AD707" i="5"/>
  <c r="E707" i="5"/>
  <c r="AE706" i="5"/>
  <c r="AD706" i="5"/>
  <c r="E706" i="5"/>
  <c r="AE705" i="5"/>
  <c r="AD705" i="5"/>
  <c r="E705" i="5"/>
  <c r="AE704" i="5"/>
  <c r="AD704" i="5"/>
  <c r="E704" i="5"/>
  <c r="AE703" i="5"/>
  <c r="AD703" i="5"/>
  <c r="E703" i="5"/>
  <c r="AE702" i="5"/>
  <c r="AD702" i="5"/>
  <c r="E702" i="5"/>
  <c r="AE701" i="5"/>
  <c r="AD701" i="5"/>
  <c r="E701" i="5"/>
  <c r="AE700" i="5"/>
  <c r="AD700" i="5"/>
  <c r="E700" i="5"/>
  <c r="AE699" i="5"/>
  <c r="AD699" i="5"/>
  <c r="E699" i="5"/>
  <c r="AE698" i="5"/>
  <c r="AD698" i="5"/>
  <c r="E698" i="5"/>
  <c r="AE697" i="5"/>
  <c r="AD697" i="5"/>
  <c r="E697" i="5"/>
  <c r="AE696" i="5"/>
  <c r="AD696" i="5"/>
  <c r="E696" i="5"/>
  <c r="AE695" i="5"/>
  <c r="AD695" i="5"/>
  <c r="E695" i="5"/>
  <c r="AE694" i="5"/>
  <c r="AD694" i="5"/>
  <c r="E694" i="5"/>
  <c r="AE693" i="5"/>
  <c r="AD693" i="5"/>
  <c r="E693" i="5"/>
  <c r="AE692" i="5"/>
  <c r="AD692" i="5"/>
  <c r="E692" i="5"/>
  <c r="AE691" i="5"/>
  <c r="AD691" i="5"/>
  <c r="E691" i="5"/>
  <c r="AE690" i="5"/>
  <c r="AD690" i="5"/>
  <c r="E690" i="5"/>
  <c r="AE689" i="5"/>
  <c r="AD689" i="5"/>
  <c r="E689" i="5"/>
  <c r="AE688" i="5"/>
  <c r="AD688" i="5"/>
  <c r="E688" i="5"/>
  <c r="AE687" i="5"/>
  <c r="AD687" i="5"/>
  <c r="E687" i="5"/>
  <c r="AE686" i="5"/>
  <c r="AD686" i="5"/>
  <c r="E686" i="5"/>
  <c r="AE685" i="5"/>
  <c r="AD685" i="5"/>
  <c r="E685" i="5"/>
  <c r="AE684" i="5"/>
  <c r="AD684" i="5"/>
  <c r="E684" i="5"/>
  <c r="AE683" i="5"/>
  <c r="AD683" i="5"/>
  <c r="E683" i="5"/>
  <c r="AE682" i="5"/>
  <c r="AD682" i="5"/>
  <c r="E682" i="5"/>
  <c r="AE681" i="5"/>
  <c r="AD681" i="5"/>
  <c r="E681" i="5"/>
  <c r="AE680" i="5"/>
  <c r="AD680" i="5"/>
  <c r="E680" i="5"/>
  <c r="AE679" i="5"/>
  <c r="AD679" i="5"/>
  <c r="E679" i="5"/>
  <c r="AE678" i="5"/>
  <c r="AD678" i="5"/>
  <c r="E678" i="5"/>
  <c r="AE677" i="5"/>
  <c r="AD677" i="5"/>
  <c r="E677" i="5"/>
  <c r="AE676" i="5"/>
  <c r="AD676" i="5"/>
  <c r="E676" i="5"/>
  <c r="AE675" i="5"/>
  <c r="AD675" i="5"/>
  <c r="E675" i="5"/>
  <c r="AE674" i="5"/>
  <c r="AD674" i="5"/>
  <c r="E674" i="5"/>
  <c r="AE673" i="5"/>
  <c r="AD673" i="5"/>
  <c r="E673" i="5"/>
  <c r="AE672" i="5"/>
  <c r="AD672" i="5"/>
  <c r="E672" i="5"/>
  <c r="AE671" i="5"/>
  <c r="AD671" i="5"/>
  <c r="E671" i="5"/>
  <c r="AE670" i="5"/>
  <c r="AD670" i="5"/>
  <c r="E670" i="5"/>
  <c r="AE669" i="5"/>
  <c r="AD669" i="5"/>
  <c r="E669" i="5"/>
  <c r="AE668" i="5"/>
  <c r="AD668" i="5"/>
  <c r="E668" i="5"/>
  <c r="AE667" i="5"/>
  <c r="AD667" i="5"/>
  <c r="E667" i="5"/>
  <c r="AE666" i="5"/>
  <c r="AD666" i="5"/>
  <c r="E666" i="5"/>
  <c r="AE665" i="5"/>
  <c r="AD665" i="5"/>
  <c r="E665" i="5"/>
  <c r="AE664" i="5"/>
  <c r="AD664" i="5"/>
  <c r="E664" i="5"/>
  <c r="AE663" i="5"/>
  <c r="AD663" i="5"/>
  <c r="E663" i="5"/>
  <c r="AE662" i="5"/>
  <c r="AD662" i="5"/>
  <c r="E662" i="5"/>
  <c r="AE661" i="5"/>
  <c r="AD661" i="5"/>
  <c r="E661" i="5"/>
  <c r="AE660" i="5"/>
  <c r="AD660" i="5"/>
  <c r="E660" i="5"/>
  <c r="AE659" i="5"/>
  <c r="AD659" i="5"/>
  <c r="E659" i="5"/>
  <c r="AE658" i="5"/>
  <c r="AD658" i="5"/>
  <c r="E658" i="5"/>
  <c r="AE657" i="5"/>
  <c r="AD657" i="5"/>
  <c r="E657" i="5"/>
  <c r="AE656" i="5"/>
  <c r="AD656" i="5"/>
  <c r="E656" i="5"/>
  <c r="AE655" i="5"/>
  <c r="AD655" i="5"/>
  <c r="E655" i="5"/>
  <c r="AE654" i="5"/>
  <c r="AD654" i="5"/>
  <c r="E654" i="5"/>
  <c r="AE653" i="5"/>
  <c r="AD653" i="5"/>
  <c r="E653" i="5"/>
  <c r="AE652" i="5"/>
  <c r="AD652" i="5"/>
  <c r="E652" i="5"/>
  <c r="AE651" i="5"/>
  <c r="AD651" i="5"/>
  <c r="E651" i="5"/>
  <c r="AE650" i="5"/>
  <c r="AD650" i="5"/>
  <c r="E650" i="5"/>
  <c r="AE649" i="5"/>
  <c r="AD649" i="5"/>
  <c r="E649" i="5"/>
  <c r="AE648" i="5"/>
  <c r="AD648" i="5"/>
  <c r="E648" i="5"/>
  <c r="AE647" i="5"/>
  <c r="AD647" i="5"/>
  <c r="E647" i="5"/>
  <c r="AE646" i="5"/>
  <c r="AD646" i="5"/>
  <c r="E646" i="5"/>
  <c r="AE645" i="5"/>
  <c r="AD645" i="5"/>
  <c r="E645" i="5"/>
  <c r="AE644" i="5"/>
  <c r="AD644" i="5"/>
  <c r="E644" i="5"/>
  <c r="AE643" i="5"/>
  <c r="AD643" i="5"/>
  <c r="E643" i="5"/>
  <c r="AE642" i="5"/>
  <c r="AD642" i="5"/>
  <c r="E642" i="5"/>
  <c r="AE641" i="5"/>
  <c r="AD641" i="5"/>
  <c r="E641" i="5"/>
  <c r="AE640" i="5"/>
  <c r="AD640" i="5"/>
  <c r="E640" i="5"/>
  <c r="AE639" i="5"/>
  <c r="AD639" i="5"/>
  <c r="E639" i="5"/>
  <c r="AE638" i="5"/>
  <c r="AD638" i="5"/>
  <c r="E638" i="5"/>
  <c r="AE637" i="5"/>
  <c r="AD637" i="5"/>
  <c r="E637" i="5"/>
  <c r="AE636" i="5"/>
  <c r="AD636" i="5"/>
  <c r="E636" i="5"/>
  <c r="AE635" i="5"/>
  <c r="AD635" i="5"/>
  <c r="E635" i="5"/>
  <c r="AE634" i="5"/>
  <c r="AD634" i="5"/>
  <c r="E634" i="5"/>
  <c r="AE633" i="5"/>
  <c r="AD633" i="5"/>
  <c r="E633" i="5"/>
  <c r="AE632" i="5"/>
  <c r="AD632" i="5"/>
  <c r="E632" i="5"/>
  <c r="AE631" i="5"/>
  <c r="AD631" i="5"/>
  <c r="E631" i="5"/>
  <c r="AE630" i="5"/>
  <c r="AD630" i="5"/>
  <c r="E630" i="5"/>
  <c r="AE629" i="5"/>
  <c r="AD629" i="5"/>
  <c r="E629" i="5"/>
  <c r="AE628" i="5"/>
  <c r="AD628" i="5"/>
  <c r="E628" i="5"/>
  <c r="AE627" i="5"/>
  <c r="AD627" i="5"/>
  <c r="E627" i="5"/>
  <c r="AE626" i="5"/>
  <c r="AD626" i="5"/>
  <c r="E626" i="5"/>
  <c r="AE625" i="5"/>
  <c r="AD625" i="5"/>
  <c r="E625" i="5"/>
  <c r="AE624" i="5"/>
  <c r="AD624" i="5"/>
  <c r="E624" i="5"/>
  <c r="AE623" i="5"/>
  <c r="AD623" i="5"/>
  <c r="E623" i="5"/>
  <c r="AE622" i="5"/>
  <c r="AD622" i="5"/>
  <c r="E622" i="5"/>
  <c r="AE621" i="5"/>
  <c r="AD621" i="5"/>
  <c r="E621" i="5"/>
  <c r="AE620" i="5"/>
  <c r="AD620" i="5"/>
  <c r="E620" i="5"/>
  <c r="AE619" i="5"/>
  <c r="AD619" i="5"/>
  <c r="E619" i="5"/>
  <c r="AE618" i="5"/>
  <c r="AD618" i="5"/>
  <c r="E618" i="5"/>
  <c r="AE617" i="5"/>
  <c r="AD617" i="5"/>
  <c r="E617" i="5"/>
  <c r="AE616" i="5"/>
  <c r="AD616" i="5"/>
  <c r="E616" i="5"/>
  <c r="AE615" i="5"/>
  <c r="AD615" i="5"/>
  <c r="E615" i="5"/>
  <c r="AE614" i="5"/>
  <c r="AD614" i="5"/>
  <c r="E614" i="5"/>
  <c r="AE613" i="5"/>
  <c r="AD613" i="5"/>
  <c r="E613" i="5"/>
  <c r="AE612" i="5"/>
  <c r="AD612" i="5"/>
  <c r="E612" i="5"/>
  <c r="AE611" i="5"/>
  <c r="AD611" i="5"/>
  <c r="E611" i="5"/>
  <c r="AE610" i="5"/>
  <c r="AD610" i="5"/>
  <c r="E610" i="5"/>
  <c r="AE609" i="5"/>
  <c r="AD609" i="5"/>
  <c r="E609" i="5"/>
  <c r="AE608" i="5"/>
  <c r="AD608" i="5"/>
  <c r="E608" i="5"/>
  <c r="AE607" i="5"/>
  <c r="AD607" i="5"/>
  <c r="E607" i="5"/>
  <c r="AE606" i="5"/>
  <c r="AD606" i="5"/>
  <c r="E606" i="5"/>
  <c r="AE605" i="5"/>
  <c r="AD605" i="5"/>
  <c r="E605" i="5"/>
  <c r="AE604" i="5"/>
  <c r="AD604" i="5"/>
  <c r="E604" i="5"/>
  <c r="AE603" i="5"/>
  <c r="AD603" i="5"/>
  <c r="E603" i="5"/>
  <c r="AE602" i="5"/>
  <c r="AD602" i="5"/>
  <c r="E602" i="5"/>
  <c r="AE601" i="5"/>
  <c r="AD601" i="5"/>
  <c r="E601" i="5"/>
  <c r="AE600" i="5"/>
  <c r="AD600" i="5"/>
  <c r="E600" i="5"/>
  <c r="AE599" i="5"/>
  <c r="AD599" i="5"/>
  <c r="E599" i="5"/>
  <c r="AE598" i="5"/>
  <c r="AD598" i="5"/>
  <c r="E598" i="5"/>
  <c r="AE597" i="5"/>
  <c r="AD597" i="5"/>
  <c r="E597" i="5"/>
  <c r="AE596" i="5"/>
  <c r="AD596" i="5"/>
  <c r="E596" i="5"/>
  <c r="AE595" i="5"/>
  <c r="AD595" i="5"/>
  <c r="E595" i="5"/>
  <c r="AE594" i="5"/>
  <c r="AD594" i="5"/>
  <c r="E594" i="5"/>
  <c r="AE593" i="5"/>
  <c r="AD593" i="5"/>
  <c r="E593" i="5"/>
  <c r="AE592" i="5"/>
  <c r="AD592" i="5"/>
  <c r="E592" i="5"/>
  <c r="AE591" i="5"/>
  <c r="AD591" i="5"/>
  <c r="E591" i="5"/>
  <c r="AE590" i="5"/>
  <c r="AD590" i="5"/>
  <c r="E590" i="5"/>
  <c r="AE589" i="5"/>
  <c r="AD589" i="5"/>
  <c r="E589" i="5"/>
  <c r="AE588" i="5"/>
  <c r="AD588" i="5"/>
  <c r="E588" i="5"/>
  <c r="AE587" i="5"/>
  <c r="AD587" i="5"/>
  <c r="E587" i="5"/>
  <c r="AE586" i="5"/>
  <c r="AD586" i="5"/>
  <c r="E586" i="5"/>
  <c r="AE585" i="5"/>
  <c r="AD585" i="5"/>
  <c r="E585" i="5"/>
  <c r="AE584" i="5"/>
  <c r="AD584" i="5"/>
  <c r="E584" i="5"/>
  <c r="AE583" i="5"/>
  <c r="AD583" i="5"/>
  <c r="E583" i="5"/>
  <c r="AE582" i="5"/>
  <c r="AD582" i="5"/>
  <c r="E582" i="5"/>
  <c r="AE581" i="5"/>
  <c r="AD581" i="5"/>
  <c r="E581" i="5"/>
  <c r="AE580" i="5"/>
  <c r="AD580" i="5"/>
  <c r="E580" i="5"/>
  <c r="AE579" i="5"/>
  <c r="AD579" i="5"/>
  <c r="E579" i="5"/>
  <c r="AE578" i="5"/>
  <c r="AD578" i="5"/>
  <c r="E578" i="5"/>
  <c r="AE577" i="5"/>
  <c r="AD577" i="5"/>
  <c r="E577" i="5"/>
  <c r="AE576" i="5"/>
  <c r="AD576" i="5"/>
  <c r="E576" i="5"/>
  <c r="AE575" i="5"/>
  <c r="AD575" i="5"/>
  <c r="E575" i="5"/>
  <c r="AE574" i="5"/>
  <c r="AD574" i="5"/>
  <c r="E574" i="5"/>
  <c r="AE573" i="5"/>
  <c r="AD573" i="5"/>
  <c r="E573" i="5"/>
  <c r="AE572" i="5"/>
  <c r="AD572" i="5"/>
  <c r="E572" i="5"/>
  <c r="AE571" i="5"/>
  <c r="AD571" i="5"/>
  <c r="E571" i="5"/>
  <c r="AE570" i="5"/>
  <c r="AD570" i="5"/>
  <c r="E570" i="5"/>
  <c r="AE569" i="5"/>
  <c r="AD569" i="5"/>
  <c r="E569" i="5"/>
  <c r="AE568" i="5"/>
  <c r="AD568" i="5"/>
  <c r="E568" i="5"/>
  <c r="AE567" i="5"/>
  <c r="AD567" i="5"/>
  <c r="E567" i="5"/>
  <c r="AE566" i="5"/>
  <c r="AD566" i="5"/>
  <c r="E566" i="5"/>
  <c r="AE565" i="5"/>
  <c r="AD565" i="5"/>
  <c r="E565" i="5"/>
  <c r="AE564" i="5"/>
  <c r="AD564" i="5"/>
  <c r="E564" i="5"/>
  <c r="AE563" i="5"/>
  <c r="AD563" i="5"/>
  <c r="E563" i="5"/>
  <c r="AE562" i="5"/>
  <c r="AD562" i="5"/>
  <c r="E562" i="5"/>
  <c r="AE561" i="5"/>
  <c r="AD561" i="5"/>
  <c r="E561" i="5"/>
  <c r="AE560" i="5"/>
  <c r="AD560" i="5"/>
  <c r="E560" i="5"/>
  <c r="AE559" i="5"/>
  <c r="AD559" i="5"/>
  <c r="E559" i="5"/>
  <c r="AE558" i="5"/>
  <c r="AD558" i="5"/>
  <c r="E558" i="5"/>
  <c r="AE557" i="5"/>
  <c r="AD557" i="5"/>
  <c r="E557" i="5"/>
  <c r="AE556" i="5"/>
  <c r="AD556" i="5"/>
  <c r="E556" i="5"/>
  <c r="AE555" i="5"/>
  <c r="AD555" i="5"/>
  <c r="E555" i="5"/>
  <c r="AE554" i="5"/>
  <c r="AD554" i="5"/>
  <c r="E554" i="5"/>
  <c r="AE553" i="5"/>
  <c r="AD553" i="5"/>
  <c r="E553" i="5"/>
  <c r="AE552" i="5"/>
  <c r="AD552" i="5"/>
  <c r="E552" i="5"/>
  <c r="AE551" i="5"/>
  <c r="AD551" i="5"/>
  <c r="E551" i="5"/>
  <c r="AE550" i="5"/>
  <c r="AD550" i="5"/>
  <c r="E550" i="5"/>
  <c r="AE549" i="5"/>
  <c r="AD549" i="5"/>
  <c r="E549" i="5"/>
  <c r="AE548" i="5"/>
  <c r="AD548" i="5"/>
  <c r="E548" i="5"/>
  <c r="AE547" i="5"/>
  <c r="AD547" i="5"/>
  <c r="E547" i="5"/>
  <c r="AE546" i="5"/>
  <c r="AD546" i="5"/>
  <c r="E546" i="5"/>
  <c r="AE545" i="5"/>
  <c r="AD545" i="5"/>
  <c r="E545" i="5"/>
  <c r="AE544" i="5"/>
  <c r="AD544" i="5"/>
  <c r="E544" i="5"/>
  <c r="AE543" i="5"/>
  <c r="AD543" i="5"/>
  <c r="E543" i="5"/>
  <c r="AE542" i="5"/>
  <c r="AD542" i="5"/>
  <c r="E542" i="5"/>
  <c r="AE541" i="5"/>
  <c r="AD541" i="5"/>
  <c r="E541" i="5"/>
  <c r="AE540" i="5"/>
  <c r="AD540" i="5"/>
  <c r="E540" i="5"/>
  <c r="AE539" i="5"/>
  <c r="AD539" i="5"/>
  <c r="E539" i="5"/>
  <c r="AE538" i="5"/>
  <c r="AD538" i="5"/>
  <c r="E538" i="5"/>
  <c r="AE537" i="5"/>
  <c r="AD537" i="5"/>
  <c r="E537" i="5"/>
  <c r="AE536" i="5"/>
  <c r="AD536" i="5"/>
  <c r="E536" i="5"/>
  <c r="AE535" i="5"/>
  <c r="AD535" i="5"/>
  <c r="E535" i="5"/>
  <c r="AE534" i="5"/>
  <c r="AD534" i="5"/>
  <c r="E534" i="5"/>
  <c r="AE533" i="5"/>
  <c r="AD533" i="5"/>
  <c r="E533" i="5"/>
  <c r="AE532" i="5"/>
  <c r="AD532" i="5"/>
  <c r="E532" i="5"/>
  <c r="AE531" i="5"/>
  <c r="AD531" i="5"/>
  <c r="E531" i="5"/>
  <c r="AE530" i="5"/>
  <c r="AD530" i="5"/>
  <c r="E530" i="5"/>
  <c r="AE529" i="5"/>
  <c r="AD529" i="5"/>
  <c r="E529" i="5"/>
  <c r="AE528" i="5"/>
  <c r="AD528" i="5"/>
  <c r="E528" i="5"/>
  <c r="AE527" i="5"/>
  <c r="AD527" i="5"/>
  <c r="E527" i="5"/>
  <c r="AE526" i="5"/>
  <c r="AD526" i="5"/>
  <c r="E526" i="5"/>
  <c r="AE525" i="5"/>
  <c r="AD525" i="5"/>
  <c r="E525" i="5"/>
  <c r="AE524" i="5"/>
  <c r="AD524" i="5"/>
  <c r="E524" i="5"/>
  <c r="AE523" i="5"/>
  <c r="AD523" i="5"/>
  <c r="E523" i="5"/>
  <c r="AE522" i="5"/>
  <c r="AD522" i="5"/>
  <c r="E522" i="5"/>
  <c r="AE521" i="5"/>
  <c r="AD521" i="5"/>
  <c r="E521" i="5"/>
  <c r="AE520" i="5"/>
  <c r="AD520" i="5"/>
  <c r="E520" i="5"/>
  <c r="AE519" i="5"/>
  <c r="AD519" i="5"/>
  <c r="E519" i="5"/>
  <c r="AE518" i="5"/>
  <c r="AD518" i="5"/>
  <c r="E518" i="5"/>
  <c r="AE517" i="5"/>
  <c r="AD517" i="5"/>
  <c r="E517" i="5"/>
  <c r="AE516" i="5"/>
  <c r="AD516" i="5"/>
  <c r="E516" i="5"/>
  <c r="AE515" i="5"/>
  <c r="AD515" i="5"/>
  <c r="E515" i="5"/>
  <c r="AE514" i="5"/>
  <c r="AD514" i="5"/>
  <c r="E514" i="5"/>
  <c r="AE513" i="5"/>
  <c r="AD513" i="5"/>
  <c r="E513" i="5"/>
  <c r="AE512" i="5"/>
  <c r="AD512" i="5"/>
  <c r="E512" i="5"/>
  <c r="AE511" i="5"/>
  <c r="AD511" i="5"/>
  <c r="E511" i="5"/>
  <c r="AE510" i="5"/>
  <c r="AD510" i="5"/>
  <c r="E510" i="5"/>
  <c r="AE509" i="5"/>
  <c r="AD509" i="5"/>
  <c r="E509" i="5"/>
  <c r="AE508" i="5"/>
  <c r="AD508" i="5"/>
  <c r="E508" i="5"/>
  <c r="AE507" i="5"/>
  <c r="AD507" i="5"/>
  <c r="E507" i="5"/>
  <c r="AE506" i="5"/>
  <c r="AD506" i="5"/>
  <c r="E506" i="5"/>
  <c r="AE505" i="5"/>
  <c r="AD505" i="5"/>
  <c r="E505" i="5"/>
  <c r="AE504" i="5"/>
  <c r="AD504" i="5"/>
  <c r="E504" i="5"/>
  <c r="AE503" i="5"/>
  <c r="AD503" i="5"/>
  <c r="E503" i="5"/>
  <c r="AE502" i="5"/>
  <c r="AD502" i="5"/>
  <c r="E502" i="5"/>
  <c r="AE501" i="5"/>
  <c r="AD501" i="5"/>
  <c r="E501" i="5"/>
  <c r="AE500" i="5"/>
  <c r="AD500" i="5"/>
  <c r="E500" i="5"/>
  <c r="AE499" i="5"/>
  <c r="AD499" i="5"/>
  <c r="E499" i="5"/>
  <c r="AE498" i="5"/>
  <c r="AD498" i="5"/>
  <c r="E498" i="5"/>
  <c r="AE497" i="5"/>
  <c r="AD497" i="5"/>
  <c r="E497" i="5"/>
  <c r="AE496" i="5"/>
  <c r="AD496" i="5"/>
  <c r="E496" i="5"/>
  <c r="AE495" i="5"/>
  <c r="AD495" i="5"/>
  <c r="E495" i="5"/>
  <c r="AE494" i="5"/>
  <c r="AD494" i="5"/>
  <c r="E494" i="5"/>
  <c r="AE493" i="5"/>
  <c r="AD493" i="5"/>
  <c r="E493" i="5"/>
  <c r="AE492" i="5"/>
  <c r="AD492" i="5"/>
  <c r="E492" i="5"/>
  <c r="AE491" i="5"/>
  <c r="AD491" i="5"/>
  <c r="E491" i="5"/>
  <c r="AE490" i="5"/>
  <c r="AD490" i="5"/>
  <c r="E490" i="5"/>
  <c r="AE489" i="5"/>
  <c r="AD489" i="5"/>
  <c r="E489" i="5"/>
  <c r="AE488" i="5"/>
  <c r="AD488" i="5"/>
  <c r="E488" i="5"/>
  <c r="AE487" i="5"/>
  <c r="AD487" i="5"/>
  <c r="E487" i="5"/>
  <c r="AE486" i="5"/>
  <c r="AD486" i="5"/>
  <c r="E486" i="5"/>
  <c r="AE485" i="5"/>
  <c r="AD485" i="5"/>
  <c r="E485" i="5"/>
  <c r="AE484" i="5"/>
  <c r="AD484" i="5"/>
  <c r="E484" i="5"/>
  <c r="AE483" i="5"/>
  <c r="AD483" i="5"/>
  <c r="E483" i="5"/>
  <c r="AE482" i="5"/>
  <c r="AD482" i="5"/>
  <c r="E482" i="5"/>
  <c r="AE481" i="5"/>
  <c r="AD481" i="5"/>
  <c r="E481" i="5"/>
  <c r="AE480" i="5"/>
  <c r="AD480" i="5"/>
  <c r="E480" i="5"/>
  <c r="AE479" i="5"/>
  <c r="AD479" i="5"/>
  <c r="E479" i="5"/>
  <c r="AE478" i="5"/>
  <c r="AD478" i="5"/>
  <c r="E478" i="5"/>
  <c r="AE477" i="5"/>
  <c r="AD477" i="5"/>
  <c r="E477" i="5"/>
  <c r="AE476" i="5"/>
  <c r="AD476" i="5"/>
  <c r="E476" i="5"/>
  <c r="AE475" i="5"/>
  <c r="AD475" i="5"/>
  <c r="E475" i="5"/>
  <c r="AE474" i="5"/>
  <c r="AD474" i="5"/>
  <c r="E474" i="5"/>
  <c r="AE473" i="5"/>
  <c r="AD473" i="5"/>
  <c r="E473" i="5"/>
  <c r="AE472" i="5"/>
  <c r="AD472" i="5"/>
  <c r="E472" i="5"/>
  <c r="AE471" i="5"/>
  <c r="AD471" i="5"/>
  <c r="E471" i="5"/>
  <c r="AE470" i="5"/>
  <c r="AD470" i="5"/>
  <c r="E470" i="5"/>
  <c r="AE469" i="5"/>
  <c r="AD469" i="5"/>
  <c r="E469" i="5"/>
  <c r="AE468" i="5"/>
  <c r="AD468" i="5"/>
  <c r="E468" i="5"/>
  <c r="AE467" i="5"/>
  <c r="AD467" i="5"/>
  <c r="E467" i="5"/>
  <c r="AE466" i="5"/>
  <c r="AD466" i="5"/>
  <c r="E466" i="5"/>
  <c r="AE465" i="5"/>
  <c r="AD465" i="5"/>
  <c r="E465" i="5"/>
  <c r="AE464" i="5"/>
  <c r="AD464" i="5"/>
  <c r="E464" i="5"/>
  <c r="AE463" i="5"/>
  <c r="AD463" i="5"/>
  <c r="E463" i="5"/>
  <c r="AE462" i="5"/>
  <c r="AD462" i="5"/>
  <c r="E462" i="5"/>
  <c r="AE461" i="5"/>
  <c r="AD461" i="5"/>
  <c r="E461" i="5"/>
  <c r="AE460" i="5"/>
  <c r="AD460" i="5"/>
  <c r="E460" i="5"/>
  <c r="AE459" i="5"/>
  <c r="AD459" i="5"/>
  <c r="E459" i="5"/>
  <c r="AE458" i="5"/>
  <c r="AD458" i="5"/>
  <c r="E458" i="5"/>
  <c r="AE457" i="5"/>
  <c r="AD457" i="5"/>
  <c r="E457" i="5"/>
  <c r="AE456" i="5"/>
  <c r="AD456" i="5"/>
  <c r="E456" i="5"/>
  <c r="AE455" i="5"/>
  <c r="AD455" i="5"/>
  <c r="E455" i="5"/>
  <c r="AE454" i="5"/>
  <c r="AD454" i="5"/>
  <c r="E454" i="5"/>
  <c r="AE453" i="5"/>
  <c r="AD453" i="5"/>
  <c r="E453" i="5"/>
  <c r="AE452" i="5"/>
  <c r="AD452" i="5"/>
  <c r="E452" i="5"/>
  <c r="AE451" i="5"/>
  <c r="AD451" i="5"/>
  <c r="E451" i="5"/>
  <c r="AE450" i="5"/>
  <c r="AD450" i="5"/>
  <c r="E450" i="5"/>
  <c r="AE449" i="5"/>
  <c r="AD449" i="5"/>
  <c r="E449" i="5"/>
  <c r="AE448" i="5"/>
  <c r="AD448" i="5"/>
  <c r="E448" i="5"/>
  <c r="AE447" i="5"/>
  <c r="AD447" i="5"/>
  <c r="E447" i="5"/>
  <c r="AE446" i="5"/>
  <c r="AD446" i="5"/>
  <c r="E446" i="5"/>
  <c r="AE445" i="5"/>
  <c r="AD445" i="5"/>
  <c r="E445" i="5"/>
  <c r="AE444" i="5"/>
  <c r="AD444" i="5"/>
  <c r="E444" i="5"/>
  <c r="AE443" i="5"/>
  <c r="AD443" i="5"/>
  <c r="E443" i="5"/>
  <c r="AE442" i="5"/>
  <c r="AD442" i="5"/>
  <c r="E442" i="5"/>
  <c r="AE441" i="5"/>
  <c r="AD441" i="5"/>
  <c r="E441" i="5"/>
  <c r="AE440" i="5"/>
  <c r="AD440" i="5"/>
  <c r="E440" i="5"/>
  <c r="AE439" i="5"/>
  <c r="AD439" i="5"/>
  <c r="E439" i="5"/>
  <c r="AE438" i="5"/>
  <c r="AD438" i="5"/>
  <c r="E438" i="5"/>
  <c r="AE437" i="5"/>
  <c r="AD437" i="5"/>
  <c r="E437" i="5"/>
  <c r="AE436" i="5"/>
  <c r="AD436" i="5"/>
  <c r="E436" i="5"/>
  <c r="AE435" i="5"/>
  <c r="AD435" i="5"/>
  <c r="E435" i="5"/>
  <c r="AE434" i="5"/>
  <c r="AD434" i="5"/>
  <c r="E434" i="5"/>
  <c r="AE433" i="5"/>
  <c r="AD433" i="5"/>
  <c r="E433" i="5"/>
  <c r="AE432" i="5"/>
  <c r="AD432" i="5"/>
  <c r="E432" i="5"/>
  <c r="AE431" i="5"/>
  <c r="AD431" i="5"/>
  <c r="E431" i="5"/>
  <c r="AE430" i="5"/>
  <c r="AD430" i="5"/>
  <c r="E430" i="5"/>
  <c r="AE429" i="5"/>
  <c r="AD429" i="5"/>
  <c r="E429" i="5"/>
  <c r="AE428" i="5"/>
  <c r="AD428" i="5"/>
  <c r="E428" i="5"/>
  <c r="AE427" i="5"/>
  <c r="AD427" i="5"/>
  <c r="E427" i="5"/>
  <c r="AE426" i="5"/>
  <c r="AD426" i="5"/>
  <c r="E426" i="5"/>
  <c r="AE425" i="5"/>
  <c r="AD425" i="5"/>
  <c r="E425" i="5"/>
  <c r="AE424" i="5"/>
  <c r="AD424" i="5"/>
  <c r="E424" i="5"/>
  <c r="AE423" i="5"/>
  <c r="AD423" i="5"/>
  <c r="E423" i="5"/>
  <c r="AE422" i="5"/>
  <c r="AD422" i="5"/>
  <c r="E422" i="5"/>
  <c r="AE421" i="5"/>
  <c r="AD421" i="5"/>
  <c r="E421" i="5"/>
  <c r="AE420" i="5"/>
  <c r="AD420" i="5"/>
  <c r="E420" i="5"/>
  <c r="AE419" i="5"/>
  <c r="AD419" i="5"/>
  <c r="E419" i="5"/>
  <c r="AE418" i="5"/>
  <c r="AD418" i="5"/>
  <c r="E418" i="5"/>
  <c r="AE417" i="5"/>
  <c r="AD417" i="5"/>
  <c r="E417" i="5"/>
  <c r="AE416" i="5"/>
  <c r="AD416" i="5"/>
  <c r="E416" i="5"/>
  <c r="AE415" i="5"/>
  <c r="AD415" i="5"/>
  <c r="E415" i="5"/>
  <c r="AE414" i="5"/>
  <c r="AD414" i="5"/>
  <c r="E414" i="5"/>
  <c r="AE413" i="5"/>
  <c r="AD413" i="5"/>
  <c r="E413" i="5"/>
  <c r="AE412" i="5"/>
  <c r="AD412" i="5"/>
  <c r="E412" i="5"/>
  <c r="AE411" i="5"/>
  <c r="AD411" i="5"/>
  <c r="E411" i="5"/>
  <c r="AE410" i="5"/>
  <c r="AD410" i="5"/>
  <c r="E410" i="5"/>
  <c r="AE409" i="5"/>
  <c r="AD409" i="5"/>
  <c r="E409" i="5"/>
  <c r="AE408" i="5"/>
  <c r="AD408" i="5"/>
  <c r="E408" i="5"/>
  <c r="AE407" i="5"/>
  <c r="AD407" i="5"/>
  <c r="E407" i="5"/>
  <c r="AE406" i="5"/>
  <c r="AD406" i="5"/>
  <c r="E406" i="5"/>
  <c r="AE405" i="5"/>
  <c r="AD405" i="5"/>
  <c r="E405" i="5"/>
  <c r="AE404" i="5"/>
  <c r="AD404" i="5"/>
  <c r="E404" i="5"/>
  <c r="AE403" i="5"/>
  <c r="AD403" i="5"/>
  <c r="E403" i="5"/>
  <c r="AE402" i="5"/>
  <c r="AD402" i="5"/>
  <c r="E402" i="5"/>
  <c r="AE401" i="5"/>
  <c r="AD401" i="5"/>
  <c r="E401" i="5"/>
  <c r="AE400" i="5"/>
  <c r="AD400" i="5"/>
  <c r="E400" i="5"/>
  <c r="AE399" i="5"/>
  <c r="AD399" i="5"/>
  <c r="E399" i="5"/>
  <c r="AE398" i="5"/>
  <c r="AD398" i="5"/>
  <c r="E398" i="5"/>
  <c r="AE397" i="5"/>
  <c r="AD397" i="5"/>
  <c r="E397" i="5"/>
  <c r="AE396" i="5"/>
  <c r="AD396" i="5"/>
  <c r="E396" i="5"/>
  <c r="AE395" i="5"/>
  <c r="AD395" i="5"/>
  <c r="E395" i="5"/>
  <c r="AE394" i="5"/>
  <c r="AD394" i="5"/>
  <c r="E394" i="5"/>
  <c r="AE393" i="5"/>
  <c r="AD393" i="5"/>
  <c r="E393" i="5"/>
  <c r="AE392" i="5"/>
  <c r="AD392" i="5"/>
  <c r="E392" i="5"/>
  <c r="AE391" i="5"/>
  <c r="AD391" i="5"/>
  <c r="E391" i="5"/>
  <c r="AE390" i="5"/>
  <c r="AD390" i="5"/>
  <c r="E390" i="5"/>
  <c r="AE389" i="5"/>
  <c r="AD389" i="5"/>
  <c r="E389" i="5"/>
  <c r="AE388" i="5"/>
  <c r="AD388" i="5"/>
  <c r="E388" i="5"/>
  <c r="AE387" i="5"/>
  <c r="AD387" i="5"/>
  <c r="E387" i="5"/>
  <c r="AE386" i="5"/>
  <c r="AD386" i="5"/>
  <c r="E386" i="5"/>
  <c r="AE385" i="5"/>
  <c r="AD385" i="5"/>
  <c r="E385" i="5"/>
  <c r="AE384" i="5"/>
  <c r="AD384" i="5"/>
  <c r="E384" i="5"/>
  <c r="AE383" i="5"/>
  <c r="AD383" i="5"/>
  <c r="E383" i="5"/>
  <c r="AE382" i="5"/>
  <c r="AD382" i="5"/>
  <c r="E382" i="5"/>
  <c r="AE381" i="5"/>
  <c r="AD381" i="5"/>
  <c r="E381" i="5"/>
  <c r="AE380" i="5"/>
  <c r="AD380" i="5"/>
  <c r="E380" i="5"/>
  <c r="AE379" i="5"/>
  <c r="AD379" i="5"/>
  <c r="E379" i="5"/>
  <c r="AE378" i="5"/>
  <c r="AD378" i="5"/>
  <c r="E378" i="5"/>
  <c r="AE377" i="5"/>
  <c r="AD377" i="5"/>
  <c r="E377" i="5"/>
  <c r="AE376" i="5"/>
  <c r="AD376" i="5"/>
  <c r="E376" i="5"/>
  <c r="AE375" i="5"/>
  <c r="AD375" i="5"/>
  <c r="E375" i="5"/>
  <c r="AE374" i="5"/>
  <c r="AD374" i="5"/>
  <c r="E374" i="5"/>
  <c r="AE373" i="5"/>
  <c r="AD373" i="5"/>
  <c r="E373" i="5"/>
  <c r="AE372" i="5"/>
  <c r="AD372" i="5"/>
  <c r="E372" i="5"/>
  <c r="AE371" i="5"/>
  <c r="AD371" i="5"/>
  <c r="E371" i="5"/>
  <c r="AE370" i="5"/>
  <c r="AD370" i="5"/>
  <c r="E370" i="5"/>
  <c r="AE369" i="5"/>
  <c r="AD369" i="5"/>
  <c r="E369" i="5"/>
  <c r="AE368" i="5"/>
  <c r="AD368" i="5"/>
  <c r="E368" i="5"/>
  <c r="AE367" i="5"/>
  <c r="AD367" i="5"/>
  <c r="E367" i="5"/>
  <c r="AE366" i="5"/>
  <c r="AD366" i="5"/>
  <c r="E366" i="5"/>
  <c r="AE365" i="5"/>
  <c r="AD365" i="5"/>
  <c r="E365" i="5"/>
  <c r="AE364" i="5"/>
  <c r="AD364" i="5"/>
  <c r="E364" i="5"/>
  <c r="AE363" i="5"/>
  <c r="AD363" i="5"/>
  <c r="E363" i="5"/>
  <c r="AE362" i="5"/>
  <c r="AD362" i="5"/>
  <c r="E362" i="5"/>
  <c r="AE361" i="5"/>
  <c r="AD361" i="5"/>
  <c r="E361" i="5"/>
  <c r="AE360" i="5"/>
  <c r="AD360" i="5"/>
  <c r="E360" i="5"/>
  <c r="AE359" i="5"/>
  <c r="AD359" i="5"/>
  <c r="E359" i="5"/>
  <c r="AE358" i="5"/>
  <c r="AD358" i="5"/>
  <c r="E358" i="5"/>
  <c r="AE357" i="5"/>
  <c r="AD357" i="5"/>
  <c r="E357" i="5"/>
  <c r="AE356" i="5"/>
  <c r="AD356" i="5"/>
  <c r="E356" i="5"/>
  <c r="AE355" i="5"/>
  <c r="AD355" i="5"/>
  <c r="E355" i="5"/>
  <c r="AE354" i="5"/>
  <c r="AD354" i="5"/>
  <c r="E354" i="5"/>
  <c r="AE353" i="5"/>
  <c r="AD353" i="5"/>
  <c r="E353" i="5"/>
  <c r="AE352" i="5"/>
  <c r="AD352" i="5"/>
  <c r="E352" i="5"/>
  <c r="AE351" i="5"/>
  <c r="AD351" i="5"/>
  <c r="E351" i="5"/>
  <c r="AE350" i="5"/>
  <c r="AD350" i="5"/>
  <c r="E350" i="5"/>
  <c r="AE349" i="5"/>
  <c r="AD349" i="5"/>
  <c r="E349" i="5"/>
  <c r="AE348" i="5"/>
  <c r="AD348" i="5"/>
  <c r="E348" i="5"/>
  <c r="AE347" i="5"/>
  <c r="AD347" i="5"/>
  <c r="E347" i="5"/>
  <c r="AE346" i="5"/>
  <c r="AD346" i="5"/>
  <c r="E346" i="5"/>
  <c r="AE345" i="5"/>
  <c r="AD345" i="5"/>
  <c r="E345" i="5"/>
  <c r="AE344" i="5"/>
  <c r="AD344" i="5"/>
  <c r="E344" i="5"/>
  <c r="AE343" i="5"/>
  <c r="AD343" i="5"/>
  <c r="E343" i="5"/>
  <c r="AE342" i="5"/>
  <c r="AD342" i="5"/>
  <c r="E342" i="5"/>
  <c r="AE341" i="5"/>
  <c r="AD341" i="5"/>
  <c r="E341" i="5"/>
  <c r="AE340" i="5"/>
  <c r="AD340" i="5"/>
  <c r="E340" i="5"/>
  <c r="AE339" i="5"/>
  <c r="AD339" i="5"/>
  <c r="E339" i="5"/>
  <c r="AE338" i="5"/>
  <c r="AD338" i="5"/>
  <c r="E338" i="5"/>
  <c r="AE337" i="5"/>
  <c r="AD337" i="5"/>
  <c r="E337" i="5"/>
  <c r="AE336" i="5"/>
  <c r="AD336" i="5"/>
  <c r="E336" i="5"/>
  <c r="AE335" i="5"/>
  <c r="AD335" i="5"/>
  <c r="E335" i="5"/>
  <c r="AE334" i="5"/>
  <c r="AD334" i="5"/>
  <c r="E334" i="5"/>
  <c r="AE333" i="5"/>
  <c r="AD333" i="5"/>
  <c r="E333" i="5"/>
  <c r="AE332" i="5"/>
  <c r="AD332" i="5"/>
  <c r="E332" i="5"/>
  <c r="AE331" i="5"/>
  <c r="AD331" i="5"/>
  <c r="E331" i="5"/>
  <c r="AE330" i="5"/>
  <c r="AD330" i="5"/>
  <c r="E330" i="5"/>
  <c r="AE329" i="5"/>
  <c r="AD329" i="5"/>
  <c r="E329" i="5"/>
  <c r="AE328" i="5"/>
  <c r="AD328" i="5"/>
  <c r="E328" i="5"/>
  <c r="AE327" i="5"/>
  <c r="AD327" i="5"/>
  <c r="E327" i="5"/>
  <c r="AE326" i="5"/>
  <c r="AD326" i="5"/>
  <c r="E326" i="5"/>
  <c r="AE325" i="5"/>
  <c r="AD325" i="5"/>
  <c r="E325" i="5"/>
  <c r="AE324" i="5"/>
  <c r="AD324" i="5"/>
  <c r="E324" i="5"/>
  <c r="AE323" i="5"/>
  <c r="AD323" i="5"/>
  <c r="E323" i="5"/>
  <c r="AE322" i="5"/>
  <c r="AD322" i="5"/>
  <c r="E322" i="5"/>
  <c r="AE321" i="5"/>
  <c r="AD321" i="5"/>
  <c r="E321" i="5"/>
  <c r="AE320" i="5"/>
  <c r="AD320" i="5"/>
  <c r="E320" i="5"/>
  <c r="AE319" i="5"/>
  <c r="AD319" i="5"/>
  <c r="E319" i="5"/>
  <c r="AE318" i="5"/>
  <c r="AD318" i="5"/>
  <c r="E318" i="5"/>
  <c r="AE317" i="5"/>
  <c r="AD317" i="5"/>
  <c r="E317" i="5"/>
  <c r="AE316" i="5"/>
  <c r="AD316" i="5"/>
  <c r="E316" i="5"/>
  <c r="AE315" i="5"/>
  <c r="AD315" i="5"/>
  <c r="E315" i="5"/>
  <c r="AE314" i="5"/>
  <c r="AD314" i="5"/>
  <c r="E314" i="5"/>
  <c r="AE313" i="5"/>
  <c r="AD313" i="5"/>
  <c r="E313" i="5"/>
  <c r="AE312" i="5"/>
  <c r="AD312" i="5"/>
  <c r="E312" i="5"/>
  <c r="AE311" i="5"/>
  <c r="AD311" i="5"/>
  <c r="E311" i="5"/>
  <c r="AE310" i="5"/>
  <c r="AD310" i="5"/>
  <c r="E310" i="5"/>
  <c r="AE309" i="5"/>
  <c r="AD309" i="5"/>
  <c r="E309" i="5"/>
  <c r="AE308" i="5"/>
  <c r="AD308" i="5"/>
  <c r="E308" i="5"/>
  <c r="AE307" i="5"/>
  <c r="AD307" i="5"/>
  <c r="E307" i="5"/>
  <c r="AE306" i="5"/>
  <c r="AD306" i="5"/>
  <c r="E306" i="5"/>
  <c r="AE305" i="5"/>
  <c r="AD305" i="5"/>
  <c r="E305" i="5"/>
  <c r="AE304" i="5"/>
  <c r="AD304" i="5"/>
  <c r="E304" i="5"/>
  <c r="AE303" i="5"/>
  <c r="AD303" i="5"/>
  <c r="E303" i="5"/>
  <c r="AE302" i="5"/>
  <c r="AD302" i="5"/>
  <c r="E302" i="5"/>
  <c r="AE301" i="5"/>
  <c r="AD301" i="5"/>
  <c r="E301" i="5"/>
  <c r="AE300" i="5"/>
  <c r="AD300" i="5"/>
  <c r="E300" i="5"/>
  <c r="AE299" i="5"/>
  <c r="AD299" i="5"/>
  <c r="E299" i="5"/>
  <c r="AE298" i="5"/>
  <c r="AD298" i="5"/>
  <c r="E298" i="5"/>
  <c r="AE297" i="5"/>
  <c r="AD297" i="5"/>
  <c r="E297" i="5"/>
  <c r="AE296" i="5"/>
  <c r="AD296" i="5"/>
  <c r="E296" i="5"/>
  <c r="AE295" i="5"/>
  <c r="AD295" i="5"/>
  <c r="E295" i="5"/>
  <c r="AE294" i="5"/>
  <c r="AD294" i="5"/>
  <c r="E294" i="5"/>
  <c r="AE293" i="5"/>
  <c r="AD293" i="5"/>
  <c r="E293" i="5"/>
  <c r="AE292" i="5"/>
  <c r="AD292" i="5"/>
  <c r="E292" i="5"/>
  <c r="AE291" i="5"/>
  <c r="AD291" i="5"/>
  <c r="E291" i="5"/>
  <c r="AE290" i="5"/>
  <c r="AD290" i="5"/>
  <c r="E290" i="5"/>
  <c r="AE289" i="5"/>
  <c r="AD289" i="5"/>
  <c r="E289" i="5"/>
  <c r="AE288" i="5"/>
  <c r="AD288" i="5"/>
  <c r="E288" i="5"/>
  <c r="AE287" i="5"/>
  <c r="AD287" i="5"/>
  <c r="E287" i="5"/>
  <c r="AE286" i="5"/>
  <c r="AD286" i="5"/>
  <c r="E286" i="5"/>
  <c r="AE285" i="5"/>
  <c r="AD285" i="5"/>
  <c r="E285" i="5"/>
  <c r="AE284" i="5"/>
  <c r="AD284" i="5"/>
  <c r="E284" i="5"/>
  <c r="AE283" i="5"/>
  <c r="AD283" i="5"/>
  <c r="E283" i="5"/>
  <c r="AE282" i="5"/>
  <c r="AD282" i="5"/>
  <c r="E282" i="5"/>
  <c r="AE281" i="5"/>
  <c r="AD281" i="5"/>
  <c r="E281" i="5"/>
  <c r="AE280" i="5"/>
  <c r="AD280" i="5"/>
  <c r="E280" i="5"/>
  <c r="AE279" i="5"/>
  <c r="AD279" i="5"/>
  <c r="E279" i="5"/>
  <c r="AE278" i="5"/>
  <c r="AD278" i="5"/>
  <c r="E278" i="5"/>
  <c r="AE277" i="5"/>
  <c r="AD277" i="5"/>
  <c r="E277" i="5"/>
  <c r="AE276" i="5"/>
  <c r="AD276" i="5"/>
  <c r="E276" i="5"/>
  <c r="AE275" i="5"/>
  <c r="AD275" i="5"/>
  <c r="E275" i="5"/>
  <c r="AE274" i="5"/>
  <c r="AD274" i="5"/>
  <c r="E274" i="5"/>
  <c r="AE273" i="5"/>
  <c r="AD273" i="5"/>
  <c r="E273" i="5"/>
  <c r="AE272" i="5"/>
  <c r="AD272" i="5"/>
  <c r="E272" i="5"/>
  <c r="AE271" i="5"/>
  <c r="AD271" i="5"/>
  <c r="E271" i="5"/>
  <c r="AE270" i="5"/>
  <c r="AD270" i="5"/>
  <c r="E270" i="5"/>
  <c r="AE269" i="5"/>
  <c r="AD269" i="5"/>
  <c r="E269" i="5"/>
  <c r="AE268" i="5"/>
  <c r="AD268" i="5"/>
  <c r="E268" i="5"/>
  <c r="AE267" i="5"/>
  <c r="AD267" i="5"/>
  <c r="E267" i="5"/>
  <c r="AE266" i="5"/>
  <c r="AD266" i="5"/>
  <c r="E266" i="5"/>
  <c r="AE265" i="5"/>
  <c r="AD265" i="5"/>
  <c r="E265" i="5"/>
  <c r="AE264" i="5"/>
  <c r="AD264" i="5"/>
  <c r="E264" i="5"/>
  <c r="AE263" i="5"/>
  <c r="AD263" i="5"/>
  <c r="E263" i="5"/>
  <c r="AE262" i="5"/>
  <c r="AD262" i="5"/>
  <c r="E262" i="5"/>
  <c r="AE261" i="5"/>
  <c r="AD261" i="5"/>
  <c r="E261" i="5"/>
  <c r="AE260" i="5"/>
  <c r="AD260" i="5"/>
  <c r="E260" i="5"/>
  <c r="AE259" i="5"/>
  <c r="AD259" i="5"/>
  <c r="E259" i="5"/>
  <c r="AE258" i="5"/>
  <c r="AD258" i="5"/>
  <c r="E258" i="5"/>
  <c r="AE257" i="5"/>
  <c r="AD257" i="5"/>
  <c r="E257" i="5"/>
  <c r="AE256" i="5"/>
  <c r="AD256" i="5"/>
  <c r="E256" i="5"/>
  <c r="AE255" i="5"/>
  <c r="AD255" i="5"/>
  <c r="E255" i="5"/>
  <c r="AE254" i="5"/>
  <c r="AD254" i="5"/>
  <c r="E254" i="5"/>
  <c r="AE253" i="5"/>
  <c r="AD253" i="5"/>
  <c r="E253" i="5"/>
  <c r="AE252" i="5"/>
  <c r="AD252" i="5"/>
  <c r="E252" i="5"/>
  <c r="AE251" i="5"/>
  <c r="AD251" i="5"/>
  <c r="E251" i="5"/>
  <c r="AE250" i="5"/>
  <c r="AD250" i="5"/>
  <c r="E250" i="5"/>
  <c r="AE249" i="5"/>
  <c r="AD249" i="5"/>
  <c r="E249" i="5"/>
  <c r="AE248" i="5"/>
  <c r="AD248" i="5"/>
  <c r="E248" i="5"/>
  <c r="AE247" i="5"/>
  <c r="AD247" i="5"/>
  <c r="E247" i="5"/>
  <c r="AE246" i="5"/>
  <c r="AD246" i="5"/>
  <c r="E246" i="5"/>
  <c r="AE245" i="5"/>
  <c r="AD245" i="5"/>
  <c r="E245" i="5"/>
  <c r="AE244" i="5"/>
  <c r="AD244" i="5"/>
  <c r="E244" i="5"/>
  <c r="AE243" i="5"/>
  <c r="AD243" i="5"/>
  <c r="E243" i="5"/>
  <c r="AE242" i="5"/>
  <c r="AD242" i="5"/>
  <c r="E242" i="5"/>
  <c r="AE241" i="5"/>
  <c r="AD241" i="5"/>
  <c r="E241" i="5"/>
  <c r="AE240" i="5"/>
  <c r="AD240" i="5"/>
  <c r="E240" i="5"/>
  <c r="AE239" i="5"/>
  <c r="AD239" i="5"/>
  <c r="E239" i="5"/>
  <c r="AE238" i="5"/>
  <c r="AD238" i="5"/>
  <c r="E238" i="5"/>
  <c r="AE237" i="5"/>
  <c r="AD237" i="5"/>
  <c r="E237" i="5"/>
  <c r="AE236" i="5"/>
  <c r="AD236" i="5"/>
  <c r="E236" i="5"/>
  <c r="AE235" i="5"/>
  <c r="AD235" i="5"/>
  <c r="E235" i="5"/>
  <c r="AE234" i="5"/>
  <c r="AD234" i="5"/>
  <c r="E234" i="5"/>
  <c r="AE233" i="5"/>
  <c r="AD233" i="5"/>
  <c r="E233" i="5"/>
  <c r="AE232" i="5"/>
  <c r="AD232" i="5"/>
  <c r="E232" i="5"/>
  <c r="AE231" i="5"/>
  <c r="AD231" i="5"/>
  <c r="E231" i="5"/>
  <c r="AE230" i="5"/>
  <c r="AD230" i="5"/>
  <c r="E230" i="5"/>
  <c r="AE229" i="5"/>
  <c r="AD229" i="5"/>
  <c r="E229" i="5"/>
  <c r="AE228" i="5"/>
  <c r="AD228" i="5"/>
  <c r="E228" i="5"/>
  <c r="AE227" i="5"/>
  <c r="AD227" i="5"/>
  <c r="E227" i="5"/>
  <c r="AE226" i="5"/>
  <c r="AD226" i="5"/>
  <c r="E226" i="5"/>
  <c r="AE225" i="5"/>
  <c r="AD225" i="5"/>
  <c r="E225" i="5"/>
  <c r="AE224" i="5"/>
  <c r="AD224" i="5"/>
  <c r="E224" i="5"/>
  <c r="AE223" i="5"/>
  <c r="AD223" i="5"/>
  <c r="E223" i="5"/>
  <c r="AE222" i="5"/>
  <c r="AD222" i="5"/>
  <c r="E222" i="5"/>
  <c r="AE221" i="5"/>
  <c r="AD221" i="5"/>
  <c r="E221" i="5"/>
  <c r="AE220" i="5"/>
  <c r="AD220" i="5"/>
  <c r="E220" i="5"/>
  <c r="AE219" i="5"/>
  <c r="AD219" i="5"/>
  <c r="E219" i="5"/>
  <c r="AE218" i="5"/>
  <c r="AD218" i="5"/>
  <c r="E218" i="5"/>
  <c r="AE217" i="5"/>
  <c r="AD217" i="5"/>
  <c r="E217" i="5"/>
  <c r="AE216" i="5"/>
  <c r="AD216" i="5"/>
  <c r="E216" i="5"/>
  <c r="AE215" i="5"/>
  <c r="AD215" i="5"/>
  <c r="E215" i="5"/>
  <c r="AE214" i="5"/>
  <c r="AD214" i="5"/>
  <c r="E214" i="5"/>
  <c r="AE213" i="5"/>
  <c r="AD213" i="5"/>
  <c r="E213" i="5"/>
  <c r="AE212" i="5"/>
  <c r="AD212" i="5"/>
  <c r="E212" i="5"/>
  <c r="AE211" i="5"/>
  <c r="AD211" i="5"/>
  <c r="E211" i="5"/>
  <c r="AE210" i="5"/>
  <c r="AD210" i="5"/>
  <c r="E210" i="5"/>
  <c r="AE209" i="5"/>
  <c r="AD209" i="5"/>
  <c r="E209" i="5"/>
  <c r="AE208" i="5"/>
  <c r="AD208" i="5"/>
  <c r="E208" i="5"/>
  <c r="AE207" i="5"/>
  <c r="AD207" i="5"/>
  <c r="E207" i="5"/>
  <c r="AE206" i="5"/>
  <c r="AD206" i="5"/>
  <c r="E206" i="5"/>
  <c r="AE205" i="5"/>
  <c r="AD205" i="5"/>
  <c r="E205" i="5"/>
  <c r="AE204" i="5"/>
  <c r="AD204" i="5"/>
  <c r="E204" i="5"/>
  <c r="AE203" i="5"/>
  <c r="AD203" i="5"/>
  <c r="E203" i="5"/>
  <c r="AE202" i="5"/>
  <c r="AD202" i="5"/>
  <c r="E202" i="5"/>
  <c r="AE201" i="5"/>
  <c r="AD201" i="5"/>
  <c r="E201" i="5"/>
  <c r="AE200" i="5"/>
  <c r="AD200" i="5"/>
  <c r="E200" i="5"/>
  <c r="AE199" i="5"/>
  <c r="AD199" i="5"/>
  <c r="E199" i="5"/>
  <c r="AE198" i="5"/>
  <c r="AD198" i="5"/>
  <c r="E198" i="5"/>
  <c r="AE197" i="5"/>
  <c r="AD197" i="5"/>
  <c r="E197" i="5"/>
  <c r="AE196" i="5"/>
  <c r="AD196" i="5"/>
  <c r="E196" i="5"/>
  <c r="AE195" i="5"/>
  <c r="AD195" i="5"/>
  <c r="E195" i="5"/>
  <c r="AE194" i="5"/>
  <c r="AD194" i="5"/>
  <c r="E194" i="5"/>
  <c r="AE193" i="5"/>
  <c r="AD193" i="5"/>
  <c r="E193" i="5"/>
  <c r="AE192" i="5"/>
  <c r="AD192" i="5"/>
  <c r="E192" i="5"/>
  <c r="AE191" i="5"/>
  <c r="AD191" i="5"/>
  <c r="E191" i="5"/>
  <c r="AE190" i="5"/>
  <c r="AD190" i="5"/>
  <c r="E190" i="5"/>
  <c r="AE189" i="5"/>
  <c r="AD189" i="5"/>
  <c r="E189" i="5"/>
  <c r="AE188" i="5"/>
  <c r="AD188" i="5"/>
  <c r="E188" i="5"/>
  <c r="AE187" i="5"/>
  <c r="AD187" i="5"/>
  <c r="E187" i="5"/>
  <c r="AE186" i="5"/>
  <c r="AD186" i="5"/>
  <c r="E186" i="5"/>
  <c r="AE185" i="5"/>
  <c r="AD185" i="5"/>
  <c r="E185" i="5"/>
  <c r="AE184" i="5"/>
  <c r="AD184" i="5"/>
  <c r="E184" i="5"/>
  <c r="AE183" i="5"/>
  <c r="AD183" i="5"/>
  <c r="E183" i="5"/>
  <c r="AE182" i="5"/>
  <c r="AD182" i="5"/>
  <c r="E182" i="5"/>
  <c r="AE181" i="5"/>
  <c r="AD181" i="5"/>
  <c r="E181" i="5"/>
  <c r="AE180" i="5"/>
  <c r="AD180" i="5"/>
  <c r="E180" i="5"/>
  <c r="AE179" i="5"/>
  <c r="AD179" i="5"/>
  <c r="E179" i="5"/>
  <c r="AE178" i="5"/>
  <c r="AD178" i="5"/>
  <c r="E178" i="5"/>
  <c r="AE177" i="5"/>
  <c r="AD177" i="5"/>
  <c r="E177" i="5"/>
  <c r="AE176" i="5"/>
  <c r="AD176" i="5"/>
  <c r="E176" i="5"/>
  <c r="AE175" i="5"/>
  <c r="AD175" i="5"/>
  <c r="E175" i="5"/>
  <c r="AE174" i="5"/>
  <c r="AD174" i="5"/>
  <c r="E174" i="5"/>
  <c r="AE173" i="5"/>
  <c r="AD173" i="5"/>
  <c r="E173" i="5"/>
  <c r="AE172" i="5"/>
  <c r="AD172" i="5"/>
  <c r="E172" i="5"/>
  <c r="AE171" i="5"/>
  <c r="AD171" i="5"/>
  <c r="E171" i="5"/>
  <c r="AE170" i="5"/>
  <c r="AD170" i="5"/>
  <c r="E170" i="5"/>
  <c r="AE169" i="5"/>
  <c r="AD169" i="5"/>
  <c r="E169" i="5"/>
  <c r="AE168" i="5"/>
  <c r="AD168" i="5"/>
  <c r="E168" i="5"/>
  <c r="AE167" i="5"/>
  <c r="AD167" i="5"/>
  <c r="E167" i="5"/>
  <c r="AE166" i="5"/>
  <c r="AD166" i="5"/>
  <c r="E166" i="5"/>
  <c r="AE165" i="5"/>
  <c r="AD165" i="5"/>
  <c r="E165" i="5"/>
  <c r="AE164" i="5"/>
  <c r="AD164" i="5"/>
  <c r="E164" i="5"/>
  <c r="AE163" i="5"/>
  <c r="AD163" i="5"/>
  <c r="E163" i="5"/>
  <c r="AE162" i="5"/>
  <c r="AD162" i="5"/>
  <c r="E162" i="5"/>
  <c r="AE161" i="5"/>
  <c r="AD161" i="5"/>
  <c r="E161" i="5"/>
  <c r="AE160" i="5"/>
  <c r="AD160" i="5"/>
  <c r="E160" i="5"/>
  <c r="AE159" i="5"/>
  <c r="AD159" i="5"/>
  <c r="E159" i="5"/>
  <c r="AE158" i="5"/>
  <c r="AD158" i="5"/>
  <c r="E158" i="5"/>
  <c r="AE157" i="5"/>
  <c r="AD157" i="5"/>
  <c r="E157" i="5"/>
  <c r="AE156" i="5"/>
  <c r="AD156" i="5"/>
  <c r="E156" i="5"/>
  <c r="AE155" i="5"/>
  <c r="AD155" i="5"/>
  <c r="E155" i="5"/>
  <c r="AE154" i="5"/>
  <c r="AD154" i="5"/>
  <c r="E154" i="5"/>
  <c r="AE153" i="5"/>
  <c r="AD153" i="5"/>
  <c r="E153" i="5"/>
  <c r="AE152" i="5"/>
  <c r="AD152" i="5"/>
  <c r="E152" i="5"/>
  <c r="AE151" i="5"/>
  <c r="AD151" i="5"/>
  <c r="E151" i="5"/>
  <c r="AE150" i="5"/>
  <c r="AD150" i="5"/>
  <c r="E150" i="5"/>
  <c r="AE149" i="5"/>
  <c r="AD149" i="5"/>
  <c r="E149" i="5"/>
  <c r="AE148" i="5"/>
  <c r="AD148" i="5"/>
  <c r="E148" i="5"/>
  <c r="AE147" i="5"/>
  <c r="AD147" i="5"/>
  <c r="E147" i="5"/>
  <c r="AE146" i="5"/>
  <c r="AD146" i="5"/>
  <c r="E146" i="5"/>
  <c r="AE145" i="5"/>
  <c r="AD145" i="5"/>
  <c r="E145" i="5"/>
  <c r="AE144" i="5"/>
  <c r="AD144" i="5"/>
  <c r="E144" i="5"/>
  <c r="AE143" i="5"/>
  <c r="AD143" i="5"/>
  <c r="E143" i="5"/>
  <c r="AE142" i="5"/>
  <c r="AD142" i="5"/>
  <c r="E142" i="5"/>
  <c r="AE141" i="5"/>
  <c r="AD141" i="5"/>
  <c r="E141" i="5"/>
  <c r="AE140" i="5"/>
  <c r="AD140" i="5"/>
  <c r="E140" i="5"/>
  <c r="AE139" i="5"/>
  <c r="AD139" i="5"/>
  <c r="E139" i="5"/>
  <c r="AE138" i="5"/>
  <c r="AD138" i="5"/>
  <c r="E138" i="5"/>
  <c r="AE137" i="5"/>
  <c r="AD137" i="5"/>
  <c r="E137" i="5"/>
  <c r="AE136" i="5"/>
  <c r="AD136" i="5"/>
  <c r="E136" i="5"/>
  <c r="AE135" i="5"/>
  <c r="AD135" i="5"/>
  <c r="E135" i="5"/>
  <c r="AE134" i="5"/>
  <c r="AD134" i="5"/>
  <c r="E134" i="5"/>
  <c r="AE133" i="5"/>
  <c r="AD133" i="5"/>
  <c r="E133" i="5"/>
  <c r="AE132" i="5"/>
  <c r="AD132" i="5"/>
  <c r="E132" i="5"/>
  <c r="AE131" i="5"/>
  <c r="AD131" i="5"/>
  <c r="E131" i="5"/>
  <c r="AE130" i="5"/>
  <c r="AD130" i="5"/>
  <c r="E130" i="5"/>
  <c r="AE129" i="5"/>
  <c r="AD129" i="5"/>
  <c r="E129" i="5"/>
  <c r="AE128" i="5"/>
  <c r="AD128" i="5"/>
  <c r="E128" i="5"/>
  <c r="AE127" i="5"/>
  <c r="AD127" i="5"/>
  <c r="E127" i="5"/>
  <c r="AE126" i="5"/>
  <c r="AD126" i="5"/>
  <c r="E126" i="5"/>
  <c r="AE125" i="5"/>
  <c r="AD125" i="5"/>
  <c r="E125" i="5"/>
  <c r="AE124" i="5"/>
  <c r="AD124" i="5"/>
  <c r="E124" i="5"/>
  <c r="AE123" i="5"/>
  <c r="AD123" i="5"/>
  <c r="E123" i="5"/>
  <c r="AE122" i="5"/>
  <c r="AD122" i="5"/>
  <c r="E122" i="5"/>
  <c r="AE121" i="5"/>
  <c r="AD121" i="5"/>
  <c r="E121" i="5"/>
  <c r="AE120" i="5"/>
  <c r="AD120" i="5"/>
  <c r="E120" i="5"/>
  <c r="AE119" i="5"/>
  <c r="AD119" i="5"/>
  <c r="E119" i="5"/>
  <c r="AE118" i="5"/>
  <c r="AD118" i="5"/>
  <c r="E118" i="5"/>
  <c r="AE117" i="5"/>
  <c r="AD117" i="5"/>
  <c r="E117" i="5"/>
  <c r="AE116" i="5"/>
  <c r="AD116" i="5"/>
  <c r="E116" i="5"/>
  <c r="AE115" i="5"/>
  <c r="AD115" i="5"/>
  <c r="E115" i="5"/>
  <c r="AE114" i="5"/>
  <c r="AD114" i="5"/>
  <c r="E114" i="5"/>
  <c r="AE113" i="5"/>
  <c r="AD113" i="5"/>
  <c r="E113" i="5"/>
  <c r="AE112" i="5"/>
  <c r="AD112" i="5"/>
  <c r="E112" i="5"/>
  <c r="AE111" i="5"/>
  <c r="AD111" i="5"/>
  <c r="E111" i="5"/>
  <c r="AE110" i="5"/>
  <c r="AD110" i="5"/>
  <c r="E110" i="5"/>
  <c r="AE109" i="5"/>
  <c r="AD109" i="5"/>
  <c r="E109" i="5"/>
  <c r="AE108" i="5"/>
  <c r="AD108" i="5"/>
  <c r="E108" i="5"/>
  <c r="AE107" i="5"/>
  <c r="AD107" i="5"/>
  <c r="E107" i="5"/>
  <c r="AE106" i="5"/>
  <c r="AD106" i="5"/>
  <c r="E106" i="5"/>
  <c r="AE105" i="5"/>
  <c r="AD105" i="5"/>
  <c r="E105" i="5"/>
  <c r="AE104" i="5"/>
  <c r="AD104" i="5"/>
  <c r="E104" i="5"/>
  <c r="AE103" i="5"/>
  <c r="AD103" i="5"/>
  <c r="E103" i="5"/>
  <c r="AE102" i="5"/>
  <c r="AD102" i="5"/>
  <c r="E102" i="5"/>
  <c r="AE101" i="5"/>
  <c r="AD101" i="5"/>
  <c r="E101" i="5"/>
  <c r="AE100" i="5"/>
  <c r="AD100" i="5"/>
  <c r="E100" i="5"/>
  <c r="AE99" i="5"/>
  <c r="AD99" i="5"/>
  <c r="E99" i="5"/>
  <c r="AE98" i="5"/>
  <c r="AD98" i="5"/>
  <c r="E98" i="5"/>
  <c r="AE97" i="5"/>
  <c r="AD97" i="5"/>
  <c r="E97" i="5"/>
  <c r="AE96" i="5"/>
  <c r="AD96" i="5"/>
  <c r="E96" i="5"/>
  <c r="AE95" i="5"/>
  <c r="AD95" i="5"/>
  <c r="E95" i="5"/>
  <c r="AE94" i="5"/>
  <c r="AD94" i="5"/>
  <c r="E94" i="5"/>
  <c r="AE93" i="5"/>
  <c r="AD93" i="5"/>
  <c r="E93" i="5"/>
  <c r="AE92" i="5"/>
  <c r="AD92" i="5"/>
  <c r="E92" i="5"/>
  <c r="AE91" i="5"/>
  <c r="AD91" i="5"/>
  <c r="E91" i="5"/>
  <c r="AE90" i="5"/>
  <c r="AD90" i="5"/>
  <c r="E90" i="5"/>
  <c r="AE89" i="5"/>
  <c r="AD89" i="5"/>
  <c r="E89" i="5"/>
  <c r="AE88" i="5"/>
  <c r="AD88" i="5"/>
  <c r="E88" i="5"/>
  <c r="AE87" i="5"/>
  <c r="AD87" i="5"/>
  <c r="E87" i="5"/>
  <c r="AE86" i="5"/>
  <c r="AD86" i="5"/>
  <c r="E86" i="5"/>
  <c r="AE85" i="5"/>
  <c r="AD85" i="5"/>
  <c r="E85" i="5"/>
  <c r="AE84" i="5"/>
  <c r="AD84" i="5"/>
  <c r="E84" i="5"/>
  <c r="AE83" i="5"/>
  <c r="AD83" i="5"/>
  <c r="E83" i="5"/>
  <c r="AE82" i="5"/>
  <c r="AD82" i="5"/>
  <c r="E82" i="5"/>
  <c r="AE81" i="5"/>
  <c r="AD81" i="5"/>
  <c r="E81" i="5"/>
  <c r="AE80" i="5"/>
  <c r="AD80" i="5"/>
  <c r="E80" i="5"/>
  <c r="AE79" i="5"/>
  <c r="AD79" i="5"/>
  <c r="E79" i="5"/>
  <c r="AE78" i="5"/>
  <c r="AD78" i="5"/>
  <c r="E78" i="5"/>
  <c r="AE77" i="5"/>
  <c r="AD77" i="5"/>
  <c r="E77" i="5"/>
  <c r="AE76" i="5"/>
  <c r="AD76" i="5"/>
  <c r="E76" i="5"/>
  <c r="AE75" i="5"/>
  <c r="AD75" i="5"/>
  <c r="E75" i="5"/>
  <c r="AE74" i="5"/>
  <c r="AD74" i="5"/>
  <c r="E74" i="5"/>
  <c r="AE73" i="5"/>
  <c r="AD73" i="5"/>
  <c r="E73" i="5"/>
  <c r="AE72" i="5"/>
  <c r="AD72" i="5"/>
  <c r="E72" i="5"/>
  <c r="AE71" i="5"/>
  <c r="AD71" i="5"/>
  <c r="E71" i="5"/>
  <c r="AE70" i="5"/>
  <c r="AD70" i="5"/>
  <c r="E70" i="5"/>
  <c r="AE69" i="5"/>
  <c r="AD69" i="5"/>
  <c r="E69" i="5"/>
  <c r="AE68" i="5"/>
  <c r="AD68" i="5"/>
  <c r="E68" i="5"/>
  <c r="AE67" i="5"/>
  <c r="AD67" i="5"/>
  <c r="E67" i="5"/>
  <c r="AE66" i="5"/>
  <c r="AD66" i="5"/>
  <c r="E66" i="5"/>
  <c r="AE65" i="5"/>
  <c r="AD65" i="5"/>
  <c r="E65" i="5"/>
  <c r="AE64" i="5"/>
  <c r="AD64" i="5"/>
  <c r="E64" i="5"/>
  <c r="AE63" i="5"/>
  <c r="AD63" i="5"/>
  <c r="E63" i="5"/>
  <c r="AE62" i="5"/>
  <c r="AD62" i="5"/>
  <c r="E62" i="5"/>
  <c r="AE61" i="5"/>
  <c r="AD61" i="5"/>
  <c r="E61" i="5"/>
  <c r="AE60" i="5"/>
  <c r="AD60" i="5"/>
  <c r="E60" i="5"/>
  <c r="AE59" i="5"/>
  <c r="AD59" i="5"/>
  <c r="E59" i="5"/>
  <c r="AE58" i="5"/>
  <c r="AD58" i="5"/>
  <c r="E58" i="5"/>
  <c r="AE57" i="5"/>
  <c r="AD57" i="5"/>
  <c r="E57" i="5"/>
  <c r="AE56" i="5"/>
  <c r="AD56" i="5"/>
  <c r="E56" i="5"/>
  <c r="AE55" i="5"/>
  <c r="AD55" i="5"/>
  <c r="E55" i="5"/>
  <c r="AE54" i="5"/>
  <c r="AD54" i="5"/>
  <c r="E54" i="5"/>
  <c r="AE53" i="5"/>
  <c r="AD53" i="5"/>
  <c r="E53" i="5"/>
  <c r="AE52" i="5"/>
  <c r="AD52" i="5"/>
  <c r="E52" i="5"/>
  <c r="AE51" i="5"/>
  <c r="AD51" i="5"/>
  <c r="E51" i="5"/>
  <c r="AE50" i="5"/>
  <c r="AD50" i="5"/>
  <c r="E50" i="5"/>
  <c r="AE49" i="5"/>
  <c r="AD49" i="5"/>
  <c r="E49" i="5"/>
  <c r="AE48" i="5"/>
  <c r="AD48" i="5"/>
  <c r="E48" i="5"/>
  <c r="AE47" i="5"/>
  <c r="AD47" i="5"/>
  <c r="E47" i="5"/>
  <c r="AE46" i="5"/>
  <c r="AD46" i="5"/>
  <c r="E46" i="5"/>
  <c r="AE45" i="5"/>
  <c r="AD45" i="5"/>
  <c r="E45" i="5"/>
  <c r="AE44" i="5"/>
  <c r="AD44" i="5"/>
  <c r="E44" i="5"/>
  <c r="AE43" i="5"/>
  <c r="AD43" i="5"/>
  <c r="E43" i="5"/>
  <c r="AE42" i="5"/>
  <c r="AD42" i="5"/>
  <c r="E42" i="5"/>
  <c r="AE41" i="5"/>
  <c r="AD41" i="5"/>
  <c r="E41" i="5"/>
  <c r="AE40" i="5"/>
  <c r="AD40" i="5"/>
  <c r="E40" i="5"/>
  <c r="AE39" i="5"/>
  <c r="AD39" i="5"/>
  <c r="E39" i="5"/>
  <c r="AE38" i="5"/>
  <c r="AD38" i="5"/>
  <c r="E38" i="5"/>
  <c r="AE37" i="5"/>
  <c r="AD37" i="5"/>
  <c r="E37" i="5"/>
  <c r="AE36" i="5"/>
  <c r="AD36" i="5"/>
  <c r="E36" i="5"/>
  <c r="AE35" i="5"/>
  <c r="AD35" i="5"/>
  <c r="E35" i="5"/>
  <c r="AE34" i="5"/>
  <c r="AD34" i="5"/>
  <c r="E34" i="5"/>
  <c r="AE33" i="5"/>
  <c r="AD33" i="5"/>
  <c r="E33" i="5"/>
  <c r="AE32" i="5"/>
  <c r="AD32" i="5"/>
  <c r="E32" i="5"/>
  <c r="AE31" i="5"/>
  <c r="AD31" i="5"/>
  <c r="E31" i="5"/>
  <c r="AE30" i="5"/>
  <c r="AD30" i="5"/>
  <c r="E30" i="5"/>
  <c r="AE29" i="5"/>
  <c r="AD29" i="5"/>
  <c r="E29" i="5"/>
  <c r="AE28" i="5"/>
  <c r="AD28" i="5"/>
  <c r="E28" i="5"/>
  <c r="AE27" i="5"/>
  <c r="AD27" i="5"/>
  <c r="E27" i="5"/>
  <c r="AE26" i="5"/>
  <c r="AD26" i="5"/>
  <c r="E26" i="5"/>
  <c r="AE25" i="5"/>
  <c r="AD25" i="5"/>
  <c r="E25" i="5"/>
  <c r="AE24" i="5"/>
  <c r="AD24" i="5"/>
  <c r="E24" i="5"/>
  <c r="AE23" i="5"/>
  <c r="AD23" i="5"/>
  <c r="E23" i="5"/>
  <c r="AE22" i="5"/>
  <c r="AD22" i="5"/>
  <c r="E22" i="5"/>
  <c r="AE21" i="5"/>
  <c r="AD21" i="5"/>
  <c r="E21" i="5"/>
  <c r="AE20" i="5"/>
  <c r="AD20" i="5"/>
  <c r="E20" i="5"/>
  <c r="AE19" i="5"/>
  <c r="AD19" i="5"/>
  <c r="E19" i="5"/>
  <c r="AE18" i="5"/>
  <c r="AD18" i="5"/>
  <c r="E18" i="5"/>
  <c r="AE17" i="5"/>
  <c r="AD17" i="5"/>
  <c r="E17" i="5"/>
  <c r="AE16" i="5"/>
  <c r="AD16" i="5"/>
  <c r="E16" i="5"/>
  <c r="AE15" i="5"/>
  <c r="AD15" i="5"/>
  <c r="E15" i="5"/>
  <c r="AE14" i="5"/>
  <c r="AD14" i="5"/>
  <c r="E14" i="5"/>
  <c r="AE13" i="5"/>
  <c r="AD13" i="5"/>
  <c r="E13" i="5"/>
  <c r="AE12" i="5"/>
  <c r="AD12" i="5"/>
  <c r="E12" i="5"/>
  <c r="AE11" i="5"/>
  <c r="AD11" i="5"/>
  <c r="E11" i="5"/>
  <c r="AE10" i="5"/>
  <c r="AD10" i="5"/>
  <c r="E10" i="5"/>
  <c r="AE9" i="5"/>
  <c r="AD9" i="5"/>
  <c r="E9" i="5"/>
  <c r="AE8" i="5"/>
  <c r="AD8" i="5"/>
  <c r="E8" i="5"/>
  <c r="AE7" i="5"/>
  <c r="AD7" i="5"/>
  <c r="E7" i="5"/>
  <c r="AE6" i="5"/>
  <c r="AD6" i="5"/>
  <c r="E6" i="5"/>
  <c r="AE5" i="5"/>
  <c r="AD5" i="5"/>
  <c r="E5" i="5"/>
  <c r="AE4" i="5"/>
  <c r="AD4" i="5"/>
  <c r="E4" i="5"/>
  <c r="AE3" i="5"/>
  <c r="AD3" i="5"/>
  <c r="E3" i="5"/>
  <c r="AE2" i="5"/>
  <c r="AD2" i="5"/>
  <c r="E2" i="5"/>
  <c r="B428" i="11"/>
  <c r="P428" i="11"/>
  <c r="O428" i="11"/>
  <c r="E428" i="11"/>
  <c r="C428" i="11"/>
  <c r="B427" i="11"/>
  <c r="I427" i="11"/>
  <c r="J427" i="11"/>
  <c r="C427" i="11"/>
  <c r="E427" i="11"/>
  <c r="B426" i="11"/>
  <c r="L426" i="11"/>
  <c r="M426" i="11"/>
  <c r="B425" i="11"/>
  <c r="P425" i="11"/>
  <c r="O425" i="11"/>
  <c r="L425" i="11"/>
  <c r="M425" i="11"/>
  <c r="I425" i="11"/>
  <c r="J425" i="11"/>
  <c r="D425" i="11" a="1"/>
  <c r="D425" i="11"/>
  <c r="C425" i="11"/>
  <c r="E425" i="11"/>
  <c r="N425" i="11"/>
  <c r="B424" i="11"/>
  <c r="P424" i="11"/>
  <c r="B423" i="11"/>
  <c r="O423" i="11"/>
  <c r="I423" i="11"/>
  <c r="J423" i="11"/>
  <c r="E423" i="11"/>
  <c r="G423" i="11"/>
  <c r="D423" i="11" a="1"/>
  <c r="D423" i="11"/>
  <c r="C423" i="11"/>
  <c r="B422" i="11"/>
  <c r="P422" i="11"/>
  <c r="I422" i="11"/>
  <c r="J422" i="11"/>
  <c r="D422" i="11" a="1"/>
  <c r="D422" i="11"/>
  <c r="L422" i="11"/>
  <c r="M422" i="11"/>
  <c r="B421" i="11"/>
  <c r="P421" i="11"/>
  <c r="O421" i="11"/>
  <c r="L421" i="11"/>
  <c r="M421" i="11"/>
  <c r="I421" i="11"/>
  <c r="J421" i="11"/>
  <c r="E421" i="11"/>
  <c r="G421" i="11"/>
  <c r="D421" i="11" a="1"/>
  <c r="D421" i="11"/>
  <c r="C421" i="11"/>
  <c r="N421" i="11"/>
  <c r="B420" i="11"/>
  <c r="P420" i="11"/>
  <c r="O420" i="11"/>
  <c r="L420" i="11"/>
  <c r="M420" i="11"/>
  <c r="I420" i="11"/>
  <c r="J420" i="11"/>
  <c r="D420" i="11" a="1"/>
  <c r="D420" i="11"/>
  <c r="C420" i="11"/>
  <c r="B419" i="11"/>
  <c r="P419" i="11"/>
  <c r="O419" i="11"/>
  <c r="L419" i="11"/>
  <c r="M419" i="11"/>
  <c r="D419" i="11" a="1"/>
  <c r="D419" i="11"/>
  <c r="C419" i="11"/>
  <c r="I419" i="11"/>
  <c r="J419" i="11"/>
  <c r="D391" i="11"/>
  <c r="C411" i="11"/>
  <c r="C407" i="11"/>
  <c r="C403" i="11"/>
  <c r="D392" i="11"/>
  <c r="C415" i="11"/>
  <c r="D390" i="11"/>
  <c r="D389" i="11"/>
  <c r="D388" i="11"/>
  <c r="D381" i="11"/>
  <c r="B381" i="11"/>
  <c r="D364" i="11" a="1"/>
  <c r="D364" i="11"/>
  <c r="D363" i="11" a="1"/>
  <c r="D363" i="11"/>
  <c r="D362" i="11" a="1"/>
  <c r="D362" i="11"/>
  <c r="D361" i="11" a="1"/>
  <c r="D361" i="11"/>
  <c r="D360" i="11" a="1"/>
  <c r="D360" i="11"/>
  <c r="D349" i="11" a="1"/>
  <c r="D349" i="11"/>
  <c r="D348" i="11" a="1"/>
  <c r="D348" i="11"/>
  <c r="D347" i="11" a="1"/>
  <c r="D347" i="11"/>
  <c r="D346" i="11" a="1"/>
  <c r="D346" i="11"/>
  <c r="D345" i="11" a="1"/>
  <c r="D345" i="11"/>
  <c r="G336" i="11"/>
  <c r="G327" i="11"/>
  <c r="G328" i="11"/>
  <c r="G329" i="11"/>
  <c r="G330" i="11"/>
  <c r="G331" i="11"/>
  <c r="G332" i="11"/>
  <c r="G333" i="11"/>
  <c r="G334" i="11"/>
  <c r="G335" i="11"/>
  <c r="F336" i="11" a="1"/>
  <c r="F336" i="11"/>
  <c r="C336" i="11"/>
  <c r="F335" i="11" a="1"/>
  <c r="F335" i="11"/>
  <c r="C335" i="11"/>
  <c r="F334" i="11" a="1"/>
  <c r="F334" i="11"/>
  <c r="C334" i="11"/>
  <c r="F333" i="11" a="1"/>
  <c r="F333" i="11"/>
  <c r="C333" i="11"/>
  <c r="F332" i="11" a="1"/>
  <c r="F332" i="11"/>
  <c r="C332" i="11"/>
  <c r="F331" i="11" a="1"/>
  <c r="F331" i="11"/>
  <c r="C331" i="11"/>
  <c r="F330" i="11" a="1"/>
  <c r="F330" i="11"/>
  <c r="C330" i="11"/>
  <c r="F329" i="11" a="1"/>
  <c r="F329" i="11"/>
  <c r="C329" i="11"/>
  <c r="F328" i="11" a="1"/>
  <c r="F328" i="11"/>
  <c r="C328" i="11"/>
  <c r="F327" i="11" a="1"/>
  <c r="F327" i="11"/>
  <c r="C327" i="11"/>
  <c r="G322" i="11"/>
  <c r="F323" i="11"/>
  <c r="F324" i="11"/>
  <c r="C320" i="11"/>
  <c r="C319" i="11"/>
  <c r="C318" i="11"/>
  <c r="C317" i="11"/>
  <c r="C316" i="11"/>
  <c r="C315" i="11"/>
  <c r="C314" i="11"/>
  <c r="C313" i="11"/>
  <c r="C312" i="11"/>
  <c r="F312" i="11"/>
  <c r="D295" i="11"/>
  <c r="E295" i="11"/>
  <c r="F295" i="11"/>
  <c r="G295" i="11"/>
  <c r="H295" i="11"/>
  <c r="I295" i="11"/>
  <c r="J295" i="11"/>
  <c r="K295" i="11"/>
  <c r="L295" i="11"/>
  <c r="M295" i="11"/>
  <c r="N295" i="11"/>
  <c r="O295" i="11"/>
  <c r="P295" i="11"/>
  <c r="Q295" i="11"/>
  <c r="R295" i="11"/>
  <c r="S295" i="11"/>
  <c r="T295" i="11"/>
  <c r="U295" i="11"/>
  <c r="V295" i="11"/>
  <c r="W295" i="11"/>
  <c r="X295" i="11"/>
  <c r="Y295" i="11"/>
  <c r="Z295" i="11"/>
  <c r="D280" i="11"/>
  <c r="E280" i="11"/>
  <c r="F280" i="11"/>
  <c r="G280" i="11"/>
  <c r="H280" i="11"/>
  <c r="I280" i="11"/>
  <c r="J280" i="11"/>
  <c r="K280" i="11"/>
  <c r="L280" i="11"/>
  <c r="M280" i="11"/>
  <c r="N280" i="11"/>
  <c r="O280" i="11"/>
  <c r="P280" i="11"/>
  <c r="Q280" i="11"/>
  <c r="R280" i="11"/>
  <c r="S280" i="11"/>
  <c r="T280" i="11"/>
  <c r="U280" i="11"/>
  <c r="V280" i="11"/>
  <c r="W280" i="11"/>
  <c r="X280" i="11"/>
  <c r="Y280" i="11"/>
  <c r="Z280" i="11"/>
  <c r="C274" i="11"/>
  <c r="C273" i="11"/>
  <c r="C272" i="11"/>
  <c r="C271" i="11"/>
  <c r="C270" i="11"/>
  <c r="C269" i="11"/>
  <c r="C268" i="11"/>
  <c r="C267" i="11"/>
  <c r="C266" i="11"/>
  <c r="C256" i="11"/>
  <c r="C255" i="11"/>
  <c r="C254" i="11"/>
  <c r="C252" i="11"/>
  <c r="C253" i="11"/>
  <c r="B254" i="11" a="1"/>
  <c r="B254" i="11"/>
  <c r="D254" i="11"/>
  <c r="C247" i="11"/>
  <c r="B248" i="11"/>
  <c r="B253" i="11" a="1"/>
  <c r="B253" i="11"/>
  <c r="D253" i="11"/>
  <c r="B252" i="11" a="1"/>
  <c r="B252" i="11"/>
  <c r="D252" i="11"/>
  <c r="B249" i="11"/>
  <c r="D242" i="11"/>
  <c r="B242" i="11"/>
  <c r="E242" i="11"/>
  <c r="B241" i="11"/>
  <c r="E241" i="11"/>
  <c r="D241" i="11"/>
  <c r="B240" i="11"/>
  <c r="E240" i="11"/>
  <c r="D240" i="11"/>
  <c r="B239" i="11"/>
  <c r="E239" i="11"/>
  <c r="E238" i="11"/>
  <c r="D231" i="11"/>
  <c r="B231" i="11"/>
  <c r="E231" i="11"/>
  <c r="B230" i="11"/>
  <c r="D230" i="11"/>
  <c r="E230" i="11"/>
  <c r="B229" i="11"/>
  <c r="E229" i="11"/>
  <c r="D229" i="11"/>
  <c r="B228" i="11"/>
  <c r="E228" i="11"/>
  <c r="D228" i="11"/>
  <c r="E227" i="11"/>
  <c r="D227" i="11"/>
  <c r="C220" i="11"/>
  <c r="C219" i="11"/>
  <c r="C211" i="11"/>
  <c r="C212" i="11"/>
  <c r="C213" i="11"/>
  <c r="C214" i="11"/>
  <c r="C215" i="11"/>
  <c r="C216" i="11"/>
  <c r="C217" i="11"/>
  <c r="C218" i="11"/>
  <c r="B219" i="11" a="1"/>
  <c r="B219" i="11"/>
  <c r="B218" i="11" a="1"/>
  <c r="B218" i="11"/>
  <c r="B215" i="11" a="1"/>
  <c r="B215" i="11"/>
  <c r="B214" i="11" a="1"/>
  <c r="B214" i="11"/>
  <c r="B212" i="11" a="1"/>
  <c r="B212" i="11"/>
  <c r="B217" i="11" a="1"/>
  <c r="B217" i="11"/>
  <c r="B211" i="11" a="1"/>
  <c r="B211" i="11"/>
  <c r="C201" i="11"/>
  <c r="C200" i="11"/>
  <c r="C199" i="11"/>
  <c r="C192" i="11"/>
  <c r="C193" i="11"/>
  <c r="C194" i="11"/>
  <c r="C195" i="11"/>
  <c r="C196" i="11"/>
  <c r="C197" i="11"/>
  <c r="C198" i="11"/>
  <c r="B199" i="11" a="1"/>
  <c r="B199" i="11"/>
  <c r="B196" i="11" a="1"/>
  <c r="B196" i="11"/>
  <c r="B195" i="11" a="1"/>
  <c r="B195" i="11"/>
  <c r="B193" i="11" a="1"/>
  <c r="B193" i="11"/>
  <c r="B198" i="11" a="1"/>
  <c r="B198" i="11"/>
  <c r="C182" i="11"/>
  <c r="C181" i="11"/>
  <c r="C180" i="11"/>
  <c r="C179" i="11"/>
  <c r="C178" i="11"/>
  <c r="C177" i="11"/>
  <c r="C173" i="11"/>
  <c r="C174" i="11"/>
  <c r="C175" i="11"/>
  <c r="C176" i="11"/>
  <c r="B177" i="11" a="1"/>
  <c r="B177" i="11"/>
  <c r="B176" i="11" a="1"/>
  <c r="B176" i="11"/>
  <c r="B174" i="11" a="1"/>
  <c r="B174" i="11"/>
  <c r="B178" i="11" a="1"/>
  <c r="B178" i="11"/>
  <c r="C149" i="11"/>
  <c r="D163" i="11"/>
  <c r="C148" i="11"/>
  <c r="D162" i="11"/>
  <c r="B162" i="11"/>
  <c r="C147" i="11"/>
  <c r="B161" i="11"/>
  <c r="B141" i="11"/>
  <c r="B140" i="11"/>
  <c r="C136" i="11"/>
  <c r="B21" i="11"/>
  <c r="B18" i="11"/>
  <c r="J17" i="11"/>
  <c r="I17" i="11"/>
  <c r="H17" i="11"/>
  <c r="J16" i="11"/>
  <c r="J13" i="11"/>
  <c r="C12" i="11"/>
  <c r="E37" i="7"/>
  <c r="G37" i="7"/>
  <c r="U3" i="8"/>
  <c r="A37" i="7"/>
  <c r="C37" i="7"/>
  <c r="H32" i="7"/>
  <c r="H24" i="7"/>
  <c r="J20" i="7"/>
  <c r="B20" i="7"/>
  <c r="J19" i="7"/>
  <c r="C19" i="7"/>
  <c r="B19" i="7"/>
  <c r="H3" i="8"/>
  <c r="G17" i="7"/>
  <c r="E13" i="7"/>
  <c r="E12" i="7"/>
  <c r="E11" i="7"/>
  <c r="E10" i="7"/>
  <c r="E9" i="7"/>
  <c r="E8" i="7"/>
  <c r="I7" i="7"/>
  <c r="E7" i="7"/>
  <c r="I6" i="7"/>
  <c r="E6" i="7"/>
  <c r="E5" i="7"/>
  <c r="E24" i="7"/>
  <c r="U4" i="13"/>
  <c r="U5" i="13"/>
  <c r="U6" i="13"/>
  <c r="U7" i="13"/>
  <c r="U8" i="13"/>
  <c r="U9" i="13"/>
  <c r="U10" i="13"/>
  <c r="U11" i="13"/>
  <c r="U12" i="13"/>
  <c r="U13" i="13"/>
  <c r="U14" i="13"/>
  <c r="U15" i="13"/>
  <c r="U16" i="13"/>
  <c r="U17" i="13"/>
  <c r="U18" i="13"/>
  <c r="U19" i="13"/>
  <c r="U20" i="13"/>
  <c r="U21" i="13"/>
  <c r="U22" i="13"/>
  <c r="U23" i="13"/>
  <c r="U24" i="13"/>
  <c r="U25" i="13"/>
  <c r="U26" i="13"/>
  <c r="U27" i="13"/>
  <c r="U28" i="13"/>
  <c r="U29" i="13"/>
  <c r="U30" i="13"/>
  <c r="U31" i="13"/>
  <c r="U32" i="13"/>
  <c r="U33" i="13"/>
  <c r="U34" i="13"/>
  <c r="U35" i="13"/>
  <c r="U36" i="13"/>
  <c r="U37" i="13"/>
  <c r="U38" i="13"/>
  <c r="U39" i="13"/>
  <c r="U40" i="13"/>
  <c r="U41" i="13"/>
  <c r="U42" i="13"/>
  <c r="U43" i="13"/>
  <c r="U44" i="13"/>
  <c r="U45" i="13"/>
  <c r="U46" i="13"/>
  <c r="U47" i="13"/>
  <c r="U48" i="13"/>
  <c r="U49" i="13"/>
  <c r="U50" i="13"/>
  <c r="U51" i="13"/>
  <c r="U52" i="13"/>
  <c r="U53" i="13"/>
  <c r="U54" i="13"/>
  <c r="U55" i="13"/>
  <c r="U56" i="13"/>
  <c r="U57" i="13"/>
  <c r="U58" i="13"/>
  <c r="U59" i="13"/>
  <c r="U60" i="13"/>
  <c r="U61" i="13"/>
  <c r="U62" i="13"/>
  <c r="U63" i="13"/>
  <c r="U64" i="13"/>
  <c r="U65" i="13"/>
  <c r="U66" i="13"/>
  <c r="U67" i="13"/>
  <c r="U68" i="13"/>
  <c r="U69" i="13"/>
  <c r="U70" i="13"/>
  <c r="U71" i="13"/>
  <c r="U72" i="13"/>
  <c r="U73" i="13"/>
  <c r="U74" i="13"/>
  <c r="U75" i="13"/>
  <c r="U76" i="13"/>
  <c r="U77" i="13"/>
  <c r="U78" i="13"/>
  <c r="U79" i="13"/>
  <c r="U80" i="13"/>
  <c r="U81" i="13"/>
  <c r="U82" i="13"/>
  <c r="U83" i="13"/>
  <c r="U84" i="13"/>
  <c r="U85" i="13"/>
  <c r="U86" i="13"/>
  <c r="U87" i="13"/>
  <c r="U88" i="13"/>
  <c r="U89" i="13"/>
  <c r="U90" i="13"/>
  <c r="U91" i="13"/>
  <c r="U92" i="13"/>
  <c r="U93" i="13"/>
  <c r="U94" i="13"/>
  <c r="U95" i="13"/>
  <c r="U96" i="13"/>
  <c r="U97" i="13"/>
  <c r="U98" i="13"/>
  <c r="U99" i="13"/>
  <c r="U100" i="13"/>
  <c r="U101" i="13"/>
  <c r="U102" i="13"/>
  <c r="U103" i="13"/>
  <c r="U104" i="13"/>
  <c r="U105" i="13"/>
  <c r="U106" i="13"/>
  <c r="U107" i="13"/>
  <c r="U108" i="13"/>
  <c r="U109" i="13"/>
  <c r="U110" i="13"/>
  <c r="U111" i="13"/>
  <c r="U112" i="13"/>
  <c r="U113" i="13"/>
  <c r="U114" i="13"/>
  <c r="U115" i="13"/>
  <c r="U116" i="13"/>
  <c r="U117" i="13"/>
  <c r="U118" i="13"/>
  <c r="U119" i="13"/>
  <c r="U120" i="13"/>
  <c r="U121" i="13"/>
  <c r="U122" i="13"/>
  <c r="W14" i="28"/>
  <c r="U14" i="28"/>
  <c r="R14" i="28"/>
  <c r="O14" i="28"/>
  <c r="I14" i="28"/>
  <c r="G14" i="28"/>
  <c r="D14" i="28"/>
  <c r="B14" i="28"/>
  <c r="K35" i="26"/>
  <c r="J35" i="26"/>
  <c r="I35" i="26"/>
  <c r="H35" i="26"/>
  <c r="K34" i="26"/>
  <c r="J34" i="26"/>
  <c r="I34" i="26"/>
  <c r="H34" i="26"/>
  <c r="E34" i="26"/>
  <c r="H13" i="26"/>
  <c r="H32" i="26"/>
  <c r="K31" i="26"/>
  <c r="J31" i="26"/>
  <c r="I31" i="26"/>
  <c r="H31" i="26"/>
  <c r="K30" i="26"/>
  <c r="J30" i="26"/>
  <c r="I30" i="26"/>
  <c r="H30" i="26"/>
  <c r="K29" i="26"/>
  <c r="J29" i="26"/>
  <c r="I29" i="26"/>
  <c r="H29" i="26"/>
  <c r="K28" i="26"/>
  <c r="J28" i="26"/>
  <c r="I28" i="26"/>
  <c r="H28" i="26"/>
  <c r="H14" i="26"/>
  <c r="H27" i="26"/>
  <c r="K25" i="26"/>
  <c r="J25" i="26"/>
  <c r="I25" i="26"/>
  <c r="H25" i="26"/>
  <c r="K24" i="26"/>
  <c r="J24" i="26"/>
  <c r="I24" i="26"/>
  <c r="H24" i="26"/>
  <c r="K23" i="26"/>
  <c r="J23" i="26"/>
  <c r="I23" i="26"/>
  <c r="H23" i="26"/>
  <c r="K22" i="26"/>
  <c r="J22" i="26"/>
  <c r="I22" i="26"/>
  <c r="H22" i="26"/>
  <c r="K14" i="26"/>
  <c r="K21" i="26"/>
  <c r="H21" i="26"/>
  <c r="E13" i="26"/>
  <c r="E20" i="26"/>
  <c r="K19" i="26"/>
  <c r="J19" i="26"/>
  <c r="I19" i="26"/>
  <c r="H19" i="26"/>
  <c r="K18" i="26"/>
  <c r="J18" i="26"/>
  <c r="I18" i="26"/>
  <c r="H18" i="26"/>
  <c r="K17" i="26"/>
  <c r="J17" i="26"/>
  <c r="I17" i="26"/>
  <c r="H17" i="26"/>
  <c r="E17" i="26"/>
  <c r="K16" i="26"/>
  <c r="J16" i="26"/>
  <c r="I16" i="26"/>
  <c r="H16" i="26"/>
  <c r="K15" i="26"/>
  <c r="J15" i="26"/>
  <c r="I15" i="26"/>
  <c r="H15" i="26"/>
  <c r="E15" i="26"/>
  <c r="K33" i="26"/>
  <c r="H33" i="26"/>
  <c r="E32" i="26"/>
  <c r="B12" i="26"/>
  <c r="B203" i="8"/>
  <c r="R3" i="8"/>
  <c r="N3" i="8"/>
  <c r="K3" i="8"/>
  <c r="A1" i="8"/>
  <c r="H20" i="7"/>
  <c r="H16" i="7"/>
  <c r="H18" i="7"/>
  <c r="D11" i="7"/>
  <c r="C11" i="7"/>
  <c r="H19" i="7"/>
  <c r="H17" i="7"/>
  <c r="D13" i="7"/>
  <c r="C13" i="7"/>
  <c r="F5" i="7"/>
  <c r="F24" i="7"/>
  <c r="B5" i="7"/>
  <c r="I5" i="7"/>
  <c r="I24" i="7"/>
  <c r="J5" i="7"/>
  <c r="K24" i="7"/>
  <c r="F12" i="11"/>
  <c r="D12" i="7"/>
  <c r="C12" i="7"/>
  <c r="H26" i="26"/>
  <c r="H20" i="26"/>
  <c r="E177" i="11"/>
  <c r="D177" i="11"/>
  <c r="F177" i="11"/>
  <c r="E176" i="11"/>
  <c r="F176" i="11"/>
  <c r="D176" i="11"/>
  <c r="E26" i="26"/>
  <c r="K27" i="26"/>
  <c r="C1389" i="11"/>
  <c r="C5" i="23"/>
  <c r="C18" i="11"/>
  <c r="E174" i="11"/>
  <c r="F174" i="11"/>
  <c r="D174" i="11"/>
  <c r="G19" i="7"/>
  <c r="C5" i="7"/>
  <c r="E28" i="7"/>
  <c r="G18" i="7"/>
  <c r="G20" i="7"/>
  <c r="G16" i="7"/>
  <c r="C1387" i="11"/>
  <c r="C3" i="23"/>
  <c r="D12" i="11"/>
  <c r="D136" i="11"/>
  <c r="D18" i="11"/>
  <c r="C168" i="11"/>
  <c r="E178" i="11"/>
  <c r="F178" i="11"/>
  <c r="D178" i="11"/>
  <c r="B181" i="11" a="1"/>
  <c r="B181" i="11"/>
  <c r="B173" i="11" a="1"/>
  <c r="B173" i="11"/>
  <c r="B182" i="11" a="1"/>
  <c r="B182" i="11"/>
  <c r="B180" i="11" a="1"/>
  <c r="B180" i="11"/>
  <c r="B175" i="11" a="1"/>
  <c r="B175" i="11"/>
  <c r="B179" i="11" a="1"/>
  <c r="B179" i="11"/>
  <c r="B192" i="11" a="1"/>
  <c r="B192" i="11"/>
  <c r="C187" i="11"/>
  <c r="B201" i="11" a="1"/>
  <c r="B201" i="11"/>
  <c r="B197" i="11" a="1"/>
  <c r="B197" i="11"/>
  <c r="B194" i="11" a="1"/>
  <c r="B194" i="11"/>
  <c r="B200" i="11" a="1"/>
  <c r="B200" i="11"/>
  <c r="C206" i="11"/>
  <c r="B213" i="11" a="1"/>
  <c r="B213" i="11"/>
  <c r="B216" i="11" a="1"/>
  <c r="B216" i="11"/>
  <c r="D239" i="11"/>
  <c r="B256" i="11" a="1"/>
  <c r="B256" i="11"/>
  <c r="D256" i="11"/>
  <c r="B266" i="11" a="1"/>
  <c r="B266" i="11"/>
  <c r="C275" i="11"/>
  <c r="C261" i="11"/>
  <c r="B273" i="11" a="1"/>
  <c r="B273" i="11"/>
  <c r="B267" i="11" a="1"/>
  <c r="B267" i="11"/>
  <c r="B268" i="11" a="1"/>
  <c r="B268" i="11"/>
  <c r="B271" i="11" a="1"/>
  <c r="B271" i="11"/>
  <c r="B255" i="11" a="1"/>
  <c r="B255" i="11"/>
  <c r="D255" i="11"/>
  <c r="B269" i="11" a="1"/>
  <c r="B269" i="11"/>
  <c r="B272" i="11" a="1"/>
  <c r="B272" i="11"/>
  <c r="B270" i="11" a="1"/>
  <c r="B270" i="11"/>
  <c r="B328" i="11" a="1"/>
  <c r="B328" i="11"/>
  <c r="B220" i="11" a="1"/>
  <c r="B220" i="11"/>
  <c r="B327" i="11" a="1"/>
  <c r="B327" i="11"/>
  <c r="C322" i="11"/>
  <c r="B274" i="11" a="1"/>
  <c r="B274" i="11"/>
  <c r="B313" i="11" a="1"/>
  <c r="B313" i="11"/>
  <c r="D310" i="11"/>
  <c r="B320" i="11" a="1"/>
  <c r="B320" i="11"/>
  <c r="B318" i="11" a="1"/>
  <c r="B318" i="11"/>
  <c r="B316" i="11" a="1"/>
  <c r="B316" i="11"/>
  <c r="B314" i="11" a="1"/>
  <c r="B314" i="11"/>
  <c r="B317" i="11" a="1"/>
  <c r="B317" i="11"/>
  <c r="B329" i="11" a="1"/>
  <c r="B329" i="11"/>
  <c r="B315" i="11" a="1"/>
  <c r="B315" i="11"/>
  <c r="B319" i="11" a="1"/>
  <c r="B319" i="11"/>
  <c r="B346" i="11" a="1"/>
  <c r="B346" i="11"/>
  <c r="C346" i="11" a="1"/>
  <c r="C346" i="11"/>
  <c r="B361" i="11" a="1"/>
  <c r="B361" i="11"/>
  <c r="C361" i="11" a="1"/>
  <c r="C361" i="11"/>
  <c r="C360" i="11" a="1"/>
  <c r="C360" i="11"/>
  <c r="D354" i="11"/>
  <c r="B360" i="11" a="1"/>
  <c r="B360" i="11"/>
  <c r="B330" i="11" a="1"/>
  <c r="B330" i="11"/>
  <c r="B331" i="11" a="1"/>
  <c r="B331" i="11"/>
  <c r="B332" i="11" a="1"/>
  <c r="B332" i="11"/>
  <c r="C345" i="11" a="1"/>
  <c r="C345" i="11"/>
  <c r="B345" i="11" a="1"/>
  <c r="B345" i="11"/>
  <c r="C349" i="11" a="1"/>
  <c r="C349" i="11"/>
  <c r="B349" i="11" a="1"/>
  <c r="B349" i="11"/>
  <c r="C348" i="11" a="1"/>
  <c r="C348" i="11"/>
  <c r="B348" i="11" a="1"/>
  <c r="B348" i="11"/>
  <c r="B347" i="11" a="1"/>
  <c r="B347" i="11"/>
  <c r="C347" i="11" a="1"/>
  <c r="C347" i="11"/>
  <c r="C362" i="11" a="1"/>
  <c r="C362" i="11"/>
  <c r="B362" i="11" a="1"/>
  <c r="B362" i="11"/>
  <c r="C363" i="11" a="1"/>
  <c r="C363" i="11"/>
  <c r="B333" i="11" a="1"/>
  <c r="B333" i="11"/>
  <c r="B334" i="11" a="1"/>
  <c r="B334" i="11"/>
  <c r="B335" i="11" a="1"/>
  <c r="B335" i="11"/>
  <c r="B336" i="11" a="1"/>
  <c r="B336" i="11"/>
  <c r="C364" i="11" a="1"/>
  <c r="C364" i="11"/>
  <c r="B364" i="11" a="1"/>
  <c r="B364" i="11"/>
  <c r="B363" i="11" a="1"/>
  <c r="B363" i="11"/>
  <c r="G427" i="11"/>
  <c r="F427" i="11"/>
  <c r="K427" i="11"/>
  <c r="C404" i="11"/>
  <c r="C408" i="11"/>
  <c r="C412" i="11"/>
  <c r="K421" i="11"/>
  <c r="E422" i="11"/>
  <c r="P423" i="11"/>
  <c r="L423" i="11"/>
  <c r="M423" i="11"/>
  <c r="F423" i="11"/>
  <c r="C424" i="11"/>
  <c r="G425" i="11"/>
  <c r="I426" i="11"/>
  <c r="J426" i="11"/>
  <c r="D427" i="11" a="1"/>
  <c r="D427" i="11"/>
  <c r="O427" i="11"/>
  <c r="C396" i="11"/>
  <c r="B396" i="11" a="1"/>
  <c r="B396" i="11"/>
  <c r="C397" i="11"/>
  <c r="C398" i="11"/>
  <c r="C399" i="11"/>
  <c r="C400" i="11"/>
  <c r="C401" i="11"/>
  <c r="C405" i="11"/>
  <c r="C409" i="11"/>
  <c r="C413" i="11"/>
  <c r="F421" i="11"/>
  <c r="O422" i="11"/>
  <c r="C422" i="11"/>
  <c r="N423" i="11"/>
  <c r="O424" i="11"/>
  <c r="D426" i="11" a="1"/>
  <c r="D426" i="11"/>
  <c r="P426" i="11"/>
  <c r="I428" i="11"/>
  <c r="J428" i="11"/>
  <c r="D428" i="11" a="1"/>
  <c r="D428" i="11"/>
  <c r="F428" i="11"/>
  <c r="L428" i="11"/>
  <c r="M428" i="11"/>
  <c r="C402" i="11"/>
  <c r="C406" i="11"/>
  <c r="C410" i="11"/>
  <c r="C414" i="11"/>
  <c r="E424" i="11"/>
  <c r="K425" i="11"/>
  <c r="E426" i="11"/>
  <c r="P427" i="11"/>
  <c r="L427" i="11"/>
  <c r="M427" i="11"/>
  <c r="G428" i="11"/>
  <c r="K423" i="11"/>
  <c r="I424" i="11"/>
  <c r="J424" i="11"/>
  <c r="D424" i="11" a="1"/>
  <c r="D424" i="11"/>
  <c r="L424" i="11"/>
  <c r="M424" i="11"/>
  <c r="F425" i="11"/>
  <c r="O426" i="11"/>
  <c r="C426" i="11"/>
  <c r="E419" i="11"/>
  <c r="E420" i="11"/>
  <c r="B402" i="11" a="1"/>
  <c r="B402" i="11"/>
  <c r="B400" i="11" a="1"/>
  <c r="B400" i="11"/>
  <c r="K419" i="11"/>
  <c r="F419" i="11"/>
  <c r="N419" i="11"/>
  <c r="G419" i="11"/>
  <c r="B406" i="11" a="1"/>
  <c r="B406" i="11"/>
  <c r="B401" i="11" a="1"/>
  <c r="B401" i="11"/>
  <c r="B397" i="11" a="1"/>
  <c r="B397" i="11"/>
  <c r="B403" i="11" a="1"/>
  <c r="B403" i="11"/>
  <c r="B407" i="11" a="1"/>
  <c r="B407" i="11"/>
  <c r="C355" i="11"/>
  <c r="O202" i="8"/>
  <c r="E317" i="11"/>
  <c r="W202" i="8"/>
  <c r="E320" i="11"/>
  <c r="B324" i="11"/>
  <c r="B323" i="11"/>
  <c r="B188" i="11"/>
  <c r="B189" i="11"/>
  <c r="E175" i="11"/>
  <c r="F175" i="11"/>
  <c r="D175" i="11"/>
  <c r="E181" i="11"/>
  <c r="D181" i="11"/>
  <c r="F181" i="11"/>
  <c r="B169" i="11"/>
  <c r="B170" i="11"/>
  <c r="I12" i="11"/>
  <c r="H12" i="11"/>
  <c r="B42" i="11"/>
  <c r="B16" i="11"/>
  <c r="J12" i="11"/>
  <c r="G12" i="11"/>
  <c r="T202" i="8"/>
  <c r="E319" i="11"/>
  <c r="H202" i="8"/>
  <c r="E314" i="11"/>
  <c r="D314" i="11"/>
  <c r="B262" i="11"/>
  <c r="B263" i="11"/>
  <c r="E180" i="11"/>
  <c r="F180" i="11"/>
  <c r="D180" i="11"/>
  <c r="E18" i="7"/>
  <c r="G5" i="7"/>
  <c r="G24" i="7"/>
  <c r="D9" i="7"/>
  <c r="C9" i="7"/>
  <c r="D8" i="7"/>
  <c r="C8" i="7"/>
  <c r="D10" i="7"/>
  <c r="C10" i="7"/>
  <c r="F424" i="11"/>
  <c r="K424" i="11"/>
  <c r="N424" i="11"/>
  <c r="G424" i="11"/>
  <c r="I402" i="11"/>
  <c r="O21" i="28"/>
  <c r="E402" i="11"/>
  <c r="D21" i="28"/>
  <c r="H402" i="11"/>
  <c r="L402" i="11"/>
  <c r="W21" i="28"/>
  <c r="G402" i="11"/>
  <c r="K402" i="11"/>
  <c r="U21" i="28"/>
  <c r="F402" i="11"/>
  <c r="G21" i="28"/>
  <c r="J402" i="11"/>
  <c r="R21" i="28"/>
  <c r="D402" i="11"/>
  <c r="B21" i="28"/>
  <c r="B413" i="11" a="1"/>
  <c r="B413" i="11"/>
  <c r="L400" i="11"/>
  <c r="W19" i="28"/>
  <c r="H400" i="11"/>
  <c r="D400" i="11"/>
  <c r="B19" i="28"/>
  <c r="K400" i="11"/>
  <c r="U19" i="28"/>
  <c r="G400" i="11"/>
  <c r="J400" i="11"/>
  <c r="R19" i="28"/>
  <c r="F400" i="11"/>
  <c r="G19" i="28"/>
  <c r="I400" i="11"/>
  <c r="O19" i="28"/>
  <c r="E400" i="11"/>
  <c r="D19" i="28"/>
  <c r="L396" i="11"/>
  <c r="W15" i="28"/>
  <c r="H396" i="11"/>
  <c r="G396" i="11"/>
  <c r="I15" i="28"/>
  <c r="D396" i="11"/>
  <c r="B15" i="28"/>
  <c r="K396" i="11"/>
  <c r="U15" i="28"/>
  <c r="J396" i="11"/>
  <c r="R15" i="28"/>
  <c r="F396" i="11"/>
  <c r="G15" i="28"/>
  <c r="I396" i="11"/>
  <c r="O15" i="28"/>
  <c r="E396" i="11"/>
  <c r="D15" i="28"/>
  <c r="B412" i="11" a="1"/>
  <c r="B412" i="11"/>
  <c r="B411" i="11" a="1"/>
  <c r="B411" i="11"/>
  <c r="B414" i="11" a="1"/>
  <c r="B414" i="11"/>
  <c r="B409" i="11" a="1"/>
  <c r="B409" i="11"/>
  <c r="B399" i="11" a="1"/>
  <c r="B399" i="11"/>
  <c r="K428" i="11"/>
  <c r="B408" i="11" a="1"/>
  <c r="B408" i="11"/>
  <c r="N427" i="11"/>
  <c r="B415" i="11" a="1"/>
  <c r="B415" i="11"/>
  <c r="C340" i="11"/>
  <c r="D339" i="11"/>
  <c r="J202" i="8"/>
  <c r="E315" i="11"/>
  <c r="L202" i="8"/>
  <c r="E316" i="11"/>
  <c r="F202" i="8"/>
  <c r="E313" i="11"/>
  <c r="D313" i="11"/>
  <c r="E182" i="11"/>
  <c r="F182" i="11"/>
  <c r="D182" i="11"/>
  <c r="E16" i="7"/>
  <c r="N420" i="11"/>
  <c r="G420" i="11"/>
  <c r="K420" i="11"/>
  <c r="F420" i="11"/>
  <c r="K426" i="11"/>
  <c r="F426" i="11"/>
  <c r="G426" i="11"/>
  <c r="N426" i="11"/>
  <c r="B410" i="11" a="1"/>
  <c r="B410" i="11"/>
  <c r="B405" i="11" a="1"/>
  <c r="B405" i="11"/>
  <c r="B398" i="11" a="1"/>
  <c r="B398" i="11"/>
  <c r="K422" i="11"/>
  <c r="F422" i="11"/>
  <c r="N422" i="11"/>
  <c r="G422" i="11"/>
  <c r="B404" i="11" a="1"/>
  <c r="B404" i="11"/>
  <c r="N428" i="11"/>
  <c r="R202" i="8"/>
  <c r="E318" i="11"/>
  <c r="D318" i="11"/>
  <c r="B208" i="11"/>
  <c r="B207" i="11"/>
  <c r="E179" i="11"/>
  <c r="F179" i="11"/>
  <c r="D179" i="11"/>
  <c r="E173" i="11"/>
  <c r="D173" i="11"/>
  <c r="F173" i="11"/>
  <c r="D5" i="7"/>
  <c r="F28" i="7"/>
  <c r="B2" i="25"/>
  <c r="B6" i="11"/>
  <c r="J24" i="7"/>
  <c r="D6" i="7"/>
  <c r="C6" i="7"/>
  <c r="D7" i="7"/>
  <c r="C7" i="7"/>
  <c r="E19" i="7"/>
  <c r="E20" i="7"/>
  <c r="F313" i="11"/>
  <c r="I21" i="28"/>
  <c r="D316" i="11"/>
  <c r="F316" i="11"/>
  <c r="D320" i="11"/>
  <c r="F320" i="11"/>
  <c r="D317" i="11"/>
  <c r="F317" i="11"/>
  <c r="D315" i="11"/>
  <c r="F315" i="11"/>
  <c r="D319" i="11"/>
  <c r="F319" i="11"/>
  <c r="F318" i="11"/>
  <c r="L398" i="11"/>
  <c r="W17" i="28"/>
  <c r="H398" i="11"/>
  <c r="D398" i="11"/>
  <c r="B17" i="28"/>
  <c r="K398" i="11"/>
  <c r="U17" i="28"/>
  <c r="G398" i="11"/>
  <c r="J398" i="11"/>
  <c r="R17" i="28"/>
  <c r="F398" i="11"/>
  <c r="G17" i="28"/>
  <c r="I398" i="11"/>
  <c r="O17" i="28"/>
  <c r="E398" i="11"/>
  <c r="D17" i="28"/>
  <c r="I409" i="11"/>
  <c r="O28" i="28"/>
  <c r="E409" i="11"/>
  <c r="D28" i="28"/>
  <c r="J409" i="11"/>
  <c r="R28" i="28"/>
  <c r="D409" i="11"/>
  <c r="B28" i="28"/>
  <c r="H409" i="11"/>
  <c r="L409" i="11"/>
  <c r="W28" i="28"/>
  <c r="G409" i="11"/>
  <c r="K409" i="11"/>
  <c r="U28" i="28"/>
  <c r="F409" i="11"/>
  <c r="G28" i="28"/>
  <c r="I19" i="28"/>
  <c r="F314" i="11"/>
  <c r="L397" i="11"/>
  <c r="W16" i="28"/>
  <c r="H397" i="11"/>
  <c r="D397" i="11"/>
  <c r="B16" i="28"/>
  <c r="K397" i="11"/>
  <c r="U16" i="28"/>
  <c r="G397" i="11"/>
  <c r="J397" i="11"/>
  <c r="R16" i="28"/>
  <c r="F397" i="11"/>
  <c r="G16" i="28"/>
  <c r="E397" i="11"/>
  <c r="D16" i="28"/>
  <c r="I397" i="11"/>
  <c r="O16" i="28"/>
  <c r="L24" i="7"/>
  <c r="C122" i="13"/>
  <c r="C123" i="13"/>
  <c r="B122" i="13"/>
  <c r="C121" i="13"/>
  <c r="E14" i="26"/>
  <c r="B11" i="26"/>
  <c r="I405" i="11"/>
  <c r="O24" i="28"/>
  <c r="E405" i="11"/>
  <c r="D24" i="28"/>
  <c r="J405" i="11"/>
  <c r="R24" i="28"/>
  <c r="D405" i="11"/>
  <c r="B24" i="28"/>
  <c r="H405" i="11"/>
  <c r="L405" i="11"/>
  <c r="W24" i="28"/>
  <c r="G405" i="11"/>
  <c r="K405" i="11"/>
  <c r="U24" i="28"/>
  <c r="F405" i="11"/>
  <c r="G24" i="28"/>
  <c r="I408" i="11"/>
  <c r="O27" i="28"/>
  <c r="E408" i="11"/>
  <c r="D27" i="28"/>
  <c r="K408" i="11"/>
  <c r="U27" i="28"/>
  <c r="F408" i="11"/>
  <c r="G27" i="28"/>
  <c r="J408" i="11"/>
  <c r="R27" i="28"/>
  <c r="D408" i="11"/>
  <c r="B27" i="28"/>
  <c r="H408" i="11"/>
  <c r="G408" i="11"/>
  <c r="L408" i="11"/>
  <c r="W27" i="28"/>
  <c r="I414" i="11"/>
  <c r="O33" i="28"/>
  <c r="E414" i="11"/>
  <c r="D33" i="28"/>
  <c r="J414" i="11"/>
  <c r="R33" i="28"/>
  <c r="D414" i="11"/>
  <c r="B33" i="28"/>
  <c r="H414" i="11"/>
  <c r="L414" i="11"/>
  <c r="W33" i="28"/>
  <c r="G414" i="11"/>
  <c r="K414" i="11"/>
  <c r="U33" i="28"/>
  <c r="F414" i="11"/>
  <c r="G33" i="28"/>
  <c r="B132" i="11"/>
  <c r="K100" i="11"/>
  <c r="B52" i="11"/>
  <c r="B41" i="11"/>
  <c r="B51" i="11"/>
  <c r="K105" i="11"/>
  <c r="K95" i="11"/>
  <c r="B13" i="11"/>
  <c r="B58" i="11"/>
  <c r="B156" i="11"/>
  <c r="J60" i="11"/>
  <c r="B356" i="11"/>
  <c r="B357" i="11"/>
  <c r="I401" i="11"/>
  <c r="O20" i="28"/>
  <c r="E401" i="11"/>
  <c r="D20" i="28"/>
  <c r="J401" i="11"/>
  <c r="R20" i="28"/>
  <c r="D401" i="11"/>
  <c r="B20" i="28"/>
  <c r="H401" i="11"/>
  <c r="L401" i="11"/>
  <c r="W20" i="28"/>
  <c r="G401" i="11"/>
  <c r="F401" i="11"/>
  <c r="G20" i="28"/>
  <c r="K401" i="11"/>
  <c r="U20" i="28"/>
  <c r="I410" i="11"/>
  <c r="O29" i="28"/>
  <c r="E410" i="11"/>
  <c r="D29" i="28"/>
  <c r="H410" i="11"/>
  <c r="L410" i="11"/>
  <c r="W29" i="28"/>
  <c r="G410" i="11"/>
  <c r="K410" i="11"/>
  <c r="U29" i="28"/>
  <c r="F410" i="11"/>
  <c r="G29" i="28"/>
  <c r="D410" i="11"/>
  <c r="B29" i="28"/>
  <c r="J410" i="11"/>
  <c r="R29" i="28"/>
  <c r="G313" i="11"/>
  <c r="F204" i="8"/>
  <c r="F203" i="8"/>
  <c r="B342" i="11"/>
  <c r="B341" i="11"/>
  <c r="I411" i="11"/>
  <c r="O30" i="28"/>
  <c r="E411" i="11"/>
  <c r="D30" i="28"/>
  <c r="H411" i="11"/>
  <c r="L411" i="11"/>
  <c r="W30" i="28"/>
  <c r="G411" i="11"/>
  <c r="K411" i="11"/>
  <c r="U30" i="28"/>
  <c r="F411" i="11"/>
  <c r="G30" i="28"/>
  <c r="J411" i="11"/>
  <c r="R30" i="28"/>
  <c r="D411" i="11"/>
  <c r="B30" i="28"/>
  <c r="I413" i="11"/>
  <c r="O32" i="28"/>
  <c r="E413" i="11"/>
  <c r="D32" i="28"/>
  <c r="K413" i="11"/>
  <c r="U32" i="28"/>
  <c r="F413" i="11"/>
  <c r="G32" i="28"/>
  <c r="J413" i="11"/>
  <c r="R32" i="28"/>
  <c r="D413" i="11"/>
  <c r="B32" i="28"/>
  <c r="H413" i="11"/>
  <c r="G413" i="11"/>
  <c r="I32" i="28"/>
  <c r="L413" i="11"/>
  <c r="W32" i="28"/>
  <c r="I407" i="11"/>
  <c r="O26" i="28"/>
  <c r="E407" i="11"/>
  <c r="D26" i="28"/>
  <c r="L407" i="11"/>
  <c r="W26" i="28"/>
  <c r="G407" i="11"/>
  <c r="K407" i="11"/>
  <c r="U26" i="28"/>
  <c r="F407" i="11"/>
  <c r="G26" i="28"/>
  <c r="J407" i="11"/>
  <c r="R26" i="28"/>
  <c r="D407" i="11"/>
  <c r="B26" i="28"/>
  <c r="H407" i="11"/>
  <c r="I406" i="11"/>
  <c r="O25" i="28"/>
  <c r="E406" i="11"/>
  <c r="D25" i="28"/>
  <c r="H406" i="11"/>
  <c r="L406" i="11"/>
  <c r="W25" i="28"/>
  <c r="G406" i="11"/>
  <c r="K406" i="11"/>
  <c r="U25" i="28"/>
  <c r="F406" i="11"/>
  <c r="G25" i="28"/>
  <c r="J406" i="11"/>
  <c r="R25" i="28"/>
  <c r="D406" i="11"/>
  <c r="B25" i="28"/>
  <c r="I404" i="11"/>
  <c r="O23" i="28"/>
  <c r="E404" i="11"/>
  <c r="D23" i="28"/>
  <c r="K404" i="11"/>
  <c r="U23" i="28"/>
  <c r="F404" i="11"/>
  <c r="G23" i="28"/>
  <c r="J404" i="11"/>
  <c r="R23" i="28"/>
  <c r="D404" i="11"/>
  <c r="B23" i="28"/>
  <c r="H404" i="11"/>
  <c r="L404" i="11"/>
  <c r="W23" i="28"/>
  <c r="G404" i="11"/>
  <c r="I415" i="11"/>
  <c r="O34" i="28"/>
  <c r="E415" i="11"/>
  <c r="D34" i="28"/>
  <c r="H415" i="11"/>
  <c r="G415" i="11"/>
  <c r="I34" i="28"/>
  <c r="L415" i="11"/>
  <c r="W34" i="28"/>
  <c r="K415" i="11"/>
  <c r="U34" i="28"/>
  <c r="F415" i="11"/>
  <c r="G34" i="28"/>
  <c r="J415" i="11"/>
  <c r="R34" i="28"/>
  <c r="D415" i="11"/>
  <c r="B34" i="28"/>
  <c r="L399" i="11"/>
  <c r="W18" i="28"/>
  <c r="H399" i="11"/>
  <c r="G399" i="11"/>
  <c r="I18" i="28"/>
  <c r="D399" i="11"/>
  <c r="B18" i="28"/>
  <c r="K399" i="11"/>
  <c r="U18" i="28"/>
  <c r="J399" i="11"/>
  <c r="R18" i="28"/>
  <c r="F399" i="11"/>
  <c r="G18" i="28"/>
  <c r="I399" i="11"/>
  <c r="O18" i="28"/>
  <c r="E399" i="11"/>
  <c r="D18" i="28"/>
  <c r="I412" i="11"/>
  <c r="O31" i="28"/>
  <c r="E412" i="11"/>
  <c r="D31" i="28"/>
  <c r="L412" i="11"/>
  <c r="W31" i="28"/>
  <c r="G412" i="11"/>
  <c r="K412" i="11"/>
  <c r="U31" i="28"/>
  <c r="F412" i="11"/>
  <c r="G31" i="28"/>
  <c r="J412" i="11"/>
  <c r="R31" i="28"/>
  <c r="D412" i="11"/>
  <c r="B31" i="28"/>
  <c r="H412" i="11"/>
  <c r="I31" i="28"/>
  <c r="C81" i="11"/>
  <c r="I403" i="11"/>
  <c r="O22" i="28"/>
  <c r="E403" i="11"/>
  <c r="D22" i="28"/>
  <c r="L403" i="11"/>
  <c r="W22" i="28"/>
  <c r="G403" i="11"/>
  <c r="K403" i="11"/>
  <c r="U22" i="28"/>
  <c r="F403" i="11"/>
  <c r="G22" i="28"/>
  <c r="J403" i="11"/>
  <c r="R22" i="28"/>
  <c r="D403" i="11"/>
  <c r="B22" i="28"/>
  <c r="H403" i="11"/>
  <c r="I27" i="28"/>
  <c r="I25" i="28"/>
  <c r="I29" i="28"/>
  <c r="Y287" i="11" a="1"/>
  <c r="Y287" i="11"/>
  <c r="W287" i="11" a="1"/>
  <c r="W287" i="11"/>
  <c r="U287" i="11" a="1"/>
  <c r="U287" i="11"/>
  <c r="S287" i="11" a="1"/>
  <c r="S287" i="11"/>
  <c r="Q287" i="11" a="1"/>
  <c r="Q287" i="11"/>
  <c r="O287" i="11" a="1"/>
  <c r="O287" i="11"/>
  <c r="M287" i="11" a="1"/>
  <c r="M287" i="11"/>
  <c r="K287" i="11" a="1"/>
  <c r="K287" i="11"/>
  <c r="I287" i="11" a="1"/>
  <c r="I287" i="11"/>
  <c r="G287" i="11" a="1"/>
  <c r="G287" i="11"/>
  <c r="E287" i="11" a="1"/>
  <c r="E287" i="11"/>
  <c r="C287" i="11" a="1"/>
  <c r="C287" i="11"/>
  <c r="Z286" i="11" a="1"/>
  <c r="Z286" i="11"/>
  <c r="X286" i="11" a="1"/>
  <c r="X286" i="11"/>
  <c r="V286" i="11" a="1"/>
  <c r="V286" i="11"/>
  <c r="Z287" i="11" a="1"/>
  <c r="Z287" i="11"/>
  <c r="X287" i="11" a="1"/>
  <c r="X287" i="11"/>
  <c r="V287" i="11" a="1"/>
  <c r="V287" i="11"/>
  <c r="T287" i="11" a="1"/>
  <c r="T287" i="11"/>
  <c r="R287" i="11" a="1"/>
  <c r="R287" i="11"/>
  <c r="P287" i="11" a="1"/>
  <c r="P287" i="11"/>
  <c r="N287" i="11" a="1"/>
  <c r="N287" i="11"/>
  <c r="L287" i="11" a="1"/>
  <c r="L287" i="11"/>
  <c r="J287" i="11" a="1"/>
  <c r="J287" i="11"/>
  <c r="H287" i="11" a="1"/>
  <c r="H287" i="11"/>
  <c r="F287" i="11" a="1"/>
  <c r="F287" i="11"/>
  <c r="D287" i="11" a="1"/>
  <c r="D287" i="11"/>
  <c r="Y286" i="11" a="1"/>
  <c r="Y286" i="11"/>
  <c r="W286" i="11" a="1"/>
  <c r="W286" i="11"/>
  <c r="Z302" i="11" a="1"/>
  <c r="Z302" i="11"/>
  <c r="V302" i="11" a="1"/>
  <c r="V302" i="11"/>
  <c r="R302" i="11" a="1"/>
  <c r="R302" i="11"/>
  <c r="N302" i="11" a="1"/>
  <c r="N302" i="11"/>
  <c r="J302" i="11" a="1"/>
  <c r="J302" i="11"/>
  <c r="F302" i="11" a="1"/>
  <c r="F302" i="11"/>
  <c r="W301" i="11" a="1"/>
  <c r="W301" i="11"/>
  <c r="S301" i="11" a="1"/>
  <c r="S301" i="11"/>
  <c r="O301" i="11" a="1"/>
  <c r="O301" i="11"/>
  <c r="K301" i="11" a="1"/>
  <c r="K301" i="11"/>
  <c r="G301" i="11" a="1"/>
  <c r="G301" i="11"/>
  <c r="C301" i="11" a="1"/>
  <c r="C301" i="11"/>
  <c r="X300" i="11" a="1"/>
  <c r="X300" i="11"/>
  <c r="T300" i="11" a="1"/>
  <c r="T300" i="11"/>
  <c r="P300" i="11" a="1"/>
  <c r="P300" i="11"/>
  <c r="L300" i="11" a="1"/>
  <c r="L300" i="11"/>
  <c r="H300" i="11" a="1"/>
  <c r="H300" i="11"/>
  <c r="D300" i="11" a="1"/>
  <c r="D300" i="11"/>
  <c r="Y299" i="11" a="1"/>
  <c r="Y299" i="11"/>
  <c r="U299" i="11" a="1"/>
  <c r="U299" i="11"/>
  <c r="Q299" i="11" a="1"/>
  <c r="Q299" i="11"/>
  <c r="M299" i="11" a="1"/>
  <c r="M299" i="11"/>
  <c r="I299" i="11" a="1"/>
  <c r="I299" i="11"/>
  <c r="E299" i="11" a="1"/>
  <c r="E299" i="11"/>
  <c r="Z298" i="11" a="1"/>
  <c r="Z298" i="11"/>
  <c r="V298" i="11" a="1"/>
  <c r="V298" i="11"/>
  <c r="R298" i="11" a="1"/>
  <c r="R298" i="11"/>
  <c r="N298" i="11" a="1"/>
  <c r="N298" i="11"/>
  <c r="J298" i="11" a="1"/>
  <c r="J298" i="11"/>
  <c r="F298" i="11" a="1"/>
  <c r="F298" i="11"/>
  <c r="W297" i="11" a="1"/>
  <c r="W297" i="11"/>
  <c r="S297" i="11" a="1"/>
  <c r="S297" i="11"/>
  <c r="O297" i="11" a="1"/>
  <c r="O297" i="11"/>
  <c r="K297" i="11" a="1"/>
  <c r="K297" i="11"/>
  <c r="G297" i="11" a="1"/>
  <c r="G297" i="11"/>
  <c r="C297" i="11" a="1"/>
  <c r="C297" i="11"/>
  <c r="X296" i="11" a="1"/>
  <c r="X296" i="11"/>
  <c r="T296" i="11" a="1"/>
  <c r="T296" i="11"/>
  <c r="P296" i="11" a="1"/>
  <c r="P296" i="11"/>
  <c r="L296" i="11" a="1"/>
  <c r="L296" i="11"/>
  <c r="H296" i="11" a="1"/>
  <c r="H296" i="11"/>
  <c r="D296" i="11" a="1"/>
  <c r="D296" i="11"/>
  <c r="Y302" i="11" a="1"/>
  <c r="Y302" i="11"/>
  <c r="T302" i="11" a="1"/>
  <c r="T302" i="11"/>
  <c r="O302" i="11" a="1"/>
  <c r="O302" i="11"/>
  <c r="I302" i="11" a="1"/>
  <c r="I302" i="11"/>
  <c r="D302" i="11" a="1"/>
  <c r="D302" i="11"/>
  <c r="X301" i="11" a="1"/>
  <c r="X301" i="11"/>
  <c r="R301" i="11" a="1"/>
  <c r="R301" i="11"/>
  <c r="M301" i="11" a="1"/>
  <c r="M301" i="11"/>
  <c r="H301" i="11" a="1"/>
  <c r="H301" i="11"/>
  <c r="V300" i="11" a="1"/>
  <c r="V300" i="11"/>
  <c r="Q300" i="11" a="1"/>
  <c r="Q300" i="11"/>
  <c r="K300" i="11" a="1"/>
  <c r="K300" i="11"/>
  <c r="F300" i="11" a="1"/>
  <c r="F300" i="11"/>
  <c r="Z299" i="11" a="1"/>
  <c r="Z299" i="11"/>
  <c r="T299" i="11" a="1"/>
  <c r="T299" i="11"/>
  <c r="O299" i="11" a="1"/>
  <c r="O299" i="11"/>
  <c r="J299" i="11" a="1"/>
  <c r="J299" i="11"/>
  <c r="D299" i="11" a="1"/>
  <c r="D299" i="11"/>
  <c r="X298" i="11" a="1"/>
  <c r="X298" i="11"/>
  <c r="S298" i="11" a="1"/>
  <c r="S298" i="11"/>
  <c r="M298" i="11" a="1"/>
  <c r="M298" i="11"/>
  <c r="H298" i="11" a="1"/>
  <c r="H298" i="11"/>
  <c r="C298" i="11" a="1"/>
  <c r="C298" i="11"/>
  <c r="V297" i="11" a="1"/>
  <c r="V297" i="11"/>
  <c r="Q297" i="11" a="1"/>
  <c r="Q297" i="11"/>
  <c r="L297" i="11" a="1"/>
  <c r="L297" i="11"/>
  <c r="F297" i="11" a="1"/>
  <c r="F297" i="11"/>
  <c r="Z296" i="11" a="1"/>
  <c r="Z296" i="11"/>
  <c r="U296" i="11" a="1"/>
  <c r="U296" i="11"/>
  <c r="O296" i="11" a="1"/>
  <c r="O296" i="11"/>
  <c r="J296" i="11" a="1"/>
  <c r="J296" i="11"/>
  <c r="E296" i="11" a="1"/>
  <c r="E296" i="11"/>
  <c r="U286" i="11" a="1"/>
  <c r="U286" i="11"/>
  <c r="R286" i="11" a="1"/>
  <c r="R286" i="11"/>
  <c r="M286" i="11" a="1"/>
  <c r="M286" i="11"/>
  <c r="J286" i="11" a="1"/>
  <c r="J286" i="11"/>
  <c r="E286" i="11" a="1"/>
  <c r="E286" i="11"/>
  <c r="C286" i="11" a="1"/>
  <c r="C286" i="11"/>
  <c r="X302" i="11" a="1"/>
  <c r="X302" i="11"/>
  <c r="S302" i="11" a="1"/>
  <c r="S302" i="11"/>
  <c r="M302" i="11" a="1"/>
  <c r="M302" i="11"/>
  <c r="H302" i="11" a="1"/>
  <c r="H302" i="11"/>
  <c r="C302" i="11" a="1"/>
  <c r="C302" i="11"/>
  <c r="V301" i="11" a="1"/>
  <c r="V301" i="11"/>
  <c r="Q301" i="11" a="1"/>
  <c r="Q301" i="11"/>
  <c r="L301" i="11" a="1"/>
  <c r="L301" i="11"/>
  <c r="F301" i="11" a="1"/>
  <c r="F301" i="11"/>
  <c r="Z300" i="11" a="1"/>
  <c r="Z300" i="11"/>
  <c r="U300" i="11" a="1"/>
  <c r="U300" i="11"/>
  <c r="O300" i="11" a="1"/>
  <c r="O300" i="11"/>
  <c r="J300" i="11" a="1"/>
  <c r="J300" i="11"/>
  <c r="E300" i="11" a="1"/>
  <c r="E300" i="11"/>
  <c r="X299" i="11" a="1"/>
  <c r="X299" i="11"/>
  <c r="S299" i="11" a="1"/>
  <c r="S299" i="11"/>
  <c r="N299" i="11" a="1"/>
  <c r="N299" i="11"/>
  <c r="H299" i="11" a="1"/>
  <c r="H299" i="11"/>
  <c r="C299" i="11" a="1"/>
  <c r="C299" i="11"/>
  <c r="W298" i="11" a="1"/>
  <c r="W298" i="11"/>
  <c r="Q298" i="11" a="1"/>
  <c r="Q298" i="11"/>
  <c r="L298" i="11" a="1"/>
  <c r="L298" i="11"/>
  <c r="G298" i="11" a="1"/>
  <c r="G298" i="11"/>
  <c r="Z297" i="11" a="1"/>
  <c r="Z297" i="11"/>
  <c r="U297" i="11" a="1"/>
  <c r="U297" i="11"/>
  <c r="P297" i="11" a="1"/>
  <c r="P297" i="11"/>
  <c r="J297" i="11" a="1"/>
  <c r="J297" i="11"/>
  <c r="E297" i="11" a="1"/>
  <c r="E297" i="11"/>
  <c r="Y296" i="11" a="1"/>
  <c r="Y296" i="11"/>
  <c r="S296" i="11" a="1"/>
  <c r="S296" i="11"/>
  <c r="N296" i="11" a="1"/>
  <c r="N296" i="11"/>
  <c r="I296" i="11" a="1"/>
  <c r="I296" i="11"/>
  <c r="C296" i="11" a="1"/>
  <c r="C296" i="11"/>
  <c r="T286" i="11" a="1"/>
  <c r="T286" i="11"/>
  <c r="O286" i="11" a="1"/>
  <c r="O286" i="11"/>
  <c r="L286" i="11" a="1"/>
  <c r="L286" i="11"/>
  <c r="G286" i="11" a="1"/>
  <c r="G286" i="11"/>
  <c r="P302" i="11" a="1"/>
  <c r="P302" i="11"/>
  <c r="E302" i="11" a="1"/>
  <c r="E302" i="11"/>
  <c r="T301" i="11" a="1"/>
  <c r="T301" i="11"/>
  <c r="I301" i="11" a="1"/>
  <c r="I301" i="11"/>
  <c r="W300" i="11" a="1"/>
  <c r="W300" i="11"/>
  <c r="M300" i="11" a="1"/>
  <c r="M300" i="11"/>
  <c r="P299" i="11" a="1"/>
  <c r="P299" i="11"/>
  <c r="F299" i="11" a="1"/>
  <c r="F299" i="11"/>
  <c r="T298" i="11" a="1"/>
  <c r="T298" i="11"/>
  <c r="I298" i="11" a="1"/>
  <c r="I298" i="11"/>
  <c r="X297" i="11" a="1"/>
  <c r="X297" i="11"/>
  <c r="M297" i="11" a="1"/>
  <c r="M297" i="11"/>
  <c r="Q296" i="11" a="1"/>
  <c r="Q296" i="11"/>
  <c r="F296" i="11" a="1"/>
  <c r="F296" i="11"/>
  <c r="F303" i="11"/>
  <c r="P286" i="11" a="1"/>
  <c r="P286" i="11"/>
  <c r="K286" i="11" a="1"/>
  <c r="K286" i="11"/>
  <c r="X285" i="11" a="1"/>
  <c r="X285" i="11"/>
  <c r="U285" i="11" a="1"/>
  <c r="U285" i="11"/>
  <c r="P285" i="11" a="1"/>
  <c r="P285" i="11"/>
  <c r="M285" i="11" a="1"/>
  <c r="M285" i="11"/>
  <c r="H285" i="11" a="1"/>
  <c r="H285" i="11"/>
  <c r="E285" i="11" a="1"/>
  <c r="E285" i="11"/>
  <c r="Y284" i="11" a="1"/>
  <c r="Y284" i="11"/>
  <c r="V284" i="11" a="1"/>
  <c r="V284" i="11"/>
  <c r="Q284" i="11" a="1"/>
  <c r="Q284" i="11"/>
  <c r="N284" i="11" a="1"/>
  <c r="N284" i="11"/>
  <c r="I284" i="11" a="1"/>
  <c r="I284" i="11"/>
  <c r="F284" i="11" a="1"/>
  <c r="F284" i="11"/>
  <c r="Z283" i="11" a="1"/>
  <c r="Z283" i="11"/>
  <c r="W283" i="11" a="1"/>
  <c r="W283" i="11"/>
  <c r="R283" i="11" a="1"/>
  <c r="R283" i="11"/>
  <c r="O283" i="11" a="1"/>
  <c r="O283" i="11"/>
  <c r="J283" i="11" a="1"/>
  <c r="J283" i="11"/>
  <c r="G283" i="11" a="1"/>
  <c r="G283" i="11"/>
  <c r="X282" i="11" a="1"/>
  <c r="X282" i="11"/>
  <c r="S282" i="11" a="1"/>
  <c r="S282" i="11"/>
  <c r="P282" i="11" a="1"/>
  <c r="P282" i="11"/>
  <c r="K282" i="11" a="1"/>
  <c r="K282" i="11"/>
  <c r="H282" i="11" a="1"/>
  <c r="H282" i="11"/>
  <c r="C282" i="11" a="1"/>
  <c r="C282" i="11"/>
  <c r="Y281" i="11" a="1"/>
  <c r="Y281" i="11"/>
  <c r="T281" i="11" a="1"/>
  <c r="T281" i="11"/>
  <c r="Q281" i="11" a="1"/>
  <c r="Q281" i="11"/>
  <c r="L281" i="11" a="1"/>
  <c r="L281" i="11"/>
  <c r="I281" i="11" a="1"/>
  <c r="I281" i="11"/>
  <c r="D281" i="11" a="1"/>
  <c r="D281" i="11"/>
  <c r="W302" i="11" a="1"/>
  <c r="W302" i="11"/>
  <c r="L302" i="11" a="1"/>
  <c r="L302" i="11"/>
  <c r="Z301" i="11" a="1"/>
  <c r="Z301" i="11"/>
  <c r="P301" i="11" a="1"/>
  <c r="P301" i="11"/>
  <c r="E301" i="11" a="1"/>
  <c r="E301" i="11"/>
  <c r="S300" i="11" a="1"/>
  <c r="S300" i="11"/>
  <c r="I300" i="11" a="1"/>
  <c r="I300" i="11"/>
  <c r="W299" i="11" a="1"/>
  <c r="W299" i="11"/>
  <c r="L299" i="11" a="1"/>
  <c r="L299" i="11"/>
  <c r="P298" i="11" a="1"/>
  <c r="P298" i="11"/>
  <c r="E298" i="11" a="1"/>
  <c r="E298" i="11"/>
  <c r="T297" i="11" a="1"/>
  <c r="T297" i="11"/>
  <c r="I297" i="11" a="1"/>
  <c r="I297" i="11"/>
  <c r="W296" i="11" a="1"/>
  <c r="W296" i="11"/>
  <c r="M296" i="11" a="1"/>
  <c r="M296" i="11"/>
  <c r="M303" i="11"/>
  <c r="N286" i="11" a="1"/>
  <c r="N286" i="11"/>
  <c r="I286" i="11" a="1"/>
  <c r="I286" i="11"/>
  <c r="D286" i="11" a="1"/>
  <c r="D286" i="11"/>
  <c r="Z285" i="11" a="1"/>
  <c r="Z285" i="11"/>
  <c r="W285" i="11" a="1"/>
  <c r="W285" i="11"/>
  <c r="R285" i="11" a="1"/>
  <c r="R285" i="11"/>
  <c r="O285" i="11" a="1"/>
  <c r="O285" i="11"/>
  <c r="J285" i="11" a="1"/>
  <c r="J285" i="11"/>
  <c r="G285" i="11" a="1"/>
  <c r="G285" i="11"/>
  <c r="X284" i="11" a="1"/>
  <c r="X284" i="11"/>
  <c r="S284" i="11" a="1"/>
  <c r="S284" i="11"/>
  <c r="P284" i="11" a="1"/>
  <c r="P284" i="11"/>
  <c r="K284" i="11" a="1"/>
  <c r="K284" i="11"/>
  <c r="H284" i="11" a="1"/>
  <c r="H284" i="11"/>
  <c r="C284" i="11" a="1"/>
  <c r="C284" i="11"/>
  <c r="Y283" i="11" a="1"/>
  <c r="Y283" i="11"/>
  <c r="T283" i="11" a="1"/>
  <c r="T283" i="11"/>
  <c r="Q283" i="11" a="1"/>
  <c r="Q283" i="11"/>
  <c r="L283" i="11" a="1"/>
  <c r="L283" i="11"/>
  <c r="I283" i="11" a="1"/>
  <c r="I283" i="11"/>
  <c r="D283" i="11" a="1"/>
  <c r="D283" i="11"/>
  <c r="Z282" i="11" a="1"/>
  <c r="Z282" i="11"/>
  <c r="U282" i="11" a="1"/>
  <c r="U282" i="11"/>
  <c r="R282" i="11" a="1"/>
  <c r="R282" i="11"/>
  <c r="M282" i="11" a="1"/>
  <c r="M282" i="11"/>
  <c r="J282" i="11" a="1"/>
  <c r="J282" i="11"/>
  <c r="E282" i="11" a="1"/>
  <c r="E282" i="11"/>
  <c r="V281" i="11" a="1"/>
  <c r="V281" i="11"/>
  <c r="S281" i="11" a="1"/>
  <c r="S281" i="11"/>
  <c r="N281" i="11" a="1"/>
  <c r="N281" i="11"/>
  <c r="K281" i="11" a="1"/>
  <c r="K281" i="11"/>
  <c r="F281" i="11" a="1"/>
  <c r="F281" i="11"/>
  <c r="C281" i="11" a="1"/>
  <c r="C281" i="11"/>
  <c r="U302" i="11" a="1"/>
  <c r="U302" i="11"/>
  <c r="K302" i="11" a="1"/>
  <c r="K302" i="11"/>
  <c r="Y301" i="11" a="1"/>
  <c r="Y301" i="11"/>
  <c r="N301" i="11" a="1"/>
  <c r="N301" i="11"/>
  <c r="D301" i="11" a="1"/>
  <c r="D301" i="11"/>
  <c r="R300" i="11" a="1"/>
  <c r="R300" i="11"/>
  <c r="G300" i="11" a="1"/>
  <c r="G300" i="11"/>
  <c r="V299" i="11" a="1"/>
  <c r="V299" i="11"/>
  <c r="K299" i="11" a="1"/>
  <c r="K299" i="11"/>
  <c r="Y298" i="11" a="1"/>
  <c r="Y298" i="11"/>
  <c r="O298" i="11" a="1"/>
  <c r="O298" i="11"/>
  <c r="D298" i="11" a="1"/>
  <c r="D298" i="11"/>
  <c r="R297" i="11" a="1"/>
  <c r="R297" i="11"/>
  <c r="H297" i="11" a="1"/>
  <c r="H297" i="11"/>
  <c r="V296" i="11" a="1"/>
  <c r="V296" i="11"/>
  <c r="K296" i="11" a="1"/>
  <c r="K296" i="11"/>
  <c r="S286" i="11" a="1"/>
  <c r="S286" i="11"/>
  <c r="H286" i="11" a="1"/>
  <c r="H286" i="11"/>
  <c r="Y285" i="11" a="1"/>
  <c r="Y285" i="11"/>
  <c r="T285" i="11" a="1"/>
  <c r="T285" i="11"/>
  <c r="Q285" i="11" a="1"/>
  <c r="Q285" i="11"/>
  <c r="L285" i="11" a="1"/>
  <c r="L285" i="11"/>
  <c r="I285" i="11" a="1"/>
  <c r="I285" i="11"/>
  <c r="D285" i="11" a="1"/>
  <c r="D285" i="11"/>
  <c r="Z284" i="11" a="1"/>
  <c r="Z284" i="11"/>
  <c r="U284" i="11" a="1"/>
  <c r="U284" i="11"/>
  <c r="R284" i="11" a="1"/>
  <c r="R284" i="11"/>
  <c r="M284" i="11" a="1"/>
  <c r="M284" i="11"/>
  <c r="J284" i="11" a="1"/>
  <c r="J284" i="11"/>
  <c r="E284" i="11" a="1"/>
  <c r="E284" i="11"/>
  <c r="V283" i="11" a="1"/>
  <c r="V283" i="11"/>
  <c r="S283" i="11" a="1"/>
  <c r="S283" i="11"/>
  <c r="N283" i="11" a="1"/>
  <c r="N283" i="11"/>
  <c r="K283" i="11" a="1"/>
  <c r="K283" i="11"/>
  <c r="F283" i="11" a="1"/>
  <c r="F283" i="11"/>
  <c r="C283" i="11" a="1"/>
  <c r="C283" i="11"/>
  <c r="W282" i="11" a="1"/>
  <c r="W282" i="11"/>
  <c r="T282" i="11" a="1"/>
  <c r="T282" i="11"/>
  <c r="O282" i="11" a="1"/>
  <c r="O282" i="11"/>
  <c r="L282" i="11" a="1"/>
  <c r="L282" i="11"/>
  <c r="G282" i="11" a="1"/>
  <c r="G282" i="11"/>
  <c r="D282" i="11" a="1"/>
  <c r="D282" i="11"/>
  <c r="X281" i="11" a="1"/>
  <c r="X281" i="11"/>
  <c r="U281" i="11" a="1"/>
  <c r="U281" i="11"/>
  <c r="P281" i="11" a="1"/>
  <c r="P281" i="11"/>
  <c r="M281" i="11" a="1"/>
  <c r="M281" i="11"/>
  <c r="H281" i="11" a="1"/>
  <c r="H281" i="11"/>
  <c r="E281" i="11" a="1"/>
  <c r="E281" i="11"/>
  <c r="Q302" i="11" a="1"/>
  <c r="Q302" i="11"/>
  <c r="G302" i="11" a="1"/>
  <c r="G302" i="11"/>
  <c r="U301" i="11" a="1"/>
  <c r="U301" i="11"/>
  <c r="J301" i="11" a="1"/>
  <c r="J301" i="11"/>
  <c r="Y300" i="11" a="1"/>
  <c r="Y300" i="11"/>
  <c r="N300" i="11" a="1"/>
  <c r="N300" i="11"/>
  <c r="C300" i="11" a="1"/>
  <c r="C300" i="11"/>
  <c r="R299" i="11" a="1"/>
  <c r="R299" i="11"/>
  <c r="G299" i="11" a="1"/>
  <c r="G299" i="11"/>
  <c r="U298" i="11" a="1"/>
  <c r="U298" i="11"/>
  <c r="K298" i="11" a="1"/>
  <c r="K298" i="11"/>
  <c r="Y297" i="11" a="1"/>
  <c r="Y297" i="11"/>
  <c r="N297" i="11" a="1"/>
  <c r="N297" i="11"/>
  <c r="D297" i="11" a="1"/>
  <c r="D297" i="11"/>
  <c r="R296" i="11" a="1"/>
  <c r="R296" i="11"/>
  <c r="G296" i="11" a="1"/>
  <c r="G296" i="11"/>
  <c r="G303" i="11"/>
  <c r="Q286" i="11" a="1"/>
  <c r="Q286" i="11"/>
  <c r="F286" i="11" a="1"/>
  <c r="F286" i="11"/>
  <c r="V285" i="11" a="1"/>
  <c r="V285" i="11"/>
  <c r="S285" i="11" a="1"/>
  <c r="S285" i="11"/>
  <c r="N285" i="11" a="1"/>
  <c r="N285" i="11"/>
  <c r="K285" i="11" a="1"/>
  <c r="K285" i="11"/>
  <c r="F285" i="11" a="1"/>
  <c r="F285" i="11"/>
  <c r="C285" i="11" a="1"/>
  <c r="C285" i="11"/>
  <c r="AA285" i="11"/>
  <c r="W284" i="11" a="1"/>
  <c r="W284" i="11"/>
  <c r="T284" i="11" a="1"/>
  <c r="T284" i="11"/>
  <c r="O284" i="11" a="1"/>
  <c r="O284" i="11"/>
  <c r="L284" i="11" a="1"/>
  <c r="L284" i="11"/>
  <c r="G284" i="11" a="1"/>
  <c r="G284" i="11"/>
  <c r="D284" i="11" a="1"/>
  <c r="D284" i="11"/>
  <c r="X283" i="11" a="1"/>
  <c r="X283" i="11"/>
  <c r="U283" i="11" a="1"/>
  <c r="U283" i="11"/>
  <c r="P283" i="11" a="1"/>
  <c r="P283" i="11"/>
  <c r="M283" i="11" a="1"/>
  <c r="M283" i="11"/>
  <c r="H283" i="11" a="1"/>
  <c r="H283" i="11"/>
  <c r="E283" i="11" a="1"/>
  <c r="E283" i="11"/>
  <c r="Y282" i="11" a="1"/>
  <c r="Y282" i="11"/>
  <c r="V282" i="11" a="1"/>
  <c r="V282" i="11"/>
  <c r="Q282" i="11" a="1"/>
  <c r="Q282" i="11"/>
  <c r="N282" i="11" a="1"/>
  <c r="N282" i="11"/>
  <c r="I282" i="11" a="1"/>
  <c r="I282" i="11"/>
  <c r="F282" i="11" a="1"/>
  <c r="F282" i="11"/>
  <c r="Z281" i="11" a="1"/>
  <c r="Z281" i="11"/>
  <c r="Z288" i="11"/>
  <c r="W281" i="11" a="1"/>
  <c r="W281" i="11"/>
  <c r="W288" i="11"/>
  <c r="R281" i="11" a="1"/>
  <c r="R281" i="11"/>
  <c r="R288" i="11"/>
  <c r="O281" i="11" a="1"/>
  <c r="O281" i="11"/>
  <c r="O288" i="11"/>
  <c r="J281" i="11" a="1"/>
  <c r="J281" i="11"/>
  <c r="J288" i="11"/>
  <c r="G281" i="11" a="1"/>
  <c r="G281" i="11"/>
  <c r="G288" i="11"/>
  <c r="F115" i="11"/>
  <c r="C45" i="11"/>
  <c r="C116" i="11"/>
  <c r="D116" i="11"/>
  <c r="C122" i="11"/>
  <c r="D122" i="11"/>
  <c r="C68" i="11"/>
  <c r="D66" i="11"/>
  <c r="C115" i="11"/>
  <c r="D115" i="11"/>
  <c r="C66" i="11"/>
  <c r="F122" i="11"/>
  <c r="G122" i="11"/>
  <c r="D68" i="11"/>
  <c r="D74" i="11"/>
  <c r="C46" i="11"/>
  <c r="F126" i="11"/>
  <c r="G126" i="11"/>
  <c r="B7" i="25"/>
  <c r="D67" i="11"/>
  <c r="D73" i="11"/>
  <c r="F125" i="11"/>
  <c r="G125" i="11"/>
  <c r="C67" i="11"/>
  <c r="F124" i="11"/>
  <c r="I28" i="28"/>
  <c r="I17" i="28"/>
  <c r="F119" i="11"/>
  <c r="G119" i="11"/>
  <c r="I119" i="11"/>
  <c r="G319" i="11"/>
  <c r="T204" i="8"/>
  <c r="T203" i="8"/>
  <c r="G315" i="11"/>
  <c r="J204" i="8"/>
  <c r="J203" i="8"/>
  <c r="G320" i="11"/>
  <c r="W204" i="8"/>
  <c r="W203" i="8"/>
  <c r="I22" i="28"/>
  <c r="I33" i="28"/>
  <c r="E21" i="26"/>
  <c r="E33" i="26"/>
  <c r="E27" i="26"/>
  <c r="C13" i="11"/>
  <c r="D13" i="11"/>
  <c r="C134" i="11"/>
  <c r="Q122" i="13"/>
  <c r="K122" i="13"/>
  <c r="F122" i="13"/>
  <c r="A122" i="13"/>
  <c r="L122" i="13"/>
  <c r="D122" i="13"/>
  <c r="O122" i="13"/>
  <c r="G122" i="13"/>
  <c r="S122" i="13"/>
  <c r="B121" i="13"/>
  <c r="H122" i="13"/>
  <c r="G314" i="11"/>
  <c r="H204" i="8"/>
  <c r="H203" i="8"/>
  <c r="G318" i="11"/>
  <c r="R204" i="8"/>
  <c r="R203" i="8"/>
  <c r="F118" i="11"/>
  <c r="G118" i="11"/>
  <c r="I118" i="11"/>
  <c r="G317" i="11"/>
  <c r="O204" i="8"/>
  <c r="O203" i="8"/>
  <c r="G316" i="11"/>
  <c r="L204" i="8"/>
  <c r="L203" i="8"/>
  <c r="I23" i="28"/>
  <c r="I26" i="28"/>
  <c r="I30" i="28"/>
  <c r="I20" i="28"/>
  <c r="I24" i="28"/>
  <c r="O121" i="13"/>
  <c r="D121" i="13"/>
  <c r="G121" i="13"/>
  <c r="A121" i="13"/>
  <c r="C120" i="13"/>
  <c r="B120" i="13"/>
  <c r="S121" i="13"/>
  <c r="H121" i="13"/>
  <c r="K121" i="13"/>
  <c r="L121" i="13"/>
  <c r="M121" i="13"/>
  <c r="Q121" i="13"/>
  <c r="F121" i="13"/>
  <c r="I121" i="13"/>
  <c r="I16" i="28"/>
  <c r="C47" i="11"/>
  <c r="C123" i="11"/>
  <c r="D123" i="11"/>
  <c r="F117" i="11"/>
  <c r="R303" i="11"/>
  <c r="AA300" i="11"/>
  <c r="V303" i="11"/>
  <c r="W303" i="11"/>
  <c r="M122" i="13"/>
  <c r="I125" i="11"/>
  <c r="B14" i="25"/>
  <c r="E25" i="26"/>
  <c r="D47" i="11"/>
  <c r="D72" i="11"/>
  <c r="D69" i="11"/>
  <c r="D75" i="11"/>
  <c r="D26" i="11"/>
  <c r="B12" i="25"/>
  <c r="D45" i="11"/>
  <c r="C44" i="11"/>
  <c r="C135" i="11"/>
  <c r="D135" i="11"/>
  <c r="M288" i="11"/>
  <c r="K288" i="11"/>
  <c r="AA284" i="11"/>
  <c r="L288" i="11"/>
  <c r="AA282" i="11"/>
  <c r="AA296" i="11"/>
  <c r="C303" i="11"/>
  <c r="Y303" i="11"/>
  <c r="AA302" i="11"/>
  <c r="J303" i="11"/>
  <c r="AA298" i="11"/>
  <c r="H303" i="11"/>
  <c r="X303" i="11"/>
  <c r="C1390" i="11"/>
  <c r="C6" i="23"/>
  <c r="C21" i="11"/>
  <c r="C150" i="11"/>
  <c r="F163" i="11"/>
  <c r="B163" i="11"/>
  <c r="H163" i="11"/>
  <c r="D134" i="11"/>
  <c r="D21" i="11"/>
  <c r="G124" i="11"/>
  <c r="I124" i="11"/>
  <c r="F123" i="11"/>
  <c r="G123" i="11"/>
  <c r="I123" i="11"/>
  <c r="B24" i="25"/>
  <c r="E35" i="26"/>
  <c r="E18" i="26"/>
  <c r="I122" i="11"/>
  <c r="E68" i="11"/>
  <c r="C74" i="11"/>
  <c r="G115" i="11"/>
  <c r="I115" i="11"/>
  <c r="P288" i="11"/>
  <c r="N288" i="11"/>
  <c r="Q288" i="11"/>
  <c r="I303" i="11"/>
  <c r="AA286" i="11"/>
  <c r="O303" i="11"/>
  <c r="L303" i="11"/>
  <c r="AA297" i="11"/>
  <c r="AA301" i="11"/>
  <c r="G117" i="11"/>
  <c r="I117" i="11"/>
  <c r="F116" i="11"/>
  <c r="G116" i="11"/>
  <c r="I116" i="11"/>
  <c r="H120" i="13"/>
  <c r="Q120" i="13"/>
  <c r="K120" i="13"/>
  <c r="A120" i="13"/>
  <c r="O120" i="13"/>
  <c r="D120" i="13"/>
  <c r="L120" i="13"/>
  <c r="G120" i="13"/>
  <c r="F120" i="13"/>
  <c r="S120" i="13"/>
  <c r="C119" i="13"/>
  <c r="I122" i="13"/>
  <c r="C73" i="11"/>
  <c r="E67" i="11"/>
  <c r="I126" i="11"/>
  <c r="C72" i="11"/>
  <c r="E66" i="11"/>
  <c r="C69" i="11"/>
  <c r="C75" i="11"/>
  <c r="D25" i="11"/>
  <c r="E288" i="11"/>
  <c r="U288" i="11"/>
  <c r="AA283" i="11"/>
  <c r="K303" i="11"/>
  <c r="C288" i="11"/>
  <c r="AA281" i="11"/>
  <c r="S288" i="11"/>
  <c r="D288" i="11"/>
  <c r="T288" i="11"/>
  <c r="N303" i="11"/>
  <c r="AA299" i="11"/>
  <c r="U303" i="11"/>
  <c r="P303" i="11"/>
  <c r="AA287" i="11"/>
  <c r="B13" i="25"/>
  <c r="E24" i="26"/>
  <c r="D46" i="11"/>
  <c r="H288" i="11"/>
  <c r="X288" i="11"/>
  <c r="F288" i="11"/>
  <c r="V288" i="11"/>
  <c r="I288" i="11"/>
  <c r="Y288" i="11"/>
  <c r="Q303" i="11"/>
  <c r="S303" i="11"/>
  <c r="E303" i="11"/>
  <c r="Z303" i="11"/>
  <c r="D303" i="11"/>
  <c r="T303" i="11"/>
  <c r="S119" i="13"/>
  <c r="L119" i="13"/>
  <c r="G119" i="13"/>
  <c r="K119" i="13"/>
  <c r="M119" i="13"/>
  <c r="D119" i="13"/>
  <c r="H119" i="13"/>
  <c r="F119" i="13"/>
  <c r="Q119" i="13"/>
  <c r="A119" i="13"/>
  <c r="O119" i="13"/>
  <c r="C118" i="13"/>
  <c r="AA303" i="11"/>
  <c r="AB297" i="11"/>
  <c r="AA288" i="11"/>
  <c r="AB287" i="11"/>
  <c r="D290" i="11"/>
  <c r="AB284" i="11"/>
  <c r="B18" i="25"/>
  <c r="E72" i="11"/>
  <c r="E69" i="11"/>
  <c r="D291" i="11"/>
  <c r="AB299" i="11"/>
  <c r="AB283" i="11"/>
  <c r="B19" i="25"/>
  <c r="E30" i="26"/>
  <c r="E73" i="11"/>
  <c r="M120" i="13"/>
  <c r="C112" i="11"/>
  <c r="AB301" i="11"/>
  <c r="B11" i="25"/>
  <c r="E23" i="26"/>
  <c r="I120" i="13"/>
  <c r="B119" i="13"/>
  <c r="AB302" i="11"/>
  <c r="AB282" i="11"/>
  <c r="AB286" i="11"/>
  <c r="B20" i="25"/>
  <c r="E31" i="26"/>
  <c r="E74" i="11"/>
  <c r="C32" i="11"/>
  <c r="C22" i="11"/>
  <c r="D22" i="11"/>
  <c r="C1388" i="11"/>
  <c r="C4" i="23"/>
  <c r="C15" i="11"/>
  <c r="D44" i="11"/>
  <c r="D15" i="11"/>
  <c r="AB296" i="11"/>
  <c r="I119" i="13"/>
  <c r="G291" i="11"/>
  <c r="C291" i="11"/>
  <c r="E291" i="11"/>
  <c r="F291" i="11"/>
  <c r="AB281" i="11"/>
  <c r="C30" i="11"/>
  <c r="C31" i="11"/>
  <c r="C19" i="11"/>
  <c r="D19" i="11"/>
  <c r="C1392" i="11"/>
  <c r="C8" i="23"/>
  <c r="D112" i="11"/>
  <c r="D28" i="11"/>
  <c r="G290" i="11"/>
  <c r="E290" i="11"/>
  <c r="C290" i="11"/>
  <c r="F290" i="11"/>
  <c r="B5" i="25"/>
  <c r="E16" i="26"/>
  <c r="E22" i="26"/>
  <c r="B17" i="25"/>
  <c r="E29" i="26"/>
  <c r="Q118" i="13"/>
  <c r="K118" i="13"/>
  <c r="F118" i="13"/>
  <c r="A118" i="13"/>
  <c r="G118" i="13"/>
  <c r="O118" i="13"/>
  <c r="D118" i="13"/>
  <c r="L118" i="13"/>
  <c r="H118" i="13"/>
  <c r="S118" i="13"/>
  <c r="C117" i="13"/>
  <c r="AB303" i="11"/>
  <c r="AB300" i="11"/>
  <c r="C1391" i="11"/>
  <c r="C7" i="23"/>
  <c r="E75" i="11"/>
  <c r="D24" i="11"/>
  <c r="C33" i="11"/>
  <c r="AB288" i="11"/>
  <c r="AB285" i="11"/>
  <c r="AB298" i="11"/>
  <c r="B118" i="13"/>
  <c r="M118" i="13"/>
  <c r="O117" i="13"/>
  <c r="D117" i="13"/>
  <c r="Q117" i="13"/>
  <c r="H117" i="13"/>
  <c r="S117" i="13"/>
  <c r="G117" i="13"/>
  <c r="F117" i="13"/>
  <c r="C116" i="13"/>
  <c r="B116" i="13"/>
  <c r="A117" i="13"/>
  <c r="L117" i="13"/>
  <c r="K117" i="13"/>
  <c r="B117" i="13"/>
  <c r="I118" i="13"/>
  <c r="B8" i="25"/>
  <c r="E19" i="26"/>
  <c r="E28" i="26"/>
  <c r="I117" i="13"/>
  <c r="H116" i="13"/>
  <c r="S116" i="13"/>
  <c r="K116" i="13"/>
  <c r="L116" i="13"/>
  <c r="M116" i="13"/>
  <c r="D116" i="13"/>
  <c r="A116" i="13"/>
  <c r="Q116" i="13"/>
  <c r="O116" i="13"/>
  <c r="G116" i="13"/>
  <c r="F116" i="13"/>
  <c r="I116" i="13"/>
  <c r="C115" i="13"/>
  <c r="B115" i="13"/>
  <c r="M117" i="13"/>
  <c r="S115" i="13"/>
  <c r="L115" i="13"/>
  <c r="G115" i="13"/>
  <c r="F115" i="13"/>
  <c r="K115" i="13"/>
  <c r="M115" i="13"/>
  <c r="Q115" i="13"/>
  <c r="D115" i="13"/>
  <c r="O115" i="13"/>
  <c r="H115" i="13"/>
  <c r="A115" i="13"/>
  <c r="C114" i="13"/>
  <c r="Q114" i="13"/>
  <c r="K114" i="13"/>
  <c r="F114" i="13"/>
  <c r="A114" i="13"/>
  <c r="O114" i="13"/>
  <c r="H114" i="13"/>
  <c r="D114" i="13"/>
  <c r="C113" i="13"/>
  <c r="B113" i="13"/>
  <c r="L114" i="13"/>
  <c r="G114" i="13"/>
  <c r="S114" i="13"/>
  <c r="B114" i="13"/>
  <c r="I115" i="13"/>
  <c r="O113" i="13"/>
  <c r="D113" i="13"/>
  <c r="S113" i="13"/>
  <c r="K113" i="13"/>
  <c r="Q113" i="13"/>
  <c r="G113" i="13"/>
  <c r="H113" i="13"/>
  <c r="F113" i="13"/>
  <c r="I113" i="13"/>
  <c r="A113" i="13"/>
  <c r="L113" i="13"/>
  <c r="C112" i="13"/>
  <c r="I114" i="13"/>
  <c r="M114" i="13"/>
  <c r="H112" i="13"/>
  <c r="L112" i="13"/>
  <c r="F112" i="13"/>
  <c r="G112" i="13"/>
  <c r="I112" i="13"/>
  <c r="S112" i="13"/>
  <c r="A112" i="13"/>
  <c r="D112" i="13"/>
  <c r="Q112" i="13"/>
  <c r="O112" i="13"/>
  <c r="K112" i="13"/>
  <c r="M112" i="13"/>
  <c r="C111" i="13"/>
  <c r="M113" i="13"/>
  <c r="B112" i="13"/>
  <c r="S111" i="13"/>
  <c r="L111" i="13"/>
  <c r="G111" i="13"/>
  <c r="O111" i="13"/>
  <c r="H111" i="13"/>
  <c r="A111" i="13"/>
  <c r="K111" i="13"/>
  <c r="M111" i="13"/>
  <c r="D111" i="13"/>
  <c r="Q111" i="13"/>
  <c r="F111" i="13"/>
  <c r="C110" i="13"/>
  <c r="B111" i="13"/>
  <c r="I111" i="13"/>
  <c r="Q110" i="13"/>
  <c r="K110" i="13"/>
  <c r="L110" i="13"/>
  <c r="M110" i="13"/>
  <c r="F110" i="13"/>
  <c r="A110" i="13"/>
  <c r="S110" i="13"/>
  <c r="D110" i="13"/>
  <c r="G110" i="13"/>
  <c r="O110" i="13"/>
  <c r="H110" i="13"/>
  <c r="C109" i="13"/>
  <c r="B110" i="13"/>
  <c r="I110" i="13"/>
  <c r="O109" i="13"/>
  <c r="D109" i="13"/>
  <c r="L109" i="13"/>
  <c r="F109" i="13"/>
  <c r="Q109" i="13"/>
  <c r="G109" i="13"/>
  <c r="K109" i="13"/>
  <c r="M109" i="13"/>
  <c r="A109" i="13"/>
  <c r="H109" i="13"/>
  <c r="S109" i="13"/>
  <c r="C108" i="13"/>
  <c r="B109" i="13"/>
  <c r="H108" i="13"/>
  <c r="O108" i="13"/>
  <c r="G108" i="13"/>
  <c r="A108" i="13"/>
  <c r="S108" i="13"/>
  <c r="Q108" i="13"/>
  <c r="D108" i="13"/>
  <c r="K108" i="13"/>
  <c r="F108" i="13"/>
  <c r="I108" i="13"/>
  <c r="L108" i="13"/>
  <c r="C107" i="13"/>
  <c r="B108" i="13"/>
  <c r="I109" i="13"/>
  <c r="S107" i="13"/>
  <c r="L107" i="13"/>
  <c r="G107" i="13"/>
  <c r="Q107" i="13"/>
  <c r="K107" i="13"/>
  <c r="M107" i="13"/>
  <c r="A107" i="13"/>
  <c r="H107" i="13"/>
  <c r="F107" i="13"/>
  <c r="D107" i="13"/>
  <c r="O107" i="13"/>
  <c r="C106" i="13"/>
  <c r="M108" i="13"/>
  <c r="B107" i="13"/>
  <c r="Q106" i="13"/>
  <c r="K106" i="13"/>
  <c r="F106" i="13"/>
  <c r="A106" i="13"/>
  <c r="L106" i="13"/>
  <c r="D106" i="13"/>
  <c r="O106" i="13"/>
  <c r="G106" i="13"/>
  <c r="S106" i="13"/>
  <c r="H106" i="13"/>
  <c r="C105" i="13"/>
  <c r="B106" i="13"/>
  <c r="I107" i="13"/>
  <c r="I106" i="13"/>
  <c r="M106" i="13"/>
  <c r="O105" i="13"/>
  <c r="D105" i="13"/>
  <c r="G105" i="13"/>
  <c r="A105" i="13"/>
  <c r="Q105" i="13"/>
  <c r="F105" i="13"/>
  <c r="H105" i="13"/>
  <c r="S105" i="13"/>
  <c r="L105" i="13"/>
  <c r="K105" i="13"/>
  <c r="M105" i="13"/>
  <c r="C104" i="13"/>
  <c r="B105" i="13"/>
  <c r="H104" i="13"/>
  <c r="Q104" i="13"/>
  <c r="S104" i="13"/>
  <c r="G104" i="13"/>
  <c r="L104" i="13"/>
  <c r="A104" i="13"/>
  <c r="O104" i="13"/>
  <c r="K104" i="13"/>
  <c r="M104" i="13"/>
  <c r="D104" i="13"/>
  <c r="F104" i="13"/>
  <c r="I104" i="13"/>
  <c r="C103" i="13"/>
  <c r="B103" i="13"/>
  <c r="B104" i="13"/>
  <c r="I105" i="13"/>
  <c r="S103" i="13"/>
  <c r="L103" i="13"/>
  <c r="G103" i="13"/>
  <c r="K103" i="13"/>
  <c r="M103" i="13"/>
  <c r="D103" i="13"/>
  <c r="A103" i="13"/>
  <c r="Q103" i="13"/>
  <c r="F103" i="13"/>
  <c r="H103" i="13"/>
  <c r="I103" i="13"/>
  <c r="O103" i="13"/>
  <c r="C102" i="13"/>
  <c r="Q102" i="13"/>
  <c r="K102" i="13"/>
  <c r="F102" i="13"/>
  <c r="A102" i="13"/>
  <c r="G102" i="13"/>
  <c r="L102" i="13"/>
  <c r="H102" i="13"/>
  <c r="D102" i="13"/>
  <c r="O102" i="13"/>
  <c r="S102" i="13"/>
  <c r="C101" i="13"/>
  <c r="B102" i="13"/>
  <c r="O101" i="13"/>
  <c r="D101" i="13"/>
  <c r="Q101" i="13"/>
  <c r="H101" i="13"/>
  <c r="F101" i="13"/>
  <c r="S101" i="13"/>
  <c r="G101" i="13"/>
  <c r="A101" i="13"/>
  <c r="L101" i="13"/>
  <c r="K101" i="13"/>
  <c r="M101" i="13"/>
  <c r="C100" i="13"/>
  <c r="B101" i="13"/>
  <c r="I102" i="13"/>
  <c r="M102" i="13"/>
  <c r="H100" i="13"/>
  <c r="S100" i="13"/>
  <c r="K100" i="13"/>
  <c r="L100" i="13"/>
  <c r="M100" i="13"/>
  <c r="D100" i="13"/>
  <c r="Q100" i="13"/>
  <c r="G100" i="13"/>
  <c r="O100" i="13"/>
  <c r="A100" i="13"/>
  <c r="F100" i="13"/>
  <c r="I100" i="13"/>
  <c r="C99" i="13"/>
  <c r="B100" i="13"/>
  <c r="I101" i="13"/>
  <c r="S99" i="13"/>
  <c r="L99" i="13"/>
  <c r="G99" i="13"/>
  <c r="F99" i="13"/>
  <c r="H99" i="13"/>
  <c r="I99" i="13"/>
  <c r="A99" i="13"/>
  <c r="O99" i="13"/>
  <c r="Q99" i="13"/>
  <c r="K99" i="13"/>
  <c r="M99" i="13"/>
  <c r="D99" i="13"/>
  <c r="C98" i="13"/>
  <c r="B99" i="13"/>
  <c r="Q98" i="13"/>
  <c r="K98" i="13"/>
  <c r="F98" i="13"/>
  <c r="A98" i="13"/>
  <c r="O98" i="13"/>
  <c r="L98" i="13"/>
  <c r="D98" i="13"/>
  <c r="H98" i="13"/>
  <c r="C97" i="13"/>
  <c r="B97" i="13"/>
  <c r="G98" i="13"/>
  <c r="S98" i="13"/>
  <c r="B98" i="13"/>
  <c r="I98" i="13"/>
  <c r="M98" i="13"/>
  <c r="O97" i="13"/>
  <c r="D97" i="13"/>
  <c r="G97" i="13"/>
  <c r="A97" i="13"/>
  <c r="K97" i="13"/>
  <c r="S97" i="13"/>
  <c r="F97" i="13"/>
  <c r="Q97" i="13"/>
  <c r="L97" i="13"/>
  <c r="H97" i="13"/>
  <c r="C96" i="13"/>
  <c r="H96" i="13"/>
  <c r="Q96" i="13"/>
  <c r="L96" i="13"/>
  <c r="D96" i="13"/>
  <c r="K96" i="13"/>
  <c r="G96" i="13"/>
  <c r="S96" i="13"/>
  <c r="F96" i="13"/>
  <c r="I96" i="13"/>
  <c r="A96" i="13"/>
  <c r="O96" i="13"/>
  <c r="C95" i="13"/>
  <c r="B95" i="13"/>
  <c r="M97" i="13"/>
  <c r="B96" i="13"/>
  <c r="I97" i="13"/>
  <c r="S95" i="13"/>
  <c r="L95" i="13"/>
  <c r="G95" i="13"/>
  <c r="K95" i="13"/>
  <c r="M95" i="13"/>
  <c r="D95" i="13"/>
  <c r="O95" i="13"/>
  <c r="F95" i="13"/>
  <c r="A95" i="13"/>
  <c r="H95" i="13"/>
  <c r="Q95" i="13"/>
  <c r="C94" i="13"/>
  <c r="M96" i="13"/>
  <c r="Q94" i="13"/>
  <c r="K94" i="13"/>
  <c r="L94" i="13"/>
  <c r="M94" i="13"/>
  <c r="F94" i="13"/>
  <c r="A94" i="13"/>
  <c r="G94" i="13"/>
  <c r="S94" i="13"/>
  <c r="H94" i="13"/>
  <c r="D94" i="13"/>
  <c r="O94" i="13"/>
  <c r="C93" i="13"/>
  <c r="B93" i="13"/>
  <c r="B94" i="13"/>
  <c r="I95" i="13"/>
  <c r="I94" i="13"/>
  <c r="O93" i="13"/>
  <c r="D93" i="13"/>
  <c r="Q93" i="13"/>
  <c r="H93" i="13"/>
  <c r="K93" i="13"/>
  <c r="A93" i="13"/>
  <c r="B92" i="13"/>
  <c r="L93" i="13"/>
  <c r="F93" i="13"/>
  <c r="G93" i="13"/>
  <c r="S93" i="13"/>
  <c r="C92" i="13"/>
  <c r="I93" i="13"/>
  <c r="H92" i="13"/>
  <c r="B91" i="13"/>
  <c r="S92" i="13"/>
  <c r="K92" i="13"/>
  <c r="L92" i="13"/>
  <c r="M92" i="13"/>
  <c r="D92" i="13"/>
  <c r="Q92" i="13"/>
  <c r="F92" i="13"/>
  <c r="O92" i="13"/>
  <c r="A92" i="13"/>
  <c r="G92" i="13"/>
  <c r="C91" i="13"/>
  <c r="M93" i="13"/>
  <c r="C132" i="11"/>
  <c r="C140" i="11"/>
  <c r="I92" i="13"/>
  <c r="C142" i="11"/>
  <c r="D158" i="11"/>
  <c r="B158" i="11"/>
  <c r="C141" i="11"/>
  <c r="H420" i="11"/>
  <c r="C87" i="11"/>
  <c r="C82" i="11"/>
  <c r="C86" i="11"/>
  <c r="C85" i="11"/>
  <c r="H419" i="11"/>
  <c r="AE91" i="13"/>
  <c r="AF91" i="13"/>
  <c r="S91" i="13"/>
  <c r="L91" i="13"/>
  <c r="G91" i="13"/>
  <c r="F91" i="13"/>
  <c r="H91" i="13"/>
  <c r="I91" i="13"/>
  <c r="B90" i="13"/>
  <c r="O91" i="13"/>
  <c r="D91" i="13"/>
  <c r="Q91" i="13"/>
  <c r="K91" i="13"/>
  <c r="M91" i="13"/>
  <c r="A91" i="13"/>
  <c r="C90" i="13"/>
  <c r="C51" i="11"/>
  <c r="C41" i="11"/>
  <c r="Q90" i="13"/>
  <c r="K90" i="13"/>
  <c r="F90" i="13"/>
  <c r="A90" i="13"/>
  <c r="O90" i="13"/>
  <c r="H90" i="13"/>
  <c r="S90" i="13"/>
  <c r="G90" i="13"/>
  <c r="AE90" i="13"/>
  <c r="AF90" i="13"/>
  <c r="L90" i="13"/>
  <c r="B89" i="13"/>
  <c r="D90" i="13"/>
  <c r="C89" i="13"/>
  <c r="C42" i="11"/>
  <c r="D42" i="11"/>
  <c r="D16" i="11"/>
  <c r="D41" i="11"/>
  <c r="F60" i="11"/>
  <c r="C52" i="11"/>
  <c r="H60" i="11"/>
  <c r="C53" i="11"/>
  <c r="W90" i="13"/>
  <c r="X90" i="13"/>
  <c r="D86" i="11"/>
  <c r="E86" i="11" a="1"/>
  <c r="E86" i="11"/>
  <c r="D87" i="11"/>
  <c r="E87" i="11" a="1"/>
  <c r="E87" i="11"/>
  <c r="AB90" i="13"/>
  <c r="C144" i="11"/>
  <c r="C145" i="11"/>
  <c r="B157" i="11"/>
  <c r="AE121" i="13"/>
  <c r="AF121" i="13"/>
  <c r="AE122" i="13"/>
  <c r="AF122" i="13"/>
  <c r="AE120" i="13"/>
  <c r="AF120" i="13"/>
  <c r="AE119" i="13"/>
  <c r="AF119" i="13"/>
  <c r="AE118" i="13"/>
  <c r="AF118" i="13"/>
  <c r="AE117" i="13"/>
  <c r="AF117" i="13"/>
  <c r="AE116" i="13"/>
  <c r="AF116" i="13"/>
  <c r="AE115" i="13"/>
  <c r="AF115" i="13"/>
  <c r="AE114" i="13"/>
  <c r="AF114" i="13"/>
  <c r="AE113" i="13"/>
  <c r="AF113" i="13"/>
  <c r="AE112" i="13"/>
  <c r="AF112" i="13"/>
  <c r="AE111" i="13"/>
  <c r="AF111" i="13"/>
  <c r="AE110" i="13"/>
  <c r="AF110" i="13"/>
  <c r="AE109" i="13"/>
  <c r="AF109" i="13"/>
  <c r="AE108" i="13"/>
  <c r="AF108" i="13"/>
  <c r="AE107" i="13"/>
  <c r="AF107" i="13"/>
  <c r="AE106" i="13"/>
  <c r="AF106" i="13"/>
  <c r="AE105" i="13"/>
  <c r="AF105" i="13"/>
  <c r="AE104" i="13"/>
  <c r="AF104" i="13"/>
  <c r="AE103" i="13"/>
  <c r="AF103" i="13"/>
  <c r="AE102" i="13"/>
  <c r="AF102" i="13"/>
  <c r="AE101" i="13"/>
  <c r="AF101" i="13"/>
  <c r="AE100" i="13"/>
  <c r="AF100" i="13"/>
  <c r="AE99" i="13"/>
  <c r="AF99" i="13"/>
  <c r="AE98" i="13"/>
  <c r="AF98" i="13"/>
  <c r="AE97" i="13"/>
  <c r="AF97" i="13"/>
  <c r="AE96" i="13"/>
  <c r="AF96" i="13"/>
  <c r="AE95" i="13"/>
  <c r="AF95" i="13"/>
  <c r="AE94" i="13"/>
  <c r="AF94" i="13"/>
  <c r="AE93" i="13"/>
  <c r="AF93" i="13"/>
  <c r="AE92" i="13"/>
  <c r="AF92" i="13"/>
  <c r="D85" i="11"/>
  <c r="E85" i="11" a="1"/>
  <c r="E85" i="11"/>
  <c r="G85" i="11"/>
  <c r="H85" i="11"/>
  <c r="H92" i="11"/>
  <c r="B92" i="11"/>
  <c r="Z122" i="13"/>
  <c r="AC122" i="13"/>
  <c r="Z121" i="13"/>
  <c r="AC121" i="13"/>
  <c r="Z120" i="13"/>
  <c r="AC120" i="13"/>
  <c r="Z119" i="13"/>
  <c r="AC119" i="13"/>
  <c r="Z118" i="13"/>
  <c r="AC118" i="13"/>
  <c r="Z117" i="13"/>
  <c r="AC117" i="13"/>
  <c r="Z116" i="13"/>
  <c r="AC116" i="13"/>
  <c r="Z115" i="13"/>
  <c r="AC115" i="13"/>
  <c r="Z114" i="13"/>
  <c r="AC114" i="13"/>
  <c r="Z113" i="13"/>
  <c r="AC113" i="13"/>
  <c r="Z112" i="13"/>
  <c r="AC112" i="13"/>
  <c r="Z111" i="13"/>
  <c r="AC111" i="13"/>
  <c r="Z110" i="13"/>
  <c r="AC110" i="13"/>
  <c r="Z109" i="13"/>
  <c r="AC109" i="13"/>
  <c r="Z108" i="13"/>
  <c r="AC108" i="13"/>
  <c r="Z107" i="13"/>
  <c r="AC107" i="13"/>
  <c r="Z106" i="13"/>
  <c r="AC106" i="13"/>
  <c r="Z105" i="13"/>
  <c r="AC105" i="13"/>
  <c r="Z104" i="13"/>
  <c r="AC104" i="13"/>
  <c r="Z103" i="13"/>
  <c r="AC103" i="13"/>
  <c r="Z102" i="13"/>
  <c r="AC102" i="13"/>
  <c r="Z101" i="13"/>
  <c r="AC101" i="13"/>
  <c r="Z100" i="13"/>
  <c r="AC100" i="13"/>
  <c r="Z99" i="13"/>
  <c r="AC99" i="13"/>
  <c r="Z98" i="13"/>
  <c r="AC98" i="13"/>
  <c r="Z97" i="13"/>
  <c r="AC97" i="13"/>
  <c r="Z96" i="13"/>
  <c r="AC96" i="13"/>
  <c r="Z95" i="13"/>
  <c r="AC95" i="13"/>
  <c r="Z94" i="13"/>
  <c r="AC94" i="13"/>
  <c r="Z93" i="13"/>
  <c r="AC93" i="13"/>
  <c r="Z92" i="13"/>
  <c r="AC92" i="13"/>
  <c r="Z91" i="13"/>
  <c r="AC91" i="13"/>
  <c r="AB89" i="13"/>
  <c r="W89" i="13"/>
  <c r="X89" i="13"/>
  <c r="O89" i="13"/>
  <c r="D89" i="13"/>
  <c r="AA89" i="13"/>
  <c r="S89" i="13"/>
  <c r="K89" i="13"/>
  <c r="AE89" i="13"/>
  <c r="AF89" i="13"/>
  <c r="H89" i="13"/>
  <c r="A89" i="13"/>
  <c r="B88" i="13"/>
  <c r="G89" i="13"/>
  <c r="Q89" i="13"/>
  <c r="F89" i="13"/>
  <c r="I89" i="13"/>
  <c r="Z89" i="13"/>
  <c r="AC89" i="13"/>
  <c r="L89" i="13"/>
  <c r="C88" i="13"/>
  <c r="Z90" i="13"/>
  <c r="AC90" i="13"/>
  <c r="G86" i="11"/>
  <c r="H86" i="11"/>
  <c r="H97" i="11"/>
  <c r="B97" i="11"/>
  <c r="AA122" i="13"/>
  <c r="AA121" i="13"/>
  <c r="AA120" i="13"/>
  <c r="AA119" i="13"/>
  <c r="AA118" i="13"/>
  <c r="AA117" i="13"/>
  <c r="AA116" i="13"/>
  <c r="AA115" i="13"/>
  <c r="AA114" i="13"/>
  <c r="AA113" i="13"/>
  <c r="AA112" i="13"/>
  <c r="AA111" i="13"/>
  <c r="AA110" i="13"/>
  <c r="AA109" i="13"/>
  <c r="AA108" i="13"/>
  <c r="AA107" i="13"/>
  <c r="AA106" i="13"/>
  <c r="AA105" i="13"/>
  <c r="AA104" i="13"/>
  <c r="AA103" i="13"/>
  <c r="AA102" i="13"/>
  <c r="AA101" i="13"/>
  <c r="AA100" i="13"/>
  <c r="AA99" i="13"/>
  <c r="AA98" i="13"/>
  <c r="AA97" i="13"/>
  <c r="AA96" i="13"/>
  <c r="AA95" i="13"/>
  <c r="AA94" i="13"/>
  <c r="AA93" i="13"/>
  <c r="AA92" i="13"/>
  <c r="AA91" i="13"/>
  <c r="B60" i="11"/>
  <c r="AA90" i="13"/>
  <c r="I90" i="13"/>
  <c r="M90" i="13"/>
  <c r="G87" i="11"/>
  <c r="H87" i="11"/>
  <c r="H102" i="11"/>
  <c r="B102" i="11"/>
  <c r="AB121" i="13"/>
  <c r="AB122" i="13"/>
  <c r="AB120" i="13"/>
  <c r="AB119" i="13"/>
  <c r="AB118" i="13"/>
  <c r="AB117" i="13"/>
  <c r="AB116" i="13"/>
  <c r="AB115" i="13"/>
  <c r="AB114" i="13"/>
  <c r="AB113" i="13"/>
  <c r="AB112" i="13"/>
  <c r="AB111" i="13"/>
  <c r="AB110" i="13"/>
  <c r="AB109" i="13"/>
  <c r="AB108" i="13"/>
  <c r="AB107" i="13"/>
  <c r="AB106" i="13"/>
  <c r="AB105" i="13"/>
  <c r="AB104" i="13"/>
  <c r="AB103" i="13"/>
  <c r="AB102" i="13"/>
  <c r="AB101" i="13"/>
  <c r="AB100" i="13"/>
  <c r="AB99" i="13"/>
  <c r="AB98" i="13"/>
  <c r="AB97" i="13"/>
  <c r="AB96" i="13"/>
  <c r="AB95" i="13"/>
  <c r="AB94" i="13"/>
  <c r="AB93" i="13"/>
  <c r="AB92" i="13"/>
  <c r="AB91" i="13"/>
  <c r="C55" i="11"/>
  <c r="C56" i="11"/>
  <c r="B59" i="11"/>
  <c r="W122" i="13"/>
  <c r="X122" i="13"/>
  <c r="W121" i="13"/>
  <c r="X121" i="13"/>
  <c r="W120" i="13"/>
  <c r="X120" i="13"/>
  <c r="W119" i="13"/>
  <c r="X119" i="13"/>
  <c r="W118" i="13"/>
  <c r="X118" i="13"/>
  <c r="W117" i="13"/>
  <c r="X117" i="13"/>
  <c r="W116" i="13"/>
  <c r="X116" i="13"/>
  <c r="W115" i="13"/>
  <c r="X115" i="13"/>
  <c r="W114" i="13"/>
  <c r="X114" i="13"/>
  <c r="W113" i="13"/>
  <c r="X113" i="13"/>
  <c r="W112" i="13"/>
  <c r="X112" i="13"/>
  <c r="W111" i="13"/>
  <c r="X111" i="13"/>
  <c r="W110" i="13"/>
  <c r="X110" i="13"/>
  <c r="W109" i="13"/>
  <c r="X109" i="13"/>
  <c r="W108" i="13"/>
  <c r="X108" i="13"/>
  <c r="W107" i="13"/>
  <c r="X107" i="13"/>
  <c r="W106" i="13"/>
  <c r="X106" i="13"/>
  <c r="W105" i="13"/>
  <c r="X105" i="13"/>
  <c r="W104" i="13"/>
  <c r="X104" i="13"/>
  <c r="W103" i="13"/>
  <c r="X103" i="13"/>
  <c r="W102" i="13"/>
  <c r="X102" i="13"/>
  <c r="W101" i="13"/>
  <c r="X101" i="13"/>
  <c r="W100" i="13"/>
  <c r="X100" i="13"/>
  <c r="W99" i="13"/>
  <c r="X99" i="13"/>
  <c r="W98" i="13"/>
  <c r="X98" i="13"/>
  <c r="W97" i="13"/>
  <c r="X97" i="13"/>
  <c r="W96" i="13"/>
  <c r="X96" i="13"/>
  <c r="W95" i="13"/>
  <c r="X95" i="13"/>
  <c r="W94" i="13"/>
  <c r="X94" i="13"/>
  <c r="W93" i="13"/>
  <c r="X93" i="13"/>
  <c r="W92" i="13"/>
  <c r="X92" i="13"/>
  <c r="W91" i="13"/>
  <c r="X91" i="13"/>
  <c r="AA88" i="13"/>
  <c r="H88" i="13"/>
  <c r="B87" i="13"/>
  <c r="W88" i="13"/>
  <c r="X88" i="13"/>
  <c r="L88" i="13"/>
  <c r="F88" i="13"/>
  <c r="G88" i="13"/>
  <c r="I88" i="13"/>
  <c r="K88" i="13"/>
  <c r="M88" i="13"/>
  <c r="AB88" i="13"/>
  <c r="O88" i="13"/>
  <c r="A88" i="13"/>
  <c r="Z88" i="13"/>
  <c r="AC88" i="13"/>
  <c r="S88" i="13"/>
  <c r="D88" i="13"/>
  <c r="AE88" i="13"/>
  <c r="AF88" i="13"/>
  <c r="Q88" i="13"/>
  <c r="C87" i="13"/>
  <c r="M89" i="13"/>
  <c r="AE87" i="13"/>
  <c r="AF87" i="13"/>
  <c r="Z87" i="13"/>
  <c r="AC87" i="13"/>
  <c r="S87" i="13"/>
  <c r="L87" i="13"/>
  <c r="G87" i="13"/>
  <c r="O87" i="13"/>
  <c r="H87" i="13"/>
  <c r="A87" i="13"/>
  <c r="AA87" i="13"/>
  <c r="D87" i="13"/>
  <c r="F87" i="13"/>
  <c r="AB87" i="13"/>
  <c r="Q87" i="13"/>
  <c r="K87" i="13"/>
  <c r="M87" i="13"/>
  <c r="W87" i="13"/>
  <c r="X87" i="13"/>
  <c r="B86" i="13"/>
  <c r="C86" i="13"/>
  <c r="Q86" i="13"/>
  <c r="K86" i="13"/>
  <c r="F86" i="13"/>
  <c r="A86" i="13"/>
  <c r="AA86" i="13"/>
  <c r="S86" i="13"/>
  <c r="AB86" i="13"/>
  <c r="O86" i="13"/>
  <c r="G86" i="13"/>
  <c r="Z86" i="13"/>
  <c r="AC86" i="13"/>
  <c r="L86" i="13"/>
  <c r="D86" i="13"/>
  <c r="W86" i="13"/>
  <c r="X86" i="13"/>
  <c r="H86" i="13"/>
  <c r="B85" i="13"/>
  <c r="AE86" i="13"/>
  <c r="AF86" i="13"/>
  <c r="C85" i="13"/>
  <c r="I87" i="13"/>
  <c r="AB85" i="13"/>
  <c r="W85" i="13"/>
  <c r="X85" i="13"/>
  <c r="O85" i="13"/>
  <c r="D85" i="13"/>
  <c r="L85" i="13"/>
  <c r="F85" i="13"/>
  <c r="AE85" i="13"/>
  <c r="AF85" i="13"/>
  <c r="S85" i="13"/>
  <c r="H85" i="13"/>
  <c r="A85" i="13"/>
  <c r="B84" i="13"/>
  <c r="Q85" i="13"/>
  <c r="AA85" i="13"/>
  <c r="K85" i="13"/>
  <c r="M85" i="13"/>
  <c r="Z85" i="13"/>
  <c r="AC85" i="13"/>
  <c r="G85" i="13"/>
  <c r="C84" i="13"/>
  <c r="I86" i="13"/>
  <c r="M86" i="13"/>
  <c r="AA84" i="13"/>
  <c r="H84" i="13"/>
  <c r="B83" i="13"/>
  <c r="AE84" i="13"/>
  <c r="AF84" i="13"/>
  <c r="O84" i="13"/>
  <c r="G84" i="13"/>
  <c r="A84" i="13"/>
  <c r="W84" i="13"/>
  <c r="X84" i="13"/>
  <c r="K84" i="13"/>
  <c r="L84" i="13"/>
  <c r="M84" i="13"/>
  <c r="Z84" i="13"/>
  <c r="AC84" i="13"/>
  <c r="S84" i="13"/>
  <c r="F84" i="13"/>
  <c r="I84" i="13"/>
  <c r="D84" i="13"/>
  <c r="Q84" i="13"/>
  <c r="AB84" i="13"/>
  <c r="C83" i="13"/>
  <c r="I85" i="13"/>
  <c r="AE83" i="13"/>
  <c r="AF83" i="13"/>
  <c r="Z83" i="13"/>
  <c r="AC83" i="13"/>
  <c r="S83" i="13"/>
  <c r="L83" i="13"/>
  <c r="G83" i="13"/>
  <c r="AA83" i="13"/>
  <c r="Q83" i="13"/>
  <c r="D83" i="13"/>
  <c r="O83" i="13"/>
  <c r="A83" i="13"/>
  <c r="W83" i="13"/>
  <c r="X83" i="13"/>
  <c r="AB83" i="13"/>
  <c r="K83" i="13"/>
  <c r="M83" i="13"/>
  <c r="H83" i="13"/>
  <c r="B82" i="13"/>
  <c r="F83" i="13"/>
  <c r="I83" i="13"/>
  <c r="C82" i="13"/>
  <c r="Q82" i="13"/>
  <c r="K82" i="13"/>
  <c r="F82" i="13"/>
  <c r="A82" i="13"/>
  <c r="AB82" i="13"/>
  <c r="L82" i="13"/>
  <c r="D82" i="13"/>
  <c r="AA82" i="13"/>
  <c r="O82" i="13"/>
  <c r="G82" i="13"/>
  <c r="W82" i="13"/>
  <c r="X82" i="13"/>
  <c r="H82" i="13"/>
  <c r="B81" i="13"/>
  <c r="S82" i="13"/>
  <c r="AE82" i="13"/>
  <c r="AF82" i="13"/>
  <c r="Z82" i="13"/>
  <c r="AC82" i="13"/>
  <c r="C81" i="13"/>
  <c r="I82" i="13"/>
  <c r="M82" i="13"/>
  <c r="AB81" i="13"/>
  <c r="W81" i="13"/>
  <c r="X81" i="13"/>
  <c r="O81" i="13"/>
  <c r="D81" i="13"/>
  <c r="AE81" i="13"/>
  <c r="AF81" i="13"/>
  <c r="G81" i="13"/>
  <c r="A81" i="13"/>
  <c r="B80" i="13"/>
  <c r="S81" i="13"/>
  <c r="H81" i="13"/>
  <c r="AA81" i="13"/>
  <c r="L81" i="13"/>
  <c r="F81" i="13"/>
  <c r="Z81" i="13"/>
  <c r="AC81" i="13"/>
  <c r="K81" i="13"/>
  <c r="M81" i="13"/>
  <c r="Q81" i="13"/>
  <c r="C80" i="13"/>
  <c r="I81" i="13"/>
  <c r="AA80" i="13"/>
  <c r="H80" i="13"/>
  <c r="Z80" i="13"/>
  <c r="AC80" i="13"/>
  <c r="Q80" i="13"/>
  <c r="AE80" i="13"/>
  <c r="AF80" i="13"/>
  <c r="W80" i="13"/>
  <c r="X80" i="13"/>
  <c r="K80" i="13"/>
  <c r="A80" i="13"/>
  <c r="S80" i="13"/>
  <c r="F80" i="13"/>
  <c r="B79" i="13"/>
  <c r="O80" i="13"/>
  <c r="D80" i="13"/>
  <c r="L80" i="13"/>
  <c r="AB80" i="13"/>
  <c r="G80" i="13"/>
  <c r="C79" i="13"/>
  <c r="M80" i="13"/>
  <c r="I80" i="13"/>
  <c r="AE79" i="13"/>
  <c r="AF79" i="13"/>
  <c r="Z79" i="13"/>
  <c r="AC79" i="13"/>
  <c r="S79" i="13"/>
  <c r="L79" i="13"/>
  <c r="AB79" i="13"/>
  <c r="K79" i="13"/>
  <c r="M79" i="13"/>
  <c r="F79" i="13"/>
  <c r="G79" i="13"/>
  <c r="H79" i="13"/>
  <c r="I79" i="13"/>
  <c r="A79" i="13"/>
  <c r="D79" i="13"/>
  <c r="AA79" i="13"/>
  <c r="W79" i="13"/>
  <c r="X79" i="13"/>
  <c r="B78" i="13"/>
  <c r="Q79" i="13"/>
  <c r="O79" i="13"/>
  <c r="C78" i="13"/>
  <c r="AB78" i="13"/>
  <c r="W78" i="13"/>
  <c r="X78" i="13"/>
  <c r="O78" i="13"/>
  <c r="D78" i="13"/>
  <c r="AE78" i="13"/>
  <c r="AF78" i="13"/>
  <c r="G78" i="13"/>
  <c r="A78" i="13"/>
  <c r="B77" i="13"/>
  <c r="Z78" i="13"/>
  <c r="AC78" i="13"/>
  <c r="L78" i="13"/>
  <c r="H78" i="13"/>
  <c r="K78" i="13"/>
  <c r="S78" i="13"/>
  <c r="Q78" i="13"/>
  <c r="F78" i="13"/>
  <c r="I78" i="13"/>
  <c r="AA78" i="13"/>
  <c r="C77" i="13"/>
  <c r="M78" i="13"/>
  <c r="AA77" i="13"/>
  <c r="H77" i="13"/>
  <c r="B76" i="13"/>
  <c r="Z77" i="13"/>
  <c r="AC77" i="13"/>
  <c r="Q77" i="13"/>
  <c r="AB77" i="13"/>
  <c r="O77" i="13"/>
  <c r="F77" i="13"/>
  <c r="W77" i="13"/>
  <c r="X77" i="13"/>
  <c r="L77" i="13"/>
  <c r="D77" i="13"/>
  <c r="AE77" i="13"/>
  <c r="AF77" i="13"/>
  <c r="A77" i="13"/>
  <c r="K77" i="13"/>
  <c r="M77" i="13"/>
  <c r="G77" i="13"/>
  <c r="S77" i="13"/>
  <c r="C76" i="13"/>
  <c r="AE76" i="13"/>
  <c r="AF76" i="13"/>
  <c r="Z76" i="13"/>
  <c r="AC76" i="13"/>
  <c r="S76" i="13"/>
  <c r="L76" i="13"/>
  <c r="G76" i="13"/>
  <c r="AB76" i="13"/>
  <c r="K76" i="13"/>
  <c r="M76" i="13"/>
  <c r="D76" i="13"/>
  <c r="Q76" i="13"/>
  <c r="H76" i="13"/>
  <c r="B75" i="13"/>
  <c r="AA76" i="13"/>
  <c r="O76" i="13"/>
  <c r="F76" i="13"/>
  <c r="I76" i="13"/>
  <c r="A76" i="13"/>
  <c r="W76" i="13"/>
  <c r="X76" i="13"/>
  <c r="C75" i="13"/>
  <c r="I77" i="13"/>
  <c r="Q75" i="13"/>
  <c r="K75" i="13"/>
  <c r="F75" i="13"/>
  <c r="A75" i="13"/>
  <c r="AE75" i="13"/>
  <c r="AF75" i="13"/>
  <c r="W75" i="13"/>
  <c r="X75" i="13"/>
  <c r="G75" i="13"/>
  <c r="B74" i="13"/>
  <c r="O75" i="13"/>
  <c r="AB75" i="13"/>
  <c r="S75" i="13"/>
  <c r="H75" i="13"/>
  <c r="D75" i="13"/>
  <c r="AA75" i="13"/>
  <c r="Z75" i="13"/>
  <c r="AC75" i="13"/>
  <c r="L75" i="13"/>
  <c r="C74" i="13"/>
  <c r="I75" i="13"/>
  <c r="M75" i="13"/>
  <c r="AB74" i="13"/>
  <c r="W74" i="13"/>
  <c r="X74" i="13"/>
  <c r="O74" i="13"/>
  <c r="D74" i="13"/>
  <c r="Z74" i="13"/>
  <c r="AC74" i="13"/>
  <c r="Q74" i="13"/>
  <c r="H74" i="13"/>
  <c r="AE74" i="13"/>
  <c r="AF74" i="13"/>
  <c r="G74" i="13"/>
  <c r="A74" i="13"/>
  <c r="B73" i="13"/>
  <c r="F74" i="13"/>
  <c r="L74" i="13"/>
  <c r="AA74" i="13"/>
  <c r="S74" i="13"/>
  <c r="K74" i="13"/>
  <c r="C73" i="13"/>
  <c r="AA73" i="13"/>
  <c r="H73" i="13"/>
  <c r="B72" i="13"/>
  <c r="AB73" i="13"/>
  <c r="S73" i="13"/>
  <c r="K73" i="13"/>
  <c r="L73" i="13"/>
  <c r="M73" i="13"/>
  <c r="D73" i="13"/>
  <c r="AE73" i="13"/>
  <c r="AF73" i="13"/>
  <c r="G73" i="13"/>
  <c r="Z73" i="13"/>
  <c r="AC73" i="13"/>
  <c r="Q73" i="13"/>
  <c r="O73" i="13"/>
  <c r="A73" i="13"/>
  <c r="W73" i="13"/>
  <c r="X73" i="13"/>
  <c r="F73" i="13"/>
  <c r="I73" i="13"/>
  <c r="C72" i="13"/>
  <c r="M74" i="13"/>
  <c r="I74" i="13"/>
  <c r="AE72" i="13"/>
  <c r="AF72" i="13"/>
  <c r="Z72" i="13"/>
  <c r="AC72" i="13"/>
  <c r="S72" i="13"/>
  <c r="L72" i="13"/>
  <c r="G72" i="13"/>
  <c r="W72" i="13"/>
  <c r="X72" i="13"/>
  <c r="F72" i="13"/>
  <c r="B71" i="13"/>
  <c r="Q72" i="13"/>
  <c r="AB72" i="13"/>
  <c r="K72" i="13"/>
  <c r="M72" i="13"/>
  <c r="D72" i="13"/>
  <c r="AA72" i="13"/>
  <c r="A72" i="13"/>
  <c r="O72" i="13"/>
  <c r="H72" i="13"/>
  <c r="C71" i="13"/>
  <c r="Q71" i="13"/>
  <c r="K71" i="13"/>
  <c r="F71" i="13"/>
  <c r="A71" i="13"/>
  <c r="Z71" i="13"/>
  <c r="AC71" i="13"/>
  <c r="O71" i="13"/>
  <c r="H71" i="13"/>
  <c r="AB71" i="13"/>
  <c r="D71" i="13"/>
  <c r="AE71" i="13"/>
  <c r="AF71" i="13"/>
  <c r="W71" i="13"/>
  <c r="X71" i="13"/>
  <c r="G71" i="13"/>
  <c r="B70" i="13"/>
  <c r="L71" i="13"/>
  <c r="AA71" i="13"/>
  <c r="S71" i="13"/>
  <c r="C70" i="13"/>
  <c r="I72" i="13"/>
  <c r="I71" i="13"/>
  <c r="M71" i="13"/>
  <c r="AB70" i="13"/>
  <c r="W70" i="13"/>
  <c r="X70" i="13"/>
  <c r="O70" i="13"/>
  <c r="D70" i="13"/>
  <c r="AA70" i="13"/>
  <c r="S70" i="13"/>
  <c r="K70" i="13"/>
  <c r="L70" i="13"/>
  <c r="M70" i="13"/>
  <c r="A70" i="13"/>
  <c r="Z70" i="13"/>
  <c r="AC70" i="13"/>
  <c r="Q70" i="13"/>
  <c r="H70" i="13"/>
  <c r="B69" i="13"/>
  <c r="AE70" i="13"/>
  <c r="AF70" i="13"/>
  <c r="G70" i="13"/>
  <c r="F70" i="13"/>
  <c r="I70" i="13"/>
  <c r="C69" i="13"/>
  <c r="AA69" i="13"/>
  <c r="H69" i="13"/>
  <c r="B68" i="13"/>
  <c r="W69" i="13"/>
  <c r="X69" i="13"/>
  <c r="L69" i="13"/>
  <c r="F69" i="13"/>
  <c r="G69" i="13"/>
  <c r="I69" i="13"/>
  <c r="Q69" i="13"/>
  <c r="AB69" i="13"/>
  <c r="S69" i="13"/>
  <c r="K69" i="13"/>
  <c r="M69" i="13"/>
  <c r="D69" i="13"/>
  <c r="Z69" i="13"/>
  <c r="AC69" i="13"/>
  <c r="AE69" i="13"/>
  <c r="AF69" i="13"/>
  <c r="A69" i="13"/>
  <c r="O69" i="13"/>
  <c r="C68" i="13"/>
  <c r="AE68" i="13"/>
  <c r="AF68" i="13"/>
  <c r="Z68" i="13"/>
  <c r="AC68" i="13"/>
  <c r="S68" i="13"/>
  <c r="L68" i="13"/>
  <c r="G68" i="13"/>
  <c r="O68" i="13"/>
  <c r="H68" i="13"/>
  <c r="A68" i="13"/>
  <c r="AB68" i="13"/>
  <c r="D68" i="13"/>
  <c r="W68" i="13"/>
  <c r="X68" i="13"/>
  <c r="F68" i="13"/>
  <c r="B67" i="13"/>
  <c r="K68" i="13"/>
  <c r="M68" i="13"/>
  <c r="AA68" i="13"/>
  <c r="Q68" i="13"/>
  <c r="C67" i="13"/>
  <c r="I68" i="13"/>
  <c r="Q67" i="13"/>
  <c r="K67" i="13"/>
  <c r="F67" i="13"/>
  <c r="A67" i="13"/>
  <c r="AA67" i="13"/>
  <c r="S67" i="13"/>
  <c r="B66" i="13"/>
  <c r="Z67" i="13"/>
  <c r="AC67" i="13"/>
  <c r="O67" i="13"/>
  <c r="H67" i="13"/>
  <c r="AE67" i="13"/>
  <c r="AF67" i="13"/>
  <c r="G67" i="13"/>
  <c r="W67" i="13"/>
  <c r="X67" i="13"/>
  <c r="L67" i="13"/>
  <c r="D67" i="13"/>
  <c r="AB67" i="13"/>
  <c r="C66" i="13"/>
  <c r="I67" i="13"/>
  <c r="M67" i="13"/>
  <c r="AB66" i="13"/>
  <c r="W66" i="13"/>
  <c r="X66" i="13"/>
  <c r="O66" i="13"/>
  <c r="D66" i="13"/>
  <c r="L66" i="13"/>
  <c r="F66" i="13"/>
  <c r="G66" i="13"/>
  <c r="H66" i="13"/>
  <c r="I66" i="13"/>
  <c r="Z66" i="13"/>
  <c r="AC66" i="13"/>
  <c r="AA66" i="13"/>
  <c r="S66" i="13"/>
  <c r="K66" i="13"/>
  <c r="M66" i="13"/>
  <c r="Q66" i="13"/>
  <c r="AE66" i="13"/>
  <c r="AF66" i="13"/>
  <c r="A66" i="13"/>
  <c r="B65" i="13"/>
  <c r="C65" i="13"/>
  <c r="AA65" i="13"/>
  <c r="H65" i="13"/>
  <c r="B64" i="13"/>
  <c r="AE65" i="13"/>
  <c r="AF65" i="13"/>
  <c r="O65" i="13"/>
  <c r="G65" i="13"/>
  <c r="A65" i="13"/>
  <c r="K65" i="13"/>
  <c r="W65" i="13"/>
  <c r="X65" i="13"/>
  <c r="L65" i="13"/>
  <c r="F65" i="13"/>
  <c r="AB65" i="13"/>
  <c r="D65" i="13"/>
  <c r="S65" i="13"/>
  <c r="Q65" i="13"/>
  <c r="Z65" i="13"/>
  <c r="AC65" i="13"/>
  <c r="C64" i="13"/>
  <c r="M65" i="13"/>
  <c r="I65" i="13"/>
  <c r="AE64" i="13"/>
  <c r="AF64" i="13"/>
  <c r="Z64" i="13"/>
  <c r="AC64" i="13"/>
  <c r="S64" i="13"/>
  <c r="L64" i="13"/>
  <c r="G64" i="13"/>
  <c r="AA64" i="13"/>
  <c r="Q64" i="13"/>
  <c r="O64" i="13"/>
  <c r="H64" i="13"/>
  <c r="A64" i="13"/>
  <c r="W64" i="13"/>
  <c r="X64" i="13"/>
  <c r="B63" i="13"/>
  <c r="F64" i="13"/>
  <c r="I64" i="13"/>
  <c r="K64" i="13"/>
  <c r="M64" i="13"/>
  <c r="D64" i="13"/>
  <c r="AB64" i="13"/>
  <c r="C63" i="13"/>
  <c r="Q63" i="13"/>
  <c r="K63" i="13"/>
  <c r="F63" i="13"/>
  <c r="A63" i="13"/>
  <c r="AB63" i="13"/>
  <c r="L63" i="13"/>
  <c r="D63" i="13"/>
  <c r="H63" i="13"/>
  <c r="AA63" i="13"/>
  <c r="S63" i="13"/>
  <c r="Z63" i="13"/>
  <c r="AC63" i="13"/>
  <c r="O63" i="13"/>
  <c r="W63" i="13"/>
  <c r="X63" i="13"/>
  <c r="G63" i="13"/>
  <c r="AE63" i="13"/>
  <c r="AF63" i="13"/>
  <c r="B62" i="13"/>
  <c r="C62" i="13"/>
  <c r="I63" i="13"/>
  <c r="M63" i="13"/>
  <c r="AB62" i="13"/>
  <c r="W62" i="13"/>
  <c r="X62" i="13"/>
  <c r="O62" i="13"/>
  <c r="D62" i="13"/>
  <c r="AE62" i="13"/>
  <c r="AF62" i="13"/>
  <c r="G62" i="13"/>
  <c r="A62" i="13"/>
  <c r="B61" i="13"/>
  <c r="AA62" i="13"/>
  <c r="L62" i="13"/>
  <c r="F62" i="13"/>
  <c r="K62" i="13"/>
  <c r="S62" i="13"/>
  <c r="Z62" i="13"/>
  <c r="AC62" i="13"/>
  <c r="Q62" i="13"/>
  <c r="H62" i="13"/>
  <c r="C61" i="13"/>
  <c r="AA61" i="13"/>
  <c r="H61" i="13"/>
  <c r="B60" i="13"/>
  <c r="Z61" i="13"/>
  <c r="AC61" i="13"/>
  <c r="Q61" i="13"/>
  <c r="F61" i="13"/>
  <c r="G61" i="13"/>
  <c r="I61" i="13"/>
  <c r="AE61" i="13"/>
  <c r="AF61" i="13"/>
  <c r="O61" i="13"/>
  <c r="A61" i="13"/>
  <c r="L61" i="13"/>
  <c r="W61" i="13"/>
  <c r="X61" i="13"/>
  <c r="AB61" i="13"/>
  <c r="S61" i="13"/>
  <c r="K61" i="13"/>
  <c r="M61" i="13"/>
  <c r="D61" i="13"/>
  <c r="C60" i="13"/>
  <c r="M62" i="13"/>
  <c r="I62" i="13"/>
  <c r="AE60" i="13"/>
  <c r="AF60" i="13"/>
  <c r="Z60" i="13"/>
  <c r="AC60" i="13"/>
  <c r="S60" i="13"/>
  <c r="L60" i="13"/>
  <c r="G60" i="13"/>
  <c r="AB60" i="13"/>
  <c r="K60" i="13"/>
  <c r="D60" i="13"/>
  <c r="O60" i="13"/>
  <c r="A60" i="13"/>
  <c r="AA60" i="13"/>
  <c r="Q60" i="13"/>
  <c r="H60" i="13"/>
  <c r="B59" i="13"/>
  <c r="W60" i="13"/>
  <c r="X60" i="13"/>
  <c r="F60" i="13"/>
  <c r="I60" i="13"/>
  <c r="C59" i="13"/>
  <c r="Q59" i="13"/>
  <c r="K59" i="13"/>
  <c r="F59" i="13"/>
  <c r="A59" i="13"/>
  <c r="AE59" i="13"/>
  <c r="AF59" i="13"/>
  <c r="W59" i="13"/>
  <c r="X59" i="13"/>
  <c r="G59" i="13"/>
  <c r="B58" i="13"/>
  <c r="AB59" i="13"/>
  <c r="L59" i="13"/>
  <c r="D59" i="13"/>
  <c r="S59" i="13"/>
  <c r="AA59" i="13"/>
  <c r="Z59" i="13"/>
  <c r="AC59" i="13"/>
  <c r="H59" i="13"/>
  <c r="O59" i="13"/>
  <c r="C58" i="13"/>
  <c r="M60" i="13"/>
  <c r="I59" i="13"/>
  <c r="M59" i="13"/>
  <c r="AB58" i="13"/>
  <c r="W58" i="13"/>
  <c r="X58" i="13"/>
  <c r="O58" i="13"/>
  <c r="D58" i="13"/>
  <c r="Z58" i="13"/>
  <c r="AC58" i="13"/>
  <c r="Q58" i="13"/>
  <c r="H58" i="13"/>
  <c r="L58" i="13"/>
  <c r="AE58" i="13"/>
  <c r="AF58" i="13"/>
  <c r="G58" i="13"/>
  <c r="A58" i="13"/>
  <c r="B57" i="13"/>
  <c r="F58" i="13"/>
  <c r="AA58" i="13"/>
  <c r="S58" i="13"/>
  <c r="K58" i="13"/>
  <c r="M58" i="13"/>
  <c r="C57" i="13"/>
  <c r="I58" i="13"/>
  <c r="AA57" i="13"/>
  <c r="H57" i="13"/>
  <c r="B56" i="13"/>
  <c r="AB57" i="13"/>
  <c r="S57" i="13"/>
  <c r="K57" i="13"/>
  <c r="L57" i="13"/>
  <c r="M57" i="13"/>
  <c r="D57" i="13"/>
  <c r="Z57" i="13"/>
  <c r="AC57" i="13"/>
  <c r="Q57" i="13"/>
  <c r="AE57" i="13"/>
  <c r="AF57" i="13"/>
  <c r="A57" i="13"/>
  <c r="O57" i="13"/>
  <c r="G57" i="13"/>
  <c r="F57" i="13"/>
  <c r="I57" i="13"/>
  <c r="W57" i="13"/>
  <c r="X57" i="13"/>
  <c r="C56" i="13"/>
  <c r="AE56" i="13"/>
  <c r="AF56" i="13"/>
  <c r="Z56" i="13"/>
  <c r="AC56" i="13"/>
  <c r="S56" i="13"/>
  <c r="L56" i="13"/>
  <c r="G56" i="13"/>
  <c r="W56" i="13"/>
  <c r="X56" i="13"/>
  <c r="F56" i="13"/>
  <c r="H56" i="13"/>
  <c r="I56" i="13"/>
  <c r="AA56" i="13"/>
  <c r="AB56" i="13"/>
  <c r="K56" i="13"/>
  <c r="D56" i="13"/>
  <c r="B55" i="13"/>
  <c r="Q56" i="13"/>
  <c r="A56" i="13"/>
  <c r="O56" i="13"/>
  <c r="C55" i="13"/>
  <c r="AA55" i="13"/>
  <c r="H55" i="13"/>
  <c r="B54" i="13"/>
  <c r="K55" i="13"/>
  <c r="L55" i="13"/>
  <c r="M55" i="13"/>
  <c r="A55" i="13"/>
  <c r="AE55" i="13"/>
  <c r="AF55" i="13"/>
  <c r="Z55" i="13"/>
  <c r="AC55" i="13"/>
  <c r="S55" i="13"/>
  <c r="G55" i="13"/>
  <c r="F55" i="13"/>
  <c r="Q55" i="13"/>
  <c r="O55" i="13"/>
  <c r="AB55" i="13"/>
  <c r="D55" i="13"/>
  <c r="W55" i="13"/>
  <c r="X55" i="13"/>
  <c r="C54" i="13"/>
  <c r="M56" i="13"/>
  <c r="I55" i="13"/>
  <c r="AE54" i="13"/>
  <c r="AF54" i="13"/>
  <c r="Z54" i="13"/>
  <c r="AC54" i="13"/>
  <c r="S54" i="13"/>
  <c r="L54" i="13"/>
  <c r="G54" i="13"/>
  <c r="O54" i="13"/>
  <c r="Q54" i="13"/>
  <c r="K54" i="13"/>
  <c r="M54" i="13"/>
  <c r="F54" i="13"/>
  <c r="H54" i="13"/>
  <c r="I54" i="13"/>
  <c r="A54" i="13"/>
  <c r="W54" i="13"/>
  <c r="X54" i="13"/>
  <c r="D54" i="13"/>
  <c r="AB54" i="13"/>
  <c r="AA54" i="13"/>
  <c r="B53" i="13"/>
  <c r="C53" i="13"/>
  <c r="Q53" i="13"/>
  <c r="K53" i="13"/>
  <c r="L53" i="13"/>
  <c r="M53" i="13"/>
  <c r="F53" i="13"/>
  <c r="A53" i="13"/>
  <c r="AB53" i="13"/>
  <c r="W53" i="13"/>
  <c r="X53" i="13"/>
  <c r="O53" i="13"/>
  <c r="D53" i="13"/>
  <c r="B52" i="13"/>
  <c r="AA53" i="13"/>
  <c r="H53" i="13"/>
  <c r="AE53" i="13"/>
  <c r="AF53" i="13"/>
  <c r="G53" i="13"/>
  <c r="Z53" i="13"/>
  <c r="AC53" i="13"/>
  <c r="S53" i="13"/>
  <c r="C52" i="13"/>
  <c r="I53" i="13"/>
  <c r="AB52" i="13"/>
  <c r="W52" i="13"/>
  <c r="X52" i="13"/>
  <c r="O52" i="13"/>
  <c r="D52" i="13"/>
  <c r="Z52" i="13"/>
  <c r="AC52" i="13"/>
  <c r="G52" i="13"/>
  <c r="AA52" i="13"/>
  <c r="H52" i="13"/>
  <c r="B51" i="13"/>
  <c r="AE52" i="13"/>
  <c r="AF52" i="13"/>
  <c r="L52" i="13"/>
  <c r="S52" i="13"/>
  <c r="A52" i="13"/>
  <c r="Q52" i="13"/>
  <c r="K52" i="13"/>
  <c r="M52" i="13"/>
  <c r="F52" i="13"/>
  <c r="C51" i="13"/>
  <c r="I52" i="13"/>
  <c r="AA51" i="13"/>
  <c r="H51" i="13"/>
  <c r="B50" i="13"/>
  <c r="K51" i="13"/>
  <c r="AE51" i="13"/>
  <c r="AF51" i="13"/>
  <c r="Z51" i="13"/>
  <c r="AC51" i="13"/>
  <c r="S51" i="13"/>
  <c r="L51" i="13"/>
  <c r="G51" i="13"/>
  <c r="Q51" i="13"/>
  <c r="A51" i="13"/>
  <c r="F51" i="13"/>
  <c r="I51" i="13"/>
  <c r="AB51" i="13"/>
  <c r="D51" i="13"/>
  <c r="W51" i="13"/>
  <c r="X51" i="13"/>
  <c r="O51" i="13"/>
  <c r="C50" i="13"/>
  <c r="AE50" i="13"/>
  <c r="AF50" i="13"/>
  <c r="Z50" i="13"/>
  <c r="AC50" i="13"/>
  <c r="S50" i="13"/>
  <c r="L50" i="13"/>
  <c r="G50" i="13"/>
  <c r="W50" i="13"/>
  <c r="X50" i="13"/>
  <c r="D50" i="13"/>
  <c r="Q50" i="13"/>
  <c r="K50" i="13"/>
  <c r="M50" i="13"/>
  <c r="F50" i="13"/>
  <c r="A50" i="13"/>
  <c r="AB50" i="13"/>
  <c r="O50" i="13"/>
  <c r="B49" i="13"/>
  <c r="H50" i="13"/>
  <c r="AA50" i="13"/>
  <c r="C49" i="13"/>
  <c r="M51" i="13"/>
  <c r="Q49" i="13"/>
  <c r="K49" i="13"/>
  <c r="L49" i="13"/>
  <c r="M49" i="13"/>
  <c r="F49" i="13"/>
  <c r="A49" i="13"/>
  <c r="AB49" i="13"/>
  <c r="W49" i="13"/>
  <c r="X49" i="13"/>
  <c r="O49" i="13"/>
  <c r="D49" i="13"/>
  <c r="H49" i="13"/>
  <c r="B48" i="13"/>
  <c r="AA49" i="13"/>
  <c r="AE49" i="13"/>
  <c r="AF49" i="13"/>
  <c r="G49" i="13"/>
  <c r="Z49" i="13"/>
  <c r="AC49" i="13"/>
  <c r="S49" i="13"/>
  <c r="C48" i="13"/>
  <c r="I50" i="13"/>
  <c r="I49" i="13"/>
  <c r="AB48" i="13"/>
  <c r="W48" i="13"/>
  <c r="X48" i="13"/>
  <c r="O48" i="13"/>
  <c r="D48" i="13"/>
  <c r="AE48" i="13"/>
  <c r="AF48" i="13"/>
  <c r="L48" i="13"/>
  <c r="AA48" i="13"/>
  <c r="H48" i="13"/>
  <c r="B47" i="13"/>
  <c r="Z48" i="13"/>
  <c r="AC48" i="13"/>
  <c r="S48" i="13"/>
  <c r="G48" i="13"/>
  <c r="Q48" i="13"/>
  <c r="K48" i="13"/>
  <c r="M48" i="13"/>
  <c r="F48" i="13"/>
  <c r="A48" i="13"/>
  <c r="C47" i="13"/>
  <c r="I48" i="13"/>
  <c r="AA47" i="13"/>
  <c r="H47" i="13"/>
  <c r="B46" i="13"/>
  <c r="K47" i="13"/>
  <c r="AE47" i="13"/>
  <c r="AF47" i="13"/>
  <c r="Z47" i="13"/>
  <c r="AC47" i="13"/>
  <c r="S47" i="13"/>
  <c r="L47" i="13"/>
  <c r="G47" i="13"/>
  <c r="Q47" i="13"/>
  <c r="A47" i="13"/>
  <c r="F47" i="13"/>
  <c r="I47" i="13"/>
  <c r="AB47" i="13"/>
  <c r="D47" i="13"/>
  <c r="W47" i="13"/>
  <c r="X47" i="13"/>
  <c r="O47" i="13"/>
  <c r="C46" i="13"/>
  <c r="AE46" i="13"/>
  <c r="AF46" i="13"/>
  <c r="Z46" i="13"/>
  <c r="AC46" i="13"/>
  <c r="S46" i="13"/>
  <c r="L46" i="13"/>
  <c r="G46" i="13"/>
  <c r="W46" i="13"/>
  <c r="X46" i="13"/>
  <c r="Q46" i="13"/>
  <c r="K46" i="13"/>
  <c r="M46" i="13"/>
  <c r="F46" i="13"/>
  <c r="H46" i="13"/>
  <c r="I46" i="13"/>
  <c r="A46" i="13"/>
  <c r="AB46" i="13"/>
  <c r="O46" i="13"/>
  <c r="D46" i="13"/>
  <c r="B45" i="13"/>
  <c r="AA46" i="13"/>
  <c r="C45" i="13"/>
  <c r="M47" i="13"/>
  <c r="Q45" i="13"/>
  <c r="K45" i="13"/>
  <c r="F45" i="13"/>
  <c r="A45" i="13"/>
  <c r="B44" i="13"/>
  <c r="AB45" i="13"/>
  <c r="W45" i="13"/>
  <c r="X45" i="13"/>
  <c r="O45" i="13"/>
  <c r="D45" i="13"/>
  <c r="AA45" i="13"/>
  <c r="H45" i="13"/>
  <c r="Z45" i="13"/>
  <c r="AC45" i="13"/>
  <c r="AE45" i="13"/>
  <c r="AF45" i="13"/>
  <c r="S45" i="13"/>
  <c r="L45" i="13"/>
  <c r="G45" i="13"/>
  <c r="C44" i="13"/>
  <c r="I45" i="13"/>
  <c r="M45" i="13"/>
  <c r="AB44" i="13"/>
  <c r="W44" i="13"/>
  <c r="X44" i="13"/>
  <c r="O44" i="13"/>
  <c r="D44" i="13"/>
  <c r="AE44" i="13"/>
  <c r="AF44" i="13"/>
  <c r="S44" i="13"/>
  <c r="AA44" i="13"/>
  <c r="H44" i="13"/>
  <c r="B43" i="13"/>
  <c r="L44" i="13"/>
  <c r="Z44" i="13"/>
  <c r="AC44" i="13"/>
  <c r="G44" i="13"/>
  <c r="K44" i="13"/>
  <c r="Q44" i="13"/>
  <c r="F44" i="13"/>
  <c r="A44" i="13"/>
  <c r="C43" i="13"/>
  <c r="AA43" i="13"/>
  <c r="H43" i="13"/>
  <c r="B42" i="13"/>
  <c r="Q43" i="13"/>
  <c r="AE43" i="13"/>
  <c r="AF43" i="13"/>
  <c r="Z43" i="13"/>
  <c r="AC43" i="13"/>
  <c r="S43" i="13"/>
  <c r="L43" i="13"/>
  <c r="G43" i="13"/>
  <c r="K43" i="13"/>
  <c r="M43" i="13"/>
  <c r="A43" i="13"/>
  <c r="F43" i="13"/>
  <c r="I43" i="13"/>
  <c r="W43" i="13"/>
  <c r="X43" i="13"/>
  <c r="D43" i="13"/>
  <c r="O43" i="13"/>
  <c r="AB43" i="13"/>
  <c r="C42" i="13"/>
  <c r="M44" i="13"/>
  <c r="I44" i="13"/>
  <c r="AE42" i="13"/>
  <c r="AF42" i="13"/>
  <c r="Z42" i="13"/>
  <c r="AC42" i="13"/>
  <c r="S42" i="13"/>
  <c r="L42" i="13"/>
  <c r="G42" i="13"/>
  <c r="AB42" i="13"/>
  <c r="Q42" i="13"/>
  <c r="K42" i="13"/>
  <c r="M42" i="13"/>
  <c r="F42" i="13"/>
  <c r="H42" i="13"/>
  <c r="I42" i="13"/>
  <c r="A42" i="13"/>
  <c r="W42" i="13"/>
  <c r="X42" i="13"/>
  <c r="D42" i="13"/>
  <c r="O42" i="13"/>
  <c r="B41" i="13"/>
  <c r="AA42" i="13"/>
  <c r="C41" i="13"/>
  <c r="Q41" i="13"/>
  <c r="K41" i="13"/>
  <c r="F41" i="13"/>
  <c r="A41" i="13"/>
  <c r="B40" i="13"/>
  <c r="AB41" i="13"/>
  <c r="W41" i="13"/>
  <c r="X41" i="13"/>
  <c r="O41" i="13"/>
  <c r="D41" i="13"/>
  <c r="AA41" i="13"/>
  <c r="H41" i="13"/>
  <c r="S41" i="13"/>
  <c r="Z41" i="13"/>
  <c r="AC41" i="13"/>
  <c r="L41" i="13"/>
  <c r="AE41" i="13"/>
  <c r="AF41" i="13"/>
  <c r="G41" i="13"/>
  <c r="C40" i="13"/>
  <c r="I41" i="13"/>
  <c r="M41" i="13"/>
  <c r="AB40" i="13"/>
  <c r="W40" i="13"/>
  <c r="X40" i="13"/>
  <c r="O40" i="13"/>
  <c r="D40" i="13"/>
  <c r="S40" i="13"/>
  <c r="AA40" i="13"/>
  <c r="H40" i="13"/>
  <c r="B39" i="13"/>
  <c r="Z40" i="13"/>
  <c r="AC40" i="13"/>
  <c r="G40" i="13"/>
  <c r="AE40" i="13"/>
  <c r="AF40" i="13"/>
  <c r="L40" i="13"/>
  <c r="F40" i="13"/>
  <c r="I40" i="13"/>
  <c r="A40" i="13"/>
  <c r="Q40" i="13"/>
  <c r="K40" i="13"/>
  <c r="M40" i="13"/>
  <c r="C39" i="13"/>
  <c r="AA39" i="13"/>
  <c r="H39" i="13"/>
  <c r="B38" i="13"/>
  <c r="Q39" i="13"/>
  <c r="A39" i="13"/>
  <c r="AE39" i="13"/>
  <c r="AF39" i="13"/>
  <c r="Z39" i="13"/>
  <c r="AC39" i="13"/>
  <c r="S39" i="13"/>
  <c r="L39" i="13"/>
  <c r="G39" i="13"/>
  <c r="F39" i="13"/>
  <c r="K39" i="13"/>
  <c r="M39" i="13"/>
  <c r="O39" i="13"/>
  <c r="W39" i="13"/>
  <c r="X39" i="13"/>
  <c r="AB39" i="13"/>
  <c r="D39" i="13"/>
  <c r="C38" i="13"/>
  <c r="I39" i="13"/>
  <c r="AE38" i="13"/>
  <c r="AF38" i="13"/>
  <c r="Z38" i="13"/>
  <c r="AC38" i="13"/>
  <c r="S38" i="13"/>
  <c r="L38" i="13"/>
  <c r="G38" i="13"/>
  <c r="O38" i="13"/>
  <c r="Q38" i="13"/>
  <c r="K38" i="13"/>
  <c r="M38" i="13"/>
  <c r="F38" i="13"/>
  <c r="H38" i="13"/>
  <c r="I38" i="13"/>
  <c r="A38" i="13"/>
  <c r="W38" i="13"/>
  <c r="X38" i="13"/>
  <c r="AB38" i="13"/>
  <c r="D38" i="13"/>
  <c r="AA38" i="13"/>
  <c r="B37" i="13"/>
  <c r="C37" i="13"/>
  <c r="Q37" i="13"/>
  <c r="K37" i="13"/>
  <c r="F37" i="13"/>
  <c r="A37" i="13"/>
  <c r="H37" i="13"/>
  <c r="AB37" i="13"/>
  <c r="W37" i="13"/>
  <c r="X37" i="13"/>
  <c r="O37" i="13"/>
  <c r="D37" i="13"/>
  <c r="B36" i="13"/>
  <c r="AA37" i="13"/>
  <c r="L37" i="13"/>
  <c r="AE37" i="13"/>
  <c r="AF37" i="13"/>
  <c r="G37" i="13"/>
  <c r="Z37" i="13"/>
  <c r="AC37" i="13"/>
  <c r="S37" i="13"/>
  <c r="C36" i="13"/>
  <c r="AB36" i="13"/>
  <c r="W36" i="13"/>
  <c r="X36" i="13"/>
  <c r="O36" i="13"/>
  <c r="D36" i="13"/>
  <c r="Z36" i="13"/>
  <c r="AC36" i="13"/>
  <c r="L36" i="13"/>
  <c r="AA36" i="13"/>
  <c r="H36" i="13"/>
  <c r="B35" i="13"/>
  <c r="S36" i="13"/>
  <c r="AE36" i="13"/>
  <c r="AF36" i="13"/>
  <c r="G36" i="13"/>
  <c r="A36" i="13"/>
  <c r="Q36" i="13"/>
  <c r="K36" i="13"/>
  <c r="M36" i="13"/>
  <c r="F36" i="13"/>
  <c r="I36" i="13"/>
  <c r="C35" i="13"/>
  <c r="I37" i="13"/>
  <c r="M37" i="13"/>
  <c r="AA35" i="13"/>
  <c r="H35" i="13"/>
  <c r="B34" i="13"/>
  <c r="K35" i="13"/>
  <c r="AE35" i="13"/>
  <c r="AF35" i="13"/>
  <c r="Z35" i="13"/>
  <c r="AC35" i="13"/>
  <c r="S35" i="13"/>
  <c r="L35" i="13"/>
  <c r="G35" i="13"/>
  <c r="Q35" i="13"/>
  <c r="A35" i="13"/>
  <c r="F35" i="13"/>
  <c r="I35" i="13"/>
  <c r="O35" i="13"/>
  <c r="AB35" i="13"/>
  <c r="D35" i="13"/>
  <c r="W35" i="13"/>
  <c r="X35" i="13"/>
  <c r="C34" i="13"/>
  <c r="M35" i="13"/>
  <c r="AE34" i="13"/>
  <c r="AF34" i="13"/>
  <c r="Z34" i="13"/>
  <c r="AC34" i="13"/>
  <c r="S34" i="13"/>
  <c r="L34" i="13"/>
  <c r="G34" i="13"/>
  <c r="W34" i="13"/>
  <c r="X34" i="13"/>
  <c r="D34" i="13"/>
  <c r="Q34" i="13"/>
  <c r="K34" i="13"/>
  <c r="M34" i="13"/>
  <c r="F34" i="13"/>
  <c r="A34" i="13"/>
  <c r="AB34" i="13"/>
  <c r="O34" i="13"/>
  <c r="B33" i="13"/>
  <c r="H34" i="13"/>
  <c r="AA34" i="13"/>
  <c r="C33" i="13"/>
  <c r="I34" i="13"/>
  <c r="Q33" i="13"/>
  <c r="K33" i="13"/>
  <c r="L33" i="13"/>
  <c r="M33" i="13"/>
  <c r="F33" i="13"/>
  <c r="A33" i="13"/>
  <c r="AB33" i="13"/>
  <c r="W33" i="13"/>
  <c r="X33" i="13"/>
  <c r="O33" i="13"/>
  <c r="D33" i="13"/>
  <c r="AA33" i="13"/>
  <c r="H33" i="13"/>
  <c r="B32" i="13"/>
  <c r="AE33" i="13"/>
  <c r="AF33" i="13"/>
  <c r="G33" i="13"/>
  <c r="Z33" i="13"/>
  <c r="AC33" i="13"/>
  <c r="S33" i="13"/>
  <c r="C32" i="13"/>
  <c r="I33" i="13"/>
  <c r="AB32" i="13"/>
  <c r="W32" i="13"/>
  <c r="X32" i="13"/>
  <c r="O32" i="13"/>
  <c r="D32" i="13"/>
  <c r="AE32" i="13"/>
  <c r="AF32" i="13"/>
  <c r="L32" i="13"/>
  <c r="AA32" i="13"/>
  <c r="H32" i="13"/>
  <c r="B31" i="13"/>
  <c r="Z32" i="13"/>
  <c r="AC32" i="13"/>
  <c r="G32" i="13"/>
  <c r="S32" i="13"/>
  <c r="Q32" i="13"/>
  <c r="K32" i="13"/>
  <c r="M32" i="13"/>
  <c r="F32" i="13"/>
  <c r="I32" i="13"/>
  <c r="A32" i="13"/>
  <c r="C31" i="13"/>
  <c r="AA31" i="13"/>
  <c r="H31" i="13"/>
  <c r="B30" i="13"/>
  <c r="AE31" i="13"/>
  <c r="AF31" i="13"/>
  <c r="Z31" i="13"/>
  <c r="AC31" i="13"/>
  <c r="S31" i="13"/>
  <c r="L31" i="13"/>
  <c r="G31" i="13"/>
  <c r="AB31" i="13"/>
  <c r="O31" i="13"/>
  <c r="D31" i="13"/>
  <c r="Q31" i="13"/>
  <c r="K31" i="13"/>
  <c r="M31" i="13"/>
  <c r="A31" i="13"/>
  <c r="W31" i="13"/>
  <c r="X31" i="13"/>
  <c r="F31" i="13"/>
  <c r="C30" i="13"/>
  <c r="I31" i="13"/>
  <c r="AE30" i="13"/>
  <c r="AF30" i="13"/>
  <c r="Z30" i="13"/>
  <c r="AC30" i="13"/>
  <c r="S30" i="13"/>
  <c r="L30" i="13"/>
  <c r="G30" i="13"/>
  <c r="Q30" i="13"/>
  <c r="K30" i="13"/>
  <c r="M30" i="13"/>
  <c r="F30" i="13"/>
  <c r="H30" i="13"/>
  <c r="I30" i="13"/>
  <c r="A30" i="13"/>
  <c r="AA30" i="13"/>
  <c r="B29" i="13"/>
  <c r="AB30" i="13"/>
  <c r="D30" i="13"/>
  <c r="W30" i="13"/>
  <c r="X30" i="13"/>
  <c r="O30" i="13"/>
  <c r="C29" i="13"/>
  <c r="Q29" i="13"/>
  <c r="K29" i="13"/>
  <c r="F29" i="13"/>
  <c r="A29" i="13"/>
  <c r="AB29" i="13"/>
  <c r="W29" i="13"/>
  <c r="X29" i="13"/>
  <c r="O29" i="13"/>
  <c r="D29" i="13"/>
  <c r="Z29" i="13"/>
  <c r="AC29" i="13"/>
  <c r="L29" i="13"/>
  <c r="B28" i="13"/>
  <c r="H29" i="13"/>
  <c r="AA29" i="13"/>
  <c r="AE29" i="13"/>
  <c r="AF29" i="13"/>
  <c r="S29" i="13"/>
  <c r="G29" i="13"/>
  <c r="C28" i="13"/>
  <c r="I29" i="13"/>
  <c r="M29" i="13"/>
  <c r="AB28" i="13"/>
  <c r="W28" i="13"/>
  <c r="X28" i="13"/>
  <c r="O28" i="13"/>
  <c r="D28" i="13"/>
  <c r="AA28" i="13"/>
  <c r="H28" i="13"/>
  <c r="B27" i="13"/>
  <c r="K28" i="13"/>
  <c r="A28" i="13"/>
  <c r="Z28" i="13"/>
  <c r="AC28" i="13"/>
  <c r="AE28" i="13"/>
  <c r="AF28" i="13"/>
  <c r="S28" i="13"/>
  <c r="G28" i="13"/>
  <c r="Q28" i="13"/>
  <c r="F28" i="13"/>
  <c r="I28" i="13"/>
  <c r="L28" i="13"/>
  <c r="C27" i="13"/>
  <c r="AA27" i="13"/>
  <c r="H27" i="13"/>
  <c r="B26" i="13"/>
  <c r="AE27" i="13"/>
  <c r="AF27" i="13"/>
  <c r="Z27" i="13"/>
  <c r="AC27" i="13"/>
  <c r="S27" i="13"/>
  <c r="L27" i="13"/>
  <c r="G27" i="13"/>
  <c r="W27" i="13"/>
  <c r="X27" i="13"/>
  <c r="A27" i="13"/>
  <c r="Q27" i="13"/>
  <c r="F27" i="13"/>
  <c r="K27" i="13"/>
  <c r="M27" i="13"/>
  <c r="AB27" i="13"/>
  <c r="O27" i="13"/>
  <c r="D27" i="13"/>
  <c r="C26" i="13"/>
  <c r="M28" i="13"/>
  <c r="I27" i="13"/>
  <c r="AE26" i="13"/>
  <c r="AF26" i="13"/>
  <c r="Z26" i="13"/>
  <c r="AC26" i="13"/>
  <c r="S26" i="13"/>
  <c r="L26" i="13"/>
  <c r="G26" i="13"/>
  <c r="Q26" i="13"/>
  <c r="K26" i="13"/>
  <c r="M26" i="13"/>
  <c r="F26" i="13"/>
  <c r="H26" i="13"/>
  <c r="I26" i="13"/>
  <c r="A26" i="13"/>
  <c r="AB26" i="13"/>
  <c r="O26" i="13"/>
  <c r="D26" i="13"/>
  <c r="AA26" i="13"/>
  <c r="B25" i="13"/>
  <c r="W26" i="13"/>
  <c r="X26" i="13"/>
  <c r="C25" i="13"/>
  <c r="Q25" i="13"/>
  <c r="K25" i="13"/>
  <c r="F25" i="13"/>
  <c r="A25" i="13"/>
  <c r="AB25" i="13"/>
  <c r="W25" i="13"/>
  <c r="X25" i="13"/>
  <c r="O25" i="13"/>
  <c r="D25" i="13"/>
  <c r="AE25" i="13"/>
  <c r="AF25" i="13"/>
  <c r="S25" i="13"/>
  <c r="G25" i="13"/>
  <c r="H25" i="13"/>
  <c r="AA25" i="13"/>
  <c r="B24" i="13"/>
  <c r="Z25" i="13"/>
  <c r="AC25" i="13"/>
  <c r="L25" i="13"/>
  <c r="C24" i="13"/>
  <c r="I25" i="13"/>
  <c r="M25" i="13"/>
  <c r="AB24" i="13"/>
  <c r="W24" i="13"/>
  <c r="X24" i="13"/>
  <c r="O24" i="13"/>
  <c r="D24" i="13"/>
  <c r="AA24" i="13"/>
  <c r="H24" i="13"/>
  <c r="B23" i="13"/>
  <c r="Q24" i="13"/>
  <c r="F24" i="13"/>
  <c r="G24" i="13"/>
  <c r="Z24" i="13"/>
  <c r="AC24" i="13"/>
  <c r="L24" i="13"/>
  <c r="S24" i="13"/>
  <c r="K24" i="13"/>
  <c r="M24" i="13"/>
  <c r="A24" i="13"/>
  <c r="AE24" i="13"/>
  <c r="AF24" i="13"/>
  <c r="C23" i="13"/>
  <c r="I24" i="13"/>
  <c r="AA23" i="13"/>
  <c r="H23" i="13"/>
  <c r="B22" i="13"/>
  <c r="AE23" i="13"/>
  <c r="AF23" i="13"/>
  <c r="Z23" i="13"/>
  <c r="AC23" i="13"/>
  <c r="S23" i="13"/>
  <c r="L23" i="13"/>
  <c r="G23" i="13"/>
  <c r="AB23" i="13"/>
  <c r="O23" i="13"/>
  <c r="D23" i="13"/>
  <c r="F23" i="13"/>
  <c r="K23" i="13"/>
  <c r="M23" i="13"/>
  <c r="A23" i="13"/>
  <c r="Q23" i="13"/>
  <c r="W23" i="13"/>
  <c r="X23" i="13"/>
  <c r="C22" i="13"/>
  <c r="I23" i="13"/>
  <c r="AE22" i="13"/>
  <c r="AF22" i="13"/>
  <c r="Z22" i="13"/>
  <c r="AC22" i="13"/>
  <c r="S22" i="13"/>
  <c r="L22" i="13"/>
  <c r="G22" i="13"/>
  <c r="Q22" i="13"/>
  <c r="K22" i="13"/>
  <c r="M22" i="13"/>
  <c r="F22" i="13"/>
  <c r="A22" i="13"/>
  <c r="AA22" i="13"/>
  <c r="B21" i="13"/>
  <c r="D22" i="13"/>
  <c r="W22" i="13"/>
  <c r="X22" i="13"/>
  <c r="O22" i="13"/>
  <c r="H22" i="13"/>
  <c r="AB22" i="13"/>
  <c r="C21" i="13"/>
  <c r="Q21" i="13"/>
  <c r="K21" i="13"/>
  <c r="F21" i="13"/>
  <c r="A21" i="13"/>
  <c r="AB21" i="13"/>
  <c r="W21" i="13"/>
  <c r="X21" i="13"/>
  <c r="O21" i="13"/>
  <c r="D21" i="13"/>
  <c r="Z21" i="13"/>
  <c r="AC21" i="13"/>
  <c r="L21" i="13"/>
  <c r="B20" i="13"/>
  <c r="H21" i="13"/>
  <c r="AE21" i="13"/>
  <c r="AF21" i="13"/>
  <c r="S21" i="13"/>
  <c r="G21" i="13"/>
  <c r="AA21" i="13"/>
  <c r="C20" i="13"/>
  <c r="I22" i="13"/>
  <c r="I21" i="13"/>
  <c r="M21" i="13"/>
  <c r="AB20" i="13"/>
  <c r="W20" i="13"/>
  <c r="X20" i="13"/>
  <c r="O20" i="13"/>
  <c r="D20" i="13"/>
  <c r="AA20" i="13"/>
  <c r="H20" i="13"/>
  <c r="B19" i="13"/>
  <c r="K20" i="13"/>
  <c r="L20" i="13"/>
  <c r="M20" i="13"/>
  <c r="A20" i="13"/>
  <c r="AE20" i="13"/>
  <c r="AF20" i="13"/>
  <c r="S20" i="13"/>
  <c r="G20" i="13"/>
  <c r="Q20" i="13"/>
  <c r="F20" i="13"/>
  <c r="Z20" i="13"/>
  <c r="AC20" i="13"/>
  <c r="C19" i="13"/>
  <c r="AA19" i="13"/>
  <c r="H19" i="13"/>
  <c r="B18" i="13"/>
  <c r="AE19" i="13"/>
  <c r="AF19" i="13"/>
  <c r="Z19" i="13"/>
  <c r="AC19" i="13"/>
  <c r="S19" i="13"/>
  <c r="L19" i="13"/>
  <c r="G19" i="13"/>
  <c r="W19" i="13"/>
  <c r="X19" i="13"/>
  <c r="K19" i="13"/>
  <c r="M19" i="13"/>
  <c r="Q19" i="13"/>
  <c r="F19" i="13"/>
  <c r="A19" i="13"/>
  <c r="AB19" i="13"/>
  <c r="O19" i="13"/>
  <c r="D19" i="13"/>
  <c r="C18" i="13"/>
  <c r="I20" i="13"/>
  <c r="I19" i="13"/>
  <c r="AE18" i="13"/>
  <c r="AF18" i="13"/>
  <c r="Z18" i="13"/>
  <c r="AC18" i="13"/>
  <c r="S18" i="13"/>
  <c r="L18" i="13"/>
  <c r="G18" i="13"/>
  <c r="Q18" i="13"/>
  <c r="K18" i="13"/>
  <c r="M18" i="13"/>
  <c r="F18" i="13"/>
  <c r="A18" i="13"/>
  <c r="H18" i="13"/>
  <c r="AB18" i="13"/>
  <c r="O18" i="13"/>
  <c r="D18" i="13"/>
  <c r="AA18" i="13"/>
  <c r="B17" i="13"/>
  <c r="W18" i="13"/>
  <c r="X18" i="13"/>
  <c r="C17" i="13"/>
  <c r="Q17" i="13"/>
  <c r="K17" i="13"/>
  <c r="L17" i="13"/>
  <c r="M17" i="13"/>
  <c r="F17" i="13"/>
  <c r="A17" i="13"/>
  <c r="AB17" i="13"/>
  <c r="W17" i="13"/>
  <c r="X17" i="13"/>
  <c r="O17" i="13"/>
  <c r="D17" i="13"/>
  <c r="AE17" i="13"/>
  <c r="AF17" i="13"/>
  <c r="S17" i="13"/>
  <c r="G17" i="13"/>
  <c r="AA17" i="13"/>
  <c r="B16" i="13"/>
  <c r="H17" i="13"/>
  <c r="Z17" i="13"/>
  <c r="AC17" i="13"/>
  <c r="C16" i="13"/>
  <c r="I18" i="13"/>
  <c r="I17" i="13"/>
  <c r="AB16" i="13"/>
  <c r="W16" i="13"/>
  <c r="X16" i="13"/>
  <c r="O16" i="13"/>
  <c r="D16" i="13"/>
  <c r="AA16" i="13"/>
  <c r="H16" i="13"/>
  <c r="B15" i="13"/>
  <c r="Q16" i="13"/>
  <c r="F16" i="13"/>
  <c r="AE16" i="13"/>
  <c r="AF16" i="13"/>
  <c r="Z16" i="13"/>
  <c r="AC16" i="13"/>
  <c r="L16" i="13"/>
  <c r="G16" i="13"/>
  <c r="K16" i="13"/>
  <c r="M16" i="13"/>
  <c r="A16" i="13"/>
  <c r="S16" i="13"/>
  <c r="C15" i="13"/>
  <c r="AA15" i="13"/>
  <c r="H15" i="13"/>
  <c r="B14" i="13"/>
  <c r="AE15" i="13"/>
  <c r="AF15" i="13"/>
  <c r="Z15" i="13"/>
  <c r="AC15" i="13"/>
  <c r="S15" i="13"/>
  <c r="L15" i="13"/>
  <c r="G15" i="13"/>
  <c r="AB15" i="13"/>
  <c r="O15" i="13"/>
  <c r="D15" i="13"/>
  <c r="Q15" i="13"/>
  <c r="K15" i="13"/>
  <c r="M15" i="13"/>
  <c r="A15" i="13"/>
  <c r="F15" i="13"/>
  <c r="W15" i="13"/>
  <c r="X15" i="13"/>
  <c r="C14" i="13"/>
  <c r="I16" i="13"/>
  <c r="I15" i="13"/>
  <c r="AE14" i="13"/>
  <c r="AF14" i="13"/>
  <c r="Z14" i="13"/>
  <c r="AC14" i="13"/>
  <c r="S14" i="13"/>
  <c r="L14" i="13"/>
  <c r="G14" i="13"/>
  <c r="Q14" i="13"/>
  <c r="K14" i="13"/>
  <c r="M14" i="13"/>
  <c r="F14" i="13"/>
  <c r="A14" i="13"/>
  <c r="AA14" i="13"/>
  <c r="B13" i="13"/>
  <c r="AB14" i="13"/>
  <c r="W14" i="13"/>
  <c r="X14" i="13"/>
  <c r="D14" i="13"/>
  <c r="H14" i="13"/>
  <c r="O14" i="13"/>
  <c r="C13" i="13"/>
  <c r="Q13" i="13"/>
  <c r="K13" i="13"/>
  <c r="F13" i="13"/>
  <c r="A13" i="13"/>
  <c r="AB13" i="13"/>
  <c r="W13" i="13"/>
  <c r="X13" i="13"/>
  <c r="O13" i="13"/>
  <c r="D13" i="13"/>
  <c r="Z13" i="13"/>
  <c r="AC13" i="13"/>
  <c r="L13" i="13"/>
  <c r="AA13" i="13"/>
  <c r="H13" i="13"/>
  <c r="AE13" i="13"/>
  <c r="AF13" i="13"/>
  <c r="S13" i="13"/>
  <c r="G13" i="13"/>
  <c r="B12" i="13"/>
  <c r="C12" i="13"/>
  <c r="I14" i="13"/>
  <c r="I13" i="13"/>
  <c r="M13" i="13"/>
  <c r="AB12" i="13"/>
  <c r="W12" i="13"/>
  <c r="X12" i="13"/>
  <c r="O12" i="13"/>
  <c r="D12" i="13"/>
  <c r="AA12" i="13"/>
  <c r="H12" i="13"/>
  <c r="B11" i="13"/>
  <c r="K12" i="13"/>
  <c r="A12" i="13"/>
  <c r="L12" i="13"/>
  <c r="AE12" i="13"/>
  <c r="AF12" i="13"/>
  <c r="S12" i="13"/>
  <c r="G12" i="13"/>
  <c r="Z12" i="13"/>
  <c r="AC12" i="13"/>
  <c r="Q12" i="13"/>
  <c r="F12" i="13"/>
  <c r="I12" i="13"/>
  <c r="C11" i="13"/>
  <c r="M12" i="13"/>
  <c r="AA11" i="13"/>
  <c r="H11" i="13"/>
  <c r="B10" i="13"/>
  <c r="AE11" i="13"/>
  <c r="AF11" i="13"/>
  <c r="Z11" i="13"/>
  <c r="AC11" i="13"/>
  <c r="S11" i="13"/>
  <c r="L11" i="13"/>
  <c r="G11" i="13"/>
  <c r="W11" i="13"/>
  <c r="X11" i="13"/>
  <c r="K11" i="13"/>
  <c r="M11" i="13"/>
  <c r="Q11" i="13"/>
  <c r="F11" i="13"/>
  <c r="AB11" i="13"/>
  <c r="O11" i="13"/>
  <c r="D11" i="13"/>
  <c r="A11" i="13"/>
  <c r="C10" i="13"/>
  <c r="I11" i="13"/>
  <c r="AE10" i="13"/>
  <c r="AF10" i="13"/>
  <c r="Z10" i="13"/>
  <c r="AC10" i="13"/>
  <c r="S10" i="13"/>
  <c r="L10" i="13"/>
  <c r="G10" i="13"/>
  <c r="Q10" i="13"/>
  <c r="K10" i="13"/>
  <c r="M10" i="13"/>
  <c r="F10" i="13"/>
  <c r="H10" i="13"/>
  <c r="I10" i="13"/>
  <c r="A10" i="13"/>
  <c r="AB10" i="13"/>
  <c r="O10" i="13"/>
  <c r="D10" i="13"/>
  <c r="W10" i="13"/>
  <c r="X10" i="13"/>
  <c r="AA10" i="13"/>
  <c r="B9" i="13"/>
  <c r="C9" i="13"/>
  <c r="Q9" i="13"/>
  <c r="K9" i="13"/>
  <c r="F9" i="13"/>
  <c r="A9" i="13"/>
  <c r="AB9" i="13"/>
  <c r="W9" i="13"/>
  <c r="X9" i="13"/>
  <c r="O9" i="13"/>
  <c r="D9" i="13"/>
  <c r="AE9" i="13"/>
  <c r="AF9" i="13"/>
  <c r="S9" i="13"/>
  <c r="G9" i="13"/>
  <c r="H9" i="13"/>
  <c r="AA9" i="13"/>
  <c r="B8" i="13"/>
  <c r="Z9" i="13"/>
  <c r="AC9" i="13"/>
  <c r="L9" i="13"/>
  <c r="C8" i="13"/>
  <c r="I9" i="13"/>
  <c r="M9" i="13"/>
  <c r="AB8" i="13"/>
  <c r="W8" i="13"/>
  <c r="X8" i="13"/>
  <c r="O8" i="13"/>
  <c r="D8" i="13"/>
  <c r="AA8" i="13"/>
  <c r="H8" i="13"/>
  <c r="B7" i="13"/>
  <c r="Q8" i="13"/>
  <c r="F8" i="13"/>
  <c r="S8" i="13"/>
  <c r="Z8" i="13"/>
  <c r="AC8" i="13"/>
  <c r="L8" i="13"/>
  <c r="K8" i="13"/>
  <c r="M8" i="13"/>
  <c r="A8" i="13"/>
  <c r="AE8" i="13"/>
  <c r="AF8" i="13"/>
  <c r="G8" i="13"/>
  <c r="C7" i="13"/>
  <c r="I8" i="13"/>
  <c r="AA7" i="13"/>
  <c r="H7" i="13"/>
  <c r="B6" i="13"/>
  <c r="AE7" i="13"/>
  <c r="AF7" i="13"/>
  <c r="Z7" i="13"/>
  <c r="AC7" i="13"/>
  <c r="S7" i="13"/>
  <c r="L7" i="13"/>
  <c r="G7" i="13"/>
  <c r="AB7" i="13"/>
  <c r="O7" i="13"/>
  <c r="D7" i="13"/>
  <c r="K7" i="13"/>
  <c r="M7" i="13"/>
  <c r="A7" i="13"/>
  <c r="Q7" i="13"/>
  <c r="W7" i="13"/>
  <c r="X7" i="13"/>
  <c r="F7" i="13"/>
  <c r="C6" i="13"/>
  <c r="I7" i="13"/>
  <c r="AE6" i="13"/>
  <c r="AF6" i="13"/>
  <c r="Z6" i="13"/>
  <c r="AC6" i="13"/>
  <c r="S6" i="13"/>
  <c r="L6" i="13"/>
  <c r="G6" i="13"/>
  <c r="Q6" i="13"/>
  <c r="K6" i="13"/>
  <c r="M6" i="13"/>
  <c r="F6" i="13"/>
  <c r="H6" i="13"/>
  <c r="I6" i="13"/>
  <c r="A6" i="13"/>
  <c r="AA6" i="13"/>
  <c r="B5" i="13"/>
  <c r="AB6" i="13"/>
  <c r="D6" i="13"/>
  <c r="W6" i="13"/>
  <c r="X6" i="13"/>
  <c r="O6" i="13"/>
  <c r="C5" i="13"/>
  <c r="Q5" i="13"/>
  <c r="K5" i="13"/>
  <c r="F5" i="13"/>
  <c r="A5" i="13"/>
  <c r="AB5" i="13"/>
  <c r="W5" i="13"/>
  <c r="X5" i="13"/>
  <c r="O5" i="13"/>
  <c r="D5" i="13"/>
  <c r="Z5" i="13"/>
  <c r="AC5" i="13"/>
  <c r="L5" i="13"/>
  <c r="B4" i="13"/>
  <c r="AA5" i="13"/>
  <c r="H5" i="13"/>
  <c r="AE5" i="13"/>
  <c r="AF5" i="13"/>
  <c r="S5" i="13"/>
  <c r="G5" i="13"/>
  <c r="C4" i="13"/>
  <c r="I5" i="13"/>
  <c r="AB4" i="13"/>
  <c r="W4" i="13"/>
  <c r="X4" i="13"/>
  <c r="O4" i="13"/>
  <c r="D4" i="13"/>
  <c r="B3" i="13"/>
  <c r="E17" i="7"/>
  <c r="AA4" i="13"/>
  <c r="H4" i="13"/>
  <c r="L4" i="13"/>
  <c r="F4" i="13"/>
  <c r="AE4" i="13"/>
  <c r="AF4" i="13"/>
  <c r="K4" i="13"/>
  <c r="M4" i="13"/>
  <c r="A4" i="13"/>
  <c r="Z4" i="13"/>
  <c r="AC4" i="13"/>
  <c r="S4" i="13"/>
  <c r="G4" i="13"/>
  <c r="Q4" i="13"/>
  <c r="C3" i="13"/>
  <c r="M5" i="13"/>
  <c r="I4" i="13"/>
  <c r="AA3" i="13"/>
  <c r="S3" i="13"/>
  <c r="L3" i="13"/>
  <c r="G3" i="13"/>
  <c r="AE3" i="13"/>
  <c r="AF3" i="13"/>
  <c r="Z3" i="13"/>
  <c r="AC3" i="13"/>
  <c r="Q3" i="13"/>
  <c r="K3" i="13"/>
  <c r="M3" i="13"/>
  <c r="F3" i="13"/>
  <c r="A3" i="13"/>
  <c r="W3" i="13"/>
  <c r="X3" i="13"/>
  <c r="H3" i="13"/>
  <c r="O3" i="13"/>
  <c r="D3" i="13"/>
  <c r="AB3" i="13"/>
  <c r="C143" i="11"/>
  <c r="F85" i="11"/>
  <c r="I85" i="11"/>
  <c r="F86" i="11"/>
  <c r="I86" i="11"/>
  <c r="C54" i="11"/>
  <c r="F87" i="11"/>
  <c r="I87" i="11"/>
  <c r="K86" i="11"/>
  <c r="G98" i="11"/>
  <c r="B98" i="11"/>
  <c r="G100" i="11"/>
  <c r="J86" i="11"/>
  <c r="I100" i="11"/>
  <c r="B100" i="11"/>
  <c r="L86" i="11"/>
  <c r="L85" i="11"/>
  <c r="G95" i="11"/>
  <c r="J85" i="11"/>
  <c r="I95" i="11"/>
  <c r="K85" i="11"/>
  <c r="G93" i="11"/>
  <c r="B93" i="11"/>
  <c r="I3" i="13"/>
  <c r="K87" i="11"/>
  <c r="G103" i="11"/>
  <c r="B103" i="11"/>
  <c r="G105" i="11"/>
  <c r="L87" i="11"/>
  <c r="J87" i="11"/>
  <c r="I105" i="11"/>
  <c r="G94" i="11"/>
  <c r="M85" i="11"/>
  <c r="G104" i="11"/>
  <c r="M87" i="11"/>
  <c r="I104" i="11"/>
  <c r="B105" i="11"/>
  <c r="M86" i="11"/>
  <c r="I99" i="11"/>
  <c r="G99" i="11"/>
  <c r="B95" i="11"/>
  <c r="B104" i="11"/>
  <c r="B99" i="11"/>
  <c r="N85" i="11"/>
  <c r="I94" i="11"/>
  <c r="B94" i="11"/>
</calcChain>
</file>

<file path=xl/sharedStrings.xml><?xml version="1.0" encoding="utf-8"?>
<sst xmlns="http://schemas.openxmlformats.org/spreadsheetml/2006/main" count="82667" uniqueCount="29675">
  <si>
    <t>Username</t>
  </si>
  <si>
    <t>Caption</t>
  </si>
  <si>
    <t>Filter</t>
  </si>
  <si>
    <t>Location Name</t>
  </si>
  <si>
    <t>Likes</t>
  </si>
  <si>
    <t>Time</t>
  </si>
  <si>
    <t>Inputs and Ranges for Chart Creation</t>
  </si>
  <si>
    <t>Maximum Rows</t>
  </si>
  <si>
    <t>Shift</t>
  </si>
  <si>
    <t>Duration</t>
  </si>
  <si>
    <t>Interval</t>
  </si>
  <si>
    <t>Date 1</t>
  </si>
  <si>
    <t>Date 2</t>
  </si>
  <si>
    <t>Rows</t>
  </si>
  <si>
    <t>Columns</t>
  </si>
  <si>
    <t>Height</t>
  </si>
  <si>
    <t>Width</t>
  </si>
  <si>
    <t>Time Shift</t>
  </si>
  <si>
    <t>Date Location</t>
  </si>
  <si>
    <t>Custom</t>
  </si>
  <si>
    <t>24 Hours</t>
  </si>
  <si>
    <t>Hourly</t>
  </si>
  <si>
    <t>48 Hours</t>
  </si>
  <si>
    <t>7 Days</t>
  </si>
  <si>
    <t>Daily</t>
  </si>
  <si>
    <t>14 Days</t>
  </si>
  <si>
    <t>30 Days</t>
  </si>
  <si>
    <t>4 Weeks</t>
  </si>
  <si>
    <t>Weekly</t>
  </si>
  <si>
    <t>3 Months</t>
  </si>
  <si>
    <t>Monthly</t>
  </si>
  <si>
    <t>6 Months</t>
  </si>
  <si>
    <t>Multiplier</t>
  </si>
  <si>
    <t>Max Height</t>
  </si>
  <si>
    <t>Row Shift</t>
  </si>
  <si>
    <t>Start</t>
  </si>
  <si>
    <t>End</t>
  </si>
  <si>
    <t>Minute</t>
  </si>
  <si>
    <t>Choose Week Start --&gt;</t>
  </si>
  <si>
    <t>Sunday</t>
  </si>
  <si>
    <t>Monday</t>
  </si>
  <si>
    <t>Tuesday</t>
  </si>
  <si>
    <t>Wednesday</t>
  </si>
  <si>
    <t>Dates For Sum Ranges</t>
  </si>
  <si>
    <t>Thursday</t>
  </si>
  <si>
    <t>Friday</t>
  </si>
  <si>
    <t>Saturday</t>
  </si>
  <si>
    <t>Dates for Charts Tab</t>
  </si>
  <si>
    <t>Interval Placeholder</t>
  </si>
  <si>
    <t>Web Viewer</t>
  </si>
  <si>
    <t>Upload to Web</t>
  </si>
  <si>
    <t>Base URL</t>
  </si>
  <si>
    <t>Tracking URL</t>
  </si>
  <si>
    <t>Completed URL</t>
  </si>
  <si>
    <t>#utm_source=excel_to_web&amp;utm_medium=spreadsheet&amp;utm_content=web_viewer&amp;utm_campaign=excel_to_web</t>
  </si>
  <si>
    <t xml:space="preserve">I </t>
  </si>
  <si>
    <t>Minute Interval</t>
  </si>
  <si>
    <t>Simply Measured Online</t>
  </si>
  <si>
    <t xml:space="preserve">Display:  </t>
  </si>
  <si>
    <t>through</t>
  </si>
  <si>
    <t>Preset Ranges --&gt;</t>
  </si>
  <si>
    <t>Total Engagement</t>
  </si>
  <si>
    <t>Comments</t>
  </si>
  <si>
    <t>URL</t>
  </si>
  <si>
    <t>Tweets</t>
  </si>
  <si>
    <t>Activity by Time Data - 60 Data Point Max by Default. Manual Adjust as Needed</t>
  </si>
  <si>
    <t>Intentionally Hidden</t>
  </si>
  <si>
    <t>Date</t>
  </si>
  <si>
    <t>Month</t>
  </si>
  <si>
    <t>Week</t>
  </si>
  <si>
    <t>Post Date</t>
  </si>
  <si>
    <t>New Tweets</t>
  </si>
  <si>
    <t>Total Engagement (FB)</t>
  </si>
  <si>
    <t>EoP Shift</t>
  </si>
  <si>
    <t>Drop-Down Validation Range</t>
  </si>
  <si>
    <t>Column Offset</t>
  </si>
  <si>
    <t>Facebook</t>
  </si>
  <si>
    <t>ID</t>
  </si>
  <si>
    <t>sort_by</t>
  </si>
  <si>
    <t>Day of Week</t>
  </si>
  <si>
    <t>Engagement Per Photo</t>
  </si>
  <si>
    <t>Times Used</t>
  </si>
  <si>
    <t>Dummy Series</t>
  </si>
  <si>
    <t>City</t>
  </si>
  <si>
    <t>Photos Posted</t>
  </si>
  <si>
    <t>Number of Photos</t>
  </si>
  <si>
    <t xml:space="preserve">Likes </t>
  </si>
  <si>
    <t xml:space="preserve">Comments </t>
  </si>
  <si>
    <t xml:space="preserve">Shares </t>
  </si>
  <si>
    <t xml:space="preserve">Tweets </t>
  </si>
  <si>
    <t>Media! Header</t>
  </si>
  <si>
    <t>Top Photos (Lifetime Activity)</t>
  </si>
  <si>
    <t>Peak Day:</t>
  </si>
  <si>
    <t>Peak Hour:</t>
  </si>
  <si>
    <t>TOTAL</t>
  </si>
  <si>
    <t>%</t>
  </si>
  <si>
    <t>Metro Area</t>
  </si>
  <si>
    <t>Los Angeles-Long Beach-Santa Ana CA</t>
  </si>
  <si>
    <t>Population</t>
  </si>
  <si>
    <t>New York-Northern New Jersey-Long Island NY-NJ-PA</t>
  </si>
  <si>
    <t>New York, NY</t>
  </si>
  <si>
    <t>Los Angeles, CA</t>
  </si>
  <si>
    <t>Chicago-Naperville-Joliet IL-IN-WI</t>
  </si>
  <si>
    <t>Chicago, IL</t>
  </si>
  <si>
    <t>Philadelphia-Camden-Wilmington PA-NJ-DE-MD</t>
  </si>
  <si>
    <t>Philadelphia, PA</t>
  </si>
  <si>
    <t>Miami-Fort Lauderdale-Pompano Beach FL</t>
  </si>
  <si>
    <t>Miami, FL</t>
  </si>
  <si>
    <t>Washington-Arlington-Alexandria DC-VA-MD-WV</t>
  </si>
  <si>
    <t>Washington, DC</t>
  </si>
  <si>
    <t>Detroit-Warren-Livonia MI</t>
  </si>
  <si>
    <t>Detroit, MI</t>
  </si>
  <si>
    <t>Houston-Sugar Land-Baytown TX</t>
  </si>
  <si>
    <t>Houston, TX</t>
  </si>
  <si>
    <t>Atlanta-Sandy Springs-Marietta GA</t>
  </si>
  <si>
    <t>Atlanta, GA</t>
  </si>
  <si>
    <t>Dallas-Fort Worth-Arlington TX</t>
  </si>
  <si>
    <t>Dallas, TX</t>
  </si>
  <si>
    <t>Boston-Cambridge-Quincy MA-NH</t>
  </si>
  <si>
    <t>Boston, MA</t>
  </si>
  <si>
    <t>Seattle-Tacoma-Bellevue WA</t>
  </si>
  <si>
    <t>Seattle, WA</t>
  </si>
  <si>
    <t>San Francisco-Oakland-Fremont CA</t>
  </si>
  <si>
    <t>San Francisco, CA</t>
  </si>
  <si>
    <t>Minneapolis-St. Paul-Bloomington MN-WI</t>
  </si>
  <si>
    <t>Minneapolis, MN</t>
  </si>
  <si>
    <t>Riverside-San Bernardino-Ontario CA</t>
  </si>
  <si>
    <t>Riverside, CA</t>
  </si>
  <si>
    <t>San Juan-Caguas-Guaynabo PR</t>
  </si>
  <si>
    <t>San Juan, PR</t>
  </si>
  <si>
    <t>St. Louis MO-IL</t>
  </si>
  <si>
    <t>St. Louis, MO</t>
  </si>
  <si>
    <t>Baltimore-Towson MD</t>
  </si>
  <si>
    <t>Baltimore, MD</t>
  </si>
  <si>
    <t>Tampa-St. Petersburg-Clearwater FL</t>
  </si>
  <si>
    <t>Tampa, FL</t>
  </si>
  <si>
    <t>Pittsburgh PA</t>
  </si>
  <si>
    <t>Pittsburgh, PA</t>
  </si>
  <si>
    <t>Cincinnati-Middletown OH-KY-IN</t>
  </si>
  <si>
    <t>Cincinnati, OH</t>
  </si>
  <si>
    <t>Cleveland-Elyria-Mentor OH</t>
  </si>
  <si>
    <t>Cleveland, OH</t>
  </si>
  <si>
    <t>Phoenix-Mesa-Scottsdale AZ</t>
  </si>
  <si>
    <t>Phoenix, AZ</t>
  </si>
  <si>
    <t>Denver-Aurora CO</t>
  </si>
  <si>
    <t>Denver, CO</t>
  </si>
  <si>
    <t>San Diego-Carlsbad-San Marcos CA</t>
  </si>
  <si>
    <t>San Diego, CA</t>
  </si>
  <si>
    <t>Portland-Vancouver-Beaverton OR-WA</t>
  </si>
  <si>
    <t>Portland, OR</t>
  </si>
  <si>
    <t>Kansas City MO-KS</t>
  </si>
  <si>
    <t>Kansas City, MO</t>
  </si>
  <si>
    <t>Columbus OH</t>
  </si>
  <si>
    <t>Columbus, OH</t>
  </si>
  <si>
    <t>Milwaukee-Waukesha-West Allis WI</t>
  </si>
  <si>
    <t>Milwaukee, WI</t>
  </si>
  <si>
    <t>Sacramento--Arden-Arcade--Roseville CA</t>
  </si>
  <si>
    <t>Sacramento, CA</t>
  </si>
  <si>
    <t>Orlando-Kissimmee FL</t>
  </si>
  <si>
    <t>Orlando, FL</t>
  </si>
  <si>
    <t>Indianapolis-Carmel IN</t>
  </si>
  <si>
    <t>Indianapolis, IN</t>
  </si>
  <si>
    <t>San Antonio TX</t>
  </si>
  <si>
    <t>San Antonio, TX</t>
  </si>
  <si>
    <t>Providence-New Bedford-Fall River RI-MA</t>
  </si>
  <si>
    <t>Providence, RI</t>
  </si>
  <si>
    <t>Memphis TN-MS-AR</t>
  </si>
  <si>
    <t>Memphis TN, AR</t>
  </si>
  <si>
    <t>Virginia Beach-Norfolk-Newport News VA-NC</t>
  </si>
  <si>
    <t>Virginia Beach, VA</t>
  </si>
  <si>
    <t>Austin-Round Rock TX</t>
  </si>
  <si>
    <t>Austin, TX</t>
  </si>
  <si>
    <t>Jacksonville FL</t>
  </si>
  <si>
    <t>Jacksonville, FL</t>
  </si>
  <si>
    <t>San Jose-Sunnyvale-Santa Clara CA</t>
  </si>
  <si>
    <t>San Jose, CA</t>
  </si>
  <si>
    <t>Salt Lake City UT</t>
  </si>
  <si>
    <t>Salt Lake City, UT</t>
  </si>
  <si>
    <t>New Orleans-Metairie-Kenner LA</t>
  </si>
  <si>
    <t>New Orleans, LA</t>
  </si>
  <si>
    <t>Hartford-West Hartford-East Hartford CT</t>
  </si>
  <si>
    <t>Hartford, CT</t>
  </si>
  <si>
    <t>Nashville-Davidson--Murfreesboro--Franklin TN</t>
  </si>
  <si>
    <t>Nashville, TN</t>
  </si>
  <si>
    <t>Buffalo-Niagara Falls NY</t>
  </si>
  <si>
    <t>Buffalo, NY</t>
  </si>
  <si>
    <t>Louisville/Jefferson County KY-IN</t>
  </si>
  <si>
    <t>Louisville, KY</t>
  </si>
  <si>
    <t>Las Vegas-Paradise NV</t>
  </si>
  <si>
    <t>Las Vegas, NV</t>
  </si>
  <si>
    <t>Birmingham-Hoover AL</t>
  </si>
  <si>
    <t>Birmingham, AL</t>
  </si>
  <si>
    <t>Richmond VA</t>
  </si>
  <si>
    <t>Richmond, VA</t>
  </si>
  <si>
    <t>Oklahoma City OK</t>
  </si>
  <si>
    <t>Oklahoma City, OK</t>
  </si>
  <si>
    <t>Albany-Schenectady-Troy NY</t>
  </si>
  <si>
    <t>Albany, NY</t>
  </si>
  <si>
    <t>Charlotte-Gastonia-Concord NC-SC</t>
  </si>
  <si>
    <t>Charlotte, NC</t>
  </si>
  <si>
    <t>New Haven-Milford CT</t>
  </si>
  <si>
    <t>New Haven, CT</t>
  </si>
  <si>
    <t>Dayton OH</t>
  </si>
  <si>
    <t>Dayton, OH</t>
  </si>
  <si>
    <t>Honolulu HI</t>
  </si>
  <si>
    <t>Honolulu, HI</t>
  </si>
  <si>
    <t>Tucson AZ</t>
  </si>
  <si>
    <t>Tucson, AZ</t>
  </si>
  <si>
    <t>Rochester NY</t>
  </si>
  <si>
    <t>Rochester, NY</t>
  </si>
  <si>
    <t>Tulsa OK</t>
  </si>
  <si>
    <t>Tulsa, OK</t>
  </si>
  <si>
    <t>Grand Rapids-Wyoming MI</t>
  </si>
  <si>
    <t>Grand Rapids, MI</t>
  </si>
  <si>
    <t>Syracuse NY</t>
  </si>
  <si>
    <t>Syracuse, NY</t>
  </si>
  <si>
    <t>Bridgeport-Stamford-Norwalk CT</t>
  </si>
  <si>
    <t>Bridgeport, CT</t>
  </si>
  <si>
    <t>Allentown-Bethlehem-Easton PA-NJ</t>
  </si>
  <si>
    <t>Allentown, PA</t>
  </si>
  <si>
    <t>Akron OH</t>
  </si>
  <si>
    <t>Akron, OH</t>
  </si>
  <si>
    <t>Greensboro-High Point NC</t>
  </si>
  <si>
    <t>Greensboro, NC</t>
  </si>
  <si>
    <t>Columbia SC</t>
  </si>
  <si>
    <t>Columbia, SC</t>
  </si>
  <si>
    <t>Albuquerque NM</t>
  </si>
  <si>
    <t>Albuquerque, NM</t>
  </si>
  <si>
    <t>McAllen-Edinburg-Mission TX</t>
  </si>
  <si>
    <t>McAllen, TX</t>
  </si>
  <si>
    <t>Raleigh-Cary NC</t>
  </si>
  <si>
    <t>Raleigh, NC</t>
  </si>
  <si>
    <t>Worcester MA</t>
  </si>
  <si>
    <t>Worcester, MA</t>
  </si>
  <si>
    <t>Oxnard-Thousand Oaks-Ventura CA</t>
  </si>
  <si>
    <t>Oxnard, CA</t>
  </si>
  <si>
    <t>Springfield MA</t>
  </si>
  <si>
    <t>Springfield, MA</t>
  </si>
  <si>
    <t>Fresno CA</t>
  </si>
  <si>
    <t>Fresno, CA</t>
  </si>
  <si>
    <t>Colorado Springs CO</t>
  </si>
  <si>
    <t>Colorado Springs, CO</t>
  </si>
  <si>
    <t>Harrisburg-Carlisle PA</t>
  </si>
  <si>
    <t>Harrisburg, PA</t>
  </si>
  <si>
    <t>Omaha-Council Bluffs NE-IA</t>
  </si>
  <si>
    <t>Omaha, NE</t>
  </si>
  <si>
    <t>Scranton--Wilkes-Barre PA</t>
  </si>
  <si>
    <t>Scranton, PA</t>
  </si>
  <si>
    <t>Bakersfield CA</t>
  </si>
  <si>
    <t>Bakersfield, CA</t>
  </si>
  <si>
    <t>Charleston-North Charleston SC</t>
  </si>
  <si>
    <t>Charleston, SC</t>
  </si>
  <si>
    <t>Baton Rouge LA</t>
  </si>
  <si>
    <t>Baton Rouge, LA</t>
  </si>
  <si>
    <t>Youngstown-Warren-Boardman OH-PA</t>
  </si>
  <si>
    <t>Youngstown, OH</t>
  </si>
  <si>
    <t>Lancaster PA</t>
  </si>
  <si>
    <t>Lancaster, PA</t>
  </si>
  <si>
    <t>Des Moines-West Des Moines IA</t>
  </si>
  <si>
    <t>Des Moines, IA</t>
  </si>
  <si>
    <t>Poughkeepsie-Newburgh-Middletown NY</t>
  </si>
  <si>
    <t>Poughkeepsie, NY</t>
  </si>
  <si>
    <t>Little Rock-North Little Rock-Conway AR</t>
  </si>
  <si>
    <t>Little Rock, AR</t>
  </si>
  <si>
    <t>Stockton CA</t>
  </si>
  <si>
    <t>Stockton, CA</t>
  </si>
  <si>
    <t>Bradenton-Sarasota-Venice FL</t>
  </si>
  <si>
    <t>Bradenton, FL</t>
  </si>
  <si>
    <t>Jackson MS</t>
  </si>
  <si>
    <t>Jackson, MS</t>
  </si>
  <si>
    <t>Cape Coral-Fort Myers FL</t>
  </si>
  <si>
    <t>Cape Coral, FL</t>
  </si>
  <si>
    <t>Greenville-Mauldin-Easley SC</t>
  </si>
  <si>
    <t>Greenville, SC</t>
  </si>
  <si>
    <t>Palm Bay-Melbourne-Titusville FL</t>
  </si>
  <si>
    <t>Palm Bay, FL</t>
  </si>
  <si>
    <t>Augusta-Richmond County GA-SC</t>
  </si>
  <si>
    <t>Augusta, GA</t>
  </si>
  <si>
    <t>Winston-Salem NC</t>
  </si>
  <si>
    <t>Winston-Salem, NC</t>
  </si>
  <si>
    <t>Fort Wayne IN</t>
  </si>
  <si>
    <t>Fort Wayne, IN</t>
  </si>
  <si>
    <t>Ogden-Clearfield UT</t>
  </si>
  <si>
    <t>Ogden, UT</t>
  </si>
  <si>
    <t>Madison WI</t>
  </si>
  <si>
    <t>Madison, WI</t>
  </si>
  <si>
    <t>Portland-South Portland-Biddeford ME</t>
  </si>
  <si>
    <t>Portland, ME</t>
  </si>
  <si>
    <t>Corpus Christi TX</t>
  </si>
  <si>
    <t>Corpus Christi, TX</t>
  </si>
  <si>
    <t>Wichita KS</t>
  </si>
  <si>
    <t>Wichita, KS</t>
  </si>
  <si>
    <t>Salinas CA</t>
  </si>
  <si>
    <t>Salinas, CA</t>
  </si>
  <si>
    <t>Deltona-Daytona Beach-Ormond Beach FL</t>
  </si>
  <si>
    <t>Daytona Beach, FL</t>
  </si>
  <si>
    <t>Toledo OH</t>
  </si>
  <si>
    <t>Toledo, OH</t>
  </si>
  <si>
    <t>York-Hanover PA</t>
  </si>
  <si>
    <t>York, PA</t>
  </si>
  <si>
    <t>Knoxville TN</t>
  </si>
  <si>
    <t>Knoxville, TN</t>
  </si>
  <si>
    <t>Santa Barbara-Santa Maria-Goleta CA</t>
  </si>
  <si>
    <t>Santa Barbara, CA</t>
  </si>
  <si>
    <t>El Paso TX</t>
  </si>
  <si>
    <t>El Paso, TX</t>
  </si>
  <si>
    <t>Chattanooga TN-GA</t>
  </si>
  <si>
    <t>Chattanooga, TN</t>
  </si>
  <si>
    <t>Spokane WA</t>
  </si>
  <si>
    <t>Spokane, WA</t>
  </si>
  <si>
    <t>Trenton-Ewing NJ</t>
  </si>
  <si>
    <t>Trenton, NJ</t>
  </si>
  <si>
    <t>Santa Rosa-Petaluma CA</t>
  </si>
  <si>
    <t>Santa Rosa, CA</t>
  </si>
  <si>
    <t>Boise City-Nampa ID</t>
  </si>
  <si>
    <t>Boise City, ID</t>
  </si>
  <si>
    <t>Provo-Orem UT</t>
  </si>
  <si>
    <t>Provo, UT</t>
  </si>
  <si>
    <t>Reading PA</t>
  </si>
  <si>
    <t>Reading, PA</t>
  </si>
  <si>
    <t>Peoria IL</t>
  </si>
  <si>
    <t>Peoria, IL</t>
  </si>
  <si>
    <t>Canton-Massillon OH</t>
  </si>
  <si>
    <t>Canton, OH</t>
  </si>
  <si>
    <t>Montgomery AL</t>
  </si>
  <si>
    <t>Montgomery, AL</t>
  </si>
  <si>
    <t>Pensacola-Ferry Pass-Brent FL</t>
  </si>
  <si>
    <t>Pensacola, FL</t>
  </si>
  <si>
    <t>Reno-Sparks NV</t>
  </si>
  <si>
    <t>Reno, NV</t>
  </si>
  <si>
    <t>Killeen-Temple-Fort Hood TX</t>
  </si>
  <si>
    <t>Killeen, TX</t>
  </si>
  <si>
    <t>Aguadilla-Isabela-San Sebastian PR</t>
  </si>
  <si>
    <t>Aguadilla, PR</t>
  </si>
  <si>
    <t>Hickory-Lenoir-Morganton NC</t>
  </si>
  <si>
    <t>Hickory, NC</t>
  </si>
  <si>
    <t>Shreveport-Bossier City LA</t>
  </si>
  <si>
    <t>Shreveport, LA</t>
  </si>
  <si>
    <t>Asheville NC</t>
  </si>
  <si>
    <t>Asheville, NC</t>
  </si>
  <si>
    <t>Vallejo-Fairfield CA</t>
  </si>
  <si>
    <t>Vallejo, CA</t>
  </si>
  <si>
    <t>Beaumont-Port Arthur TX</t>
  </si>
  <si>
    <t>Beaumont, TX</t>
  </si>
  <si>
    <t>Eugene-Springfield OR</t>
  </si>
  <si>
    <t>Eugene, OR</t>
  </si>
  <si>
    <t>Utica-Rome NY</t>
  </si>
  <si>
    <t>Utica, NY</t>
  </si>
  <si>
    <t>Fayetteville NC</t>
  </si>
  <si>
    <t>Fayetteville, NC</t>
  </si>
  <si>
    <t>Brownsville-Harlingen TX</t>
  </si>
  <si>
    <t>Brownsville, TX</t>
  </si>
  <si>
    <t>Flint MI</t>
  </si>
  <si>
    <t>Flint, MI</t>
  </si>
  <si>
    <t>Green Bay WI</t>
  </si>
  <si>
    <t>Green Bay, WI</t>
  </si>
  <si>
    <t>Ann Arbor MI</t>
  </si>
  <si>
    <t>Ann Arbor, MI</t>
  </si>
  <si>
    <t>Ponce PR</t>
  </si>
  <si>
    <t>Ponce, PR</t>
  </si>
  <si>
    <t>Durham NC</t>
  </si>
  <si>
    <t>Durham, NC</t>
  </si>
  <si>
    <t>Wilmington NC</t>
  </si>
  <si>
    <t>Wilmington, NC</t>
  </si>
  <si>
    <t>Evansville IN-KY</t>
  </si>
  <si>
    <t>Evansville, IN</t>
  </si>
  <si>
    <t>Visalia-Porterville CA</t>
  </si>
  <si>
    <t>Visalia, CA</t>
  </si>
  <si>
    <t>Mobile AL</t>
  </si>
  <si>
    <t>Mobile, AL</t>
  </si>
  <si>
    <t>Binghamton NY</t>
  </si>
  <si>
    <t>Binghamton, NY</t>
  </si>
  <si>
    <t>Gulfport-Biloxi MS</t>
  </si>
  <si>
    <t>Gulfport, MS</t>
  </si>
  <si>
    <t>Salem OR</t>
  </si>
  <si>
    <t>Salem, OR</t>
  </si>
  <si>
    <t>Roanoke VA</t>
  </si>
  <si>
    <t>Roanoke, VA</t>
  </si>
  <si>
    <t>Charleston WV</t>
  </si>
  <si>
    <t>Charleston, WV</t>
  </si>
  <si>
    <t>Savannah GA</t>
  </si>
  <si>
    <t>Savannah, GA</t>
  </si>
  <si>
    <t>Rockford IL</t>
  </si>
  <si>
    <t>Rockford, IL</t>
  </si>
  <si>
    <t>San Luis Obispo-Paso Robles CA</t>
  </si>
  <si>
    <t>San Luis Obispo, CA</t>
  </si>
  <si>
    <t>Davenport-Moline-Rock Island IA-IL</t>
  </si>
  <si>
    <t>Davenport, IA</t>
  </si>
  <si>
    <t>Springfield MO</t>
  </si>
  <si>
    <t>Springfield, MO</t>
  </si>
  <si>
    <t>Norwich-New London CT</t>
  </si>
  <si>
    <t>Norwich, CT</t>
  </si>
  <si>
    <t>Lakeland FL</t>
  </si>
  <si>
    <t>Lakeland, FL</t>
  </si>
  <si>
    <t>Fayetteville-Springdale-Rogers AR-MO</t>
  </si>
  <si>
    <t>Fayetteville, AR</t>
  </si>
  <si>
    <t>Lexington-Fayette KY</t>
  </si>
  <si>
    <t>Lexington, KY</t>
  </si>
  <si>
    <t>Columbus GA-AL</t>
  </si>
  <si>
    <t>Columbus, GA</t>
  </si>
  <si>
    <t>Lansing-East Lansing MI</t>
  </si>
  <si>
    <t>Lansing, MI</t>
  </si>
  <si>
    <t>Manchester-Nashua NH</t>
  </si>
  <si>
    <t>Manchester, NH</t>
  </si>
  <si>
    <t>Fort Collins-Loveland CO</t>
  </si>
  <si>
    <t>Fort Collins, CO</t>
  </si>
  <si>
    <t>Modesto CA</t>
  </si>
  <si>
    <t>Modesto, CA</t>
  </si>
  <si>
    <t>Kingsport-Bristol-Bristol TN-VA</t>
  </si>
  <si>
    <t>Kingsport, TN</t>
  </si>
  <si>
    <t>Erie PA</t>
  </si>
  <si>
    <t>Erie, PA</t>
  </si>
  <si>
    <t>South Bend-Mishawaka IN-MI</t>
  </si>
  <si>
    <t>South Bend, IN</t>
  </si>
  <si>
    <t>Waco TX</t>
  </si>
  <si>
    <t>Waco, TX</t>
  </si>
  <si>
    <t>Santa Cruz-Watsonville CA</t>
  </si>
  <si>
    <t>Santa Cruz, CA</t>
  </si>
  <si>
    <t>Bremerton-Silverdale WA</t>
  </si>
  <si>
    <t>Bremerton, WA</t>
  </si>
  <si>
    <t>Duluth MN-WI</t>
  </si>
  <si>
    <t>Duluth, MN</t>
  </si>
  <si>
    <t>Huntington-Ashland WV-KY-OH</t>
  </si>
  <si>
    <t>Huntington, WV</t>
  </si>
  <si>
    <t>Atlantic City NJ</t>
  </si>
  <si>
    <t>Atlantic City, NJ</t>
  </si>
  <si>
    <t>Port St. Lucie FL</t>
  </si>
  <si>
    <t>Port St. Lucie, FL</t>
  </si>
  <si>
    <t>Longview TX</t>
  </si>
  <si>
    <t>Longview, TX</t>
  </si>
  <si>
    <t>Burlington-South Burlington VT</t>
  </si>
  <si>
    <t>Burlington, VT</t>
  </si>
  <si>
    <t>Yakima WA</t>
  </si>
  <si>
    <t>Yakima, WA</t>
  </si>
  <si>
    <t>Lynchburg VA</t>
  </si>
  <si>
    <t>Lynchburg, VA</t>
  </si>
  <si>
    <t>Springfield IL</t>
  </si>
  <si>
    <t>Springfield, IL</t>
  </si>
  <si>
    <t>Kalamazoo-Portage MI</t>
  </si>
  <si>
    <t>Kalamazoo, MI</t>
  </si>
  <si>
    <t>Tallahassee FL</t>
  </si>
  <si>
    <t>Tallahassee, FL</t>
  </si>
  <si>
    <t>Fort Smith AR-OK</t>
  </si>
  <si>
    <t>Fort Smith, AR</t>
  </si>
  <si>
    <t>Huntsville AL</t>
  </si>
  <si>
    <t>Huntsville, AL</t>
  </si>
  <si>
    <t>Macon GA</t>
  </si>
  <si>
    <t>Macon, GA</t>
  </si>
  <si>
    <t>Bloomington IN</t>
  </si>
  <si>
    <t>Bloomington, IN</t>
  </si>
  <si>
    <t>Spartanburg SC</t>
  </si>
  <si>
    <t>Spartanburg, SC</t>
  </si>
  <si>
    <t>Muskegon-Norton Shores MI</t>
  </si>
  <si>
    <t>Muskegon, MI</t>
  </si>
  <si>
    <t>Monroe LA</t>
  </si>
  <si>
    <t>Monroe, LA</t>
  </si>
  <si>
    <t>Appleton WI</t>
  </si>
  <si>
    <t>Appleton, WI</t>
  </si>
  <si>
    <t>Bellingham WA</t>
  </si>
  <si>
    <t>Bellingham, WA</t>
  </si>
  <si>
    <t>Kennewick-Richland-Pasco WA</t>
  </si>
  <si>
    <t>Kennewick, WA</t>
  </si>
  <si>
    <t>Gainesville FL</t>
  </si>
  <si>
    <t>Gainesville, FL</t>
  </si>
  <si>
    <t>Ocala FL</t>
  </si>
  <si>
    <t>Ocala, FL</t>
  </si>
  <si>
    <t>Clarksville TN-KY</t>
  </si>
  <si>
    <t>Clarksville, TN</t>
  </si>
  <si>
    <t>Barnstable Town MA</t>
  </si>
  <si>
    <t>Barnstable Town, MA</t>
  </si>
  <si>
    <t>Las Cruces NM</t>
  </si>
  <si>
    <t>Las Cruces, NM</t>
  </si>
  <si>
    <t>Olympia WA</t>
  </si>
  <si>
    <t>Olympia, WA</t>
  </si>
  <si>
    <t>Anchorage AK</t>
  </si>
  <si>
    <t>Anchorage, AK</t>
  </si>
  <si>
    <t>Tuscaloosa AL</t>
  </si>
  <si>
    <t>Tuscaloosa, AL</t>
  </si>
  <si>
    <t>Hagerstown-Martinsburg MD-WV</t>
  </si>
  <si>
    <t>Hagerstown, MD</t>
  </si>
  <si>
    <t>Laredo TX</t>
  </si>
  <si>
    <t>Laredo, TX</t>
  </si>
  <si>
    <t>Boulder CO</t>
  </si>
  <si>
    <t>Boulder, CO</t>
  </si>
  <si>
    <t>Charlottesville VA</t>
  </si>
  <si>
    <t>Charlottesville, VA</t>
  </si>
  <si>
    <t>Cedar Rapids IA</t>
  </si>
  <si>
    <t>Cedar Rapids, IA</t>
  </si>
  <si>
    <t>Terre Haute IN</t>
  </si>
  <si>
    <t>Terre Haute, IN</t>
  </si>
  <si>
    <t>Bloomington-Normal IL</t>
  </si>
  <si>
    <t>Bloomington, IL</t>
  </si>
  <si>
    <t>Seaford DE</t>
  </si>
  <si>
    <t>Seaford, DE</t>
  </si>
  <si>
    <t>Joplin MO</t>
  </si>
  <si>
    <t>Joplin, MO</t>
  </si>
  <si>
    <t>Alexandria LA</t>
  </si>
  <si>
    <t>Alexandria, LA</t>
  </si>
  <si>
    <t>Pascagoula MS</t>
  </si>
  <si>
    <t>Pascagoula, MS</t>
  </si>
  <si>
    <t>Columbia MO</t>
  </si>
  <si>
    <t>Columbia, MO</t>
  </si>
  <si>
    <t>Greeley CO</t>
  </si>
  <si>
    <t>Greeley, CO</t>
  </si>
  <si>
    <t>Fort Walton Beach-Crestview-Destin FL</t>
  </si>
  <si>
    <t>Fort Walton Beach, FL</t>
  </si>
  <si>
    <t>Pottsville PA</t>
  </si>
  <si>
    <t>Pottsville, PA</t>
  </si>
  <si>
    <t>Naples-Marco Island FL</t>
  </si>
  <si>
    <t>Naples, FL</t>
  </si>
  <si>
    <t>Kingston NY</t>
  </si>
  <si>
    <t>Kingston, NY</t>
  </si>
  <si>
    <t>Lafayette IN</t>
  </si>
  <si>
    <t>Lafayette, IN</t>
  </si>
  <si>
    <t>Johnson City TN</t>
  </si>
  <si>
    <t>Johnson City, TN</t>
  </si>
  <si>
    <t>Lincoln NE</t>
  </si>
  <si>
    <t>Lincoln, NE</t>
  </si>
  <si>
    <t>Chico CA</t>
  </si>
  <si>
    <t>Chico, CA</t>
  </si>
  <si>
    <t>College Station-Bryan TX</t>
  </si>
  <si>
    <t>College Station, TX</t>
  </si>
  <si>
    <t>Tyler TX</t>
  </si>
  <si>
    <t>Tyler, TX</t>
  </si>
  <si>
    <t>Hilton Head Island-Beaufort SC</t>
  </si>
  <si>
    <t>Hilton Head Island, SC</t>
  </si>
  <si>
    <t>San German-Cabo Rojo PR</t>
  </si>
  <si>
    <t>San German, PR</t>
  </si>
  <si>
    <t>Torrington CT</t>
  </si>
  <si>
    <t>Torrington, CT</t>
  </si>
  <si>
    <t>Lafayette LA</t>
  </si>
  <si>
    <t>Lafayette, LA</t>
  </si>
  <si>
    <t>Merced CA</t>
  </si>
  <si>
    <t>Merced, CA</t>
  </si>
  <si>
    <t>Punta Gorda FL</t>
  </si>
  <si>
    <t>Punta Gorda, FL</t>
  </si>
  <si>
    <t>Parkersburg-Marietta-Vienna WV-OH</t>
  </si>
  <si>
    <t>Parkersburg, WV</t>
  </si>
  <si>
    <t>Ottawa-Streator IL</t>
  </si>
  <si>
    <t>Ottawa, IL</t>
  </si>
  <si>
    <t>Holland-Grand Haven MI</t>
  </si>
  <si>
    <t>Holland, MI</t>
  </si>
  <si>
    <t>Yuba City CA</t>
  </si>
  <si>
    <t>Yuba City, CA</t>
  </si>
  <si>
    <t>Saginaw-Saginaw Township North MI</t>
  </si>
  <si>
    <t>Saginaw, MI</t>
  </si>
  <si>
    <t>Jefferson City MO</t>
  </si>
  <si>
    <t>Jefferson City, MO</t>
  </si>
  <si>
    <t>Eau Claire WI</t>
  </si>
  <si>
    <t>Eau Claire, WI</t>
  </si>
  <si>
    <t>Vineland-Millville-Bridgeton NJ</t>
  </si>
  <si>
    <t>Vineland, NJ</t>
  </si>
  <si>
    <t>Redding CA</t>
  </si>
  <si>
    <t>Redding, CA</t>
  </si>
  <si>
    <t>Waterloo-Cedar Falls IA</t>
  </si>
  <si>
    <t>Waterloo, IA</t>
  </si>
  <si>
    <t>Billings MT</t>
  </si>
  <si>
    <t>Billings, MT</t>
  </si>
  <si>
    <t>Hattiesburg MS</t>
  </si>
  <si>
    <t>Hattiesburg, MS</t>
  </si>
  <si>
    <t>Santa Fe NM</t>
  </si>
  <si>
    <t>Santa Fe, NM</t>
  </si>
  <si>
    <t>Panama City-Lynn Haven FL</t>
  </si>
  <si>
    <t>Panama City, FL</t>
  </si>
  <si>
    <t>Medford OR</t>
  </si>
  <si>
    <t>Medford, OR</t>
  </si>
  <si>
    <t>Lake Charles LA</t>
  </si>
  <si>
    <t>Lake Charles, LA</t>
  </si>
  <si>
    <t>Thomasville-Lexington NC</t>
  </si>
  <si>
    <t>Thomasville, NC</t>
  </si>
  <si>
    <t>Fargo ND-MN</t>
  </si>
  <si>
    <t>Fargo, ND</t>
  </si>
  <si>
    <t>Lubbock TX</t>
  </si>
  <si>
    <t>Lubbock, TX</t>
  </si>
  <si>
    <t>Tupelo MS</t>
  </si>
  <si>
    <t>Tupelo, MS</t>
  </si>
  <si>
    <t>Myrtle Beach-Conway-North Myrtle Beach SC</t>
  </si>
  <si>
    <t>Myrtle Beach, SC</t>
  </si>
  <si>
    <t>Texarkana TX-Texarkana AR</t>
  </si>
  <si>
    <t>Texarkana, TX</t>
  </si>
  <si>
    <t>Bangor ME</t>
  </si>
  <si>
    <t>Bangor, ME</t>
  </si>
  <si>
    <t>Lebanon NH-VT</t>
  </si>
  <si>
    <t>Lebanon, NH</t>
  </si>
  <si>
    <t>Lebanon PA</t>
  </si>
  <si>
    <t>Lebanon, PA</t>
  </si>
  <si>
    <t>Williamsport PA</t>
  </si>
  <si>
    <t>Williamsport, PA</t>
  </si>
  <si>
    <t>Topeka KS</t>
  </si>
  <si>
    <t>Topeka, KS</t>
  </si>
  <si>
    <t>Concord NH</t>
  </si>
  <si>
    <t>Concord, NH</t>
  </si>
  <si>
    <t>Racine WI</t>
  </si>
  <si>
    <t>Racine, WI</t>
  </si>
  <si>
    <t>Pittsfield MA</t>
  </si>
  <si>
    <t>Pittsfield, MA</t>
  </si>
  <si>
    <t>Wausau WI</t>
  </si>
  <si>
    <t>Wausau, WI</t>
  </si>
  <si>
    <t>Glens Falls NY</t>
  </si>
  <si>
    <t>Glens Falls, NY</t>
  </si>
  <si>
    <t>Yauco PR</t>
  </si>
  <si>
    <t>Yauco, PR</t>
  </si>
  <si>
    <t>Chambersburg PA</t>
  </si>
  <si>
    <t>Chambersburg, PA</t>
  </si>
  <si>
    <t>Monroe MI</t>
  </si>
  <si>
    <t>Monroe, MI</t>
  </si>
  <si>
    <t>Jackson MI</t>
  </si>
  <si>
    <t>Jackson, MI</t>
  </si>
  <si>
    <t>MayagÃ¼ez PR</t>
  </si>
  <si>
    <t>MayagÃ¼ez, PR</t>
  </si>
  <si>
    <t>Florence SC</t>
  </si>
  <si>
    <t>Florence, SC</t>
  </si>
  <si>
    <t>Niles-Benton Harbor MI</t>
  </si>
  <si>
    <t>Niles, MI</t>
  </si>
  <si>
    <t>Pueblo CO</t>
  </si>
  <si>
    <t>Pueblo, CO</t>
  </si>
  <si>
    <t>Rocky Mount NC</t>
  </si>
  <si>
    <t>Rocky Mount, NC</t>
  </si>
  <si>
    <t>St. Cloud MN</t>
  </si>
  <si>
    <t>St. Cloud, MN</t>
  </si>
  <si>
    <t>Grand Junction CO</t>
  </si>
  <si>
    <t>Grand Junction, CO</t>
  </si>
  <si>
    <t>Florence-Muscle Shoals AL</t>
  </si>
  <si>
    <t>Florence, AL</t>
  </si>
  <si>
    <t>La Crosse WI-MN</t>
  </si>
  <si>
    <t>La Crosse, WI</t>
  </si>
  <si>
    <t>Lake Havasu City-Kingman AZ</t>
  </si>
  <si>
    <t>Lake Havasu City, AZ</t>
  </si>
  <si>
    <t>Mansfield OH</t>
  </si>
  <si>
    <t>Mansfield, OH</t>
  </si>
  <si>
    <t>Iowa City IA</t>
  </si>
  <si>
    <t>Iowa City, IA</t>
  </si>
  <si>
    <t>Flagstaff AZ</t>
  </si>
  <si>
    <t>Flagstaff, AZ</t>
  </si>
  <si>
    <t>Muncie IN</t>
  </si>
  <si>
    <t>Muncie, IN</t>
  </si>
  <si>
    <t>Michigan City-La Porte IN</t>
  </si>
  <si>
    <t>Michigan City, IN</t>
  </si>
  <si>
    <t>Daphne-Fairhope-Foley AL</t>
  </si>
  <si>
    <t>Daphne, AL</t>
  </si>
  <si>
    <t>Prescott AZ</t>
  </si>
  <si>
    <t>Prescott, AZ</t>
  </si>
  <si>
    <t>Wichita Falls TX</t>
  </si>
  <si>
    <t>Wichita Falls, TX</t>
  </si>
  <si>
    <t>Wooster OH</t>
  </si>
  <si>
    <t>Wooster, OH</t>
  </si>
  <si>
    <t>Decatur AL</t>
  </si>
  <si>
    <t>Decatur, AL</t>
  </si>
  <si>
    <t>Sioux Falls SD</t>
  </si>
  <si>
    <t>Sioux Falls, SD</t>
  </si>
  <si>
    <t>Sioux City IA-NE-SD</t>
  </si>
  <si>
    <t>Sioux City, IA</t>
  </si>
  <si>
    <t>Lawton OK</t>
  </si>
  <si>
    <t>Lawton, OK</t>
  </si>
  <si>
    <t>Burlington NC</t>
  </si>
  <si>
    <t>Burlington, NC</t>
  </si>
  <si>
    <t>Jamestown-Dunkirk-Fredonia NY</t>
  </si>
  <si>
    <t>Jamestown, NY</t>
  </si>
  <si>
    <t>Hot Springs AR</t>
  </si>
  <si>
    <t>Hot Springs, AR</t>
  </si>
  <si>
    <t>Sierra Vista-Douglas AZ</t>
  </si>
  <si>
    <t>Sierra Vista, AZ</t>
  </si>
  <si>
    <t>Anderson SC</t>
  </si>
  <si>
    <t>Anderson, SC</t>
  </si>
  <si>
    <t>Dothan AL</t>
  </si>
  <si>
    <t>Dothan, AL</t>
  </si>
  <si>
    <t>Houma-Bayou Cane-Thibodaux LA</t>
  </si>
  <si>
    <t>Houma, LA</t>
  </si>
  <si>
    <t>Sherman-Denison TX</t>
  </si>
  <si>
    <t>Sherman, TX</t>
  </si>
  <si>
    <t>Abilene TX</t>
  </si>
  <si>
    <t>Abilene, TX</t>
  </si>
  <si>
    <t>Watertown-Fort Drum NY</t>
  </si>
  <si>
    <t>Watertown, NY</t>
  </si>
  <si>
    <t>Pine Bluff AR</t>
  </si>
  <si>
    <t>Pine Bluff, AR</t>
  </si>
  <si>
    <t>East Stroudsburg PA</t>
  </si>
  <si>
    <t>East Stroudsburg, PA</t>
  </si>
  <si>
    <t>Athens-Clarke County GA</t>
  </si>
  <si>
    <t>Athens, GA</t>
  </si>
  <si>
    <t>Ocean City NJ</t>
  </si>
  <si>
    <t>Ocean City, NJ</t>
  </si>
  <si>
    <t>Amarillo TX</t>
  </si>
  <si>
    <t>Amarillo, TX</t>
  </si>
  <si>
    <t>Farmington NM</t>
  </si>
  <si>
    <t>Farmington, NM</t>
  </si>
  <si>
    <t>Ogdensburg-Massena NY</t>
  </si>
  <si>
    <t>Ogdensburg, NY</t>
  </si>
  <si>
    <t>Johnstown PA</t>
  </si>
  <si>
    <t>Johnstown, PA</t>
  </si>
  <si>
    <t>Ashtabula OH</t>
  </si>
  <si>
    <t>Ashtabula, OH</t>
  </si>
  <si>
    <t>Battle Creek MI</t>
  </si>
  <si>
    <t>Battle Creek, MI</t>
  </si>
  <si>
    <t>Rochester MN</t>
  </si>
  <si>
    <t>Rochester, MN</t>
  </si>
  <si>
    <t>Owensboro KY</t>
  </si>
  <si>
    <t>Owensboro, KY</t>
  </si>
  <si>
    <t>Bluefield WV-VA</t>
  </si>
  <si>
    <t>Bluefield, WV</t>
  </si>
  <si>
    <t>Midland TX</t>
  </si>
  <si>
    <t>Midland, TX</t>
  </si>
  <si>
    <t>Rapid City SD</t>
  </si>
  <si>
    <t>Rapid City, SD</t>
  </si>
  <si>
    <t>Jacksonville NC</t>
  </si>
  <si>
    <t>Jacksonville, NC</t>
  </si>
  <si>
    <t>East Liverpool-Salem OH</t>
  </si>
  <si>
    <t>East Liverpool, OH</t>
  </si>
  <si>
    <t>Morgantown WV</t>
  </si>
  <si>
    <t>Morgantown, WV</t>
  </si>
  <si>
    <t>Blacksburg-Christiansburg-Radford VA</t>
  </si>
  <si>
    <t>Blacksburg, VA</t>
  </si>
  <si>
    <t>Cumberland MD-WV</t>
  </si>
  <si>
    <t>Cumberland, MD</t>
  </si>
  <si>
    <t>Cleveland TN</t>
  </si>
  <si>
    <t>Cleveland, TN</t>
  </si>
  <si>
    <t>Napa CA</t>
  </si>
  <si>
    <t>Napa, CA</t>
  </si>
  <si>
    <t>Augusta-Waterville ME</t>
  </si>
  <si>
    <t>Augusta, ME</t>
  </si>
  <si>
    <t>Staunton-Waynesboro VA</t>
  </si>
  <si>
    <t>Staunton, VA</t>
  </si>
  <si>
    <t>Bismarck ND</t>
  </si>
  <si>
    <t>Bismarck, ND</t>
  </si>
  <si>
    <t>Lawrence KS</t>
  </si>
  <si>
    <t>Lawrence, KS</t>
  </si>
  <si>
    <t>Auburn-Opelika AL</t>
  </si>
  <si>
    <t>Auburn, AL</t>
  </si>
  <si>
    <t>Missoula MT</t>
  </si>
  <si>
    <t>Missoula, MT</t>
  </si>
  <si>
    <t>Willimantic CT</t>
  </si>
  <si>
    <t>Willimantic, CT</t>
  </si>
  <si>
    <t>Altoona PA</t>
  </si>
  <si>
    <t>Altoona, PA</t>
  </si>
  <si>
    <t>Gadsden AL</t>
  </si>
  <si>
    <t>Gadsden, AL</t>
  </si>
  <si>
    <t>Wheeling WV-OH</t>
  </si>
  <si>
    <t>Wheeling, WV</t>
  </si>
  <si>
    <t>Sunbury PA</t>
  </si>
  <si>
    <t>Sunbury, PA</t>
  </si>
  <si>
    <t>Weirton-Steubenville WV-OH</t>
  </si>
  <si>
    <t>Weirton, OH</t>
  </si>
  <si>
    <t>Paducah KY-IL</t>
  </si>
  <si>
    <t>Paducah, KY</t>
  </si>
  <si>
    <t>New Castle PA</t>
  </si>
  <si>
    <t>New Castle, PA</t>
  </si>
  <si>
    <t>Logan UT-ID</t>
  </si>
  <si>
    <t>Logan, UT</t>
  </si>
  <si>
    <t>Danville VA</t>
  </si>
  <si>
    <t>Danville, VA</t>
  </si>
  <si>
    <t>Truckee-Grass Valley CA</t>
  </si>
  <si>
    <t>Truckee, CA</t>
  </si>
  <si>
    <t>Morristown TN</t>
  </si>
  <si>
    <t>Morristown, TN</t>
  </si>
  <si>
    <t>Mount Vernon-Anacortes WA</t>
  </si>
  <si>
    <t>Mount Vernon, WA</t>
  </si>
  <si>
    <t>St. Joseph MO-KS</t>
  </si>
  <si>
    <t>St. Joseph, MO</t>
  </si>
  <si>
    <t>Cookeville TN</t>
  </si>
  <si>
    <t>Cookeville, TN</t>
  </si>
  <si>
    <t>Clarksburg WV</t>
  </si>
  <si>
    <t>Clarksburg, WV</t>
  </si>
  <si>
    <t>Salisbury NC</t>
  </si>
  <si>
    <t>Salisbury, NC</t>
  </si>
  <si>
    <t>Dubuque IA</t>
  </si>
  <si>
    <t>Dubuque, IA</t>
  </si>
  <si>
    <t>Bowling Green KY</t>
  </si>
  <si>
    <t>Bowling Green, KY</t>
  </si>
  <si>
    <t>Guayama PR</t>
  </si>
  <si>
    <t>Guayama, PR</t>
  </si>
  <si>
    <t>New Philadelphia-Dover OH</t>
  </si>
  <si>
    <t>New Philadelphia, OH</t>
  </si>
  <si>
    <t>Cape Girardeau-Jackson MO-IL</t>
  </si>
  <si>
    <t>Cape Girardeau, IL</t>
  </si>
  <si>
    <t>Sandusky OH</t>
  </si>
  <si>
    <t>Sandusky, OH</t>
  </si>
  <si>
    <t>Springfield OH</t>
  </si>
  <si>
    <t>Springfield, OH</t>
  </si>
  <si>
    <t>Coeur d'Alene ID</t>
  </si>
  <si>
    <t>Coeur d'Alene, ID</t>
  </si>
  <si>
    <t>Meridian MS</t>
  </si>
  <si>
    <t>Meridian, MS</t>
  </si>
  <si>
    <t>Ithaca NY</t>
  </si>
  <si>
    <t>Ithaca, NY</t>
  </si>
  <si>
    <t>Gainesville GA</t>
  </si>
  <si>
    <t>Gainesville, GA</t>
  </si>
  <si>
    <t>Warner Robins GA</t>
  </si>
  <si>
    <t>Warner Robins, GA</t>
  </si>
  <si>
    <t>Idaho Falls ID</t>
  </si>
  <si>
    <t>Idaho Falls, ID</t>
  </si>
  <si>
    <t>Cheyenne WY</t>
  </si>
  <si>
    <t>Cheyenne, WY</t>
  </si>
  <si>
    <t>Sumter SC</t>
  </si>
  <si>
    <t>Sumter, SC</t>
  </si>
  <si>
    <t>Lumberton NC</t>
  </si>
  <si>
    <t>Lumberton, NC</t>
  </si>
  <si>
    <t>New Bern NC</t>
  </si>
  <si>
    <t>New Bern, NC</t>
  </si>
  <si>
    <t>Pocatello ID</t>
  </si>
  <si>
    <t>Pocatello, ID</t>
  </si>
  <si>
    <t>Marshfield-Wisconsin Rapids WI</t>
  </si>
  <si>
    <t>Marshfield, WI</t>
  </si>
  <si>
    <t>Champaign-Urbana IL</t>
  </si>
  <si>
    <t>Champaign, IL</t>
  </si>
  <si>
    <t>Elizabethtown KY</t>
  </si>
  <si>
    <t>Elizabethtown, KY</t>
  </si>
  <si>
    <t>Key West FL</t>
  </si>
  <si>
    <t>Key West, FL</t>
  </si>
  <si>
    <t>Victoria TX</t>
  </si>
  <si>
    <t>Victoria, TX</t>
  </si>
  <si>
    <t>Wenatchee WA</t>
  </si>
  <si>
    <t>Wenatchee, WA</t>
  </si>
  <si>
    <t>Hilo HI</t>
  </si>
  <si>
    <t>Hilo, HI</t>
  </si>
  <si>
    <t>Fajardo PR</t>
  </si>
  <si>
    <t>Fajardo, PR</t>
  </si>
  <si>
    <t>Brunswick GA</t>
  </si>
  <si>
    <t>Brunswick, GA</t>
  </si>
  <si>
    <t>Manitowoc WI</t>
  </si>
  <si>
    <t>Manitowoc, WI</t>
  </si>
  <si>
    <t>Twin Falls ID</t>
  </si>
  <si>
    <t>Twin Falls, ID</t>
  </si>
  <si>
    <t>Fond du Lac WI</t>
  </si>
  <si>
    <t>Fond du Lac, WI</t>
  </si>
  <si>
    <t>Homosassa Springs FL</t>
  </si>
  <si>
    <t>Homosassa Springs, FL</t>
  </si>
  <si>
    <t>Shelby NC</t>
  </si>
  <si>
    <t>Shelby, NC</t>
  </si>
  <si>
    <t>Brainerd MN</t>
  </si>
  <si>
    <t>Brainerd, MN</t>
  </si>
  <si>
    <t>Rome GA</t>
  </si>
  <si>
    <t>Rome, GA</t>
  </si>
  <si>
    <t>Roseburg OR</t>
  </si>
  <si>
    <t>Roseburg, OR</t>
  </si>
  <si>
    <t>Quincy IL-MO</t>
  </si>
  <si>
    <t>Quincy, IL</t>
  </si>
  <si>
    <t>Roanoke Rapids NC</t>
  </si>
  <si>
    <t>Roanoke Rapids, NC</t>
  </si>
  <si>
    <t>Anniston-Oxford AL</t>
  </si>
  <si>
    <t>Anniston, AL</t>
  </si>
  <si>
    <t>Decatur IL</t>
  </si>
  <si>
    <t>Decatur, IL</t>
  </si>
  <si>
    <t>Mount Airy NC</t>
  </si>
  <si>
    <t>Mount Airy, NC</t>
  </si>
  <si>
    <t>Adrian MI</t>
  </si>
  <si>
    <t>Adrian, MI</t>
  </si>
  <si>
    <t>San Angelo TX</t>
  </si>
  <si>
    <t>San Angelo, TX</t>
  </si>
  <si>
    <t>Traverse City MI</t>
  </si>
  <si>
    <t>Traverse City, MI</t>
  </si>
  <si>
    <t>Anderson IN</t>
  </si>
  <si>
    <t>Anderson, IN</t>
  </si>
  <si>
    <t>Meadville PA</t>
  </si>
  <si>
    <t>Meadville, PA</t>
  </si>
  <si>
    <t>Gettysburg PA</t>
  </si>
  <si>
    <t>Gettysburg, PA</t>
  </si>
  <si>
    <t>Tullahoma TN</t>
  </si>
  <si>
    <t>Tullahoma, TN</t>
  </si>
  <si>
    <t>Greenville NC</t>
  </si>
  <si>
    <t>Greenville, NC</t>
  </si>
  <si>
    <t>Grants Pass OR</t>
  </si>
  <si>
    <t>Grants Pass, OR</t>
  </si>
  <si>
    <t>St. George UT</t>
  </si>
  <si>
    <t>St. George, UT</t>
  </si>
  <si>
    <t>Auburn NY</t>
  </si>
  <si>
    <t>Auburn, NY</t>
  </si>
  <si>
    <t>Salisbury MD</t>
  </si>
  <si>
    <t>Salisbury, MD</t>
  </si>
  <si>
    <t>Richmond IN</t>
  </si>
  <si>
    <t>Richmond, IN</t>
  </si>
  <si>
    <t>Statesville-Mooresville NC</t>
  </si>
  <si>
    <t>Statesville, NC</t>
  </si>
  <si>
    <t>Lexington Park MD</t>
  </si>
  <si>
    <t>Lexington Park, MD</t>
  </si>
  <si>
    <t>Moses Lake WA</t>
  </si>
  <si>
    <t>Moses Lake, WA</t>
  </si>
  <si>
    <t>Beaver Dam WI</t>
  </si>
  <si>
    <t>Beaver Dam, WI</t>
  </si>
  <si>
    <t>Bend OR</t>
  </si>
  <si>
    <t>Bend, OR</t>
  </si>
  <si>
    <t>Searcy AR</t>
  </si>
  <si>
    <t>Searcy, AR</t>
  </si>
  <si>
    <t>Dunn NC</t>
  </si>
  <si>
    <t>Dunn, NC</t>
  </si>
  <si>
    <t>Gallup NM</t>
  </si>
  <si>
    <t>Gallup, NM</t>
  </si>
  <si>
    <t>Talladega-Sylacauga AL</t>
  </si>
  <si>
    <t>Talladega, AL</t>
  </si>
  <si>
    <t>Orangeburg SC</t>
  </si>
  <si>
    <t>Orangeburg, SC</t>
  </si>
  <si>
    <t>Plattsburgh NY</t>
  </si>
  <si>
    <t>Plattsburgh, NY</t>
  </si>
  <si>
    <t>Oshkosh-Neenah WI</t>
  </si>
  <si>
    <t>Oshkosh, WI</t>
  </si>
  <si>
    <t>Madera CA</t>
  </si>
  <si>
    <t>Madera, CA</t>
  </si>
  <si>
    <t>Harrisonburg VA</t>
  </si>
  <si>
    <t>Harrisonburg, VA</t>
  </si>
  <si>
    <t>Danville IL</t>
  </si>
  <si>
    <t>Danville, IL</t>
  </si>
  <si>
    <t>Lima OH</t>
  </si>
  <si>
    <t>Lima, OH</t>
  </si>
  <si>
    <t>Olean NY</t>
  </si>
  <si>
    <t>Olean, NY</t>
  </si>
  <si>
    <t>Zanesville OH</t>
  </si>
  <si>
    <t>Zanesville, OH</t>
  </si>
  <si>
    <t>Manhattan KS</t>
  </si>
  <si>
    <t>Manhattan, KS</t>
  </si>
  <si>
    <t>Centralia WA</t>
  </si>
  <si>
    <t>Centralia, WA</t>
  </si>
  <si>
    <t>Aberdeen WA</t>
  </si>
  <si>
    <t>Aberdeen, WA</t>
  </si>
  <si>
    <t>El Centro CA</t>
  </si>
  <si>
    <t>El Centro, CA</t>
  </si>
  <si>
    <t>Valdosta GA</t>
  </si>
  <si>
    <t>Valdosta, GA</t>
  </si>
  <si>
    <t>Jonesboro AR</t>
  </si>
  <si>
    <t>Jonesboro, AR</t>
  </si>
  <si>
    <t>Eureka-Arcata-Fortuna CA</t>
  </si>
  <si>
    <t>Eureka, CA</t>
  </si>
  <si>
    <t>Casper WY</t>
  </si>
  <si>
    <t>Casper, WY</t>
  </si>
  <si>
    <t>Galesburg IL</t>
  </si>
  <si>
    <t>Galesburg, IL</t>
  </si>
  <si>
    <t>Odessa TX</t>
  </si>
  <si>
    <t>Odessa, TX</t>
  </si>
  <si>
    <t>Beckley WV</t>
  </si>
  <si>
    <t>Beckley, WV</t>
  </si>
  <si>
    <t>Grand Island NE</t>
  </si>
  <si>
    <t>Grand Island, NE</t>
  </si>
  <si>
    <t>DuBois PA</t>
  </si>
  <si>
    <t>DuBois, PA</t>
  </si>
  <si>
    <t>Port Angeles WA</t>
  </si>
  <si>
    <t>Port Angeles, WA</t>
  </si>
  <si>
    <t>Stillwater OK</t>
  </si>
  <si>
    <t>Stillwater, OK</t>
  </si>
  <si>
    <t>Sebring FL</t>
  </si>
  <si>
    <t>Sebring, FL</t>
  </si>
  <si>
    <t>Seneca SC</t>
  </si>
  <si>
    <t>Seneca, SC</t>
  </si>
  <si>
    <t>Bloomsburg-Berwick PA</t>
  </si>
  <si>
    <t>Bloomsburg, PA</t>
  </si>
  <si>
    <t>Minot ND</t>
  </si>
  <si>
    <t>Minot, ND</t>
  </si>
  <si>
    <t>Stevens Point WI</t>
  </si>
  <si>
    <t>Stevens Point, WI</t>
  </si>
  <si>
    <t>Enterprise-Ozark AL</t>
  </si>
  <si>
    <t>Enterprise, AL</t>
  </si>
  <si>
    <t>Rutland VT</t>
  </si>
  <si>
    <t>Rutland, VT</t>
  </si>
  <si>
    <t>Janesville WI</t>
  </si>
  <si>
    <t>Janesville, WI</t>
  </si>
  <si>
    <t>Greenville MS</t>
  </si>
  <si>
    <t>Greenville, MS</t>
  </si>
  <si>
    <t>Huntsville TX</t>
  </si>
  <si>
    <t>Huntsville, TX</t>
  </si>
  <si>
    <t>Albany GA</t>
  </si>
  <si>
    <t>Albany, GA</t>
  </si>
  <si>
    <t>Marion OH</t>
  </si>
  <si>
    <t>Marion, OH</t>
  </si>
  <si>
    <t>Hinesville-Fort Stewart GA</t>
  </si>
  <si>
    <t>Hinesville, GA</t>
  </si>
  <si>
    <t>Kalispell MT</t>
  </si>
  <si>
    <t>Kalispell, MT</t>
  </si>
  <si>
    <t>Sterling IL</t>
  </si>
  <si>
    <t>Sterling, IL</t>
  </si>
  <si>
    <t>Carbondale IL</t>
  </si>
  <si>
    <t>Carbondale, IL</t>
  </si>
  <si>
    <t>Roswell NM</t>
  </si>
  <si>
    <t>Roswell, NM</t>
  </si>
  <si>
    <t>Findlay OH</t>
  </si>
  <si>
    <t>Findlay, OH</t>
  </si>
  <si>
    <t>Norwalk OH</t>
  </si>
  <si>
    <t>Norwalk, OH</t>
  </si>
  <si>
    <t>State College PA</t>
  </si>
  <si>
    <t>State College, PA</t>
  </si>
  <si>
    <t>Shawnee OK</t>
  </si>
  <si>
    <t>Shawnee, OK</t>
  </si>
  <si>
    <t>North Wilkesboro NC</t>
  </si>
  <si>
    <t>North Wilkesboro, NC</t>
  </si>
  <si>
    <t>Elkhart-Goshen IN</t>
  </si>
  <si>
    <t>Elkhart, IN</t>
  </si>
  <si>
    <t>Jackson TN</t>
  </si>
  <si>
    <t>Jackson, TN</t>
  </si>
  <si>
    <t>Sevierville TN</t>
  </si>
  <si>
    <t>Sevierville, TN</t>
  </si>
  <si>
    <t>Greenwood SC</t>
  </si>
  <si>
    <t>Greenwood, SC</t>
  </si>
  <si>
    <t>Hammond LA</t>
  </si>
  <si>
    <t>Hammond, LA</t>
  </si>
  <si>
    <t>Albemarle NC</t>
  </si>
  <si>
    <t>Albemarle, NC</t>
  </si>
  <si>
    <t>Marinette WI-MI</t>
  </si>
  <si>
    <t>Marinette, WI</t>
  </si>
  <si>
    <t>Sanford NC</t>
  </si>
  <si>
    <t>Sanford, NC</t>
  </si>
  <si>
    <t>Kankakee-Bradley IL</t>
  </si>
  <si>
    <t>Kankakee, IL</t>
  </si>
  <si>
    <t>Klamath Falls OR</t>
  </si>
  <si>
    <t>Klamath Falls, OR</t>
  </si>
  <si>
    <t>Keene NH</t>
  </si>
  <si>
    <t>Keene, NH</t>
  </si>
  <si>
    <t>Oneonta NY</t>
  </si>
  <si>
    <t>Oneonta, NY</t>
  </si>
  <si>
    <t>Amsterdam NY</t>
  </si>
  <si>
    <t>Amsterdam, NY</t>
  </si>
  <si>
    <t>Tiffin OH</t>
  </si>
  <si>
    <t>Tiffin, OH</t>
  </si>
  <si>
    <t>Winchester VA-WV</t>
  </si>
  <si>
    <t>Winchester, VA</t>
  </si>
  <si>
    <t>Fairbanks AK</t>
  </si>
  <si>
    <t>Fairbanks, AK</t>
  </si>
  <si>
    <t>Batavia NY</t>
  </si>
  <si>
    <t>Batavia, NY</t>
  </si>
  <si>
    <t>Southern Pines-Pinehurst NC</t>
  </si>
  <si>
    <t>Southern Pines, NC</t>
  </si>
  <si>
    <t>Palestine TX</t>
  </si>
  <si>
    <t>Palestine, TX</t>
  </si>
  <si>
    <t>Barre VT</t>
  </si>
  <si>
    <t>Barre, VT</t>
  </si>
  <si>
    <t>Salina KS</t>
  </si>
  <si>
    <t>Salina, KS</t>
  </si>
  <si>
    <t>Goldsboro NC</t>
  </si>
  <si>
    <t>Goldsboro, NC</t>
  </si>
  <si>
    <t>Kahului-Wailuku HI</t>
  </si>
  <si>
    <t>Kahului, HI</t>
  </si>
  <si>
    <t>Harriman TN</t>
  </si>
  <si>
    <t>Harriman, TN</t>
  </si>
  <si>
    <t>Alamogordo NM</t>
  </si>
  <si>
    <t>Alamogordo, NM</t>
  </si>
  <si>
    <t>Marion-Herrin IL</t>
  </si>
  <si>
    <t>Marion, IL</t>
  </si>
  <si>
    <t>Ruston LA</t>
  </si>
  <si>
    <t>Ruston, LA</t>
  </si>
  <si>
    <t>Watertown-Fort Atkinson WI</t>
  </si>
  <si>
    <t>Watertown, WI</t>
  </si>
  <si>
    <t>Natchez MS-LA</t>
  </si>
  <si>
    <t>Natchez, MS</t>
  </si>
  <si>
    <t>Muskogee OK</t>
  </si>
  <si>
    <t>Muskogee, OK</t>
  </si>
  <si>
    <t>Milledgeville GA</t>
  </si>
  <si>
    <t>Milledgeville, GA</t>
  </si>
  <si>
    <t>Corvallis OR</t>
  </si>
  <si>
    <t>Corvallis, OR</t>
  </si>
  <si>
    <t>Wapakoneta OH</t>
  </si>
  <si>
    <t>Wapakoneta, OH</t>
  </si>
  <si>
    <t>Mount Pleasant MI</t>
  </si>
  <si>
    <t>Mount Pleasant, MI</t>
  </si>
  <si>
    <t>Elmira NY</t>
  </si>
  <si>
    <t>Elmira, NY</t>
  </si>
  <si>
    <t>Dover DE</t>
  </si>
  <si>
    <t>Dover, DE</t>
  </si>
  <si>
    <t>Farmington MO</t>
  </si>
  <si>
    <t>Farmington, MO</t>
  </si>
  <si>
    <t>Somerset KY</t>
  </si>
  <si>
    <t>Somerset, KY</t>
  </si>
  <si>
    <t>Lincolnton NC</t>
  </si>
  <si>
    <t>Lincolnton, NC</t>
  </si>
  <si>
    <t>Albany-Lebanon OR</t>
  </si>
  <si>
    <t>Albany, OR</t>
  </si>
  <si>
    <t>Forest City NC</t>
  </si>
  <si>
    <t>Forest City, NC</t>
  </si>
  <si>
    <t>Statesboro GA</t>
  </si>
  <si>
    <t>Statesboro, GA</t>
  </si>
  <si>
    <t>Hobbs NM</t>
  </si>
  <si>
    <t>Hobbs, NM</t>
  </si>
  <si>
    <t>Rio Grande City-Roma TX</t>
  </si>
  <si>
    <t>Rio Grande City, TX</t>
  </si>
  <si>
    <t>Laurel MS</t>
  </si>
  <si>
    <t>Laurel, MS</t>
  </si>
  <si>
    <t>Laconia NH</t>
  </si>
  <si>
    <t>Laconia, NH</t>
  </si>
  <si>
    <t>Corning NY</t>
  </si>
  <si>
    <t>Corning, NY</t>
  </si>
  <si>
    <t>Fremont OH</t>
  </si>
  <si>
    <t>Fremont, OH</t>
  </si>
  <si>
    <t>Ames IA</t>
  </si>
  <si>
    <t>Ames, IA</t>
  </si>
  <si>
    <t>Carlsbad-Artesia NM</t>
  </si>
  <si>
    <t>Carlsbad, NM</t>
  </si>
  <si>
    <t>Georgetown SC</t>
  </si>
  <si>
    <t>Georgetown, SC</t>
  </si>
  <si>
    <t>Yuma AZ</t>
  </si>
  <si>
    <t>Yuma, AZ</t>
  </si>
  <si>
    <t>Indiana PA</t>
  </si>
  <si>
    <t>Indiana, PA</t>
  </si>
  <si>
    <t>Jasper IN</t>
  </si>
  <si>
    <t>Jasper, IN</t>
  </si>
  <si>
    <t>Point Pleasant WV-OH</t>
  </si>
  <si>
    <t>Point Pleasant, WV</t>
  </si>
  <si>
    <t>Great Falls MT</t>
  </si>
  <si>
    <t>Great Falls, MT</t>
  </si>
  <si>
    <t>Greeneville TN</t>
  </si>
  <si>
    <t>Greeneville, TN</t>
  </si>
  <si>
    <t>Morgan City LA</t>
  </si>
  <si>
    <t>Morgan City, LA</t>
  </si>
  <si>
    <t>Fort Polk South LA</t>
  </si>
  <si>
    <t>Fort Polk South, LA</t>
  </si>
  <si>
    <t>Mason City IA</t>
  </si>
  <si>
    <t>Mason City, IA</t>
  </si>
  <si>
    <t>Kearney NE</t>
  </si>
  <si>
    <t>Kearney, NE</t>
  </si>
  <si>
    <t>Athens OH</t>
  </si>
  <si>
    <t>Athens, OH</t>
  </si>
  <si>
    <t>Gloversville NY</t>
  </si>
  <si>
    <t>Gloversville, NY</t>
  </si>
  <si>
    <t>Vicksburg MS</t>
  </si>
  <si>
    <t>Vicksburg, MS</t>
  </si>
  <si>
    <t>Portsmouth OH</t>
  </si>
  <si>
    <t>Portsmouth, OH</t>
  </si>
  <si>
    <t>Elizabeth City NC</t>
  </si>
  <si>
    <t>Elizabeth City, NC</t>
  </si>
  <si>
    <t>Malone NY</t>
  </si>
  <si>
    <t>Malone, NY</t>
  </si>
  <si>
    <t>Picayune MS</t>
  </si>
  <si>
    <t>Picayune, MS</t>
  </si>
  <si>
    <t>Wilson NC</t>
  </si>
  <si>
    <t>Wilson, NC</t>
  </si>
  <si>
    <t>Frankfort KY</t>
  </si>
  <si>
    <t>Frankfort, KY</t>
  </si>
  <si>
    <t>McComb MS</t>
  </si>
  <si>
    <t>McComb, MS</t>
  </si>
  <si>
    <t>Corbin KY</t>
  </si>
  <si>
    <t>Corbin, KY</t>
  </si>
  <si>
    <t>Branson MO</t>
  </si>
  <si>
    <t>Branson, MO</t>
  </si>
  <si>
    <t>Burlington IA-IL</t>
  </si>
  <si>
    <t>Burlington, IA</t>
  </si>
  <si>
    <t>Clinton IA</t>
  </si>
  <si>
    <t>Clinton, IA</t>
  </si>
  <si>
    <t>Lewistown PA</t>
  </si>
  <si>
    <t>Lewistown, PA</t>
  </si>
  <si>
    <t>Fairmont WV</t>
  </si>
  <si>
    <t>Fairmont, WV</t>
  </si>
  <si>
    <t>Dublin GA</t>
  </si>
  <si>
    <t>Dublin, GA</t>
  </si>
  <si>
    <t>Ardmore OK</t>
  </si>
  <si>
    <t>Ardmore, OK</t>
  </si>
  <si>
    <t>Bedford IN</t>
  </si>
  <si>
    <t>Bedford, IN</t>
  </si>
  <si>
    <t>Cortland NY</t>
  </si>
  <si>
    <t>Cortland, NY</t>
  </si>
  <si>
    <t>Payson AZ</t>
  </si>
  <si>
    <t>Payson, AZ</t>
  </si>
  <si>
    <t>Sebastian-Vero Beach FL</t>
  </si>
  <si>
    <t>Sebastian, FL</t>
  </si>
  <si>
    <t>Eagle Pass TX</t>
  </si>
  <si>
    <t>Eagle Pass, TX</t>
  </si>
  <si>
    <t>Edwards CO</t>
  </si>
  <si>
    <t>Edwards, CO</t>
  </si>
  <si>
    <t>Bucyrus OH</t>
  </si>
  <si>
    <t>Bucyrus, OH</t>
  </si>
  <si>
    <t>Blytheville AR</t>
  </si>
  <si>
    <t>Blytheville, AR</t>
  </si>
  <si>
    <t>Pendleton-Hermiston OR</t>
  </si>
  <si>
    <t>Pendleton, OR</t>
  </si>
  <si>
    <t>Ponca City OK</t>
  </si>
  <si>
    <t>Ponca City, OK</t>
  </si>
  <si>
    <t>Shelton WA</t>
  </si>
  <si>
    <t>Shelton, WA</t>
  </si>
  <si>
    <t>Winona MN</t>
  </si>
  <si>
    <t>Winona, MN</t>
  </si>
  <si>
    <t>Mount Vernon IL</t>
  </si>
  <si>
    <t>Mount Vernon, IL</t>
  </si>
  <si>
    <t>Granbury TX</t>
  </si>
  <si>
    <t>Granbury, TX</t>
  </si>
  <si>
    <t>Lufkin TX</t>
  </si>
  <si>
    <t>Lufkin, TX</t>
  </si>
  <si>
    <t>New Castle IN</t>
  </si>
  <si>
    <t>New Castle, IN</t>
  </si>
  <si>
    <t>Thomasville GA</t>
  </si>
  <si>
    <t>Thomasville, GA</t>
  </si>
  <si>
    <t>Freeport IL</t>
  </si>
  <si>
    <t>Freeport, IL</t>
  </si>
  <si>
    <t>Abbeville LA</t>
  </si>
  <si>
    <t>Abbeville, LA</t>
  </si>
  <si>
    <t>Centralia IL</t>
  </si>
  <si>
    <t>Centralia, IL</t>
  </si>
  <si>
    <t>Dalton GA</t>
  </si>
  <si>
    <t>Dalton, GA</t>
  </si>
  <si>
    <t>Henderson NC</t>
  </si>
  <si>
    <t>Henderson, NC</t>
  </si>
  <si>
    <t>Kokomo IN</t>
  </si>
  <si>
    <t>Kokomo, IN</t>
  </si>
  <si>
    <t>Allegan MI</t>
  </si>
  <si>
    <t>Allegan, MI</t>
  </si>
  <si>
    <t>Greenwood MS</t>
  </si>
  <si>
    <t>Greenwood, MS</t>
  </si>
  <si>
    <t>Ocean Pines MD</t>
  </si>
  <si>
    <t>Ocean Pines, MD</t>
  </si>
  <si>
    <t>Carson City NV</t>
  </si>
  <si>
    <t>Carson City, NV</t>
  </si>
  <si>
    <t>Canon City CO</t>
  </si>
  <si>
    <t>Canon City, CO</t>
  </si>
  <si>
    <t>Elko NV</t>
  </si>
  <si>
    <t>Elko, NV</t>
  </si>
  <si>
    <t>Paris TX</t>
  </si>
  <si>
    <t>Paris, TX</t>
  </si>
  <si>
    <t>Oak Hill WV</t>
  </si>
  <si>
    <t>Oak Hill, WV</t>
  </si>
  <si>
    <t>Del Rio TX</t>
  </si>
  <si>
    <t>Del Rio, TX</t>
  </si>
  <si>
    <t>Fort Madison-Keokuk IA-MO</t>
  </si>
  <si>
    <t>Fort Madison, MO</t>
  </si>
  <si>
    <t>Clovis NM</t>
  </si>
  <si>
    <t>Clovis, NM</t>
  </si>
  <si>
    <t>Durango CO</t>
  </si>
  <si>
    <t>Durango, CO</t>
  </si>
  <si>
    <t>Norfolk NE</t>
  </si>
  <si>
    <t>Norfolk, NE</t>
  </si>
  <si>
    <t>Harrison AR</t>
  </si>
  <si>
    <t>Harrison, AR</t>
  </si>
  <si>
    <t>Ashland OH</t>
  </si>
  <si>
    <t>Ashland, OH</t>
  </si>
  <si>
    <t>Fort Leonard Wood MO</t>
  </si>
  <si>
    <t>Fort Leonard Wood, MO</t>
  </si>
  <si>
    <t>Danville KY</t>
  </si>
  <si>
    <t>Danville, KY</t>
  </si>
  <si>
    <t>Somerset PA</t>
  </si>
  <si>
    <t>Somerset, PA</t>
  </si>
  <si>
    <t>Selma AL</t>
  </si>
  <si>
    <t>Selma, AL</t>
  </si>
  <si>
    <t>Sikeston MO</t>
  </si>
  <si>
    <t>Sikeston, MO</t>
  </si>
  <si>
    <t>Espanola NM</t>
  </si>
  <si>
    <t>Espanola, NM</t>
  </si>
  <si>
    <t>Oil City PA</t>
  </si>
  <si>
    <t>Oil City, PA</t>
  </si>
  <si>
    <t>Crossville TN</t>
  </si>
  <si>
    <t>Crossville, TN</t>
  </si>
  <si>
    <t>Mount Vernon OH</t>
  </si>
  <si>
    <t>Mount Vernon, OH</t>
  </si>
  <si>
    <t>Fergus Falls MN</t>
  </si>
  <si>
    <t>Fergus Falls, MN</t>
  </si>
  <si>
    <t>London KY</t>
  </si>
  <si>
    <t>London, KY</t>
  </si>
  <si>
    <t>Lewisburg PA</t>
  </si>
  <si>
    <t>Lewisburg, PA</t>
  </si>
  <si>
    <t>Albertville AL</t>
  </si>
  <si>
    <t>Albertville, AL</t>
  </si>
  <si>
    <t>Oak Harbor WA</t>
  </si>
  <si>
    <t>Oak Harbor, WA</t>
  </si>
  <si>
    <t>Phoenix Lake-Cedar Ridge CA</t>
  </si>
  <si>
    <t>Phoenix Lake, CA</t>
  </si>
  <si>
    <t>Palm Coast FL</t>
  </si>
  <si>
    <t>Palm Coast, FL</t>
  </si>
  <si>
    <t>Clearlake CA</t>
  </si>
  <si>
    <t>Clearlake, CA</t>
  </si>
  <si>
    <t>Cleveland MS</t>
  </si>
  <si>
    <t>Cleveland, MS</t>
  </si>
  <si>
    <t>Starkville MS</t>
  </si>
  <si>
    <t>Starkville, MS</t>
  </si>
  <si>
    <t>El Dorado AR</t>
  </si>
  <si>
    <t>El Dorado, AR</t>
  </si>
  <si>
    <t>Marion IN</t>
  </si>
  <si>
    <t>Marion, IN</t>
  </si>
  <si>
    <t>Marquette MI</t>
  </si>
  <si>
    <t>Marquette, MI</t>
  </si>
  <si>
    <t>Berlin NH-VT</t>
  </si>
  <si>
    <t>Berlin, NH</t>
  </si>
  <si>
    <t>Nogales AZ</t>
  </si>
  <si>
    <t>Nogales, AZ</t>
  </si>
  <si>
    <t>Jacksonville IL</t>
  </si>
  <si>
    <t>Jacksonville, IL</t>
  </si>
  <si>
    <t>Bartlesville OK</t>
  </si>
  <si>
    <t>Bartlesville, OK</t>
  </si>
  <si>
    <t>Tifton GA</t>
  </si>
  <si>
    <t>Tifton, GA</t>
  </si>
  <si>
    <t>Baraboo WI</t>
  </si>
  <si>
    <t>Baraboo, WI</t>
  </si>
  <si>
    <t>Jacksonville TX</t>
  </si>
  <si>
    <t>Jacksonville, TX</t>
  </si>
  <si>
    <t>Glasgow KY</t>
  </si>
  <si>
    <t>Glasgow, KY</t>
  </si>
  <si>
    <t>Sheboygan WI</t>
  </si>
  <si>
    <t>Sheboygan, WI</t>
  </si>
  <si>
    <t>Seymour IN</t>
  </si>
  <si>
    <t>Seymour, IN</t>
  </si>
  <si>
    <t>Rochelle IL</t>
  </si>
  <si>
    <t>Rochelle, IL</t>
  </si>
  <si>
    <t>Mount Sterling KY</t>
  </si>
  <si>
    <t>Mount Sterling, KY</t>
  </si>
  <si>
    <t>Okeechobee FL</t>
  </si>
  <si>
    <t>Okeechobee, FL</t>
  </si>
  <si>
    <t>Red Wing MN</t>
  </si>
  <si>
    <t>Red Wing, MN</t>
  </si>
  <si>
    <t>Huntington IN</t>
  </si>
  <si>
    <t>Huntington, IN</t>
  </si>
  <si>
    <t>Boone NC</t>
  </si>
  <si>
    <t>Boone, NC</t>
  </si>
  <si>
    <t>El Campo TX</t>
  </si>
  <si>
    <t>El Campo, TX</t>
  </si>
  <si>
    <t>Owosso MI</t>
  </si>
  <si>
    <t>Owosso, MI</t>
  </si>
  <si>
    <t>Rolla MO</t>
  </si>
  <si>
    <t>Rolla, MO</t>
  </si>
  <si>
    <t>Rexburg ID</t>
  </si>
  <si>
    <t>Rexburg, ID</t>
  </si>
  <si>
    <t>Cambridge OH</t>
  </si>
  <si>
    <t>Cambridge, OH</t>
  </si>
  <si>
    <t>Blackfoot ID</t>
  </si>
  <si>
    <t>Blackfoot, ID</t>
  </si>
  <si>
    <t>Kendallville IN</t>
  </si>
  <si>
    <t>Kendallville, IN</t>
  </si>
  <si>
    <t>Brigham City UT</t>
  </si>
  <si>
    <t>Brigham City, UT</t>
  </si>
  <si>
    <t>Columbus MS</t>
  </si>
  <si>
    <t>Columbus, MS</t>
  </si>
  <si>
    <t>Auburn IN</t>
  </si>
  <si>
    <t>Auburn, IN</t>
  </si>
  <si>
    <t>Corsicana TX</t>
  </si>
  <si>
    <t>Corsicana, TX</t>
  </si>
  <si>
    <t>Grand Forks ND-MN</t>
  </si>
  <si>
    <t>Grand Forks, ND</t>
  </si>
  <si>
    <t>Bradford PA</t>
  </si>
  <si>
    <t>Bradford, PA</t>
  </si>
  <si>
    <t>Bogalusa LA</t>
  </si>
  <si>
    <t>Bogalusa, LA</t>
  </si>
  <si>
    <t>Moultrie GA</t>
  </si>
  <si>
    <t>Moultrie, GA</t>
  </si>
  <si>
    <t>Aberdeen SD</t>
  </si>
  <si>
    <t>Aberdeen, SD</t>
  </si>
  <si>
    <t>Bemidji MN</t>
  </si>
  <si>
    <t>Bemidji, MN</t>
  </si>
  <si>
    <t>Coamo PR</t>
  </si>
  <si>
    <t>Coamo, PR</t>
  </si>
  <si>
    <t>Alexander City AL</t>
  </si>
  <si>
    <t>Alexander City, AL</t>
  </si>
  <si>
    <t>Austin MN</t>
  </si>
  <si>
    <t>Austin, MN</t>
  </si>
  <si>
    <t>West Plains MO</t>
  </si>
  <si>
    <t>West Plains, MO</t>
  </si>
  <si>
    <t>Athens TX</t>
  </si>
  <si>
    <t>Athens, TX</t>
  </si>
  <si>
    <t>Poplar Bluff MO</t>
  </si>
  <si>
    <t>Poplar Bluff, MO</t>
  </si>
  <si>
    <t>Bellefontaine OH</t>
  </si>
  <si>
    <t>Bellefontaine, OH</t>
  </si>
  <si>
    <t>Kinston NC</t>
  </si>
  <si>
    <t>Kinston, NC</t>
  </si>
  <si>
    <t>Rock Springs WY</t>
  </si>
  <si>
    <t>Rock Springs, WY</t>
  </si>
  <si>
    <t>Sayre PA</t>
  </si>
  <si>
    <t>Sayre, PA</t>
  </si>
  <si>
    <t>Bennington VT</t>
  </si>
  <si>
    <t>Bennington, VT</t>
  </si>
  <si>
    <t>Mankato-North Mankato MN</t>
  </si>
  <si>
    <t>Mankato, MN</t>
  </si>
  <si>
    <t>Burley ID</t>
  </si>
  <si>
    <t>Burley, ID</t>
  </si>
  <si>
    <t>Dixon IL</t>
  </si>
  <si>
    <t>Dixon, IL</t>
  </si>
  <si>
    <t>Canton IL</t>
  </si>
  <si>
    <t>Canton, IL</t>
  </si>
  <si>
    <t>Russellville AR</t>
  </si>
  <si>
    <t>Russellville, AR</t>
  </si>
  <si>
    <t>Hastings NE</t>
  </si>
  <si>
    <t>Hastings, NE</t>
  </si>
  <si>
    <t>Charleston-Mattoon IL</t>
  </si>
  <si>
    <t>Charleston, IL</t>
  </si>
  <si>
    <t>Pittsburg KS</t>
  </si>
  <si>
    <t>Pittsburg, KS</t>
  </si>
  <si>
    <t>Mountain Home AR</t>
  </si>
  <si>
    <t>Mountain Home, AR</t>
  </si>
  <si>
    <t>Brownwood TX</t>
  </si>
  <si>
    <t>Brownwood, TX</t>
  </si>
  <si>
    <t>Oxford MS</t>
  </si>
  <si>
    <t>Oxford, MS</t>
  </si>
  <si>
    <t>Fort Dodge IA</t>
  </si>
  <si>
    <t>Fort Dodge, IA</t>
  </si>
  <si>
    <t>Winfield KS</t>
  </si>
  <si>
    <t>Winfield, KS</t>
  </si>
  <si>
    <t>McAlester OK</t>
  </si>
  <si>
    <t>McAlester, OK</t>
  </si>
  <si>
    <t>Vincennes IN</t>
  </si>
  <si>
    <t>Vincennes, IN</t>
  </si>
  <si>
    <t>Ada OK</t>
  </si>
  <si>
    <t>Ada, OK</t>
  </si>
  <si>
    <t>Pullman WA</t>
  </si>
  <si>
    <t>Pullman, WA</t>
  </si>
  <si>
    <t>Emporia KS</t>
  </si>
  <si>
    <t>Emporia, KS</t>
  </si>
  <si>
    <t>Sault Ste. Marie MI</t>
  </si>
  <si>
    <t>Sault Ste. Marie, MI</t>
  </si>
  <si>
    <t>Plymouth IN</t>
  </si>
  <si>
    <t>Plymouth, IN</t>
  </si>
  <si>
    <t>Valley AL</t>
  </si>
  <si>
    <t>Valley, AL</t>
  </si>
  <si>
    <t>Chester SC</t>
  </si>
  <si>
    <t>Chester, SC</t>
  </si>
  <si>
    <t>Hanford-Corcoran CA</t>
  </si>
  <si>
    <t>Hanford, CA</t>
  </si>
  <si>
    <t>Utuado PR</t>
  </si>
  <si>
    <t>Utuado, PR</t>
  </si>
  <si>
    <t>Marshall TX</t>
  </si>
  <si>
    <t>Marshall, TX</t>
  </si>
  <si>
    <t>Alice TX</t>
  </si>
  <si>
    <t>Alice, TX</t>
  </si>
  <si>
    <t>Sedalia MO</t>
  </si>
  <si>
    <t>Sedalia, MO</t>
  </si>
  <si>
    <t>Taylorville IL</t>
  </si>
  <si>
    <t>Taylorville, IL</t>
  </si>
  <si>
    <t>Bay City TX</t>
  </si>
  <si>
    <t>Bay City, TX</t>
  </si>
  <si>
    <t>Fort Payne AL</t>
  </si>
  <si>
    <t>Fort Payne, AL</t>
  </si>
  <si>
    <t>Washington NC</t>
  </si>
  <si>
    <t>Washington, NC</t>
  </si>
  <si>
    <t>Ottumwa IA</t>
  </si>
  <si>
    <t>Ottumwa, IA</t>
  </si>
  <si>
    <t>Cullman AL</t>
  </si>
  <si>
    <t>Cullman, AL</t>
  </si>
  <si>
    <t>Ontario OR-ID</t>
  </si>
  <si>
    <t>Ontario, OR</t>
  </si>
  <si>
    <t>Natchitoches LA</t>
  </si>
  <si>
    <t>Natchitoches, LA</t>
  </si>
  <si>
    <t>Scottsboro AL</t>
  </si>
  <si>
    <t>Scottsboro, AL</t>
  </si>
  <si>
    <t>Butte-Silver Bow MT</t>
  </si>
  <si>
    <t>Butte, MT</t>
  </si>
  <si>
    <t>Owatonna MN</t>
  </si>
  <si>
    <t>Owatonna, MN</t>
  </si>
  <si>
    <t>Tahlequah OK</t>
  </si>
  <si>
    <t>Tahlequah, OK</t>
  </si>
  <si>
    <t>Big Spring TX</t>
  </si>
  <si>
    <t>Big Spring, TX</t>
  </si>
  <si>
    <t>Moscow ID</t>
  </si>
  <si>
    <t>Moscow, ID</t>
  </si>
  <si>
    <t>Shelbyville TN</t>
  </si>
  <si>
    <t>Shelbyville, TN</t>
  </si>
  <si>
    <t>Angola IN</t>
  </si>
  <si>
    <t>Angola, IN</t>
  </si>
  <si>
    <t>Cadillac MI</t>
  </si>
  <si>
    <t>Cadillac, MI</t>
  </si>
  <si>
    <t>Corinth MS</t>
  </si>
  <si>
    <t>Corinth, MS</t>
  </si>
  <si>
    <t>Murray KY</t>
  </si>
  <si>
    <t>Murray, KY</t>
  </si>
  <si>
    <t>Lock Haven PA</t>
  </si>
  <si>
    <t>Lock Haven, PA</t>
  </si>
  <si>
    <t>Lewiston-Auburn ME</t>
  </si>
  <si>
    <t>Lewiston, ME</t>
  </si>
  <si>
    <t>Paragould AR</t>
  </si>
  <si>
    <t>Paragould, AR</t>
  </si>
  <si>
    <t>Riverton WY</t>
  </si>
  <si>
    <t>Riverton, WY</t>
  </si>
  <si>
    <t>Crawfordsville IN</t>
  </si>
  <si>
    <t>Crawfordsville, IN</t>
  </si>
  <si>
    <t>Humboldt TN</t>
  </si>
  <si>
    <t>Humboldt, TN</t>
  </si>
  <si>
    <t>Decatur IN</t>
  </si>
  <si>
    <t>Decatur, IN</t>
  </si>
  <si>
    <t>Miami OK</t>
  </si>
  <si>
    <t>Miami, OK</t>
  </si>
  <si>
    <t>Effingham IL</t>
  </si>
  <si>
    <t>Effingham, IL</t>
  </si>
  <si>
    <t>Cedar City UT</t>
  </si>
  <si>
    <t>Cedar City, UT</t>
  </si>
  <si>
    <t>Ukiah CA</t>
  </si>
  <si>
    <t>Ukiah, CA</t>
  </si>
  <si>
    <t>Merrill WI</t>
  </si>
  <si>
    <t>Merrill, WI</t>
  </si>
  <si>
    <t>Vidalia GA</t>
  </si>
  <si>
    <t>Vidalia, GA</t>
  </si>
  <si>
    <t>Lake City FL</t>
  </si>
  <si>
    <t>Lake City, FL</t>
  </si>
  <si>
    <t>Escanaba MI</t>
  </si>
  <si>
    <t>Escanaba, MI</t>
  </si>
  <si>
    <t>Warren PA</t>
  </si>
  <si>
    <t>Warren, PA</t>
  </si>
  <si>
    <t>Menomonie WI</t>
  </si>
  <si>
    <t>Menomonie, WI</t>
  </si>
  <si>
    <t>Morehead City NC</t>
  </si>
  <si>
    <t>Morehead City, NC</t>
  </si>
  <si>
    <t>Frankfort IN</t>
  </si>
  <si>
    <t>Frankfort, IN</t>
  </si>
  <si>
    <t>Coshocton OH</t>
  </si>
  <si>
    <t>Coshocton, OH</t>
  </si>
  <si>
    <t>Coos Bay OR</t>
  </si>
  <si>
    <t>Coos Bay, OR</t>
  </si>
  <si>
    <t>Arcadia FL</t>
  </si>
  <si>
    <t>Arcadia, FL</t>
  </si>
  <si>
    <t>Hutchinson KS</t>
  </si>
  <si>
    <t>Hutchinson, KS</t>
  </si>
  <si>
    <t>Selinsgrove PA</t>
  </si>
  <si>
    <t>Selinsgrove, PA</t>
  </si>
  <si>
    <t>Laramie WY</t>
  </si>
  <si>
    <t>Laramie, WY</t>
  </si>
  <si>
    <t>Waycross GA</t>
  </si>
  <si>
    <t>Waycross, GA</t>
  </si>
  <si>
    <t>Claremont NH</t>
  </si>
  <si>
    <t>Claremont, NH</t>
  </si>
  <si>
    <t>Ellensburg WA</t>
  </si>
  <si>
    <t>Ellensburg, WA</t>
  </si>
  <si>
    <t>Red Bluff CA</t>
  </si>
  <si>
    <t>Red Bluff, CA</t>
  </si>
  <si>
    <t>Kingsville TX</t>
  </si>
  <si>
    <t>Kingsville, TX</t>
  </si>
  <si>
    <t>Wabash IN</t>
  </si>
  <si>
    <t>Wabash, IN</t>
  </si>
  <si>
    <t>Newton IA</t>
  </si>
  <si>
    <t>Newton, IA</t>
  </si>
  <si>
    <t>Pella IA</t>
  </si>
  <si>
    <t>Pella, IA</t>
  </si>
  <si>
    <t>Columbus NE</t>
  </si>
  <si>
    <t>Columbus, NE</t>
  </si>
  <si>
    <t>Stephenville TX</t>
  </si>
  <si>
    <t>Stephenville, TX</t>
  </si>
  <si>
    <t>Culpeper VA</t>
  </si>
  <si>
    <t>Culpeper, VA</t>
  </si>
  <si>
    <t>Beeville TX</t>
  </si>
  <si>
    <t>Beeville, TX</t>
  </si>
  <si>
    <t>Dodge City KS</t>
  </si>
  <si>
    <t>Dodge City, KS</t>
  </si>
  <si>
    <t>Minden LA</t>
  </si>
  <si>
    <t>Minden, LA</t>
  </si>
  <si>
    <t>Fort Valley GA</t>
  </si>
  <si>
    <t>Fort Valley, GA</t>
  </si>
  <si>
    <t>Gaffney SC</t>
  </si>
  <si>
    <t>Gaffney, SC</t>
  </si>
  <si>
    <t>Hannibal MO</t>
  </si>
  <si>
    <t>Hannibal, MO</t>
  </si>
  <si>
    <t>Palatka FL</t>
  </si>
  <si>
    <t>Palatka, FL</t>
  </si>
  <si>
    <t>De Ridder LA</t>
  </si>
  <si>
    <t>De Ridder, LA</t>
  </si>
  <si>
    <t>Crowley LA</t>
  </si>
  <si>
    <t>Crowley, LA</t>
  </si>
  <si>
    <t>Indianola MS</t>
  </si>
  <si>
    <t>Indianola, MS</t>
  </si>
  <si>
    <t>Durant OK</t>
  </si>
  <si>
    <t>Durant, OK</t>
  </si>
  <si>
    <t>Celina OH</t>
  </si>
  <si>
    <t>Celina, OH</t>
  </si>
  <si>
    <t>Dillon SC</t>
  </si>
  <si>
    <t>Dillon, SC</t>
  </si>
  <si>
    <t>Laurinburg NC</t>
  </si>
  <si>
    <t>Laurinburg, NC</t>
  </si>
  <si>
    <t>Batesville AR</t>
  </si>
  <si>
    <t>Batesville, AR</t>
  </si>
  <si>
    <t>Pontiac IL</t>
  </si>
  <si>
    <t>Pontiac, IL</t>
  </si>
  <si>
    <t>Pahrump NV</t>
  </si>
  <si>
    <t>Pahrump, NV</t>
  </si>
  <si>
    <t>The Villages FL</t>
  </si>
  <si>
    <t>The Villages, FL</t>
  </si>
  <si>
    <t>Middlesborough KY</t>
  </si>
  <si>
    <t>Middlesborough, KY</t>
  </si>
  <si>
    <t>Willmar MN</t>
  </si>
  <si>
    <t>Willmar, MN</t>
  </si>
  <si>
    <t>Madison IN</t>
  </si>
  <si>
    <t>Madison, IN</t>
  </si>
  <si>
    <t>Brookhaven MS</t>
  </si>
  <si>
    <t>Brookhaven, MS</t>
  </si>
  <si>
    <t>Silver City NM</t>
  </si>
  <si>
    <t>Silver City, NM</t>
  </si>
  <si>
    <t>Faribault-Northfield MN</t>
  </si>
  <si>
    <t>Faribault, MN</t>
  </si>
  <si>
    <t>Watertown SD</t>
  </si>
  <si>
    <t>Watertown, SD</t>
  </si>
  <si>
    <t>Las Vegas NM</t>
  </si>
  <si>
    <t>Las Vegas, NM</t>
  </si>
  <si>
    <t>Coffeyville KS</t>
  </si>
  <si>
    <t>Coffeyville, KS</t>
  </si>
  <si>
    <t>Susanville CA</t>
  </si>
  <si>
    <t>Susanville, CA</t>
  </si>
  <si>
    <t>Taos NM</t>
  </si>
  <si>
    <t>Taos, NM</t>
  </si>
  <si>
    <t>Montrose CO</t>
  </si>
  <si>
    <t>Montrose, CO</t>
  </si>
  <si>
    <t>Sulphur Springs TX</t>
  </si>
  <si>
    <t>Sulphur Springs, TX</t>
  </si>
  <si>
    <t>Brenham TX</t>
  </si>
  <si>
    <t>Brenham, TX</t>
  </si>
  <si>
    <t>Hudson NY</t>
  </si>
  <si>
    <t>Hudson, NY</t>
  </si>
  <si>
    <t>Great Bend KS</t>
  </si>
  <si>
    <t>Great Bend, KS</t>
  </si>
  <si>
    <t>Seneca Falls NY</t>
  </si>
  <si>
    <t>Seneca Falls, NY</t>
  </si>
  <si>
    <t>Newport TN</t>
  </si>
  <si>
    <t>Newport, TN</t>
  </si>
  <si>
    <t>Walterboro SC</t>
  </si>
  <si>
    <t>Walterboro, SC</t>
  </si>
  <si>
    <t>Astoria OR</t>
  </si>
  <si>
    <t>Astoria, OR</t>
  </si>
  <si>
    <t>LaGrange GA</t>
  </si>
  <si>
    <t>LaGrange, GA</t>
  </si>
  <si>
    <t>Bastrop LA</t>
  </si>
  <si>
    <t>Bastrop, LA</t>
  </si>
  <si>
    <t>Clarksdale MS</t>
  </si>
  <si>
    <t>Clarksdale, MS</t>
  </si>
  <si>
    <t>Monroe WI</t>
  </si>
  <si>
    <t>Monroe, WI</t>
  </si>
  <si>
    <t>Bennettsville SC</t>
  </si>
  <si>
    <t>Bennettsville, SC</t>
  </si>
  <si>
    <t>Hope AR</t>
  </si>
  <si>
    <t>Hope, AR</t>
  </si>
  <si>
    <t>Hutchinson MN</t>
  </si>
  <si>
    <t>Hutchinson, MN</t>
  </si>
  <si>
    <t>Eufaula AL-GA</t>
  </si>
  <si>
    <t>Eufaula, AL</t>
  </si>
  <si>
    <t>St. Marys PA</t>
  </si>
  <si>
    <t>St. Marys, PA</t>
  </si>
  <si>
    <t>Washington IN</t>
  </si>
  <si>
    <t>Washington, IN</t>
  </si>
  <si>
    <t>Hays KS</t>
  </si>
  <si>
    <t>Hays, KS</t>
  </si>
  <si>
    <t>Gardnerville Ranchos NV</t>
  </si>
  <si>
    <t>Gardnerville Ranchos, NV</t>
  </si>
  <si>
    <t>Alexandria MN</t>
  </si>
  <si>
    <t>Alexandria, MN</t>
  </si>
  <si>
    <t>Maysville KY</t>
  </si>
  <si>
    <t>Maysville, KY</t>
  </si>
  <si>
    <t>Mountain Home ID</t>
  </si>
  <si>
    <t>Mountain Home, ID</t>
  </si>
  <si>
    <t>Albert Lea MN</t>
  </si>
  <si>
    <t>Albert Lea, MN</t>
  </si>
  <si>
    <t>Mount Pleasant TX</t>
  </si>
  <si>
    <t>Mount Pleasant, TX</t>
  </si>
  <si>
    <t>Fernley NV</t>
  </si>
  <si>
    <t>Fernley, NV</t>
  </si>
  <si>
    <t>Bay City MI</t>
  </si>
  <si>
    <t>Bay City, MI</t>
  </si>
  <si>
    <t>Mineral Wells TX</t>
  </si>
  <si>
    <t>Mineral Wells, TX</t>
  </si>
  <si>
    <t>New Ulm MN</t>
  </si>
  <si>
    <t>New Ulm, MN</t>
  </si>
  <si>
    <t>Altus OK</t>
  </si>
  <si>
    <t>Altus, OK</t>
  </si>
  <si>
    <t>Kirksville MO</t>
  </si>
  <si>
    <t>Kirksville, MO</t>
  </si>
  <si>
    <t>Martin TN</t>
  </si>
  <si>
    <t>Martin, TN</t>
  </si>
  <si>
    <t>Jesup GA</t>
  </si>
  <si>
    <t>Jesup, GA</t>
  </si>
  <si>
    <t>Alpena MI</t>
  </si>
  <si>
    <t>Alpena, MI</t>
  </si>
  <si>
    <t>Magnolia AR</t>
  </si>
  <si>
    <t>Magnolia, AR</t>
  </si>
  <si>
    <t>Gainesville TX</t>
  </si>
  <si>
    <t>Gainesville, TX</t>
  </si>
  <si>
    <t>Moberly MO</t>
  </si>
  <si>
    <t>Moberly, MO</t>
  </si>
  <si>
    <t>Forrest City AR</t>
  </si>
  <si>
    <t>Forrest City, AR</t>
  </si>
  <si>
    <t>Brookings SD</t>
  </si>
  <si>
    <t>Brookings, SD</t>
  </si>
  <si>
    <t>Greensburg IN</t>
  </si>
  <si>
    <t>Greensburg, IN</t>
  </si>
  <si>
    <t>Helena MT</t>
  </si>
  <si>
    <t>Helena, MT</t>
  </si>
  <si>
    <t>Longview WA</t>
  </si>
  <si>
    <t>Longview, WA</t>
  </si>
  <si>
    <t>Iron Mountain MI-WI</t>
  </si>
  <si>
    <t>Iron Mountain, MI</t>
  </si>
  <si>
    <t>Deming NM</t>
  </si>
  <si>
    <t>Deming, NM</t>
  </si>
  <si>
    <t>Crescent City CA</t>
  </si>
  <si>
    <t>Crescent City, CA</t>
  </si>
  <si>
    <t>McPherson KS</t>
  </si>
  <si>
    <t>McPherson, KS</t>
  </si>
  <si>
    <t>Yazoo City MS</t>
  </si>
  <si>
    <t>Yazoo City, MS</t>
  </si>
  <si>
    <t>Arkadelphia AR</t>
  </si>
  <si>
    <t>Arkadelphia, AR</t>
  </si>
  <si>
    <t>Connersville IN</t>
  </si>
  <si>
    <t>Connersville, IN</t>
  </si>
  <si>
    <t>Washington OH</t>
  </si>
  <si>
    <t>Washington, OH</t>
  </si>
  <si>
    <t>North Vernon IN</t>
  </si>
  <si>
    <t>North Vernon, IN</t>
  </si>
  <si>
    <t>Whitewater WI</t>
  </si>
  <si>
    <t>Whitewater, WI</t>
  </si>
  <si>
    <t>Kill Devil Hills NC</t>
  </si>
  <si>
    <t>Kill Devil Hills, NC</t>
  </si>
  <si>
    <t>Toccoa GA</t>
  </si>
  <si>
    <t>Toccoa, GA</t>
  </si>
  <si>
    <t>Borger TX</t>
  </si>
  <si>
    <t>Borger, TX</t>
  </si>
  <si>
    <t>Thomaston GA</t>
  </si>
  <si>
    <t>Thomaston, GA</t>
  </si>
  <si>
    <t>Camden AR</t>
  </si>
  <si>
    <t>Camden, AR</t>
  </si>
  <si>
    <t>Fallon NV</t>
  </si>
  <si>
    <t>Fallon, NV</t>
  </si>
  <si>
    <t>Marshall MO</t>
  </si>
  <si>
    <t>Marshall, MO</t>
  </si>
  <si>
    <t>Nacogdoches TX</t>
  </si>
  <si>
    <t>Nacogdoches, TX</t>
  </si>
  <si>
    <t>Silverthorne CO</t>
  </si>
  <si>
    <t>Silverthorne, CO</t>
  </si>
  <si>
    <t>Grenada MS</t>
  </si>
  <si>
    <t>Grenada, MS</t>
  </si>
  <si>
    <t>Rockland ME</t>
  </si>
  <si>
    <t>Rockland, ME</t>
  </si>
  <si>
    <t>Van Wert OH</t>
  </si>
  <si>
    <t>Van Wert, OH</t>
  </si>
  <si>
    <t>City of The Dalles OR</t>
  </si>
  <si>
    <t>City of The Dalles, OR</t>
  </si>
  <si>
    <t>Warsaw IN</t>
  </si>
  <si>
    <t>Warsaw, IN</t>
  </si>
  <si>
    <t>Campbellsville KY</t>
  </si>
  <si>
    <t>Campbellsville, KY</t>
  </si>
  <si>
    <t>Dickinson ND</t>
  </si>
  <si>
    <t>Dickinson, ND</t>
  </si>
  <si>
    <t>Lewiston ID-WA</t>
  </si>
  <si>
    <t>Lewiston, ID</t>
  </si>
  <si>
    <t>Huntingdon PA</t>
  </si>
  <si>
    <t>Huntingdon, PA</t>
  </si>
  <si>
    <t>Bonham TX</t>
  </si>
  <si>
    <t>Bonham, TX</t>
  </si>
  <si>
    <t>Cambridge MD</t>
  </si>
  <si>
    <t>Cambridge, MD</t>
  </si>
  <si>
    <t>Uvalde TX</t>
  </si>
  <si>
    <t>Uvalde, TX</t>
  </si>
  <si>
    <t>Vernal UT</t>
  </si>
  <si>
    <t>Vernal, UT</t>
  </si>
  <si>
    <t>Houghton MI</t>
  </si>
  <si>
    <t>Houghton, MI</t>
  </si>
  <si>
    <t>Santa Isabel PR</t>
  </si>
  <si>
    <t>Santa Isabel, PR</t>
  </si>
  <si>
    <t>Wahpeton ND-MN</t>
  </si>
  <si>
    <t>Wahpeton, ND</t>
  </si>
  <si>
    <t>Beatrice NE</t>
  </si>
  <si>
    <t>Beatrice, NE</t>
  </si>
  <si>
    <t>Jamestown ND</t>
  </si>
  <si>
    <t>Jamestown, ND</t>
  </si>
  <si>
    <t>Bozeman MT</t>
  </si>
  <si>
    <t>Bozeman, MT</t>
  </si>
  <si>
    <t>Lexington NE</t>
  </si>
  <si>
    <t>Lexington, NE</t>
  </si>
  <si>
    <t>Muscatine IA</t>
  </si>
  <si>
    <t>Muscatine, IA</t>
  </si>
  <si>
    <t>Grants NM</t>
  </si>
  <si>
    <t>Grants, NM</t>
  </si>
  <si>
    <t>Mitchell SD</t>
  </si>
  <si>
    <t>Mitchell, SD</t>
  </si>
  <si>
    <t>Platteville WI</t>
  </si>
  <si>
    <t>Platteville, WI</t>
  </si>
  <si>
    <t>Brookings OR</t>
  </si>
  <si>
    <t>Brookings, OR</t>
  </si>
  <si>
    <t>Cordele GA</t>
  </si>
  <si>
    <t>Cordele, GA</t>
  </si>
  <si>
    <t>Fredericksburg TX</t>
  </si>
  <si>
    <t>Fredericksburg, TX</t>
  </si>
  <si>
    <t>Greenville OH</t>
  </si>
  <si>
    <t>Greenville, OH</t>
  </si>
  <si>
    <t>Tuskegee AL</t>
  </si>
  <si>
    <t>Tuskegee, AL</t>
  </si>
  <si>
    <t>Hood River OR</t>
  </si>
  <si>
    <t>Hood River, OR</t>
  </si>
  <si>
    <t>West Point MS</t>
  </si>
  <si>
    <t>West Point, MS</t>
  </si>
  <si>
    <t>La Follette TN</t>
  </si>
  <si>
    <t>La Follette, TN</t>
  </si>
  <si>
    <t>Parsons KS</t>
  </si>
  <si>
    <t>Parsons, KS</t>
  </si>
  <si>
    <t>Raymondville TX</t>
  </si>
  <si>
    <t>Raymondville, TX</t>
  </si>
  <si>
    <t>Williston ND</t>
  </si>
  <si>
    <t>Williston, ND</t>
  </si>
  <si>
    <t>Oskaloosa IA</t>
  </si>
  <si>
    <t>Oskaloosa, IA</t>
  </si>
  <si>
    <t>Price UT</t>
  </si>
  <si>
    <t>Price, UT</t>
  </si>
  <si>
    <t>La Grande OR</t>
  </si>
  <si>
    <t>La Grande, OR</t>
  </si>
  <si>
    <t>Jackson WY-ID</t>
  </si>
  <si>
    <t>Jackson, WY</t>
  </si>
  <si>
    <t>Evanston WY</t>
  </si>
  <si>
    <t>Evanston, WY</t>
  </si>
  <si>
    <t>Pierre SD</t>
  </si>
  <si>
    <t>Pierre, SD</t>
  </si>
  <si>
    <t>Pierre Part LA</t>
  </si>
  <si>
    <t>Pierre Part, LA</t>
  </si>
  <si>
    <t>Fort Morgan CO</t>
  </si>
  <si>
    <t>Fort Morgan, CO</t>
  </si>
  <si>
    <t>Scottsbluff NE</t>
  </si>
  <si>
    <t>Scottsbluff, NE</t>
  </si>
  <si>
    <t>Adjuntas PR</t>
  </si>
  <si>
    <t>Adjuntas, PR</t>
  </si>
  <si>
    <t>Madisonville KY</t>
  </si>
  <si>
    <t>Madisonville, KY</t>
  </si>
  <si>
    <t>Levelland TX</t>
  </si>
  <si>
    <t>Levelland, TX</t>
  </si>
  <si>
    <t>Bishop CA</t>
  </si>
  <si>
    <t>Bishop, CA</t>
  </si>
  <si>
    <t>Fitzgerald GA</t>
  </si>
  <si>
    <t>Fitzgerald, GA</t>
  </si>
  <si>
    <t>Safford AZ</t>
  </si>
  <si>
    <t>Safford, AZ</t>
  </si>
  <si>
    <t>Los Alamos NM</t>
  </si>
  <si>
    <t>Los Alamos, NM</t>
  </si>
  <si>
    <t>Newberry SC</t>
  </si>
  <si>
    <t>Newberry, SC</t>
  </si>
  <si>
    <t>Clewiston FL</t>
  </si>
  <si>
    <t>Clewiston, FL</t>
  </si>
  <si>
    <t>Douglas GA</t>
  </si>
  <si>
    <t>Douglas, GA</t>
  </si>
  <si>
    <t>Brownsville TN</t>
  </si>
  <si>
    <t>Brownsville, TN</t>
  </si>
  <si>
    <t>Storm Lake IA</t>
  </si>
  <si>
    <t>Storm Lake, IA</t>
  </si>
  <si>
    <t>Gillette WY</t>
  </si>
  <si>
    <t>Gillette, WY</t>
  </si>
  <si>
    <t>Portales NM</t>
  </si>
  <si>
    <t>Portales, NM</t>
  </si>
  <si>
    <t>St. Marys GA</t>
  </si>
  <si>
    <t>St. Marys, GA</t>
  </si>
  <si>
    <t>Jayuya PR</t>
  </si>
  <si>
    <t>Jayuya, PR</t>
  </si>
  <si>
    <t>Mexico MO</t>
  </si>
  <si>
    <t>Mexico, MO</t>
  </si>
  <si>
    <t>Cornelia GA</t>
  </si>
  <si>
    <t>Cornelia, GA</t>
  </si>
  <si>
    <t>Sweetwater TX</t>
  </si>
  <si>
    <t>Sweetwater, TX</t>
  </si>
  <si>
    <t>Ruidoso NM</t>
  </si>
  <si>
    <t>Ruidoso, NM</t>
  </si>
  <si>
    <t>Martinsville VA</t>
  </si>
  <si>
    <t>Martinsville, VA</t>
  </si>
  <si>
    <t>Huron SD</t>
  </si>
  <si>
    <t>Huron, SD</t>
  </si>
  <si>
    <t>Urbana OH</t>
  </si>
  <si>
    <t>Urbana, OH</t>
  </si>
  <si>
    <t>Kennett MO</t>
  </si>
  <si>
    <t>Kennett, MO</t>
  </si>
  <si>
    <t>Columbia TN</t>
  </si>
  <si>
    <t>Columbia, TN</t>
  </si>
  <si>
    <t>Central City KY</t>
  </si>
  <si>
    <t>Central City, KY</t>
  </si>
  <si>
    <t>Spirit Lake IA</t>
  </si>
  <si>
    <t>Spirit Lake, IA</t>
  </si>
  <si>
    <t>Chillicothe OH</t>
  </si>
  <si>
    <t>Chillicothe, OH</t>
  </si>
  <si>
    <t>Lancaster SC</t>
  </si>
  <si>
    <t>Lancaster, SC</t>
  </si>
  <si>
    <t>Lawrenceburg TN</t>
  </si>
  <si>
    <t>Lawrenceburg, TN</t>
  </si>
  <si>
    <t>Alma MI</t>
  </si>
  <si>
    <t>Alma, MI</t>
  </si>
  <si>
    <t>Lamesa TX</t>
  </si>
  <si>
    <t>Lamesa, TX</t>
  </si>
  <si>
    <t>Mayfield KY</t>
  </si>
  <si>
    <t>Mayfield, KY</t>
  </si>
  <si>
    <t>Richmond-Berea KY</t>
  </si>
  <si>
    <t>Richmond, KY</t>
  </si>
  <si>
    <t>Warrensburg MO</t>
  </si>
  <si>
    <t>Warrensburg, MO</t>
  </si>
  <si>
    <t>Ketchikan AK</t>
  </si>
  <si>
    <t>Ketchikan, AK</t>
  </si>
  <si>
    <t>Atchison KS</t>
  </si>
  <si>
    <t>Atchison, KS</t>
  </si>
  <si>
    <t>Snyder TX</t>
  </si>
  <si>
    <t>Snyder, TX</t>
  </si>
  <si>
    <t>Wilmington OH</t>
  </si>
  <si>
    <t>Wilmington, OH</t>
  </si>
  <si>
    <t>West Helena AR</t>
  </si>
  <si>
    <t>West Helena, AR</t>
  </si>
  <si>
    <t>New Iberia LA</t>
  </si>
  <si>
    <t>New Iberia, LA</t>
  </si>
  <si>
    <t>Kodiak AK</t>
  </si>
  <si>
    <t>Kodiak, AK</t>
  </si>
  <si>
    <t>Wauchula FL</t>
  </si>
  <si>
    <t>Wauchula, FL</t>
  </si>
  <si>
    <t>Andrews TX</t>
  </si>
  <si>
    <t>Andrews, TX</t>
  </si>
  <si>
    <t>Vermillion SD</t>
  </si>
  <si>
    <t>Vermillion, SD</t>
  </si>
  <si>
    <t>Athens TN</t>
  </si>
  <si>
    <t>Athens, TN</t>
  </si>
  <si>
    <t>Scottsburg IN</t>
  </si>
  <si>
    <t>Scottsburg, IN</t>
  </si>
  <si>
    <t>Harrisburg IL</t>
  </si>
  <si>
    <t>Harrisburg, IL</t>
  </si>
  <si>
    <t>Tallulah LA</t>
  </si>
  <si>
    <t>Tallulah, LA</t>
  </si>
  <si>
    <t>Kapaa HI</t>
  </si>
  <si>
    <t>Kapaa, HI</t>
  </si>
  <si>
    <t>Heber UT</t>
  </si>
  <si>
    <t>Heber, UT</t>
  </si>
  <si>
    <t>Pecos TX</t>
  </si>
  <si>
    <t>Pecos, TX</t>
  </si>
  <si>
    <t>Opelousas-Eunice LA</t>
  </si>
  <si>
    <t>Opelousas, LA</t>
  </si>
  <si>
    <t>Coldwater MI</t>
  </si>
  <si>
    <t>Coldwater, MI</t>
  </si>
  <si>
    <t>Sidney OH</t>
  </si>
  <si>
    <t>Sidney, OH</t>
  </si>
  <si>
    <t>Macomb IL</t>
  </si>
  <si>
    <t>Macomb, IL</t>
  </si>
  <si>
    <t>Duncan OK</t>
  </si>
  <si>
    <t>Duncan, OK</t>
  </si>
  <si>
    <t>Brevard NC</t>
  </si>
  <si>
    <t>Brevard, NC</t>
  </si>
  <si>
    <t>Marshall MN</t>
  </si>
  <si>
    <t>Marshall, MN</t>
  </si>
  <si>
    <t>McMinnville TN</t>
  </si>
  <si>
    <t>McMinnville, TN</t>
  </si>
  <si>
    <t>Jennings LA</t>
  </si>
  <si>
    <t>Jennings, LA</t>
  </si>
  <si>
    <t>Americus GA</t>
  </si>
  <si>
    <t>Americus, GA</t>
  </si>
  <si>
    <t>Summerville GA</t>
  </si>
  <si>
    <t>Summerville, GA</t>
  </si>
  <si>
    <t>Union City TN-KY</t>
  </si>
  <si>
    <t>Union City, TN</t>
  </si>
  <si>
    <t>Sturgis MI</t>
  </si>
  <si>
    <t>Sturgis, MI</t>
  </si>
  <si>
    <t>Walla Walla WA</t>
  </si>
  <si>
    <t>Walla Walla, WA</t>
  </si>
  <si>
    <t>Peru IN</t>
  </si>
  <si>
    <t>Peru, IN</t>
  </si>
  <si>
    <t>Union SC</t>
  </si>
  <si>
    <t>Union, SC</t>
  </si>
  <si>
    <t>Big Rapids MI</t>
  </si>
  <si>
    <t>Big Rapids, MI</t>
  </si>
  <si>
    <t>Easton MD</t>
  </si>
  <si>
    <t>Easton, MD</t>
  </si>
  <si>
    <t>Kerrville TX</t>
  </si>
  <si>
    <t>Kerrville, TX</t>
  </si>
  <si>
    <t>Paris TN</t>
  </si>
  <si>
    <t>Paris, TN</t>
  </si>
  <si>
    <t>Calhoun GA</t>
  </si>
  <si>
    <t>Calhoun, GA</t>
  </si>
  <si>
    <t>Columbus IN</t>
  </si>
  <si>
    <t>Columbus, IN</t>
  </si>
  <si>
    <t>Lincoln IL</t>
  </si>
  <si>
    <t>Lincoln, IL</t>
  </si>
  <si>
    <t>Rockingham NC</t>
  </si>
  <si>
    <t>Rockingham, NC</t>
  </si>
  <si>
    <t>Midland MI</t>
  </si>
  <si>
    <t>Midland, MI</t>
  </si>
  <si>
    <t>Fremont NE</t>
  </si>
  <si>
    <t>Fremont, NE</t>
  </si>
  <si>
    <t>Lebanon MO</t>
  </si>
  <si>
    <t>Lebanon, MO</t>
  </si>
  <si>
    <t>Troy AL</t>
  </si>
  <si>
    <t>Troy, AL</t>
  </si>
  <si>
    <t>Guymon OK</t>
  </si>
  <si>
    <t>Guymon, OK</t>
  </si>
  <si>
    <t>Spearfish SD</t>
  </si>
  <si>
    <t>Spearfish, SD</t>
  </si>
  <si>
    <t>North Platte NE</t>
  </si>
  <si>
    <t>North Platte, NE</t>
  </si>
  <si>
    <t>Marshalltown IA</t>
  </si>
  <si>
    <t>Marshalltown, IA</t>
  </si>
  <si>
    <t>Maryville MO</t>
  </si>
  <si>
    <t>Maryville, MO</t>
  </si>
  <si>
    <t>Boone IA</t>
  </si>
  <si>
    <t>Boone, IA</t>
  </si>
  <si>
    <t>Sterling CO</t>
  </si>
  <si>
    <t>Sterling, CO</t>
  </si>
  <si>
    <t>Worthington MN</t>
  </si>
  <si>
    <t>Worthington, MN</t>
  </si>
  <si>
    <t>Defiance OH</t>
  </si>
  <si>
    <t>Defiance, OH</t>
  </si>
  <si>
    <t>Spencer IA</t>
  </si>
  <si>
    <t>Spencer, IA</t>
  </si>
  <si>
    <t>Enid OK</t>
  </si>
  <si>
    <t>Enid, OK</t>
  </si>
  <si>
    <t>Lewisburg TN</t>
  </si>
  <si>
    <t>Lewisburg, TN</t>
  </si>
  <si>
    <t>Havre MT</t>
  </si>
  <si>
    <t>Havre, MT</t>
  </si>
  <si>
    <t>Yankton SD</t>
  </si>
  <si>
    <t>Yankton, SD</t>
  </si>
  <si>
    <t>Woodward OK</t>
  </si>
  <si>
    <t>Woodward, OK</t>
  </si>
  <si>
    <t>Sheridan WY</t>
  </si>
  <si>
    <t>Sheridan, WY</t>
  </si>
  <si>
    <t>Garden City KS</t>
  </si>
  <si>
    <t>Garden City, KS</t>
  </si>
  <si>
    <t>Fairmont MN</t>
  </si>
  <si>
    <t>Fairmont, MN</t>
  </si>
  <si>
    <t>Juneau AK</t>
  </si>
  <si>
    <t>Juneau, AK</t>
  </si>
  <si>
    <t>Elk City OK</t>
  </si>
  <si>
    <t>Elk City, OK</t>
  </si>
  <si>
    <t>Prineville OR</t>
  </si>
  <si>
    <t>Prineville, OR</t>
  </si>
  <si>
    <t>Pampa TX</t>
  </si>
  <si>
    <t>Pampa, TX</t>
  </si>
  <si>
    <t>Logansport IN</t>
  </si>
  <si>
    <t>Logansport, IN</t>
  </si>
  <si>
    <t>Liberal KS</t>
  </si>
  <si>
    <t>Liberal, KS</t>
  </si>
  <si>
    <t>Vernon TX</t>
  </si>
  <si>
    <t>Vernon, TX</t>
  </si>
  <si>
    <t>Dyersburg TN</t>
  </si>
  <si>
    <t>Dyersburg, TN</t>
  </si>
  <si>
    <t>Plainview TX</t>
  </si>
  <si>
    <t>Plainview, TX</t>
  </si>
  <si>
    <t>Bainbridge GA</t>
  </si>
  <si>
    <t>Bainbridge, GA</t>
  </si>
  <si>
    <t>Dumas TX</t>
  </si>
  <si>
    <t>Dumas, TX</t>
  </si>
  <si>
    <t>Pretty Name</t>
  </si>
  <si>
    <t xml:space="preserve"> </t>
  </si>
  <si>
    <t>(hidden)</t>
  </si>
  <si>
    <t>(hidden column: XX:XX)</t>
  </si>
  <si>
    <r>
      <t xml:space="preserve">space </t>
    </r>
    <r>
      <rPr>
        <sz val="11"/>
        <color theme="1"/>
        <rFont val="Calibri"/>
        <family val="2"/>
      </rPr>
      <t>→</t>
    </r>
  </si>
  <si>
    <t>Instagram Engagement</t>
  </si>
  <si>
    <t>Type</t>
  </si>
  <si>
    <t>Engagement Per Video</t>
  </si>
  <si>
    <t>Videos Posted</t>
  </si>
  <si>
    <t>Top Photo Filters</t>
  </si>
  <si>
    <t>Top Video Filters</t>
  </si>
  <si>
    <t>Engagement Per Post</t>
  </si>
  <si>
    <t>Number of Posts</t>
  </si>
  <si>
    <t>Tag 2</t>
  </si>
  <si>
    <t>Tag 3</t>
  </si>
  <si>
    <t>Tag 4</t>
  </si>
  <si>
    <t>Tag 5</t>
  </si>
  <si>
    <t>Followers</t>
  </si>
  <si>
    <t>Tag</t>
  </si>
  <si>
    <t>Media Tagged</t>
  </si>
  <si>
    <t>Posts sorted by:</t>
  </si>
  <si>
    <t>Number of Videos</t>
  </si>
  <si>
    <t/>
  </si>
  <si>
    <t>Total Mentions</t>
  </si>
  <si>
    <t>Potential Impressions</t>
  </si>
  <si>
    <t>Keyword</t>
  </si>
  <si>
    <t>Count</t>
  </si>
  <si>
    <t>Total Posts</t>
  </si>
  <si>
    <t>Posts by Day and Time</t>
  </si>
  <si>
    <t>Mentions Summary</t>
  </si>
  <si>
    <t>mmmm</t>
  </si>
  <si>
    <t>monthly</t>
  </si>
  <si>
    <t>weekly</t>
  </si>
  <si>
    <t>m/d/yy</t>
  </si>
  <si>
    <t>daily</t>
  </si>
  <si>
    <t>hourly</t>
  </si>
  <si>
    <t>month</t>
  </si>
  <si>
    <t>week</t>
  </si>
  <si>
    <t>day</t>
  </si>
  <si>
    <t>hour</t>
  </si>
  <si>
    <t>slope x</t>
  </si>
  <si>
    <t>Photos</t>
  </si>
  <si>
    <t>Videos</t>
  </si>
  <si>
    <t>Mentions Peak</t>
  </si>
  <si>
    <t>Mentions Peak [day]</t>
  </si>
  <si>
    <t>Mentions Peak [day + 1 row]</t>
  </si>
  <si>
    <t xml:space="preserve"> Hashtag Mentions (</t>
  </si>
  <si>
    <t xml:space="preserve"> higher volume than the average </t>
  </si>
  <si>
    <t xml:space="preserve"> from this report period)</t>
  </si>
  <si>
    <t>Buffer</t>
  </si>
  <si>
    <t>Engagment Peak 1</t>
  </si>
  <si>
    <t>Engagment Peak 2</t>
  </si>
  <si>
    <t>Engagment Peak 3</t>
  </si>
  <si>
    <t>Engagement / Activity Details</t>
  </si>
  <si>
    <t>Peak</t>
  </si>
  <si>
    <t>Engagement</t>
  </si>
  <si>
    <t>% Above Average</t>
  </si>
  <si>
    <t>Date + 1 row</t>
  </si>
  <si>
    <t>Formatted Date</t>
  </si>
  <si>
    <t>space-hyphen-space</t>
  </si>
  <si>
    <t>% of Peak</t>
  </si>
  <si>
    <t>Start Row</t>
  </si>
  <si>
    <t>Average Engagement</t>
  </si>
  <si>
    <t>Text Construction</t>
  </si>
  <si>
    <t xml:space="preserve"> interactions, </t>
  </si>
  <si>
    <t xml:space="preserve"> of the total for this </t>
  </si>
  <si>
    <t>↑ formulas cannot be dragged down</t>
  </si>
  <si>
    <t xml:space="preserve">MOST ENGAGING POST FROM </t>
  </si>
  <si>
    <t>caption max characters:</t>
  </si>
  <si>
    <t xml:space="preserve"> (</t>
  </si>
  <si>
    <t xml:space="preserve"> followers)</t>
  </si>
  <si>
    <t>All Posts</t>
  </si>
  <si>
    <t>Peak Calculation:</t>
  </si>
  <si>
    <t>Impressions Per Post</t>
  </si>
  <si>
    <t>Potential Reach</t>
  </si>
  <si>
    <t>Impressions Peak</t>
  </si>
  <si>
    <t>Impressions Peak [day]</t>
  </si>
  <si>
    <t>Impressions Peak [day + 1 row]</t>
  </si>
  <si>
    <t xml:space="preserve"> Potential Impressions (</t>
  </si>
  <si>
    <t xml:space="preserve"> Total Potential Impressions</t>
  </si>
  <si>
    <t>Posts</t>
  </si>
  <si>
    <t>Top Impressions Driver</t>
  </si>
  <si>
    <t xml:space="preserve"> Posts</t>
  </si>
  <si>
    <t>% of Total Impressions</t>
  </si>
  <si>
    <t>of total)</t>
  </si>
  <si>
    <t>Most Active Users By # of Posts</t>
  </si>
  <si>
    <t>Top Users By Followers</t>
  </si>
  <si>
    <t>Top Users By Engagement Per Post</t>
  </si>
  <si>
    <t>Distribution of Users' Follower Count</t>
  </si>
  <si>
    <t>Bin Lower Bound</t>
  </si>
  <si>
    <t>Bin Upper Bound</t>
  </si>
  <si>
    <t>Bin Label</t>
  </si>
  <si>
    <t>Distribution of Users' Number of Mentions</t>
  </si>
  <si>
    <t>Country</t>
  </si>
  <si>
    <t>AFGHANISTAN</t>
  </si>
  <si>
    <t>ALBANIA</t>
  </si>
  <si>
    <t>ALGERIA</t>
  </si>
  <si>
    <t>ANDORRA</t>
  </si>
  <si>
    <t>ANGOLA</t>
  </si>
  <si>
    <t>ANGUILLA</t>
  </si>
  <si>
    <t>ANTIGUA AND BARBUDA</t>
  </si>
  <si>
    <t>ARGENTINA</t>
  </si>
  <si>
    <t>ARMENIA</t>
  </si>
  <si>
    <t>ARUBA</t>
  </si>
  <si>
    <t>AUSTRALIA</t>
  </si>
  <si>
    <t>AUSTRIA</t>
  </si>
  <si>
    <t>AZERBAIJAN</t>
  </si>
  <si>
    <t>BAHAMAS</t>
  </si>
  <si>
    <t>BAHRAIN</t>
  </si>
  <si>
    <t>BANGLADESH</t>
  </si>
  <si>
    <t>BARBADOS</t>
  </si>
  <si>
    <t>BELARUS</t>
  </si>
  <si>
    <t>BELGIUM</t>
  </si>
  <si>
    <t>BELIZE</t>
  </si>
  <si>
    <t>BENIN</t>
  </si>
  <si>
    <t>BERMUDA</t>
  </si>
  <si>
    <t>BHUTAN</t>
  </si>
  <si>
    <t>BOLIVIA</t>
  </si>
  <si>
    <t>BOSNIA AND HERZEGOVINA</t>
  </si>
  <si>
    <t>BOTSWANA</t>
  </si>
  <si>
    <t>BRAZIL</t>
  </si>
  <si>
    <t>BULGARIA</t>
  </si>
  <si>
    <t>BURKINA FASO</t>
  </si>
  <si>
    <t>BURUNDI</t>
  </si>
  <si>
    <t>CÃ”TE D'IVOIRE</t>
  </si>
  <si>
    <t>CAMBODIA</t>
  </si>
  <si>
    <t>CAMEROON</t>
  </si>
  <si>
    <t>CANADA</t>
  </si>
  <si>
    <t>CAPE VERDE</t>
  </si>
  <si>
    <t>CAYMAN ISLANDS</t>
  </si>
  <si>
    <t>CENTRAL AFRICAN REPUBLIC</t>
  </si>
  <si>
    <t>CHAD</t>
  </si>
  <si>
    <t>CHILE</t>
  </si>
  <si>
    <t>CHINA</t>
  </si>
  <si>
    <t>COLOMBIA</t>
  </si>
  <si>
    <t>COMOROS</t>
  </si>
  <si>
    <t>CONGO</t>
  </si>
  <si>
    <t>COOK ISLANDS</t>
  </si>
  <si>
    <t>COSTA RICA</t>
  </si>
  <si>
    <t>CROATIA</t>
  </si>
  <si>
    <t>CUBA</t>
  </si>
  <si>
    <t>CYPRUS</t>
  </si>
  <si>
    <t>CZECH REPUBLIC</t>
  </si>
  <si>
    <t>DENMARK</t>
  </si>
  <si>
    <t>DJIBOUTI</t>
  </si>
  <si>
    <t>DOMINICA</t>
  </si>
  <si>
    <t>DOMINICAN REPUBLIC</t>
  </si>
  <si>
    <t>ECUADOR</t>
  </si>
  <si>
    <t>EGYPT</t>
  </si>
  <si>
    <t>EL SALVADOR</t>
  </si>
  <si>
    <t>EQUATORIAL GUINEA</t>
  </si>
  <si>
    <t>ERITREA</t>
  </si>
  <si>
    <t>ESTONIA</t>
  </si>
  <si>
    <t>ETHIOPIA</t>
  </si>
  <si>
    <t>FAROE ISLANDS</t>
  </si>
  <si>
    <t>FINLAND</t>
  </si>
  <si>
    <t>FRANCE</t>
  </si>
  <si>
    <t>FRENCH GUIANA</t>
  </si>
  <si>
    <t>FRENCH POLYNESIA</t>
  </si>
  <si>
    <t>FRENCH SOUTHERN TERRITORIES</t>
  </si>
  <si>
    <t>GABON</t>
  </si>
  <si>
    <t>GAMBIA</t>
  </si>
  <si>
    <t>GEORGIA</t>
  </si>
  <si>
    <t>GERMANY</t>
  </si>
  <si>
    <t>GHANA</t>
  </si>
  <si>
    <t>GIBRALTAR</t>
  </si>
  <si>
    <t>GREECE</t>
  </si>
  <si>
    <t>GREENLAND</t>
  </si>
  <si>
    <t>GRENADA</t>
  </si>
  <si>
    <t>GUADELOUPE</t>
  </si>
  <si>
    <t>GUATEMALA</t>
  </si>
  <si>
    <t>GUINEA</t>
  </si>
  <si>
    <t>GUINEA-BISSAU</t>
  </si>
  <si>
    <t>GUYANA</t>
  </si>
  <si>
    <t>HAITI</t>
  </si>
  <si>
    <t>HONDURAS</t>
  </si>
  <si>
    <t>HUNGARY</t>
  </si>
  <si>
    <t>ICELAND</t>
  </si>
  <si>
    <t>INDIA</t>
  </si>
  <si>
    <t>INDONESIA</t>
  </si>
  <si>
    <t>IRAN</t>
  </si>
  <si>
    <t>IRAQ</t>
  </si>
  <si>
    <t>IRELAND</t>
  </si>
  <si>
    <t>ISRAEL</t>
  </si>
  <si>
    <t>ITALY</t>
  </si>
  <si>
    <t>JAMAICA</t>
  </si>
  <si>
    <t>JAPAN</t>
  </si>
  <si>
    <t>JORDAN</t>
  </si>
  <si>
    <t>KAZAKHSTAN</t>
  </si>
  <si>
    <t>KENYA</t>
  </si>
  <si>
    <t>KIRIBATI</t>
  </si>
  <si>
    <t>KOREA</t>
  </si>
  <si>
    <t>KUWAIT</t>
  </si>
  <si>
    <t>KYRGYZSTAN</t>
  </si>
  <si>
    <t>LAO PEOPLE'S DEMOCRATIC REPUBLIC</t>
  </si>
  <si>
    <t>LATVIA</t>
  </si>
  <si>
    <t>LEBANON</t>
  </si>
  <si>
    <t>LESOTHO</t>
  </si>
  <si>
    <t>LIBERIA</t>
  </si>
  <si>
    <t>LIBYAN ARAB JAMAHIRIYA</t>
  </si>
  <si>
    <t>LIECHTENSTEIN</t>
  </si>
  <si>
    <t>LITHUANIA</t>
  </si>
  <si>
    <t>LUXEMBOURG</t>
  </si>
  <si>
    <t>MACEDONIA</t>
  </si>
  <si>
    <t>MADAGASCAR</t>
  </si>
  <si>
    <t>MALAWI</t>
  </si>
  <si>
    <t>MALAYSIA</t>
  </si>
  <si>
    <t>MALDIVES</t>
  </si>
  <si>
    <t>MALI</t>
  </si>
  <si>
    <t>MALTA</t>
  </si>
  <si>
    <t>MARTINIQUE</t>
  </si>
  <si>
    <t>MAURITANIA</t>
  </si>
  <si>
    <t>MAURITIUS</t>
  </si>
  <si>
    <t>MAYOTTE</t>
  </si>
  <si>
    <t>MEXICO</t>
  </si>
  <si>
    <t>MOLDOVA</t>
  </si>
  <si>
    <t>MONACO</t>
  </si>
  <si>
    <t>MONGOLIA</t>
  </si>
  <si>
    <t>MONTENEGRO</t>
  </si>
  <si>
    <t>MOROCCO</t>
  </si>
  <si>
    <t>MOZAMBIQUE</t>
  </si>
  <si>
    <t>MYANMAR</t>
  </si>
  <si>
    <t>NAMIBIA</t>
  </si>
  <si>
    <t>NEPAL</t>
  </si>
  <si>
    <t>NETHERLANDS</t>
  </si>
  <si>
    <t>NETHERLANDS ANTILLES</t>
  </si>
  <si>
    <t>NEW CALEDONIA</t>
  </si>
  <si>
    <t>NEW ZEALAND</t>
  </si>
  <si>
    <t>NICARAGUA</t>
  </si>
  <si>
    <t>NIGER</t>
  </si>
  <si>
    <t>NIGERIA</t>
  </si>
  <si>
    <t>NIUE</t>
  </si>
  <si>
    <t>NORWAY</t>
  </si>
  <si>
    <t>OMAN</t>
  </si>
  <si>
    <t>PAKISTAN</t>
  </si>
  <si>
    <t>PALAU</t>
  </si>
  <si>
    <t>PANAMA</t>
  </si>
  <si>
    <t>PAPUA NEW GUINEA</t>
  </si>
  <si>
    <t>PARAGUAY</t>
  </si>
  <si>
    <t>PERU</t>
  </si>
  <si>
    <t>PHILIPPINES</t>
  </si>
  <si>
    <t>POLAND</t>
  </si>
  <si>
    <t>PORTUGAL</t>
  </si>
  <si>
    <t>QATAR</t>
  </si>
  <si>
    <t>REUNION</t>
  </si>
  <si>
    <t>ROMANIA</t>
  </si>
  <si>
    <t>RUSSIAN FEDERATION</t>
  </si>
  <si>
    <t>RWANDA</t>
  </si>
  <si>
    <t>SAINT HELENA</t>
  </si>
  <si>
    <t>SAINT KITTS AND NEVIS</t>
  </si>
  <si>
    <t>SAINT LUCIA</t>
  </si>
  <si>
    <t>SAINT PIERRE AND MIQUELON</t>
  </si>
  <si>
    <t>SAINT VINCENT AND THE GRENADINES</t>
  </si>
  <si>
    <t>SAMOA</t>
  </si>
  <si>
    <t>SAN MARINO</t>
  </si>
  <si>
    <t>SAUDI ARABIA</t>
  </si>
  <si>
    <t>SENEGAL</t>
  </si>
  <si>
    <t>SERBIA</t>
  </si>
  <si>
    <t>SEYCHELLES</t>
  </si>
  <si>
    <t>SIERRA LEONE</t>
  </si>
  <si>
    <t>SINGAPORE</t>
  </si>
  <si>
    <t>SLOVAKIA</t>
  </si>
  <si>
    <t>SLOVENIA</t>
  </si>
  <si>
    <t>SOLOMON ISLANDS</t>
  </si>
  <si>
    <t>SOMALIA</t>
  </si>
  <si>
    <t>SOUTH AFRICA</t>
  </si>
  <si>
    <t>SPAIN</t>
  </si>
  <si>
    <t>SRI LANKA</t>
  </si>
  <si>
    <t>SUDAN</t>
  </si>
  <si>
    <t>SURINAME</t>
  </si>
  <si>
    <t>SVALBARD AND JAN MAYEN</t>
  </si>
  <si>
    <t>SWAZILAND</t>
  </si>
  <si>
    <t>SWEDEN</t>
  </si>
  <si>
    <t>SWITZERLAND</t>
  </si>
  <si>
    <t>SYRIAN ARAB REPUBLIC</t>
  </si>
  <si>
    <t>TAIWAN</t>
  </si>
  <si>
    <t>TAJIKISTAN</t>
  </si>
  <si>
    <t>TANZANIA</t>
  </si>
  <si>
    <t>THAILAND</t>
  </si>
  <si>
    <t>TOGO</t>
  </si>
  <si>
    <t>TONGA</t>
  </si>
  <si>
    <t>TRINIDAD AND TOBAGO</t>
  </si>
  <si>
    <t>TUNISIA</t>
  </si>
  <si>
    <t>TURKEY</t>
  </si>
  <si>
    <t>TURKMENISTAN</t>
  </si>
  <si>
    <t>TURKS AND CAICOS ISLANDS</t>
  </si>
  <si>
    <t>TUVALU</t>
  </si>
  <si>
    <t>UGANDA</t>
  </si>
  <si>
    <t>UKRAINE</t>
  </si>
  <si>
    <t>UNITED ARAB EMIRATES</t>
  </si>
  <si>
    <t>UNITED KINGDOM</t>
  </si>
  <si>
    <t>URUGUAY</t>
  </si>
  <si>
    <t>UZBEKISTAN</t>
  </si>
  <si>
    <t>VANUATU</t>
  </si>
  <si>
    <t>VENEZUELA</t>
  </si>
  <si>
    <t>VIET NAM</t>
  </si>
  <si>
    <t>VIRGIN ISLANDS</t>
  </si>
  <si>
    <t>WALLIS AND FUTUNA</t>
  </si>
  <si>
    <t>YEMEN</t>
  </si>
  <si>
    <t>ZAMBIA</t>
  </si>
  <si>
    <t>ZIMBABWE</t>
  </si>
  <si>
    <t>UNITED STATES</t>
  </si>
  <si>
    <t>Metro-City Lookup</t>
  </si>
  <si>
    <t>Country Lookup</t>
  </si>
  <si>
    <t>Mentions by Country</t>
  </si>
  <si>
    <t>Other</t>
  </si>
  <si>
    <t>Engagement by Day and Time</t>
  </si>
  <si>
    <t>Top Other Tags By Engagement Per Post</t>
  </si>
  <si>
    <t>Mentions</t>
  </si>
  <si>
    <t>Top Posts Containing Hashtags</t>
  </si>
  <si>
    <t>Engagement Outside Instagram</t>
  </si>
  <si>
    <t xml:space="preserve">
</t>
  </si>
  <si>
    <r>
      <t xml:space="preserve">Line break character </t>
    </r>
    <r>
      <rPr>
        <i/>
        <sz val="11"/>
        <color theme="1"/>
        <rFont val="Calibri"/>
        <family val="2"/>
      </rPr>
      <t>→</t>
    </r>
  </si>
  <si>
    <t>Header</t>
  </si>
  <si>
    <t>Unique People</t>
  </si>
  <si>
    <t>Potential Impressions Peak</t>
  </si>
  <si>
    <t>Display?</t>
  </si>
  <si>
    <t>← no data failover text</t>
  </si>
  <si>
    <t>Mentions by U.S. Metro Area</t>
  </si>
  <si>
    <t>← no data failover text (NOT USED FOR THIS CHART)</t>
  </si>
  <si>
    <r>
      <t xml:space="preserve">space </t>
    </r>
    <r>
      <rPr>
        <i/>
        <sz val="11"/>
        <color theme="1"/>
        <rFont val="Calibri"/>
        <family val="2"/>
      </rPr>
      <t>→</t>
    </r>
  </si>
  <si>
    <t>Top Keywords Within Post Captions</t>
  </si>
  <si>
    <t>Top Other Tags By Number of Mentions</t>
  </si>
  <si>
    <t>Total Hashtag Volume</t>
  </si>
  <si>
    <t>Per User Reached</t>
  </si>
  <si>
    <t>Total Engagement Outside Instagram</t>
  </si>
  <si>
    <t>PHOTOS</t>
  </si>
  <si>
    <t>VIDEOS</t>
  </si>
  <si>
    <t>Per Hashtag Mention</t>
  </si>
  <si>
    <t>Posts Per Person</t>
  </si>
  <si>
    <t>Avg Reach Per Photo Posted</t>
  </si>
  <si>
    <t>Avg Impressions per Person Reached</t>
  </si>
  <si>
    <t>Avg Engagement Per Post</t>
  </si>
  <si>
    <t>KEYWORDS IN THIS REPORT</t>
  </si>
  <si>
    <t>Cumulative Length</t>
  </si>
  <si>
    <t>String Builder</t>
  </si>
  <si>
    <t>Checker</t>
  </si>
  <si>
    <t>Top Impressions Driver From Report Period</t>
  </si>
  <si>
    <t>m/d/yy h:mm AM/PM</t>
  </si>
  <si>
    <t>Term</t>
  </si>
  <si>
    <t>Comments (Instagram)</t>
  </si>
  <si>
    <t>Likes (Instagram)</t>
  </si>
  <si>
    <t>Tag 1</t>
  </si>
  <si>
    <t xml:space="preserve">Engagement Per Post </t>
  </si>
  <si>
    <t>Total</t>
  </si>
  <si>
    <t>Category</t>
  </si>
  <si>
    <t>Name</t>
  </si>
  <si>
    <t>Value</t>
  </si>
  <si>
    <t>CSV</t>
  </si>
  <si>
    <t>Hashtags in this report</t>
  </si>
  <si>
    <t>Hashtag Volume</t>
  </si>
  <si>
    <t>Annotations</t>
  </si>
  <si>
    <t>Post Id</t>
  </si>
  <si>
    <t>Url</t>
  </si>
  <si>
    <t>Shares (Fb)</t>
  </si>
  <si>
    <t>Comments (Fb)</t>
  </si>
  <si>
    <t>Likes (Fb)</t>
  </si>
  <si>
    <t>Total Engagement (Fb)</t>
  </si>
  <si>
    <t>Latitude</t>
  </si>
  <si>
    <t>Longitude</t>
  </si>
  <si>
    <t>OVERVIEW</t>
  </si>
  <si>
    <t>Current Period</t>
  </si>
  <si>
    <t>VOLUME</t>
  </si>
  <si>
    <t>Total Hashtag Mentions</t>
  </si>
  <si>
    <t>Hashtag Mentions In Photos</t>
  </si>
  <si>
    <t>Hashtag Mentions In Videos</t>
  </si>
  <si>
    <t>ENGAGEMENT</t>
  </si>
  <si>
    <t>Engagement on Photos</t>
  </si>
  <si>
    <t>Engagement on Videos</t>
  </si>
  <si>
    <t>REACH</t>
  </si>
  <si>
    <t>Metric</t>
  </si>
  <si>
    <t>Is PoP Report?</t>
  </si>
  <si>
    <t>Previous Start Date</t>
  </si>
  <si>
    <t>Previous End Date</t>
  </si>
  <si>
    <t>Charts Sheets</t>
  </si>
  <si>
    <t>Charts</t>
  </si>
  <si>
    <t>Scorecard</t>
  </si>
  <si>
    <t>Tab Icons</t>
  </si>
  <si>
    <t>dashboard</t>
  </si>
  <si>
    <t>scorecard</t>
  </si>
  <si>
    <t>Instagram Likes</t>
  </si>
  <si>
    <t>Instagram Comments</t>
  </si>
  <si>
    <t>Overlay Text</t>
  </si>
  <si>
    <t>Formatted Engagement</t>
  </si>
  <si>
    <t>Formatted Metric Name</t>
  </si>
  <si>
    <t>Metric Context Text</t>
  </si>
  <si>
    <t>Comments Text</t>
  </si>
  <si>
    <t>Likes Text</t>
  </si>
  <si>
    <t>Rank</t>
  </si>
  <si>
    <t>Appendix</t>
  </si>
  <si>
    <t>appendices</t>
  </si>
  <si>
    <t>Image Url</t>
  </si>
  <si>
    <t>Profile Pic Url</t>
  </si>
  <si>
    <t>Top 10 Posts by Instagram Engagement</t>
  </si>
  <si>
    <t>Formatted Comments</t>
  </si>
  <si>
    <t>Formatted Likes</t>
  </si>
  <si>
    <t>Type keywords to search within captions. Most common are shown by default. Edit yellow cells to search.</t>
  </si>
  <si>
    <t>Keywords From Apprentince</t>
  </si>
  <si>
    <t>Count From Apprentice</t>
  </si>
  <si>
    <t xml:space="preserve">Length </t>
  </si>
  <si>
    <t>Keywords For Charts</t>
  </si>
  <si>
    <t>Count For Charts</t>
  </si>
  <si>
    <t>Percentage</t>
  </si>
  <si>
    <t>Definitions</t>
  </si>
  <si>
    <t>hashtag volume divided by unique people</t>
  </si>
  <si>
    <t>Potential Impressions Per Post</t>
  </si>
  <si>
    <t>Total potential impressions divided by the number of hashtag mentions.</t>
  </si>
  <si>
    <t>Total number of posts made during the report period.</t>
  </si>
  <si>
    <t>Total number Instagram Hashtag mentions made during the reporting period.</t>
  </si>
  <si>
    <t>The top users who had the highest engagement per post during the reporting period.</t>
  </si>
  <si>
    <t>Most Active Users by # of Posts</t>
  </si>
  <si>
    <t>The top users by the # of times they posted during the reporting period.</t>
  </si>
  <si>
    <t>The top users by the # of followers. Only includes users that posted during the reporting period.</t>
  </si>
  <si>
    <t>The top keywords within all photo captions. We are exluding any hashtags that are being tracked.</t>
  </si>
  <si>
    <t>Engagement Peaks</t>
  </si>
  <si>
    <t>The top 3 periods on the chart that represented the peaks in total engagement (likes + comments) for the reporting period</t>
  </si>
  <si>
    <t>Daily Trend</t>
  </si>
  <si>
    <t>The slope of the engagement trend line.</t>
  </si>
  <si>
    <t>The post that was made by the person that had the most followers during the reporting period.</t>
  </si>
  <si>
    <t>Mentions Peak Day</t>
  </si>
  <si>
    <t>The minute/hour/day/week/month where there were the most mentions during the reporting period.</t>
  </si>
  <si>
    <t>Impressions Peak Day</t>
  </si>
  <si>
    <t>The minute/hour/day/week/month that had the highest number of impressions during the reporting period.</t>
  </si>
  <si>
    <t>Engagement Details: Post Type</t>
  </si>
  <si>
    <t>The different types of posts: Either photo or video</t>
  </si>
  <si>
    <t>Sum of the followers of all the unique people that made posts during the reporting period. Is not limited to unique people.</t>
  </si>
  <si>
    <t>Sum of the followers of all the people that made posts during the reporting period. Is not limited to unique people.</t>
  </si>
  <si>
    <t>Top Other Tags by Engagement Per Post</t>
  </si>
  <si>
    <t>Similar to the definition above, however, we are looking at the average engagement of posts that contain the other hashtags.</t>
  </si>
  <si>
    <t>Top Video Filters (By Engagement)</t>
  </si>
  <si>
    <t>Self explanatory</t>
  </si>
  <si>
    <t>Top Time for Mentions</t>
  </si>
  <si>
    <t>Top Photo Filters (By Engagement)</t>
  </si>
  <si>
    <t>Top Day for Mentions</t>
  </si>
  <si>
    <t>Average Reach Per Photo Posted</t>
  </si>
  <si>
    <t>Potential reach divided by hashtag volume</t>
  </si>
  <si>
    <t>Potential Impressions Per Person Reached</t>
  </si>
  <si>
    <t>Potential Impressions divided by Potential Reach</t>
  </si>
  <si>
    <t>Distribution of Users by Follower Count</t>
  </si>
  <si>
    <t>Of all the users that posted during the reporting period, how many of them fell into the groups of followers that we put together.</t>
  </si>
  <si>
    <t>Distribution of Users by # of Mentions</t>
  </si>
  <si>
    <t>Of all the users that posted during the reporting period, a distribution of how many times they posted.</t>
  </si>
  <si>
    <t>Number of people who have posted on Instagram during the report period.</t>
  </si>
  <si>
    <t>Average Instagram Engagement Per Post</t>
  </si>
  <si>
    <t>Instagram engagement divided by hashtag volume</t>
  </si>
  <si>
    <t>Top Other Tags by Number of Mentions</t>
  </si>
  <si>
    <t>If other hashtags are also being used in photo captions, we are identifying which other hashtags are being used in conjunction with the hashtags being tracked.</t>
  </si>
  <si>
    <t>Comments and Posts by Day and Time</t>
  </si>
  <si>
    <t>Comments broken down by hour of day and day of week.</t>
  </si>
  <si>
    <t>Engagement Details: Total Engagement</t>
  </si>
  <si>
    <t>Breakdown of total engagement by type of posts.</t>
  </si>
  <si>
    <t>Breakdown of the top countries that drove the most mentions</t>
  </si>
  <si>
    <t>Mentions by US Metro Area</t>
  </si>
  <si>
    <t>Breakdown of the top US metro areas that drove the most mentions</t>
  </si>
  <si>
    <t>Engagement Details: Likes</t>
  </si>
  <si>
    <t>Breakdown of likes by type of posts</t>
  </si>
  <si>
    <t>Engagement Details: Comments</t>
  </si>
  <si>
    <t>Breakdown of comments by type of posts</t>
  </si>
  <si>
    <t>Hashtag Mentions</t>
  </si>
  <si>
    <t>Any photo or video containing the hashtag(s) being tracked that was posted during the report report. The photo/video will also appear in the report if the person that posted the photo/video posts a comment with the hashtag being tracked during the same period.</t>
  </si>
  <si>
    <t>Any likes &amp; comments on the media items being tracked. Engagement does not necessarily have to happen in the reporting period, as long as the media item was posted in the period then we count that engagement.</t>
  </si>
  <si>
    <t>Engagement Outside of Instagram: Tweets</t>
  </si>
  <si>
    <t># of tweets that contained the IG URL. Similar to how we do engagement outside of IG in the IG account report.</t>
  </si>
  <si>
    <t>Engagement Outside of Instagram: FB Shares</t>
  </si>
  <si>
    <t># of shares on public FB posts that contain the IG URL Similar to how we do engagement outside of IG in the IG account report.</t>
  </si>
  <si>
    <t>Engagement Outside of Instagram: FB Likes</t>
  </si>
  <si>
    <t># of likes on public FB posts that contain the IG URL Similar to how we do engagement outside of IG in the IG account report.</t>
  </si>
  <si>
    <t>Engagement Outside of Instagram: FB Comments</t>
  </si>
  <si>
    <t># of comments on public FB posts that contain the IG URL Similar to how we do engagement outside of IG in the IG account report.</t>
  </si>
  <si>
    <t>Carousels</t>
  </si>
  <si>
    <t>`</t>
  </si>
  <si>
    <t>Engagement on Carousels</t>
  </si>
  <si>
    <t>Hashtag Mentions In Carousels</t>
  </si>
  <si>
    <t>Photo Hashtag Mentions</t>
  </si>
  <si>
    <t>Video Hashtag Mentions</t>
  </si>
  <si>
    <t>Carousel Hashtag Mentions</t>
  </si>
  <si>
    <t>#KeepOnGoing</t>
  </si>
  <si>
    <t>eiblackout37</t>
  </si>
  <si>
    <t>1578779801014273396_4354803929</t>
  </si>
  <si>
    <t>8-10-2017 // I still remember the day I dreamed about the things I have now. I still dream about the things I don't have yet. All I know is I must work harder than I already am. Dreams only come true to those who keep on working. #WorkHarder #KeepOnGoing #ItsAMarathon #MentalJewels #NeverSatisfied #AlwaysHungry #KeepGrinding #BodyBuilding #Asthetics #Lifting #Flexing #Posing #Physique #Gainzzz #GymLife #MensPhysique #InstaFit #IGFit #Chest #Arms #LVFT #Fatefit #IronAddicts #Gymshark #1UpNutrition #EHPLabs #DarcSport #Repcity #Blackout 📸@21blackout21</t>
  </si>
  <si>
    <t>image</t>
  </si>
  <si>
    <t>Normal</t>
  </si>
  <si>
    <t>flexing</t>
  </si>
  <si>
    <t>blackout</t>
  </si>
  <si>
    <t>neversatisfied</t>
  </si>
  <si>
    <t>lifting</t>
  </si>
  <si>
    <t>repcity</t>
  </si>
  <si>
    <t>waynemcgrath_</t>
  </si>
  <si>
    <t>1578782131839452332_243176274</t>
  </si>
  <si>
    <t>Lap by lap for 5kms, good hard run 😤😤😤
5k pb 😁😁😁😁😁😁😁😁😁
#run #justrun #runalways #runhard #trainhard #ultra #marathon #halfmarathon #everystate #trailrunning #runningwild #marathontraining #swimbikerun #nevergiveup #keepongoing 👍👊💪💨⚡😤😁</t>
  </si>
  <si>
    <t>carousel</t>
  </si>
  <si>
    <t>runhard</t>
  </si>
  <si>
    <t>halfmarathon</t>
  </si>
  <si>
    <t>trainhard</t>
  </si>
  <si>
    <t>nevergiveup</t>
  </si>
  <si>
    <t>run</t>
  </si>
  <si>
    <t>monsenior08</t>
  </si>
  <si>
    <t>1578793850825290107_207595619</t>
  </si>
  <si>
    <t>#NotBadAt41 #KeepOnGoing #NeedMoreWorkout #GettingBackInShapeBig #ImProudOfMySelf🤙</t>
  </si>
  <si>
    <t>keepongoing</t>
  </si>
  <si>
    <t>notbadat41</t>
  </si>
  <si>
    <t>improudofmyself🤙</t>
  </si>
  <si>
    <t>gettingbackinshapebig</t>
  </si>
  <si>
    <t>needmoreworkout</t>
  </si>
  <si>
    <t>tishamcmanus</t>
  </si>
  <si>
    <t>1578798779100282772_4161179078</t>
  </si>
  <si>
    <t>Awww... What a good reminder!
.
.
.
.
.
#littleeyesandbigears #keepongoing #setgoodexamples</t>
  </si>
  <si>
    <t>littleeyesandbigears</t>
  </si>
  <si>
    <t>setgoodexamples</t>
  </si>
  <si>
    <t>a.tari96</t>
  </si>
  <si>
    <t>1578801962055723493_5681311432</t>
  </si>
  <si>
    <t>Day 39 of gym ☑️🤗
I worked out biceps and triceps mostly today and I've got to say, I am looking pretty buff 😏💪🏻😂 (sorta kinda🙈) I'm a bit Hangry at the moment because there wasn't much to eat in the house and I'm still hungry😂 A hungry Me is not a nice Me😂🙈 Have a great night everyone!😊🌙
.
.
.
.
.
.
.
.
.
.
.
.
.
.
.
#honormycurves #bodypositive #loveyourbody #loveyourself #selflove #embracethesquish #embraceyourcurves #embracetheprocess #workinprogress #progress #proudofmyself #fitness #fit #fitgirl #fitjourney #fitnessmotivation #gym #gymmotivation #thick #thickthighssavelives #curves #curvygirl #tummy #cellulite #stilllovemyself #instagood #instadaily #keepongoing #sisepuede</t>
  </si>
  <si>
    <t>Gingham</t>
  </si>
  <si>
    <t>bodypositive</t>
  </si>
  <si>
    <t>embracethesquish</t>
  </si>
  <si>
    <t>fitness</t>
  </si>
  <si>
    <t>stilllovemyself</t>
  </si>
  <si>
    <t>curvygirl</t>
  </si>
  <si>
    <t>nieldeepnarain</t>
  </si>
  <si>
    <t>1578805247957922275_429150387</t>
  </si>
  <si>
    <t>Don’t let the words or actions of others stop you from living with purpose, victory and enthusiasm. You have one life to live so live it, enjoy it and make the best of your everyday life. Don't let anything or anyone stop you from living your victorious life. God gave you life so come on, enjoy it and stand for the truth in love. Have a Blessed #Friday everyone 🎉👍 #FridayFeeling #SpeakLife #YourWordsMatter #EnjoyLife #KeepOnGoing #DontStop #MoveOn #LookToJesus #Victory #Healing #Joy #Fun #Blessed #HappyFriday #Friday #Devotion #Encouragement #Love #YouAreVictorious #Purpose #JesusIsTheWay #Hope #Faith #Stand #Truth #NoFear #BeBold #YouAreLoved #JesusLovesYou</t>
  </si>
  <si>
    <t>Hefe</t>
  </si>
  <si>
    <t>youareloved</t>
  </si>
  <si>
    <t>moveon</t>
  </si>
  <si>
    <t>victory</t>
  </si>
  <si>
    <t>happyfriday</t>
  </si>
  <si>
    <t>joy</t>
  </si>
  <si>
    <t>jessielmccarty</t>
  </si>
  <si>
    <t>1578807070727591513_2033382</t>
  </si>
  <si>
    <t>"Therefore, since we are surrounded by so great a cloud of witnesses, let us also lay aside every weight, and sin which clings so closely, and let us run with endurance the race that is set before us, looking to Jesus, the founder and perfecter of our faith, who for the joy that was set before him endured the cross, despising the shame, and is seated at the right hand of the throne of God"
Hebrews 12v1+2</t>
  </si>
  <si>
    <t>San Clemente, California</t>
  </si>
  <si>
    <t>summer</t>
  </si>
  <si>
    <t>beachphotography</t>
  </si>
  <si>
    <t>datenight</t>
  </si>
  <si>
    <t>sahmlife</t>
  </si>
  <si>
    <t>momblog</t>
  </si>
  <si>
    <t>liseeau</t>
  </si>
  <si>
    <t>1578815469853667852_5378380847</t>
  </si>
  <si>
    <t>Ich liebe dich. #punting #keepongoing #cambridge</t>
  </si>
  <si>
    <t>cambridge</t>
  </si>
  <si>
    <t>punting</t>
  </si>
  <si>
    <t>liza_trumpelmann</t>
  </si>
  <si>
    <t>1578823790498324998_1377135044</t>
  </si>
  <si>
    <t>We don't grow when things are easy. We grow when we face challenges °•☆ #notetoself#bestself#wellness#keepongoing#dontquit#youvegotthis#growth#grow#prosper#inspire#lifejourney#followme#strongwoman#bossbabes#survivor#weekendvibes#this#snapchatfilters#selfie#tgif#fridayquotes#friyay#happyfriday</t>
  </si>
  <si>
    <t>Clarendon</t>
  </si>
  <si>
    <t>survivor</t>
  </si>
  <si>
    <t>strongwoman</t>
  </si>
  <si>
    <t>bestself</t>
  </si>
  <si>
    <t>snapchatfilters</t>
  </si>
  <si>
    <t>grow</t>
  </si>
  <si>
    <t>jolien_j</t>
  </si>
  <si>
    <t>1578834093135515980_50373203</t>
  </si>
  <si>
    <t>《 WORK FOR IT 》
Na een lesje Sh'Bam nog mijn PBP-training gedaan, inclusief goede support van de instructeurs bij @ditisperfect Thx guys!🖒🖒
Vanavond training 3/4, nu eerst nog een dagje werken. 
#pbp #personalbodyplan #ditismijnpbp #ditisperfect #studioperfect #gym #fitness #gettingfit #motivation #goals #goodmorning #riseandshine #workout #training #trainingday #weightlifting #doyoursquats #weightloss #stronger #gettingfit #fitjourney #progress #keepongoing #dontgiveup #instafit #instadaily #soremuscles #burnburnburn #offtowork #haveaniceday #bye💋</t>
  </si>
  <si>
    <t>weightloss</t>
  </si>
  <si>
    <t>haveaniceday</t>
  </si>
  <si>
    <t>studioperfect</t>
  </si>
  <si>
    <t>progress</t>
  </si>
  <si>
    <t>uniquefamilycounsellor</t>
  </si>
  <si>
    <t>1578835050785437647_5568199629</t>
  </si>
  <si>
    <t>I AM is one of the 2 most powerfully used words. What you choose to say next will create in your reality. Either for your greatest good or it could be detrimental. What do you choose to say next? #unique #abundance #postive #quotes #wellness #intentions#healthandwellness #wellnesswarrior #manchester#counselor 🌸</t>
  </si>
  <si>
    <t>spiritualwarrior</t>
  </si>
  <si>
    <t>wisdom</t>
  </si>
  <si>
    <t>manchester</t>
  </si>
  <si>
    <t>parenting</t>
  </si>
  <si>
    <t>quotes</t>
  </si>
  <si>
    <t>taigenlindeque</t>
  </si>
  <si>
    <t>1578857063064726591_1523348929</t>
  </si>
  <si>
    <t>Sometimes in life stuff is scary. But we have to push through it to get to the good stuff. #keepongoing #keepwalking #photoofthedaysa #streetphotography #capecarnival2017</t>
  </si>
  <si>
    <t>Cape Town, Western Cape</t>
  </si>
  <si>
    <t>keepwalking</t>
  </si>
  <si>
    <t>capecarnival2017</t>
  </si>
  <si>
    <t>photoofthedaysa</t>
  </si>
  <si>
    <t>streetphotography</t>
  </si>
  <si>
    <t>meshach4life</t>
  </si>
  <si>
    <t>1578858093981408177_742473233</t>
  </si>
  <si>
    <t>My mission in life is not merely to survive, but to thrive; and to do so with some passion, some compassion , some humor and some style. A splendid day to you all @meshach4life #keepongoing#followyourdreams#taketheglobe#dontgiveup#dowhatyoulove#photooftheday#keeponkeepingon#happinessishealthy#staymotivated#followforfollow#likesforlikes #f4l#l4l#l4f#reachthetop#keepsmiling#peaceofmind :)</t>
  </si>
  <si>
    <t>staymotivated</t>
  </si>
  <si>
    <t>keeponkeepingon</t>
  </si>
  <si>
    <t>dowhatyoulove</t>
  </si>
  <si>
    <t>followyourdreams</t>
  </si>
  <si>
    <t>l4f</t>
  </si>
  <si>
    <t>_michele_black_</t>
  </si>
  <si>
    <t>1578861698004892944_3655338847</t>
  </si>
  <si>
    <t>It's #flexyfriday again 🤗 Like to #share a little #exercise with you for #frontsplit I think it's also a good exercise if you try to get your #oversplit
I try to flex both legs in this position, pull them up actively and push the hip down. Sounds a bit weird if I try to explain but it feels like the #split is getting better with this little by little. Don't know why the last centimeters are so fucking hard 😤 
Sorry for my face - I was focused 😅 
______________
#stretching #poledance #poledancer #poledancersofig #poledancersofinstagram #flexy #bendy #yoga #yogawheel #yogablocks #splits #keepongoing #keeponfighting #workhard #stretchit</t>
  </si>
  <si>
    <t>Mayfair</t>
  </si>
  <si>
    <t>yogawheel</t>
  </si>
  <si>
    <t>oversplit</t>
  </si>
  <si>
    <t>bendy</t>
  </si>
  <si>
    <t>flexyfriday</t>
  </si>
  <si>
    <t>poledancersofig</t>
  </si>
  <si>
    <t>motivationbyeli</t>
  </si>
  <si>
    <t>1578862262649692821_5801959162</t>
  </si>
  <si>
    <t>🔥Great and true message! Do you agree? 🌟😍Comment below and tag a friend that should see this! ✏️👯 Thank you @lawofattraction0 for an amazing post! ❤️</t>
  </si>
  <si>
    <t>startyourlife</t>
  </si>
  <si>
    <t>determind</t>
  </si>
  <si>
    <t>dreambigorgohome</t>
  </si>
  <si>
    <t>grinders</t>
  </si>
  <si>
    <t>beambitous</t>
  </si>
  <si>
    <t>maureenpfeiffer</t>
  </si>
  <si>
    <t>1578867218237501141_575590962</t>
  </si>
  <si>
    <t>Guten Morgen ..draussen sieht es fast herbstlich aus🤤euch allen einen schönen Freitag #friday #goodmorning #herbst #touchofautumn #keepongoing #redberries</t>
  </si>
  <si>
    <t>Juno</t>
  </si>
  <si>
    <t>redberries</t>
  </si>
  <si>
    <t>friday</t>
  </si>
  <si>
    <t>herbst</t>
  </si>
  <si>
    <t>goodmorning</t>
  </si>
  <si>
    <t>flipin89</t>
  </si>
  <si>
    <t>1578885829672434967_1241127607</t>
  </si>
  <si>
    <t>Not going to lie... I'm a little disappointed in myself. I felt good going into these max attempts this week especially after nailing my goal of a 315lbs squat, but that elusive 405lbs dead lift is still just a little out of reach. I managed to pull my original PR of 385lbs with some difficulty so at least I didn't go backwards! As for bench.... I didn't get my goal of 250lbs but I still managed a 5lbs PR for an extremely tough 240lbs press. Need to work on posture/technique, still not quite there. Even though I only succeeded in achieving but one of my goals I can take pride in the progress I've made over the past 8 months!! When I first started I could barely squat or deadlift lmfao! #deadlift#veganlife#vegan#vegansofig#vegansofinstagram#veganbodybuilding#veganathlete#veganism#plantbased#plantstrong#plantprotein#crueltyfree#guyswholift#gym#gymlife#gymmotivation#fail#keepongoing#staypositive#lifting#liftinggoals</t>
  </si>
  <si>
    <t>plantbased</t>
  </si>
  <si>
    <t>crueltyfree</t>
  </si>
  <si>
    <t>gymmotivation</t>
  </si>
  <si>
    <t>lucyannbarnes</t>
  </si>
  <si>
    <t>1578889920225771213_3275960734</t>
  </si>
  <si>
    <t>Running Inspiration ❤️feel so good after a good run 🏃 .
.
.
.
.
.
.
.
#body #running #run #keepgoing #sixpack #toning #gym #gymmotivation #eatclean #bodybuilding #eatclean #organic #gymbuzz #love #yourself #health #nutrition #beach #life#weights #fitnessjourney #keepongoing 💪💪💪#cardio#fitnotthin#yoga #yogaeverydamnday #lifesgood#gymwear#pinksportsbra #goals#photography</t>
  </si>
  <si>
    <t>Puerto Banús</t>
  </si>
  <si>
    <t>pinksportsbra</t>
  </si>
  <si>
    <t>keepgoing</t>
  </si>
  <si>
    <t>yoga</t>
  </si>
  <si>
    <t>fitnessjourney</t>
  </si>
  <si>
    <t>yourself</t>
  </si>
  <si>
    <t>raulclss069</t>
  </si>
  <si>
    <t>1578894635052181869_257202554</t>
  </si>
  <si>
    <t>#farmer #farmlife #mildura #australia #keepongoing #traveling #aroundtheworld #newadventures #redcliffs</t>
  </si>
  <si>
    <t>Willow</t>
  </si>
  <si>
    <t>Red Cliffs, Victoria</t>
  </si>
  <si>
    <t>redcliffs</t>
  </si>
  <si>
    <t>mildura</t>
  </si>
  <si>
    <t>farmlife</t>
  </si>
  <si>
    <t>newadventures</t>
  </si>
  <si>
    <t>positiveteen</t>
  </si>
  <si>
    <t>1578894689476634141_2075039459</t>
  </si>
  <si>
    <t>Hope you all have a amazing day, stay strong and stay amazing 💚
#positivethinking #positivevibes #positiveenergy #positivequotes #quotestoliveby #happiness #joy #recovery #recoveryisworthit #depression #l4l #f4f #keepongoing #recovery #recoveryquotes #positivityquotes #love #selflove #brokenheart #fear #insanity #insane #grunge #secretsociety1234 #suicide #suicidal #anxiety</t>
  </si>
  <si>
    <t>video</t>
  </si>
  <si>
    <t>f4f</t>
  </si>
  <si>
    <t>positivityquotes</t>
  </si>
  <si>
    <t>insanity</t>
  </si>
  <si>
    <t>quotestoliveby</t>
  </si>
  <si>
    <t>kikasporty</t>
  </si>
  <si>
    <t>1578898285976701510_297558307</t>
  </si>
  <si>
    <t>GM😁🌅Warriors🏹! 💫"The bravest are surely those who have the clearest vision of what is before them, glory and danger alike, and yet notwithstanding go out to meet it."- Thucydides.  Happy FRIYAIII Y'ALL!!! Daliy 8k🏃🏼‍♀️💨 in thr company of #hardwell #hardwellonair episode 348🎶! #free #fitmom #fitmama #fitgirl #fitness #fitnessaddict #run #runner #running #rundancing #mamaenforma #mamacorriendo #runningterritory #gim #gimnasio #gym #gymgirl #gymaddict #gymlife #gymaholic #kikasporty #keeptrying #keepmoving #keepstrong #keepongoing #myanchor #mypassion #myhappyplace</t>
  </si>
  <si>
    <t>Perpetua</t>
  </si>
  <si>
    <t>runningterritory</t>
  </si>
  <si>
    <t>fitmom</t>
  </si>
  <si>
    <t>hardwell</t>
  </si>
  <si>
    <t>myhappyplace</t>
  </si>
  <si>
    <t>katrinlangsamen</t>
  </si>
  <si>
    <t>1578905993369242770_279512262</t>
  </si>
  <si>
    <t>Давно не видела это место таким пустым. По-моему, в последний раз два года назад, в период судорожного и плодотворного дописывания Пустоты. В то время я могла вдруг неожиданно кинуться к ближайшей пустой скамейке/стулу/столу/перилам и начать писать на пустых листах/блокнотах/тетрадках/коже/книгах/салфетках — на всём, что могла потом утащить с собой. Я проваливалась в другой мир иногда на десять минут, иногда на час. 
Здесь, прямо с этим видом я писала белыми чернилами поздней зимой что-то о семье и несчастии. 
Теперь место расчищено, а я все никак не начну. В моем рюкзаке нет ни одной ручки. Дожили.
.
#rainyday #abmcolorcontest #seemymoscow #citylife #vsco #vibes #vscocam #daily #catherineinmoscow #picoftheday #livelife #loveinmoscow #lifeex #madrussians #moscowcity #morning #moscowlife #keepongoing</t>
  </si>
  <si>
    <t>Площадь у ЦУМа</t>
  </si>
  <si>
    <t>RUSSIA</t>
  </si>
  <si>
    <t>moscowlife</t>
  </si>
  <si>
    <t>catherineinmoscow</t>
  </si>
  <si>
    <t>picoftheday</t>
  </si>
  <si>
    <t>moscowcity</t>
  </si>
  <si>
    <t>ahealthystepaday</t>
  </si>
  <si>
    <t>1578906702560301571_1948903198</t>
  </si>
  <si>
    <t>It took me a while and I am still not there a 100% to act only in the "now" ... but it is part of my progress. Not only to lose weight and get in shape again, no it is also to set boundaries and to accept that sometimes I have to put myself first. The last five years I invested all my energy in my company &amp; my baby girl but it emptied well my batteries...a fact, not a complain! Putting myself first still feels strange, but it is getting better, every day! And living in the now makes it easier as well!
By the way it is Friday and I should do a weight update, but there is none... still one the same but I lost 2 cm on my chest and I fit into some of my old gym cloths. Would still like to lose two pounds to reach my 20 pounds goal as preparation for next week, but if not it is also okay! How are things with you? Xoxo</t>
  </si>
  <si>
    <t>Swiss Alps</t>
  </si>
  <si>
    <t>lowcarb</t>
  </si>
  <si>
    <t>ahsad</t>
  </si>
  <si>
    <t>diät</t>
  </si>
  <si>
    <t>losingweight</t>
  </si>
  <si>
    <t>theresemis</t>
  </si>
  <si>
    <t>1578909131355865739_221684050</t>
  </si>
  <si>
    <t>#keepongoing #strength #beyourself #beyou #words #quotes #doyourbest #yourlife #life #mylife #goodenough #feelings</t>
  </si>
  <si>
    <t>Toaster</t>
  </si>
  <si>
    <t>beyou</t>
  </si>
  <si>
    <t>mylife</t>
  </si>
  <si>
    <t>beyourself</t>
  </si>
  <si>
    <t>words</t>
  </si>
  <si>
    <t>thecalmandthechaos</t>
  </si>
  <si>
    <t>1578913373928005575_177450803</t>
  </si>
  <si>
    <t>2 more went down with sickness today. Bed never seemed so wonderful as it does right now. And it's my birthday weekend 😭😭😭. #theflu
 #sickness #bed #mumlife #keepongoing #cantbesickonmybirthday
#bedroom #mainbedroom #bedroominspo #roominspiration #interiordecorating #homedecor #art #wallart #watercolour #aushandmade #shopinsta #supportthemakers #birds #homestyle #myhome #interiorstyling  #instahome #home  #homedecorating 
#kmartaus #kmartstyling #kmarthome</t>
  </si>
  <si>
    <t>birds</t>
  </si>
  <si>
    <t>art</t>
  </si>
  <si>
    <t>sickness</t>
  </si>
  <si>
    <t>wallart</t>
  </si>
  <si>
    <t>kmarthome</t>
  </si>
  <si>
    <t>forever.wanderlust</t>
  </si>
  <si>
    <t>1578915061464199499_1781079691</t>
  </si>
  <si>
    <t>Casa Batlló, Barcelona
Photo by @oscargimenezpedro
Tag your friends 😍
Follow @forever.wanderlust for more!
.
.
.
.
.
.
.
.
#yogastrong #travelfamily #travelshots #travellifestyle #sunsetcliffs #bestvacations #spiritualgangster #yogaholic #vacaville #igers #yogaforlife #travelstoke #Instalove #traveladventures #mindthemountain #keepongoing #lovewhatyoudodowhatyoulove #lifehappens #yogadudes #lifeofadventure #adventurebuddies #intentionalliving #instatravelhub #traveljapan #liveforyou</t>
  </si>
  <si>
    <t>yogaforlife</t>
  </si>
  <si>
    <t>sunsetcliffs</t>
  </si>
  <si>
    <t>intentionalliving</t>
  </si>
  <si>
    <t>instatravelhub</t>
  </si>
  <si>
    <t>vacaville</t>
  </si>
  <si>
    <t>cakidiehl</t>
  </si>
  <si>
    <t>1578941037711689182_185195397</t>
  </si>
  <si>
    <t>Refresh reset rejuvenate BREATHE_ it's Friday! Happy Weekend! 🙌⭐️❤️
.
.
.
#happyfriyay #refresh #reset #rejuvenate #breatheinbreatheout #amazingsunset #charlestonsc #runhappy #rundaily #highvibes #highenergy #positivemindset #kindnessmatters #compassionmatters #choosejoy #chooselove #cakidiehl #abundantlife #joyfullife #clarity #sailon #youareamazing #youareworthit #youareenough #youareloved #youareawesome #worththeeffort #persevere #keepongoing</t>
  </si>
  <si>
    <t>highvibes</t>
  </si>
  <si>
    <t>abundantlife</t>
  </si>
  <si>
    <t>highenergy</t>
  </si>
  <si>
    <t>breatheinbreatheout</t>
  </si>
  <si>
    <t>lucyppilates</t>
  </si>
  <si>
    <t>1578943405168355218_812500086</t>
  </si>
  <si>
    <t>✨This is my bridge/ wheel in progress... pre warm up.  Yoga class later in today and let's see what happens.... excited!!! ✨#notjustforyogis #yoga #bebetter #keepongoing #powerpilates #beachbodybarre #barre #lucypotucek.com #workinprogress #happyat38 #gratitude #thankyou #love #iloverichmond #wishmeluck</t>
  </si>
  <si>
    <t>Barreworks</t>
  </si>
  <si>
    <t>love</t>
  </si>
  <si>
    <t>thankyou</t>
  </si>
  <si>
    <t>happyat38</t>
  </si>
  <si>
    <t>notjustforyogis</t>
  </si>
  <si>
    <t>tracy24fit</t>
  </si>
  <si>
    <t>1578943484625593356_1011271643</t>
  </si>
  <si>
    <t>When you aren't sleeping well. You get ready to go smash a gym session.
#gymtime 
#healthylifestyle 
#snapchatfilters</t>
  </si>
  <si>
    <t>workingonme</t>
  </si>
  <si>
    <t>ketodiet</t>
  </si>
  <si>
    <t>strongwomen</t>
  </si>
  <si>
    <t>buildmuscle</t>
  </si>
  <si>
    <t>fitbitstats</t>
  </si>
  <si>
    <t>kim.lorrainegrantham</t>
  </si>
  <si>
    <t>1578943942644635021_1440578581</t>
  </si>
  <si>
    <t>This is definitely how I feel right now 🤦🏼‍♀️🤦🏼‍♀️ life just keeps on testing #itwillgetbetter #keepongoing #wheresprincecharming #iwantmycastle #livedhappilyeverafter</t>
  </si>
  <si>
    <t>wheresprincecharming</t>
  </si>
  <si>
    <t>livedhappilyeverafter</t>
  </si>
  <si>
    <t>iwantmycastle</t>
  </si>
  <si>
    <t>itwillgetbetter</t>
  </si>
  <si>
    <t>cdp_illustration</t>
  </si>
  <si>
    <t>1578944077691416511_5723903318</t>
  </si>
  <si>
    <t>Perseverance wins! 
#inspiration #keepongoing #women #truthandjustice #peacewarrior #graphicdesign #socfeature</t>
  </si>
  <si>
    <t>graphicdesign</t>
  </si>
  <si>
    <t>truthandjustice</t>
  </si>
  <si>
    <t>peacewarrior</t>
  </si>
  <si>
    <t>women</t>
  </si>
  <si>
    <t>1578948529777315594_5801959162</t>
  </si>
  <si>
    <t>💎 YES AND YES AND YES!🔥 Do you agree? 😃 Comment below and tag a friend that should see this! ✏️👯 Thank you again @lawofattraction0 for this awesome post!</t>
  </si>
  <si>
    <t>gruber_coaching</t>
  </si>
  <si>
    <t>1578950851946709555_4416083768</t>
  </si>
  <si>
    <t>Es wird anders gut 📖✒
#coaching #story #newchapter #loslassenkönnen #keepongoing #motivation #nevergiveup #gofor #takechance #mindset #decitions #glücklichsein #türauflebenan</t>
  </si>
  <si>
    <t>Marion Lampert- Gruber, Praxis Für Psychologische Beratung</t>
  </si>
  <si>
    <t>mindset</t>
  </si>
  <si>
    <t>gofor</t>
  </si>
  <si>
    <t>motivation</t>
  </si>
  <si>
    <t>ronbeumer</t>
  </si>
  <si>
    <t>1578958332897575884_47899432</t>
  </si>
  <si>
    <t>You know what this means! Back at it💪🏽 #life #nopainnogain #sport #gym #backatit #strength #squat #legday #keepongoing #power #weights #dontstop</t>
  </si>
  <si>
    <t>life</t>
  </si>
  <si>
    <t>strength</t>
  </si>
  <si>
    <t>sport</t>
  </si>
  <si>
    <t>legday</t>
  </si>
  <si>
    <t>tessy_001</t>
  </si>
  <si>
    <t>1578964807393083282_2053552003</t>
  </si>
  <si>
    <t>Some more horsiespam 😍 what do you guys think of my outfit 😇
.
.
.
.
.
#dressagerider #dressage #dressagehorse #kwpn #knhs #competing #competitor #proud #keepongoing #happyrider #happyathelete #potd #power #loveatfirstsight #horses #horsietime #dressagehorses</t>
  </si>
  <si>
    <t>proud</t>
  </si>
  <si>
    <t>dressagerider</t>
  </si>
  <si>
    <t>horses</t>
  </si>
  <si>
    <t>dressage</t>
  </si>
  <si>
    <t>ale_27_r</t>
  </si>
  <si>
    <t>1578966329363770974_5526873219</t>
  </si>
  <si>
    <t>❤️ #song #bastille #lyrics #blackandwhite #picoftheday #smile #tomorrow #kairos #hope #soul #likeforlike #venice #city #keepongoing  #instagood #feelings</t>
  </si>
  <si>
    <t>Inkwell</t>
  </si>
  <si>
    <t>Venezia, Italia</t>
  </si>
  <si>
    <t>soul</t>
  </si>
  <si>
    <t>likeforlike</t>
  </si>
  <si>
    <t>song</t>
  </si>
  <si>
    <t>hope</t>
  </si>
  <si>
    <t>ellemari17</t>
  </si>
  <si>
    <t>1578966808285779948_1313724672</t>
  </si>
  <si>
    <t>💕⭐#arbat#moscow#love#enjoy#keepongoing #일상 #소통 #좋아요 #daily #맞팔 #일상스타그램 #선팔 #팔로우 #데일리그램 #소통해요 #instadaily #instagood #선팔하면맞팔 #예쁘다그램 #스타일#여행 #멋스타그램#뷰티 #달달해#walking</t>
  </si>
  <si>
    <t>Walking at Old Arbat Street</t>
  </si>
  <si>
    <t>데일리그램</t>
  </si>
  <si>
    <t>선팔</t>
  </si>
  <si>
    <t>arbat</t>
  </si>
  <si>
    <t>멋스타그램</t>
  </si>
  <si>
    <t>_dapollo_</t>
  </si>
  <si>
    <t>1578981665055763012_1414662261</t>
  </si>
  <si>
    <t>Tonight we are young🦋
.
.
.
.
.
.
.
.
.
.
.
.
.
.
.
#young #youth #tonight #love #life #lovemylife #live #goon #keepongoing #brightness #pink #evening #kids #18 #girls #friends #frindstime</t>
  </si>
  <si>
    <t>Lesnoy Gorodok, Moskovskaya Oblast', Russia</t>
  </si>
  <si>
    <t>girls</t>
  </si>
  <si>
    <t>live</t>
  </si>
  <si>
    <t>18</t>
  </si>
  <si>
    <t>friends</t>
  </si>
  <si>
    <t>janninakostian</t>
  </si>
  <si>
    <t>1578987157758248456_1419632348</t>
  </si>
  <si>
    <t>I'm not usually the one to post gym or work out related posts, but today I had to. Just for the simple reason, that I just realized that this was the first time after struggling with health issues that I managed to work out the same exact way I used to. Didn't feel like dying this time, only felt like a winner and yes I cried afterwards from pure happiness and it was the best feeling I've had in the longest time! Didn't think this day will ever come, but here it is and that's exactly the motivation I needed!
#picoftheday #gym #happiness #workout #motivation #fitness #beforegym #selfie #winning #igers #positivevibes #finland #espoo #igersfinland #finnishgirl #keepongoing</t>
  </si>
  <si>
    <t>Espoo, Finland</t>
  </si>
  <si>
    <t>finnishgirl</t>
  </si>
  <si>
    <t>winning</t>
  </si>
  <si>
    <t>finland</t>
  </si>
  <si>
    <t>selfie</t>
  </si>
  <si>
    <t>happiness</t>
  </si>
  <si>
    <t>goke1992</t>
  </si>
  <si>
    <t>1579011456795281253_228312709</t>
  </si>
  <si>
    <t>#quoteoftheday #quote #littlesteps #healthylife #healthyme #nevergiveup #wecandoit #proud #losingweight #weightloss #keepongoing 😃💪🏼</t>
  </si>
  <si>
    <t>healthyme</t>
  </si>
  <si>
    <t>flavia_ventolini</t>
  </si>
  <si>
    <t>1579016848983420333_39657567</t>
  </si>
  <si>
    <t>Ready to go! 😎 #salento #summer #summer2k17 #me #holiday #happy #takeabreak #keepongoing #summerdays #bepositive #relax #free</t>
  </si>
  <si>
    <t>Amaro</t>
  </si>
  <si>
    <t>free</t>
  </si>
  <si>
    <t>summerdays</t>
  </si>
  <si>
    <t>holiday</t>
  </si>
  <si>
    <t>asc_duisburg</t>
  </si>
  <si>
    <t>1579018702488227202_1383760969</t>
  </si>
  <si>
    <t>@mark_wp02 (Mark Gansen) mit der U15-Nationalmannschaft in 🇲🇪 Montenegro unterwegs! 
#zweiToregegenUngarn #Nationalmannschaft #ascd #duisburg #talent #wasserball #waterpolo #keepongoing 
@wasserball_team_deutschland</t>
  </si>
  <si>
    <t>Amateur Schwimmclub Duisburg e.V.</t>
  </si>
  <si>
    <t>ascd</t>
  </si>
  <si>
    <t>nationalmannschaft</t>
  </si>
  <si>
    <t>duisburg</t>
  </si>
  <si>
    <t>waterpolo</t>
  </si>
  <si>
    <t>steffi.springl</t>
  </si>
  <si>
    <t>1579020350658179127_3069813790</t>
  </si>
  <si>
    <t>Don´t worry about a thing. Every little thing is gonna be alright
.....none but ourselves can free our minds.
~B. M.
#innerpeacemotherfuckers#climbing_pictures_of_instagram#climbing#friends#over7years#again#soon#newplans#klettersteig#enspannt#baden#moonsee#shish#tscheidine#wotzmoo#berchtsgonzefix#zfx#kletterretter#staytuned#keepongoing</t>
  </si>
  <si>
    <t>Drachenwand</t>
  </si>
  <si>
    <t>kletterretter</t>
  </si>
  <si>
    <t>staytuned</t>
  </si>
  <si>
    <t>shish</t>
  </si>
  <si>
    <t>enspannt</t>
  </si>
  <si>
    <t>innerpeacemotherfuckers</t>
  </si>
  <si>
    <t>whitneybussey</t>
  </si>
  <si>
    <t>1579023433387100307_2923951323</t>
  </si>
  <si>
    <t>It's not the easiest thing to do, so start small. Little by little, day by day, it makes a difference! #perspective #appreciation #wfhm #liveyourbestlife #teacherlife #keepongoing #whitneybussey #workfromhome #ilovemyjob</t>
  </si>
  <si>
    <t>appreciation</t>
  </si>
  <si>
    <t>teacherlife</t>
  </si>
  <si>
    <t>workfromhome</t>
  </si>
  <si>
    <t>ilovemyjob</t>
  </si>
  <si>
    <t>chiarapivanti</t>
  </si>
  <si>
    <t>1579029277781132059_2519101939</t>
  </si>
  <si>
    <t>Provare la stessa sensazione di libertà che si avverte dopo aver raggiunto la vetta, pur essendo sottoterra, circondati da rocce. 
Ammirare, spegnendo ogni fonte luminosa, il buio assoluto: così affascinante e allo stesso tempo spaventoso.
Ascoltare il suono debole dello stillicidio dell'acqua lungo le pareti della grotta.
•Silenzio, 
parla la Montagna.🏔•
.
.
.
#silence #darkness #mountaingirl #mountains #mountain #campodeifiori #varese #grotte #smile #vareselandoftourism #trekking #keeponsmiling #keepongoing #neverstop #happiness #freedom</t>
  </si>
  <si>
    <t>Parco Del Campo Dei Fiori</t>
  </si>
  <si>
    <t>mountaingirl</t>
  </si>
  <si>
    <t>grotte</t>
  </si>
  <si>
    <t>freedom</t>
  </si>
  <si>
    <t>silence</t>
  </si>
  <si>
    <t>motivatekrui</t>
  </si>
  <si>
    <t>1579031402765957357_5785545952</t>
  </si>
  <si>
    <t>Face it, don't ask questions take it head on!
#fight #tryme #lifequote  #dontstop #keepongoing #motivatekrui #strong</t>
  </si>
  <si>
    <t>lifequote</t>
  </si>
  <si>
    <t>fight</t>
  </si>
  <si>
    <t>strong</t>
  </si>
  <si>
    <t>ayo7000</t>
  </si>
  <si>
    <t>1579031735709430923_3560867166</t>
  </si>
  <si>
    <t>#stillfocused #onmycourse #determination #tilltheend #icantstop #iamawinner #ialwayswin #ialways #josephayo Ayo #stayfocused #stayfit #staycurrent #keepongoing #keeponmoving #godwithus #motivation #motivatingmyself #motivatingme #oyes @nikefootball</t>
  </si>
  <si>
    <t>tilltheend</t>
  </si>
  <si>
    <t>keeponmoving</t>
  </si>
  <si>
    <t>determination</t>
  </si>
  <si>
    <t>ialways</t>
  </si>
  <si>
    <t>1579037893442331270_5801959162</t>
  </si>
  <si>
    <t>🌟Just awesome! Do you agree? 🤔 Comment below and tag a friend that should see this! ✏️👯 Thank you @Millionaire_mentor for a great post! ❤️</t>
  </si>
  <si>
    <t>betteryourself</t>
  </si>
  <si>
    <t>gratefulness</t>
  </si>
  <si>
    <t>samadhi.danzas</t>
  </si>
  <si>
    <t>1579038141008200423_5450845604</t>
  </si>
  <si>
    <t>#vierness #vivirapleno 
#weekendfun #keepongoing 
#livelife ✌😉🎶</t>
  </si>
  <si>
    <t>Samadhi Estudio Integral de Danzas</t>
  </si>
  <si>
    <t>weekendfun</t>
  </si>
  <si>
    <t>livelife</t>
  </si>
  <si>
    <t>vivirapleno</t>
  </si>
  <si>
    <t>vierness</t>
  </si>
  <si>
    <t>evanja</t>
  </si>
  <si>
    <t>1579042895821072819_1586244883</t>
  </si>
  <si>
    <t>against all odds
#friends and #fog #outandabout #latergram #gurktaleralpen #kärnten #hiking #adventures #wayup #keepongoing #carinthia #visitcarinthia #feelaustria #discoveraustria</t>
  </si>
  <si>
    <t>Stinson</t>
  </si>
  <si>
    <t>Gurktaler Alpen</t>
  </si>
  <si>
    <t>visitcarinthia</t>
  </si>
  <si>
    <t>discoveraustria</t>
  </si>
  <si>
    <t>carinthia</t>
  </si>
  <si>
    <t>latergram</t>
  </si>
  <si>
    <t>emsen87</t>
  </si>
  <si>
    <t>1579044815219510219_181449664</t>
  </si>
  <si>
    <t>Det der dødsløft har bare aldrig været mig!! Men man skal vel lære det! Øvelse gør mester! Dog hader jeg mig selv for ar give for let op, når tingene bliver for svære.. Så er det som om at den 5-årlige kommer op i en.. 😏 Så er det godt at have en slavepisker til kæreste, som tvinger en ud af comfortzonen 😅💪🏻👏🏻 #workout #dødsløft #getfitordietrying #vægttab #dårligteknik #udafcomfortzonen #gørdetselv #keepongoing #styrke #inprogress #mitlivibilleder</t>
  </si>
  <si>
    <t>gørdetselv</t>
  </si>
  <si>
    <t>styrke</t>
  </si>
  <si>
    <t>workout</t>
  </si>
  <si>
    <t>mitlivibilleder</t>
  </si>
  <si>
    <t>epicvibesart</t>
  </si>
  <si>
    <t>1579047048065740698_5722990971</t>
  </si>
  <si>
    <t>Tonight's mess after pumping wind out of my body! 😂 #watercolor #draw #illustration #paint #watercolour #draw #sofa #chair #flowers #keepongoing #keeponpainting #create #love #lettering #handlettering</t>
  </si>
  <si>
    <t>flowers</t>
  </si>
  <si>
    <t>chair</t>
  </si>
  <si>
    <t>lettering</t>
  </si>
  <si>
    <t>handlettering</t>
  </si>
  <si>
    <t>sanantonioiprohomes</t>
  </si>
  <si>
    <t>1579048730913198871_5524728931</t>
  </si>
  <si>
    <t>#keepongoing</t>
  </si>
  <si>
    <t>ulrikaskickstart</t>
  </si>
  <si>
    <t>1579051447630679328_2129605436</t>
  </si>
  <si>
    <t>Perfekta sommar och picknick maten. Äggwrap med ärtor, kallrökt lax och krämig pepparrotskräm #ulrikaskickstart #kost #kostrådgivareulrikadavidsson #kickstart #lowcarb #lågkolhydratskost #hälsa #måbra #nukörvi #nyatag #keepitup #keepongoing #wellness #instafood #instalikes #foodinspiration #foodporn #instagram #inspo #healthyfood #healthyliving #livinghealthy #mat #omega3 #egg #kronägg #nice</t>
  </si>
  <si>
    <t>wellness</t>
  </si>
  <si>
    <t>måbra</t>
  </si>
  <si>
    <t>kickstart</t>
  </si>
  <si>
    <t>foodporn</t>
  </si>
  <si>
    <t>taja_maja_antalja</t>
  </si>
  <si>
    <t>1579069129222507777_4170820888</t>
  </si>
  <si>
    <t>💪#thisisus #thisislife #keepongoing #neverloseyourfire #happinessisamatterofchoice</t>
  </si>
  <si>
    <t>thisisus</t>
  </si>
  <si>
    <t>happinessisamatterofchoice</t>
  </si>
  <si>
    <t>neverloseyourfire</t>
  </si>
  <si>
    <t>thisislife</t>
  </si>
  <si>
    <t>1579073240898584072_5722990971</t>
  </si>
  <si>
    <t>I am pretty much in love with you.. 😍#love #couples #lovestory #inspired #drawing #learn #illustration #pencil #create #keeponpainting #keepongoing #keepinwriting #amazinglife #allislove #loveisall #illustration #nevergiveup #doodling</t>
  </si>
  <si>
    <t>amazinglife</t>
  </si>
  <si>
    <t>learn</t>
  </si>
  <si>
    <t>lovestory</t>
  </si>
  <si>
    <t>create</t>
  </si>
  <si>
    <t>leoranates</t>
  </si>
  <si>
    <t>1579073672869957441_359685333</t>
  </si>
  <si>
    <t>Genius does what it must, talent does what it can.</t>
  </si>
  <si>
    <t>Aden</t>
  </si>
  <si>
    <t>radiopresenter</t>
  </si>
  <si>
    <t>keepon</t>
  </si>
  <si>
    <t>music</t>
  </si>
  <si>
    <t>amylouiise30</t>
  </si>
  <si>
    <t>1579073952562511654_190472411</t>
  </si>
  <si>
    <t>motivation quotes
.
.
.
.
.
.
.
.
.
.
.
.
.
#motivateyourself #dontgiveup #neverbackdown #keepongoing #doitforyou #tryandtryagain #weightlossjourney #swuk #fitness #loveyourself #resultswillshow</t>
  </si>
  <si>
    <t>Moon</t>
  </si>
  <si>
    <t>neverbackdown</t>
  </si>
  <si>
    <t>swuk</t>
  </si>
  <si>
    <t>dontgiveup</t>
  </si>
  <si>
    <t>rbn.sch</t>
  </si>
  <si>
    <t>1579078130952477720_2813503554</t>
  </si>
  <si>
    <t>Heute waren Nacken und Schultern dran, haben wie immer volle Power gegeben. 
Gleich geht's auf die #bierbörse allerdings wird auf alk verzichtet. Euch ein schönes Wochenende. 
#fitfam #fitnesslifestyle #fitnessmotivation #strong #nevergiveup #keepongoing #mcfit #instafit #nopainnogain #callitaplan #diefatdie #body #neckday #giveitall</t>
  </si>
  <si>
    <t>Ludwig</t>
  </si>
  <si>
    <t>fitfam</t>
  </si>
  <si>
    <t>mcfit</t>
  </si>
  <si>
    <t>fitnesslifestyle</t>
  </si>
  <si>
    <t>amber.laviolette.photos</t>
  </si>
  <si>
    <t>1579079278690521604_9061404</t>
  </si>
  <si>
    <t>Do I have to adult today? 😂
#keepongoing</t>
  </si>
  <si>
    <t>shotstoshakes</t>
  </si>
  <si>
    <t>1579080950238971090_3156182942</t>
  </si>
  <si>
    <t>FriYAY mood 🌈 #shotstoshakes</t>
  </si>
  <si>
    <t>cleanandserene</t>
  </si>
  <si>
    <t>riseandgrind</t>
  </si>
  <si>
    <t>soberaf</t>
  </si>
  <si>
    <t>airforcewife</t>
  </si>
  <si>
    <t>svendust</t>
  </si>
  <si>
    <t>1579082245540875414_203325600</t>
  </si>
  <si>
    <t>Friday afterwork run 🏃#Diksmuide #Stampyc #Stampycer #Strava #StravaRun #Asics #Running #RunsOfInstagram #Runner #RunnersHigh #Moving #KeepOnGoing #Training #InstaRun #Runstagram #Healthy #FitLife #Therapy #RunTherapy #ClearMind #PureBody #EmptyMind #SpartacusShirt #10k #sportersbelevenmeer #diksmuidemoves</t>
  </si>
  <si>
    <t>Sierra</t>
  </si>
  <si>
    <t>Diksmuide</t>
  </si>
  <si>
    <t>runnershigh</t>
  </si>
  <si>
    <t>therapy</t>
  </si>
  <si>
    <t>runsofinstagram</t>
  </si>
  <si>
    <t>runtherapy</t>
  </si>
  <si>
    <t>blacktuxmedia</t>
  </si>
  <si>
    <t>1579086456269578107_4814936505</t>
  </si>
  <si>
    <t>The key is to think how the market thinks</t>
  </si>
  <si>
    <t>London, United Kingdom</t>
  </si>
  <si>
    <t>goaldigger</t>
  </si>
  <si>
    <t>reachyourgoals</t>
  </si>
  <si>
    <t>billionaireboysclub</t>
  </si>
  <si>
    <t>icanandiwill</t>
  </si>
  <si>
    <t>summer_butterflie</t>
  </si>
  <si>
    <t>1579087513561009137_274727915</t>
  </si>
  <si>
    <t>Difficult roads often lead to beautiful destinations 👟 #keeponrunning #almost6km #5,77km #nevergiveup #keepongoing #41min #proud #warm #summer #healthylifestyle #running #sporting #keeponhoping #healthy #nopainnogain #dontquite #loveit #traintracks #bluesky #nature #naturephotography #balegem #picoftheday #l4l</t>
  </si>
  <si>
    <t>bluesky</t>
  </si>
  <si>
    <t>41min</t>
  </si>
  <si>
    <t>balegem</t>
  </si>
  <si>
    <t>1579091756318193764_5722990971</t>
  </si>
  <si>
    <t>Im crazy about it, i feel like I am back to my primary school time when I draw a lot and a lot of these, I just need to believe i can do it 😊 #loveisall #allislove #keepongoing #keeponpainting #keeponwriting #love #illustrationgram #practising #drawing #paint #couple #love #draw #doodle  #doodling</t>
  </si>
  <si>
    <t>drawing</t>
  </si>
  <si>
    <t>illustrationgram</t>
  </si>
  <si>
    <t>keeponwriting</t>
  </si>
  <si>
    <t>doodling</t>
  </si>
  <si>
    <t>pfontora</t>
  </si>
  <si>
    <t>1579100006705851741_11334395</t>
  </si>
  <si>
    <t>Another #acappella video, this time is my song #keepongoing (full version on YouTube) Like this version? Let me know 😁 Les gusta? Déjenme saber 😁
.
.
.
.
.
#cover #keepgoing #instamusic #singer #singing #talent #artist #talents #guitar #fender #originalsong #musicproducer #songwriter #iger #makingmusic #videooftheday #livemusic #mysong #followme</t>
  </si>
  <si>
    <t>Miami Beach, Florida</t>
  </si>
  <si>
    <t>makingmusic</t>
  </si>
  <si>
    <t>artist</t>
  </si>
  <si>
    <t>livemusic</t>
  </si>
  <si>
    <t>instamusic</t>
  </si>
  <si>
    <t>dreamer_till.the.day.i.die</t>
  </si>
  <si>
    <t>1579102042620772861_3047703578</t>
  </si>
  <si>
    <t>Norway has everything! 
The lakes, the sea the Mountains... everywhere I am going for a walk I am exploring so much natural beauty!
🌳🏞💞 #Norwegen #wandern #beautifulnature #hiking #wanderweg #lovenorway #freedom #freiheit  #Fernweh #breathinlife #Selbstfindung #travel #traveltheworld #einfachlaufen #getlost #dreameroftheday  #inspo #inspiration #travelaround #enjoynature #breakfree #waldweg #reisen #explore #naturpur #lebenleben #dreamertillthedayidie #lookthroughmyeyes #keepongoing #lovethislife</t>
  </si>
  <si>
    <t>Englafjell</t>
  </si>
  <si>
    <t>naturpur</t>
  </si>
  <si>
    <t>lovenorway</t>
  </si>
  <si>
    <t>freiheit</t>
  </si>
  <si>
    <t>inspiration</t>
  </si>
  <si>
    <t>wanderweg</t>
  </si>
  <si>
    <t>yeonseo__park</t>
  </si>
  <si>
    <t>1579110736642670389_2433993207</t>
  </si>
  <si>
    <t>#명언 #인생글귀 #덕분에 #힘내요  #keepongoing #아자 #힘내자</t>
  </si>
  <si>
    <t>명언</t>
  </si>
  <si>
    <t>힘내자</t>
  </si>
  <si>
    <t>아자</t>
  </si>
  <si>
    <t>인생글귀</t>
  </si>
  <si>
    <t>portalmartha</t>
  </si>
  <si>
    <t>1579112493074608647_1562021213</t>
  </si>
  <si>
    <t>Get fitness to being on shape not for others acceptance but for you.... Love yourself!!!! #keepongoing #workhard #changininghabits #fitnessaddict #fitnessmotivation #loosingweight #staymotivated #yesyoucan #quitsmoke #drinkwater #healthylife #healthychoices #stronger #smile</t>
  </si>
  <si>
    <t>Saltillo, Mexico</t>
  </si>
  <si>
    <t>loosingweight</t>
  </si>
  <si>
    <t>quitsmoke</t>
  </si>
  <si>
    <t>healthychoices</t>
  </si>
  <si>
    <t>healthylife</t>
  </si>
  <si>
    <t>aussie.cs</t>
  </si>
  <si>
    <t>1579117257752480511_2851918920</t>
  </si>
  <si>
    <t>Lo bueno del silencio es que no miente, y lo malo de las palabras es que a veces dicen la verdad.
#el #callejon #de #los #milagros
#dale #musica #clic #sharif #verano #bb #me #keepongoing #caloh</t>
  </si>
  <si>
    <t>Guadalajara, Spain</t>
  </si>
  <si>
    <t>sharif</t>
  </si>
  <si>
    <t>clic</t>
  </si>
  <si>
    <t>verano</t>
  </si>
  <si>
    <t>bb</t>
  </si>
  <si>
    <t>makinthebacon1</t>
  </si>
  <si>
    <t>1579117437008535563_2303625894</t>
  </si>
  <si>
    <t>Sometimes you just have to #gowiththeflow 
Photography: @chrilee_photography</t>
  </si>
  <si>
    <t>Port Credit</t>
  </si>
  <si>
    <t>makewaves</t>
  </si>
  <si>
    <t>youalwayshaveachoice</t>
  </si>
  <si>
    <t>lifeisfullofchoices</t>
  </si>
  <si>
    <t>giveiteverythingyougot</t>
  </si>
  <si>
    <t>kravmagasouthend</t>
  </si>
  <si>
    <t>1579121157540534972_2379767060</t>
  </si>
  <si>
    <t>The mandatory Friday selfie with my main man vic another great boxing session #kravmaga#southend#selfdefence#fitness#training#keepongoing#gymtime#workingupasweat💪</t>
  </si>
  <si>
    <t>workingupasweat💪</t>
  </si>
  <si>
    <t>southend</t>
  </si>
  <si>
    <t>training</t>
  </si>
  <si>
    <t>selfdefence</t>
  </si>
  <si>
    <t>catanderson89</t>
  </si>
  <si>
    <t>1579121903875062032_985242423</t>
  </si>
  <si>
    <t>Matt's still in the garden, I'm laying on our bed listening to music, watching the trees move in the wind, I've ran out of meds and been told to wait until 8 tomorrow morning to  ring for a drs appointment to then fetch the prescriptions  from the DR, then wait at the pharmacy to get them.  I'm in agony with nothing to take the edge off, but Oral morth,  trying to foucs on anything at the moment to keep my mind occupied, but if i have to take it i will, it's for emergencies only, the fact i have no meds left and in agony, it's classed as ok to take it, only time i do take it, when i run out of my main medicine, which they only give me a certain amount each time, frustrating!  i also only take them when it's bad, as you can't function,  yesterday i nearly passed out the pain was intense, plus don't always work! Like that song goes by Of Mice and men "pain everday i awake" as i have the same condition as him, he gets me through with his positivity and awesome music, before he left with good reasons and my husband does,  hot shower later with Matt's help see how i go, got a bad chesty cold too,  mehhhhh today lol, hot drinks, Matt cuddles ❤ #meh #todaysucks #chestycold #cough #pain #poorlybody #paineverydayiawake #keepongoing #pushthrough #fighter</t>
  </si>
  <si>
    <t>poorlybody</t>
  </si>
  <si>
    <t>fighter</t>
  </si>
  <si>
    <t>chestycold</t>
  </si>
  <si>
    <t>pain</t>
  </si>
  <si>
    <t>stephcurried</t>
  </si>
  <si>
    <t>1579132244746926879_5705167414</t>
  </si>
  <si>
    <t>#10 -  Chris Paul, CP3 has been a really consistent player throughout his career, almost averaging a double double every season, CP3 has been one of the best point guards if the 2000 era, averaging 18.1 ppg, 9.2 apg, 2 ppg and 5 rpg this season. But we all know CP3 is getting old, he can't play like he used to, but he still can make it to the top 10, I'm predicting this next season CP3's stats will decline knowing he has to share the ball with Harden, but at least now he has a legit chance at the Finals  #Dubnation
-
-
-
-
-
-
-
-
-
-
-
-
-
-
-
-
-
-
-
-
-
-
-
-
-
-
-
-
-
-
-
-
-
-
-
-
-
-
-
-
 #StephGonnaSteph #Mvp #SC30 #KT11 #DG23 #CURRYMVP #KEEPONGOING #NEVERGIVEUP #WCF #WEST #WESTERNCONFERENCEFINALS #CHAMPS #DUBSFORCHAMPS #DUBS #ALWAYSBELIEVEINGOD #STEPHENCURRY #EVEN #NBA #2016CHAMPS #CHAMPIONS #LOCKIN #STEPH #SPLASH #SPLASHBROS  #like4like #like4follow #follow4follow</t>
  </si>
  <si>
    <t>dubsforchamps</t>
  </si>
  <si>
    <t>mvp</t>
  </si>
  <si>
    <t>westernconferencefinals</t>
  </si>
  <si>
    <t>alwaysbelieveingod</t>
  </si>
  <si>
    <t>talhaa_j</t>
  </si>
  <si>
    <t>1579132369603026781_1223271370</t>
  </si>
  <si>
    <t>Never give up #keepongoing</t>
  </si>
  <si>
    <t>Nashville</t>
  </si>
  <si>
    <t>1579136572438288614_5801959162</t>
  </si>
  <si>
    <t>🦁Great and true message! Do you agree? 🌟😍Comment below and tag a friend that should see this! ✏️👯 Thank you @businessmindset101 for an amazing post! ❤️</t>
  </si>
  <si>
    <t>maryann_definingskin</t>
  </si>
  <si>
    <t>1579138510659765502_1094231539</t>
  </si>
  <si>
    <t>Burning thighs 🔥🔥 Got it up to 185# on my first time doing theses 🙌🏻
.
.
.
#stayfit #girlswholift #girlswithpower #over40 #columbus #hiit #gym #push #girlswithtattoos #keepongoing</t>
  </si>
  <si>
    <t>girlswithpower</t>
  </si>
  <si>
    <t>columbus</t>
  </si>
  <si>
    <t>over40</t>
  </si>
  <si>
    <t>girlswithtattoos</t>
  </si>
  <si>
    <t>thirdcoastcrossfit</t>
  </si>
  <si>
    <t>1579138933588181763_1667584424</t>
  </si>
  <si>
    <t>Note to self: #motivationalquotes #staymotivated #lift #benice #dontcompare #smartgoals #keepongoing</t>
  </si>
  <si>
    <t>Third Coast CrossFit</t>
  </si>
  <si>
    <t>lift</t>
  </si>
  <si>
    <t>dontcompare</t>
  </si>
  <si>
    <t>benice</t>
  </si>
  <si>
    <t>smartgoals</t>
  </si>
  <si>
    <t>phil_c63</t>
  </si>
  <si>
    <t>1579139811565726788_4742729572</t>
  </si>
  <si>
    <t>🏁 Weekend 🤞 #weekend #weekendmood #workout #sports #sport #nopainnogain #gain #moodygram #mood😎 #selfie #training #trainhard #blueeyes #keepup #keepgoing #keepongoing #pumpitup #pumpen #tattoo #tattoos #armtattoo #armtattoos #quality #qualitytime #alone #singlelife #whatsgoingon #myself #happybirthday</t>
  </si>
  <si>
    <t>quality</t>
  </si>
  <si>
    <t>whatsgoingon</t>
  </si>
  <si>
    <t>apesto</t>
  </si>
  <si>
    <t>1579141472384237663_8549722</t>
  </si>
  <si>
    <t>В 13:00 закончить перевязку, в 15:00 решить(ся) но ещё немного поотнекиваться, в 15:30 купить билет, в 17:00 сесть в такси с собранным чемоданом, успев поработать и пообедать, в 18:30 ждать вылета у гейта в аэропорту ✅ 🤙🏿 Никогда прежде мои решения не были столь спонтанными, а действия - оперативными ☺️ С пожеланием наикрутейшего уикенда вам, друзья мои 👋🏻#onelife #weekendmodeon #keepongoing #oneanotherjourney</t>
  </si>
  <si>
    <t>Международный аэропорт Шереметьево</t>
  </si>
  <si>
    <t>oneanotherjourney</t>
  </si>
  <si>
    <t>onelife</t>
  </si>
  <si>
    <t>weekendmodeon</t>
  </si>
  <si>
    <t>oakadventures212</t>
  </si>
  <si>
    <t>1579146026325790254_2715478190</t>
  </si>
  <si>
    <t>Prudential ride London action shot #lovemybike #lovecycling #cycling #cyclegirl #spartans #keepongoing #ifindoubtpedalitout</t>
  </si>
  <si>
    <t>lovecycling</t>
  </si>
  <si>
    <t>cyclegirl</t>
  </si>
  <si>
    <t>lovemybike</t>
  </si>
  <si>
    <t>cycling</t>
  </si>
  <si>
    <t>rivawong9</t>
  </si>
  <si>
    <t>1579147853304756633_4088326916</t>
  </si>
  <si>
    <t>.
This is the first day result. 
I know it's a short distance. 
But the main point is how many day that I keep on doing this. 
#keepongoing</t>
  </si>
  <si>
    <t>ginus_gymshark</t>
  </si>
  <si>
    <t>1579148168515262123_647207825</t>
  </si>
  <si>
    <t>BE PROUD BUT NOT SATISFIED 🏋️‍♀️🏋️‍♂️🇳🇱💪 #motivation #fitnessmotivation #gains #gymshark #keepongoing #progress #fitness #lifestyle #workout #emmen</t>
  </si>
  <si>
    <t>emmen</t>
  </si>
  <si>
    <t>gymshark</t>
  </si>
  <si>
    <t>gains</t>
  </si>
  <si>
    <t>1579149318156258991_279512262</t>
  </si>
  <si>
    <t>Мысль дня: зачем мне были 4 семестра эконометрики, если я считаю "ручками" в экселе? Почему я не программер😂
Напоследок побыла аналитиком. Мил дразнит меня и недооценивает мои аналитические способности, но я же невсегда бываю неадекватно странненькой!
Устала так, что нет сил ещё шататься по центру, стоит планы на будущее, рефлексировать и сжигать норму калорий, так что я домой: ужинать и смотреть сериалы)
.
#livethedream #streetadventure #rainyday #seemymoscow #moscow #mood #madrussians #moscowcity #moscowlife #picoftheday #lifeex #livy #keepongoing #livelife #livestory #livethedream #daily #vsco #vibes #vscocam #vscodaily #keepcalm #keeponwalking #lifeisgood</t>
  </si>
  <si>
    <t>Арт-квартал Хохловка</t>
  </si>
  <si>
    <t>rainyday</t>
  </si>
  <si>
    <t>vsco</t>
  </si>
  <si>
    <t>seemymoscow</t>
  </si>
  <si>
    <t>vibes</t>
  </si>
  <si>
    <t>coreofcompassion</t>
  </si>
  <si>
    <t>1579149432031696225_4697013940</t>
  </si>
  <si>
    <t>@therock 💯
"Sometimes the goal we've worked our ass off for years is never achieved. 
Then years later we look back and realize, it's the best thing that NEVER happened. Absolute" love this 👌 #Havefaith #TheRock #MotivationFriday #BestThingThatNeverHappened #Dreams #Failures #Redirection #Inspiration #Keepongoing #NeverStop #failuredoesnotmeandefeat #failuredoesnotmeantheend #InsipreMe</t>
  </si>
  <si>
    <t>failuredoesnotmeantheend</t>
  </si>
  <si>
    <t>failures</t>
  </si>
  <si>
    <t>failuredoesnotmeandefeat</t>
  </si>
  <si>
    <t>flybluehigh</t>
  </si>
  <si>
    <t>1579149812053706943_1099316208</t>
  </si>
  <si>
    <t>#wanderlust #kaiserwetter #alpen #österreich #wandern #schladming #steiermark #berge #landschaft #nature #path #bestplaces #hiking #outdoor #mountains #keepongoing #landscape #austria #sunnyafternoon #mountainlove #travelling #traveleurope</t>
  </si>
  <si>
    <t>Schladming-Dachstein</t>
  </si>
  <si>
    <t>mountainlove</t>
  </si>
  <si>
    <t>steiermark</t>
  </si>
  <si>
    <t>sunnyafternoon</t>
  </si>
  <si>
    <t>hiking</t>
  </si>
  <si>
    <t>alongtia_univera</t>
  </si>
  <si>
    <t>1579150940798627953_264577026</t>
  </si>
  <si>
    <t>Don't care for those who ignore you. Care for those who are ignoring others for you! #keepongoing #keeponshining</t>
  </si>
  <si>
    <t>keeponshining</t>
  </si>
  <si>
    <t>one.real.queen216</t>
  </si>
  <si>
    <t>1579153602185012568_1387282441</t>
  </si>
  <si>
    <t>Hi Stalkers!..🗣 #carryon #keepon #keepongoing #keeponkeepingon 😂🤗😂</t>
  </si>
  <si>
    <t>carryon</t>
  </si>
  <si>
    <t>nindakay</t>
  </si>
  <si>
    <t>1579162899002515277_3098330</t>
  </si>
  <si>
    <t>Happiness can be found, even in the darkest times, if one only remembers to turn on the lights. - Albus Dumbledore I'm so thankful for the beauty that is all around us, if we will only take the time to look. #chronicpain #chronicmigraine #migrainelife #lookingforpositivity #spoonie #spoonielife #keepongoing #finallyfriday #friyay</t>
  </si>
  <si>
    <t>finallyfriday</t>
  </si>
  <si>
    <t>spoonie</t>
  </si>
  <si>
    <t>spoonielife</t>
  </si>
  <si>
    <t>chronicmigraine</t>
  </si>
  <si>
    <t>anni155ka</t>
  </si>
  <si>
    <t>1579165300149177946_3429077918</t>
  </si>
  <si>
    <t>schnipp Schnapp Haare ab !
#hairdressing #hairstylegoals #newhair #byeblonde #hellodarknessmyoldfriend #black #free #thoughts #mindfuck #life #wuppertal #home #stay #makeup #working #hardrockcafe #ink #inked #inkedgirls #tattooed #tattoolovers #girly #longbob #freedom #real #focus #heartbeats #go #keepongoing #medusa</t>
  </si>
  <si>
    <t>focus</t>
  </si>
  <si>
    <t>hellodarknessmyoldfriend</t>
  </si>
  <si>
    <t>byeblonde</t>
  </si>
  <si>
    <t>acboogh</t>
  </si>
  <si>
    <t>1579165793239757710_41501792</t>
  </si>
  <si>
    <t>Backintervaller med trötta ben 😥
#mentalhealth #backträning #vilja #geinteupp #tjurruset #keepongoing</t>
  </si>
  <si>
    <t>vilja</t>
  </si>
  <si>
    <t>mentalhealth</t>
  </si>
  <si>
    <t>geinteupp</t>
  </si>
  <si>
    <t>tjurruset</t>
  </si>
  <si>
    <t>toms_nutrition</t>
  </si>
  <si>
    <t>1579166421856970964_4288895113</t>
  </si>
  <si>
    <t>🍱🍱🍱DINNER🍱🍱🍱
************************** I don't take pride in this piece of food I've just plopped on my plate! It's something I didn't plan to eat!!!! I've been in work since 2am and walked through the door at 17:35pm and had to prep a meal and make my meal before hitting the sack for a 1am get up in the morning! (It doesn't happen often this) 
So I've gone for a quick tuna steak melt on pitta bread (whole wheat) on a bed of spinach and feta with sliced tomato with asparagus, broccoli, carrots. I also made prep meal which I'll post tomorrow 👍🍱 #easyfood #leanin15 #90daysssplan #weightloss #fitnessjourney #leanbody #macros #foodblogger #healthyfood #colourfulfood #leaneating #fitcook #gettinglean #workout #nutrition #fitfood #inspiration #fitness #health #fitfam #fitspo #healthymeal #keepongoing #foodie #mealprepdaily #instafitness #foodprep #cleaneating #eattherainbow #fitfastfood</t>
  </si>
  <si>
    <t>Manchester, United Kingdom</t>
  </si>
  <si>
    <t>healthycooking</t>
  </si>
  <si>
    <t>balancediet</t>
  </si>
  <si>
    <t>fitfood</t>
  </si>
  <si>
    <t>itsokayrightright</t>
  </si>
  <si>
    <t>1579168055304215086_5840200854</t>
  </si>
  <si>
    <t>Feel Good Friday! This is a throwback to my travels in Australia. This photo was taken on Magnetic Island where I had my first full on Panic Attack. My plans had just been cancelled &amp; I didn't know where I was going next. I know, what's feel good about that? Well this kicked me off into thinking about what I really wanted to do with my trip and in life in general Cheesy I know but true! I will be writing a blog post about this in more detail at some point so keep an eye out 😊 #feelgoodquotes #anxiety #panicattack #keepongoing</t>
  </si>
  <si>
    <t>panicattack</t>
  </si>
  <si>
    <t>feelgoodquotes</t>
  </si>
  <si>
    <t>anxiety</t>
  </si>
  <si>
    <t>bibi_foodspirations_lc</t>
  </si>
  <si>
    <t>1579172163113809369_40619315</t>
  </si>
  <si>
    <t>Wie war das? Der innere Schweinehund 🐷 kann mich mal... bei leichtem Regen gestartet, mit Sonne ⛅️ belohnt worden und kurz vor der nächsten Regenfront wieder angekommen 😅 so macht man das #keepongoing #nevergiveup
.
Und jetzt endlich in die verdiente Badewanne 🛀🏻 und dann einen entspannten Serienabend 📺 okay, was Leckeres zu Essen gibt es noch. Wird aber noch nicht verraten 😁
.
.
.
#natur #naturliebe #laufen #laufenmachtglücklich #happiness #germering #abnehmen2017 #weightlossjourney #running #runninggirl #laufenfürdieseele #sommerabend #fitfam #runtastic #runtasticpro #runtasticgirl #fürmehrrealitätaufinstagram #sunflower #sonnenblume</t>
  </si>
  <si>
    <t>laufenfürdieseele</t>
  </si>
  <si>
    <t>runninggirl</t>
  </si>
  <si>
    <t>abnehmen2017</t>
  </si>
  <si>
    <t>runtasticgirl</t>
  </si>
  <si>
    <t>runsmartrome</t>
  </si>
  <si>
    <t>1579174959011119845_3124360503</t>
  </si>
  <si>
    <t>Nice 25k long run @4:22. good week of Training so far #goforgoals #runsmart #ausdauerschulebybunert #keepongoing #run #running #loverunning #instarunner #saucony #compressport #mizuno #nikerunning #bunert #enjoythelittlethings</t>
  </si>
  <si>
    <t>Baldeneysee in Essen</t>
  </si>
  <si>
    <t>loverunning</t>
  </si>
  <si>
    <t>running</t>
  </si>
  <si>
    <t>runsmart</t>
  </si>
  <si>
    <t>goforgoals</t>
  </si>
  <si>
    <t>misgodis</t>
  </si>
  <si>
    <t>1579175403774732374_837758732</t>
  </si>
  <si>
    <t>#semicolontattoo #depression #keepongoing #kristazsakotattoos</t>
  </si>
  <si>
    <t>semicolontattoo</t>
  </si>
  <si>
    <t>kristazsakotattoos</t>
  </si>
  <si>
    <t>depression</t>
  </si>
  <si>
    <t>sierrasm422</t>
  </si>
  <si>
    <t>1579175438336257031_344342790</t>
  </si>
  <si>
    <t>It's not about the number on the scale that defines you, but how you feel physically and mentally. Just keep that in mind.👌🏼 #abs #booty #peach #backmuscles #dedication #determination #dontgiveup #flexinonem #gym #gymrat #gymlife #getswole #keepongoing #motivation #pushtillyoucantanymore #stackinandsixpackin #strongereveryday #stayhumble</t>
  </si>
  <si>
    <t>gymlife</t>
  </si>
  <si>
    <t>peach</t>
  </si>
  <si>
    <t>strongereveryday</t>
  </si>
  <si>
    <t>booty</t>
  </si>
  <si>
    <t>blog.dance</t>
  </si>
  <si>
    <t>1579182273323014384_5786291434</t>
  </si>
  <si>
    <t>It's been a tough week! I've learnt a lot this week though. Ladies and gentleman life lesson tip... keep on going! We may feel like we are climbing a never ending mountain and may feel like giving up a lot but you are almost over the mountain. Life is tough and you will have to push past your limits sometimes. Let life take you where it needs to. Don't be so hard on yourself. #inspire#dance#ballet#beautiful#likes#follow#health#balletfeet#balletteacher#dream#love#life#photo#photography#notmyphoto#stunning#life#live#love#motivation#keepongoing#blog#like4like</t>
  </si>
  <si>
    <t>stunning</t>
  </si>
  <si>
    <t>like4like</t>
  </si>
  <si>
    <t>ballet</t>
  </si>
  <si>
    <t>rikketolsoe</t>
  </si>
  <si>
    <t>1579188280136955057_346424649</t>
  </si>
  <si>
    <t>Getting through the Day - isn't always as easy as you would hope it to be.. But keep smiling - it helps! ❤️</t>
  </si>
  <si>
    <t>Lo-fi</t>
  </si>
  <si>
    <t>rikke</t>
  </si>
  <si>
    <t>mor</t>
  </si>
  <si>
    <t>roughdays</t>
  </si>
  <si>
    <t>smile</t>
  </si>
  <si>
    <t>chernushenko.tanya</t>
  </si>
  <si>
    <t>1579190201783474843_2566382045</t>
  </si>
  <si>
    <t>The World can be amazing when you're slightly strange Главное не переусердствовать 😂😂😂#happinest#dubai#lifeiseasy #preasiousyouth#outof#nicetobenice#keepongoing</t>
  </si>
  <si>
    <t>Dubai, United Arab Emirates</t>
  </si>
  <si>
    <t>outof</t>
  </si>
  <si>
    <t>dubai</t>
  </si>
  <si>
    <t>preasiousyouth</t>
  </si>
  <si>
    <t>lifeiseasy</t>
  </si>
  <si>
    <t>confl1ctjunkie</t>
  </si>
  <si>
    <t>1579194502554572755_2081733444</t>
  </si>
  <si>
    <t>My queen ❤ #fuckkardashians #joanjett @joanjett #queen #iloverocknroll #meme #kardashian #kartrashians #tgif #keepongoing #rock #nobodycares #beyou #doyou</t>
  </si>
  <si>
    <t>Crema</t>
  </si>
  <si>
    <t>rock</t>
  </si>
  <si>
    <t>meme</t>
  </si>
  <si>
    <t>joanjett</t>
  </si>
  <si>
    <t>jenna.aalto</t>
  </si>
  <si>
    <t>1579196564633890669_636545378</t>
  </si>
  <si>
    <t>Tomorrow is another day to be awesome 🙏🏻#keepongoing #ilovemyjob</t>
  </si>
  <si>
    <t>Loviisa</t>
  </si>
  <si>
    <t>weekend</t>
  </si>
  <si>
    <t>cozy</t>
  </si>
  <si>
    <t>quote</t>
  </si>
  <si>
    <t>relax</t>
  </si>
  <si>
    <t>fredag</t>
  </si>
  <si>
    <t>rubyredmaisonette</t>
  </si>
  <si>
    <t>1579197965666820112_1540731090</t>
  </si>
  <si>
    <t>Und weiter geht's... hilft ja nix 😎#keepongoing #canthelpit #girlsnight #munich #minga #gogogo</t>
  </si>
  <si>
    <t>minga</t>
  </si>
  <si>
    <t>canthelpit</t>
  </si>
  <si>
    <t>girlsnight</t>
  </si>
  <si>
    <t>gogogo</t>
  </si>
  <si>
    <t>mimina072</t>
  </si>
  <si>
    <t>1579199706655166235_2108943652</t>
  </si>
  <si>
    <t>#instructor #personaltrainer #greekgirl #workoutdone #fortoday #lovemybody #lovemyjob #nuscles#gain #proteins #biceps #shoulder #summer2017 #keepongoing #kowcarb #eatclean 💪</t>
  </si>
  <si>
    <t>lovemyjob</t>
  </si>
  <si>
    <t>proteins</t>
  </si>
  <si>
    <t>kowcarb</t>
  </si>
  <si>
    <t>summer2017</t>
  </si>
  <si>
    <t>personaltrainer</t>
  </si>
  <si>
    <t>hannehoevring</t>
  </si>
  <si>
    <t>1579204139974511181_4156788911</t>
  </si>
  <si>
    <t>I am motivated for great things 😊 what about you? 
Have a super weekend and enjoy life 😁</t>
  </si>
  <si>
    <t>Hjørring, Nordjylland, Denmark</t>
  </si>
  <si>
    <t>winnersneverquit</t>
  </si>
  <si>
    <t>businesswoman</t>
  </si>
  <si>
    <t>enjoymylife</t>
  </si>
  <si>
    <t>vira_dee</t>
  </si>
  <si>
    <t>1579204660916695400_3562847761</t>
  </si>
  <si>
    <t>#anotherday #keepongoing #staystrong</t>
  </si>
  <si>
    <t>anotherday</t>
  </si>
  <si>
    <t>staystrong</t>
  </si>
  <si>
    <t>zackola300</t>
  </si>
  <si>
    <t>1579205789242807060_376254569</t>
  </si>
  <si>
    <t>"There is no such thing as a bad day, only a poor mindset. Any day above ground is a day to keep pushing. There are many who would do anything to be in your place rather than 6 feet under." @nightmares_and_burpees  #ownyourstory #shutupandputinwork #crossfit #crossfit9 #keepongoing #ineedattention #stymotivated #stpete #anyonereadmyhashtags #unicornfarts</t>
  </si>
  <si>
    <t>ownyourstory</t>
  </si>
  <si>
    <t>ineedattention</t>
  </si>
  <si>
    <t>shutupandputinwork</t>
  </si>
  <si>
    <t>stymotivated</t>
  </si>
  <si>
    <t>flera_p</t>
  </si>
  <si>
    <t>1579206531138928930_209742063</t>
  </si>
  <si>
    <t>Taking care of my muscles and joints before tomorrow's @zumba Open air party! 💉
Health always first!💪☝ See you tomorrow at #spīķeri
4PM to Open Air Zumba Party! 💃
*
*
*
#health #muscles #joints #painreliever #keepongoing #neverstop #moveon #healthfirst #dontgiveup #physiotherapy #physio #kinesio #zin #zumbainstructor #instructor #zinlife #instructorlife #sport #sportislife #trainer #trainerslife #musclehealth #jointhealth #healthfirstparty2nd #activelife</t>
  </si>
  <si>
    <t>spīķeri</t>
  </si>
  <si>
    <t>muscles</t>
  </si>
  <si>
    <t>physio</t>
  </si>
  <si>
    <t>trainerslife</t>
  </si>
  <si>
    <t>lotte_dotte_76</t>
  </si>
  <si>
    <t>1579206596235359757_25348327</t>
  </si>
  <si>
    <t>.
.
.
"she became the 
journey,
and like all journeys,
she did not end,
she simply changed 
directions 
and kept going."
~r. m. drake
.
.
.
#words #wordsarepowerful #journey #change #direction #keepongoing #myhandwriting #mypenmanship #myhandstyle #writing #handwriting #penmanship #handstyle #handstyles #myhandwritingismystyle #pen #tulpen #positivity #rmdrake #poetry #poetrylover #madewithmahal #😜🤘🏼🕷🕸 #lottedotte76</t>
  </si>
  <si>
    <t>Pacifica, California</t>
  </si>
  <si>
    <t>poetry</t>
  </si>
  <si>
    <t>myhandwriting</t>
  </si>
  <si>
    <t>journey</t>
  </si>
  <si>
    <t>writing</t>
  </si>
  <si>
    <t>fatburner_females</t>
  </si>
  <si>
    <t>1579217564123102682_4203348813</t>
  </si>
  <si>
    <t>Loving this babes figure 💦❤️
Tag model:</t>
  </si>
  <si>
    <t>swjourneyclaire</t>
  </si>
  <si>
    <t>1579218386735223675_5586814877</t>
  </si>
  <si>
    <t>When you're home late is there anything nicer than a bowl of pasta on your knee in front of the TV?! ☺️ Friday night bliss 💖 SW pasta and meatballs with 40g reduced fat cheddar for my A choice 🧀 Won't lie, I'm not a huge fan of most of the SW ready meals but this one is 👌🏻 #fooddiary #slimmingworld #sw #slimmingworldfood #slimmingworldjourney #health #happiness #selfimprovement #bethebestyou #keepongoing #nomorestartingover</t>
  </si>
  <si>
    <t>sw</t>
  </si>
  <si>
    <t>slimmingworldfood</t>
  </si>
  <si>
    <t>health</t>
  </si>
  <si>
    <t>selfimprovement</t>
  </si>
  <si>
    <t>kumofitness</t>
  </si>
  <si>
    <t>1579226586387892651_2180436238</t>
  </si>
  <si>
    <t>Dont let the weekend put a hold on your goals.  Those are 24/7 keep pushing forward #motivation #goals #keepongoing</t>
  </si>
  <si>
    <t>Kumo Fitness Gym</t>
  </si>
  <si>
    <t>goals</t>
  </si>
  <si>
    <t>joacovallverdu</t>
  </si>
  <si>
    <t>1579232669405117322_1241272196</t>
  </si>
  <si>
    <t>Buen finde!! #mutantmothtattoo #tattooart #keepongoing #moth #tattoo #blacktattoo #blackwork #goodlife #goodtimes #family #trip</t>
  </si>
  <si>
    <t>blacktattoo</t>
  </si>
  <si>
    <t>moth</t>
  </si>
  <si>
    <t>goodlife</t>
  </si>
  <si>
    <t>family</t>
  </si>
  <si>
    <t>afanso</t>
  </si>
  <si>
    <t>1579233191897861931_19344366</t>
  </si>
  <si>
    <t>Bak kata @iskandarshahjahan, berkicap arini training...terbaik workout last nite by coach @azmirzed... #warriorsfitcamp #fitness #keeppushing #keepongoing #keeppushing #ukwarriors #teamazmirzed #highintensityworkout</t>
  </si>
  <si>
    <t>X-Pro II</t>
  </si>
  <si>
    <t>Ukay Perdana</t>
  </si>
  <si>
    <t>highintensityworkout</t>
  </si>
  <si>
    <t>warriorsfitcamp</t>
  </si>
  <si>
    <t>keeppushing</t>
  </si>
  <si>
    <t>thekplife</t>
  </si>
  <si>
    <t>1579235359739777673_257987860</t>
  </si>
  <si>
    <t>Ever just want to quit? Question why you started in the first place. Let me know I'm not alone. I've been in a state of transition myself for a while so am intimately familiar with this feeling. But if you're like me and feel that tug at your heart and know you are doing is what you're meant to, you gather up the strength to keep going. Not that you don't rest, you just don't quit. Keep going, lovelies. You can do it!</t>
  </si>
  <si>
    <t>thewhippetgang</t>
  </si>
  <si>
    <t>1579237254609276552_1576954691</t>
  </si>
  <si>
    <t>The boys ear didn't work today, so someone destroyed his running gear 🙄
#sometimesyouwinandsometimesyoulose #baddog #shaggy #timber #runningtraining #keepitreal #keepongoing #runninggear #whippet #outdoorfun #saftyfirst #nysø #highupinthesky #longwaydown #highspeed #badmommy #canthearyou #justdowantyouwant #proud #playtime #blacktrail #redtrail #upanddown</t>
  </si>
  <si>
    <t>Varde Nysø</t>
  </si>
  <si>
    <t>runninggear</t>
  </si>
  <si>
    <t>highupinthesky</t>
  </si>
  <si>
    <t>longwaydown</t>
  </si>
  <si>
    <t>highspeed</t>
  </si>
  <si>
    <t>whippet</t>
  </si>
  <si>
    <t>benedikte.skarholm</t>
  </si>
  <si>
    <t>1579238213898142012_231434</t>
  </si>
  <si>
    <t>•Stay focused, it's not going to happen overnight 👊🏽
______________________________________________
I dag ble den en veldig god overkropps økt med godeste @linncha86 💪🏽😃 Ønsker dere alle en strålende helg💕• ______________________________________________
#activelifestyle #workharder #nevergiveup #keepfit_no #keepongoing #nordicfitnessgirls #fitness #girlswholift #lovelifting #grow #sprekesprell #aktivejenter #aktivlivsstil #mittår #jobbepå #påveimotmålet</t>
  </si>
  <si>
    <t>activelifestyle</t>
  </si>
  <si>
    <t>jobbepå</t>
  </si>
  <si>
    <t>1579242884690032222_5801959162</t>
  </si>
  <si>
    <t>🌟Never give up! Do you agree? 🤔 Comment below and tag a friend that should see this! ✏️👯 Thank you @Empiremindset101 for a great post! ❤️</t>
  </si>
  <si>
    <t>cin__d</t>
  </si>
  <si>
    <t>1579243084548696354_176495934</t>
  </si>
  <si>
    <t>Best wel beetje trots. 💪🏼 nog 7 weken knallen en dan gaan we het podium rocken.</t>
  </si>
  <si>
    <t>Health Club Gold's Gym</t>
  </si>
  <si>
    <t>linebonde</t>
  </si>
  <si>
    <t>1579245852152460190_15887082</t>
  </si>
  <si>
    <t>Smile, because it's almost race day 🏁 #ironmanhamburg2017 #IMHamburg 
#ironman #upcoming #mulitisport #tri365 #lovemylife #fitness #eatit #ironmanbarcelona2017 #outofcomfortzone #trilabdk #triathlon #triatlete #invisibleguns #worldoffusion #countingdown #keepongoing #purepowerdk #smileplease #swimbikerun</t>
  </si>
  <si>
    <t>imhamburg</t>
  </si>
  <si>
    <t>worldoffusion</t>
  </si>
  <si>
    <t>countingdown</t>
  </si>
  <si>
    <t>eatit</t>
  </si>
  <si>
    <t>freija_odb</t>
  </si>
  <si>
    <t>1579246060390410827_438940037</t>
  </si>
  <si>
    <t>#evening#walk#seaside#knokke#countdown#impatient#please#baby#come#last#weeks#pregnancy#preggo#mumtobe#cantwaittomeetyou#littlemisssunshine#keepongoing#pleasebabyfalloutofme 🤰🏼🌓🏖♥️</t>
  </si>
  <si>
    <t>Knokke le Zoute</t>
  </si>
  <si>
    <t>knokke</t>
  </si>
  <si>
    <t>please</t>
  </si>
  <si>
    <t>come</t>
  </si>
  <si>
    <t>countdown</t>
  </si>
  <si>
    <t>walk</t>
  </si>
  <si>
    <t>madalina_solomon</t>
  </si>
  <si>
    <t>1579250967508198476_1519348422</t>
  </si>
  <si>
    <t>Entrare nel miglior ristorante di Barcellona e scoprire questa meraviglia nascosta non ha prezzo #nogal #toulouselautrec #restaurant #barcelona #newlife #keepongoing #power</t>
  </si>
  <si>
    <t>Restaurante Nogal</t>
  </si>
  <si>
    <t>toulouselautrec</t>
  </si>
  <si>
    <t>newlife</t>
  </si>
  <si>
    <t>barcelona</t>
  </si>
  <si>
    <t>restaurant</t>
  </si>
  <si>
    <t>carolineahren</t>
  </si>
  <si>
    <t>1579255415586100882_200200855</t>
  </si>
  <si>
    <t>With the football in front of the right foot ... #keepongoing #fun #football #fridayevening #kids #smile #neverstopplaying #malmö #speed #towardsthegoal #forever #fredagsmys #orfys</t>
  </si>
  <si>
    <t>neverstopplaying</t>
  </si>
  <si>
    <t>fridayevening</t>
  </si>
  <si>
    <t>speed</t>
  </si>
  <si>
    <t>perfectridemotorcycles</t>
  </si>
  <si>
    <t>1579258384933221075_1642259509</t>
  </si>
  <si>
    <t>Sometimes hiking is the best choice... #georgiaonmymind #georgia #ushba #ontheway #mountains #mountainsarecalling #withgeorgiainlove #keepongoing #thepowerofnature #koruldilakes #respect #lovenature #lovemountains</t>
  </si>
  <si>
    <t>Koruldi Lakes</t>
  </si>
  <si>
    <t>respect</t>
  </si>
  <si>
    <t>lovenature</t>
  </si>
  <si>
    <t>mountains</t>
  </si>
  <si>
    <t>ushba</t>
  </si>
  <si>
    <t>ellen_van_der_meer</t>
  </si>
  <si>
    <t>1579258583694384463_1426922777</t>
  </si>
  <si>
    <t>Meanwhile somewhere Destination unknown...
#picture #photoworks #keepongoing #edits #effects #art #mood #streetstyle #citylife #mylife 💟</t>
  </si>
  <si>
    <t>picture</t>
  </si>
  <si>
    <t>mood</t>
  </si>
  <si>
    <t>streetstyle</t>
  </si>
  <si>
    <t>mindtheist</t>
  </si>
  <si>
    <t>1579260018255414492_4176830467</t>
  </si>
  <si>
    <t>Embrace the setbacks.
You can't be great without being tried. 
Positive
Productive
Progressive
Lots of love 
LxH
#Mindtheist</t>
  </si>
  <si>
    <t>test</t>
  </si>
  <si>
    <t>believe</t>
  </si>
  <si>
    <t>achievegreatness</t>
  </si>
  <si>
    <t>creative</t>
  </si>
  <si>
    <t>vizcainico</t>
  </si>
  <si>
    <t>1579265582452573958_554052530</t>
  </si>
  <si>
    <t>They know what is what
But they don't know what is what
They just strut
What the fuck?
#swish #Dance #Friends #lights #party #real #dontbemad #Baila #keepongoing  #AmistadesAmigo #friday #siempreesviernesenmicorazon</t>
  </si>
  <si>
    <t>amistadesamigo</t>
  </si>
  <si>
    <t>dontbemad</t>
  </si>
  <si>
    <t>lights</t>
  </si>
  <si>
    <t>elizabethdipetta</t>
  </si>
  <si>
    <t>1579279120834173100_28604636</t>
  </si>
  <si>
    <t>✂️I used to be scared of change, in every way. Now I embrace it because with change always comes growth✨#letitgo #growth #momentsofmine #shorthair #mamastyle #yearofgrowth #keepongoing #behernow</t>
  </si>
  <si>
    <t>yearofgrowth</t>
  </si>
  <si>
    <t>behernow</t>
  </si>
  <si>
    <t>letitgo</t>
  </si>
  <si>
    <t>shorthair</t>
  </si>
  <si>
    <t>xcentricabydeeacodrea</t>
  </si>
  <si>
    <t>1579280871830970778_214185631</t>
  </si>
  <si>
    <t>Don't settle for less, just keep searching for what your soul needs! 📷 @iulianacristina 
#xcentricablog #keepongoing #believer #sibiu #deeacodrea #bloggerlife #ootd #fashion #festivallook</t>
  </si>
  <si>
    <t>believer</t>
  </si>
  <si>
    <t>bloggerlife</t>
  </si>
  <si>
    <t>fashion</t>
  </si>
  <si>
    <t>sibiu</t>
  </si>
  <si>
    <t>1579291609309053637_2715478190</t>
  </si>
  <si>
    <t>I am having a I love cycling night and looking back on my Ratrace Coast to Coast photos.. that was an amazing race running, kayaking and cycling across Scotland with really amazing people.. I just hunger for adventure .. that's what life is about eh?! 😊 #loveadventure #lovecycling #loverunning #loveadventuresports ##adventures #lovemybike #loveocr #spartans #keepongoing #ifindoubtpedalitout #grablife #onelife #makeitmemorable #lovescotland #scotlandendurance #scotlandadventures #crossscotland #ratracecoasttocoast #ratracecoasttocoast2016</t>
  </si>
  <si>
    <t>spartans</t>
  </si>
  <si>
    <t>ifindoubtpedalitout</t>
  </si>
  <si>
    <t>loveadventure</t>
  </si>
  <si>
    <t>scotlandendurance</t>
  </si>
  <si>
    <t>scotlandadventures</t>
  </si>
  <si>
    <t>jh1.9.9.3</t>
  </si>
  <si>
    <t>1579293005985102840_5858317791</t>
  </si>
  <si>
    <t>Keep your eyes on the price. 😶
#goals#up#mountains#nothingsinpossible#oakmountain#eyes#keepongoing#nature#naturephotography#dreams#peaceful#theroadsofar#neversaynever#daretotravel#adventure</t>
  </si>
  <si>
    <t>Oak Mountain State Park</t>
  </si>
  <si>
    <t>naturephotography</t>
  </si>
  <si>
    <t>adventure</t>
  </si>
  <si>
    <t>nothingsinpossible</t>
  </si>
  <si>
    <t>neversaynever</t>
  </si>
  <si>
    <t>scooter_trist</t>
  </si>
  <si>
    <t>1579299122455241410_4610536362</t>
  </si>
  <si>
    <t>It took 10 try's after and after again till I landed it. So proud @jackdauth @outsetselect @shopecx #tryagain #nevergiveup #justdoit #keepongoing</t>
  </si>
  <si>
    <t>Newark Upon Trent, Nottingham, United Kingdom</t>
  </si>
  <si>
    <t>tryagain</t>
  </si>
  <si>
    <t>justdoit</t>
  </si>
  <si>
    <t>onlyfitchicks</t>
  </si>
  <si>
    <t>1579301111999543823_4230196596</t>
  </si>
  <si>
    <t>Wow! @_tiannag 👌</t>
  </si>
  <si>
    <t>lisahi77</t>
  </si>
  <si>
    <t>1579318492514862232_206074076</t>
  </si>
  <si>
    <t>Girls night pool party. This is dinner. No pizza for me. 6 pounds down since Sunday. #keepongoing #keto</t>
  </si>
  <si>
    <t>keto</t>
  </si>
  <si>
    <t>1579320442957769365_5801959162</t>
  </si>
  <si>
    <t>🦁Great and true message! Do you agree? 🌟😍Comment below and tag a friend that should see this! ✏️👯 Thank you @thegoodquote for an amazing post!</t>
  </si>
  <si>
    <t>martagiornelli</t>
  </si>
  <si>
    <t>1579323202852883716_2046752633</t>
  </si>
  <si>
    <t>#sicily #monreale #hiddencorners #summer2k17 #keepongoing</t>
  </si>
  <si>
    <t>hiddencorners</t>
  </si>
  <si>
    <t>monreale</t>
  </si>
  <si>
    <t>summer2k17</t>
  </si>
  <si>
    <t>sicily</t>
  </si>
  <si>
    <t>kellyanneshears</t>
  </si>
  <si>
    <t>1579326065657434386_50884114</t>
  </si>
  <si>
    <t>#persistent #consistent #nevergiveup #keepongoing #kellyshearsbeauty</t>
  </si>
  <si>
    <t>kellyshearsbeauty</t>
  </si>
  <si>
    <t>consistent</t>
  </si>
  <si>
    <t>persistent</t>
  </si>
  <si>
    <t>trezphotography</t>
  </si>
  <si>
    <t>1579327203631701178_4904143336</t>
  </si>
  <si>
    <t>Man oh man this has been such a blessed journey already from a name change doing personal photo shoots with some of my best friends, to working with my first business clients @elevated_hawaii, to doing a couple birthdays, baby showers, even down to a very special request from one of my best friends family.  No words can describe how honored and blessed I am, I can't wait for more!  Sorry for the delay in post IG fam been busy busy busy the past couple months.  Thank you to all who have supported me and are supporting me you guys mean the world to my business!!! Special thanks to @jordynharuko @jenny_niggadoe @braddahkealii46 @ronarii @misselca_ @elevated_hawaii @jme_iha @bellohayn @_mommaburnz for all the help and support so far you guys rock!!! More pictures coming soon for you guys to see and share again just wanna say thanks IG fam, catch me at @trezamoraphotography and check out my website links in bio #trezphotography #startingthebiz #lifeofaphotographer #photography #goingsmooth #buildinganempire #keepongoing #pushthroughthefire #postivethoughts #buildingrelationships #forabusinesscardjustask #blessed #spreadtheword</t>
  </si>
  <si>
    <t>buildingrelationships</t>
  </si>
  <si>
    <t>forabusinesscardjustask</t>
  </si>
  <si>
    <t>lifeofaphotographer</t>
  </si>
  <si>
    <t>goingsmooth</t>
  </si>
  <si>
    <t>vane.rdgz5</t>
  </si>
  <si>
    <t>1579328809973725135_1968458413</t>
  </si>
  <si>
    <t>Congratulation babies💖  #celebrating #anniversary #keepongoing #celebratinglove #sohappyforyouboth #picoftheday #❤️</t>
  </si>
  <si>
    <t>celebrating</t>
  </si>
  <si>
    <t>anniversary</t>
  </si>
  <si>
    <t>❤️</t>
  </si>
  <si>
    <t>aimeemdoll</t>
  </si>
  <si>
    <t>1579330246279170456_5835917454</t>
  </si>
  <si>
    <t>#hanginginthere #; #keepongoing #depressionsucks #bettertomorrow #aimeemdoll</t>
  </si>
  <si>
    <t>hanginginthere</t>
  </si>
  <si>
    <t>depressionsucks</t>
  </si>
  <si>
    <t>bettertomorrow</t>
  </si>
  <si>
    <t>melissatsao</t>
  </si>
  <si>
    <t>1579341819564980256_282474073</t>
  </si>
  <si>
    <t>#ignorethenoise #keepongoing #haters #ryuapparel</t>
  </si>
  <si>
    <t>RYU Apparel</t>
  </si>
  <si>
    <t>ryuapparel</t>
  </si>
  <si>
    <t>ignorethenoise</t>
  </si>
  <si>
    <t>haters</t>
  </si>
  <si>
    <t>dj_jams</t>
  </si>
  <si>
    <t>1579346434439206221_2227536264</t>
  </si>
  <si>
    <t>It will never be perfect. Make it work - life #justkeepgoing #thoughts #think #stepbystep #work #time #lookup #keepongoing #headup #lookingtothefuture #nextstep #primitive #giro #styles #fresh #goodtogo #lookforward #l4l #igers #insta #instagood #life #mandela</t>
  </si>
  <si>
    <t>goodtogo</t>
  </si>
  <si>
    <t>thoughts</t>
  </si>
  <si>
    <t>instagood</t>
  </si>
  <si>
    <t>time</t>
  </si>
  <si>
    <t>yourbestfriendem</t>
  </si>
  <si>
    <t>1579352994271746564_2276723291</t>
  </si>
  <si>
    <t>Some days I feel like I'm making no progress...like, if the scale doesn't say the number I like or if I feel like a workout I've done a thousand times seems really challenging in the moment. That's when I'm glad I take these progress shots and use this platform as a workout diary, because I can see...clearly...I'm not a slacker. #keepongoing #thegrindincludesfriday #agilitystrength #coredeforce</t>
  </si>
  <si>
    <t>agilitystrength</t>
  </si>
  <si>
    <t>thegrindincludesfriday</t>
  </si>
  <si>
    <t>coredeforce</t>
  </si>
  <si>
    <t>escu666</t>
  </si>
  <si>
    <t>1579360182209962912_3933031352</t>
  </si>
  <si>
    <t>#keepongoing #gifftedmadness</t>
  </si>
  <si>
    <t>gifftedmadness</t>
  </si>
  <si>
    <t>1579360889646576527_3933031352</t>
  </si>
  <si>
    <t>rick_jeane</t>
  </si>
  <si>
    <t>1579363552031759759_2223801658</t>
  </si>
  <si>
    <t>I'll keep trying no matter how difficult the road may be.
Today my wife and I went to the dmv just to be told what we had wasnt enough to get our id and license transferred down here. 
Feel even further from getting a stable place, not sure where to turn to.. I am sure I'll come across the info sooner or later.
Wife broke down and I couldn't consol her and all i am trying to do is get us stable.
I didnt do anything productive for my website or any designs, due to this setback. Tomorrow I'll practice a little.
Who has any good design books to read up on? 
If you like this make sure to smash that follow button! Help me get to 1,000 followers.
Love you all</t>
  </si>
  <si>
    <t>selfstarter</t>
  </si>
  <si>
    <t>webdesign</t>
  </si>
  <si>
    <t>webdeveloping</t>
  </si>
  <si>
    <t>techlife</t>
  </si>
  <si>
    <t>instagramers</t>
  </si>
  <si>
    <t>natural_beauty_naenae</t>
  </si>
  <si>
    <t>1579373192354377626_2188440709</t>
  </si>
  <si>
    <t>I still got alot of Fight left in Me!!!👊💯
#KeepOnGoing #Unstoppable💯💯</t>
  </si>
  <si>
    <t>unstoppable💯💯</t>
  </si>
  <si>
    <t>mommy_oasis</t>
  </si>
  <si>
    <t>1579384551997680840_462344435</t>
  </si>
  <si>
    <t>"The illiterate of the 21st century will not be those who cannot read and write but those who cannot learn, unlearn or relearn. " Alvin Toffler
.
.
.
Keep on learning! Thanks @vikthink for the reminder.
.
.
.
#relearn #unlearn #neverstoplearning #livelifetothefull #seethegood #seethegoodineverything #believeyoucan #befearless #keeponmoving #keeponlearning #keepondoing #keepongoing #keeponbelieving #believeinyou #goodhabits #achieve #achieveyourdreams #achieveyourgoals #believeinyourdream #believeinyourselfie #keepthefaith  #positiveattitude #positivequotes #positivevibes #positiveminds #trustandbelieve #trustyourgut #yesyoucan #neverstoptrying #neverstopdoing</t>
  </si>
  <si>
    <t>Singapore</t>
  </si>
  <si>
    <t>believeinyou</t>
  </si>
  <si>
    <t>keepthefaith</t>
  </si>
  <si>
    <t>positivequotes</t>
  </si>
  <si>
    <t>unlearn</t>
  </si>
  <si>
    <t>achieveyourdreams</t>
  </si>
  <si>
    <t>mix965houston</t>
  </si>
  <si>
    <t>1579386618463607243_2178897211</t>
  </si>
  <si>
    <t>@scottproducts Paper Towels are cleaning up messes in Texas! Bring the family out to Friday Night Bites at Bridgeland Lakeland Village Center (290 @ S Fry Rd). Stop by the @scottproducts Paper Towels booth for a chance to win paper towels for a year! #KeepOnGoing</t>
  </si>
  <si>
    <t>bstreks</t>
  </si>
  <si>
    <t>1579387046005401525_192306826</t>
  </si>
  <si>
    <t>Traveling with this guy hasn't happened for a while but is in full effect right now! We work hard during the day so we can have a little fun together at night. .
.
Two breweries, lots of Farkle, and a little live music made for a wonderful night. .
.
By the way I won😎
.
@fathillbrewing @masoncitybrew #replife #bstreks</t>
  </si>
  <si>
    <t>Mason City Brewing</t>
  </si>
  <si>
    <t>myman</t>
  </si>
  <si>
    <t>ridebikes</t>
  </si>
  <si>
    <t>farkle</t>
  </si>
  <si>
    <t>1579391972081297556_5705167414</t>
  </si>
  <si>
    <t>Get up #Dubnation
-
-
-
-
-
-
-
-
-
-
-
-
-
-
-
-
-
-
-
-
-
-
-
-
-
-
-
-
-
-
-
-
-
-
-
-
-
-
-
-
 #StephGonnaSteph #Mvp #SC30 #KT11 #DG23 #CURRYMVP #KEEPONGOING #NEVERGIVEUP #WCF #WEST #WESTERNCONFERENCEFINALS #CHAMPS #DUBSFORCHAMPS #DUBS #ALWAYSBELIEVEINGOD #STEPHENCURRY #EVEN #NBA #2016CHAMPS #CHAMPIONS #LOCKIN #STEPH #SPLASH #SPLASHBROS  #like4like #like4follow #follow4follow</t>
  </si>
  <si>
    <t>champs</t>
  </si>
  <si>
    <t>even</t>
  </si>
  <si>
    <t>nba</t>
  </si>
  <si>
    <t>lancealec</t>
  </si>
  <si>
    <t>1579395526126153272_356788</t>
  </si>
  <si>
    <t>Birthday girl in a fern. Like between two ferns but just one. #fernfro #gunsablazzin #keepongoing</t>
  </si>
  <si>
    <t>Clark Street Ale House</t>
  </si>
  <si>
    <t>fernfro</t>
  </si>
  <si>
    <t>gunsablazzin</t>
  </si>
  <si>
    <t>dgrconcreteforming</t>
  </si>
  <si>
    <t>1579398376557164005_3605675954</t>
  </si>
  <si>
    <t>The rain simply won't stop! Anyone in the construction industry these days trying to get a project out of the ground is simply going nuts. You can't dig foundations when all the dumps that take the dirt are closed. Everyone hold on because this fall and winter is going to make this spring and summer look like a walk in the park. #stoptherain #keepongoing #dgrconcreteforming #crazyweather #schedulingmayhem</t>
  </si>
  <si>
    <t>stoptherain</t>
  </si>
  <si>
    <t>crazyweather</t>
  </si>
  <si>
    <t>schedulingmayhem</t>
  </si>
  <si>
    <t>awilderlove</t>
  </si>
  <si>
    <t>1579401557366370572_1096203</t>
  </si>
  <si>
    <t>There are days I want to give up. Like, today. And then, I think how a year from now, I'll be so glad I persevered. Because, as my sales coach said, if it were easy, and there was a pond in which we could fish abundantly, everyone would be 🐟 'ing there. 
Then tonight, I had a beautiful meeting with a woman in ATX who heard my podcast interview on @tonyarineer's Profit Party broadcast. We went to a local bar, Drink Well, and bonded as entrepreneurs, mamas, marketers, writers, and women. 
She reminded me to let the Universe fill in the spaces when I surrender, gave me tips on how to get more traction, and then I just ordered ramen, inspired by my bestie's instagram post. (Thanks, @willowmacp!) I don't know what's going to happen, but I know that I need to move away from giving of myself as a "volunteer" or because I simply want to help, and reframe my idea around SALES and thriving in my business by showing up like a real #bossbabe. 
Because most of me believes I am bad-ass! And every time I up-level, I find a new growing edge, another old story to rewrite, and a big reason to celebrate. 
Like my daughter telling me I look like a fairy, or makes me fake "food" from her felt toys to ensure I'm well cared for. 
What do you do when you're challenged to up-level?
#mindsetmaster #thankstomycoaches #igotthis #mompreneur #keepongoing #atx #texas</t>
  </si>
  <si>
    <t>Austin, Texas</t>
  </si>
  <si>
    <t>mindsetmaster</t>
  </si>
  <si>
    <t>challenge</t>
  </si>
  <si>
    <t>bossbabe</t>
  </si>
  <si>
    <t>fridaynight</t>
  </si>
  <si>
    <t>vitas_mercadogourmet</t>
  </si>
  <si>
    <t>1579413972732621521_1333743928</t>
  </si>
  <si>
    <t>Es viernes y... el horno lo sabe. Mañana a seguir pasteleando 🤘🏻🍭 #neverstopmoving #keepongoing #cakelife #bakerlife #instacake #glutenfree #allergyfree #chocolatecake #vitas</t>
  </si>
  <si>
    <t>cakelife</t>
  </si>
  <si>
    <t>chocolatecake</t>
  </si>
  <si>
    <t>neverstopmoving</t>
  </si>
  <si>
    <t>bakerlife</t>
  </si>
  <si>
    <t>glutenfree</t>
  </si>
  <si>
    <t>emikovenlet</t>
  </si>
  <si>
    <t>1579418509880257665_586298771</t>
  </si>
  <si>
    <t>"Down the memory lane" acrylic and ink on 24"×30" canvas
Something different to recharge my creative energy and because it's been a hot summer,  different shades of blue are absolutely soothing to my eyes. 
#artistjourney #acrylicpainting #acryliconcanvas #summerpainting #shadesofblues #creativeweekend #tgif #momartist #keepongoing #somethingdifferent #abstract #pouredmedium #bigcanvas</t>
  </si>
  <si>
    <t>shadesofblues</t>
  </si>
  <si>
    <t>somethingdifferent</t>
  </si>
  <si>
    <t>acrylicpainting</t>
  </si>
  <si>
    <t>artistjourney</t>
  </si>
  <si>
    <t>acryliconcanvas</t>
  </si>
  <si>
    <t>babydoll5889gmailcom</t>
  </si>
  <si>
    <t>1579436534884871382_450594393</t>
  </si>
  <si>
    <t>Yes!!! Don't be afraid to keep pushing forward!! "Let us not become weary of doing good, for at the proper time we will reap a harvest if we do not give up." Galatians 6:9 #diligence #workhard #fitmom #setgoals #keepongoing</t>
  </si>
  <si>
    <t>setgoals</t>
  </si>
  <si>
    <t>workhard</t>
  </si>
  <si>
    <t>diligence</t>
  </si>
  <si>
    <t>cliniquegal45</t>
  </si>
  <si>
    <t>1579438843085906647_5410120049</t>
  </si>
  <si>
    <t>#truth#beingreal#keeplovinghim#worththetears#ilovehimsomuch#keepongoing</t>
  </si>
  <si>
    <t>beingreal</t>
  </si>
  <si>
    <t>keeplovinghim</t>
  </si>
  <si>
    <t>ilovehimsomuch</t>
  </si>
  <si>
    <t>truth</t>
  </si>
  <si>
    <t>laratrinitimom</t>
  </si>
  <si>
    <t>1579463156568079577_211548404</t>
  </si>
  <si>
    <t>Baby Butts Are The Cutest ....</t>
  </si>
  <si>
    <t>Soso, Mississippi</t>
  </si>
  <si>
    <t>aspiringphotographer</t>
  </si>
  <si>
    <t>photography</t>
  </si>
  <si>
    <t>cousin</t>
  </si>
  <si>
    <t>kmichellephotography</t>
  </si>
  <si>
    <t>photographylife</t>
  </si>
  <si>
    <t>twoktx</t>
  </si>
  <si>
    <t>1579463659950956691_144422256</t>
  </si>
  <si>
    <t>Friday night out at nowhere else but the gym! Workout number two and I had a blast at @macspeedandstrength. Glad to have these friends who I can share my passion for fitness with. Thanks @nikkimactx for hosting us and graciously provided the wine too! #meetmeatthegym #theymaythinkuscrazy #fridaynight #dallasfitwomen #fitnessjourney #fitnessmotivation #fitgirls #fitness #keepongoing #pushyourself #gettingstronger #barbellandcardio #planotx #dallastx</t>
  </si>
  <si>
    <t>MAC Speed &amp; Strength</t>
  </si>
  <si>
    <t>planotx</t>
  </si>
  <si>
    <t>theymaythinkuscrazy</t>
  </si>
  <si>
    <t>dallastx</t>
  </si>
  <si>
    <t>meetmeatthegym</t>
  </si>
  <si>
    <t>971ampradio</t>
  </si>
  <si>
    <t>1579470443390667298_9397372</t>
  </si>
  <si>
    <t>CONGRATULATIONS to our great winners! They've just won a years supply of Scott (@scottproducts) Paper Towels!! #KeepOnGoing</t>
  </si>
  <si>
    <t>626 Night Market</t>
  </si>
  <si>
    <t>astrologyanswers</t>
  </si>
  <si>
    <t>1579474386203826430_1774981442</t>
  </si>
  <si>
    <t>#life #keepongoing #follow #follow4follow #followforfollow #followtrain #followme #followus #followmeplease</t>
  </si>
  <si>
    <t>followme</t>
  </si>
  <si>
    <t>follow</t>
  </si>
  <si>
    <t>followforfollow</t>
  </si>
  <si>
    <t>follow4follow</t>
  </si>
  <si>
    <t>iamthelife77</t>
  </si>
  <si>
    <t>1579491550789160387_641172937</t>
  </si>
  <si>
    <t>Balance is key...I have been through the ringer with this but always come back to this knowledge it means alot! #waynedyer #beinginbalance #keepongoing #youcreateyourownreality</t>
  </si>
  <si>
    <t>Lark</t>
  </si>
  <si>
    <t>beinginbalance</t>
  </si>
  <si>
    <t>waynedyer</t>
  </si>
  <si>
    <t>youcreateyourownreality</t>
  </si>
  <si>
    <t>jennevans23</t>
  </si>
  <si>
    <t>1579500248903723188_11595121</t>
  </si>
  <si>
    <t>They say what doesn't kill you makes you stronger. I'm still alive after this week so I guess that means I'll learn and grow from it! Anyone else screaming TFGIF (thank effing gosh it's Friday 😂) tonight?!?! #selfemployed #selfemployedlife #selfemployedproblems #telluswhenyouwantit #chiselchiselchisel #keepongoing #slightedge #rippleeffect #motivation #motivationalquotes #tgif #perseverance #persevere #shesaidshecouldsoshedid</t>
  </si>
  <si>
    <t>Long Beach, California</t>
  </si>
  <si>
    <t>perseverance</t>
  </si>
  <si>
    <t>rippleeffect</t>
  </si>
  <si>
    <t>chiselchiselchisel</t>
  </si>
  <si>
    <t>shesaidshecouldsoshedid</t>
  </si>
  <si>
    <t>qis.elias</t>
  </si>
  <si>
    <t>1579504116530783929_212408505</t>
  </si>
  <si>
    <t>In life not all will be given the shorter exclusive route to reach the peak, most of the time we need to encounter the longer bumpy route to get to our destination, well thats normal, life can hit us hard, again, thats normal, thats the bitter truth but how we deal with it, thats what matters. Happy weekend! 🤗🌿
.
.
.
.
#keepongoing
#keeponhustling
#keeponrunning</t>
  </si>
  <si>
    <t>keeponrunning</t>
  </si>
  <si>
    <t>keeponhustling</t>
  </si>
  <si>
    <t>olaedomusic</t>
  </si>
  <si>
    <t>1579508633081959485_280002797</t>
  </si>
  <si>
    <t>You Don't Have Win Competitions To Win In Life - The Only Way To Win Is To Never Stop. 
_
_
#Iwillneverstop #byGodsgrace #stop #keepgoing #keeponkeepingon #ikeep #shine #grow #jenniferhudson #growtoglow #hollywood #losangeles #california #usa  #labound #iphone7 #hope #encouragement #nice #benice #instaquote #win #allidoiswin #onlywayisup #wininlife #winner #whatCanGodnotdo #keepongoing #notetoself #lookatGod</t>
  </si>
  <si>
    <t>East Hollywood, Los Angeles</t>
  </si>
  <si>
    <t>wininlife</t>
  </si>
  <si>
    <t>lookatgod</t>
  </si>
  <si>
    <t>instaquote</t>
  </si>
  <si>
    <t>win</t>
  </si>
  <si>
    <t>losangeles</t>
  </si>
  <si>
    <t>taltalkrystal</t>
  </si>
  <si>
    <t>1579525998105317311_52407692</t>
  </si>
  <si>
    <t>YAY!! 好開心!!!❤❤
今朝我地一齊去游水👦👧💁
My first swim in this summer😍😍😍
好開心 開心 開心!!!!😘😘😘
#firstswiminthesummer
#goodmorning
#keepongoing
#sportslover</t>
  </si>
  <si>
    <t>randomswim</t>
  </si>
  <si>
    <t>firstswiminthesummer</t>
  </si>
  <si>
    <t>howistartmyday</t>
  </si>
  <si>
    <t>swim</t>
  </si>
  <si>
    <t>1579526341199733879_19344366</t>
  </si>
  <si>
    <t>Morning run at Fit Malaysia 2017 
#fitmalaysia #fitmalaysia2017 #fitness #keeppushing #keepongoing #fitness #ukwarriors #warriorsontherun #warriorsfitcamp #kualalumpur2017 #kl2017 #bangkitbersama #risetogether</t>
  </si>
  <si>
    <t>Stadium Nasional Bukit Jalil</t>
  </si>
  <si>
    <t>ukwarriors</t>
  </si>
  <si>
    <t>fitmalaysia2017</t>
  </si>
  <si>
    <t>fitmalaysia</t>
  </si>
  <si>
    <t>kualalumpur2017</t>
  </si>
  <si>
    <t>meryrose1</t>
  </si>
  <si>
    <t>1579531938329759236_313231351</t>
  </si>
  <si>
    <t>#sky #skyporn #italy #igersitalia #igersitaly #keepongoing #keeponwalking</t>
  </si>
  <si>
    <t>igersitalia</t>
  </si>
  <si>
    <t>italy</t>
  </si>
  <si>
    <t>igersitaly</t>
  </si>
  <si>
    <t>keeponwalking</t>
  </si>
  <si>
    <t>mclr95</t>
  </si>
  <si>
    <t>1579547517501079630_1378136774</t>
  </si>
  <si>
    <t>Be yourself.. Choose happy💞💘 #keepongoing #thinkpositive #chilling #selfie #smilealways</t>
  </si>
  <si>
    <t>Panama, Panama</t>
  </si>
  <si>
    <t>chilling</t>
  </si>
  <si>
    <t>thinkpositive</t>
  </si>
  <si>
    <t>smilealways</t>
  </si>
  <si>
    <t>1579548823515123282_279512262</t>
  </si>
  <si>
    <t>Жду водоворота выставок. А пока временное затишье.
.
#livethedream #streetadventure #rainyday #spb #прогулканазавтрак #попитерускучать #dreamers #daily #abmlife #authentic #abmlifeiscolorful #abmhappylife #omnomnom #lifeex #livethedream #livestory #keepongoing #vsco #vibes #vscocam #vscodaily #citylife #coffeeplace #abmlife #madrussians #flamingo</t>
  </si>
  <si>
    <t>Брат</t>
  </si>
  <si>
    <t>spb</t>
  </si>
  <si>
    <t>livethedream</t>
  </si>
  <si>
    <t>dreamers</t>
  </si>
  <si>
    <t>abmlife</t>
  </si>
  <si>
    <t>authentic</t>
  </si>
  <si>
    <t>lucy24rose</t>
  </si>
  <si>
    <t>1579570871612535934_214552156</t>
  </si>
  <si>
    <t>So yesterday I got to experience hospital in vietnam. I was riding a scooter from Hoi An to Hue and someone pulled out right into me and crashed into me. In a very small village I had to splint my arm, get on the back of a motorbike and travel 60kms into the closest city to a hospital where no one spoke English. 
Broken radius and some gnarly skin off on various parts of my body (aka Vietnam tattoo) and I'm all good to continue my holiday yewww .
#vietnam #vietnamcrash #scootercrash #keepongoing</t>
  </si>
  <si>
    <t>Hvt Hospital</t>
  </si>
  <si>
    <t>vietnam</t>
  </si>
  <si>
    <t>vietnamcrash</t>
  </si>
  <si>
    <t>scootercrash</t>
  </si>
  <si>
    <t>mortentillitz.dk</t>
  </si>
  <si>
    <t>1579573184050982791_2317517565</t>
  </si>
  <si>
    <t>Jeg spurgte engang et gruppe kvindelige atleter om de egentlig ikke var ret så tilfredse med deres krop.
•••
De stod og står stadigt ret så skarpt og jeg vil vove det kompliment, at de var lige som de skulle være set ud fra, hvad vi måler skønhed og atletiske kroppe på. •••
Til min overraskelse havde alle ting de ikke var tilfredse med og var ret så kritiske. De andre piger syntes det enkelts kropslige egensyn var latterligt og de grinede ret så meget af hinanden.
•••
Og hvorfor er piger egentlig så kristiske ved dem selv? Hvad skal der til for at piger værdsætter deres krop mere?
•••
Skriv gerne bagom, hvis du ikke har lyst til at dele det offentligt:) ——
#mortentillitzdk  #whatwouldbeyoncedo #toldyouso #tropådet #personligtræner #personaltrainer #cycling #Cykling #styrketræning #løb #Svømning #Swim #running #stronger #personligtræner #mitodense #fitfam #ﬁtfamdk #actionequalsresults #handlingskabersucces #helkropstræning #fullbody #SunRiceClubbyMortenTillitzDK #mentalpause #blivved #keepongoing #styrketræning #painfree #smertefri #søvn #sleep #mitodense</t>
  </si>
  <si>
    <t>RICE GYM by Morten Tillitz</t>
  </si>
  <si>
    <t>mitodense</t>
  </si>
  <si>
    <t>sleep</t>
  </si>
  <si>
    <t>mentalpause</t>
  </si>
  <si>
    <t>actionequalsresults</t>
  </si>
  <si>
    <t>lucindatjue</t>
  </si>
  <si>
    <t>1579577763979100498_1252777039</t>
  </si>
  <si>
    <t>Smile @ the opportunities life gives you 😀
#happy #healthy #love #friends #thankyou #thanksherbalife #breaklimitations #keepongoing #smile</t>
  </si>
  <si>
    <t>healthy</t>
  </si>
  <si>
    <t>breaklimitations</t>
  </si>
  <si>
    <t>imablastinaglas</t>
  </si>
  <si>
    <t>1579579375615246733_213160521</t>
  </si>
  <si>
    <t>All day every day!!! 💪🏽👊🏽💋 #neversettle #onmygrind #workhardtrainhard #goaldigger #goalgetter #goalsetter #goalachiever #initforthelonghaul #onlygettingbetter #igotthis #keepongoing #dontgiveup #pushthrough #nopainnogain #workingonthemgainz #itsnotadiet #itsalifestyle 💯</t>
  </si>
  <si>
    <t>itsalifestyle</t>
  </si>
  <si>
    <t>goalsetter</t>
  </si>
  <si>
    <t>pushthrough</t>
  </si>
  <si>
    <t>neversettle</t>
  </si>
  <si>
    <t>workhardtrainhard</t>
  </si>
  <si>
    <t>gloriglorc</t>
  </si>
  <si>
    <t>1579580648442755051_4482296409</t>
  </si>
  <si>
    <t>A greaat day ahead of us. 💃💥💨 Learning from the most successful people.💗👌💕🔝 Via Laško.😎 #success #followyourdreams #nevergiveup #keepongoing #herbalifenutrition #justdoit #goals #goodmood #leader #powerfulwomen #believeeverythingispossible #bethebestversionofyourself #feelinggood #workhardplayhard #youth #itsnevertoolate #motivateyourself</t>
  </si>
  <si>
    <t>Terme Laško</t>
  </si>
  <si>
    <t>powerfulwomen</t>
  </si>
  <si>
    <t>itsnevertoolate</t>
  </si>
  <si>
    <t>success</t>
  </si>
  <si>
    <t>believeeverythingispossible</t>
  </si>
  <si>
    <t>luukevb</t>
  </si>
  <si>
    <t>1579586010600493617_1484060963</t>
  </si>
  <si>
    <t>Day 1 of vacation: Peace, preparation, and push through the pass to Bend to make further way to Utah tomorrow morning! Beautiful drive with much more to come! So happy to be reunited with Victoria and Jordan!
//
#roadtrip #timeaway #keepongoing #augustrush</t>
  </si>
  <si>
    <t>timeaway</t>
  </si>
  <si>
    <t>roadtrip</t>
  </si>
  <si>
    <t>augustrush</t>
  </si>
  <si>
    <t>kimstylehappy_sw</t>
  </si>
  <si>
    <t>1579586282047984393_5360973505</t>
  </si>
  <si>
    <t>Not a happy bunny🐰 this morning , hubby has gone of to work with alot of speed fruit and pancakes have not come out the best , not gunna let it spoil my day !#breakfast #slimmingworld #stayonplan #instaslimmers #slimmingworldmember #swuk #slimmingworldmums #swblogger #slimmingworldfamily #mealtime #stayhealthy #keepfocused #keepongoing</t>
  </si>
  <si>
    <t>mealtime</t>
  </si>
  <si>
    <t>keepfocused</t>
  </si>
  <si>
    <t>stayonplan</t>
  </si>
  <si>
    <t>breakfast</t>
  </si>
  <si>
    <t>stayhealthy</t>
  </si>
  <si>
    <t>sur_aj_bindra</t>
  </si>
  <si>
    <t>1579586650232965052_5440304824</t>
  </si>
  <si>
    <t>#nevergiveup #keepongoing #beingsingle #loveeveryone #millionairemindset #luxurymylifestyle #supportfigo #millionairesays #bmw #ducati #lamborghini #shine #futuregoal</t>
  </si>
  <si>
    <t>loveeveryone</t>
  </si>
  <si>
    <t>beingsingle</t>
  </si>
  <si>
    <t>millionairesays</t>
  </si>
  <si>
    <t>ducati</t>
  </si>
  <si>
    <t>shine</t>
  </si>
  <si>
    <t>thehike.nl</t>
  </si>
  <si>
    <t>1579587414131891609_3618840610</t>
  </si>
  <si>
    <t>Morning mystery 
#mysteryhike #pleasantsurprise #austria #hikingadventures #mounteneering #visitaustria #austriantime #oostenrijk #huttentocht #topoftherock #view #hikingmotivation #thehikenl #keepongoing #indewolken #mountain #maintainsphoto #bergen #mountains #austrianmountains #gletscher #schladmingdachstein #mustvisit #traveltips #weekend #makeitagoodone</t>
  </si>
  <si>
    <t>austria</t>
  </si>
  <si>
    <t>austriantime</t>
  </si>
  <si>
    <t>bergen</t>
  </si>
  <si>
    <t>mysteryhike</t>
  </si>
  <si>
    <t>traveltips</t>
  </si>
  <si>
    <t>johanna.linnea_</t>
  </si>
  <si>
    <t>1579590547688114254_1503282315</t>
  </si>
  <si>
    <t>#dagenscitat #lördag #saturday #quoteoftheday #keepongoing #onedayeverythingwillmakesense</t>
  </si>
  <si>
    <t>quoteoftheday</t>
  </si>
  <si>
    <t>onedayeverythingwillmakesense</t>
  </si>
  <si>
    <t>saturday</t>
  </si>
  <si>
    <t>dagenscitat</t>
  </si>
  <si>
    <t>evermorehealth</t>
  </si>
  <si>
    <t>1579591383461818655_3249788376</t>
  </si>
  <si>
    <t>Magic weekends start with magic breakfasts ✨💚 (📷 @the_sunkissed_kitchen)</t>
  </si>
  <si>
    <t>alohaonseaside</t>
  </si>
  <si>
    <t>1579591963878055652_190099807</t>
  </si>
  <si>
    <t>#wokeuplikethis 😂 ok a #capi hab ich ma aufgsetzt 😜mein körper ist alles andere als perfekt, aber es ist ok so ☺️
mein großes ziel ist es wieder #surfen zu können 💪🏄🏻‍♀️
🐳
🍀
⚓️
🏄🏻‍♀️
🙌
#gettingfit and #healthy again #hatemyfuckingknee #nomakeup #naturalwavyhair #noabs #nogym #adidas #snapback #justme #rehab #onmywayback #girlswithtattoos #justdoit #sport #l4l #picoftheday #fit #nevergiveup 💪 #keepongoing</t>
  </si>
  <si>
    <t>adidas</t>
  </si>
  <si>
    <t>gettingfit</t>
  </si>
  <si>
    <t>onmywayback</t>
  </si>
  <si>
    <t>1579592310193374250_279512262</t>
  </si>
  <si>
    <t>Fantastic beauty .
.
.
#livethedream #spb #daily #authentic #picoftheday #keepcalm #keepongoing #mood #liveauthentic #livestory #livethedream #livefolk #livelife #abmlife #aloha #abmhappylife #abmlifeissweet #abmlifeiscolorful #white #daily #vsco #vibes #vscocam #vscodaily #vscogood #vscolife #lifeex #lifestyle</t>
  </si>
  <si>
    <t>Saint Petersburg, Russia</t>
  </si>
  <si>
    <t>white</t>
  </si>
  <si>
    <t>1579594170996266747_5705167414</t>
  </si>
  <si>
    <t>Squad #Dubnation
-
-
-
-
-
-
-
-
-
-
-
-
-
-
-
-
-
-
-
-
-
-
-
-
-
-
-
-
-
-
-
-
-
-
-
-
-
-
-
-
 #StephGonnaSteph #Mvp #SC30 #KT11 #DG23 #CURRYMVP #KEEPONGOING #NEVERGIVEUP #WCF #WEST #WESTERNCONFERENCEFINALS #CHAMPS #DUBSFORCHAMPS #DUBS #ALWAYSBELIEVEINGOD #STEPHENCURRY #EVEN #NBA #2016CHAMPS #CHAMPIONS #LOCKIN #STEPH #SPLASH #SPLASHBROS  #like4like #like4follow #follow4follow</t>
  </si>
  <si>
    <t>dubs</t>
  </si>
  <si>
    <t>stephgonnasteph</t>
  </si>
  <si>
    <t>kt11</t>
  </si>
  <si>
    <t>dg23</t>
  </si>
  <si>
    <t>1579597755515915040_5681311432</t>
  </si>
  <si>
    <t>One of my low days again, well seeing progress wise😩 I mean I know I am making progress I just can't help but wish I was one of those people who could see results fast😩 I'm eating right and doing the right workouts, but my tummy and arms area have always been such a hard area to see progress in😭 it's just one of those days though, I'm  pushin' through this! no giving up this time💪🏻😎
.
.
.
.
.
.
.
.
.
.
.
.
.
#honormycurves #bodypositive #loveyourbody #loveyourself #selflove #embracethesquish #embraceyourcurves #embracetheprocess #workinprogress #progress #proudofmyself #fitness #fit #fitgirl #fitjourney #fitnessmotivation #gym #gymmotivation #thick #thickthighssavelives #curves #curvygirl #tummy #cellulite #stilllovemyself #instagood #instadaily #keepongoing #sisepuede</t>
  </si>
  <si>
    <t>embracetheprocess</t>
  </si>
  <si>
    <t>thickthighssavelives</t>
  </si>
  <si>
    <t>curves</t>
  </si>
  <si>
    <t>chantine89</t>
  </si>
  <si>
    <t>1579598149243236858_1153848944</t>
  </si>
  <si>
    <t>Hardlopen langs de wonderen van Den Bosch 😍 #running #morningrun #keepongoing #bijnaTTM2017</t>
  </si>
  <si>
    <t>Den Bosch</t>
  </si>
  <si>
    <t>morningrun</t>
  </si>
  <si>
    <t>bijnattm2017</t>
  </si>
  <si>
    <t>1579602970671123831_279512262</t>
  </si>
  <si>
    <t>Даже не знаю, что добавить к этому показательному эстетическому удовольствию.
.
#livethedream #streetadventure #spb #попитерускучать #прогулканазавтрак #daily #dreamers #madrussians #moscow #keepongoing #keepongoing #authentic #abmhappylife #abmlife #vsco #vibes #vscocam #vscodaily #vscoliving #livelife #lifeex #livy #liveauthentic #livethelittlethings #livethedream #citylife #coffeetime</t>
  </si>
  <si>
    <t>livy</t>
  </si>
  <si>
    <t>vscoliving</t>
  </si>
  <si>
    <t>1579603478962038947_5801959162</t>
  </si>
  <si>
    <t>😍Thats grinding and LOVE! Do you agree? 🤔 Comment below and tag a friend that should see this! ✏️👯 Thank you @thegoodquote for a great post!</t>
  </si>
  <si>
    <t>1579617956718411861_243176274</t>
  </si>
  <si>
    <t>Nice steady 15k bridge to bridge arvo run 😁😁😁😁😁
#bridgetobridge #nepeanriver #westernsydney #nicerun #greatday #run #justrun #runalways #keeponrunning #keepitgoing #ultra #marathon #halfmarathon #everystate #trailrunning #runningwild #swimbikerun #believe #nevergiveup #keepongoing 👍👊💪💨😁😁😁</t>
  </si>
  <si>
    <t>Nepean River</t>
  </si>
  <si>
    <t>everystate</t>
  </si>
  <si>
    <t>ultra</t>
  </si>
  <si>
    <t>nicerun</t>
  </si>
  <si>
    <t>bridgetobridge</t>
  </si>
  <si>
    <t>greatday</t>
  </si>
  <si>
    <t>millionaireimage</t>
  </si>
  <si>
    <t>1579622136955260502_1684424176</t>
  </si>
  <si>
    <t>@millionaireimage 
@millionaireimage 
___________________________ 
#millionaireimage #doitforyourself #betterme #beyourown #keeponkeepingon #workforwhatyouwant  #marketingmoment #marketingsolutions #encourageyourself #bethechangeyouwanttosee #youvegotthis #oilfieldlife #millionairequotes #inspirationalthoughts #positivepeople #americanbusiness #quoteme #quoteaccount #strategize #seemslegit #youdoyou #inspirationalpost #businessownership #businessisbusiness #keepongoing #selfconfidence #bewhoyouare #bewhatyouwanttobe #socialinfluencers #socialize</t>
  </si>
  <si>
    <t>encourageyourself</t>
  </si>
  <si>
    <t>businessownership</t>
  </si>
  <si>
    <t>socialize</t>
  </si>
  <si>
    <t>selfconfidence</t>
  </si>
  <si>
    <t>texasquotes</t>
  </si>
  <si>
    <t>1579626012929186630_1615759923</t>
  </si>
  <si>
    <t>@talktexasoil 
___________________________ 
#TalkTexasOil #doitforyourself #betterme #beyourown #keeponkeepingon #drillingrig #crudeoil #shale #workforwhatyouwant  #marketingsolutions #encourageyourself  #youvegotthis #oilfieldlife #pipeliners  #positivepeople  #quoteme #quoteaccount #strategize #seemslegit #youdoyou #inspirationalpost #businessownership #businessisbusiness #keepongoing #selfconfidence #bewhoyouare #drill #bewhatyouwanttobe #oilcountry #socialize</t>
  </si>
  <si>
    <t>inspirationalpost</t>
  </si>
  <si>
    <t>chantalamanda</t>
  </si>
  <si>
    <t>1579633180322178956_273482318</t>
  </si>
  <si>
    <t>Goodmorning people. My Quote of the day 💓💪🏼 @regrann from @bookofprosperity</t>
  </si>
  <si>
    <t>learning</t>
  </si>
  <si>
    <t>spirituality</t>
  </si>
  <si>
    <t>makethebestofit</t>
  </si>
  <si>
    <t>elmirnl</t>
  </si>
  <si>
    <t>1579636244168798303_207198566</t>
  </si>
  <si>
    <t>Two Months Progression (12/6 vs 12/8 2017) #fitness progression #workhard #motivation #uxcross #keepongoing #result #muscles #training #workhardplayhard #plazaoldenzaal #thankyou #forthesupport 💪🏻💪🏻</t>
  </si>
  <si>
    <t>workhardplayhard</t>
  </si>
  <si>
    <t>forthesupport</t>
  </si>
  <si>
    <t>result</t>
  </si>
  <si>
    <t>shuyachan</t>
  </si>
  <si>
    <t>1579637881341557045_23925123</t>
  </si>
  <si>
    <t>運動是為了吃更多😂
-
終於採購新跑鞋了
覺得更有動力繼續跑🏃🏻‍♀️
➖➖➖➖➖➖➖
#台中 #麗寶outlet #跑鞋 #運動女孩 #taichung #underarmour #runninggirl #newshoes #keepongoing #fighting #shuyachan #like4like</t>
  </si>
  <si>
    <t>Under Armour 台中麗寶outlet</t>
  </si>
  <si>
    <t>台中</t>
  </si>
  <si>
    <t>跑鞋</t>
  </si>
  <si>
    <t>fighting</t>
  </si>
  <si>
    <t>xjesnaomixx</t>
  </si>
  <si>
    <t>1579640243304687306_277645992</t>
  </si>
  <si>
    <t>#fitness #keepongoing #love💪 ❤</t>
  </si>
  <si>
    <t>love💪</t>
  </si>
  <si>
    <t>rman_photographydtla</t>
  </si>
  <si>
    <t>1579643673708434675_409500736</t>
  </si>
  <si>
    <t>exakta ihagee dresden vx camera
●●●●●●●●●●●●●●●●
I can't describe how excited I am for this .it was one of the 1st SLR 100%Manual Cameras ever made (it not the 1st) I read about them but never hold one in my hand until today they were build to last forever is like holding a precious gem. The engineering of this German machine is just amazing .can't wait to take out this baby for a ride. 3 weeks ago all of my photography equipment was stolen from the trunk of my car I mean all of it and now due to the generous support of my good friends I keep on getting cameras, lenses and today this..thank you all very much I appreciate it tremendously and I promise this I will keep on trying to create the best images I can humbly do.
Life is full of surprises never give up never quit.</t>
  </si>
  <si>
    <t>vintagecameras</t>
  </si>
  <si>
    <t>exakta</t>
  </si>
  <si>
    <t>lifeisfullofsurprises</t>
  </si>
  <si>
    <t>glxtteralxenxx</t>
  </si>
  <si>
    <t>1579653215431175949_3204902041</t>
  </si>
  <si>
    <t>When you can tell ur diet is working! #weightloss #smile #depression #anxiety #mentalhealth #keepongoing #scorpio #vegan #dontfuckwithme</t>
  </si>
  <si>
    <t>vegan</t>
  </si>
  <si>
    <t>dontfuckwithme</t>
  </si>
  <si>
    <t>canarinatriswim</t>
  </si>
  <si>
    <t>1579657052984682524_469163341</t>
  </si>
  <si>
    <t>Tierra, mar y aire!✨✨✨
.
.
.
#ocean #sand #wind #beach #instagram #instapic #instashot #viewpoint #paradise #perfectday #lucky #trainingday #keepongoing #canarias #home #❤️</t>
  </si>
  <si>
    <t>Canary Islands</t>
  </si>
  <si>
    <t>perfectday</t>
  </si>
  <si>
    <t>trainingday</t>
  </si>
  <si>
    <t>wind</t>
  </si>
  <si>
    <t>paradise</t>
  </si>
  <si>
    <t>teamyupo</t>
  </si>
  <si>
    <t>1579664768380512152_5813380205</t>
  </si>
  <si>
    <t>Team YUPO is online! Vanaf maandag beginnen wij met het plaatsen van twee motivatie quotes per dag in ruil voor uw like! Gebruik deze quotes om gemotiveerd te blijven bij het behalen van uw levensdoelen! #Keepongoing</t>
  </si>
  <si>
    <t>1579669838842627775_297558307</t>
  </si>
  <si>
    <t>GM😁🌅Warriors🏹! No caption needed! HAPPY SATURDAY ✌🏻! #free #sunrise #fitmom #fitmama #fitgirl #fitness #fitnessaddict #mamaenforma #mamacorriendo #runner #running #rundancing #gim #gimnasio #gym #gymgirl #gymlife #gymaddict #gymaholic #kikasporty #keeptrying #keepmoving #keepstrong #keepongoing #myanchor #mypassion #myhappyplace #miveranoendénia</t>
  </si>
  <si>
    <t>miveranoendénia</t>
  </si>
  <si>
    <t>keepmoving</t>
  </si>
  <si>
    <t>keeptrying</t>
  </si>
  <si>
    <t>fitnessaddict</t>
  </si>
  <si>
    <t>rikruebens</t>
  </si>
  <si>
    <t>1579672290009096842_1911163036</t>
  </si>
  <si>
    <t>This makes my day #happycustomer #stylishasever #rrinterieur #rrcorner #rrapart #rrinterieurluxemburg #keepongoing #proud</t>
  </si>
  <si>
    <t>RR Interieur</t>
  </si>
  <si>
    <t>rrinterieurluxemburg</t>
  </si>
  <si>
    <t>rrinterieur</t>
  </si>
  <si>
    <t>rrapart</t>
  </si>
  <si>
    <t>rrcorner</t>
  </si>
  <si>
    <t>khriston12</t>
  </si>
  <si>
    <t>1579675692303800316_254227172</t>
  </si>
  <si>
    <t>Dripping sauce man💦💦💦! Pad work with my boy @marcelo_verdugo_pt 2 hours going HAM! Miami is exactly 1 week away! Beach body pending💪🏾
#combat #inspired #motivation #kickboxing #muythai #motivation  #fitnesslife #keepongoing #motivated #photooftheday #instafollowme  #personaltrainer #lifeisgood #instagood #picoftheday #instadaily #igers #instalike #bestoftheday #followme #like4like #fun #instamood #life #followback #follow #tagforlikes</t>
  </si>
  <si>
    <t>Tottenham Hale the Gym</t>
  </si>
  <si>
    <t>followback</t>
  </si>
  <si>
    <t>instalike</t>
  </si>
  <si>
    <t>len_amsterdam</t>
  </si>
  <si>
    <t>1579676977269588902_283398080</t>
  </si>
  <si>
    <t>When it feels like.... #nocomment #cestlavie #rainydays #summerdays #inamsterdam #pezglobo #caralarga #dies #elmarelmar #missinghome #love #live #keepongoing #igerscatalunya #igersamsterdam #❤️</t>
  </si>
  <si>
    <t>KNSM Island</t>
  </si>
  <si>
    <t>caralarga</t>
  </si>
  <si>
    <t>pezglobo</t>
  </si>
  <si>
    <t>elmarelmar</t>
  </si>
  <si>
    <t>paola__o</t>
  </si>
  <si>
    <t>1579681506329291211_541106464</t>
  </si>
  <si>
    <t>#citazioni #ernesthemingway #pensiero #parole #quoteoftheday #quotes #daje #keepongoing #holdon #instamood</t>
  </si>
  <si>
    <t>citazioni</t>
  </si>
  <si>
    <t>parole</t>
  </si>
  <si>
    <t>daje</t>
  </si>
  <si>
    <t>instamood</t>
  </si>
  <si>
    <t>1579685419279445225_5801959162</t>
  </si>
  <si>
    <t>😍Great place to chill between business! Do you agree? 🤔 Comment below and tag a friend that should see this! ✏️👯 Thank you @tamaraz1004 for a great photo!</t>
  </si>
  <si>
    <t>listosparadespegue</t>
  </si>
  <si>
    <t>1579686844143056082_1516203357</t>
  </si>
  <si>
    <t>Listos para la aproximación 
Qué es más fácil despegar o aterrizar un avión? No creo que haya una fase de vuelo más difícil que otra, cada una tiene su miga y técnica. En mi caso, aterrizar me resulta más dinámico por todos aquellos factores en cuenta para efectuar la parada de la aeronave en una distancia segura y evitando una frenada excesiva para comodidad de los pasajeros. Antes de realizar esa transición entre aire y tierra tenemos en cuenta: la velocidad de la aeronave, el viento que según su dirección nos desplaza del eje de pista, y el ángulo adecuado para efectuar el posado del tren de aterrizaje (estructura formada por los amortiguadores, ruedas y componentes que constituyen su ensamblaje). #listosparadespegue #fly #youcan #pilot #aircraft #vamos #tupuedes #move #keepongoing #beyou #bepositive #staypositive #smile #enjoy #workout</t>
  </si>
  <si>
    <t>staypositive</t>
  </si>
  <si>
    <t>pilot</t>
  </si>
  <si>
    <t>bepositive</t>
  </si>
  <si>
    <t>1579694719385178166_5705167414</t>
  </si>
  <si>
    <t>Thwoback to Toronto, Kobe's last all star game #Dubnation
-
-
-
-
-
-
-
-
-
-
-
-
-
-
-
-
-
-
-
-
-
-
-
-
-
-
-
-
-
-
-
-
-
-
-
-
-
-
-
-
 #StephGonnaSteph #Mvp #SC30 #KT11 #DG23 #CURRYMVP #KEEPONGOING #NEVERGIVEUP #WCF #WEST #WESTERNCONFERENCEFINALS #CHAMPS #DUBSFORCHAMPS #DUBS #ALWAYSBELIEVEINGOD #STEPHENCURRY #EVEN #NBA #2016CHAMPS #CHAMPIONS #LOCKIN #STEPH #SPLASH #SPLASHBROS  #like4like #like4follow #follow4follow</t>
  </si>
  <si>
    <t>champions</t>
  </si>
  <si>
    <t>wcf</t>
  </si>
  <si>
    <t>2016champs</t>
  </si>
  <si>
    <t>1579697161854118156_2053552003</t>
  </si>
  <si>
    <t>Big boss and mini-me 😍 Gladiature (aka Tuurke) did his very best today! And look at that smile of my groom 😄
.
.
.
.
.
#dressagerider #dressage #dressagehorse #training #kwpn #knhs #happyrider #happyathelete #competitor #proud #keepongoing #rainyday #rain #indoor #fun #mindset</t>
  </si>
  <si>
    <t>Breugelhoeve</t>
  </si>
  <si>
    <t>competitor</t>
  </si>
  <si>
    <t>indoor</t>
  </si>
  <si>
    <t>happyathelete</t>
  </si>
  <si>
    <t>signestorebryting</t>
  </si>
  <si>
    <t>1579699192241417974_1245926910</t>
  </si>
  <si>
    <t>Enjoying the UWW training camp here in Kourtane with all these talented wrestlers preparering for Paris!😄💪🏻 I may not compete at the worlds this year but I can still train as if I where going!😎👊🏻💥 #uww #worldchampionchip #bktana #danskebank #wrestling #keepongoing #hustle</t>
  </si>
  <si>
    <t>Kuortane Olympic Training Center</t>
  </si>
  <si>
    <t>bktana</t>
  </si>
  <si>
    <t>worldchampionchip</t>
  </si>
  <si>
    <t>uww</t>
  </si>
  <si>
    <t>danskebank</t>
  </si>
  <si>
    <t>rba.thecirclegranchcollection</t>
  </si>
  <si>
    <t>1579702693496497848_2076325840</t>
  </si>
  <si>
    <t>One day at a time #abrahamhicks #findingmyvibrationalinspiration #conciousnessofmybeing #watchingtheresultsofmyvibrationalenviornment #findingmeagain #keepongoing #staybusyorstayasleep #tomeandthrume #geterdone #misstheranch #rustybrownamericana #circlegranch #projektionsonnature</t>
  </si>
  <si>
    <t>Huntington Central Park</t>
  </si>
  <si>
    <t>misstheranch</t>
  </si>
  <si>
    <t>rustybrownamericana</t>
  </si>
  <si>
    <t>geterdone</t>
  </si>
  <si>
    <t>watchingtheresultsofmyvibrationalenviornment</t>
  </si>
  <si>
    <t>conciousnessofmybeing</t>
  </si>
  <si>
    <t>ayana.levi</t>
  </si>
  <si>
    <t>1579704258826402894_2142843175</t>
  </si>
  <si>
    <t>הינה טעימה של התרגילים שברק עושה באימון שגרתי. בסוף הסרטון זו לא פרסומת של ההרכב "לוסיל קרו" (למרות שאני ממליצה בחום) אלא תמונה של ברק לפני השינוי התזונתי והאימונים. השראה... #bodytransformation #persistence #workoutforlife</t>
  </si>
  <si>
    <t>GYM NAIM ג'ים נעים</t>
  </si>
  <si>
    <t>motivationfitness</t>
  </si>
  <si>
    <t>persistence</t>
  </si>
  <si>
    <t>fit4life</t>
  </si>
  <si>
    <t>crappiehippie</t>
  </si>
  <si>
    <t>1579715110834132965_1533197511</t>
  </si>
  <si>
    <t>Busy bee? What about beetles? What about me?  Working on a big project all weekend, just trundling along best I can. #glasswaterleadfreelures #beetle #bug #natureisneat #natureisbeautiful #outdoorlife #allcreaturesgreatandsmall #worldofwonder #wonderfulworld #lookandsee #idratherbefishing #godsown #insectsarecool #beetlebug #keepongoing #keeppushing #smallcreatures #motherearth #everythinghasareason #unseenworld</t>
  </si>
  <si>
    <t>lookandsee</t>
  </si>
  <si>
    <t>everythinghasareason</t>
  </si>
  <si>
    <t>natureisneat</t>
  </si>
  <si>
    <t>allcreaturesgreatandsmall</t>
  </si>
  <si>
    <t>bug</t>
  </si>
  <si>
    <t>angela_ponse_fit</t>
  </si>
  <si>
    <t>1579716339538746771_429036895</t>
  </si>
  <si>
    <t>SATURDAY..... LEGDAY!! 💪🍑 #brunette #fitnessaddict #fitnesschick #girlwholifts #girlpower #bootygrow #gohardorgohome #healthylifestyle #girlonamission #weightlifting #fitfam #fitdutchie #bodyandmind #edrecovery #beastmode #hardwork #keepongoing</t>
  </si>
  <si>
    <t>Hudson</t>
  </si>
  <si>
    <t>bodyandmind</t>
  </si>
  <si>
    <t>girlwholifts</t>
  </si>
  <si>
    <t>girlpower</t>
  </si>
  <si>
    <t>beastmode</t>
  </si>
  <si>
    <t>girlonamission</t>
  </si>
  <si>
    <t>venko_pendev</t>
  </si>
  <si>
    <t>1579737124159618657_272757709</t>
  </si>
  <si>
    <t>✌🏻
.
.
.
.
#summer #poolparty #pool #keepgoing #keepon #keepongoing</t>
  </si>
  <si>
    <t>pool</t>
  </si>
  <si>
    <t>poolparty</t>
  </si>
  <si>
    <t>1579737258234278118_279512262</t>
  </si>
  <si>
    <t>🤤 пудрово-кофейный дзен
Пробую эспрессо, калиту, холодную калиту. В общем, разгулялась)
Да ладно, я же только раза кофе пила сегодня!
.
#livethedream #livealittle #liveauthentic #authentic #abmlife #abmhappylife #abmlifeissweet #abmcolorcontest #picoftheday #keepcalm #keeponwalking #keepongoing #lifeex #coffee #citylife #coffeecup #coffeetime #coffeeplace #coffeeaddict #vsco #vibes #vscocam</t>
  </si>
  <si>
    <t>Делюсь Душой</t>
  </si>
  <si>
    <t>coffeecup</t>
  </si>
  <si>
    <t>abmcolorcontest</t>
  </si>
  <si>
    <t>coffeetime</t>
  </si>
  <si>
    <t>liveauthentic</t>
  </si>
  <si>
    <t>junior_limacoach</t>
  </si>
  <si>
    <t>1579745373358348026_205091878</t>
  </si>
  <si>
    <t>How about that? Try to hit your muscles in different angles not forgetting the form. Keep your chest up, brace your core and squeeze your back on the way down and slower controlling the way up 👌🏼💪🏽#backworkout #3sixty5personaltraining #bestprivatestudio#saturdayvibes #keepongoing</t>
  </si>
  <si>
    <t>3SIXTY5 Personal Training Valkenburgerstraat</t>
  </si>
  <si>
    <t>backworkout</t>
  </si>
  <si>
    <t>bestprivatestudio</t>
  </si>
  <si>
    <t>saturdayvibes</t>
  </si>
  <si>
    <t>3sixty5personaltraining</t>
  </si>
  <si>
    <t>quinn.tessentialgeek</t>
  </si>
  <si>
    <t>1579752127763344481_3605593880</t>
  </si>
  <si>
    <t>I have "Superhero Corgi" by Ian and Em stuck in my head. If you've never heard it, you need to listen. Stop what your doing, go listen to it. 
P.S. Corgis are the best and the floofest of doggos. That is an objective truth and anyone who says anything else is a liar.
.
.
.
.
.
#corgi #corgisofinstagram #corgis #superhero #superherocorgi #doggo #doggos #digitalart #dailyart #dailydog  #artistsoninstagram #art #doodlesofinstagram #doodles #drawingart #drawingaday #illustration #30daychallenge #keepongoing #winning #struggleisreal</t>
  </si>
  <si>
    <t>dailydog</t>
  </si>
  <si>
    <t>doodlesofinstagram</t>
  </si>
  <si>
    <t>drawingart</t>
  </si>
  <si>
    <t>illustration</t>
  </si>
  <si>
    <t>thomaspae</t>
  </si>
  <si>
    <t>1579755858957756078_1475443178</t>
  </si>
  <si>
    <t>Had a great time in Nusa Lembongan, now back in Canggu let's rock the last month before going back to the mountains in Austria. . .🌴
.🌊
.🌴
#bali #canggu #nusalembongan #islandlife #palm #beach #ocean #sunnyday #travel #wanderlust #keepongoing #onemonthleft #holiday #summerofmylife #2017 #picoftheday #dontwannagohome #paradise #dream #eatsleepsurf #indonesia</t>
  </si>
  <si>
    <t>Canggu</t>
  </si>
  <si>
    <t>onemonthleft</t>
  </si>
  <si>
    <t>travel</t>
  </si>
  <si>
    <t>dream</t>
  </si>
  <si>
    <t>ocean</t>
  </si>
  <si>
    <t>indonesia</t>
  </si>
  <si>
    <t>alfredobarroco</t>
  </si>
  <si>
    <t>1579760517210385977_1090353359</t>
  </si>
  <si>
    <t>#caminodesantiago #caminoingles #camino #galicia #ferrol #neda #theonlyway #keepongoing 😊</t>
  </si>
  <si>
    <t>Neda, Galicia</t>
  </si>
  <si>
    <t>neda</t>
  </si>
  <si>
    <t>caminodesantiago</t>
  </si>
  <si>
    <t>galicia</t>
  </si>
  <si>
    <t>ferrol</t>
  </si>
  <si>
    <t>theonlyway</t>
  </si>
  <si>
    <t>sulilayfitdiversity</t>
  </si>
  <si>
    <t>1579769199428104413_231344179</t>
  </si>
  <si>
    <t>The entrepeneur mindset= No matter the struggles,failures,or dissapointments, he always get up and  keeps on going. That's the only attitude to get you further, just remember no matter what, you have the only power to make things happen. So Make It Big! 10x baby!! #bae #entrepreneur #mindset #nolookback #keepongoing #justdoit #beit #entrepreneurminds #attitude #goals❤️ #model #quotes #hustler #hustleharder #thinkbig #dobig #levelup #gobeyond #domore #selfconfidenceiskey #</t>
  </si>
  <si>
    <t>entrepreneur</t>
  </si>
  <si>
    <t>thinkbig</t>
  </si>
  <si>
    <t>dobig</t>
  </si>
  <si>
    <t>domore</t>
  </si>
  <si>
    <t>hustler</t>
  </si>
  <si>
    <t>1579769971272105652_5801959162</t>
  </si>
  <si>
    <t>💎 YES AND YES AND YES!🔥 Do you agree? 😃 Comment below and tag a friend that should see this! ✏️👯 Thank you @shaazjungphotography for an amazing picture 😘</t>
  </si>
  <si>
    <t>elbyh88</t>
  </si>
  <si>
    <t>1579775415589169800_25547887</t>
  </si>
  <si>
    <t>Here's the moment I managed to finally deadlift my body weight the other day. 😊
Small achievements and all that.
Pretty impressed to say I couldn't lift the bar 6 weeks ago.
-----
Photos, Training + Spartan Shirt 👉🏻 @damien_the_spartan__hird -----
#fitness #fitnessgoals #gettingstronger #gettingstrong #strength #strengthtraining #deadlift #deadlifting #training #keepongoing #thespartansarmy #gymlife #girlswithtattoos #girlswithtats #tattoos</t>
  </si>
  <si>
    <t>fitnessgoals</t>
  </si>
  <si>
    <t>thespartansarmy</t>
  </si>
  <si>
    <t>strengthtraining</t>
  </si>
  <si>
    <t>deadlifting</t>
  </si>
  <si>
    <t>1579775765579205355_5586814877</t>
  </si>
  <si>
    <t>Home made lentil soup 👌🏻💖 #fooddiary #slimmingworld #sw #slimmingworldfood #slimmingworldjourney #health #happiness #selfimprovement #bethebestyou #keepongoing #nomorestartingover</t>
  </si>
  <si>
    <t>slimmingworld</t>
  </si>
  <si>
    <t>slimmingworldjourney</t>
  </si>
  <si>
    <t>nomorestartingover</t>
  </si>
  <si>
    <t>andimaiz</t>
  </si>
  <si>
    <t>1579778633299174067_527074791</t>
  </si>
  <si>
    <t>After this run 🏃🏻 I feel ready to take on the Great North Run GNR2017. Running 🏃🏻 for Macmillan Cancer Support. If you would like to sponsor me please visit my Just Giving Page at justgiving.com (see next photo) Thank you 😊 #greatnorthrun2017 #runningforcharity2017 #runningformacmillan #runningforcancer #keepongoing #keeptraining</t>
  </si>
  <si>
    <t>East Retford</t>
  </si>
  <si>
    <t>greatnorthrun2017</t>
  </si>
  <si>
    <t>runningforcharity2017</t>
  </si>
  <si>
    <t>runningforcancer</t>
  </si>
  <si>
    <t>keeptraining</t>
  </si>
  <si>
    <t>anna_anna1905</t>
  </si>
  <si>
    <t>1579784853670782308_428979632</t>
  </si>
  <si>
    <t>#gym #weights #gymlover #girls #healthylifestyle #feelingmyself ##strongwomen #keepongoing #lifelonggoals</t>
  </si>
  <si>
    <t>gym</t>
  </si>
  <si>
    <t>weights</t>
  </si>
  <si>
    <t>lifelonggoals</t>
  </si>
  <si>
    <t>gymlover</t>
  </si>
  <si>
    <t>feelingmyself</t>
  </si>
  <si>
    <t>mybizzykitchen</t>
  </si>
  <si>
    <t>1579790106055033575_51705178</t>
  </si>
  <si>
    <t>I was not expecting a gain this week.  I did not resort to wine and deep dish pizza after my phone got stolen, or eat a crappy lunch when I thought I lost that new phone.  I walked nearly 95,000 steps Monday through Friday, went to the gym four nights this week, and tracked everything - even my 45 point day last Saturday, but didn't use all my weeklies.
I also had the best step day ever yesterday- over 27k steps! 
Which makes me think it has to be all muscle 💪🏻😆🤗 It's all good - I know that what I did the last 7 days isn't going to show up on the scale the day of Weigh In. 
#weightwatchers #goaldigger #keepongoing #beyondthescale #fitbit</t>
  </si>
  <si>
    <t>fitbit</t>
  </si>
  <si>
    <t>weightwatchers</t>
  </si>
  <si>
    <t>beyondthescale</t>
  </si>
  <si>
    <t>prestoknowsbest</t>
  </si>
  <si>
    <t>1579796325644471413_1972606430</t>
  </si>
  <si>
    <t>Tag them below! | #prestoknowsbest
-
-
#liveandlearn #dontsettle #mindsetshift #dropout #content #quotesoflife #fireyourboss #empowernetwork #onlinesuccess #personalgrowth #motivateyourself #betteryourself #keepongoing #mindsetiseverything #inspiredaily #valueyourself #valuelife #entrepreneurmind #newmindset #goalachiever</t>
  </si>
  <si>
    <t>onlinesuccess</t>
  </si>
  <si>
    <t>fireyourboss</t>
  </si>
  <si>
    <t>liveandlearn</t>
  </si>
  <si>
    <t>dropout</t>
  </si>
  <si>
    <t>inspiredaily</t>
  </si>
  <si>
    <t>paigefellforyou</t>
  </si>
  <si>
    <t>1579800959083648901_362367630</t>
  </si>
  <si>
    <t>#selfiefromtheotherday #nevergiveup #followyourpassion #followyourdreams #keepongoing #ignorethehaters #bedopeasfuck #beautyguru #futuremakeupartist #yourlifeiswhatyoumakeit #putyourselfoutthere #follow #followme</t>
  </si>
  <si>
    <t>selfiefromtheotherday</t>
  </si>
  <si>
    <t>bedopeasfuck</t>
  </si>
  <si>
    <t>futuremakeupartist</t>
  </si>
  <si>
    <t>michealhealy30</t>
  </si>
  <si>
    <t>1579804123325433913_1708136728</t>
  </si>
  <si>
    <t>Alex helping me across the finishing line 🙌🎆🎇😁😀#halfmarathon #eastcorkharbourmarathon #lovetorun #lovinglife #keepongoing #keepfit #goodliving</t>
  </si>
  <si>
    <t>eastcorkharbourmarathon</t>
  </si>
  <si>
    <t>lovetorun</t>
  </si>
  <si>
    <t>keepfit</t>
  </si>
  <si>
    <t>1579806446317336758_23925123</t>
  </si>
  <si>
    <t>需要一些動力讓自己堅持下去
-
沒什麼
姊就是想吃 吃 吃 吃 😂😂😂
但還是要努力讓頑固的脂肪量下降
-
Fighting 💪💪💪
➖➖➖➖➖➖➖➖➖➖➖
#台中 #朝馬國民運動中心 #運動女孩 #吃貨 #我的動力 #taichung #runninggirl #weighttraining #fighting #keepongoing #power #shuyachan #like4like</t>
  </si>
  <si>
    <t>臺中市朝馬國民運動中心</t>
  </si>
  <si>
    <t>taichung</t>
  </si>
  <si>
    <t>weighttraining</t>
  </si>
  <si>
    <t>stephaniejasen</t>
  </si>
  <si>
    <t>1579813937233656006_3812154722</t>
  </si>
  <si>
    <t>Three weeks into working out again. Feeling good and starting to notice a little change. #fitbit #keepongoing</t>
  </si>
  <si>
    <t>ocr_ken</t>
  </si>
  <si>
    <t>1579816797354476759_5826811374</t>
  </si>
  <si>
    <t>Where you run can really help motivate you, nothing like a nice stretch by the lake before this mornings run #running #neverquit #keepongoing #morningrun #lakeview #basslake</t>
  </si>
  <si>
    <t>Bass Lake, California</t>
  </si>
  <si>
    <t>lakeview</t>
  </si>
  <si>
    <t>neverquit</t>
  </si>
  <si>
    <t>basslake</t>
  </si>
  <si>
    <t>han_carnage</t>
  </si>
  <si>
    <t>1579830946881172581_319796423</t>
  </si>
  <si>
    <t>Ill make sure I get it right next time. #notgoingtogiveup #IcanDoThis #bmx #DaddyBMX #33yearsold #bodypainallover #TooOLDforThis #KeepOnGoing</t>
  </si>
  <si>
    <t>Extreme Skate Park East Cost</t>
  </si>
  <si>
    <t>daddybmx</t>
  </si>
  <si>
    <t>notgoingtogiveup</t>
  </si>
  <si>
    <t>toooldforthis</t>
  </si>
  <si>
    <t>bodypainallover</t>
  </si>
  <si>
    <t>icandothis</t>
  </si>
  <si>
    <t>2_iron_rock_6</t>
  </si>
  <si>
    <t>1579831153509163178_2078306892</t>
  </si>
  <si>
    <t>Todays activitiy level more than 100% ☺💪💪💪 wish all sportsladies and sportman a nice weekend!!! #mission #completed #Motivation #rainyday #noproblem #forme #dontgiveup #stayfocused #keepongoing #instarunner #instagood #sports #aroundtheworld #readyfor #drink</t>
  </si>
  <si>
    <t>completed</t>
  </si>
  <si>
    <t>instarunner</t>
  </si>
  <si>
    <t>stayfocused</t>
  </si>
  <si>
    <t>drink</t>
  </si>
  <si>
    <t>on.ellys.wings</t>
  </si>
  <si>
    <t>1579831487501933915_5782481266</t>
  </si>
  <si>
    <t>This is the part where you find out who you are ! 🌅🏕🌱 #keepongoing #keepongrowing</t>
  </si>
  <si>
    <t>Baskinta, Lebanon</t>
  </si>
  <si>
    <t>keepongrowing</t>
  </si>
  <si>
    <t>phoebe1588</t>
  </si>
  <si>
    <t>1579832776134566299_19869447</t>
  </si>
  <si>
    <t>吃大餐～壓力也太大了。
酒精濃度不夠高？那豬🐷沙包好可愛！
我翻牆成功了，但Line不能用。
Treating ourselves to a huge meal after a long day! Life...
#keepongoing #biztrip #timetofly #pigout #yum #piggybun #whathappensatwork #chinesecuisine #China #changzhou</t>
  </si>
  <si>
    <t>Valencia</t>
  </si>
  <si>
    <t>Changzhou</t>
  </si>
  <si>
    <t>timetofly</t>
  </si>
  <si>
    <t>piggybun</t>
  </si>
  <si>
    <t>changzhou</t>
  </si>
  <si>
    <t>whathappensatwork</t>
  </si>
  <si>
    <t>yum</t>
  </si>
  <si>
    <t>kiki.likes.it</t>
  </si>
  <si>
    <t>1579835502759990744_1733611600</t>
  </si>
  <si>
    <t>Just finished my workout, down a couple more pounds, my abs must be in there somewhere! #pumpedup #bodytek #vegan #hairychest #musclebear #scruffyhomo #morningthirst #keepongoing #bodytransformation</t>
  </si>
  <si>
    <t>Reyes</t>
  </si>
  <si>
    <t>Edgewater (Miami)</t>
  </si>
  <si>
    <t>morningthirst</t>
  </si>
  <si>
    <t>bodytek</t>
  </si>
  <si>
    <t>pumpedup</t>
  </si>
  <si>
    <t>scruffyhomo</t>
  </si>
  <si>
    <t>anja_from_alemania</t>
  </si>
  <si>
    <t>1579836065208114230_4546944102</t>
  </si>
  <si>
    <t>#languageadvice of the day: #keepongoing !
#learninglanguages  is like #climbing up a #mountain. The way up can be super hard, but once you're on top, it's definitely #worthit</t>
  </si>
  <si>
    <t>languageadvice</t>
  </si>
  <si>
    <t>learninglanguages</t>
  </si>
  <si>
    <t>climbing</t>
  </si>
  <si>
    <t>worthit</t>
  </si>
  <si>
    <t>mountain</t>
  </si>
  <si>
    <t>ashleighfisher1578</t>
  </si>
  <si>
    <t>1579842545038816286_5398736501</t>
  </si>
  <si>
    <t>#truewords #hardtimes #takingonedayasitcomes #keepongoing</t>
  </si>
  <si>
    <t>Portaferry</t>
  </si>
  <si>
    <t>truewords</t>
  </si>
  <si>
    <t>hardtimes</t>
  </si>
  <si>
    <t>takingonedayasitcomes</t>
  </si>
  <si>
    <t>annie_rose_cole</t>
  </si>
  <si>
    <t>1579850458206097184_1721533875</t>
  </si>
  <si>
    <t>"Haters gonna hate patatas gonna patate" - @colleen #keepongoing #dontletemfoolya</t>
  </si>
  <si>
    <t>dontletemfoolya</t>
  </si>
  <si>
    <t>kaitlyndzn</t>
  </si>
  <si>
    <t>1579854184458274489_2246113073</t>
  </si>
  <si>
    <t>Well worst dressage score to date by a long shot, but oh well...I guess we live and learn. Still feeling crummy and now more crummy but going to at least give jumping a go. I'll decide in warm up what it is we will do #ohwell #keepongoing</t>
  </si>
  <si>
    <t>ohwell</t>
  </si>
  <si>
    <t>1579854714911122544_5801959162</t>
  </si>
  <si>
    <t>🦁Great and IMPORTANT message! Do you agree? 🌟😍Comment below and tag a friend that should see this! ✏️👯 Thank you @goal.cast for an amazing post! 💎</t>
  </si>
  <si>
    <t>adventure.gram</t>
  </si>
  <si>
    <t>1579856017428548671_2164592786</t>
  </si>
  <si>
    <t>Follow @adventure.gram for top travel content. Tag someone you love 😍👇 Photo by @nois7
.
.
.
.
.
.
.
.
#jj_forum #travelnow #condenasttraveler #crystalclearwaters #goodkarma #bestbeach #travelstory #keeptraveling #lifeislife #picoftheday #keepongoing #travelblogger #oceanbreeze #livethelife #thailandtravel #adventurepic #sunsetting #paradisegarage #creativeentrepreneur #outdoors #travelfamily #adventurers #travelmagazin #keeppraying #paradiseofpetals</t>
  </si>
  <si>
    <t>travelstory</t>
  </si>
  <si>
    <t>travelmagazin</t>
  </si>
  <si>
    <t>keeppraying</t>
  </si>
  <si>
    <t>goodkarma</t>
  </si>
  <si>
    <t>oceanbreeze</t>
  </si>
  <si>
    <t>motivation_fitness_inspiration</t>
  </si>
  <si>
    <t>1579857258043529850_5858348950</t>
  </si>
  <si>
    <t>Quote of the day! 👌#keepongoing #youcandothis #getfit #goalsetting #trainharder</t>
  </si>
  <si>
    <t>trainharder</t>
  </si>
  <si>
    <t>getfit</t>
  </si>
  <si>
    <t>youcandothis</t>
  </si>
  <si>
    <t>goalsetting</t>
  </si>
  <si>
    <t>merli_sansan</t>
  </si>
  <si>
    <t>1579860783483071317_465387013</t>
  </si>
  <si>
    <t>"When the sweetest things in life come in small bites" - @mizeru 🇯🇵
// #topshot of Madeleine, Purin, Donut, Busse, Castella made by @mizeru.
-
To the insane 'japanese' couple @effy_mii &amp; @andrewsurya: thank you for these beautiful creations. You two are one of those rare who immensely dedicated in developing and perfecting every of your Japanese-inspired cake/pastry/bread creation in Surabaya 🌸 
#keepongoing #keeprockingSurabaya 👌🏻
#mizeru #japaneseinspired #platinumgrill #summertea</t>
  </si>
  <si>
    <t>Platinum Grill</t>
  </si>
  <si>
    <t>platinumgrill</t>
  </si>
  <si>
    <t>japaneseinspired</t>
  </si>
  <si>
    <t>mizeru</t>
  </si>
  <si>
    <t>summertea</t>
  </si>
  <si>
    <t>beginagainyogi</t>
  </si>
  <si>
    <t>1579865067654344513_338586907</t>
  </si>
  <si>
    <t>Workout even when you don't feel like it &amp; then it becomes a habit 💚 my pain has decreased a bit. I've been doing low impact cardio workouts, building my core &amp; doing yoga infused streching for back related pain. ✅💪🚶
#keepongoing #workoutmotivation #backpain #lowimpact #yogastretch #yogisofinstagram #aerobics #youtubeworkouts #corestrength #beyourownmotivation #challengeaccepted</t>
  </si>
  <si>
    <t>yogastretch</t>
  </si>
  <si>
    <t>beyourownmotivation</t>
  </si>
  <si>
    <t>workoutmotivation</t>
  </si>
  <si>
    <t>challengeaccepted</t>
  </si>
  <si>
    <t>yogisofinstagram</t>
  </si>
  <si>
    <t>1579865662044563944_5705167414</t>
  </si>
  <si>
    <t>#9 -  Giannis Antetokounmpo, Giannis hit the season like never before, he has shown us he can play in any position, at the PG spot he can pass with his vision and use his height to take advantage of his matchup on offense and defense, at the SG spot he can attack the basket anytime he wants and score from it, at the SF he can annoy his matchup with his smothering defense and long arms, at the PF spot he can rebound and score from the pick and roll, and at the C spot he can use his quickness to get past his match up, this season alone he averaged 22.9 ppg, 8.8 rpg, 5.4 apg, 1.9 bpg, and 1.6 spg, these stats are already all star stats, knowing this is just his 4th year of playing in the NBA is ridicuolus and by the way he won MIP and made it into the All NBA second team so he's pretty good huh #Dubnation
-
-
-
-
-
-
-
-
-
-
-
-
-
-
-
-
-
-
-
-
-
-
-
-
-
-
-
-
-
-
-
-
-
-
-
-
-
-
-
-
 #StephGonnaSteph #Mvp #SC30 #KT11 #DG23 #CURRYMVP #KEEPONGOING #NEVERGIVEUP #WCF #WEST #WESTERNCONFERENCEFINALS #CHAMPS #DUBSFORCHAMPS #DUBS #ALWAYSBELIEVEINGOD #STEPHENCURRY #EVEN #NBA #2016CHAMPS #CHAMPIONS #LOCKIN #STEPH #SPLASH #SPLASHBROS  #like4like #like4follow #follow4follow</t>
  </si>
  <si>
    <t>west</t>
  </si>
  <si>
    <t>currymvp</t>
  </si>
  <si>
    <t>dubnation</t>
  </si>
  <si>
    <t>stephencurry</t>
  </si>
  <si>
    <t>1579868545645386537_5705167414</t>
  </si>
  <si>
    <t>👌 #Dubnation
-
-
-
-
-
-
-
-
-
-
-
-
-
-
-
-
-
-
-
-
-
-
-
-
-
-
-
-
-
-
-
-
-
-
-
-
-
-
-
-
 #StephGonnaSteph #Mvp #SC30 #KT11 #DG23 #CURRYMVP #KEEPONGOING #NEVERGIVEUP #WCF #WEST #WESTERNCONFERENCEFINALS #CHAMPS #DUBSFORCHAMPS #DUBS #ALWAYSBELIEVEINGOD #STEPHENCURRY #EVEN #NBA #2016CHAMPS #CHAMPIONS #LOCKIN #STEPH #SPLASH #SPLASHBROS  #like4like #like4follow #follow4follow</t>
  </si>
  <si>
    <t>sebastianeli87</t>
  </si>
  <si>
    <t>1579876836795825343_244228468</t>
  </si>
  <si>
    <t>🌟Follow my other account to get daily motivation: @motivationbyeli 🔥</t>
  </si>
  <si>
    <t>makingprogress</t>
  </si>
  <si>
    <t>stayonyourgrind</t>
  </si>
  <si>
    <t>goodquotes</t>
  </si>
  <si>
    <t>greatnessawaits</t>
  </si>
  <si>
    <t>mrspoetorres</t>
  </si>
  <si>
    <t>1579878382705894677_4624272364</t>
  </si>
  <si>
    <t>mytrueyo</t>
  </si>
  <si>
    <t>1579879157486990127_5543890015</t>
  </si>
  <si>
    <t>Zumba "without arms" is pretty challenging! #deltoidinjury #noarms #keepongoing #justdoit #activerecovery</t>
  </si>
  <si>
    <t>Guadalupe Regional Wellness Center</t>
  </si>
  <si>
    <t>activerecovery</t>
  </si>
  <si>
    <t>noarms</t>
  </si>
  <si>
    <t>deltoidinjury</t>
  </si>
  <si>
    <t>xdanielleeexx</t>
  </si>
  <si>
    <t>1579883859040980250_263886655</t>
  </si>
  <si>
    <t>🙊Something like that, this is me, always.. #rumag #quote #oops #foutje #altijd #byeworld #aghja #keepongoing #keepsmiling #whoopwhoop</t>
  </si>
  <si>
    <t>oops</t>
  </si>
  <si>
    <t>foutje</t>
  </si>
  <si>
    <t>altijd</t>
  </si>
  <si>
    <t>keepsmiling</t>
  </si>
  <si>
    <t>1579886862960236686_15887082</t>
  </si>
  <si>
    <t>1 day 🏁
Alt er tjekket ind og klar til i morgen. Jeg håber på at solen kommer og varme min cykel op! Måske endda også gøre vandet en smule varmere 😎🤞🏼
#ironman #upcoming #mulitisport #tri365 #lovemylife #fitness #ironmanbarcelona2017 #outofcomfortzone #trilabdk #triathlon #triatlete #invisibleguns #worldoffusion #ironmanhamburg2017 #keepongoing #purepowerdk #smileplease #swimbikerun</t>
  </si>
  <si>
    <t>triathlon</t>
  </si>
  <si>
    <t>swimbikerun</t>
  </si>
  <si>
    <t>trilabdk</t>
  </si>
  <si>
    <t>invisibleguns</t>
  </si>
  <si>
    <t>lovemylife</t>
  </si>
  <si>
    <t>cyrildjemaoun</t>
  </si>
  <si>
    <t>1579892988448290683_1814042389</t>
  </si>
  <si>
    <t>#personalwork #typography @type.gang @thedailytype @typeverything @typeverything @50wordsongrey @graphicroozane @graphicdesigncentral @agigraphic #graphicdesign #pattern #hommage #fanart #band #groupe #mewithoutyou #alternativerock #rock #posthardcore #posthxc #hxc #progressivepunk #blue #pink #bleu #rose #blau #rosa #ironyisnotadeadscene #nottheendoftheworld #keepongoing #vivementlasuite @mewithoutYou @bsmrocks @runforcover I discovered this fantastic band yesterday thanks to @pianosband and just started to make sketches... I wanted to try something new, other kinds of fonts... Here is the link to their wonderful music: https://mewithoutyou.bandcamp.com/</t>
  </si>
  <si>
    <t>hxc</t>
  </si>
  <si>
    <t>posthxc</t>
  </si>
  <si>
    <t>progressivepunk</t>
  </si>
  <si>
    <t>blue</t>
  </si>
  <si>
    <t>tcatwoman</t>
  </si>
  <si>
    <t>1579901487953077492_31877816</t>
  </si>
  <si>
    <t>«Ты вернёшься? – спросил Хозяин Виселиц. – Меня там ничего не ждёт, – ответил Тень и, уже произнося эти слова, понял, что это неправда.
– Тебя там многое ждёт, – сказал старик. – Но всё подождёт, пока ты не вернёшься» (с) "Все всегда уезжают навсегда. Назад возвращается кто-то другой..."(с) Макс Фрай 
Амигос! Не просрите Москву без меня! 🤘Я скоро вернусь... =)) Don't f*ck up Moscow while I'm missing, amigos! I'll be back!(c) 
#явернусь #мысливслух #кактотак #лето #дорогавлето #настроение #я #небо #всевсегдауезжаютнавсегда #попути #анапоследокяскажу #мненужнатвояодеждаимотоцикл #feelinginside #me #mood #summertimeandthelivingiseasy #evergreenisgolder #everlastingsummer #keepongoing #imonmyway #roadtosummer #skyporn #catwoman #illbeback</t>
  </si>
  <si>
    <t>явернусь</t>
  </si>
  <si>
    <t>imonmyway</t>
  </si>
  <si>
    <t>me</t>
  </si>
  <si>
    <t>evergreenisgolder</t>
  </si>
  <si>
    <t>catwoman</t>
  </si>
  <si>
    <t>amkronemann</t>
  </si>
  <si>
    <t>1579904756801119307_53057217</t>
  </si>
  <si>
    <t>Love yourself even if you know there are parts you don't love. Learn to accept the flaws and push on with the goals you give yourself. Never let a set back define who you are, push the past behind you and live for the future. Set some time alone to yourself and regain focus. Lately I have felt defeated with my goals because I put them aside to help my husband achieve a few things he wanted to get done. But soon it'll be my turn❤️ That's what you do for the people you love. 
#loveyourself #nevergiveup #keepongoing #pushyourself #formyfamily</t>
  </si>
  <si>
    <t>loveyourself</t>
  </si>
  <si>
    <t>formyfamily</t>
  </si>
  <si>
    <t>pushyourself</t>
  </si>
  <si>
    <t>valleycruisepress</t>
  </si>
  <si>
    <t>1579909290096197134_1010411284</t>
  </si>
  <si>
    <t>Keep on keeping on!</t>
  </si>
  <si>
    <t>flair</t>
  </si>
  <si>
    <t>patchgamestrong</t>
  </si>
  <si>
    <t>patch</t>
  </si>
  <si>
    <t>patches</t>
  </si>
  <si>
    <t>buzzyb34</t>
  </si>
  <si>
    <t>1579909359335680620_52700733</t>
  </si>
  <si>
    <t>https://youtu.be/oFuIJfZwZ-M
Qualy-keep on going 
#bigship #goodway #usa #miami #stmartin #sbn #mtp #mtl #london #boston #westindies #hiphop #france #paris #rap #beatmaker #artist #prod #maker #carelanael #qualy #buzzyb #clip #keepongoing</t>
  </si>
  <si>
    <t>carelanael</t>
  </si>
  <si>
    <t>paris</t>
  </si>
  <si>
    <t>prod</t>
  </si>
  <si>
    <t>hiphop</t>
  </si>
  <si>
    <t>justindel22</t>
  </si>
  <si>
    <t>1579909791777961151_1279587735</t>
  </si>
  <si>
    <t>Update😁 Yeah buddy💪👍👊 #shoulders #traps #neverquit #keepongoing</t>
  </si>
  <si>
    <t>Wervik, Belgium</t>
  </si>
  <si>
    <t>shoulders</t>
  </si>
  <si>
    <t>traps</t>
  </si>
  <si>
    <t>bianka.rosa</t>
  </si>
  <si>
    <t>1579920820514775167_778631274</t>
  </si>
  <si>
    <t>Send me some good vibes y' all. I need this ♫💜🎬 thanks 😘 #prayforasista #singing #acting #actor #singer #montreal #canada #follow #auditions #notherday #dayinthelife #keepongoing</t>
  </si>
  <si>
    <t>dayinthelife</t>
  </si>
  <si>
    <t>canada</t>
  </si>
  <si>
    <t>auditions</t>
  </si>
  <si>
    <t>notherday</t>
  </si>
  <si>
    <t>prayforasista</t>
  </si>
  <si>
    <t>telespallanando</t>
  </si>
  <si>
    <t>1579922470362122476_283803088</t>
  </si>
  <si>
    <t>#whatsbetter #sangria🍷 #swimmingpool #sun #madrid #keepongoing</t>
  </si>
  <si>
    <t>Madrid, Spain</t>
  </si>
  <si>
    <t>swimmingpool</t>
  </si>
  <si>
    <t>whatsbetter</t>
  </si>
  <si>
    <t>sangria🍷</t>
  </si>
  <si>
    <t>sun</t>
  </si>
  <si>
    <t>ms._a37</t>
  </si>
  <si>
    <t>1579935058498703204_207903991</t>
  </si>
  <si>
    <t>➕these three easy steps are truly amazing! I've been up since 6 am ☀️getting things done! Normally I would need a nap 😴 by now! #keepongoing #nocoffeetoday #nocoffee #howyoudoin #howyouduoing #mentalclarity #focus  #nonapneeded #nonapforme #selfie #selfiesaturday #instafilter #duo #dancingthroughlife #whatdoesntkillyoumakesyoustronger #keepsmegoing #thriving</t>
  </si>
  <si>
    <t>FrenchQuarter NewOrleans</t>
  </si>
  <si>
    <t>thriving</t>
  </si>
  <si>
    <t>mentalclarity</t>
  </si>
  <si>
    <t>whatdoesntkillyoumakesyoustronger</t>
  </si>
  <si>
    <t>instafilter</t>
  </si>
  <si>
    <t>1579943227394293886_1615759923</t>
  </si>
  <si>
    <t>@talktexasoil  #speaktomeinenergy
 #tto #talktexasoil</t>
  </si>
  <si>
    <t>talktexasoil</t>
  </si>
  <si>
    <t>tto</t>
  </si>
  <si>
    <t>youvegotthis</t>
  </si>
  <si>
    <t>businessisbusiness</t>
  </si>
  <si>
    <t>oilfieldlife</t>
  </si>
  <si>
    <t>jonbree</t>
  </si>
  <si>
    <t>1579947730036371831_1654415461</t>
  </si>
  <si>
    <t>Cutting season is paying off, but still not satisfied.
A few more weeks to go.
Lets see how far we can go.
#dedicatedlifestyle #bodybuilding #feelitburn #keepongoing #mindmuscleconnection #cuttingseason</t>
  </si>
  <si>
    <t>dedicatedlifestyle</t>
  </si>
  <si>
    <t>cuttingseason</t>
  </si>
  <si>
    <t>mindmuscleconnection</t>
  </si>
  <si>
    <t>bodybuilding</t>
  </si>
  <si>
    <t>1579952457579202054_5801959162</t>
  </si>
  <si>
    <t>💎 BE PROUD OF YOURSELF!🔥 Do you agree? 😃 Comment below and tag a friend that should see this! ✏️👯 Thank you @shaazjungphotography for an amazing picture 😘</t>
  </si>
  <si>
    <t>ive_been_bitten_by_a_beatle</t>
  </si>
  <si>
    <t>1579952601896632503_5440042534</t>
  </si>
  <si>
    <t>#eyes#redlips💋#makeup#love#selflovesaturday#stayhappy#keepongoing#feelingprettytoday #cute#hmu</t>
  </si>
  <si>
    <t>eyes</t>
  </si>
  <si>
    <t>redlips💋</t>
  </si>
  <si>
    <t>cute</t>
  </si>
  <si>
    <t>selflovesaturday</t>
  </si>
  <si>
    <t>alemartore</t>
  </si>
  <si>
    <t>1579953511835472967_371629649</t>
  </si>
  <si>
    <t>Nothing can break you if you don't let it...nothing can stop you if you keep on walking....the only ones that never fail are the ones that never try....keep on moving forward...💛 #keepongoing #bestrong #loveyourself #acceptwhatyoucantchange #embracelife</t>
  </si>
  <si>
    <t>bestrong</t>
  </si>
  <si>
    <t>acceptwhatyoucantchange</t>
  </si>
  <si>
    <t>embracelife</t>
  </si>
  <si>
    <t>susannemadsen1904</t>
  </si>
  <si>
    <t>1579959766331264133_1992009524</t>
  </si>
  <si>
    <t>#keepongoing #dontletitgetyoudown</t>
  </si>
  <si>
    <t>dontletitgetyoudown</t>
  </si>
  <si>
    <t>icekarhu</t>
  </si>
  <si>
    <t>1579961412159297705_1260961771</t>
  </si>
  <si>
    <t>So she did. I've seen people coming and going in my life. Nothing is temporary. People change. Time goes by. I have learned to count on myself. In this world there is only yourself who you count on. #peoplearemean #keepongoing #killingit #independentwoman #nowordsneeded</t>
  </si>
  <si>
    <t>peoplearemean</t>
  </si>
  <si>
    <t>killingit</t>
  </si>
  <si>
    <t>nowordsneeded</t>
  </si>
  <si>
    <t>independentwoman</t>
  </si>
  <si>
    <t>dani_fallas_25</t>
  </si>
  <si>
    <t>1579967993013027850_1442783919</t>
  </si>
  <si>
    <t>"Ten coraje de vivir. Cualquiera puede morir".-RC 🤷🏽‍♂️🔜
-
-
-
-
-
#blackandwhite #photo #nature #tb #letsdothis #mountain #keepongoing</t>
  </si>
  <si>
    <t>photo</t>
  </si>
  <si>
    <t>blackandwhite</t>
  </si>
  <si>
    <t>letsdothis</t>
  </si>
  <si>
    <t>tb</t>
  </si>
  <si>
    <t>1579971061264785920_586298771</t>
  </si>
  <si>
    <t>Lots of pattern making and another abstract painting today. 
#patterns #patternmaking #creativeweekend #createeveryday #momartist #creativejourney #curvetimeforcreativy
#keepongoing #studiotime</t>
  </si>
  <si>
    <t>patternmaking</t>
  </si>
  <si>
    <t>momartist</t>
  </si>
  <si>
    <t>curvetimeforcreativy</t>
  </si>
  <si>
    <t>createeveryday</t>
  </si>
  <si>
    <t>creativeweekend</t>
  </si>
  <si>
    <t>murph_zone</t>
  </si>
  <si>
    <t>1579972187359896748_5076388077</t>
  </si>
  <si>
    <t>Study your Crickets throw them a crumb then ignore them wait for the right time and squash them like the bugs 🐜 they are ! 👌🔥#neverbackdown👊#eire#warriors#fighters#like4like#lovequotes #loveyourself#liveyourdreams #keepongoing #obsessed #nofear #nosleep#workethic #boss#leader#cashisking#savethedramaforyomama #energy#focus#inspire#likeforlike #happiness #king#murphy #murphysworld</t>
  </si>
  <si>
    <t>neverbackdown👊</t>
  </si>
  <si>
    <t>boss</t>
  </si>
  <si>
    <t>liveyourdreams</t>
  </si>
  <si>
    <t>lovequotes</t>
  </si>
  <si>
    <t>workethic</t>
  </si>
  <si>
    <t>sorafeather</t>
  </si>
  <si>
    <t>1579982064542105403_1640958077</t>
  </si>
  <si>
    <t>Berlin, Berlin! #berlinbrandenburg #dom #sightseeing #capital #city #sacral #church #holychurch #christian #Lustgarten #weekends #cityphotography #citytour #tourism #view #beautiful #keepongoing</t>
  </si>
  <si>
    <t>dom</t>
  </si>
  <si>
    <t>citytour</t>
  </si>
  <si>
    <t>holychurch</t>
  </si>
  <si>
    <t>beautiful</t>
  </si>
  <si>
    <t>tourism</t>
  </si>
  <si>
    <t>omanimals_bjj</t>
  </si>
  <si>
    <t>1579984649576040146_540765515</t>
  </si>
  <si>
    <t>Podrá parecer una tontería
Pero no fue la comodidad
Y es una ironía
Que un grupo 
Sea una familia😍😍
📷:@david_animals 
#animals #animalspk #parkour #freerunning #tricking #familia #terrasa #lalongi #soismucho #dagustoasi #buenentreno #bjj #jiujitsu #nogi #yoelraro #congorra #y #sincamiseta #jaja #xd #keepongoing</t>
  </si>
  <si>
    <t>soismucho</t>
  </si>
  <si>
    <t>yoelraro</t>
  </si>
  <si>
    <t>y</t>
  </si>
  <si>
    <t>freerunning</t>
  </si>
  <si>
    <t>buenentreno</t>
  </si>
  <si>
    <t>1579985687439972115_429150387</t>
  </si>
  <si>
    <t>Such an awesome day of #Goodtimes and #Yummytimes that just ended, wish if days like these never end. Enjoyed such a great Braai (BBQ) with everyone, lots of yummy food, lots of laughs, great conversations and not forgetting the yummy desserts 😊
Thank you Grant and Celeste for hosting us, see you all soon. Much love. 🤗🙏🇬🇧🇿🇦 #BBQ #Braai #Earlsfield #London #LondonTown #Joy #Fun #Weekend #Friends #Love #EnjoyLife #Meat #Salads #Dessert #YummyFood #Londoner #CelebrateLife #GreatFriends #CelebrateLife #LondonLife #TheSouthAfricanWay #Blessed #Thankful #Saturday #Joyful #GodIsGood #KeepOnGoing</t>
  </si>
  <si>
    <t>salads</t>
  </si>
  <si>
    <t>joyful</t>
  </si>
  <si>
    <t>celebratelife</t>
  </si>
  <si>
    <t>yummytimes</t>
  </si>
  <si>
    <t>joonasmeura</t>
  </si>
  <si>
    <t>1579987927374829925_1430712008</t>
  </si>
  <si>
    <t>Nöyränä nauhaa käteen⚽ #keepongoing</t>
  </si>
  <si>
    <t>arina.therese</t>
  </si>
  <si>
    <t>1579990343553061761_5378218918</t>
  </si>
  <si>
    <t>Keep On Going 👐
#me #girl #tattoo #tattoos #tattoed #ink #inked #inkedbody #content #proud #loveit #fit #fitness #training #gym #body #strenght #strong #health #healthy #bööty #keepongoing #goal #lifegoal #norge #norway</t>
  </si>
  <si>
    <t>goal</t>
  </si>
  <si>
    <t>tattoos</t>
  </si>
  <si>
    <t>girl</t>
  </si>
  <si>
    <t>mercedescamilla</t>
  </si>
  <si>
    <t>1579991237149110187_12198462</t>
  </si>
  <si>
    <t>Mamma body reconstruction 💪🏻🏋🏻‍♀️🍑 #Nike #saturdaynight #fitness #firmom #bodytransformation #bodyreconstruction #deadlift #glutes #bicepscurl #triceps #shoulder #back #benchpress #kablekickbacks #hiptrust #keepongoing #motivation #postpartum #mamma #denmark #hardwork #eatclean #feelgood #hardworkpaysoff #hardworkandedication</t>
  </si>
  <si>
    <t>postpartum</t>
  </si>
  <si>
    <t>feelgood</t>
  </si>
  <si>
    <t>bodytransformation</t>
  </si>
  <si>
    <t>hiptrust</t>
  </si>
  <si>
    <t>firmom</t>
  </si>
  <si>
    <t>la_aara</t>
  </si>
  <si>
    <t>1579997989760617261_318045246</t>
  </si>
  <si>
    <t>• NEVER GIVE UP ON ANYBODY- MIRACLES HAPPEN EVERY DAY. • #tonight #partytime #girls #keepongoing #classy #heels #booty #instafashion #nevergiveup #bitchachos #weekendvibes #trainhard #0711 #sha #immerdiesebilderohnegesicht</t>
  </si>
  <si>
    <t>heels</t>
  </si>
  <si>
    <t>bitchachos</t>
  </si>
  <si>
    <t>0711</t>
  </si>
  <si>
    <t>tonight</t>
  </si>
  <si>
    <t>firecracker_40_76</t>
  </si>
  <si>
    <t>1580004442252732170_3561796607</t>
  </si>
  <si>
    <t>Life of a turtle...keep on moving!
As long as you take one step at your own pace your one step closer!! #turtle #turtles #keepon #keepongoing #as #long #as #you #take #taken #one #step #closer #forward #moving #encouragement #encouragingquotes #encourage #confident #confidence #strengthquotes #strength #motivate #motivation #life #lifequotes #yourworthit #youcandoit #encouraging</t>
  </si>
  <si>
    <t>closer</t>
  </si>
  <si>
    <t>confidence</t>
  </si>
  <si>
    <t>forward</t>
  </si>
  <si>
    <t>millionaire.dream</t>
  </si>
  <si>
    <t>1580008222117527671_1469303635</t>
  </si>
  <si>
    <t>Dont let the little things stress you out too much (:</t>
  </si>
  <si>
    <t>mariarollarbonne18</t>
  </si>
  <si>
    <t>1580008976236568009_4794997619</t>
  </si>
  <si>
    <t>Love is the greatest feeling in the Universe! I received love from my beautiful daughter in so many ways! Thank you my baby you made my day! Enjoying little things that makes big difference in your life! My wonder woman my life my reason to keep going my why! #mykidsaremywhy #mykidsaremylife #❤️life #❤️isthegreatest #carpediem #enjoylittlethings #makehugedifference #mompreneur #keepongoing #dontsettle #findyourwhy</t>
  </si>
  <si>
    <t>mompreneur</t>
  </si>
  <si>
    <t>carpediem</t>
  </si>
  <si>
    <t>mykidsaremylife</t>
  </si>
  <si>
    <t>dontsettle</t>
  </si>
  <si>
    <t>el_is_my_name</t>
  </si>
  <si>
    <t>1580009462196971526_5574878103</t>
  </si>
  <si>
    <t>Just keep on walkin’. No matter what. 🚶🏻🏃👟🛣♿️
#walk #walkin #donotstop #nomatterwhat #keepongoing #stop #dontstop #move #go #justgo #forward #goforward #future #forgetpast #bnw #bnwphoto #potd #tomboy #tomboystyle #tomboylook #nature #ourandrogynouslife #andrgynous #sotd #saturday #evening #summer #walker #backpack #kappa</t>
  </si>
  <si>
    <t>future</t>
  </si>
  <si>
    <t>sotd</t>
  </si>
  <si>
    <t>walkin</t>
  </si>
  <si>
    <t>backpack</t>
  </si>
  <si>
    <t>princefleurdelys</t>
  </si>
  <si>
    <t>1580016130076347430_3307241877</t>
  </si>
  <si>
    <t>[ #SongOfTheDay ] "Hold back the fear
Hold back the melancholy
It's a crime. 
Quiet the mind. 
Sometimes I can taste my death
Like a candy bar
So sweet and complete
As infinity takes me
This fool's end" 
#NowPlaying @iamx - Quiet the mind. 
#Iamx #KeepOnGoing #BeAliveIsEnough</t>
  </si>
  <si>
    <t>nowplaying</t>
  </si>
  <si>
    <t>iamx</t>
  </si>
  <si>
    <t>bealiveisenough</t>
  </si>
  <si>
    <t>songoftheday</t>
  </si>
  <si>
    <t>fitnessbychrista</t>
  </si>
  <si>
    <t>1580026506079648908_1952838614</t>
  </si>
  <si>
    <t>An evening shot after a whole day of indulging in carbs!! What a great re-feed. Highs and moments of "I'll never do this again 😷😅" haha.. Cant weight for a solid leg day tomorrow 💪🏼🔥❤️.. #fit #aesthetic #keepitlean #diet #dietlife #bodybuilding #keepongoing #fitness #fitlife #gymislife #fitinmy40s #thebestforthebest #abs #toned #leanbody #womenwholift #danishaesthetics #betterandbetter #fitnessmodel #dietbychrista #fitfam #weightlosstransformation #fitmotivation #myprotein</t>
  </si>
  <si>
    <t>keepitlean</t>
  </si>
  <si>
    <t>fitlife</t>
  </si>
  <si>
    <t>abs</t>
  </si>
  <si>
    <t>alexandriasargent.official</t>
  </si>
  <si>
    <t>1580036292053176509_3535856653</t>
  </si>
  <si>
    <t>#nevergiveup #keepongoing #countyourblessings #vacation #family #friends #thebeach #longbeach #washington #oregon #sand #fishing #rockjetty</t>
  </si>
  <si>
    <t>vacation</t>
  </si>
  <si>
    <t>oregon</t>
  </si>
  <si>
    <t>sand</t>
  </si>
  <si>
    <t>1580037243823979192_1972606430</t>
  </si>
  <si>
    <t>You should be calling all the shots..... all of them.
BOSS UP TODAY!
#prestoknowsbest
-
-
#liveandlearn #dontsettle #mindsetshift #dropout #content #quotesoflife #fireyourboss #empowernetwork #onlinesuccess #personalgrowth #motivateyourself #betteryourself #keepongoing #mindsetiseverything #inspiredaily #valueyourself #valuelife #entrepreneurmind #newmindset #goalachiever</t>
  </si>
  <si>
    <t>personalgrowth</t>
  </si>
  <si>
    <t>newmindset</t>
  </si>
  <si>
    <t>entrepreneurmind</t>
  </si>
  <si>
    <t>1580038162040868068_5801959162</t>
  </si>
  <si>
    <t>🦁 Do you agree? 🌟Comment below and tag a friend that should see this! ✏️👯 Thank you @shaazjungphotography for an amazing picture! 💎</t>
  </si>
  <si>
    <t>cali.ivf.mama</t>
  </si>
  <si>
    <t>1580041032271009580_5801342620</t>
  </si>
  <si>
    <t>I hate this question and more often than not do not answer it. I've seen women go toe to toe and size each other up based upon how "well" their body responded to stimming and how many embryos they ended up with. It's such an odd and very personal question. Further more, why does it matter? If you have 2,5,10 or even just one. Why does it matter? Everyone has a different protocol, we all see doctors that approach IVF differently. Some are stimulated lightly and others more aggressively.  I try to remind my friends, it's not about quantity, it's about quality. We're not trying to have 10 kids. (Unless that's your plan, more power and love to you girl!) But the mass majority are looking to create a family of 1-3 children. It would be absolutely amazing just to have ONE child alone. I know we would all thank our lucky stars, just because the road to even have that one child was rough. Would you turn to your best friend's husband and ask him how big his penis is? NO! 😂 Sorry for the vulgarity, but seriously. It's such a personal thing and it honestly doesn't matter. All that matter is that you are doing it, you're making it through this journey and are nailing it one baby step at a time. ❤️ #weird #personal #peopleareweird #keepongoing #hope #faith #ivf #embryo #ivfmom #ivffet #ivfjourney #love #ivficsi. #ivfbaby #ivfjourney2017 #ttc #ttccommunity #ivfcommunity #infertility #webeatinfertility #infertilitysucks #infertilityjourney #ivfblog #ivfstory #ivfround2</t>
  </si>
  <si>
    <t>ivfjourney</t>
  </si>
  <si>
    <t>faith</t>
  </si>
  <si>
    <t>infertilityjourney</t>
  </si>
  <si>
    <t>ttc</t>
  </si>
  <si>
    <t>ivfjourney2017</t>
  </si>
  <si>
    <t>kathilein21</t>
  </si>
  <si>
    <t>1580041663747758712_641783857</t>
  </si>
  <si>
    <t>#friendstime#upsanddown#butistillloveyou#keepongoing #keepsmiling ☀️️ #lebenheißtimregenzutanzen✌🏻️❤️denk an dich 🤓</t>
  </si>
  <si>
    <t>butistillloveyou</t>
  </si>
  <si>
    <t>lebenheißtimregenzutanzen✌🏻️❤️denk</t>
  </si>
  <si>
    <t>upsanddown</t>
  </si>
  <si>
    <t>friendstime</t>
  </si>
  <si>
    <t>mamamindfulness</t>
  </si>
  <si>
    <t>1580051269913306246_635058910</t>
  </si>
  <si>
    <t>Really proud of my son for his progress in four and a half months #gains #fitness #nopainnogain #fitlife #keepongoing #nutrition #bodypositive #improved #workout #progress #gym #motivation</t>
  </si>
  <si>
    <t>gab_onthelane</t>
  </si>
  <si>
    <t>1580052255355206469_3217699943</t>
  </si>
  <si>
    <t>Do not sleep #Mercedes #ontheroad #vanlife #donnotsleep #keepongoing #nextlevel #machines</t>
  </si>
  <si>
    <t>machines</t>
  </si>
  <si>
    <t>donnotsleep</t>
  </si>
  <si>
    <t>ontheroad</t>
  </si>
  <si>
    <t>mercedes</t>
  </si>
  <si>
    <t>masonic__cryptic</t>
  </si>
  <si>
    <t>1580058073922026528_324894479</t>
  </si>
  <si>
    <t>#nevergiveup #peceandlove  #worldpeace #lonewolf #oregoncoast #parkinggarage #onpoint #timberlands #joggers #hat #igotshittodo #keepongoing #maximaeffect</t>
  </si>
  <si>
    <t>maximaeffect</t>
  </si>
  <si>
    <t>lonewolf</t>
  </si>
  <si>
    <t>parkinggarage</t>
  </si>
  <si>
    <t>worldpeace</t>
  </si>
  <si>
    <t>ekenechukwuikwumelu</t>
  </si>
  <si>
    <t>1580061923495338078_3465826298</t>
  </si>
  <si>
    <t>If you are going through trials keep going,there is light at the end of the tunnel. Via goalcast
#entrepreneurship 
#inspire 
#motivate 
#african 
#keepongoing</t>
  </si>
  <si>
    <t>inspire</t>
  </si>
  <si>
    <t>motivate</t>
  </si>
  <si>
    <t>african</t>
  </si>
  <si>
    <t>entrepreneurship</t>
  </si>
  <si>
    <t>crazfessionz</t>
  </si>
  <si>
    <t>1580064653122680399_5868909455</t>
  </si>
  <si>
    <t>• Omg... this is so sad! Have a great birthday and remember the great times you had with your friend! 😢• {if you wants us to share your crazfessionz DM us and we will post yours! But don't worry, it's anonymous 🤐 #confessions #confess #confession #sad #crazfessionz #ifeelbad #keepongoing #rip 
Edit - i noticed you can't see how many years they have been friends.  It says 12.</t>
  </si>
  <si>
    <t>confessions</t>
  </si>
  <si>
    <t>sad</t>
  </si>
  <si>
    <t>rip</t>
  </si>
  <si>
    <t>shladthan1</t>
  </si>
  <si>
    <t>1580075928946776121_372479302</t>
  </si>
  <si>
    <t>#love #pain #heartbroken #relationship #sadbuttrue #truthhurts #exgirlfriend #exboyfriend #letitgo #moveon #reminisce #pastispast #storyofmylife #walangforever #cheatersalwayscheat #liarsandcheaters #excuses #yearsofpain #dontlookback #missyoubutdontloveyou #crossedmymind #thinkingofyou #nomoreiloveyous #emomode #hugotpamore #sadbuthopeful #happynotempty #holdingontopositivity #bepositive #keepongoing</t>
  </si>
  <si>
    <t>reminisce</t>
  </si>
  <si>
    <t>liarsandcheaters</t>
  </si>
  <si>
    <t>holdingontopositivity</t>
  </si>
  <si>
    <t>kdh.jjh</t>
  </si>
  <si>
    <t>1580090084940745873_281931638</t>
  </si>
  <si>
    <t>Smile at the haters: it intimidates them ✌🏼😜 #confidentwomen #successmindset #airforce #medtech #keepongoing #slay 💋🔥</t>
  </si>
  <si>
    <t>slay</t>
  </si>
  <si>
    <t>successmindset</t>
  </si>
  <si>
    <t>airforce</t>
  </si>
  <si>
    <t>medtech</t>
  </si>
  <si>
    <t>dlsurfcoach</t>
  </si>
  <si>
    <t>1580095619510169542_1639738945</t>
  </si>
  <si>
    <t>Friday #flat #day #vikingsurfcamp #keepongoing #fortlauderdale #welovewhatwedo</t>
  </si>
  <si>
    <t>Fort Lauderdale, Florida</t>
  </si>
  <si>
    <t>fortlauderdale</t>
  </si>
  <si>
    <t>welovewhatwedo</t>
  </si>
  <si>
    <t>flat</t>
  </si>
  <si>
    <t>vikingsurfcamp</t>
  </si>
  <si>
    <t>mel_fitnspire</t>
  </si>
  <si>
    <t>1580097975099451370_2075421951</t>
  </si>
  <si>
    <t>When someone asks me how I feel 🤷🏻‍♀️</t>
  </si>
  <si>
    <t>ghuntress1</t>
  </si>
  <si>
    <t>1580116409759945411_4519592369</t>
  </si>
  <si>
    <t>It's been an interesting couple of days at the easel. Usually I find that once I start focusing on my subject and begin to mix my paints everything else sort of disappears. I get lost in the process and time stands still. It's quite a wonderful experience, actually. This weekend, however has been 'work'. There seems to be a lot of outside distraction that I can't seem to block. I'm gonna take a break ... #abitmoreprogress #pushingthrough #keepongoing</t>
  </si>
  <si>
    <t>pushingthrough</t>
  </si>
  <si>
    <t>abitmoreprogress</t>
  </si>
  <si>
    <t>cheewah_wahzai</t>
  </si>
  <si>
    <t>1580125723253835884_276147820</t>
  </si>
  <si>
    <t>No caption just do it 💪🏻 #justdoit#runfast#nolimitforrun#keeponrunning#justdoit#runrunrun#running #runner#run#runner#keepongoing#keeponactive#workout#sunday#justdoitsunday#fitgear#fitgearactive</t>
  </si>
  <si>
    <t>fitgearactive</t>
  </si>
  <si>
    <t>sunday</t>
  </si>
  <si>
    <t>justdoitsunday</t>
  </si>
  <si>
    <t>runner</t>
  </si>
  <si>
    <t>nsshota</t>
  </si>
  <si>
    <t>1580160041570767670_697962771</t>
  </si>
  <si>
    <t>#26#KeepOnGoing</t>
  </si>
  <si>
    <t>26</t>
  </si>
  <si>
    <t>missysewell</t>
  </si>
  <si>
    <t>1580160064822478737_196584342</t>
  </si>
  <si>
    <t>One of our nightly visitors looking for a snack. #skunk #pleasedontsprayus #headonaswivel #keepongoing #mohican #happycamper</t>
  </si>
  <si>
    <t>Mohican State Park</t>
  </si>
  <si>
    <t>headonaswivel</t>
  </si>
  <si>
    <t>happycamper</t>
  </si>
  <si>
    <t>mohican</t>
  </si>
  <si>
    <t>pleasedontsprayus</t>
  </si>
  <si>
    <t>c_rissy</t>
  </si>
  <si>
    <t>1580170740928369684_7902408</t>
  </si>
  <si>
    <t>8 days, 5 states, 2900 miles</t>
  </si>
  <si>
    <t>Montana</t>
  </si>
  <si>
    <t>miles</t>
  </si>
  <si>
    <t>roadtrippin</t>
  </si>
  <si>
    <t>desert</t>
  </si>
  <si>
    <t>outdooradventurephotos</t>
  </si>
  <si>
    <t>camp</t>
  </si>
  <si>
    <t>liangjialiangjia</t>
  </si>
  <si>
    <t>1580174619796978538_5569451698</t>
  </si>
  <si>
    <t>昨晚躺在海邊
跟流星許完願後
今日ㄧ樣好好泡咖啡
好好做吃的
曾經重要的
我們不曾忘記
#meteorshower
#makeawish
#keepongoing</t>
  </si>
  <si>
    <t>meteorshower</t>
  </si>
  <si>
    <t>makeawish</t>
  </si>
  <si>
    <t>lsganoe11</t>
  </si>
  <si>
    <t>1580187976766540118_2498975492</t>
  </si>
  <si>
    <t>Making progress 😊 #slacklining #soontobehighline #keepongoing</t>
  </si>
  <si>
    <t>soontobehighline</t>
  </si>
  <si>
    <t>slacklining</t>
  </si>
  <si>
    <t>lovelaughllove</t>
  </si>
  <si>
    <t>1580195438585143655_270282826</t>
  </si>
  <si>
    <t>So much to do, so little time. What a busy start to the semester. 📖📚😰 #pharmlife #studying #cantwaituntiligraduate #keepongoing #pharmacyschool</t>
  </si>
  <si>
    <t>studying</t>
  </si>
  <si>
    <t>cantwaituntiligraduate</t>
  </si>
  <si>
    <t>pharmlife</t>
  </si>
  <si>
    <t>pharmacyschool</t>
  </si>
  <si>
    <t>metalchic6980</t>
  </si>
  <si>
    <t>1580198515441722138_2006489024</t>
  </si>
  <si>
    <t>#abs #workinprogress #keepongoing #rockerhair #again #devilhornsup #Bootyshorts #keeponrocking #rockout #workout #messyhair</t>
  </si>
  <si>
    <t>keeponrocking</t>
  </si>
  <si>
    <t>bootyshorts</t>
  </si>
  <si>
    <t>messyhair</t>
  </si>
  <si>
    <t>anneripani</t>
  </si>
  <si>
    <t>1580201478382163608_414330553</t>
  </si>
  <si>
    <t>🚴🚴🚴where the trails ends... the adventure begins#fitinstagram #biking#bikeadventure #nature #fitgirl #fitness #keepongoing</t>
  </si>
  <si>
    <t>bikeadventure</t>
  </si>
  <si>
    <t>fitgirl</t>
  </si>
  <si>
    <t>nature</t>
  </si>
  <si>
    <t>majorctp</t>
  </si>
  <si>
    <t>1580204666967488981_474075481</t>
  </si>
  <si>
    <t>Yes, the dawn is coming soon, just close your eyes and let everything comes and it's no pain anymore. #sunday #working #dawn #fight  #keepongoing  #thetempestisatyourcommand</t>
  </si>
  <si>
    <t>dawn</t>
  </si>
  <si>
    <t>working</t>
  </si>
  <si>
    <t>karynrei</t>
  </si>
  <si>
    <t>1580206354159746376_242805487</t>
  </si>
  <si>
    <t>The moment you doubt whether you can fly, you cease forever to be able to do it. -- JM Barrie #flying #happybirthday #august13 #keepongoing #followyourdreams @selenemalench</t>
  </si>
  <si>
    <t>Rise</t>
  </si>
  <si>
    <t>happybirthday</t>
  </si>
  <si>
    <t>flying</t>
  </si>
  <si>
    <t>august13</t>
  </si>
  <si>
    <t>blondiie113</t>
  </si>
  <si>
    <t>1580211329628915654_262000859</t>
  </si>
  <si>
    <t>Tough times don't last. Tough people do. #smile #proud #toughtimesdontlast #happy #single #singlemom #countrygirllife #countryliving #countrygirl #countrylife #countrylifeisthebest #blondehair #greeneyes #staypositive #sunisshining #beautyday #naturalbeauty #keepongoing #nevergiveup #postivevibes #momselfie #momsofinstagram #lovinlife #summer #samsunggalaxys8 #canadiangirl #canada #ontario #keeponkeepingon</t>
  </si>
  <si>
    <t>samsunggalaxys8</t>
  </si>
  <si>
    <t>canadiangirl</t>
  </si>
  <si>
    <t>travellingpreneur</t>
  </si>
  <si>
    <t>1580212873476741514_5047113707</t>
  </si>
  <si>
    <t>When your Bae is a real treasure 😉 tag your girl ❤️
-
Follow @travellingpreneur</t>
  </si>
  <si>
    <t>jishwa.and.tylerr</t>
  </si>
  <si>
    <t>1580216138440560140_5468355632</t>
  </si>
  <si>
    <t>HAHA I LUV U - 🐯
#josh #tyler #jenna #twentyonepilots #bands #frens #laugh #myidols #loveyou #bestmusic #keepongoing #ibelieve #theyrethebest #funny  #smile #tøpmemes #tøp #stayalive #inspiring #beautifulpeople</t>
  </si>
  <si>
    <t>inspiring</t>
  </si>
  <si>
    <t>laugh</t>
  </si>
  <si>
    <t>stayalive</t>
  </si>
  <si>
    <t>ibelieve</t>
  </si>
  <si>
    <t>frens</t>
  </si>
  <si>
    <t>forthetriprz</t>
  </si>
  <si>
    <t>1580218946550909859_1822232190</t>
  </si>
  <si>
    <t>Milos, Greece
Photo by @cidadaodumonde_
Tag your friends 😍
.
.
.
.
.
.
.
.
#yoga4growth #travelhappy #travelwithfriends #indonesiatravel #meditationtime #islandliving #traveladventures #waycoolshots #spiritualawakening #instavsco #travelnevda #travelclub #beachbod #livenow #travelnow #travelbreak #keepongoing #lifeisajoke #eclectic_shotz #followers #beachdog #lifeisfun #outdoortones #worldtravelbook #mytravelgram</t>
  </si>
  <si>
    <t>outdoortones</t>
  </si>
  <si>
    <t>mytravelgram</t>
  </si>
  <si>
    <t>beachbod</t>
  </si>
  <si>
    <t>beachdog</t>
  </si>
  <si>
    <t>lifeisajoke</t>
  </si>
  <si>
    <t>aiveebecky</t>
  </si>
  <si>
    <t>1580221836258902999_4624624842</t>
  </si>
  <si>
    <t>#study #studying #storyofmylife #soml #exams #exam #accountant #accoutantslife #keepongoing #keeponlearning #blockingoutthehaters #blockingoutthenoise #blockingoutnegativity #blockingoutbadvibes #keepmyheadup</t>
  </si>
  <si>
    <t>blockingoutthehaters</t>
  </si>
  <si>
    <t>study</t>
  </si>
  <si>
    <t>storyofmylife</t>
  </si>
  <si>
    <t>keepmyheadup</t>
  </si>
  <si>
    <t>exam</t>
  </si>
  <si>
    <t>1580224086722588905_1615759923</t>
  </si>
  <si>
    <t>pipeliners</t>
  </si>
  <si>
    <t>positivepeople</t>
  </si>
  <si>
    <t>shale</t>
  </si>
  <si>
    <t>quoteaccount</t>
  </si>
  <si>
    <t>bewhoyouare</t>
  </si>
  <si>
    <t>1580242398120963113_7902408</t>
  </si>
  <si>
    <t>Population 137</t>
  </si>
  <si>
    <t>Vesper</t>
  </si>
  <si>
    <t>Lonepine, Montana</t>
  </si>
  <si>
    <t>thegreatoutdoors</t>
  </si>
  <si>
    <t>camping</t>
  </si>
  <si>
    <t>getoutside</t>
  </si>
  <si>
    <t>exploreeverything</t>
  </si>
  <si>
    <t>foui001</t>
  </si>
  <si>
    <t>1580248616840665540_5756182507</t>
  </si>
  <si>
    <t>#City2Surf #running #personalbest #anyonecandoit #keepongoing</t>
  </si>
  <si>
    <t>anyonecandoit</t>
  </si>
  <si>
    <t>city2surf</t>
  </si>
  <si>
    <t>personalbest</t>
  </si>
  <si>
    <t>projekt_sunderelivsstil</t>
  </si>
  <si>
    <t>1580274833823131823_3579732893</t>
  </si>
  <si>
    <t>Ud fra MK Principperne er det ikke meningen at jeg skal bruge vægten som målestok 😊 men jeg kan ikke lade være, for jeg vil virkelig gerne følge med  i hvordan det går 😉 Det har været en mega fed uge med masser af dejlig mad takket være kostplanen fra @michellekristensen.dk 😉 og nåe ja så har det givet resultat 👍🏻💪🏻 #etsunderevalg #etsundereliv #mkkostplan #michellekristensen #lækkertmad #vægttab #vægttab2017 #weightloss #weightlossjourney #keepongoing #keepitup</t>
  </si>
  <si>
    <t>weightlossjourney</t>
  </si>
  <si>
    <t>keepitup</t>
  </si>
  <si>
    <t>vægttab</t>
  </si>
  <si>
    <t>mkkostplan</t>
  </si>
  <si>
    <t>angelikazwerenz</t>
  </si>
  <si>
    <t>1580284756707358903_2365429091</t>
  </si>
  <si>
    <t>#sunday #sundaymood #mood #happy #flowerstagram #flowers #yellow #life #awesome🎩👜👡 #beautiful #sun #dress #headpiece #goforit #keepongoing #germany #bavaria #international #european #follow4follow #followforfollow #like👢 #like4like #munich #paris #newyork #yellow #white #blackandwhite #acertainslantoflight</t>
  </si>
  <si>
    <t>goforit</t>
  </si>
  <si>
    <t>bavaria</t>
  </si>
  <si>
    <t>dress</t>
  </si>
  <si>
    <t>emmyvalentin</t>
  </si>
  <si>
    <t>1580306567423902141_9380561</t>
  </si>
  <si>
    <t>Dangerous moves! #partyon #festivalmood #keepongoing #flowfestival #summeroflove #oops</t>
  </si>
  <si>
    <t>flowfestival</t>
  </si>
  <si>
    <t>summeroflove</t>
  </si>
  <si>
    <t>partyon</t>
  </si>
  <si>
    <t>1580306911465591977_5801959162</t>
  </si>
  <si>
    <t>💎 Most people are looking for a partner when they should look for themselves!🔥 Do you agree? 😃 Comment below and tag a friend that should see this! ✏️👯 Thank you @businessmindset101 for an amazing picture</t>
  </si>
  <si>
    <t>1580307743389057455_19869447</t>
  </si>
  <si>
    <t>Good afternoon Shanghai! 
#keepongoing #funeverywhere #biztrip #shanghaibund #china</t>
  </si>
  <si>
    <t>上海 外灘 the Bund Shanghai</t>
  </si>
  <si>
    <t>china</t>
  </si>
  <si>
    <t>shanghaibund</t>
  </si>
  <si>
    <t>biztrip</t>
  </si>
  <si>
    <t>funeverywhere</t>
  </si>
  <si>
    <t>sigischelkens</t>
  </si>
  <si>
    <t>1580315413824946642_262470039</t>
  </si>
  <si>
    <t>Always nice to party with my best friends! #wcd #wecandance @sandraswimberghe 💋💕#keepongoing</t>
  </si>
  <si>
    <t>WECANDANCE - Electronic Beach Festival</t>
  </si>
  <si>
    <t>wcd</t>
  </si>
  <si>
    <t>wecandance</t>
  </si>
  <si>
    <t>1580322213587025460_5705167414</t>
  </si>
  <si>
    <t>You can't stop Steph unless you foul him #Dubnation
-
-
-
-
-
-
-
-
-
-
-
-
-
-
-
-
-
-
-
-
-
-
-
-
-
-
-
-
-
-
-
-
-
-
-
-
-
-
-
-
 #StephGonnaSteph #Mvp #SC30 #KT11 #DG23 #CURRYMVP #KEEPONGOING #NEVERGIVEUP #WCF #WEST #WESTERNCONFERENCEFINALS #CHAMPS #DUBSFORCHAMPS #DUBS #ALWAYSBELIEVEINGOD #STEPHENCURRY #EVEN #NBA #2016CHAMPS #CHAMPIONS #LOCKIN #STEPH #SPLASH #SPLASHBROS  #like4like #like4follow #follow4follow</t>
  </si>
  <si>
    <t>steph</t>
  </si>
  <si>
    <t>the_world_laughs_in_flowers_</t>
  </si>
  <si>
    <t>1580327299809852587_4773778225</t>
  </si>
  <si>
    <t>When your bestie travels the most beautiful place without you... at least she sends me this✈️❤️😉worldtravelbook #flashesofdelight #art #lake #rainbow #goodafternoonpost #keeponkeepingon #keepongoing #motivation #motivationeveryday #sunset #flowers #architecturephotography #architecture #tagsforlikes #bluesky #likesforlikes #follow #almosttheweekend #smile #happy #morningmotivation #flower #behappy #grateful</t>
  </si>
  <si>
    <t>Bjørnfjell, Nordland</t>
  </si>
  <si>
    <t>happy</t>
  </si>
  <si>
    <t>goodafternoonpost</t>
  </si>
  <si>
    <t>architecture</t>
  </si>
  <si>
    <t>flashesofdelight</t>
  </si>
  <si>
    <t>vonscheele</t>
  </si>
  <si>
    <t>1580336330012001921_17547795</t>
  </si>
  <si>
    <t>Förra veckan...Sista morgonen vid stugan. För en vecka sen var söndagen harmonisk. Idag surrar det i huvudet av allt nytt på jobbet⚡️. Kommer nog ta ett tag att vänja sig... Men en sak är glasklar; utan yoga kommer inte den nya vardagens  små pusselbitar gå ihop ☺️🙏🏻 #keepongoing #yoga #rörelse #energi #mindfullness #harmony #life #nyautmaningar</t>
  </si>
  <si>
    <t>nyautmaningar</t>
  </si>
  <si>
    <t>energi</t>
  </si>
  <si>
    <t>rörelse</t>
  </si>
  <si>
    <t>clbgtb</t>
  </si>
  <si>
    <t>1580340443365907555_828688044</t>
  </si>
  <si>
    <t>📘💙👕👖 #파랑병
#NSCA체력관리의정수 책까지 파랭이. 동생님이 한 권 남은 이 책을 공수해주셨는데 결론은. 한국어 너무 어려움😱 누가보면 교폰줄; 하. 이미 모든 용어를 영어로 배워서 역으로 찾게되는 불상사를 겪는거 빼고는 좋음;; 목차도 원본이랑 다르지만 되려 학원에서 배우는 스케쥴이랑은 같음ㅋㅋ 언어가 문제가 아니라, 좋은 참고서가 문제가 아니라 내가 얼마나 달달 외우고 잘 적용을 하는지가 문제구나~아~~~ 💙 새파랗게 질릴때까지 열공😇
#nsca #cscs#bkk#trainer#personaltrainer#conditioningcoach#keepongoing#트레이너#컨디셔닝#태국#방콕</t>
  </si>
  <si>
    <t>bkk</t>
  </si>
  <si>
    <t>nsca</t>
  </si>
  <si>
    <t>cscs</t>
  </si>
  <si>
    <t>conditioningcoach</t>
  </si>
  <si>
    <t>paulinedate</t>
  </si>
  <si>
    <t>1580346075024569099_2248864938</t>
  </si>
  <si>
    <t>Sunday morning run with this one 💋3 miles no strava 😏#running #keepongoing #dogintow #sw #swfamily #slimmingworldjourney #healthylifestyle #knackered</t>
  </si>
  <si>
    <t>swfamily</t>
  </si>
  <si>
    <t>_laurajosephine_</t>
  </si>
  <si>
    <t>1580348643054301297_253696746</t>
  </si>
  <si>
    <t>13 AUGUSTUS 2017 || Every morning you have 2 choices: continue to sleep with your dreams or get up and chase them! 🌈✨ #chasingdreams #dreams #keepongoing #followyourdreams #girl #waterfalbraid #braid #hairdo #instahair #goodhairday #potd #instamood #igers #miniblog #instablog #belgianblogger #qotd #stripes #lookingforward #love</t>
  </si>
  <si>
    <t>Salon Carrique</t>
  </si>
  <si>
    <t>igers</t>
  </si>
  <si>
    <t>qotd</t>
  </si>
  <si>
    <t>instablog</t>
  </si>
  <si>
    <t>chasingdreams</t>
  </si>
  <si>
    <t>goodhairday</t>
  </si>
  <si>
    <t>theviralmix</t>
  </si>
  <si>
    <t>1580349136899915226_3623309738</t>
  </si>
  <si>
    <t>Tag someone who loves @nature. By unknown
.
.
.
.
.
.
.
.
#webstagram #travellingourplanet #keepitlit #lifebydesign #earthfocus #jomblotraveler #ecotravel #lifeisanadventure #travelnevda #seetheworld #travelvideo #beachdog #keepongoing #adventurepic #familypet #paradiseonearth #lifeofadventure #lifeisaparty #global_hotshotz #travelingmodel #paradisecoast #roadlesstraveled #beautifuldestinations #worldtravelbook #feelinginspired</t>
  </si>
  <si>
    <t>earthfocus</t>
  </si>
  <si>
    <t>lifebydesign</t>
  </si>
  <si>
    <t>lifeisaparty</t>
  </si>
  <si>
    <t>beautifuldestinations</t>
  </si>
  <si>
    <t>lorraineduffy50</t>
  </si>
  <si>
    <t>1580350079049663875_182739308</t>
  </si>
  <si>
    <t>😎 #keepongoing #sparkleandshine #thistimenextyear</t>
  </si>
  <si>
    <t>thistimenextyear</t>
  </si>
  <si>
    <t>sparkleandshine</t>
  </si>
  <si>
    <t>1580353687990002789_5586814877</t>
  </si>
  <si>
    <t>Trying for a speedy Sunday! 🍅 3 syns for a small slice of brown sourdough 💖 1 syn and half of my A choice in my coffee ☕️ #fooddiary #slimmingworld #sw #slimmingworldfood #slimmingworldjourney #health #happiness #selfimprovement #bethebestyou #keepongoing #nomorestartingover</t>
  </si>
  <si>
    <t>1580354338979327259_297558307</t>
  </si>
  <si>
    <t>GM😁🌅Warriors🏹! 💫"Fall seven times, get up eight"- Japanese proverb.  Embrace each sunrise and sundown as if it was the last! And don't give up!! Waiting desperately for my tomorrow daily run🙃! And next week.... my bday☺️😊🙂🙃😀😃😄😁😆..... #free #fitmom #fitmama #fitgirl #fitness #fitnessaddict #runner #running #gim #gimnasio #gym #gymgirl #gymlife #gymaddict #gymaholic #keeptrying #keepmoving #keepstrong #keepongoing #mypassion #mypassion #myhappyplace #sunday #sundayvibes #sunrise #sundown #lovelife #miveranoendénia</t>
  </si>
  <si>
    <t>gymaholic</t>
  </si>
  <si>
    <t>jonnyredhood</t>
  </si>
  <si>
    <t>1580355422148310329_3040963405</t>
  </si>
  <si>
    <t>#camper #wohnmobil #travelling #reisen #reisefieber #campervan #highway #ride #drive #roadtrip #freedom #onelove #oneworld #ozorafestival2017 #ozora #ontheway #keepongoing #dreamer #switzerland #outdoor #nature #enjoy</t>
  </si>
  <si>
    <t>switzerland</t>
  </si>
  <si>
    <t>travelling</t>
  </si>
  <si>
    <t>drive</t>
  </si>
  <si>
    <t>highway</t>
  </si>
  <si>
    <t>hans_swager</t>
  </si>
  <si>
    <t>1580359116356945043_4277360701</t>
  </si>
  <si>
    <t>Zo weer een lekker stukje kunnen lopen... en het is zo lekker rustig op zondag ochtend...
.
.
.
#sunday #sundaymorning #goedemorgen #hardlopen #keepongoing #capelleaandenijssel
#rotterdam .
.
.
#runner #running #runningman #runninglife #runninglifestyle .
.
.
#puma #puma👟 #pumaflexracer #pumarunner #kalenji #kalenjirunner #decathlon #decathlonrotterdam #nikeplusrunner #nikerunningclub #nikesportwatchgps</t>
  </si>
  <si>
    <t>nikeplusrunner</t>
  </si>
  <si>
    <t>goedemorgen</t>
  </si>
  <si>
    <t>runninglifestyle</t>
  </si>
  <si>
    <t>love_key_kj</t>
  </si>
  <si>
    <t>1580359623482781851_5803143570</t>
  </si>
  <si>
    <t>#keepongoing #dreamscancometrue #justbelieveinyourself</t>
  </si>
  <si>
    <t>dreamscancometrue</t>
  </si>
  <si>
    <t>justbelieveinyourself</t>
  </si>
  <si>
    <t>la.pure.folie</t>
  </si>
  <si>
    <t>1580364654248329440_3176267654</t>
  </si>
  <si>
    <t>Live a colorful life. 🌈 
#lpfboutique #nailbar #prettynails #igdaily #nudelook #withatwist #details #nailstagram #passion #nailsofinstagram #nailpolish #naildesign #nails2inspire #nailitdaily #nailsofig #nailboutique #lpfnails #followme #travelette #tagsforlikes #travellingnails #summernails #dandelion #summerlook #vacay #bananamix #keeponworking #keepongoing #dontsettleforless</t>
  </si>
  <si>
    <t>naildesign</t>
  </si>
  <si>
    <t>dandelion</t>
  </si>
  <si>
    <t>summernails</t>
  </si>
  <si>
    <t>igdaily</t>
  </si>
  <si>
    <t>nailitdaily</t>
  </si>
  <si>
    <t>1580365038690404803_5681311432</t>
  </si>
  <si>
    <t>Goodnight wonderful people!💖🌙 hope you're all having a great weekend!🤗 This lazy feeling in me has been peeking its head out alllll day, but I pulled through and had a great workout today💪🏻💪🏻 determination is key!💪🏻🤓
.
.
.
.
.
.
.
.
.
.
#honormycurves #bodypositive #loveyourbody #loveyourself #selflove #embracethesquish #embraceyourcurves #embracetheprocess #workinprogress #progress #proudofmyself #fitness #fit #fitgirl #fitjourney #fitnessmotivation #gym #gymmotivation #thick #thickthighssavelives #curves #curvygirl #tummy #cellulite #stilllovemyself #instagood #instadaily #keepongoing #sisepuede</t>
  </si>
  <si>
    <t>ineke_zak</t>
  </si>
  <si>
    <t>1580368253708263289_276772579</t>
  </si>
  <si>
    <t>So auf geht's ins Beintraining, vordere Seite ❤ #legday #bootybuilding #body #jumpsuit #legday🍑 #legs #blondehair #blonde #fitfamgermany #fitfam #biceps #fitness #photoshooting #photos #black #blackeverything #girlswhosquat #girlswithmuscles #flexingladies #flexing #shoutout #dreambigger #dream #training #trainhard #keepongoing #fitnessgirl @fit_girls_of_ig @muscular.girls #lifting #squats</t>
  </si>
  <si>
    <t>Feel Fit GmbH</t>
  </si>
  <si>
    <t>jumpsuit</t>
  </si>
  <si>
    <t>legday🍑</t>
  </si>
  <si>
    <t>biceps</t>
  </si>
  <si>
    <t>legs</t>
  </si>
  <si>
    <t>flexingladies</t>
  </si>
  <si>
    <t>daisygirl.x</t>
  </si>
  <si>
    <t>1580369754185665478_1286978251</t>
  </si>
  <si>
    <t>Some souls are too deep
for shallow people. 🌵
.
.
#ootd #potd #photography #deep #quotes #healthy #fitness #kuierleier #party #funtimes #smilealways #forever18 #keepongoing #kuier #independent #everythinghappensforareason #beyourownkindofbeautiful #lovelyjubbly #like #likeforlike #likeforfollow #pink #photography #whitesneakers #weekend #daisydays #daisygirlforever .
.
☀ ☀ ☀ ☀ ☀ ☀ ☀ ☀ ☀ ☀ ☀ ☀ ☀ ☀ ☀</t>
  </si>
  <si>
    <t>daisydays</t>
  </si>
  <si>
    <t>like</t>
  </si>
  <si>
    <t>party</t>
  </si>
  <si>
    <t>independent</t>
  </si>
  <si>
    <t>rossellaross9083</t>
  </si>
  <si>
    <t>1580373137832256114_417076746</t>
  </si>
  <si>
    <t>Finalmente 10 min per fare colazione (ore 11:00 am) 😰
#buongiorno #goodmorning #bonjour #gunaydin #buenosdias #airport #bomdia #airportlife #havalimani #çalişiyorum #breakfast #kahvaltı #instafood #croissant #instalike #like4like #keepongoing #Ross 🥐☕️</t>
  </si>
  <si>
    <t>Aeroporto Marconi di Bologna</t>
  </si>
  <si>
    <t>instafood</t>
  </si>
  <si>
    <t>airportlife</t>
  </si>
  <si>
    <t>çalişiyorum</t>
  </si>
  <si>
    <t>notawhitehome</t>
  </si>
  <si>
    <t>1580374556874254365_1959382455</t>
  </si>
  <si>
    <t>Pushing 65 has started😎9km run+trx this morning👍before enjoying my coffe and resting my feet😊#stayfit #keepongoing #staystrong #runner #excercise #träning #löpning #myhouse #myhome #vintage #antique #antik #inredningsinspiration #interiordesign #interiorstyling #eclectic #designinterior #designinspiration #haveanicesunday</t>
  </si>
  <si>
    <t>designinterior</t>
  </si>
  <si>
    <t>inredningsinspiration</t>
  </si>
  <si>
    <t>haveanicesunday</t>
  </si>
  <si>
    <t>stayfit</t>
  </si>
  <si>
    <t>antique</t>
  </si>
  <si>
    <t>mich.a1234</t>
  </si>
  <si>
    <t>1580378946648788809_1534623807</t>
  </si>
  <si>
    <t>TP heute: Lang und langsam. Und wenn Trainer Axel das sagt, dann wird das auch gemacht. #keepongoing #goforit #berlinmarathon2017</t>
  </si>
  <si>
    <t>Lippesee</t>
  </si>
  <si>
    <t>berlinmarathon2017</t>
  </si>
  <si>
    <t>1580384002061511863_4416083768</t>
  </si>
  <si>
    <t>Worauf bestehst du? ⏯ 
#questions #lost #why #schuhe #reasons #mindset #standing #power #breath #motivation #moving #keepongoing #lessonsinlife #motivation #trust #strength #coaching #türauflebenan #takechance</t>
  </si>
  <si>
    <t>power</t>
  </si>
  <si>
    <t>moving</t>
  </si>
  <si>
    <t>reasons</t>
  </si>
  <si>
    <t>breath</t>
  </si>
  <si>
    <t>lessonsinlife</t>
  </si>
  <si>
    <t>rockeryoyo</t>
  </si>
  <si>
    <t>1580391800699213500_311103901</t>
  </si>
  <si>
    <t>上禮拜終於從死裡撐過來了！
歷經一起工作快兩年的夥伴離開……
然後不放棄的堅持，儘管會一個人承受痛苦……
也要等到對的人一起工作!
終於讓我等到了……
希望接下來我們可以一起加油努力
開始新的人生階段！
Yoyo 加油！
我知道你很執著，
有想跨越的衝動就準沒錯！
Keep on going!
做勇敢的人
Stay true to yourself.
找回最初的心
2017.8.13 Sun
#keepongoing #既然前進了也沒理由後退 #堅持 #donotgiveup</t>
  </si>
  <si>
    <t>堅持</t>
  </si>
  <si>
    <t>既然前進了也沒理由後退</t>
  </si>
  <si>
    <t>donotgiveup</t>
  </si>
  <si>
    <t>kelly_merckx</t>
  </si>
  <si>
    <t>1580393487797813316_1100957329</t>
  </si>
  <si>
    <t>Gezond tussendoortje 😋😋😋
#healthysnack #watermelon #stars of #watermelon #watermelonstars #redberry #kokos #simplefood #simple #easy #yummy #yummyyummyinmytummy #foodofinstagram #foodie #instafood #instapic #healthy #keepongoing</t>
  </si>
  <si>
    <t>kokos</t>
  </si>
  <si>
    <t>watermelonstars</t>
  </si>
  <si>
    <t>easy</t>
  </si>
  <si>
    <t>simplefood</t>
  </si>
  <si>
    <t>1580395021353830635_244228468</t>
  </si>
  <si>
    <t>Are you a hunter? 🤘Follow @motivationbyeli  for more inspirational quotes</t>
  </si>
  <si>
    <t>doingitforme</t>
  </si>
  <si>
    <t>inspirational</t>
  </si>
  <si>
    <t>futureceo</t>
  </si>
  <si>
    <t>leadbyexample</t>
  </si>
  <si>
    <t>jonneboss</t>
  </si>
  <si>
    <t>1580395476519727525_44979291</t>
  </si>
  <si>
    <t>Triceps are getting bigger! #workout #tricep #instadaily #instafit #keepongoing</t>
  </si>
  <si>
    <t>instafit</t>
  </si>
  <si>
    <t>instadaily</t>
  </si>
  <si>
    <t>tricep</t>
  </si>
  <si>
    <t>punzalanricky</t>
  </si>
  <si>
    <t>1580395944325687616_1514742057</t>
  </si>
  <si>
    <t>🥊💪🏽🥊 #workout #workoutmotivation #cardio #training #muaythai #fit #fitfam #fitness #fitnessmotivation #fitlife #healthylifestyle #nevergiveup #keepongoing #weekend #sunday #eliteboxing</t>
  </si>
  <si>
    <t>Elite Boxing &amp; Muay Thai Ortigas Emerald</t>
  </si>
  <si>
    <t>1580400270213422487_5801959162</t>
  </si>
  <si>
    <t>🔥We all need other poeple, but the right people! Do you agree? 🌟Comment below! ✏️ Feel free to use and share this post. ❤️ Thank you @shaazjungphotography for an amazing picture! 💎</t>
  </si>
  <si>
    <t>1580400625194108885_19869447</t>
  </si>
  <si>
    <t>休息一下⋯⋯最後的週末悠哉時光
Wrapping up the day...
#keepongoing #funeverywhere #relax #oreosmoothie #hot #shanghai #China #biztrip #whathappensatwork #新天地 #上海</t>
  </si>
  <si>
    <t>有練 Sweat &amp; Tears</t>
  </si>
  <si>
    <t>hot</t>
  </si>
  <si>
    <t>新天地</t>
  </si>
  <si>
    <t>_oanador_</t>
  </si>
  <si>
    <t>1580404944808606251_4969044692</t>
  </si>
  <si>
    <t>#face #details #summerdays #weekend #sunday #beach #ink #tan #relax #seriousface #keepongoing #friends #family #mytime #fit #fitbody #fitgirl #normal #lifestyle</t>
  </si>
  <si>
    <t>Fratelli Beach Mamaia</t>
  </si>
  <si>
    <t>beach</t>
  </si>
  <si>
    <t>fit</t>
  </si>
  <si>
    <t>normal</t>
  </si>
  <si>
    <t>face</t>
  </si>
  <si>
    <t>manjana.louwage</t>
  </si>
  <si>
    <t>1580405908993987167_1313690697</t>
  </si>
  <si>
    <t>Na 4 weken eindelijk nog eens gesport. De teller staat op -13,2kg, in 7 maanden, woppa. #weightloss #fitgirl #keepongoing #motivationpic</t>
  </si>
  <si>
    <t>motivationpic</t>
  </si>
  <si>
    <t>liefje_roemendael</t>
  </si>
  <si>
    <t>1580408171217699824_3919995575</t>
  </si>
  <si>
    <t>#feestje 
#again
#keepongoing
#lakker!!</t>
  </si>
  <si>
    <t>Antwerp Pride</t>
  </si>
  <si>
    <t>lakker</t>
  </si>
  <si>
    <t>again</t>
  </si>
  <si>
    <t>feestje</t>
  </si>
  <si>
    <t>helen.sportylover</t>
  </si>
  <si>
    <t>1580436721535076387_257190340</t>
  </si>
  <si>
    <t>Hello lunch #fitterplannet  #fit #fckperfect  #fitmom  #stronger  #keepongoing  #strong  #gainz  #healthyfood</t>
  </si>
  <si>
    <t>gainz</t>
  </si>
  <si>
    <t>fckperfect</t>
  </si>
  <si>
    <t>fitterplannet</t>
  </si>
  <si>
    <t>1580436733480133070_1684424176</t>
  </si>
  <si>
    <t>@millionaireimage 
@millionaireimage 
___________________________ 
#oilbusiness #doitforyourself #betterme #beyourown #keeponkeepingon #workforwhatyouwant  #marketingmoment #marketingsolutions #encourageyourself #bethechangeyouwanttosee #youvegotthis #oilfieldlife #millionairequotes #inspirationalthoughts #positivepeople #americanbusiness #quoteme #quoteaccount #strategize #seemslegit #youdoyou #inspirationalpost #businessownership #businessisbusiness #keepongoing #selfconfidence #bewhoyouare #bewhatyouwanttobe #socialinfluencers #socialize</t>
  </si>
  <si>
    <t>betterme</t>
  </si>
  <si>
    <t>doitforyourself</t>
  </si>
  <si>
    <t>bethechangeyouwanttosee</t>
  </si>
  <si>
    <t>world_of_karolina</t>
  </si>
  <si>
    <t>1580441084700870908_469198559</t>
  </si>
  <si>
    <t>So true! #beyourself #behappy #dontcompromiseyourself #dontplanonmoving #keepongoing #liveandletlive #letthelifesurpriseyou</t>
  </si>
  <si>
    <t>10 Holloway Circus</t>
  </si>
  <si>
    <t>behappy</t>
  </si>
  <si>
    <t>dontplanonmoving</t>
  </si>
  <si>
    <t>dontcompromiseyourself</t>
  </si>
  <si>
    <t>anoushehusain</t>
  </si>
  <si>
    <t>1580441676835575863_4249248273</t>
  </si>
  <si>
    <t>What a journey! I've compiled a video of how my left rockover has evolved in over a year. The first vid is May 2016, I need both arms to help me up and my hips pop out completely. The second, this time last year. Again, still completely reliant on arms to pull me up and stay on the wall. The third, @manchester_climbing_centre October last year during the paraclimbing competitions. I froze on the left rockover. And the last video last week on my first 6b @thecastleclimbingcentre the rockover is just a completely different beast. I hesitate a lot less and sometimes not at all. Above all? I'm actually managing them now. Thanks to all my partners who have constantly encouraged me through this process. Who have helped me face my fears. Thanks to @ladiesstrengthcoach these rockovers would never have progressed this much at this pace without you training me. With less than one month to go before the first competition, my partners are all telling me I'm a better climber, the grade attests to that too. But video evidence makes it loud and clear. I have loads to improve on, but that's ok - it just means I'm still on the journey :) @thisgirlcanclimbing @teambmc #amputee #paraclimbing #climber #climbing_is_my_passion #climbing_pictures_of_instagram #thisgirlcan #thisgirlcanclimb #muslim #hijab #progress #training #competition @ehlersdanlosuk #ehlersdanlossyndrome #cancersurvivor #selfdiscipline #believeinyourself #competition #dontgiveup #determination #fear #goals #growth #journey #sundaymotivation #lookingback #yesican #potential #keepongoing</t>
  </si>
  <si>
    <t>climbing_is_my_passion</t>
  </si>
  <si>
    <t>selfdiscipline</t>
  </si>
  <si>
    <t>ehlersdanlossyndrome</t>
  </si>
  <si>
    <t>fear</t>
  </si>
  <si>
    <t>lookingback</t>
  </si>
  <si>
    <t>imotiv.quotes</t>
  </si>
  <si>
    <t>1580443090753615285_4190709252</t>
  </si>
  <si>
    <t>Keep moving forward 👣
▪ ▪ ▪
@imotiv.quotes 
@imotiv.quotes 
@imotiv.quotes</t>
  </si>
  <si>
    <t>lukeawright1995</t>
  </si>
  <si>
    <t>1580445136911653899_1817840123</t>
  </si>
  <si>
    <t>#newbeginnings #strong #keepongoing #dontlookback #lookforward #positivequotes</t>
  </si>
  <si>
    <t>lookforward</t>
  </si>
  <si>
    <t>dontlookback</t>
  </si>
  <si>
    <t>newbeginnings</t>
  </si>
  <si>
    <t>lynnvangestel</t>
  </si>
  <si>
    <t>1580445886801827576_187646092</t>
  </si>
  <si>
    <t>Sundays are for selfies?! 😅 • • • • • 
#sorrynotsosorry #snapchat #snapchatfilters #chinup #keepongoing #keepyourheadup #keepyourheartstrong #shamelessselfie #carfie #blackandwhite #selfie #filters #gottoloveit #thisisme #belgiangirl #belgian #potd #collage ✌🏼️🤔😅</t>
  </si>
  <si>
    <t>snapchat</t>
  </si>
  <si>
    <t>belgian</t>
  </si>
  <si>
    <t>keepyourheadup</t>
  </si>
  <si>
    <t>gottoloveit</t>
  </si>
  <si>
    <t>thenaturalgrip</t>
  </si>
  <si>
    <t>1580446952557887323_485297255</t>
  </si>
  <si>
    <t>We get it, life is hard, summer is almost over, work is a lot of work.... Just keep on keeping on YOU GOT THIS!! 😘</t>
  </si>
  <si>
    <t>gymnasticsgrip</t>
  </si>
  <si>
    <t>yougotthis</t>
  </si>
  <si>
    <t>protectyourhands</t>
  </si>
  <si>
    <t>betterthanyesterday</t>
  </si>
  <si>
    <t>1580450966314905257_5586814877</t>
  </si>
  <si>
    <t>Another cake baked this morning for my friend's beautiful daughter 💖 The bottom layer is chocolate fudge and the top strawberry and vanilla ☺️My whole house smells of cake and sugar 😭 😂
#notsoslimmimgworld #fooddiary #slimmingworld #sw #slimmingworldfood #slimmingworldjourney #health #happiness #selfimprovement #bethebestyou #keepongoing #nomorestartingover</t>
  </si>
  <si>
    <t>fooddiary</t>
  </si>
  <si>
    <t>notsoslimmimgworld</t>
  </si>
  <si>
    <t>carla_jacobs</t>
  </si>
  <si>
    <t>1580457061829173770_191739032</t>
  </si>
  <si>
    <t>Dat had ik even nodig! 🌞
#keepongoing #rondjelangshetwater #lekkerbewegen #maximakanaal #sluisbijempel #maas #mtb #mountainbike #cycling #brabantfietst</t>
  </si>
  <si>
    <t>Sluis Empel</t>
  </si>
  <si>
    <t>sluisbijempel</t>
  </si>
  <si>
    <t>brabantfietst</t>
  </si>
  <si>
    <t>mountainbike</t>
  </si>
  <si>
    <t>mtb</t>
  </si>
  <si>
    <t>1580458673506325373_3933031352</t>
  </si>
  <si>
    <t>#overground #peopleinlondon #keepongoing</t>
  </si>
  <si>
    <t>peopleinlondon</t>
  </si>
  <si>
    <t>overground</t>
  </si>
  <si>
    <t>miezekaetzchen004</t>
  </si>
  <si>
    <t>1580472384083025692_3154278915</t>
  </si>
  <si>
    <t>"Ganz egal wo wir sind, erstmal an die Bar
Wir sind am Saufen, immer blau wie ein Zwanziger"
.
.
.
.
.
.
Estikay - Auf entspannt
Hangover Jam 2017, Hannover</t>
  </si>
  <si>
    <t>Hangover Jam</t>
  </si>
  <si>
    <t>estikay</t>
  </si>
  <si>
    <t>photooftheday</t>
  </si>
  <si>
    <t>hangoverjam</t>
  </si>
  <si>
    <t>kamauabayomi</t>
  </si>
  <si>
    <t>1580474970457515126_2002022692</t>
  </si>
  <si>
    <t>#andromeda #starseed #afroninja #feeling #homesick on this #intergalactic #earthmission because #humansbetrippin on #race as if the #infinite #soul doesn't exist and if I #godeep on the subject they look at me #craycray but I #keepongoing</t>
  </si>
  <si>
    <t>earthmission</t>
  </si>
  <si>
    <t>starseed</t>
  </si>
  <si>
    <t>race</t>
  </si>
  <si>
    <t>feeling</t>
  </si>
  <si>
    <t>aracelimanzanoch</t>
  </si>
  <si>
    <t>1580475193711906647_534862911</t>
  </si>
  <si>
    <t>🛫 🇨🇮🍀
.
.
.
.
.
.
.
.
.
#goodmorning #niceday #ireland #therewego #summervibes #newtrip #sunnydays #keepongoing #red</t>
  </si>
  <si>
    <t>Bilbao Airport</t>
  </si>
  <si>
    <t>niceday</t>
  </si>
  <si>
    <t>sunnydays</t>
  </si>
  <si>
    <t>red</t>
  </si>
  <si>
    <t>summervibes</t>
  </si>
  <si>
    <t>1580483341508927585_1684424176</t>
  </si>
  <si>
    <t>the.digital.nomad</t>
  </si>
  <si>
    <t>1580490678068388994_1750704811</t>
  </si>
  <si>
    <t>Follow @the.digital.nomad for Epic Travel Photos!
What a exotic crystal clear water 😍💙 Bintan Island - Indonesia
📷@yudhisa_putra
.
.
.
.
.
.
.
.
#feelinginspired #wayup #creativeprocess #wildernessculture #midoritravelersnotebook #traveldeals #girlsjustwannatravel #keepongoing #thaitraveling #sunset_ig #travelpicsdaily #lifejourney #liveyourpassion #sky #destinationearth #thetravelwomen #biketravel #airtravel #traveldiaries #paradiseinterior #travelagents #ilovetraveling #discoverearth #energypro #travelinsta</t>
  </si>
  <si>
    <t>wildernessculture</t>
  </si>
  <si>
    <t>paradiseinterior</t>
  </si>
  <si>
    <t>ilovetraveling</t>
  </si>
  <si>
    <t>sunset_ig</t>
  </si>
  <si>
    <t>airtravel</t>
  </si>
  <si>
    <t>untilifindhome</t>
  </si>
  <si>
    <t>1580490680642432688_396521172</t>
  </si>
  <si>
    <t>Man vs Sperm Whales. Dominica. Photo by @keriwilk
.
.
.
.
.
.
.
.
#safetravels #vsco #traveladventures #travelandlife #weliketotravel #familypet #paradisedynasty #radtravel #paradises #ecotravel #keepongoing #travelbreak #lifeonourplanet #meditative #travelaccessories #mindthemountain #traveldiaries #paycationtravel #paradisepark #yogastrong #livenow #paradisecoast #wildernessculture #earthdiscoveries #travelvlog</t>
  </si>
  <si>
    <t>familypet</t>
  </si>
  <si>
    <t>paycationtravel</t>
  </si>
  <si>
    <t>travelaccessories</t>
  </si>
  <si>
    <t>radtravel</t>
  </si>
  <si>
    <t>1580490844799976399_1684424176</t>
  </si>
  <si>
    <t>1580492945432734422_5801959162</t>
  </si>
  <si>
    <t>💎 Yesterday you told me "I will start tomorrow" Just do it now!🔥 Do you agree? 😃 Comment below! ✏️ Feel free to use and share this! Thank you @motivationmafia for an amazing picture</t>
  </si>
  <si>
    <t>robnelson.fitness</t>
  </si>
  <si>
    <t>1580503188527110878_1653711937</t>
  </si>
  <si>
    <t>" I lost more folks than I won " 
Is it possible to loose more people than I have..... Idk, but I keep trying to get up an be happy.... Life ain't the same for everyone. 
#guitar#life#thoughts#keepongoing</t>
  </si>
  <si>
    <t>guitar</t>
  </si>
  <si>
    <t>carla.havermans</t>
  </si>
  <si>
    <t>1580509917465382010_3561179214</t>
  </si>
  <si>
    <t>When I start making selfies, it means I'm very bored.. 3 more days till thesis deadline, and then I'm (hopefully) a master in geography #lookingforward #itsbeenenough #thesistime #selfietime #masterstudent #holidaysarecoming #almost #keepongoing #geographer #model #actress #blondhair</t>
  </si>
  <si>
    <t>Gent, Belgium</t>
  </si>
  <si>
    <t>selfietime</t>
  </si>
  <si>
    <t>model</t>
  </si>
  <si>
    <t>thesistime</t>
  </si>
  <si>
    <t>blondhair</t>
  </si>
  <si>
    <t>lookingforward</t>
  </si>
  <si>
    <t>nlwconline</t>
  </si>
  <si>
    <t>1580512056023790023_1907316384</t>
  </si>
  <si>
    <t>Elder Donald Walker speaking this morning at New Life West! Hebrews 11:1. Watch on #periscope: nlwconline #NLWest #KeepOnGoing</t>
  </si>
  <si>
    <t>periscope</t>
  </si>
  <si>
    <t>nlwest</t>
  </si>
  <si>
    <t>1580514393702055731_5705167414</t>
  </si>
  <si>
    <t>Chef × King #Dubnation
-
-
-
-
-
-
-
-
-
-
-
-
-
-
-
-
-
-
-
-
-
-
-
-
-
-
-
-
-
-
-
-
-
-
-
-
-
-
-
-
 #StephGonnaSteph #Mvp #SC30 #KT11 #DG23 #CURRYMVP #KEEPONGOING #NEVERGIVEUP #WCF #WEST #WESTERNCONFERENCEFINALS #CHAMPS #DUBSFORCHAMPS #DUBS #ALWAYSBELIEVEINGOD #STEPHENCURRY #EVEN #NBA #2016CHAMPS #CHAMPIONS #LOCKIN #STEPH #SPLASH #SPLASHBROS  #like4like #like4follow #follow4follow</t>
  </si>
  <si>
    <t>splash</t>
  </si>
  <si>
    <t>1580515921334734972_1516203357</t>
  </si>
  <si>
    <t>Domingo de vuelos y radio. Directa al estudio de RNE Radio 5 para intervenir en el programa Kilómetros de radio con @castromengibar. 
Escúchanos!
#listosparadespegue #fly #youcan #pilot #aircraft #vamos #tupuedes #move #keepongoing #beyou #bepositive #staypositive #smile #enjoy #workout</t>
  </si>
  <si>
    <t>youcan</t>
  </si>
  <si>
    <t>move</t>
  </si>
  <si>
    <t>enjoy</t>
  </si>
  <si>
    <t>sportolojulcsi_official</t>
  </si>
  <si>
    <t>1580519910513928244_2986836236</t>
  </si>
  <si>
    <t>Borzos felmaszott a kanapera.... ejnye Borzos! Kiviszem delutan futni egy laza dupla maratont bemelegitesnek. Ha nem akar futni utanamegyek egy sepruvel. Fuss Borzos! Pici pihi, proteines feherjes banan shake, es indulhatunk is😉 szep delutant a napsutotte Zala megyebol😍😉😉 #sleepingbeauty #protein #sport #ironlady #ironnation #sportolojulcsiofficial #sportlady #tagsforlikes #teamJulcsi #imwithher #talent #talentedkid #prodigy #nutribullett #keepongoing #nevergiveup #healthy #healthylifestyle #proudmama</t>
  </si>
  <si>
    <t>nutribullett</t>
  </si>
  <si>
    <t>prodigy</t>
  </si>
  <si>
    <t>proudmama</t>
  </si>
  <si>
    <t>teamjulcsi</t>
  </si>
  <si>
    <t>soph_maureen</t>
  </si>
  <si>
    <t>1580520132316107554_4658141864</t>
  </si>
  <si>
    <t>Sunday walk 🏞
#sundays #sun #goforawalk #upthemountain #keepongoing #outdoors #allbymyself #nature #freeyourmind #clearwater #sundaypic</t>
  </si>
  <si>
    <t>Helena</t>
  </si>
  <si>
    <t>Bayern, Germany</t>
  </si>
  <si>
    <t>sundays</t>
  </si>
  <si>
    <t>goforawalk</t>
  </si>
  <si>
    <t>outdoors</t>
  </si>
  <si>
    <t>sundaypic</t>
  </si>
  <si>
    <t>drone_feed</t>
  </si>
  <si>
    <t>1580520421286423223_3622431891</t>
  </si>
  <si>
    <t>Pool party ⌘ 📸 by: @wrenees
Follow @drone_feed for the best Drone Shots!
.
.
.
.
.
.
.
#travelinspired #travelbook #livefornow #vacaymode #leavenworth #liveforit #indonesiatravel #travelpost #yogadudes #lifeistravel #webstagram #discovertheroad #sunsetcliffs #thetravelwomen #wildernessculture #keepongoing #adventurebuddies #condenasttraveler #adventureculture #paradiseofpetals</t>
  </si>
  <si>
    <t>thetravelwomen</t>
  </si>
  <si>
    <t>travelpost</t>
  </si>
  <si>
    <t>vacaymode</t>
  </si>
  <si>
    <t>discovertheroad</t>
  </si>
  <si>
    <t>adventureculture</t>
  </si>
  <si>
    <t>1580523556947698761_1972606430</t>
  </si>
  <si>
    <t>If you could do anything what would it be? | #prestoknowsbest
-
-
#liveandlearn #dontsettle #mindsetshift #dropout #content #quotesoflife #fireyourboss #empowernetwork #onlinesuccess #personalgrowth #motivateyourself #betteryourself #keepongoing #mindsetiseverything #inspiredaily #valueyourself #valuelife #entrepreneurmind #newmindset #goalachiever</t>
  </si>
  <si>
    <t>sooner816</t>
  </si>
  <si>
    <t>1580525557907927225_759601053</t>
  </si>
  <si>
    <t>Silver surfer reward jersey ride!!! #405bicycles #specializedallez #jerseyhatsocksandglasses #ilovecrhg #keepongoing #paysoff #yawpoftheday #under2</t>
  </si>
  <si>
    <t>Moore, Oklahoma</t>
  </si>
  <si>
    <t>yawpoftheday</t>
  </si>
  <si>
    <t>jerseyhatsocksandglasses</t>
  </si>
  <si>
    <t>under2</t>
  </si>
  <si>
    <t>specializedallez</t>
  </si>
  <si>
    <t>1580526171265860826_1516203357</t>
  </si>
  <si>
    <t>Y estamos en el aire! El programa de hoy promete! No te lo pierdas, en estos momentos en RNE Radio 5 con @castromengibar 
Escúchanos!
#listosparadespegue #fly #youcan #pilot #aircraft #vamos #tupuedes #move #keepongoing #beyou #bepositive #staypositive #smile #enjoy #workout</t>
  </si>
  <si>
    <t>1580529570430396729_19869447</t>
  </si>
  <si>
    <t>Random snaps on the road.
#豫園 #上海 #老街
#funeverywhere #keepongoing #biztrip #shanghai #China #takeabreak</t>
  </si>
  <si>
    <t>Earlybird</t>
  </si>
  <si>
    <t>上海豫園老街古城公園</t>
  </si>
  <si>
    <t>takeabreak</t>
  </si>
  <si>
    <t>上海</t>
  </si>
  <si>
    <t>老街</t>
  </si>
  <si>
    <t>pointlessbutok</t>
  </si>
  <si>
    <t>1580529595873293136_5739292081</t>
  </si>
  <si>
    <t>"Tu y étais presque / you were almost there" #characters #characterdesign #paperart #yellow #labels #pastel #keepongoing #lifecoach #collage #handwriting</t>
  </si>
  <si>
    <t>collage</t>
  </si>
  <si>
    <t>pastel</t>
  </si>
  <si>
    <t>yellow</t>
  </si>
  <si>
    <t>characterdesign</t>
  </si>
  <si>
    <t>lifecoach</t>
  </si>
  <si>
    <t>anja_relaxstudio</t>
  </si>
  <si>
    <t>1580534105270797586_556928678</t>
  </si>
  <si>
    <t>Nailed#it#again#can#do#this#on#my#own#strong#girl#tigerpower#Nike#Herbalife24#hydrate#keepongoing</t>
  </si>
  <si>
    <t>herbalife24</t>
  </si>
  <si>
    <t>this</t>
  </si>
  <si>
    <t>on</t>
  </si>
  <si>
    <t>not_hans</t>
  </si>
  <si>
    <t>1580534369822339747_5869703664</t>
  </si>
  <si>
    <t>Keep on
.
.
.
.
.
.
#travel#traveling#visiting#instatravel#instago#instagood#trip#holiday#photooftheday#fun#travelling#tourism#tourist#instapassport#instatraveling#mytravelgram#travelgram#travelingram#igtravel #walk #dream #live #nature #beautiful #bridge #lost #lucky #keepongoing #dontstop #dontquit</t>
  </si>
  <si>
    <t>United States</t>
  </si>
  <si>
    <t>travelingram</t>
  </si>
  <si>
    <t>dontstop</t>
  </si>
  <si>
    <t>dontquit</t>
  </si>
  <si>
    <t>instapassport</t>
  </si>
  <si>
    <t>algoti_cotane</t>
  </si>
  <si>
    <t>1580537633402437641_5073248504</t>
  </si>
  <si>
    <t>Don't give up, best things don't come easy...just keep on going!
Picture taking by me (2016)
I didn't find out who said these words. I found them about 14 years ago somewhere in the internet.
#motivated #motivation #motivationquotes #quotes #sunset #sea #sun #sky #overcome #fear #power #believe #work #keepongoing</t>
  </si>
  <si>
    <t>work</t>
  </si>
  <si>
    <t>motivationquotes</t>
  </si>
  <si>
    <t>sky</t>
  </si>
  <si>
    <t>_carmengm</t>
  </si>
  <si>
    <t>1580538487873398279_1247781739</t>
  </si>
  <si>
    <t>Triatlón de Adra. 
Muy buen segmento de agua quedando tercera,  la parte de la bici regularcilla por tanto tiempo sin cogerla y finalmente la carrera a pie bastante mejor de lo que me esperaba. 
Noveno puesto entre las mujeres y primer puesto cadete básicamente porque las demás están de vacaciones 😜😜 #keepongoing #womenfortri #nonstop</t>
  </si>
  <si>
    <t>Almería, Spain</t>
  </si>
  <si>
    <t>nonstop</t>
  </si>
  <si>
    <t>womenfortri</t>
  </si>
  <si>
    <t>1580543558728277877_4773778225</t>
  </si>
  <si>
    <t>Morning stroll #worldtravelbook #flashesofdelight #art #lake #rainbow #goodafternoonpost #keeponkeepingon #keepongoing #motivation #motivationeveryday #sunset #flowers #architecturephotography #architecture #tagsforlikes #bluesky #likesforlikes #follow #almosttheweekend #smile #happy #morningmotivation #flower #behappy #grateful</t>
  </si>
  <si>
    <t>Canada</t>
  </si>
  <si>
    <t>worldtravelbook</t>
  </si>
  <si>
    <t>rainbow</t>
  </si>
  <si>
    <t>motivationeveryday</t>
  </si>
  <si>
    <t>1580543621651536334_274727915</t>
  </si>
  <si>
    <t>Voor alles een eerste keer zeker! #nevergiveup #ibuprofenisdoping #goedloopje #keeponrunning #firsttime #whoepwhoep #datgingsmooth #proud #healthylifestyle #running #sporting #goingwell #omg #healthy #goodontrack #keepongoing #picoftheday #l4l</t>
  </si>
  <si>
    <t>goodontrack</t>
  </si>
  <si>
    <t>goedloopje</t>
  </si>
  <si>
    <t>goingwell</t>
  </si>
  <si>
    <t>datgingsmooth</t>
  </si>
  <si>
    <t>1580551579713663120_5705167414</t>
  </si>
  <si>
    <t>I know it's a really really late post, but imma post it anyway, first game is against the Rockets, excited to see Steph vs CP3 #Dubnation
-
-
-
-
-
-
-
-
-
-
-
-
-
-
-
-
-
-
-
-
-
-
-
-
-
-
-
-
-
-
-
-
-
-
-
-
-
-
-
-
 #StephGonnaSteph #Mvp #SC30 #KT11 #DG23 #CURRYMVP #KEEPONGOING #NEVERGIVEUP #WCF #WEST #WESTERNCONFERENCEFINALS #CHAMPS #DUBSFORCHAMPS #DUBS #ALWAYSBELIEVEINGOD #STEPHENCURRY #EVEN #NBA #2016CHAMPS #CHAMPIONS #LOCKIN #STEPH #SPLASH #SPLASHBROS  #like4like #like4follow #follow4follow</t>
  </si>
  <si>
    <t>u_jane</t>
  </si>
  <si>
    <t>1580555146785326780_316145575</t>
  </si>
  <si>
    <t>登登登登～我的周末就是这么度过的.... #howispentmyweekend #tiredyetfun #gainsomeexperience #keepongoing #jiayouuu #icanbebetterthanwhatithink #gogogogo #fighting #ujanelim</t>
  </si>
  <si>
    <t>gogogogo</t>
  </si>
  <si>
    <t>howispentmyweekend</t>
  </si>
  <si>
    <t>icanbebetterthanwhatithink</t>
  </si>
  <si>
    <t>ujanelim</t>
  </si>
  <si>
    <t>tiredyetfun</t>
  </si>
  <si>
    <t>hamzakai</t>
  </si>
  <si>
    <t>1580555438431347393_38177443</t>
  </si>
  <si>
    <t>I've come a long way and it's a long way to go .
.
.
.
.
#artoftheday #discoverearth #exploretocreate #ExploreOurEarth #inspired #keepitwild #liveauthentic #meistershots #theoutdoorfolk #urban #vacation #visualsoflife #welivetoexplore #wekeepmoments #keepongoing #artofvisuals #stayandwander #roamtheplanet #liveoutdoors #bevisuallyinspired #all2epic #awesome #pure #awesomeshot #shotzdelight #theyshootn #createandcapture #theimaged #featuremeinstagood</t>
  </si>
  <si>
    <t>theoutdoorfolk</t>
  </si>
  <si>
    <t>welivetoexplore</t>
  </si>
  <si>
    <t>artoftheday</t>
  </si>
  <si>
    <t>awesomeshot</t>
  </si>
  <si>
    <t>mark_de_bruin</t>
  </si>
  <si>
    <t>1580556597418092939_224327808</t>
  </si>
  <si>
    <t>HEXABAR💯KG 15 REPS × 4
#bodybuilding#itwillbefuntheysaid😂#fitness
#love #trainhard#dedication#power 
#fitnessmodel#fitness#technogym
#weider#sport#rippd#like4like#motivation
#plaza#technogym
#germany#ifbb#keepongoing
#noexcuses</t>
  </si>
  <si>
    <t>ifbb</t>
  </si>
  <si>
    <t>rippd</t>
  </si>
  <si>
    <t>ncyogi_vana</t>
  </si>
  <si>
    <t>1580559155533881415_3842700</t>
  </si>
  <si>
    <t>✨Nothing happens to you ... it happens FOR you. ✨
Weather it's what feels like a super shitty thing or a super exciting uplifting thing .. everything that happens serves a purpose. A higher purpose than we can even fathom. Have gratitude and learn from whatever is going on in your day. ✨ Happy Sunday Y'all ! 🙌🏼 Day 1 of #mermaidyogaparty  with the beautiful hosts: @carolineanne92 @ponzusworld @bahayogi &amp; the sweet generous sponsor: @werkshop ! 🕉Chakra leggings by @sivanaspirit ! 
#yogafun #yogachallenge #mermaidpose #mermaid #love #everythinghappensforareason #keepongoing #gratefulyogi #gratitude #sunshine #omwithme #selflove #happiness #myhappyplace #instayoga #picoftheday #yogaeverydamnday #namaste</t>
  </si>
  <si>
    <t>Ocracoke, North Carolina</t>
  </si>
  <si>
    <t>gratefulyogi</t>
  </si>
  <si>
    <t>mermaidpose</t>
  </si>
  <si>
    <t>omwithme</t>
  </si>
  <si>
    <t>namaste</t>
  </si>
  <si>
    <t>p.iii.aaa</t>
  </si>
  <si>
    <t>1580562075272700775_2440725585</t>
  </si>
  <si>
    <t>Volticamp 2017 💪
#volti #train #keepongoing</t>
  </si>
  <si>
    <t>train</t>
  </si>
  <si>
    <t>volti</t>
  </si>
  <si>
    <t>1580564054496294685_5705167414</t>
  </si>
  <si>
    <t>#8 -  Jimmy Butler, this season has been pretty good for Butler averaging 23.9 ppg, 6.2 rpg, 5.5 apg, and 1.9 spg, Jimmy has evolved as a player, from being drafted number 30th overall to becoming a 3 time all star and making it into the All NBA, Jimmy has lead the Bulls with all his might but sadly it wasn't enough, going to Minessota was the perfect decision, the Bulls can now go rebuild mode and Butler actually has a chance at a championship, teaming up with KAT and Wiggins, Minessota will be a really dangerous team knowing their firepower and defensive presence from both KAT and Butler, Butler can also teach Wiggins to become a better player, teaching him defense which could really benefit Minessota in the future  #Dubnation
-
-
-
-
-
-
-
-
-
-
-
-
-
-
-
-
-
-
-
-
-
-
-
-
-
-
-
-
-
-
-
-
-
-
-
-
-
-
-
-
 #StephGonnaSteph #Mvp #SC30 #KT11 #DG23 #CURRYMVP #KEEPONGOING #NEVERGIVEUP #WCF #WEST #WESTERNCONFERENCEFINALS #CHAMPS #DUBSFORCHAMPS #DUBS #ALWAYSBELIEVEINGOD #STEPHENCURRY #EVEN #NBA #2016CHAMPS #CHAMPIONS #LOCKIN #STEPH #SPLASH #SPLASHBROS  #like4like #like4follow #follow4follow</t>
  </si>
  <si>
    <t>natasja_verster</t>
  </si>
  <si>
    <t>1580567104308948171_2233074627</t>
  </si>
  <si>
    <t>Keep your dreams alive. Understand that to achieve anything requires faith, to believe in yourself, vision, hard work, determination and dedication.
Remember all things are possible for those who believe
#volgjoudrome #keepongoing #matriekismoslekker #matriek2017 #hoodiegirl #workhardplaylater #fernweh 😊</t>
  </si>
  <si>
    <t>fernweh</t>
  </si>
  <si>
    <t>hoodiegirl</t>
  </si>
  <si>
    <t>workhardplaylater</t>
  </si>
  <si>
    <t>matriekismoslekker</t>
  </si>
  <si>
    <t>nikkianderson89</t>
  </si>
  <si>
    <t>1580567928331576801_287479761</t>
  </si>
  <si>
    <t>This past week getting back into the gym has been rough. DOMS is so real right now haha! I had to take a couple more rest days then what I normally would take. Rib is still not quite right, so I'm just going with the flow! Bench is the only thing that doesn't hurt at all so i of course had to kill it. And now I can barely lift my arms 😂 feels good to be in again that week and a half sucked! #nursingwounds #fitnessaddict #motivated #legday #mommaof4 #fitfam #fitmom #keepongoing #heyicangetpretty #makeup #karity</t>
  </si>
  <si>
    <t>makeup</t>
  </si>
  <si>
    <t>mommaof4</t>
  </si>
  <si>
    <t>frenchologieofficial</t>
  </si>
  <si>
    <t>1580568162439803559_4572215291</t>
  </si>
  <si>
    <t>Summer is not over! #keepongoing 🇫🇷 La base
.
.
.
.
.
#frenchstyle #frenchgirl #france #french #blogger #frenchblogger #summer #frenchsummer #aperitif #apero #rosé #wine #winenight #wino #cheers #cincin</t>
  </si>
  <si>
    <t>Paris, France</t>
  </si>
  <si>
    <t>frenchblogger</t>
  </si>
  <si>
    <t>french</t>
  </si>
  <si>
    <t>winenight</t>
  </si>
  <si>
    <t>frenchsummer</t>
  </si>
  <si>
    <t>cincin</t>
  </si>
  <si>
    <t>marty_vanpelt</t>
  </si>
  <si>
    <t>1580569170172867264_1459169136</t>
  </si>
  <si>
    <t>#variantespiritual #caminodesantiago #caminoportugués #everforward #keepongoing #sunset #walking #inthecountry #galizia</t>
  </si>
  <si>
    <t>variantespiritual</t>
  </si>
  <si>
    <t>galizia</t>
  </si>
  <si>
    <t>walking</t>
  </si>
  <si>
    <t>caminoportugués</t>
  </si>
  <si>
    <t>inthecountry</t>
  </si>
  <si>
    <t>depression2anxietysupport</t>
  </si>
  <si>
    <t>1580570692856092428_4403734478</t>
  </si>
  <si>
    <t>It takes a lot for people to open up to each other.  This goes doubly so for someone who struggles with depression.  They understand the weight of their troubles–they are being crushed by them every day–and they don’t want to pass that weight off on someone else.  When they do share, and open themselves up, the sad fact is that most people run the other way.  Whether it’s the way it should happen or not, it does, and it causes a deep sense that by sharing anything, everyone will leave.  So they won’t be forthcoming with details, and will keep everything close to their chest, just so they don’t have to watch another person walk away again.
#mentalhealth #depression #anxiety #keepongoing #anxiety #mentalillness #recovery</t>
  </si>
  <si>
    <t>mentalillness</t>
  </si>
  <si>
    <t>recovery</t>
  </si>
  <si>
    <t>running_abby</t>
  </si>
  <si>
    <t>1580571673734802041_35251229</t>
  </si>
  <si>
    <t>12 mile training run complete ✔️ I love finding new routes, today I found a bridge that led to a field of cows 🐮 I didn't run through but added in some step training as part of my run 🏃🏻‍♀️</t>
  </si>
  <si>
    <t>rungry</t>
  </si>
  <si>
    <t>steppingup</t>
  </si>
  <si>
    <t>instarunners</t>
  </si>
  <si>
    <t>ukrunners</t>
  </si>
  <si>
    <t>runningup</t>
  </si>
  <si>
    <t>_larchenka_</t>
  </si>
  <si>
    <t>1580575232526213642_3558771772</t>
  </si>
  <si>
    <t>#Rocknroll #run #10k #pb  #dublin #happydays #keepongoing</t>
  </si>
  <si>
    <t>Phoenix Park</t>
  </si>
  <si>
    <t>pb</t>
  </si>
  <si>
    <t>rocknroll</t>
  </si>
  <si>
    <t>10k</t>
  </si>
  <si>
    <t>k_insect</t>
  </si>
  <si>
    <t>1580578562669431155_5386452647</t>
  </si>
  <si>
    <t>Vielä on kesää jäljellä! Don't worry be happy! Nice and enjoyable next week for everybody wishes Paju = Willow the dog! #enjoythelittlethings #enjoyinglife #enjoyinglifetothefullest #littlethings #keepongoing #keepongoing #minunelämä #minunmaisemani #saimaamoments #lakepuruvesi #puruvesi #saimaa #runner #ig_doglover #lovemydog #doggie #summer #summerfun #paju #willow #tiibetinterrieri #tibetanterrier #speedy #instadog #gulls</t>
  </si>
  <si>
    <t>Puruvesi</t>
  </si>
  <si>
    <t>summerfun</t>
  </si>
  <si>
    <t>paju</t>
  </si>
  <si>
    <t>speedy</t>
  </si>
  <si>
    <t>tiibetinterrieri</t>
  </si>
  <si>
    <t>littlethings</t>
  </si>
  <si>
    <t>destinydawn.77</t>
  </si>
  <si>
    <t>1580583157605185119_5728584337</t>
  </si>
  <si>
    <t>A little bit of motivation for all my friends who feel like they've made nearly no progress towards their goals....you're still ahead of all those people who haven't even bothered to try! Keep going strong!! You'll get there!! 😘😘 #KeepOnGoing #Goals #YouCanDoIt #BiggerPicture #WorkHard #achieveYourGoals #AtleastYoureTrying #YouGotThis</t>
  </si>
  <si>
    <t>biggerpicture</t>
  </si>
  <si>
    <t>achieveyourgoals</t>
  </si>
  <si>
    <t>mjay_justus</t>
  </si>
  <si>
    <t>1580583691934251241_418912223</t>
  </si>
  <si>
    <t>#fierce #women #phoenix #strongwomen #fromwithin #survivor #cantstopwontstop #flawedandfabulous #fiery #fearless #keepongoing #movingmountains #yesyoucan #lifelessons #strongertoday #lifeafter50</t>
  </si>
  <si>
    <t>phoenix</t>
  </si>
  <si>
    <t>cantstopwontstop</t>
  </si>
  <si>
    <t>strongertoday</t>
  </si>
  <si>
    <t>flawedandfabulous</t>
  </si>
  <si>
    <t>1580585971698103510_5801959162</t>
  </si>
  <si>
    <t>🔥There is a big different between being alone and being lovely! Do you agree? 🌟Comment below! ✏️ Feel free to use and share this post. ❤️ Thank you @iversen_82 for an amazing original picture! 💎</t>
  </si>
  <si>
    <t>majesticalglaze</t>
  </si>
  <si>
    <t>1580587346877165915_3182050703</t>
  </si>
  <si>
    <t>What else can I do?
#keepongoing #smile #numbthepain
#imokay #makeuponpoint #feelingmyself #maybeoneday #tattoos #stayhigh #igotthis</t>
  </si>
  <si>
    <t>igotthis</t>
  </si>
  <si>
    <t>imokay</t>
  </si>
  <si>
    <t>maybeoneday</t>
  </si>
  <si>
    <t>makeuponpoint</t>
  </si>
  <si>
    <t>numbthepain</t>
  </si>
  <si>
    <t>adayofemma</t>
  </si>
  <si>
    <t>1580588777930583965_976306233</t>
  </si>
  <si>
    <t>Today I brought my last child to a new vet and I've just realized they got white blood cell desease, which is as serious as cancer to human. 😞 They said they would try hard to bring the best to my son but they were not sure about him. 😞 But still, I feel safe under @quyenn.nt 's wings and I decided to just keep being peaceful and hopeful. I've also just buried my daughter which has gone yesterday and I felt lost. She's my beautiful babe and I don't know how I will survive these next days without my children. May the force be with my children. ❤️ Pray hard for my wife too, wish her the best 💕 #KeepOnGoing</t>
  </si>
  <si>
    <t>Bia Tạ Hiện</t>
  </si>
  <si>
    <t>myfootprintsnl</t>
  </si>
  <si>
    <t>1580596648986500553_2100247567</t>
  </si>
  <si>
    <t>We took a long bycicle trip around #Ootmarsum  We saw a few deer, a lot of hare and some beautiful old estates like #singraven. Next to the old mansion lies this #mill that syill works.
The weather wasn't as beautiful as we hoped, but we sure had fun. 
#twente #nederland #landhuis #toeristineigenland  #molen #ig_nederland #super_holland #denekamp #weekend #weekendbreak #weekendtrip #blogger #travelblog #keepongoing #bycicletour #discovertwente @visittwente</t>
  </si>
  <si>
    <t>Landgoed Singraven</t>
  </si>
  <si>
    <t>weekendtrip</t>
  </si>
  <si>
    <t>denekamp</t>
  </si>
  <si>
    <t>weekendbreak</t>
  </si>
  <si>
    <t>ootmarsum</t>
  </si>
  <si>
    <t>twente</t>
  </si>
  <si>
    <t>victoriapempyte</t>
  </si>
  <si>
    <t>1580599429583485194_596117310</t>
  </si>
  <si>
    <t>A Little progress each day adds up to big Results!! 💪🏼💪🏼 #keepongoing #progress #fitness #fitgirl #motivated #healthyliving #fitnessaddict 🤦🏼‍♀️💪🏼 #sundaymotivation 😎</t>
  </si>
  <si>
    <t>healthyliving</t>
  </si>
  <si>
    <t>sundaymotivation</t>
  </si>
  <si>
    <t>elzol1067fm</t>
  </si>
  <si>
    <t>1580603897465850446_211599856</t>
  </si>
  <si>
    <t>Apenas comenzando y esto esta biennnnnn #zolbeachhouse17 activos #henrysantos @alexsensation  #jowellyRandy @jquiles team sbs @nilson1067 @djhenryescobar @elchinonicoya @nelsonleonardo #kalixto #capitanzol @nilson1067 #keepongoing</t>
  </si>
  <si>
    <t>henrysantos</t>
  </si>
  <si>
    <t>zolbeachhouse17</t>
  </si>
  <si>
    <t>kalixto</t>
  </si>
  <si>
    <t>capitanzol</t>
  </si>
  <si>
    <t>jowellyrandy</t>
  </si>
  <si>
    <t>hanophie</t>
  </si>
  <si>
    <t>1580604367664620261_849419887</t>
  </si>
  <si>
    <t>Sometimes The Only Way To Go Is To Go On. Shake That Weight Off And You Will Be Ready To Fly.
#moveon #letgo #letitgo #quotestoliveby #instaquote #sundayfunday #sundayquote #musicquotes #keepongoing #livelifenow #livelovelaugh #lovelife  #quotes #keepongoing #survive  #lovehurts  #lifehurts #hustle #soulbird #indiaarie #shakeitoff #unbreakablekimmyschmidt</t>
  </si>
  <si>
    <t>letgo</t>
  </si>
  <si>
    <t>lovehurts</t>
  </si>
  <si>
    <t>hustle</t>
  </si>
  <si>
    <t>survive</t>
  </si>
  <si>
    <t>sundayfunday</t>
  </si>
  <si>
    <t>findingyouwithinsociety</t>
  </si>
  <si>
    <t>1580605227950131946_5378674078</t>
  </si>
  <si>
    <t>Persistence lets you get what you want, consistency ensures you keep it. Enjoying the journey every step of the way. Life always throws a few curve balls, obstacles and whatever else but we all got this.👌🏻💕
•
•
•
•
•
#enjoythejourney #persistence #motivationsunday #motivation #believeinyourself #focusonyou #yourpath #lovethis #quoteoftheday #quotestoliveby #instalikes #instagood #yougotthis #consistencyiskey #inspodaily #youreamazing #selfdevelopment #favouritequote #keepongoing #thingstoremember #lifestyleblogger #goodthingsarecoming 😘</t>
  </si>
  <si>
    <t>believeinyourself</t>
  </si>
  <si>
    <t>lovethis</t>
  </si>
  <si>
    <t>consistencyiskey</t>
  </si>
  <si>
    <t>goodthingsarecoming</t>
  </si>
  <si>
    <t>1580609522597992974_211599856</t>
  </si>
  <si>
    <t>Hace calor 💦 no importa nosotros tenemos toallitas @scottproducts! Pasa por nuestro booth y participa para ganar un año gratis de toallas #Scott #KeepOnGoing #MessyMoments #zolbeachhouse17</t>
  </si>
  <si>
    <t>messymoments</t>
  </si>
  <si>
    <t>scott</t>
  </si>
  <si>
    <t>alaindjreal</t>
  </si>
  <si>
    <t>1580609581736809990_20698703</t>
  </si>
  <si>
    <t>We love Monday 👽👽👽🎧🎧
#caincastratiaftercaposile #keepongoing 😏😏😏😏</t>
  </si>
  <si>
    <t>Ca'incastrati after caposile</t>
  </si>
  <si>
    <t>caincastratiaftercaposile</t>
  </si>
  <si>
    <t>1580609981060668785_211599856</t>
  </si>
  <si>
    <t>matthias_rieper</t>
  </si>
  <si>
    <t>1580610829258023152_1954485180</t>
  </si>
  <si>
    <t>💦💪
#summer #holidays #sunny #workout #handstand #keepongoing #chiglio</t>
  </si>
  <si>
    <t>Isola del Giglio</t>
  </si>
  <si>
    <t>holidays</t>
  </si>
  <si>
    <t>handstand</t>
  </si>
  <si>
    <t>sunny</t>
  </si>
  <si>
    <t>1580611969345866451_244228468</t>
  </si>
  <si>
    <t>🌟Get your daily dose of motivation with @motivationbyeli 💎</t>
  </si>
  <si>
    <t>alwaysgrinding</t>
  </si>
  <si>
    <t>gettingitdone</t>
  </si>
  <si>
    <t>1580613393950030400_1615759923</t>
  </si>
  <si>
    <t>@talktexasoil #octg thank  an oilman 
___________________________ 
#TalkTexasOil #doitforyourself #betterme #beyourown #keeponkeepingon #drillingrig #crudeoil #shale #workforwhatyouwant  #marketingsolutions #encourageyourself  #youvegotthis #oilfieldlife #pipeliners  #positivepeople  #trippingpipe #quoteaccount #strategize #seemslegit #youdoyou #inspirationalpost #businessownership #businessisbusiness #keepongoing #selfconfidence #bewhoyouare  #bewhatyouwanttobe #oilcountry #socialize</t>
  </si>
  <si>
    <t>crudeoil</t>
  </si>
  <si>
    <t>marketingsolutions</t>
  </si>
  <si>
    <t>youdoyou</t>
  </si>
  <si>
    <t>sastawear</t>
  </si>
  <si>
    <t>1580614086444781037_1015718327</t>
  </si>
  <si>
    <t>The hardest arithmetic to master is that which enables us to count our blessings.
We hope you guys had a relaxing weekend and the batteries are recharged.  Time to plan for the week ahead in business and the grind ;)
.
.
.
.
.
.
.
.
#potd #goals #business #buylocal #gymlife #street #streetstyle #gaeilge #insta #instaquote #inspirational #sunday #inspire #help #dontgiveup #keepongoing #forwards #marching #instagood #instago #quotestoliveby #weekend</t>
  </si>
  <si>
    <t>street</t>
  </si>
  <si>
    <t>potd</t>
  </si>
  <si>
    <t>gaeilge</t>
  </si>
  <si>
    <t>instago</t>
  </si>
  <si>
    <t>1580620452610214876_211599856</t>
  </si>
  <si>
    <t>La tarima ready !! @shotsmiami #heineken #zolbeachhouse17 #keepongoing</t>
  </si>
  <si>
    <t>heineken</t>
  </si>
  <si>
    <t>1580621158922131342_4773778225</t>
  </si>
  <si>
    <t>Little guy round ✌🏻#worldtravelbook #flashesofdelight #art #lake #rainbow #goodafternoonpost #keeponkeepingon #keepongoing #motivation #motivationeveryday #sunset #flowers #architecturephotography #architecture #tagsforlikes #bluesky #likesforlikes #follow #almosttheweekend #smile #happy #morningmotivation #flower #behappy #grateful</t>
  </si>
  <si>
    <t>architecturephotography</t>
  </si>
  <si>
    <t>flower</t>
  </si>
  <si>
    <t>1580621390566220081_254227172</t>
  </si>
  <si>
    <t>Think about something great to you in life🤔 now stop✋🏾🚫, count to 10.... now do or even simply write down ONE thing towards it and you'll be 1% on your bath to your own greatness! It's as Simple as that, but to Start won't be easy and that's what will make you great!🙏🏾
#motivation #innerpeace  #fitnesslife #keepongoing #motivated #photooftheday #instafollowme  #personaltrainer #lifeisgood #instagood #picoftheday #instadaily #igers #instalike #bestoftheday #followme #like4like #fun #instamood #life #followback #follow #tagforlikes #inspired</t>
  </si>
  <si>
    <t>bestoftheday</t>
  </si>
  <si>
    <t>ibensalinas</t>
  </si>
  <si>
    <t>1580621878263609128_2149189211</t>
  </si>
  <si>
    <t>#ZOLBEACHHOUSE17 tamo ready! @shotsmiami @elzol1067fm #Miami #RitmoSonico #KeeponGoing #wynwood</t>
  </si>
  <si>
    <t>SHOTS Miami</t>
  </si>
  <si>
    <t>miami</t>
  </si>
  <si>
    <t>wynwood</t>
  </si>
  <si>
    <t>ritmosonico</t>
  </si>
  <si>
    <t>1580633273439902968_211599856</t>
  </si>
  <si>
    <t>1580637364387877189_211599856</t>
  </si>
  <si>
    <t>@djcubaone &amp; @djboogy calentando el #zolbeachhouse17 desde @shotsmiami cortesía de #heineken #ritmosonico @scottproducts #keepongoing</t>
  </si>
  <si>
    <t>p.omanks</t>
  </si>
  <si>
    <t>1580638926522027084_4678264587</t>
  </si>
  <si>
    <t>+0:25 vs PB
#freeletics #bodyweight #freeleticsangers #freeleticsecouflant #freeathlete #freeleticslifestyle #fit #fitness #fitnessmotivation #stayinshape #betterversionofyourself #keepongoing #trainingday #workout #noexcuses</t>
  </si>
  <si>
    <t>Hippodrome d'Angers</t>
  </si>
  <si>
    <t>fitnessmotivation</t>
  </si>
  <si>
    <t>freeleticsangers</t>
  </si>
  <si>
    <t>freeleticslifestyle</t>
  </si>
  <si>
    <t>freeletics</t>
  </si>
  <si>
    <t>1580640324299993613_15887082</t>
  </si>
  <si>
    <t>Jeg er meget taknemlig for ALLE jeres søde beskeder her på Instagram og på Facebook. Jeg er træt så en beskrivelse af løbet må vente lidt. Men kort sagt så ente jeg som nummer 1 i dag 🏆No.1 is fun. 
#IMHamburg 
#ironman #upcoming #mulitisport #tri365 #lovemylife #fitness #ironmanbarcelona2017 #outofcomfortzone #trilabdk #triathlon #triatlete #invisibleguns #worldoffusion #ironmanhamburg2017 #keepongoing #purepowerdk #smileplease #swimbikerun</t>
  </si>
  <si>
    <t>tri365</t>
  </si>
  <si>
    <t>smileplease</t>
  </si>
  <si>
    <t>1580642479886114990_5858348950</t>
  </si>
  <si>
    <t>Quote of the day! #fitnessjourney #training #youcandothis #keepongoing #motivationalquote #stayhealthy #fitness</t>
  </si>
  <si>
    <t>motivationalquote</t>
  </si>
  <si>
    <t>bennoo___</t>
  </si>
  <si>
    <t>1580642712385050402_5523142269</t>
  </si>
  <si>
    <t>The world is yours! 
#hiking #keepongoing #bestrong #successiscoming #nevergiveup #workhard #timewillpass #willyou? #getit</t>
  </si>
  <si>
    <t>getit</t>
  </si>
  <si>
    <t>successiscoming</t>
  </si>
  <si>
    <t>ar_cal</t>
  </si>
  <si>
    <t>1580644669363895087_3221076436</t>
  </si>
  <si>
    <t>This went with our #teamfire theme!!! No caption needed!!!! Thanks @emilyfrisella!! #dontstop  #successquotes #success #happiness #happyness #happy #keepongoing  #keepmoving #greatnesswithin #geniusbaby</t>
  </si>
  <si>
    <t>geniusbaby</t>
  </si>
  <si>
    <t>successquotes</t>
  </si>
  <si>
    <t>happyness</t>
  </si>
  <si>
    <t>miguel__dw</t>
  </si>
  <si>
    <t>1580646722240818672_640742459</t>
  </si>
  <si>
    <t>Friday is funday at the gym! @crossfitgymproject 
#crossfit #emom #row #skierg #assaultbike #run #calories #wod #goodone #goodvibes #crossfitlover #sportaddict #motivation #motivated #keepongoing #keepondreaming</t>
  </si>
  <si>
    <t>CrossFit Gym Project</t>
  </si>
  <si>
    <t>row</t>
  </si>
  <si>
    <t>skierg</t>
  </si>
  <si>
    <t>keepondreaming</t>
  </si>
  <si>
    <t>assaultbike</t>
  </si>
  <si>
    <t>calories</t>
  </si>
  <si>
    <t>1580647569247156259_211599856</t>
  </si>
  <si>
    <t>raluquis</t>
  </si>
  <si>
    <t>1580647605368820129_185531143</t>
  </si>
  <si>
    <t>Colors of the sky 
#constanta #seaside #sunset #summertime #colors #moments #skyline #sky #clouds #cloudporn #water #boats #boatlife #stillness #stillwater #calm #eveningbeauty #justgoshoot #killeverygram #keepongoing #wheretonext</t>
  </si>
  <si>
    <t>Port of Constanța</t>
  </si>
  <si>
    <t>calm</t>
  </si>
  <si>
    <t>wheretonext</t>
  </si>
  <si>
    <t>seaside</t>
  </si>
  <si>
    <t>cloudporn</t>
  </si>
  <si>
    <t>boatlife</t>
  </si>
  <si>
    <t>schoknorbi</t>
  </si>
  <si>
    <t>1580647815637212281_145468272</t>
  </si>
  <si>
    <t>@bicskeilau is #improving #keepongoing</t>
  </si>
  <si>
    <t>Margaret Island</t>
  </si>
  <si>
    <t>improving</t>
  </si>
  <si>
    <t>sparkleoftheday</t>
  </si>
  <si>
    <t>1580650375051369210_5339165643</t>
  </si>
  <si>
    <t>💯👏
.
#success #successful #opportunity #motivation #laptoplifestyle #motivationalquotes #mindset #marketing #commitment #bizopp #business #bestrong #keepongoing #entrepreneurlife #millionaire</t>
  </si>
  <si>
    <t>business</t>
  </si>
  <si>
    <t>entrepreneurlife</t>
  </si>
  <si>
    <t>laptoplifestyle</t>
  </si>
  <si>
    <t>successful</t>
  </si>
  <si>
    <t>1580650624186253137_4203348813</t>
  </si>
  <si>
    <t>😍🔞💦</t>
  </si>
  <si>
    <t>fitgirlsofig</t>
  </si>
  <si>
    <t>losefat</t>
  </si>
  <si>
    <t>gymbody</t>
  </si>
  <si>
    <t>gettingstronger</t>
  </si>
  <si>
    <t>healthierlifestyle</t>
  </si>
  <si>
    <t>ahutch_oldschool</t>
  </si>
  <si>
    <t>1580651001865990527_965206506</t>
  </si>
  <si>
    <t>Relating to this picture more than ever 😔
#lost #depression #hardtimes #keepongoing #tryandstaypositive #bodybuilding</t>
  </si>
  <si>
    <t>tryandstaypositive</t>
  </si>
  <si>
    <t>nelsonleonardo</t>
  </si>
  <si>
    <t>1580656423170254491_194502840</t>
  </si>
  <si>
    <t>Wynwood Art District</t>
  </si>
  <si>
    <t>1580657182692438494_211599856</t>
  </si>
  <si>
    <t>Stop by @theoriginalgreek and try their delicious food 😋🥗 @scottproducts #KeepOnGoing #zolbeachhouse17</t>
  </si>
  <si>
    <t>1580658548911488773_211599856</t>
  </si>
  <si>
    <t>1580664409453212170_211599856</t>
  </si>
  <si>
    <t>💦💦💦💦We #KeepOnGoing!  @scottproducts #ZolBeachHouse17</t>
  </si>
  <si>
    <t>iamsfk_</t>
  </si>
  <si>
    <t>1580664973200652906_1929531904</t>
  </si>
  <si>
    <t>Sunday ride to varkala beach, kollam #sundayfunday  #riders #keepongoing  #wanderlust  #friends #shortride ❤❤❤</t>
  </si>
  <si>
    <t>Varkala Cliff</t>
  </si>
  <si>
    <t>riders</t>
  </si>
  <si>
    <t>shortride</t>
  </si>
  <si>
    <t>wanderlust</t>
  </si>
  <si>
    <t>badermach</t>
  </si>
  <si>
    <t>1580666947921346129_1424494080</t>
  </si>
  <si>
    <t>#vacationmode #vacations #scotland #glasgow #glasgowgreen  #nelsonmonument #greatday #epic #summerday #fun #donthate #appreciate #instapict #instamoment #picoftheday #blessed #ifyoureadingthisitstoolate #beautiful #samsung #galaxys7edge #travelersnotebook #loveu #legends #goals #neverbackdown #keepongoing #love #pictures #changes  #instagood</t>
  </si>
  <si>
    <t>pictures</t>
  </si>
  <si>
    <t>legends</t>
  </si>
  <si>
    <t>ifyoureadingthisitstoolate</t>
  </si>
  <si>
    <t>samsung</t>
  </si>
  <si>
    <t>1580669227626659846_40619315</t>
  </si>
  <si>
    <t>Irgendwie bin ich ziemlich fertig heute... doch zu viel geschlafen am Wochenende? 🤔 blöd gucken geht auch 🤣
.
Heute nur ne kleine Runde 😃 also bis zu 5 km läuft es schon richtig gut 🙃 ❓Frage des Tages: Warum haben Insekten eigentlich immer so suizidale Gedanken? Heute hat eine Fliege durch Ertränken in meinem Auge Selbstmord begangen 🏊🏼 #keepongoing #nevergiveup
.
.
.
#natur #naturliebe #laufen #laufenmachtglücklich #happiness #germering #abnehmen2017 #weightlossjourney #running #runninggirl #laufenfürdieseele #sommerabend #fitfam #runtastic #runtasticpro #runtasticgirl #fürmehrrealitätaufinstagram #blödguckenkannich #schnuteziehen</t>
  </si>
  <si>
    <t>fürmehrrealitätaufinstagram</t>
  </si>
  <si>
    <t>blödguckenkannich</t>
  </si>
  <si>
    <t>sommerabend</t>
  </si>
  <si>
    <t>germering</t>
  </si>
  <si>
    <t>andinitro</t>
  </si>
  <si>
    <t>1580671483339189998_254497453</t>
  </si>
  <si>
    <t>Wer saufen kann, kann auch laufen 
#try #to #get #fit #again #eveningrun #nikerun #runtastic #almostgoodpace #keepongoing</t>
  </si>
  <si>
    <t>Rot an der Rot</t>
  </si>
  <si>
    <t>runtastic</t>
  </si>
  <si>
    <t>get</t>
  </si>
  <si>
    <t>nikerun</t>
  </si>
  <si>
    <t>try</t>
  </si>
  <si>
    <t>1580672683908423976_5801959162</t>
  </si>
  <si>
    <t>🔥Leave your old life and attitude for a greater one! Do you agree? 🌟Comment below! ✏️ Feel free to use and share this post. ❤️ Thank you @shaazjungphotography for an amazing picture!</t>
  </si>
  <si>
    <t>by_porse</t>
  </si>
  <si>
    <t>1580672742443832168_1293917345</t>
  </si>
  <si>
    <t>TᖇæT ᗰEᗪ TᖇæT ᑭå😴
Fridagen idag er blevet brugt på absolut ingenting! Har sovet, slappet af, hygget med ungerne og været i et langt bad - alt sammen MEGET tiltrængt efter 51,5 timer på job denne uge.
Imorgen går det løs igen, så jeg håber min krop og mit hovede er lidt mere frisk imorgen tidlig end lige nu 🙈
Håber I alle har haft en skøn weekend med jeres kære ❤️
#newjob #nytarbejde #butikschef #oplæring #livetsommor #livetsomchef #keepongoing #nevergiveup</t>
  </si>
  <si>
    <t>oplæring</t>
  </si>
  <si>
    <t>livetsomchef</t>
  </si>
  <si>
    <t>newjob</t>
  </si>
  <si>
    <t>livetsommor</t>
  </si>
  <si>
    <t>1580674279916987518_211599856</t>
  </si>
  <si>
    <t>Keeping us dry! @scottproducts #Keepongoing #ZolBeachHouse17</t>
  </si>
  <si>
    <t>josekrommenhoek</t>
  </si>
  <si>
    <t>1580677019208216712_240173920</t>
  </si>
  <si>
    <t>Nog 999 gaatjes te gaan , licht therapeutisch werk, muziekje aan #jbl #spotify #gaatjesvullen #keepongoing #charge3 #therapy</t>
  </si>
  <si>
    <t>charge3</t>
  </si>
  <si>
    <t>jbl</t>
  </si>
  <si>
    <t>spotify</t>
  </si>
  <si>
    <t>elsipitufa</t>
  </si>
  <si>
    <t>1580677092827990461_668029</t>
  </si>
  <si>
    <t>Sisistime!!! #keepongoing #alwaysonthego #freckles #sisistime #vikingos #planazo #fixingtheworld #rememberingitaly</t>
  </si>
  <si>
    <t>fixingtheworld</t>
  </si>
  <si>
    <t>rememberingitaly</t>
  </si>
  <si>
    <t>freckles</t>
  </si>
  <si>
    <t>alwaysonthego</t>
  </si>
  <si>
    <t>vikingos</t>
  </si>
  <si>
    <t>veezx3</t>
  </si>
  <si>
    <t>1580677963111723961_49707064</t>
  </si>
  <si>
    <t>"Calma na alma? pera, não é bem assim, minha alma tem tempestade, e isso nunca tem fim, fazer tudo sozinho já virou até um vício, Narcisismo? É! O pior é que eu gosto disso." 👊 #bluebird #mascaras #keepongoing</t>
  </si>
  <si>
    <t>bluebird</t>
  </si>
  <si>
    <t>mascaras</t>
  </si>
  <si>
    <t>1580678451847948246_1972606430</t>
  </si>
  <si>
    <t>If you want something bad enough, make it your goal and mission to make it a reality👍🏼
#prestoknowsbest
-
-
#liveandlearn #dontsettle #mindsetshift #dropout #content #quotesoflife #fireyourboss #empowernetwork #onlinesuccess #personalgrowth #motivateyourself #betteryourself #keepongoing #mindsetiseverything #inspiredaily #valueyourself #valuelife #entrepreneurmind #newmindset #goalachiever</t>
  </si>
  <si>
    <t>valuelife</t>
  </si>
  <si>
    <t>turn_n_burner</t>
  </si>
  <si>
    <t>1580687411594178618_1527823415</t>
  </si>
  <si>
    <t>#candocowgirl #sundialshowclothing #sundialsquad #tinyslilangel #cowgirlsdontcry #bbrapproved #goaldigger #besomebody #cowgirlstyle #cowgirllife #goonget #live #love #laugh #barrelracing #barrelhorse #barrelracer #keepongoing #dontgiveup #grit #courage #determination #stayhumble #staystrong #newmexicoproud #moriarty #mare #aqhaproud #aqha #runhard</t>
  </si>
  <si>
    <t>Rockin Horse Ranch Indoor Arena</t>
  </si>
  <si>
    <t>aqhaproud</t>
  </si>
  <si>
    <t>bbrapproved</t>
  </si>
  <si>
    <t>barrelhorse</t>
  </si>
  <si>
    <t>candocowgirl</t>
  </si>
  <si>
    <t>motivatingmedia</t>
  </si>
  <si>
    <t>1580687769755029396_220450813</t>
  </si>
  <si>
    <t>Just keep swimming #keepongoing</t>
  </si>
  <si>
    <t>sucesstips</t>
  </si>
  <si>
    <t>womenentrepreneurs</t>
  </si>
  <si>
    <t>successforbusiness</t>
  </si>
  <si>
    <t>entrpreneurship</t>
  </si>
  <si>
    <t>motivating</t>
  </si>
  <si>
    <t>aip_paleo_my.new.normal</t>
  </si>
  <si>
    <t>1580690288115838603_5626388445</t>
  </si>
  <si>
    <t>October 2011 I was diagnosed with a rare ovarian cancer. Today I'm cancer free. I'm a survivor! Wishing the day in that hospital bed I would have made the decision to take control of my health as I'm doing now. But your past has no redo button. April 28th I took control. You can't change the wind but you can change your sails.⛵ 🚢 🚤 ⚓
 #cancerfree #cancersurvivor #gct #takingcontrolofmylife #paleodiet #aip #healthylifestyle #autoimmuneprotocol #weightlossjourney #weighlossgoals #weightlosstransformation #pasthaspassed #keepongoing #eatinghealthier #glutenfree #lowcarbstyle #healthyfats</t>
  </si>
  <si>
    <t>healthyfats</t>
  </si>
  <si>
    <t>weighlossgoals</t>
  </si>
  <si>
    <t>healthylifestyle</t>
  </si>
  <si>
    <t>autoimmuneprotocol</t>
  </si>
  <si>
    <t>lowcarbstyle</t>
  </si>
  <si>
    <t>coeur_de_ciel</t>
  </si>
  <si>
    <t>1580691464927996816_268537435</t>
  </si>
  <si>
    <t>I knew it when I met him. 👩🏽‍🍳 #sunday #funday #waitingforanewweek #newweek #waiting #repeat #notimeforsleep #keepongoing #continue #management #summertime #summer #summerinthecity #makeup #makeuplover #me #polishgirl #polishgirlcooking #gadtroworld #polishgirl #poznan #poland 👩🏽‍🍳🌿⚡️🙈</t>
  </si>
  <si>
    <t>Walden</t>
  </si>
  <si>
    <t>Poznań Polanka</t>
  </si>
  <si>
    <t>gadtroworld</t>
  </si>
  <si>
    <t>notimeforsleep</t>
  </si>
  <si>
    <t>management</t>
  </si>
  <si>
    <t>continue</t>
  </si>
  <si>
    <t>waitingforanewweek</t>
  </si>
  <si>
    <t>iamno1mc</t>
  </si>
  <si>
    <t>1580692373020885834_303574403</t>
  </si>
  <si>
    <t>Don't let anything ever stop you. Keep pushing. #repost @therock</t>
  </si>
  <si>
    <t>begreattoday</t>
  </si>
  <si>
    <t>petrakwaad</t>
  </si>
  <si>
    <t>1580692587123395551_52106195</t>
  </si>
  <si>
    <t>Rondje over de dijk! #distancetraining #tempotraining 🏃🏻‍♀️💪🏻 #alleenjammervanallevliegjes #sundaynight  #eveningrun #eveningsky #sunset #nofilter #citynature #runnerslife #runnersofinstagram #runnergirls #progress #keepongoing #nevernotrunning #run #justrun #runnersworldnl #run2day #runnersgirl #gl2r #nike #adidas #adidasboost #hardlopen #rennen #runners #fitgirls #fitgirlsnl #damtotdamloop</t>
  </si>
  <si>
    <t>Oostvaardersdijk</t>
  </si>
  <si>
    <t>citynature</t>
  </si>
  <si>
    <t>nike</t>
  </si>
  <si>
    <t>runners</t>
  </si>
  <si>
    <t>eveningsky</t>
  </si>
  <si>
    <t>runnersgirl</t>
  </si>
  <si>
    <t>monika_baluka</t>
  </si>
  <si>
    <t>1580694289850426781_1571021823</t>
  </si>
  <si>
    <t>#running #runnergirl #force #slowlongdistance #athlete #marathontraining #keepongoing #eveningrun #pier #sopot #bytheseaside 🌊🏃‍♀️💪</t>
  </si>
  <si>
    <t>Molo w Sopocie</t>
  </si>
  <si>
    <t>force</t>
  </si>
  <si>
    <t>marathontraining</t>
  </si>
  <si>
    <t>sopot</t>
  </si>
  <si>
    <t>athlete</t>
  </si>
  <si>
    <t>bytheseaside</t>
  </si>
  <si>
    <t>hiromimonkey</t>
  </si>
  <si>
    <t>1580695616072417343_184299268</t>
  </si>
  <si>
    <t>9/8 is the last day...#goldsgym #newchapter #mypassion #lesmills #groupfitness #motivation #mentor #fitnessfreak #keepongoing #dreamwillcometrue</t>
  </si>
  <si>
    <t>dreamwillcometrue</t>
  </si>
  <si>
    <t>mentor</t>
  </si>
  <si>
    <t>mypassion</t>
  </si>
  <si>
    <t>goldsgym</t>
  </si>
  <si>
    <t>groupfitness</t>
  </si>
  <si>
    <t>nicst_</t>
  </si>
  <si>
    <t>1580698703198191192_637871423</t>
  </si>
  <si>
    <t>#keepongoing #travel #germany #summer 🎇🎆</t>
  </si>
  <si>
    <t>germany</t>
  </si>
  <si>
    <t>chrisjabbo</t>
  </si>
  <si>
    <t>1580700292587277289_796109963</t>
  </si>
  <si>
    <t>#keepongoing #mtb #endura #becube #brokenriders</t>
  </si>
  <si>
    <t>endura</t>
  </si>
  <si>
    <t>becube</t>
  </si>
  <si>
    <t>brokenriders</t>
  </si>
  <si>
    <t>miotraella</t>
  </si>
  <si>
    <t>1580702163876699643_4643910</t>
  </si>
  <si>
    <t>Siempre me encuentro cartas en el suelo. 
También fotos, sobre todo antes, de fotomatón. 
Tuve una época que me encontraba cartas escritas a mano, diarios y billetes. 
Miro mucho al cielo, los balcones, las terrazas (tetazas 🤤) y las nubes.
Pero también me chiflan los suelos, los colores, las texturas, los recuerdos olvidados. 
Las historias inventadas (o no) de alguien. 
El caso es seguir viviendo, creando y escribiendo. 
#keepongoing 🏃🏽 #dontstop 
Océanos de amor 💕
#domingo #caelanoche #maripaseitos #enmimundo #moaning #suspiro #smile #intenseweekend #pocoapoco #tamañanitas 💤</t>
  </si>
  <si>
    <t>Royal Palace of Madrid</t>
  </si>
  <si>
    <t>gracias</t>
  </si>
  <si>
    <t>pocoapoco</t>
  </si>
  <si>
    <t>moaning</t>
  </si>
  <si>
    <t>suspiro</t>
  </si>
  <si>
    <t>marketka6</t>
  </si>
  <si>
    <t>1580706018030381817_253089505</t>
  </si>
  <si>
    <t>It is about PROGRESS  not PERFECTION ...... do want you love and what fill you up fully  A warm wave arrived in Germany.  #manduka #yoga #yogagirl #vinyasaflow #progress #keepongoing #nolimits #selftaught #czechgirl #healthyeating</t>
  </si>
  <si>
    <t>Ashby</t>
  </si>
  <si>
    <t>Kassel, Germany</t>
  </si>
  <si>
    <t>healthyeating</t>
  </si>
  <si>
    <t>czechgirl</t>
  </si>
  <si>
    <t>selftaught</t>
  </si>
  <si>
    <t>manduka</t>
  </si>
  <si>
    <t>yogagirl</t>
  </si>
  <si>
    <t>1580708011642404927_344342790</t>
  </si>
  <si>
    <t>Just cause. #abs #booty #bis #dedication #determination #dontgiveup #flexinonem #gym #gymlife #gymrat #getswole #keepongoing #motivation #pushtillyoucant #stackinandsixpackin #strongereveryday #stayhumble</t>
  </si>
  <si>
    <t>pushtillyoucant</t>
  </si>
  <si>
    <t>flexinonem</t>
  </si>
  <si>
    <t>1580708034904537525_359685333</t>
  </si>
  <si>
    <t>Stop listening to everyone and start believing in yourself</t>
  </si>
  <si>
    <t>1580708408037598658_1684424176</t>
  </si>
  <si>
    <t>1580710505264692010_1907316384</t>
  </si>
  <si>
    <t>We heard a great word from Elder Donald Walker this morning at New Life West! Keep on going! Join us again at the West Campus for Life Class this Tuesday at 7 pm. #NLWest #KeepOnGoing</t>
  </si>
  <si>
    <t>shania_lamb</t>
  </si>
  <si>
    <t>1580726001910414440_3281668483</t>
  </si>
  <si>
    <t>❤️❤️❤️ #happymonday #monday #newweek #letsgetit #thinkpositive #behappy #fitness #fitspo #behumble #smile #keepongoing #bestrong</t>
  </si>
  <si>
    <t>fitspo</t>
  </si>
  <si>
    <t>behumble</t>
  </si>
  <si>
    <t>itsaustinleeofficial</t>
  </si>
  <si>
    <t>1580726913289946182_2152829226</t>
  </si>
  <si>
    <t>Eat, Sleep, Breathe, and Live Dance💜 I always love to push myself to be the best version and dancer of myself and I wanted to say that I have gone through some many struggles the last couple of years from, Not being able to afford dance to being bullied by all of the haters or even family problem. And this dance is really close to me so I want the people who go through struggles to know that you are not alone💜 I also can't wait for the future and too see what's to come, I have a lot of new projects coming out this year and next year I Literally Can't Wait!!!! I really hope you enjoy PART 1 of this dance PART 2 Will come out on Tuesday!!! Thank you for all the support!!!!😘❤️🕺 @willdabeast__ @academyofvillains @krystalmeraz @nextgenerationsytycd @immabeastco @stephenakaswizzy @janelleginestra @itsjojosiwa @iamsteveharveytv @showtimeapollofox @mysticartpics @brianfriedman @jaimiegoodwin @tessandrachavez @allisonholker @___impavido___ @dance9cyrus #livetodance #dancer #actor #model #bigthingscoming #lovetodance #keepongoing #immabeast #beast #beastmode</t>
  </si>
  <si>
    <t>beast</t>
  </si>
  <si>
    <t>livetodance</t>
  </si>
  <si>
    <t>immabeast</t>
  </si>
  <si>
    <t>bigthingscoming</t>
  </si>
  <si>
    <t>1580728889780452911_211599856</t>
  </si>
  <si>
    <t>Todos quieren un pedazo de @elzol1067fm 😍 #RitmoSonico #KeepOnGoing #ZolBeachHouse17</t>
  </si>
  <si>
    <t>dewihurks</t>
  </si>
  <si>
    <t>1580732170682843360_370494885</t>
  </si>
  <si>
    <t>No filter needed😍 #atlasmountains #highestpoint #donkey #zetjebestebeentjevoor #keepongoing #zwaarkut #blarenopjevoeten #entoennognaarbeneden</t>
  </si>
  <si>
    <t>highestpoint</t>
  </si>
  <si>
    <t>blarenopjevoeten</t>
  </si>
  <si>
    <t>donkey</t>
  </si>
  <si>
    <t>entoennognaarbeneden</t>
  </si>
  <si>
    <t>zwaarkut</t>
  </si>
  <si>
    <t>1580732184137577123_1684424176</t>
  </si>
  <si>
    <t>fit.chicks.only</t>
  </si>
  <si>
    <t>1580735142858410910_4229046670</t>
  </si>
  <si>
    <t>1580741835138209217_279512262</t>
  </si>
  <si>
    <t>Раз уж мне все равно не спится, можно и поскучать по Питеру. Неделя прошла, так что можно начинать😂
Сетую, что сделала так мало фотографий, что поехала всего на три дня и не доехала ни до Выборга, ни до маяков, ни до моря.
Зато напилась кофе и наелась вкусноты. И неплохо так умылась дождями.
Я уже с нетерпением жду осени, хотя настоящее ленивое лето начнётся у меня только завтра. А душа уже требует сапог, пальто, дождей и нового парфюма.
.
#livethedream #streetadventure #rainyday #daily #abmlife #authentic #vsco #vibes #vscocam #vscogood #citylife #keepongoing #keeponwalking #lifeex #oldcity #livy #livestory #livefolk #madrussians #mood #picoftheday #latergram #попитерускучать #russia</t>
  </si>
  <si>
    <t>Winter Palace</t>
  </si>
  <si>
    <t>russia</t>
  </si>
  <si>
    <t>citylife</t>
  </si>
  <si>
    <t>lifeex</t>
  </si>
  <si>
    <t>madrussians</t>
  </si>
  <si>
    <t>radvi7</t>
  </si>
  <si>
    <t>1580744345555644203_35284119</t>
  </si>
  <si>
    <t>For the second time we had the luck to meet you.
See you soon, my inspiration to help people and keep on going forever. Thank You @macklemore God bless You #getbettersoon #macklemore #universe #hope #equality #music #concert #keepongoing</t>
  </si>
  <si>
    <t>Sziget Festival Official</t>
  </si>
  <si>
    <t>universe</t>
  </si>
  <si>
    <t>macklemore</t>
  </si>
  <si>
    <t>equality</t>
  </si>
  <si>
    <t>brittanynicholemartin</t>
  </si>
  <si>
    <t>1580751051769155701_4727642844</t>
  </si>
  <si>
    <t>"The body achieves what the mind believes."
No matter where you are in your journey, always remember to stay strong and keep on keeping on. Life gets hard, you can either choose to let it push you down or you can fight it from the start. Never give in when it gets hard, that's your moment to choose to make the difference and strengthen yourself. 
#fitness #fitnessaddict #fitnessmotivation #instafitness #fitnessjourney #igfitness #fitnessfreak #fitnesslifestyle #fitnessgirl #fitnesslife #instagramfitness #fitnessgoals #Bodyfitness #fitnessgirls #fitnessinspiration #betteryourself #loveyourself #goodvibes #goodvibesonly #strength #selfworth #nevergiveup #nevergivein #keepongoing</t>
  </si>
  <si>
    <t>Anytime Fitness N Cumming</t>
  </si>
  <si>
    <t>instagramfitness</t>
  </si>
  <si>
    <t>bodyfitness</t>
  </si>
  <si>
    <t>fitnessinspiration</t>
  </si>
  <si>
    <t>getthebasicsright</t>
  </si>
  <si>
    <t>1580756896012664792_4751186161</t>
  </si>
  <si>
    <t>Do it for yourself only !!! #.
.
.
.
#f4f#journey #mindset #focus#inspiration #motivational #inspire#motivate #keepongoing #moneymaker#motivationalquotes #quote #business#quotestagram #love #goal #happiness#success #positivity #positivethinking#dailyquotes #billionaireclub #billionaire#money #hardwork #quoteoftheday#entrepreneur #entrepreneurship#millionairemindset #followforfollow</t>
  </si>
  <si>
    <t>South Lake Tahoe, California</t>
  </si>
  <si>
    <t>billionaire</t>
  </si>
  <si>
    <t>1580763888193329867_5801959162</t>
  </si>
  <si>
    <t>💎You were born original, don't die a copy! Do you agree? 🌟Comment below! ✏️ Feel free to use and share this post. ❤️ Thank you @shaazjungphotography for an amazing picture!</t>
  </si>
  <si>
    <t>myr_bard</t>
  </si>
  <si>
    <t>1580766240821300171_2360025125</t>
  </si>
  <si>
    <t>Moment présent.
#enjoy  #moment #presents  #superpowers  #focus  #keepongoing  #sunny  #beautifulday  #sunglasses #positive  #positivevibes  #nature</t>
  </si>
  <si>
    <t>presents</t>
  </si>
  <si>
    <t>superpowers</t>
  </si>
  <si>
    <t>positive</t>
  </si>
  <si>
    <t>warrface</t>
  </si>
  <si>
    <t>1580770331996451347_43142580</t>
  </si>
  <si>
    <t>Look how far you have come in life, don't stop now, keep going..
#keepongoing #dontstop</t>
  </si>
  <si>
    <t>repeatit</t>
  </si>
  <si>
    <t>1580776935020882763_211599856</t>
  </si>
  <si>
    <t>Recuerda de pasar por nuestro booth de @scottproducts y ganar toallas de papel por un año #KeepOnGoing #messymoments #ZolBeachHouse17</t>
  </si>
  <si>
    <t>1580777918107181386_211599856</t>
  </si>
  <si>
    <t>White carpet today! :) @scottproducts #keepongoing #ZolBeachHouse17</t>
  </si>
  <si>
    <t>cero_official_veganpower</t>
  </si>
  <si>
    <t>1580779514131381167_1205421347</t>
  </si>
  <si>
    <t>Klar til en ny uge 🤗😀#newweek #keepongoing #smile</t>
  </si>
  <si>
    <t>newweek</t>
  </si>
  <si>
    <t>1580782682458944363_211599856</t>
  </si>
  <si>
    <t>If you're sweating we got you! Pasa por nuestro booth de @scottproducts  #KeepOnGoing #ZolBeachHouse17</t>
  </si>
  <si>
    <t>1580785004752823290_211599856</t>
  </si>
  <si>
    <t>Thank you @scottproducts.  #keepongoing 💦💦💦💦 #ZolBeachHouse17</t>
  </si>
  <si>
    <t>1580786612471519731_211599856</t>
  </si>
  <si>
    <t>@elzupermario #KeepOnGoing with @scottproducts. #ZolBeachHouse17</t>
  </si>
  <si>
    <t>1580788780298617854_2149189211</t>
  </si>
  <si>
    <t>#keepongoing @scottproducts #ZolBeachHouse17 @elzol1067fm</t>
  </si>
  <si>
    <t>bumbaclart37</t>
  </si>
  <si>
    <t>1580802148861976365_341229618</t>
  </si>
  <si>
    <t>Here, So sometimes life can get mad shit and feel like the handbreak has been thrown on and sent you flying, Y'know what you need in those times? To push your dad down a hill in a pram. Fucking sound. .
.
.
.
#dad #dadsofinsta #keepongoing #life #itwillallbeok</t>
  </si>
  <si>
    <t>dadsofinsta</t>
  </si>
  <si>
    <t>dad</t>
  </si>
  <si>
    <t>itwillallbeok</t>
  </si>
  <si>
    <t>snaps_by_p2p</t>
  </si>
  <si>
    <t>1580804241390429522_229875516</t>
  </si>
  <si>
    <t>Late post of yesterday's 5K run...it felt tough..probably cos of my on going cough..💤pushed on and completed it either way..hope my get back my stamina soon...hang in there n keep on going!! #healthy #lifestyle #living #liveitup #asics #nimbus18 #morning #jog #motivated #determined #keepongoing #sgig #casio #Gshock #gf1000 #custom #frogman #froggie #frog #wristcheck #wristcandy #wristporn #watchporn #sweatitout #swagsg #resolute #keepongoing #watchanish #warchfam #throwback</t>
  </si>
  <si>
    <t>resolute</t>
  </si>
  <si>
    <t>morning</t>
  </si>
  <si>
    <t>gshock</t>
  </si>
  <si>
    <t>liveitup</t>
  </si>
  <si>
    <t>froggie</t>
  </si>
  <si>
    <t>uurban_dreamer</t>
  </si>
  <si>
    <t>1580811616336679181_431997550</t>
  </si>
  <si>
    <t>After shower selfie game strong #bodygoals #sundayfunday #keepongoing #gym #planetfitness #gayfitness #gayjock #gay20 #lgbt #lgbtq #selfie #iphone7 #apple #bathroomselfie #model #calvinklein #underwear #ｓｈｏｗｅｒｔｉｍｅ💦🚿 💪🏽💪🏽</t>
  </si>
  <si>
    <t>lgbt</t>
  </si>
  <si>
    <t>apple</t>
  </si>
  <si>
    <t>mainly_abundance_vibes</t>
  </si>
  <si>
    <t>1580817851823054032_470013928</t>
  </si>
  <si>
    <t>#keepitmoving #keepongoing #dustyourselfoff #motivationsunday #motivation #success #optimist #powerofthemind #powerwithin #mindpower #millionairemindset #liveandletlive #keepitmoving #keepmoving #inspiration #inspo #you #starthere #startnow</t>
  </si>
  <si>
    <t>you</t>
  </si>
  <si>
    <t>starthere</t>
  </si>
  <si>
    <t>millionairemindset</t>
  </si>
  <si>
    <t>keepitmoving</t>
  </si>
  <si>
    <t>vladygomez</t>
  </si>
  <si>
    <t>1580818818282850874_27249209</t>
  </si>
  <si>
    <t>@alexsensation arrasa en el #zolbeachhouse17 @elzol1067fm @lamusica #soylamusica @shotsmiami @heineken_us @scottproducts #scottproducts @magnusmediausa #TeamSBS #keepongoing #messymoments</t>
  </si>
  <si>
    <t>teamsbs</t>
  </si>
  <si>
    <t>soylamusica</t>
  </si>
  <si>
    <t>scottproducts</t>
  </si>
  <si>
    <t>1580827200557452174_27249209</t>
  </si>
  <si>
    <t>@yomilyeldany @yomil_oficial en #elzolbeachhouse17 @elzol1067fm @lamusica @alexsensation #scottproducts @scottproducts #keepongoing #messymoments #ad</t>
  </si>
  <si>
    <t>elzolbeachhouse17</t>
  </si>
  <si>
    <t>ad</t>
  </si>
  <si>
    <t>punkrockyoda</t>
  </si>
  <si>
    <t>1580838331436403012_2159799775</t>
  </si>
  <si>
    <t>I love my band. Each member brings something different to the table and that's what makes "Divides". Hard work, solidarity and the drive to keep on going even when things get tough - 
I'm lucky I get to make music with such talented musicians - It has taken some time to connect the dots but I'm starting to see it all come together - For once in my life I truly believe in something.
#divides #myband #proud #happy #music #creative #passion #love #hardwork #musicians #friends #toughtimes #believe #band #solidarity #drive #keepongoing #doyourbest #life #thoughts #feelings #dottodog</t>
  </si>
  <si>
    <t>musicians</t>
  </si>
  <si>
    <t>toughtimes</t>
  </si>
  <si>
    <t>dottodog</t>
  </si>
  <si>
    <t>1580840803868396927_4773778225</t>
  </si>
  <si>
    <t>I spy...🐝🐝#worldtravelbook #flashesofdelight #art #lake #rainbow #goodafternoonpost #keeponkeepingon #keepongoing #motivation #motivationeveryday #sunset #flowers #architecturephotography #architecture #tagsforlikes #bluesky #likesforlikes #follow #almosttheweekend #smile #happy #morningmotivation #flower #behappy #grateful</t>
  </si>
  <si>
    <t>likesforlikes</t>
  </si>
  <si>
    <t>almosttheweekend</t>
  </si>
  <si>
    <t>millionairehandbook</t>
  </si>
  <si>
    <t>1580858138423487720_5851030626</t>
  </si>
  <si>
    <t>Follow 👉 @millionairehandbook 👈
🔥💯🔥💯🔥
#onemanarmy #millionairehandbook</t>
  </si>
  <si>
    <t>memyselfandi</t>
  </si>
  <si>
    <t>mygrind</t>
  </si>
  <si>
    <t>aloneforever</t>
  </si>
  <si>
    <t>powerfulemotions</t>
  </si>
  <si>
    <t>perriconemd_beth</t>
  </si>
  <si>
    <t>1580869647627411189_3038808447</t>
  </si>
  <si>
    <t>Ice pack and brace and crutches. Oh, my! Oh, and the dog I tripped over while trying to save the robot vacuum from the cable cord of doom #cantmakethisstuffup #tornmeniscus ? #MRI #iceicebaby #ouch #stillmovinandshakin #slowly #shakinmyhead #rollingmyeyes #keepongoing #keepsmiling  #gottalaugh</t>
  </si>
  <si>
    <t>cantmakethisstuffup</t>
  </si>
  <si>
    <t>goodboy</t>
  </si>
  <si>
    <t>gottalaugh</t>
  </si>
  <si>
    <t>shakinmyhead</t>
  </si>
  <si>
    <t>1580870876140058017_5468355632</t>
  </si>
  <si>
    <t>Fetus Ty is life -🐯 #josh #tyler #jenna #twentyonepilots #bands #frens #laugh #myidols #loveyou #bestmusic #keepongoing #ibelieve #theyrethebest #funny  #smile #tøpmemes #tøp #stayalive #inspiring #beautifulpeople</t>
  </si>
  <si>
    <t>tyler</t>
  </si>
  <si>
    <t>bands</t>
  </si>
  <si>
    <t>tøpmemes</t>
  </si>
  <si>
    <t>twentyonepilots</t>
  </si>
  <si>
    <t>jenna</t>
  </si>
  <si>
    <t>johnathonholland_</t>
  </si>
  <si>
    <t>1580874473829351338_144700173</t>
  </si>
  <si>
    <t>What a word from Rev.batson! 
His title tonight: keep on keepin on.
Continue to do what you've always done.
You just have to keep on, keepin' on until you've acheived your goal. #keepongoing #thisisthat #dontgiveup #godwontgiveuponyou</t>
  </si>
  <si>
    <t>First Apostolic Church of Maryville</t>
  </si>
  <si>
    <t>thisisthat</t>
  </si>
  <si>
    <t>godwontgiveuponyou</t>
  </si>
  <si>
    <t>melanirinkutaka93</t>
  </si>
  <si>
    <t>1580884074197005023_1341768123</t>
  </si>
  <si>
    <t>Biar agak-agak berkurang pusing kepala 😂
Happy great monday guysss😘😘jangan lupa bahagia dan bersyukur 
#keepfighting
#keepongoing</t>
  </si>
  <si>
    <t>PT. Karya Indorata Persada</t>
  </si>
  <si>
    <t>keepfighting</t>
  </si>
  <si>
    <t>1580884990375061527_211599856</t>
  </si>
  <si>
    <t>#QueVa en vivo! @alexsensation @ozunapr #ZolBeachHouse17 #KeepOnGoing @shotsmiami</t>
  </si>
  <si>
    <t>queva</t>
  </si>
  <si>
    <t>1580889114558706261_5543890015</t>
  </si>
  <si>
    <t>Sunday workout, power walk 3 miles and 20 laps swim #keepongoing #onedayatatime</t>
  </si>
  <si>
    <t>onedayatatime</t>
  </si>
  <si>
    <t>sensation_lov3</t>
  </si>
  <si>
    <t>1580891662464722700_3297741474</t>
  </si>
  <si>
    <t>"Yo me la paso de aya pa aka"🙌🏾#QUEVA 🎶🔥#Repost @elzol1067fm (@get_repost)
・・・
#QueVa en vivo! @alexsensation @ozunapr #ZolBeachHouse17 #KeepOnGoing</t>
  </si>
  <si>
    <t>repost</t>
  </si>
  <si>
    <t>oneilmendoza</t>
  </si>
  <si>
    <t>1580894644404041617_5869696517</t>
  </si>
  <si>
    <t>Quitters never win #keepongoing</t>
  </si>
  <si>
    <t>Guantanamo Bay Naval Base</t>
  </si>
  <si>
    <t>megan_jane79</t>
  </si>
  <si>
    <t>1580896073798320340_294543754</t>
  </si>
  <si>
    <t>#nevermissamonday #fitness #fitnessjourney #keepongoing #walking #onefootinfrontoftheother #ivegotthis #forme #healthylifestyle #gettingmymojoback #bodytransformation #livingnotexisting #healthymummy #fitmum #sleepingbeauty #babiesofinstagram</t>
  </si>
  <si>
    <t>forme</t>
  </si>
  <si>
    <t>gettingmymojoback</t>
  </si>
  <si>
    <t>ivegotthis</t>
  </si>
  <si>
    <t>onefootinfrontoftheother</t>
  </si>
  <si>
    <t>livefortheopenroad</t>
  </si>
  <si>
    <t>1580900995588501289_4865594942</t>
  </si>
  <si>
    <t>Seriously #nofilter on this pic. Just stunning. 
When I look at this picture, I see such an open road. A road leading to someplace beautiful. A road that looks fairly straight and easy. But in reality, there are hidden twists and turns and what looks easy is actually pretty difficult to navigate. 
Moral of the story is simply this: some things are not as they seem and you need to be prepared for that. Be alert and on guard because things can change. But if you're flexible and adaptable, it'll all work out! 
Praying you find an #openroad this week and you get the opportunity to travel to someplace new. 
And friend, if the road you're traveling in life looked easy and now it's not, trust that everything will be okay in the end! He's got this and He's got you! 
#livefortheopenroad #notalwayseasy #keepongoing #travel #adventure #experience</t>
  </si>
  <si>
    <t>nofilter</t>
  </si>
  <si>
    <t>openroad</t>
  </si>
  <si>
    <t>1580902157837549245_4229046670</t>
  </si>
  <si>
    <t>workoutsession</t>
  </si>
  <si>
    <t>fitnessinstructor</t>
  </si>
  <si>
    <t>burningcalories</t>
  </si>
  <si>
    <t>workoutfit</t>
  </si>
  <si>
    <t>workoutmode</t>
  </si>
  <si>
    <t>yourassishappy1</t>
  </si>
  <si>
    <t>1580902347738757055_285257007</t>
  </si>
  <si>
    <t>Let there be light within the darkness of my mind. #bored #feelingdead #keepongoing</t>
  </si>
  <si>
    <t>bored</t>
  </si>
  <si>
    <t>feelingdead</t>
  </si>
  <si>
    <t>susannabanana246</t>
  </si>
  <si>
    <t>1580906902559368037_5509071474</t>
  </si>
  <si>
    <t>Took my workout outside on Saturday and went for a hike. Found some waterfalls along the way and my friend and I decided it must have been the fountain of youth so we of course had to drink from it. 
#weightloss #weightlossjourney #weightlossdiary #workout #weightlosscommunity #weightlosssupport #weightlossmotivation #nature #waterfall #fountainofyouth #beautiful #stayhydrated #keepongoing #nevergiveup #yougotthis</t>
  </si>
  <si>
    <t>weightlosscommunity</t>
  </si>
  <si>
    <t>stayhydrated</t>
  </si>
  <si>
    <t>weightlossdiary</t>
  </si>
  <si>
    <t>averyjean316</t>
  </si>
  <si>
    <t>1580907932589295951_178681771</t>
  </si>
  <si>
    <t>I cannot believe it has been almost 3 years! I was so unhappy with my self image. I was 200 pounds, eating shit, and just going to work to come home and watch tv. I was doing everything for everyone else and nothing for myself. Even last summer as I was getting more into building muscle I was still neglecting myself. 
I have maintained a loss of over 50 pounds! I am building muscle. I am more confident than I have been ever. I still have daily struggles, occasionally judging myself, picking my flaws, tearing myself down. IT STOPS HERE! I have busted my ass to get where I am now and I should be proud. I have a lot to be proud of and a lot to be confident about! 
I have my meal prep starting! My muscles coming out and a lot of negative parts of my life gone! I am going to keep pushing myself and I have decided I am going to do a bikini competition! Fuck the haters and love the lovers who will support me! 
If you have any tips PLEASE TELL ME! Or if you have any bomb ass gym music! 
#keepongoing #weightlosstransformation #gainz #mealprep #motivation #pushyourself #fitfam #fitnesslife #fitnessisfun #bikini #competition #helpwanted #bodybuilding #fitnessjourney #abs #goaldigger #girlswholift #fitgirls #bikinigirlinthemaking #pushyourself #letsgo!</t>
  </si>
  <si>
    <t>helpwanted</t>
  </si>
  <si>
    <t>missbriannekay</t>
  </si>
  <si>
    <t>1580912072450164472_412904486</t>
  </si>
  <si>
    <t>it feels amazing to be out of the dark.
.
.
#keepongoing#happylife#lightattheendofthetunnel#lovinglife#lifeisgood#happygolucky#smilemoreworryless</t>
  </si>
  <si>
    <t>Slumber</t>
  </si>
  <si>
    <t>lovinglife</t>
  </si>
  <si>
    <t>happylife</t>
  </si>
  <si>
    <t>lifeisgood</t>
  </si>
  <si>
    <t>lightattheendofthetunnel</t>
  </si>
  <si>
    <t>1580914390222424917_1469303635</t>
  </si>
  <si>
    <t>Have no regrets, just lessons, so don't make the same mistake twice!</t>
  </si>
  <si>
    <t>keaks21</t>
  </si>
  <si>
    <t>1580915268744752021_13017460</t>
  </si>
  <si>
    <t>❤️ #feels #quote #kiara #fuckit #keepongoing #words #song #loveit</t>
  </si>
  <si>
    <t>kiara</t>
  </si>
  <si>
    <t>fuckit</t>
  </si>
  <si>
    <t>feels</t>
  </si>
  <si>
    <t>_shesthewind_</t>
  </si>
  <si>
    <t>1580916867530687864_289173543</t>
  </si>
  <si>
    <t>Bc I haven't posted a selfie lately; #confidenceisbeauty #curvywomen #loveyourself #keepongoing #feelingmyself #eatyourheartout #livethelifeyoudeserve #alwayssmiling</t>
  </si>
  <si>
    <t>alwayssmiling</t>
  </si>
  <si>
    <t>confidenceisbeauty</t>
  </si>
  <si>
    <t>eatyourheartout</t>
  </si>
  <si>
    <t>1580922818375132867_1684424176</t>
  </si>
  <si>
    <t>you CAN
YOU should 
AND If YOU'RE BRAVE
ENOUGH TO start 
you WILL 
@millionaireimage 
@millionaireimage 
___________________________ 
#millionaireimage #doitforyourself #betterme #beyourown #keeponkeepingon #workforwhatyouwant  #marketingmoment #marketingsolutions #encourageyourself #bethechangeyouwanttosee #youvegotthis #oilfieldlife #millionairequotes #inspirationalthoughts #positivepeople #americanbusiness #quoteme #quoteaccount #strategize #seemslegit #youdoyou #inspirationalpost #businessownership #businessisbusiness #keepongoing #selfconfidence #bewhoyouare #bewhatyouwanttobe #socialinfluencers #socialize</t>
  </si>
  <si>
    <t>kimmykupkakes</t>
  </si>
  <si>
    <t>1580924102789321344_1513725931</t>
  </si>
  <si>
    <t>#this #allthefeels 
Not #everyone is going to #stay #forever and we still have to #keepongoing and #thank them for what they've #given us. #badorgood doesn't matter as long as it made me a #better #stronger or #wiser person because of it. #thankyou #alllove 💗 #nighttimevibes #poetry</t>
  </si>
  <si>
    <t>forever</t>
  </si>
  <si>
    <t>alllove</t>
  </si>
  <si>
    <t>everyone</t>
  </si>
  <si>
    <t>better</t>
  </si>
  <si>
    <t>allthefeels</t>
  </si>
  <si>
    <t>gourmetsaladsandwraps</t>
  </si>
  <si>
    <t>1580928633115385347_5409757454</t>
  </si>
  <si>
    <t>Life is better when you're laughing 😂!
.
.
.
Blessings to all!
.
.
.
#bepositive #positivemindset #livelifetothefull #seethegood #seethegoodineverything #believeyoucan #befearless #keeponmoving #keeponlearning #keepondoing #keepongoing #keeponbelieving #believeinyou #goodhabits #achieve #achieveyourdreams #achieveyourgoals #believeinyourdream #believeinyourselfie #keepthefaith #neverstoplearning #positiveattitude #positivemindset #positivequotes #positivevibes #positiveminds #trustandbelieve #trustyourgut #yesyoucan  #youcandoit</t>
  </si>
  <si>
    <t>neverstoplearning</t>
  </si>
  <si>
    <t>believeyoucan</t>
  </si>
  <si>
    <t>yesyoucan</t>
  </si>
  <si>
    <t>keeponbelieving</t>
  </si>
  <si>
    <t>youcandoit</t>
  </si>
  <si>
    <t>1580938710282406981_211599856</t>
  </si>
  <si>
    <t>#QueVa en vivo! @alexsensation @shotsmiami @heineken @scottproducts #KeepOngoing #RitmoSonico @ibensalinas @ozunapr</t>
  </si>
  <si>
    <t>Wynwood Arts District, Miami, Florida</t>
  </si>
  <si>
    <t>rosharizalrosli</t>
  </si>
  <si>
    <t>1580939415186109959_176011616</t>
  </si>
  <si>
    <t>Keep on going and never stop until your reach to the top 💪🏻! #motivasidiri #inspirasi #motivation #keepongoing #reachmygoal #onlinebusiness #freedom #extraincome #thediamondcircle #teamsuhaili #suhailiisadotcom #businessempire #empayarbisnes</t>
  </si>
  <si>
    <t>suhailiisadotcom</t>
  </si>
  <si>
    <t>motivasidiri</t>
  </si>
  <si>
    <t>reachmygoal</t>
  </si>
  <si>
    <t>empayarbisnes</t>
  </si>
  <si>
    <t>extraincome</t>
  </si>
  <si>
    <t>zoevdm</t>
  </si>
  <si>
    <t>1580955260561461148_359160429</t>
  </si>
  <si>
    <t>With the new day comes new strength and new hopes. Positivity is key. ❤ .
#staystrong #positivevibes #keeponsmiling #life #keepongoing #tough #situations #build #strong #people</t>
  </si>
  <si>
    <t>keeponsmiling</t>
  </si>
  <si>
    <t>build</t>
  </si>
  <si>
    <t>1580962117854241464_211599856</t>
  </si>
  <si>
    <t>Our #ZolBeachHouse17 round ✌🏻was a huge success! 🔥 Are you ready for Round 3😏 #RitmoSonico #KeepOnGoing 📹: @djmikeymixx</t>
  </si>
  <si>
    <t>1580965782921449619_244228468</t>
  </si>
  <si>
    <t>Just do it! 🤘Thank you @motivationbyeli for a great post! ❤️🌟</t>
  </si>
  <si>
    <t>bepresent</t>
  </si>
  <si>
    <t>notgivingup</t>
  </si>
  <si>
    <t>1580971841744095343_211599856</t>
  </si>
  <si>
    <t>@jowellgram encendió la tarima 🔥! #ZolBeachHouse17 #KeepOnGoing  @shotsmiami</t>
  </si>
  <si>
    <t>1580972448760596880_5869703664</t>
  </si>
  <si>
    <t>Winter dream.
.
.
.
.
.
.
#travel#traveling#visiting#white#instago#instagood#trip#holiday#photooftheday#fun#travelling#tourism#tourist#instapassport#instatraveling#mytravelgram#travelgram#travelingram#igtravel #friends #dream #live #laugh #beautiful #winter #boy #lucky #keepongoing #dontstop #snow</t>
  </si>
  <si>
    <t>Mt Pilatus, Swiss Alps</t>
  </si>
  <si>
    <t>visiting</t>
  </si>
  <si>
    <t>1580972748729879026_50373203</t>
  </si>
  <si>
    <t>《 GYMTIME 》
Vol frisse moed in de sportschool.... is mijn weekschema veranderd, morgen pas de 1e training 🤔
Dan maar rondje cardio cq actief herstel 💪 
#pbp #personalbodyplan #ditismijnpbp #ditisperfect #studioperfect #gym #fitness #gettingfit #motivation #goals #goodmorning #riseandshine #workout #training #trainingday #weightlifting #doyoursquats #weightloss #stronger #gettingfit #fitjourney #progress #keepongoing #dontgiveup #instafit #instadaily #soremuscles #burnburnburn #offtowork #haveaniceday #bye💋</t>
  </si>
  <si>
    <t>Studio Perfect</t>
  </si>
  <si>
    <t>ditisperfect</t>
  </si>
  <si>
    <t>ditismijnpbp</t>
  </si>
  <si>
    <t>1580973625799739342_211599856</t>
  </si>
  <si>
    <t>💃🏻🕺🏻🔥 #zolbeachhouse17 @shotsmiami @jquiles @melimellive #KeepOnGoing</t>
  </si>
  <si>
    <t>scientologyisrael</t>
  </si>
  <si>
    <t>1580974195259486657_3250545920</t>
  </si>
  <si>
    <t>ציטוט 🌟 התחלות חדשות 🌟 
#freshstart #newbeginnings #keepongoing #scinetology</t>
  </si>
  <si>
    <t>scinetology</t>
  </si>
  <si>
    <t>freshstart</t>
  </si>
  <si>
    <t>1580977927863708817_211599856</t>
  </si>
  <si>
    <t>@jquiles Live from #zolbeachhouse17 #estanoche 🎶🌊 @shotsmiami #KeepOnGoing</t>
  </si>
  <si>
    <t>estanoche</t>
  </si>
  <si>
    <t>1580978487467763040_211599856</t>
  </si>
  <si>
    <t>Si ella quisiera @jquiles 🎶 #zolbeachhouse17 @shotsmiami #KeepOnGoing</t>
  </si>
  <si>
    <t>nikkisoong_265</t>
  </si>
  <si>
    <t>1580983306311312468_188672178</t>
  </si>
  <si>
    <t>亲爱的 这张照片正式一年了😂😂
#688days
#Synikki 
#keepongoing
#2yearsanniverserycomingsoon</t>
  </si>
  <si>
    <t>688days</t>
  </si>
  <si>
    <t>synikki</t>
  </si>
  <si>
    <t>2yearsanniverserycomingsoon</t>
  </si>
  <si>
    <t>momentcatchingearthling</t>
  </si>
  <si>
    <t>1580986488715188526_2878001947</t>
  </si>
  <si>
    <t>#happymonday
#freshstart
#newweek
#newways
#newgoals
#forwards
#keepongoing
#blackforest 🌲🌲🌲
#Schwarzwald#Nordschwarzwald#exploregermany#travelgram#wanderlust#natureshots#ig_german#wildernessculture#wildernessnation#modernwild#wildernessmakesyoubetter#exploreourearth#wonderlustgermany#wildvisuals#GalaxyS6#samsungsnapshooter#wekeepmoments#ig_germany#galaxyloversmagazine#galaxylicious#sharegermany#ig_blackforest</t>
  </si>
  <si>
    <t>Kniebis, Baden-Wurttemberg, Germany</t>
  </si>
  <si>
    <t>exploregermany</t>
  </si>
  <si>
    <t>nordschwarzwald</t>
  </si>
  <si>
    <t>blackforest</t>
  </si>
  <si>
    <t>travelgram</t>
  </si>
  <si>
    <t>sandiundnini</t>
  </si>
  <si>
    <t>1580986860228866040_1979470355</t>
  </si>
  <si>
    <t>Monday morning and I am really motivated... Surprise surprise 😂💪#sweatwithkayla #kaylaitsines #bbg #sweating #legday #fitmom #fitness #fitforlife #earlybird #earlymorning #earlysession #keepongoing #poweron #nevertooold #nevertoolate #nevergiveup #nothingcanstopme #fightforit #sweatnowshinelater #derwegistdasziel #nopainnogain #mondaymood #monday</t>
  </si>
  <si>
    <t>fitforlife</t>
  </si>
  <si>
    <t>fightforit</t>
  </si>
  <si>
    <t>kaylaitsines</t>
  </si>
  <si>
    <t>earlybird</t>
  </si>
  <si>
    <t>3d_market</t>
  </si>
  <si>
    <t>1580987194382144549_1611690820</t>
  </si>
  <si>
    <t>Prototyping ongoing!
#product #work #3dskrivare
#productive #productdesign #creative #savetime #entrepreneursofinstagram #entrepreneur #productivity #working #3dprinting  #hustler  #dream #skapa #workspace #create #keepongoing #dreams #inspiration #inspiringpeople #sverige #graphicdesign #art #design #designer #artist #3dprint #sneakers #workshop</t>
  </si>
  <si>
    <t>savetime</t>
  </si>
  <si>
    <t>3dprint</t>
  </si>
  <si>
    <t>designer</t>
  </si>
  <si>
    <t>1580988913996287838_1611690820</t>
  </si>
  <si>
    <t>First layer is very important!
If the first layer is good then 98% of the time the prototype will turn out good!
#product #work #3dskrivare
#productive #productdesign #creative #savetime #3dutskrift #entrepreneur #productivity #working #3dprinting  #hustler  #dream #skapa #workspace #create #keepongoing #dreams #inspiration #inspiringpeople #sverige #graphicdesign #art #design #designer #artist #3dprint #prototype #workshop</t>
  </si>
  <si>
    <t>3dutskrift</t>
  </si>
  <si>
    <t>singwithbeat</t>
  </si>
  <si>
    <t>1580992575203328555_258605126</t>
  </si>
  <si>
    <t>Homework 08/14: 
自告奮勇畫剖結果超違和
但有before才有after 
只能繼續朝聖Pinterest大大了
#keepongoing</t>
  </si>
  <si>
    <t>1580992786403705910_429150387</t>
  </si>
  <si>
    <t>God has abundance in store for us. It's a place where all needs are meet, it's a place of joy, happiness, and victory. But in order to experience it, we must do our part to obey the Word of God and pursue the abundant life that's rightfully ours. So stir yourself up to pursue wholeheartedly the dreams God has placed in your heart. Don't settle for a life of mediocrity. Get the Word of God in your heart, speak words of life, don't give up no matter what and walk in the abundant and blessed life He has for you. These can be our best days when we keep Jesus first place and when we keep on believing for His best, so lay up the  word of God and do the word and enjoy the abundant life Christ gave us. May this be a week of abundant favour and grace over your life and your loved ones in Jesus Name, enjoy. God bless 🙏 ☺️ #MondayMotivation #NewWeek #HappyMonday #Monday #KeepOnGoing #BeBold #Strength #Courageous #DontGiveUp #LookToJesus #Strength #AbundantLife #Favor #Abundance #TrustGod #Love #Joy #EnjoyLife #Devotion #Encouragement #AllThingsArePossible  #Grace #Victory #Happiness #Goodtimes #Bible #Truth #Discernment #YouAreLoved #JesusLovesYou</t>
  </si>
  <si>
    <t>encouragement</t>
  </si>
  <si>
    <t>trustgod</t>
  </si>
  <si>
    <t>1580992907685772356_5681311432</t>
  </si>
  <si>
    <t>The face I make when really I'm stressing on the inside and freaking out about Adulting😂 But I'm a strong woman and a tough cookie🍪💪🏻 I got this💪🏻
Have a wonderful night lovely people!😊💖 Never give up on yourself!💖💖
.
.
.
.
.
.
.
.
.
.
.
#honormycurves #bodypositive #loveyourbody #loveyourself #selflove #embracethesquish #embraceyourcurves #embracetheprocess #workinprogress #progress #proudofmyself #fitness #fit #fitgirl #fitjourney #fitnessmotivation #gym #gymmotivation #thick #thickthighssavelives #curves #curvygirl #adulting #stressed #instagood #instadaily #keepongoing #sisepuede</t>
  </si>
  <si>
    <t>stressed</t>
  </si>
  <si>
    <t>fitjourney</t>
  </si>
  <si>
    <t>1580994375037705709_279512262</t>
  </si>
  <si>
    <t>📷 @evgesha_ .
.
#livethedream #streetadventure #girl #daily #dreamers #red #vscodaily #lifeex #livy #lifeisgood #keepcalm #keepongoing #picoftheday #madrussians #mood #morning #moscowlife #catherineinmoscow #citylife #abmlife #authentic #livealittle #liveauthentic #livethedream #vibes</t>
  </si>
  <si>
    <t>Музей Поездов</t>
  </si>
  <si>
    <t>livealittle</t>
  </si>
  <si>
    <t>vscodaily</t>
  </si>
  <si>
    <t>armandszeltins</t>
  </si>
  <si>
    <t>1580998308817474039_3048842739</t>
  </si>
  <si>
    <t>#atletikafitness #earlymorningworkout #nopainnogain #keepongoing #neverbackdown</t>
  </si>
  <si>
    <t>Atletika Centrs</t>
  </si>
  <si>
    <t>nopainnogain</t>
  </si>
  <si>
    <t>earlymorningworkout</t>
  </si>
  <si>
    <t>atletikafitness</t>
  </si>
  <si>
    <t>hungleefang</t>
  </si>
  <si>
    <t>1581000335337838045_1222958259</t>
  </si>
  <si>
    <t>Monday chill~delete later
#monday #keepongoing #goforwork #summerlook #August</t>
  </si>
  <si>
    <t>monday</t>
  </si>
  <si>
    <t>august</t>
  </si>
  <si>
    <t>goforwork</t>
  </si>
  <si>
    <t>summerlook</t>
  </si>
  <si>
    <t>stella_salander</t>
  </si>
  <si>
    <t>1581001039216480355_4792201770</t>
  </si>
  <si>
    <t>The vision sometimes might be unclear but hold on and keep on walking. You'll find your trail finally. #trekking #hiking #onthetrail #mistymountains #foggyview #nature #natureart #polishmountains #mysteriousworld #wonderfulworld #ontheway #lifeisajourney #keepongoing #trees #landscape_captures #wgórach #naszlaku #wędrówka #krajobrazypolskie #mgła #klimacikjest #wdrodzedocelu #polskajestpiekna #zyciejestjedno #onemistysunday #beskidżywiecki #dzieńdobrywponiedziałek #slaskietravel</t>
  </si>
  <si>
    <t>klimacikjest</t>
  </si>
  <si>
    <t>wędrówka</t>
  </si>
  <si>
    <t>wgórach</t>
  </si>
  <si>
    <t>foggyview</t>
  </si>
  <si>
    <t>trees</t>
  </si>
  <si>
    <t>1581003800259826780_5681311432</t>
  </si>
  <si>
    <t>Body Update: sooooo I kinda didn't go to the gym today😩 A last minute family thing came up and I just couldn't make it today😩 not only that but I'm feeling very bloated and it's probably cause I haven't been doing so hot with my eating😩 But if it's one thing I learned throughout this journey is that it's okay to mess up, no one is perfect, what matters most is that you keep trying and never give up on yourself💪🏻💪🏻 not giving up!💖 (Sorry the video is kinda awkward, I didn't know how to go about it😂) .
.
.
.
.
.
.
.
#honormycurves #bodypositive #loveyourbody #loveyourself #selflove #embracethesquish #embraceyourcurves #embracetheprocess #workinprogress #progress #proudofmyself #fitness #fit #fitgirl #fitjourney #fitnessmotivation #gym #gymmotivation #thick #thickthighssavelives #curves #curvygirl #tummy #cellulite #stilllovemyself #instagood #instadaily #keepongoing #sisepuede</t>
  </si>
  <si>
    <t>embraceyourcurves</t>
  </si>
  <si>
    <t>cellulite</t>
  </si>
  <si>
    <t>anygivenmondae</t>
  </si>
  <si>
    <t>1581004183713054625_4490245074</t>
  </si>
  <si>
    <t>Happy Monday! Hope you have enjoyed your weekend ❤
Time for a brand new Any Given MondaE with the gorgeous @shoshiye - Shoshi, Third Culture Kid &amp; new mom.
Enjoy reading an interview with a genuine global citizen who has been shaped by 5 continents 🗺
.
.
.
.
.
#shoshanacourtansah #shoshi #tck #culture #anygivenmondae #monday #motivation #interview #nurture #life #rich #mixed #heritage #countries #continents #globalcitizen #newmom #water #nilillegitimicarborundum #keepongoing #latin #kindness</t>
  </si>
  <si>
    <t>shoshi</t>
  </si>
  <si>
    <t>culture</t>
  </si>
  <si>
    <t>latin</t>
  </si>
  <si>
    <t>nurture</t>
  </si>
  <si>
    <t>1581005865024819183_4490245074</t>
  </si>
  <si>
    <t>👥 Who are you? I am @shoshiye but my friends know me as Shoshi. I am a TCK (third culture kid) with a rich mixed heritage and brought up as a global citizen. I have lived in 10 counties on 5 continents and do not ask me to pick my favourite because each and every place represents a different part of me and keeps shaping who I am. 💥 What do you do in your daily life? I am a new mom and loving that role more as I watch my son grow up everyday. Being able to make him laugh gives me life! ❤ I nurture my soul with songs, books and travel...Nothing beats an ol' school track with a passport in hand ready for the next adventure. It can be as simple as visiting family in Curaçao or venturing as far as Australia to witness my bff get married. 👨‍⚕️ Health code I live by WATER! Drink a lot of it. And keep moving. Physically and emotionally. Just keep it moving. 😂 What makes you laugh out loud? My son literally makes me laugh out loud. It's hilarious watching your own little person develop his own character. 🗨 Favourite quote: "Nil illegitimi carborundum" I have no idea who said it first but my dad taught it to me as a teenager and it always makes me giggle as it got me thrown out of my latin class in high school but ironically it fits so many situations then and now and gives me that "umph" to keep on going. It means "don't let the bastards grind you down" in Latin. ⏪ Question from last week by @chahmi_films - what is your biggest inspiration for living life? So I am going to be so unoriginal and say that my son is my biggest inspiration for living life. Seeing how he sees the world, through innocent eyes. Everything is new and an adventure for both of us. ⏩ I would like to ask the next person to do one random act of kindness.
#shoshanacourtansah #shoshi #tck #culture #anygivenmondae #monday #motivation #interview #nurture #life #rich #mixed #heritage #countries #continents #globalcitizen #newmom #water #nilillegitimicarborundum #keepongoing #latin #kindness</t>
  </si>
  <si>
    <t>uberexposure</t>
  </si>
  <si>
    <t>1581008055063335926_3420800737</t>
  </si>
  <si>
    <t>#motivationmonday In honour of #womensmonth today we celebrate Sophie Williams de Bruyn. You have shown us that women are indeed stronger than what people expect. We thank you for your contribution.
#unionbuildings #pretoria #courage #powerhouse #appreciate #strong #keepongoing #nationalwomensmonth #sophiewilliamsdebruyn</t>
  </si>
  <si>
    <t>motivationmonday</t>
  </si>
  <si>
    <t>appreciate</t>
  </si>
  <si>
    <t>courage</t>
  </si>
  <si>
    <t>1581009010693135264_462344435</t>
  </si>
  <si>
    <t>It it doesn't challenge you, it doesn't change you!
.
.
.
Let's rock Monday!
.
.
.
#Bepositive #positivemindset #livelifetothefull #seethegood #seethegoodineverything #believeyoucan #befearless #keeponmoving #keeponlearning #keepondoing #keepongoing #keeponbelieving #believeinyou #goodhabits #achieve #achieveyourdreams #achieveyourgoals #believeinyourdream #believeinyourselfie #keepthefaith #neverstoplearning #positiveattitude #positivemindset #positivequotes #positivevibes #positiveminds #trustandbelieve #trustyourgut #yesyoucan  #youcandoit</t>
  </si>
  <si>
    <t>believeinyourselfie</t>
  </si>
  <si>
    <t>keeponlearning</t>
  </si>
  <si>
    <t>achieve</t>
  </si>
  <si>
    <t>lizarafar</t>
  </si>
  <si>
    <t>1581013877754358864_3643708050</t>
  </si>
  <si>
    <t>Start ur day wt #abkarasecret jamu.. #workingmode #keepsmiling #keepongoing #lifeiswonderful #lifegoeson #thinkpositive #loveurself #loveAllah #alhamdullillah 
ABKARA SECRET CAPSULE / JAMU DARA SEMULA BERKHASIAT:
1. MENGECUTKAN PERANAKAN &amp; KEMBALI DARA
2. MENAMBAH NAFSU HUBUNGAN KELAMIN
3. MEMPERBETULKAN KEDUDUKAN RAHIM
4. MENGHILANGKAN BISA-BISA BADAN
5. MEMBETULKAN PERJALANAN ANGIN
6. MENGUBATI SENGGUGUT
7. MENGUBATI KEPUTIHAN
8. MENCANTIKKAN STRUKTUR KULIT MUKA, MENAIKKAN SERI MUKA &amp; AWET MUDA
9. MELAWASKAN PEMBUANGAN NAJIS KECIL &amp; BESAR
10. BUASIR 
ABKARA SECRET CAPSULE dihasilkan dari gabungan herba terpilih dari alam Melayu &amp; Timur Tengah antaranya Manjakani, daun inai, akar pohon semalu dan habatus sauda'. Abkara Secret Capsule juga sudah dimesrakan dengan ayat-ayat al-quran.
Whatapp HQ : 0168411056
Follow ig @abkarasecret
@abkarasecret 
@abkarasecret
#jamu #awetmuda #segar #energy #bloodcirculation #keputihan #senggugut</t>
  </si>
  <si>
    <t>bloodcirculation</t>
  </si>
  <si>
    <t>energy</t>
  </si>
  <si>
    <t>loveurself</t>
  </si>
  <si>
    <t>segar</t>
  </si>
  <si>
    <t>natas.nurture</t>
  </si>
  <si>
    <t>1581016647405069317_2175537656</t>
  </si>
  <si>
    <t>Happy Monday! Hope you have enjoyed your weekend ❤
Check out the latest edition of @anygivenmondae with the gorgeous @shoshiye - Shoshi, Third Culture Kid &amp; new mom.
Enjoy reading an interview with a genuine global citizen who has been shaped by 5 continents.
.
.
.
.
.
#shoshanacourtansah #shoshi #tck #culture #anygivenmondae #monday #motivation #interview #nurture #life #rich #mixed #heritage #countries #continents #globalcitizen #newmom #water #nilillegitimicarborundum #keepongoing #latin #kindness</t>
  </si>
  <si>
    <t>thesweetest.medejko</t>
  </si>
  <si>
    <t>1581019198732335570_5876941399</t>
  </si>
  <si>
    <t>A strong positive will is the Best medicine💖
#medejkoquote #diabetessupport #t1d #t1diabetes #t1warrior #beatthis #diabetic #insulininjections #insulinpump #accucheck #diabeticlife #diabeticlife #diabeticfood #typeone #positivediabetic #diabadass #diabeatthis #diabeticfood #diabeticrecipes #keepongoing #nevergiveup #healthydiabetic #fitdiabetic</t>
  </si>
  <si>
    <t>diabetic</t>
  </si>
  <si>
    <t>beatthis</t>
  </si>
  <si>
    <t>t1diabetes</t>
  </si>
  <si>
    <t>insulininjections</t>
  </si>
  <si>
    <t>diabeticlife</t>
  </si>
  <si>
    <t>1581020176425706936_2317517565</t>
  </si>
  <si>
    <t>Træt af lange løbeture, så skab lidt afveksling med andre løbemønstre som fx. dette kegleløb. Du skal siksakke dig frem og løbe baglæns tilbage. Du kan altid løbe hurtigere, smide flere kegler på eller smide dig ned på maven ved hver kegle for at gøre det hårdere. 🏃🏋🏼‍♀️🏆🍾 ——
#mortentillitzdk  #whatwouldbeyoncedo #toldyouso #tropådet #personligtræner #personaltrainer #cycling #Cykling #styrketræning #løb #Svømning #Swim #running #stronger #personligtræner #mitodense #fitfam #ﬁtfamdk #actionequalsresults #handlingskabersucces #helkropstræning #fullbody #SunRiceClubbyMortenTillitzDK #mentalpause #blivved #keepongoing #styrketræning #painfree #smertefri #søvn #sleep #mitodense</t>
  </si>
  <si>
    <t>Munke Mose</t>
  </si>
  <si>
    <t>svømning</t>
  </si>
  <si>
    <t>styrketræning</t>
  </si>
  <si>
    <t>sunriceclubbymortentillitzdk</t>
  </si>
  <si>
    <t>o.maria_clothing</t>
  </si>
  <si>
    <t>1581020749149549968_1492475063</t>
  </si>
  <si>
    <t>With the new day comes 
New strength and
New thoughts --------Eleanor Roosevelt 
You can now place your order for our Cara chocker / bow accessories --------- Hair/mua @mo_essential
#mondaymotivation #dontgiveuponhope #keepongoing #keepthevibesalive
#buynigeria#styleinfluencer#Styleicon #fashionlovers #fashion #fashionister #onobello#ngtrends #nigerianwomendiary #celebrityfashion#wearO.Maria #instagood#instafashion#pulsenigeriafashion #fashionblogger#instabuyers 
#pulsefashion #nigerianblogger #ibadandesigners #madeinnigeria #ibcity #ibcityinfov</t>
  </si>
  <si>
    <t>nigerianwomendiary</t>
  </si>
  <si>
    <t>wearo</t>
  </si>
  <si>
    <t>ibcity</t>
  </si>
  <si>
    <t>buynigeria</t>
  </si>
  <si>
    <t>fashionister</t>
  </si>
  <si>
    <t>najuhki</t>
  </si>
  <si>
    <t>1581033343067033941_425877607</t>
  </si>
  <si>
    <t>Love to share some quality time with some Instagram and photography enthusiasts - this was before our #PhotoWalk with @igersdublin and @instameetdublin (+ #jamesonbowst) A good bunch of passionate Dubliners went out early in the morning (9am for a Saturday is early) and just captured #d7stories in SmithfieldD7 and Stoneybatter areas. Still feel so energised by the good vibes we shared on Saturday! 
#momentum #motivation #PhotoWalk #instameetdublin #igersdublin #lovethis #lovindublin #totallydublin #dublintown #ireland #dedication #positiveenergy #energised #goodvibes #positivevibes #passion #photowalkers #nevergiveup #neverstopexploring #neverstoplearning #keepup #keepmovingforward #keepongoing #keepitcoming #readytolearn #myfirstphotowalk</t>
  </si>
  <si>
    <t>Dublin, Ireland</t>
  </si>
  <si>
    <t>lovindublin</t>
  </si>
  <si>
    <t>photowalkers</t>
  </si>
  <si>
    <t>readytolearn</t>
  </si>
  <si>
    <t>jamesonbowst</t>
  </si>
  <si>
    <t>positivevibes</t>
  </si>
  <si>
    <t>efficiencytour</t>
  </si>
  <si>
    <t>1581034000187976121_5822456478</t>
  </si>
  <si>
    <t>Goodmorning, we just crossed into southern #norway the conditions are bad with a lot of rain and 9 degrees. #keepongoing 🗺⚡⛽🚘🌍🥇#worldrecord #efficiencytour #teslaclub #teslamag #electricdriver #rally #tour #nordkapp #tarifa #comceptplus #team #race #motorsport #design #tuning #car #power #zeroemission #dieselgate #electric #clean #naturefriendly @elonmusk #futureofdriving #s100d #models</t>
  </si>
  <si>
    <t>Porten til Nord-Norge</t>
  </si>
  <si>
    <t>zeroemission</t>
  </si>
  <si>
    <t>models</t>
  </si>
  <si>
    <t>team</t>
  </si>
  <si>
    <t>tuning</t>
  </si>
  <si>
    <t>motorsport</t>
  </si>
  <si>
    <t>1581036204982441951_5801959162</t>
  </si>
  <si>
    <t>💎 I just love this guy!😍 Do you? 😃 Comment below! ✏️ Feel free to use and share this! Thank you @garyvee for being amazing</t>
  </si>
  <si>
    <t>1581037420753045180_1492475063</t>
  </si>
  <si>
    <t>With the new day comes  New strength and
New thoughts --------Eleanor Roosevelt 
You can now place your order for our Cara chocker / bow accessories
Kindly follow @mo_essential for your hair /makeup 😘😘 #mondaymotivation #dontgiveuponhope #keepongoing #keepthevibesalive
#buynigeria#styleinfluencer#Styleicon #fashionlovers #fashion #fashionister #onobello#ngtrends #nigerianwomendiary #celebrityfashion#wearO.Maria #instagood#instafashion#pulsenigeriafashion #fashionblogger#instabuyers 
#pulsefashion #nigerianblogger #ibadandesigners #madeinnigeria #ibcity #ibcityinfov</t>
  </si>
  <si>
    <t>sparamoreproductions</t>
  </si>
  <si>
    <t>1581039816866762172_4823699523</t>
  </si>
  <si>
    <t>Sometimes things happen 😂 but why not keep shooting #photoshoot #photographer #keepongoing #keepcalm</t>
  </si>
  <si>
    <t>photographer</t>
  </si>
  <si>
    <t>keepcalm</t>
  </si>
  <si>
    <t>photoshoot</t>
  </si>
  <si>
    <t>afo1976</t>
  </si>
  <si>
    <t>1581041596374478472_2059906321</t>
  </si>
  <si>
    <t>Måndag! Startade morgonen med att simma 40min och känna mig som en haj. .
.
#måndag #haj #shark #monday #ftw #keepongoing</t>
  </si>
  <si>
    <t>shark</t>
  </si>
  <si>
    <t>ftw</t>
  </si>
  <si>
    <t>måndag</t>
  </si>
  <si>
    <t>instapercy</t>
  </si>
  <si>
    <t>1581042878363657937_14998736</t>
  </si>
  <si>
    <t>#keepongoing #keeptrying  hard work trying to get #healthy and lose weight it's a constant battle but I'm not giving up #august2017 swimming 3 miles a week and #lowcarblifestyle #ditchthescales #ditchthecarbs #positivity #hopeful #august2017 #mistakeshappen</t>
  </si>
  <si>
    <t>lowcarblifestyle</t>
  </si>
  <si>
    <t>ditchthescales</t>
  </si>
  <si>
    <t>ditchthecarbs</t>
  </si>
  <si>
    <t>dragonbe</t>
  </si>
  <si>
    <t>1581043062469936326_199177462</t>
  </si>
  <si>
    <t>Landed 2hrs ago and already back on the road 🚗💨 #KeepOnGoing</t>
  </si>
  <si>
    <t>In2it vof</t>
  </si>
  <si>
    <t>nanostick.se</t>
  </si>
  <si>
    <t>1581048540925391499_5744148801</t>
  </si>
  <si>
    <t>Future computers! Charge itself by water!
How do you think the computer will look like in 30 years?
#product #work #buissnes
#productive #productdesign #creative #photoshop #entrepreneursofinstagram #entrepreneur #productivity #working #hustle  #hustler  #dream #nevergiveup #workspace #create #keepongoing #dreams #inspiration #inspiringpeople #sverige #computer #art #design #designer  #work #future  #nature</t>
  </si>
  <si>
    <t>Gothenburg</t>
  </si>
  <si>
    <t>dreams</t>
  </si>
  <si>
    <t>1581055376273544958_279512262</t>
  </si>
  <si>
    <t>❤️мне нужно больше серого неба над Москвой❤️
С этим городом у меня действительно ассоциируется красный цвет. Оно и не удивительно, да?)
.
#livethedream #seemymoscow #catherineinmoscow #daily #abmlife #authentic #abmlifeissweet #abmhappylife #abmcolorcontest #lifeex #livy #keepongoing #livestory #madrussians  #moscow #livealittle #liveauthentic #livethelittlethings #citylife #vsco #vibes #vscocam #vscogood #vscovisuals</t>
  </si>
  <si>
    <t>Saint Basil's Cathedral</t>
  </si>
  <si>
    <t>vscogood</t>
  </si>
  <si>
    <t>myrnakanawati</t>
  </si>
  <si>
    <t>1581056049796092571_474058867</t>
  </si>
  <si>
    <t>~Meet me where the sky touches the sea~ #mimew #freespirit #love #ocean #findingme #joy #peace #followyourheart #strength #lifegoeson #positivity #keepongoing #livehappy #peaceandlove #🐬</t>
  </si>
  <si>
    <t>peace</t>
  </si>
  <si>
    <t>mimew</t>
  </si>
  <si>
    <t>lifegoeson</t>
  </si>
  <si>
    <t>marcydarestodream</t>
  </si>
  <si>
    <t>1581057261336444202_2331166065</t>
  </si>
  <si>
    <t>Out on my run #thirdday 🏃🏽‍♀️🏃🏽‍♀️🏃🏽‍♀️got to keep it moving #runningmyassoff #jogger #ranhard #thirddayrunning #keepongoing #motivation #viewsonmyrun #wiltshirecountryside #runninggirl #runningforhappiness #runnerslife #runnersworld #runnershigh #runningshoes #runninggoals</t>
  </si>
  <si>
    <t>runninggoals</t>
  </si>
  <si>
    <t>runnerslife</t>
  </si>
  <si>
    <t>runningmyassoff</t>
  </si>
  <si>
    <t>1581057779426945655_5586814877</t>
  </si>
  <si>
    <t>Poached eggs on a toasted Schar gluten Free ciabatta (B Choice), nectarine for speed, Nescafé 3in1 sachet ☕️ (3.5 syns) and lovely chilled water 💦 
#fooddiary #slimmingworld #sw #slimmingworldfood #slimmingworldjourney #health #happiness #selfimprovement #bethebestyou #keepongoing #nomorestartingover</t>
  </si>
  <si>
    <t>bethebestyou</t>
  </si>
  <si>
    <t>cambalacheself</t>
  </si>
  <si>
    <t>1581077254770580400_4359740860</t>
  </si>
  <si>
    <t>Create your own sunshine.
♥♡
#sunshine #beautiful #monday #yellow #sun #create #live #love #beyourself #keepongoing #grow #share #walk through #life</t>
  </si>
  <si>
    <t>goldenboobiesproject</t>
  </si>
  <si>
    <t>1581078994568480348_5757275549</t>
  </si>
  <si>
    <t>💕 this little #flatlay from @mormargate for #internationalwomensday #indiebusiness #lifestyle #styling #boobs #women #keepongoing #ladies #whoruntheworld</t>
  </si>
  <si>
    <t>lifestyle</t>
  </si>
  <si>
    <t>whoruntheworld</t>
  </si>
  <si>
    <t>flatlay</t>
  </si>
  <si>
    <t>boobs</t>
  </si>
  <si>
    <t>1581082648251775753_3281668483</t>
  </si>
  <si>
    <t>Officially popped😅!! #gym #gains #fitspo #fitness #fitchick #keepongoing #bestrong #bodybuilding #onedayatatime #cantstopwontstop #arms #chest #shoukders #popped</t>
  </si>
  <si>
    <t>fitchick</t>
  </si>
  <si>
    <t>popped</t>
  </si>
  <si>
    <t>lamieze_sz</t>
  </si>
  <si>
    <t>1581083003852207437_5835291547</t>
  </si>
  <si>
    <t>2. Woche , Tag 11: mein liebster platz um sport zu machen. Hier zu Hause fühle ich mich aktuell am wohlsten um sport zu treiben. Eine matte, ein teraband und zwei hanteln. Auf der truhe stelle ich mein iphone hin, schalte das sportvideo ein und folge den anweisungen vom julian 1:1. ichfreue mich aber auch schon sehr darauf, wenn ich meine eigene routine habe und ich mich auch traue in der öffentlichkeit sport zu machen. #sz2k17 #fitforlife #keepongoing</t>
  </si>
  <si>
    <t>sz2k17</t>
  </si>
  <si>
    <t>1581088882144049419_4249248273</t>
  </si>
  <si>
    <t>For all those people who feel like their Monday morning feels like an overhang when you haven't warmed up 😐 it'll get better, we just gotta get past the arm pump, crampy legs, unengaged brain and general Monday morningness. 😁 once you're through the pain of realising it's a Monday morning - it'll be ok, it always is, Friday is around the corner 🤗 worst case? The pain won't end, but you'll get used to it. I know that sounds awful, but as a person experiencing a good amount of pain issues, having it at a level where I don't notice it is always a win :) happy Monday all, I hope you get through it with less of an overhang feeling than me! @ehlersdanlosuk @thisgirlcanclimbing #amputee #believeinyourself #climber #climbing_is_my_passion #climbing_pictures_of_instagram #paraclimbing thanks @sunnylux for the shot #thisgirlcan #thisgirlcanclimb #training #yesican #keepongoing #keepsmiling #choice #pain #chronicillness #ehlersdanlossyndrome #mondaymotivation #mondaymorning #muslim #hijab #dontgiveup #determination #goals #growth #journey #optimistic #resilience #struggle</t>
  </si>
  <si>
    <t>thisgirlcanclimb</t>
  </si>
  <si>
    <t>jemimavanmele</t>
  </si>
  <si>
    <t>1581091463041722868_3855166662</t>
  </si>
  <si>
    <t>Pfffff, moeizame sessie. Hartslagmeter wou niet mee 😬 #morningrun #workout #afzien #pissedoff #beachlife #7km✔️ #keepongoing</t>
  </si>
  <si>
    <t>Strand Mariakerke</t>
  </si>
  <si>
    <t>afzien</t>
  </si>
  <si>
    <t>pissedoff</t>
  </si>
  <si>
    <t>7km✔️</t>
  </si>
  <si>
    <t>runaroundretro</t>
  </si>
  <si>
    <t>1581097138875989708_1738146758</t>
  </si>
  <si>
    <t>We found out last week we have to leave our dear cottage that we have  called home for the last 6 years ... maybe abit more. Feel very sad about this but we found a new house on a farm twenty mins from here so I guess new beginnings and all that ..... all makings and creations will continue xxxxxxxx
#newhouse #moving #stressedout #keepongoing</t>
  </si>
  <si>
    <t>newhouse</t>
  </si>
  <si>
    <t>stressedout</t>
  </si>
  <si>
    <t>rezinals</t>
  </si>
  <si>
    <t>1581104306463408759_784320072</t>
  </si>
  <si>
    <t>Yesterday was bad! No don't get me wrong I had a lovely Sunday with my favourite humans but I ate badly, shockingly, terribly! After a month of being drill sergeant strict with my diet, I indulged in a delicious burger and chips from @burger_rack_halal. I felt terribly guilty afterwards but I encouraged myself that hey it's one bad meal and I just need to stay focused!
So today I'm back on track with these carb-free, protein-packed, easy-to-prep egg muffins for breakfast and a solid boot camp class with @naninels2204 at @virginactivesa to kill those calories. I'm more motivated than ever!
Remember : one bad meal isn't going to make you fat and one healthy meal isn't going to make you strong. It's about perseverance and maintaining it over the longer term. Just keep on going!
#strongwomen #strongnotskinny #strongfromwithin #lifestylechanges #keepongoing #mondaymotivation #cleaneating #caloriekiller</t>
  </si>
  <si>
    <t>cleaneating</t>
  </si>
  <si>
    <t>lifestylechanges</t>
  </si>
  <si>
    <t>strongnotskinny</t>
  </si>
  <si>
    <t>caloriekiller</t>
  </si>
  <si>
    <t>30gemuchi</t>
  </si>
  <si>
    <t>1581105995030258418_1547180739</t>
  </si>
  <si>
    <t>Cuando lo que eres es lo que quieres ser, eso es Felicidad!! 😃🤗🙌🏻🌈🥇#alwaysgrateful #newobjectives  #improving #neverstop #keepongoing #smilinggirl</t>
  </si>
  <si>
    <t>smilinggirl</t>
  </si>
  <si>
    <t>newobjectives</t>
  </si>
  <si>
    <t>neverstop</t>
  </si>
  <si>
    <t>alwaysgrateful</t>
  </si>
  <si>
    <t>alonashk</t>
  </si>
  <si>
    <t>1581106297506675861_371366296</t>
  </si>
  <si>
    <t>#keepongoing #boy #bnw #barcelona #baby #run</t>
  </si>
  <si>
    <t>Barcelona, Spain</t>
  </si>
  <si>
    <t>baby</t>
  </si>
  <si>
    <t>boy</t>
  </si>
  <si>
    <t>bnw</t>
  </si>
  <si>
    <t>1581110310289323389_279512262</t>
  </si>
  <si>
    <t>Люблю красивые фасады и окна. Люблю заметить редкое отличие в одном окне от всех остальных.
Никогда не могу просто пройти мимо.
.
#livethedream #windows #streetadventure #citylife #vsco #vibes #vscocam #vscodaily #abmlife #authentic #abmhappylife #architecturephotography #keepongoing #keeponwalking #lifestyle #lifeex #livy #livethelittlethings #livethedream #liveauthentic #madrussians #moscowcity</t>
  </si>
  <si>
    <t>улица Пятницкая</t>
  </si>
  <si>
    <t>livethelittlethings</t>
  </si>
  <si>
    <t>sharon__de</t>
  </si>
  <si>
    <t>1581111438910297023_176226847</t>
  </si>
  <si>
    <t>Trying to take an artistic shower but it didn't work out✌🏻 🇸🇬 #merlion #keepongoing</t>
  </si>
  <si>
    <t>Merlion</t>
  </si>
  <si>
    <t>merlion</t>
  </si>
  <si>
    <t>nikiitaco</t>
  </si>
  <si>
    <t>1581111819090361097_176837527</t>
  </si>
  <si>
    <t>There is something exciting coming from Nikiita Co later this week. And it means I have to get ready to share... to get really REAL, dig under all the layers, and go back to why I pursued this journey in the first place. To be really honest, it feels a little disorienting. The doubt voice sneaks in so quickly -  always waiting to pounce! 
But I'm committed to my vulnerability and getting real, so I'll keep in swimming - awkward feelings and uncertainty along for the ride! 😬 🌿One step at a time 🌿</t>
  </si>
  <si>
    <t>truefreedom</t>
  </si>
  <si>
    <t>nothingtoprove</t>
  </si>
  <si>
    <t>nothingtohide</t>
  </si>
  <si>
    <t>1581125911121881513_283803088</t>
  </si>
  <si>
    <t>#donquiote #sanchopanza #tothenextadventure #madrid #keepongoing</t>
  </si>
  <si>
    <t>Parque de Pinar Del Rey</t>
  </si>
  <si>
    <t>sanchopanza</t>
  </si>
  <si>
    <t>tothenextadventure</t>
  </si>
  <si>
    <t>madrid</t>
  </si>
  <si>
    <t>donquiote</t>
  </si>
  <si>
    <t>wanderful.destinations</t>
  </si>
  <si>
    <t>1581126711326569323_2164432158</t>
  </si>
  <si>
    <t>Al Qudra desert in Dubai, photo by @dennisstever
Tag your friends 😍
.
.
.
.
.
.
.
.
#travellifestyle #sunset #lifeisanadventure #awesomeglobe #lifeissweet #travelingman #travelbreak #keeppraying #travelandlife #keepongoing #travelnow #earthofficial #travelwithme #addictedtotravel #safetravels #paradiseofminimal #paradisetour #creativeentrepreneur #vacationlife #creativepreneur #escapegame #travelmalaysia #paycationtravel #exploreyourcity #spiritualwarrior</t>
  </si>
  <si>
    <t>lifeissweet</t>
  </si>
  <si>
    <t>safetravels</t>
  </si>
  <si>
    <t>travellifestyle</t>
  </si>
  <si>
    <t>escapegame</t>
  </si>
  <si>
    <t>travelwithme</t>
  </si>
  <si>
    <t>galib_dominant</t>
  </si>
  <si>
    <t>1581129845344225440_1699494468</t>
  </si>
  <si>
    <t>Dear, Fakhri.
First one I want to thank you for being such a good friend. I would like to express my gratitude towards you for helping me overcome obstacles on my way, make me feel strong in difficulties. I really appreciate you and so glad got to know you. I've been getting along with you and we've really real friendship, It's really so hard to say goodbye again and follow you in the USA! Wish you all the best in your future life, hope we will meet soon. 
Sincerely,
Galib. 
#dominant #friendship #friendshipgoals #friend #bestrong #keepongoing #nevergiveup #bro #believe #believeinyourself #justdoit #thankyou #forevething #happy #bestregards #meetsoon #wish #best #takecare #frank</t>
  </si>
  <si>
    <t>bro</t>
  </si>
  <si>
    <t>bestregards</t>
  </si>
  <si>
    <t>rillinjapan</t>
  </si>
  <si>
    <t>1581135617688268436_2946672341</t>
  </si>
  <si>
    <t>Keep going little beatle ! #ExerciseIsGood #ChubbyAndHealthy #DontGiveUp #KeepOnGoing #NikeTraining #ICanDoIt #NeverStop #ChubbyGirl #CurvyAndHealthy #AdidasCloudFoam #健康ぽっちゃり #ぽっちゃり #グラマラス #GreenEyedGirls #GreenEyes</t>
  </si>
  <si>
    <t>日本ガイシホール</t>
  </si>
  <si>
    <t>adidascloudfoam</t>
  </si>
  <si>
    <t>chubbyandhealthy</t>
  </si>
  <si>
    <t>chubbygirl</t>
  </si>
  <si>
    <t>boreofrancisco</t>
  </si>
  <si>
    <t>1581145889850559440_189253978</t>
  </si>
  <si>
    <t>GAINS SERIES.
#mondaylegday 🏋
▪
6 months of no #legday is a b***h but it's all worth the pain. I actually missed feeling that kind of pain after a complete leg workout. Do you remember that time you went ham on your leg day and almost pass out?
▪
Tag a friend who did pass out 😴
▪
Alright so a little advice to the starters...don't try to compete with anyone, and don't pressure yourself on hitting your PR for a certain workout, and of course, don't be scared to increase the weight...minimally but at least push it up on every set.
▪
#mondaymotivation #fitness #fitnessculture #fitpinas #fitfam #fitfamph #aesthetic #aestheticsforlife #athlete #physique #squats #noexcuses #keepongoing #innerbeastclothing</t>
  </si>
  <si>
    <t>noexcuses</t>
  </si>
  <si>
    <t>physique</t>
  </si>
  <si>
    <t>mondaymotivation</t>
  </si>
  <si>
    <t>aesthetic</t>
  </si>
  <si>
    <t>1581155094325755475_185195397</t>
  </si>
  <si>
    <t>Embrace life with passion today_BE BOLD!
Happy Monday! 🙌🌸❤️
.
.
.
#livebold #embracelife #mondaymotivation #joyfullife #makeitcount #worththeeffort #charlestonsc #compassionmatters #youareloved #youareenough #youareamazing #youareworthit #flowerstagram #flowerpower #kindnessmatters #rundaily #runhappy #clarity #cakidiehl #choosejoy #chooselove #newweeknewgoals #meditatedaily #positivemindset #highvibes #persevere #keepongoing</t>
  </si>
  <si>
    <t>youareamazing</t>
  </si>
  <si>
    <t>charlestonsc</t>
  </si>
  <si>
    <t>chooselove</t>
  </si>
  <si>
    <t>persevere</t>
  </si>
  <si>
    <t>purple_pirate136</t>
  </si>
  <si>
    <t>1581155105112550175_1321735576</t>
  </si>
  <si>
    <t>Happy 70th independence day Pakistan! 
May Allah bless our country and us and may we be able to understand true meaning of freedom. AMEN
#pakistan #independance #day #freedom #keepongoing #keepsmiling</t>
  </si>
  <si>
    <t>pakistan</t>
  </si>
  <si>
    <t>independance</t>
  </si>
  <si>
    <t>jannellee88</t>
  </si>
  <si>
    <t>1581156972241924787_1686050783</t>
  </si>
  <si>
    <t>12 week Transformation Challenge; different kind of prep, great experience and awesome new challenger friends 💪#keepongoing #12weektransformation</t>
  </si>
  <si>
    <t>12weektransformation</t>
  </si>
  <si>
    <t>pinu_sant</t>
  </si>
  <si>
    <t>1581158759667998592_1495181099</t>
  </si>
  <si>
    <t>Momenti di (non) trascurabile felicità. .
.
#holidays #voglioviverecosi #green #park #relaxing #prague #inlove #vacanze #smile #ground #walking #grass #piedinudi #keepongoing #travel #ontheroad #onthego #goingeverywhere #solocosebelle #thismakesmehappy #occhinegliocchi #turist #czech #travelgram #travelphotography #selfie #vsocam #myself #citylife</t>
  </si>
  <si>
    <t>Vyšehrad - Staré purkrabství</t>
  </si>
  <si>
    <t>goingeverywhere</t>
  </si>
  <si>
    <t>piedinudi</t>
  </si>
  <si>
    <t>czech</t>
  </si>
  <si>
    <t>ashleyblack1986</t>
  </si>
  <si>
    <t>1581173916743157676_651760017</t>
  </si>
  <si>
    <t>And here I go...day #15 of this #19 stretch. #fakeittilyoumakeit #justkeepsmiling #socialworker #ireallyjustwantmybed #singlemomma #keepongoing</t>
  </si>
  <si>
    <t>19</t>
  </si>
  <si>
    <t>singlemomma</t>
  </si>
  <si>
    <t>fakeittilyoumakeit</t>
  </si>
  <si>
    <t>justkeepsmiling</t>
  </si>
  <si>
    <t>1581182334324056693_5705167414</t>
  </si>
  <si>
    <t>If prime Nate Robinson was on the Warriors (not the washed up one), the Warriors could have been really good, we also had after prime Igoudala at that point, with Ellis and Curry recovering from injury, we could've been really good #Dubnation
-
-
-
-
-
-
-
-
-
-
-
-
-
-
-
-
-
-
-
-
-
-
-
-
-
-
-
-
-
-
-
-
-
-
-
-
-
-
-
-
 #StephGonnaSteph #Mvp #SC30 #KT11 #DG23 #CURRYMVP #KEEPONGOING #NEVERGIVEUP #WCF #WEST #WESTERNCONFERENCEFINALS #CHAMPS #DUBSFORCHAMPS #DUBS #ALWAYSBELIEVEINGOD #STEPHENCURRY #EVEN #NBA #2016CHAMPS #CHAMPIONS #LOCKIN #STEPH #SPLASH #SPLASHBROS  #like4like #like4follow #follow4follow</t>
  </si>
  <si>
    <t>livingaddictionfree</t>
  </si>
  <si>
    <t>1581184057756541479_3939963205</t>
  </si>
  <si>
    <t>The impressions that we make upon one another are life-saving if we choose to act in kindness and responsibility.</t>
  </si>
  <si>
    <t>mayaangelou</t>
  </si>
  <si>
    <t>instaquotes</t>
  </si>
  <si>
    <t>motivationiskey</t>
  </si>
  <si>
    <t>magnuslindstrom.se</t>
  </si>
  <si>
    <t>1581187344580233467_189652185</t>
  </si>
  <si>
    <t>Extra energy on today's flight. Day 1 on my C9 program. Looking forward to the next 9 days with new energy. -
#iamthatiam #igotthis #argiplus #awesome #foreverfiber #energydiet #keepongoing #c9 #sas #stayhealthy</t>
  </si>
  <si>
    <t>argiplus</t>
  </si>
  <si>
    <t>sas</t>
  </si>
  <si>
    <t>iamthatiam</t>
  </si>
  <si>
    <t>c9</t>
  </si>
  <si>
    <t>1581189872797066412_1972606430</t>
  </si>
  <si>
    <t>This I would like to hear, so do us all a favor and explain in the comments below😁👍🏼 | #prestoknowsbest
-
-
#liveandlearn #dontsettle #mindsetshift #dropout #content #quotesoflife #fireyourboss #empowernetwork #onlinesuccess #personalgrowth #motivateyourself #betteryourself #keepongoing #mindsetiseverything #inspiredaily #valueyourself #valuelife #entrepreneurmind #newmindset #goalachiever</t>
  </si>
  <si>
    <t>goalachiever</t>
  </si>
  <si>
    <t>mindsetiseverything</t>
  </si>
  <si>
    <t>dtopnotch_r</t>
  </si>
  <si>
    <t>1581193868946674620_636455997</t>
  </si>
  <si>
    <t>Went out for ☕️ but got an extra kick when i got rear-ended on RED light, my reaction's captured on my mug! #calmbutCRazy #thefateofthefurious #rearended but #notmyfault #staycool #keepongoing #slayoncé #vibez</t>
  </si>
  <si>
    <t>North Fontana, California</t>
  </si>
  <si>
    <t>calmbutcrazy</t>
  </si>
  <si>
    <t>staycool</t>
  </si>
  <si>
    <t>notmyfault</t>
  </si>
  <si>
    <t>rearended</t>
  </si>
  <si>
    <t>thefateofthefurious</t>
  </si>
  <si>
    <t>misscasa.myjourney</t>
  </si>
  <si>
    <t>1581197306648554118_3504860607</t>
  </si>
  <si>
    <t>Reminiscing the time my large belly meant the miracle of growing a tiny human inside your body. I still find it surreal and every day I look at my son I'm reminded of why I get up everyday and make a living for my family and why I am on this journey. Every time I look at him it's my reality check from sinking back into the negative thoughts and how yuk those thoughts are.....keeping on track and using my own positive words I give to other as advice as my own gospel!! #realitycheck #keepongoing #nevergiveup</t>
  </si>
  <si>
    <t>realitycheck</t>
  </si>
  <si>
    <t>andrearenaudmcc</t>
  </si>
  <si>
    <t>1581199382476208368_20962189</t>
  </si>
  <si>
    <t>Happy Week! #noteconformes #keepongoing</t>
  </si>
  <si>
    <t>noteconformes</t>
  </si>
  <si>
    <t>pt.jannekankainen</t>
  </si>
  <si>
    <t>1581201875713613496_5518663190</t>
  </si>
  <si>
    <t>Day by day its gettng better💪🏻 now my leg is okey and tomorrow i gonna squat like a motherfucker😂😂 #thisisbodybuilding #contestprep #gettingripped #progressnotperfection #obsessed #ptjannekankainen #personaltrainer #keepongoing #daybyday #bodybuilder #abs</t>
  </si>
  <si>
    <t>obsessed</t>
  </si>
  <si>
    <t>progressnotperfection</t>
  </si>
  <si>
    <t>gettingripped</t>
  </si>
  <si>
    <t>1581217952900293414_185531143</t>
  </si>
  <si>
    <t>Afternoon walks 
#constanta #seaside #sunset #summertime #colors #summer #moments #casino #flyhigh #birdsinthesky #clouds #cloudporn #travel #travelgram #wheretonext #silhouettes #inthesky #architecture #details #archigram #archilovers #prettycities #justgoshoot #killeverygram #cityphotography #urbanexplorer #exploremore #instapic #instashot #keepongoing</t>
  </si>
  <si>
    <t>prettycities</t>
  </si>
  <si>
    <t>casino</t>
  </si>
  <si>
    <t>moments</t>
  </si>
  <si>
    <t>constanta</t>
  </si>
  <si>
    <t>northwestmountainliving</t>
  </si>
  <si>
    <t>1581218467918683431_39793</t>
  </si>
  <si>
    <t>Totally jazzed that it is Monday! I think great things will happen today! While we're waiting for the next big thing check out today's post on the blog. I have a nautical thing going on. Link in bio! Peace!
#nauticalstyle #blogginglife #styleblogger #summerfashion #mountainlife #countrygirl #mondaystyle #keepongoing #neverstop</t>
  </si>
  <si>
    <t>McCall, Idaho</t>
  </si>
  <si>
    <t>styleblogger</t>
  </si>
  <si>
    <t>blogginglife</t>
  </si>
  <si>
    <t>nauticalstyle</t>
  </si>
  <si>
    <t>1581222079792025205_5801959162</t>
  </si>
  <si>
    <t>💎WELL ARE YOU? 🌟Comment below! ✏️ Feel free to use and share this post. ❤️ Thank you @shaazjungphotography for an amazing picture!</t>
  </si>
  <si>
    <t>yeokaii</t>
  </si>
  <si>
    <t>1581237853866524185_1324948042</t>
  </si>
  <si>
    <t>We live, we die. Just you and me
•
•
•
#mondayfeels #badshift #tired #liveanddie #life #nature #flowers #gerbra #buns #orange #keepongoing #bliss #happiness #appreciation #happysoul #freespirit #goodnight #selfie #시드니 #살다 #간다 #월요일 #셀피 #셀카 #똥머리 #꽃 #행복 #위로 #힘든날 #일상</t>
  </si>
  <si>
    <t>happysoul</t>
  </si>
  <si>
    <t>살다</t>
  </si>
  <si>
    <t>freespirit</t>
  </si>
  <si>
    <t>badshift</t>
  </si>
  <si>
    <t>theeccentricempath</t>
  </si>
  <si>
    <t>1581240336801735819_2203922483</t>
  </si>
  <si>
    <t>✖️Monday motivation! These quotes may seem silly but they help me attack my goals with renewed vigor at the beginning of every week.👊🏼 Even though I work hard to be nice to everybody I encounter, I've had plenty of haters. And I use them as stepping stones to reach my goals. They barely slow me down anymore. Kill them with kindness is how I roll. Don't stoop down to their level.✖️ #mondaymotivation #newweek #inspirationalquotes #monday #goals #goalcrusher #hustle #haters #keepongoing #quotes</t>
  </si>
  <si>
    <t>goalcrusher</t>
  </si>
  <si>
    <t>1581252964666890339_2813503554</t>
  </si>
  <si>
    <t>nach ca 4 Woche ist es geschafft, 8 Dips. Heute am Ende vom #chestday nicht ganz so sauber aber besser als nichts. 
#fitfam #fitnesslifestyle #fitnessmotivation #nevergiveup #strong #diefatdie #mcfit #instafit #nevergiveup #callitaplan #keepongoing #bodybuilding #loosewheight</t>
  </si>
  <si>
    <t>loosewheight</t>
  </si>
  <si>
    <t>callitaplan</t>
  </si>
  <si>
    <t>goonlady500</t>
  </si>
  <si>
    <t>1581253561995829453_452505527</t>
  </si>
  <si>
    <t>I pray for better days. I pray i stay strong and do what i got to do,🌹💀🙏💯💯💯💯💯 #keepongoing #prayingforbetterdays #stayingpositiveainteasy #keepyourheadup #500strong</t>
  </si>
  <si>
    <t>500strong</t>
  </si>
  <si>
    <t>prayingforbetterdays</t>
  </si>
  <si>
    <t>stayingpositiveainteasy</t>
  </si>
  <si>
    <t>daniel_kargl</t>
  </si>
  <si>
    <t>1581255599637829294_1421648823</t>
  </si>
  <si>
    <t>M O N D A Y M O T I V A T I O N 💪🏼 #mondaymotivation #onthegrind #keepongoing #results #success #selfmade #noregrets #sweden #stockholm</t>
  </si>
  <si>
    <t>Stockholm, Sweden</t>
  </si>
  <si>
    <t>results</t>
  </si>
  <si>
    <t>noregrets</t>
  </si>
  <si>
    <t>onthegrind</t>
  </si>
  <si>
    <t>marioesco</t>
  </si>
  <si>
    <t>1581258008041009494_216580999</t>
  </si>
  <si>
    <t>How can I complain when this is the first thing I see in the morning? 
#sunrise #magical #beautiful #beautifulday #beautifulweather #morning #clouds #sky #mondaymotivation #monday #views #goodmorning #perspective #openroad #keepongoing #lifeisbeautiful #instagood #instadaily #potd</t>
  </si>
  <si>
    <t>lifeisbeautiful</t>
  </si>
  <si>
    <t>sunrise</t>
  </si>
  <si>
    <t>jennjjoanna</t>
  </si>
  <si>
    <t>1581260536745441848_3879735363</t>
  </si>
  <si>
    <t>#ideservethis #roughday #soworthit #hiking #healthydessert #blueberry #blueberries #strawberry #strawberries #yogurt #metime #pamperingtime #pamperingmyself #weightlossmotivation #motivation #iwilldoit #weightlossjourney #weightlosschallenge #challengeyourself #justdoit #keepongoing #losingweight #healthierlife #fitby2018</t>
  </si>
  <si>
    <t>fitby2018</t>
  </si>
  <si>
    <t>strawberry</t>
  </si>
  <si>
    <t>iwilldoit</t>
  </si>
  <si>
    <t>weightlossmotivation</t>
  </si>
  <si>
    <t>lynalysha_</t>
  </si>
  <si>
    <t>1581260599458136514_1120704397</t>
  </si>
  <si>
    <t>Dulu aku yang pertama di cari tapi sekarang tidak lagi
Tak mengapa,aku mengerti sikap manusia itu sesuka hati datang dan sesuka hati pergi😊 #keepongoing #focusforfuture</t>
  </si>
  <si>
    <t>focusforfuture</t>
  </si>
  <si>
    <t>fit.with.stijn</t>
  </si>
  <si>
    <t>1581263336098869998_5440206314</t>
  </si>
  <si>
    <t>30 day challenge done: consistant training with good nutrition did the work, still in progress. Want to know how? Ask me now! There is no easy in success! Yes you can! Don't forget to love yourself!</t>
  </si>
  <si>
    <t>Sint-Niklaas</t>
  </si>
  <si>
    <t>herbalife</t>
  </si>
  <si>
    <t>awesome</t>
  </si>
  <si>
    <t>1581266447308876225_429036895</t>
  </si>
  <si>
    <t>It all starts with a plan, dreams and little bit of faith!
#girlonamission #brunette #dutchie #edrecovery #fitnesslife #believe #healthylifestyle #worklife #bodyandmind #workinprogress #keepongoing #weightlifting #girlwholifts #dedication</t>
  </si>
  <si>
    <t>worklife</t>
  </si>
  <si>
    <t>fitnesslife</t>
  </si>
  <si>
    <t>weightlifting</t>
  </si>
  <si>
    <t>pink_noelle</t>
  </si>
  <si>
    <t>1581275513337673115_184426730</t>
  </si>
  <si>
    <t>"Ganar es darlo todo, nada más. Recuerda que el objetivo no es el resultado, sino estar preparado para cuando llegue tu momento, y entonces competir." 👌 #vamosallá #pocoapoco #lobuenoestáporllegar #keepongoing</t>
  </si>
  <si>
    <t>vamosallá</t>
  </si>
  <si>
    <t>lobuenoestáporllegar</t>
  </si>
  <si>
    <t>sugabebe</t>
  </si>
  <si>
    <t>1581278305780136596_7060898</t>
  </si>
  <si>
    <t>Never give up on something that you can’t go a day without thinking about. ~ Sir Winston Churchill  #keepongoing #motivation #mountbatur #kintamani #bali #campinglife #nature #wanderlust #outdoor #adventurer Pic by @campingtrip_bali</t>
  </si>
  <si>
    <t>Mount Batur</t>
  </si>
  <si>
    <t>mountbatur</t>
  </si>
  <si>
    <t>adventurer</t>
  </si>
  <si>
    <t>bgoconnor10</t>
  </si>
  <si>
    <t>1581279476845838752_357366449</t>
  </si>
  <si>
    <t>#modivationmonday #keepongoing</t>
  </si>
  <si>
    <t>modivationmonday</t>
  </si>
  <si>
    <t>dariustanbr</t>
  </si>
  <si>
    <t>1581280307410362396_2021040821</t>
  </si>
  <si>
    <t>My life for today: ✔ 1pm - Appointment 1
✔ 3pm - Appointment 2
✔ 530pm - Company Gathering at Liquid
✔ 8pm - Appointment 3
Of course, I never forget my wife's request! - Honey Milk Tea with Pearls! 😜✔👍 Back home and get ready for another round of packed schedule tomorrow starting from 10am! 💪
.
.
.
.
.
#busybees #nevergiveup #endure #keepongoing #hustle #perseverance #work #life #love #family #business #entrepreneur #inspiredaily #ambition #biz #businessman #motivational #reachingout #entrepeneur #entrepeneurship #success #work #wonderful #passionate #promise #mindset #positivity #boss #lifestyle #great2017</t>
  </si>
  <si>
    <t>Hillion Mall</t>
  </si>
  <si>
    <t>entrepeneur</t>
  </si>
  <si>
    <t>singaporelife</t>
  </si>
  <si>
    <t>1581282041134161485_4249248273</t>
  </si>
  <si>
    <t>It's time to climb. I've not been on the wall since Wednesday and I know that might not feel like a lot but to anyone who knows me in person? They'll know I struggle with anymore than 2 days off walk unless I have another physical activity that's taking priority. I can already feel the sense of relief coming from my feet, all the way up my spine and filling my body as I just think of the wall. Tonight, despite having a cold and feeling quite grotty and needing a nap, I'm going to the wall. My happy place. I'm going to be pushed hard and asked to do stuff that part of me will think is impossible (or should be) another part will be rebelling profusely and another part will be jumping at the challenge. The most dominant part of me will be an inner peace, joy and happiness and being back in my climbing kit, with my coach, my partners, ready to rumble. Feeling recharged. Bring it on, the perfect cure to Monday blues! #mondaymotivation #mondayblues #climber #climbing_is_my_passion #climbing_pictures_of_instagram #paraclimbing #amputee #thisgirlcan #thisgirlcanclimb #believeinyourself #coach #training #yesican #muslim #hijab #findyourpeace #happyplace #innerpeace #indoorclimbing #bouldering thanks @beach.buggy for the shot! #latergram #blackandwhitephoto #goals #journey #competition #keepsmiling #keepongoing #ehlersdanlossyndrome #cancersurvivor @thecastleclimbingcentre @thisgirlcanclimbing</t>
  </si>
  <si>
    <t>bouldering</t>
  </si>
  <si>
    <t>indoorclimbing</t>
  </si>
  <si>
    <t>competition</t>
  </si>
  <si>
    <t>melanomajoblog</t>
  </si>
  <si>
    <t>1581285215501122152_3931987492</t>
  </si>
  <si>
    <t>Just got to keep going! #keepgoing #staystrong #positivequotes #positivevibes #gottokeepgoing #keepongoing #qotd #quotes #quoteoftheday #stronggirls #stronggirlsclub #cancer #stagefour #cancerawareness #melanoma #melanomajo #melanomacancer #melanomaawareness #melanomajourney #thisgirlcan #mycancerjourney #mycancerstory #keepfighting #yesican #positivity #letsgo #quotestoliveby #ican</t>
  </si>
  <si>
    <t>melanomajourney</t>
  </si>
  <si>
    <t>mycancerjourney</t>
  </si>
  <si>
    <t>letsgo</t>
  </si>
  <si>
    <t>cancerawareness</t>
  </si>
  <si>
    <t>1581286948125823097_279512262</t>
  </si>
  <si>
    <t>Усталые прогулки по центру, умиротворение, растекающееся по телу вместе с усталостью.
.
#livethedream #rainyday #streetadventure #seemymoscow #daily #abmlife #authentic #abmhappylife #picoftheday #keepcalm #keepongoing #keeponwalking #livelife #lifeex #livy #livelife #livestory #livethedream #liveauthentic #moscowlife</t>
  </si>
  <si>
    <t>Ул. Остоженка</t>
  </si>
  <si>
    <t>inyourcornerpersonaltraining</t>
  </si>
  <si>
    <t>1581290523736586678_5532723709</t>
  </si>
  <si>
    <t>Feeling a storm coming 🥊🥊💪🏼
#bagwork #boxing #boxingtraining #boxinggym #comingsoon #nostoppingme #nostopping #lovemyfamily #sticktogether #togetherwestand #strongertogether #keepongoing #dontstop #onlyjuststarted</t>
  </si>
  <si>
    <t>boxing</t>
  </si>
  <si>
    <t>sticktogether</t>
  </si>
  <si>
    <t>boxinggym</t>
  </si>
  <si>
    <t>nostopping</t>
  </si>
  <si>
    <t>strongertogether</t>
  </si>
  <si>
    <t>montsemoze.healthcoach</t>
  </si>
  <si>
    <t>1581294233448678031_3511859511</t>
  </si>
  <si>
    <t>Nuez de Castilla.
.
Es increíble la similitud de su forma, con la de nuestro cerebro.
.
Y no es coincidencia.
.
Esta nuez, es de los mejores alimentos para nuestro cerebro.
.
Es la naturaleza, enseñándonos sutilmente para lo que sirve cada alimento.
.
#Balancedbody #mentesanacuerposano #motivacionfitness #mujeresreales #accountable #goalcrusher #keepongoing #keephealthy #shareyourstyle #soulkitchen #letfoodbethymedicine #nourishyourself #holisticlifestyle #holistichealthcoach #awesomelifestyle #wellnesswarrior #healthymindhealthybody #womenwhowork #wellwateredwomen #propelwomen #pursueyourpassion #doingwhatilove #endlesspossibilities #purposefulliving #beauthentic #dontquityourdaydream #lifelivedbeautifully #montsemozehc #sugarfree #purosabor</t>
  </si>
  <si>
    <t>dontquityourdaydream</t>
  </si>
  <si>
    <t>hijossanos</t>
  </si>
  <si>
    <t>antioxidante</t>
  </si>
  <si>
    <t>endlesspossibilities</t>
  </si>
  <si>
    <t>propelwomen</t>
  </si>
  <si>
    <t>1581294501967688762_1684424176</t>
  </si>
  <si>
    <t>@millionaireimage great news. @permianlandgirl @talktexasoil 
@millionaireimage 
___________________________ 
#millionaireimage #doitforyourself #betterme #beyourown #keeponkeepingon #workforwhatyouwant  #marketingmoment #marketingsolutions #encourageyourself #bethechangeyouwanttosee #youvegotthis #oilfieldlife #millionairequotes #inspirationalthoughts #positivepeople #americanbusiness #quoteme #quoteaccount #strategize #seemslegit #youdoyou #inspirationalpost #businessownership #businessisbusiness #keepongoing #selfconfidence #bewhoyouare #bewhatyouwanttobe #socialinfluencers #socialize</t>
  </si>
  <si>
    <t>seemslegit</t>
  </si>
  <si>
    <t>inspirationalthoughts</t>
  </si>
  <si>
    <t>steph.harms</t>
  </si>
  <si>
    <t>1581294578429317070_1554647932</t>
  </si>
  <si>
    <t>All packed and ready to leave for Kansas City tonight with Mr. Piggy for another hip surgery tomorrow morning. #hipsurgery #4timesthecharm #kumed #nevergiveup #flagnorfail #keepongoing</t>
  </si>
  <si>
    <t>hipsurgery</t>
  </si>
  <si>
    <t>kumed</t>
  </si>
  <si>
    <t>flagnorfail</t>
  </si>
  <si>
    <t>1581294733107307508_211599856</t>
  </si>
  <si>
    <t>LIT 🐝#ZolBeachHouse17 #Snapchat filters! 🙌  #ExitoTotal @shotsmiami @jquiles @jowellgram @randynotagram @jowellyrandy @henrysantos @jamminjohnny1067  @stefichacon #RitmoSonico #keepongoing 
video: @ibensalinas</t>
  </si>
  <si>
    <t>exitototal</t>
  </si>
  <si>
    <t>1581295240644275289_2149189211</t>
  </si>
  <si>
    <t>🐝 #ZolBeachHouse17 #Snapchat filters! 🙌  #ExitoTotal @shotsmiami @jquiles @jowellgram @randynotagram @jowellyrandy @henrysantos @jamminjohnny1067 #RitmoSonico #keepongoing 
video: @ibensalinas #Miami</t>
  </si>
  <si>
    <t>1581296172156143307_1684424176</t>
  </si>
  <si>
    <t>#lifeisbeauty @millionaireimage
@millionaireimage 
@millionaireimage 
___________________________ 
#millionaireimage #doitforyourself #betterme #beyourown #keeponkeepingon #workforwhatyouwant  #marketingmoment #marketingsolutions #encourageyourself #bethechangeyouwanttosee #youvegotthis #oilfieldlife #millionairequotes #inspirationalthoughts #positivepeople #americanbusiness #quoteme  #strategize #seemslegit #youdoyou #inspirationalpost #businessownership #businessisbusiness #keepongoing #selfconfidence #bewhoyouare #bewhatyouwanttobe #socialinfluencers #socialize</t>
  </si>
  <si>
    <t>1581300158539494800_5705167414</t>
  </si>
  <si>
    <t>#7 -  Kawhi Leonard, this season has been Leonard's breakthrough season, averaging a career high 25.5 ppg, 5.8 rpg, 3.5 apg and 1.8 spg. Alot of people might complain about Kawhi being no.7 but i have a n explanation, the Spurs literally have nobody on their team besides Kawhi (well maybe a few solid players and Aldridge, but not superstars), and with that kind of team he is not able to fully maximize his stats overall in pts, reb, or even ast, but he is still a superstar player, but not being able to maximize your numbers with nobody on the team is not really top 3 material, for instance, Steph can still average better numbers with KD on the team, so an KD with Steph on the team, Lebron can have better numbers even with Kyrie on the team, so can Kyrie. By now you get my point Kawhi has a very big potential knowing he's young and already playing at a superstar level but still not enough to be in the top 3 #Dubnation
-
-
-
-
-
-
-
-
-
-
-
-
-
-
-
-
-
-
-
-
-
-
-
-
-
-
-
-
-
-
-
-
-
-
-
-
-
-
-
-
 #StephGonnaSteph #Mvp #SC30 #KT11 #DG23 #CURRYMVP #KEEPONGOING #NEVERGIVEUP #WCF #WEST #WESTERNCONFERENCEFINALS #CHAMPS #DUBSFORCHAMPS #DUBS #ALWAYSBELIEVEINGOD #STEPHENCURRY #EVEN #NBA #2016CHAMPS #CHAMPIONS #LOCKIN #STEPH #SPLASH #SPLASHBROS  #like4like #like4follow #follow4follow</t>
  </si>
  <si>
    <t>like4follow</t>
  </si>
  <si>
    <t>ashleysjourneytohealthy</t>
  </si>
  <si>
    <t>1581304884362528631_41242698</t>
  </si>
  <si>
    <t>30 lbs down! I wasn't able to wear these pants without them cutting into me! Now I can fit a can of Lysol and still have room for my thumb to fit!!!!!! So exciting the inches I'm losing! And a tank top?!?! A tank top that I haven't been able to wear since I was pregnant, yes pregnant, with my son!!!!! I'm smaller now than I have been in such a long time and it feels SO good. #immeltingimmelting #immelting #achieveyourdreams #proudofmyself #weightlossresults #fitfam #fattofit #fitnessjourney #fatgirltofitgirl #goashleygo</t>
  </si>
  <si>
    <t>lowcarblife</t>
  </si>
  <si>
    <t>immelting</t>
  </si>
  <si>
    <t>immeltingimmelting</t>
  </si>
  <si>
    <t>freeze4rame</t>
  </si>
  <si>
    <t>1581305042480070661_51974600</t>
  </si>
  <si>
    <t>Yup!! Fell asleep with my hair tied up 😂 looks like it stayed there all night haha!! #moi #beardedgent #pirates #allthesehashtags #topknot #beardedman #manbun #depression #livingwithdepression #keepongoing #iambearded #glasses #foureyes #tattoos #tattooedandbearded #beardedgent #chesttattoos #chesttattoo #tattoosleeve #imjustme #hitmeup #snapchat #11degrees #liveyourlife #imhere #ink #inkedmen #inked #glasses #iwearglasses</t>
  </si>
  <si>
    <t>topknot</t>
  </si>
  <si>
    <t>manbun</t>
  </si>
  <si>
    <t>tattooedandbearded</t>
  </si>
  <si>
    <t>pirates</t>
  </si>
  <si>
    <t>awesomenature04</t>
  </si>
  <si>
    <t>1581306374464657122_3990769420</t>
  </si>
  <si>
    <t>credits: @wanderful.destinations
Check us out @awesomenature04 for awesome nature..
Al Qudra desert in Dubai, photo by @dennisstever
Tag your friends 😍
.
.
.
.
.
.
.
.
#travellifestyle #sunset #lifeisanadventure #awesomeglobe #lifeissweet #travelingman #travelbreak #keeppraying #travelandlife #keepongoing #travelnow #earthofficial #travelwithme #addictedtotravel #safetravels #paradiseofminimal #paradisetour #creativeentrepreneur #vacationlife #creativepreneur #escapegame #travelmalaysia #paycationtravel #exploreyourcity #spiritualwarrior</t>
  </si>
  <si>
    <t>creativepreneur</t>
  </si>
  <si>
    <t>travelnow</t>
  </si>
  <si>
    <t>scubajess211</t>
  </si>
  <si>
    <t>1581309300477791286_312534705</t>
  </si>
  <si>
    <t>#mondays #werk #igers #instamood #instawin #workinghard #workhardplayharder #wineoclock #beashark #sharks #keepongoing</t>
  </si>
  <si>
    <t>wineoclock</t>
  </si>
  <si>
    <t>werk</t>
  </si>
  <si>
    <t>instawin</t>
  </si>
  <si>
    <t>exploradores4x4</t>
  </si>
  <si>
    <t>1581309930898521198_2196660772</t>
  </si>
  <si>
    <t>Queremos darle las gracias a todos los invitados que participaron en el paseo de #Exploradores4x4 hicieron que la ruta sea excepcional. #keepongoing #keeprolling 💪🏻💪🏻💪🏻</t>
  </si>
  <si>
    <t>El Mucha Hagua</t>
  </si>
  <si>
    <t>keeprolling</t>
  </si>
  <si>
    <t>1581310326488644880_5801959162</t>
  </si>
  <si>
    <t>💎 Classic Jim Rohn quote, Love that man!😍 Do you? 😃 Comment below! ✏️ Feel free to use and share this! Thank you @luxury.bulls for this amazing picture</t>
  </si>
  <si>
    <t>1581311400893352973_4773778225</t>
  </si>
  <si>
    <t>#worldtravelbook #flashesofdelight #art #lake #rainbow #goodafternoonpost #keeponkeepingon #keepongoing #motivation #motivationeveryday #sunset #flowers #architecturephotography #architecture #tagsforlikes #bluesky #likesforlikes #follow #almosttheweekend #smile #happy #morningmotivation #flower #behappy #grateful</t>
  </si>
  <si>
    <t>หาดนพรัตน์ธารา จ. กระบี่</t>
  </si>
  <si>
    <t>grateful</t>
  </si>
  <si>
    <t>johnpotters.life</t>
  </si>
  <si>
    <t>1581315125703609249_5483415309</t>
  </si>
  <si>
    <t>Let go! #planyourfuture #letgoyourpast #mondaymotivation #newweek #startfresh #enjoylife #havefun #keepongoing #liveinthemoment #tipsandtricks #smartliving #qouteoftheday #lookforward #happy #smile #livelovelaugh #qualitytime #truelove #selfdevelopment #selfcare #goals #positiveattitude #powerful #lifeiswhatyouseek</t>
  </si>
  <si>
    <t>planyourfuture</t>
  </si>
  <si>
    <t>positiveattitude</t>
  </si>
  <si>
    <t>selfdevelopment</t>
  </si>
  <si>
    <t>livelovelaugh</t>
  </si>
  <si>
    <t>1581315197291777870_2075039459</t>
  </si>
  <si>
    <t>Hope you all have a amazing day, stay strong and stay amazing 💚
#positivethinking #positivevibes #positiveenergy #positivequotes #quotestoliveby #happiness #joy #recovery #recoveryisworthit #depression #l4l #f4f #keepongoing #recovery #recoveryquotes #positivityquotes #love #selflove #brokenheart #fear #insanity #insane #grunge #secretsociety1234 #suicide #suicidal #anxiety #xxxtentacion #teeth #motivationalquotes</t>
  </si>
  <si>
    <t>grunge</t>
  </si>
  <si>
    <t>teeth</t>
  </si>
  <si>
    <t>sonya.awatson</t>
  </si>
  <si>
    <t>1581317518495427937_5851761600</t>
  </si>
  <si>
    <t>.
#motivationalquotes 
#keepongoing 
#faith 
#hope 
#writer 
#writing
#art 
#artists
#postit 
#postitnotes</t>
  </si>
  <si>
    <t>artists</t>
  </si>
  <si>
    <t>postitnotes</t>
  </si>
  <si>
    <t>writer</t>
  </si>
  <si>
    <t>kevinxlange</t>
  </si>
  <si>
    <t>1581322421024494393_4589275325</t>
  </si>
  <si>
    <t>Bodybuilding With Out Deadlifts Aint Bodybuilding.Its Muscle Cardio
#natural #bodybuilding #shrugs #bizepz #relaxandmakegainz #westcoastworkout #Push
#pull #leg #beastmode #dowhatittakes #focused #alpha #power #muscles #keepongoing #motivated #nostress #drinkteaandgrowmuscles #tea #oldschool #oldschoolhiphop #gangstarap #nohipstar #nomainstream #charger #nike #airmax95 #sneakers #keepyourshoesclean</t>
  </si>
  <si>
    <t>sneakers</t>
  </si>
  <si>
    <t>leg</t>
  </si>
  <si>
    <t>oldschool</t>
  </si>
  <si>
    <t>shrugs</t>
  </si>
  <si>
    <t>yummimnms</t>
  </si>
  <si>
    <t>1581324620837275044_2675131195</t>
  </si>
  <si>
    <t>Cause even my babes love filters😏 #filter #mondaysbelike #morningslikethese #tocherish 👩‍👦#emojibackground 😍 #simplylife #fornowanyway #keepongoing ✌🏼</t>
  </si>
  <si>
    <t>Lehigh Acres, Florida</t>
  </si>
  <si>
    <t>morningslikethese</t>
  </si>
  <si>
    <t>filter</t>
  </si>
  <si>
    <t>emojibackground</t>
  </si>
  <si>
    <t>tocherish</t>
  </si>
  <si>
    <t>vanessafranciosi</t>
  </si>
  <si>
    <t>1581331278555640059_265349290</t>
  </si>
  <si>
    <t>Estou improvisando na vida 😉
I'm playing life by ear 😉😎 #playingbyear #improvisando #improviso #life #learning
#learnfromlife #living #vivendo #aprendendo #keepongoing #resilient #resilence #resiliencia #dreamon #maker #gofurther #gothedistance #sigaemfrente #continueanadar #keepthefaith #faithinlife</t>
  </si>
  <si>
    <t>continueanadar</t>
  </si>
  <si>
    <t>playingbyear</t>
  </si>
  <si>
    <t>resiliencia</t>
  </si>
  <si>
    <t>gofurther</t>
  </si>
  <si>
    <t>kickemgoals</t>
  </si>
  <si>
    <t>1581334621097585444_3584804397</t>
  </si>
  <si>
    <t>Feeling absolutely great today 😍
7,5 km run in the woods and some small training for my upper body made my evening 🙌🏽 #running #cardio #monday #feelinggreat #healthybody #happyday #feels #training #motivation #fightforit #kämpa #keepongoing #tired #hungry #foodforlife</t>
  </si>
  <si>
    <t>feelinggreat</t>
  </si>
  <si>
    <t>kämpa</t>
  </si>
  <si>
    <t>healthybody</t>
  </si>
  <si>
    <t>1581338211999883176_3429077918</t>
  </si>
  <si>
    <t>rennt...👌 #marvingame #keinemenschen #deutschrap #support #music #lyrics #germanboy #läuft #rennt #fliegt #hebtab #dauerschleife #ohrwurm #voice #porno #musicgoal #goal #endlich #daswartenhateinende #aufdenpunkt #mehrdavon #focus #free #listen #putiton #keepongoing #ganjaking #hotbox #king #art 
@nichtdeintyp</t>
  </si>
  <si>
    <t>hebtab</t>
  </si>
  <si>
    <t>germanboy</t>
  </si>
  <si>
    <t>listen</t>
  </si>
  <si>
    <t>putiton</t>
  </si>
  <si>
    <t>tabbyd999</t>
  </si>
  <si>
    <t>1581339601136788624_199525576</t>
  </si>
  <si>
    <t>#casting #done #dropfoot #brace being #made #keepongoing</t>
  </si>
  <si>
    <t>brace</t>
  </si>
  <si>
    <t>casting</t>
  </si>
  <si>
    <t>dropfoot</t>
  </si>
  <si>
    <t>done</t>
  </si>
  <si>
    <t>made</t>
  </si>
  <si>
    <t>1581343826605593155_244228468</t>
  </si>
  <si>
    <t>🌟Be you! Thank you @motivationbyeli</t>
  </si>
  <si>
    <t>beeertje1974</t>
  </si>
  <si>
    <t>1581349519266107993_1119598</t>
  </si>
  <si>
    <t>#jicht #pain #hurt #keepongoing</t>
  </si>
  <si>
    <t>jicht</t>
  </si>
  <si>
    <t>hurt</t>
  </si>
  <si>
    <t>brandii.bee</t>
  </si>
  <si>
    <t>1581353808938817244_186508537</t>
  </si>
  <si>
    <t>For those of you who didn't know, guess I should go school supplies shopping too 🤓
•
•
#backtoschool #spscc #ontobiggerandbetterthings #goals #keepongoing #lifeiswhatyoumakeit #newjourney #excited #fall</t>
  </si>
  <si>
    <t>South Puget Sound Community College</t>
  </si>
  <si>
    <t>ontobiggerandbetterthings</t>
  </si>
  <si>
    <t>backtoschool</t>
  </si>
  <si>
    <t>fall</t>
  </si>
  <si>
    <t>newjourney</t>
  </si>
  <si>
    <t>joelle.sza</t>
  </si>
  <si>
    <t>1581354057158982066_1374959193</t>
  </si>
  <si>
    <t>You can never cross the ocean unless you have the courage to loose sight of the shore
Stay Patient and trust your journey 💛 
pc: @idletheorybus 
@cowboyfresh 
#alohacowboy #cowboyfresh #trustthejourney #theoldfaithful 
#nevergiveup #keepongoing #rodeorig #lifeontheroad #bullrider</t>
  </si>
  <si>
    <t>alohacowboy</t>
  </si>
  <si>
    <t>trustthejourney</t>
  </si>
  <si>
    <t>theoldfaithful</t>
  </si>
  <si>
    <t>rodeorig</t>
  </si>
  <si>
    <t>bullrider</t>
  </si>
  <si>
    <t>sababolaghi</t>
  </si>
  <si>
    <t>1581355340883195587_653903356</t>
  </si>
  <si>
    <t>Wow! The time is running! It's now three years ago that i fought in Saint Petersburg at M-1 Global. I got a long way to go and a long memory. So much happened, a lot of ups and downs in that time and now i'm here, still looking up and fighting my way to the top. Never give up!
#wrestlerbynature #wrestling #mma #mmaspirit #competition #nevergiveup #neverbackdown #attitute #power #dynamic #m1global #athletelife #goodlife #behumblestayhungry #onmywaytothetop #keepongoing</t>
  </si>
  <si>
    <t>Frankfurt, Germany</t>
  </si>
  <si>
    <t>m1global</t>
  </si>
  <si>
    <t>athletelife</t>
  </si>
  <si>
    <t>wrestlerbynature</t>
  </si>
  <si>
    <t>mywaytothenewme</t>
  </si>
  <si>
    <t>1581358171442791959_3284132002</t>
  </si>
  <si>
    <t>Ett somrigt och gott kvällsmål 👌🏼😍🌸 #mywaytothenewme #myway #keepongoing #minresa</t>
  </si>
  <si>
    <t>myway</t>
  </si>
  <si>
    <t>minresa</t>
  </si>
  <si>
    <t>1581360478880532152_1011271643</t>
  </si>
  <si>
    <t>Post workout selfie!!! Day 14 of 21.
Switched things up and got some legs in this morning. Expecting my glutes to be sore tomorrow. 😁
#legdayworkout 
#selfie
#snapchat</t>
  </si>
  <si>
    <t>myweightlossjourney</t>
  </si>
  <si>
    <t>biggoals</t>
  </si>
  <si>
    <t>fatloss</t>
  </si>
  <si>
    <t>ako_si_tin_ang_babaeng_gala</t>
  </si>
  <si>
    <t>1581360769856809084_195535050</t>
  </si>
  <si>
    <t>Be grateful for today.. #KeepOnGoing
#GodIsBiggerThanYourProblems
#YouCanDoIt</t>
  </si>
  <si>
    <t>godisbiggerthanyourproblems</t>
  </si>
  <si>
    <t>lillis789</t>
  </si>
  <si>
    <t>1581367570158450235_143883247</t>
  </si>
  <si>
    <t>Haft proffshjälp idag med min posering. Omg! Posering ser så lätt ut men är så mycket svårare än man tror. Speciellt när man inte är en fan av klackaskor och har en taskig balans. Sen en dos social fobi och scenskräck på det! 🤔 Hmm, hur ska detta gå?? #poseingpractice #posering #ahelpinghand #hardashell #smile #bikinifitness #dontgiveup #lillisgoals #practice #keepongoing #celluliterochmerfluffskabort #imworkingonit #teamkostore Tack! @jitsahbg</t>
  </si>
  <si>
    <t>ahelpinghand</t>
  </si>
  <si>
    <t>imworkingonit</t>
  </si>
  <si>
    <t>teamkostore</t>
  </si>
  <si>
    <t>practice</t>
  </si>
  <si>
    <t>thanimv</t>
  </si>
  <si>
    <t>1581369090994369638_695131888</t>
  </si>
  <si>
    <t>🌟😄Ta med deg trening der du kan, litt her og litt der bidrar til en sterkere kropp🙌🏼💪🏼💦🌟 Her er vi på moltetur😄✌🏼</t>
  </si>
  <si>
    <t>skogstur</t>
  </si>
  <si>
    <t>eiangen</t>
  </si>
  <si>
    <t>utehverdag</t>
  </si>
  <si>
    <t>aktivmamma</t>
  </si>
  <si>
    <t>1581372749981396746_231434</t>
  </si>
  <si>
    <t>• Mandag ny uke og nye muligheter 😃🐶
Etter noen dager med å vært syk ble det ingen trening på meg i dag siden formen ikke er helt bra 🤧🤒 men ble noen turer i dag, så håper formen e bra i morgen 😁👊🏽 Ønsker dere alle en riktig fin uke 💕• ______________________________________________
#activelifestyle #dogsofinsta #smilebehappy #keepfit_no #keepongoing #aktivejenter #aktivlivsstil #påveimotmålet #opplevmer #mittnorge</t>
  </si>
  <si>
    <t>aktivejenter</t>
  </si>
  <si>
    <t>mittnorge</t>
  </si>
  <si>
    <t>opplevmer</t>
  </si>
  <si>
    <t>smilebehappy</t>
  </si>
  <si>
    <t>ieee_gsb</t>
  </si>
  <si>
    <t>1581375066402108266_4742832777</t>
  </si>
  <si>
    <t>#IOT #iotchallenge2017 #keepongoing 💪#ieeetems #iotinaction #ieeeegyptsection #ieeegsb #ieeemasb  #ieee_asu_sb 
#instructor#hossamfahmi</t>
  </si>
  <si>
    <t>Egi Academy</t>
  </si>
  <si>
    <t>iotchallenge2017</t>
  </si>
  <si>
    <t>instructor</t>
  </si>
  <si>
    <t>ieee_asu_sb</t>
  </si>
  <si>
    <t>hossamfahmi</t>
  </si>
  <si>
    <t>ieeetems</t>
  </si>
  <si>
    <t>1581375237185145779_4773778225</t>
  </si>
  <si>
    <t>Beauty is everywhere #worldtravelbook #flashesofdelight #art #lake #rainbow #goodafternoonpost #keeponkeepingon #keepongoing #motivation #motivationeveryday #sunset #flowers #architecturephotography #architecture #tagsforlikes #bluesky #likesforlikes #follow #almosttheweekend #smile #happy #morningmotivation #flower #behappy #grateful</t>
  </si>
  <si>
    <t>sunset</t>
  </si>
  <si>
    <t>isabell__ilse</t>
  </si>
  <si>
    <t>1581375712417157052_8739183</t>
  </si>
  <si>
    <t>Montag geschafft 🖤 ||#frankfurtammain #igersfrankfurt #aboutfrankfurt #ostendfrankfurt #frankfurtliebe #sundowner #drinks #blaueswasser #friendship #positivity #positivevibes #afterwork #darlingmoment #frankfurtatnight #friendshipgoals #frankfurtlove #frankfurtdubistsowunderbar #goodvibes #lifestyleblogger #lifeisgood #happygirl #keepongoing #frankfurtliebe #frankfurtview #blaueswasserfrankfurt #luckywelivehi #moments #collectmomentsnotthings #theview</t>
  </si>
  <si>
    <t>Blaues Wasser Frankfurt</t>
  </si>
  <si>
    <t>ostendfrankfurt</t>
  </si>
  <si>
    <t>drinks</t>
  </si>
  <si>
    <t>darlingmoment</t>
  </si>
  <si>
    <t>frankfurtview</t>
  </si>
  <si>
    <t>playmusicontheporch</t>
  </si>
  <si>
    <t>1581377698730942078_1936060721</t>
  </si>
  <si>
    <t>#Repost @dan.iogolia
・・・
War/ no more trouble #war #ukulele #bobmarley #nomoretrouble #peace #aloha #californialove #surfe #surf #happy #goodvibe #badvibeout #love #family #friends #fuckinright #right #keepongoing #neverquit #learning #lifelessons #go</t>
  </si>
  <si>
    <t>bobmarley</t>
  </si>
  <si>
    <t>lifelessons</t>
  </si>
  <si>
    <t>adventurouskiwi</t>
  </si>
  <si>
    <t>1581383081640733277_1822236485</t>
  </si>
  <si>
    <t>Follow @adventurouskiwi for awesome travel images.
Adventure is out there. 🇨🇦 Photo by @paulzizkaphoto
.
.
.
.
.
.
.
.
#paradisedynasty #travelmorocco #spiritualgangster #meditative #energyhealing #allthewayup #thailandtravel #lifeissimple #spiritualquotes #travelgermany #slowtravel #keepongoing #way2ill #traveltime #energyboost #lifestory #yogaforlife #nature #getoutdoors #travelagents #travelingpost #creativeprocess #worldtravelbook #theglobewanderer #beaching</t>
  </si>
  <si>
    <t>slowtravel</t>
  </si>
  <si>
    <t>travelagents</t>
  </si>
  <si>
    <t>meditative</t>
  </si>
  <si>
    <t>getoutdoors</t>
  </si>
  <si>
    <t>shellthefox</t>
  </si>
  <si>
    <t>1581387096194932480_265658068</t>
  </si>
  <si>
    <t>It's not about having time, it's about making time! #motivationmonday #keepongoing #doyourbestforgettherest</t>
  </si>
  <si>
    <t>doyourbestforgettherest</t>
  </si>
  <si>
    <t>1581389151704487700_5801959162</t>
  </si>
  <si>
    <t>💎When Bill Gates Mother asked a open question to Bill Gates and Warren Buffet what was the single thing making their business successful, both answered: FOCUS!!! Do you have focus? 🌟Comment below! ✏️ Feel free to use and share this post. ❤️ Thank you @shaazjungphotography for an amazing picture!</t>
  </si>
  <si>
    <t>julescamposano</t>
  </si>
  <si>
    <t>1581391463672227281_3565337466</t>
  </si>
  <si>
    <t>L I F E J O U R N E Y ✨|| for the last 6 months I have had the incredible opportunity to work on the re-branding of the Reyn Spooner identity and I just found out that I will also now be consulting on the design of their women's fashion line that is going to launch in 2018... This truly is a dream come true as my passion for fashion is everything to me. And who knows, maybe a little ROSEL capsule collection for Reyn Spooner one day... #dreambig #neverstop #keeppushing #lifismagic #lifeisbeautiful #lifeisajourney #workhard #playhard #keepongoing #keepondreaming #passionforfashion #dreamsdocometrue</t>
  </si>
  <si>
    <t>Los Angeles, California</t>
  </si>
  <si>
    <t>lifeisajourney</t>
  </si>
  <si>
    <t>1581392041730981556_1090353359</t>
  </si>
  <si>
    <t>#caminodesantiago #caminoingles #camino #galicia #galiciamagica #abegondo #keepongoing</t>
  </si>
  <si>
    <t>Abegondo</t>
  </si>
  <si>
    <t>caminoingles</t>
  </si>
  <si>
    <t>abegondo</t>
  </si>
  <si>
    <t>camino</t>
  </si>
  <si>
    <t>martinkj90</t>
  </si>
  <si>
    <t>1581393506340890993_3990086366</t>
  </si>
  <si>
    <t>I'm still here 💪🏼 #goingstrong #goingstronger #keepongoing #studing #gettingfitter #feelgod #viborg #newfriends</t>
  </si>
  <si>
    <t>goingstrong</t>
  </si>
  <si>
    <t>feelgod</t>
  </si>
  <si>
    <t>gettingfitter</t>
  </si>
  <si>
    <t>studing</t>
  </si>
  <si>
    <t>1581393837329263224_1090353359</t>
  </si>
  <si>
    <t>#caminodesantiago #caminoingles #camino #galicia #galiciamagica #visono #gettingworse #jungle #amilost #keepongoing</t>
  </si>
  <si>
    <t>Vizoño Abegondo</t>
  </si>
  <si>
    <t>amilost</t>
  </si>
  <si>
    <t>jungle</t>
  </si>
  <si>
    <t>100xsuccess</t>
  </si>
  <si>
    <t>1581396462293905451_4869035138</t>
  </si>
  <si>
    <t>Let them underestimate you 💯❌
Follow us today @100xsuccess 🔥
•
📷 @moritz.kaufmann</t>
  </si>
  <si>
    <t>Houston, Texas</t>
  </si>
  <si>
    <t>1581400821861830916_2317517565</t>
  </si>
  <si>
    <t>På Mandagsholdet kører vi på kransekager🏃🏋🏼‍♀️🏆🍾🎂
••• #mortentillitzdk  #whatwouldbeyoncedo #toldyouso #tropådet #personligtræner #personaltrainer #cycling #Cykling #styrketræning #løb #Svømning #Swim #running #stronger #personligtræner #mitodense #fitfam #ﬁtfamdk #actionequalsresults #handlingskabersucces #helkropstræning #fullbody #SunRiceClubbyMortenTillitzDK #mentalpause #blivved #keepongoing #styrketræning #painfree #smertefri #søvn #sleep #mitodense</t>
  </si>
  <si>
    <t>ﬁtfamdk</t>
  </si>
  <si>
    <t>handlingskabersucces</t>
  </si>
  <si>
    <t>søvn</t>
  </si>
  <si>
    <t>1581401143395950421_4678264587</t>
  </si>
  <si>
    <t>First run ever made with @freeleticsrunning ! What a relief at the end! Never felt so goood 😀 (already did, in fact, with every #bodyweight session 😜)
@freeleticsbodyweight and @freeleticsrunning are quite of a combo!
#Freeletics #running #freeleticsangers #freeleticsecouflant #freeathlete #freeleticslifestyle #fit #fitness #fitnessmotivation #stayinshape #betterversionofyourself #keepongoing #trainingday #workout #noexcuses</t>
  </si>
  <si>
    <t>betterversionofyourself</t>
  </si>
  <si>
    <t>1581401425546697329_1972606430</t>
  </si>
  <si>
    <t>Take a break away from everyone to experience, appreciate, and love yourself.
#prestoknowsbest
-
-
#liveandlearn #dontsettle #mindsetshift #dropout #content #quotesoflife #fireyourboss #empowernetwork #onlinesuccess #personalgrowth #motivateyourself #betteryourself #keepongoing #mindsetiseverything #inspiredaily #valueyourself #valuelife #entrepreneurmind #newmindset #goalachiever</t>
  </si>
  <si>
    <t>quotesoflife</t>
  </si>
  <si>
    <t>adidavis</t>
  </si>
  <si>
    <t>1581405504482385720_7265900</t>
  </si>
  <si>
    <t>High Peak Marathon Team. 42 miles through the night over some of the Peak Districts most remotest and boggiest terrain. No marked paths and no use of GPS devices.</t>
  </si>
  <si>
    <t>runningatnight</t>
  </si>
  <si>
    <t>ultrarunning</t>
  </si>
  <si>
    <t>ultrafondo</t>
  </si>
  <si>
    <t>teamrunners</t>
  </si>
  <si>
    <t>runningwithmo</t>
  </si>
  <si>
    <t>1581407481510709501_286915989</t>
  </si>
  <si>
    <t>Cycle cycle baby 💃🏻 Vandaag heb ik anderhalf uur rondgetoerd door Limboland. Het kan misschien geen duurloopje écht vervangen, maar beter IETS dan NIETS right? Wie vervangt er nog wel eens meer zijn loopje? En HOE? 👀 #roadtonycmarathon #keepongoing .
🇬🇧 Still not running (legs), but cycled 1h30 today to still keep on going 🙌🏼 .
.
.
.
.
.
.
.
.
.
.
.
.
.
#ASICSfrontrunnerNL #hardlopen #running #runninggirl #runningaddict #nevernotrunning #runhappy #runningmotivation #runnersworld #girlslove2run  #urbanrunners #gezond #sporten #fitnessmeiden #fitgirlcode #fitgirlsnl #fitdutchies #fitdutchie #healthadviesbreda #pbp #instarunners #laufen  #runningcommunity #runforfun #girlswhorun #asicsfrontrunner #runnergirl #fitnessmodel</t>
  </si>
  <si>
    <t>Maastricht, Netherlands</t>
  </si>
  <si>
    <t>runnergirl</t>
  </si>
  <si>
    <t>nevernotrunning</t>
  </si>
  <si>
    <t>laufen</t>
  </si>
  <si>
    <t>roadtonycmarathon</t>
  </si>
  <si>
    <t>fitgirlcode</t>
  </si>
  <si>
    <t>runningmy_life</t>
  </si>
  <si>
    <t>1581408684050043030_4244292863</t>
  </si>
  <si>
    <t>#Repost @runningwithmo with @repostapp
・・・
Cycle cycle baby 💃🏻 Vandaag heb ik anderhalf uur rondgetoerd door Limboland. Het kan misschien geen duurloopje écht vervangen, maar beter IETS dan NIETS right? Wie vervangt er nog wel eens meer zijn loopje? En HOE? 👀 #roadtonycmarathon #keepongoing .
🇬🇧 Still not running (leggs), but cycled 1h30 today to still keep on going 🙌🏼 .
.
.
.
.
.
.
.
.
.
.
.
.
.
#ASICSfrontrunnerNL #hardlopen #running #runninggirl #runningaddict #nevernotrunning #runhappy #runningmotivation #runnersworld #girlslove2run  #urbanrunners #gezond #sporten #fitnessmeiden #fitgirlcode #fitgirlsnl #fitdutchies #fitdutchie #healthadviesbreda #pbp #instarunners #laufen  #runningcommunity #runforfun #girlswhorun #asicsfrontrunner #runnergirl</t>
  </si>
  <si>
    <t>purpleflow.iris</t>
  </si>
  <si>
    <t>1581410974426209353_4655478335</t>
  </si>
  <si>
    <t>Walk alone without feeling trapt in freedom, than you'll be able to feel free and happy... 💖💝🕉🌟
#keepongoing #loveyourself #strength</t>
  </si>
  <si>
    <t>sheldonsouza808</t>
  </si>
  <si>
    <t>1581412437977179573_2520104643</t>
  </si>
  <si>
    <t>You can never cross the ocean unless you have the courage to loose sight of the shore
Stay Patient and trust your journey 💛 
pc: @idletheorybus 
@cowboyfresh 
#alohacowboy #cowboyfresh #trustthejourney #theoldfaithful 
#nevergiveup #keepongoing #rodeorig #keepinitfresh</t>
  </si>
  <si>
    <t>trueskatta</t>
  </si>
  <si>
    <t>1581414687432819247_5533071189</t>
  </si>
  <si>
    <t>Starting a new one #progress #hiphop #rap #808 #snares #bass #shake #rattle #ambience #eerie #music #mylife #chorus #beats #musicbox #moreplease #yes #workflow #keepongoing</t>
  </si>
  <si>
    <t>Menasha, Wisconsin</t>
  </si>
  <si>
    <t>snares</t>
  </si>
  <si>
    <t>eerie</t>
  </si>
  <si>
    <t>musicbox</t>
  </si>
  <si>
    <t>1581416843288823070_15887082</t>
  </si>
  <si>
    <t>IM Hamburg was good 🤞🏼no. 1 in my AG. Jeg havde et fremragende løb! Jeg kvalificerede mig til Kona 2017, men den takkede jeg nej til i denne omgang 🌸 #FuckTheUnprepared 🏁 
#ironman #upcoming #mulitisport #tri365 #lovemylife #fitness #ironmanbarcelona2017 #outofcomfortzone #trilabdk #triathlon #triatlete #invisibleguns #worldoffusion #ironmanhamburg2017 #keepongoing #purepowerdk #smileplease #swimbikerun</t>
  </si>
  <si>
    <t>mulitisport</t>
  </si>
  <si>
    <t>quiltingtwins</t>
  </si>
  <si>
    <t>1581417498564960439_36161567</t>
  </si>
  <si>
    <t>The madness has begun starting early doing warm up blocks 😅😅 for #beehappysewalong #beehappysewtemplates #beeinmybonnet @beelori1 in our own fabrics as there so hard to get here in the U.K. And it's nice to have your stamp on it!!! Hope we can mange the 57 blocks and borders!!!!!! 🍒🍒🍒🍒🍒🍒🍒 cherrys to hand sew then onto the Bees!! 🐝🐝🐝🐝🐝🐝 @rileyblakedesigns  perfect for our very wet British summer where having!!! 💦☔️☔️💦 #patchwork #applique #britishsummer #rainyday #keepongoing 😊😊</t>
  </si>
  <si>
    <t>patchwork</t>
  </si>
  <si>
    <t>beeinmybonnet</t>
  </si>
  <si>
    <t>beehappysewtemplates</t>
  </si>
  <si>
    <t>beehappysewalong</t>
  </si>
  <si>
    <t>mayah.camara</t>
  </si>
  <si>
    <t>1581417813053989545_522016845</t>
  </si>
  <si>
    <t>Whatever happens this week, make sure you surround yourself with people who make you smile. Keep a positive mindset and don't let the dramas out there get you down! #motivationmonday</t>
  </si>
  <si>
    <t>justayaka</t>
  </si>
  <si>
    <t>1581419079632181776_925133038</t>
  </si>
  <si>
    <t>After long break time to run again. And I did my fastest 3km😅 #noteasy #run #backontrack #fast #runner #runninggirl #lovetorun #keepongoing #train #sweat #dontgiveup</t>
  </si>
  <si>
    <t>fast</t>
  </si>
  <si>
    <t>noteasy</t>
  </si>
  <si>
    <t>cheryllouisedragun_sw</t>
  </si>
  <si>
    <t>1581421214828446243_145415881</t>
  </si>
  <si>
    <t>#quotes #keepongoing #lifestylechange #positive</t>
  </si>
  <si>
    <t>lifestylechange</t>
  </si>
  <si>
    <t>1581421464229549041_4904143336</t>
  </si>
  <si>
    <t>I had an amazing time at the Lokahi Fundaiser.  Getting out there and capturing moments like this for an amazing paddling Ohana is what I love for!  Well worth it #trezphotography #canon5dmarkiv #photographylife #photography #mylifeasaphotographer #passionbehindwhatido #blessed #goodtimes #keepongoing #cantstopwontstop #buildingrepore #doingthetwist #paddleclub</t>
  </si>
  <si>
    <t>goodtimes</t>
  </si>
  <si>
    <t>paddleclub</t>
  </si>
  <si>
    <t>passionbehindwhatido</t>
  </si>
  <si>
    <t>jebbyjnr</t>
  </si>
  <si>
    <t>1581421556167353692_1446206695</t>
  </si>
  <si>
    <t>I know my strength is coming on and on and training 6x per week every week for 8 months is the commitment you need of your serious about strongman! Here I am doing a little pose. Size naturally (obviously) comes with strength . And I'm going to keep going and hitting it hard. Always mix it up and hit both fast and slow twitch fibres so when you do them big lifts both fibres are firing! #strongman #progression #beastmode #beast #bmo #dedication #dayandnight #traps #biceps #abs #beard #mohawk #gym #keepongoing</t>
  </si>
  <si>
    <t>dayandnight</t>
  </si>
  <si>
    <t>vbehroozieh</t>
  </si>
  <si>
    <t>1581423299823469189_2272424022</t>
  </si>
  <si>
    <t>⚜️#HaveFaith #KeepOnGoing #StayPositive , #True #Success #Never #Comes #Easy ⚜️</t>
  </si>
  <si>
    <t>comes</t>
  </si>
  <si>
    <t>never</t>
  </si>
  <si>
    <t>cl1aur</t>
  </si>
  <si>
    <t>1581424007176126125_426028478</t>
  </si>
  <si>
    <t>Tag 89 - 800m in 8 Minuten. Das war joggen, oder?
Je regelmäßiger ich meine Übungen mache, desto geschmeidiger fühlt sich jede Bewegung vom Knie an. Leider lass ich es am Wochenende oft schleifen (🙊) und merke montags regelmäßig, dass die Muskulatur komplett verhärtet ist. Also #keepongoing!
**
💪This little run felt good! But i still need a lot of workouts to get where i have been!
#day89 #postop #acl #aclclub #aclrecovery #aclsurgery #meniscusinjury #handball #running #jogging #laufband #activesportscenter #adidas #handballschuhe</t>
  </si>
  <si>
    <t>active sports center</t>
  </si>
  <si>
    <t>postop</t>
  </si>
  <si>
    <t>laufband</t>
  </si>
  <si>
    <t>acl</t>
  </si>
  <si>
    <t>aclclub</t>
  </si>
  <si>
    <t>mashabacer</t>
  </si>
  <si>
    <t>1581425817103531583_36128980</t>
  </si>
  <si>
    <t>Hope run through her eyes like wild rivers in search of a way out, to flow.</t>
  </si>
  <si>
    <t>jasjuke</t>
  </si>
  <si>
    <t>1581429902213062974_1625103846</t>
  </si>
  <si>
    <t>Blue Monday
#selfie #monday #blue #theend #beginning #toomuch #yolo #keepitreal #keepongoing #nostress #lonely #power #enoughtisenought #manicmonday #sunday #femme</t>
  </si>
  <si>
    <t>Old Tallinn</t>
  </si>
  <si>
    <t>lonely</t>
  </si>
  <si>
    <t>yolo</t>
  </si>
  <si>
    <t>theend</t>
  </si>
  <si>
    <t>1581433464401310891_211599856</t>
  </si>
  <si>
    <t>🙌 @alexsensation: 
Ayer en @shotsmiami #wynwood Heineken Zol Block party 🔥🔥🔥🎉🎉🎉 gracias @henrysantos @jowellgram @randynotagram @jquiles @yomil_oficial y toda esa gente hermosa que se dieron cita❤️😍 @elzol1067fm #queva #ZolBeachHouse17 #RitmoSonico #KeepOnGoing @heineken #KeepOnGoing</t>
  </si>
  <si>
    <t>lacya31</t>
  </si>
  <si>
    <t>1581434727422894907_32009788</t>
  </si>
  <si>
    <t>It's been a crazy couple of weeks, a few lows, but some incredible accomplishments. Feeling motivated 💪🏼 So, here's a picture of my face. #chinupbuttercup #keepongoing #goalsinmotion</t>
  </si>
  <si>
    <t>chinupbuttercup</t>
  </si>
  <si>
    <t>goalsinmotion</t>
  </si>
  <si>
    <t>stefichacon</t>
  </si>
  <si>
    <t>1581437851483300313_20064736</t>
  </si>
  <si>
    <t>Prepárense para el próximo ...#labordaylituation 🤘🏽🌪🎥 Repost from @elzol1067fm using @RepostRegramApp - 🙌 @alexsensation: 
Ayer en @shotsmiami #wynwood Heineken Zol Block party 🔥🔥🔥🎉🎉🎉 gracias @henrysantos @jowellgram @randynotagram @jquiles @yomil_oficial y toda esa gente hermosa que se dieron cita❤️😍 @elzol1067fm #queva #ZolBeachHouse17 #RitmoSonico #KeepOnGoing @heineken #KeepOnGoing</t>
  </si>
  <si>
    <t>labordaylituation</t>
  </si>
  <si>
    <t>dmgdesignco</t>
  </si>
  <si>
    <t>1581440421007382405_374977343</t>
  </si>
  <si>
    <t>#mercedesmissions #amg #widebody #wideboy #thebestornothing #keepitgoing #keepongoing #black #tlc #classic #classy #classics #collectables #collectors in for some minor tweeks</t>
  </si>
  <si>
    <t>classics</t>
  </si>
  <si>
    <t>collectables</t>
  </si>
  <si>
    <t>amg</t>
  </si>
  <si>
    <t>black</t>
  </si>
  <si>
    <t>1581440806665316656_374977343</t>
  </si>
  <si>
    <t>taiptikrai</t>
  </si>
  <si>
    <t>1581441123677878879_284274598</t>
  </si>
  <si>
    <t>#blackandwhite #simple #lithuaniangirl #hatemondays but #itsok #iwillsurvive #keepongoing</t>
  </si>
  <si>
    <t>hatemondays</t>
  </si>
  <si>
    <t>itsok</t>
  </si>
  <si>
    <t>iwillsurvive</t>
  </si>
  <si>
    <t>1581441925117052387_1979470355</t>
  </si>
  <si>
    <t>Once again today 💪 #sweatwithkayla #kaylaitsines #bbg #liss #secondsession #sweating #fitmom #fitness #fitforlife #latenightsession #monday #motivated #nevertooold #nevertoolate #nevergiveup #nothingcanstopme #nopainnogain #derwegistdasziel #keepongoing #fightforit #sweatnowshinelater #poweron #slowprogress #betterthannoprogress</t>
  </si>
  <si>
    <t>secondsession</t>
  </si>
  <si>
    <t>robsmig123</t>
  </si>
  <si>
    <t>1581445572089646486_2052058826</t>
  </si>
  <si>
    <t>Did the 17:1 open workout tonight. Bit dissapointed with my time but it's all about progress and improvement. I'll make sure my time is better next time I do it! #crossfit #progress #keepongoing #dontletanythingstopyou #fitness #cardio #lifting #fitness #functionalfitness #trainhard</t>
  </si>
  <si>
    <t>CrossFit Hexis</t>
  </si>
  <si>
    <t>cardio</t>
  </si>
  <si>
    <t>dontletanythingstopyou</t>
  </si>
  <si>
    <t>andrea_fiorillo77</t>
  </si>
  <si>
    <t>1581446740816898860_4017916603</t>
  </si>
  <si>
    <t>#fruitjuice #intothegreen #intothewild #keepongoing #green #leaf</t>
  </si>
  <si>
    <t>fruitjuice</t>
  </si>
  <si>
    <t>leaf</t>
  </si>
  <si>
    <t>green</t>
  </si>
  <si>
    <t>intothewild</t>
  </si>
  <si>
    <t>heartfillers</t>
  </si>
  <si>
    <t>1581450588360906759_5839385286</t>
  </si>
  <si>
    <t>I didn't #discover this #quote until recently but it was exactly what I needed to hear. I have always been concerned that the more I age, the more my chances of achieving my #dreams decreases. But why? Why worry about getting your Masters at 65? Turning 65 is inevitable. But at least you'll be 65 with a Masters! I have always wanted to #help people and I am just now learning that you can do that at ANY age. DREAM IT AND THEN GO AND FREAKING GET IT. Do you what you #love. If you're not, then what are you doing?</t>
  </si>
  <si>
    <t>llcoolj</t>
  </si>
  <si>
    <t>ddhd</t>
  </si>
  <si>
    <t>1581453824642849943_5681311432</t>
  </si>
  <si>
    <t>🌼🌸Self acceptance🌸🌼
Something that has taken me an immense amount of my life to achieve. No, it isn't just something that happens over night, and it isn't anything that someone can give you. It's something that you work on constantly, something you battle with in every situation. I used to hate myself, hated the body type I was born with and my horrible metabolism. One thing that was setting me back though was , MYSELF, I was my biggest issue. There is no one stopping you from a better you. YOU CAN DO ANYTHING!! You. Need to believe in yourself and trust you can do anything you set your mind to💖💖Trust me when I say that life gets so much better all around when you accept yourself and start listening to what your body needs💪🏻🤗💖 (Rant over😂, this was something I felt, myself and everyone needed to hear🌸)
.
.
.
.
.
.
.
.
.
#honormycurves #bodypositive #loveyourbody #loveyourself #selflove #embracethesquish #embraceyourcurves #embracetheprocess #workinprogress #progress #proudofmyself #fitness #fit #fitgirl #fitjourney #fitnessmotivation #gym #gymmotivation #thick #thickthighssavelives #curves #curvygirl #tummy #cellulite #stilllovemyself #instagood #instadaily #keepongoing #sisepuede</t>
  </si>
  <si>
    <t>workinprogress</t>
  </si>
  <si>
    <t>san.design.studio</t>
  </si>
  <si>
    <t>1581454903478114159_4549407650</t>
  </si>
  <si>
    <t>find what you love and go for it 🕶</t>
  </si>
  <si>
    <t>mondays</t>
  </si>
  <si>
    <t>thinking</t>
  </si>
  <si>
    <t>personalproject</t>
  </si>
  <si>
    <t>jasim_mansoor</t>
  </si>
  <si>
    <t>1581460478176160981_5866417255</t>
  </si>
  <si>
    <t>Sometimes you have to realize what you thought it was and what it actually is. #allahiswithme #peace #neverlookback #keepongoing #bethebestyoucanbe</t>
  </si>
  <si>
    <t>neverlookback</t>
  </si>
  <si>
    <t>bethebestyoucanbe</t>
  </si>
  <si>
    <t>allahiswithme</t>
  </si>
  <si>
    <t>superjemstar</t>
  </si>
  <si>
    <t>1581460582590348638_41238521</t>
  </si>
  <si>
    <t>I just keep telling to my self to be #stong #keepongoing #life #lonely #wishing #love #work #myproject #me #nopuedoparar #necesitounarazon #micorazon #dolor #pain #nyc #giveup #don't</t>
  </si>
  <si>
    <t>New York, New York</t>
  </si>
  <si>
    <t>stong</t>
  </si>
  <si>
    <t>nyc</t>
  </si>
  <si>
    <t>gaynzwg</t>
  </si>
  <si>
    <t>1581461575147447516_5816865848</t>
  </si>
  <si>
    <t>Yo Leute, es ist Motivation-Monday. Was motiviert euch? Das Leben stellt einen oft vor schwere Herausforderungen, aber das wichtigste ist das ihr immer am Ball bleibt. In diesem Sinne wünschen wir euch einen schönen Abend. Bleibt am Eisen sowie am Schwanzenstock. Wir sind raus für heute, also draußen tschau. #keepongoing #probronation#pilzdabtheschwanzenstock#fitness#curls#proteins#love#life#nature#probro#hotashans#wieeinarschloch#nohomo#nohetero#bodybuilding#prallität</t>
  </si>
  <si>
    <t>hotashans</t>
  </si>
  <si>
    <t>wieeinarschloch</t>
  </si>
  <si>
    <t>gms.clothing</t>
  </si>
  <si>
    <t>1581464981249230568_5471534492</t>
  </si>
  <si>
    <t>Gotta Pay Your Dues Keep On Going Never Stop 💯💯💯💯 #Paiddues #GMS #MiamiDade #BossLife #JMYB #KeepOnGoing #movements #monday #LiveLife #Focus</t>
  </si>
  <si>
    <t>miamidade</t>
  </si>
  <si>
    <t>paiddues</t>
  </si>
  <si>
    <t>movements</t>
  </si>
  <si>
    <t>annekschack</t>
  </si>
  <si>
    <t>1581468623918537403_1743985151</t>
  </si>
  <si>
    <t>This early morning I found myself among nothing else than the green mountain peaks of Slovenia. Spend the noon at the west harbour of Slovenia with my tippy-toes in the water and 3 scoops of ice (could easily have been 6 scoops). This very same night, I found myself yet again for at the harbour - but no longer am I in Slovenia.... Now I'm in Italy.... #helloitaly #fromsloveniatoitaly #keepongoing #traveltheworld #wanderlust #backpacker #ships #sailor #pirate #thalassophile #takechances #jump #addicted #ocean #habour #pier #rockingmyworld #confession</t>
  </si>
  <si>
    <t>takechances</t>
  </si>
  <si>
    <t>backpacker</t>
  </si>
  <si>
    <t>jump</t>
  </si>
  <si>
    <t>1581471142162308850_4203348813</t>
  </si>
  <si>
    <t>😍🔝❤️</t>
  </si>
  <si>
    <t>paigejosephiney</t>
  </si>
  <si>
    <t>1581472532773910699_43302057</t>
  </si>
  <si>
    <t>🌼💕👌🏻🎉🎀🌵🍹💅 #holdontowhatisgood #behappy #dontletthebastardsgetyoudown #keepongoing #smile #thebadmakesthegood #bepositive #behappy #lbloggers #bloggersuk #bloguk #coventryblog #smile #covblog #beauty #spends #coffee #thisisme #beyou #share</t>
  </si>
  <si>
    <t>share</t>
  </si>
  <si>
    <t>bloguk</t>
  </si>
  <si>
    <t>bloggersuk</t>
  </si>
  <si>
    <t>thisisme</t>
  </si>
  <si>
    <t>fairyatelier</t>
  </si>
  <si>
    <t>1581472687158342078_4200804885</t>
  </si>
  <si>
    <t>⠀
My commitment to art for the next year to keep myself drawing and to prevent myself from giving up. Just my way of keeping myself on track instead of spending money on useless things like #food and #games. Jk ꈍᴗꈍ ⋆ i love food &amp; games. But you know... yea. 흑규ㅡ흗 ㅠㅠ 내 돈 💸
⠀
⠀
https://fairyatelier.deviantart.com
⠀
⠀
⠀
#art #artblock #keepongoing #12months #commitment #deviantart</t>
  </si>
  <si>
    <t>artblock</t>
  </si>
  <si>
    <t>games</t>
  </si>
  <si>
    <t>food</t>
  </si>
  <si>
    <t>1581472852303959207_5705167414</t>
  </si>
  <si>
    <t>Bucket #Dubnation
-
-
-
-
-
-
-
-
-
-
-
-
-
-
-
-
-
-
-
-
-
-
-
-
-
-
-
-
-
-
-
-
-
-
-
-
-
-
-
-
 #StephGonnaSteph #Mvp #SC30 #KT11 #DG23 #CURRYMVP #KEEPONGOING #NEVERGIVEUP #WCF #WEST #WESTERNCONFERENCEFINALS #CHAMPS #DUBSFORCHAMPS #DUBS #ALWAYSBELIEVEINGOD #STEPHENCURRY #EVEN #NBA #2016CHAMPS #CHAMPIONS #LOCKIN #STEPH #SPLASH #SPLASHBROS  #like4like #like4follow #follow4follow</t>
  </si>
  <si>
    <t>alex_artusio.93</t>
  </si>
  <si>
    <t>1581473186305077102_1903161840</t>
  </si>
  <si>
    <t>Sorry can i have Monday off?
#keepongoing 😎🔝</t>
  </si>
  <si>
    <t>Hackney Wick</t>
  </si>
  <si>
    <t>lynich55</t>
  </si>
  <si>
    <t>1581477211780460640_478963028</t>
  </si>
  <si>
    <t>Holy Cow!! We did it again!  We made it through another Monday!! #progressnotperfection 
#baby steps
#keepongoing</t>
  </si>
  <si>
    <t>cr.floor</t>
  </si>
  <si>
    <t>1581481985192186679_3628143072</t>
  </si>
  <si>
    <t>Hay situaciones para las que no estamos hechos. Nos desbordan, nos atacan, nos desarman, casi siempre de la nada, nos agarran con la guardia baja. De esos cachetazos que te devuelven a la realidad de un tirón. Y nos quedamos así, pasmados, atorados de tanta información, de tantos sentimientos juntos, encontrados, diferentes. No sabemos que camino seguir, si volver o cambiar el plan. Pero de alguna manera misteriosa encontramos la forma. Nos volvemos a juntar, pegamos los pedazos rotos, nos volvemos a querer y así una y otra vez. Apostando a que la próxima va a ser diferente, a que con quererlo lo suficiente alcanza...Esperando que la vida nos devuelva un poco de todo, también del amor.
Está bueno que nos destrocen un poco de vez en cuando, así es como nos damos cuenta lo fuerte que somos, aunque duela.
ph. Andy 🤗 @andy_supertramp
.
#momentos #heridas #todopasa #todovuelve #tambienelamor #keepongoing #photo #blackandwhite #retrato</t>
  </si>
  <si>
    <t>heridas</t>
  </si>
  <si>
    <t>tambienelamor</t>
  </si>
  <si>
    <t>retrato</t>
  </si>
  <si>
    <t>1581483387137423748_5801959162</t>
  </si>
  <si>
    <t>💎 This is not a dream it is a goal!😍 Do you agree? 😃 Comment below! ✏️ Feel free to use and share this! Thank you @luxury_leaders for being amazing picture</t>
  </si>
  <si>
    <t>1581486511039170241_429150387</t>
  </si>
  <si>
    <t>So great to see Sedi and meet Kutlwano, my family friends from South Africa. It's so good having them in London even if it was a short get together it still was awesome with lots of #Goodtimes and #Yummytimes. Such a blessed evening from a Latin American Restaurant where we enjoyed so much of food to Costa Coffee for lattes, cappuccinos and cake, had to let them experience goodtimes and yummytimes at Costa Coffee 😊 
Thankful for day's like these 👍🙏🙌🎉🇿🇦🇬🇧 #MondayMotivation #Friends #Family #Joy #Love #London #Soho #MondayNight #BarrioSoho #Barrio #CostaCoffee #OxfordStreet #LatinAmericanFood #YummyFood #EnjoyLife #KeepOnGoing #Cappucino #Latte #Cake #SouthAfrica #England #Thankful #Blessed #GodIsGood #CelebrateLife #LondonLife</t>
  </si>
  <si>
    <t>godisgood</t>
  </si>
  <si>
    <t>mondaynight</t>
  </si>
  <si>
    <t>latinamericanfood</t>
  </si>
  <si>
    <t>upstream360</t>
  </si>
  <si>
    <t>1581486976220955119_2464408273</t>
  </si>
  <si>
    <t>Happy 16th Anniversary to Upstream!  This journey wasn’t what I planned, but as my wife always said, “everything happens for a reason.” A huge thank you to all of the Clients, Crews, Contractors and of course this amazing staff who always amaze me with their talents! The best is yet to come!
#anniversary #workanniversary #cincinnativideoproduction #cincinnati #designlife #design #videoproduction #ourteam #employees #keepongoing #medialife #mediacompany #innovationteam #innovationtocreation #16yearslater</t>
  </si>
  <si>
    <t>mediacompany</t>
  </si>
  <si>
    <t>cincinnati</t>
  </si>
  <si>
    <t>design</t>
  </si>
  <si>
    <t>kristen_chi9</t>
  </si>
  <si>
    <t>1581493426372690329_19439254</t>
  </si>
  <si>
    <t>Life continues to be a whirlwind. Thankful that I had the chance to spend a spontaneous weekend getaway with a good friend to focus on making positive memories. Cheers to continuing to fight the good fight. @taylortrailmix #milwaukee #adventure #positivevibes #keepongoing #beerme</t>
  </si>
  <si>
    <t>The Grumpy Troll</t>
  </si>
  <si>
    <t>milwaukee</t>
  </si>
  <si>
    <t>beerme</t>
  </si>
  <si>
    <t>dulceantunes1</t>
  </si>
  <si>
    <t>1581494087630316672_281323380</t>
  </si>
  <si>
    <t>'Respiro, com vagar e com ternura, as coisas mais pequenas. E assim me vai crescendo o coração...' #riojordão #saudades #israel #pray #oração #lifeisaboutmoments #avidaemmomentos #poesiadoolhar #lovebeinghere #keepongoing #insta_pensadores #insta_moments #canonphotography #terrasanta #hollyland #jerusalem #jesus  #wannabeback #loveit</t>
  </si>
  <si>
    <t>Rio Jordão - Galiléia</t>
  </si>
  <si>
    <t>jerusalem</t>
  </si>
  <si>
    <t>avidaemmomentos</t>
  </si>
  <si>
    <t>pray</t>
  </si>
  <si>
    <t>jesus</t>
  </si>
  <si>
    <t>endietta</t>
  </si>
  <si>
    <t>1581501294626151407_5751309200</t>
  </si>
  <si>
    <t>It's been 59 week's.. No supplements.. No particular diets.. I just cut sugarly, process and preserves food.. Eat more fresh and real food..more veggies &amp; fruits less carbs.. More fish, chicken, nuts &amp; seeds for protein source.. No red meat.. Minimise dairy product's.. Exercise 6 days a week.. 1-2 hours a day with 3 days of #strengthtraining &amp; 3 days of #hiitworkout with weights either #dumbells .. #kettlebell or #resistancebands .. Still learning about food intake and effective workouts that suits my body type and making adjustments every week, I keep setting new goals every week to motivate and challenge my strength, endurance and mobility.. It's not easy and it's surely need time 😀.. It's a life time commitment.. #weightlossjourney #myjourney #fitlife #fitfam</t>
  </si>
  <si>
    <t>exercise</t>
  </si>
  <si>
    <t>weightlossgoals</t>
  </si>
  <si>
    <t>vippystar</t>
  </si>
  <si>
    <t>1581504121461811585_51976241</t>
  </si>
  <si>
    <t>Good old pub 🍺#londonlife #london #londoner #beerporn #beer #pubsoflondon #pubcrawl #pub #englishpub #weekendvibes #weekender #wifegotskills #foodie #explore #explorer #sundays #sun #sundayfunday #stroller #walking #keepongoing #binge #love #friends #character #history #architecture #design #oldschool #oldbutgold</t>
  </si>
  <si>
    <t>The Railway, Putney</t>
  </si>
  <si>
    <t>pubcrawl</t>
  </si>
  <si>
    <t>englishpub</t>
  </si>
  <si>
    <t>wifegotskills</t>
  </si>
  <si>
    <t>foodie</t>
  </si>
  <si>
    <t>pub</t>
  </si>
  <si>
    <t>eribk</t>
  </si>
  <si>
    <t>1581504134406143523_197994822</t>
  </si>
  <si>
    <t>J A H 🙏💯💯💯 #blessed #keepongoing #allworknoplay #picoftheday  #picofthenight #summer17 #ebk #djs  #trapmusic #stoners #lasvegas #florida #neworleans #palmsprings #nyc #atlanta #brooklyn #houston #Jacksonville #losangeles #chiraq #lasvegas #seattle #boston #washingtondc #atx #austin #music</t>
  </si>
  <si>
    <t>allworknoplay</t>
  </si>
  <si>
    <t>lasvegas</t>
  </si>
  <si>
    <t>boston</t>
  </si>
  <si>
    <t>austin</t>
  </si>
  <si>
    <t>kathryndossantos</t>
  </si>
  <si>
    <t>1581505239898818741_426093266</t>
  </si>
  <si>
    <t>Get Up + Have Faith. 🙌🏼
08.14.17. .
.
.
.
.
#bloom #quote #words #qotd #goodvibes #hope #goodvibesonly #positive #therock #positivethinking #mondaymantra #selflove #selfcare #mondaymotivation #dreams #keepongoing #dreamsdontworkunlessyoudo</t>
  </si>
  <si>
    <t>Vancouver, British Columbia</t>
  </si>
  <si>
    <t>selflove</t>
  </si>
  <si>
    <t>selfcare</t>
  </si>
  <si>
    <t>bloom</t>
  </si>
  <si>
    <t>vapemachinecl</t>
  </si>
  <si>
    <t>1581509014151611286_5419717352</t>
  </si>
  <si>
    <t>Distribuidor oficial de #CoronaBrothers en Chile 🇨🇱 🗣💨 próximamente se vienen sorpresas desde 🇪🇸 #keeponvaping #vape #vapelife #vapers #vapers #vapecl #vapechile #chilevapea #chile #vaping #keepongoing #cloudchaser #cloudchasing</t>
  </si>
  <si>
    <t>chile</t>
  </si>
  <si>
    <t>vapecl</t>
  </si>
  <si>
    <t>vapechile</t>
  </si>
  <si>
    <t>chilevapea</t>
  </si>
  <si>
    <t>vapers</t>
  </si>
  <si>
    <t>vinnimd</t>
  </si>
  <si>
    <t>1581517393716244154_18534315</t>
  </si>
  <si>
    <t>Comfort zone will slowly kill your dreams!!! 🤔🤔🤔</t>
  </si>
  <si>
    <t>dreambig</t>
  </si>
  <si>
    <t>grind</t>
  </si>
  <si>
    <t>ciel_in_bloomington</t>
  </si>
  <si>
    <t>1581523394909979670_5344998293</t>
  </si>
  <si>
    <t>#miu #keepongoing #whatareyoulookingat 🐱🦊🐺 #curiouscat #고양이 #호기심 #개냥이 #냥이산책
#walkingcat
#dogsofinstagram #rescuedogstory #lovechangeseverything #입양후기 
#Bodam SaveKoreanDog #rescuedog #adoptdontshop #adopt #saveKoreandog #adoptapet #puppy #보담 #유기견 #입양 #강아지 #이동봉사 #transport #volunteer needed 
#nyc #seattle #washingDC</t>
  </si>
  <si>
    <t>rescuedogstory</t>
  </si>
  <si>
    <t>transport</t>
  </si>
  <si>
    <t>이동봉사</t>
  </si>
  <si>
    <t>dogsofinstagram</t>
  </si>
  <si>
    <t>miu</t>
  </si>
  <si>
    <t>1581529090648648245_462344435</t>
  </si>
  <si>
    <t>Every Pro was once an amateur, every expert was once a beginner, so dream big and start now!
.
.
.
💪💪💪thanks to Analyn Roque for this reminder💪💪💪
.
.
.
#Bepositive #positivemindset #livelifetothefull #seethegood #seethegoodineverything #believeyoucan #befearless #keeponmoving #keeponlearning #keepondoing #keepongoing #keeponbelieving #believeinyou #goodhabits #achieve #achieveyourdreams #achieveyourgoals #believeinyourdream #believeinyourselfie #keepthefaith #neverstoplearning #positiveattitude #positivemindset  #positiveminds #trustandbelieve #trustyourgut #yesyoucan #neverstoptrying #neverstopdoing #youcandoit</t>
  </si>
  <si>
    <t>befearless</t>
  </si>
  <si>
    <t>seethegood</t>
  </si>
  <si>
    <t>neverstopdoing</t>
  </si>
  <si>
    <t>seethegoodineverything</t>
  </si>
  <si>
    <t>1581537643128555266_254227172</t>
  </si>
  <si>
    <t>5 days till Miami!☀️🌴😎! Beast mode everyday till then 💪🏾
#motivation #innerpeace  #fitnesslife #keepongoing #motivated #photooftheday #instafollowme  #personaltrainer #lifeisgood #instagood #picoftheday #instadaily #igers #instalike #bestoftheday #followme #like4like #fun #instamood #life #followback #follow #tagforlikes #miami #beachbody</t>
  </si>
  <si>
    <t>innerpeace</t>
  </si>
  <si>
    <t>motivated</t>
  </si>
  <si>
    <t>stormborn_red456</t>
  </si>
  <si>
    <t>1581544169162668706_3663420975</t>
  </si>
  <si>
    <t>The world is harsh and so should be you.
#sail #quotes #worldisharsh 
#keepongoing
#myimagination 
#sailingquotes</t>
  </si>
  <si>
    <t>worldisharsh</t>
  </si>
  <si>
    <t>sailingquotes</t>
  </si>
  <si>
    <t>sail</t>
  </si>
  <si>
    <t>myimagination</t>
  </si>
  <si>
    <t>octg.pro</t>
  </si>
  <si>
    <t>1581547055641239562_1655347240</t>
  </si>
  <si>
    <t>beyourown</t>
  </si>
  <si>
    <t>workforwhatyouwant</t>
  </si>
  <si>
    <t>1581547535393298500_5705167414</t>
  </si>
  <si>
    <t>Season schedule is out!!!! We're gonna face Cleveland on Christmas and MLK day....... again, the only thing different will be the arenas, Christmas at the Oracle and MLK at Quicken Loans #Dubnation
-
-
-
-
-
-
-
-
-
-
-
-
-
-
-
-
-
-
-
-
-
-
-
-
-
-
-
-
-
-
-
-
-
-
-
-
-
-
-
-
 #StephGonnaSteph #Mvp #SC30 #KT11 #DG23 #CURRYMVP #KEEPONGOING #NEVERGIVEUP #WCF #WEST #WESTERNCONFERENCEFINALS #CHAMPS #DUBSFORCHAMPS #DUBS #ALWAYSBELIEVEINGOD #STEPHENCURRY #EVEN #NBA #2016CHAMPS #CHAMPIONS #LOCKIN #STEPH #SPLASH #SPLASHBROS  #like4like #like4follow #follow4follow</t>
  </si>
  <si>
    <t>1581547764738147008_372479302</t>
  </si>
  <si>
    <t>#ShineText is always giving me enlightenment. #keepongoing</t>
  </si>
  <si>
    <t>shinetext</t>
  </si>
  <si>
    <t>1581548822415311289_5705167414</t>
  </si>
  <si>
    <t>Christmas and MLK day gonna be very exciting!!! #Dubnation
-
-
-
-
-
-
-
-
-
-
-
-
-
-
-
-
-
-
-
-
-
-
-
-
-
-
-
-
-
-
-
-
-
-
-
-
-
-
-
-
 #StephGonnaSteph #Mvp #SC30 #KT11 #DG23 #CURRYMVP #KEEPONGOING #NEVERGIVEUP #WCF #WEST #WESTERNCONFERENCEFINALS #CHAMPS #DUBSFORCHAMPS #DUBS #ALWAYSBELIEVEINGOD #STEPHENCURRY #EVEN #NBA #2016CHAMPS #CHAMPIONS #LOCKIN #STEPH #SPLASH #SPLASHBROS  #like4like #like4follow #follow4follow</t>
  </si>
  <si>
    <t>iris_fdz11</t>
  </si>
  <si>
    <t>1581549207695945069_2075169800</t>
  </si>
  <si>
    <t>🙌🏻🏋🏻‍♀️🏃🏻‍♀️ #keepongoing #stumble #getup #goals #reachthem #garagegym #fitmom #stayathomemom #noexcuses</t>
  </si>
  <si>
    <t>stumble</t>
  </si>
  <si>
    <t>stayathomemom</t>
  </si>
  <si>
    <t>garagegym</t>
  </si>
  <si>
    <t>1581550141751854967_254227172</t>
  </si>
  <si>
    <t>5 days till Miami baby!☀️🌴😎 everyday till then will be all out beast mode!💪🏾🦁
#motivation #innerpeace  #fitnesslife #keepongoing #motivated #photooftheday #instafollowme  #personaltrainer #lifeisgood #instagood #picoftheday #instadaily #igers #instalike #bestoftheday #followme #like4like #fun #instamood #life #followback #follow #tagforlikes #miami #beachbody #holidayprep</t>
  </si>
  <si>
    <t>fun</t>
  </si>
  <si>
    <t>1581550208499944991_1781079691</t>
  </si>
  <si>
    <t>Balabac, Philippines
Photo by @jaypeeswing
Tag your friends 😍
Follow @forever.wanderlust for more!
.
.
.
.
.
.
.
.
#traveldiaries #pursueyourpassion #paradisepier #travelrussia #backpackingpr #sunset_rv #lifeisfun #jj_forum #skypainters #goodkarma #sky #liveforit #mytraveldiary #keepongoing #meditationtime #travelon #photooftheday #travelshots #travelstoke #lifeonourplanet #hlobelletravels #earthfocus #anewbreedoftraveller #ventureseeker adventurestream #paycationtravel</t>
  </si>
  <si>
    <t>meditationtime</t>
  </si>
  <si>
    <t>travelshots</t>
  </si>
  <si>
    <t>lifeisfun</t>
  </si>
  <si>
    <t>skypainters</t>
  </si>
  <si>
    <t>poisonhivey</t>
  </si>
  <si>
    <t>1581555655877358146_252148693</t>
  </si>
  <si>
    <t>Miss riding my bike Chicken Wings (CW) today.  She's waiting right in our living room, a few feet away. I can't wait for the day i can put my bum on that beautiful cushion seat ☺️I'm going to dream about it if I can ever get some real sleep in. The pain of the reactions has been awful, having to use epi and praying.  We fear it's the progression of mast cell disease. Some days I pass out from the pain and swelling and don't remember much. I am homesick, missing my family and cat and really sad...Brad says I have had stages of anaphylaxis, trying to breath and coughing when trying to sleep. Treatment options are limited and I have failed a few. We moved to SC to keep battling this thing and I'm going to try new meds, hoping my body won't reject it. It's a very scary time. But me and Brad have been through some pretty crappy things and we always win. Our prize for winning is always the same. We get to live side by side. He's my forever best bud. Mast cell has tested our relationship at times and strengthen it as well. The love builds and we become our own pain med, our escape. We hug each other a little stronger lately, a little longer. ✨💛 #mastcellactivationdisorder #mastcelldisease #relocating #keepongoing #nevergiveup</t>
  </si>
  <si>
    <t>mastcelldisease</t>
  </si>
  <si>
    <t>relocating</t>
  </si>
  <si>
    <t>mastcellactivationdisorder</t>
  </si>
  <si>
    <t>wanderlusting.tv</t>
  </si>
  <si>
    <t>1581557376666208098_3512203302</t>
  </si>
  <si>
    <t>Peaceful village. Castle Combe, United Kingdom. Photo by @neumarc
.
.
.
.
.
.
.
.
#paradisefound #bestbeach #travelmate #goodstart #travelwell #paradisepier #lifeissweet #discoverearth #travelmagazin #dontbelievemejustwatch #traveltheglobe #travelinspired #thaitraveling #bestoftheday #keepongoing #earthspirit #travelmagazine #energyboost #dmtravelseries #paradisebeach #laptoplifestyle #travelmorocco #paradisebay #instatravels #girlsjustwannatravel</t>
  </si>
  <si>
    <t>travelmorocco</t>
  </si>
  <si>
    <t>goodstart</t>
  </si>
  <si>
    <t>dmtravelseries</t>
  </si>
  <si>
    <t>traveltheglobe</t>
  </si>
  <si>
    <t>_thetravelblogger_</t>
  </si>
  <si>
    <t>1581558380689196770_2164591711</t>
  </si>
  <si>
    <t>💧 🌊 🌈 🌊 💧
Little Deluxe styling on his wavebandit. One problem, that left foot forward thing will need to be corrected. Hahahahaha.
⠀
Where would you ❤️ like to travel next?
⠀
📍 Hawaii 🇺🇸
🔁 Follow us at @_thetravelblogger_
📷 Via @bigdeluxe_ 🍃 Hawaii, a U.S. state, is an isolated volcanic archipelago in the Central Pacific. Its islands are renowned for their rugged landscapes of cliffs, waterfalls, tropical foliage and beaches with gold, red, black and even green sands. Of the 6 main islands, Oahu has Hawaii’s biggest city and capital, Honolulu, home to crescent Waikiki Beach and Pearl Harbor's WWII memorials.
.
.
.
.
.
.
.
.
#spiritualwarrior #beautifuldestinations #lifeisaparty #traveltime #keeptraveling #earthfocus #lifeistravel #worktravel #paradiseonearth #followers #leavers #yogaforlife #lifeisanadventure #condenasttraveler #traintravel #travelmate #travelingcouple #vsco #islandliving #keepongoing #leaveyourlegacy #neverstoplearning #lifestile #travelrock #paradiseofminimal</t>
  </si>
  <si>
    <t>condenasttraveler</t>
  </si>
  <si>
    <t>followers</t>
  </si>
  <si>
    <t>theintentionalgoalgetter</t>
  </si>
  <si>
    <t>1581558677990878139_5816316301</t>
  </si>
  <si>
    <t>Some times we get stuck in a rut. We have bad days. We didn't make time to sit down and plan our next move but it's ok. Pick your self up and keep going. Don't settle for less than what you were promised. Push through.. #setgoals #staymovtivated #goodvibes #gettingmygoals #gogetter #goalgetter #motivation #keepongoing  #positivity #youcandoit #itsuptoyou #yourchoice</t>
  </si>
  <si>
    <t>itsuptoyou</t>
  </si>
  <si>
    <t>positivity</t>
  </si>
  <si>
    <t>yourchoice</t>
  </si>
  <si>
    <t>gettingmygoals</t>
  </si>
  <si>
    <t>1581559529014017936_5705167414</t>
  </si>
  <si>
    <t>Bro, who's getting a high five from Klay, KD is gonna high five Steph and Dray lol 😂😂😂 #Dubnation
-
-
-
-
-
-
-
-
-
-
-
-
-
-
-
-
-
-
-
-
-
-
-
-
-
-
-
-
-
-
-
-
-
-
-
-
-
-
-
-
 #StephGonnaSteph #Mvp #SC30 #KT11 #DG23 #CURRYMVP #KEEPONGOING #NEVERGIVEUP #WCF #WEST #WESTERNCONFERENCEFINALS #CHAMPS #DUBSFORCHAMPS #DUBS #ALWAYSBELIEVEINGOD #STEPHENCURRY #EVEN #NBA #2016CHAMPS #CHAMPIONS #LOCKIN #STEPH #SPLASH #SPLASHBROS  #like4like #like4follow #follow4follow</t>
  </si>
  <si>
    <t>mia.89</t>
  </si>
  <si>
    <t>1581566178698985337_826326244</t>
  </si>
  <si>
    <t>Ok... #inspirationalquotes #thoughts#encuragement #keepongoing #onedayatatime #calm #baddays #turnintogooddays #patients #amen</t>
  </si>
  <si>
    <t>inspirationalquotes</t>
  </si>
  <si>
    <t>baddays</t>
  </si>
  <si>
    <t>turnintogooddays</t>
  </si>
  <si>
    <t>amen</t>
  </si>
  <si>
    <t>joro_lie</t>
  </si>
  <si>
    <t>1581567637996314137_5620542121</t>
  </si>
  <si>
    <t>#newprofilepic #trytogetbig #training #stayhungry #focusonyourgoals #focus #instapic #insta #zkonzept #keepongoing #neverquit #workonit #goals #gymder #goforit #gym</t>
  </si>
  <si>
    <t>Cologne, Germany</t>
  </si>
  <si>
    <t>zkonzept</t>
  </si>
  <si>
    <t>gymder</t>
  </si>
  <si>
    <t>vale_dava</t>
  </si>
  <si>
    <t>1581568309019457879_1372071980</t>
  </si>
  <si>
    <t>#whitenight#leoni#sweetlife#keepongoing#canihavemondayoff</t>
  </si>
  <si>
    <t>Zona Isola Milano</t>
  </si>
  <si>
    <t>whitenight</t>
  </si>
  <si>
    <t>leoni</t>
  </si>
  <si>
    <t>canihavemondayoff</t>
  </si>
  <si>
    <t>sweetlife</t>
  </si>
  <si>
    <t>strive_to_thrive_coaching</t>
  </si>
  <si>
    <t>1581575430107686622_4222015590</t>
  </si>
  <si>
    <t>Make this week happen!
#positivity #hardworkpaysoff #motivationmonday #makeithappen #inspirationalquotes #keepongoing #youcandoit</t>
  </si>
  <si>
    <t>hardworkpaysoff</t>
  </si>
  <si>
    <t>makeithappen</t>
  </si>
  <si>
    <t>l12za</t>
  </si>
  <si>
    <t>1581579601032599727_3221545433</t>
  </si>
  <si>
    <t>Left #sweatmark graffiti / art on the ground today 😆 Maxed out at 105lbs for #powercleanandpress ... not too bad for a #firsttimer ! #crossfitpersist 👊 #persistence #nopainnogain #roadtobadassery #badassinthemaking #keepongoing 💪</t>
  </si>
  <si>
    <t>CrossFit Persist</t>
  </si>
  <si>
    <t>crossfitpersist</t>
  </si>
  <si>
    <t>powercleanandpress</t>
  </si>
  <si>
    <t>sweatmark</t>
  </si>
  <si>
    <t>roadtobadassery</t>
  </si>
  <si>
    <t>kenneth.fajardo3</t>
  </si>
  <si>
    <t>1581581408333467525_1531780900</t>
  </si>
  <si>
    <t>Motivation.. #keepongoing #positivenegative #movingon</t>
  </si>
  <si>
    <t>movingon</t>
  </si>
  <si>
    <t>positivenegative</t>
  </si>
  <si>
    <t>madelinegardner</t>
  </si>
  <si>
    <t>1581586737430766036_1438336669</t>
  </si>
  <si>
    <t>#inspiration 💪🏻👍🏻❤️ #morilee #love #power #strength #nevergivein #women #monday #everyday #believe #yes #yass #designer #lovemyjob #newday #keepongoing 💃🏻❤️</t>
  </si>
  <si>
    <t>everyday</t>
  </si>
  <si>
    <t>morilee</t>
  </si>
  <si>
    <t>joyousexpansion</t>
  </si>
  <si>
    <t>1581594335571457392_2309653726</t>
  </si>
  <si>
    <t>You are a gift! Love you! #love #gift #abundance #blessing #greatful #relish #journey #keepongoing #money</t>
  </si>
  <si>
    <t>abundance</t>
  </si>
  <si>
    <t>blessing</t>
  </si>
  <si>
    <t>relish</t>
  </si>
  <si>
    <t>greatful</t>
  </si>
  <si>
    <t>missvitamin</t>
  </si>
  <si>
    <t>1581605754865986891_237237277</t>
  </si>
  <si>
    <t>Life is too short to spend time regretting. 
If it's not the end, smile and keep on 
#keepongoing #applestore5thavenue #beautifullife #abouttime #timeschange #iphone7plus #newyork</t>
  </si>
  <si>
    <t>applestore5thavenue</t>
  </si>
  <si>
    <t>beautifullife</t>
  </si>
  <si>
    <t>abouttime</t>
  </si>
  <si>
    <t>iphone7plus</t>
  </si>
  <si>
    <t>newyork</t>
  </si>
  <si>
    <t>gymgirls.ig</t>
  </si>
  <si>
    <t>1581606945251498464_4203455377</t>
  </si>
  <si>
    <t>courtcstw</t>
  </si>
  <si>
    <t>1581607524392742533_4336863871</t>
  </si>
  <si>
    <t>And today ☀️♥️😎 #keepongoing #dontstop #norestforthewicked #worthit #summer #whitemtns</t>
  </si>
  <si>
    <t>Kancamagus Highway</t>
  </si>
  <si>
    <t>norestforthewicked</t>
  </si>
  <si>
    <t>whitemtns</t>
  </si>
  <si>
    <t>mickeylai23</t>
  </si>
  <si>
    <t>1581615172706207083_33166883</t>
  </si>
  <si>
    <t>Perseverance 🏃💨
#neverstop #keepongoing #huaweimate9</t>
  </si>
  <si>
    <t>Shoreditch</t>
  </si>
  <si>
    <t>huaweimate9</t>
  </si>
  <si>
    <t>taeddins</t>
  </si>
  <si>
    <t>1581630694131993477_25572848</t>
  </si>
  <si>
    <t>You only fail when you give up! Dreamers don't quit!!#keepongoing #entrepreneur #entrepreneurlife #entrepreneurship #youngentrepreneur #dontfail #stayfocused #ecommerce #socialmediamarketing #socialmarketing #eddinssolutions #dreamers #leadership #mentorship #bethebestyou</t>
  </si>
  <si>
    <t>mentorship</t>
  </si>
  <si>
    <t>youngentrepreneur</t>
  </si>
  <si>
    <t>eddinssolutions</t>
  </si>
  <si>
    <t>pollywogfishing</t>
  </si>
  <si>
    <t>1581631853814036655_4918749846</t>
  </si>
  <si>
    <t>When you cut your thumb shucking scallops and your first mate is a wound care nurse #thankful #bandage #keepongoing @ashfdarlin</t>
  </si>
  <si>
    <t>bandage</t>
  </si>
  <si>
    <t>thankful</t>
  </si>
  <si>
    <t>1581634235542231251_586298771</t>
  </si>
  <si>
    <t>Beginning of a large abstract painting. Now I wait until tomorrow for the ink to be dried. 
#studioview #studiotime #beginningofastory #underpainting #acrylicinkoncanvas #flowflow #artistjourney #paintingsinprogress #wip #paint100badpaintings #keepongoing #seriescomingup #timetosellsomeart #maybe #momartist #summerpainting</t>
  </si>
  <si>
    <t>wip</t>
  </si>
  <si>
    <t>beginningofastory</t>
  </si>
  <si>
    <t>flowflow</t>
  </si>
  <si>
    <t>underpainting</t>
  </si>
  <si>
    <t>paint100badpaintings</t>
  </si>
  <si>
    <t>1581636527553049556_586298771</t>
  </si>
  <si>
    <t>akemkim</t>
  </si>
  <si>
    <t>1581654650803983802_380966318</t>
  </si>
  <si>
    <t>Apa cerita, Keep on smiling and face the problems😊 #patient #fitness #fitnessmotivation #fitjourney #fitnessjourney #dontlookback #keepongoing #tamoneyh #</t>
  </si>
  <si>
    <t>patient</t>
  </si>
  <si>
    <t>tamoneyh</t>
  </si>
  <si>
    <t>cm_trish</t>
  </si>
  <si>
    <t>1581663978172541441_3871988447</t>
  </si>
  <si>
    <t>weecharizard</t>
  </si>
  <si>
    <t>1581666702307339728_4728596780</t>
  </si>
  <si>
    <t>playing catch in our downtime #crashandburn #keepongoing #weecharlie #frenchie #frenchiesofinstagram #frenchbulldog</t>
  </si>
  <si>
    <t>frenchiesofinstagram</t>
  </si>
  <si>
    <t>frenchie</t>
  </si>
  <si>
    <t>weecharlie</t>
  </si>
  <si>
    <t>crashandburn</t>
  </si>
  <si>
    <t>frenchbulldog</t>
  </si>
  <si>
    <t>success.portal</t>
  </si>
  <si>
    <t>1581669787300433512_5502469286</t>
  </si>
  <si>
    <t>Keep going🔥
-
Tag a friend
-
📷:@dickxonfernando</t>
  </si>
  <si>
    <t>1581682132429629733_3879735363</t>
  </si>
  <si>
    <t>#throwbacktuesday #crazycatlady #wannabefit #sporty #sportygirl #hiking #noexcusesjustresults #jogging #weightedhulahoop #hulahooping #weightlossspirit #weightlossmotivation #motivation #weightlossjourney #weightlosschallenge #challengeyourself #justdoit #keepongoing #losingweight #healthierlife #tummyfat #fatlady #fitby2018 #vaakakapina #nutrilett #dieting #diet #throwback #tb #redhairdontcare</t>
  </si>
  <si>
    <t>wannabefit</t>
  </si>
  <si>
    <t>weightlossspirit</t>
  </si>
  <si>
    <t>self_note_81_</t>
  </si>
  <si>
    <t>1581692590047076554_3282458243</t>
  </si>
  <si>
    <t>note_to_self81#keepongoing#nevergiveup#whyquitnow#settheplantomotion#believeinyou#believeinyourdream#walkinfaith#love#faith#believe#know#</t>
  </si>
  <si>
    <t>settheplantomotion</t>
  </si>
  <si>
    <t>believeinyourdream</t>
  </si>
  <si>
    <t>know</t>
  </si>
  <si>
    <t>1581696141137125592_1611690820</t>
  </si>
  <si>
    <t>Material for the workshop!
#product #work #3dskrivare
#productive #productdesign #creative #savetime #3dutskrift #entrepreneur #productivity #working #3dprinting  #hustler  #dream #skapa #workspace #create #keepongoing #dreams #inspiration #inspiringpeople #sverige #graphicdesign #art #design #designer #artist #3dprint #prototype #workshop</t>
  </si>
  <si>
    <t>prototype</t>
  </si>
  <si>
    <t>3dskrivare</t>
  </si>
  <si>
    <t>vinylsupplyshop</t>
  </si>
  <si>
    <t>1581697516775472285_240775860</t>
  </si>
  <si>
    <t>Let your dreams be bigger than your fears #dreamit #workhard #hustle #ifyoubuildittheywillcome #dreambig #womanownedbiz #stepoutinfaith #vinylsupplyshop #crafts #crafter #diy #etsy # #dreamingnotfearing #myGodisaGodofmiracles #vinyl #supportsmallbusiness #supportlocalbusiness #yougotthis #tbi #tbisurvivor #tbiawareness #homeschoolingmom #smallbizowner #inspiration #motivation #keepongoing #keeponkeepingon #dreamhardworkhard</t>
  </si>
  <si>
    <t>tbisurvivor</t>
  </si>
  <si>
    <t>dreamhardworkhard</t>
  </si>
  <si>
    <t>pramitara</t>
  </si>
  <si>
    <t>1581699222649307392_443396333</t>
  </si>
  <si>
    <t>Hey little fighter, soon things will be brighter :)
.
#flawsome #dontstopbelieving #keepongoing #tuesdayselfie #snapseed</t>
  </si>
  <si>
    <t>tuesdayselfie</t>
  </si>
  <si>
    <t>snapseed</t>
  </si>
  <si>
    <t>flawsome</t>
  </si>
  <si>
    <t>dontstopbelieving</t>
  </si>
  <si>
    <t>1581704237468677001_429150387</t>
  </si>
  <si>
    <t>Never ever give up, keep moving forward, you already have the victory. You were not made to break. Take off those limits, follow your God given dreams and know that all things do work together for good to those who love God (Romans: 8 vs 28). You are so loved, Jesus loves you so much, Look to Him and trust in Him always. #DontGiveUp #NoFear #TuesdayMotivation #Tuesday #HappyTuesday #KeepOnGoing #LookToJesus #NoLimits #Faith #Joy #Love #AllThingsArePossible #JesusIsTheWay #Devotion #Encouragement #Pray #TakeTheLimitsOff  #AllThingsWorkTogether #Strength #Courage #BeBold #MoveForward #LetGoAndLetGod #Bible #Truth #Victory #YouAreVictorious #YouAreBlessed #YouAreLoved #JesusLovesYou</t>
  </si>
  <si>
    <t>looktojesus</t>
  </si>
  <si>
    <t>bible</t>
  </si>
  <si>
    <t>thomasjames_official</t>
  </si>
  <si>
    <t>1581706352245633386_561804467</t>
  </si>
  <si>
    <t>"At some point you have to realize that some people can stay in your HEART but not your LIFE." #realtalk #truestory #life #chinup #staystrong #staypositive #keepongoing</t>
  </si>
  <si>
    <t>chinup</t>
  </si>
  <si>
    <t>realtalk</t>
  </si>
  <si>
    <t>healthykelly88</t>
  </si>
  <si>
    <t>1581707227143979842_1949713761</t>
  </si>
  <si>
    <t>Goede morgen 😊 lekker ontbijt: geiten yoghurt, blauwe bessen en wat roggevlokken erg lekker 🖒
#breakfast #houvol #lekker #losingweight #genieten #keepongoing #nevergiveup #nederlandslank #fitmom #fittemama #afvallen</t>
  </si>
  <si>
    <t>houvol</t>
  </si>
  <si>
    <t>genieten</t>
  </si>
  <si>
    <t>nederlandslank</t>
  </si>
  <si>
    <t>1581728451588855561_2317517565</t>
  </si>
  <si>
    <t>Stand Up Paddle er så fantastisk. Hvis du ønsker styrke og cardio træning på samme tid, så er det her et fremragende valg. Og så får du også lige naturoplevelsen med. Nooooooot bad🏄🏻🏄🏻‍♀️🏋🏼‍♀️💃 ——
#mortentillitzdk  #whatwouldbeyoncedo #toldyouso #tropådet #personligtræner #personaltrainer #cycling #Cykling #styrketræning #løb #Svømning #Swim #running #stronger #personligtræner #mitodense #fitfam #ﬁtfamdk #actionequalsresults #handlingskabersucces #helkropstræning #fullbody #SunRiceClubbyMortenTillitzDK #mentalpause #blivved #keepongoing #styrketræning #painfree #smertefri #søvn #sleep #mitodense</t>
  </si>
  <si>
    <t>painfree</t>
  </si>
  <si>
    <t>blivved</t>
  </si>
  <si>
    <t>toldyouso</t>
  </si>
  <si>
    <t>1581729719567587324_1469303635</t>
  </si>
  <si>
    <t>the 3 steps to greatness</t>
  </si>
  <si>
    <t>1581732098754411775_3512203302</t>
  </si>
  <si>
    <t>Morning Light at Yosemite National Park. Photo by @shainblumphotography
.
.
.
.
.
.
.
.
#travelfamily #travelessentials #yogatherapy #natgeotravelphoto #familypet #instatravelhub #beachvibes #keepworking #thaitraveling #animals #luxurytraveler #adventureinspired #paradisecoast #lifeonourplanet #instravel #keepongoing #tourtheplanet #pursueyourpassion #magicpict #earthspirit #energyhealing #travelclub #travelon #traveligram #earthfocus</t>
  </si>
  <si>
    <t>natgeotravelphoto</t>
  </si>
  <si>
    <t>tourtheplanet</t>
  </si>
  <si>
    <t>travelon</t>
  </si>
  <si>
    <t>luxurytraveler</t>
  </si>
  <si>
    <t>vision.book</t>
  </si>
  <si>
    <t>1581742113962435560_1822235880</t>
  </si>
  <si>
    <t>Follow @vision.book for top travel content. Yedigöller, Bolu. Turkey.
Photo by @kardinalmelon
.
.
.
.
.
.
.
.
#islandvibes #familypet #leaveyourlegacy #vscocam #travelbook #keepitlit #discoverearth #travelingmodel #global_hotshotz #adventureculture #keepongoing #exploremore #travelwell #yogafitness #travellernottourist #travelphotography #travelnow #energyhealing #soultravel #adventurers #backpackerslife #travelfamily #ventureseeker adventurestream #bestoftheday #thinkoutsidethebox</t>
  </si>
  <si>
    <t>soultravel</t>
  </si>
  <si>
    <t>travelingmodel</t>
  </si>
  <si>
    <t>travelwell</t>
  </si>
  <si>
    <t>global_hotshotz</t>
  </si>
  <si>
    <t>diamondenette</t>
  </si>
  <si>
    <t>1581743960806960080_4533603983</t>
  </si>
  <si>
    <t>Lavina Duke - You can continue from where you left off or you can begin again.
________________________________
#goodmorningworld #dailyinspiration #dsilymotivation #gogetter #newday #entrepreneurship #endurance #realtalk #quotesoftheday #stayathomemom #mentor #mindset #billionairemindset #buildyourempire #newbeginnings #richmindset #laptoplifestyle #success #motivational #dailymotivation #writing #quotestoinspire #inspirational #workfromhome #keeponmoving #keepongoing #entrepreneur #succeed</t>
  </si>
  <si>
    <t>buildyourempire</t>
  </si>
  <si>
    <t>dailyinspiration</t>
  </si>
  <si>
    <t>newday</t>
  </si>
  <si>
    <t>quotestoinspire</t>
  </si>
  <si>
    <t>1581761383023653753_4359740860</t>
  </si>
  <si>
    <t>Let's keep it real. I've dealt with much worse. 
from @rl_soul
#rp @v.c.conk #bereal #strings #keepongoing #manage #energy</t>
  </si>
  <si>
    <t>manage</t>
  </si>
  <si>
    <t>bereal</t>
  </si>
  <si>
    <t>strings</t>
  </si>
  <si>
    <t>eccho_oat</t>
  </si>
  <si>
    <t>1581761875350941443_5316761809</t>
  </si>
  <si>
    <t>Healthy  is lifestyle  not just a trend,  so keep on going what  you do.. #quotes #quotesoftheday #lifestyle #healthydiet #healtylife  #trend #trending #keepongoing #hidupsehat #sehat #sehatalami  #gayahidup #bugar</t>
  </si>
  <si>
    <t>bugar</t>
  </si>
  <si>
    <t>trend</t>
  </si>
  <si>
    <t>hidupsehat</t>
  </si>
  <si>
    <t>healthydiet</t>
  </si>
  <si>
    <t>aerosmith911</t>
  </si>
  <si>
    <t>1581762565163626975_4783126103</t>
  </si>
  <si>
    <t>On my way to the next #adventure - I know it will be a #challenge but I look forward to doing this. ✈️🌵☀️🏜 #phoenix #hereicome #goodyear #fromaflightattendanttoapilot #studentpilot #keepongoing #stepbystep #comeflywithme #austrianairlines #vienna #startwiththefirststep #aviation #excited #letsgo #girlpower #überdenwolken #traveladdicted #lifegoals</t>
  </si>
  <si>
    <t>excited</t>
  </si>
  <si>
    <t>stepbystep</t>
  </si>
  <si>
    <t>goodyear</t>
  </si>
  <si>
    <t>aviation</t>
  </si>
  <si>
    <t>vienna</t>
  </si>
  <si>
    <t>1581786586798845696_297558307</t>
  </si>
  <si>
    <t>GM😁🌅Warriors🏹! Day 27/45 #summerchallenge2017 After this past week of non sleep, worry and stress today I release it all on the road!!!! Such a stress reliever! Daily 8K+back and shoulder workout💪🏻! You, the road and the amazing company of #dondiablo #hexagonians #hexagonradio!!!! #free #fitmom #fitmama #fitgirl #fitness #fitnessaddict #run #runner #running #rundancing #mamacorriendo #mamacorriendo #gim #gimnasio #gym #gymgirl #gymlife #gymaddict #gymaholic #kikasporty #keeptrying #keepmoving #keepstrong #keepongoing #myanchor #mypassion #myhappyplace</t>
  </si>
  <si>
    <t>gymgirl</t>
  </si>
  <si>
    <t>gymaddict</t>
  </si>
  <si>
    <t>hexagonradio</t>
  </si>
  <si>
    <t>maximusblancinus</t>
  </si>
  <si>
    <t>1581789980534145292_5567977792</t>
  </si>
  <si>
    <t>On s'y remet 💪#gymmotivation #healthylifestyle #keepongoing</t>
  </si>
  <si>
    <t>oladisha</t>
  </si>
  <si>
    <t>1581793775222499896_1555041550</t>
  </si>
  <si>
    <t>Your quotes wont work unless you do!!! 🔛🔝
#keepongoing#abudhabi#emiratespalace#lovedit#wherefastandfurious7isshot#amazingafternoon#uae🇦🇪</t>
  </si>
  <si>
    <t>Emirates Palace</t>
  </si>
  <si>
    <t>amazingafternoon</t>
  </si>
  <si>
    <t>wherefastandfurious7isshot</t>
  </si>
  <si>
    <t>uae🇦🇪</t>
  </si>
  <si>
    <t>emiratespalace</t>
  </si>
  <si>
    <t>dancing_any4.4</t>
  </si>
  <si>
    <t>1581813793871232449_26501005</t>
  </si>
  <si>
    <t>My Facebook is reminding me of that wonderfull time Last year....when i was Ikarus flying to close to the Sun... 🤔Maybe i should delete them...to protect me from going through hell the next 2 month😔🙄... #missit #keepongoing #cheermeup #dontthinkaboutittoomuch</t>
  </si>
  <si>
    <t>cheermeup</t>
  </si>
  <si>
    <t>missit</t>
  </si>
  <si>
    <t>dontthinkaboutittoomuch</t>
  </si>
  <si>
    <t>curtisgarrettmusic</t>
  </si>
  <si>
    <t>1581815594712793699_5755269713</t>
  </si>
  <si>
    <t>Some days are darker than others, but keeping your eye on what motivates you can sometimes be all you need to keep you going. I am focused on releasing my music to you guys and then travelling as much as possible. Just got to keep on keeping on!
#keepongoing #depression #darkerdays #motivation #Scotland #musician #musicians  #singer #singers #songwriters #songwriter #nature #castle #castles #agameoftones #lake #green #beautiful #photography
(Photo credits not mine)</t>
  </si>
  <si>
    <t>darkerdays</t>
  </si>
  <si>
    <t>scotland</t>
  </si>
  <si>
    <t>singers</t>
  </si>
  <si>
    <t>sammyk1981</t>
  </si>
  <si>
    <t>1581834763639428395_213509898</t>
  </si>
  <si>
    <t>It's ok to fail as long as you learn from it 😊👌🏻 #getupandtryagain #yougotthis #learnfromyourmistakes #provethemwrong #characterbuilding #moveforward #pickyourselfup #ifatfirstyoudontsucceedtrytryagain #positivethinking #positivevibes #positivity #fillyourmindwithpositivity #learnfromyourmistakes #keepongoing #keeponkeepingon #dontgiveup #successfulwomen #sucess #workhard #workharder #nolimits</t>
  </si>
  <si>
    <t>successfulwomen</t>
  </si>
  <si>
    <t>provethemwrong</t>
  </si>
  <si>
    <t>characterbuilding</t>
  </si>
  <si>
    <t>annieblayo</t>
  </si>
  <si>
    <t>1581836213969568258_4118344280</t>
  </si>
  <si>
    <t>#motivation #motivationalquote #martinlutherking #quote #citation #keepongoing #fightforit #strength #courage</t>
  </si>
  <si>
    <t>martinlutherking</t>
  </si>
  <si>
    <t>citation</t>
  </si>
  <si>
    <t>mayer_petra</t>
  </si>
  <si>
    <t>1581836854290065418_2007150062</t>
  </si>
  <si>
    <t>Sonnenaufgang 😍 oder so ähnlich😅 wünsch euch einen schönen Feiertag 😘 #wandern #sunshine #dürnstein #vogelbergsteig #danube #keepongoing #greatview #enjoyit</t>
  </si>
  <si>
    <t>Dürnstein</t>
  </si>
  <si>
    <t>greatview</t>
  </si>
  <si>
    <t>danube</t>
  </si>
  <si>
    <t>wandern</t>
  </si>
  <si>
    <t>vogelbergsteig</t>
  </si>
  <si>
    <t>1581838505746967847_185195397</t>
  </si>
  <si>
    <t>Your destiny is JOY_embrace it! BREATHE. 🙌❤️ Happy Tuesday!
.
.
.
#choosejoy #chooselove #breathwork #breatheinbreatheout #meditatedaily #bepresent #amazingsunrise #runhappy #rundaily #clarity #cakidiehl #highvibes #highenergy #positivemindset #kindnessmatters #compassionmatters #persevere #keepongoing #youareloved #youareenough #youareworthit #youareworthit #worththeeffort #joyfullife #beyou #selfinquiry #abundantlife #mindfullness #gratefulheart #appreciatelife</t>
  </si>
  <si>
    <t>breathwork</t>
  </si>
  <si>
    <t>rundaily</t>
  </si>
  <si>
    <t>1581849116646949653_5801959162</t>
  </si>
  <si>
    <t>💎 This is not a dream it is a goal!😍 Do you agree? 😃 Comment below! ✏️ Feel free to use and share this! Thank you @house.of.leaders for being amazing post</t>
  </si>
  <si>
    <t>mariangarciaaller</t>
  </si>
  <si>
    <t>1581852572880064679_473629673</t>
  </si>
  <si>
    <t>Keep on going....🐾🔛🐾 #keepongoing #pushyourself  #nobodyisgoingtodoitforyou #onlyfailwhenyoustoptrying 👍👉🔛🔛</t>
  </si>
  <si>
    <t>nobodyisgoingtodoitforyou</t>
  </si>
  <si>
    <t>onlyfailwhenyoustoptrying</t>
  </si>
  <si>
    <t>stuffy_aka_steff</t>
  </si>
  <si>
    <t>1581854937965206993_478012470</t>
  </si>
  <si>
    <t>Cardio done 💪🏻 now time to relax #sun #sunsout #dayoff #friends #relaxing #chilling #friendstime #love #gymdays #cardio #keepongoing #fitfam #instafam #instafit #healthy #mylife #mystory #myworld #😘</t>
  </si>
  <si>
    <t>dayoff</t>
  </si>
  <si>
    <t>crossfit_boxtel</t>
  </si>
  <si>
    <t>1581857148252977699_3255175850</t>
  </si>
  <si>
    <t>#boxtelthrowdown #rest #crossfit #practicemakesperfect #roguefitness #proudcoach #motivation #havingfun #crossfitcommunity #crossfitter #crossfitbox #lifting #keepongoing #sandbag #athletes #orangefit #crossfitboxtel #2017 @keunefotografie</t>
  </si>
  <si>
    <t>practicemakesperfect</t>
  </si>
  <si>
    <t>rest</t>
  </si>
  <si>
    <t>crossfitcommunity</t>
  </si>
  <si>
    <t>proudcoach</t>
  </si>
  <si>
    <t>orangefit</t>
  </si>
  <si>
    <t>alexiagarcia23</t>
  </si>
  <si>
    <t>1581861286302878146_16545532</t>
  </si>
  <si>
    <t>T r a v e l  M o d e 🔛 #airport #waitingtime #coffee #travel #work #barcelona #instabest #instagood #instamood #instagood #instatravel #pic #picoftheday #photooftheday #coffeelover #worldsbk #moments #summer #keepongoing #keepitsimple</t>
  </si>
  <si>
    <t>Barcelona Airport - Terminal 2</t>
  </si>
  <si>
    <t>waitingtime</t>
  </si>
  <si>
    <t>worldsbk</t>
  </si>
  <si>
    <t>jj3450</t>
  </si>
  <si>
    <t>1581864893907358136_286065896</t>
  </si>
  <si>
    <t>Love this quote. Having been told I need knee surgery almost all exercise was out the window. Eating plan had gone along with my motivation and general attitude. Having stopped feeling sorry for myself I'm now five weeks into training five days a week and back to my weight before injury. Just needed a kick up the arse. #gymlife #fitfam #fitness #injury #mind #positivity #diet #goals #exercise #quotes #keepongoing #instafitness #instafit #doyoueven #progress #results #winning</t>
  </si>
  <si>
    <t>doyoueven</t>
  </si>
  <si>
    <t>1581870191096563031_2317517565</t>
  </si>
  <si>
    <t>Leger med Kettlebell Snatch Lunge inspireret af @iamathleticwarrior 😉. Fed fed øvelser, som stiller store krav til koordination og balance for mit vedkommende. Rammer hele kroppen på en gang. 🏋🏼‍♀️🏋🏼‍♀️🏆
Giv den en chance, hvis du er til lidt mere komplekse øvelse og ved hvad du laver med vægte😉
•••
#mortentillitzdk  #whatwouldbeyoncedo #toldyouso #tropådet #personligtræner #personaltrainer #cycling #Cykling #styrketræning #løb #Svømning #Swim #running #stronger #personligtræner #mitodense #fitfam #ﬁtfamdk #actionequalsresults #handlingskabersucces #helkropstræning #fullbody #SunRiceClubbyMortenTillitzDK #mentalpause #blivved #keepongoing #styrketræning #painfree #smertefri #søvn #sleep #mitodense</t>
  </si>
  <si>
    <t>cykling</t>
  </si>
  <si>
    <t>whatwouldbeyoncedo</t>
  </si>
  <si>
    <t>73clara</t>
  </si>
  <si>
    <t>1581879548461877138_854956763</t>
  </si>
  <si>
    <t>Some people believe that holding on and hanging on there are signs of strenght. However, there are times in life in which it takes much more strenght to just let go.
#truestory #storyofmylife #letgo #justletitgo #decisions #lifeischallenging #lifechange #keepongoing #keepcalm #changes #cambios #lifecanbehard #staytruetoyourself #selflove #justanewchapter #chapteroflife #densternensonah #himmel #sky #bluesky #loveyourlife #makeyourlifebetter</t>
  </si>
  <si>
    <t>lifechange</t>
  </si>
  <si>
    <t>decisions</t>
  </si>
  <si>
    <t>cambios</t>
  </si>
  <si>
    <t>anasunde</t>
  </si>
  <si>
    <t>1581884606383080342_761803284</t>
  </si>
  <si>
    <t>"Do not pray for an easy life,pray for the strength to endure a difficult one". 💪 3 år 🎉#cancersurvivor  #breastcancer  #fuckcancer #keepongoing 🥇</t>
  </si>
  <si>
    <t>cancersurvivor</t>
  </si>
  <si>
    <t>breastcancer</t>
  </si>
  <si>
    <t>fuckcancer</t>
  </si>
  <si>
    <t>mik3bruce</t>
  </si>
  <si>
    <t>1581884715727989559_2130767288</t>
  </si>
  <si>
    <t>1 down 4 to go before the week-end 👊🏻✊🏻🤣. #1down4up #keepongoing #xs650 #coffeebreak  #yamaha #weekendvibes</t>
  </si>
  <si>
    <t>weekendvibes</t>
  </si>
  <si>
    <t>coffeebreak</t>
  </si>
  <si>
    <t>xs650</t>
  </si>
  <si>
    <t>yamaha</t>
  </si>
  <si>
    <t>1581895005906577212_5620542121</t>
  </si>
  <si>
    <t>60 minutes back workout. Sweat as fuak but happy. Now lunch, relax and after that off to work
#gym #gymlove #backworkout #loveit #focusonyourgoals #stayhungry #workonit #nopainnogain #training #trytogetbig #gymaddict #workout #allforthegainz #keepongoing</t>
  </si>
  <si>
    <t>Just Fit</t>
  </si>
  <si>
    <t>loveit</t>
  </si>
  <si>
    <t>workonit</t>
  </si>
  <si>
    <t>stayhungry</t>
  </si>
  <si>
    <t>rachel_sedor</t>
  </si>
  <si>
    <t>1581895140134333126_1467295331</t>
  </si>
  <si>
    <t>Monday's training session turned out to be legs!! Snap of a satisfied face! Killed 'em !! --------------------------------------------Training solo is not easy.  I get in the way of myself sometimes.  BUT I can push past the 'I CAN'Ts' and keep moving forward!  Don't let yourself down peeps.. #staymotivated #keepongoing #trainingsolo #positivevibes #dontquit #traininsane #girlpower #unicorn #motivationmonday #transformationtuesday #trainlikeagirl #wp</t>
  </si>
  <si>
    <t>traininsane</t>
  </si>
  <si>
    <t>wp</t>
  </si>
  <si>
    <t>trainlikeagirl</t>
  </si>
  <si>
    <t>wholefoodcheerleader</t>
  </si>
  <si>
    <t>1581898126754517865_5495249433</t>
  </si>
  <si>
    <t>Never give up, keep going ✌✌</t>
  </si>
  <si>
    <t>bodyunderconstruction</t>
  </si>
  <si>
    <t>haci.gym</t>
  </si>
  <si>
    <t>1581898644917896102_5750066467</t>
  </si>
  <si>
    <t>just do it 🤙🏼😤
#motivation #keepongoing #workhardplayhard #get #pumped #gym#bodybuilding #zyzzbrah #zyzzmotivation #fitbody</t>
  </si>
  <si>
    <t>zyzzmotivation</t>
  </si>
  <si>
    <t>zyzzbrah</t>
  </si>
  <si>
    <t>thepete84</t>
  </si>
  <si>
    <t>1581908775403950445_1779403868</t>
  </si>
  <si>
    <t>InBody 770 Fitnesstest 💪🏼
loss 2,1 percent bodyfat 
loss 2,9kg at all
#fitfam #inbody770 #success #keepongoing #proudaboutit</t>
  </si>
  <si>
    <t>Aktivita Rain  -  Wellness, Gesundheit, Beauty</t>
  </si>
  <si>
    <t>inbody770</t>
  </si>
  <si>
    <t>proudaboutit</t>
  </si>
  <si>
    <t>1581909283392618265_2164432158</t>
  </si>
  <si>
    <t>Balabac, Philippines
Photo by @jaypeeswing
Tag your friends 😍
.
.
.
.
.
.
.
.
#inspiredaily #leaveyourlegacy #leavers #traintravel #keepittight #journeytohealth #destinationearth #yogaposes #cocoatravelersintl #vacationlife #choosejoy #travelbook #passionpassport #ilovetravelling #traveltogether #earthpix #traveltrailer #travelwell #vacationland #keepongoing #worktravel #paradisetour #crystalclearwater #awesome_hotel #beachready</t>
  </si>
  <si>
    <t>awesome_hotel</t>
  </si>
  <si>
    <t>travelbook</t>
  </si>
  <si>
    <t>vacationlife</t>
  </si>
  <si>
    <t>worktravel</t>
  </si>
  <si>
    <t>keepittight</t>
  </si>
  <si>
    <t>sharleen_96</t>
  </si>
  <si>
    <t>1581918337738632662_193000121</t>
  </si>
  <si>
    <t>Tommorow is a new day😔🤷‍♀️ #beresilient #keepongoing #newdaynewstart</t>
  </si>
  <si>
    <t>beresilient</t>
  </si>
  <si>
    <t>newdaynewstart</t>
  </si>
  <si>
    <t>1581918544828269216_3156182942</t>
  </si>
  <si>
    <t>One step closer to being a mermaid and having my outside match my inside 🐚🐬 This stuff is sneaky too - it looks either blue-black or hella teal. Nothing like a little change to make you feel aliiiiive ✨ #shotstoshakes</t>
  </si>
  <si>
    <t>militaryspouselife</t>
  </si>
  <si>
    <t>workworkwork</t>
  </si>
  <si>
    <t>sobergirlsrock</t>
  </si>
  <si>
    <t>christstrengthensme</t>
  </si>
  <si>
    <t>richyjayjay</t>
  </si>
  <si>
    <t>1581918555086493967_2065144435</t>
  </si>
  <si>
    <t>40m deep in the Great Blue Hole and happy to see that the reef shark got the memo on the the dramatic composition we were going for here 👍🏼
#bluehole #gopro</t>
  </si>
  <si>
    <t>Great Blue Hole</t>
  </si>
  <si>
    <t>travelstoke</t>
  </si>
  <si>
    <t>visualsoflife</t>
  </si>
  <si>
    <t>paradisecoast</t>
  </si>
  <si>
    <t>getoutstayout</t>
  </si>
  <si>
    <t>1581927203531214766_279512262</t>
  </si>
  <si>
    <t>День новых пижам и случайных встреч)
.
#coffeeplace #livethedream #matcha #picoftheday #keepcalm #livelife #livethedream #liveauthentic #livealittle #daily #abmlife #authentic #abmhappylife #green #gogreen #keepongoing #livethelittlethings #summer #seemymoscow</t>
  </si>
  <si>
    <t>coffeeplace</t>
  </si>
  <si>
    <t>renspace_</t>
  </si>
  <si>
    <t>1581933610943894714_638809275</t>
  </si>
  <si>
    <t>a beautiful hand  #more #keepongoing #yuyouhan #chinesecontemporaryart #chinesecontemporaryartist #renspace_</t>
  </si>
  <si>
    <t>chinesecontemporaryartist</t>
  </si>
  <si>
    <t>yuyouhan</t>
  </si>
  <si>
    <t>more</t>
  </si>
  <si>
    <t>djstanb</t>
  </si>
  <si>
    <t>1581934010165198674_30963588</t>
  </si>
  <si>
    <t>Anything worth achieving will always have obstacles in the way and you've got to have that drive and determination to overcome those obstacles on route to whatever it is that you want to accomplish .
 #workhardplayhard #goals #mindset #keepongoing #fitness #dedication #motivation #dontgiveup</t>
  </si>
  <si>
    <t>1581938434041028403_1684424176</t>
  </si>
  <si>
    <t>@millionaireimage 
___________________________ 
#millionaireimage #doitforyourself #betterme #beyourown #keeponkeepingon #workforwhatyouwant  #marketingmoment #marketingsolutions #encourageyourself #bethechangeyouwanttosee #youvegotthis #oilfieldlife #millionairequotes #inspirationalthoughts #positivepeople #americanbusiness #quoteme  #strategize #seemslegit #youdoyou #inspirationalpost #businessownership #businessisbusiness #keepongoing #selfconfidence #bewhoyouare #bewhatyouwanttobe #socialinfluencers #socialize</t>
  </si>
  <si>
    <t>locationthisisit</t>
  </si>
  <si>
    <t>1581939073992290535_5821018387</t>
  </si>
  <si>
    <t>Remember the promises yo made to yourself ... Repost #bossladiesmindset #promise #keepongoing #yeswecan</t>
  </si>
  <si>
    <t>bossladiesmindset</t>
  </si>
  <si>
    <t>promise</t>
  </si>
  <si>
    <t>yeswecan</t>
  </si>
  <si>
    <t>1581940221812679858_396521172</t>
  </si>
  <si>
    <t>Soft night. Amsterdam, Netherlands. Photo by @cresti_s
.
.
.
.
.
.
.
.
#travelingmodel #travelnevda #travelessentials #keeppraying #keepongoing #lifesabeach #mytravelgram #onmygrind #earthy #travelphotography #energyflow #paradise🌴 #cloudporn #skyporn #instatravels #travellingourplanet #foodandtravel #travelbook #spiritualquotes #beachvibes #awesome_naturepix #beachlovers #choosejoy #journeys #traveligram</t>
  </si>
  <si>
    <t>journeys</t>
  </si>
  <si>
    <t>travelnevda</t>
  </si>
  <si>
    <t>paradise🌴</t>
  </si>
  <si>
    <t>choosejoy</t>
  </si>
  <si>
    <t>tammigaw</t>
  </si>
  <si>
    <t>1581940772146764701_1078309976</t>
  </si>
  <si>
    <t>#TravelTuesday •••
#Repost @untilifindhome (@get_repost)
・・・
Soft night. Amsterdam, Netherlands. Photo by @cresti_s
.
.
.
.
.
.
.
.
#travelingmodel #travelnevda #travelessentials #keeppraying #keepongoing #lifesabeach #mytravelgram #onmygrind #earthy #travelphotography #energyflow #paradise🌴 #cloudporn #skyporn #instatravels #travellingourplanet #foodandtravel #travelbook #spiritualquotes #beachvibes #awesome_naturepix #beachlovers #choosejoy #journeys #traveligram</t>
  </si>
  <si>
    <t>r_onja_</t>
  </si>
  <si>
    <t>1581942391091077421_1769765280</t>
  </si>
  <si>
    <t>"You wake up every morning to fight the same demons that left you so tired the night before, and that is bravery." #dontgiveup #keepongoing #daybydaystronger #positivethinking</t>
  </si>
  <si>
    <t>positivethinking</t>
  </si>
  <si>
    <t>daybydaystronger</t>
  </si>
  <si>
    <t>saiesha</t>
  </si>
  <si>
    <t>1581950470828801403_22697711</t>
  </si>
  <si>
    <t>I can...and I will...
.
.
.
.
.
.
.
.
.
.
.
.
.
.
.
.
.
.
.
.
.
.
.
.
#workinprogress #workingout #healthyliving #weightloss #staymotivated #boxing #lululemon #victoriasecret #keepongoing #supertanned</t>
  </si>
  <si>
    <t>victoriasecret</t>
  </si>
  <si>
    <t>workingout</t>
  </si>
  <si>
    <t>womenwhosettleformore</t>
  </si>
  <si>
    <t>1581950667910726239_216089260</t>
  </si>
  <si>
    <t>The world is such a better place because of YOU!
.
.
#divineorder #empoweringwomen #goals #growth #happy #inspiration #jamaicanlifecoach #lifecoach #lovemyjob #mindset #morethanenough #nofear #nicolewright #purpose #success #survivor #universe #nevertoolatetostartover #nevertoolatetobegin #standuptocancer #nevergiveup #keepongoing #believeinyourself #happy #lovemylife  #anthropologie #naturalhair #jamaicanlifecoach #hergivenhair</t>
  </si>
  <si>
    <t>standuptocancer</t>
  </si>
  <si>
    <t>growth</t>
  </si>
  <si>
    <t>deneshsooriamoorthy</t>
  </si>
  <si>
    <t>1581955781555828924_242815725</t>
  </si>
  <si>
    <t>Don't allow the world to define your greatness, for most of the world is blind #staystrong #keepongoing</t>
  </si>
  <si>
    <t>University of Nottingham Malaysia Campus (Official)</t>
  </si>
  <si>
    <t>sileaalmondo</t>
  </si>
  <si>
    <t>1581955969309972343_2948851283</t>
  </si>
  <si>
    <t>#myArt♢
#myart #mystyle #inspired #creativity #creativevibes #creativesoul #letsflow #keepongoing #afternoonwork #mood #whatisart #wheredoesitend #neverending #beopen #passionate #dream #letflow</t>
  </si>
  <si>
    <t>afternoonwork</t>
  </si>
  <si>
    <t>letsflow</t>
  </si>
  <si>
    <t>creativesoul</t>
  </si>
  <si>
    <t>passionate</t>
  </si>
  <si>
    <t>1581956972252838166_1562021213</t>
  </si>
  <si>
    <t>Keep on going!!!! #yesyoucan #selfrespect #loveyourlife #loveyourbody #instaquotes #loosingweight #keepongoing #keepstrong #healthychoices #healthylife #healthyhabits #quitsmoke #dontsmoke #drinkwater #runner #fitness #fitnessaddict #blessed ssed</t>
  </si>
  <si>
    <t>healthyhabits</t>
  </si>
  <si>
    <t>loveyourbody</t>
  </si>
  <si>
    <t>keepstrong</t>
  </si>
  <si>
    <t>angeldanaehicks</t>
  </si>
  <si>
    <t>1581958716798602949_46394150</t>
  </si>
  <si>
    <t>These two photos are exactly ONE YEAR and 35 pounds apart! 
I completely forgot the left photo was even taken! I'm wearing the same shirt in both (just different colors) 
I weighed the exact same amount in the left photo as I did the day I started changing my health around in February of this year! 
I haven't had a good transformation photo until now. I have a ways to go, but seeing this makes me so excited for my next transformation picture!
This has been a long and hard process but it's awesome to see how far I've come!
Here's to the future and the next 35 pounds I'm going to demolish! 👊🏼💪🏼🙌🏼❤️</t>
  </si>
  <si>
    <t>transformationtuesday</t>
  </si>
  <si>
    <t>poundsshed</t>
  </si>
  <si>
    <t>illgetthere</t>
  </si>
  <si>
    <t>herestomynextchapter</t>
  </si>
  <si>
    <t>erribelle</t>
  </si>
  <si>
    <t>1581959337060811585_5878056</t>
  </si>
  <si>
    <t>I may not be there yet, but I'm closer than I was yesterday. ✌🏼🍃
.
.
.
.
#TrailTuesday #TrailWisdom #GirlsWhoHike #HikeOn #KeepItMoving #GetOutside #StayWild #Wander #Hiking #Trails #WildAndFree #MtMonadnock #NHHiking #Perseverance #ForceOfNature #HikeLife #OptOutside #KeepOnGoing #603Hiking #HikeNH #GirlsWhoHikeLA</t>
  </si>
  <si>
    <t>Mount Monadnock</t>
  </si>
  <si>
    <t>trails</t>
  </si>
  <si>
    <t>hikelife</t>
  </si>
  <si>
    <t>nhhiking</t>
  </si>
  <si>
    <t>hikeon</t>
  </si>
  <si>
    <t>1581959729276631793_5801959162</t>
  </si>
  <si>
    <t>💎 This is not a dream it is a goal!😍 Do you agree? 😃 Comment below! ✏️ Feel free to use and share this! Thank you @masterluxuryclass for a amazing post</t>
  </si>
  <si>
    <t>1581964994689856934_1611690820</t>
  </si>
  <si>
    <t>Info on how to create a product that will succeed!
I will share this later next week!
#product #work #3dskrivare
#productive #productdesign #creative #savetime #3dutskrift #entrepreneur #productivity #working #3dprinting  #hustler  #dream #skapa #workspace #create #keepongoing #dreams #inspiration #inspiringpeople #sverige #graphicdesign #art #design #designer #artist #3dprint #prototype #workshop</t>
  </si>
  <si>
    <t>skapa</t>
  </si>
  <si>
    <t>1581966269253516833_5705167414</t>
  </si>
  <si>
    <t>Dance on 'em #Dubnation
-
-
-
-
-
-
-
-
-
-
-
-
-
-
-
-
-
-
-
-
-
-
-
-
-
-
-
-
-
-
-
-
-
-
-
-
-
-
-
-
 #StephGonnaSteph #Mvp #SC30 #KT11 #DG23 #CURRYMVP #KEEPONGOING #NEVERGIVEUP #WCF #WEST #WESTERNCONFERENCEFINALS #CHAMPS #DUBSFORCHAMPS #DUBS #ALWAYSBELIEVEINGOD #STEPHENCURRY #EVEN #NBA #2016CHAMPS #CHAMPIONS #LOCKIN #STEPH #SPLASH #SPLASHBROS  #like4like #like4follow #follow4follow</t>
  </si>
  <si>
    <t>splashbros</t>
  </si>
  <si>
    <t>edgar_mr.phenomenal</t>
  </si>
  <si>
    <t>1581969048585310826_524327062</t>
  </si>
  <si>
    <t>Gotta keep On Keeping On..</t>
  </si>
  <si>
    <t>consciousness</t>
  </si>
  <si>
    <t>meditation</t>
  </si>
  <si>
    <t>inspir</t>
  </si>
  <si>
    <t>healed_healthy_whole</t>
  </si>
  <si>
    <t>1581977180886740058_14880370</t>
  </si>
  <si>
    <t>Keep going even when you think you can't🐛...🦋</t>
  </si>
  <si>
    <t>journeytomyhighestself</t>
  </si>
  <si>
    <t>mindbodyspirit</t>
  </si>
  <si>
    <t>transformation</t>
  </si>
  <si>
    <t>nomudnolotus</t>
  </si>
  <si>
    <t>healedhealthywhole</t>
  </si>
  <si>
    <t>1581982003691279844_40619315</t>
  </si>
  <si>
    <t>So, jetzt habe ich mich doch gegen die Laufschuhe und für das Fahrrad entschieden 🚴🏼‍♀️
Ab zur Isar, an den Flaucher, zu Freunden und Rockmusik 🤘🏼🎶 und wurde mit einem leckeren Ottakringer Radler begrüßt 🍺☀️
#solässtessichleben #feiertag #flaucher #isar #einradlerfürdieradlerin #isarauen #relax .
HIN: 15,5 km in gemütlichen 51 min
.
#keepongoing #nevergiveup #natur #naturliebe #radfahren #radfahrenmachtglücklich #happiness #münchen #abnehmen2017 #weightlossjourney #radelnfürdieseele #sommertag #fitfam #runtastic #runtasticpro #runtasticgirl #fürmehrrealitätaufinstagram #radler</t>
  </si>
  <si>
    <t>Flaucher</t>
  </si>
  <si>
    <t>radfahrenmachtglücklich</t>
  </si>
  <si>
    <t>solässtessichleben</t>
  </si>
  <si>
    <t>sd_7.3</t>
  </si>
  <si>
    <t>1581984257895553796_1941467742</t>
  </si>
  <si>
    <t>Pain is temporary. Quitting lasts forever. Never quit 👊</t>
  </si>
  <si>
    <t>beard</t>
  </si>
  <si>
    <t>1581984822119975606_4773778225</t>
  </si>
  <si>
    <t>Taking pictures of flowers is my true passion. Every flower is so unique, every stem looks different, and every petal creates a beautiful masterpiece. #worldtravelbook #flashesofdelight #art #lake #rainbow #goodafternoonpost #keeponkeepingon #keepongoing #motivation #motivationeveryday #sunset #flowers #architecturephotography #architecture #tagsforlikes #bluesky #likesforlikes #follow #almosttheweekend #smile #happy #morningmotivation #flower #behappy #grateful</t>
  </si>
  <si>
    <t>Toronto, Ontario</t>
  </si>
  <si>
    <t>kaylataylordesigns</t>
  </si>
  <si>
    <t>1581984929829526757_1940620493</t>
  </si>
  <si>
    <t>Just needed a little extra inspiration today. Maybe some of you do, too. ✨Go for it! #kaylataylordesigns #goforit #dreambig #inspiration #keepongoing</t>
  </si>
  <si>
    <t>marinasawa</t>
  </si>
  <si>
    <t>1581990441809037137_7555168</t>
  </si>
  <si>
    <t>Legs and booty etc...Not a problem😉..Gaining muscles in my upperbody...gaah..#thatsachallenge#donknowwhy#keepongoing 🤔</t>
  </si>
  <si>
    <t>Eurogym Haparanda</t>
  </si>
  <si>
    <t>thatsachallenge</t>
  </si>
  <si>
    <t>donknowwhy</t>
  </si>
  <si>
    <t>jessicas_dreams</t>
  </si>
  <si>
    <t>1582012236418575367_18151864</t>
  </si>
  <si>
    <t>I'm a diamond dear, you can't break me 💎 #keepongoing #happy #positivevibes #sassy #love #wfayo</t>
  </si>
  <si>
    <t>sassy</t>
  </si>
  <si>
    <t>wfayo</t>
  </si>
  <si>
    <t>happier_by_vera</t>
  </si>
  <si>
    <t>1582013061957873207_5544154451</t>
  </si>
  <si>
    <t>Už tam skoro jsem!! Head stand!! Love for yoga!</t>
  </si>
  <si>
    <t>Brumov (Brumov-Bylnice)</t>
  </si>
  <si>
    <t>stestitadyated</t>
  </si>
  <si>
    <t>happierbyverasvach</t>
  </si>
  <si>
    <t>mindfulness</t>
  </si>
  <si>
    <t>stastnenavyky</t>
  </si>
  <si>
    <t>léto</t>
  </si>
  <si>
    <t>nadinenielsen</t>
  </si>
  <si>
    <t>1582013501362026513_202349433</t>
  </si>
  <si>
    <t>Jeg faldt i angående kostplanen, og ja det er skide træls 😒
Men når det så er sagt så kan det sku ikke være meget mere menneskeligt at fejle, vi gør det hele tiden😌. Her er det bare at komme op på hesten igen og tag den forfra💪🏼🙃
Ligemeget hvormange gange jeg skal op og ned af den hest skal jeg nok nå mit mål😆💪🏼
Jeg har lært at sige okay, jeg forsøger bedre imorgen. 
#fitnessgirl #fitnesslife #like4like #helthylifestyle #loveit #upanddowns #keepongoing #youcanmakeit #dowhatyoulove</t>
  </si>
  <si>
    <t>helthylifestyle</t>
  </si>
  <si>
    <t>fitnessgirl</t>
  </si>
  <si>
    <t>upanddowns</t>
  </si>
  <si>
    <t>illinoiscounseling</t>
  </si>
  <si>
    <t>1582014789323164728_3628886642</t>
  </si>
  <si>
    <t>PLOT TWIST! #PlotTwist #MoveOn #KeepOnGoing #BrushItOff #UIUC #Illini</t>
  </si>
  <si>
    <t>plottwist</t>
  </si>
  <si>
    <t>brushitoff</t>
  </si>
  <si>
    <t>uiuc</t>
  </si>
  <si>
    <t>1582020776876555433_4249248273</t>
  </si>
  <si>
    <t>#throwback #throwbacktuesday @thecastleclimbingcentre #climbwalls my first ever sit start boulder. This was a huge milestone in my climbing journey. I'm scared of bouldering and sit starts so this was a biggie. Still makes me smile. #milestone #amputee #ehlersdanlossyndrome #believeinyourself #cancersurvivor #dontgiveup #determination #bouldering #climber #climbing_is_my_passion #training #thisgirlcan #thisgirlcanclimb @thisgirlcanclimbing #hijab #muslim #journey #goals #growth #project #progress #noboundaries #faceyourfears #keepongoing #latergram #lookingback #yesican #yay</t>
  </si>
  <si>
    <t>hijab</t>
  </si>
  <si>
    <t>muslim</t>
  </si>
  <si>
    <t>climber</t>
  </si>
  <si>
    <t>ciaralyons23</t>
  </si>
  <si>
    <t>1582021780968323038_1223610161</t>
  </si>
  <si>
    <t>Chill 📸 @georgecbowers 
Look him up for future shoots!
#actress#britishactress#lookingforwork #photography#westsussex#countrygirl#work#keepongoing#gogetwhatyouwant#dontstop 🇬🇧</t>
  </si>
  <si>
    <t>countrygirl</t>
  </si>
  <si>
    <t>westsussex</t>
  </si>
  <si>
    <t>actress</t>
  </si>
  <si>
    <t>1582021858420496650_15887082</t>
  </si>
  <si>
    <t>Rock'N'roll in Hamburg 🚴🏼‍♀️ #ironman #upcoming #mulitisport #tri365 #lovemylife #fitness #ironmanbarcelona2017 #outofcomfortzone #trilabdk #triathlon #triatlete #invisibleguns #worldoffusion #IMHamburg #keepongoing #purepowerdk #smileplease #swimbikerun</t>
  </si>
  <si>
    <t>ironmanbarcelona2017</t>
  </si>
  <si>
    <t>jessiheals</t>
  </si>
  <si>
    <t>1582022730400125706_5710535841</t>
  </si>
  <si>
    <t>Incorporating new ingredients in my morning green juice . Trying new combinations ❤ Benefits from Aloe Vera:  contains small amounts of calcium, copper, chromium, sodium, selenium, magnesium, potassium, manganese, zinc.  It's great for clearing out skin. Aloe Vera contains enzymes that helps our digestion system.  Its also helps with hydration, liver function, constipation, and heartburn relief. *********************Benefits from Strawberries:  Boosts immune system, reduces risk of eye related aliments, helps maintain normal blood pressure, lowers risk of arthritis, gout and cancer. Helps regulate proper functioning of nervous system. Prevents heart disease and reduces cholesterol. Reduces inflammation,  promotes weight loss. Strawberries has high levels of folic acid, rich in antioxidants,  Vitamin C, B, Potassium, Magnesium, Iodine.  #jessiheals #jessihealsgreenjuice #keepongoing #keeponjuicing #detox #greenjuice #strawberrys  #aloevera  #healthygut #healhtylifestyle #strongimmunesystem</t>
  </si>
  <si>
    <t>jessihealsgreenjuice</t>
  </si>
  <si>
    <t>detox</t>
  </si>
  <si>
    <t>healthygut</t>
  </si>
  <si>
    <t>keeponjuicing</t>
  </si>
  <si>
    <t>marlitness</t>
  </si>
  <si>
    <t>1582022997559013101_3037838977</t>
  </si>
  <si>
    <t>Things are going weeeheellll!! Van 1 keer squatten en door je hoeven zakken naar 4 x 15 met 20kg. Ik ben best trots en begin echt (fitgirl taal) 'progressie' te zien in mijn benen en billen 🍑. Nog 4 x 15 hipthrusters gevolgd door de oefeningen in dit filmpje en mijn workout zat er weer op voor vandaag 💪🏽 #voorgoudgaan #girlswhosquat #fit #fitnessmotivation #gym #workout #fitgirl #muscles #progress #keepongoing #motivation #fitdutchies #fitnation #fitstagram #booty #billen #squats</t>
  </si>
  <si>
    <t>billen</t>
  </si>
  <si>
    <t>fitstagram</t>
  </si>
  <si>
    <t>1582023511043812015_244228468</t>
  </si>
  <si>
    <t>Thats a view! 😍 Thank you @motivationbyeli 💎</t>
  </si>
  <si>
    <t>breakthrough</t>
  </si>
  <si>
    <t>personaldevelopmentcoach</t>
  </si>
  <si>
    <t>naumann.matthias</t>
  </si>
  <si>
    <t>1582025148155053241_1380342216</t>
  </si>
  <si>
    <t>💪</t>
  </si>
  <si>
    <t>katslifehealth</t>
  </si>
  <si>
    <t>1582026169778618602_5578328481</t>
  </si>
  <si>
    <t>#transformationtuesday if you see my pics I have posted of before&amp;after you will noticed that  i didnt like to show off my arms, Id always wear a cardigan on top, or long sleeves shirts. Now I feel that I  have the confidence I was lacking amd Im ok going out on short sleeves shirts without a problem ☺☺ small little changes 😁😁 #transformationtuesday #weightlossgoals #weightlosstransformation #weightloss #weightlossjourney #myweightlossjourney #gettingfit #fitnesslife #fitness #fitnessfam #fitnessgoals #healthychoices #healthygoals #healthylife #healthylufestyle #wellnessmatters #keepongoing #dontgiveup #dontquit #onedayatatime #onepoundatatime  #nonscalevictories</t>
  </si>
  <si>
    <t>nonscalevictories</t>
  </si>
  <si>
    <t>weightlosstransformation</t>
  </si>
  <si>
    <t>healthylufestyle</t>
  </si>
  <si>
    <t>reinassprankeltjehoop</t>
  </si>
  <si>
    <t>1582026288260294988_5835077791</t>
  </si>
  <si>
    <t>Blijf altijd vrager stellen in plaats van antwoorden zoeken. De antwoorden komen van zelf wel op je af. -
-
-
-
-
-
-
-
-
-
-
#nofair#keepongoing#sorrybutnosorry#groningen#blogger#bloglife#reinassprankeltjehoop#hope#reina#brownandbeautiful#denim#dermatomyositis#itis#derma#disease#artrosis#onzichtbareziekte#insta#love#strongwoman#dutch#art#painting#artitis#artist#autoimmuneillness#illness#lookingforadvice#prednisone</t>
  </si>
  <si>
    <t>dutch</t>
  </si>
  <si>
    <t>onzichtbareziekte</t>
  </si>
  <si>
    <t>artrosis</t>
  </si>
  <si>
    <t>brownandbeautiful</t>
  </si>
  <si>
    <t>1582026322502737223_203325600</t>
  </si>
  <si>
    <t>Normaal stond er vandaag een bosloop op het programma in Ieper. Helaas dacht het weer daar anders over 🌩 Dan maar een namiddagloop op de baan ✌🏃 #Running #Asics #InstaRun #InstaRunner #Runstagram #Healthy #ClearMind #ClearBody #EmptyMind #Tattoo #TheGreatEscapeShirt #Fluo #Headphones #Wireless #WirelessHeadphone #Cap #11K #Stampycer #RoadRunner #Training #Diksmuide #Strava #stravarunner #KeepOnGoing #Moving #FitLife #Therapy #RunTherapy #SportersBelevenMeer #DiksmuideMoves</t>
  </si>
  <si>
    <t>instarun</t>
  </si>
  <si>
    <t>wireless</t>
  </si>
  <si>
    <t>wirelessheadphone</t>
  </si>
  <si>
    <t>11k</t>
  </si>
  <si>
    <t>diksmuide</t>
  </si>
  <si>
    <t>_itsjustjojo</t>
  </si>
  <si>
    <t>1582030391866707800_1277823132</t>
  </si>
  <si>
    <t>Terrific Tuesday 😚💯🎯
#stayhumble #repost #terrifictuesday #faith #hope #keepongoing #nevergiveup #blessed</t>
  </si>
  <si>
    <t>stayhumble</t>
  </si>
  <si>
    <t>1582033008834244534_5801959162</t>
  </si>
  <si>
    <t>💎Do you agree? 🌟Comment below! ✏️ Feel free to use and share this post. ❤️ Thank you @shaazjungphotography for an amazing picture!</t>
  </si>
  <si>
    <t>kodori95</t>
  </si>
  <si>
    <t>1582039225354908579_1700907208</t>
  </si>
  <si>
    <t>#bukitkeluang 
#smile😊 
#loveorhatemeidontcare 
#keepongoing 
#cannotwaitwhatthefutureholds💙</t>
  </si>
  <si>
    <t>loveorhatemeidontcare</t>
  </si>
  <si>
    <t>smile😊</t>
  </si>
  <si>
    <t>cannotwaitwhatthefutureholds💙</t>
  </si>
  <si>
    <t>bukitkeluang</t>
  </si>
  <si>
    <t>1582040538943612957_1293917345</t>
  </si>
  <si>
    <t>ᔕYGᗪOᗰ 🤢
Hvorfor rammer sygdom altid, når man er mest presset? 🙄
Startede med opkast hos AA og dernæst til mor her 🤢
Øv for en træls dag, men tror heldigvis alle mand er på benene igen imorgen💪🏻
Billedet her er taget i weekenden hos min søde veninde @janeruth 😍
#wildflower #sicknessstayaway #oppåhestenigen #keepstrong #keepongoing #sygdomgåvæk #klarigenimorgen #workworkwork #livetsommor #ærter #ærteplanter #flowers #nature #naturephotography</t>
  </si>
  <si>
    <t>wildflower</t>
  </si>
  <si>
    <t>1582041684567564771_5705167414</t>
  </si>
  <si>
    <t>#6 -  Anthony Davis, in just his 5th season in the NBA, The Brow has already managed to win the All Star game MVP, made it to the All NBA first team and average 28 ppg, 11.2 rpg, and 2.2 bpg. The Brow has so much promise, showing that he can be a really good player even though he is still young, if he can keep this level of play up for 5 years at least, i guarantee you he will win at least 1 MVP, he has the tools and the skills to be the perfect big man, but there is only one problem, he still isn't able to lead the Pelicans to the Finals, but with the addition of Boogie, things might change, Boogie and AD are arguably the best centers in the league, pair them up in 1 team, and they'll dominate the inside area, sure they have lost a few games since Boogie joined, but that's because they haven't developed the right chemistry yet, in this coming season, i can see them at least in the playoffs #Dubnation
-
-
-
-
-
-
-
-
-
-
-
-
-
-
-
-
-
-
-
-
-
-
-
-
-
-
-
-
-
-
-
-
-
-
-
-
-
-
-
-
 #StephGonnaSteph #Mvp #SC30 #KT11 #DG23 #CURRYMVP #KEEPONGOING #NEVERGIVEUP #WCF #WEST #WESTERNCONFERENCEFINALS #CHAMPS #DUBSFORCHAMPS #DUBS #ALWAYSBELIEVEINGOD #STEPHENCURRY #EVEN #NBA #2016CHAMPS #CHAMPIONS #LOCKIN #STEPH #SPLASH #SPLASHBROS  #like4like #like4follow #follow4follow</t>
  </si>
  <si>
    <t>cristinalirola.sweetandsour</t>
  </si>
  <si>
    <t>1582041791892733484_580859030</t>
  </si>
  <si>
    <t>H O T E L 🏪
•
If you walk around Barcelona you would probably find hotels every five minutes. Come on, let's take a look on this one, beautiful colours, surrounded by nature and it's almost like a painting! 
Keep on looking...
•
#barcelona 
#barcelonainspira 
#barcelonagram 
#barcelonicious 
#hotel #corner
#turism 
#wall #wallart #windows 
#colourful #art
#arq #arqlovers #arquitecturephotography #streetphotography #streetstyle 
#wandering #around #traveller #photographer #designer #sommelier #keepongoing #follow</t>
  </si>
  <si>
    <t>Catalonia Eixample Hotel - Barcelona</t>
  </si>
  <si>
    <t>barcelonagram</t>
  </si>
  <si>
    <t>wandering</t>
  </si>
  <si>
    <t>arq</t>
  </si>
  <si>
    <t>andre.knaller</t>
  </si>
  <si>
    <t>1582045717634921812_234364940</t>
  </si>
  <si>
    <t>Nabend 🤗🤗 Feiertag auch genossen? 😎😁 nachdem's zum Mittag B&amp;J's gab, gibt's nun doch noch was gesundes 😊 immerhin war ich noch fleissig trainieren...Kalorien also sinnvoll investiert 😉😎 schönen Abend euch allen 🐛🐛🙌🙌.
.
.
.
.
#dinnertime #healthyfood #delicious #fitnesslifestyle #schmackofatz #caprese #lowfat #mozzarella #abendessen #freshfood #foodporn #tomatomozzarella #leckerschmecker #lecker #abnehmen2017 #gettingfit #keepongoing #fitnessfreak #tastyfood #tomato #foodlove #simplefood #healthyeating #gesundessen #postworkoutmeal #lowcarb #foodies #healthyliving #staymotivated #healthychoices</t>
  </si>
  <si>
    <t>healthyfood</t>
  </si>
  <si>
    <t>delicious</t>
  </si>
  <si>
    <t>dinnertime</t>
  </si>
  <si>
    <t>l_aajsa</t>
  </si>
  <si>
    <t>1582055258837497013_1456976711</t>
  </si>
  <si>
    <t>Köttfärsbiffar med sallad och @njiesverige barbecuesås 👌🏻😍</t>
  </si>
  <si>
    <t>Västerås, Sweden</t>
  </si>
  <si>
    <t>1582059785463792398_279512262</t>
  </si>
  <si>
    <t>Двухэтажная Москва.
Я как будто уже в Смоленске.
.
#livethedream #streetadventure #seemymoscow #moscowcity #moscowlife #lifeex #livy #livealittle #livestory #livefolk #liveauthentic #folk #keepongoing #keepcalm #daily #abmlife #authentic #abmhappylife #abmlifeissweet #abmlifeiscolorful #madrussians #mood #citylife #daily</t>
  </si>
  <si>
    <t>Новокузнецкая улица</t>
  </si>
  <si>
    <t>abmhappylife</t>
  </si>
  <si>
    <t>abmlifeissweet</t>
  </si>
  <si>
    <t>1582060785411070275_279512262</t>
  </si>
  <si>
    <t>Небо как будто приклеено с другой картинки, но оно своё)
Синие и ясное) редко такое вижу😍
.
#livethedream #streetadventure #seemymoscow #summer #summertimesadness #picoftheday #lifeex #livy #livefolk #livestory #liveauthentic #keepcalm #keepongoing #keeponwalking #vsco #vscogood #vscocam #abmlife #authentic #abmcolorcontest #abmcolorcontest</t>
  </si>
  <si>
    <t>1582064301521559342_4589275325</t>
  </si>
  <si>
    <t>The Last 2 Days My Focus/Concentration Is Very Low.But That Dont Stop Me To Do My Exercises.So Always Do Your Best Even When You Cant Reach Your Limits 
#natural #bodybuilding #shrugs #bizepz #relaxandmakegainz #westcoastworkout #Push
#pull #leg #beastmode #dowhatittakes #focused #alpha #power #muscles #keepongoing #motivated #nostress #drinkteaandgrowmuscles #tea #oldschool #oldschoolhiphop #gangstarap #nohipstar #nomainstream #charger #nike #airmax95 #sneakers #keepyourshoesclean</t>
  </si>
  <si>
    <t>natural</t>
  </si>
  <si>
    <t>1582064384108652622_1611690820</t>
  </si>
  <si>
    <t>New slimmer design for the workshop!
#product #work #buissnes
#productive #productdesign #creative #savetime #entrepreneursofinstagram #entrepreneur #productivity #working #hustle  #hustler  #dream #nevergiveup #workspace #create #keepongoing #dreams #inspiration #inspiringpeople #sverige #graphicdesign #art #design #designer #artist #3dprint #sneakers #workshop</t>
  </si>
  <si>
    <t>carlotazee</t>
  </si>
  <si>
    <t>1582069141848797454_279945251</t>
  </si>
  <si>
    <t>Thanks again @glassdoor #glassdoor for quoting me in this solid #careeradvice piece about #notgivingup when you're #rejected for your #dreamjob #dreamcompany, what steps you can take! #tuesdaymorning #tuesdaymotivation #rainydays #motivation #goodreads #goodadvice #careergoals #careercoach #jobinterview #howtogetajob #jobhunter #jobs #jobsearch #donttakenoforananswer #keepyourheadup #keepongoing #success #successful #ambition #getit #youngprofessional #ambitious #experts #iwantitall</t>
  </si>
  <si>
    <t>ambitious</t>
  </si>
  <si>
    <t>jobsearch</t>
  </si>
  <si>
    <t>glassdoor</t>
  </si>
  <si>
    <t>indieson.me</t>
  </si>
  <si>
    <t>1582070393034811212_173689009</t>
  </si>
  <si>
    <t>#keepongoing #bestrong #meaningful</t>
  </si>
  <si>
    <t>meaningful</t>
  </si>
  <si>
    <t>1582076235802424245_1611690820</t>
  </si>
  <si>
    <t>Ddf3d, will be an awesome example on what you can do!
Download it free on thingsverse 
#product #work #buissnes
#productive #productdesign #creative #savetime #entrepreneursofinstagram #entrepreneur #productivity #working #hustle  #hustler  #dream #nevergiveup #workspace #create #keepongoing #dreams #inspiration #inspiringpeople #sverige #graphicdesign #art #design #designer #artist #3dprint #sneakers #workshop</t>
  </si>
  <si>
    <t>1582079819859304960_4773778225</t>
  </si>
  <si>
    <t>When a water droplet looks like a crystal... 💎#worldtravelbook #flashesofdelight #art #lake #rainbow #goodafternoonpost #keeponkeepingon #keepongoing #motivation #motivationeveryday #sunset #flowers #architecturephotography #architecture #tagsforlikes #bluesky #likesforlikes #follow #almosttheweekend #smile #happy #morningmotivation #flower #behappy #grateful</t>
  </si>
  <si>
    <t>tagsforlikes</t>
  </si>
  <si>
    <t>csill123</t>
  </si>
  <si>
    <t>1582080181256859515_773116017</t>
  </si>
  <si>
    <t>👌 #exactly #dailythoughts #life #attitude #keepongoing #believe</t>
  </si>
  <si>
    <t>dailythoughts</t>
  </si>
  <si>
    <t>attitude</t>
  </si>
  <si>
    <t>naszsally</t>
  </si>
  <si>
    <t>1582080196827674259_179389652</t>
  </si>
  <si>
    <t>Sometimes you just have to walk straight and don't look back.. Not that you don't care... Is just to make you a stronger person. Just believe in yourself and InsyaAllah you make it though. 
Night ❤ 
#naszsally🎶 #feelingblessed #queenoftenuk #candydreams #Alhamdulillah #dekatdihati💕 #fallriseshine #chinupladies #keepongoing</t>
  </si>
  <si>
    <t>candydreams</t>
  </si>
  <si>
    <t>dekatdihati💕</t>
  </si>
  <si>
    <t>alhamdulillah</t>
  </si>
  <si>
    <t>chinupladies</t>
  </si>
  <si>
    <t>karma_studio</t>
  </si>
  <si>
    <t>1582081983792760961_442957167</t>
  </si>
  <si>
    <t>This just happened for the first time ever! My leg stayed behind my head without anyone holding it 😲 I have been working with this asana for more than a year, and finally I am getting there. #happiness #ashtanga #yoga #ekapadasirsasana #practicepracticepractice #practiceeverydamnday #patience #donotgiveup #keepongoing #alliscoming #travelingyogi #yogateacher #thankyou #letgoandletgod #jooga #karmastudio #astangajooga #asana #legbehindhead #magicmoment #secondseries #nadisodhana #intermediateseries #mikääneiolemahdotonta #everythingispossible #trusttheprocess #easyside</t>
  </si>
  <si>
    <t>Karma Studio</t>
  </si>
  <si>
    <t>practiceeverydamnday</t>
  </si>
  <si>
    <t>mikääneiolemahdotonta</t>
  </si>
  <si>
    <t>alliscoming</t>
  </si>
  <si>
    <t>everythingispossible</t>
  </si>
  <si>
    <t>ashtanga</t>
  </si>
  <si>
    <t>fit.soulmates</t>
  </si>
  <si>
    <t>1582083758236752356_2098924389</t>
  </si>
  <si>
    <t>We are all guilty of this in some area of our live, so just stop it! 😉🖐
•
•
•
•
#Stopit #stopstoppingyourself #moveforward #keepongoing #neverquit #neverstop #nodistractions #motivation #inspiration #determination #hardwork #persistence</t>
  </si>
  <si>
    <t>stopit</t>
  </si>
  <si>
    <t>nodistractions</t>
  </si>
  <si>
    <t>reres_modeling_page</t>
  </si>
  <si>
    <t>1582085484778914112_5748983501</t>
  </si>
  <si>
    <t>Dirty and flirty tanks are in!!! Love mine has my character name on the back!! Can wait to shoot of Saturday keep in toon for a sneak peak!! Also doing a rain shoot on Sunday!!! Want a tank top, key Chain, ext with my character name on it DM me!! #kinkeyshebear #dirtandflirty #dirtyandflirtyanimations #plussizemodel #plussize #bbwgirl #bbwmodeling #bbwmodel #loveyourself #photoshootcoming #keepongoing</t>
  </si>
  <si>
    <t>photoshootcoming</t>
  </si>
  <si>
    <t>bbwgirl</t>
  </si>
  <si>
    <t>plussizemodel</t>
  </si>
  <si>
    <t>randomuffin_</t>
  </si>
  <si>
    <t>1582087203436351541_1243683107</t>
  </si>
  <si>
    <t>We should feed our jewelry to the sea. |  #denhaag #myroadtrip #thirdstop</t>
  </si>
  <si>
    <t>Scheveningen</t>
  </si>
  <si>
    <t>myroadtrip</t>
  </si>
  <si>
    <t>sunnyday</t>
  </si>
  <si>
    <t>neverstopexploring</t>
  </si>
  <si>
    <t>instatravel</t>
  </si>
  <si>
    <t>shanjones916</t>
  </si>
  <si>
    <t>1582087284629612976_4226786981</t>
  </si>
  <si>
    <t>Making some progress... Leg stretches with kettle bells after class this morning. Thanks for your help @xouteda and Rommy! 😘 Wishing everyone a happy &amp; healthy day! 👊🏻💪🏻😀 #kettlebell #kettlebells #legs #flexibility #legday #workoutmotivation #nevergiveup #keepongoing #pushyourself #fitmom #fitness #fitnessmotivation #tuesday</t>
  </si>
  <si>
    <t>kettlebells</t>
  </si>
  <si>
    <t>vinzenz_kl</t>
  </si>
  <si>
    <t>1582090762094790234_1161810579</t>
  </si>
  <si>
    <t>Momentan ist richtig,
momentan ist gut,
nichts ist wirklich wichtig,
nach der Ebbe kommt die Flut.
Am Strand des Lebens,
ohne Grund, ohne Verstand,
ist nichts vergebens,
ich bau' die Türme auf den Sand..
#herbertgrönemeyer #mittelmeer #kvarnerbay #adria #croatia #hrvatska #beach #hot #feeltheneedforheat #stormyshit #sunny #noclouds #flowerpower #blumenkind #love #family #eswarmireinfest #soweitweg #packmeinesachen #gopro #hero #beahero #reisefieber #neverstopexploring #goforgold #goforit #fuckthesystem #keepongoing #werrastetderrostet #supportyourinnermonkey</t>
  </si>
  <si>
    <t>adria</t>
  </si>
  <si>
    <t>noclouds</t>
  </si>
  <si>
    <t>fuckthesystem</t>
  </si>
  <si>
    <t>soweitweg</t>
  </si>
  <si>
    <t>stormyshit</t>
  </si>
  <si>
    <t>madhattergvo73</t>
  </si>
  <si>
    <t>1582095130628874353_202895281</t>
  </si>
  <si>
    <t>🎶"if you wanna go down...down on the ground..."🎶 #clapton #cocaine #sunsetboulevard #keepongoing #thissummerneverstops #nostoptillbrooklyn #dasvidania</t>
  </si>
  <si>
    <t>dasvidania</t>
  </si>
  <si>
    <t>thissummerneverstops</t>
  </si>
  <si>
    <t>sunsetboulevard</t>
  </si>
  <si>
    <t>clapton</t>
  </si>
  <si>
    <t>grieve89</t>
  </si>
  <si>
    <t>1582102753583542782_938289953</t>
  </si>
  <si>
    <t>The look after a training #run with a #shoulder strain, a dodgy #chest and #sport enduced #asthma 
#halfmarathon prep not going to #plan but I will be on that #startline 
#robinhoodhalf #charity #keepongoing #nottingham #ikanohalfmarathon</t>
  </si>
  <si>
    <t>Loughborough</t>
  </si>
  <si>
    <t>charity</t>
  </si>
  <si>
    <t>startline</t>
  </si>
  <si>
    <t>plan</t>
  </si>
  <si>
    <t>1582105451151442745_244228468</t>
  </si>
  <si>
    <t>💎🌟Mandela was a great even though he was a communist! 😂 Thank you @motivationbyeli ❤️</t>
  </si>
  <si>
    <t>bucketlisthappy</t>
  </si>
  <si>
    <t>1582112483681698694_1781113481</t>
  </si>
  <si>
    <t>Flamingos in Aruba ☀️ 🌴 Photo by @argenel
.
.
.
.
.
.
.
.
#travelingmodel #adventurers #life4life #traintravel #travelon #travelmorocco #creativeentrepreneur #lifeispeople #paradises #traveljapan #beachboy #yogaposes #earthpix #travelfamily #keepongoing #travelstagram #ilovetravelling #therisingtidesociety #forbestravelguide #travelingphotographer #liveforit #cloudporn #lifepartner #earthfocus #keepittight</t>
  </si>
  <si>
    <t>earthpix</t>
  </si>
  <si>
    <t>yogaposes</t>
  </si>
  <si>
    <t>beachboy</t>
  </si>
  <si>
    <t>1582115567266095163_1822236485</t>
  </si>
  <si>
    <t>Follow @adventurouskiwi for awesome travel images. Moraine Lake, AB, Canada.
Photo by @brandonexplores
.
.
.
.
.
.
.
.
#travelgrams #beachbunny #backpackerslife #bucketlisters #adventureculture #liveyourpassion #travelshots #lifebydesign #keepworking #paradisebeach #discoverearth #travelfreak #lifeofadventure #travelingyogi #staywild #earthy #earthpix #journeytohealth #adventureday datview #laptoplifestyle #travelmalaysia #keepongoing #beachlovers #keepitlit #dmtravelseries</t>
  </si>
  <si>
    <t>travelfreak</t>
  </si>
  <si>
    <t>travelmalaysia</t>
  </si>
  <si>
    <t>keepworking</t>
  </si>
  <si>
    <t>sm__makeup</t>
  </si>
  <si>
    <t>1582119945641379420_5735798037</t>
  </si>
  <si>
    <t>When you keep on trying different products *brands* *shades* for base makeup, little tricky to get it right.😉 Working with base and eyeshadow💃
#making #makeup #differentbase
#eyeshadow #keepongoing</t>
  </si>
  <si>
    <t>Mumbai, Maharastra</t>
  </si>
  <si>
    <t>making</t>
  </si>
  <si>
    <t>differentbase</t>
  </si>
  <si>
    <t>eyeshadow</t>
  </si>
  <si>
    <t>1582124366244773143_5801959162</t>
  </si>
  <si>
    <t>Do you agree? 😃 Comment below! ✏️ Feel free to use and share this post 🌟@motivationbyeli</t>
  </si>
  <si>
    <t>louisepasss</t>
  </si>
  <si>
    <t>1582126688144256471_264198860</t>
  </si>
  <si>
    <t>Min dag startede idag med @astridlind ! Hvor heldig er jeg? Astrid er Min veninde, min støtte , og hende der viser mig vej! Jeg elsker min tirsdag morgen med hende og grød 😅❤️. Det går heldigvis den rigtige vej - på trods af jeg faktisk var lidt skuffet. Jeg har tabt 500 gram hvilket er -3,9 kg i alt ! Kender i det at man havde håbet på mere og faktisk bliver lidt skuffet ? Dog fik Astrid ændret mit humør og tankegang. Ny uge er igang og jeg er klar 🙏💪🏻😘. P.s. Billedet er gammelt - men jeg elsker det og ikke mindst minderne ❤️❤️❤️. #motivation #friends #bestfuckingbitches #myday #mylife #weightloss #weightlossmotivation #vægttab #vægttab2017 #food #foodporn #diet #love #fit #fitfam #fitness #keepgoing #keepongoing #keepfighting #icaniwill</t>
  </si>
  <si>
    <t>bestfuckingbitches</t>
  </si>
  <si>
    <t>myday</t>
  </si>
  <si>
    <t>1582133555520303171_1972606430</t>
  </si>
  <si>
    <t>I would say build a plan and execute it daily to invest in your future.
.
Never make quick fixes to gain mediocre results. Always build for long term.
.
You do this, you will thank your past self.
#prestoknowsbest
-
-
#liveandlearn #dontsettle #mindsetshift #dropout #content #quotesoflife #fireyourboss #empowernetwork #onlinesuccess #personalgrowth #motivateyourself #betteryourself #keepongoing #mindsetiseverything #inspiredaily #valueyourself #valuelife #entrepreneurmind #newmindset #goalachiever</t>
  </si>
  <si>
    <t>content</t>
  </si>
  <si>
    <t>_kristi78_</t>
  </si>
  <si>
    <t>1582136162230005206_450445639</t>
  </si>
  <si>
    <t>This is definitely the worst benchmark wod ever😰🤢 "when you hit that wall, tell that wall 'get out of my way!' and just go through"😎 #crossfit#filthyfifty#keepongoing#workhardplayharder#crossfitnorthax#nevergiveup</t>
  </si>
  <si>
    <t>filthyfifty</t>
  </si>
  <si>
    <t>crossfit</t>
  </si>
  <si>
    <t>workhardplayharder</t>
  </si>
  <si>
    <t>crossfitnorthax</t>
  </si>
  <si>
    <t>kazami_11</t>
  </si>
  <si>
    <t>1582142977186487801_259996982</t>
  </si>
  <si>
    <t>#cottoncandy sky 🌅
#pink #sunset #pinkmood #strong #bestrong #behappy #happiness #instadaily #instapic #sky #colors #shades #lights #sweettooth #sweet #night #bedtime #novacay #worktomorrow #keepongoing #pic #makeawish</t>
  </si>
  <si>
    <t>pink</t>
  </si>
  <si>
    <t>worktomorrow</t>
  </si>
  <si>
    <t>colors</t>
  </si>
  <si>
    <t>butnariu_ionela</t>
  </si>
  <si>
    <t>1582143108181707219_928251461</t>
  </si>
  <si>
    <t>#nevergiveup #havefaith #keepongoing #givetimetime</t>
  </si>
  <si>
    <t>havefaith</t>
  </si>
  <si>
    <t>givetimetime</t>
  </si>
  <si>
    <t>wellnessfit24</t>
  </si>
  <si>
    <t>1582145250767694486_236673705</t>
  </si>
  <si>
    <t>Don't let anything or anyone stop you , not even yourself #keepongoing #dontstop#strong #beliveinyourslef #beyou #outfitoftheday #joinmyteam  #lovemygirls #socialmedia #omg</t>
  </si>
  <si>
    <t>Whole Foods Market</t>
  </si>
  <si>
    <t>outfitoftheday</t>
  </si>
  <si>
    <t>joinmyteam</t>
  </si>
  <si>
    <t>neilelien</t>
  </si>
  <si>
    <t>1582151747527136074_282407469</t>
  </si>
  <si>
    <t>I 💚 running 😊 I really do ☺️ #running #keepongoing #everyruncounts #motivation #nevergiveup #happyrun #loverunning #❤️running</t>
  </si>
  <si>
    <t>❤️running</t>
  </si>
  <si>
    <t>1582152353167927290_5586814877</t>
  </si>
  <si>
    <t>Fail to prepare, prepare to fail ❌ I'll not lie, today has been a massive SW fail for me 😏 I shall kick myself up the bum and get right back on it tomorrow though ☺️1.5 syns for some Aldi specially selected couscous, 2 syns for an Activia intensely creamy yogurt in my overnight oats which are my B choice and everything else is speed free and free 👌🏻 #beprepared #breakfast #lunch #foodprep #packedlunch #fooddiary #slimmingworld #sw #slimmingworldfood #slimmingworldjourney #health #happiness #selfimprovement #bethebestyou #keepongoing #nomorestartingover</t>
  </si>
  <si>
    <t>freddy_alfaro1</t>
  </si>
  <si>
    <t>1582153638510543841_11838829</t>
  </si>
  <si>
    <t>Juts take it slow.. the art of the airbrush .. more demos soon.. #airbrush #micron #iwata #lowrider#lowriders#westcoast #california #sanjose #realartist #nobullshit #keepongoing #freddyalfaro #alfarodesign</t>
  </si>
  <si>
    <t>realartist</t>
  </si>
  <si>
    <t>iwata</t>
  </si>
  <si>
    <t>micron</t>
  </si>
  <si>
    <t>westcoast</t>
  </si>
  <si>
    <t>sanjose</t>
  </si>
  <si>
    <t>1582166500463012493_231434</t>
  </si>
  <si>
    <t>• Full i endorfiner etter en hard X-fit økt 💪🏽😃 Ønsker dere alle en flott kveld videre 💕 •
______________________________________________
#activelifestyle #smilebehappy #nordicfitnessgirls #lovelifting #girlswholift #skins #keepfit_no #keepongoing #workharder #nevergiveup #icaniwill #aktivejenter #aktivlivsstil #påveimotmålet #sprekesprell @sprekesprell @skinsnorge.no</t>
  </si>
  <si>
    <t>påveimotmålet</t>
  </si>
  <si>
    <t>girlswholift</t>
  </si>
  <si>
    <t>workharder</t>
  </si>
  <si>
    <t>icaniwill</t>
  </si>
  <si>
    <t>tisonlyagame</t>
  </si>
  <si>
    <t>1582170041914507768_332476205</t>
  </si>
  <si>
    <t>#eyesforward #headup #presson #neverstop #keepongoing #fitfam #lifechoice #mindset</t>
  </si>
  <si>
    <t>presson</t>
  </si>
  <si>
    <t>eyesforward</t>
  </si>
  <si>
    <t>lifechoice</t>
  </si>
  <si>
    <t>ivuh</t>
  </si>
  <si>
    <t>1582171579353129563_275223430</t>
  </si>
  <si>
    <t>Nature's not a place to visit. It's home. It's where the heart is. 💚🌍 #nature
.
#traveltheworld #travel #nevergiveup #keepongoing #lifeisgood #happy #traveler #photographer #follow #your #dreams</t>
  </si>
  <si>
    <t>traveler</t>
  </si>
  <si>
    <t>your</t>
  </si>
  <si>
    <t>mariaeklund.sweden</t>
  </si>
  <si>
    <t>1582174303109856520_182896194</t>
  </si>
  <si>
    <t>Had to steal this quote! #workhard #keepongoing #liveyourdream #beliveinyourself #entrepreneur #entrepreneurship #lovemyjob #beyoncé #💃🏼</t>
  </si>
  <si>
    <t>Edsviken</t>
  </si>
  <si>
    <t>beyoncé</t>
  </si>
  <si>
    <t>beliveinyourself</t>
  </si>
  <si>
    <t>joski28</t>
  </si>
  <si>
    <t>1582177160897425837_1717269994</t>
  </si>
  <si>
    <t>#thoughtoftheday #success #keepongoing #futurelifetarget</t>
  </si>
  <si>
    <t>futurelifetarget</t>
  </si>
  <si>
    <t>thoughtoftheday</t>
  </si>
  <si>
    <t>body2fitsportstudio</t>
  </si>
  <si>
    <t>1582177524660774898_3132072375</t>
  </si>
  <si>
    <t>Set your goal and keep on going#fitness #personaltrainer #goals #threadmilling #gym #body2fitsportstudio #walking#getfitordietrying#keepongoing#maastrichtcity</t>
  </si>
  <si>
    <t>Body2Fit Sportstudio</t>
  </si>
  <si>
    <t>felix.aretorn</t>
  </si>
  <si>
    <t>1582178618594597904_1727209571</t>
  </si>
  <si>
    <t>10×130 with the deadly deadlift💪 #soldier #Bondegains #dalahunk #training #workout #push #neverbackdown #keepongoing #deadlift #nobelt feat:@isakrothg</t>
  </si>
  <si>
    <t>bondegains</t>
  </si>
  <si>
    <t>dalahunk</t>
  </si>
  <si>
    <t>nobelt</t>
  </si>
  <si>
    <t>milllemill</t>
  </si>
  <si>
    <t>1582180112152083417_192006661</t>
  </si>
  <si>
    <t>Känns på en latjävel å gå.. #keepongoing #skavsår #walk</t>
  </si>
  <si>
    <t>skavsår</t>
  </si>
  <si>
    <t>scseiersbergdamen</t>
  </si>
  <si>
    <t>1582184026193872836_3879323685</t>
  </si>
  <si>
    <t>Mit zwei Aufbauspielen, einmal gegen die Tus Damen (Gr.-St.Florian), sowie gegen die Damen vom FC Piberstein Lankowitz, konnten wir einiges an unserer Formation ausprobieren und auch das Zusammenspiel mit unseren neuen Teammitgliedern testen. Natürlich müssen wir weiterhin an uns arbeiten, dennoch können wir mit einem guten Resümee in die neue Saison starten.
Bevor es mit unserer Saison am 27.8. losgeht, erwartet uns vorerst das Cup Spiel am 23.8. gegen die Damen vom SV - Strassgang. Ankick ist um 19:00 Uhr am Sportplatz Seiersberg! Wir freuen uns auf jede Unterstützung! ⚽️💪
#scseiersbergdamen #frauenfußball #oberliganord #footballhasnogender #teamspirit #thisteam #oneteam #keepongoing #stayfocused</t>
  </si>
  <si>
    <t>footballhasnogender</t>
  </si>
  <si>
    <t>oberliganord</t>
  </si>
  <si>
    <t>frauhansen79</t>
  </si>
  <si>
    <t>1582196328875577617_2310845677</t>
  </si>
  <si>
    <t>#avocadochallenge #samsunghealth ##samsunggearfit2 #workismyworkout #iamwalking #keepongoing 💪👣🏃‍♀️</t>
  </si>
  <si>
    <t>avocadochallenge</t>
  </si>
  <si>
    <t>samsunghealth</t>
  </si>
  <si>
    <t>workismyworkout</t>
  </si>
  <si>
    <t>iamwalking</t>
  </si>
  <si>
    <t>samsunggearfit2</t>
  </si>
  <si>
    <t>hannahedera</t>
  </si>
  <si>
    <t>1582202839835499286_2260789519</t>
  </si>
  <si>
    <t>Inspiring repost from @m_eye_nd</t>
  </si>
  <si>
    <t>dreaming</t>
  </si>
  <si>
    <t>beautifulgirl</t>
  </si>
  <si>
    <t>selfconfident</t>
  </si>
  <si>
    <t>soulwithnofootprint</t>
  </si>
  <si>
    <t>1582204839637782166_5717527571</t>
  </si>
  <si>
    <t>#keepongoing #firstpeak #montecoppe #rifugio #murakami
Concetto dei ricorsi vitali:
Kanõ Creta.</t>
  </si>
  <si>
    <t>murakami</t>
  </si>
  <si>
    <t>rifugio</t>
  </si>
  <si>
    <t>montecoppe</t>
  </si>
  <si>
    <t>firstpeak</t>
  </si>
  <si>
    <t>1582206136726101110_5801959162</t>
  </si>
  <si>
    <t>ARE DREAMS IMPORTANT? YES OR NO?🌟 🤔Do you agree? 👁Tag a person who MUST see this 👥Follow @motivationbyeli
📷@travelersdesire for the original picture</t>
  </si>
  <si>
    <t>tyrrannica</t>
  </si>
  <si>
    <t>1582207357446052436_224952663</t>
  </si>
  <si>
    <t>It says it all....u got to feel it to understand #sia #elasticheart #känslor #namaste #själsligt #shialabeouf #keepongoing</t>
  </si>
  <si>
    <t>känslor</t>
  </si>
  <si>
    <t>själsligt</t>
  </si>
  <si>
    <t>sia</t>
  </si>
  <si>
    <t>littlemissdottieworkshops</t>
  </si>
  <si>
    <t>1582208161719337587_5614132206</t>
  </si>
  <si>
    <t>De eerste tuinbordjes zijn klaar, nog 6 te gaan... 😅 #handletteren #handlettering #Ibizastyle #wip #keepongoing</t>
  </si>
  <si>
    <t>ibizastyle</t>
  </si>
  <si>
    <t>handletteren</t>
  </si>
  <si>
    <t>yaeltineo</t>
  </si>
  <si>
    <t>1582217831016867688_229705700</t>
  </si>
  <si>
    <t>Una grata visita a mi alma mater 😊. Nostalgia se siente dejar de ser estudiante 💕. #goodnews #instamood #greatday #bachiller🎓 #keepongoing #photooftheday</t>
  </si>
  <si>
    <t>Facultad de Ciencias Sociales - UNFV</t>
  </si>
  <si>
    <t>bachiller🎓</t>
  </si>
  <si>
    <t>goodnews</t>
  </si>
  <si>
    <t>spiritualgangster951</t>
  </si>
  <si>
    <t>1582218782361100190_571637055</t>
  </si>
  <si>
    <t>Do you think this water tastes better than other waters?? #water #idontcarewhatbrand #silly #mercedes #makingthebestofit #carproblems #keepongoing #thatslife</t>
  </si>
  <si>
    <t>Mercedes-Benz of Temecula</t>
  </si>
  <si>
    <t>makingthebestofit</t>
  </si>
  <si>
    <t>silly</t>
  </si>
  <si>
    <t>thatslife</t>
  </si>
  <si>
    <t>proartsrising</t>
  </si>
  <si>
    <t>1582219931273347677_3052036076</t>
  </si>
  <si>
    <t>Hi, enjoy a doze of our motivational quote to get you going.
#motimints #ProQuotes #keepOnGoing 
By #ProlificArts.</t>
  </si>
  <si>
    <t>prolificarts</t>
  </si>
  <si>
    <t>proquotes</t>
  </si>
  <si>
    <t>motimints</t>
  </si>
  <si>
    <t>creeuhtour</t>
  </si>
  <si>
    <t>1582225360655843044_4013275651</t>
  </si>
  <si>
    <t>Guys don't forget to check out my new video reviewing the @armageddon_mfg  Apocalypse Generation 2 20mm deck! (Link in bio)
Don't forget guys, we all need to fight for our right to vape. Follow casaa, calls to action are important! Vape on!
#apocalypse #youtube #review #vape #vapeporn #advocate #armageddon #vapor #clouds #vapeon #keepongoing 
Sorry I haven't posted lately! Been super busy</t>
  </si>
  <si>
    <t>review</t>
  </si>
  <si>
    <t>youtube</t>
  </si>
  <si>
    <t>advocate</t>
  </si>
  <si>
    <t>clouds</t>
  </si>
  <si>
    <t>cswindell68</t>
  </si>
  <si>
    <t>1582225899381341387_234372045</t>
  </si>
  <si>
    <t>Another one. Another one. Another personal record was set today. Shaved 45 seconds off my last mile time! Set your goals, strive to achieve them, and most importantly never give up. #personalrecord #keepongoing #goaldigger #anotherone</t>
  </si>
  <si>
    <t>personalrecord</t>
  </si>
  <si>
    <t>anotherone</t>
  </si>
  <si>
    <t>chillinwithdeke</t>
  </si>
  <si>
    <t>1582226880228826989_4790019820</t>
  </si>
  <si>
    <t>Cool stuff coming up w/ @nolacnation ❌❌ 📸@_wllflwr_
•
ICYMI- Did a podcast in April w/ the brand's owner @jdotnolac. Ep. 3 link in the bio. Awesome story and great friend.
•
•
•
#podcast #podcasts #podcaster #streetwear #streetwearfashion #entrepreneur #growth #build #collab #pittsburgh #pghcreative #pitt #interview #dadhat #smile #cheesin #chillinwithdeke #hypebeast #hype #keepongoing #vlog #video #videoedits #friends #brand #branding #supreme #nolacnation</t>
  </si>
  <si>
    <t>nolacnation</t>
  </si>
  <si>
    <t>podcasts</t>
  </si>
  <si>
    <t>streetwear</t>
  </si>
  <si>
    <t>hypebeast</t>
  </si>
  <si>
    <t>mamamsanford</t>
  </si>
  <si>
    <t>1582227481096421506_15012013</t>
  </si>
  <si>
    <t>1582231287132317770_2065144435</t>
  </si>
  <si>
    <t>Vibes for days in Caye Caulker 🔥👌🏼
#goslow #belize</t>
  </si>
  <si>
    <t>Caye Caulker</t>
  </si>
  <si>
    <t>beautifulplaces</t>
  </si>
  <si>
    <t>travelawesome</t>
  </si>
  <si>
    <t>trakranch</t>
  </si>
  <si>
    <t>1582238232355941086_460143200</t>
  </si>
  <si>
    <t>Please join us! Celebrating 10 AWESOME years🎉 #anniversary #10years #keepongoing #giveback #ranchlife #wedoitforthekids #animalkingdom #lovedesertlife #celebrate #awesome #weloveourcity</t>
  </si>
  <si>
    <t>Therapeutic Ranch for Animals and Kids (TRAK)</t>
  </si>
  <si>
    <t>wedoitforthekids</t>
  </si>
  <si>
    <t>celebrate</t>
  </si>
  <si>
    <t>weloveourcity</t>
  </si>
  <si>
    <t>1582247426193078982_4203455377</t>
  </si>
  <si>
    <t>Love this @hopebeel 😍😍</t>
  </si>
  <si>
    <t>runningtoahealthylife</t>
  </si>
  <si>
    <t>1582250512228908201_3169818933</t>
  </si>
  <si>
    <t>Not gonna lie, today was a good leg day. Had 100lbs on each side (200lbs total). Considering it wasn't long ago that I had a 45lb plate on each side.  Thankful  that I'm getting stronger, day by day.  #fitnessmotivation #weightlossjourney #weightlosstransformation #fitnessgoals #liftheavy #lift #legoland #legpress #strongerthanyouthink #strongwomen #mindovermatter #milestogo #nevergiveup #keepongoing #goals</t>
  </si>
  <si>
    <t>The Janesville Athletic Club</t>
  </si>
  <si>
    <t>mindovermatter</t>
  </si>
  <si>
    <t>strongerthanyouthink</t>
  </si>
  <si>
    <t>1582251087191218127_3623309738</t>
  </si>
  <si>
    <t>The sun rise in Lost Lake, Hood River County. Oregon. Photo by @neohumanity
.
.
.
.
.
.
.
.
#travelgreece #keeptraveling #exploremore #travelessentials #lifesabeach #travelinspired #yogafitness #travelingmodel #beautifuldestinations #travelstoke #yogaforlife #spiritualquotes #inspiredaily #keepworking #instatravelhub #traveljunkie #weliketotravel #lifepartner #dmtravelseries #anewbreedoftraveller #jomblotraveler #jj_forum #paradiseweekend #livethelife #keepongoing</t>
  </si>
  <si>
    <t>jj_forum</t>
  </si>
  <si>
    <t>paradiseweekend</t>
  </si>
  <si>
    <t>anna_christinaa_</t>
  </si>
  <si>
    <t>1582263479665262951_1075226658</t>
  </si>
  <si>
    <t>"So tired of taking losses, not this time. I can't save the whole world, I'm just tryna look out for mine." Finished rerecording my single "Lyfe". I had to take it to a whole NEW level. I'm not putting anyone down, but I've been doing business with the wrong folks for years now. Starting over really sucks, but I'm doing things the proper way. I have a coach, I stacked up my paper, and I'm doing me! I'm not sorry for the delay either, because I know I'm doing what I need to do and I'm not doing it half ass. I do it for you. All of you. All of you beautiful, musically inclined people... Thank you.. ❤️ Now we wait for the mixing.. #Patience #OrbRecordingStudios #Professionals #Studio #ATX #LiveMusicCity #MyStudio #FromHereOnOut #Excited #DreamsDoComeTrue #WhereHaveIBeen #Singer #Songwriter #IJustCantStop #Ambition #Persistence #MyPassion #Me #KeepOnGoing</t>
  </si>
  <si>
    <t>Orb Recording Studios</t>
  </si>
  <si>
    <t>patience</t>
  </si>
  <si>
    <t>professionals</t>
  </si>
  <si>
    <t>orbrecordingstudios</t>
  </si>
  <si>
    <t>singer</t>
  </si>
  <si>
    <t>purrfect__cats</t>
  </si>
  <si>
    <t>1582263677561935217_2188877491</t>
  </si>
  <si>
    <t>#elbsandsteingebirge#stayactive#summerday#hiking#19km#keepongoing#whataview</t>
  </si>
  <si>
    <t>whataview</t>
  </si>
  <si>
    <t>elbsandsteingebirge</t>
  </si>
  <si>
    <t>summerday</t>
  </si>
  <si>
    <t>19km</t>
  </si>
  <si>
    <t>1582267928395438869_5509071474</t>
  </si>
  <si>
    <t>So looking forward to this dinner. It's been a long day. Worked OT, plus house sitting with two dogs and many chickens, went to the gym, ran home to feed my hamster and now finally getting to enjoy a freshly cooked meal by yours truly. I like to keep it simple chicken with some sesame ginger dressing as a marinade, broccoli steamed on the same pan used for the chicken once it was done, and a baked sweet potato with. Itching but cracked black pepper and yellow mustard. Yum. 
#weightloss #weightlossjourney #weightlossdiary #workout #weightlossblog #weightlosscommunity #weightlosssupport #weightlossfood #healthyfood #keepongoing #nevergiveup #sweetpotato #weightlossstory #weightlossprogress #weightlossmeals #weightlossmotivation #weightlossideas</t>
  </si>
  <si>
    <t>weightlossblog</t>
  </si>
  <si>
    <t>weightlossprogress</t>
  </si>
  <si>
    <t>1582271103575828838_5705167414</t>
  </si>
  <si>
    <t>I know that Durant joining the Warriors makes us a really really good team, we have one of the best if not the best duo in the league, and we're basically unstoppable, but tbh i like Durant and Westbrook more than Durant and Curry, it just seems better because they have been together for like 8 years i think and i liked the Steph and Klay duo better, but we're winning so it doesn't really matter that much #Dubnation
-
-
-
-
-
-
-
-
-
-
-
-
-
-
-
-
-
-
-
-
-
-
-
-
-
-
-
-
-
-
-
-
-
-
-
-
-
-
-
-
 #StephGonnaSteph #Mvp #SC30 #KT11 #DG23 #CURRYMVP #KEEPONGOING #NEVERGIVEUP #WCF #WEST #WESTERNCONFERENCEFINALS #CHAMPS #DUBSFORCHAMPS #DUBS #ALWAYSBELIEVEINGOD #STEPHENCURRY #EVEN #NBA #2016CHAMPS #CHAMPIONS #LOCKIN #STEPH #SPLASH #SPLASHBROS  #like4like #like4follow #follow4follow</t>
  </si>
  <si>
    <t>blissfulmomentsqld</t>
  </si>
  <si>
    <t>1582271722270620497_4700565607</t>
  </si>
  <si>
    <t>So I put myself out there last night and posted my first live feed. 
I was prepared I know my content and love my products, I invited a number of people for an 8pm start and I was ready to roll.. but of course as always things can change and not always go to plan! In my case Harper didn't want to go to bed and he wanted to be in the video haha and finally he was busting to go to the toilet but wanted me to take him and he wet himself haha oh goodness.. All and all It was a real fun adventure and all my guest said it was informative (for a circus) haha 😂 
Oh well the more I do the better I will get.
Lesson being no matter how prepared you are be prepared for the unexpected persevere and keep on keeping on, with a delightful smile on your face if it's possible 🌸😊🌸
.
.
.
.
#doterra #doterraaustralia #doterramom #doterramum #wednesdaywisdom #wednesdaywhat  #plan #prepare #believeinyourself #blissfulmoments #goinglive #circus #healinghands #healyourself #healyourbody #essentialoils #essentialoilsrock #naturalhealing #naturalremedies #wellness #wellbeing #wellbeingwarrior #goalsetting #keepongoing #didjustpostaselfie</t>
  </si>
  <si>
    <t>prepare</t>
  </si>
  <si>
    <t>doterramom</t>
  </si>
  <si>
    <t>doterra</t>
  </si>
  <si>
    <t>blissfulmoments</t>
  </si>
  <si>
    <t>goinglive</t>
  </si>
  <si>
    <t>1582276539830487906_41242698</t>
  </si>
  <si>
    <t>When a shirt that used to cling to you is starting to fit like a dress 🙌🏻 #workingonmyself #fattofit #immeltingimmelting #immelting #achieveyourdreams #fitfam #fattofit #fitnessjourney #fatgirltofitgirl #keto #ketogenic #killingit #keepongoing #ketogenicdiet #lchf #lowcarb #lovingketo #lowcarbdiet</t>
  </si>
  <si>
    <t>workingonmyself</t>
  </si>
  <si>
    <t>fattofit</t>
  </si>
  <si>
    <t>lovingketo</t>
  </si>
  <si>
    <t>fatgirltofitgirl</t>
  </si>
  <si>
    <t>lowcarbdiet</t>
  </si>
  <si>
    <t>hoax87</t>
  </si>
  <si>
    <t>1582278265233328619_5966045</t>
  </si>
  <si>
    <t>Starting to take shape #home #diy #greyeverything #allgrey #doors #glazing #renovation #project #transform #trade #uk #bungalow #clean #keepongoing #goodtimes #design #symmetry</t>
  </si>
  <si>
    <t>glazing</t>
  </si>
  <si>
    <t>uk</t>
  </si>
  <si>
    <t>renovation</t>
  </si>
  <si>
    <t>home</t>
  </si>
  <si>
    <t>greyeverything</t>
  </si>
  <si>
    <t>lularoeterrivanhorn</t>
  </si>
  <si>
    <t>1582285631126607716_2229058404</t>
  </si>
  <si>
    <t>So let's talk vertical stripe Carly!? I seriously think it might be my new favorite!! And it's so comfy to throw on and keep cool! Absolutely love this print 😍❤️ #lularoeterrivanhorn #verticalstripes #lularoecarly #dresses #grilling #michigan #keepcool #lovethisdress #stripes #favorite #tuesday #momboss #workfromhome #keepongoing #hustle</t>
  </si>
  <si>
    <t>lularoecarly</t>
  </si>
  <si>
    <t>michigan</t>
  </si>
  <si>
    <t>grilling</t>
  </si>
  <si>
    <t>lovethisdress</t>
  </si>
  <si>
    <t>tuesday</t>
  </si>
  <si>
    <t>cam_2396</t>
  </si>
  <si>
    <t>1582287858999157786_249974472</t>
  </si>
  <si>
    <t>When you stop and look around, life is pretty amazing #sunset #pinksky #lifeisgood #keepongoing #mynorth #favouriteview</t>
  </si>
  <si>
    <t>favouriteview</t>
  </si>
  <si>
    <t>mynorth</t>
  </si>
  <si>
    <t>nina_poppy</t>
  </si>
  <si>
    <t>1582293339074635275_395449564</t>
  </si>
  <si>
    <t>Let your smile change the world but don't let the world change your smile ... 😊🍉🍑your smile definitely rock my world  #keeponsmiling #keepongoing #quote #quotestoliveby #quoteoftheday #happyPOPPY #girlsnight @ the end of the day #friendship and #family are  the #best #southoffrance  #summer2017</t>
  </si>
  <si>
    <t>La Calade</t>
  </si>
  <si>
    <t>best</t>
  </si>
  <si>
    <t>ansont</t>
  </si>
  <si>
    <t>1582296113515799466_3275305</t>
  </si>
  <si>
    <t>Don't trust too much, 
Don't give too much, 
Don't hope too much. 
Because that too much can hurt you so much :)</t>
  </si>
  <si>
    <t>Hordern Pavilion</t>
  </si>
  <si>
    <t>geno_45hot</t>
  </si>
  <si>
    <t>1582297794952060080_569995778</t>
  </si>
  <si>
    <t>#soul #happy #betterdays #sunshine #doyouboo #keepongoing #stayprayedup #soulfood #vegetables  #homelife</t>
  </si>
  <si>
    <t>vegetables</t>
  </si>
  <si>
    <t>homelife</t>
  </si>
  <si>
    <t>agnesanddorabyjacquie</t>
  </si>
  <si>
    <t>1582301586552810726_4520028849</t>
  </si>
  <si>
    <t>The Fall transition us here... #agnesanddora #falloutfits #abettermewithaandd #trendyoutfits #iloveaandd #leggings #lularoe #llr #perfectoutfit #healthyliving #faith #positivevibes #unstoppable #icandothis #nanalife #keepongoing #powerinprayer #success #ilovedisney #beachlife #skirt #tank #dress #onlineshopping  #joplin #oakley #happywife #happylife #ohioboutique</t>
  </si>
  <si>
    <t>Agnes and Dora by Jacquie</t>
  </si>
  <si>
    <t>skirt</t>
  </si>
  <si>
    <t>joplin</t>
  </si>
  <si>
    <t>trendyoutfits</t>
  </si>
  <si>
    <t>ilovedisney</t>
  </si>
  <si>
    <t>luizagaroli</t>
  </si>
  <si>
    <t>1582307188633220450_2199573767</t>
  </si>
  <si>
    <t>Sorry (not sorry) for the ugly face on the right 😂😂😂 anyways. Just throwing in a progress picture. Things are getting better! Can't wait to see some booty improvement soon (cause that's a weakness point for me). Keep on working and hustle everyday 💪🔥🔥#sorrynotsorry #prepmode #tuesday #latergram #abs #weightloss #weightlifting #transformationtuesday #athlete #bodybuilding #aesthetic #fitness #fatloss #girlswithmuscle #girlswholift #fitmom #progress #keepongoing #hardworkpaysoff #strongissexy #muscle #believeinyourself #shredz #nofilter #cardio #motivation #realtalk</t>
  </si>
  <si>
    <t>shredz</t>
  </si>
  <si>
    <t>prepmode</t>
  </si>
  <si>
    <t>tinyhsquared</t>
  </si>
  <si>
    <t>1582322409661414651_5667638090</t>
  </si>
  <si>
    <t>Today's win... this was my first full day in a cast and today's win is being able to scoot food over to my couch. Which is pretty much magic. Standing on one foot eating cereal in my kitchen was just not cutting it. #winning #winoftheday #goals #brokenankle #cast #brokenfoot #ouch #thankful #thanksfriends #injury #hurt #statpositive #staycalm #staymotivated #keepongoing</t>
  </si>
  <si>
    <t>ouch</t>
  </si>
  <si>
    <t>winoftheday</t>
  </si>
  <si>
    <t>staycalm</t>
  </si>
  <si>
    <t>1582327903067498087_4773778225</t>
  </si>
  <si>
    <t>Goodnight world🤗🌞comin for ya Muskoka! #worldtravelbook #flashesofdelight #art #lake #rainbow #goodafternoonpost #keeponkeepingon #keepongoing #motivation #motivationeveryday #sunset #flowers #architecturephotography #architecture #tagsforlikes #bluesky #likesforlikes #follow #almosttheweekend #smile #happy #morningmotivation #flower #behappy #grateful</t>
  </si>
  <si>
    <t>Muskoka, Ontario</t>
  </si>
  <si>
    <t>1582330621506041748_5409757454</t>
  </si>
  <si>
    <t>Don't stop when you're tired.  Stop when you're done.
.
.
.
Keep on moving towards your goals, yes you can rest for a while, but don't you quit!
.
.
.
#bepositive #positivemindset #livelifetothefull #seethegood #seethegoodineverything #believeyoucan #befearless #keeponmoving #keeponlearning #keepondoing #keepongoing #keeponbelieving #believeinyou #goodhabits #achieve #achieveyourdreams #achieveyourgoals #believeinyourdream #believeinyourselfie #keepthefaith #neverstoplearning #positiveattitude #positivemindset #positivequotes #positivevibes #positiveminds #trustandbelieve #trustyourgut #yesyoucan #neverstoptrying</t>
  </si>
  <si>
    <t>neverstoptrying</t>
  </si>
  <si>
    <t>prinncess_charminng</t>
  </si>
  <si>
    <t>1582333303543988183_20311910</t>
  </si>
  <si>
    <t>She remembered who she was and the game changed. #smile #keepongoing #chinup #goodvibes</t>
  </si>
  <si>
    <t>goodvibes</t>
  </si>
  <si>
    <t>gabyvargas_just</t>
  </si>
  <si>
    <t>1582336436027525533_1164113877</t>
  </si>
  <si>
    <t>My moto!!
Www.swissjustusa.com/gabyvargas #goals #feelproudofyourself #makeadifference #getthebestofyourday #keepongoing #neverquit #livethemost</t>
  </si>
  <si>
    <t>feelproudofyourself</t>
  </si>
  <si>
    <t>livethemost</t>
  </si>
  <si>
    <t>makeadifference</t>
  </si>
  <si>
    <t>blankpage__x</t>
  </si>
  <si>
    <t>1582339801637208317_1067940056</t>
  </si>
  <si>
    <t>How time flies#timeflies#fitnessgirl#keepongoing#crownshyness#bepolite#фитнесс#времялетитбыстро#идти вперёд</t>
  </si>
  <si>
    <t>идти</t>
  </si>
  <si>
    <t>фитнесс</t>
  </si>
  <si>
    <t>crownshyness</t>
  </si>
  <si>
    <t>времялетитбыстро</t>
  </si>
  <si>
    <t>clipclep</t>
  </si>
  <si>
    <t>1582345879283842058_224929186</t>
  </si>
  <si>
    <t>Just practicing those starts. I know. I’m still not good 😂
#love #life #happy #art #quote #strength #music #inspirational #book #books #god #inspiration #inspired #smile #keepongoing #standup #fight #live #faith #photography #metal #rock #motivation #technology #mx #motocross #kawasaki #braap #monsterenergy #gopro</t>
  </si>
  <si>
    <t>monsterenergy</t>
  </si>
  <si>
    <t>book</t>
  </si>
  <si>
    <t>technology</t>
  </si>
  <si>
    <t>whitney_d_n</t>
  </si>
  <si>
    <t>1582347621842146442_3313126232</t>
  </si>
  <si>
    <t>It all happens for a reason. We just have to be patient and keep moving forward. Strength grows in the moments you think you can't go on. 
#happensforareason #keepongoing #onefootinfrontofanother #suckitupbuttercup</t>
  </si>
  <si>
    <t>happensforareason</t>
  </si>
  <si>
    <t>onefootinfrontofanother</t>
  </si>
  <si>
    <t>suckitupbuttercup</t>
  </si>
  <si>
    <t>elisaschulman</t>
  </si>
  <si>
    <t>1582360687451456675_2245606053</t>
  </si>
  <si>
    <t>I really like this statement! I've been studying Joseph lately and as always his perseverance always impresses me! His KNOWING of the calling... inspires me! 
You know, when God has a call on your life (and He does) and you REFUSE to give in to defeat... to be persistent no matter the circumstance... there is NO OTHER OPTION but VICTORY!! So whatever it is today that seems to be in your way, or trying to pull you backwards or just suck you dry... SHAKE THAT THING OFF! 
Hand it over to God and continue to walk towards your goals ONE STEP OF FAITH at a time! 👣 #nevergivinup #keepongoing #stepoffaith</t>
  </si>
  <si>
    <t>adventuremama</t>
  </si>
  <si>
    <t>mythreedogs</t>
  </si>
  <si>
    <t>studebaker</t>
  </si>
  <si>
    <t>3dogs</t>
  </si>
  <si>
    <t>justinhco90</t>
  </si>
  <si>
    <t>1582365020342516795_259713306</t>
  </si>
  <si>
    <t>#keepongoing#tryingdoesntmakeyouweak#smilecauseyoucan#gitthis#oneday#ineedahero!</t>
  </si>
  <si>
    <t>tryingdoesntmakeyouweak</t>
  </si>
  <si>
    <t>smilecauseyoucan</t>
  </si>
  <si>
    <t>ineedahero</t>
  </si>
  <si>
    <t>gitthis</t>
  </si>
  <si>
    <t>its_justmarie</t>
  </si>
  <si>
    <t>1582365393534964657_37767247</t>
  </si>
  <si>
    <t>"It's not me, it's them.... " 🤷🏾‍♀️ #findsomeonewhounderstandyou #notbecauseitmakesensetothem #but #becausetheyrethatselflesstowanttolistenwhatyouhavetosay #keepongoing #moveon #happiness #love</t>
  </si>
  <si>
    <t>becausetheyrethatselflesstowanttolistenwhatyouhavetosay</t>
  </si>
  <si>
    <t>notbecauseitmakesensetothem</t>
  </si>
  <si>
    <t>melaninonfleek</t>
  </si>
  <si>
    <t>1582366523723839701_5681311432</t>
  </si>
  <si>
    <t>So I've been really lagging it when it comes to working out and eating right lately😩 But I'm trying to kick this laziness in the butt💪🏻 what gets me back on track is seeing these progress pictures and knowing that I CAN do it!💪🏻💖 (Messy room again😩)
.
.
.
.
.
.
.
.
.
.
.
.
.
.
#honormycurves #bodypositive #loveyourbody #loveyourself #selflove #embracethesquish #embraceyourcurves #embracetheprocess #workinprogress #progress #proudofmyself #fitness #fit #fitgirl #fitjourney #fitnessmotivation #gym #gymmotivation #thick #thickthighssavelives #curves #curvygirl #tummy #cellulite #stilllovemyself #instagood #instadaily #keepongoing #sisepuede</t>
  </si>
  <si>
    <t>1582372936395633411_462344435</t>
  </si>
  <si>
    <t>Don't let fear paralyse you. Face your fears.  Being courageous doesn't mean you don't feel any fear. But beings courageous is doing things even if with fear.
.
.
.
Blessings!
.
.
.
#Bepositive #positivemindset #livelifetothefull #seethegood #seethegoodineverything #believeyoucan #befearless #keeponmoving #keeponlearning #keepondoing #keepongoing #keeponbelieving #believeinyou #goodhabits #achieve #achieveyourdreams #achieveyourgoals #believeinyourdream #believeinyourselfie #keepthefaith #neverstoplearning #positiveattitude #positivemindset #positivequotes #positivevibes #positiveminds #trustandbelieve #trustyourgut #yesyoucan  #youcandoit</t>
  </si>
  <si>
    <t>dietgirl4u</t>
  </si>
  <si>
    <t>1582373273148504773_227192367</t>
  </si>
  <si>
    <t>Shout out to my amazing client @jackieemiss who has made tremendous  gains!!!💪
She is fierce, strong, determined and getting great results!!💜 I am so proud of her and all my wonderful clients who will not give up until they reach their goals!!!
♡♡♡♡♡♡♡♡♡♡♡♡♡♡♡♡♡♡
#transformationtuesday #ﬁtfam #fitspo #keepongoing #youcandoit #fitchick #athlete #champion #girlswithmuscle #girlswholift #nutrition #dietitian #nyc #glutenfree #statenisland #personaltrainer #fitlife #dietgirl4u #girlboss #physique #muscle #gymlife #coach #inspire #weightlossjourney #healthyeating #fierce #onfire #trainhard #exercise</t>
  </si>
  <si>
    <t>ﬁtfam</t>
  </si>
  <si>
    <t>girlswithmuscle</t>
  </si>
  <si>
    <t>katieleighgee</t>
  </si>
  <si>
    <t>1582382238909471783_1756727046</t>
  </si>
  <si>
    <t>#keephustling #believeinyourself #keepongoing #summer17 #truestory #consistencypaysoff</t>
  </si>
  <si>
    <t>keephustling</t>
  </si>
  <si>
    <t>consistencypaysoff</t>
  </si>
  <si>
    <t>summer17</t>
  </si>
  <si>
    <t>1582386620898869528_1286978251</t>
  </si>
  <si>
    <t>.
No caption needed ⬆
.
.
#wednesday #selfie #quote #sassy #classy #blackandwhite #daisydays #lazyday #aboutlastnight #everythinghappensforareason #beyourownkindofbeautiful #nosleep #keepongoing #smilealways #smile #hair #potd #throwback #behappy #like #likeforlike #likeforfollow #follow #forever18 #lovelyjubbly #daisygirlforever .
.
🔥 🔥 🔥 🔥 🔥 🔥 🔥 🔥 🔥 🔥 🔥 🔥 🔥 🔥 🔥</t>
  </si>
  <si>
    <t>Meet Your Nightmares</t>
  </si>
  <si>
    <t>nosleep</t>
  </si>
  <si>
    <t>hair</t>
  </si>
  <si>
    <t>1582390534260687766_5495249433</t>
  </si>
  <si>
    <t>Chicken &amp; veggie curry 👍🥕🥒🍆</t>
  </si>
  <si>
    <t>changeyourmindsetchangeyourlife</t>
  </si>
  <si>
    <t>wholefood</t>
  </si>
  <si>
    <t>bodyoverhaul</t>
  </si>
  <si>
    <t>fattofitjourney</t>
  </si>
  <si>
    <t>worldrunnerss</t>
  </si>
  <si>
    <t>1582392083519371928_4626512283</t>
  </si>
  <si>
    <t>@Regrann from @runningwithmo -  Cycle cycle baby 💃🏻 Vandaag heb ik anderhalf uur rondgetoerd door Limboland. Het kan misschien geen duurloopje écht vervangen, maar beter IETS dan NIETS right? Wie vervangt er nog wel eens meer zijn loopje? En HOE? 👀 #roadtonycmarathon #keepongoing .
🇬🇧 Still not running (legs), but cycled 1h30 today to still keep on going 🙌🏼 .
.
.
.
.
.
.
.
.
.
.
.
.
.
#ASICSfrontrunnerNL #hardlopen #running #runninggirl #runningaddict #nevernotrunning #runhappy #runningmotivation #runnersworld #girlslove2run  #urbanrunners #gezond #sporten #fitnessmeiden #fitgirlcode #fitgirlsnl #fitdutchies #fitdutchie #healthadviesbreda #pbp #instarunners #laufen  #runningcommunity #runforfun #girlswhorun #asicsfrontrunner #runnergirl #fitnessmodel</t>
  </si>
  <si>
    <t>fitdutchie</t>
  </si>
  <si>
    <t>runforfun</t>
  </si>
  <si>
    <t>pbp</t>
  </si>
  <si>
    <t>runhappy</t>
  </si>
  <si>
    <t>cynvicious</t>
  </si>
  <si>
    <t>1582405165637831497_419161188</t>
  </si>
  <si>
    <t>It's amazing what can come from listening to your gut and taking leaps. A year ago I took a leap to express to someone how I fell in love with them; that my heart just knew and that I was drawn to them; granted I sounded crazy, it worked. A year ago the love of my life was over 1,000 miles away from me... &amp; for the majority of it our dates were by spending hours on Skype or xbox. Now we live together happily, and despite the struggles we've had to get here, we're still going. It's always like it's the first month of us being together. I get so excited to see you every day! We hardly fight. We listen &amp; love. We're each others best friends. I'm so lucky to have someone so breath taking as you. Someone who balances me in every single possible way. You're the love of every life I could possibly be in. I hope that everyone out there can be as happy as we are. In fact I'm crying right now because of how happy I really am. A million "I love you's" tonight to the greatest man alive @th1sjust_1n I'm so excited for the many years to come.</t>
  </si>
  <si>
    <t>Little Rock, Arkansas</t>
  </si>
  <si>
    <t>inlovewithyou</t>
  </si>
  <si>
    <t>iloveyou</t>
  </si>
  <si>
    <t>oneyearanniversary</t>
  </si>
  <si>
    <t>longdistancerelationship</t>
  </si>
  <si>
    <t>happilyeverafter</t>
  </si>
  <si>
    <t>advocate_sunday</t>
  </si>
  <si>
    <t>1582417732761412562_807241254</t>
  </si>
  <si>
    <t>#Amen #MorningStarter #KeepOnGoing #YouCanDoThis #FirstNeverFollows 🙏🙏🙏</t>
  </si>
  <si>
    <t>firstneverfollows</t>
  </si>
  <si>
    <t>morningstarter</t>
  </si>
  <si>
    <t>1582422553769591803_1979470355</t>
  </si>
  <si>
    <t>Cannot sleep? Start a workout 😂💪🙈 #sweatwithkayla #kaylaitsines #bbg #liss #fullbody #sweating #sweatnowshinelater #keepongoing #fightforit #fitmom #fitness #fitforlife #poweron #doublesession #earlybird #earlymorning #earlysession #nopainnogain #nothingcanstopme #nevertooold #nevergiveup #derwegistdasziel #midweek #noexcuses</t>
  </si>
  <si>
    <t>midweek</t>
  </si>
  <si>
    <t>1582434119270122643_5495249433</t>
  </si>
  <si>
    <t>If you are not happy where you are, you hold the power to create it ☄</t>
  </si>
  <si>
    <t>aymanrayyan77</t>
  </si>
  <si>
    <t>1582435101592377886_351197499</t>
  </si>
  <si>
    <t>People will never understand you 🉐 #nevergiveup #keepongoing #justdowhatmakesyouhappy</t>
  </si>
  <si>
    <t>Petaling Jaya, Malaysia</t>
  </si>
  <si>
    <t>justdowhatmakesyouhappy</t>
  </si>
  <si>
    <t>jasonjubin</t>
  </si>
  <si>
    <t>1582437342424570160_31210444</t>
  </si>
  <si>
    <t>I can’t tell you how proud I am to see you so close to reaching your goal of driving across the country. You’ve done sooo much since I met you Daytona and grown too. The way you inspire women and the way you make me strive to be better is something I can’t put in words. I can’t wait to see you in Portland and do cute little picnic things... Keep on killing it b, you own this world #youmakemehappy</t>
  </si>
  <si>
    <t>Norfolk, Virginia</t>
  </si>
  <si>
    <t>youmakemehappy</t>
  </si>
  <si>
    <t>md_mustafa_ahmed</t>
  </si>
  <si>
    <t>1582439632514402304_4023844554</t>
  </si>
  <si>
    <t>This entrepreneur 👦 and innocent dad 😜  started following me and liked my posts ...!😀🙌 Thank you so much !
.
.
.
.
.
.
#prestoknowsbest
-
-
#liveandlearn #dontsettle #mindsetshift #dropout #content #quotesoflife #fireyourboss #empowernetwork #onlinesuccess #personalgrowth #motivateyourself #betteryourself #keepongoing #mindsetiseverything #inspiredaily #valueyourself #valuelife #entrepreneurmind #newmindset #goalachiever</t>
  </si>
  <si>
    <t>sportslife</t>
  </si>
  <si>
    <t>valueyourself</t>
  </si>
  <si>
    <t>tabletennisprodigy</t>
  </si>
  <si>
    <t>1582451925324146187_4868727819</t>
  </si>
  <si>
    <t>I endure the pain, I put in the time, I sacrifice sleep, my body aches from how much work I put in to train. To see the improvement that I've made is so breath taking! I'm so proud of my accomplishments. #table #tennis #tabletennis #tabletennisplayer #tabletennisdaily #tennisdemesa #shakehand #shortfilm #sports #workoutmotivation #weightloss #workout #keepgoing #keepongoing #nopainnogain #positivevibes #followme #instagood #stiga #mantra #practice #training</t>
  </si>
  <si>
    <t>Melody Ballroom</t>
  </si>
  <si>
    <t>tabletennisplayer</t>
  </si>
  <si>
    <t>1582452992313218407_3275305</t>
  </si>
  <si>
    <t>TRUST. 
It takes times to build,
Seconds to break, 
and forever to repair. 
Never break or play with trust, it's hurt!</t>
  </si>
  <si>
    <t>goodvibesonly</t>
  </si>
  <si>
    <t>michaels__perspective</t>
  </si>
  <si>
    <t>1582454556074245746_2082299708</t>
  </si>
  <si>
    <t>I believe change is coming to my life, and whether for good or bad, I'll still keep going. 
#life #lifeadvice #advice #adventure #good #bad #lifesadventures #photography #photo #Nature #natural #naturephotography #naturephoto #picture #pic #sky #sunset #trees #future #keepongoing #world #worldadvice #mylife #future</t>
  </si>
  <si>
    <t>Aurora, Illinois</t>
  </si>
  <si>
    <t>lifeadvice</t>
  </si>
  <si>
    <t>bad</t>
  </si>
  <si>
    <t>mayaaahope</t>
  </si>
  <si>
    <t>1582458016576724441_5735585323</t>
  </si>
  <si>
    <t>Keep on believing... that's what my parents told me. #keeponbelieving #believe #believer #believeinyourself #believeinyou #keepongoing #keeponsmiling #keepontrack #justkeepmoving #moveon #moveforward #fowardthinking</t>
  </si>
  <si>
    <t>keepontrack</t>
  </si>
  <si>
    <t>fowardthinking</t>
  </si>
  <si>
    <t>justkeepmoving</t>
  </si>
  <si>
    <t>zaid_lateef_official</t>
  </si>
  <si>
    <t>1582462172998147762_4532653729</t>
  </si>
  <si>
    <t>#attitute #instagood #summer #like4like #red #goodlife #photography #blogger #chic #lifestyle #outfit #life #goodvibes #quote #2150817 #iger #portraitmtl #made_in_mtl #mtl #shadow #style #fm2mag #canada #competition #neverbackdown #power #dynamic #onmywaytothetop #keepongoing #hiphop @bruceleetags</t>
  </si>
  <si>
    <t>mtl</t>
  </si>
  <si>
    <t>style</t>
  </si>
  <si>
    <t>aaaronn120</t>
  </si>
  <si>
    <t>1582466092213834892_346739842</t>
  </si>
  <si>
    <t>Advice on my jacket #addidas #neversettle #keepstriving #better#growingup #growth #inspiration #lovequotes #keepongoing</t>
  </si>
  <si>
    <t>keepstriving</t>
  </si>
  <si>
    <t>addidas</t>
  </si>
  <si>
    <t>abidale_j</t>
  </si>
  <si>
    <t>1582467711199868384_3403430317</t>
  </si>
  <si>
    <t>💛 Always look towards a brighter day 🌅 #keepongoing
#justsmile #lifemoments
Really need to wash my car 🤦🏽‍♀️ 🤣
#needacarwash</t>
  </si>
  <si>
    <t>Laughlin, Nevada</t>
  </si>
  <si>
    <t>lifemoments</t>
  </si>
  <si>
    <t>justsmile</t>
  </si>
  <si>
    <t>needacarwash</t>
  </si>
  <si>
    <t>running4wishes</t>
  </si>
  <si>
    <t>1582474694128655354_5507033999</t>
  </si>
  <si>
    <t>Day 68 - 340 down 160 to go
Believe and you can achieve #runningsick #keepongoing #runningtomakeadifference #makeawishfoundation #500in100 #pleasedonate @running4wishes #garminau</t>
  </si>
  <si>
    <t>pleasedonate</t>
  </si>
  <si>
    <t>makeawishfoundation</t>
  </si>
  <si>
    <t>garminau</t>
  </si>
  <si>
    <t>500in100</t>
  </si>
  <si>
    <t>life.balance</t>
  </si>
  <si>
    <t>1582474917725957614_2190333578</t>
  </si>
  <si>
    <t>You know, you are a runner if...
If you can't go running.... And see another runner passing you and you get so fucking jealous...
😩😩😩😩😩😩😩 #headache #runningman #Motivation #runnershigh #running #instapic #instarunners #sport #fitness #nopainnogain #Disziplin #asics #runner #runday #abnehmen #kalorien #Läufer #runnerspic #epic #keepongoing #Kopfsache</t>
  </si>
  <si>
    <t>abnehmen</t>
  </si>
  <si>
    <t>epic</t>
  </si>
  <si>
    <t>nicol_muller_tri</t>
  </si>
  <si>
    <t>1582478653182624968_3448903028</t>
  </si>
  <si>
    <t>Do you have a gym membership but have NO idea what to do 🤔? Want a Personal Trainer but can't quite afford the fees 💵? If I told you that you could have a Personal Trainer at your disposal for 1/4 of the cost would that excite you 😬? Our trainers at Fitness Squad are fully qualified and ready to get you fit and fabulous 🏋🏼‍♀️💃🏼🕺! We are at your disposal 24/7 and provide you with all the information you need. 
We monitor your progress and guide you every step of the way! 
Don't delay - get in contact today! .
.
.
Your fitness is 100% mental. Your body won't go where the mind doesn't push it!
.
.
.
#health #buildastrongbody #workout #activegoals #training #fitness #motivation #fitfam #keepongoing #fit #beatyesterday #crushitwithasmile</t>
  </si>
  <si>
    <t>1582484203604580743_796109963</t>
  </si>
  <si>
    <t>annebenhamou</t>
  </si>
  <si>
    <t>1582484909833706788_391791512</t>
  </si>
  <si>
    <t>All the canvas done are moving to a new destination to dry til October so they get varnish ! #drytime #canvascompleted #inmotion #contemporaryart #instaart #fineart #montrealartist #infrance #keepongoing</t>
  </si>
  <si>
    <t>contemporaryart</t>
  </si>
  <si>
    <t>drytime</t>
  </si>
  <si>
    <t>fineart</t>
  </si>
  <si>
    <t>montrealartist</t>
  </si>
  <si>
    <t>alina_tiikkainen</t>
  </si>
  <si>
    <t>1582493597981427815_490350776</t>
  </si>
  <si>
    <t>If it was easy, everybody would do it! Time to make things happen 💪👊 #5weeksout #beastmode #fatburningmode #bodyfitness #teamfitbodypro #nfe2017 #wednesday #motivation #contestprep #dietlife #letsdothis #hardwork #everyday #goals  #keepongoing #keeponsmiling #towardsthegoal Outfit @fit4you.fi ❤</t>
  </si>
  <si>
    <t>Oulu, Finland</t>
  </si>
  <si>
    <t>hardwork</t>
  </si>
  <si>
    <t>nfe2017</t>
  </si>
  <si>
    <t>wednesday</t>
  </si>
  <si>
    <t>duckyexplodes</t>
  </si>
  <si>
    <t>1582500487890269502_39461931</t>
  </si>
  <si>
    <t>Pick yourself up. Dust yourself off. Keep going. 💪</t>
  </si>
  <si>
    <t>keepitreal</t>
  </si>
  <si>
    <t>hustlehard</t>
  </si>
  <si>
    <t>aliaricuen</t>
  </si>
  <si>
    <t>1582503599384430795_1496451778</t>
  </si>
  <si>
    <t>Os Lucas #barranqueando #pirineo #keepongoing #canyoning #disfrutando #lavidaesparavivirla</t>
  </si>
  <si>
    <t>Orós Bajo, Aragon, Spain</t>
  </si>
  <si>
    <t>canyoning</t>
  </si>
  <si>
    <t>lavidaesparavivirla</t>
  </si>
  <si>
    <t>barranqueando</t>
  </si>
  <si>
    <t>disfrutando</t>
  </si>
  <si>
    <t>sfelicias</t>
  </si>
  <si>
    <t>1582504060681347346_301874625</t>
  </si>
  <si>
    <t>If you saw the size of the blessing coming, you would understand the magnitude of the battle you are facing. #begrateful #keepongoing #beautifulday #lights #feelingpretty #real #ynot #countrymomma #flowers #plaid #picoftheday</t>
  </si>
  <si>
    <t>beautifulday</t>
  </si>
  <si>
    <t>countrymomma</t>
  </si>
  <si>
    <t>feelingpretty</t>
  </si>
  <si>
    <t>1582508588358475389_297558307</t>
  </si>
  <si>
    <t>GM😁🌅Warriors🏹! My last run as a 40year old lady😱!!! Tomorrow bday time!!! Yeiiiiiiii!!! And I tell you, feeling better than ever!!! Let's see what tomorrow brings🙃!!! Daily 8K in the company of my amazing #djhardwell #hardwellonair what a podcast episode!!!!!!! Full energized!!!! Happy wensday Y'ALL!! #free #fitmama #fitmom #fitgirl #fitness #fitnessaddict #mamaenforma #mamacorriendo #run #running #runner #rundancing #gim #gimnasio #gym #gymgirl #gymlife #gymaddict #gymaholic #kikasporty #keeptrying #keepmoving #keepstrong #keepongoing #myanchor #mypassion #myhappyplace #40yearsyoung</t>
  </si>
  <si>
    <t>fitmama</t>
  </si>
  <si>
    <t>myanchor</t>
  </si>
  <si>
    <t>ayisseee</t>
  </si>
  <si>
    <t>1582509163244859219_640418826</t>
  </si>
  <si>
    <t>Something beautiful is on the horizon. #keepongoing</t>
  </si>
  <si>
    <t>nataliaphotography_net</t>
  </si>
  <si>
    <t>1582511437783571096_1673788031</t>
  </si>
  <si>
    <t>August is a special month in my calendar. It's the time when I work a lot, but also take advantage of the summer and go to the beach as often as I can. It's the time when my energy levels are high and I feel happy just by sitting on a sunny balcony. People often ask me if I don't mind the fact that I work in August -thanks for your concern, but I enjoy it!😅 Everything is so beautiful and people are happy. The city is vibrant. I love those vibes! And what do you do in August?
.
.
. 
Pic @misslunavega at @oneoceanclub_bcn 
#barcelonaphotographer #photographerbarcelona #photographerinbarcelona #barcelonafotografo #fotografoenbarcelona #freelancer #lovemyjob #dowhatyoulove #keepongoing #reachforyourdreams #nataliaphotography #barcelona #igersbarcelona #august #augustinbarcelona #barcelonamagazine</t>
  </si>
  <si>
    <t>OneOcean Club</t>
  </si>
  <si>
    <t>augustinbarcelona</t>
  </si>
  <si>
    <t>photographerinbarcelona</t>
  </si>
  <si>
    <t>freelancer</t>
  </si>
  <si>
    <t>ceciliagabrielli</t>
  </si>
  <si>
    <t>1582513803764008026_1413412396</t>
  </si>
  <si>
    <t>#keepup #keepon #keepongoing #nevergiveup #nevereverstopdreaming #rail #railways_of_our_world #railway #countryside #travel #viaggio #adventures #adventure #freedom #libertà #sky #picoftheday #pic #instapic #instafriends #instagram #l4like #L4l #l4l #l4likeforlikesback💋</t>
  </si>
  <si>
    <t>pic</t>
  </si>
  <si>
    <t>instagram</t>
  </si>
  <si>
    <t>l4l</t>
  </si>
  <si>
    <t>l4likeforlikesback💋</t>
  </si>
  <si>
    <t>mr.ironmac</t>
  </si>
  <si>
    <t>1582515182063864429_343936948</t>
  </si>
  <si>
    <t>This time last year I was training my dick off for a bodybuilding competition and now this year the game has completely changed for me as now I'm training to be a top mma fighter however keeping a good shape will never change 🌞i don't give up kid... . .
#success #winner #fitness #keepongoing #mma #goal #bethebest #shape #bodybuilding #gym #keeponpushing</t>
  </si>
  <si>
    <t>bethebest</t>
  </si>
  <si>
    <t>mma</t>
  </si>
  <si>
    <t>watdeboernietkent</t>
  </si>
  <si>
    <t>1582520864312686463_5631446713</t>
  </si>
  <si>
    <t>I deserved my breakfast 😉
Smashed my personal record which was 19.7 km/h. Today during my sprint I hit 21.3 km/h which is quite fast for my short legs 😂 Slowly starting to get faster and do longer sprints.. My goal is to participate at the MudMasters2018! 
#goals #fitgirl #fitdutchies #fitness #fitnessmotivation #keepongoing #running #mudmasters #limits #stayfit</t>
  </si>
  <si>
    <t>limits</t>
  </si>
  <si>
    <t>mudmasters</t>
  </si>
  <si>
    <t>fitdutchies</t>
  </si>
  <si>
    <t>rulenumberten</t>
  </si>
  <si>
    <t>1582524167016953359_189872296</t>
  </si>
  <si>
    <t>When life is trying to bring you down all you can do is keep a smile on your face. 
#smile #keepgoing #pogonophile #pinup #lifequotes #keepongoing #dontlookback #behappy #motivation #selfie #bored #hashtag #prettygirls #life</t>
  </si>
  <si>
    <t>pogonophile</t>
  </si>
  <si>
    <t>1582529138575864906_351197499</t>
  </si>
  <si>
    <t>be the best among the best 😎🐉 #justdowhatmakesyouhappy #keepongoing #nevergiveup #arquotes</t>
  </si>
  <si>
    <t>arquotes</t>
  </si>
  <si>
    <t>stadtwaldliebe</t>
  </si>
  <si>
    <t>1582531174819168365_3168713344</t>
  </si>
  <si>
    <t>Almost half way again 🛤🏖 #happy#humpday#happyhumpday#wednesday#madeithalfway#nature#naturelove#keepongoing#motivation#wednesdaywisdom#kidsarebest#august#stadtwaldliebe#photography#tierpark#inthepark#wildlife#wilderness#strolling#ootd#koelnergram#koelscheecken#cologne#germany#visit#travel#explore#nrw#koeln#köln © @stadtwaldliebe</t>
  </si>
  <si>
    <t>naturelove</t>
  </si>
  <si>
    <t>ootd</t>
  </si>
  <si>
    <t>1582535048450711730_4249248273</t>
  </si>
  <si>
    <t>Had a totally awesome time @vauxwallclimbing last night. I got my second EVER sit start!! 😁😁😁😁 Flashed it too! This was the second go because we didn't realise I'd zoom up the first time 😂😂thanks to @hughmagroo for the video and all the encouragement as I made my way up some of the boulders. Was also totally totally awesome meeting @captaincutloose in person and watching him climb 😊 yay to milestones, yay to pushing boundaries, yay to me actually enjoying bouldering rather than being super scared! 😁 #womancrushwednesday @thisgirlcanclimbing #thisgirlcan #thisgirlcanclimb #yesican #amputee #believeinyourself #bouldering #climber #climbing_is_my_passion #paraclimbing #training #goals #milestone #yay #dontgiveup #determination #muslim #hijab #ehlersdanlossyndrome #cancersurvivor #faceyourfears #happyplace #journey #keepongoing #pushyourlimits #mipster #noboundaries #outofmycomfortzone</t>
  </si>
  <si>
    <t>womancrushwednesday</t>
  </si>
  <si>
    <t>faceyourfears</t>
  </si>
  <si>
    <t>paraclimbing</t>
  </si>
  <si>
    <t>arrozeiro</t>
  </si>
  <si>
    <t>1582541346877505083_309122485</t>
  </si>
  <si>
    <t>Onde está o wally? 😜#colors #lifeincolor #happyness #crazyday #summer2017 #portugal #smile #keepongoing #grateful #me #sunny #madeiraisland #felicidade #ilhadamadeira #ondeestawally #whereiswally</t>
  </si>
  <si>
    <t>whereiswally</t>
  </si>
  <si>
    <t>portugal</t>
  </si>
  <si>
    <t>crazyday</t>
  </si>
  <si>
    <t>1582547719619313227_2075039459</t>
  </si>
  <si>
    <t>suicidal</t>
  </si>
  <si>
    <t>recoveryquotes</t>
  </si>
  <si>
    <t>recoveryisworthit</t>
  </si>
  <si>
    <t>1582553880382026975_244228468</t>
  </si>
  <si>
    <t>🌟 Great repost from @motivationbyeli</t>
  </si>
  <si>
    <t>1582560676144476014_185195397</t>
  </si>
  <si>
    <t>Get your heart pumping today; you will feel JOY, PEACE and a sense of ACCOMPLISHMENT! Happy Wednesday! 🙌⛹️‍♀️❤️
.
.
Today's post is a great recipe for well-being. It's perfect for anyone starting an exercise/running routine (I started from zero and didn't like running AT ALL). Tap the link in bio and Happy Workout! 👆🏃‍♀️
.
.
#happyrunning #runhappy #rundaily #befitforlife #choosejoy #chooselove #abundantlife #persevere #keepongoing #clarity #cakidiehl #kindnessmatters #compassionmatters #youareloved #youareenough #youareworthit #youareamazing #positivemindset #highvibes #highenergy #meditatedaily#joyfullife #appreciatelife #breatheinbreatheout #selfinquiry#charlestonsc #makeitcount #wednesdaywisdom</t>
  </si>
  <si>
    <t>joyfullife</t>
  </si>
  <si>
    <t>youareworthit</t>
  </si>
  <si>
    <t>appreciatelife</t>
  </si>
  <si>
    <t>wednesdaywisdom</t>
  </si>
  <si>
    <t>1582561463212602784_5509071474</t>
  </si>
  <si>
    <t>274.8 Lbs!!!! Was not expecting that! So happy to see I'm making progress. Don't know how accurate it is seeing how I'm at a different house with different flooring on the second floor but I'll take it 😁😁 down 5.3 Lbs 
#weightloss #weightlossjourney #weightlossdiary #weightlossblog #weightlossstory #weightlossmotivation #weightlossstory #weightlosscommunity #weightlosssupport #weightlossgoals #weightlossjournal #weightlossprogress #weighinwednesday #keepongoing #nevergiveup #youvegotthis</t>
  </si>
  <si>
    <t>weighinwednesday</t>
  </si>
  <si>
    <t>flitzeblitze</t>
  </si>
  <si>
    <t>1582561642444852666_894994963</t>
  </si>
  <si>
    <t>Think about it... Just cut them Off 😂. So simple... Bye 🤗🏃🏽‍♀️🌬#tschöö #idontcare #foolish #iknowbetter #youdeservemuchmore #karmaisabitch #keepplaying #fuckoff #games #play #players #dontmesswithme #notworthit #tolate #qoutes #words #thinkaboutit #keepongoing #loveyou @mj_gingersnap</t>
  </si>
  <si>
    <t>tolate</t>
  </si>
  <si>
    <t>idontcare</t>
  </si>
  <si>
    <t>karmaisabitch</t>
  </si>
  <si>
    <t>play</t>
  </si>
  <si>
    <t>thinkaboutit</t>
  </si>
  <si>
    <t>thechronicyogi</t>
  </si>
  <si>
    <t>1582563768804623133_4697629916</t>
  </si>
  <si>
    <t>'Life is a balance between what we can control and what we cannot. I am learning to live between effort and surrender.' - Danielle Orner
.
#beginneryogi #wookeyhole #wookeyholecaves #yogapants #onedayatatime #invisibleillness #chronicillness #spoonie #myeloproliferativeneoplasm #fibromyalgia #anxiety #depression #fatigue #pain #gooddayswiththebad #nevergiveup #keepongoing #practiceandalliscoming #yogis #yogi #yoga #yogaeverywhere #yogacommunity</t>
  </si>
  <si>
    <t>yogis</t>
  </si>
  <si>
    <t>yogi</t>
  </si>
  <si>
    <t>invisibleillness</t>
  </si>
  <si>
    <t>acrotrio_csk</t>
  </si>
  <si>
    <t>1582569353404387691_5770401663</t>
  </si>
  <si>
    <t>Ook op vakantie kunnen we het niet laten 🤸🏼‍♀️ #acrobaticgymnastics #vacation #spain #beach #valencia #sunshine #keepongoing #handstand</t>
  </si>
  <si>
    <t>acrobaticgymnastics</t>
  </si>
  <si>
    <t>1582570807577402957_5869703664</t>
  </si>
  <si>
    <t>Jump.
.
.
.
.
.
.
.
#travel#traveling#visiting#instatravel#instago#instagood#trip#holiday#photooftheday#fun#travelling#tourism#tourist#instapassport#instatraveling#mytravelgram#travelgram#travelingram#igtravel #walk #dream #live #nature #beautiful #bridge #lost #lucky #keepongoing #dontstop #dontquit</t>
  </si>
  <si>
    <t>tourist</t>
  </si>
  <si>
    <t>1582572926723490191_5801959162</t>
  </si>
  <si>
    <t>ARE YOU GRATEFUL? YES OR NO?🌟 👁Tag a person who MUST see this 👥Follow @motivationbyeli
📷@frauke_hagen for the original picture</t>
  </si>
  <si>
    <t>anetabatko</t>
  </si>
  <si>
    <t>1582575487656755726_328117199</t>
  </si>
  <si>
    <t>#farewell #with #linoleum #lastone #willbemiss #krakow #me #vsco #summer #chill #happykid #keepongoing 💕🐷🦄</t>
  </si>
  <si>
    <t>Linoleum</t>
  </si>
  <si>
    <t>happykid</t>
  </si>
  <si>
    <t>willbemiss</t>
  </si>
  <si>
    <t>farewell</t>
  </si>
  <si>
    <t>lastone</t>
  </si>
  <si>
    <t>ioana.liviana</t>
  </si>
  <si>
    <t>1582575875890426536_217235240</t>
  </si>
  <si>
    <t>And try not getting discouraged 😀
.
.
.
.
.
.
.
.
.
.
#quote #instaquote #instaquotes #quoteoftheday✏️ #quotes #calligraphypractice #calligraphylove #caligrafie #calligraphy #nibcalligraphy #penita #motivation #keepongoing #courage #beginning</t>
  </si>
  <si>
    <t>calligraphy</t>
  </si>
  <si>
    <t>beginning</t>
  </si>
  <si>
    <t>dailyinspquotes</t>
  </si>
  <si>
    <t>1582576979487251600_5874919840</t>
  </si>
  <si>
    <t>failing means that you tried. 
you can't fail, if you did not try. #keepongoing #wednesdaywisdom</t>
  </si>
  <si>
    <t>nigeloostra</t>
  </si>
  <si>
    <t>1582577450063530467_443825520</t>
  </si>
  <si>
    <t>⭕️ #gent #belgium #canals #neverstop #travel #explore #city #citytrip #keepongoing #iphonephotography #ale</t>
  </si>
  <si>
    <t>Maven</t>
  </si>
  <si>
    <t>canals</t>
  </si>
  <si>
    <t>gent</t>
  </si>
  <si>
    <t>belgium</t>
  </si>
  <si>
    <t>iphonephotography</t>
  </si>
  <si>
    <t>no.1tigerfan</t>
  </si>
  <si>
    <t>1582581627582004849_1578469491</t>
  </si>
  <si>
    <t>#keepongoing#dontstop</t>
  </si>
  <si>
    <t>1582585475762482574_279512262</t>
  </si>
  <si>
    <t>Выставка Моранди, как очередной повод зайти к импрессионистам и Винсенту.
.
#vscogood #livethedream #summer #daily #museum #exibition #picoftheday #keepcalm #keepongoing #lifeex #livealittle #liveauthentic #modernart #artlover #morandi</t>
  </si>
  <si>
    <t>Галерея искусства стран Европы и Америки XIX-XX веков</t>
  </si>
  <si>
    <t>museum</t>
  </si>
  <si>
    <t>yi_kai_wolf</t>
  </si>
  <si>
    <t>1582587095024484969_1638201012</t>
  </si>
  <si>
    <t>Don't let anything to stop your dream👌
#bespecial #dreambig #staypositive #keepongoing #dontstop #anything #loveyourself #lifeisprecious</t>
  </si>
  <si>
    <t>bespecial</t>
  </si>
  <si>
    <t>lifeisprecious</t>
  </si>
  <si>
    <t>1582587530115670052_279512262</t>
  </si>
  <si>
    <t>Александр Тышлер — открытие этого лета. 
А вместе с ним чуть менее яркое открытие Гариф Басыров.
.
#vscogood #livethedream #daily #art #artlover #livelife #museum #exibition #vibes #vscocam #keepcalm #keepongoing #picoftheday #modernart</t>
  </si>
  <si>
    <t>Отдел Личных Коллекций</t>
  </si>
  <si>
    <t>vscocam</t>
  </si>
  <si>
    <t>m_schaefer_sis</t>
  </si>
  <si>
    <t>1582591591745782232_5538209905</t>
  </si>
  <si>
    <t>"back to the future" 🚛
We keep that truck moving since 30 years...
of course no longer in it's original condition 😉
At this point a warm thanks to our colleague for the submitted picture
#team #schaeferundsis #keepongoing</t>
  </si>
  <si>
    <t>schaeferundsis</t>
  </si>
  <si>
    <t>1582595060478026627_429036895</t>
  </si>
  <si>
    <t>Don't let anyone bring you down, follow your own dreams! 
Ik heb mezelf ooit de druk op gelegd om "perfect" te moeten zijn... Wat de definitie daarvan ook mag zijn. Onrealistisch en totaal niet bevredigend, in tegendeel. In plaats van de focus op de buitenkant te leggen ben ik mij gaan focussen op de vitaliteit aan de binnenkant. Er is nog veel winst te behalen maar het begin is er! 💪 - Focus - Mindset - Dedication -
#brunette #dutch #fitdutchie #girlwholifts #weightlifting #backday #workinprogress #edrecovery #girlonamission #bodyandmind #fit #balance #fitnesslife #fitchick #fitnesschick #dedication #dreams #fitfam #daretodream #hardwork #keepongoing</t>
  </si>
  <si>
    <t>lucreziazaio</t>
  </si>
  <si>
    <t>1582598496190569843_198441347</t>
  </si>
  <si>
    <t>🇮🇹☀️#day3 #orvieto #keepongoing #neverstop #holidays #italy #foreveronvacation #beautiful #duomo #duomodiorvieto</t>
  </si>
  <si>
    <t>Orvieto</t>
  </si>
  <si>
    <t>foreveronvacation</t>
  </si>
  <si>
    <t>duomodiorvieto</t>
  </si>
  <si>
    <t>day3</t>
  </si>
  <si>
    <t>novelhuman</t>
  </si>
  <si>
    <t>1582598850391489428_5484016884</t>
  </si>
  <si>
    <t>🙏🏻 #blessed 🙌🏻 #mind #body #spirit #connection #heart #soul #brain #home #love #family #positivethinking #positiveenergy #qoutesoftheday #desire #motivation #keepongoing #liveinthemoment #livelaughlove #novelhuman</t>
  </si>
  <si>
    <t>blessed</t>
  </si>
  <si>
    <t>qoutesoftheday</t>
  </si>
  <si>
    <t>desire</t>
  </si>
  <si>
    <t>mind</t>
  </si>
  <si>
    <t>1582601571034888781_263886655</t>
  </si>
  <si>
    <t>New geeky glasses! 🤓 #geek #glasses #specs #spectables #instyle #new #icanseeclearlynow #geekygirl #menglasses #forme #kangewoon #brownhair #curlyhair #shorthair #curlycurls #goodday #greennails #arrogantekopvolgenshetvriendje #honestly #goinggood #keepongoing #bye</t>
  </si>
  <si>
    <t>arrogantekopvolgenshetvriendje</t>
  </si>
  <si>
    <t>new</t>
  </si>
  <si>
    <t>goinggood</t>
  </si>
  <si>
    <t>menglasses</t>
  </si>
  <si>
    <t>1582602359672958250_5705167414</t>
  </si>
  <si>
    <t>When people say Steph is overrated #Dubnation
-
-
-
-
-
-
-
-
-
-
-
-
-
-
-
-
-
-
-
-
-
-
-
-
-
-
-
-
-
-
-
-
-
-
-
-
-
-
-
-
 #StephGonnaSteph #Mvp #SC30 #KT11 #DG23 #CURRYMVP #KEEPONGOING #NEVERGIVEUP #WCF #WEST #WESTERNCONFERENCEFINALS #CHAMPS #DUBSFORCHAMPS #DUBS #ALWAYSBELIEVEINGOD #STEPHENCURRY #EVEN #NBA #2016CHAMPS #CHAMPIONS #LOCKIN #STEPH #SPLASH #SPLASHBROS  #like4like #like4follow #follow4follow</t>
  </si>
  <si>
    <t>magnus_didier</t>
  </si>
  <si>
    <t>1582602407831981918_1125709852</t>
  </si>
  <si>
    <t>Hope is like the sun,which, as we journey toward it ,casts our shadow of burden behind us. #keepongoing</t>
  </si>
  <si>
    <t>my_fitandtravel_journey</t>
  </si>
  <si>
    <t>1582610071129179073_5887591444</t>
  </si>
  <si>
    <t>I'm just a girl that loves traveling and sports.. ✈️🏋🏼‍♀️That's why I want to motivate you, to get motivated by you, to share my journey's and to watch yours! 🎀💕 So let's do a throwback to one of my travels!🇮🇹 #travel #fitness #fitgirl #healthyfood #foodie #followme #fitdutchie #wanderlust #newexperiences #motivation #journeys #lifestories #withme #staystrong #keepongoing #livelife #my_fitandtravel_journey @my_fitandtravel_journey</t>
  </si>
  <si>
    <t>newexperiences</t>
  </si>
  <si>
    <t>lifestories</t>
  </si>
  <si>
    <t>bh_jane_wbb</t>
  </si>
  <si>
    <t>1582612264404620245_218949811</t>
  </si>
  <si>
    <t>First day,  #gymday , 1 hour workout done ~ 💪
#weightlossjourney #keepongoing #workout</t>
  </si>
  <si>
    <t>gymday</t>
  </si>
  <si>
    <t>unbelievable.scenes</t>
  </si>
  <si>
    <t>1582612442906425752_3623406174</t>
  </si>
  <si>
    <t>A rare phenomenon called "upward-moving" lightning, also known as "ground-to-cloud" lightning. Photo by @extremenature
.
.
.
.
.
.
.
.
#travelwell #beachbar #earthspirit #keepongoing #keepittight #jomblotraveler #paradisefalls #travelstoke #traveladventure #skyporn #lifeislife #beachvibes #travelmagazine #statravel #travelgear #spiritualquotes #paradisedynasty #instagood #oceanvibes #bestbeach #travelstory #lifeisart #vscocam #livenow #instatravels</t>
  </si>
  <si>
    <t>instatravels</t>
  </si>
  <si>
    <t>oceanvibes</t>
  </si>
  <si>
    <t>travelgear</t>
  </si>
  <si>
    <t>livenow</t>
  </si>
  <si>
    <t>traveladventure</t>
  </si>
  <si>
    <t>1582613207863783188_5495249433</t>
  </si>
  <si>
    <t>Quick and easy dinner tonight👍
 Left over salmon shredded and mixed with some salad 🍅🥒🐟</t>
  </si>
  <si>
    <t>nourishedlife</t>
  </si>
  <si>
    <t>wellbeing</t>
  </si>
  <si>
    <t>moonie1210</t>
  </si>
  <si>
    <t>1582615242034006443_2219987024</t>
  </si>
  <si>
    <t>Done checking my students activity sheets.. Tiring but its OK.. #strivingtobeateacher #keepongoing #photograpy</t>
  </si>
  <si>
    <t>strivingtobeateacher</t>
  </si>
  <si>
    <t>photograpy</t>
  </si>
  <si>
    <t>kyraverkerk</t>
  </si>
  <si>
    <t>1582616559799711576_4148804549</t>
  </si>
  <si>
    <t>Training 2/4 zit er weer op✔
#workinprogress #workout💪 #keepongoing #motivation #hitthegym #wednesdaymorning #blijvenpushen🙆‍♀️ #opfrissenisnuhardnodig #evenbeentjesomhoog #spierpijn😥</t>
  </si>
  <si>
    <t>hitthegym</t>
  </si>
  <si>
    <t>opfrissenisnuhardnodig</t>
  </si>
  <si>
    <t>spierpijn😥</t>
  </si>
  <si>
    <t>evenbeentjesomhoog</t>
  </si>
  <si>
    <t>1582619626054036955_5876941399</t>
  </si>
  <si>
    <t>Couldn't agree more. Stay powerful and chillexed😎💪 😍
#diabeatthis #diabeteslife #diabetic #diabetics #diabadass #typeone #insulin #type1diabetes #diabetessupport #t1d #typeone #t1warrior #endlesspossibilities #staystrong #keepongoing #butfirstinsulin #power #diabeticfamily 💖</t>
  </si>
  <si>
    <t>diabeticfamily</t>
  </si>
  <si>
    <t>diabetics</t>
  </si>
  <si>
    <t>type1diabetes</t>
  </si>
  <si>
    <t>diabeteslife</t>
  </si>
  <si>
    <t>1582622565457009592_2317517565</t>
  </si>
  <si>
    <t>Når man lige kaster 300% længere pga. et par guldkorn. @gissek87 startede sørgeligt og sluttede flot👏🏋🏼‍♀️💃🍾
••• #mortentillitzdk  #whatwouldbeyoncedo #toldyouso #tropådet #personligtræner #personaltrainer #cycling #Cykling #styrketræning #løb #Svømning #Swim #running #stronger #personligtræner #mitodense #fitfam #ﬁtfamdk #actionequalsresults #handlingskabersucces #helkropstræning #fullbody #SunRiceClubbyMortenTillitzDK #mentalpause #blivved #keepongoing #styrketræning #painfree #smertefri #søvn #sleep #mitodense</t>
  </si>
  <si>
    <t>mortentillitzdk</t>
  </si>
  <si>
    <t>silviabrouling</t>
  </si>
  <si>
    <t>1582625443075800387_180027801</t>
  </si>
  <si>
    <t>X RUNNERS - La Massana (ANDORRA)
Carrera diferente: 4km, 300m desnivel y 95% por agua. Salida individual cronometrada cada 30" y todo el recorrido río arriba. 
Sin resultados oficiales por un problema con los cronos, me quedo con que lo di todo, me caí mil veces pero me levanté una más, y me divertí muchísimo!!💪🏼💥 •
La excusa perfecta para hacer el cabra hasta  que la lesión me deje volver al 100%...😅 @natursport 💪🏼💪🏼💪🏼</t>
  </si>
  <si>
    <t>La Massana</t>
  </si>
  <si>
    <t>jamesjan01</t>
  </si>
  <si>
    <t>1582625542321270624_2260473745</t>
  </si>
  <si>
    <t>爽練一波
請各位前輩不吝指教
#keepongoing #practice</t>
  </si>
  <si>
    <t>___h_a_n_n_a_h___</t>
  </si>
  <si>
    <t>1582631328321380719_1029600207</t>
  </si>
  <si>
    <t>Never let anyone or anything break you💪🏻#keepongoing #nevergiveup #mindbodysoul #photographysouls</t>
  </si>
  <si>
    <t>photographysouls</t>
  </si>
  <si>
    <t>mindbodysoul</t>
  </si>
  <si>
    <t>shleevision</t>
  </si>
  <si>
    <t>1582631537642454627_1438520729</t>
  </si>
  <si>
    <t>After a minor set back of my body revolting against me, I pushed through and now am down 21lbs. It's hard. #weightloss #everypoundcounts #youvegottomoveitmoveit #bodygoals #keepongoing</t>
  </si>
  <si>
    <t>bodygoals</t>
  </si>
  <si>
    <t>youvegottomoveitmoveit</t>
  </si>
  <si>
    <t>everypoundcounts</t>
  </si>
  <si>
    <t>ioanacristina94</t>
  </si>
  <si>
    <t>1582633235674750395_2921757082</t>
  </si>
  <si>
    <t>Faith is taking the first step even when you don't see the whole staircase! #smile #me #endofholiday #keepongoing #sea #sun #selfie #allagrande #comingback #believe #faith #willbeok</t>
  </si>
  <si>
    <t>willbeok</t>
  </si>
  <si>
    <t>allagrande</t>
  </si>
  <si>
    <t>ckleinlifts</t>
  </si>
  <si>
    <t>1582633610031141973_2962551947</t>
  </si>
  <si>
    <t>16 August 2017// It's Wednesday so that means WCW right? For those who don't know, it's woman crush Wednesday!
Honestly I can say that I've been crushing hard on this one. From when I first met her to even now, she is always so motivated to do her best in everything she sets out to do. She's always by my side cheering me on when it comes to my fitness goals and I'm there to do the same for her.
I've only met a handful of people who are dedicated like her and I hope to be there by her side through every accomplishment.
She didn't want me to post this picture but I had to 😂.
Context for this pic: My face when I see the finish line and ready to sprint the last part.
#fitness #fitnessmotivation #fitfam #instafit #instafitness #workout #motivation #hardwork #running #5k #dedication #dedicated #fun #girlfriend #fitcouple #hkgirl
#hongkonggirlfriend #nevergiveup #neverboring #cardio #keepongoing #wcw #womancrushwednesday #shemotivatesme #crush #mirin #admiring #mile</t>
  </si>
  <si>
    <t>girlfriend</t>
  </si>
  <si>
    <t>1582635684048399959_5495249433</t>
  </si>
  <si>
    <t>Simple yet true! Keep grinding 👊👊</t>
  </si>
  <si>
    <t>obesetobeast</t>
  </si>
  <si>
    <t>1582637418635568709_5750066467</t>
  </si>
  <si>
    <t>Meine lieblings Übung, für den Rücken!'😈
----------------------------------------------------
#latziehen #gym #motivation #shredded #bodybuilding #keepongoing #esgehtlos 💥💥</t>
  </si>
  <si>
    <t>esgehtlos</t>
  </si>
  <si>
    <t>latziehen</t>
  </si>
  <si>
    <t>ksenya_komarova</t>
  </si>
  <si>
    <t>1582638131323372161_48687323</t>
  </si>
  <si>
    <t>Москва встретила меня очень неоднозначными новостями 😐 
Раньше, когда я встречала опечаленных, расстроенных, плачущих людей на своём пути (неважно где: на улице, в метро, в кафе...) меня всегда одолевали сомнения на тему "подойти ли к этому человеку и попытаться ему помочь, поддержать" или "нужно оставить его в покое и не доставать. кто я такая, чтоб лезть кому-то в душу?!". В итоге пришла к тому, что вариант "совершить попытку поддержать" мне ближе. И сегодня, оказавшись на месте этих людей, убедилась, что сделала правильный выбор. Иногда просто важно, чтоб кто-то был рядом. 
А еще, интуиция - мощнейшая штука, все-таки... 🔮 #непроведёшь 
А еще, впереди совершенствование существующего пути и открытие нового 🙌 #keepongoing #biggirlsdontcry</t>
  </si>
  <si>
    <t>Novoslobodskaja</t>
  </si>
  <si>
    <t>непроведёшь</t>
  </si>
  <si>
    <t>biggirlsdontcry</t>
  </si>
  <si>
    <t>abbyboon14</t>
  </si>
  <si>
    <t>1582640854341556468_232480477</t>
  </si>
  <si>
    <t>没有谁的幸运，凭空而来，只有当你足够努力，你才会足够幸运。这世界不会辜负每一份努力和坚持。时光不会怠慢执着而勇敢的每一个人Fighting for yourself and also for family and the love one😃😃😃#fighting #keepongoing</t>
  </si>
  <si>
    <t>sylvia_siwei96</t>
  </si>
  <si>
    <t>1582642114922094720_3226269487</t>
  </si>
  <si>
    <t>I found an app which has so many girlish filters.😙
#normalday 
#girlish 
#keepongoing</t>
  </si>
  <si>
    <t>normalday</t>
  </si>
  <si>
    <t>girlish</t>
  </si>
  <si>
    <t>svtorre92</t>
  </si>
  <si>
    <t>1582644906400642875_5420509777</t>
  </si>
  <si>
    <t>Keep on growing strong! 💪 #gymlife #step #legday #keepongoing #fitness #fitgirl #bluvengoan</t>
  </si>
  <si>
    <t>Sportoase Duinenwater</t>
  </si>
  <si>
    <t>bluvengoan</t>
  </si>
  <si>
    <t>step</t>
  </si>
  <si>
    <t>lieselc87</t>
  </si>
  <si>
    <t>1582645204422749642_2725690276</t>
  </si>
  <si>
    <t>Just found this little beaut 👭☝️💕 #mygirls #thesetwo #prosecco🍾 #proseccogirls🥂 #proseccodays #clapham #thejamtree #pouters #drunkby3pm #keepongoing #ihadtostartwithabloodymary🙈 #hungoverwheniarrived @lottychar</t>
  </si>
  <si>
    <t>proseccodays</t>
  </si>
  <si>
    <t>drunkby3pm</t>
  </si>
  <si>
    <t>proseccogirls🥂</t>
  </si>
  <si>
    <t>mygirls</t>
  </si>
  <si>
    <t>ihadtostartwithabloodymary🙈</t>
  </si>
  <si>
    <t>firman_ffadeli</t>
  </si>
  <si>
    <t>1582646038811078541_2081334795</t>
  </si>
  <si>
    <t>Etaa taah..
.
Semangat jombloers.
Mungkin kamu terlihat hina di mata teman sebaya, namun kau mulia dimata Nya, insyaAllah
.
@bezenkeren
#keepongoing 
#jomblobahagia 
#hamasah</t>
  </si>
  <si>
    <t>jomblobahagia</t>
  </si>
  <si>
    <t>hamasah</t>
  </si>
  <si>
    <t>1582649629110155994_5532723709</t>
  </si>
  <si>
    <t>Working on those body shots weight jacket of allot sharper 🥊🥊#hitters #hitt #hitthatbitforthegram #gymshark #gymmotivation #instadaily #instagrammer #instafit #personaltrainer #weighttraining #bettermyself #nevergiveup #keepongoing #fitness #fitnessblogger</t>
  </si>
  <si>
    <t>hitters</t>
  </si>
  <si>
    <t>hitt</t>
  </si>
  <si>
    <t>instagrammer</t>
  </si>
  <si>
    <t>iditbarsky</t>
  </si>
  <si>
    <t>1582655366021218555_229265971</t>
  </si>
  <si>
    <t>#fitnessmotivation #fitness #getfit #motivation #girlsmotivation #healthylifestyle #healthyeating #eatclean #strongwomen #workoutmotivation #workhard #believeinyourself #dontquit #motivationquotes #fitnessquotes #keepongoing #happyness</t>
  </si>
  <si>
    <t>1582658563673777325_5801959162</t>
  </si>
  <si>
    <t>ARE READY FOR SUCCESS? YES
OR NO?🌟 👁Tag a person who MUST see this 👥Follow @motivationbyeli
📷@josh.perrett for the original picture</t>
  </si>
  <si>
    <t>travelling_tumor</t>
  </si>
  <si>
    <t>1582660635208288495_5781397138</t>
  </si>
  <si>
    <t>On the Camino
7 a.m starting the Camino at Sarria with Nordic walking sticks instead of a pilgrim stick, looking out for a scallop shell to identify myself as a pilgrim. .
. 
#camino #onthecamino #encamino #caminodesantiago #jakobsweg #earlymorning #streetart #bytheriver in #sarria #galicia #pilgrim with #breastcancer #metastaticcancer under #chemotherapy #keepongoing #neverquit #lifeisbeautifull #cancerfighter #nonsimolla</t>
  </si>
  <si>
    <t>Sarria</t>
  </si>
  <si>
    <t>cancerfighter</t>
  </si>
  <si>
    <t>bytheriver</t>
  </si>
  <si>
    <t>chemotherapy</t>
  </si>
  <si>
    <t>nonsimolla</t>
  </si>
  <si>
    <t>cabucabins</t>
  </si>
  <si>
    <t>1582661018869683465_4091599099</t>
  </si>
  <si>
    <t>Our cabins are quick to build and designed to your specs. So if it's a yoga room you fancy, then it’s a yoga room you will get. Just contact mail@cabu.co.uk for more information. ⠀
•
•
•
•
•
#cabin #cabinlife #cabinfever #detail #design #architecture #archilovers #hygge #lettherebelight #nature #wilderness #cabucabins #hiddengem #roamtheplanet #thegreatoutdoors #getlost #escape #instagood #photooftheday #architectureporn #modern #furniture #keepongoing #letsgo</t>
  </si>
  <si>
    <t>cabinfever</t>
  </si>
  <si>
    <t>lettherebelight</t>
  </si>
  <si>
    <t>1582666281663253833_2065144435</t>
  </si>
  <si>
    <t>Big fan of accidentally turning up at Altun Ha in between tour busses - almost no one around.
#belize #maya</t>
  </si>
  <si>
    <t>Altun Ha</t>
  </si>
  <si>
    <t>travelclub</t>
  </si>
  <si>
    <t>maya</t>
  </si>
  <si>
    <t>teamtravelers</t>
  </si>
  <si>
    <t>1582668581668351061_3558771772</t>
  </si>
  <si>
    <t>#sunny #morning #run #keepongoing #nopainnogain</t>
  </si>
  <si>
    <t>Sallins</t>
  </si>
  <si>
    <t>atleetha</t>
  </si>
  <si>
    <t>1582672733232550038_1551009989</t>
  </si>
  <si>
    <t>🖤if you want to be a lion, you must train with lions🖤 sometimes I need some motivation... or like now some energy⚡️. Je hebt van die dagen dat het even wat minder gaat. Ik heb dat nu al een week maar morgen ga ik er weer voor met mn trainingsbuddy @verosworld.92 💪🏼. Hoe ik gisteren nog 3maanden zwanger leek (lang leve pds, lacto intolerant en stress) is vandaag alles gelukkig weer redelijk recht getrokken. Nu weer back on track en vooruit proberen te blijven kijken! #staystrong #motivation #quotes #backontrack #absinprogress #fitfam #fitmom #fitfamnl #fitmomslife #runnersworld #womenshealth #staypositive #getridofnegativity #stressedlife #keepongoing #girlwholift #girlwhorun #halvemarathontraining #decathlon #abcheck #bestrong #</t>
  </si>
  <si>
    <t>girlwholift</t>
  </si>
  <si>
    <t>1582675445948957615_2065144435</t>
  </si>
  <si>
    <t>Sending it since day zero
#belize</t>
  </si>
  <si>
    <t>theglobewanderer</t>
  </si>
  <si>
    <t>tessieherrasti</t>
  </si>
  <si>
    <t>1582677409696855040_2326435757</t>
  </si>
  <si>
    <t>In my green dimension I can think of everyone and everything, my fears, my dreams, my hopes, my deception. Sometimes I feel like drowning in the substance of life and others, I feel like I can't give a step further. I always decide to fight and keep on walking and someday I'll get everything that I'm dreaming of. In the end of the road I might find myself with a bigger smile and a warm feeling of inclusion. #green #thoughts #poetry #actresslife #artist #toquitornottoquit #keepongoing #smile #think #believe</t>
  </si>
  <si>
    <t>ARoS Aarhus Art Museum</t>
  </si>
  <si>
    <t>actresslife</t>
  </si>
  <si>
    <t>these.thoughts.are.mine</t>
  </si>
  <si>
    <t>1582677484532387118_5853008004</t>
  </si>
  <si>
    <t>I woke up feeling slightly defeated today when I found a new rash from either #entyvio or my #autoimmune issues. But instantly I reminded myself that I have to #staypositive and #keepongoing because I'm the one who sets the mood for my whole day. So I got up, fixed my hair, put on some make up and my big girl pants! Stay strong everyone! #spoonie #ulcerativecolitislife #colitis #colitisfighter #curlyhair #makeup #chipmunkcheeks #prednisone #maketodaygreat #snapchatfilters</t>
  </si>
  <si>
    <t>autoimmune</t>
  </si>
  <si>
    <t>prednisone</t>
  </si>
  <si>
    <t>1582678422864531577_5620542121</t>
  </si>
  <si>
    <t>Arms done for today. Some small gainz and veins are growing 💪😁 #gym #fitness #gympex #smallgains #armworkout #dreambig #stayhungry #stayfocused #keepongoing #grindseason #loyalfitness @loyalfitness #workonit #training #trytogetbig #instapic #hashtag ##dowhatyoulove #dowhatuwant</t>
  </si>
  <si>
    <t>smallgains</t>
  </si>
  <si>
    <t>grindseason</t>
  </si>
  <si>
    <t>robbinsinteriors</t>
  </si>
  <si>
    <t>1582679087276911768_2208100266</t>
  </si>
  <si>
    <t>Back in Augusta and excited to see progress on our client's home!  #hardwoodsarein #democomplete #keepongoing #robbinsinteriors #augustadecorator</t>
  </si>
  <si>
    <t>Augusta, Georgia</t>
  </si>
  <si>
    <t>augustadecorator</t>
  </si>
  <si>
    <t>democomplete</t>
  </si>
  <si>
    <t>hardwoodsarein</t>
  </si>
  <si>
    <t>marc_mob</t>
  </si>
  <si>
    <t>1582679175674835724_1393254721</t>
  </si>
  <si>
    <t>Week 6, day 3 of #awakentrainingseries 
What an awesome session it was! TGU, bulgarian split squats, 1 arm presses, 1 leg RDL and so much more!
Squats are feeling stronger by the day! Rebuilding the body with  @functional.bodybuilding @revivalstrength 
#nike #xoomproject #tgu #turkishgetup #presses #romaniandeadlift #1leg #deadlift #splitsquat #bulgarian #stronger #harder #faster #rebuildstrength #functionaltraining #fitlife #mindoverbody #positivity #justdoit #alwaysbeyou #unicornpower #functional #bodybuilding #movebetter #keepongoing #nutritech</t>
  </si>
  <si>
    <t>Mob Athletic</t>
  </si>
  <si>
    <t>1leg</t>
  </si>
  <si>
    <t>deadlift</t>
  </si>
  <si>
    <t>harder</t>
  </si>
  <si>
    <t>rebuildstrength</t>
  </si>
  <si>
    <t>kandipowe</t>
  </si>
  <si>
    <t>1582686174198245253_186567137</t>
  </si>
  <si>
    <t>#Repost @chee.classon (@get_repost)
・・・
😍😍😍#selflove #compassion #bethechange🌎 #selfawareness  #positivequotes #patience #forgiveness #integrity #keepongoing #pray #affirmations #spiritguide #bethelight #begenerous #reflect #refocus #give #rest #selfcare  #positivevibes</t>
  </si>
  <si>
    <t>forgiveness</t>
  </si>
  <si>
    <t>integrity</t>
  </si>
  <si>
    <t>kuntaros_kk</t>
  </si>
  <si>
    <t>1582687227884287191_7939630</t>
  </si>
  <si>
    <t>💖Fit Girls Look Good Naked🏋🏻‍♀️🚴🏻‍♀️💪🏻 วิ่ง ปั่น เวท วนไป!!!#kkforsixpacks #letsworkout #cardio #weighttraining #keepongoing #fighting</t>
  </si>
  <si>
    <t>Dogpatch</t>
  </si>
  <si>
    <t>Patio Club House</t>
  </si>
  <si>
    <t>kkforsixpacks</t>
  </si>
  <si>
    <t>letsworkout</t>
  </si>
  <si>
    <t>1582696911884873224_4203455377</t>
  </si>
  <si>
    <t>This total babe 😝🔥
Model: @thamires.hauch</t>
  </si>
  <si>
    <t>1582707381119381007_5705167414</t>
  </si>
  <si>
    <t>The feeling you get every morning when you have to wake up early and go to school #Dubnation
-
-
-
-
-
-
-
-
-
-
-
-
-
-
-
-
-
-
-
-
-
-
-
-
-
-
-
-
-
-
-
-
-
-
-
-
-
-
-
-
 #StephGonnaSteph #Mvp #SC30 #KT11 #DG23 #CURRYMVP #KEEPONGOING #NEVERGIVEUP #WCF #WEST #WESTERNCONFERENCEFINALS #CHAMPS #DUBSFORCHAMPS #DUBS #ALWAYSBELIEVEINGOD #STEPHENCURRY #EVEN #NBA #2016CHAMPS #CHAMPIONS #LOCKIN #STEPH #SPLASH #SPLASHBROS  #like4like #like4follow #follow4follow</t>
  </si>
  <si>
    <t>mooiebuikjes</t>
  </si>
  <si>
    <t>1582708515989030387_3543906618</t>
  </si>
  <si>
    <t>Repost from @atleetha 🖤if you want to be a lion, you must train with lions🖤 sometimes I need some motivation... or like now some energy⚡️. Je hebt van die dagen dat het even wat minder gaat. Ik heb dat nu al een week maar morgen ga ik er weer voor met mn trainingsbuddy @verosworld.92 💪🏼. Hoe ik gisteren nog 3maanden zwanger leek (lang leve pds, lacto intolerant en stress) is vandaag alles gelukkig weer redelijk recht getrokken. Nu weer back on track en vooruit proberen te blijven kijken! #staystrong #motivation #quotes #backontrack #absinprogress #fitfam #fitmom #fitfamnl #fitmomslife #runnersworld #womenshealth #staypositive #getridofnegativity #stressedlife #keepongoing #girlwholift #girlwhorun #halvemarathontraining #decathlon #mooiebuikjes #gymshark #gymsharkwomen #abs #absongirls</t>
  </si>
  <si>
    <t>stressedlife</t>
  </si>
  <si>
    <t>absongirls</t>
  </si>
  <si>
    <t>womenshealth</t>
  </si>
  <si>
    <t>ms_boszy84</t>
  </si>
  <si>
    <t>1582710521780774618_430392769</t>
  </si>
  <si>
    <t>Our morning walk 🤷🏻‍♀️😘😍❤️ #igothrualotshitbutibeok #goodmotivation #keepongoing #strongenought</t>
  </si>
  <si>
    <t>goodmotivation</t>
  </si>
  <si>
    <t>strongenought</t>
  </si>
  <si>
    <t>igothrualotshitbutibeok</t>
  </si>
  <si>
    <t>1582715594497757596_1972606430</t>
  </si>
  <si>
    <t>Yes🙌🏼!! // #prestoknowsbest
-
-
#liveandlearn #dontsettle #mindsetshift #dropout #content #quotesoflife #fireyourboss #empowernetwork #onlinesuccess #personalgrowth #motivateyourself #betteryourself #keepongoing #mindsetiseverything #inspiredaily #valueyourself #valuelife #entrepreneurmind #newmindset #goalachiever</t>
  </si>
  <si>
    <t>motivateyourself</t>
  </si>
  <si>
    <t>mindsetshift</t>
  </si>
  <si>
    <t>digtheline</t>
  </si>
  <si>
    <t>1582717259594510507_4020070228</t>
  </si>
  <si>
    <t>So #good so #healthy... so #expansive  #rawbite #healthyfood #timetostudy #keepongoing #food #instafood</t>
  </si>
  <si>
    <t>rawbite</t>
  </si>
  <si>
    <t>expansive</t>
  </si>
  <si>
    <t>good</t>
  </si>
  <si>
    <t>girls_fitness_vault</t>
  </si>
  <si>
    <t>1582717579678485894_2977071757</t>
  </si>
  <si>
    <t>@girls_fitness_vault for more 👈🏻
✨ Double tap if you Like it ✨
-</t>
  </si>
  <si>
    <t>associate_ecommerce</t>
  </si>
  <si>
    <t>1582718276050604361_5413152670</t>
  </si>
  <si>
    <t>Had I really succeeded at anything else I might never have found the determination to succeed in the one arena where I believed I truly belonged.
.
I was set free because my greatest fear had been realized...and I was still alive...and I still had a daughter whom I adored...and I had an old typewriter...and a big idea.
.
And so rock bottom became the solid foundation on which I rebuilt my life.
.
You might never fail on the scale I did, but some failure in life is inevitable. It is impossible to live without failing at something unless you live so cautiously that you might as well not have lived at all.
.
In which case, you fail by default. 🤔😊
.
@officialjkrowling #wednesdaywisdom</t>
  </si>
  <si>
    <t>socialmediamarketingtips</t>
  </si>
  <si>
    <t>biztips</t>
  </si>
  <si>
    <t>rockbottom</t>
  </si>
  <si>
    <t>entrepreneurmindset</t>
  </si>
  <si>
    <t>ms.honey.martell</t>
  </si>
  <si>
    <t>1582721572035182523_3189023588</t>
  </si>
  <si>
    <t>I usually don't get too personal on social media, but I feel like sometimes it's good. There was a time when I was young (9 to 15) where every day for years I was told I wasn't shit and I would never be anything or go anywhere in life. I'm proud of myself and everything I've done and everything I keep working towards. I'm thankful for those that never gave up on me and have helped me keep going. Don't ever let other people tell you who you are or what you can do in your life. Trust in yourself. 
#selena #keepongoing #fuckem #riseabove #believeinyourself #bidibidibombom #goals</t>
  </si>
  <si>
    <t>riseabove</t>
  </si>
  <si>
    <t>selena</t>
  </si>
  <si>
    <t>bejbiee</t>
  </si>
  <si>
    <t>1582726485108850532_145921908</t>
  </si>
  <si>
    <t>One of those days...
#badday #dåligdag #snapchat #sc #snapchatfilter #chilling #chillmode #bed #meetings #dontwannamovemyass #trött #tired #bitter #grumpy #ego #selfie #why #norestday #needrest #keepongoing #backpain #ontsomfan</t>
  </si>
  <si>
    <t>dåligdag</t>
  </si>
  <si>
    <t>ego</t>
  </si>
  <si>
    <t>helloladymuc</t>
  </si>
  <si>
    <t>1582727737116785354_177393884</t>
  </si>
  <si>
    <t>Just a happy mama #smilieface #longtimenoselfie #keeponhealthy #keepongoing #almostwellagain #lovetobeamom #momslife #lifewithkids #lovemyfamily #munich</t>
  </si>
  <si>
    <t>lovetobeamom</t>
  </si>
  <si>
    <t>almostwellagain</t>
  </si>
  <si>
    <t>lifewithkids</t>
  </si>
  <si>
    <t>smilieface</t>
  </si>
  <si>
    <t>longtimenoselfie</t>
  </si>
  <si>
    <t>1582728194505700321_5705167414</t>
  </si>
  <si>
    <t>Steph can play ping pong too you know #Dubnation
-
-
-
-
-
-
-
-
-
-
-
-
-
-
-
-
-
-
-
-
-
-
-
-
-
-
-
-
-
-
-
-
-
-
-
-
-
-
-
-
 #StephGonnaSteph #Mvp #SC30 #KT11 #DG23 #CURRYMVP #KEEPONGOING #NEVERGIVEUP #WCF #WEST #WESTERNCONFERENCEFINALS #CHAMPS #DUBSFORCHAMPS #DUBS #ALWAYSBELIEVEINGOD #STEPHENCURRY #EVEN #NBA #2016CHAMPS #CHAMPIONS #LOCKIN #STEPH #SPLASH #SPLASHBROS  #like4like #like4follow #follow4follow</t>
  </si>
  <si>
    <t>mrsnoel1</t>
  </si>
  <si>
    <t>1582729755667699238_272656937</t>
  </si>
  <si>
    <t>We are missing daddy like crazy.  Going through the days and nights without him have been throwing us off a little lol.  So thankful for my parents for helping with Ellie this week while mommy handles business as usual. I hope one day she will see that all this is part of the plan FOR HER. The nights away, the days away are not easy but the time together is that much more precious and this right now is all part of the set up. We love you baby girl!
#parenthood #parents #mommy #daddy #whendaddysaway😢 #keephustling #keepongoing #makingmoves #makethingshappen #babygirl #loveofmylife #itsallforher</t>
  </si>
  <si>
    <t>loveofmylife</t>
  </si>
  <si>
    <t>parents</t>
  </si>
  <si>
    <t>whendaddysaway😢</t>
  </si>
  <si>
    <t>mommy</t>
  </si>
  <si>
    <t>triathlon_inside.de</t>
  </si>
  <si>
    <t>1582730373976999762_2262837257</t>
  </si>
  <si>
    <t>Wer rastet, rostet. 
#keepongoing #tri #trigirls #spinning #outdoorspinning #pool #sun #smile #enjoy #easytraining #hot #fun #vacation</t>
  </si>
  <si>
    <t>Jesolo International Club Camping</t>
  </si>
  <si>
    <t>spinning</t>
  </si>
  <si>
    <t>trigirls</t>
  </si>
  <si>
    <t>1582730487649887596_1067940056</t>
  </si>
  <si>
    <t>#night#cityphotography#hometown#timeflies#keepongoing#memory#locked#drawer#спокойнойночи#родинамоя</t>
  </si>
  <si>
    <t>спокойнойночи</t>
  </si>
  <si>
    <t>cityphotography</t>
  </si>
  <si>
    <t>timeflies</t>
  </si>
  <si>
    <t>locked</t>
  </si>
  <si>
    <t>gaurav_biju15</t>
  </si>
  <si>
    <t>1582730731472783401_4040476939</t>
  </si>
  <si>
    <t>#picoftheday #goodvibes #background #dslr #photography❤#like4like #followforfollow  #keepongoing #life✌✌😎</t>
  </si>
  <si>
    <t>1582737041182393677_4773778225</t>
  </si>
  <si>
    <t>Good morning Toronto🤗#worldtravelbook #flashesofdelight #art #lake #rainbow #goodafternoonpost #keeponkeepingon #keepongoing #motivation #motivationeveryday #sunset #flowers #architecturephotography #architecture #tagsforlikes #bluesky #likesforlikes #follow #almosttheweekend #smile #happy #morningmotivation #flower #behappy #grateful</t>
  </si>
  <si>
    <t>j_17segura</t>
  </si>
  <si>
    <t>1582737851874264152_298751560</t>
  </si>
  <si>
    <t>#neversettle #keepongoing #wegotthisshit #lordhesgotme</t>
  </si>
  <si>
    <t>Windsor, Colorado</t>
  </si>
  <si>
    <t>lordhesgotme</t>
  </si>
  <si>
    <t>wegotthisshit</t>
  </si>
  <si>
    <t>1582738167319243644_4244292863</t>
  </si>
  <si>
    <t>#Repost @atleetha with @repostapp
・・・
🖤if you want to be a lion, you must train with lions🖤 sometimes I need some motivation... or like now some energy⚡️. Je hebt van die dagen dat het even wat minder gaat. Ik heb dat nu al een week maar morgen ga ik er weer voor met mn trainingsbuddy @verosworld.92 💪🏼. Hoe ik gisteren nog 3maanden zwanger leek (lang leve pds, lacto intolerant en stress) is vandaag alles gelukkig weer redelijk recht getrokken. Nu weer back on track en vooruit proberen te blijven kijken! #staystrong #motivation #quotes #backontrack #absinprogress #fitfam #fitmom #fitfamnl #fitmomslife #runnersworld #womenshealth #staypositive #getridofnegativity #stressedlife #keepongoing #girlwholift #girlwhorun #halvemarathontraining #decathlon #abcheck #bestrong #</t>
  </si>
  <si>
    <t>undercover_monroe</t>
  </si>
  <si>
    <t>1582742591269864883_476856212</t>
  </si>
  <si>
    <t>#girl #whenyourmakeupisgood #work #money #wetnwild #hotpink #wearingitwhileican #beforefallcomes #lips #nottooshabby #pale #eyes #thyroidhealth #keepongoing #keepkeepingon #brunettes #salon #stayyoung</t>
  </si>
  <si>
    <t>money</t>
  </si>
  <si>
    <t>pale</t>
  </si>
  <si>
    <t>keepkeepingon</t>
  </si>
  <si>
    <t>stayyoung</t>
  </si>
  <si>
    <t>sofierhodehogh</t>
  </si>
  <si>
    <t>1582750602358081980_5715833414</t>
  </si>
  <si>
    <t>Forandring fryder siger de, så det må jeg jo prøve🙈 #shorthairdontcare #shorthair #change #changes #mylife #keepongoing #danishgirl</t>
  </si>
  <si>
    <t>shorthairdontcare</t>
  </si>
  <si>
    <t>change</t>
  </si>
  <si>
    <t>little_zef_devil</t>
  </si>
  <si>
    <t>1582751670402619300_8524713</t>
  </si>
  <si>
    <t>Thirty feels good. #flow #flowart #hoopyplace #hoopy ((ugh #ihatemyhoopingface)) I'm not feeling all that great today, yay happy birthday to me. So yeah. But I'm really starting to feel the music more and just let go a little bit. Working on my face. Losing weight will inevitably help with that. #cofidence #fuckit #keepongoing #justkeepswimming #justkeephooping #dieantwoord #donkermag</t>
  </si>
  <si>
    <t>justkeephooping</t>
  </si>
  <si>
    <t>hoopy</t>
  </si>
  <si>
    <t>justkeepswimming</t>
  </si>
  <si>
    <t>1582758160190655453_5735798037</t>
  </si>
  <si>
    <t>Everyday learning that's how it goes makeup by me💃 #keepongoing
#keeppracticing #unendingpassion
#making #makeup #basemakeup #eyeshadow #fashion #daylook</t>
  </si>
  <si>
    <t>unendingpassion</t>
  </si>
  <si>
    <t>ayteksermet</t>
  </si>
  <si>
    <t>1582759206250243707_13392957</t>
  </si>
  <si>
    <t>Me after first run 3 weeks of injury resting before #utmb race here i come getting ready very slowly #nevergiveup #keepongoing #justdoit #injury #run #running #runwithlove #utmb</t>
  </si>
  <si>
    <t>Kemerburgaz, Istanbul, Turkey</t>
  </si>
  <si>
    <t>runwithlove</t>
  </si>
  <si>
    <t>1582760547781190160_5705167414</t>
  </si>
  <si>
    <t>#5 -  James Harden, last season has been a breakout for Harden, having an extraordinary statline, averaging 29.1 ppg, 11.2 apg, and 8.5 rpg, which is really good knowing he nearly averaged a triple double, he also stepped up his defense, so you can't really toll him anymore, but the problem is he cooks so many turnovers, averaging 5.7 per game, having that many turnovers is pretty reasonable, because Harden holds the ball all the time, he's the one that makes the calls, the passes, but still,  that's alot of turnovers. But he also finished 2nd in the MVP voting and made the all NBA first team and with the addition of CP3, Houston looks very dangerous now  #Dubnation
-
-
-
-
-
-
-
-
-
-
-
-
-
-
-
-
-
-
-
-
-
-
-
-
-
-
-
-
-
-
-
-
-
-
-
-
-
-
-
-
 #StephGonnaSteph #Mvp #SC30 #KT11 #DG23 #CURRYMVP #KEEPONGOING #NEVERGIVEUP #WCF #WEST #WESTERNCONFERENCEFINALS #CHAMPS #DUBSFORCHAMPS #DUBS #ALWAYSBELIEVEINGOD #STEPHENCURRY #EVEN #NBA #2016CHAMPS #CHAMPIONS #LOCKIN #STEPH #SPLASH #SPLASHBROS  #like4like #like4follow #follow4follow</t>
  </si>
  <si>
    <t>1582760993879030532_4249248273</t>
  </si>
  <si>
    <t>Still chuffed with that sit start at @vauxwallclimbing last night but somehow even more pleased with this as actually, what the video doesn't show was my little arm was bleeding under the tape and my left hand had 2 flappers from training on Monday, so it was a fairly painful bouldering session! Most pleasing was a climb down. This has been the one thing that has stopped me from bouldering. How the flip (feel free to replace that word with something ruder 😉) am I going to get back down? Thanks again to @hughmagroo for encouraging me and challenging me. #outofmycomfortzone #noboundaries #pushyourlimits #keepongoing #mipster #womancrushwednesday #ehlersdanlossyndrome #cancersurvivor #paraclimbing #climber #climbing_is_my_passion #amputee #amputeeproblems #bouldering #believeinyourself #hijab #muslim #progress #training #yay #yesican #faceyourfears #thisgirlcan #thisgirlcanclimb @thisgirlcanclimbing #dontgiveup #determination #goals #journey #girlgains #motivation</t>
  </si>
  <si>
    <t>VauxWall Climbing</t>
  </si>
  <si>
    <t>thisgirlcan</t>
  </si>
  <si>
    <t>pushyourlimits</t>
  </si>
  <si>
    <t>jaidaajewellery</t>
  </si>
  <si>
    <t>1582762662130344986_1540874889</t>
  </si>
  <si>
    <t>We feel very proud &amp; happy with all the adorable comments we receive day after day as well as the lovely feedback from all our friends &amp; followers )  #thank_you #bestfollowers #bestfriends #bestrelatives # #Bestfamilies #keepongoing #Greatsupport#JAIDAA#Revealing #uniqueness</t>
  </si>
  <si>
    <t>greatsupport</t>
  </si>
  <si>
    <t>bestfollowers</t>
  </si>
  <si>
    <t>uniqueness</t>
  </si>
  <si>
    <t>bestrelatives</t>
  </si>
  <si>
    <t>mrse0607</t>
  </si>
  <si>
    <t>1582763917150339809_42286574</t>
  </si>
  <si>
    <t>I've had my fair share of knock backs, let downs and things not working out as planned and I've always told myself that things happen for a reason and that something good will come my way eventually. 
#LifesThoughts #PlanningForTheFuture #IsItMyTurnYet #WednesdayQuote #LifeQuotes #KeepOnGoing</t>
  </si>
  <si>
    <t>wednesdayquote</t>
  </si>
  <si>
    <t>isitmyturnyet</t>
  </si>
  <si>
    <t>planningforthefuture</t>
  </si>
  <si>
    <t>lifequotes</t>
  </si>
  <si>
    <t>1582765005647365597_224929186</t>
  </si>
  <si>
    <t>A few photos of my number plates. Full graphics are on! 🏁🏁 #love #life #happy #art #quote #strength #music #inspirational #book #books #god #inspiration #inspired #smile #keepongoing #standup #fight #live #faith #photography #metal #rock #motivation #technology #mx #motocross #kawasaki #braap #monsterenergy #gopro</t>
  </si>
  <si>
    <t>1582768873164447378_5801959162</t>
  </si>
  <si>
    <t>DO YOU AGREE? YES OR NO?🌟 👁Tag a person who MUST see this 👥Follow @motivationbyeli
📷@shaazjungphotography for the original picture</t>
  </si>
  <si>
    <t>1582772634407187276_3176267654</t>
  </si>
  <si>
    <t>With every heartbeat. 
#lpfboutique #nailbar #prettynails #igdaily #coloryourlife #doctor #passion #nailsofinstagram #nailpolish #naildesign #nails2inspire #nailitdaily #nailsofig #nailboutique #lpfnails #followme #med #nailstagram #hospital #nailstagram #mapetitefolie #coffeelover #handmade #happynails #keeponworking #keepongoing #dontsettleforless</t>
  </si>
  <si>
    <t>nailboutique</t>
  </si>
  <si>
    <t>dontsettleforless</t>
  </si>
  <si>
    <t>nailsofinstagram</t>
  </si>
  <si>
    <t>1582783583293368640_4589275325</t>
  </si>
  <si>
    <t>Hope I Get A Sponsor Deal With @volvic 😂
#natural #bodybuilding #shrugs #bizepz #relaxandmakegainz #westcoastworkout #Push
#pull #leg #beastmode #dowhatittakes #focused #alpha #power #muscles #keepongoing #motivated #nostress #drinkteaandgrowmuscles #tea #oldschool #oldschoolhiphop #gangstarap #nohipstar #nomainstream #charger #nike #airmax95 #sneakers #keepyourshoesclean</t>
  </si>
  <si>
    <t>Maxsport</t>
  </si>
  <si>
    <t>nomainstream</t>
  </si>
  <si>
    <t>pandora_drums</t>
  </si>
  <si>
    <t>1582796834736694679_2664709731</t>
  </si>
  <si>
    <t>Jamming to 'Present Tense - Radiohead'
Dedicating this one to someone special, you know who you are 😙</t>
  </si>
  <si>
    <t>baterista</t>
  </si>
  <si>
    <t>drummergirl</t>
  </si>
  <si>
    <t>drumsdaily</t>
  </si>
  <si>
    <t>tosomeonespecial</t>
  </si>
  <si>
    <t>livetoplay</t>
  </si>
  <si>
    <t>advokatmitrofanova</t>
  </si>
  <si>
    <t>1582802571897229786_1584949428</t>
  </si>
  <si>
    <t>Розовый фламинго ... дитя заката 🙈🙈🙈💁#powerofnow #enjoying #keepongoing</t>
  </si>
  <si>
    <t>powerofnow</t>
  </si>
  <si>
    <t>enjoying</t>
  </si>
  <si>
    <t>a_little_muse</t>
  </si>
  <si>
    <t>1582803186758294732_259092933</t>
  </si>
  <si>
    <t>Two #holidays #threeyears #apart #weightlossjourney #weightloss I really #need #motivation to #keepongoing I have #gained some #weight whilst in #italy and it's #freaking #terrifying I SO #dontwant  to go #back to how #I was. #mustfocus #diet #gastricsleeve #noteasy #reallytough #getbackontrack #bepositive</t>
  </si>
  <si>
    <t>i</t>
  </si>
  <si>
    <t>getbackontrack</t>
  </si>
  <si>
    <t>reallytough</t>
  </si>
  <si>
    <t>lovetheyouinthemirror</t>
  </si>
  <si>
    <t>1582803376105352385_643608719</t>
  </si>
  <si>
    <t>Truth! Goals are individual so gobout there and crush your goals and don't let others discourage you on your journey... #happy #crushgoals #dontgiveup #keepongoing #doitforyou #loveyourself #doyou</t>
  </si>
  <si>
    <t>doyou</t>
  </si>
  <si>
    <t>crushgoals</t>
  </si>
  <si>
    <t>corrieblueeyes</t>
  </si>
  <si>
    <t>1582804515688546981_6912334</t>
  </si>
  <si>
    <t>A few days ago, I was tagged by my friend Bill @carolina_gamecock for a #stopdropandselfie. I've delayed in posting because I've just been in a funk. Lots of junk going ok in the world, and some struggles on my own life, have made me want to crawl under the covers and cry until I'm out of tears. But I know I can't-so I'll carry on the best I know how.  Time to love big! Sending love wherever it is needed! 
#ily #signlanguage #iloveyou #keepongoing #blueeyes</t>
  </si>
  <si>
    <t>blueeyes</t>
  </si>
  <si>
    <t>signlanguage</t>
  </si>
  <si>
    <t>ily</t>
  </si>
  <si>
    <t>francescacleonice</t>
  </si>
  <si>
    <t>1582806084568061317_1217039693</t>
  </si>
  <si>
    <t>Zaino in spalla 
#nature #naturelover #trekking #adventure #keepongoing #friends</t>
  </si>
  <si>
    <t>Parco Naturale Regionale Gola della Rossa e di Frasassi</t>
  </si>
  <si>
    <t>trekking</t>
  </si>
  <si>
    <t>naturelover</t>
  </si>
  <si>
    <t>thewordfinderphoto</t>
  </si>
  <si>
    <t>1582808305838295815_4051123374</t>
  </si>
  <si>
    <t>Words to live by... #wynwoodwalls #wordsintheair</t>
  </si>
  <si>
    <t>Wynwood Walls</t>
  </si>
  <si>
    <t>wynwoodwalls</t>
  </si>
  <si>
    <t>neonwords</t>
  </si>
  <si>
    <t>wordstoliveby</t>
  </si>
  <si>
    <t>keeponkeepinon</t>
  </si>
  <si>
    <t>dany_parsons</t>
  </si>
  <si>
    <t>1582808824616038690_435224205</t>
  </si>
  <si>
    <t>I'm proud of the change I've made in my life, results speak for themselves. This is only the beginning of a long journey I will continue doing because this is part of my everyday life. One year apart #Transformation#1year#Athlete#Fitness#Fitlife#Training#Workout#Coach#Future#Sport#Athletics#Rugby#Conditioning#Speed#Agility#Hardwork#Dedication#Reachinggoals#Smashgoals#Keepongoing#Nevergiveup</t>
  </si>
  <si>
    <t>smashgoals</t>
  </si>
  <si>
    <t>coach</t>
  </si>
  <si>
    <t>emziecarr</t>
  </si>
  <si>
    <t>1582812185535743723_1479256649</t>
  </si>
  <si>
    <t>#keepongoing #gethealthy</t>
  </si>
  <si>
    <t>gethealthy</t>
  </si>
  <si>
    <t>1582820490500874059_2813503554</t>
  </si>
  <si>
    <t>Heute war der Rücken dran. Am Ende gab es paar Klimzüge, allerdings mit Hilfe 😉
#fitnesslifestyle #fitnessmotivation #fitfam #mcfit #instafit #fitnessmodel #instapic #noexcuses #nevergiveup #keepongoing #trainhard #callitaplan #backday #bodybuilding #body #muscle #weightloss #getinshape #getingfit</t>
  </si>
  <si>
    <t>getinshape</t>
  </si>
  <si>
    <t>getingfit</t>
  </si>
  <si>
    <t>muscle</t>
  </si>
  <si>
    <t>doodlecharly</t>
  </si>
  <si>
    <t>1582821567834641169_2323098024</t>
  </si>
  <si>
    <t>#cardiotime#staystrong #gymtime##motivation #keepongoing</t>
  </si>
  <si>
    <t>cardiotime</t>
  </si>
  <si>
    <t>gymtime</t>
  </si>
  <si>
    <t>derina_gewoondoen</t>
  </si>
  <si>
    <t>1582822539426537924_184127851</t>
  </si>
  <si>
    <t>☆ B E  S T R O N G ☆
and Stay Strong! Always keep going, sometimes it only takes a little bit more time! 🕗
_______ 
#bestrong #staystrong #keepongoing #doorzetter #aanhouderwint #timebecomesafriend #timeisnow #timeisgold #timeisntalwaysonyourside #groweveryday #positivethinking  #keepsyougoing #havefun #smile #gewoondoen #mumpreneurnl #mumpreneur #jekandit #believe #believeinyourself #💪</t>
  </si>
  <si>
    <t>groweveryday</t>
  </si>
  <si>
    <t>aanhouderwint</t>
  </si>
  <si>
    <t>timeisntalwaysonyourside</t>
  </si>
  <si>
    <t>1582824107576343293_4482296409</t>
  </si>
  <si>
    <t>It feels soo good! Not just for my body but for my mind. 🎯🏋️‍♀️😎💪😃 #workout #fitness #fit #health #nutrition #goodfeeling #happy #healthyactivelifestyle #bethebestversionofyourself #everythingispossible #belive #keepongoing #justdoit #constancyisthekey📈 #progress #proud #doingbettereveryday #goals #focus #nevergiveup #itsnotoveruntiliwin</t>
  </si>
  <si>
    <t>belive</t>
  </si>
  <si>
    <t>1582825544704907629_4229046670</t>
  </si>
  <si>
    <t>totalbody</t>
  </si>
  <si>
    <t>hawt</t>
  </si>
  <si>
    <t>fitbloggin</t>
  </si>
  <si>
    <t>gorgeousgirl</t>
  </si>
  <si>
    <t>workoutinspiration</t>
  </si>
  <si>
    <t>the_busyblondes</t>
  </si>
  <si>
    <t>1582826168364325379_5543508184</t>
  </si>
  <si>
    <t>Happy 🐪 day!!! Keep on making this week great no matter what you have going on #keepongoing #wednsdaymotivation #bloggerlife #nevergiveup #texas #minnesota #busyblondes</t>
  </si>
  <si>
    <t>San Antonio, Texas</t>
  </si>
  <si>
    <t>texas</t>
  </si>
  <si>
    <t>busyblondes</t>
  </si>
  <si>
    <t>wednsdaymotivation</t>
  </si>
  <si>
    <t>1582827031695353244_181449664</t>
  </si>
  <si>
    <t>Ja, kønt er det sgu ikke.. Sådan er det, når man har lidt på sidebenene og skal kæmpe lidt ekstra for det.. 😝😅 Nu skal det blive godt med et dejligt langt bad 👏🏻😃 #træning #cardio #løb #blodsvedogtårer #minkamp #mitlivibilleder #vægttab #keepongoing #justdoit #gørdetfordigselv #farveldeller #getfitordietrying #workout</t>
  </si>
  <si>
    <t>træning</t>
  </si>
  <si>
    <t>løb</t>
  </si>
  <si>
    <t>blodsvedogtårer</t>
  </si>
  <si>
    <t>schepmonirah</t>
  </si>
  <si>
    <t>1582829522759112888_5420902085</t>
  </si>
  <si>
    <t>#wijsheid #levensles #keepongoing #faith #hope</t>
  </si>
  <si>
    <t>wijsheid</t>
  </si>
  <si>
    <t>levensles</t>
  </si>
  <si>
    <t>1582829651238137019_198441347</t>
  </si>
  <si>
    <t>🌺🎈#lifealifeyouwillremember #colors #today #nightout #red #holidays #perugia #keepongoing #noncifermiamomai #gogogo #lovely #falabella #bag #vichy</t>
  </si>
  <si>
    <t>Centro Storico Perugia</t>
  </si>
  <si>
    <t>today</t>
  </si>
  <si>
    <t>lovely</t>
  </si>
  <si>
    <t>vichy</t>
  </si>
  <si>
    <t>noncifermiamomai</t>
  </si>
  <si>
    <t>lifesum_leni</t>
  </si>
  <si>
    <t>1582830097077369093_5874198903</t>
  </si>
  <si>
    <t>Day 4: ...😞
"Don't loose your motivation, Leni..." #staymotivated #believeinyourself #keepongoing #sport</t>
  </si>
  <si>
    <t>bradyisms</t>
  </si>
  <si>
    <t>1582830389981047152_4610771283</t>
  </si>
  <si>
    <t>@bradyisms #poet #lyrics #tears #keepongoing #dontquit #her #wordswithqueens #hope #poetry #herlife #strength #weight #weightonhershoulders #carryon #newday #movingforward #nashville #lyricsforlife #she</t>
  </si>
  <si>
    <t>nashville</t>
  </si>
  <si>
    <t>herlife</t>
  </si>
  <si>
    <t>lyricsforlife</t>
  </si>
  <si>
    <t>aidensf</t>
  </si>
  <si>
    <t>1582836547177972304_20819869</t>
  </si>
  <si>
    <t>Good Days Begins Tonight!! #thefightisover #keepongoing #lifeisnow</t>
  </si>
  <si>
    <t>Poseidon</t>
  </si>
  <si>
    <t>thefightisover</t>
  </si>
  <si>
    <t>lifeisnow</t>
  </si>
  <si>
    <t>1582838754456290596_1822236485</t>
  </si>
  <si>
    <t>Follow @adventurouskiwi for top travel content. Tag who you would share this experience with!
Lord Ard Gorge, Port Campbell National Park, Victoria. Australia.
Photo by @brenton_captures
.
.
.
.
.
.
.
.
#paradiseonearth #animals #lifeistravel #traveltheglobe #cloudporn #yogajournal #sunset #thinkoutsidethebox #wonderful_places #paradiseofpetals #islandvibes #travelgear #radtravel #journeybegins #vacaymode #picoftheday #destinationearth #therisingtidesociety #neverstoplearning #nakedplanet #paradisedynasty #lifeislife #travellove #keepongoing #travelmorocco</t>
  </si>
  <si>
    <t>travellove</t>
  </si>
  <si>
    <t>yogajournal</t>
  </si>
  <si>
    <t>destinationearth</t>
  </si>
  <si>
    <t>animals</t>
  </si>
  <si>
    <t>1582840772545114882_1684424176</t>
  </si>
  <si>
    <t>bewhatyouwanttobe</t>
  </si>
  <si>
    <t>holly_jones_uk</t>
  </si>
  <si>
    <t>1582848050518687089_48805638</t>
  </si>
  <si>
    <t>#workout Wednesday complete with the help of @packfitness_ .... "your body can stand almost anything. It's your mind you have to convince" - I can relate to this at the moment! 
#confidence #fitness #fitnessmotivation #mindoverbody #strongwomen #keepongoing</t>
  </si>
  <si>
    <t>mindoverbody</t>
  </si>
  <si>
    <t>1582848159763102934_1972606430</t>
  </si>
  <si>
    <t>I believe nobody can be fully complete when alone.
.
I will admit I'm crazy, but not as crazy as this one here. She will always be my better half that I will always fight and do absolutely anything for.
.
So find your other crazy half, whoever it might be and don't let go.
#prestoknowsbest
-
-
#liveandlearn #dontsettle #mindsetshift #dropout #content #quotesoflife #fireyourboss #empowernetwork #onlinesuccess #personalgrowth #motivateyourself #betteryourself #keepongoing #mindsetiseverything #inspiredaily #valueyourself #valuelife #entrepreneurmind #newmindset #goalachiever</t>
  </si>
  <si>
    <t>nickydewestelinck</t>
  </si>
  <si>
    <t>1582848505272975227_331082449</t>
  </si>
  <si>
    <t>We hebben er weeral eentje in de benen zitten! 💪🏃 #tomtomsports #running #instarun #keepongoing #instarunner</t>
  </si>
  <si>
    <t>Kallo, Oost-Vlaanderen, Belgium</t>
  </si>
  <si>
    <t>tomtomsports</t>
  </si>
  <si>
    <t>kevzwei</t>
  </si>
  <si>
    <t>1582849342355537697_769296515</t>
  </si>
  <si>
    <t>We can't choose where we come from.
But we can choose where we go from there. 🏃🏻🌲
#keepongoing #journey #keepup</t>
  </si>
  <si>
    <t>keepup</t>
  </si>
  <si>
    <t>cruisecontrolstudios</t>
  </si>
  <si>
    <t>1582849553152670334_2482389742</t>
  </si>
  <si>
    <t>A dream doesn't come reality through magic..It takes sweat, determination and hard work. #keepongoing 🔥@mafqees 📀💿</t>
  </si>
  <si>
    <t>1582852705112866661_5801959162</t>
  </si>
  <si>
    <t>DO YOU AGREE? YES OR NO?🌟 👁Tag a person who MUST see this 👥Follow @motivationbyeli
📷@mangorabbitrabbit for the original picture</t>
  </si>
  <si>
    <t>jenniferfornes</t>
  </si>
  <si>
    <t>1582854826911096339_2899508400</t>
  </si>
  <si>
    <t>Healthy lunch of #organic lettuce, chicken, and avocado with lemon juice. 
#Arbonne #vegan #healthyeating #detox #noexcuses #keepongoing</t>
  </si>
  <si>
    <t>Napavine, Washington</t>
  </si>
  <si>
    <t>organic</t>
  </si>
  <si>
    <t>arbonne</t>
  </si>
  <si>
    <t>1582857283516205210_231434</t>
  </si>
  <si>
    <t>•Hoppende glad for lille lørdag 💃🏽☀️ I dag var det spinning og sterk som sto for tur, da jeg trener litt alternativ denne uken for å spare beina mest mulig 🚴🏼‍♀️💪🏽😃 Nå er jeg plantet godt i sofaen etter å ha vært ute i det deilige været i flere timer ☀️😎• __________________________________________
#summertime #activelifestyle #lovelifting #smilebehappy #keepfit_no #keepongoing #nevergiveup #girlswholift #nordicfitnessgirls #fitness #workharder #aktivejenter #aktivlivsstil #påveimotmålet #mittår #icaniwill</t>
  </si>
  <si>
    <t>lovelifting</t>
  </si>
  <si>
    <t>tiffdower</t>
  </si>
  <si>
    <t>1582860773972476863_40229272</t>
  </si>
  <si>
    <t>Working outside by the pool is WAY better than working inside. I'm totally cool with this office view. ☀️🌴#workingmom #floridalife #sunshine #workforit #treatyoself #doyothang #getitgirl #poolside #floridalove #workoutside #getoutside #goals #busymom #keepongoing</t>
  </si>
  <si>
    <t>busymom</t>
  </si>
  <si>
    <t>doyothang</t>
  </si>
  <si>
    <t>workoutside</t>
  </si>
  <si>
    <t>floridalife</t>
  </si>
  <si>
    <t>spruce_and_pine</t>
  </si>
  <si>
    <t>1582864934697950212_312134728</t>
  </si>
  <si>
    <t>#persistence #persistencenotperfection #perfectday #doyourbest #hardcore #keepongoing #workout #motivation 
#spruceandpinejewelry #handcrafted #inspirationalquotes #progress #handmadejewelry #cuff #fashion
#handstamped 
https://www.facebook.com/groups/1703686859871425/</t>
  </si>
  <si>
    <t>spruceandpinejewelry</t>
  </si>
  <si>
    <t>handstamped</t>
  </si>
  <si>
    <t>cuff</t>
  </si>
  <si>
    <t>mattysmith_87</t>
  </si>
  <si>
    <t>1582867220970921503_2130475711</t>
  </si>
  <si>
    <t>When you have to bring out the reserves for carting #harvest2017 #jcb #keepongoing</t>
  </si>
  <si>
    <t>jcb</t>
  </si>
  <si>
    <t>harvest2017</t>
  </si>
  <si>
    <t>1582870028276883052_4678264587</t>
  </si>
  <si>
    <t>+4:05 vs PB
I've done my workout a bit late this evening (might've started it around 20:15-20 and.. finished it like 10 minutes ago..). This is no excuse for my time though, I must say the interval was kinda intense so I wasn't able to keep on with 3/5 APHRODITE and be faster this time.. Next time I'll try #harder 💪🏻😉 #Freeletics #bodyweight #freeleticsangers #freeleticsecouflant #freeathlete #freeleticslifestyle #fit #fitness #fitnessmotivation #stayinshape #betterversionofyourself #keepongoing #trainingday #workout #noexcuses</t>
  </si>
  <si>
    <t>freeleticsecouflant</t>
  </si>
  <si>
    <t>jorgebonacho</t>
  </si>
  <si>
    <t>1582875278857655829_1417472007</t>
  </si>
  <si>
    <t>RUN...RUN...RUN....👣👣💨💨
#penhastrailteam #penhasonfire #running #run #trail #trailrunning #portugalrunning #runningportugal #correr #nature #odemira #riomira #rotavicentina #mirariver #viverodemira #runninglifestyle #newbalance #breakyourlegs #runner #runforlife #instarunners #salomon  #mountainrunning #bustlegs #keepongoing #worldrunners #runnerslife #RUNpt</t>
  </si>
  <si>
    <t>Odemira</t>
  </si>
  <si>
    <t>runningportugal</t>
  </si>
  <si>
    <t>portugalrunning</t>
  </si>
  <si>
    <t>mountainrunning</t>
  </si>
  <si>
    <t>viverodemira</t>
  </si>
  <si>
    <t>rotavicentina</t>
  </si>
  <si>
    <t>mia_lu_fit</t>
  </si>
  <si>
    <t>1582878707172575408_5858085862</t>
  </si>
  <si>
    <t>No pain - no gain #keepongoing</t>
  </si>
  <si>
    <t>andys_fitnesslife</t>
  </si>
  <si>
    <t>1582882337435499254_2375665907</t>
  </si>
  <si>
    <t>Just finished a arm workout with the big boy @saif_fitnes #bodybuilding #fitness #instafit #keepongoing #maschine #biceps #doublebiceps #speedfitinnsbruck #healthylife #bulking #bodyengineers #sweat #muscles #trizeps #arms #model #fitnessmodel #austria #innsbruck #physique #oldschool</t>
  </si>
  <si>
    <t>innsbruck</t>
  </si>
  <si>
    <t>amtoft84</t>
  </si>
  <si>
    <t>1582885413588347896_181316053</t>
  </si>
  <si>
    <t>Har svømmet 1750m(70 baner) på 60min i dag, haft en skøn aften med veninden, med god mad og bifftur❤️ og har indhentet det jeg tog på i sommerferien😃💪#jegbliverbedreogsejere #vejenmodetsundereliv #gigantiumsvømmehal #nosugar #-5,7kg #godveninde #bifftur #visa #salat #ertilfreds #keepongoing</t>
  </si>
  <si>
    <t>jegbliverbedreogsejere</t>
  </si>
  <si>
    <t>ertilfreds</t>
  </si>
  <si>
    <t>bifftur</t>
  </si>
  <si>
    <t>gigantiumsvømmehal</t>
  </si>
  <si>
    <t>thiagofragoso</t>
  </si>
  <si>
    <t>1582889344925372062_564928491</t>
  </si>
  <si>
    <t>Não falei que era fácil?
@amanda.psouza Arrasou e acertou rapidinho. 😎
#timethiagofragoso #rocks
#palcopopstar 
#popstar 
#keepongoing 
#nobodysaiditwaseasy
Foto: @studiofaya 
Make: @rafaelnsar 
Style: @marcellaboselli 
Acessórios: @vanusapiovesan @legepbrasil 
@namesagenciamento</t>
  </si>
  <si>
    <t>palcopopstar</t>
  </si>
  <si>
    <t>nobodysaiditwaseasy</t>
  </si>
  <si>
    <t>rocks</t>
  </si>
  <si>
    <t>popstar</t>
  </si>
  <si>
    <t>timethiagofragoso</t>
  </si>
  <si>
    <t>derrick_keener</t>
  </si>
  <si>
    <t>1582891312666870746_50519518</t>
  </si>
  <si>
    <t>Somebody needs to hear this song today!  I might not can sang, but there is a praise on the inside of me!!! #thankful #keepongoing #butGod #praisehim</t>
  </si>
  <si>
    <t>praisehim</t>
  </si>
  <si>
    <t>butgod</t>
  </si>
  <si>
    <t>davi2789</t>
  </si>
  <si>
    <t>1582891582536733205_453860237</t>
  </si>
  <si>
    <t>The boys 💁‍♂️🙅‍♂️🙆‍♂️🙋‍♂️ #dancers #meinschiff6 #heavyday #keepongoing #nutellacast</t>
  </si>
  <si>
    <t>TUI Cruises Studios</t>
  </si>
  <si>
    <t>nutellacast</t>
  </si>
  <si>
    <t>heavyday</t>
  </si>
  <si>
    <t>dancers</t>
  </si>
  <si>
    <t>meinschiff6</t>
  </si>
  <si>
    <t>belles_paroles.belles_images</t>
  </si>
  <si>
    <t>1582892648460826240_5455677963</t>
  </si>
  <si>
    <t>#focus #dontworry #motivationalquotes #quotes #motivation #motivacional #next #progress #progressive #keepgoing👉 #keepgoing #persevere #strong #alldayworking #life #process #daybyday #ambition #noexcuse #keepongoing #keepon #dontstop #dontstopnow #dontlookback #motivationalpost</t>
  </si>
  <si>
    <t>process</t>
  </si>
  <si>
    <t>motivationalquotes</t>
  </si>
  <si>
    <t>andreysuvorov</t>
  </si>
  <si>
    <t>1582892802591954238_285351990</t>
  </si>
  <si>
    <t>Repost from @davi2789 The boys 💁‍♂️🙅‍♂️🙆‍♂️🙋‍♂️ #dancers #meinschiff6 #heavyday #keepongoing #nutellacast</t>
  </si>
  <si>
    <t>coopmanthomas</t>
  </si>
  <si>
    <t>1582899261678687385_5604987854</t>
  </si>
  <si>
    <t>Some positive thinking #quoteoftheday#quote#instagood#instamood#vibes#keepongoing#keeponlearning#productive#student</t>
  </si>
  <si>
    <t>student</t>
  </si>
  <si>
    <t>fish.window.cleaning</t>
  </si>
  <si>
    <t>1582902495873003027_5719008936</t>
  </si>
  <si>
    <t>As long as you are not falling off a ladder. Remember those three points of contact when on ladders. #windowcleaning #fishwindowcleaning #laddersafety #keepongoing</t>
  </si>
  <si>
    <t>Fish Window Cleaning</t>
  </si>
  <si>
    <t>fishwindowcleaning</t>
  </si>
  <si>
    <t>laddersafety</t>
  </si>
  <si>
    <t>windowcleaning</t>
  </si>
  <si>
    <t>ultimatewarriortraining</t>
  </si>
  <si>
    <t>1582910875814961694_1541412007</t>
  </si>
  <si>
    <t>***ULTIMATE FIGHT CLUB***
🥊🥊🥊🥊🥊🥊🥊🥊🥊🥊🥊🥊 #warriors #uwt #personaltrainer #ultimatewarriortraining #boxing #humpday #stressrelief #hiit #personaltraining #burgesshill #bootcamp #sussex #fitness #keepongoing #westsussex #fitnessclass #fun #weightloss #cardio</t>
  </si>
  <si>
    <t>Ultimate Warrior Training</t>
  </si>
  <si>
    <t>hiit</t>
  </si>
  <si>
    <t>warriors</t>
  </si>
  <si>
    <t>koori_princess777</t>
  </si>
  <si>
    <t>1582920309886803454_4137138765</t>
  </si>
  <si>
    <t>Transformation👊👍 be kind to yourself, time of change,struggle or loss can be a huge challenge but from the biggest challenges come the biggest rewards! 
Being comfortable does not achieve greatness❤❤❤❤
#keepongoing #changeisgood #transformation #alwaysgrowing #bekindtoyourself</t>
  </si>
  <si>
    <t>bekindtoyourself</t>
  </si>
  <si>
    <t>changeisgood</t>
  </si>
  <si>
    <t>alwaysgrowing</t>
  </si>
  <si>
    <t>grayyseagrace</t>
  </si>
  <si>
    <t>1582922765786622501_231763170</t>
  </si>
  <si>
    <t>#Repost @millionaireimage (@get_repost)
・・・
@millionaireimage 
@millionaireimage 
___________________________ 
#millionaireimage #doitforyourself #betterme #beyourown #keeponkeepingon #workforwhatyouwant  #marketingmoment #marketingsolutions #encourageyourself #bethechangeyouwanttosee #youvegotthis #millionairequotes #inspirationalthoughts #positivepeople #americanbusiness #quoteme #quoteaccount #strategize #seemslegit #youdoyou #inspirationalpost#businessisbusiness #keepongoing #selfconfidence #bewhoyouare #bewhatyouwanttobe #socialinfluencers #socialize</t>
  </si>
  <si>
    <t>marketingmoment</t>
  </si>
  <si>
    <t>1582923867437298120_2108943652</t>
  </si>
  <si>
    <t>#instructor #greekgirl #limit #instructorlife #whileimteaching #videoshooting #summer2017 #muscles #pump #lovemyjob #lovemybody energy #wiesbaden #shoulder #back #squats #legs #keepongoing #goodnight #instafriends 💪💪💪</t>
  </si>
  <si>
    <t>goodnight</t>
  </si>
  <si>
    <t>squats</t>
  </si>
  <si>
    <t>1582925777003154865_244228468</t>
  </si>
  <si>
    <t>More @motivationbyeli 🔥</t>
  </si>
  <si>
    <t>rachie991</t>
  </si>
  <si>
    <t>1582927687079808729_178515841</t>
  </si>
  <si>
    <t>2013 vs 2017!! I didn't realise how big I was. So glad I gave up ice coffees nearly 2 years ago in Sept, loving the gym, running and now swimming. Back then I wouldn't have thought I would register for a 10km run! Like who does that?? Haha yeah I did, bring on Sunday!! Not sure how I'll go after this injury but as long as I can run at least half I'll be happy :) joining @jettsmorphettvale  was the best thing I ever did :) #motivation #keepongoing #progressisprogress #runninggoals #goals2017 #gymworkouts #swimming #cardio #weights #comparisonshot #fitness #jettsmorphettvale #jettsau</t>
  </si>
  <si>
    <t>swimming</t>
  </si>
  <si>
    <t>goals2017</t>
  </si>
  <si>
    <t>progressisprogress</t>
  </si>
  <si>
    <t>mr.mau_detailing</t>
  </si>
  <si>
    <t>1582929461371595207_2311951866</t>
  </si>
  <si>
    <t>When u get hurt but money is to important you keep on working like nothing happened. #worktillidie #hardworker #sleepwhenimdead #money #keepongoing #painisfortheweak</t>
  </si>
  <si>
    <t>worktillidie</t>
  </si>
  <si>
    <t>sleepwhenimdead</t>
  </si>
  <si>
    <t>painisfortheweak</t>
  </si>
  <si>
    <t>hardworker</t>
  </si>
  <si>
    <t>1582934973098591274_5047113707</t>
  </si>
  <si>
    <t>Best caption gets a shoutout!
-
Follow @travellingpreneur</t>
  </si>
  <si>
    <t>fit.chic.paula</t>
  </si>
  <si>
    <t>1582936063667908774_3137645062</t>
  </si>
  <si>
    <t>Finally...... a flat stomach 👏👍 Its not easy to be active for me but I refuse to be in a wheelchair..... so everyday I keep on trying and I do what I can 💪😀 #flatstomach #hardwork #keepongoing #nowheelchair #invisibleillness #dontgiveup #chiarimalformation #idiopathicintracranialhypertension #tn #polishgirl #warsaw #warszawa</t>
  </si>
  <si>
    <t>Warsaw, Poland</t>
  </si>
  <si>
    <t>nowheelchair</t>
  </si>
  <si>
    <t>warszawa</t>
  </si>
  <si>
    <t>warsaw</t>
  </si>
  <si>
    <t>chiarimalformation</t>
  </si>
  <si>
    <t>rochelley_82</t>
  </si>
  <si>
    <t>1582939561315004929_207782320</t>
  </si>
  <si>
    <t>#truth #quoteoftheday #keepongoing #moveforwardnotbackwards #interest #neverforget #lifegoals💯</t>
  </si>
  <si>
    <t>moveforwardnotbackwards</t>
  </si>
  <si>
    <t>interest</t>
  </si>
  <si>
    <t>lifegoals💯</t>
  </si>
  <si>
    <t>mumcanrun</t>
  </si>
  <si>
    <t>1582941644248122795_1909811928</t>
  </si>
  <si>
    <t>At the end of the day, it really doesn't matter how long it takes you to get there...... #run #running #trailrunning #runningbuddies #runningmums #backofthepack #finishlineglory #keepongoing #doesntmatterhowslow</t>
  </si>
  <si>
    <t>backofthepack</t>
  </si>
  <si>
    <t>finishlineglory</t>
  </si>
  <si>
    <t>doesntmatterhowslow</t>
  </si>
  <si>
    <t>inwzrdd</t>
  </si>
  <si>
    <t>1582942890384362897_4649732052</t>
  </si>
  <si>
    <t>There are times when you feel like shit, but keep pushing hard and don't give up. #powerclean #makeyourownjourney #keepongoing #homegym #wicked #youcandoit #loveyourself</t>
  </si>
  <si>
    <t>powerclean</t>
  </si>
  <si>
    <t>makeyourownjourney</t>
  </si>
  <si>
    <t>wicked</t>
  </si>
  <si>
    <t>homegym</t>
  </si>
  <si>
    <t>1582943973647245428_4649732052</t>
  </si>
  <si>
    <t>Find your happiness. #dontgiveup #keepongoing #happiness #homegym #makeyourownjourney</t>
  </si>
  <si>
    <t>antoniogarbla</t>
  </si>
  <si>
    <t>1582944178413044943_630734784</t>
  </si>
  <si>
    <t>Sta Maria #Torcello #church #socute #trip #keepongoing #boatday #Italy #holidays #garbla</t>
  </si>
  <si>
    <t>boatday</t>
  </si>
  <si>
    <t>trip</t>
  </si>
  <si>
    <t>torcello</t>
  </si>
  <si>
    <t>1582944707984897728_5801959162</t>
  </si>
  <si>
    <t>I love Gandhi! Do you?! YES OR NO?🌟 👁Tag a person who MUST see this 👥Follow @motivationbyeli
📷@maujl for the original picture</t>
  </si>
  <si>
    <t>1582953403013002080_5468355632</t>
  </si>
  <si>
    <t>This is me today-🐯 #josh #tyler #jenna #twentyonepilots #bands #frens #laugh #myidols #loveyou #bestmusic #keepongoing #ibelieve #theyrethebest #funny  #smile #tøpmemes #tøp #stayalive #inspiring #beautifulpeople</t>
  </si>
  <si>
    <t>funny</t>
  </si>
  <si>
    <t>bestmusic</t>
  </si>
  <si>
    <t>rene_adams</t>
  </si>
  <si>
    <t>1582955412385545879_181150908</t>
  </si>
  <si>
    <t>Grit⚡️🌻⚡️Grace
•
•
•
If there's anything I teach my girls in this lifetime I hope it's that it's ok to be strong &amp; soft. To hustle but stay humble. To love but also let go. To be a leader &amp; a listener... In a society where we are told who to be I hope they find their passion, their purpose, and always dream big. •
•
•
#littleloves #strongwomen #differentbreed #mayweknowthem #mayweraisethem #maywebethem #dreambig #fitmomma #toalltheladiesintheplacewithstyleandgrace #keepongoing</t>
  </si>
  <si>
    <t>littleloves</t>
  </si>
  <si>
    <t>differentbreed</t>
  </si>
  <si>
    <t>toalltheladiesintheplacewithstyleandgrace</t>
  </si>
  <si>
    <t>1582957731157869445_5705167414</t>
  </si>
  <si>
    <t>October, why you takin' forever? #Dubnation
-
-
-
-
-
-
-
-
-
-
-
-
-
-
-
-
-
-
-
-
-
-
-
-
-
-
-
-
-
-
-
-
-
-
-
-
-
-
-
-
 #StephGonnaSteph #Mvp #SC30 #KT11 #DG23 #CURRYMVP #KEEPONGOING #NEVERGIVEUP #WCF #WEST #WESTERNCONFERENCEFINALS #CHAMPS #DUBSFORCHAMPS #DUBS #ALWAYSBELIEVEINGOD #STEPHENCURRY #EVEN #NBA #2016CHAMPS #CHAMPIONS #LOCKIN #STEPH #SPLASH #SPLASHBROS  #like4like #like4follow #follow4follow</t>
  </si>
  <si>
    <t>the.madres</t>
  </si>
  <si>
    <t>1582971400628789698_5363592038</t>
  </si>
  <si>
    <t>Assalamualaikum &amp; good morning everyone ! .
.
"Inhale the future, exhale the past . Keep on going , dont stop and NEVER go back". .
#quoteoftheday #keepongoing #nevergiveup</t>
  </si>
  <si>
    <t>livehappylovealwayslaughoften</t>
  </si>
  <si>
    <t>1582972952387096877_3097195447</t>
  </si>
  <si>
    <t>My kids are hard at work on these drawings. Korbin's first water color piece. 💜
#watercolor #art #drawings #momofboys #creativity #theylearnfast #keepongoing #positivevibes #kidart #artistsoninstagram #artistinthemaking</t>
  </si>
  <si>
    <t>kidart</t>
  </si>
  <si>
    <t>watercolor</t>
  </si>
  <si>
    <t>artistsoninstagram</t>
  </si>
  <si>
    <t>momofboys</t>
  </si>
  <si>
    <t>marvelousanni</t>
  </si>
  <si>
    <t>1582980841193035979_2219641801</t>
  </si>
  <si>
    <t>Fazit des Tages: "Ich wachse als Frau. Mein Stolz wächst. Der Stolz einer Frau ist groß. Für mich kann es nur aufwärts gehen. Da gibt's nichts mehr zu verlieren." #stolz #frau #nachtgedanken #wachsen #wachsenundgedeihen #aufblühen #allewachsenübersichhinausaberwerdavonblühtauf #women #staystrong #keepongoing #nightslikethis #linamaly</t>
  </si>
  <si>
    <t>Berlin, Germany</t>
  </si>
  <si>
    <t>wachsen</t>
  </si>
  <si>
    <t>linamaly</t>
  </si>
  <si>
    <t>nachtgedanken</t>
  </si>
  <si>
    <t>allewachsenübersichhinausaberwerdavonblühtauf</t>
  </si>
  <si>
    <t>breedoffit</t>
  </si>
  <si>
    <t>1582981554611594487_2205516852</t>
  </si>
  <si>
    <t>Clear your mind #trailrunning #dontrip #keepongoing #somewhereovertherainbow #sanantonio</t>
  </si>
  <si>
    <t>dontrip</t>
  </si>
  <si>
    <t>sanantonio</t>
  </si>
  <si>
    <t>somewhereovertherainbow</t>
  </si>
  <si>
    <t>trailrunning</t>
  </si>
  <si>
    <t>trainwithjanaya</t>
  </si>
  <si>
    <t>1582984527760605472_2177862808</t>
  </si>
  <si>
    <t>WHEN LIFE KNOCKS YOU DOWN...you get stronger every time you get back up. It's not always about how much iron you can pump. A lot of the times it's about the fortitude of your mind and your spirit.⠀
.⠀
#strength #strengthtraining #stronger #strong #determination #motivation #mentalstrength #mindovermatter #dontgiveup #mentaltoughness #perserverance #keeppushing #getbackup #pushforward #neverquit #keeptrying #persistence #failureisnotanoption #tryagain #keepmovingforward #anythingispossible #moveforward #resilient #resilience #innerstrength #pushthrough #youcandoit #keepgoing #keepongoing #strongwoman</t>
  </si>
  <si>
    <t>perserverance</t>
  </si>
  <si>
    <t>mickyloghin</t>
  </si>
  <si>
    <t>1582984730897497309_524229086</t>
  </si>
  <si>
    <t>Big task accomplished today!!! ✅💪 Find time to celebrate your small accomplishments as they will pave the road to your success 🤔🤓☺️ #onetaskatatime #staymotivated #keepongoing #buildthatdream #dreambuilder #dreamchaser #entrepreneurlife #inspirationfordreamchasers</t>
  </si>
  <si>
    <t>inspirationfordreamchasers</t>
  </si>
  <si>
    <t>buildthatdream</t>
  </si>
  <si>
    <t>dreambuilder</t>
  </si>
  <si>
    <t>dreamchaser</t>
  </si>
  <si>
    <t>1582984867245913977_1822235880</t>
  </si>
  <si>
    <t>Follow @vision.book for awesome travel images. Summit of Half Dome, Yosemite National Park, California, U.S. Photo by @funtravels
.
.
.
.
.
.
.
.
#allthewayup #travelbook #paradisebay #mytravelgram #paradiseweekend #outdoortones #travelfashion #yogastrong #lifeisfun #airtravel #laptoplife #keepongoing #waycoolshots #creativeentrepreneur #goodquote #global_hotshotz #sunsetting #energyboost #lifestile #paradiseonearth #livetotravel #anewbreedoftraveller #travellifestyle #keepittight #traveldeals</t>
  </si>
  <si>
    <t>lifestile</t>
  </si>
  <si>
    <t>laptoplife</t>
  </si>
  <si>
    <t>yogastrong</t>
  </si>
  <si>
    <t>brelyse2686</t>
  </si>
  <si>
    <t>1582990579552494234_20045612</t>
  </si>
  <si>
    <t>From the incredible mind and beautiful soul of @rossco108 #RossCohen #speaktruthtopower #marathon #keepongoing #loveislove</t>
  </si>
  <si>
    <t>marathon</t>
  </si>
  <si>
    <t>speaktruthtopower</t>
  </si>
  <si>
    <t>loveislove</t>
  </si>
  <si>
    <t>rosscohen</t>
  </si>
  <si>
    <t>wellnesswithmon</t>
  </si>
  <si>
    <t>1582992646807496524_912049588</t>
  </si>
  <si>
    <t>Crazy busy morning filled with meetings, school and daycare drop offs! 
Happy to have my smoothies with complete powder and my magic beans to keep me going! I even added extra spirulina for more energy!! Have a good Thursday everyone!! 🍓🥑🥝🍇🍌🍎🍏🥗🌽🥕🍆🍠🍋🍊 #busydays, #smoothies, #complete, #magicbeans, #keepongoing</t>
  </si>
  <si>
    <t>smoothies</t>
  </si>
  <si>
    <t>complete</t>
  </si>
  <si>
    <t>magicbeans</t>
  </si>
  <si>
    <t>busydays</t>
  </si>
  <si>
    <t>myssmeow</t>
  </si>
  <si>
    <t>1582992893064724649_364279430</t>
  </si>
  <si>
    <t>The Wellness Center is closed the rest of the week for registration; one of the downfalls of using the university gym. So, I went for a PokèStop walk around campus. The pretty flowers are shedding their petals and the pools of water along the curbs are catching them making a pretty display of something otherwise unsightly. #walkingoutside #sweatyselfie #veryhumid #asthma #akf #keepongoing #flowerstagram</t>
  </si>
  <si>
    <t>asthma</t>
  </si>
  <si>
    <t>akf</t>
  </si>
  <si>
    <t>veryhumid</t>
  </si>
  <si>
    <t>sweatyselfie</t>
  </si>
  <si>
    <t>walkingoutside</t>
  </si>
  <si>
    <t>richardrweber</t>
  </si>
  <si>
    <t>1582993296665797359_1092153954</t>
  </si>
  <si>
    <t>Thought I'd share my first rejection letter. I'm sure many more to come. If you're feeling discouraged or disappointed out there, you aren't alone. Keep on going. .
.
.
.
.
#rejected #reject #rejection #thanksbutnothanks #sorryno #keepongoing #denied #bummer #fineartphotography #letter #fineart #fineartphotographer #computersaysno #nope #nottoday #no #cantstopwontstop #struggleisreal #keepshooting #keepgoing #photooftheday #picoftheday #mood #workinghard #itried #igers #instagram #impressed</t>
  </si>
  <si>
    <t>Chicago, Illinois</t>
  </si>
  <si>
    <t>keepshooting</t>
  </si>
  <si>
    <t>rossco108</t>
  </si>
  <si>
    <t>1582995656699876254_144703815</t>
  </si>
  <si>
    <t>Got to write and workshop with an amazing spoken word poet from Split the Rock at DCPS's Professional Development session. Thanks @brelyse2686 for reposting! #keepongoing #loveislove #riseabovehate #dcps #splitthisrock #marathon</t>
  </si>
  <si>
    <t>riseabovehate</t>
  </si>
  <si>
    <t>splitthisrock</t>
  </si>
  <si>
    <t>sarahrae.fitdays</t>
  </si>
  <si>
    <t>1582996210515830960_5623566340</t>
  </si>
  <si>
    <t>Too. Legit. To. Quit.
#keepongoing #nevergiveup #nevergivein #dailyworkout #pushingthelimits</t>
  </si>
  <si>
    <t>pushingthelimits</t>
  </si>
  <si>
    <t>nevergivein</t>
  </si>
  <si>
    <t>dailyworkout</t>
  </si>
  <si>
    <t>eyesofthe_river</t>
  </si>
  <si>
    <t>1582996357424178587_5718900519</t>
  </si>
  <si>
    <t>#Versuz #KOG #LTS #Versuz269 #LastToSurvive #KeepOnGoing</t>
  </si>
  <si>
    <t>versuz</t>
  </si>
  <si>
    <t>kog</t>
  </si>
  <si>
    <t>versuz269</t>
  </si>
  <si>
    <t>lts</t>
  </si>
  <si>
    <t>1583007016209061212_3275305</t>
  </si>
  <si>
    <t>Maybe one day we'll find that place where you and I could catch our dreams within the waves of change.
So smile for me one last time and believe that we'll meet again.
Till then, I'll be missing you :)</t>
  </si>
  <si>
    <t>Sydney, Australia</t>
  </si>
  <si>
    <t>lynncartygill</t>
  </si>
  <si>
    <t>1583020143180908101_4824379428</t>
  </si>
  <si>
    <t>#keepongoing ...YOUR #bestchapter IS STILL TO BE #written 💙#determination  #persistency  #mindset  #trustgod AND KNOW #yourtime THAT YOU #invest will #changeyourlife !💚 #beyourownboss  #determineyourowndestiny 
#workfromhome #helpingothers  #gethealthy #getwealthy  AND #enjoylife ! 🤗
#stayathomemom - #student 
#anyone can #achieveyourdreams 
Do you want #timefreedom ?
Do you want to live #debtfree ?
Do you want to #workfromanywhere ?#makeyourownluck ? 🤷🏼‍♀️
#joinme and start a #newjourney enjoying the #plexuslife 💕</t>
  </si>
  <si>
    <t>persistency</t>
  </si>
  <si>
    <t>joinme</t>
  </si>
  <si>
    <t>bestchapter</t>
  </si>
  <si>
    <t>1583022576723987522_462344435</t>
  </si>
  <si>
    <t>"Wherever you go, go with all your heart."- Confucius
.
.
.
#believeinyourdreams #bepositivealways #positivemindset #livelifetothefull #seethegood #seethegoodineverything #believeyoucan #befearless #keeponmoving #keeponlearning #keepondoing #keepongoing #keeponbelieving #believeinyou #goodhabits #achieve #achieveyourdreams #achieveyourgoals #keepthefaith #neverstoplearning #positiveattitude  #positivequotes #positivevibes #positiveminds #trustandbelieve #trustyourgut #yesyoucan #neverstoptrying #neverstopdoing #youcandoit</t>
  </si>
  <si>
    <t>positiveminds</t>
  </si>
  <si>
    <t>1583024123760035641_5409757454</t>
  </si>
  <si>
    <t>❤️Wake up every morning with the thought that something wonderful is about ti happen.❤️
.
.
.
Double tap to fill the heart with love!
.
.
.
#Bepositive #positivemindset #livelifetothefull #seethegood #seethegoodineverything #believeyoucan #befearless #keeponmoving #keeponlearning #keepondoing #keepongoing #keeponbelieving #believeinyou #goodhabits #achieveyourgoals #believeinyourdream #believeinyourselfie #keepthefaith #neverstoplearning #positiveattitude #positivemindset #positivequotes #positivevibes #positiveminds #trustandbelieve #trustyourgut #yesyoucan #neverstoptrying #neverstopdoing #youcandoit</t>
  </si>
  <si>
    <t>x_anna_leanne_x</t>
  </si>
  <si>
    <t>1583024365972208462_2102815206</t>
  </si>
  <si>
    <t>Just a bad day, hopefully tomorrow is better 🌸💞 #dontlettheworldchangeyoursmile #keepongoing #learntoloveyourself #learntoletgo ##prettysmile #cutethough #justme #justanotherday #justanotherselfie</t>
  </si>
  <si>
    <t>justanotherday</t>
  </si>
  <si>
    <t>learntoloveyourself</t>
  </si>
  <si>
    <t>justanotherselfie</t>
  </si>
  <si>
    <t>learntoletgo</t>
  </si>
  <si>
    <t>prettysmile</t>
  </si>
  <si>
    <t>corischmidt</t>
  </si>
  <si>
    <t>1583030120103633549_45478076</t>
  </si>
  <si>
    <t>This is the place I have needed to be all day. In a place of thanksgiving. I often end up here to hide my tears, reduce pain and tension, soak up preaching or praise or just listen to bubbles pop softly while I muster up some thanks. I stumble at first tonight because my heart is sad to be packing my last child to leave our haven. It is a proud and delighted sad, yet also a profound heart wrenching sad. The myth is "it gets easier with each one and its harder with an only." The truth is each is my only them. The myth is "they will come back to live there. ". The truth is  they may return physically, they never come back with the heart and naïveté with which they left.  As I ponder the most hounding, most often echoed question of her 18 years ....."have I done enough?" The myth is yes. The truth is no. I have not done enough. I will never do enough. But I have introduced her to the Most High. I have shown her the Truth and  have testified as to how Jesus has been my enough. Now I give thanks for grace and light and wisdom that will cover all the mama places I fell short. And I am thankful, Lord, for the comfort you sprinkle lavishly.  You slather  peace on this cracked vessel as another lovey goes to encounter You personally, along her way. I am thankful for another adult child to grow with. I am thankful for my husband to be left behind with. In this place of thankfulness as the water turns cold, I rest.  #givethanks #keepongoing #heisenough #iamnot #grateful #bath #healmyheart #perspective  #leavingforcollege</t>
  </si>
  <si>
    <t>iamnot</t>
  </si>
  <si>
    <t>perspective</t>
  </si>
  <si>
    <t>healmyheart</t>
  </si>
  <si>
    <t>bath</t>
  </si>
  <si>
    <t>givethanks</t>
  </si>
  <si>
    <t>pbarto22</t>
  </si>
  <si>
    <t>1583030864055433766_400099958</t>
  </si>
  <si>
    <t>Time for another walk...twice a day.  #keepongoing</t>
  </si>
  <si>
    <t>jp_808state</t>
  </si>
  <si>
    <t>1583041516481251968_316725014</t>
  </si>
  <si>
    <t>This use to be the place I ran to....#leavingsosoon#willmissit#keepongoing#unconditionallove#hilife#relocating#oahu#losangeles#aloha#hawaii</t>
  </si>
  <si>
    <t>hawaii</t>
  </si>
  <si>
    <t>oahu</t>
  </si>
  <si>
    <t>willmissit</t>
  </si>
  <si>
    <t>117fenix</t>
  </si>
  <si>
    <t>1583043336088081774_53495484</t>
  </si>
  <si>
    <t>#aloneatthegym#sundayfunday#mexicocity#august#bday#oldman#ilikemybeard#soloenelgym#domingooo#toosmall#keepongoing</t>
  </si>
  <si>
    <t>ilikemybeard</t>
  </si>
  <si>
    <t>aloneatthegym</t>
  </si>
  <si>
    <t>oldman</t>
  </si>
  <si>
    <t>mexicocity</t>
  </si>
  <si>
    <t>1583047778787134945_1531780900</t>
  </si>
  <si>
    <t>#motivation #goodvibes #keepongoing</t>
  </si>
  <si>
    <t>jules_unique_finds</t>
  </si>
  <si>
    <t>1583055075416690620_5553257575</t>
  </si>
  <si>
    <t>#bepatient #dontstopbelieving #dontstoptrying #keepongoing #keeponkeepingon #learntohustle #workhard #staycreative #godisgood #godhasaplan #keepthefaith #remainhumble #miraclesdohappen #fortheloveofgod #neverstop</t>
  </si>
  <si>
    <t>miraclesdohappen</t>
  </si>
  <si>
    <t>fortheloveofgod</t>
  </si>
  <si>
    <t>remainhumble</t>
  </si>
  <si>
    <t>bepatient</t>
  </si>
  <si>
    <t>alicecaprotti</t>
  </si>
  <si>
    <t>1583065578129461963_26319427</t>
  </si>
  <si>
    <t>See you next time #ny #newyork #goodbyeny #nystairs #travelgram #travel #keepongoing</t>
  </si>
  <si>
    <t>ny</t>
  </si>
  <si>
    <t>nystairs</t>
  </si>
  <si>
    <t>goodbyeny</t>
  </si>
  <si>
    <t>fluxandstone</t>
  </si>
  <si>
    <t>1583069075406339602_200982540</t>
  </si>
  <si>
    <t>When I grow up this is what my bathroom is going to look like. Such stunning colours. With a massive floor to ceiling window looking out over the ocean. For reals this is my dream and I'm going to make it come true! #dreamer #capricorn #aquarius #hardworking #keepongoing #forwardthinking #dream #makingithappen</t>
  </si>
  <si>
    <t>aquarius</t>
  </si>
  <si>
    <t>dreamer</t>
  </si>
  <si>
    <t>forwardthinking</t>
  </si>
  <si>
    <t>capricorn</t>
  </si>
  <si>
    <t>pauzires</t>
  </si>
  <si>
    <t>1583098825361746964_211481068</t>
  </si>
  <si>
    <t>Y al final del día... hay más luz que sombra por conquistar #me #exhausted #tired #tiredbuthappy #instagram #instagramer #selfie #discovering #trying #keepongoing #myself</t>
  </si>
  <si>
    <t>tired</t>
  </si>
  <si>
    <t>exhausted</t>
  </si>
  <si>
    <t>marikamagriplis</t>
  </si>
  <si>
    <t>1583104274795412942_228668293</t>
  </si>
  <si>
    <t>☕MOTIVATION ☕
When the weeks are tough and I start to lack motivation I remember how fun our weekends are! And it motivates me to push through. We put so much effort into work, training and everyday life that it's equally important to plan ahead for the weekend to enjoy some time as a family. They go by so quickly so why not plan something fun. 👌
Last weekend we were lucky enough to take a speed boat over to some of Koh Phangans secluded beaches 🙌🌊🌞🏝 Some weekends there's nothing better than time at home in your pyjamas all day and there's nothing wrong with that either 😂
#life #balance #dowhatmakesyouhappy #smilemore #bemore #keepongoing</t>
  </si>
  <si>
    <t>bemore</t>
  </si>
  <si>
    <t>dowhatmakesyouhappy</t>
  </si>
  <si>
    <t>smilemore</t>
  </si>
  <si>
    <t>balance</t>
  </si>
  <si>
    <t>okeydoc14</t>
  </si>
  <si>
    <t>1583109482702075894_330910661</t>
  </si>
  <si>
    <t>..... TIKI TAXI l love riding TIKI TAXI .... #tikitaxitoronto #islandhopping #explorer
#ridingtheboat #canada150🇨🇦 #adventurer #travelingcanada #keepongoing #touringca
#adventurethatislife #toronto #tourists
#ontarioca #visitingfriends #exploringglobe</t>
  </si>
  <si>
    <t>Jack Layton Ferry Terminal</t>
  </si>
  <si>
    <t>travelingcanada</t>
  </si>
  <si>
    <t>ridingtheboat</t>
  </si>
  <si>
    <t>ontarioca</t>
  </si>
  <si>
    <t>tourists</t>
  </si>
  <si>
    <t>tikitaxitoronto</t>
  </si>
  <si>
    <t>_nickis_kleine_welt_</t>
  </si>
  <si>
    <t>1583118762129876592_470450440</t>
  </si>
  <si>
    <t>#ichschaffdas #onceagaingoodmorning #keepongoing #laufliebe #couplegoals #happy #laufenammorgenvertreibtkilosundsorgen #morningrun #together #sports #derfrühevogel #running</t>
  </si>
  <si>
    <t>couplegoals</t>
  </si>
  <si>
    <t>laufenammorgenvertreibtkilosundsorgen</t>
  </si>
  <si>
    <t>together</t>
  </si>
  <si>
    <t>en_zones</t>
  </si>
  <si>
    <t>1583137818404843858_223403434</t>
  </si>
  <si>
    <t>#mykonos #hat #sunglasses #turistas #pretty #justme #day #sunnyday #sunaddicted☀️ #styles #colorfull #colors #selfination #summervibes #summertime #instangram #instamood #instacool #fresh #goone #pierced #beard #face #shadows #tired #sleepless #believer #dreamer #keepongoing</t>
  </si>
  <si>
    <t>fresh</t>
  </si>
  <si>
    <t>sleepless</t>
  </si>
  <si>
    <t>mischkajenni</t>
  </si>
  <si>
    <t>1583138265627899850_290276296</t>
  </si>
  <si>
    <t>I'm smiling each day, happiness is still rising, but I'm human so o have my faults along with my ups and downs... Guess I'm just living life... #lifeisradical #livelovelaugh #smiles #happinesss #upsanddowns #keepongoing #xoxo💋</t>
  </si>
  <si>
    <t>lifeisradical</t>
  </si>
  <si>
    <t>upsanddowns</t>
  </si>
  <si>
    <t>happinesss</t>
  </si>
  <si>
    <t>smiles</t>
  </si>
  <si>
    <t>1583148219020389200_223403434</t>
  </si>
  <si>
    <t>#outsider #outsiders #train #darksoul #keepitwild #keepongoing #obscure #fearless #way #intothedarkness #damaged #instadark #moment #instangram #instamood #picsoftheday #shadow #shadows #feelings #emotions #believer #dreamer #place #safe #courious</t>
  </si>
  <si>
    <t>safe</t>
  </si>
  <si>
    <t>shadow</t>
  </si>
  <si>
    <t>way</t>
  </si>
  <si>
    <t>obscure</t>
  </si>
  <si>
    <t>feelings</t>
  </si>
  <si>
    <t>1583160342841423789_8739183</t>
  </si>
  <si>
    <t>Guten Morgen Frankfurt 🖤 ||#frankfurtammain #igersfrankfurt #aboutfrankfurt #ostendfrankfurt #frankfurtliebe #sundowner #drinks #blaueswasser #friendship #positivity #positivevibes #afterwork #darlingmoment #frankfurtatnight #friendshipgoals #frankfurtlove #frankfurtdubistsowunderbar #goodvibes #lifestyleblogger #lifeisgood #happygirl #keepongoing #frankfurtliebe #frankfurtview #blaueswasserfrankfurt #luckywelivehi #moments #collectmomentsnotthings #theview</t>
  </si>
  <si>
    <t>frankfurtatnight</t>
  </si>
  <si>
    <t>afterwork</t>
  </si>
  <si>
    <t>anukirkinen</t>
  </si>
  <si>
    <t>1583184224412513809_2168090791</t>
  </si>
  <si>
    <t>#aamutreeni #hikeäpukkaa #naamapunottaa #taasjaksaa #ikäonvainnumeroita #afterworkout #tiredbuthappy #ageisjustanumber #keepongoing 👊💪😉😂</t>
  </si>
  <si>
    <t>tiredbuthappy</t>
  </si>
  <si>
    <t>aamutreeni</t>
  </si>
  <si>
    <t>ageisjustanumber</t>
  </si>
  <si>
    <t>hikeäpukkaa</t>
  </si>
  <si>
    <t>thebackroadchronicles</t>
  </si>
  <si>
    <t>1583188584800924202_2899146203</t>
  </si>
  <si>
    <t>Float like a butterfly #river #norcal #endlesssummer #photooftheday #instaart</t>
  </si>
  <si>
    <t>mytinyatlas</t>
  </si>
  <si>
    <t>river</t>
  </si>
  <si>
    <t>adventuretime</t>
  </si>
  <si>
    <t>1583189544761012634_5781397138</t>
  </si>
  <si>
    <t>On the Camino
Leaving Sarria being so excited about finally really hiking the Camino. The scallop shell I found in a tiny little pilgrim's shop on the way. Luckily it was open at 7.10 and had all the gear a pilgrim might need.
.
. 
#camino #onthecamino #ontheway #encamino #caminodesantiago #jakobsweg #stjamesway #earlymorning leaving #sarria #galicia #pilgrim with #breastcancer #metastaticcancer under #chemotherapy #keepongoing #neverquit #cancerfighter #lifeisbeautiful</t>
  </si>
  <si>
    <t>jakobsweg</t>
  </si>
  <si>
    <t>earlymorning</t>
  </si>
  <si>
    <t>onthecamino</t>
  </si>
  <si>
    <t>martacarriedo</t>
  </si>
  <si>
    <t>1583192385588149557_8648698</t>
  </si>
  <si>
    <t>The climb is tough but the view from the top is worth it✌🏽🌆 #top #LA #runyoncanyon #neverlookback #seeyouatthetop #california #calilife #keepongoing</t>
  </si>
  <si>
    <t>Runyon Canyon - Los Angeles / Hollywood</t>
  </si>
  <si>
    <t>california</t>
  </si>
  <si>
    <t>calilife</t>
  </si>
  <si>
    <t>top</t>
  </si>
  <si>
    <t>seeyouatthetop</t>
  </si>
  <si>
    <t>1583202351135768126_3249788376</t>
  </si>
  <si>
    <t>The biggest adventure is the one you'll dare to go for when you'll realize you're capable of so much more ✨😘 #ready4more (📷 @wanderlustfest)</t>
  </si>
  <si>
    <t>ready4more</t>
  </si>
  <si>
    <t>julianbrodacz</t>
  </si>
  <si>
    <t>1583203254573300087_5537310255</t>
  </si>
  <si>
    <t>#malanders #shootwhileonset #actor #actorslife #lovemyjob #lovemylife #sexy #thinking #noshirt #serious #picoftheday #instaphoto #blacknwhite #nocolours #wall #keepongoing 
Picture by @mar.woh</t>
  </si>
  <si>
    <t>actorslife</t>
  </si>
  <si>
    <t>actor</t>
  </si>
  <si>
    <t>sexy</t>
  </si>
  <si>
    <t>brittanycournoyer</t>
  </si>
  <si>
    <t>1583209373970129123_304483698</t>
  </si>
  <si>
    <t>Work for what you want! #inspirationalquotes #motivation #keepongoing #notgonnagiveup #iwantthis #icandoit</t>
  </si>
  <si>
    <t>icandoit</t>
  </si>
  <si>
    <t>notgonnagiveup</t>
  </si>
  <si>
    <t>internaszczeklika</t>
  </si>
  <si>
    <t>1583209801662445510_5360453061</t>
  </si>
  <si>
    <t>#progress #internaszczeklika #keepongoing #interna #medycyna #lekarski #student #egzamin #lekarskiegzaminkońcowy #lekarskigram #lekarskieg</t>
  </si>
  <si>
    <t>lekarski</t>
  </si>
  <si>
    <t>lekarskiegzaminkońcowy</t>
  </si>
  <si>
    <t>lekarskigram</t>
  </si>
  <si>
    <t>medycyna</t>
  </si>
  <si>
    <t>1583216583937252815_429036895</t>
  </si>
  <si>
    <t>The way we act isn't always the way we feel. Stop hiding your weaknesses and start building your (inner)strenght.
Strenght does not come in a few days. 🌱 It takes time, patience, effort, perseverance and a lot of willpower. But ones you start, it only gets better!
#brunette #dutchie #fitgirl #fitness #fitdutchie #weightlifting #girlwholifts #fitfam #lifting #bodyandmind #gymlife  #recovering #health #balance #dedication #hardwork #keepongoing #strenght #grow #girlonamission</t>
  </si>
  <si>
    <t>dutchie</t>
  </si>
  <si>
    <t>dedication</t>
  </si>
  <si>
    <t>catchthelephant</t>
  </si>
  <si>
    <t>1583225379861178310_48782058</t>
  </si>
  <si>
    <t>Dont Panic!
#throwback #goodtimes #me #life #lifeisunique #thereisnolimit #keepongoing #life #freeyourmind #sardegna #alghero #vacation #holiday #makemoments #chasinglight</t>
  </si>
  <si>
    <t>throwback</t>
  </si>
  <si>
    <t>freeyourmind</t>
  </si>
  <si>
    <t>alghero</t>
  </si>
  <si>
    <t>sarastrobeck</t>
  </si>
  <si>
    <t>1583239099573520037_669865665</t>
  </si>
  <si>
    <t>TØRSTIG!!!!!!!!!! Dæleme varmt at rende rundt 😌
I aften trx træning og motionsboksning 👌🏻🤘🏻
#running #12km #healthy #runner #cardio #runnerslife #worldrunners #instarunner #skive #ponylegs #lovefreakingrunning #løbetur #frisk #runningismytherapy #keepongoing #runhappy #alwaysrunning #runningshoes #ascis #breakfast
#water #cacaomælk #runnermom #womenrunners #runnermom #varmt #løbeturiskoven og ved #vandet.</t>
  </si>
  <si>
    <t>Krabbesholm Skov</t>
  </si>
  <si>
    <t>frisk</t>
  </si>
  <si>
    <t>worldrunners</t>
  </si>
  <si>
    <t>varmt</t>
  </si>
  <si>
    <t>1583250415679406638_1959382455</t>
  </si>
  <si>
    <t>My loved one is fighting for his health in a hospital❤😍.My reaction is to strengthen myself..to be able to endure..(12km run)😐I will ALWAYS be there for my special person!!!❤❤❤#mylife #mylove #runner #running #löpning #träning #excercise #lugnande #calming #staystrong #stayfit #keepfighting #keepongoing #spreadthelove</t>
  </si>
  <si>
    <t>spreadthelove</t>
  </si>
  <si>
    <t>mylove</t>
  </si>
  <si>
    <t>hogen_kwetter</t>
  </si>
  <si>
    <t>1583254383399027578_359595518</t>
  </si>
  <si>
    <t>Next stop Frankfurt Airport 🚄✈️ #keepongoing #travel #stuttgart #frankfurt #ice #wanderlust #goodlife #enjoy #happy @deutschebahn</t>
  </si>
  <si>
    <t>Stuttgart Hbf</t>
  </si>
  <si>
    <t>ice</t>
  </si>
  <si>
    <t>stuttgart</t>
  </si>
  <si>
    <t>yogatravelmagic</t>
  </si>
  <si>
    <t>1583255714133392189_5856564096</t>
  </si>
  <si>
    <t>Sucess is not final, failure is not fatal: it's the #courage to continue that #counts • • • #winstonchurchill #yogatravelmagic #yogalove #myyogalife #yogalife #downwardfacingdog #yogapose #basic #yogaeverywhere #yogaeveryday #keepongoing #flexibility #strong #trainhard #mobility #coaching #lifecoaching #motivation #inspiration #grow #yogachallenge #bikiniyoga #poolyoga #yogi #yogini #yogaclass #vision #success 👙 @touchecollection @touche_swimwear @lululemon 📸 @gfbasketball</t>
  </si>
  <si>
    <t>Hotel Schloss Reinach</t>
  </si>
  <si>
    <t>mobility</t>
  </si>
  <si>
    <t>vision</t>
  </si>
  <si>
    <t>downwardfacingdog</t>
  </si>
  <si>
    <t>1583261845166573705_2317517565</t>
  </si>
  <si>
    <t>Effektiv core skulder øvelse på RiceGym holdet i morges. •••
Forsøg at holde kroppen i vandret (læs =undgå at tabe hoften) for maksimal spænding. Jo mere du twister, jo mere rammer den. Ja, den er hård. Tag det antal til hver side du kan i rolige bevægelse. Skyder du røven op, fordi det bliver for hårdt, så har du opnået et passende stimuli og du kan nu ligge dig ned på jorden og slappe af;)
••• Skal du med næste torsdag?
Morgenklubben har fokus på det sunde menneske og på god træning. Du får masser af inspiration og et skud Everyday Magic! Alle kan være med, da træningen bliver rettet ind til din form, så du skal ikke være nervøs for at være i for dårlig form. Du kommer kun i bedre form af at troppe op.
••• Vi starter hver torsdag kl. 07.00 og træner til 07.45. Efterfølgende spiser vi i Riceteria fra kl. 08.00. Har du travlt kan du få maden To Go.
••• Du kan tillmelde dig ved at ringe va sms til 20124082 eller maile til ricegym@riceteriabyrice.com eller troppe i Riceteria
Prisen er 150 kr. pr. gang, der afregnes direkte i Riceteria! ••• Mødested: Havhesten i Munke Mose og kan du ikke finde det ringer du bare til mig på 2012 4082 •••
#mortentillitzdk  #whatwouldbeyoncedo #toldyouso #tropådet #personligtræner #personaltrainer #cycling #Cykling #styrketræning #løb #Svømning #Swim #running #stronger #personligtræner #mitodense #fitfam #ﬁtfamdk #actionequalsresults #handlingskabersucces #helkropstræning #fullbody #SunRiceClubbyMortenTillitzDK #mentalpause #blivved #keepongoing #styrketræning #painfree #smertefri #søvn #sleep #mitodense</t>
  </si>
  <si>
    <t>chellabeth</t>
  </si>
  <si>
    <t>1583263858489922019_145569810</t>
  </si>
  <si>
    <t>#toniandguyireland #keepongoing #hardworkpaysoff #lovemystaff #grateful #passion #toomanystafftotag</t>
  </si>
  <si>
    <t>passion</t>
  </si>
  <si>
    <t>lovemystaff</t>
  </si>
  <si>
    <t>toomanystafftotag</t>
  </si>
  <si>
    <t>1583274652356370113_3156182942</t>
  </si>
  <si>
    <t>Baby Rachel as she first came to Pensacola 🇺🇸 Although it's only been about a year, I've had to do a lot of growing up. A lot of hard adult things and a lot of honesty with myself in terms of what's propelling me forward in life versus what brings me down.
It's easy to look back and see all the ways in my mind I went wrong, what I could've done better or shouldn't have done at all. But we're all feeling, imperfect, fearful little souls running around trying to do our best. Compassion, empathy, love...that shit needs to start with your relationship with yourself before you can overflow it to others. Have I learned and lost this year? Absolutely. Has it made us ready for the next chapter ahead? Absolutely. Here's to growth. 🌱 #shotstoshakes #throwbackthursdays</t>
  </si>
  <si>
    <t>soberissexy</t>
  </si>
  <si>
    <t>recoveryispossible</t>
  </si>
  <si>
    <t>jeanny_200993</t>
  </si>
  <si>
    <t>1583275394059951687_1930057163</t>
  </si>
  <si>
    <t>"Lauf junge Seele,  dieser Platz wird nie zuhause sein,  Lauf, Lauf um dein Leben " # casper #keepongoing #carselfie</t>
  </si>
  <si>
    <t>carselfie</t>
  </si>
  <si>
    <t>elevenrabbits</t>
  </si>
  <si>
    <t>1583276676106937374_1490452901</t>
  </si>
  <si>
    <t>Love it. #hiking#feelinggood#austria#neukirchen#nature#mountains#beautifull#keepongoing#loveit</t>
  </si>
  <si>
    <t>neukirchen</t>
  </si>
  <si>
    <t>dhanashreevanemst</t>
  </si>
  <si>
    <t>1583277245761170562_3994785366</t>
  </si>
  <si>
    <t>Kan er weer even mee door 🙈😅
#kidneytransplantlife#medicine 
#keepongoing#greatfull#enjoyeveryday ✌️🙂</t>
  </si>
  <si>
    <t>greatfull</t>
  </si>
  <si>
    <t>medicine</t>
  </si>
  <si>
    <t>kidneytransplantlife</t>
  </si>
  <si>
    <t>enjoyeveryday</t>
  </si>
  <si>
    <t>lifestylebyannikal</t>
  </si>
  <si>
    <t>1583278216030671354_2189499624</t>
  </si>
  <si>
    <t>Fast ibland är det svårt att känna sig motiverad 💪🏻😊.
.
.
Sometimes you just don't have the motivation 💪🏻😊.</t>
  </si>
  <si>
    <t>Lund, Sweden</t>
  </si>
  <si>
    <t>slutainte</t>
  </si>
  <si>
    <t>qoute</t>
  </si>
  <si>
    <t>lee_abbate</t>
  </si>
  <si>
    <t>1583278554752690199_1593479741</t>
  </si>
  <si>
    <t>Well this is a major #throwbackthursday This is where I started my acting so so long ago! I was about 11 years. Thankful for every rejection, every knock back and every "no" I've had. Those are just as important as the " yes' " 
One thing has never changed, even today I still have that big, stupid, cheesy grin on my face. I can't help but smile and when I hear something nice said about me or to me... I smile even more! #smile #act #actor #acting #young #keepongoing #cheesy</t>
  </si>
  <si>
    <t>throwbackthursday</t>
  </si>
  <si>
    <t>act</t>
  </si>
  <si>
    <t>young</t>
  </si>
  <si>
    <t>1583279482893770046_462344435</t>
  </si>
  <si>
    <t>Keep on learning! Keep on exploring! Even the best of the best people make time to learn new things. That's why they're the best!
.
.
.
You can be awesome too!
.
.
.
#keeponexploring #keeponlearning #Bepositive #positivemindset #livelifetothefull #seethegood #seethegoodineverything #believeyoucan #befearless #keeponmoving #keeponlearning #keepondoing #keepongoing #keeponbelieving #believeinyou #goodhabits #achieve #achieveyourdreams #achieveyourgoals #believeinyourdream #believeinyourselfie #keepthefaith #neverstoplearning  #positivemindset  #positivevibes #positiveminds #trustandbelieve #trustyourgut #yesyoucan</t>
  </si>
  <si>
    <t>1583282552093112288_185195397</t>
  </si>
  <si>
    <t>Get clear on what brings YOU joy today.
Admiration from others is nice but not the foundation for a happy life. Your own "approval" is what's paramount. Happy Thursday! 🙌❤️
.
.
Thank you for the inspiration @gretchenrubin ! .
.
#happier2017 #choosejoy #loveyourselffirst #youareworthit #youareenough #youareloved #compassionmatters #kindnessmatters #amazingsunrise #rundaily #runhappy #chooselove #youareamazing #meditatedaily #charlestonsc #cakidiehl #clarity #joyfullife #mindful #mindfullness #selfinquiry #shotoniphone #appreciatelife #abundantlife #highenergy #highvibes #persevere #keepongoing #writersofinstagram</t>
  </si>
  <si>
    <t>mindfullness</t>
  </si>
  <si>
    <t>writersofinstagram</t>
  </si>
  <si>
    <t>makeupdanybaia</t>
  </si>
  <si>
    <t>1583282666655936038_3090521329</t>
  </si>
  <si>
    <t>In progress... 🎨💄
#facesheets #loveit #makeupisart #makeupdanybaia</t>
  </si>
  <si>
    <t>rosecolor</t>
  </si>
  <si>
    <t>makeupfacesheets</t>
  </si>
  <si>
    <t>mywork</t>
  </si>
  <si>
    <t>groutereviews</t>
  </si>
  <si>
    <t>1583284051857705481_5850985896</t>
  </si>
  <si>
    <t>Do whatever it takes to succeed the first time.
#entrepreneur  #supportsmallbusiness  #localislekker👌  #truegrit 
#keepongoing</t>
  </si>
  <si>
    <t>localislekker👌</t>
  </si>
  <si>
    <t>truegrit</t>
  </si>
  <si>
    <t>supportsmallbusiness</t>
  </si>
  <si>
    <t>schwaigerschuetzenhoefer</t>
  </si>
  <si>
    <t>1583285706007471143_4262757822</t>
  </si>
  <si>
    <t>2-0 Sieg gegen Lettland, das heißt der Aufstieg aus der Gruppe ist mit 2 Siegen fixiert. Um 18 Uhr (17 Uhr MEZ) geht's aber um den Gruppensieg gegen die Schweiz, wo wir nochmals ordentlich Gas geben müssen.:-)
#europeanchamps#keepongoing</t>
  </si>
  <si>
    <t>europeanchamps</t>
  </si>
  <si>
    <t>1583288587535815750_2813503554</t>
  </si>
  <si>
    <t>Heute waren die Beine wieder dran, hat richtig gebrannt aber so muss das.
#fitfam #fitnesslifestyle #fitnessmotivation #mcfit #instafit #instapic #fitnessmodel #nevergiveup #noexcuses #callitaplan #legday #bodybuilding #builditup #keepongoing #loosewheight #diefatdie</t>
  </si>
  <si>
    <t>mazrf</t>
  </si>
  <si>
    <t>1583289244306081867_273508132</t>
  </si>
  <si>
    <t>#nofilerneeded ❤️🍉🐠🌅
"Io e te.. io e te.."</t>
  </si>
  <si>
    <t>Kamenjak, Premantura</t>
  </si>
  <si>
    <t>nofilerneeded</t>
  </si>
  <si>
    <t>1583296630692969682_5850985896</t>
  </si>
  <si>
    <t>Succeed the first time
#truegrit  #entrepreneur  #supportsmallbusiness  #localislekker👌  #keepongoing</t>
  </si>
  <si>
    <t>1583297729734600549_279512262</t>
  </si>
  <si>
    <t>Не могу отделаться от ощущения, что я дома. Вспоминаются вкусы из детства, хочется всего самого запретного, нравится узнавать улицы и видеть как много изменилось и как много осталось прежним.
.
#vscogood #livethedream #russia #picoftheday #keepcalm #keepongoing #lifeex #livy #livestory #livethedream #smolensk #abmlife #abmhappylife #townsvillelife #lifestyle</t>
  </si>
  <si>
    <t>Smolensk</t>
  </si>
  <si>
    <t>townsvillelife</t>
  </si>
  <si>
    <t>rishalfonso</t>
  </si>
  <si>
    <t>1583302157729690354_198397161</t>
  </si>
  <si>
    <t>Thank you Lord coz U never failed to amaze me 💖🙏 #blessed #somuchblessed #keepongoing #focusonyourself #iloveme #keeponbelieving #strongwoman #like4like</t>
  </si>
  <si>
    <t>Clark, Pampanga, Philippines</t>
  </si>
  <si>
    <t>focusonyourself</t>
  </si>
  <si>
    <t>iloveme</t>
  </si>
  <si>
    <t>1583303280786714036_5801959162</t>
  </si>
  <si>
    <t>❤️LOVE CONQUERS ALL! Do you agree?! YES OR NO?🌟 👁Tag your friend who MUST see this 👥Follow @motivationbyeli
🔥 To get featured #motivationbyeli
📷@netofernandezfotos for the original picture
👯🌴My Travel Friends 
@bucketlistguy
@travelgentle
@travel_green_</t>
  </si>
  <si>
    <t>1583304446577093014_5620542121</t>
  </si>
  <si>
    <t>Little shoulder work out, focused on my left damaged shoulder 💪✌
@loyalfitness 
#loyalfitness #shoulder #gym #olimp #focus #workonit #dreambig #dowhatyoulove #doit #stayhungry #stayfocused #keepongoing #esn #optimumnutrition</t>
  </si>
  <si>
    <t>optimumnutrition</t>
  </si>
  <si>
    <t>doit</t>
  </si>
  <si>
    <t>sagafbasry</t>
  </si>
  <si>
    <t>1583309309513421337_585538815</t>
  </si>
  <si>
    <t>Raise your words, not your voice. It is rain that grows flowers not thunder.
#words #rain #thunder #voice #quotes #patience #fragrant #rumi #rumiquotes #beauty #flowers #flower #motivation #motivationalquotes  #thorn #rose  #roses #keepongoing #hustle #keepongoing #motivasi #mawar #indah #sabar #kesabaran #inspirationalquotes #morninginspiration #selamatpagi</t>
  </si>
  <si>
    <t>thorn</t>
  </si>
  <si>
    <t>fragrant</t>
  </si>
  <si>
    <t>voice</t>
  </si>
  <si>
    <t>renataasseri</t>
  </si>
  <si>
    <t>1583311128967868922_197556986</t>
  </si>
  <si>
    <t>day off
#early#morning#summer#dayoff#home#sleeping#tired#panda#current#mood#staystrong#staypositive#half#portrait#keepongoing#vsco#vscocam#latergram</t>
  </si>
  <si>
    <t>early</t>
  </si>
  <si>
    <t>portrait</t>
  </si>
  <si>
    <t>panda</t>
  </si>
  <si>
    <t>kosmosdrifter</t>
  </si>
  <si>
    <t>1583311977801907651_5893488346</t>
  </si>
  <si>
    <t>Before it became a #sparkling #crazy #artexplosion.....gotta start somewhere...round and round he draws what it becomes Mr. Owl only knows. 1...uh 2 .. Uh..3... #tootsiepop olsschool commercial for the uniniciated and those late on the boobtube scene. #draw #artsy #artistic #keepongoing #lifeisstrangesoismyart</t>
  </si>
  <si>
    <t>draw</t>
  </si>
  <si>
    <t>lifeisstrangesoismyart</t>
  </si>
  <si>
    <t>artexplosion</t>
  </si>
  <si>
    <t>artsy</t>
  </si>
  <si>
    <t>tootsiepop</t>
  </si>
  <si>
    <t>beemecouture</t>
  </si>
  <si>
    <t>1583317207033746537_1215789635</t>
  </si>
  <si>
    <t>#bmc#keepongoing#female#styleissue#trends#fashion#instalove#new#returning#beauty#instafashion#newprojects#samevission!!!!!❤</t>
  </si>
  <si>
    <t>bmc</t>
  </si>
  <si>
    <t>returning</t>
  </si>
  <si>
    <t>instafashion</t>
  </si>
  <si>
    <t>samevission</t>
  </si>
  <si>
    <t>sbandieratori</t>
  </si>
  <si>
    <t>1583317841037130055_1542069409</t>
  </si>
  <si>
    <t>Keep on walking. Eyes have to be trained to discover new places.</t>
  </si>
  <si>
    <t>offline</t>
  </si>
  <si>
    <t>footsteps</t>
  </si>
  <si>
    <t>tour</t>
  </si>
  <si>
    <t>1583333378005857894_274727915</t>
  </si>
  <si>
    <t>1 round was not good enough, so i did a bit more 🙃 #keeponrunning #nevergiveup #6,8km #goodrun #keepongoing #healthylifestyle #running #2laps #gettingbetter #sporting #healthy #lovetorun #goedloopje #loveit #picoftheday #l4l</t>
  </si>
  <si>
    <t>2laps</t>
  </si>
  <si>
    <t>laura_leece_knight</t>
  </si>
  <si>
    <t>1583335423021785305_3042771438</t>
  </si>
  <si>
    <t>Its gonna be ok. #dailystruggles #anxious #stress #substantialsadness #keepongoing</t>
  </si>
  <si>
    <t>anxious</t>
  </si>
  <si>
    <t>stress</t>
  </si>
  <si>
    <t>dailystruggles</t>
  </si>
  <si>
    <t>substantialsadness</t>
  </si>
  <si>
    <t>1583339755261015734_254227172</t>
  </si>
  <si>
    <t>Fasted cardio💦💦5k💦💦27mim💦💦 now time for abs! Some personal development from George Zalucki! If you know... then you know! Working out body and mind🙏🏾
#motivation #innerpeace  #fitnesslife #keepongoing #motivated #photooftheday #instafollowme  #personaltrainer #lifeisgood #instagood #picoftheday #instadaily #igers #instalike #bestoftheday #followme #like4like #fun #instamood #life #followback #follow #tagforlikes</t>
  </si>
  <si>
    <t>nicklinacre17</t>
  </si>
  <si>
    <t>1583344699095590549_3419480</t>
  </si>
  <si>
    <t>👴🏻👴🏻👴🏻 Happy Birthday to me #gettingold #birthday #happybirthday #happybirthdaytome #iamsomehowstillalive #keepongoing</t>
  </si>
  <si>
    <t>Coventry, United Kingdom</t>
  </si>
  <si>
    <t>gettingold</t>
  </si>
  <si>
    <t>birthday</t>
  </si>
  <si>
    <t>happybirthdaytome</t>
  </si>
  <si>
    <t>1583350514489099485_15887082</t>
  </si>
  <si>
    <t>Last picture from Hamburg (maybe) 🙈
Now my focus will be on cheering at Ironman Copenhagen 👏🏼🏁 #IMHamburg 
#IMCopenhagen #ironman #upcoming #mulitisport #tri365 #lovemylife #fitness #ironmanbarcelona2017 #outofcomfortzone #trilabdk #triathlon #triatlete #invisibleguns #worldoffusion @worldoffusion #keepongoing #purepowerdk #smileplease #swimbikerun</t>
  </si>
  <si>
    <t>upcoming</t>
  </si>
  <si>
    <t>purepowerdk</t>
  </si>
  <si>
    <t>lorenzorigorigobello</t>
  </si>
  <si>
    <t>1583357519085032674_1680560596</t>
  </si>
  <si>
    <t>••• Second born this year #2017❤️ #keepongoing #lorenzorigo #beatport #distarclub #psr16 #thunderjamrecords #rigo #dontcallmecocco #discocharts #venice #venezia #cantwait #junodownload •••</t>
  </si>
  <si>
    <t>Venice, Italy</t>
  </si>
  <si>
    <t>lorenzorigo</t>
  </si>
  <si>
    <t>rigo</t>
  </si>
  <si>
    <t>venezia</t>
  </si>
  <si>
    <t>soundcloud</t>
  </si>
  <si>
    <t>thunderjamrecords</t>
  </si>
  <si>
    <t>1583360897153220445_5495249433</t>
  </si>
  <si>
    <t>Everyone starts somewhere. Work hard &amp; perserve 💙</t>
  </si>
  <si>
    <t>perservere</t>
  </si>
  <si>
    <t>fuzzyzilla_art</t>
  </si>
  <si>
    <t>1583362258967538269_1621019553</t>
  </si>
  <si>
    <t>Another long work day ahead and the physical stuff I'm dealing with kept me up most of the night, booo. On the plus side, it's already Thursday! Mentally I'm just kinda overwhelmed. There's a job in Charlotte NC that would be f'in *ideal* for me, but it'd be a long shot so I'm trying to figure out how to best present myself for it. Need to get out of this town, too many memories, but my younger kid doesn't want to leave the state so I'm trying to figure it all out. Ugh! Today's mental forecast is frazzled with a steady anxious hum. #life #anxiety #ptsd #mentalhealth #keepongoing #jobs #stress #anxietybros</t>
  </si>
  <si>
    <t>ptsd</t>
  </si>
  <si>
    <t>1583375627759101831_244228468</t>
  </si>
  <si>
    <t>Nothing can stop you! 🙌 thanks @motivationbyeli</t>
  </si>
  <si>
    <t>motivational</t>
  </si>
  <si>
    <t>beoriginal</t>
  </si>
  <si>
    <t>1583376796349428345_4697629916</t>
  </si>
  <si>
    <t>Pretty bad day today. Feeling incredibly low. Trying to stop those bad thoughts creeping in. Looking back on better days. Have been trying so hard to keep busy and not isolate. When the physical issues meet the mental health ones however it can all get a bit much. So I will allow myself today. To feel low. To isolate. To let it all crash in on me for a while. To wallow, even. To snug up with my two reasons to never give up completely, and have a movie binge. Tomorrow, I'll dust myself off and start again. Tomorrow, will be better.
.
#betterdaysahead #baddaysaretemporary #keepongoing #nevergiveup #anxiety #depression #myeloproliferativeneoplasm #fibromyalgia #invisibleillness #mentalhealth #mentalhealthawareness #struggle #justfortoday #yoga #yogi #beachyoga #yogisofinstagram #yogacommunity #beginneryogi #yogaforhealth</t>
  </si>
  <si>
    <t>yogacommunity</t>
  </si>
  <si>
    <t>justagirlfromlux</t>
  </si>
  <si>
    <t>1583377846636856223_7760595</t>
  </si>
  <si>
    <t>I will breathe.
I will think of solutions.
I will not let my worry control me.
I will not let my stress level break me.
I will simply breathe.
And it will be okay.
Because I don't quit. ~Shayne McClendon
#breathe #befree #keepongoing #nevergiveup #staystrong #happy #life #smile #laugh #dance #fly #strenght #fearless #girl #woman #quote #quoteoftheday</t>
  </si>
  <si>
    <t>befree</t>
  </si>
  <si>
    <t>fly</t>
  </si>
  <si>
    <t>woman</t>
  </si>
  <si>
    <t>feelgreatbreaks</t>
  </si>
  <si>
    <t>1583382844704913181_2962357421</t>
  </si>
  <si>
    <t>Never quit. Started practicing this lotus arm/ forearm balance pose today. #yogatensecondselfie - needs tonnes more practice but I'll #neverquit . #yogaasana #padmasana #balance #yogaeverydamnday #yoga #armbalance #keepongoing</t>
  </si>
  <si>
    <t>yogaeverydamnday</t>
  </si>
  <si>
    <t>armbalance</t>
  </si>
  <si>
    <t>1583385913718665117_1417472007</t>
  </si>
  <si>
    <t>Break your legs...🤒🤕☠
↘⬇↘⬇↘⬇↘⬇↘⬇↘⬇↘⬇↘⬇
@swiftbike @sramroad @mundociclismo @mundodasbikes #bikeinstagram #rideyourrace #bikeride #liveyourrace #waytoride #bike #swiftbike #sramfrog #viverodemira #vilanovademilfontes #costavicentina #keepongoing #penhasbtteam #penhasonfire#scott #garmin #strava #fizik #fullcrumwheels #rideinstyle #portugalbike</t>
  </si>
  <si>
    <t>Vila Nova de Milfontes</t>
  </si>
  <si>
    <t>liveyourrace</t>
  </si>
  <si>
    <t>penhasbtteam</t>
  </si>
  <si>
    <t>rideinstyle</t>
  </si>
  <si>
    <t>arundhuti_r</t>
  </si>
  <si>
    <t>1583388177586790604_1274812959</t>
  </si>
  <si>
    <t>#fooddiaries#nofilter#friedrice#gastronomicaldiaries#thefoodielife#foodstagram#trialanderror#latergram#foodpost#igers#india#hustle#keepongoing#foodiegram</t>
  </si>
  <si>
    <t>gastronomicaldiaries</t>
  </si>
  <si>
    <t>friedrice</t>
  </si>
  <si>
    <t>foodiegram</t>
  </si>
  <si>
    <t>foodpost</t>
  </si>
  <si>
    <t>foodstagram</t>
  </si>
  <si>
    <t>stichburykerry</t>
  </si>
  <si>
    <t>1583388459100136239_3692352734</t>
  </si>
  <si>
    <t>Even when you think you losing #nevergiveup , you only lose when you are done #postivemind #fitnessgirl #fitnessgoals #rollonwinter #keepongoing #controlyourmind</t>
  </si>
  <si>
    <t>rollonwinter</t>
  </si>
  <si>
    <t>controlyourmind</t>
  </si>
  <si>
    <t>1583389872806116318_396521172</t>
  </si>
  <si>
    <t>Finding treasures when you least expect it. 🐿. Photo by @sergey_polyushko
.
.
.
.
.
.
.
.
#lifestory #meditative #beachbod #yogajunkie #travelingphotographer #mytraveldiary #earthspirit #earthporn #travelwithfriends #bestvacations #keepongoing #travelpicsdaily #epicgetaway #sunset #travellernottourist #creativeprocess #mybudgettravel #travelpost #biketravel #discoverearth #mountaingirls #energyboost #travelnevda #travelgear #paradiseweekend</t>
  </si>
  <si>
    <t>biketravel</t>
  </si>
  <si>
    <t>travelwithfriends</t>
  </si>
  <si>
    <t>creativeprocess</t>
  </si>
  <si>
    <t>travelingphotographer</t>
  </si>
  <si>
    <t>1583391338823499958_4697629916</t>
  </si>
  <si>
    <t>Was just in the bathroom and this feather appeared. I had only just put the loo seat down (as nobody else does in this house....🙈) and both windows were shut, but there it was, right in the centre. It's said that grey feathers may appear to reassure you that the road ahead is much more positive. Can't explain how much I needed this little sign today 💗
.
#grandad #guardianangel #feather #greyfeather #sign #positivity #betterdaysahead #keepongoing #thingswillgetbetter</t>
  </si>
  <si>
    <t>guardianangel</t>
  </si>
  <si>
    <t>greyfeather</t>
  </si>
  <si>
    <t>feather</t>
  </si>
  <si>
    <t>betterdaysahead</t>
  </si>
  <si>
    <t>william_kumasi</t>
  </si>
  <si>
    <t>1583395257151599482_335266628</t>
  </si>
  <si>
    <t>We have the chance to find the key to our dream 🎼🔑 shot by @johndemaulo #chance #keepongoing</t>
  </si>
  <si>
    <t>chance</t>
  </si>
  <si>
    <t>1583397937026558594_5869703664</t>
  </si>
  <si>
    <t>Snow.
.
.
.
.
.
.
.
#travel#traveling#visiting#instatravel#instago#instagood#trip#holiday#photooftheday#fun#travelling#tourism#tourist#instapassport#instatraveling#mytravelgram#travelgram#travelingram#igtravel #walk #dream #live #nature #beautiful #bridge #lost #lucky #keepongoing #winter #snow</t>
  </si>
  <si>
    <t>Copenhagen, Denmark</t>
  </si>
  <si>
    <t>instatraveling</t>
  </si>
  <si>
    <t>1583399906194142381_254227172</t>
  </si>
  <si>
    <t>300 Rep Abs routine: 5 exercises x 20reps each x 3 sets. Which is 100reps per set equalling 300reps😅💦💦💦
#motivation #innerpeace  #fitnesslife #keepongoing #motivated #photooftheday #instafollowme  #personaltrainer #lifeisgood #instagood #picoftheday #instadaily #igers #instalike #bestoftheday #followme #like4like #fun #instamood #life #followback #follow #tagforlikes</t>
  </si>
  <si>
    <t>annarchiccode</t>
  </si>
  <si>
    <t>1583402047302444606_247624441</t>
  </si>
  <si>
    <t>Always look at the bright side of life ⭐️🎼 #smile #walking #keepongoing #bridge #tourist #turisme #amposta #ebro #urban #lookoftheday #outfitoftheday #skirt #trends #bag #raffiabag #capazo #preppy #fashion #igerscatalunya #holidays #summer</t>
  </si>
  <si>
    <t>preppy</t>
  </si>
  <si>
    <t>lookoftheday</t>
  </si>
  <si>
    <t>bag</t>
  </si>
  <si>
    <t>justine_rosalez</t>
  </si>
  <si>
    <t>1583403148717038321_465973284</t>
  </si>
  <si>
    <t>#transformationthursday But here's what hasn't changed... it's hard to explain to people how you see yourself in the mirror, but unfortunately, I see photo 1 more often than photo 2. The second is technically me now, but even this morning, wearing the same body suit, I feel like I look so much bigger than I do in that photo. I post photos so often because I really benefit from seeing something that isn't how I view my own reflection. It means a lot to me when people tell me that my progress is visible because I can never see it. I'm only one pant size away from my goal, but I feel like I haven't changed. Despite my feelings, I can't look at these photos and say they are identical so this is my reminder to keep fighting against the negativity and doing what I know I need to do.</t>
  </si>
  <si>
    <t>transformationthursday</t>
  </si>
  <si>
    <t>1583405441306600575_5801959162</t>
  </si>
  <si>
    <t>❤️IT IS WORTH IT! Do you agree?! YES OR NO?🌟 👁Tag your friend who MUST see this 👥Follow @motivationbyeli
🔥 To get featured #motivationbyeli
📷@vincelimphoto for the original picture
👯🌴My Travel Friends 
@bucketlistguy
@travelgentle
@travel_green_</t>
  </si>
  <si>
    <t>1583409210383867937_198441347</t>
  </si>
  <si>
    <t>Ultime ore da 29enne.... 💦🙈 #invecchio #pooltime #piscina #relax #chiciammazza #tanning #gettan #swimsuit #black @bisbigli_store #smile #keepongoing #foreveronvacation #sorrisoni #benessere</t>
  </si>
  <si>
    <t>Borgo di Pietrafitta Relais</t>
  </si>
  <si>
    <t>swimsuit</t>
  </si>
  <si>
    <t>invecchio</t>
  </si>
  <si>
    <t>benessere</t>
  </si>
  <si>
    <t>chiciammazza</t>
  </si>
  <si>
    <t>1583422362680956633_5705167414</t>
  </si>
  <si>
    <t>When you had a really bad day, but then you see food on your table #Dubnation
-
-
-
-
-
-
-
-
-
-
-
-
-
-
-
-
-
-
-
-
-
-
-
-
-
-
-
-
-
-
-
-
-
-
-
-
-
-
-
-
 #StephGonnaSteph #Mvp #SC30 #KT11 #DG23 #CURRYMVP #KEEPONGOING #NEVERGIVEUP #WCF #WEST #WESTERNCONFERENCEFINALS #CHAMPS #DUBSFORCHAMPS #DUBS #ALWAYSBELIEVEINGOD #STEPHENCURRY #EVEN #NBA #2016CHAMPS #CHAMPIONS #LOCKIN #STEPH #SPLASH #SPLASHBROS  #like4like #like4follow #follow4follow</t>
  </si>
  <si>
    <t>cago_tha_saiyan</t>
  </si>
  <si>
    <t>1583424669675334448_34559713</t>
  </si>
  <si>
    <t>Took Zi Guy to the park and all he wanted to do was run. .
.
#run #keepongoing #keeponrunning #fit #fitfam #fitmom #fitness #kids #fitkid #mommasboy #believe #behappy #beautiful #becomingsupersayain #unshoes</t>
  </si>
  <si>
    <t>medicalmotivationofficial</t>
  </si>
  <si>
    <t>1583428841053132263_5886675516</t>
  </si>
  <si>
    <t>Sometimes, the best motivation is someone who tells you that you can't make it.
Prove them that they are wrong.
We are here to support and motivate !
#med #motivationalquoteoftheday #medicalmotivation #keepongoing #keeponmoving #loveyourlife #follow #instadaily #hashtags #lfl #medicinequotes #quoteoftheday</t>
  </si>
  <si>
    <t>motivationalquoteoftheday</t>
  </si>
  <si>
    <t>medicalmotivation</t>
  </si>
  <si>
    <t>loveyourlife</t>
  </si>
  <si>
    <t>med</t>
  </si>
  <si>
    <t>soysoloyoga</t>
  </si>
  <si>
    <t>1583430791394767642_5880093527</t>
  </si>
  <si>
    <t>Leave all behind.
🙏🏼ॐ🙏🏼
#yogainspiration #yoga #yogagirl #yogaFun #yogaeverydamnday #Connection #Center #Balance #Alignment #Movement #Breath #keepongoing #Tree #Air #oneLove #yogini #yogaLife #practice #Asana #Namaste 🍃</t>
  </si>
  <si>
    <t>center</t>
  </si>
  <si>
    <t>onelove</t>
  </si>
  <si>
    <t>yogafun</t>
  </si>
  <si>
    <t>yogalife</t>
  </si>
  <si>
    <t>karennalea</t>
  </si>
  <si>
    <t>1583435540680884880_4769991517</t>
  </si>
  <si>
    <t>#motivationalquotes #quoteoftheday #keepongoing 👊🏽</t>
  </si>
  <si>
    <t>1583435847905180273_279512262</t>
  </si>
  <si>
    <t>Любимое💛
.
.
.
#vscogood #livethedream #smolensk #daily #architecturelovers #church #abmlife #authentic #abmhappylife #keepcalm #keepongoing #lifeex #livy #livealittle #liveauthentic #livethedream #picoftheday #madrussians #mood</t>
  </si>
  <si>
    <t>Костел</t>
  </si>
  <si>
    <t>church</t>
  </si>
  <si>
    <t>1583438577952484638_1972606430</t>
  </si>
  <si>
    <t>New Zealand🙌🏼 || #prestoknowsbest
-
-
#liveandlearn #dontsettle #mindsetshift #dropout #content #quotesoflife #fireyourboss #empowernetwork #onlinesuccess #personalgrowth #motivateyourself #betteryourself #keepongoing #mindsetiseverything #inspiredaily #valueyourself #valuelife #entrepreneurmind #newmindset #goalachiever</t>
  </si>
  <si>
    <t>empowernetwork</t>
  </si>
  <si>
    <t>aliceranaudo</t>
  </si>
  <si>
    <t>1583439206318322026_428030059</t>
  </si>
  <si>
    <t>🇲🇬 #madagascar #exploring #allaround the #view from the #bus #going #keepongoing #keepondoing #neverstop</t>
  </si>
  <si>
    <t>view</t>
  </si>
  <si>
    <t>keepondoing</t>
  </si>
  <si>
    <t>allaround</t>
  </si>
  <si>
    <t>yzhangkhor</t>
  </si>
  <si>
    <t>1583441046611512189_34736681</t>
  </si>
  <si>
    <t>Be with me without restriction, trust me without fear and accept me for who I am.
.
.
.
#memyselfandi #acceptance #life #lifequotes #instamood #instaquote #instalife #picoftheday #like4like #follow #followme #liveyourlife #igers #swag #lifestyle #principal #keepongoing #movingforward #instalife #instadaily #instame #me #comeandgo</t>
  </si>
  <si>
    <t>instalife</t>
  </si>
  <si>
    <t>biv_ry.bread</t>
  </si>
  <si>
    <t>1583443222179559917_3890332630</t>
  </si>
  <si>
    <t>Finally Getting Back At It! I Think I Needed That Time Off Because Now Im Hungry! Hungry More Than Ever And It Feels Effing Awesome! 💪
#gym #fitfam #fitness #keepongoing #hungryformore #instafit #happythursday</t>
  </si>
  <si>
    <t>plantpowered</t>
  </si>
  <si>
    <t>hungryformore</t>
  </si>
  <si>
    <t>fit_nic93</t>
  </si>
  <si>
    <t>1583456336711144687_5757135045</t>
  </si>
  <si>
    <t>Well I can say I'm doing something right!. Are you? #sweat  #workout #breathe  #aches  #keepongoing  #stayhydrated  #gains #urdoingsomethingright</t>
  </si>
  <si>
    <t>breathe</t>
  </si>
  <si>
    <t>aches</t>
  </si>
  <si>
    <t>urdoingsomethingright</t>
  </si>
  <si>
    <t>knights_companies</t>
  </si>
  <si>
    <t>1583456834633848690_5860270282</t>
  </si>
  <si>
    <t>Knight's Companies just keeps on rolling! #knightscompanies #k #concrete #cement #redimix #redimixconcrete #keepongoing #keeponkeepinon #hardwork</t>
  </si>
  <si>
    <t>redimixconcrete</t>
  </si>
  <si>
    <t>cement</t>
  </si>
  <si>
    <t>concrete</t>
  </si>
  <si>
    <t>diegregs</t>
  </si>
  <si>
    <t>1583457639353662856_3242873698</t>
  </si>
  <si>
    <t>You can't hold me
I'm too slippery
I do no sleepin'
I get lonely
you can touch me
if you want to
I got poison
I just might bite you
#tbt #snakesong #thursdaythoughts #birl #hustle #faith #blessed #keepongoing #keepmoving #noplacefortheweak #carrythis #go #crossfiter #justdoit</t>
  </si>
  <si>
    <t>Piracicaba River</t>
  </si>
  <si>
    <t>snakesong</t>
  </si>
  <si>
    <t>thursdaythoughts</t>
  </si>
  <si>
    <t>crossfiter</t>
  </si>
  <si>
    <t>withtheheadintheclouds</t>
  </si>
  <si>
    <t>1583458140732510099_5426853581</t>
  </si>
  <si>
    <t>Dopo il fiume cosa c'è...
#walking #mountain #nature #river #letsgo #keepongoing #colours #summer #shoes #holydays #2017 #silence #free #spirit #instapicture</t>
  </si>
  <si>
    <t>colours</t>
  </si>
  <si>
    <t>1583459954970167045_5426853581</t>
  </si>
  <si>
    <t>Laghi Palasinaz, il ritorno 
#mountain #walking #letsgo #keepongoing #laghipalasinaz #valledaosta #nature #silence #colours #grass #clouds #free #spirit #summer #holydays #2017 #instapicture #picoftheday</t>
  </si>
  <si>
    <t>instapicture</t>
  </si>
  <si>
    <t>2017</t>
  </si>
  <si>
    <t>franco_aylward</t>
  </si>
  <si>
    <t>1583461377711008061_3299879429</t>
  </si>
  <si>
    <t>Peak of my bulk just before the cut began for the summer. Made some great progress in improving some of my laging muscle groups including my  delts, arms and chest. #keepongoing #thegrind #summervibes</t>
  </si>
  <si>
    <t>thegrind</t>
  </si>
  <si>
    <t>alex_innamoramento_art</t>
  </si>
  <si>
    <t>1583463360528035238_56060905</t>
  </si>
  <si>
    <t>#inthemood #blackandwhite #bw #trees #sky #clouds #wtfmoment #igers #instanature #outdoors #naturehealsme #yogini #alwaysafighter #warrior #kickass #fearless #nevergiveup #strongwomen #always #keepongoing #motivation #inspire #beinthemoment #justbreathe #mentor #love</t>
  </si>
  <si>
    <t>always</t>
  </si>
  <si>
    <t>alwaysafighter</t>
  </si>
  <si>
    <t>mgijt</t>
  </si>
  <si>
    <t>1583465332236846102_534123305</t>
  </si>
  <si>
    <t>Where is the summer🌧? #linosleventje #gewoondoorhobbelen #keepongoing #uitlaatservice #bassetfauvedebretagne #summervibes #zomer</t>
  </si>
  <si>
    <t>linosleventje</t>
  </si>
  <si>
    <t>gewoondoorhobbelen</t>
  </si>
  <si>
    <t>zomer</t>
  </si>
  <si>
    <t>uitlaatservice</t>
  </si>
  <si>
    <t>bassetfauvedebretagne</t>
  </si>
  <si>
    <t>1583466054260378170_2317517565</t>
  </si>
  <si>
    <t>Lige par guldkorn på, hvorfor det kan være motiverende, at løbe i røven af en anden og fastlægge mål sammen med andre😉🏃🏋🏼‍♀️🍾. Link i bio
•••
#mortentillitzdk  #whatwouldbeyoncedo #toldyouso #tropådet #personligtræner #personaltrainer #cycling #Cykling #styrketræning #løb #Svømning #Swim #running #stronger #personligtræner #mitodense #fitfam #ﬁtfamdk #actionequalsresults #handlingskabersucces #helkropstræning #fullbody #SunRiceClubbyMortenTillitzDK #mentalpause #blivved #keepongoing #styrketræning #painfree #smertefri #søvn #sleep #mitodense</t>
  </si>
  <si>
    <t>Odense, Denmark</t>
  </si>
  <si>
    <t>ema_swe</t>
  </si>
  <si>
    <t>1583469856766294204_3146050111</t>
  </si>
  <si>
    <t>I will never stop dreaming ❤
#inspiration #lyrics #aerosmith #dreaming #keepongoing</t>
  </si>
  <si>
    <t>aerosmith</t>
  </si>
  <si>
    <t>lyrics</t>
  </si>
  <si>
    <t>1583472950634594162_5705167414</t>
  </si>
  <si>
    <t>Tied for #3 -  Lebron James, Lebron is without a doubt the most valuable player in the 2000-2010 decade, he has shown he can perform consistently, averaging 20+ ppg for 14 straight seasons is no easy accomplishment, this season alone he averaged 26.4 ppg, 8.7 apg, and 8.6 rpg, which is really good and to think that he's already 32 years old, makes that stat more impressive, he has been Cleveland's engine, Cleveland's heart, without Lebron, Cleveland won't be anything relevant, that's how good Lebron is, he can lift a team that much and even with his age increasing, he doesn't let his game decrease, and even though I'm a Curry fan, i gotta admit, Lebron's the icon of 2000-2010, for the icon of 2010-2017 that's the person tied with him at the #3 spot, revealing in the next post!!!! #Dubnation
-
-
-
-
-
-
-
-
-
-
-
-
-
-
-
-
-
-
-
-
-
-
-
-
-
-
-
-
-
-
-
-
-
-
-
-
-
-
-
-
 #StephGonnaSteph #Mvp #SC30 #KT11 #DG23 #CURRYMVP #KEEPONGOING #NEVERGIVEUP #WCF #WEST #WESTERNCONFERENCEFINALS #CHAMPS #DUBSFORCHAMPS #DUBS #ALWAYSBELIEVEINGOD #STEPHENCURRY #EVEN #NBA #2016CHAMPS #CHAMPIONS #LOCKIN #STEPH #SPLASH #SPLASHBROS  #like4like #like4follow #follow4follow</t>
  </si>
  <si>
    <t>dinkyj418</t>
  </si>
  <si>
    <t>1583473131803522557_438119661</t>
  </si>
  <si>
    <t>Been having a few rough days lately but I'm managing to keep on smiling and pushing thru each day....
I refuse to let anything bring me down😁
#selfie #keepongoing #smile #positive #brownhair #hazeleyes #freckleface #fitchick #fitmomsofig #plainjane #positivevibes #clearmind #girlswhodrivetrucks #dodgeram #countrygirl #bornandraised #ohiogirl</t>
  </si>
  <si>
    <t>clearmind</t>
  </si>
  <si>
    <t>plainjane</t>
  </si>
  <si>
    <t>girlswhodrivetrucks</t>
  </si>
  <si>
    <t>bornandraised</t>
  </si>
  <si>
    <t>nicoleelizabeth430</t>
  </si>
  <si>
    <t>1583474515924769767_5769364515</t>
  </si>
  <si>
    <t>#beauty #insideout #happy #keepongoing</t>
  </si>
  <si>
    <t>beauty</t>
  </si>
  <si>
    <t>insideout</t>
  </si>
  <si>
    <t>oilsandmyeverydaylife</t>
  </si>
  <si>
    <t>1583476771294509959_361612703</t>
  </si>
  <si>
    <t>Some days this is what you need to hear. It's all good! Every new day is fresh with no mistakes in it! #gratefulheart #h #perseverance #keepongoing</t>
  </si>
  <si>
    <t>h</t>
  </si>
  <si>
    <t>gratefulheart</t>
  </si>
  <si>
    <t>1583478591487650128_5869703664</t>
  </si>
  <si>
    <t>Go everywhere.
.
.
.
.
.
.
.
.
.
#travel#traveling#visiting#instatravel#instago#instagood#trip#holiday#photooftheday#fun#travelling#tourism#tourist#instapassport#instatraveling#mytravelgram#travelgram#travelingram#igtravel #walk #dream #live #nature #beautiful #bridge #lost #lucky #keepongoing #dontstop #dontquit</t>
  </si>
  <si>
    <t>eeebz11</t>
  </si>
  <si>
    <t>1583483604125039008_5837643967</t>
  </si>
  <si>
    <t>#letgo #forgiveness #keepongoing #bebetter #getbetter #fixyourself #equality #loveconquersall</t>
  </si>
  <si>
    <t>getbetter</t>
  </si>
  <si>
    <t>bebetter</t>
  </si>
  <si>
    <t>joanboada75</t>
  </si>
  <si>
    <t>1583485423162677843_13734275</t>
  </si>
  <si>
    <t>#life #nevergiveup #toutestpossible #keepongoing</t>
  </si>
  <si>
    <t>toutestpossible</t>
  </si>
  <si>
    <t>ubirul</t>
  </si>
  <si>
    <t>1583488393818737781_195514406</t>
  </si>
  <si>
    <t>~ Kebanggaan /Guan Hua Wei : 73.8386 mata ~ #kl2017 #emas #renangberirama #rutinsoloteknikal #proudofu #seagames2017 #nhkatwork #keepongoing #teammalaysia #wacapek #byeandgoodnight 😅💪🏻</t>
  </si>
  <si>
    <t>Pusat Akuatik National</t>
  </si>
  <si>
    <t>proudofu</t>
  </si>
  <si>
    <t>renangberirama</t>
  </si>
  <si>
    <t>teammalaysia</t>
  </si>
  <si>
    <t>wacapek</t>
  </si>
  <si>
    <t>kl2017</t>
  </si>
  <si>
    <t>kaatwouters3108</t>
  </si>
  <si>
    <t>1583490747108470285_769317328</t>
  </si>
  <si>
    <t>Back on track 💪🏼 #fitness #easyfit #keepongoing</t>
  </si>
  <si>
    <t>easyfit</t>
  </si>
  <si>
    <t>rebeccagayheartdane</t>
  </si>
  <si>
    <t>1583491143822512447_4546215022</t>
  </si>
  <si>
    <t>Excuse the F bomb but this feeling . #newday #keepongoing #feels #everythingisgoingtobealright</t>
  </si>
  <si>
    <t>everythingisgoingtobealright</t>
  </si>
  <si>
    <t>stefan_steinberg</t>
  </si>
  <si>
    <t>1583493394653868110_2923646455</t>
  </si>
  <si>
    <t>Make America swole again! #gains #instahealth #healthylifestyle #liftingweights  #lifting  #instagains #hardwork #nevergiveup #trainhard #broscience #health #keepongoing #gymbro  #gym #gymlife #transformation #gymtrain  #gettinglean #leanmussel #protein  #weights #fuckcrossfit #lifter #weightlifting #patriots #america #redneck #guns #freedom #arms</t>
  </si>
  <si>
    <t>america</t>
  </si>
  <si>
    <t>lifter</t>
  </si>
  <si>
    <t>matthew_brands90</t>
  </si>
  <si>
    <t>1583493397389667063_404052909</t>
  </si>
  <si>
    <t>#niagarafalls #beautiful #view #amazing #nature #wild #world #picoftheday #portrait #breathless #nowords #blue #sky #deep #sea #fishing #boat #middleofnowhere #career #ey #exploring #aroundtheworld #keepongoing #newdestination #nolimits #horizon #rainbow #🌈 #aftertherain #toronto</t>
  </si>
  <si>
    <t>Niagara Falls, Ontario</t>
  </si>
  <si>
    <t>middleofnowhere</t>
  </si>
  <si>
    <t>wild</t>
  </si>
  <si>
    <t>sea</t>
  </si>
  <si>
    <t>1583493955406952856_5801959162</t>
  </si>
  <si>
    <t>❤️DO YOU AGREE?! YES OR NO?🌟 👁Tag your friend who MUST see this 👥Follow @motivationbyeli
🔥 To get featured #motivationbyeli
📷@bigdeluxe_ for the original picture
👯🌴My Travel Friends 
@bucketlistguy
@travelgentle
@travel_green_</t>
  </si>
  <si>
    <t>1583496456665149911_2715478190</t>
  </si>
  <si>
    <t>Maya Angelou 💗 #quotes #loveadventure #keepongoing #mayaangelou #daregreatly #stayinspired #ocrgirl</t>
  </si>
  <si>
    <t>daregreatly</t>
  </si>
  <si>
    <t>stayinspired</t>
  </si>
  <si>
    <t>ocrgirl</t>
  </si>
  <si>
    <t>amusiciansjournal</t>
  </si>
  <si>
    <t>1583498133421578631_5478938839</t>
  </si>
  <si>
    <t>No soy experta pero seguiré practicando :) 🎨
.
.
.
.
.
.
#bulletjournal  #bujo #bujospread #bookstagram #bujolover #notebook #acuarela #acuarelle #watercolor #muji #madrid #verano #summerarts  #bujojunkies #showmeyourdrawings #bulletjournalcommunity #windsorandnewton #happy #practicing #keepongoing #paris #traveljournal #traveljournaling</t>
  </si>
  <si>
    <t>En Madrid España</t>
  </si>
  <si>
    <t>practicing</t>
  </si>
  <si>
    <t>bookstagram</t>
  </si>
  <si>
    <t>bujojunkies</t>
  </si>
  <si>
    <t>1583509251984541934_244228468</t>
  </si>
  <si>
    <t>Animals have a Spirit too! 🙌❤️ @motivationbyeli</t>
  </si>
  <si>
    <t>1583509321307074542_4773778225</t>
  </si>
  <si>
    <t>🌺🌺🌺#worldtravelbook #flashesofdelight #art #lake #rainbow #goodafternoonpost #keeponkeepingon #keepongoing #motivation #motivationeveryday #sunset #flowers #architecturephotography #architecture #tagsforlikes #bluesky #likesforlikes #follow #almosttheweekend #smile #happy #morningmotivation #flower #behappy #grateful</t>
  </si>
  <si>
    <t>Hilton Falls Conservation Area</t>
  </si>
  <si>
    <t>morningmotivation</t>
  </si>
  <si>
    <t>ginamarie.villanueva</t>
  </si>
  <si>
    <t>1583513366613509058_2350891394</t>
  </si>
  <si>
    <t>I love my new personal development book so far. It's mind blowing that I can relate to what the author is talking about and it honestly feels like she's one of my best friends. You know, the friend that has your back. The friend who encourages you that you can do great things and reminds you that yes, you are #thatgirl.
Today's take away is, I knew that I had a gift, a raw talent that was God given. I knew I could spend the rest of my life developing and using my voice to inspire people, to educate them, to entertain them, and to love them.nack to life. I didn't know exactly how I was going to go about doing that, but I knew that more would be revealed...Clues to your passion are always around you...For most people, you have to get put there in the world, do things that scare you whether it's auditioning for a play, taking a new class, or tagging along on a friend's adventure.
Being able to help others on their health and fitness goals is MY #passion. It fills me up with so much excitement when someone tells me that they have reached their targeted weight, that they are able to fit into their favorite dress or jeans again, that they have more energy to keep up with their children, that they no longer need to take their medication to help with thier high blood and high cholesterol, that they are happier, healthier, AND that they believe in themselves again.</t>
  </si>
  <si>
    <t>thatgirl</t>
  </si>
  <si>
    <t>youvsyou</t>
  </si>
  <si>
    <t>personaldevelopment</t>
  </si>
  <si>
    <t>read</t>
  </si>
  <si>
    <t>1583514466024494959_1562021213</t>
  </si>
  <si>
    <t>My snack #fruitsalad #strawberry #grapes #melon #tunas #instayummy #healthylife #healthychoices #fitnessaddict #yesyoucan #keepongoing #keepstrong #keepitsimple</t>
  </si>
  <si>
    <t>melon</t>
  </si>
  <si>
    <t>nbz_art</t>
  </si>
  <si>
    <t>1583523116734526749_5818897466</t>
  </si>
  <si>
    <t>Fitting in 🍂🍃🐾👩🏾💋✨🍁سمرة يا سمرة  found her cosy place . #artwork#art#ceramics#collage#popart#artlover#artisticvibes#followyourinspirations#keepongoing#keeponcreating</t>
  </si>
  <si>
    <t>Carthage, Tunis, Tunisia</t>
  </si>
  <si>
    <t>ceramics</t>
  </si>
  <si>
    <t>followyourinspirations</t>
  </si>
  <si>
    <t>artlover</t>
  </si>
  <si>
    <t>backlash6981</t>
  </si>
  <si>
    <t>1583524689799319517_545082809</t>
  </si>
  <si>
    <t>Still waitin on... #games #keepongoing #changeitup</t>
  </si>
  <si>
    <t>Henderson, Texas</t>
  </si>
  <si>
    <t>changeitup</t>
  </si>
  <si>
    <t>cristian__so</t>
  </si>
  <si>
    <t>1583530038744162894_3897562534</t>
  </si>
  <si>
    <t>#beautifullife #preparedforanything  #changes #photography #travel #italy #internship #keepongoing #thinking #lessismore</t>
  </si>
  <si>
    <t>preparedforanything</t>
  </si>
  <si>
    <t>internship</t>
  </si>
  <si>
    <t>1583533533984361741_274727915</t>
  </si>
  <si>
    <t>Proud to show my transformation. Before 6months ago and now. After months of working hard to get healthier, with ups &amp; downs. I achieved my goal of losing 10kilo. Changed my lifestyle for good and started to sport! And this all by my own strenght! Never believed i could do it! #nevergiveup #nooitmeerdiëten #sandrabekkari #proud #losingweight #healthylifestyle #feelingbetter #keepongoing #diet #strongerme #betterme #transformation #changes #beforeandafter #healthy #picoftheday #l4l</t>
  </si>
  <si>
    <t>nooitmeerdiëten</t>
  </si>
  <si>
    <t>sandrabekkari</t>
  </si>
  <si>
    <t>1583536259434163527_313231351</t>
  </si>
  <si>
    <t>💚
#baselice #sannio #sanniolovers #italia #italy #igersitalia #igersitaly #holidays #holidays2017 #keeponwalking #keepongoing #landscapes #italianlandacapes #discoveryitaly #scorcio #anvedichescorcio #panorama #travelling #travel #home #aplacecalledhome</t>
  </si>
  <si>
    <t>sannio</t>
  </si>
  <si>
    <t>1583536982146093818_279512262</t>
  </si>
  <si>
    <t>Выставка Рене Магритта в Смоленске. Не картины, а литографии, но здесь изображение даже важнее исполнения)
Спасибо лекциям Константина Дудакова-Кашуро за то, что я теперь осознаю насколько это интересно!
.
#vscogood #livethedream #катеринарекомендует #daily #art #artlover #surrealistart #modernart #keepongoing #picoftheday #exibition #smolensk #abmlife #authentic #abmhappylife #</t>
  </si>
  <si>
    <t>Культурно-выставочный центр имени Тенишевых</t>
  </si>
  <si>
    <t>катеринарекомендует</t>
  </si>
  <si>
    <t>dr.alaina.nd</t>
  </si>
  <si>
    <t>1583537043643736645_4777539040</t>
  </si>
  <si>
    <t>Greens + avocado = salad &lt;3 Seasoned with sea salt, pepper, garlic powder, olive oil and white balsamic vinegar. .
.
.
.
.
#getdemgreens #realfood #notjustforguac #delish #nutrition #avocado #healthyfats #fiber #getinmybelly #healthygut #beautifulfood #maketimeforit #youcandoit #babysteps #keepongoing #eatmoreplants</t>
  </si>
  <si>
    <t>maketimeforit</t>
  </si>
  <si>
    <t>getdemgreens</t>
  </si>
  <si>
    <t>avocado</t>
  </si>
  <si>
    <t>mikaelascompass</t>
  </si>
  <si>
    <t>1583537207373489717_43173672</t>
  </si>
  <si>
    <t>💖Shout out to anyone transcending from a mindset, mentality, desire, belief, emotion, habit, behavior or vibration that no longer serves them. 🦋 Stay on your path... Bloom from within &amp; do good... 💜 Your soul is the most beautiful part about you... ☀️💛🌻 #peace #love #loveyourself #lifeisajourney #happiness #shoutout #keepongoing #pinterest #thursday #bekind #serveothers #joy #peace</t>
  </si>
  <si>
    <t>Fort Mill, South Carolina</t>
  </si>
  <si>
    <t>serveothers</t>
  </si>
  <si>
    <t>thursday</t>
  </si>
  <si>
    <t>bekind</t>
  </si>
  <si>
    <t>1583542091976134514_231434</t>
  </si>
  <si>
    <t>• Nok en dag går mot slutten, å jeg hadde min siste styrke økt i dag for denne uken 😶🚴🏼‍♀️ Ble en god økt på overkropp der vi perset på nesten hver øvelse 🏋🏼‍♀️ Håper dere alle har hatt en flott Torsdag 💕• ______________________________________________
#activelifestyle #summertime #smilebehappy #girlswholift #lovelifting #nordicfitnessgirls #keepfit_no #keepongoing #fitness #aktivejenter #aktivlivsstil #påveimotmålet #mittår</t>
  </si>
  <si>
    <t>mittår</t>
  </si>
  <si>
    <t>walkinmythoughts</t>
  </si>
  <si>
    <t>1583542314365563027_2957673269</t>
  </si>
  <si>
    <t>In the wise words of my mum as she went through her cancer journey..."fffuuuuuuuccckkk iiiittttt" 🙄🙄🙄 "fuck you" 🙄🙄🙄 "fuck this".
I agree. This is some kind of ridiculous, where every dramatic turn just leaves me thinking "are you kidding me??"...as I laugh, unsure if it's a laugh of madness or a laugh from someone who's just done taking things seriously.
I'm supposed to be moving on with my life; not going this whole testing-and-waiting and more/weird things happening or going wrong cycle 😶😶😶
I am all of the emotions and then none of the emotions. Repeat.
I guess this is the mind-fuck that my father was talking about. His most important word of advice from his cancer journey: it'll play with your mind, so make sure it doesn't because you still have to get shit done.
My complaining sounds like ingratitude...I get it. I'm surrounded by friends, colleagues, family, such talented medical professionals, even strangers who have been my greatest blessing. I get it. I'm lucky. I'm grateful for that.
That being said, this is the rollercoaster. This is what it looks like.
I was never going to be just sharing platitudes when my goal was to share what this truth looks like so that maybe those who are supporting people like me, can get a better idea of what it's like from the inside.
-------------------------
#recovery #rollercoaster #cancer #cancerjourney #allthefeels #noneofthefeels #getshitdone #keepongoing #fuckyou #fuckoff #fuckit #grateful #tired #fedup #burntout #diary #journal #itiswhatitis #exposed</t>
  </si>
  <si>
    <t>fedup</t>
  </si>
  <si>
    <t>itiswhatitis</t>
  </si>
  <si>
    <t>cancer</t>
  </si>
  <si>
    <t>exposed</t>
  </si>
  <si>
    <t>leo_utdhk</t>
  </si>
  <si>
    <t>1583545119330883827_1321483344</t>
  </si>
  <si>
    <t>但覺有分數，不再像以往那般笨。
#keepfit #keepongoing #nice #simpleliving #simplelife</t>
  </si>
  <si>
    <t>nice</t>
  </si>
  <si>
    <t>simplelife</t>
  </si>
  <si>
    <t>simpleliving</t>
  </si>
  <si>
    <t>its4areazon</t>
  </si>
  <si>
    <t>1583546101235781010_32411611</t>
  </si>
  <si>
    <t>Life be like
#life #ups #downs #keepongoing #tooshort #makeitgood #smile #through #it #newyorklife #newyork #queens #astoria #skateboarding #park 
#cheers</t>
  </si>
  <si>
    <t>Astoria Park</t>
  </si>
  <si>
    <t>makeitgood</t>
  </si>
  <si>
    <t>cheers</t>
  </si>
  <si>
    <t>astoria</t>
  </si>
  <si>
    <t>1583547053425777199_4229046670</t>
  </si>
  <si>
    <t>beluga_b</t>
  </si>
  <si>
    <t>1583553073536446298_4270012872</t>
  </si>
  <si>
    <t>2nd shooting 2017 #szaszimi #shooting2017 #modelingdays #lovemyjob #keepworkinghard #keepongoing #keeponbelieving #photographyart #believeinyourself #hungariangirl #budapestphotography #hungarianphotographer #loveworkingwithhim #thankyou</t>
  </si>
  <si>
    <t>Budapest, Hungary</t>
  </si>
  <si>
    <t>keepworkinghard</t>
  </si>
  <si>
    <t>photographyart</t>
  </si>
  <si>
    <t>loveworkingwithhim</t>
  </si>
  <si>
    <t>szaszimi</t>
  </si>
  <si>
    <t>jdalva</t>
  </si>
  <si>
    <t>1583565249297075933_19140560</t>
  </si>
  <si>
    <t>Part of last night's gluing extravaganza. I was attaching each strand of thread in place using Zap-a-Gap cynoacrylate (super/crazy glue) applied with a toothpick. The little dropper bottle you can see me using has Zip Kicker in it, which instantly cures the Zap. I used it sparingly here because it can sometimes leave a white residue from the chemical reaction. This piece is titled "Mutually Assured Destruction." .
.
Also, just to say, it's been hard for me to concentrate on work the past few days, there's been so much horrible stuff happening in this country and everywhere. I'm real sad and angry. I hope everyone is keeping themselves informed and will make efforts to fight against all the hate and shitty people. #keepongoing #wip #sculpture #process #timelapse #istillhaveglueonmyfingers #zapagapglue #jdalva #jessicadalva</t>
  </si>
  <si>
    <t>sculpture</t>
  </si>
  <si>
    <t>jessicadalva</t>
  </si>
  <si>
    <t>zapagapglue</t>
  </si>
  <si>
    <t>genkboy_80_official</t>
  </si>
  <si>
    <t>1583568935075269853_194479525</t>
  </si>
  <si>
    <t>Walking again 😁 #atleast6km #walking #molenvijver #gayboy #instagay #weightloss #gettingfit #instafit #keepongoing #alone #spotify #samtsui</t>
  </si>
  <si>
    <t>Molenvijver</t>
  </si>
  <si>
    <t>gayboy</t>
  </si>
  <si>
    <t>alone</t>
  </si>
  <si>
    <t>1583570595274378123_4869035138</t>
  </si>
  <si>
    <t>Quality over quantity 💯❌
Be sure to follow us @100xsuccess 🔥
•
📷 @johnnyedlind</t>
  </si>
  <si>
    <t>1583571084194636405_1972606430</t>
  </si>
  <si>
    <t>Life is to short, time is fast, no reply, or no rewind. So enjoy every moment you have on this Earth😁🙌🏼
#prestoknowsbest
-
-
#liveandlearn #dontsettle #mindsetshift #dropout #content #quotesoflife #fireyourboss #empowernetwork #onlinesuccess #personalgrowth #motivateyourself #betteryourself #keepongoing #mindsetiseverything #inspiredaily #valueyourself #valuelife #entrepreneurmind #newmindset #goalachiever</t>
  </si>
  <si>
    <t>1583571381000806068_43302057</t>
  </si>
  <si>
    <t>Best yet! 7.4k, 1043cal burnt! Can I have pizza now? 🍕😂😍
#coachto5k #workout #breakasweat #hot #slowlydying #keepongoing #bestyet</t>
  </si>
  <si>
    <t>breakasweat</t>
  </si>
  <si>
    <t>coachto5k</t>
  </si>
  <si>
    <t>slowlydying</t>
  </si>
  <si>
    <t>bbeni_jewelry</t>
  </si>
  <si>
    <t>1583572002412471863_2273138422</t>
  </si>
  <si>
    <t>⛈🌦🌤☀️Yes, why is that? Never give up! 👊🏼#nevergiveup #dontquit #dontgiveup #dontsettle #dontstop #donthate #dont #dontmissout #persevere #perseverance #keepongoing #fight #fighting #breakthrough #christian #christianity #faith #faithful #faithingod #faithoverfear #insta #instagood #instalook #instagram #instalike #instalook #work #workhard #workforit #workinghard</t>
  </si>
  <si>
    <t>insta</t>
  </si>
  <si>
    <t>workinghard</t>
  </si>
  <si>
    <t>1583574623222618109_5801959162</t>
  </si>
  <si>
    <t>Amazing house, would you dare to live there?! YES OR NO?🌟 👁Tag your friend who MUST see this 👥Follow @motivationbyeli
🔥 To get featured #motivationbyeli
📷@luxesify for the original picture
👯🌴My Travel Friends 
@bucketlistguy
@travelgentle
@travel_green_</t>
  </si>
  <si>
    <t>xoguanguan</t>
  </si>
  <si>
    <t>1583575445675436978_1481880100</t>
  </si>
  <si>
    <t>把情緒過濾，好的放心中，壞的當教訓 #keepongoing</t>
  </si>
  <si>
    <t>1583577333994302199_244228468</t>
  </si>
  <si>
    <t>❤️❤️❤️Shout out to @motivationbyeli! If you Love motivation, travel and lifestyle FOLLOW THE ACCOUNT👥💎</t>
  </si>
  <si>
    <t>realevapallo</t>
  </si>
  <si>
    <t>1583582410711556327_593333097</t>
  </si>
  <si>
    <t>Even in the darkest days keep on believing in the best future - be a magnet for the light...🌌🌠
~
~
~
~
#darkness #dark #best #future #light #badday #goodday #keep #keepongoing</t>
  </si>
  <si>
    <t>keep</t>
  </si>
  <si>
    <t>longhair</t>
  </si>
  <si>
    <t>fuckthem</t>
  </si>
  <si>
    <t>blonde</t>
  </si>
  <si>
    <t>goodday</t>
  </si>
  <si>
    <t>m1sun3k</t>
  </si>
  <si>
    <t>1583583256628391606_1540625634</t>
  </si>
  <si>
    <t>Jsem šťastná, že tyto krásné okamžiky můžu sdílet s někým, koho miluju ❤️ @thaibox 
Im happy, that I can share such moments with somebody I love 😻
#inlove #mountainlovers #nature #couple #boyfriend #theone #fitcouple #fitnessmotivation #slovakia #activelife #liveyourlife #active #tohether #outdoor #adventure #hiking #muscles #sporty #ua #motivation #keepongoing #rozsutec #dowhatyoulove #beautifulday #m1sun3k</t>
  </si>
  <si>
    <t>slovakia</t>
  </si>
  <si>
    <t>theone</t>
  </si>
  <si>
    <t>active</t>
  </si>
  <si>
    <t>1583584495230784198_344342790</t>
  </si>
  <si>
    <t>Cause this whole "cutting" this sucks. I have cravings like no one business but my core is looking pretty good. Cardio and leg night. You know what I say, gotta grow the peach. #abs #booty #bootygainz #peach #dedication #determination #dontgiveup #gym #gymrat #gymlife #getswole #goals #gainz #keepongoing #motivation #pushtillyoucantanymore #stackinandsixpackin #strongereveryday #legday #stayhumble</t>
  </si>
  <si>
    <t>pushtillyoucantanymore</t>
  </si>
  <si>
    <t>1583586398446083839_4773778225</t>
  </si>
  <si>
    <t>Lavender farm✔️#worldtravelbook #flashesofdelight #art #lake #rainbow #goodafternoonpost #keeponkeepingon #keepongoing #motivation #motivationeveryday #sunset #flowers #architecturephotography #architecture #tagsforlikes #bluesky #likesforlikes #follow #almosttheweekend #smile #happy #morningmotivation #flower #behappy #grateful</t>
  </si>
  <si>
    <t>Terre Bleu Lavender Farm</t>
  </si>
  <si>
    <t>1583587394274362162_1516203357</t>
  </si>
  <si>
    <t>Highly trained staff
I proudly announce loudly and clearly: we (pilots and cabin attendants) are the most regulated professionals in the universe. Medical tests, several profiency and technical tests (simulators for pilots) every year and high standards expected to be in the saddle of a multi engine jet. And even when the alarm sounds at 3:00 am, we still  happy to keep moving, even though it's when I ask myself :"why did you choose to become a pilot?" Personal altamente entrenado
Con orgullo anuncio, con fuerza y claridad: nosotros (pilotos y tripulantes de cabina), somos los profesionales más regulados del universo. Tests médicos, numerosos relacionados con la competencia profesional además de exámenes técnicos (simuladores para los pilotos). Todos ellos son anuales, además de exigidos para desempeñar nuestro trabajo a bordo.
Y cuando el despertador suena a las 3:00 am, incluso ahí nos ponemos en marcha. Viene a ser cuando me pregunto: "Por qué elegiste ser piloto?" #listosparadespegue #fly #youcan #pilot #aircraft #vamos #tupuedes #move #keepongoing #beyou #bepositive #staypositive #smile #enjoy #workout #takeoff #happy #smile #beyou#crew</t>
  </si>
  <si>
    <t>tupuedes</t>
  </si>
  <si>
    <t>coachdgoodwin</t>
  </si>
  <si>
    <t>1583588269860790968_508281333</t>
  </si>
  <si>
    <t>😕Did I finish my program on time? NOPE
😕Did I drink too much during my weekend getaway? YEP
😕Did I watch what I ate? NOPE 😁Did I throw myself a pity party for not being perfect? NOPE
😁Did I get back on the wagon? YEP
😁Am I going to finish Shift Shop this week and push till the end? HELL YES!!!! This journey has good weeks, bad weeks, indulgent weeks, strong weeks, weak weeks. What matters in the end is that you NEVER GIVE UP. Period. #keepongoing #momstrong</t>
  </si>
  <si>
    <t>momstrong</t>
  </si>
  <si>
    <t>coleberns</t>
  </si>
  <si>
    <t>1583594200188830510_1077253370</t>
  </si>
  <si>
    <t>🎥
Lembrança desse dia maneiro, @blackbirdgeneration no evento Cine Surf Vitória. Entrevista com o camarada e artista @c.tripa Agradecimento especial a @vitoriasurfhouse pelo espaço no estande mais surf da festa! Um salve ao idealizador e responsável por fazer acontecer @joseaugustomuleta 👊👊 #keepongoing #cinesurf #blackbirdgeneration #especialforadeserie #equipe #surf #life #working #surfculture</t>
  </si>
  <si>
    <t>especialforadeserie</t>
  </si>
  <si>
    <t>blackbirdgeneration</t>
  </si>
  <si>
    <t>cinesurf</t>
  </si>
  <si>
    <t>gymnesstips</t>
  </si>
  <si>
    <t>1583595000686598442_5528853383</t>
  </si>
  <si>
    <t>Finally a sunny day in this town so I headed out for a walk with my friend!
#walk #keepongoing #cardio #happiness #friend #outfit #fitnessoutfit</t>
  </si>
  <si>
    <t>friend</t>
  </si>
  <si>
    <t>fitnessoutfit</t>
  </si>
  <si>
    <t>outfit</t>
  </si>
  <si>
    <t>web.corny</t>
  </si>
  <si>
    <t>1583597171977120156_5474813396</t>
  </si>
  <si>
    <t>Spontaneous long swim #giessen #beatyesterday #garmin #forerunner920xt #kachelnzählen #überraschend #läuft #motivation #thursdayswim #speedo #endurance #triathlon #trilife #4k #powerbar #swimbikerun #personalbest #personalrecord #strongerthanyouthink #mentalhealth #keepongoing</t>
  </si>
  <si>
    <t>Westbad</t>
  </si>
  <si>
    <t>thursdayswim</t>
  </si>
  <si>
    <t>powerbar</t>
  </si>
  <si>
    <t>nav_rox</t>
  </si>
  <si>
    <t>1583600299914262091_3031836540</t>
  </si>
  <si>
    <t>On your path, you will have to deal with setbacks, some will be small, some major. But no matter how deep the valley, how high the mountain - stand up, and keep on going. One step after the other, time will pass and after the rain has stopped the sun will shine again. Stay strong, just keep on going... #staystrong #onestepatatime #takesmallsteps #thebestisyettocome  #keepcalmandgoforahike #hikingtrail #hiking #grow #keeponmoving #keepongoing #loveyourlife #mountainlove #mountaingirls #instamamagang #instamama #instamom #outdoors #healyourself #travelswitzerland #travelandmakememories #thinkpositive #timeheals #todayisyourbestday #lifeisagift #motherhood #youcandoit</t>
  </si>
  <si>
    <t>Corviglia</t>
  </si>
  <si>
    <t>takesmallsteps</t>
  </si>
  <si>
    <t>mountaingirls</t>
  </si>
  <si>
    <t>onestepatatime</t>
  </si>
  <si>
    <t>1583605586665185105_4203455377</t>
  </si>
  <si>
    <t>Ace 👌👌</t>
  </si>
  <si>
    <t>katrinekoko</t>
  </si>
  <si>
    <t>1583610814496288934_253271474</t>
  </si>
  <si>
    <t>#progress#preworkout#shoulder#back#keepongoing#body#fitness#lifting 🌸</t>
  </si>
  <si>
    <t>back</t>
  </si>
  <si>
    <t>reflets_dans_leau</t>
  </si>
  <si>
    <t>1583616007950468923_5659736158</t>
  </si>
  <si>
    <t>#podlasie 
#walkingintheclouds 
#keepongoing</t>
  </si>
  <si>
    <t>Białystok, Poland</t>
  </si>
  <si>
    <t>podlasie</t>
  </si>
  <si>
    <t>walkingintheclouds</t>
  </si>
  <si>
    <t>1583619864346299698_2715478190</t>
  </si>
  <si>
    <t>not good enough but ok,  I had little workout in morning and swim lunchtime but I really want to up my endurance performance .. have goals I want to achieve but the body needs a lot of training 🙄 #training #ocrgirl #ocrtraining #obstaclecoursetraining #obstaclecourseracing #spartan #ironviking #ocrgirls #nevergiveup #loverunning #loveadventure #daregreatly #keepongoing</t>
  </si>
  <si>
    <t>obstaclecoursetraining</t>
  </si>
  <si>
    <t>ironviking</t>
  </si>
  <si>
    <t>ocrtraining</t>
  </si>
  <si>
    <t>1583627774181913081_4229046670</t>
  </si>
  <si>
    <t>1583627969930503096_5073248504</t>
  </si>
  <si>
    <t>Stop being influenced by others. There will always be someone who doesn't like who you are or what you do...but that doesn't matter. It's your life, your decisions and only your business.
#confidence #motivation #motivate #dream #successquotes #success #shaolin #monk #nonofyourbusiness #trustyourself #lawofattraction #secret #yourlife #liveyourlife #keepongoing #stepbystep #reality #quote #quotes #makeithappen</t>
  </si>
  <si>
    <t>reality</t>
  </si>
  <si>
    <t>nonofyourbusiness</t>
  </si>
  <si>
    <t>lawofattraction</t>
  </si>
  <si>
    <t>amandaalmroth</t>
  </si>
  <si>
    <t>1583638477591843471_37678105</t>
  </si>
  <si>
    <t>Kämpar på vidare med en kropp som inte lirar med mig just nu, men det är okej. Snart är det helg och jag fortsätter att tro på att kroppen ska kännas mycket piggare igen inom kort! ✊🏼🤗</t>
  </si>
  <si>
    <t>olivares9623</t>
  </si>
  <si>
    <t>1583638799313058904_1828340886</t>
  </si>
  <si>
    <t>Well here goes nothing, let's star a new adventure it's worth given a shoot!😎🤘👍🤙💪#towing #covingtontowing&amp;transport #wrecker #rollback #ford #keepongoing</t>
  </si>
  <si>
    <t>wrecker</t>
  </si>
  <si>
    <t>ford</t>
  </si>
  <si>
    <t>towing</t>
  </si>
  <si>
    <t>rollback</t>
  </si>
  <si>
    <t>1583640997563474979_1571021823</t>
  </si>
  <si>
    <t>#runnergirl #eveningrun #keepongoing #athlete #fastrunner #legsday #training #marathontraining #24ofseptember #wielkibieg #ja #biegaczka</t>
  </si>
  <si>
    <t>24ofseptember</t>
  </si>
  <si>
    <t>biegaczka</t>
  </si>
  <si>
    <t>fastrunner</t>
  </si>
  <si>
    <t>thripies_</t>
  </si>
  <si>
    <t>1583644255196615126_5139866557</t>
  </si>
  <si>
    <t>Find me in Bali 🏝🔆 #Bali #beach #sun #swimwear #sand #sea #rainbow #watercolor</t>
  </si>
  <si>
    <t>Bali, Indonesia</t>
  </si>
  <si>
    <t>bali</t>
  </si>
  <si>
    <t>swimwear</t>
  </si>
  <si>
    <t>sweet</t>
  </si>
  <si>
    <t>urballiss__1</t>
  </si>
  <si>
    <t>1583648775977037795_3657711004</t>
  </si>
  <si>
    <t>Yesℹ.....#keeppushing 👍
.
.
.
#positive #goodquote #instagram#instavibes#realtalk#truth#keepongoing#neverstop#nevergiveup#staypositive</t>
  </si>
  <si>
    <t>instavibes</t>
  </si>
  <si>
    <t>leidydi8_fitnessclub</t>
  </si>
  <si>
    <t>1583648871531631052_354008816</t>
  </si>
  <si>
    <t>#progress #notperfection #keepongoing #isyourgoals #isaboutyou #whatyouthink #whatyouwant #justdoit✔️ #iwill #youwillsucceed #reach #doitforyourself #sohappy #resultsday #onceyouseeresultsitbecomesanaddiction #loveyouall #👄 #👌</t>
  </si>
  <si>
    <t>Golds Gym Teterboro</t>
  </si>
  <si>
    <t>isyourgoals</t>
  </si>
  <si>
    <t>iwill</t>
  </si>
  <si>
    <t>onceyouseeresultsitbecomesanaddiction</t>
  </si>
  <si>
    <t>youwillsucceed</t>
  </si>
  <si>
    <t>kirstenwilson31</t>
  </si>
  <si>
    <t>1583653205245911208_273580351</t>
  </si>
  <si>
    <t>Thank you Lord for this. #keepongoing</t>
  </si>
  <si>
    <t>frauamponsah</t>
  </si>
  <si>
    <t>1583654830555447743_926708308</t>
  </si>
  <si>
    <t>Ok so now im also able to post before n after pic😂😂😂it wasn't easy tho but was worth it.proud of my work💪still on it tho. #weightlosstransformation  #dontstop #jobwelldone👏 #keepongoing #ugonnabthere #10kilosdown</t>
  </si>
  <si>
    <t>ugonnabthere</t>
  </si>
  <si>
    <t>jobwelldone👏</t>
  </si>
  <si>
    <t>marybouwman5</t>
  </si>
  <si>
    <t>1583654902965418855_353846262</t>
  </si>
  <si>
    <t>Started strong but then,  me and a plank duked it out, the plank won! Not letting this knock me down! #keepongoing #notgivingup #comebackstrongerthanbefore #strongmom #determinedtosucceed #dontsweatthesmallstuff #movingforward #dontlookback #betterchoicesbetterlife #gettingfitmom #singlemomstrong #determinedtosucceedinlife</t>
  </si>
  <si>
    <t>betterchoicesbetterlife</t>
  </si>
  <si>
    <t>determinedtosucceedinlife</t>
  </si>
  <si>
    <t>dontsweatthesmallstuff</t>
  </si>
  <si>
    <t>1583658306499719743_5801959162</t>
  </si>
  <si>
    <t>Do you agree with Henry Ford? YES OR NO?!🌟 👁Tag your friend who MUST see this 👥Follow @motivationbyeli
🔥 To get featured #motivationbyeli
📷@willbl for the original picture
👯🌴My Travel Friends 
@bucketlistguy
@travelgentle
@travel_green_</t>
  </si>
  <si>
    <t>marcella6277</t>
  </si>
  <si>
    <t>1583664620647194181_411361426</t>
  </si>
  <si>
    <t>You are #Stronger than you think! Look back and see what you have accomplished. #KeepOnGoing #KeepSmiling 😊 #KeepMoving 💃🏽 #continuetosucceed</t>
  </si>
  <si>
    <t>stronger</t>
  </si>
  <si>
    <t>continuetosucceed</t>
  </si>
  <si>
    <t>1583667990661339516_3622431891</t>
  </si>
  <si>
    <t>🚁 Photo by @iherok
Follow @drone_feed for the best Drone Shots!
.
.
.
.
.
.
.
#dmtravelseries #crystalclearwaters #paradise🌴 #meditationtime #keepongoing #familypictures #magicpict #backpackingpr #instravel #lifeisnow #yogafitness #travelstagram #discoverearth #mybudgettravel #paradiseofminimal #weliketotravel #getoutdoors #oceanvibes #escapegame #beachbag</t>
  </si>
  <si>
    <t>instravel</t>
  </si>
  <si>
    <t>arina.risholt</t>
  </si>
  <si>
    <t>1583668471186349805_5895061179</t>
  </si>
  <si>
    <t>Keep On Going 👐
#me #girl #tattoo #tattoos #ink #inked #inkedbody #girlswithink #tattooedgirls #content #progress #motivation #goal #strong #training #fit #fitness #muscle #healthy #body #silver #silverhair #shorthair #new #style #hairfashion #goal #keepongoing #life #norge #norway</t>
  </si>
  <si>
    <t>Nittedal</t>
  </si>
  <si>
    <t>ink</t>
  </si>
  <si>
    <t>body</t>
  </si>
  <si>
    <t>girlswithink</t>
  </si>
  <si>
    <t>tattooedgirls</t>
  </si>
  <si>
    <t>manyfyk</t>
  </si>
  <si>
    <t>1583673031007153616_2007822208</t>
  </si>
  <si>
    <t>#rageface#nofear#godbless#proud#african#eyeoftiger#struggle#neverlostfaith#keepongoing#sunwillrise</t>
  </si>
  <si>
    <t>godbless</t>
  </si>
  <si>
    <t>rageface</t>
  </si>
  <si>
    <t>eyeoftiger</t>
  </si>
  <si>
    <t>neverlostfaith</t>
  </si>
  <si>
    <t>chrie_sie</t>
  </si>
  <si>
    <t>1583675221414940280_1532152378</t>
  </si>
  <si>
    <t>Wichtig ist nicht, wie viel du machst, sondern DASS du es tust‼️ Denn auch nur 1K laufen oder 10 Minuten Training sind mehr, als garnichts. Und nach jedem Workout das dehnen nicht vergessen ☝🏼😌 .
.
.
.
.
#fitgirl #strongwoman #workout #HIT #brownie #sweaty #healthylifestyle #bodycare #bodylove #strongmind #keepongoing #asics #kayano23 #love #motivation #nevergiveup #asicstrainingsquad #imoveme</t>
  </si>
  <si>
    <t>strongmind</t>
  </si>
  <si>
    <t>imoveme</t>
  </si>
  <si>
    <t>stephybaxo</t>
  </si>
  <si>
    <t>1583677943309436898_449738037</t>
  </si>
  <si>
    <t>#fitness #healthymindset #gymlife #dedication #keepongoing #quoteoftheday</t>
  </si>
  <si>
    <t>healthymindset</t>
  </si>
  <si>
    <t>candi_nicole92</t>
  </si>
  <si>
    <t>1583678057451905641_3231285014</t>
  </si>
  <si>
    <t>It's been a rough day and I'm bloated BUT I'm smiling because I know the gym will make it all better 💪#jafsummerchallenge #keepongoing #dontgiveup #pushthrough</t>
  </si>
  <si>
    <t>jafsummerchallenge</t>
  </si>
  <si>
    <t>jowhitjo91</t>
  </si>
  <si>
    <t>1583683996788191997_219729643</t>
  </si>
  <si>
    <t>Everything you want is on the other side of fear #keepongoing #encouragement #bestrong #secondyearteacher #earlylearning #makeadifference #believeinme</t>
  </si>
  <si>
    <t>believeinme</t>
  </si>
  <si>
    <t>earlylearning</t>
  </si>
  <si>
    <t>secondyearteacher</t>
  </si>
  <si>
    <t>1583686189737928291_224929186</t>
  </si>
  <si>
    <t>I am SO extremely excited to announce that I was chosen for an amateur sponsorship from @365mx!! I’m so excited I’m in tears! I can’t believe it!! 🏁🏁 #love #life #happy #art #quote #strength #music #inspirational #god #inspiration #inspired #smile #keepongoing #standup #fight #live #faith #photography #metal #rock #motivation #technology #mx #motocross #kawasaki #braap #monsterenergy #gopro #ride365 #365mx</t>
  </si>
  <si>
    <t>inspired</t>
  </si>
  <si>
    <t>motocross</t>
  </si>
  <si>
    <t>kaitemalaika</t>
  </si>
  <si>
    <t>1583693163766514013_35593815</t>
  </si>
  <si>
    <t>~ As I look back on my life, I realize that every time I thought I was being rejected for something good, I was actually being re-directed to something better ~ #quote #quoteoftheday #keepongoing #love #life #feelgood #girl #memories #neverregret #noregrets #needabreak #hollidays #travel #beach #lost #followme #follow #like4like #picoftheday</t>
  </si>
  <si>
    <t>Somewhere</t>
  </si>
  <si>
    <t>lost</t>
  </si>
  <si>
    <t>swolljoel</t>
  </si>
  <si>
    <t>1583695674419276808_1188095720</t>
  </si>
  <si>
    <t>#repost a little Thursday afternoon truth #keepongoing #progress #love</t>
  </si>
  <si>
    <t>bob_sands</t>
  </si>
  <si>
    <t>1583710069487452411_176541633</t>
  </si>
  <si>
    <t>It happens sometimes… #Truth #TurnAround #Faith #Trust #Grace #Love #KeepOnGoing #Try #Purpose #Trust</t>
  </si>
  <si>
    <t>Broward County, Florida</t>
  </si>
  <si>
    <t>turnaround</t>
  </si>
  <si>
    <t>trust</t>
  </si>
  <si>
    <t>nimmythecat</t>
  </si>
  <si>
    <t>1583715830700428736_3268021406</t>
  </si>
  <si>
    <t>朝から本気かくれんぼ
#familia #chiquitita #teamo #nopoint #iminlove #monster #highenough #karmaloop #keepongoing #yay #cozy #lazy #bondi #beach #mooooood #tokyo #lifeintokyo</t>
  </si>
  <si>
    <t>yay</t>
  </si>
  <si>
    <t>lazy</t>
  </si>
  <si>
    <t>tokyo</t>
  </si>
  <si>
    <t>1583716609984448230_2977071757</t>
  </si>
  <si>
    <t>Body Goals?? 😄😄
Follow @girls_fitness_vault for more 👈🏻
✨ Double tap if you Like it ✨
.
credit @photoenpointe</t>
  </si>
  <si>
    <t>rhea_rheys</t>
  </si>
  <si>
    <t>1583716995299645603_11308162</t>
  </si>
  <si>
    <t>They say I'm crazy... I say that's the way to keep me sane... 🙌🏽🤝👌🏻 #lifeistough #toughlife #letslive #livelife #keepongoing #bestrong #dontgiveup #quotes #personal #life #lifequotes #cestlavie #thatslife #thoughts #me #itsmylife #itsme #rheys #struggle #august #2017 #grownup #grownshit</t>
  </si>
  <si>
    <t>letslive</t>
  </si>
  <si>
    <t>lifeistough</t>
  </si>
  <si>
    <t>itsmylife</t>
  </si>
  <si>
    <t>personal</t>
  </si>
  <si>
    <t>drfarahwahida</t>
  </si>
  <si>
    <t>1583718451167872998_31769046</t>
  </si>
  <si>
    <t>#keepongoing #abang #salamjumaat</t>
  </si>
  <si>
    <t>salamjumaat</t>
  </si>
  <si>
    <t>abang</t>
  </si>
  <si>
    <t>1583727110265128631_5705167414</t>
  </si>
  <si>
    <t>Players in the NBA getting slick, trying to absorb Curry's shooting powers by touching him, Lebron channeled his inner Gandalf to do it, even AD tried to squeeze the power out of his body, JR tried it 2 times but it still didn't work #Dubnation
-
-
-
-
-
-
-
-
-
-
-
-
-
-
-
-
-
-
-
-
-
-
-
-
-
-
-
-
-
-
-
-
-
-
-
-
-
-
-
-
 #StephGonnaSteph #Mvp #SC30 #KT11 #DG23 #CURRYMVP #KEEPONGOING #NEVERGIVEUP #WCF #WEST #WESTERNCONFERENCEFINALS #CHAMPS #DUBSFORCHAMPS #DUBS #ALWAYSBELIEVEINGOD #STEPHENCURRY #EVEN #NBA #2016CHAMPS #CHAMPIONS #LOCKIN #STEPH #SPLASH #SPLASHBROS  #like4like #like4follow #follow4follow</t>
  </si>
  <si>
    <t>live.love.lift</t>
  </si>
  <si>
    <t>1583728217864709855_42247272</t>
  </si>
  <si>
    <t>🌸 L I F E  Q U O T E 🌸
.
"Keep your head up! 
God gives his hardest battles to his strongest soldiers! " ✌️
.
#qotd #quoteoftheday #lifequotes  #strong #fitmom #keepongoing #strong #nevergiveup #instaquote #flowerpower #believeingod #persistance #motivationalquotes #perseverance #overcome #battles #inspiration #inspo #instaquotes #instadaily #positivemind #vibes #potd #instapic #survivor</t>
  </si>
  <si>
    <t>inspo</t>
  </si>
  <si>
    <t>1583729539615181267_5495249433</t>
  </si>
  <si>
    <t>Green Smoothie to start the day 👍</t>
  </si>
  <si>
    <t>defrost3</t>
  </si>
  <si>
    <t>1583730301619509053_1521597642</t>
  </si>
  <si>
    <t>Believe in your dreams like the whole world is cheering you on!  March forward toward your goals like there's nothing standing in your way!</t>
  </si>
  <si>
    <t>loa</t>
  </si>
  <si>
    <t>nodoubt</t>
  </si>
  <si>
    <t>doyourthing</t>
  </si>
  <si>
    <t>amazingjumpstart</t>
  </si>
  <si>
    <t>1583730967399343915_2323098024</t>
  </si>
  <si>
    <t>#cardiotime#stairs#gymtime#motivation#keepongoing #live#happy#love</t>
  </si>
  <si>
    <t>stairs</t>
  </si>
  <si>
    <t>1583739375114765396_5509071474</t>
  </si>
  <si>
    <t>Feel like I've been kicking butt in the gym lately. 💪🏻🏃🏽‍♀️🔥 #workout #weightloss #weightlossblog #weightlossjourney #weightlossdiary #weightlossstory #weightlosssuccess #weightlosscommunity #weightlosssupport #weightlossmotivation #weightlossgoals #weightlossjournal #keepongoing #nevergiveup #yougotthis</t>
  </si>
  <si>
    <t>leti3villarreal</t>
  </si>
  <si>
    <t>1583740377202391628_522155602</t>
  </si>
  <si>
    <t>Yes, my daughter is on the dance team and I have no life right now!  I'm running on Echale! 😧 LoL but I love watching her and her team perform.  #blessed #daughter #danceteam #dance #workhard #dancemom #livelife #echale #echaleganas #keepongoing #godisgood #fun #exhausted #needrest</t>
  </si>
  <si>
    <t>echale</t>
  </si>
  <si>
    <t>dancemom</t>
  </si>
  <si>
    <t>needrest</t>
  </si>
  <si>
    <t>daughter</t>
  </si>
  <si>
    <t>1583741717952288262_5509071474</t>
  </si>
  <si>
    <t>Zucchini with some cayenne pepper, smoked paprika, oregano, red pepper flakes, garlic powder, onion powder, black pepper, and a tiny pinch of salt, sweet potato with black pepper and mustard (my favorite), marinaded teriyaki chicken. So good! 👩🏻‍🍳 #food #weightloss #weightlossblog #weightlossjourney #weightlossdiary #weightlossstory #weightlosssuccess #weightlosscommunity #weightlosssupport #weightlossmotivation #weightlossgoals #weightlossjournal #keepongoing #nevergiveup #yougotthis #weightlossfood #healthyfood #sweetpotato #zucchini #chicken #yummy</t>
  </si>
  <si>
    <t>vals_going_down</t>
  </si>
  <si>
    <t>1583748282459328945_4081842713</t>
  </si>
  <si>
    <t>do I looked tired? I am. #bbg at lunch and gym tonight 👏🏼 #keepongoing #focused #goals .
.
.
.
.
#weightloss #weightloss #weightlossjourney #weightlossgoals #weightlossstory #weightlossdiary #bbg #bbggirls #bbgcommunity #bbgfitness #homeworkout #homegym</t>
  </si>
  <si>
    <t>focused</t>
  </si>
  <si>
    <t>homeworkout</t>
  </si>
  <si>
    <t>1583748698911667580_462344435</t>
  </si>
  <si>
    <t>Your struggles make you strong 💪, don't hope for a smooth ride. Hope for the ability to endure the bumps.
.
.
.
Happy Friday everyone!
.
.
.
#Bepositive #positivemindset #livelifetothefull #seethegood #seethegoodineverything #believeyoucan #befearless #keeponmoving #keeponlearning #keepondoing #keepongoing #keeponbelieving #believeinyou #goodhabits #achieve #achieveyourdreams #achieveyourgoals #believeinyourdream #believeinyourselfie #keepthefaith #neverstoplearning #positiveattitude #positivemindset #positivequotes #positivevibes #positiveminds #trustandbelieve #trustyourgut #yesyoucan  #youcandoit</t>
  </si>
  <si>
    <t>goodhabits</t>
  </si>
  <si>
    <t>1583748968731190325_4230196596</t>
  </si>
  <si>
    <t>Check out @dannibelle 😉</t>
  </si>
  <si>
    <t>healthybodyhealthymind</t>
  </si>
  <si>
    <t>leanmuscle</t>
  </si>
  <si>
    <t>girlwithmuscles</t>
  </si>
  <si>
    <t>fitgirlsinspire</t>
  </si>
  <si>
    <t>thefitlife</t>
  </si>
  <si>
    <t>angela_faulk82</t>
  </si>
  <si>
    <t>1583749352383594619_5386576438</t>
  </si>
  <si>
    <t>Chest and cardio today for this girl getting ready to go hard for competition prep in October!! 💪🏼 #feelthepump #fitlife #girllifter #keepongoing #trainharder #chestworkout #cardio✔️</t>
  </si>
  <si>
    <t>chestworkout</t>
  </si>
  <si>
    <t>feelthepump</t>
  </si>
  <si>
    <t>1583758497786674866_3275305</t>
  </si>
  <si>
    <t>You ripped me into pieces, so small! 
I wasn't sure I still existed.</t>
  </si>
  <si>
    <t>Bondi Beach, Sydney</t>
  </si>
  <si>
    <t>1583760510943676877_4824379428</t>
  </si>
  <si>
    <t>#truth #dontlookback #keepongoing  #faith #determination #moveforward #youcandoit #yourfuture IS AHEAD OF YOU. #nofear #change  YOUR LIFE💕#dowhatyoulove 💚 
#entrepreneurlifestyle gives you#freedom for the #life you #dream of 💕the #travel the #wealth the #fun . KEEP MOVING FORWARD ! 👉🏼. 👉🏼. 👉🏼</t>
  </si>
  <si>
    <t>yourfuture</t>
  </si>
  <si>
    <t>nofear</t>
  </si>
  <si>
    <t>mariejoxe</t>
  </si>
  <si>
    <t>1583762943605119331_252962004</t>
  </si>
  <si>
    <t>I am shaping new landscapes or .... is it the other way around ?  #love#vibration #shareyourworld #vision#brainflow#flow#overcome#keepongoing #joy#highvibrations #dreams #peru#sounds#manifest#abundance#grateful</t>
  </si>
  <si>
    <t>manifest</t>
  </si>
  <si>
    <t>vibration</t>
  </si>
  <si>
    <t>highvibrations</t>
  </si>
  <si>
    <t>dresslerbecca</t>
  </si>
  <si>
    <t>1583763617025847879_4395990312</t>
  </si>
  <si>
    <t>I am feeling strong today!  I have graduated to 10 pound weights.  Most of the time when I work out I am strictly using body weight by doing push-ups and things like that, but with my current work out I am using weights every  other day. I typically have gone for the 8 pound weights thinking they were heavy enough and really not wanting to push myself. (I am one to take the easy route if possible.) I have pushed myself to use the 10 pound weights and know that I can totally do it.  I. Ant wait to see how easy these will be by the end of the month!</t>
  </si>
  <si>
    <t>1583764960763688292_4773778225</t>
  </si>
  <si>
    <t>💛💜🙏🏻#flashesofdelight #art #lake #rainbow #goodafternoonpost #keeponkeepingon #keepongoing #motivation #motivationeveryday #sunset #flowers #architecturephotography #architecture #tagsforlikes #bluesky #likesforlikes #follow #almosttheweekend #smile #happy #morningmotivation #flower #behappy #grateful</t>
  </si>
  <si>
    <t>lake</t>
  </si>
  <si>
    <t>1583765894700882786_4520028849</t>
  </si>
  <si>
    <t>New style Hi Lo Tee, I love it solid and prints are gorgeous!! 😍❤💕❣ Shoppingwithjacquie.agnesanddora.com
#agnesanddora #falloutfits #abettermewithaandd #trendyoutfits #iloveaandd #leggings #lularoe #llr #perfectoutfit #healthyliving #faith #positivevibes #hilo #unstoppable #icandothis #nanalife #keepongoing #powerinprayer #success #ilovedisney #beachlife #skirt #tank #dress #onlineshopping  #joplin #oakley #happywife #happylife #ohioboutique</t>
  </si>
  <si>
    <t>beachlife</t>
  </si>
  <si>
    <t>onlineshopping</t>
  </si>
  <si>
    <t>vegoutearth</t>
  </si>
  <si>
    <t>1583767366490203390_44843596</t>
  </si>
  <si>
    <t>Stay in action ❤️</t>
  </si>
  <si>
    <t>stayinaction</t>
  </si>
  <si>
    <t>createavision</t>
  </si>
  <si>
    <t>dothedamnthing</t>
  </si>
  <si>
    <t>vegout</t>
  </si>
  <si>
    <t>aokiayanna</t>
  </si>
  <si>
    <t>1583767445503934515_26857836</t>
  </si>
  <si>
    <t>UNSTOPPABLE UNSTOPPABLE 👊🏽💪🏽#believeinyourself #Ladies #gentleman #motivation #push #keepongoing #pushon #prayhard #goaldiggers #coexist #wisdom #gratitude #blessed #spiritualjourney #spiritualawakening #you #god #journey #yfnlucci #trustyourjourney #whatsforyouisforyou #trustandbelieveinyourself #unstoppable #power #push #consistency #confidence</t>
  </si>
  <si>
    <t>pushon</t>
  </si>
  <si>
    <t>ladies</t>
  </si>
  <si>
    <t>coexist</t>
  </si>
  <si>
    <t>jnsusilo</t>
  </si>
  <si>
    <t>1583769972018454567_3552561969</t>
  </si>
  <si>
    <t>#roadtrip #victoria #australia #downunder #bendroad #road #coast #sky #hills #trips #traveller #travelphotography #wander #wanderer #wanderlust #keepongoing</t>
  </si>
  <si>
    <t>Great Ocean Road, Australia</t>
  </si>
  <si>
    <t>bendroad</t>
  </si>
  <si>
    <t>hills</t>
  </si>
  <si>
    <t>wander</t>
  </si>
  <si>
    <t>travelphotography</t>
  </si>
  <si>
    <t>downunder</t>
  </si>
  <si>
    <t>1583780634348798018_4395990312</t>
  </si>
  <si>
    <t>One of my favorite meals of the week is what I call "veggie night". Tonight we had green beans, cauliflower (the new fav), squash and twice baked potatoes (the other new fav). The potatoes we definitely a big hit with everyone.  Even if each kid only picks one veggie to eat, at least they are eating a veggie.  There is nothing else to choose from. Sometimes Miller will only eat raw carrots. Do I care? No!  It is still a vegetable and he is eating it - the battle has been won!</t>
  </si>
  <si>
    <t>kidseatveggies</t>
  </si>
  <si>
    <t>veggienight</t>
  </si>
  <si>
    <t>twicebakedpotato</t>
  </si>
  <si>
    <t>lovefoods</t>
  </si>
  <si>
    <t>tapdancer</t>
  </si>
  <si>
    <t>tress_elegance</t>
  </si>
  <si>
    <t>1583793392290986257_4405349140</t>
  </si>
  <si>
    <t>Motivation for my second Monday and  the rest of this week! Today was a great day looking forward to conquering tomorrow!!! #secondmondaymotivation #motivationalquotes #avedalove #lovehair #lovewhatyoudo #keepongoing #dontquit #liveeveryday #beadaymaker #nevergiveuponyourdreams #charlottehairdresser #charlotte #aicharlotte #aisouth #aveda #letsdothis</t>
  </si>
  <si>
    <t>secondmondaymotivation</t>
  </si>
  <si>
    <t>liveeveryday</t>
  </si>
  <si>
    <t>charlotte</t>
  </si>
  <si>
    <t>nevergiveuponyourdreams</t>
  </si>
  <si>
    <t>charlottehairdresser</t>
  </si>
  <si>
    <t>_leticia_ortiz</t>
  </si>
  <si>
    <t>1583797690680978582_2212577843</t>
  </si>
  <si>
    <t>My planking this morning was on point! #plank #onmyway #fit #singlelife #fitnessjourney #workoutmotivation so inspired to #keepongoing</t>
  </si>
  <si>
    <t>City of Williston</t>
  </si>
  <si>
    <t>plank</t>
  </si>
  <si>
    <t>singlelife</t>
  </si>
  <si>
    <t>1583799907378351421_5409757454</t>
  </si>
  <si>
    <t>If plan A doesn't work, the alphabet has 25 more letters!  Stay cool! 😎
.
.
.
#Bepositive #positivemindset #livelifetothefull #seethegood #seethegoodineverything #believeyoucan #befearless #keeponmoving #keeponlearning #keepondoing #keepongoing #keeponbelieving #believeinyou #goodhabits #achieve #achieveyourdreams #achieveyourgoals #believeinyourdream #believeinyourselfie #keepthefaith #neverstoplearning #positiveattitude #positivemindset #positivequotes #positivevibes #positiveminds #trustandbelieve #trustyourgut #yesyoucan #neverstoptrying</t>
  </si>
  <si>
    <t>officialsthefany</t>
  </si>
  <si>
    <t>1583802426460655334_190452642</t>
  </si>
  <si>
    <t>@michaelkors SHOES 🖤 #michaelkorsshoes #michaelkors #fashion #thesthefanyveriseven #pink #blackandwhite #pics #instafame #instapic #fashuuun #style #ootd #silver #mk #stylist #fashiondesigners #keepongoing #shoes #loafers</t>
  </si>
  <si>
    <t>stylist</t>
  </si>
  <si>
    <t>loafers</t>
  </si>
  <si>
    <t>fashiondesigners</t>
  </si>
  <si>
    <t>1583816848917904257_4773778225</t>
  </si>
  <si>
    <t>Goodnight ❣️🤗❤️💙🦋#worldtravelbook #flashesofdelight #art #lake #rainbow #goodafternoonpost #keeponkeepingon #keepongoing #motivation #motivationeveryday #sunset #flowers #architecturephotography #architecture #tagsforlikes #bluesky #likesforlikes #follow #almosttheweekend #smile #happy #morningmotivation #flower #behappy #grateful</t>
  </si>
  <si>
    <t>1583832848728921549_3512203302</t>
  </si>
  <si>
    <t>Cuteness off the charts.
Photo by @fuzzyfawn
.
.
.
.
.
.
.
.
#openmyworld #keepitmovin #earthpix #thinkoutsidethebox #paradisepier #outdoortones #earthy #journeytohealth #creativepreneur #wonderful_places #bestoftheday #lovewhatyoudodowhatyoulove #lifejourney #travelnow #laptoplife #travelpicsdaily #paradiseonearth #yogadudes #doingwhatilove #instravel #ilovetravelling #Instalove #keepongoing #beachready #mindthemountain</t>
  </si>
  <si>
    <t>lifejourney</t>
  </si>
  <si>
    <t>paradiseonearth</t>
  </si>
  <si>
    <t>mindthemountain</t>
  </si>
  <si>
    <t>travelpicsdaily</t>
  </si>
  <si>
    <t>1583835068261957029_344342790</t>
  </si>
  <si>
    <t>185lb dead lift tonight. Please excuse me being wobbly still working on form and stuff. But ya girl did it! #booty🍑 #bootygainz #growthepeach #dedication #determination #dontgiveup #deadlifts #flexinonem #gym #gymlife #gymrat #getswole #gainz #goals #keepongoing #legday #motivation #pushtillyoucantanymore #stayhumble #strongereveryday #stackinandsixpackin</t>
  </si>
  <si>
    <t>bootygainz</t>
  </si>
  <si>
    <t>gymrat</t>
  </si>
  <si>
    <t>sunsetwritings</t>
  </si>
  <si>
    <t>1583846577708243666_2966611768</t>
  </si>
  <si>
    <t>TBT Guitar and I photo
May 16th 2016 
When I had no clue on how to play the guitar. 😊 
I can't say I am an expert or anything and maybe only found a few clues. But I can say "I have gotten better with practice because I just like trying."
Check out my page 😋</t>
  </si>
  <si>
    <t>guitarspotter</t>
  </si>
  <si>
    <t>acousticguitar</t>
  </si>
  <si>
    <t>gibsonguitar</t>
  </si>
  <si>
    <t>guitarstrings</t>
  </si>
  <si>
    <t>johnythejaguar</t>
  </si>
  <si>
    <t>1583851740259504685_4149658604</t>
  </si>
  <si>
    <t>It is better to turn on a small light, than claiming about darkness #quotes #quotesaboutlife #quoteoftheday #bestrong #beyourself #keepongoing</t>
  </si>
  <si>
    <t>live.travel.vetstudent</t>
  </si>
  <si>
    <t>1583854111408521335_342140305</t>
  </si>
  <si>
    <t>Dit waren nog 'maar' mijn cursussen van de Bachelor Diergeneeskunde.. Als ik zie wat ik nu al gedaan heb, is opgeven geen optie meer! 🐴🐮🐶🐱❤ Dát geeft pas positieve energie: keep on going, @studystore.nl ! Wish it, dream it, do it 💪  #studieAAN #gaanmetdieBANAAN #nevergiveuponyourdreams #keepongoing #noganderhalfjaarvan3jaarmastertegaan</t>
  </si>
  <si>
    <t>studieaan</t>
  </si>
  <si>
    <t>noganderhalfjaarvan3jaarmastertegaan</t>
  </si>
  <si>
    <t>gaanmetdiebanaan</t>
  </si>
  <si>
    <t>run_for_life_sab28</t>
  </si>
  <si>
    <t>1583863839149990895_5849430942</t>
  </si>
  <si>
    <t>Star d'un jour 🌟 avec le frangin lol 💪 Souvenir des 10km de Liege le 1er Mai 2016 ✨ #stardunjour #10kmdeliege #justdoit #joggingmemories #lovefamily #meandmybro #keepongoing #justdothebest #beproudofyou #nevergiveup #runwithhart #zatopek</t>
  </si>
  <si>
    <t>Liège, Belgium</t>
  </si>
  <si>
    <t>meandmybro</t>
  </si>
  <si>
    <t>beproudofyou</t>
  </si>
  <si>
    <t>zatopek</t>
  </si>
  <si>
    <t>stardunjour</t>
  </si>
  <si>
    <t>1583868552044157242_5705167414</t>
  </si>
  <si>
    <t>Big 4 #Dubnation
-
-
-
-
-
-
-
-
-
-
-
-
-
-
-
-
-
-
-
-
-
-
-
-
-
-
-
-
-
-
-
-
-
-
-
-
-
-
-
-
 #StephGonnaSteph #Mvp #SC30 #KT11 #DG23 #CURRYMVP #KEEPONGOING #NEVERGIVEUP #WCF #WEST #WESTERNCONFERENCEFINALS #CHAMPS #DUBSFORCHAMPS #DUBS #ALWAYSBELIEVEINGOD #STEPHENCURRY #EVEN #NBA #2016CHAMPS #CHAMPIONS #LOCKIN #STEPH #SPLASH #SPLASHBROS  #like4like #like4follow #follow4follow</t>
  </si>
  <si>
    <t>sc30</t>
  </si>
  <si>
    <t>nirmalaarmstrong</t>
  </si>
  <si>
    <t>1583883633210327088_194433727</t>
  </si>
  <si>
    <t>Let's end the day off with some #motivational #ThursdayThoughts!
.
.
.
.
.
#selfbelief #motivationalpost #motivational #motivationalquote #motivation #positivethinking #positivity #positive #positivevibes #workhard #hardwork  #goodluck #gratitude #passion #hobbies #determination #perseverance #hope #keepongoing #selfconfidence #nevergiveup #smallchanges #gratitude #upliftingquotes #quoteoftheday #startyourdayoffright #goodvibes #deliberance #lifelessons</t>
  </si>
  <si>
    <t>hobbies</t>
  </si>
  <si>
    <t>1583884831381336162_50373203</t>
  </si>
  <si>
    <t>《 POST WORKOUT 》
Boh... wat was ik gesloopt gisteravond na de training... Legday it was! Of kan ik beter zeggen.. legday it still is! Beentjes voelen lekker zwaar aan.. 😂🤔 -
Dit was training 2 van 4 van deze week, vandaag training 3 van 4. Maar eerst werken en vanmiddag op kraamvisite. Knuffelen met mijn nieuwste vriendje 💙🍼💙 -
#thedayafter #morningafter #sore #soremuscles #nopainnogain #burnburnburn #pinguin #dontcare #gettingfit #doyoursquats #workout #dontgiveup #stayfocused #keepongoing #keepsmiling #sweat #sparkle #motivation #goals #pbp #personalbodyplan #debesteversievanjezelf #goodmorning #riseandshine #trainingday #friday #weekend #offtowork #haveaniceday #bye💋</t>
  </si>
  <si>
    <t>nikefreak231</t>
  </si>
  <si>
    <t>1583884890225573574_54684819</t>
  </si>
  <si>
    <t>IL---&gt; St. Louis 
#starvedrock #springfield #lincolnstomb #stlouismo #roadtrip #travel #longestdayever #worththedrive #dallasgreen #cityandcolour #moretocome #keepongoing #experince #livelife</t>
  </si>
  <si>
    <t>lincolnstomb</t>
  </si>
  <si>
    <t>stlouismo</t>
  </si>
  <si>
    <t>cityandcolour</t>
  </si>
  <si>
    <t>masterkwonsptkd</t>
  </si>
  <si>
    <t>1583895674024700236_2904135213</t>
  </si>
  <si>
    <t>Stretching practice 👍
#masterkwonsprotkd #Kogarah #dojang #masterkwon #classscenes #waytoblackbelt #enjoy #practice #stretching #amazing #improvement #keepongoing #wow #tkdfamily #martialarts #taekwondo #protaekwondo @masterdosakwon</t>
  </si>
  <si>
    <t>Master Kwon's Pro Tae Kwon Do Academy since 1991</t>
  </si>
  <si>
    <t>dojang</t>
  </si>
  <si>
    <t>martialarts</t>
  </si>
  <si>
    <t>tkdfamily</t>
  </si>
  <si>
    <t>improvement</t>
  </si>
  <si>
    <t>kogarah</t>
  </si>
  <si>
    <t>1583909854798881488_796109963</t>
  </si>
  <si>
    <t>#keepongoing #lifequotes</t>
  </si>
  <si>
    <t>1583915276448856469_8739183</t>
  </si>
  <si>
    <t>🖤TGIFrankfurt🖤||#frankfurtammain #igersfrankfurt #aboutfrankfurt #tgif #ezbfrankfurt #sachsenhausen #inspiration #aboutlastnight #ostend #positivity #positivevibes #darlingmovement #darlingmoment #frankfurtatnight #ostendfrankfurt #frankfurtlove #frankfurtdubistsowunderbar #goodvibes #lifestyleblogger #lifeisgood #happygirl #keepongoing #frankfurtliebe #frankfurtview #igersinspiration #luckywelivehi #moments #collectmomentsnotthings #smcffm</t>
  </si>
  <si>
    <t>darlingmovement</t>
  </si>
  <si>
    <t>frankfurtliebe</t>
  </si>
  <si>
    <t>luckywelivehi</t>
  </si>
  <si>
    <t>frankfurtammain</t>
  </si>
  <si>
    <t>1583924511181441033_12198462</t>
  </si>
  <si>
    <t>Mom - body transformation 💪🏻🍑🏋🏻‍♀️ #keepongoing #fitnok #deadlift #gains #bodytraining #bodytransformation #bodyrebuilding #fitness #motivation #situps #benchpress #biceps #triceps #back #legday #eatclean #feelgood #hardwork #postpartumfitness #postpartum #bodyrepair #hardworkpaysoff #hardworkandedication #mom #momfortwo</t>
  </si>
  <si>
    <t>momfortwo</t>
  </si>
  <si>
    <t>hardworkandedication</t>
  </si>
  <si>
    <t>vonz_l_ajuintje</t>
  </si>
  <si>
    <t>1583932440270162615_3116796291</t>
  </si>
  <si>
    <t>Keep on keeping on #dailydoodle #keepongoing #vla #trippydemon #black #white #blackandwhite</t>
  </si>
  <si>
    <t>vla</t>
  </si>
  <si>
    <t>dailydoodle</t>
  </si>
  <si>
    <t>sibelsue</t>
  </si>
  <si>
    <t>1583945426424120344_443784617</t>
  </si>
  <si>
    <t>true that 👊... #perseverance#nevergiveup#keepongoing#hustlers</t>
  </si>
  <si>
    <t>hustlers</t>
  </si>
  <si>
    <t>alex_irimescu</t>
  </si>
  <si>
    <t>1583952052558934631_4343652266</t>
  </si>
  <si>
    <t>#angel #funny #keepongoing #powerd #stillgoing #catchmeifyoucan #workhardplayharder</t>
  </si>
  <si>
    <t>catchmeifyoucan</t>
  </si>
  <si>
    <t>powerd</t>
  </si>
  <si>
    <t>stillgoing</t>
  </si>
  <si>
    <t>1583952218737804468_3176267654</t>
  </si>
  <si>
    <t>Friday? Yes, all set. 
#lpfboutique #nailbar #prettynails #igdaily #nudelook #withatwist #details #nailstagram #passion #nailsofinstagram #nailpolish #cupionails #lpfnails #dandelion #dayoff #relax #pampering #nails2inspire #keeponworking #keepongoing #dontsettleforless
@ilorelay09 @cupio.ro</t>
  </si>
  <si>
    <t>Ginza</t>
  </si>
  <si>
    <t>nailpolish</t>
  </si>
  <si>
    <t>cupionails</t>
  </si>
  <si>
    <t>prettynails</t>
  </si>
  <si>
    <t>lpfnails</t>
  </si>
  <si>
    <t>nailstagram</t>
  </si>
  <si>
    <t>jamesolsenmusic</t>
  </si>
  <si>
    <t>1583955175705683717_4782048564</t>
  </si>
  <si>
    <t>I have the mother of all pieces to write 😧 All is explained in the latest vlog...link in bio!☝️ #composer #composing #composerlife #bigjob #eek #keepongoing #moremoremore #lovewhatyoudo</t>
  </si>
  <si>
    <t>Ely, Cambridgeshire, United Kingdom</t>
  </si>
  <si>
    <t>moremoremore</t>
  </si>
  <si>
    <t>lovewhatyoudo</t>
  </si>
  <si>
    <t>composerlife</t>
  </si>
  <si>
    <t>eek</t>
  </si>
  <si>
    <t>psychobabydollgirl</t>
  </si>
  <si>
    <t>1583957564201301215_1058760702</t>
  </si>
  <si>
    <t>Some.. mikä ihana paikka. yleensä annetaan itsestään se meikattu puoli näytille,on highligt huipussaan,vähä peitevoiteit ja countourii. vähemmän näkee niitä kuvia missä ei ole mitään. Must se kauneus tulee sisältä ja sitä voi tehostaa meikkaamalla, sillä voi tuoda niitä omia piirteitään esille,niillä saa persoonallisuutta näkyviin enemmän. Mä oon paininu itsetunnon kanssa helvetin kauan ja uskallan alkaa sanomaa et nyt se alkaa olemaan kunnossa. Meillä jokaisella on niitä päiviä kun oma turpavärkki ei miellytä,mut niin on jokasella meillä. Mut silti sä olet kaunis sellaisena kun oot,just sinä kuka luet tätä tekstiä. Arvosta itseäsi ja anna itelles aikaa. Helli ittees ja rakasta itseäs💜 ihan siksi että kun sulla on hyvä olla,se näkyy ulospäin. Sä hehkut ja hymyilet sillon ja hymy on kauneinta mitä voi olla ❤ aina ei tarvii peittää kaikkea ja aina ei tarvii näyttää hehkältä. Tää perkeleen puolivuotinen hieman saattaa aiheuttaa jo pieniä elämisen merkkejä hetkellisesti. Kasvattaa ja opettaa mut myös uskallan sanoa että väsyttää. #keepongoing #nevergivup #almousthere #nevergobackwards #youarestrong #loveyourself #metalangel #metalangelsemifinalisti13</t>
  </si>
  <si>
    <t>almousthere</t>
  </si>
  <si>
    <t>youarestrong</t>
  </si>
  <si>
    <t>metalangelsemifinalisti13</t>
  </si>
  <si>
    <t>1583957602009062542_5620542121</t>
  </si>
  <si>
    <t>First time after 3 months that I did a set of 6 squats with more than the bar and without pain in my left knee. Awesome 💪✊😎
@loyalfitness 
#loyalfitness #gym #workonit #workout #loveit #keepongoing #goforit #focus #stayhungry #dreambig #trytogetbig #training #olimp</t>
  </si>
  <si>
    <t>trytogetbig</t>
  </si>
  <si>
    <t>rosekane1</t>
  </si>
  <si>
    <t>1583959817675219825_1289947272</t>
  </si>
  <si>
    <t>#doitfortheafterpic  #beforeandafter  #keepongoing #itsnotadiet #juicepluslifestyle #proteinshake #fruitandveg #capsules</t>
  </si>
  <si>
    <t>juicepluslifestyle</t>
  </si>
  <si>
    <t>capsules</t>
  </si>
  <si>
    <t>itsnotadiet</t>
  </si>
  <si>
    <t>doitfortheafterpic</t>
  </si>
  <si>
    <t>1583960531983654093_297558307</t>
  </si>
  <si>
    <t>"🥂A birthday celebration to remember🍾" what an amazing 41 birthday 🎉 celebration!!! From the morning kisses and letters from my kids and hubby 👨‍👩‍👧‍👦to the night dancing 💃🏻, every minute of it was magical✨! Moms out there, don't leave yourself, get up, get fit! We still can look and feel GOOOODDD AT 40's!!! #momlife #momlove #hubbyandme #birthday #birthdaygirl #fitmom #fitmama #fitgirl #fitness #fitnessaddict #runner #mamaenforma #mamacorriendo #gim #gimnasio #gym #gymgirl #gymlife #gymaddict #gymaholic #kikasporty #keeptrying #keepmoving #keepstrong #keepongoing #myanchor #mypassion #myhappyplace</t>
  </si>
  <si>
    <t>gim</t>
  </si>
  <si>
    <t>astridhammer</t>
  </si>
  <si>
    <t>1583961292526567451_1992127803</t>
  </si>
  <si>
    <t>Så er vi igang igen. Endnu en morgentur, dog kun 4.3 km 👏🐶
#tougerspause #oppåhesten #4k #bobo #morgentur #run #løbetur #endomondo #cardio #loverunning #holddigigang #keepongoing #nike✔️ #dogrun #doglove</t>
  </si>
  <si>
    <t>tougerspause</t>
  </si>
  <si>
    <t>endomondo</t>
  </si>
  <si>
    <t>4k</t>
  </si>
  <si>
    <t>morgentur</t>
  </si>
  <si>
    <t>mpieri78</t>
  </si>
  <si>
    <t>1583970149035963014_1297717920</t>
  </si>
  <si>
    <t>I like to win but never just  give it to me ...I want to know you did your best #setgoals #sticktotheplan #nevergiveup #doyourbest #worththejourney #satisfaction #aries #ariesrules #keepongoing #✌♈💪😉👌</t>
  </si>
  <si>
    <t>satisfaction</t>
  </si>
  <si>
    <t>sticktotheplan</t>
  </si>
  <si>
    <t>doyourbest</t>
  </si>
  <si>
    <t>worththejourney</t>
  </si>
  <si>
    <t>itschiaramiani</t>
  </si>
  <si>
    <t>1583975762413808943_258329176</t>
  </si>
  <si>
    <t>Into the wild 😋
#discovery 
#earlybirds 
#hiking 
#islandvibes 
#mallorca 
#spain 
#mountain 
#sea 
#desert 
#keepongoing 
#sograteful 
#happydays 
#friyay 
#lifeisgood
#goodvibesonlypleeeeaseee!!!🙌🏼
🌴💙⛵️☀️🏄🏻‍♀️🌊☀️🌴⛵️☀️🌴</t>
  </si>
  <si>
    <t>Balearic Islands</t>
  </si>
  <si>
    <t>discovery</t>
  </si>
  <si>
    <t>happydays</t>
  </si>
  <si>
    <t>sograteful</t>
  </si>
  <si>
    <t>1583976202682901800_3275305</t>
  </si>
  <si>
    <t>To love myself is to walk away from the people I love, who take advantage of me and telling lies because they don't love me in the same way :)</t>
  </si>
  <si>
    <t>lifequotes816</t>
  </si>
  <si>
    <t>1583984144840884492_5791501637</t>
  </si>
  <si>
    <t>#quote #quotes #life #lifequotes #lifequote #motivation #motivationquote #motivationquotes #keepyourheadup #keepyaheadup #keepongoing #staypositive #staystrong #goodquote #goodquotes</t>
  </si>
  <si>
    <t>motivationquote</t>
  </si>
  <si>
    <t>sues_sports_account</t>
  </si>
  <si>
    <t>1583985896089038487_5462949330</t>
  </si>
  <si>
    <t>We are family😁#scitecnutrition© #scitecshaker #onlypremium #perfectbody #perfectwoman #perfectcouple #fitnesscouple #fitnesswoman #bodygoals #keepongoing #berealtoyourself #nutrition #personaltraining #cleaneating</t>
  </si>
  <si>
    <t>berealtoyourself</t>
  </si>
  <si>
    <t>perfectcouple</t>
  </si>
  <si>
    <t>scitecshaker</t>
  </si>
  <si>
    <t>halfmoonmarketwpg</t>
  </si>
  <si>
    <t>1583986778243438902_4040707648</t>
  </si>
  <si>
    <t>This is what someone said to me recently and this is how it made me feel. .
.
.
.
.
.
.
#awe #thankful #mushypost #community #borderlinepersonalitydisorder #dontquityourdaydream #lovewhatyoudo #halfmoonmarketwpg #keepongoing #keeponcreating #thinkoutsidethebox #bekindtoyou</t>
  </si>
  <si>
    <t>bekindtoyou</t>
  </si>
  <si>
    <t>mushypost</t>
  </si>
  <si>
    <t>keeponcreating</t>
  </si>
  <si>
    <t>community</t>
  </si>
  <si>
    <t>queenb_livingsugarfree</t>
  </si>
  <si>
    <t>1583994355488630903_5877663083</t>
  </si>
  <si>
    <t>I have realised that if I want to celebrate my efforts by posting "after" photos, I must post "before" photos... so here we go!  Be thankful you didn't get the Undy shot 😬 #fattybumba #noonewantstoseethat #sugarfree #keepongoing</t>
  </si>
  <si>
    <t>sugarfree</t>
  </si>
  <si>
    <t>badhairday</t>
  </si>
  <si>
    <t>fattybumba</t>
  </si>
  <si>
    <t>noonewantstoseethat</t>
  </si>
  <si>
    <t>chvdhaar</t>
  </si>
  <si>
    <t>1583995524582140891_4106358293</t>
  </si>
  <si>
    <t>Down Hill, trailrun! #runforfun #trailunning #trailcommunity #fun #tandjeerbijmaakthetverschil #keepongoing #15km #joy #asics👟 #urbanfitness</t>
  </si>
  <si>
    <t>De Leemkule, Hattem</t>
  </si>
  <si>
    <t>trailcommunity</t>
  </si>
  <si>
    <t>trailunning</t>
  </si>
  <si>
    <t>1583997354239151495_2317517565</t>
  </si>
  <si>
    <t>Effektiv core skulder øvelse med battlerope. •••
Forsøg at holde kroppen i vandret (læs =undgå at tabe hoften) for maksimal spænding. Forestil dig, at du har et glas vand på ryggen, som sjovt nok skal blive stående. Det betyder at du ikke må tilte til siden med hoften. Ja, den er hård. •••
Tag det antal til hver side du kan i kontrolleret bevægelse. Skyder du røven op eller titler til siden, fordi det bliver for hårdt = så har du opnået et passende stimuli og du kan nu ligge dig ned på jorden og slappe af;)
•••
@nazan.demirhan tog 10 svirp til hver siden
•••
God fornøjelse
•••
#mortentillitzdk  #whatwouldbeyoncedo #toldyouso #tropådet #personligtræner #personaltrainer #cycling #Cykling #styrketræning #løb #Svømning #Swim #running #stronger #personligtræner #mitodense #fitfam #ﬁtfamdk #actionequalsresults #handlingskabersucces #helkropstræning #fullbody #SunRiceClubbyMortenTillitzDK #mentalpause #blivved #keepongoing #styrketræning #painfree #smertefri #søvn #sleep #mitodense</t>
  </si>
  <si>
    <t>tropådet</t>
  </si>
  <si>
    <t>helkropstræning</t>
  </si>
  <si>
    <t>chazza_gee</t>
  </si>
  <si>
    <t>1583999211517649858_2898986792</t>
  </si>
  <si>
    <t>Last Friday was a hard day. I think I was tired. It took ages to get going and I struggled all day. It wasn't an unhappy day but there was no wow I'm happy moments. I lost some motivation I think and it's been hard to get back. This summed it up quite well I think though. I think accepting your mood and that there will be days that are very much like this is healthy and as it teaches you to deal with times when you are down and struggling and that's just part of life so if you can't deal with it you're not going to get very far. It was a meh day I guess. 
Day 26 #100healthydays 
#positivementalattitude #dontgiveup #keepongoing #onedayatatime</t>
  </si>
  <si>
    <t>100healthydays</t>
  </si>
  <si>
    <t>positivementalattitude</t>
  </si>
  <si>
    <t>vivivarnagy</t>
  </si>
  <si>
    <t>1584005794604805365_270367099</t>
  </si>
  <si>
    <t>• shit storm • 😱🎉🙈 #tgif #meanwhile #shitstorm #newbeginning #loseyourshit #keepcalm #keepongoing #movingforward #thisisnotfunny #iamnotkidding #hopeneverdies #finallyfriday #getshitdone #igers #instapic #instagood #instaquote #fbidealist #instadaily #humorconquersall</t>
  </si>
  <si>
    <t>hopeneverdies</t>
  </si>
  <si>
    <t>fbidealist</t>
  </si>
  <si>
    <t>meanwhile</t>
  </si>
  <si>
    <t>1584010526006210455_429036895</t>
  </si>
  <si>
    <t>🔙 To 2015 
I never had curves and I was totally affraid to get them on the areas I did not preferred (I can not deny that this feeling is still a little bit present sometimes). But my fitness journey gave me the curves I always wanted. But more important, I can finally enjoy life and this is just the beginning. Never felt more secure, feminine and happy in/with my own body! 
Don't focus on your imperfection, be proud... Just because you're alive, healthy(I hope) and capable of following your heart and dreams in so many ways! ❤
Left (56kg ~ starving) 
vs 
Right (70 kg ~ enjoying life)
#daretoshare #bodylove #selflove #foodlover  #fitnessjourney #progress #fitness #fitdutchie #weightlifting #girlwholifts #fitfam #curves  #bodyandmind #gymlife #recovering #bootygrow #dedication #hardwork #keepongoing #strenght #grow #girlonamission #effort #girlpower</t>
  </si>
  <si>
    <t>foodlover</t>
  </si>
  <si>
    <t>1584012095422600178_181449664</t>
  </si>
  <si>
    <t>Så kalder træningen 😎 #getfitordietrying #vægttab #noccodanmark #bcaa #workout #weekend #mitlivibilleder #keepongoing #blodsvedogtårer #udafcomfortzonen #tropådigselv #dk</t>
  </si>
  <si>
    <t>tropådigselv</t>
  </si>
  <si>
    <t>dk</t>
  </si>
  <si>
    <t>1584014126748767892_5495249433</t>
  </si>
  <si>
    <t>Yummy pasta dish but with zoodles instead 👌 happy weekend everyone!</t>
  </si>
  <si>
    <t>1584021189093207275_244228468</t>
  </si>
  <si>
    <t>😍 so cool! Thanks @motivationbyeli #motivationbyeli</t>
  </si>
  <si>
    <t>bethebestversionofyou</t>
  </si>
  <si>
    <t>leancalouw</t>
  </si>
  <si>
    <t>1584026208289584960_1387810020</t>
  </si>
  <si>
    <t>___________________________ 
#millionaireimage #doitforyourself #betterme #beyourown #keeponkeepingon #workforwhatyouwant  #marketingmoment #marketingsolutions #encourageyourself #bethechangeyouwanttosee #youvegotthis #oilfieldlife #millionairequotes #inspirationalthoughts #positivepeople #americanbusiness #quoteme  #strategize #seemslegit #youdoyou #inspirationalpost #businessownership #businessisbusiness #keepongoing #selfconfidence #bewhoyouare #bewhatyouwanttobe #socialinfluencers #socialize</t>
  </si>
  <si>
    <t>quoteme</t>
  </si>
  <si>
    <t>1584027447547115814_5801959162</t>
  </si>
  <si>
    <t>OMG! Fake or real?! 😳
👁Tag your friend who MUST see this 👥Follow @motivationbyeli
🔥 To get featured #motivationbyeli
📷@internet.prosperity for the original picture
👯🌴My Travel Friends 
@bucketlistguy
@travelgentle
@travel_green_</t>
  </si>
  <si>
    <t>sonmarco</t>
  </si>
  <si>
    <t>1584028225809778476_184834034</t>
  </si>
  <si>
    <t>10x 400KG!
LEGDAY IT IS 💪
#assen #fitnessfactoryassen #fitness #fitworden #legpress #legday #fridaylegday #400kg #nopainnogain #happyashell #letsfuckingdothis #keepongoing</t>
  </si>
  <si>
    <t>assen</t>
  </si>
  <si>
    <t>letsfuckingdothis</t>
  </si>
  <si>
    <t>fitworden</t>
  </si>
  <si>
    <t>happyashell</t>
  </si>
  <si>
    <t>charlenecaplistallayo</t>
  </si>
  <si>
    <t>1584030342003396321_534017500</t>
  </si>
  <si>
    <t>Pak awra!😂😂😂😂 #dayoff
#offtoChurch
#KeepOnGoing</t>
  </si>
  <si>
    <t>offtochurch</t>
  </si>
  <si>
    <t>noviangeline13</t>
  </si>
  <si>
    <t>1584036062731325818_4438155818</t>
  </si>
  <si>
    <t>"Winners never quit, and quitters never win.” ―Vince Lombardi -
Candid by @ervinamursid 😘
#keepitup💪
#keepongoing
#shreddedlife 
#shredded 
#shred</t>
  </si>
  <si>
    <t>keepitup💪</t>
  </si>
  <si>
    <t>shredded</t>
  </si>
  <si>
    <t>shreddedlife</t>
  </si>
  <si>
    <t>shred</t>
  </si>
  <si>
    <t>fmiruna</t>
  </si>
  <si>
    <t>1584039601608271605_41534423</t>
  </si>
  <si>
    <t>Get yourself a one way ticket and leave the world behind #traveling #holiday #joyoflife #experiences #italy #milan #keepongoing</t>
  </si>
  <si>
    <t>traveling</t>
  </si>
  <si>
    <t>joyoflife</t>
  </si>
  <si>
    <t>experiences</t>
  </si>
  <si>
    <t>constanzekrause8475</t>
  </si>
  <si>
    <t>1584041312206078600_5516427245</t>
  </si>
  <si>
    <t>#wildthing#kumara#sweetpotatoes#growingwild#inmykitchen#oldfamilychina#meissen #meissnerporzellan #freeform#spreadinglife#strongenergy #keepongoing #süsskartoffel #wildwuchs#inmeinerküche#roots#</t>
  </si>
  <si>
    <t>inmeinerküche</t>
  </si>
  <si>
    <t>meissen</t>
  </si>
  <si>
    <t>sweetpotatoes</t>
  </si>
  <si>
    <t>strongenergy</t>
  </si>
  <si>
    <t>oldfamilychina</t>
  </si>
  <si>
    <t>1584044839792523791_462344435</t>
  </si>
  <si>
    <t>When you feel like quitting, think about why you started.
.
.
.
#Bepositive #positivemindset #livelifetothefull #seethegood #seethegoodineverything #believeyoucan #befearless #keeponmoving #keeponlearning #keepondoing #keepongoing #keeponbelieving #believeinyou #goodhabits #achieve #achieveyourdreams #achieveyourgoals #believeinyourdream #believeinyourselfie #keepthefaith #neverstoplearning #positiveattitude #positivemindset #positivequotes #positivevibes #positiveminds #trustandbelieve #trustyourgut #yesyoucan  #youcandoit</t>
  </si>
  <si>
    <t>trustandbelieve</t>
  </si>
  <si>
    <t>days_byronbay</t>
  </si>
  <si>
    <t>1584044975267854951_4858382457</t>
  </si>
  <si>
    <t>Favourite 
#sunnydays #notsosunnydays #positive #hope #dream #wonderment #success #failure #getup #keepongoing #simplepleasures #creative #designer #fashiondesign</t>
  </si>
  <si>
    <t>wonderment</t>
  </si>
  <si>
    <t>notsosunnydays</t>
  </si>
  <si>
    <t>failure</t>
  </si>
  <si>
    <t>rimantas.kaukenas</t>
  </si>
  <si>
    <t>1584046684210973460_816885467</t>
  </si>
  <si>
    <t>🎗Let us introduce you to Amelija :) Amelija is very friendly, active and cute girl. 
She endlessly loves the sea and has many hobbies that include taking care of animals, love for dinosaurs and planets, so it's not surprising that Amelija just loves to visit Dinosaur Park :)
R. Kaukėnas' Charity Group received a letter about the girl's dream to come back to the world of entertainment - "Dino Park" and fulfilled this simple, but very important dream for a girl.
The girl was diagnosed with a high-grade embryonic rhabdomyosarcoma in the field of the nasopharynx. Amelija has suffered from several operations and had almost fifty doses of medication.
After seeing the young scientist's game and the invitation to go to the Dinosaur Park, the girl did not hide the joy :)
We really hope that Amelija with the whole family will be able to get to the park as soon as possible and have a good time there. 
We wish this girl the best possible health, and continue not to give up and keep on fighting! 
We want to thank all the people of goodwill who donate and make childrens' dreams come true! Thank you! #rkcharity #rimantokaukenoparama #fightcancer #rimantaskaukenascharity #rimantaskaukenascharitygroup #beneficenza #charity #dreamscometrue #wishesdocometrue #keepongoing</t>
  </si>
  <si>
    <t>rimantokaukenoparama</t>
  </si>
  <si>
    <t>dreamscometrue</t>
  </si>
  <si>
    <t>rkcharity</t>
  </si>
  <si>
    <t>rimantaskaukenascharity</t>
  </si>
  <si>
    <t>beneficenza</t>
  </si>
  <si>
    <t>glenda_melissa_</t>
  </si>
  <si>
    <t>1584056827581099874_2060048513</t>
  </si>
  <si>
    <t>The best revenge is success 
#keepongoing 
#dontgiveupnow</t>
  </si>
  <si>
    <t>dontgiveupnow</t>
  </si>
  <si>
    <t>1584060803321280636_185195397</t>
  </si>
  <si>
    <t>"Say what you want. If you never put it out in the world, how will people know?" -Trina Turk 🙌🌈❤️ Happy Friday! .
.
Thanks @trinaturk and @cathy.heller for the inspiration!
.
.
.
#saywhatyouwant #appreciatelife #weekendvibes #happyfriday #highvibes #highenergy #positivemindset #mindfullness #meditatedaily #rundaily #runhappy #charlestonsc #cakidiehl #choosejoy #chooselove #persevere #keepongoing #kindnessmatters #compassionmatters #peaceonearth #youareloved #youareenough #youareworthit #youareamazing #worththeeffort #joyfullife #clarity #amazingsunrise #gratefulheart #writersofinstagram</t>
  </si>
  <si>
    <t>amazingsunrise</t>
  </si>
  <si>
    <t>1584064367245307651_4249248273</t>
  </si>
  <si>
    <t>#fridaythoughts - one of the things I am doing as I mentally prepare myself to enter the paraclimbing series is to reflect on how the year of training has gone. What has gone well, not so well, have I hit my targets, did I go beyond them? Today I'm thinking about my right arm. Last year, my left arm being much weaker and still facing multiple cancer-related issues, I was using my right to survive on the wall. It wasn't pretty, it was functional. I have worked really hard this year, not just on my body but also on my left arm so that I could free up my rights capacity to climb, not just save me from falling. Yesterday, unexpectedly, I got my first proper right arm hang. I was working a strong overhang, I needed momentum for my left to go up, I had no choice but to put my right in that position. I hesitated a lot though, was my right going to be able to anchor my body weight and a swing? It did. It actually did. So today is a thank you to my right arm. A thank you to the arm that saved me on the wall last year, a thank you to the arm I often take for granted, a thank you to my workhorse arm.  I will keep asking you for work, I hope you'll carry on responding ❤️ thanks to @gemlaurensmith @spannaclimbs @lauraelysia and @londonladiesclimb for the shots. @ehlersdanlosuk @thecastleclimbingcentre @vauxwallclimbing #fridayfeeling #thankyou #grateful #bodypositive #amputee #ehlersdanlossyndrome #cancersurvivor #growth #goals #yesican #thisgirlcan #thisgirlcanclimb @thisgirlcanclimbing @thisgirlcanuk #believeinyourself #training #competition #paraclimbing @teambmc #journey #keepongoing #dontgiveup #determination #hijab #muslim #noboundaries #milestone #outofmycomfortzone #progress #gettingstronger</t>
  </si>
  <si>
    <t>aguilar_fitness__</t>
  </si>
  <si>
    <t>1584072853304550389_3850477047</t>
  </si>
  <si>
    <t>It doesn't get easier. 
You just get stronger. 
#fitnessaddict #fitguy #fitlife #muscle #tanktop #inked #stars #germanboy #fitnessmotivation #boyswithtattoos #strong #thesweatlife #fitnessgoals #dedication #gymaesthetics #gymshark #gymjunky #nolimitboy #german #ludwigsburg #nevergiveup #traininsane #getstrong #goheavy #tattoos #thankful #blessed #keepongoing #training #fit</t>
  </si>
  <si>
    <t>Ludwigsburg, Germany</t>
  </si>
  <si>
    <t>gymaesthetics</t>
  </si>
  <si>
    <t>loveyourlipcolor</t>
  </si>
  <si>
    <t>1584075137949484335_3980197217</t>
  </si>
  <si>
    <t>It sure does when you're having fun!!! .
#quoteoftheday #instaquote #blessings #grateful #positivemindset #goals #why #entrepreneur #postivity #growth #keepongoing #dreamer #reachinggoals</t>
  </si>
  <si>
    <t>why</t>
  </si>
  <si>
    <t>reachinggoals</t>
  </si>
  <si>
    <t>1584076575765224087_2075039459</t>
  </si>
  <si>
    <t>1584077814436314031_5495249433</t>
  </si>
  <si>
    <t>🙏💚</t>
  </si>
  <si>
    <t>1584081724877416143_2813503554</t>
  </si>
  <si>
    <t>Heute war ich mal alleine unterwegs und es standen Schultern und Nacken auf dem Plan
#fitfam #fitnessmotivation #fitnesslifestyle #gym #gymlife #nevergiveup #nopainnogain #noexcuses #nopainnogain #keepongoing #builditup #bodybuilding #muscle #mcfit #mcfitleverkusen #neckday #shoulders #weightloss #diefatdie</t>
  </si>
  <si>
    <t>mcfitleverkusen</t>
  </si>
  <si>
    <t>neckday</t>
  </si>
  <si>
    <t>ampesilke</t>
  </si>
  <si>
    <t>1584081985025067539_219852955</t>
  </si>
  <si>
    <t>One step closer than I was yesterday. #keepongoing 💯</t>
  </si>
  <si>
    <t>1584082504598666571_5705167414</t>
  </si>
  <si>
    <t>Panda 🐼 #Dubnation
-
-
-
-
-
-
-
-
-
-
-
-
-
-
-
-
-
-
-
-
-
-
-
-
-
-
-
-
-
-
-
-
-
-
-
-
-
-
-
-
 #StephGonnaSteph #Mvp #SC30 #KT11 #DG23 #CURRYMVP #KEEPONGOING #NEVERGIVEUP #WCF #WEST #WESTERNCONFERENCEFINALS #CHAMPS #DUBSFORCHAMPS #DUBS #ALWAYSBELIEVEINGOD #STEPHENCURRY #EVEN #NBA #2016CHAMPS #CHAMPIONS #LOCKIN #STEPH #SPLASH #SPLASHBROS  #like4like #like4follow #follow4follow</t>
  </si>
  <si>
    <t>beertje_the_britishshorthair</t>
  </si>
  <si>
    <t>1584085167797290436_5897954783</t>
  </si>
  <si>
    <t>Today I tried to catch water again, I still can't hold it in my paws but I'm getting there! 💪🏼 #staystrong #keepongoing #imadreamer #britishshorthair #water #todaywasagoodday #goodday #dreambig</t>
  </si>
  <si>
    <t>britishshorthair</t>
  </si>
  <si>
    <t>water</t>
  </si>
  <si>
    <t>marleen.helena</t>
  </si>
  <si>
    <t>1584090310215986573_5561260099</t>
  </si>
  <si>
    <t>#quotes#live#alive#keepongoing#youareimportant#</t>
  </si>
  <si>
    <t>youareimportant</t>
  </si>
  <si>
    <t>alive</t>
  </si>
  <si>
    <t>grace.angels</t>
  </si>
  <si>
    <t>1584092544906701209_1539519457</t>
  </si>
  <si>
    <t>#borderlinepersonalitydisorder #anorexia #anxiety #depression #multiplepersonalitydisorder #transgender #togheter #suvivor (let better days come and reach you) #keepongoing</t>
  </si>
  <si>
    <t>togheter</t>
  </si>
  <si>
    <t>transgender</t>
  </si>
  <si>
    <t>multiplepersonalitydisorder</t>
  </si>
  <si>
    <t>suvivor</t>
  </si>
  <si>
    <t>borderlinepersonalitydisorder</t>
  </si>
  <si>
    <t>1584101988753079916_4081842713</t>
  </si>
  <si>
    <t>Smashing my goals! 🙌🏼 -62.2 total
2 more weeks left in the month .
.
.
.
#keto #ketofam #ketolife #ketogenic #lowcarb #lowcarblife #lowcarboptions #lchf #lchfdiet #weightloss #weightlossjourney #weightlossgoals #weightlossstory #weightlossdiary #goals #goaldigger #focused #healthyeats #healthyeating #selfrespect #keepongoing</t>
  </si>
  <si>
    <t>lowcarboptions</t>
  </si>
  <si>
    <t>selfrespect</t>
  </si>
  <si>
    <t>healthyeats</t>
  </si>
  <si>
    <t>1584105107828838205_4773778225</t>
  </si>
  <si>
    <t>Morning mist☂️✨🌂💤🦋🌧🌬💨💦💧#worldtravelbook #flashesofdelight #art #lake #rainbow #goodafternoonpost #keeponkeepingon #keepongoing #motivation #motivationeveryday #sunset #flowers #architecturephotography #architecture #tagsforlikes #bluesky #likesforlikes #follow #almosttheweekend #smile #happy #morningmotivation #flower #behappy #grateful</t>
  </si>
  <si>
    <t>Sapa Vietnam</t>
  </si>
  <si>
    <t>stacey.young87</t>
  </si>
  <si>
    <t>1584106192215778759_1621561730</t>
  </si>
  <si>
    <t>Working on my my fitness goals #fitness #fitnessmotivation #fit #workingout #workhard #gymlife #gym #eatgood #eatclean #strongwomen #muscles #musclegain #gains #keepongoing #dontgiveup #neverstop</t>
  </si>
  <si>
    <t>eatclean</t>
  </si>
  <si>
    <t>musclegain</t>
  </si>
  <si>
    <t>_ridwanakbar</t>
  </si>
  <si>
    <t>1584106961762692066_2232762724</t>
  </si>
  <si>
    <t>Jangan terlalu linear dalam memandang kehidupan (khususnya pekerjaan). Banyak kejutan dan hal-hal baru selama perjalanan. Jangan lupa berdoa, dan terus berupaya. #keepongoing</t>
  </si>
  <si>
    <t>lordnutta</t>
  </si>
  <si>
    <t>1584113475348882469_5817932913</t>
  </si>
  <si>
    <t>#dream#chase#keepongoing</t>
  </si>
  <si>
    <t>chase</t>
  </si>
  <si>
    <t>follows</t>
  </si>
  <si>
    <t>socialenvy</t>
  </si>
  <si>
    <t>justa_doll</t>
  </si>
  <si>
    <t>1584114274899703829_229314027</t>
  </si>
  <si>
    <t>#wakeup #smile #newday #instalike #instalove #instagood #nomatterwhat #keepongoing #withlove #gm #instagram #beautiful #sunshine #me #🌻</t>
  </si>
  <si>
    <t>gm</t>
  </si>
  <si>
    <t>sunshine</t>
  </si>
  <si>
    <t>1584114349718785187_5781397138</t>
  </si>
  <si>
    <t>On the Camino
No matter if you are walking slowly or quickly... just don't forget to enjoy the way! Buen Camino! Y .
. 
#camino #onthecamino #encamino #stjamesway #jakobsweg #caminodesantiago #buencamino #ultreia #pilgrim in #galicia with #breastcancer #metastaticcancer under #chemotherapy #keepongoing #neverquit #lifeisbeautiful</t>
  </si>
  <si>
    <t>Galicia, Spain</t>
  </si>
  <si>
    <t>ultreia</t>
  </si>
  <si>
    <t>metastaticcancer</t>
  </si>
  <si>
    <t>39rikky</t>
  </si>
  <si>
    <t>1584116929239637191_3617055279</t>
  </si>
  <si>
    <t>微妙な笑顔(？)の勇刀ドーン💨💨笑ってと言うと下唇が下がるだけの笑顔ヘタクソ男子😆⤴⤴でも可愛いから晒す❗親バカでスマン😣💦⤵
-
暇な方だけスワイプしてください😅
動画は昨日の練習のボツ動画😅👍なぜなら僕がふざけすぎたのさ✨✨✨だって楽しいんだもの🎵
-
明日は練習試合があるらしいけど、仕事で行けない💦妻に頼んで動画撮ってきてもらう😅練習みたいに良い動きができるといいなぁ🎵楽しみ🎵
-
話し変わって恐い夢って最近見ますか？昨夜のこと、久しぶりに飛び起きました😱💦黒い人が部屋に入ってきて飛び掛かってくるんです❗間一髪避けたのですが、体が動かなくてすぐ背後にいるのがリアルにわかるんです😱ヤバイと思ったらバッと起きて夜中に目覚める💦💦マジで怖かったぁ💨💨💨
-
今日はいい夢見れるかなぁ・・・。
んじゃ、寝るわ🎵
皆様、今日も1日お疲れ様でしたぁ✨
明日もふぁいと👍おやすみなさし❗
-
-
#息子#中学生#バスケ#親子練習
#おバカな父親のせいで集中できへん
#仲良し親子#親バカ#大好き#イケメン
#笑顔#スマイルヘタクソ男子
#おやすみなさい#頑張れ👊😆🎵
#myson#basketball#funnydaddy
#coolkids#cuteboy#smiles#sexy
#hot#hairstyles#japan#lifestyle
#teenagers#model#keepongoing</t>
  </si>
  <si>
    <t>親バカ</t>
  </si>
  <si>
    <t>仲良し親子</t>
  </si>
  <si>
    <t>funnydaddy</t>
  </si>
  <si>
    <t>basketball</t>
  </si>
  <si>
    <t>1584118336185338790_5801959162</t>
  </si>
  <si>
    <t>OMG! Fake or real?! 😳
👁Tag your friend who MUST see this 👥Follow @motivationbyeli
🔥 To get featured #motivationbyeli
📷@thinkbigmindset for the original picture
👯🌴My Travel Friends 
@bucketlistguy
@travelgentle
@travel_green_</t>
  </si>
  <si>
    <t>andrea_ddn</t>
  </si>
  <si>
    <t>1584119320496401195_177704281</t>
  </si>
  <si>
    <t>First Solo, First Step, Keep going .
.
.
#throwback #soloistheway #keepongoing #pilotlife✈ #piloteyes #workharddreambig #work #working #job #myjob #skylovers #notordinaryjob #bestjobever #skyaddicted  #dayjob #ilovemyjob #pilotstuff #photooftheday #business #biz #life #fighterjet #skyporn #instajob #instalife #instagood #instadaily</t>
  </si>
  <si>
    <t>workharddreambig</t>
  </si>
  <si>
    <t>skylovers</t>
  </si>
  <si>
    <t>pilotlife</t>
  </si>
  <si>
    <t>kooldave2013</t>
  </si>
  <si>
    <t>1584121813179386206_292091910</t>
  </si>
  <si>
    <t>Keep on going...., #Chonsview #Friday #series #exclusive #road #Trip #captures #nofilter #keepongoing #Canada #USA #lets #see who #will #follow #Happy #Friday #IGers #DAዊት #daily #original #Toronto #photography #oneLove</t>
  </si>
  <si>
    <t>Pennsylvania</t>
  </si>
  <si>
    <t>original</t>
  </si>
  <si>
    <t>exclusive</t>
  </si>
  <si>
    <t>captures</t>
  </si>
  <si>
    <t>ivakovicmaja</t>
  </si>
  <si>
    <t>1584128532748114804_478170958</t>
  </si>
  <si>
    <t>A little throw🔙 to one the greatest place on 🌍🌏🌎. My mind is with you til the 🔚 of time, but never forget to #keepyourheadup and #smile. That is what be your best revenge to those who wanna hurt you. Remember that you are in charge how you will act, so wake up, stand up and #keepongoing. Show #nofear my #catalan. Cheers to life. ✊✊✊#dontletthembringyoudown</t>
  </si>
  <si>
    <t>La Rambla, Barcelona, España</t>
  </si>
  <si>
    <t>catalan</t>
  </si>
  <si>
    <t>dontletthembringyoudown</t>
  </si>
  <si>
    <t>katia_zanin</t>
  </si>
  <si>
    <t>1584128944882139667_1475070485</t>
  </si>
  <si>
    <t>...i passi fatti e quelli che farò👣🌱🎈 #maiferma #keepwalking #thursday #pianidiartavaggio #lightness</t>
  </si>
  <si>
    <t>Rifugio Nicola - Piani di Artavaggio</t>
  </si>
  <si>
    <t>landscape</t>
  </si>
  <si>
    <t>1584137238127563729_1542069409</t>
  </si>
  <si>
    <t>Isn't life just a splendid solo?</t>
  </si>
  <si>
    <t>show</t>
  </si>
  <si>
    <t>rehearsal</t>
  </si>
  <si>
    <t>iger</t>
  </si>
  <si>
    <t>iamgoldphumie</t>
  </si>
  <si>
    <t>1584139455034794269_3634013576</t>
  </si>
  <si>
    <t>Its never easy for beautiful creations to surface. even Beyonce was told she couldn't sing but she never gave up. Never give up on your dreams.
#dontgiveup #keepongoing #prettyhurts #beautifulcreatures #keeponkeepinon #liveyourdream #neverletgo #powerwithin #matshonadhliwayo #somethingtothinkabout</t>
  </si>
  <si>
    <t>powerwithin</t>
  </si>
  <si>
    <t>liveyourdream</t>
  </si>
  <si>
    <t>prettyhurts</t>
  </si>
  <si>
    <t>neverletgo</t>
  </si>
  <si>
    <t>stop.the.hate_03</t>
  </si>
  <si>
    <t>1584147738373735018_4860693220</t>
  </si>
  <si>
    <t>#staypositive #positivevibes #vibes #true #truth #tribe #positivethinking #positivethoughts #hapiness #attractive #stayhappy #keepongoing #youcandoitall #achieve #whynot #😄 #😊</t>
  </si>
  <si>
    <t>tribe</t>
  </si>
  <si>
    <t>thibault.dll.art</t>
  </si>
  <si>
    <t>1584164264461455559_3969857263</t>
  </si>
  <si>
    <t>// Hôtel Particulier // Neuilly // 2x3 mètres // #graffiti #art #wall #keepongoing #first // Commande spéciale //</t>
  </si>
  <si>
    <t>Neuilly-sur-Seine, France</t>
  </si>
  <si>
    <t>graffiti</t>
  </si>
  <si>
    <t>wall</t>
  </si>
  <si>
    <t>first</t>
  </si>
  <si>
    <t>saqibkhanenterprises</t>
  </si>
  <si>
    <t>1584166580179017132_4618389069</t>
  </si>
  <si>
    <t>A straight empty road never made a skilled driver and no failures or learning experiences made a successful man or woman... #advancement #boss #bossbabe #bosslady #experience #experiences #hustlehard #keepongoing #keepontrack #learn #learnsomethingneweveryday #motivation #motivationalquotes #skill #skilled #successful #successquotes #successtip</t>
  </si>
  <si>
    <t>advancement</t>
  </si>
  <si>
    <t>learnsomethingneweveryday</t>
  </si>
  <si>
    <t>1584171169173779258_41242698</t>
  </si>
  <si>
    <t>Woot woot! #workingonmyself #fattofit #immeltingimmelting #immelting #achieveyourdreams #proudofmyself #lchf #lowcarb #lovingketo #lowcarbdiet #lowcarblife #lowcarbanyone #keto #ketogenic #keepongoing #fitfam #fitnessjourney #fatgirltofitgirl</t>
  </si>
  <si>
    <t>lowcarbanyone</t>
  </si>
  <si>
    <t>impaired.bish</t>
  </si>
  <si>
    <t>1584172670214255169_5793927980</t>
  </si>
  <si>
    <t>Good morning lovelies! Make today your bitch! 
#blueeyes #cannabiscommunity #cannabisculture #cannabis #cannagirls #dab #dablife #enjoylife #hellhathnofurylikethisredhead #iihwarrior #live #love #laugh #perfectlyimperfect #persuitofhappiness #redhead #redhair #stillbreathing #survivor #keepongoing #keeponsurviving #todaywasagoodday #whereismymind #warrior #pinup</t>
  </si>
  <si>
    <t>redhead</t>
  </si>
  <si>
    <t>whereismymind</t>
  </si>
  <si>
    <t>perfectlyimperfect</t>
  </si>
  <si>
    <t>contemplation.s</t>
  </si>
  <si>
    <t>1584176445768240442_5450641792</t>
  </si>
  <si>
    <t>#keepongoing #keepyourheadup #yourestrong #strength #deepquotes ✨</t>
  </si>
  <si>
    <t>deepquotes</t>
  </si>
  <si>
    <t>yourestrong</t>
  </si>
  <si>
    <t>1584181469352426475_653903356</t>
  </si>
  <si>
    <t>Stabilisation und Bewegungslehre mit @fabricio_personalcoach - auch hier wie den meisten Bereichen meines Lebens! Qualität über Quantität. Achte auf deine Haltung und deine Bewegungen - Eleganz - mach dir immer wieder mal klar wie du etwas ausführst, sei es der Griff zur Zahnbürste, das trinken aus dem Glas, das Warmlaufen oder Übungen beim Training und natürlich beim Kämpfen selbst. Lass es natürlich werden. 
Ich hab mir mal von einem Tänzer sagen lassen: "Tanze dein Leben, lass deine Bewegungen elegant und diese  natürlich werden, dann wird es auch dein Tanz." - schön, sich das immer wieder in Gedächtnis zu rufen. Danke! 
#wrestlerbynature #wrestling #mma #mmaspirit #athleteslife #fighterslife #motivation #workout #embracethegrind #embraceyourdreams #keepongoing #keeponmoving #motion #neverbackdown</t>
  </si>
  <si>
    <t>MMA Spirit TV</t>
  </si>
  <si>
    <t>fighterslife</t>
  </si>
  <si>
    <t>embraceyourdreams</t>
  </si>
  <si>
    <t>1584186797385303564_216089260</t>
  </si>
  <si>
    <t>Move over laziness!. .
#divineorder #empoweringwomen #goals #growth #happy #inspiration #jamaicanlifecoach #lifecoach #lovemyjob #mindset #morethanenough #nofear #nicolewright #purpose #success #survivor #universe #nevertoolatetostartover #nevertoolatetobegin #standuptocancer #nevergiveup #keepongoing #believeinyourself #happy #lovemylife  #anthropologie #naturalhair #jamaicanlifecoach</t>
  </si>
  <si>
    <t>nevertoolatetostartover</t>
  </si>
  <si>
    <t>empoweringwomen</t>
  </si>
  <si>
    <t>nicolewright</t>
  </si>
  <si>
    <t>1584192963809332911_854956763</t>
  </si>
  <si>
    <t>Oh Barcelona 🖤 Days like yesterday remind you in how short life is and that it's important to live life to the fullest and make sure you are happy! Means as well : do whatever you have to and don't worry about what others think about your decisions!!! 🖤
#rip #allmythoughts #barcelona #spain #home #prayfortheworld #fuckterrorism #lifeistoshort #livelifetoitsfullest #livelife #enjoylife #enjoyeverymoment #lovelife #dowhatyouhavetodo #inked #tattoo #tatuajes #blonde #keepongoing #siguesonriendo #staystrong #justdoit #lifechange</t>
  </si>
  <si>
    <t>Parc de la Ciutadella</t>
  </si>
  <si>
    <t>siguesonriendo</t>
  </si>
  <si>
    <t>tattoo</t>
  </si>
  <si>
    <t>livelifetoitsfullest</t>
  </si>
  <si>
    <t>fitness_booties</t>
  </si>
  <si>
    <t>1584197614772060740_4227693236</t>
  </si>
  <si>
    <t>Good Morning! 🍑 @anya.sugar</t>
  </si>
  <si>
    <t>1584205558590934703_279512262</t>
  </si>
  <si>
    <t>У меня не было ни одной фотографии Ленина до этого момента. Как же я жила.
В каждом городе, даже маленьком, есть памятник Ильичу, площадь или хоть пара улиц.
.
#smolensk #vscogood #summer #daily #lenin #picoftheday #keepcalm #keepongoing #keeponwalking #lifestyle #livy #liveauthentic #livealittle #livethedream #vsco #vibes #madrussians #lifeex</t>
  </si>
  <si>
    <t>Площадь Ленина, Смоленск</t>
  </si>
  <si>
    <t>smolensk</t>
  </si>
  <si>
    <t>enigmatik_designs</t>
  </si>
  <si>
    <t>1584205775394521109_3727114487</t>
  </si>
  <si>
    <t>🔪Slay the day #HappyFriday #Motivation #KeepOnGoing #NeverQuit</t>
  </si>
  <si>
    <t>sandravdk</t>
  </si>
  <si>
    <t>1584208343232101005_240018680</t>
  </si>
  <si>
    <t>Work it work it, grow baby grow 💪🏼friday workout done✔️#girlswithmuscles #girlswholift #naturalbodybuilding #inba #inbapro #pnba #bikinipro #bikinidiva #inbanetherlands #naturalolympia #roadtonaturalolympia #welovemuscles #buildingbody #improving #keepongoing #enjoythejourney #workitworkit #gains #balancedreamteam #balancept #balancepersonaltraining #drugfree #dopingfree</t>
  </si>
  <si>
    <t>Balance Personal Training</t>
  </si>
  <si>
    <t>welovemuscles</t>
  </si>
  <si>
    <t>balancepersonaltraining</t>
  </si>
  <si>
    <t>1584209957980333407_5869703664</t>
  </si>
  <si>
    <t>Bush.
.
.
.
.
.
#travel#traveling#visiting#instatravel#instago#instagood#trip#holiday#photooftheday#fun#travelling#tourism#tourist#instapassport#instatraveling#mytravelgram#travelgram#travelingram#igtravel #walk #dream #live #nature #beautiful #bridge #lost #lucky #keepongoing #dontstop #dontquit</t>
  </si>
  <si>
    <t>1584210905984502625_5801959162</t>
  </si>
  <si>
    <t>WHAT DO YOU CHOOSE?! 😳
👁Tag your friend who MUST see this 👥Follow @motivationbyeli
🔥 To get featured #motivationbyeli
📷@billionairewallet for the original picture
👯🌴My Travel Friends 
@bucketlistguy
@travelgentle
@travel_green_</t>
  </si>
  <si>
    <t>dr.gmotivation</t>
  </si>
  <si>
    <t>1584228057845565371_3609996558</t>
  </si>
  <si>
    <t>Sometimes I Feel Like Giving Up , Then I Remember I Have A Lot Of Motherfuckers To Prove Wrong ♥</t>
  </si>
  <si>
    <t>military</t>
  </si>
  <si>
    <t>природакрасота</t>
  </si>
  <si>
    <t>anthonybratts</t>
  </si>
  <si>
    <t>1584228948328461695_2148903074</t>
  </si>
  <si>
    <t>Happy Friday From These Guys... Wise Guys, Just Maybe.. Bit Better Ya Don't Find Out Eh! #happyfriday #actors #actorslife #friends #anthonybratts #nicbradley #goodfellas #niceguys #wiseguys #lovingit #film #tv #netflix #friday #keepongoing @anthonybratts @nicbradly</t>
  </si>
  <si>
    <t>badabingbadaboom</t>
  </si>
  <si>
    <t>niceguys</t>
  </si>
  <si>
    <t>film</t>
  </si>
  <si>
    <t>lularoebeckydance</t>
  </si>
  <si>
    <t>1584231417725033946_5705481778</t>
  </si>
  <si>
    <t>It's a #lularoemadison kinda #friday! If you live in the West Chester area stop by tonight for my Drop In &amp; Shop! 5:30-7pm
Shout out to my little photographer #AveryGrace 📸</t>
  </si>
  <si>
    <t>Olde West Chester, Ohio</t>
  </si>
  <si>
    <t>lularoemadison</t>
  </si>
  <si>
    <t>lularoe</t>
  </si>
  <si>
    <t>vicky_koulianoy</t>
  </si>
  <si>
    <t>1584231570868638153_2086432801</t>
  </si>
  <si>
    <t>🚗my fast and furious days 😂🚗#strangeshot #mobilephoto #byafriend #instagood #greece #summer #wearingeugenewoodsunglasses #in_inspirationsneclases #travel #travelers #somewere #stayingpositive #staymotivated #keepongoing #becool #beautifulday #smilegirl #minicouper #nofilter #believe #andhavefun 🚗💋</t>
  </si>
  <si>
    <t>minicouper</t>
  </si>
  <si>
    <t>wearingeugenewoodsunglasses</t>
  </si>
  <si>
    <t>smilegirl</t>
  </si>
  <si>
    <t>1584231922996014310_5705167414</t>
  </si>
  <si>
    <t>Tied for #3 -  Stephen Curry, after having the best season of his career, Steph was on pace to match Jordan as the greatest player in NBA history, but then the Warriors lost against the Cavs in the finals, forcing Golden State to make a move if they want to get the title back, so they signed Kevin Durant and of course Steph's stats would go down, this season he averaged 25.3 ppg, 6.6 apg, 4.5 rpg, and 1.8 spg, Steph has arguably become the best shooter in NBA history, breaking every 3 point record known to man. Steph has also won everything needed to make him in the HOF, the only thing that would fully solidify his legacy as a top 3 point guard all time us by winning the MVP again and the finals MVP in the same year, because if Curry won the championship and finals MVP in 2016, Steph would have been surely put in the top 5 PG of all time, but now, he still has to play great to prove people where he stands at  #Dubnation
-
-
-
-
-
-
-
-
-
-
-
-
-
-
-
-
-
-
-
-
-
-
-
-
-
-
-
-
-
-
-
-
-
-
-
-
-
-
-
-
 #StephGonnaSteph #Mvp #SC30 #KT11 #DG23 #CURRYMVP #KEEPONGOING #NEVERGIVEUP #WCF #WEST #WESTERNCONFERENCEFINALS #CHAMPS #DUBSFORCHAMPS #DUBS #ALWAYSBELIEVEINGOD #STEPHENCURRY #EVEN #NBA #2016CHAMPS #CHAMPIONS #LOCKIN #STEPH #SPLASH #SPLASHBROS  #like4like #like4follow #follow4follow</t>
  </si>
  <si>
    <t>lockin</t>
  </si>
  <si>
    <t>bimhd</t>
  </si>
  <si>
    <t>1584232926240075602_32625598</t>
  </si>
  <si>
    <t>Spinning distance/terrain. In a totally different location as we normally use. Renovations all around in the gym, but how cares? Keep on going!!! #spinning #distance #terrain #renovation #thegym #howcares #keepongoing #arvika #halsokompaniet #repost #sweden #schweden #sverige #värmland</t>
  </si>
  <si>
    <t>distance</t>
  </si>
  <si>
    <t>howcares</t>
  </si>
  <si>
    <t>1584235484555569308_4203455377</t>
  </si>
  <si>
    <t>Bikini days @jessiemdelgado 💦😍</t>
  </si>
  <si>
    <t>bryanespiritu</t>
  </si>
  <si>
    <t>1584235523336179554_12629302</t>
  </si>
  <si>
    <t>On June 22nd, I dedicated 20 straight hours to putting together the book my following asked for me to make. I designed it, type set it, prepped it for print, and got the sample started 2 days later. By June 28th, I had the first prototype for "3 Things, Book 1-100". A day later, I applied to legally publish books in Canada, and on June 30th, I was approved to create ISBNs for anything I wanted to publish under TheLegendsLeague Inc. 2 weeks later, on July 12th, I made the book available for pre-order, while waiting for production to complete, and in 5 days we sold 400 copies of a book that, for the most part, is free on my @legendsleague Twitter account. This was never the book I planned on writing. This was a book that wrote itself following days and days of notes of motivation, comedy, song lyrics, and reminders I told myself during times of struggling with the natural waves of life, and sharing those notes with a tribe of people who related with me on various levels. This is not the book I planned, but this is the book I am presenting. And I am proud to say that this is the product of the people who have shown me faith, propelled my work further, and pushed me to be whatever version of myself I want to be, unapologetically. Tomorrow, @3thingsbook will finally be available for sale at The LL Sweatshop - 9 Camden St., Toronto. I will be signing copies, and will be available to chat (time permitting) with any of our supporters that come by. If I can give you young creatives anything to live on, it's to stay passionate about your ideas, do the hard work, create your own avenues, and present your truest self first. Your life will come to you if you go after it. Everything else is a bonus. See you all tomorrow. 💕🤘🏽••• #3thingsbook #doityourself #diy #selfpublished #book #keepongoing</t>
  </si>
  <si>
    <t>doityourself</t>
  </si>
  <si>
    <t>3thingsbook</t>
  </si>
  <si>
    <t>selfpublished</t>
  </si>
  <si>
    <t>1584237236416416801_1456976711</t>
  </si>
  <si>
    <t>Ett pass på #factorgym sen ut och #joggdå 2,5 km! Jag är nöjd med denna fredag! Nu svida om för mat med karln ute på stan! 🏋🏻‍♀️🏃🏽‍♀️🍔</t>
  </si>
  <si>
    <t>Rönnbyskogen</t>
  </si>
  <si>
    <t>joggdå</t>
  </si>
  <si>
    <t>factorgym</t>
  </si>
  <si>
    <t>nachobambam</t>
  </si>
  <si>
    <t>1584239825611133299_2024864219</t>
  </si>
  <si>
    <t>Agradecido con mi coaching Carl topke por todas sus enseñanzas y aplicaciones de la técnica correcta!! #keepongoing #gymtrainer #gymnastics #handstand #calisthenics #gym #excerise #fitnessmotivation #fit #fitnesstrainer #berraquera #parcero #parce #motivation</t>
  </si>
  <si>
    <t>excerise</t>
  </si>
  <si>
    <t>gymnastics</t>
  </si>
  <si>
    <t>1584242205600684493_184426730</t>
  </si>
  <si>
    <t>Cosas bonitas por la calle 👌 #art #streetart #hazquecuente #keepongoing</t>
  </si>
  <si>
    <t>streetart</t>
  </si>
  <si>
    <t>hazquecuente</t>
  </si>
  <si>
    <t>1584243676527170723_575590962</t>
  </si>
  <si>
    <t>Viele Termine,  viel zum Nachdenken ....nächste Woche geht's los #bestrahlungsplan  #keepongoing #bestrong #faithcanmovemountains #trust</t>
  </si>
  <si>
    <t>bestrahlungsplan</t>
  </si>
  <si>
    <t>faithcanmovemountains</t>
  </si>
  <si>
    <t>hiten89</t>
  </si>
  <si>
    <t>1584252158114798750_5471613103</t>
  </si>
  <si>
    <t>Life goes with you or without you.. so just #keepongoing</t>
  </si>
  <si>
    <t>1584253313149559072_1972606430</t>
  </si>
  <si>
    <t>I like to wake up to my girlfriend in the morning with notifications on my phone saying you got $25 here, $100 there, and $500 everywhere😁🙌🏼 || #prestoknowsbest
-
-
#liveandlearn #dontsettle #mindsetshift #dropout #content #quotesoflife #fireyourboss #empowernetwork #onlinesuccess #personalgrowth #motivateyourself #betteryourself #keepongoing #mindsetiseverything #inspiredaily #valueyourself #valuelife #entrepreneurmind #newmindset #goalachiever</t>
  </si>
  <si>
    <t>_sp4de_</t>
  </si>
  <si>
    <t>1584264558448395201_180581703</t>
  </si>
  <si>
    <t>Life's a hike. Keep moving up. #hike #spain #photography #photooftheday #art🎨 #artsy #freedom #realshit #life #keepongoing</t>
  </si>
  <si>
    <t>Donostia-San Sebastián, Spain</t>
  </si>
  <si>
    <t>hike</t>
  </si>
  <si>
    <t>vk14_</t>
  </si>
  <si>
    <t>1584268883364138978_1037914173</t>
  </si>
  <si>
    <t>#watching #3idiots after sometime couldn't resist #humming the tune not a bad #singer am I haha #alliswell nobody knows the #future so #liveitup #loveit #dontstress #everythinghappensforareason #keepongoing #bepositive #staypositive #godisgood #rv ❤️✌🏼💯🕉️</t>
  </si>
  <si>
    <t>Prasad Nagar Phase-II M I G Flats</t>
  </si>
  <si>
    <t>alliswell</t>
  </si>
  <si>
    <t>everythinghappensforareason</t>
  </si>
  <si>
    <t>3idiots</t>
  </si>
  <si>
    <t>1584270599142827338_279512262</t>
  </si>
  <si>
    <t>Умиротворяющие вечерние прогулки и сладкая ноющая усталость в ногах.
Мил правильно заметил, что здесь с первых минут чувствуешь себя спокойно. Спасибо отпускному нечегонеделанию и общему настроению города. 
А я тем сильнее его люблю, чем больше понимаю, что долго бы не продержалась в этой медленно текущей жизни. Но приезжать сюда бесценно. И мне жаль, что два-три раза в год превратились сначала в раз в год, а теперь в 4 дня в году. Но c'est la vie
.
#vscogood #livethedream #smolensk #москвичивпитере #summer #sundaymood #abmlife #authentic #abmhappylife #vsco #vscocam #vibes #vscofood #vscodaily #madrussians #mood #keepcalm #keepongoing #sun #picoftheday #lifeex #livy #russia #lifestyle #livefolk</t>
  </si>
  <si>
    <t>1584273755450775717_4230196596</t>
  </si>
  <si>
    <t>That bod @anyuta_rai 👌</t>
  </si>
  <si>
    <t>bonnygurl86</t>
  </si>
  <si>
    <t>1584276942307161723_2005638869</t>
  </si>
  <si>
    <t>As long as hes happy, I'm happy 😊 #instapic #doubletap #happygirl #happiness #nuttinbutsmiles #keepongoing #loveyourself #headup #bikinibody #ribtattoo #lovemeorhateme #flawsandall</t>
  </si>
  <si>
    <t>flawsandall</t>
  </si>
  <si>
    <t>lovemeorhateme</t>
  </si>
  <si>
    <t>nuttinbutsmiles</t>
  </si>
  <si>
    <t>doubletap</t>
  </si>
  <si>
    <t>hatty_dixon</t>
  </si>
  <si>
    <t>1584277439289295525_349213754</t>
  </si>
  <si>
    <t>Show me my silver lining, got to keep on keeping on. 🎵 #positivethinking #friyay #weekendvibes #silverlining #myfirstaidkit #keepongoing</t>
  </si>
  <si>
    <t>silverlining</t>
  </si>
  <si>
    <t>myfirstaidkit</t>
  </si>
  <si>
    <t>galiish</t>
  </si>
  <si>
    <t>1584278596506459779_1464421991</t>
  </si>
  <si>
    <t>Testing🤔😛😛 Reindeer, roasted jerusalem artichokes, beetroot sauce with little taste of lime. Inspirated by chef @henkkaalen, thanks for the advices🙏🏻 #cooking #plating #chef #keepongoing</t>
  </si>
  <si>
    <t>chef</t>
  </si>
  <si>
    <t>plating</t>
  </si>
  <si>
    <t>cooking</t>
  </si>
  <si>
    <t>roby_peppers</t>
  </si>
  <si>
    <t>1584280334048375256_1229634619</t>
  </si>
  <si>
    <t>2 days running and 1 day resting. This is my work plan 👟👟 #training #fit #fitness #running #run #tbt #workhard #nevergiveup #keepongoing #music #workout #tbh</t>
  </si>
  <si>
    <t>tbh</t>
  </si>
  <si>
    <t>carmenbuga</t>
  </si>
  <si>
    <t>1584282197661395547_266396284</t>
  </si>
  <si>
    <t>#surfboard #sunsetsky #beachlife #keepongoing #summer</t>
  </si>
  <si>
    <t>sunsetsky</t>
  </si>
  <si>
    <t>surfboard</t>
  </si>
  <si>
    <t>1584283392239926401_4678264587</t>
  </si>
  <si>
    <t>- 0:23 vs PB 👍🏻
Not much but it's enough to show some progress! 😁
#Freeletics #bodyweight #freeleticsangers #freeleticsecouflant #freeathlete #freeleticslifestyle #fit #fitness #fitnessmotivation #stayinshape #betterversionofyourself #keepongoing #trainingday #workout #noexcuses</t>
  </si>
  <si>
    <t>rixac</t>
  </si>
  <si>
    <t>1584284459775995468_30448207</t>
  </si>
  <si>
    <t>Barcelona .. U are a big mama home ... U have given so many options .. U have showed me so many new roads ... U have given d sensation of freedom .. U have introduced me to amazing souls .. In so little time .. I fell in love with u .. Keep on going and live no fear ... Give love to others and a piece to those who need.. Behave how u feel like and do what u feel like .. #barcelona #home #nofear #keepongoing #love #life #strength #streets #city</t>
  </si>
  <si>
    <t>streets</t>
  </si>
  <si>
    <t>luckyrebeldrinks</t>
  </si>
  <si>
    <t>1584286098297157084_1654351236</t>
  </si>
  <si>
    <t>FRI - nally ✌🏼CHEERS
#POSITIVEVIBES 🔥🙌🏼
#hello #keepongoing #weekend #friyay #friday #weekendfun #summertime #summer #sunshine #goodtimes #qualitytime #goodvibes #belucky #luckyrebel #girls #boys #fitness #goals #love #friendship #holidays #motivation #quotes #staystrong #tattoo #inkedgirls #fitgirl #fitboy</t>
  </si>
  <si>
    <t>fitboy</t>
  </si>
  <si>
    <t>natalia.c.barros.9</t>
  </si>
  <si>
    <t>1584287887963289339_5709167939</t>
  </si>
  <si>
    <t>#icansee #imbetter #keepongoing #lookatme #peaceandloveyouall #betterthenever #deusguiando 🙇</t>
  </si>
  <si>
    <t>icansee</t>
  </si>
  <si>
    <t>peaceandloveyouall</t>
  </si>
  <si>
    <t>betterthenever</t>
  </si>
  <si>
    <t>deusguiando</t>
  </si>
  <si>
    <t>curioousnat</t>
  </si>
  <si>
    <t>1584290680423590636_21042359</t>
  </si>
  <si>
    <t>"It took cancer to realize that being self-centered is not the way to live. The answer is to try and help others" Terry Fox | My chemistry teacher in high school used Terry Fox as a nickname after my knee surgery...not even close to deserve that nickname, but I feel deeply inspired 💚 #terryfox #goterry #marathonofhope #victoriabc #royalbcmuseum #determination #keepongoing #grateful #canada150</t>
  </si>
  <si>
    <t>Royal BC Museum</t>
  </si>
  <si>
    <t>canada150</t>
  </si>
  <si>
    <t>goterry</t>
  </si>
  <si>
    <t>terryfox</t>
  </si>
  <si>
    <t>1584292706279917416_15887082</t>
  </si>
  <si>
    <t>Free to fly 🚴🏼‍♀️🤞🏼
#ironman #upcoming #mulitisport #tri365 #lovemylife #fitness #ironmanbarcelona2017 #outofcomfortzone #trilabdk #triathlon #triatlete #invisibleguns #worldoffusion #imhamburg #keepongoing #purepowerdk #smileplease #swimbikerun @worldoffusion</t>
  </si>
  <si>
    <t>kvw_beach</t>
  </si>
  <si>
    <t>1584293862741060041_2554609749</t>
  </si>
  <si>
    <t>Freaky-Friday 🙈🙉 3 wins today (🇩🇪, 🇷🇺, 🇮🇹) and so we are in the semi-final of the European Championship! 
Tomorrow at 17.00 (16u BT) we play against Samoilovs-Smedins. 
#KvWbeach #Keepongoing #EuroBeachVolley</t>
  </si>
  <si>
    <t>Jurmala</t>
  </si>
  <si>
    <t>kvwbeach</t>
  </si>
  <si>
    <t>eurobeachvolley</t>
  </si>
  <si>
    <t>karieken</t>
  </si>
  <si>
    <t>1584296572622171319_2204783845</t>
  </si>
  <si>
    <t>Miss ya lil fellow! 
#icelandichorse #equine #horses #horsesofinstagram #hestar #hest #iceland #lilbuddy #tölt #keepongoing #freesoul #igers #outside #nature #adventure</t>
  </si>
  <si>
    <t>hestar</t>
  </si>
  <si>
    <t>icelandichorse</t>
  </si>
  <si>
    <t>freesoul</t>
  </si>
  <si>
    <t>outside</t>
  </si>
  <si>
    <t>claire.louise.c</t>
  </si>
  <si>
    <t>1584296691406100378_1144115375</t>
  </si>
  <si>
    <t>#disco #me #stupidfilter #filter  #messingaround #august #keepongoing #neon #snapchat #snapchatfun #friday #palegirl</t>
  </si>
  <si>
    <t>stupidfilter</t>
  </si>
  <si>
    <t>angiemarieheath</t>
  </si>
  <si>
    <t>1584303391000029122_1553582276</t>
  </si>
  <si>
    <t>#fridaymood #goodvibes#darkb4light #keepongoing #rememberingthesedays #greatrisks #tryharder#wegotthis#womanup</t>
  </si>
  <si>
    <t>Decherd, Tennessee</t>
  </si>
  <si>
    <t>womanup</t>
  </si>
  <si>
    <t>fridaymood</t>
  </si>
  <si>
    <t>tryharder</t>
  </si>
  <si>
    <t>darkb4light</t>
  </si>
  <si>
    <t>rememberingthesedays</t>
  </si>
  <si>
    <t>1584304285796072030_5801959162</t>
  </si>
  <si>
    <t>DO YOU AGREE?! 🤔
👁Tag your friend who MUST see this 👥Follow @motivationbyeli
🔥 To get featured #motivationbyeli
📷@sebastianschimmel for the original picture
👯🌴My Travel Friends 
@bucketlistguy
@travelgentle
@travel_green_</t>
  </si>
  <si>
    <t>hajdi_kj</t>
  </si>
  <si>
    <t>1584308465161794166_193885303</t>
  </si>
  <si>
    <t>You can walk through hell and still be an angel.
#keepongoing #neverstop #bestrong #playfair #doyourbest #staypositive #instapic #instalike #instagood #streetwear #stretstyler #streetfashion #celjemojemesto #lovethiscity</t>
  </si>
  <si>
    <t>playfair</t>
  </si>
  <si>
    <t>streetfashion</t>
  </si>
  <si>
    <t>lovethiscity</t>
  </si>
  <si>
    <t>anneknuuudsen</t>
  </si>
  <si>
    <t>1584312960312989439_189544556</t>
  </si>
  <si>
    <t>Efter en periode med alt for lidt fokus på træningen og øget træthed, har jeg denne uge fundet overskud til at få trænet 3 gange og det er en god følelse at komme tilbage på sporet igen! Så nu kan jeg med god samvittighed nyde min weekend 💪🏼🏋🏼‍♀️👌🏼 #backontrack #fitness #fitnessworld #keepongoing #defedemåsvede #weekend #afslapning #fredagskæk #godrøvoggodweekend</t>
  </si>
  <si>
    <t>afslapning</t>
  </si>
  <si>
    <t>fitnessworld</t>
  </si>
  <si>
    <t>fredagskæk</t>
  </si>
  <si>
    <t>1584313635226824709_1972606430</t>
  </si>
  <si>
    <t>Be clear on what you want and then go after it. Don't wait till tomorrow to do the thing that you can do today👍🏼
#prestoknowsbest
-
-
#liveandlearn #dontsettle #mindsetshift #dropout #content #quotesoflife #fireyourboss #empowernetwork #onlinesuccess #personalgrowth #motivateyourself #betteryourself #keepongoing #mindsetiseverything #inspiredaily #valueyourself #valuelife #entrepreneurmind #newmindset #goalachiever</t>
  </si>
  <si>
    <t>dorrsss</t>
  </si>
  <si>
    <t>1584314469306880471_22288649</t>
  </si>
  <si>
    <t>b2b #twins #keepongoing #sundays #london 💛🌈☀️</t>
  </si>
  <si>
    <t>london</t>
  </si>
  <si>
    <t>twins</t>
  </si>
  <si>
    <t>projectpinklung</t>
  </si>
  <si>
    <t>1584315080961803648_5384333179</t>
  </si>
  <si>
    <t>Keep moving towards the light. Towards putting your #addiction behind you. Move towards #nomorecigarettes and #nomoresmoking. You may stumble, you may have #cravings, you may #smoke but if you do, you know it is time to #keepongoing, #keeponquitting... You can do it. You ARE doing it and we salute you! #quitsmoking #projectpinklung</t>
  </si>
  <si>
    <t>nomorecigarettes</t>
  </si>
  <si>
    <t>quitsmoking</t>
  </si>
  <si>
    <t>nomoresmoking</t>
  </si>
  <si>
    <t>addiction</t>
  </si>
  <si>
    <t>killin_keto</t>
  </si>
  <si>
    <t>1584318026245722630_5861047257</t>
  </si>
  <si>
    <t>I fit back into this tank top! This face is pure excitment.  Last year I worked out 5 days a week and ate good and lost 20 lbs that took me a solid 7 months.  I then got hired at the hospital and kept working my second job.  I gave up on the working out thing because "no time" well all the clothes I bought stopped fitting about 2 months into work I put them in a box and hoped one day! Well today A MONTH INTO KETO It fits!  I can not wait to keep on ketoing this just works for me.  #ketoworks #keto #ketogeniclifestyle #ketoforever #ashleyinketosis #ketosis #sohappy #itfits #dreads #dreadlocs #dreadstyles #blondedreads #mylife #keeponketoing #keepongoing</t>
  </si>
  <si>
    <t>ketoworks</t>
  </si>
  <si>
    <t>ketoforever</t>
  </si>
  <si>
    <t>sohappy</t>
  </si>
  <si>
    <t>ashleyinketosis</t>
  </si>
  <si>
    <t>ketogeniclifestyle</t>
  </si>
  <si>
    <t>1584331073280917838_224929186</t>
  </si>
  <si>
    <t>Headed to Ponca. First appearance since having the support from @365mx! Let’s go get some practice laps in 💪🏻 #love #life #happy #art #quote #strength #music #inspirational #god #inspiration #inspired #smile #keepongoing #standup #fight #live #faith #photography #metal #rock #motivation #technology #mx #motocross #kawasaki #braap #monsterenergy #gopro #ride365 #365mx</t>
  </si>
  <si>
    <t>kawasaki</t>
  </si>
  <si>
    <t>metal</t>
  </si>
  <si>
    <t>god</t>
  </si>
  <si>
    <t>juldansan1115</t>
  </si>
  <si>
    <t>1584333847487321428_215281787</t>
  </si>
  <si>
    <t>Let's go Friday! 🙏👆👊🏼
#friday #letsdoit #letsdothis #awesome #faith #faithingod #angelino #losangeles  #lastyle #lastory #lalaland #courage #change #changeisgood #keepongoing #keepon #dontlookback #hoodies #itcanbedone</t>
  </si>
  <si>
    <t>letsdoit</t>
  </si>
  <si>
    <t>tashaking0704</t>
  </si>
  <si>
    <t>1584337276103872914_1778111</t>
  </si>
  <si>
    <t>No giving up now. ❌🚫 #keepongoing #stayfocused #resist #byebannon #bannon #whosnext #keepyourheadup #maga #trumpsajoke #lovewins #lovetrumpshate</t>
  </si>
  <si>
    <t>trumpsajoke</t>
  </si>
  <si>
    <t>bannon</t>
  </si>
  <si>
    <t>whosnext</t>
  </si>
  <si>
    <t>byebannon</t>
  </si>
  <si>
    <t>ytdco</t>
  </si>
  <si>
    <t>1584337719139319824_2284898325</t>
  </si>
  <si>
    <t>Office space. -
-
For those of you who don't know, we are renovating a 100+ year old farm house. My husband is a dreamer, and while he spends his days overseeing work on government contracts, he spends his nights, weekends, lunch breaks (you get the idea 😂) on the farm raising yaks! Yes, YAKS. I can't make this stuff up, guys. Trust me, I've closed my eyes and figured it would *have* to be a dream (some days, a nightmare LOL), but alas.
-
-
To put it simply, the house we are moving into is a complete #renovation and has been gutted from the ground up. Now, we are putting it back together. And it is not a fast process. What you're looking at took MONTHS to do. And what you can see in the background...well I did say it was a complete #remodel , right?! I'm pretty sure #hgtv would eat this story UP! 5th wheeling while renovating while farming while running a small business. This is the stuff TV is made for! But since execs haven't come swarming, we #keepongoing one day at a time 👍🏻
-
-
#office #officespace #officedesign #officestyle #diy #houserenovation #homemakeover #farmhouse #farmhousestyle #farmhouseliving #farmhousedecor #farming #handyhusband #doityourself #valspar #coloroftheyear #bamboo #bambooflooring #modernfarmhouse #workinprogress #etsyshop #etsymaker #etsymagazine #etsysellersofinstagram #yak #yaks</t>
  </si>
  <si>
    <t>farmhouseliving</t>
  </si>
  <si>
    <t>yak</t>
  </si>
  <si>
    <t>farming</t>
  </si>
  <si>
    <t>yaks</t>
  </si>
  <si>
    <t>farmhousestyle</t>
  </si>
  <si>
    <t>1584338537817060708_36161567</t>
  </si>
  <si>
    <t>Hand-stitching our Cherries &amp; Bees 🐝🐝🐝🐝🐝🍒🍒🍒 😍😍 #beehappyquilt @beelori1 #keepongoing #beeinmybonnet</t>
  </si>
  <si>
    <t>beehappyquilt</t>
  </si>
  <si>
    <t>carawerkinprogress</t>
  </si>
  <si>
    <t>1584343368631917511_32847218</t>
  </si>
  <si>
    <t>Got some good climb time in today!! 🙌 Finally got that last hold I was aiming for, then I was like, now what?? 😂 More reason to stay consistent. I will be back for you soon!! 💪</t>
  </si>
  <si>
    <t>Climb So iLL</t>
  </si>
  <si>
    <t>iamabadass</t>
  </si>
  <si>
    <t>forthelove</t>
  </si>
  <si>
    <t>ilovethisjourney</t>
  </si>
  <si>
    <t>hflc</t>
  </si>
  <si>
    <t>1584343757712983640_5468355632</t>
  </si>
  <si>
    <t>This is so pretty 😍 I THINK that the creds is @astro.guts 
Also heyyyyy I'm back I went on s little break :p
-🐠
-
-
-
#josh #tyler #jenna #twentyonepilots #bands #frens #laugh #myidols 
#loveyou #bestmusic #keepongoing #ibelieve #theyrethebest #funny #smile #tøpmemes #tøp #stayalive #inspiring  #beautifulpeople</t>
  </si>
  <si>
    <t>tøp</t>
  </si>
  <si>
    <t>janneke9459</t>
  </si>
  <si>
    <t>1584344892346715205_5337274407</t>
  </si>
  <si>
    <t>Wookie! ♡ .
.
Tired and broken down after four days with parties, great friends and so much fun! Third shot was *** so now time to lay down and relax.... #starwars #ms #onesie #kitten #chewbacca #home #movienight #model #nightlife #blackandwhite #missmaid #missjantsje #avonex #tired #keepongoing #goingstrong #kei17 #bernlef</t>
  </si>
  <si>
    <t>bernlef</t>
  </si>
  <si>
    <t>nightlife</t>
  </si>
  <si>
    <t>missmaid</t>
  </si>
  <si>
    <t>starwars</t>
  </si>
  <si>
    <t>missjantsje</t>
  </si>
  <si>
    <t>1584345771356252247_5468355632</t>
  </si>
  <si>
    <t>What's your favorite emoji? -🐠
-
-
-
#josh #tyler #jenna #twentyonepilots #bands #frens #laugh #myidols 
#loveyou #bestmusic #keepongoing #ibelieve #theyrethebest #funny #smile #tøpmemes #tøp #stayalive #inspiring  #beautifulpeople</t>
  </si>
  <si>
    <t>loveyou</t>
  </si>
  <si>
    <t>the.village.stranger</t>
  </si>
  <si>
    <t>1584350935944300311_4002161455</t>
  </si>
  <si>
    <t>I had it all last weekend. Camping, Lake time, Hiking, and spending time with my Best Fucking Friends..
I do not live close to them, but I can spend more time in nature. I am still glad to be alive. Just a little less exuberant.
#gladtobealive #moreadventures #bestfuckingfriend #gettingtheD #findingthelight #keepongoing #keeponkeepingon #missthem</t>
  </si>
  <si>
    <t>gettingthed</t>
  </si>
  <si>
    <t>gladtobealive</t>
  </si>
  <si>
    <t>bestfuckingfriend</t>
  </si>
  <si>
    <t>1584353951271514180_4773778225</t>
  </si>
  <si>
    <t>Made a new friend today. #worldtravelbook #flashesofdelight #art #lake #rainbow #goodafternoonpost #keeponkeepingon #keepongoing #motivation #motivationeveryday #sunset #flowers #architecturephotography #architecture #tagsforlikes #bluesky #likesforlikes #follow #almosttheweekend #smile #happy #morningmotivation #flower #behappy #grateful</t>
  </si>
  <si>
    <t>juliaodwyer</t>
  </si>
  <si>
    <t>1584358431929410499_4146513878</t>
  </si>
  <si>
    <t>😂😂😂
This is so true 😂😂😂
#lifegoeson #truestory #happyclient #happensallthetime #unreplacable #keepongoing #youcandoit #igers #instalike #instagood #instadaily #lashes #clients</t>
  </si>
  <si>
    <t>happyclient</t>
  </si>
  <si>
    <t>lashes</t>
  </si>
  <si>
    <t>happensallthetime</t>
  </si>
  <si>
    <t>scdfoodgirl</t>
  </si>
  <si>
    <t>1584362646826662744_5867619775</t>
  </si>
  <si>
    <t>Today is a bad Crohn's day. Nothing major just some mild cramping, but that usually takes a toll on my emotions, I get scared and stressed. Am I starting another flare? An infection? An ulcer? Is my remission over?? So after some self-pitying, I got up, got dressed and put some make up. Time to suck it up and continue living. 
#crohns #crohnsproblems #anxiety #keepongoing</t>
  </si>
  <si>
    <t>crohnsproblems</t>
  </si>
  <si>
    <t>crohns</t>
  </si>
  <si>
    <t>pixel_rabbit</t>
  </si>
  <si>
    <t>1584374892425327140_2514155248</t>
  </si>
  <si>
    <t>keep working guy's! ! #keepongoing #art</t>
  </si>
  <si>
    <t>max_craciun</t>
  </si>
  <si>
    <t>1584376203280434918_354050020</t>
  </si>
  <si>
    <t>Let's discover Sevilla ! 🇪🇸 #us #happytobehere #funtimes #travel #keepongoing #adventuresofmariaymaximilian #enjoylife</t>
  </si>
  <si>
    <t>Seville, Spain</t>
  </si>
  <si>
    <t>happytobehere</t>
  </si>
  <si>
    <t>enjoylife</t>
  </si>
  <si>
    <t>adventuresofmariaymaximilian</t>
  </si>
  <si>
    <t>funtimes</t>
  </si>
  <si>
    <t>mayrahkee__</t>
  </si>
  <si>
    <t>1584376735795794737_3414460582</t>
  </si>
  <si>
    <t>I know you are exhausted. Drained mentally and emotionally but you have to keep on going. Life is tough but you are tougher! Don't be ashamed to share your story, it will inspire others. 
#aphase #comicfrom #Pinterest 
#encouraging #keepongoing</t>
  </si>
  <si>
    <t>aphase</t>
  </si>
  <si>
    <t>encouraging</t>
  </si>
  <si>
    <t>comicfrom</t>
  </si>
  <si>
    <t>pinterest</t>
  </si>
  <si>
    <t>adela_zumba</t>
  </si>
  <si>
    <t>1584382315327837557_1491956863</t>
  </si>
  <si>
    <t>#eat #drink #dontknowhowtotranslate #keepongoing  #croatiantragedies #defected #defectedcroatia2017</t>
  </si>
  <si>
    <t>The Garden Croatia</t>
  </si>
  <si>
    <t>defected</t>
  </si>
  <si>
    <t>eat</t>
  </si>
  <si>
    <t>defectedcroatia2017</t>
  </si>
  <si>
    <t>fitblissbyfarah</t>
  </si>
  <si>
    <t>1584390664761933814_1973664593</t>
  </si>
  <si>
    <t>It's messages like this that keeps me going &amp; want to go even harder knowing I am inspiring others especially on days like today I needed to read this! I truly appreciate my support system. Thanks for always rooting for me ❤️ #inspiration #kindwords #happyfriday #journey #keepongoing #lifestyle #encouragementoftheday #encouragement #supportsystem #shegetsme #encouragementwords #thestruggleisreal #weightloss #pcos #weightlossjourney</t>
  </si>
  <si>
    <t>shegetsme</t>
  </si>
  <si>
    <t>pcos</t>
  </si>
  <si>
    <t>encouragementoftheday</t>
  </si>
  <si>
    <t>kindwords</t>
  </si>
  <si>
    <t>iammrlookboy</t>
  </si>
  <si>
    <t>1584404141957125763_2224047307</t>
  </si>
  <si>
    <t>Forever is a long time but I wouldn't mind spending it by your side.
#doves
#iammrlookboy
#keepongoing</t>
  </si>
  <si>
    <t>doves</t>
  </si>
  <si>
    <t>1584432711719644273_5495249433</t>
  </si>
  <si>
    <t>✌✌</t>
  </si>
  <si>
    <t>1584443026613114096_4203348813</t>
  </si>
  <si>
    <t>🐶💕</t>
  </si>
  <si>
    <t>shijusilversteel</t>
  </si>
  <si>
    <t>1584459167577725645_5715259229</t>
  </si>
  <si>
    <t>Keep the ball rollin with persistence ladies and gents!!☄️☄️
Have a blessed weekend👋😁🌤🌈
#saturday #persistence #keepongoing #commitment #focus #striveforgreatness #neverstopexploring #neverstop #champion #believe #faith #hope #trust #love #passion #dreams</t>
  </si>
  <si>
    <t>tns2881</t>
  </si>
  <si>
    <t>1584473232143918669_374985340</t>
  </si>
  <si>
    <t>I could run this ridge everyday... It's hard, but so worth it!! #view #outdoors #breezy #2weeks #littlethings #keepongoing</t>
  </si>
  <si>
    <t>Historic Missionary Ridge - South Crest Drive</t>
  </si>
  <si>
    <t>2weeks</t>
  </si>
  <si>
    <t>breezy</t>
  </si>
  <si>
    <t>maia.madewithlove</t>
  </si>
  <si>
    <t>1584475036357936453_3128394079</t>
  </si>
  <si>
    <t>Tired but thankful! Enjoy what you do, give everything, no matter how hard or how many obstacles you find! Keep going!! Happy Friday ya'll!!! #thankful #greatful #tgif #thankyou #keepongoing #strength #believe #positive #smile #happy</t>
  </si>
  <si>
    <t>co_ree_nuh209</t>
  </si>
  <si>
    <t>1584475312099733915_37376267</t>
  </si>
  <si>
    <t>Doing it #fitbit #workingout #workinprogress #onestepatatime #gettinit #steps #keeponkeepingon #keepongoing #gottastartsomewhere</t>
  </si>
  <si>
    <t>steps</t>
  </si>
  <si>
    <t>iammarcossanchez</t>
  </si>
  <si>
    <t>1584484493899602004_3269476621</t>
  </si>
  <si>
    <t>Had a great workout today. Feels good to be getting it again 🍍#gym #workout #done #gymshark #motivation #keepongoing #keeppushing ##lifting #weightloss #weights #legday #armday #shoulder #dontgiveup #youcandoit</t>
  </si>
  <si>
    <t>shoulder</t>
  </si>
  <si>
    <t>sonofamudder</t>
  </si>
  <si>
    <t>1584492169435810887_1547188138</t>
  </si>
  <si>
    <t>Loaded n ready #tired #keepongoing #gym? #whatgym #loannunload #lovewhatudo #foraslongasIcan #myJeep #youttrailer #togetherforever @offroad_livin #decalon #jeepthenjeepnowjeepforever #jeeperforlife @sonofamudder #my🚀man</t>
  </si>
  <si>
    <t>my🚀man</t>
  </si>
  <si>
    <t>decalon</t>
  </si>
  <si>
    <t>jeepthenjeepnowjeepforever</t>
  </si>
  <si>
    <t>foraslongasican</t>
  </si>
  <si>
    <t>sergio_garciag_</t>
  </si>
  <si>
    <t>1584493617561361666_41663320</t>
  </si>
  <si>
    <t>#keepongoing #neverforget #sanfrancisco #itsfriday #spanishlostinsf #celebration #bubbles #sf #theriddler pic by @_epaleo_</t>
  </si>
  <si>
    <t>The Riddler</t>
  </si>
  <si>
    <t>spanishlostinsf</t>
  </si>
  <si>
    <t>neverforget</t>
  </si>
  <si>
    <t>celebration</t>
  </si>
  <si>
    <t>theriddler</t>
  </si>
  <si>
    <t>sf</t>
  </si>
  <si>
    <t>1584494602893688875_223403434</t>
  </si>
  <si>
    <t>#rip #allthepeople #humans #instafamous #shithappens #pray #picsoftheday #bestoftheday #sense #truestory #trustnoone #keepongoing #carryon #pain #instamood #instadaily #whereisgod #darkness #darksoul #darkside #instaphrase #phrasesoftheday #phrases #words #truth #goone #celebrate #everyday #heartgram</t>
  </si>
  <si>
    <t>phrases</t>
  </si>
  <si>
    <t>picsoftheday</t>
  </si>
  <si>
    <t>heartgram</t>
  </si>
  <si>
    <t>iampurepositiveenergy</t>
  </si>
  <si>
    <t>1584500872505993457_2911323665</t>
  </si>
  <si>
    <t>Baby Sea Turtle at Tortuguero National Park, Costa Rica
♥
Photography: Unknown
♥
#forwardisforward #keepongoing #keepgoing #staystrong #slowbutsteady #tortugero #tortugueronationalpark #seaturtleconservancy #turtles #babyseaturtle #costarica #quoteoftheday #quotestoliveby #travel #ilovetravel #ilovetraveling #instatravel #tourism #wanderlust #seetheworld #instagood #followme #photooftheday #picoftheday #love_yourself #like4like #follow4follow #follow #instalike #love @visit_costarica @proctorgallagher @thesecret365 @thegoodquote @oprah</t>
  </si>
  <si>
    <t>turtles</t>
  </si>
  <si>
    <t>1584501926710732548_5705167414</t>
  </si>
  <si>
    <t>Champ 🏆#Dubnation
-
-
-
-
-
-
-
-
-
-
-
-
-
-
-
-
-
-
-
-
-
-
-
-
-
-
-
-
-
-
-
-
-
-
-
-
-
-
-
-
 #StephGonnaSteph #Mvp #SC30 #KT11 #DG23 #CURRYMVP #KEEPONGOING #NEVERGIVEUP #WCF #WEST #WESTERNCONFERENCEFINALS #CHAMPS #DUBSFORCHAMPS #DUBS #ALWAYSBELIEVEINGOD #STEPHENCURRY #EVEN #NBA #2016CHAMPS #CHAMPIONS #LOCKIN #STEPH #SPLASH #SPLASHBROS  #like4like #like4follow #follow4follow</t>
  </si>
  <si>
    <t>soladekati</t>
  </si>
  <si>
    <t>1584504931696318091_1514123327</t>
  </si>
  <si>
    <t>#nf#nfn#potd#lotd#io#eu#moi#belleza#bella#bionda#rubia#lob#makeuplover#makeuplook#nyxcosmetics#drugstoremakeup#drugstorelook#modelsprefer#lipstick#rimmel#revlonph#wiw#beautyblogging#fashionblog#styleblogger#like#light#afternoon#luz#keepongoing</t>
  </si>
  <si>
    <t>lob</t>
  </si>
  <si>
    <t>afternoon</t>
  </si>
  <si>
    <t>light</t>
  </si>
  <si>
    <t>nfn</t>
  </si>
  <si>
    <t>1584510042739150743_5705167414</t>
  </si>
  <si>
    <t>Brotherhood #Dubnation
-
-
-
-
-
-
-
-
-
-
-
-
-
-
-
-
-
-
-
-
-
-
-
-
-
-
-
-
-
-
-
-
-
-
-
-
-
-
-
-
 #StephGonnaSteph #Mvp #SC30 #KT11 #DG23 #CURRYMVP #KEEPONGOING #NEVERGIVEUP #WCF #WEST #WESTERNCONFERENCEFINALS #CHAMPS #DUBSFORCHAMPS #DUBS #ALWAYSBELIEVEINGOD #STEPHENCURRY #EVEN #NBA #2016CHAMPS #CHAMPIONS #LOCKIN #STEPH #SPLASH #SPLASHBROS  #like4like #like4follow #follow4follow</t>
  </si>
  <si>
    <t>crazy_idiotz</t>
  </si>
  <si>
    <t>1584512586124897434_1714534718</t>
  </si>
  <si>
    <t>#torreto⚽🍁😎 #bondage #ryder #childhood #friendshipgoals #keepongoing #peace✌️ #ryd #end #black #thunder #natpu❤️ @arun_c00l</t>
  </si>
  <si>
    <t>end</t>
  </si>
  <si>
    <t>childhood</t>
  </si>
  <si>
    <t>torreto⚽🍁😎</t>
  </si>
  <si>
    <t>friendshipgoals</t>
  </si>
  <si>
    <t>sahot_2017</t>
  </si>
  <si>
    <t>1584517118513226546_2243274309</t>
  </si>
  <si>
    <t>Wise words #nevergiveup #keepongoing #workhard</t>
  </si>
  <si>
    <t>jaydenbrisebois</t>
  </si>
  <si>
    <t>1584517273140474183_55522250</t>
  </si>
  <si>
    <t>This is....
.
This not the best angle...
Or the best take....
Or the best song....
But THIS.... IS.... the best ME!
.
I wrote this song today when I was thinking about how I should view life. Kind of a really shit week and I'm not the most optimistic. But I like to challenge myself to try and find something to rejoice over. 
Today I was thankful that I can sit in my dingy basement, play my guitar and sing relentlessly until my heart can bear no more. 
That is worth more than gold!
That is why I have HOPE!
.
#hopelooksgoodonyou #hope #mysong #lyricsandmore #jaydenbrisebois #onlythebestdayever #basementsforever #guitar #acousticguitar #thisis #notenough #thereismore #holdon #neverletgo #keepongoing #clingtothelight</t>
  </si>
  <si>
    <t>Spruce Grove, Alberta</t>
  </si>
  <si>
    <t>mysong</t>
  </si>
  <si>
    <t>basementsforever</t>
  </si>
  <si>
    <t>onlythebestdayever</t>
  </si>
  <si>
    <t>1584517776685190173_462344435</t>
  </si>
  <si>
    <t>"Discipline is the bridge between goals and accomplishments."- Jim Rohn
.
.
.
#Bepositive #positivemindset #livelifetothefull #seethegood #seethegoodineverything #believeyoucan #befearless #keeponmoving #keeponlearning #keepondoing #keepongoing #keeponbelieving #believeinyou #goodhabits #achieve #achieveyourdreams #achieveyourgoals #believeinyourdream #believeinyourselfie #keepthefaith #neverstoplearning #positiveattitude #positivemindset  #positiveminds #trustandbelieve #trustyourgut #yesyoucan #neverstoptrying #neverstopdoing #youcandoit</t>
  </si>
  <si>
    <t>melublansky</t>
  </si>
  <si>
    <t>1584529626557758535_191537225</t>
  </si>
  <si>
    <t>Cheers to Fabulous Friday night!!! Thank you @nicolegundry for this tasty fav of ours!! We are enjoying a delish glass, some mamas and the papas on the turn table...All while we "party prep"...perfect! we will miss you guys tomorrow❤ Happy camping!!
.
.
.
#jlor #winetime #friyay #gifty #birthday #thankyou #partyprep #busyday #keepongoing #mamasandthepapas #californiadreaming</t>
  </si>
  <si>
    <t>busyday</t>
  </si>
  <si>
    <t>gifty</t>
  </si>
  <si>
    <t>partyprep</t>
  </si>
  <si>
    <t>winetime</t>
  </si>
  <si>
    <t>jlor</t>
  </si>
  <si>
    <t>antoniomac</t>
  </si>
  <si>
    <t>1584534617805097440_13952143</t>
  </si>
  <si>
    <t>Ain't nothin gonna break my stride, nobody's gonna slow me down. ➖➖➖➖➖➖➖➖➖➖➖➖➖➖➖➖ #realtalk #Love has a different meaning to everyone, but if you find it, treasure it, enjoy it and share it. #Amore #hey #nothinggonnabreakmystride #keepongoing #keeponmoving ❤️ #quote #rmdrake #life</t>
  </si>
  <si>
    <t>rmdrake</t>
  </si>
  <si>
    <t>kaigrent</t>
  </si>
  <si>
    <t>1584539208075610698_493372587</t>
  </si>
  <si>
    <t>Love. Hope. Faith. Its all i need to keep me going...
#love#hope#faith#keepongoing</t>
  </si>
  <si>
    <t>ariddick06</t>
  </si>
  <si>
    <t>1584555300370109914_1910775923</t>
  </si>
  <si>
    <t>🙌🏾Hallelujah..I feel alive!🙏🏽 Feeling Blessed: Cicely Tyson 
Keep on, keep the same of feeling 🎶#cicelytyson #feelingblessed #keepongoing #americanactress #rolemodel #prasise #loveandhappiness #hereiam</t>
  </si>
  <si>
    <t>prasise</t>
  </si>
  <si>
    <t>rolemodel</t>
  </si>
  <si>
    <t>feelingblessed</t>
  </si>
  <si>
    <t>cicelytyson</t>
  </si>
  <si>
    <t>americanactress</t>
  </si>
  <si>
    <t>xandrafis</t>
  </si>
  <si>
    <t>1584556858588020473_2536707158</t>
  </si>
  <si>
    <t>more eagles
#eagle #flying #illustration #illustrate #drawing #art #artsy #artist #penandpaper #pencil #creative #keepongoing #doodling #sketch #sketchbook
#artgram #lategram #instaart #sleepless #roadtrip #usa</t>
  </si>
  <si>
    <t>artgram</t>
  </si>
  <si>
    <t>lategram</t>
  </si>
  <si>
    <t>1584566191552994401_23925123</t>
  </si>
  <si>
    <t>一起運動吧👫
-
一早運動完好心情
也因為早上量體重好崩潰
只好更努力運動
-
消耗的熱量永遠趕不上吃進的熱量
➖➖➖➖➖➖➖➖➖➖➖
#台中 #朝馬國民運動中心 #運動女孩 #一起運動吧 #重量訓練 #有你真好 #健康生活 #taichung #healthylife #runninggirl #workout #fighting #keepongoing #gary123477 #shuyachan #like4like</t>
  </si>
  <si>
    <t>運動女孩</t>
  </si>
  <si>
    <t>gary123477</t>
  </si>
  <si>
    <t>有你真好</t>
  </si>
  <si>
    <t>重量訓練</t>
  </si>
  <si>
    <t>1584566600319712409_5509071474</t>
  </si>
  <si>
    <t>Went to a farm to pick up my Uncle and his Girlfriend's crop share. Didn't realize I would be going through the fields myself but it was so much fun even when it started raining! ☔️🍉🍈🍅🍆🥒🥕🌽🌶 #weightloss #weightlossblog #weightlossjourney #weightlossdiary #weightlossstory #weightlosssuccess #weightlossmotivation #weightlosscommunity #keepongoing #nevergiveup #yougotthis #weightloss</t>
  </si>
  <si>
    <t>weightlosssuccess</t>
  </si>
  <si>
    <t>1584567143557603584_5509071474</t>
  </si>
  <si>
    <t>So many veggies, herbs, and flowers. 
#weightloss #weightlossblog #weightlossjourney #weightlossdiary #weightlossstory #weightlosssuccess #weightlossmotivation #weightlosscommunity #keepongoing #nevergiveup #yougotthis</t>
  </si>
  <si>
    <t>1584568383981183667_5509071474</t>
  </si>
  <si>
    <t>Soaked to the bone after running around a farm. Note to self: wear boots and bring a jacket next time. 
#weightloss #weightlossblog #weightlossjourney #weightlossdiary #weightlossstory #weightlosssuccess #weightlossmotivation #weightlosscommunity #keepongoing #nevergiveup #yougotthis</t>
  </si>
  <si>
    <t>joebologna5</t>
  </si>
  <si>
    <t>1584576238085099334_1123967233</t>
  </si>
  <si>
    <t>#struggles #hopes #dreams #sucess #failure #trial #error #keepongoing #dontstop #dream #big #life #chill #blazed #escape #bikes #bikelife #bmxmuseum #gt #dyno #powerlite #auburn #robinson #bmx #freestyle #done</t>
  </si>
  <si>
    <t>hopes</t>
  </si>
  <si>
    <t>bmx</t>
  </si>
  <si>
    <t>trial</t>
  </si>
  <si>
    <t>dmorr32</t>
  </si>
  <si>
    <t>1584578234213614587_1662108064</t>
  </si>
  <si>
    <t>One last one. I remember when I couldn't do this rope and I was doing the smaller one and barley able to maintain it throughout #tabata 8 cycles. Now I am on the heavy one crushing it. Yes. Sweating 😅 but fighting through the pain for the motherfucking gains! 💪🔥
.
.
.
.
.
.
.
.
#tabataworkout #nevergoingback #weightlosstransformation #killitdaily #progressnotperfection #ilovemygym #heavyrope #ropeslams #sweat #sweatbabysweat #keeponkeepingon #give100 #nopainnogain #fightthroughthepain #keepongoing #crossfit #beastmode #putyourallintoit #fitness #yeg #yegfitness #sprucegrove #sprucegrovefitness #proud #doitforyou #doyou</t>
  </si>
  <si>
    <t>ilovemygym</t>
  </si>
  <si>
    <t>sprucegrove</t>
  </si>
  <si>
    <t>tabataworkout</t>
  </si>
  <si>
    <t>killitdaily</t>
  </si>
  <si>
    <t>ropeslams</t>
  </si>
  <si>
    <t>1584590324645364537_5705167414</t>
  </si>
  <si>
    <t>Mood 🎧 #Dubnation
-
-
-
-
-
-
-
-
-
-
-
-
-
-
-
-
-
-
-
-
-
-
-
-
-
-
-
-
-
-
-
-
-
-
-
-
-
-
-
-
 #StephGonnaSteph #Mvp #SC30 #KT11 #DG23 #CURRYMVP #KEEPONGOING #NEVERGIVEUP #WCF #WEST #WESTERNCONFERENCEFINALS #CHAMPS #DUBSFORCHAMPS #DUBS #ALWAYSBELIEVEINGOD #STEPHENCURRY #EVEN #NBA #2016CHAMPS #CHAMPIONS #LOCKIN #STEPH #SPLASH #SPLASHBROS  #like4like #like4follow #follow4follow</t>
  </si>
  <si>
    <t>1584597882907872055_15887082</t>
  </si>
  <si>
    <t>Tomorrow my sweet boyfriend is ready for IM Copenhagen, but it is also his birthday 🇩🇰🇩🇰 therefore if you are in Copenhagen, come sing a song 🎉 and make him cross the finishline in a hell of a time! 🏁@marianborsinski ❤️
#kmdironmancopenhagen2017 #ironman #upcoming #mulitisport #tri365 #lovemylife #fitness #ironmanbarcelona2017 #outofcomfortzone #trilabdk #triathlon #triatlete #invisibleguns #worldoffusion #IMHamburg #keepongoing #purepowerdk #smileplease #swimbikerun</t>
  </si>
  <si>
    <t>outofcomfortzone</t>
  </si>
  <si>
    <t>kate_fat4fuel</t>
  </si>
  <si>
    <t>1584599237801746664_47129828</t>
  </si>
  <si>
    <t>Finally over the one meal a day experiment. And the result? I'm back to where I started 10 days ago 😡 I'm guess I'm going to accept that I'm at a stall.? Or maybe I'm going to attempt another egg fast. For now I just want to enjoy my #bulletproofcoffee and keep on eating #keto #notgivingup #ketofood #ketodiet #lchf #lchfdanmark #lchfdenmark #lchfdiet #fat4fuel #weightloss #weightlossstruggle #kate_fat4fuel  #keepongoing #happysaturday 😊</t>
  </si>
  <si>
    <t>Sindal</t>
  </si>
  <si>
    <t>ketofood</t>
  </si>
  <si>
    <t>happysaturday</t>
  </si>
  <si>
    <t>fat4fuel</t>
  </si>
  <si>
    <t>lchfdiet</t>
  </si>
  <si>
    <t>1584616324347337932_279512262</t>
  </si>
  <si>
    <t>Первым же делом отправилась гладить оленя.
шокирую людей в магазинах тем, что плачу часами😂
.
#vscogood #livethedream #smolensk #picoftheday #keepcalm #keepongoing #livy #lifeex #livefolk #livelife #livestory #livealittle #livealittle #livethelittlethings #daily #abmlife #abmhappylife #alohagaia #citylife #madrussians #москвичивсмоленске #утро</t>
  </si>
  <si>
    <t>Сад Блонье</t>
  </si>
  <si>
    <t>paixaoporthiago</t>
  </si>
  <si>
    <t>1584633842992217675_1772072671</t>
  </si>
  <si>
    <t>#Repost @thiagofragoso (@get_repost)
・・・
Não falei que era fácil?
@amanda.psouza Arrasou e acertou rapidinho. 😎
#timethiagofragoso #rocks
#palcopopstar 
#popstar 
#keepongoing 
#nobodysaiditwaseasy
Foto: @studiofaya 
Make: @rafaelnsar 
Style: @marcellaboselli 
Acessórios: @vanusapiovesan @legepbrasil 
@namesagenciamento</t>
  </si>
  <si>
    <t>1584640384436615312_3275305</t>
  </si>
  <si>
    <t>Trust before you love. 
Know before you judge.
Commit before you promise.
Appreciate before you regret :)</t>
  </si>
  <si>
    <t>all_shots</t>
  </si>
  <si>
    <t>iphoneonly</t>
  </si>
  <si>
    <t>liquidmakeup_usa</t>
  </si>
  <si>
    <t>1584642362487260863_4757720145</t>
  </si>
  <si>
    <t>Keep on Keeping On! #nevergiveup #neverquit #keepongoing #keepmovingforward #noturningbacknow #workforit #strive #youcandoit #mindset entrepreneurs</t>
  </si>
  <si>
    <t>noturningbacknow</t>
  </si>
  <si>
    <t>keepmovingforward</t>
  </si>
  <si>
    <t>howtodevelopmyself</t>
  </si>
  <si>
    <t>1584646308085679787_5445075975</t>
  </si>
  <si>
    <t>I love my new workp desktop 😍
It's tidy and all my beloved art/working tools are within reach.
Yesterday I had a little lack of motivation and inspiration but after a workout at the gym with my boyfriend I felt much better and full of energy again 💪😊 Reading a few pages in #grilboss helps me too 💙
I loe the book and its energy!
What helps you to become motivated if you lost your thread? Please share your experiences with me!🙏❤ #keepgrowing #workplace #motivation #afterworkout #loveit #art #bright #camera #awesome #tools #inspiration #success #keepongoing #mindset #instagood #motivation #thread #energy #feelings #htcu11 #pro #amazing #feelit #boyfriend #relationshipgoals #work #staytuned #goals</t>
  </si>
  <si>
    <t>keepgrowing</t>
  </si>
  <si>
    <t>bright</t>
  </si>
  <si>
    <t>loh_zxing</t>
  </si>
  <si>
    <t>1584648138487446904_2880522422</t>
  </si>
  <si>
    <t>Another win of the year! Promised myself to do something great and here it comes. First place in Jogathon 😝. Everything happenes for a reason and those hardship that ever happened leads me here today as the first person to cross the finishing line.
~ If you can see it in your mind, you can hold it in your hands. ~
~ Don't stop until the target reached. ~
.
.
.
By @wanto.n.udooo " He read quotes to boost him up. The determination of who he want to win for is the reason he won. "
#jogathon #forthewin #first #19/8/17 #run #thankful #hardworkdoespayoff #keepongoing #keeponrunning</t>
  </si>
  <si>
    <t>hardworkdoespayoff</t>
  </si>
  <si>
    <t>forthewin</t>
  </si>
  <si>
    <t>heather_lyndsay</t>
  </si>
  <si>
    <t>1584653588063612716_1575354678</t>
  </si>
  <si>
    <t>When one door closes, another one opens.  Just grab some nails and a hammer and make sure it stays shut! This is the part where I find out who I am. #newbeginningsahead #dontlookback #ifyourgoingthroughhell #keepongoing</t>
  </si>
  <si>
    <t>ifyourgoingthroughhell</t>
  </si>
  <si>
    <t>newbeginningsahead</t>
  </si>
  <si>
    <t>1584672603116569877_5360973505</t>
  </si>
  <si>
    <t>Erm so yest i did sp day 😀...but had over 30 syns 😯...back on plan today 😁 #slimmingworldjourney #slimmingmum #swblogger #emoji #keepongoing #motivationneeded #swfriends #swgroup #stayonplan #stayfocused #eatinghealthy #syns</t>
  </si>
  <si>
    <t>emoji</t>
  </si>
  <si>
    <t>syns</t>
  </si>
  <si>
    <t>swfriends</t>
  </si>
  <si>
    <t>eatinghealthy</t>
  </si>
  <si>
    <t>1584676989747276354_297558307</t>
  </si>
  <si>
    <t>GM😁🌅Warriors🏹! Happy saturday Y'ALL! #saturday #saturdayvibes #fitmom #fitmama #fitgirl #fitness #fitnessaddict #runner #gim #gimnasio #gym #gymgirl #gymlife #gymaddict #gymaholic #kikasporty #keeptrying #keepmoving #keepstrong #keepongoing #mypassion #myanchor #myhappyplace</t>
  </si>
  <si>
    <t>1584681567887623532_257202554</t>
  </si>
  <si>
    <t>#besafe #farmer #farmlife #serious #funnymoments #idontcare #enjoylife #keepongoing</t>
  </si>
  <si>
    <t>funnymoments</t>
  </si>
  <si>
    <t>farmer</t>
  </si>
  <si>
    <t>lienda_damore</t>
  </si>
  <si>
    <t>1584689939743712242_773558810</t>
  </si>
  <si>
    <t>A strong woman builds her own world. She is one who is wise enough to know that it will attract the man she will gladly share it with. No one knows what you have been through or what your pretty little eyes have seen, but I can reassure you ~ whatever you have conquered, it shines through your mind.
#gemini #lifequotes #bestrong #journey 
#mylife #itsnoteasy #iwillwinthis #geminiseason♊️ #geminibaby #keepongoing #fighter</t>
  </si>
  <si>
    <t>geminiseason♊️</t>
  </si>
  <si>
    <t>iwillwinthis</t>
  </si>
  <si>
    <t>gemini</t>
  </si>
  <si>
    <t>geminibaby</t>
  </si>
  <si>
    <t>missgardenia7</t>
  </si>
  <si>
    <t>1584695356502743076_517134973</t>
  </si>
  <si>
    <t>"It is during our darkest moments we must focus to see the light"
✨_________________________________
10 km morgonlöpning.(efter ännu en migrändag 😫) Gick inte fort och jag är fortfarande öm lite här och där efter det tunga gympasset i förrgår. 😜 Och en liten enveten huvudvärk dröjer sig kvar... 😳
I natt har det regnat 17 mm, skönt! Det behövdes verkligen!😊
Ironman i Kalmar idag. Lycka till alla som tävlar!💪😀
Hoppas alla får en fin dag! Have a nice day everyone! ☀ ❤ 
#löpning #jagspringer #löpare #10km #runner #running #irun #needtorun #lovetorun #hälsa #yogafirst #lookforthelight  #yogaeveryday #älskalöpning #instarun #tränat #morgonrunda  #keepongoing #nevergiveup</t>
  </si>
  <si>
    <t>yogaeveryday</t>
  </si>
  <si>
    <t>needtorun</t>
  </si>
  <si>
    <t>jagspringer</t>
  </si>
  <si>
    <t>morgonrunda</t>
  </si>
  <si>
    <t>cruzdeloriente</t>
  </si>
  <si>
    <t>1584699003835496068_3637638762</t>
  </si>
  <si>
    <t>💚 On my #way 👣
#out #outandabout #walk #keepongoing #walking #outdoors #freshair #summer #onmyway #philcollins #environment #bokeh #bokehkillers #getoutside #climatechangeisreal #asturias #spain #llanes #posada #landscape #view #countrylife #nofilter #enjoyinglife #disfrutandodelavida</t>
  </si>
  <si>
    <t>posada</t>
  </si>
  <si>
    <t>bokeh</t>
  </si>
  <si>
    <t>enjoyinglife</t>
  </si>
  <si>
    <t>alecrippi</t>
  </si>
  <si>
    <t>1584719835535653675_1427502857</t>
  </si>
  <si>
    <t>Becca d'Aran - 2950m #difficultEE #besties #trip #onthetop #mountain #excursion #keepongoing #uwillloveit #aostavalley #valtournenche #beautifuldestinations #trekking #satisfaction #beccadaran #over2000</t>
  </si>
  <si>
    <t>Aosta Valley</t>
  </si>
  <si>
    <t>besties</t>
  </si>
  <si>
    <t>aostavalley</t>
  </si>
  <si>
    <t>over2000</t>
  </si>
  <si>
    <t>1584725794927614721_3623406174</t>
  </si>
  <si>
    <t>@lilyrose enjoying an indoor swim on a foggy morning in Hafling, Northern Italy.
Photo by @kitkat_ch
.
.
.
.
.
.
.
.
#travelvlog #sunset_rv #paradises #adventurepic #biketravel #leaveyourmark #landscape #keepongoing #moodygrams #lifeislife #mountaingirls #mindthemountain #safetravels #wanderout #travelgear #travellernottourist #travelstory #cocoatravelersintl #magicpict #travelnow #eclectic_shotz #cloudporn #travellifestyle #earthdiscoveries #earthofficial</t>
  </si>
  <si>
    <t>moodygrams</t>
  </si>
  <si>
    <t>adventurepic</t>
  </si>
  <si>
    <t>earthofficial</t>
  </si>
  <si>
    <t>paradises</t>
  </si>
  <si>
    <t>leaveyourmark</t>
  </si>
  <si>
    <t>1d_family6</t>
  </si>
  <si>
    <t>1584727685308740211_5667993184</t>
  </si>
  <si>
    <t>Update: louis vis insta  تحديث : لويس عبر الانستجرام #louistomlinson #updates #keepongoing</t>
  </si>
  <si>
    <t>louistomlinson</t>
  </si>
  <si>
    <t>updates</t>
  </si>
  <si>
    <t>dyhotels</t>
  </si>
  <si>
    <t>1584734280733657210_4933175392</t>
  </si>
  <si>
    <t>#dynamichotels #dj #rooftop esta tarde nuevamente #dluiset #cocktails #seaview #keepongoing</t>
  </si>
  <si>
    <t>Dynamic Hotels</t>
  </si>
  <si>
    <t>dj</t>
  </si>
  <si>
    <t>seaview</t>
  </si>
  <si>
    <t>rooftop</t>
  </si>
  <si>
    <t>dynamichotels</t>
  </si>
  <si>
    <t>1584739051948145735_5495249433</t>
  </si>
  <si>
    <t>Tonight's dinner 👌</t>
  </si>
  <si>
    <t>born2transform</t>
  </si>
  <si>
    <t>newme</t>
  </si>
  <si>
    <t>1584739236263129325_40619315</t>
  </si>
  <si>
    <t>Boar, also nach ein paar Tagen Pause so fertig 😰 zum Glück beim Laufen nicht so die Schmerzen wie im Liegen oder Sitzen... also Bewegung ist da allemal besser 😉 #keepongoing #nevergiveup
.
.
.
#natur #naturliebe #laufen #laufenmachtglücklich #happiness #germering #abnehmen2017 #weightlossjourney #running #runninggirl #laufenfürdieseele #sommerabend #fitfam #runtastic #runtasticpro #runtasticgirl #fürmehrrealitätaufinstagram #motivation</t>
  </si>
  <si>
    <t>1584742714237345414_4148804549</t>
  </si>
  <si>
    <t>Saterdaymorning workout✔🙆‍♀️ with gymbuddie @pernillavantwist  #strikeapose #workout💪 #workinprogress #teamriseandshine #keepongoing #nike #girlscanlifttoo😄</t>
  </si>
  <si>
    <t>girlscanlifttoo😄</t>
  </si>
  <si>
    <t>workout💪</t>
  </si>
  <si>
    <t>teamriseandshine</t>
  </si>
  <si>
    <t>anuschkab76</t>
  </si>
  <si>
    <t>1584744672851881050_2282825293</t>
  </si>
  <si>
    <t>Saturday morning workout #burningleggs #burningabbs #burningbum #bodyshape #thegymisstillnotmybff #keepongoing 💪🏽#gettingbackinshape</t>
  </si>
  <si>
    <t>burningbum</t>
  </si>
  <si>
    <t>burningleggs</t>
  </si>
  <si>
    <t>bodyshape</t>
  </si>
  <si>
    <t>burningabbs</t>
  </si>
  <si>
    <t>kim5five</t>
  </si>
  <si>
    <t>1584753667613756012_11711784</t>
  </si>
  <si>
    <t>Damm you holiday😜
#diettomorrow #kilos #wellworthit #keepongoing</t>
  </si>
  <si>
    <t>wellworthit</t>
  </si>
  <si>
    <t>kilos</t>
  </si>
  <si>
    <t>diettomorrow</t>
  </si>
  <si>
    <t>therealtinaboi_</t>
  </si>
  <si>
    <t>1584755868263364843_3067892556</t>
  </si>
  <si>
    <t>You can do better, never settle #positivevibes #keepongoing</t>
  </si>
  <si>
    <t>magdebowska</t>
  </si>
  <si>
    <t>1584757481863401421_191386200</t>
  </si>
  <si>
    <t>And remember! ❤️👸 #quoteoftheday #chanel #cocochanel #keepongoing #saturday</t>
  </si>
  <si>
    <t>chanel</t>
  </si>
  <si>
    <t>cocochanel</t>
  </si>
  <si>
    <t>alexsharmila</t>
  </si>
  <si>
    <t>1584757845627049987_5658388725</t>
  </si>
  <si>
    <t>schöns weekend allne!
#weekend #wetzikon #work #chilbi #bar #money #selfie #brunette #brownie #browneyes #brownhair #prayfortheworld #barcelona ✌🏻#peace #fuckterrorism #sad #angry #keepongoing #soon #mexico #hometown #missyou</t>
  </si>
  <si>
    <t>prayfortheworld</t>
  </si>
  <si>
    <t>mexico</t>
  </si>
  <si>
    <t>angry</t>
  </si>
  <si>
    <t>hometown</t>
  </si>
  <si>
    <t>1584758114053002812_34736681</t>
  </si>
  <si>
    <t>The purpose of our lives is to be happy. A simple yet relaxing weekend. 😃
.
.
.
#life #weekend #imnotthatshort #green #lifegoals #lifestyle #like4like #follow #followme #picoftheday #igers #swag #memyselfandi #principles #instamood #instalife #instalike #followme #greenery #lifeisbeautiful #keepongoing #liveyourlife #nodrama #peacefullife #happy #happiness</t>
  </si>
  <si>
    <t>imnotthatshort</t>
  </si>
  <si>
    <t>greenery</t>
  </si>
  <si>
    <t>1584764293404719449_5586814877</t>
  </si>
  <si>
    <t>Weekends are made for... cooked brunches! 😍 2 syns for a slice of Malcolm Allan healthier option lorne 👌🏻 #saturday #brunch #yum #fooddiary #slimmingworld #sw #slimmingworldfood #slimmingworldjourney #health #happiness #selfimprovement #bethebestyou #keepongoing #nomorestartingover</t>
  </si>
  <si>
    <t>1584766444820811895_5567977792</t>
  </si>
  <si>
    <t>La maison des sportifs 💪#gymmotivation #aftergym #healthylifestyle #keepongoing</t>
  </si>
  <si>
    <t>aftergym</t>
  </si>
  <si>
    <t>1584770793417858485_1496451778</t>
  </si>
  <si>
    <t>Asco de vida... #newbeginnings #cousins #madrid #keepongoing #lavidaesparavivirla</t>
  </si>
  <si>
    <t>Community of Madrid</t>
  </si>
  <si>
    <t>cousins</t>
  </si>
  <si>
    <t>mum2nevilles</t>
  </si>
  <si>
    <t>1584775465695016185_3626233162</t>
  </si>
  <si>
    <t>That time I attempted a little hand lettering ,😂😬 .
.
#newbie#handlettering#coffee#coffeeislife#youwithme#practice#firstattempt#keepatit#creatingismypassion#coffee#busymama#keepongoing
@unumdesign #unum</t>
  </si>
  <si>
    <t>firstattempt</t>
  </si>
  <si>
    <t>keepatit</t>
  </si>
  <si>
    <t>unum</t>
  </si>
  <si>
    <t>youwithme</t>
  </si>
  <si>
    <t>coffee</t>
  </si>
  <si>
    <t>dressageteamkk</t>
  </si>
  <si>
    <t>1584776806169577291_4700019198</t>
  </si>
  <si>
    <t>Bei uns ist jetzt erstmal Turnierpause angesagt 🙋🏼 wir haben dieses Jahr versucht ein paar Eindrücke in der S zu bekommen (im Training lief alles besser, was wir am Turnier leider nicht abrufen konnten - aber Fehler sind da um sie in den Griff zu bekommen ☺️🍀) und werden uns jetzt dann mal in eine intensive Trainingspause über den Winter begeben um alles zu festigen und dann nächstes Jahr in hoffentlich guter Form wieder einzusteigen ❤️🐴🇦🇹 ich bin trotzdem mehr als stolz auf Capri, da sie in der M wirklich schon sicher wird und auch im Training super mitarbeitet ☺️ #horse#compete#face#prettyandthebeast#loveu#oldenburger#hannoverian#bay#brown#mare#awesome#austria#weekendvibes#grateful#goodtimes#gladtohaveyou#equestrian#equestrianlife#keepongoing#liveforit#capri#capriosa#motivateyourself</t>
  </si>
  <si>
    <t>bay</t>
  </si>
  <si>
    <t>liveforit</t>
  </si>
  <si>
    <t>horse</t>
  </si>
  <si>
    <t>capri</t>
  </si>
  <si>
    <t>mare</t>
  </si>
  <si>
    <t>1584778210657185345_1539519457</t>
  </si>
  <si>
    <t>Look what they're done to my song ma 🎵🎶🎼🎤#borderlinepersonalitydisorder #multiplepersonalitydisorder #anxiety #dayslikethis #depression #keepongoing</t>
  </si>
  <si>
    <t>dayslikethis</t>
  </si>
  <si>
    <t>1584780518002557733_1539519457</t>
  </si>
  <si>
    <t>#pensativa #smoke #think #borderlinepersonalitydisorder #multiplepersonalitydisorder #depression #keepongoing  take me outside seat in the green Graden 🎵</t>
  </si>
  <si>
    <t>think</t>
  </si>
  <si>
    <t>friseurbachmann_</t>
  </si>
  <si>
    <t>1584781859785707602_1967890624</t>
  </si>
  <si>
    <t>5 years of A&amp;J ! 
Heute vor genau 5 Jahren hat unsere Ausbildung in einer der besten Friseurakademien Europas begonnen! Die letzten 5 Jahre bestanden aus harter Arbeit, ohne welcher wir jetzt nicht da wären, wo wir jetzt sind und darauf sind wir stolz ! #ifyoustoplearningyoustartdying #keepongoing
DANKE Newsha für die jahrelange Zusammenarbeit! Da Newsha und A&amp;J einfach die perfekte Kombination ist und uns unterstützt unsere Arbeit außergewöhnlich zu machen! 
DANKE auch an unseren Farbexperten Martin Fuchs, der uns immer unterstützt und uns zu Farbspezialisten ausgebildet hat. 
Wir DANKEN auch unseren lieben Kunden für jahrelange Treue! "It is our job to be different than the others" 
CHEERS !! DANKE an alle Mitwirkenden für das geniale Shooting ! 
DANKE @christ_lukas für die tollen T-Shirts ! 
DANKE @redbullaustria für die Getränke und die zusätzliche Energie ! 
HAIR: A&amp;J @anna_bachmann @juliabachmann_ 
Photography: @christ_lukas und @leni_ortner 
Model: @vicki_schwarz  @anna_bachmann @juliabachmann_ 
@newshahaircare @martin_fuchs_  #5years#anniversary#hairdresser#hairlover#hairstyle#lifestyle#youonlyliveonce#bedifferent##enjoylife#collectmomentsnotthings#friseurbachmann#nature#photography#photooftheday#celebratelife#colorful#holi#hairblogger#travel #travelphotography#inspire#austria#austriangirls#newsha#newshalover#tagsforlikes#followme</t>
  </si>
  <si>
    <t>Friseur Bachmann</t>
  </si>
  <si>
    <t>newsha</t>
  </si>
  <si>
    <t>ifyoustoplearningyoustartdying</t>
  </si>
  <si>
    <t>bedifferent</t>
  </si>
  <si>
    <t>lorenzovalceschini</t>
  </si>
  <si>
    <t>1584787167761268015_377301295</t>
  </si>
  <si>
    <t>Afterhours #ibiza#isla#saturday#summer#dc10#keepongoing</t>
  </si>
  <si>
    <t>Ibiza</t>
  </si>
  <si>
    <t>isla</t>
  </si>
  <si>
    <t>ibiza</t>
  </si>
  <si>
    <t>dc10</t>
  </si>
  <si>
    <t>zamiruddin_al_ayyubi</t>
  </si>
  <si>
    <t>1584794699431811288_36022128</t>
  </si>
  <si>
    <t>Walk the talk.
.
Despite busy day today. Manage to squeeze time for a ootd and hangout.
.
📷: @saarrah__mustafa
.
#kualalumpur #fashionweek #feefeling #rest #2017 #ootd #potd #pavilion #hnm #streetphotography #walkingday #gegeh #sematagambar #shoppingisamust #bilabolehpakaisizem? #firsttimewearingskinny #keepongoing #needtosizedown</t>
  </si>
  <si>
    <t>Pavilion KL</t>
  </si>
  <si>
    <t>hnm</t>
  </si>
  <si>
    <t>pavilion</t>
  </si>
  <si>
    <t>emxsalcedo</t>
  </si>
  <si>
    <t>1584795535558468914_648299842</t>
  </si>
  <si>
    <t>📌
➖➖➖➖➖➖➖➖➖➖➖➖➖➖➖➖➖➖➖➖➖➖➖➖➖➖➖➖➖➖➖➖➖➖
.
.
.
#praywaittrust #hustle #hustleharder #keepyourfeetontheground #keepthefaith #keepinstagramchronological #qotd #potd #keepthatinmind #yougotthis #keepbelieving #keepongoing #keepmoving</t>
  </si>
  <si>
    <t>keepthatinmind</t>
  </si>
  <si>
    <t>praywaittrust</t>
  </si>
  <si>
    <t>keepyourfeetontheground</t>
  </si>
  <si>
    <t>shollypee123</t>
  </si>
  <si>
    <t>1584795784170694585_1187616378</t>
  </si>
  <si>
    <t>It's ok if you fall down and loose your spark. Just make sure when you get back up, you rise as the whole damn fire 🔥 #fireup #keepongoing #closing2017withabang #happylife #wellness #GBL17 #lagosmum #fitmamma #fitgoal</t>
  </si>
  <si>
    <t>closing2017withabang</t>
  </si>
  <si>
    <t>fireup</t>
  </si>
  <si>
    <t>fitmamma</t>
  </si>
  <si>
    <t>juliabachmann_</t>
  </si>
  <si>
    <t>1584797949346197149_203366243</t>
  </si>
  <si>
    <t>5 years of A&amp;J ! Let's celebrate ⚡️⚡️ check it out @friseurbachmann_ #keepongoing#hardworkpaysoff#celebrating#followyourdreams #hairdresser#goals#magic#hairlover#bedifferent#sparkle#style#fun#fashion#girls#memories#collectmomentsnotthings#enjoylife#travel#traveling#blogger#lifestyle#unique#blondies#holi#summer#vibes#friseurbachmann#photography#tagsforlikes#followme</t>
  </si>
  <si>
    <t>memories</t>
  </si>
  <si>
    <t>unique</t>
  </si>
  <si>
    <t>1584798128006135059_1584949428</t>
  </si>
  <si>
    <t>Скоро ... )) #ревизорромосква #ревизорромитрофанова #powerofnow #keepongoing #</t>
  </si>
  <si>
    <t>ревизорромосква</t>
  </si>
  <si>
    <t>ревизорромитрофанова</t>
  </si>
  <si>
    <t>1584800339813855981_5620542121</t>
  </si>
  <si>
    <t>Arms done for today, now lunch and relax 😎💪 👕Kooperationspartner ⤵
@loyalfitness  Joro10 - 10% sparen
#loyalfitness #gym #gymder #armworkout #biceps #triceps #workonit #trytogetbig #training #stayhungry #stayfocused #dreambig #focusonyourgoals #olimp #keepongoing #neverquit #nopainnogain #gymlove #hashtag #lovewhatudo #gymaddict #fit #fitfam</t>
  </si>
  <si>
    <t>triceps</t>
  </si>
  <si>
    <t>1584800721085489289_429036895</t>
  </si>
  <si>
    <t>I had a little doubt of posting this picture.... just because I have a little belly and I got an ugly face... but pulling an ugly face means you give the weights al you got! 💪
SO why not... This is my favorite exercise and I love lifting weights.. Doing what I love the most gives me a lot of energy and joy!! I Getting stronger en my confidence starts growing, be proud of your achievements and focus on your goals!! 😊
ENJOY YOUR WEEKEND!! ❤
#daretoshare #bodylove #selflove #foodlover  #fitnessjourney #progress #fitness #fitdutchie #weightlifting #girlwholifts #fitfam #curves #legday #bodyandmind #gymlife #recovering #bootygrow #dedication #hardwork #keepongoing #strenght #grow #bootygrow #girlonamission #effort #girlpower #enjoying #lifestyle #deadlifting #workout #workhard</t>
  </si>
  <si>
    <t>recovering</t>
  </si>
  <si>
    <t>bootygrow</t>
  </si>
  <si>
    <t>missdluxe</t>
  </si>
  <si>
    <t>1584802492565204554_454096253</t>
  </si>
  <si>
    <t>((((Vibrate Higher)))) .
.
.
.
#keepongoing 
#keeponmoving
#keepsmiling</t>
  </si>
  <si>
    <t>sabrina_kacheroff</t>
  </si>
  <si>
    <t>1584805174068616163_508974473</t>
  </si>
  <si>
    <t>No dejemos que el #miedo ni el #odio nos robe la sonrisa.
Sigamos generando #amor #paz #tolerancia y #comprensión 
Sigamos viviendo con un espíritu limpio y libre 🙏🏻 Sigamos haciendo el BIEN🙏🏻 No nos vencerán 🙏🏻
************************
#love #peace #tolerance #respect #keepongoing #carpediem #smile #namaste #catalunya #barcelona #totssombarcelona #noterrorism #bastaya #enjoy #life #friends 🙏🏻</t>
  </si>
  <si>
    <t>Collserola</t>
  </si>
  <si>
    <t>odio</t>
  </si>
  <si>
    <t>totssombarcelona</t>
  </si>
  <si>
    <t>paz</t>
  </si>
  <si>
    <t>noterrorism</t>
  </si>
  <si>
    <t>1584810463127112005_1972606430</t>
  </si>
  <si>
    <t>Expert Secrets by Russell Brunson📖 || #prestoknowsbest
-
-
#liveandlearn #dontsettle #mindsetshift #dropout #content #quotesoflife #fireyourboss #empowernetwork #onlinesuccess #personalgrowth #motivateyourself #betteryourself #keepongoing #mindsetiseverything #inspiredaily #valueyourself #valuelife #entrepreneurmind #newmindset #goalachiever</t>
  </si>
  <si>
    <t>1584821805305916048_5495249433</t>
  </si>
  <si>
    <t>Best project 🙏🙏 keep working on yourself each and every day</t>
  </si>
  <si>
    <t>findingmeagain</t>
  </si>
  <si>
    <t>chongok_sue</t>
  </si>
  <si>
    <t>1584824296379699511_1703833368</t>
  </si>
  <si>
    <t>クローゼットを掃除してたら、懐かしい学生時代の課題とか子供の頃の絵が出てきた。
artistになりたい。って漠然と、でも実は結構強い気持ちで思ってきたけど、私の人生、なんだかんだ“artist”やってきたんだなぁって、しみじみ感じる。何者かになるんじゃなくて、ただ続ければ良いんだなっ！
最後の一枚は小5の時に「春」をイメージして描いたすごく思い入れのある絵。
#art #drawing #throwback #artistway #keepongoing</t>
  </si>
  <si>
    <t>artistway</t>
  </si>
  <si>
    <t>cookelaura88</t>
  </si>
  <si>
    <t>1584825260599706460_2133525946</t>
  </si>
  <si>
    <t>#bossbabe #girlboss #keepongoing</t>
  </si>
  <si>
    <t>girlboss</t>
  </si>
  <si>
    <t>andrianaxan</t>
  </si>
  <si>
    <t>1584831761752423406_271845565</t>
  </si>
  <si>
    <t>When you see a beautiful flower, you look at it, noticing all its beauty, well each and every flower must grow through dirt to blossom 🙌🏼🌸 Thanking you @beandbloomnz for sparking this beautiful light ✨💫💖#growthroughit #riseabove #noticethesigns #perseverance #keepongoing #nevergiveup #goodvibes #strengthtoshine #beautifulmessages</t>
  </si>
  <si>
    <t>beautifulmessages</t>
  </si>
  <si>
    <t>growthroughit</t>
  </si>
  <si>
    <t>noticethesigns</t>
  </si>
  <si>
    <t>_shortie_85</t>
  </si>
  <si>
    <t>1584833315129601026_3253686816</t>
  </si>
  <si>
    <t>Motivation at its finest @badasscassfit_ #motivation #fitness #workouts #sexy #toned #booty #goals #dontgiveup #keepongoing #workhard #nopainnogain #howgooddoesshelookdoe</t>
  </si>
  <si>
    <t>howgooddoesshelookdoe</t>
  </si>
  <si>
    <t>cyhairsolution</t>
  </si>
  <si>
    <t>1584837066457621193_1635406027</t>
  </si>
  <si>
    <t>Anyone interested in Microblading ?
 Follow
🔥 👉 @cyhairsolutions 👈 🔥
#beautiful #fashion #instagramers #girly #followme #comment #lifestyle #joyful #happy #keeponsmiling #keepongoing #summertimeshine</t>
  </si>
  <si>
    <t>M25 motorway</t>
  </si>
  <si>
    <t>girly</t>
  </si>
  <si>
    <t>comment</t>
  </si>
  <si>
    <t>andra.olivia.mihai</t>
  </si>
  <si>
    <t>1584838123219707379_4212649031</t>
  </si>
  <si>
    <t>Working on it💫
#work #dontgiveup #keepongoing #ontothenextone</t>
  </si>
  <si>
    <t>ontothenextone</t>
  </si>
  <si>
    <t>1584839460456215798_1822236485</t>
  </si>
  <si>
    <t>Tag friends that would want to stay here. Follow @adventurouskiwi for more.
Photo by unknown
.
.
.
.
.
.
.
.
#beachbod #lifeissweet #travelmagazine #creativeentrepreneur #biketravel #keepongoing #majestic_earth #vacaymode #beauthentic #lifeisnow #meditatedaily #animals #discoverearth #slowtravel #landscape #spiritualawakening #keepgrowing #travelon #mountaingirls #yogaposes #lifehappens #travelhappy #travellernottourist #beaching #vacationland</t>
  </si>
  <si>
    <t>discoverearth</t>
  </si>
  <si>
    <t>majestic_earth</t>
  </si>
  <si>
    <t>vacationland</t>
  </si>
  <si>
    <t>smartash19</t>
  </si>
  <si>
    <t>1584839994508820007_5539214279</t>
  </si>
  <si>
    <t>Wonderment, amazement, confusion, anger....a whole range of emotions are running rampant in my life at the moment....but at least I have a few lovely souls here to hold me steady when I start to feel like everything is irrelevant. #keepongoing #lifeisworthit #keepmyheadup #keeppushing #gainesvillefl #pristine #churches #theview #beautiful #dress #boots #edgypixiecut #violethair #modeling #photography #theangletho #lesbian #instafamous</t>
  </si>
  <si>
    <t>pristine</t>
  </si>
  <si>
    <t>instafamous</t>
  </si>
  <si>
    <t>gainesvillefl</t>
  </si>
  <si>
    <t>lesbian</t>
  </si>
  <si>
    <t>tibs_gymaddict</t>
  </si>
  <si>
    <t>1584843199132972978_3204238698</t>
  </si>
  <si>
    <t>When you are in rush and you don't have time to cook but you need your macros #healthyfood #healthylife #motivation #eatinghealthy #macros #fish #realfood #nomatterwhat #noexcuses #keepongoing #diet #vitamins</t>
  </si>
  <si>
    <t>realfood</t>
  </si>
  <si>
    <t>clintonzy</t>
  </si>
  <si>
    <t>1584843213025584127_221257138</t>
  </si>
  <si>
    <t>Enlightenment.
#kodak400 #film #shootfilm #tokyo #japan #nofilter #keepongoing</t>
  </si>
  <si>
    <t>kodak400</t>
  </si>
  <si>
    <t>japan</t>
  </si>
  <si>
    <t>shootfilm</t>
  </si>
  <si>
    <t>johnnylujan_11</t>
  </si>
  <si>
    <t>1584844023994835389_403681034</t>
  </si>
  <si>
    <t>Don't let failure stop you from achieving your dreams. Learn and then GET BACK ON THAT HORSE! -
-
#Success #mydream #Vision #Freedom #belief #worthit #keepongoing</t>
  </si>
  <si>
    <t>mydream</t>
  </si>
  <si>
    <t>kelwau</t>
  </si>
  <si>
    <t>1584846518219840985_37587991</t>
  </si>
  <si>
    <t>Somewhere over the rainbow #pkp17 #badweather #partygoeson #rainyday #keepongoing #dance #goodluck</t>
  </si>
  <si>
    <t>Pukkelpop</t>
  </si>
  <si>
    <t>partygoeson</t>
  </si>
  <si>
    <t>pkp17</t>
  </si>
  <si>
    <t>dance</t>
  </si>
  <si>
    <t>1584850995421201653_5705167414</t>
  </si>
  <si>
    <t>Steph looking at all of those haters be like #Dubnation
-
-
-
-
-
-
-
-
-
-
-
-
-
-
-
-
-
-
-
-
-
-
-
-
-
-
-
-
-
-
-
-
-
-
-
-
-
-
-
-
 #StephGonnaSteph #Mvp #SC30 #KT11 #DG23 #CURRYMVP #KEEPONGOING #NEVERGIVEUP #WCF #WEST #WESTERNCONFERENCEFINALS #CHAMPS #DUBSFORCHAMPS #DUBS #ALWAYSBELIEVEINGOD #STEPHENCURRY #EVEN #NBA #2016CHAMPS #CHAMPIONS #LOCKIN #STEPH #SPLASH #SPLASHBROS  #like4like #like4follow #follow4follow</t>
  </si>
  <si>
    <t>1584857084059394159_5586814877</t>
  </si>
  <si>
    <t>Ryvita for lunch! 3 of these ones are a B choice so I'm having 4 for 2 syns ☺️ 50g sweet chilli phili for 4 syns also 🌶 
#fooddiary #slimmingworld #sw #slimmingworldfood #slimmingworldjourney #health #happiness #selfimprovement #bethebestyou #keepongoing #nomorestartingover</t>
  </si>
  <si>
    <t>baasr</t>
  </si>
  <si>
    <t>1584868390359453327_209374610</t>
  </si>
  <si>
    <t>Behind the clouds the sun is shining.</t>
  </si>
  <si>
    <t>Tirol, Austria</t>
  </si>
  <si>
    <t>1584869579619732026_3850477047</t>
  </si>
  <si>
    <t>It just comes down To one simple thing:
How bad do you want it? 
Ich wünsche euch einen schönen Samstag :-) genießt das Wetter soweit es geht :-)
-------------------
#fitnessaddict #fitguy #fitlife #muscle #blackwhite #spreadyourwings #flyaway #germanboy #fitnessmotivation #wings #strong #thesweatlife #fitnessgoals #dedication #gymaesthetics #gymshark #gymjunky #nolimitboy #german #ludwigsburg #nevergiveup #traininsane #getstrong #goheavy #tattoos #thankful #blessed #keepongoing #training #fit</t>
  </si>
  <si>
    <t>spreadyourwings</t>
  </si>
  <si>
    <t>wings</t>
  </si>
  <si>
    <t>1584881225826808090_5781397138</t>
  </si>
  <si>
    <t>On the Camino
You can't miss it. Even when it is a little rainy there is always somebody going ahead showing you the way and somebody coming behind you - so although walking alone you will never feel so. .
. 
#camino #onthecamino #encamino #caminodesantiago #stjamesway #jakobsweg #galicia #pilgrim with #breastcancer #metastaticcancer under #chemotherapy #keepongoing #neverquit #lifeisbeautiful #keepmoving #trustyourself #stayactive</t>
  </si>
  <si>
    <t>trustyourself</t>
  </si>
  <si>
    <t>encamino</t>
  </si>
  <si>
    <t>vanegalves</t>
  </si>
  <si>
    <t>1584891183188334859_463046693</t>
  </si>
  <si>
    <t>"Sei lá, eu sempre carreguei comigo essa fé bonita no peito. A esperança sempre foi o meu adorno mais gracioso. Eu nunca fui de dar ouvidos para palavras de desmotivação e quando coloco uma coisa na cabeça, pode meio mundo dizer que não vai dar certo, que eu encaro. A minha persistência nunca deu confiança pra negatividade,  e ouvido pra gente desanimada com a vida. E assim eu vou seguindo e driblando tudo que vem pra tentar me derrubar, sigo, chutando todas as pedras do meu caminho e aos poucos bem devagar, vou construindo meu castelo com cada pedrinha dessa e cada uma tem sua história pra contar, cada uma tem, dor, lágrimas, sorriso e muita coragem. A positividade sempre vai me acompanhar, não importa as circunstâncias e nem como estarei, cumprirei o meu chamado,seja na alegria ou na dor, seja no poço, no deserto, seja com o coração sorrindo, seja com ele partido, Seja como for. Não tem jeito, nasci pra acreditar mesmo com tudo dizendo que não vale a pena. Acredito em mim, acredito na vida. Ainda acredito nas pessoas. Acredito que coisas muito boas estão caminhando ao meu encontro, com passos nem lentos e nem ligeiros, mas na velocidade certa para que minhas bênçãos cheguem no momento exato. Eu sei que o Céu dirá Amém para a minha perseverança, fidelidade e essa minha capacidade de me superar sempre." 🙏🏼🇮🇪💚☘️✨
#tksGod #gratitude #wonderlust #travelphotography #ireland #keepyourfaith #keepongoing #followingdreams</t>
  </si>
  <si>
    <t>The Bray Cross</t>
  </si>
  <si>
    <t>tksgod</t>
  </si>
  <si>
    <t>followingdreams</t>
  </si>
  <si>
    <t>keepyourfaith</t>
  </si>
  <si>
    <t>wonderlust</t>
  </si>
  <si>
    <t>1584892589579115524_279512262</t>
  </si>
  <si>
    <t>У нас жара, так что я категорически отказываюсь выходить на улицу пока не станет легче. Мил носит мне вкусняшки, раз не боится солнца, а я сплю, ем и читаю книги. Господи, кайф!
Ещё бы унять совесть, которая требует нагуливать по городу 20км минимум))
.
#vscogood #livethedream #summer #sundaymood #summertimesadness #keepcalm #keepongoing #KundaliniYoga #smolensk #daily #abmlife #authentic #abmhappylife #citylife #vsco #vibes #madrussians #lifeex #lifestyle #livestory #livealittle #livethelittlethings #dreamers</t>
  </si>
  <si>
    <t>Лопатинский сад</t>
  </si>
  <si>
    <t>neverquit.gym</t>
  </si>
  <si>
    <t>1584900188878511171_1330469504</t>
  </si>
  <si>
    <t>Netflix &amp; prep #netflixandchill #netflix #gymfood #gym #healty #healtyfood #sogood #fit #fitgirl #fitness #food #mealprep #summerbody #sports #cleanbody #cleanfood #yummy #workout #gymgirl #neverquit #ontrack #keepongoing</t>
  </si>
  <si>
    <t>ontrack</t>
  </si>
  <si>
    <t>sogood</t>
  </si>
  <si>
    <t>healty</t>
  </si>
  <si>
    <t>yummy</t>
  </si>
  <si>
    <t>debinelson1</t>
  </si>
  <si>
    <t>1584905119366811964_322165362</t>
  </si>
  <si>
    <t>Going opposite ways together is possible..when love is the bond. 
#randomstrangers#thiswayandthat#explore#igers#wellravelled#herpnwlife#outbound#igmasters#socality#love#jystlove#togetherness#keepongoing#oppositesattract#visualsgang#visualsoflife#oregon</t>
  </si>
  <si>
    <t>Crater Lake Lodge</t>
  </si>
  <si>
    <t>oppositesattract</t>
  </si>
  <si>
    <t>igmasters</t>
  </si>
  <si>
    <t>outbound</t>
  </si>
  <si>
    <t>stantonrosie</t>
  </si>
  <si>
    <t>1584911643773548592_47802120</t>
  </si>
  <si>
    <t>Brian and I celebrated our 22nd wedding anniversary a week ago today and yes once again in Whistler. 
This has become one of our happy place to escape too. 
Our first trip to Whistler was in 1995 for our honeymoon. 
We've alway been on the move with family vacations, spontaneous road trips, lot's of camping trips to the sand dunes, four wheeling adventures in our own backyard of Oregon, to Moab and Tahoe, having a baby adventure which is still a fabulous adventure, mountain biking and biking in general and yes our biggest adventure yet, kicking cancer ass #fuckcancer #keepongoing #adventure #cancerslayer 
But having @dvl 📸 caught this moment reminds me that I wouldn't change a thing #ilovewhistler #thisisus #ilovemylife #stantonstrong 🖤</t>
  </si>
  <si>
    <t>Whistler Mountain Bike Park</t>
  </si>
  <si>
    <t>ilovewhistler</t>
  </si>
  <si>
    <t>ilovemylife</t>
  </si>
  <si>
    <t>cancerslayer</t>
  </si>
  <si>
    <t>arthurbonaventura</t>
  </si>
  <si>
    <t>1584914713265926933_790769607</t>
  </si>
  <si>
    <t>#monastours #malaysia #kualalumpur #seagames #2017 #openingceremony #fireworks #instaphoto #instatravel #travelporn  #smarttraveling #enjoythelight #keepcalm #keeptraveling #keepongoing</t>
  </si>
  <si>
    <t>instaphoto</t>
  </si>
  <si>
    <t>malaysia</t>
  </si>
  <si>
    <t>kualalumpur</t>
  </si>
  <si>
    <t>enjoythelight</t>
  </si>
  <si>
    <t>triathlonteamtgwitten</t>
  </si>
  <si>
    <t>1584916741054310648_5459419010</t>
  </si>
  <si>
    <t>3 Ligen an einem Tag
3 Leagues at one day 
#nrwliga #halfdistance 5th #verbandsliga #halfdistance 13th #landesliga #sprint 1st #winningteam #podium 
#goodrace #greatrace #niceday #hardrace #racehard #keepongoing #triathlon #swimbikerun #triathlonteamtgwitten 
Tomorrow 1st and 2nd #triathlonbundesliga at Grimma #tribuli2017 #onedaytogo</t>
  </si>
  <si>
    <t>Triathlon Hückeswagen</t>
  </si>
  <si>
    <t>onedaytogo</t>
  </si>
  <si>
    <t>nrwliga</t>
  </si>
  <si>
    <t>goodrace</t>
  </si>
  <si>
    <t>tribuli2017</t>
  </si>
  <si>
    <t>1584918058257018180_5717527571</t>
  </si>
  <si>
    <t>#keepongoing #montecoppe #rifugio #pastoriabruzzesi #puppies
Sleeping puppies</t>
  </si>
  <si>
    <t>puppies</t>
  </si>
  <si>
    <t>pastoriabruzzesi</t>
  </si>
  <si>
    <t>1584939192549548826_5801959162</t>
  </si>
  <si>
    <t>DO YOU AGREE?! 🤔
👁Tag your friend who MUST see this 👥Follow @motivationbyeli
🔥 To get featured #motivationbyeli
📷@thegreeceguide for the original picture
👯🌴My Travel Friends 
@bucketlistguy
@travelgentle
@travel_green_</t>
  </si>
  <si>
    <t>mariannepugin</t>
  </si>
  <si>
    <t>1584940919269640415_544758832</t>
  </si>
  <si>
    <t>Nunca dejes de moverte, tu cuerpo sana, te abraza y responde. Tu cuerpo es Magia 💪🏽🦋❤🌱🌈🔥 #magia #movimiento #sanar #healing #gracias #entrenar #accident #fe Una foto casual del viernes. Si no podes caminar hoy, arrastrate, doblate, retorcete, reptá, rolá, volá, pero nunca, dejes de moverte 😁🌈💖#fotocasual #fuerzas #movement #movete #faith #keepongoing #keeponmoving Gracias @atgeirbaires por acompañarme con sus colores y diseños 👚🤸🏽‍♀️✨</t>
  </si>
  <si>
    <t>healing</t>
  </si>
  <si>
    <t>entrenar</t>
  </si>
  <si>
    <t>movement</t>
  </si>
  <si>
    <t>sarahta.05</t>
  </si>
  <si>
    <t>1584942721218748809_4227287924</t>
  </si>
  <si>
    <t>#goodmood #nofilter #lastworkday #happy #flyingtomiami #airberlin #holidays #for2weeks #tagforlikes #myself #fashiongirl #keepongoing #dayforsmile #keepitreal #motivation #weekendselfie #welcometomiami</t>
  </si>
  <si>
    <t>for2weeks</t>
  </si>
  <si>
    <t>myself</t>
  </si>
  <si>
    <t>fashiongirl</t>
  </si>
  <si>
    <t>weekendselfie</t>
  </si>
  <si>
    <t>tagforlikes</t>
  </si>
  <si>
    <t>georgeeppig</t>
  </si>
  <si>
    <t>1584943035026832377_2918805889</t>
  </si>
  <si>
    <t>Keep on walkin'
.
.
.
#outsideisfree #outdoors #canonphotography #canon #england #unitedkingdom #hadrianswall #hadrianswallpath #hiking #hike #keepongoing #forest #outdoorphotography #trails #backpackingeurope</t>
  </si>
  <si>
    <t>forest</t>
  </si>
  <si>
    <t>backpackingeurope</t>
  </si>
  <si>
    <t>1584947520902075375_5705167414</t>
  </si>
  <si>
    <t>#2 -  Kevin Durant, just like Steph and Lebron, Durant is still able to maintain a consistent season, even with dominating scorers on the team, this season he averaged 25.1 ppg, 8.3 rpg, 4.8 apg, and 1.6 bpg. KD has been very crucial for the Warriors win against the finals, he had an amazing series, scoring 30+ points in 5 consecutive games, winning him the Finals MVP, but there's only one problem with KD's legacy, it's broken, now by broken i don't mean nothing, by broken i mean people view him as a traitor, a snake, for me if KD wants to fix his legacy he has to at least win 2 more rings and 1 Finals MVP to show he's not being carried by Steph and the others #Dubnation
-
-
-
-
-
-
-
-
-
-
-
-
-
-
-
-
-
-
-
-
-
-
-
-
-
-
-
-
-
-
-
-
-
-
-
-
-
-
-
-
 #StephGonnaSteph #Mvp #SC30 #KT11 #DG23 #CURRYMVP #KEEPONGOING #NEVERGIVEUP #WCF #WEST #WESTERNCONFERENCEFINALS #CHAMPS #DUBSFORCHAMPS #DUBS #ALWAYSBELIEVEINGOD #STEPHENCURRY #EVEN #NBA #2016CHAMPS #CHAMPIONS #LOCKIN #STEPH #SPLASH #SPLASHBROS  #like4like #like4follow #follow4follow</t>
  </si>
  <si>
    <t>1584959428690704149_5705167414</t>
  </si>
  <si>
    <t>Passing the torch🔥 #Dubnation
-
-
-
-
-
-
-
-
-
-
-
-
-
-
-
-
-
-
-
-
-
-
-
-
-
-
-
-
-
-
-
-
-
-
-
-
-
-
-
-
 #StephGonnaSteph #Mvp #SC30 #KT11 #DG23 #CURRYMVP #KEEPONGOING #NEVERGIVEUP #WCF #WEST #WESTERNCONFERENCEFINALS #CHAMPS #DUBSFORCHAMPS #DUBS #ALWAYSBELIEVEINGOD #STEPHENCURRY #EVEN #NBA #2016CHAMPS #CHAMPIONS #LOCKIN #STEPH #SPLASH #SPLASHBROS  #like4like #like4follow #follow4follow</t>
  </si>
  <si>
    <t>say.no.to.ed</t>
  </si>
  <si>
    <t>1584963776682583471_5094435531</t>
  </si>
  <si>
    <t>#truth #recoveryisworthit #anorexiarecovery #bulimarecovery #bingeeatingdisorderrecovery #nevergiveup #keepongoing #falldowngetup #positivemind #positiveenergy #positiveselftalk #positivethoughts #positivevibesonly</t>
  </si>
  <si>
    <t>bulimarecovery</t>
  </si>
  <si>
    <t>anorexiarecovery</t>
  </si>
  <si>
    <t>bingeeatingdisorderrecovery</t>
  </si>
  <si>
    <t>prkfit</t>
  </si>
  <si>
    <t>1584964772310142222_5681369276</t>
  </si>
  <si>
    <t>Rain on the way? No problem! Being consistent is to plow through your routine, rain or shine. #keepongoing .
.
.
.
.
.
#gym #workout #workoutmotivation #consistency #gains #keepgoing #stickwithit #routine #rainorshine #killingit #goals #fitness #stayfit #thesix #toronto #fitlife</t>
  </si>
  <si>
    <t>routine</t>
  </si>
  <si>
    <t>stickwithit</t>
  </si>
  <si>
    <t>consistency</t>
  </si>
  <si>
    <t>laura_ofthelove</t>
  </si>
  <si>
    <t>1584966500665320600_571848802</t>
  </si>
  <si>
    <t>Boston, please stay safe! #keepongoing #diversity #notrumpnokkknoracistusa</t>
  </si>
  <si>
    <t>Palmetto Bay, Florida</t>
  </si>
  <si>
    <t>diversity</t>
  </si>
  <si>
    <t>notrumpnokkknoracistusa</t>
  </si>
  <si>
    <t>1584972076044242768_313231351</t>
  </si>
  <si>
    <t>A place called home
#baselice #sannio #sanniolovers #italia #italy #igersitalia #igersitaly #holidays #holidays2017 #keeponwalking #keepongoing #landscapes #italianlandacapes #discoveryitaly #scorcio #anvedichescorcio #panorama #travelling #travel #home #aplacecalledhome</t>
  </si>
  <si>
    <t>baselice</t>
  </si>
  <si>
    <t>mosbz_</t>
  </si>
  <si>
    <t>1584974984802793482_477426727</t>
  </si>
  <si>
    <t>It's always been a good day when you finish it off with a smile 🤙🏻
#myholidaystyle #keeponlearning #croatia #kiting #kitesurf #kiteboardingzone #kitesista #kitesurfingworld #keepongoing #goodvibes</t>
  </si>
  <si>
    <t>Ljubač, Zagrebačka, Croatia</t>
  </si>
  <si>
    <t>kitesurfingworld</t>
  </si>
  <si>
    <t>croatia</t>
  </si>
  <si>
    <t>1584977364918964136_16545532</t>
  </si>
  <si>
    <t>🔹 B l u e 🔹 #lausitzring #germany #circuit #motorsport #worldsbk #germanworldsbk #track #instabest #instagood #instamood #instagramers #pic #colours #sky #blue #life #keepitsimple #keepongoing #seeyoutomorrow</t>
  </si>
  <si>
    <t>Lausitzring</t>
  </si>
  <si>
    <t>instabest</t>
  </si>
  <si>
    <t>germanworldsbk</t>
  </si>
  <si>
    <t>lorynewsomart</t>
  </si>
  <si>
    <t>1584977700338496565_199116740</t>
  </si>
  <si>
    <t>Coffee date and walk with this beauty. She's missing her best friend and so am I. #missingyougrace #keepongoing #ohastra #goldenretriever #goldensofinstagram #dogs #mansbestfriend</t>
  </si>
  <si>
    <t>goldensofinstagram</t>
  </si>
  <si>
    <t>missingyougrace</t>
  </si>
  <si>
    <t>ohastra</t>
  </si>
  <si>
    <t>goldenretriever</t>
  </si>
  <si>
    <t>1584984260767270775_2715478190</t>
  </si>
  <si>
    <t>Sat training 2km in Crystal Palace pool and then a 5k run around Dulwich,still trying to get under 30 mins.. so frustrating but tomorrow is a new day and a new run 😊💪#training #loverunning #running #triathlontraining #triathlonvirgin #ocrtraining #obstaclecoursetraining #spartans #swimming #swimtraining #keepongoing #focusonyourgoals #nevergiveup</t>
  </si>
  <si>
    <t>focusonyourgoals</t>
  </si>
  <si>
    <t>triathlontraining</t>
  </si>
  <si>
    <t>krnb1057</t>
  </si>
  <si>
    <t>1584987025676070186_310140553</t>
  </si>
  <si>
    <t>Come out to @clearforkfoodpark in Ft Worth! @tonyscottmedia and #scottspapertowels are giving away a free year supply of paper towels. Join us for some food and fun! #krnbinthecommunity #scottspapertowels #clearforkfoodpark #KeepOnGoing</t>
  </si>
  <si>
    <t>clearforkfoodpark</t>
  </si>
  <si>
    <t>scottspapertowels</t>
  </si>
  <si>
    <t>krnbinthecommunity</t>
  </si>
  <si>
    <t>1584989012400114767_4678264587</t>
  </si>
  <si>
    <t>2nd #freeleticsrunning #intervalrun 2K (400m • 2:00 break • x5)
#Freeletics #running #freeleticsangers #freeleticsecouflant #hippodrome #angers #ecouflant #freeathlete #freerunner #freeleticslifestyle #fit #fitness #fitnessmotivation #stayinshape #betterversionofyourself #keepongoing #trainingday #interval #run #noexcuses</t>
  </si>
  <si>
    <t>freeathlete</t>
  </si>
  <si>
    <t>ecouflant</t>
  </si>
  <si>
    <t>1584991783526385248_5705167414</t>
  </si>
  <si>
    <t>Steph can sing too you know #Dubnation
-
-
-
-
-
-
-
-
-
-
-
-
-
-
-
-
-
-
-
-
-
-
-
-
-
-
-
-
-
-
-
-
-
-
-
-
-
-
-
-
 #StephGonnaSteph #Mvp #SC30 #KT11 #DG23 #CURRYMVP #KEEPONGOING #NEVERGIVEUP #WCF #WEST #WESTERNCONFERENCEFINALS #CHAMPS #DUBSFORCHAMPS #DUBS #ALWAYSBELIEVEINGOD #STEPHENCURRY #EVEN #NBA #2016CHAMPS #CHAMPIONS #LOCKIN #STEPH #SPLASH #SPLASHBROS  #like4like #like4follow #follow4follow</t>
  </si>
  <si>
    <t>1584992751581477737_586298771</t>
  </si>
  <si>
    <t>Finally I am working on this piece. For this painting, I did a lot of color studies and inspiration finding in ethnic and folklore textile. Let's see where it takes me! 
#thankgoditsweekend #saturdaymorningpainting #artistmom #moma #artistjourney#paintingsinprogress #paint100badpaintings #folkart #acrylicpainting #wip #colorstudy #blueismycolor #keepitloose #keepongoing #showupanddoit</t>
  </si>
  <si>
    <t>blueismycolor</t>
  </si>
  <si>
    <t>artistmom</t>
  </si>
  <si>
    <t>thankgoditsweekend</t>
  </si>
  <si>
    <t>saturdaymorningpainting</t>
  </si>
  <si>
    <t>lesil85</t>
  </si>
  <si>
    <t>1584995612415597015_687747696</t>
  </si>
  <si>
    <t>Hard work pays off #keepongoing #grounded #humble</t>
  </si>
  <si>
    <t>humble</t>
  </si>
  <si>
    <t>grounded</t>
  </si>
  <si>
    <t>1584996598579046001_5705167414</t>
  </si>
  <si>
    <t>Thanks for 200 🙏#Dubnation
-
-
-
-
-
-
-
-
-
-
-
-
-
-
-
-
-
-
-
-
-
-
-
-
-
-
-
-
-
-
-
-
-
-
-
-
-
-
-
-
 #StephGonnaSteph #Mvp #SC30 #KT11 #DG23 #CURRYMVP #KEEPONGOING #NEVERGIVEUP #WCF #WEST #WESTERNCONFERENCEFINALS #CHAMPS #DUBSFORCHAMPS #DUBS #ALWAYSBELIEVEINGOD #STEPHENCURRY #EVEN #NBA #2016CHAMPS #CHAMPIONS #LOCKIN #STEPH #SPLASH #SPLASHBROS  #like4like #like4follow #follow4follow</t>
  </si>
  <si>
    <t>_hannah.kayee_</t>
  </si>
  <si>
    <t>1584999120915984944_409416868</t>
  </si>
  <si>
    <t>Fed up, heart hurts, done with all of it. Just gonna try to keep doing my thing and keep grinding for my boy, for at the end of the day, he's all that matters regardless. 😍❤ #fedup #broken #tired #keepongoing #keeponkeepingon #allformybaby #myboy #keepgrinding #longhair #longhairdontcare #bodypositive #like4like #likeforlike</t>
  </si>
  <si>
    <t>myboy</t>
  </si>
  <si>
    <t>longhairdontcare</t>
  </si>
  <si>
    <t>allformybaby</t>
  </si>
  <si>
    <t>1585000950363320617_273508132</t>
  </si>
  <si>
    <t>Telefono diverso, vestito uguale, stessa ragazza.... diversa concezione di vita, nutrizione, allenamento, amicizia e amore. Da 2 anni a questa parte sono stati persi tanti chili e si sono lasciate per strada anche tante persone che, a quei chili persi, hanno contribuito in maniera pesante.. con le parole, gli sguardi, le azioni, ciò che è stato fatto e ciò che non è stato fatto.. la felicità non deriva dal marcio che ci circonda, ma dal bello che ti fa sorridere.. e finalmente se mi guardo sorrido, e non solo io (e non per scherno). A tutti quelli che negli anni hanno contribuito a sotterrarmi.. vi abbraccio, ad ognuno in realtà per un motivo diverso 😘🖕🏼💪🏻</t>
  </si>
  <si>
    <t>les_petites_merveilles</t>
  </si>
  <si>
    <t>1585014432172574947_4467678810</t>
  </si>
  <si>
    <t>Juste pour vous faire découvrir les créations écologiques d'une amie @lady_francine . Elle fait des paniers de décoration en papiers, une belle initiative à encourager.  Ecrivez lui sur son compte instagram pour des informations ou des questions. 
#Keepongoing!
#Clindœildemerveilles ma belles!!!!!</t>
  </si>
  <si>
    <t>clindœildemerveilles</t>
  </si>
  <si>
    <t>1585014495154402519_310140553</t>
  </si>
  <si>
    <t>@tonyscottmedia is no stranger to giving back to the community. Today  was full of fun, smiles, prizes &amp; networking ‼️ Shoutout to @scottproducts REMEMBER to #KeepOnGoing  #livelifesmooth #krnbinthecommunity</t>
  </si>
  <si>
    <t>livelifesmooth</t>
  </si>
  <si>
    <t>page.4.youth.talents</t>
  </si>
  <si>
    <t>1585020541823464569_3922678983</t>
  </si>
  <si>
    <t>Go follow Alys new acc 🌞@alysmith.official🌞 if you aren't already.. (as her old was hacked again 😔 and she will not use it anymore) and follow her musically at aly.smith.official
📷PC: @zhanechanelle</t>
  </si>
  <si>
    <t>laraleagroovy</t>
  </si>
  <si>
    <t>1585023320432894342_1199202084</t>
  </si>
  <si>
    <t>Keep on doing what you love.. you never know who's watching and wanting to follow in your footsteps❤️🐾#falconry#JackalBuzzard#Jakkalas#LoveYourLife#KeepOnGoing#Beautiful#Happiness#Love#Success</t>
  </si>
  <si>
    <t>mia_san_minga</t>
  </si>
  <si>
    <t>1585026778619749619_5798339359</t>
  </si>
  <si>
    <t>Yes! #keepongoing</t>
  </si>
  <si>
    <t>instafrand</t>
  </si>
  <si>
    <t>1585029162854636716_327987721</t>
  </si>
  <si>
    <t>Another classic #watchmyabs 🍫, the last one for this #summer perhaps...perhaps 😋 -----
#keepongoing #motivationalquotes #homemade #new #workoutplan #fulbody : #abs #arm #legs #chest &amp; #stretching ------
#bodyandmind #harmony</t>
  </si>
  <si>
    <t>stretching</t>
  </si>
  <si>
    <t>homemade</t>
  </si>
  <si>
    <t>milansijakov</t>
  </si>
  <si>
    <t>1585035135342722147_2276155089</t>
  </si>
  <si>
    <t>239 #sijart #illustration #cartoon #comic #drawing #animal #frog #watering #mashrooms #rain #raining  #nomatterwhat #keepongoing #love #novisad #serbia #dubai #newyork #california</t>
  </si>
  <si>
    <t>animal</t>
  </si>
  <si>
    <t>mashrooms</t>
  </si>
  <si>
    <t>rain</t>
  </si>
  <si>
    <t>chadmacck</t>
  </si>
  <si>
    <t>1585037657040644207_672395833</t>
  </si>
  <si>
    <t>#hope #happy #light #beyou #keepongoing #positivevibes #quotes #real #true #trust #bethelight #better #more #motivation #striveforgreatness #begreat #gohead #feelingood #forward</t>
  </si>
  <si>
    <t>true</t>
  </si>
  <si>
    <t>gohead</t>
  </si>
  <si>
    <t>bethelight</t>
  </si>
  <si>
    <t>1585037813370355869_5717527571</t>
  </si>
  <si>
    <t>#keepongoing #rifugio #montecoppe #earlymorning #onthetrack #eyeloosening #essentials #breatheintheair
Lù Baron', Rifugio fonte Torricella.</t>
  </si>
  <si>
    <t>onthetrack</t>
  </si>
  <si>
    <t>eyeloosening</t>
  </si>
  <si>
    <t>1585043599572454590_4520028849</t>
  </si>
  <si>
    <t>Today's a beautiful day for an OPEN HOUSE!! Shoppingwithjacquie.agnesanddora.com
#agnesanddora #capri #abettermewithaandd #ohioboutique  #summeroutfits #iloveaandd #leggings #lularoe #healthyliving #faith #beautifulday  #openhouse #positivevibes #unstoppable #icandothis #nanalife #keepongoing #powerinprayer #success #ilovedisney #beachlife #skirt #tank #dress #fisher #joplin #godiva #happywife #happylife</t>
  </si>
  <si>
    <t>openhouse</t>
  </si>
  <si>
    <t>katdoodat</t>
  </si>
  <si>
    <t>1585061155931799319_1401046036</t>
  </si>
  <si>
    <t>| A little riff I keep playing |
Norwegian Wood - by The Beatles
.
I'm wishing I had a place away from my thin walled apartment that I could finally plug my Ibanez into the amp and not have to use headphones 🎧 like for real I wanna make some noizzzz!!!!
.
.
.
.
#electricguitar #thebeatles #jammin #iknowthreechords #artistlife #creativegrowth #creativeprocess #illustratorsofinstagram #blackandwhitefilm #ibanez #ibanezelectric #riff #lick #girlswhoplayguitar #barely #keepongoing #keeponkeepinon #moodymood</t>
  </si>
  <si>
    <t>creativegrowth</t>
  </si>
  <si>
    <t>blackandwhitefilm</t>
  </si>
  <si>
    <t>electricguitar</t>
  </si>
  <si>
    <t>riff</t>
  </si>
  <si>
    <t>sandrarojas_ny</t>
  </si>
  <si>
    <t>1585063301308927471_522622220</t>
  </si>
  <si>
    <t>Summer of Love 1967: Slogan: "BE AN INNOVATOR"
Working on it!😅 #actress #innovator #standout #lovewhatyoudo #dowhatyoulove #lifestyle #fun #happyness #nevergiveup #keepongoing</t>
  </si>
  <si>
    <t>1585063740763447695_1684424176</t>
  </si>
  <si>
    <t>@millionaireimage put your bad ass face on 😂😘
___________________________ 
#millionaireimage #doitforyourself #betterme #beyourown #keeponkeepingon #workforwhatyouwant  #marketingmoment #marketingsolutions #encourageyourself #bethechangeyouwanttosee #youvegotthis #oilfieldlife #millionairequotes #inspirationalthoughts #positivepeople #americanbusiness #quoteme  #strategize #seemslegit #youdoyou #inspirationalpost #businessownership #businessisbusiness #keepongoing #selfconfidence #bewhoyouare #bewhatyouwanttobe #socialinfluencers #socialize</t>
  </si>
  <si>
    <t>americanbusiness</t>
  </si>
  <si>
    <t>neugiworld</t>
  </si>
  <si>
    <t>1585069887145952064_5637340067</t>
  </si>
  <si>
    <t>Let the party start 🎉🍾🥂. Enjoy the Saturday night and go out tonight 💥💥Cheers .....😎#party #saturdaynight #cocktails #bar #barkeeper #drinks #dontdrinkanddrive #myworld #myparty #mylife #myvisions #mymotivation #weekend #target #goals #attidude #friends #friendship #friendshipgoals #business #keepongoing #whynot #whocares #enjoylife #enjoythelittlethings</t>
  </si>
  <si>
    <t>myparty</t>
  </si>
  <si>
    <t>friendship</t>
  </si>
  <si>
    <t>evamariamay</t>
  </si>
  <si>
    <t>1585076537114663863_1430907844</t>
  </si>
  <si>
    <t>I read; I travel; I become.
#analogphotography #filmisnotdead 
#photography 
#travel #journey #diary #travelgram #bliss #ontheroad #doors #almostthere #colourful #floating #keepongoing #inspiration</t>
  </si>
  <si>
    <t>Peru</t>
  </si>
  <si>
    <t>colourful</t>
  </si>
  <si>
    <t>floating</t>
  </si>
  <si>
    <t>doors</t>
  </si>
  <si>
    <t>almostthere</t>
  </si>
  <si>
    <t>hmhjyc</t>
  </si>
  <si>
    <t>1585088188280263005_5785540868</t>
  </si>
  <si>
    <t>#hmhjyc February 2014. #handball #football #sundayleague #keepongoing #ilovefootball</t>
  </si>
  <si>
    <t>sundayleague</t>
  </si>
  <si>
    <t>handball</t>
  </si>
  <si>
    <t>football</t>
  </si>
  <si>
    <t>lovevegancreatepeace</t>
  </si>
  <si>
    <t>1585098043946274093_1695569256</t>
  </si>
  <si>
    <t>When you wake up at dawn to make an awesome picture of Venus next to the moon and you keep on going. Long busy but lovely Saturday !!!</t>
  </si>
  <si>
    <t>activity</t>
  </si>
  <si>
    <t>gandhi</t>
  </si>
  <si>
    <t>dmguettes_official</t>
  </si>
  <si>
    <t>1585111716178201851_2035134972</t>
  </si>
  <si>
    <t>#youcan 💖😇👊👌🌞🤘💪😇💖 #focus#stronger#keepongoing#love#light#instago#instalike#follow#awareness#beopenhearted#bodymindspirit#grateful#trust#faith#god#angels#universe#motivation#instagram#fitness#fitnessjunk#art</t>
  </si>
  <si>
    <t>bodymindspirit</t>
  </si>
  <si>
    <t>angels</t>
  </si>
  <si>
    <t>mayra_alc</t>
  </si>
  <si>
    <t>1585112269195670718_226925779</t>
  </si>
  <si>
    <t>Amazing people, good energy,good vibes...✨She's wonderful 💖 @paulapaulost 
Con uno de los maestros. Thank you 🙏🏽😌
#muaythai #madrid #muaythaigirls #strong #motivation #dedicated #mytypeofcardio #imlovingthis #wellness #offseason #gains #workoutmotivation #training #trainlikeabeastlooklikeabeast #health #healthylifestyle #strongbodymindandsoul #keepongoing #dontgiveupnow #quemesaliolapatadavoladora #quefelicidad #fuerza #buenavibra #saturdayvibes #tiger #summer2017</t>
  </si>
  <si>
    <t>strongbodymindandsoul</t>
  </si>
  <si>
    <t>buenavibra</t>
  </si>
  <si>
    <t>remusbaltariu</t>
  </si>
  <si>
    <t>1585127999665872702_2171810089</t>
  </si>
  <si>
    <t>Wedding marathon weekend.
#wedding #marathon #sleeplessnights #keepongoing #happiness #love #family</t>
  </si>
  <si>
    <t>Best Western Bucovina</t>
  </si>
  <si>
    <t>wedding</t>
  </si>
  <si>
    <t>sleeplessnights</t>
  </si>
  <si>
    <t>djivoryp</t>
  </si>
  <si>
    <t>1585138467330204404_215596510</t>
  </si>
  <si>
    <t>When you ask for a sign to lead you in the right direction #keepongoing the signs are everywhere. #blessed @fayonair wit the ill #photobomb</t>
  </si>
  <si>
    <t>Magic City Casino</t>
  </si>
  <si>
    <t>photobomb</t>
  </si>
  <si>
    <t>shawnmendesoverlife</t>
  </si>
  <si>
    <t>1585138583268786786_5792638376</t>
  </si>
  <si>
    <t>Mine is 💕what's urs?write down bellow⬇⬇first 50 to comment gets a shoutout ❤❤credits:@waddupbenito
💘~s
#shawnmendesourhero #shawnmendes#benito#ourlove#ourlife#shawnmendesarmy #mendesarmy #illuminateworldtour #weloveshawn #oneteam #onedream #shawnsignature #shawnmendesedits #shawnmendesfan #fangirls #whatwelivefor #muffins #yougoboy #shawnmendes #loveforshawnmendes #liveforshawnmendes #keepongoing#life #endlesslove #mine #dreambig❤❤❤❤❤</t>
  </si>
  <si>
    <t>mendesarmy</t>
  </si>
  <si>
    <t>liveforshawnmendes</t>
  </si>
  <si>
    <t>yougoboy</t>
  </si>
  <si>
    <t>muffins</t>
  </si>
  <si>
    <t>tropical.picturesque</t>
  </si>
  <si>
    <t>1585153765542341770_1215242427</t>
  </si>
  <si>
    <t>Is you my darling, only you. 🙇🏻</t>
  </si>
  <si>
    <t>qoutesdaily</t>
  </si>
  <si>
    <t>lit</t>
  </si>
  <si>
    <t>runonbali</t>
  </si>
  <si>
    <t>1585156811000992432_3943466270</t>
  </si>
  <si>
    <t>RUN ON BALI PROUDLY PRESENTS OUR RUNNER DADS WHO WILL TRY TO FINISH THEIR 1ST EVER FULL MARATHON @balimarathon ON 27 AUGUST 2017.
.
.
.
RUN WHEN YOU CAN, WALK IF YOU HAVE TO, CRAWL IF YOU MUST, JUST NEVER GIVE UP.
.
.
.
RUN ON! .
.
.
.
#virginmarathoner #virginmarathoners #runnerdad #runnerdads #mbm2017 #balimarathon #balimarathon2017 #fm #fullmarathon #42k #runon #runonbali #running #determination #neverrunout #run #findyourself #pushyourlimit #roadtombm2017 #finishstrong #maimelaib #indorunnersbali #riotbali #tosbali #7runnerdads #sevenrunnerdads</t>
  </si>
  <si>
    <t>Denpasar, Bali, Indonesia</t>
  </si>
  <si>
    <t>indorunnersbali</t>
  </si>
  <si>
    <t>balimarathon</t>
  </si>
  <si>
    <t>42k</t>
  </si>
  <si>
    <t>maimelaib</t>
  </si>
  <si>
    <t>riotbali</t>
  </si>
  <si>
    <t>spin_activewear</t>
  </si>
  <si>
    <t>1585166712712785272_5906308093</t>
  </si>
  <si>
    <t>#spinjackets #SPIN #spin_activewear #keepongoing #sublimado #playasdetijuana #mexicanborder #original</t>
  </si>
  <si>
    <t>sublimado</t>
  </si>
  <si>
    <t>spin</t>
  </si>
  <si>
    <t>spinjackets</t>
  </si>
  <si>
    <t>memecalatrava</t>
  </si>
  <si>
    <t>1585171020272996871_201989014</t>
  </si>
  <si>
    <t>BORN at NighT... #Born #BCN #Friends #Keepongoing! #Miramelindo #PasseigdelBorn</t>
  </si>
  <si>
    <t>born</t>
  </si>
  <si>
    <t>bcn</t>
  </si>
  <si>
    <t>passeigdelborn</t>
  </si>
  <si>
    <t>miramelindo</t>
  </si>
  <si>
    <t>1585182006732258493_4230196596</t>
  </si>
  <si>
    <t>meganndyck</t>
  </si>
  <si>
    <t>1585191771296741580_246400460</t>
  </si>
  <si>
    <t>A little progress each day adds to big results. #keepongoing #blondehairdontcare #girlsnightout #smilethroughthepain</t>
  </si>
  <si>
    <t>Guelph, Ontario</t>
  </si>
  <si>
    <t>smilethroughthepain</t>
  </si>
  <si>
    <t>girlsnightout</t>
  </si>
  <si>
    <t>blondehairdontcare</t>
  </si>
  <si>
    <t>patriciasellsjewelry</t>
  </si>
  <si>
    <t>1585194701135438574_2117733552</t>
  </si>
  <si>
    <t>#earrings #newdesignscomingsoon #followmee #jewlery #uniquejewlery  #freshdesign #silver #metal #nevergivinup  #godstime #keepongoing #onedayatatime📆 #handmadejewelry</t>
  </si>
  <si>
    <t>newdesignscomingsoon</t>
  </si>
  <si>
    <t>earrings</t>
  </si>
  <si>
    <t>nevergivinup</t>
  </si>
  <si>
    <t>handmadejewelry</t>
  </si>
  <si>
    <t>freshdesign</t>
  </si>
  <si>
    <t>1585216985942593257_4773778225</t>
  </si>
  <si>
    <t>❤️💛💚💙💜💗#worldtravelbook #flashesofdelight #art #lake #rainbow #goodafternoonpost #keeponkeepingon #keepongoing #motivation #motivationeveryday #sunset #flowers #architecturephotography #architecture #tagsforlikes #bluesky #likesforlikes #follow #almosttheweekend #smile #happy #morningmotivation #flower #behappy #grateful</t>
  </si>
  <si>
    <t>Lake of Bays</t>
  </si>
  <si>
    <t>jenna__vee</t>
  </si>
  <si>
    <t>1585222597392856435_476690214</t>
  </si>
  <si>
    <t>Sometimes you gotta roll with the punches and rise above it all. I trust that the universe is preparing me for great things to come and I know everything is going to be ok.  #countyourblessings #staypositive #liveandlearn #shithappens #keepongoing #thankyouuniverse #blessedbe #newmoon #soloreclipse #astrology</t>
  </si>
  <si>
    <t>blessedbe</t>
  </si>
  <si>
    <t>soloreclipse</t>
  </si>
  <si>
    <t>shithappens</t>
  </si>
  <si>
    <t>newmoon</t>
  </si>
  <si>
    <t>1585240514729390045_5705167414</t>
  </si>
  <si>
    <t>Locked in 🔒#Dubnation
-
-
-
-
-
-
-
-
-
-
-
-
-
-
-
-
-
-
-
-
-
-
-
-
-
-
-
-
-
-
-
-
-
-
-
-
-
-
-
-
 #StephGonnaSteph #Mvp #SC30 #KT11 #DG23 #CURRYMVP #KEEPONGOING #NEVERGIVEUP #WCF #WEST #WESTERNCONFERENCEFINALS #CHAMPS #DUBSFORCHAMPS #DUBS #ALWAYSBELIEVEINGOD #STEPHENCURRY #EVEN #NBA #2016CHAMPS #CHAMPIONS #LOCKIN #STEPH #SPLASH #SPLASHBROS  #like4like #like4follow #follow4follow</t>
  </si>
  <si>
    <t>moniquetonesup</t>
  </si>
  <si>
    <t>1585240702088936251_2464483327</t>
  </si>
  <si>
    <t>#gym selfie! Yup I'm going to be one of those people! 😂😂😂 I don't care, it's time I face reality and start learning about posing and what angles will be best for when I hit stage! #competitionprep #bodybuilding #bodytransformation</t>
  </si>
  <si>
    <t>Glen Eden, New Zealand</t>
  </si>
  <si>
    <t>compprep</t>
  </si>
  <si>
    <t>loveexercise</t>
  </si>
  <si>
    <t>bikini</t>
  </si>
  <si>
    <t>strongfit</t>
  </si>
  <si>
    <t>imarienp</t>
  </si>
  <si>
    <t>1585242814837199622_474026734</t>
  </si>
  <si>
    <t>Inténtalo una y otra vez hasta que el miedo te tenga miedo.
.
.
.
.
#mindfulness #instagood #instadaily #wanderlust #night #caribbeannights #specialdays #events #quotes #flashofdelight #smallsteps #changes
#keepongoing #dontstop #lifeisnow #anotherday #newday #opportunities</t>
  </si>
  <si>
    <t>Casa de Campo Resort &amp; Villas</t>
  </si>
  <si>
    <t>events</t>
  </si>
  <si>
    <t>opportunities</t>
  </si>
  <si>
    <t>thesmithproject</t>
  </si>
  <si>
    <t>1585254157862634918_322715149</t>
  </si>
  <si>
    <t>We seriously have the best of friends 😩😭#feelinloved #bestfriends #keepongoing #prayingfriends #makeadifference #thesmithproject #thesmithprojectfamily #jesusreallycares</t>
  </si>
  <si>
    <t>thesmithprojectfamily</t>
  </si>
  <si>
    <t>feelinloved</t>
  </si>
  <si>
    <t>prayingfriends</t>
  </si>
  <si>
    <t>solanonationals</t>
  </si>
  <si>
    <t>1585263403232862056_310847077</t>
  </si>
  <si>
    <t>14u #solanonationals #nctb #natsalldayeveryday #keepongoing ⚾️💙❤️👊🏻</t>
  </si>
  <si>
    <t>Irvington High School (Fremont, California)</t>
  </si>
  <si>
    <t>nctb</t>
  </si>
  <si>
    <t>natsalldayeveryday</t>
  </si>
  <si>
    <t>1585270071117286183_2464483327</t>
  </si>
  <si>
    <t>If you want to see more of my prep for comp. come follow me over on snap. I post a lot on there... 💪💪💪</t>
  </si>
  <si>
    <t>Glendene, New Zealand</t>
  </si>
  <si>
    <t>paleo</t>
  </si>
  <si>
    <t>dinoza</t>
  </si>
  <si>
    <t>1585273336510754286_202384199</t>
  </si>
  <si>
    <t>Don't give up. Your moment will come. - #keepongoing #quote #qotd</t>
  </si>
  <si>
    <t>malonekristen</t>
  </si>
  <si>
    <t>1585277618592053714_19921943</t>
  </si>
  <si>
    <t>The fall has been hard, but the recovery is what will really define me. 
#onedayatatime #patience #trust #hope #fall #getup #seasonsoflife #keepongoing #keeponkeepingon #onefootinfrontoftheother #mywhy #mybabies #daughters #family #love #loveyourself #knowyourworth #proud #values #dontcompromise #quote #quoteoftheday #instagood #instagram #me #nurse #rn #follow #madison #wisconsin</t>
  </si>
  <si>
    <t>wisconsin</t>
  </si>
  <si>
    <t>nurse</t>
  </si>
  <si>
    <t>ashika_naidu510</t>
  </si>
  <si>
    <t>1585278563207508673_2215520899</t>
  </si>
  <si>
    <t>@maccosmetics @tartecosmetics @anastasiabeverlyhills #makeupartist #keepyourheadup #keepongoing #liveitup</t>
  </si>
  <si>
    <t>makeupartist</t>
  </si>
  <si>
    <t>salina.elizabeth</t>
  </si>
  <si>
    <t>1585280381623837427_46976039</t>
  </si>
  <si>
    <t>four years. 1460 days. #keepongoing #clean #taylorswift 💞</t>
  </si>
  <si>
    <t>clean</t>
  </si>
  <si>
    <t>taylorswift</t>
  </si>
  <si>
    <t>1585286029731228047_4773778225</t>
  </si>
  <si>
    <t>Calm before the storm🖤#worldtravelbook #flashesofdelight #art #lake #rainbow #goodafternoonpost #keeponkeepingon #keepongoing #motivation #motivationeveryday #sunset #flowers #architecturephotography #architecture #tagsforlikes #bluesky #likesforlikes #follow #almosttheweekend #smile #happy #morningmotivation #flower #behappy #grateful</t>
  </si>
  <si>
    <t>twenghong</t>
  </si>
  <si>
    <t>1585298976659002028_488179131</t>
  </si>
  <si>
    <t>360 sfuv 540 sfuv done Now is time to Training do big spin 😤😤 #feelingmyself #keepongoing #becomestrong #Flowlife</t>
  </si>
  <si>
    <t>flowlife</t>
  </si>
  <si>
    <t>becomestrong</t>
  </si>
  <si>
    <t>1585301059617663545_5495249433</t>
  </si>
  <si>
    <t>Chicken meatballs, salad &amp; some tamari dipping sauce 🍅🥑</t>
  </si>
  <si>
    <t>moonlightsocial</t>
  </si>
  <si>
    <t>1585304740060531046_575126100</t>
  </si>
  <si>
    <t>So cool watching @willhoge do his thing in Nashville tonight. Loved "Even If It Breaks Your Heart" the moment we heard it on 'The Wreckage.'</t>
  </si>
  <si>
    <t>3rd &amp; Lindsley Nashville</t>
  </si>
  <si>
    <t>peanutibanez92</t>
  </si>
  <si>
    <t>1585309695614634851_346977409</t>
  </si>
  <si>
    <t>Keep on smiling thought the hard time very hard time and the good and very good days 
#nevergiveup💪 #keepongoing #keeponsmiling</t>
  </si>
  <si>
    <t>nevergiveup💪</t>
  </si>
  <si>
    <t>laucolleen</t>
  </si>
  <si>
    <t>1585311346684305438_42484805</t>
  </si>
  <si>
    <t>Enjoy our Sunday~
we will #keepongoing#
#walktogether#
#holdinghands#
#繼續走下去#
#我會一直牽著你的手#</t>
  </si>
  <si>
    <t>我會一直牽著你的手</t>
  </si>
  <si>
    <t>holdinghands</t>
  </si>
  <si>
    <t>walktogether</t>
  </si>
  <si>
    <t>繼續走下去</t>
  </si>
  <si>
    <t>johatts</t>
  </si>
  <si>
    <t>1585313758603756358_187942195</t>
  </si>
  <si>
    <t>Love walking.  #walking #loveit  #outandabout #narangba #burpengarycreek #dogwalkinglife #loveourarea #muscleshurting #walkthroughpain #keepongoing</t>
  </si>
  <si>
    <t>walkthroughpain</t>
  </si>
  <si>
    <t>narangba</t>
  </si>
  <si>
    <t>muscleshurting</t>
  </si>
  <si>
    <t>burpengarycreek</t>
  </si>
  <si>
    <t>1585326172459099251_5495249433</t>
  </si>
  <si>
    <t>Don't compare your journey to anyone else's ☄☄</t>
  </si>
  <si>
    <t>jackyaver</t>
  </si>
  <si>
    <t>1585339325192553772_211846478</t>
  </si>
  <si>
    <t>Best time of the day is when I wake up and thank God for giving me another opportunity to live life the way that makes me happy! Don't take life or people for granted.. u never know what tomorrow brings so cherish every moment and be the best you can be! #livelifetothefullest #bethankful #keepongoing #stayhumble #enjoythelittlethings #thankgod #goodmorning</t>
  </si>
  <si>
    <t>thankgod</t>
  </si>
  <si>
    <t>livelifetothefullest</t>
  </si>
  <si>
    <t>enjoythelittlethings</t>
  </si>
  <si>
    <t>neoncounselling</t>
  </si>
  <si>
    <t>1585342798916020035_4140937484</t>
  </si>
  <si>
    <t>We can't change the past but we can change where are going for our future #beginagain #keepongoing #setyourselffree #future</t>
  </si>
  <si>
    <t>NEON Counselling</t>
  </si>
  <si>
    <t>beginagain</t>
  </si>
  <si>
    <t>setyourselffree</t>
  </si>
  <si>
    <t>crossfit_aloe</t>
  </si>
  <si>
    <t>1585345467709815449_4313345165</t>
  </si>
  <si>
    <t>Чем заняться в воскресенье? Учиться! 
Второй день обучения в @phg_karnaval. 
Призываем себя в виртуальную армию! If you know what I mean..
#goodmorning #goodmood #gooday #besmart #studing #explore #skills #newskills #keepongoing #improveyourskills #development #тренинг #обучение #екб #тренингекб #учениесвет #развитиесебя #саморазвитие #учитесь #phgym #powerhousegym_russia #powerhousegymteam #fitness #training #workhard #фитнесдлямозга</t>
  </si>
  <si>
    <t>improveyourskills</t>
  </si>
  <si>
    <t>explore</t>
  </si>
  <si>
    <t>тренинг</t>
  </si>
  <si>
    <t>обучение</t>
  </si>
  <si>
    <t>holistiknl</t>
  </si>
  <si>
    <t>1585356575518148419_2664883901</t>
  </si>
  <si>
    <t>LOVE this quote! #quoteoftheday #hope #keepongoing #butterfly #beauty #newbeginning #holistik #holistic</t>
  </si>
  <si>
    <t>holistik</t>
  </si>
  <si>
    <t>newbeginning</t>
  </si>
  <si>
    <t>sunnydpt</t>
  </si>
  <si>
    <t>1585359274820509089_3584681100</t>
  </si>
  <si>
    <t>Taken a while ago whilst training was our conditioning kettle bell workout. .
- Starting first was our 30 min high incline power walk great for maximising and utilising for fat burning  then finishing off with our 3-5 round kettle bell workout.
.
---&gt; KB Swings, KB high pulls, double KB thruster each done as many reps within 30 secs.
.
Your Friendly Neighbourhood PT.
.
#training #exercise #healthylife #gym #gymlife #personaltrainer #easygym #easygymbirmingham #pushyourself #kettlebell #kettlebellworkout #intervals #conditioning #fitness #fitspo #fitfam #fitnessmotivation #motivation #fitnessjourney #proudpt #f4f #followforfollow #instagood #instalike #instadaily #progression #keepongoing</t>
  </si>
  <si>
    <t>easyGym</t>
  </si>
  <si>
    <t>kettlebell</t>
  </si>
  <si>
    <t>kettlebellworkout</t>
  </si>
  <si>
    <t>1585369022384233242_462344435</t>
  </si>
  <si>
    <t>Happy girls are the prettiest, so don't worry be happy!😉😊😃
.
.
.
Blessings to all!
.
.
.
#goodvibesalways #bepositive #positivemindset #livelifetothefull #seethegood #seethegoodineverything #believeyoucan #befearless #keeponmoving #keeponlearning #keepondoing #keepongoing #keeponbelieving #believeinyou #goodhabits #achieve #achieveyourdreams #achieveyourgoals #believeinyourdream #believeinyourselfie #keepthefaith #neverstoplearning #positiveattitude #positivemindset #positivequotes #positivevibes #positiveminds #trustandbelieve  #yesyoucan #youcandoit</t>
  </si>
  <si>
    <t>livelifetothefull</t>
  </si>
  <si>
    <t>miekefishel</t>
  </si>
  <si>
    <t>1585371222564640840_174826818</t>
  </si>
  <si>
    <t>Push yourself because no one else is going to do it for you 🏎👌🏻
•
#stepupcrew #keepongoing #24hzolder #comparex #21 #racinggirl #topteam #nosleepteam #summer #mysquad #ontheroadagain #selfie #selfietime #instadaily #instagram #potd #pictureoftheday #quoteoftheday #challengeyourself</t>
  </si>
  <si>
    <t>Antwerp, Belgium</t>
  </si>
  <si>
    <t>21</t>
  </si>
  <si>
    <t>ontheroadagain</t>
  </si>
  <si>
    <t>racinggirl</t>
  </si>
  <si>
    <t>stepupbvba</t>
  </si>
  <si>
    <t>1585373131618791663_3698799704</t>
  </si>
  <si>
    <t>Push yourself because no one else is going to do it for you 🏎👌🏻
•
#stepupcrew #keepongoing #24hzolder #comparex #21  #topteam #nosleepteam #summer #mysquad #ontheroadagain  #instadaily #instagram #potd #pictureoftheday #quoteoftheday #challengeyourself #horecabelike #waiterlife #waiter</t>
  </si>
  <si>
    <t>stepupcrew</t>
  </si>
  <si>
    <t>pictureoftheday</t>
  </si>
  <si>
    <t>accardocristianwhereisjesus</t>
  </si>
  <si>
    <t>1585383282907025055_2954154961</t>
  </si>
  <si>
    <t>what else ? #mylife #whereisjesus? #specchioriflesso #energy #vibration #eyes #nonciannoiamomai #keepongoing #tomhempsontour #ontheroad #hiphop #magicmountain #hightimes #highsociety #flyhigh #420 #420berlin #tomhemps #cannabis #letsgetit #legalizeit</t>
  </si>
  <si>
    <t>Festivalpark</t>
  </si>
  <si>
    <t>tomhempsontour</t>
  </si>
  <si>
    <t>420</t>
  </si>
  <si>
    <t>cannabis</t>
  </si>
  <si>
    <t>letsgetit</t>
  </si>
  <si>
    <t>flyhigh</t>
  </si>
  <si>
    <t>agnestruelove</t>
  </si>
  <si>
    <t>1585386719788494657_188049176</t>
  </si>
  <si>
    <t>@ Get fit and strong! #fitnstrong #workout #burnsomecalories #cardioworkout #keepongoing #stayfit #letsworkfor2017 #selfloveagnes</t>
  </si>
  <si>
    <t>selfloveagnes</t>
  </si>
  <si>
    <t>letsworkfor2017</t>
  </si>
  <si>
    <t>cardioworkout</t>
  </si>
  <si>
    <t>thelifeofayogi</t>
  </si>
  <si>
    <t>1585391337406750848_249604015</t>
  </si>
  <si>
    <t>Hello Varanasi! Two hours of sleep, no breakfast, a few Air India meals, and 5 hours later, we have made it to Varanasi!
The PGIF team posing with our Ola cab, but someone forgot to tell the Driver Saheb about the click
Bhakti is catching the moment. Bhakti is functioning like the Energizer Bunny--keep on going no matter how tired or exhausted. Bhakti is working as a team--engaging everyone on the team, including the Driver Saheb
#varanasi #bhu #journalism #religion #india #up #olacabs #driver #saheb #team #pgif #religion #media #students #fellows #prof #bhakti #teamwork #needsomesleep #energizerbunny #keepongoing #airindia</t>
  </si>
  <si>
    <t>Lal Bahadur Shastri International Airport</t>
  </si>
  <si>
    <t>up</t>
  </si>
  <si>
    <t>olacabs</t>
  </si>
  <si>
    <t>airindia</t>
  </si>
  <si>
    <t>energizerbunny</t>
  </si>
  <si>
    <t>teamwork</t>
  </si>
  <si>
    <t>1585394668572361561_274727915</t>
  </si>
  <si>
    <t>Life starts when you change your can't into can! 🎉 #keeponrunning #nevergiveup #healthylifestyle #changeyourcantintocan #changeyourlife #running #morningrun #healthy #sporting #proud #dontgiveup #keepongoing #l4l #picoftheday</t>
  </si>
  <si>
    <t>changeyourlife</t>
  </si>
  <si>
    <t>1585395433630317355_3176267654</t>
  </si>
  <si>
    <t>Music is what feelings sound like. 
#lpfboutique #nailbar #prettynails #igdaily #nudelook #withatwist #mirrordetails #manicure #sunday #music #nailsofinstagram #nailpolish #cupionails #buchareststyle #delicatetouch #simplicity #instabeauty #vinyl #nailstagram #nails #ig #instagrammer #popularpic #tagsforlikes #lpfnails #mapurefolie #keeponworking #keepongoing #dontsettleforless</t>
  </si>
  <si>
    <t>lpfboutique</t>
  </si>
  <si>
    <t>vinyl</t>
  </si>
  <si>
    <t>manicure</t>
  </si>
  <si>
    <t>meitchel</t>
  </si>
  <si>
    <t>1585399372661122757_327094836</t>
  </si>
  <si>
    <t>❤️ #happytwelveyears #stilllaughingtogetherafteralltheseyears  #keepongoing #nothingsgonnastopus  #justthetwoofus</t>
  </si>
  <si>
    <t>stilllaughingtogetherafteralltheseyears</t>
  </si>
  <si>
    <t>nothingsgonnastopus</t>
  </si>
  <si>
    <t>happytwelveyears</t>
  </si>
  <si>
    <t>justthetwoofus</t>
  </si>
  <si>
    <t>1585401041917261980_5705167414</t>
  </si>
  <si>
    <t>Little did he know 8 years later, he became the best shooter in NBA history #Dubnation
-
-
-
-
-
-
-
-
-
-
-
-
-
-
-
-
-
-
-
-
-
-
-
-
-
-
-
-
-
-
-
-
-
-
-
-
-
-
-
-
 #StephGonnaSteph #Mvp #SC30 #KT11 #DG23 #CURRYMVP #KEEPONGOING #NEVERGIVEUP #WCF #WEST #WESTERNCONFERENCEFINALS #CHAMPS #DUBSFORCHAMPS #DUBS #ALWAYSBELIEVEINGOD #STEPHENCURRY #EVEN #NBA #2016CHAMPS #CHAMPIONS #LOCKIN #STEPH #SPLASH #SPLASHBROS  #like4like #like4follow #follow4follow</t>
  </si>
  <si>
    <t>1585422162060002268_297558307</t>
  </si>
  <si>
    <t>GM😁🌅Warriors🏹! "Happy Sunday Y'ALL!! Don't forget to SMILE😜! #sundayvibes #sunday #fitmom #fitmama #fitgirl #fitness #fitnessaddict #runner #gim #gimnasio #gym #gymgirl #gymlife #gymaddict #gymaholic #kikasporty #keeptrying #keepmoving #keepstrong #keepongoing #myanchor #mypassion #myhappyplace #lachicadeayerdenia #funnight #hubbyandme</t>
  </si>
  <si>
    <t>lachicadeayerdenia</t>
  </si>
  <si>
    <t>1585425625907373952_2164432158</t>
  </si>
  <si>
    <t>Reaching the sky
Photo by @paolo.fortades
Tag your friends 😍
.
.
.
.
.
.
.
.
#travelwithme #keepongoing #paycationtravel #travellife #ecotravel #meditative #visualsoflife #goodkarma #traintravel #travelgermany #yogajunkie #creativehappylife #lifeispeople #creativeentrepreneur #livefornow #doingwhatilove #spiritualquotes #lovewhatyoudodowhatyoulove #slowtravel #way2ill #longtravel #islandliving #sunsetcliffs #paradisevalley #travelgreece</t>
  </si>
  <si>
    <t>spiritualquotes</t>
  </si>
  <si>
    <t>yogajunkie</t>
  </si>
  <si>
    <t>travelgermany</t>
  </si>
  <si>
    <t>paulinegoeckeritz</t>
  </si>
  <si>
    <t>1585440092716831742_1087463527</t>
  </si>
  <si>
    <t>Ein Bild sagt mehr als 1000 Worte 🤷🏼‍♀️❣️
DANKE FÜR ALLES 🎀 @juli.tbr 
#comebackstronger #keepongoing #abdonnerstagohneorthese 🤙🏼🤙🏼🤙🏼🤙🏼</t>
  </si>
  <si>
    <t>Halle (Saale)</t>
  </si>
  <si>
    <t>abdonnerstagohneorthese</t>
  </si>
  <si>
    <t>comebackstronger</t>
  </si>
  <si>
    <t>mandy_marie_m</t>
  </si>
  <si>
    <t>1585443163920647383_2085205883</t>
  </si>
  <si>
    <t>Russian Layback 💪🏻 yes! Oh manzwei wundervolle Tage voll mit Pole Dance liegen hinter mir. Obwohl eigentlich waren es gar nicht so viele Stunden, also 5 um genau zu sein. ☺️ Aber ich habe so viel Neues gelernt und ausprobiert und dadurch fühlt es sich wie 2 komplette Tage an 💕 und mein Körper sieht aus, als hätte ich 48 Stunden am Stück an der Pole gehangen 🙈 naja hauptsache es hat sich gelohnt und ein mega Spaß war es auch noch 😍 Danke an @caro_pole_garage für die tolle Technikstunde am Freitag 💋</t>
  </si>
  <si>
    <t>Pole Garage</t>
  </si>
  <si>
    <t>poleweekend</t>
  </si>
  <si>
    <t>poletrickoftheday</t>
  </si>
  <si>
    <t>aua</t>
  </si>
  <si>
    <t>bendyback</t>
  </si>
  <si>
    <t>1585444282121115452_1469303635</t>
  </si>
  <si>
    <t>tag a friend!</t>
  </si>
  <si>
    <t>massa.berlin</t>
  </si>
  <si>
    <t>1585457724329299018_4524940099</t>
  </si>
  <si>
    <t>Good morning, sunday #coffee #sunday #morning #simplythings #breakfast #life #keepongoing #towardsanend #lovestory #feelslikehome</t>
  </si>
  <si>
    <t>simplythings</t>
  </si>
  <si>
    <t>feelslikehome</t>
  </si>
  <si>
    <t>1585459944467274175_40619315</t>
  </si>
  <si>
    <t>Guten Morgen ihr Lieben ☀️
Es ist Sonntag, die Sonne scheint, also ab: die Laufschuhe an und los.
Aber heute hatte ich so gar keine Lust oder eher Kraft? Naja. Daher nur eine kleine Runde. Wollte bei 3,5km schon aufgeben, aber hey, aufgeben ist nicht 😅 #keepongoing #nevergiveup
.
.
.
#natur #naturliebe #laufen #laufenmachtglücklich #happiness #germering #abnehmen2017 #weightlossjourney #running #runninggirl #laufenfürdieseele #sommerabend #fitfam #runtastic #runtasticpro #runtasticgirl #fürmehrrealitätaufinstagram #motivation</t>
  </si>
  <si>
    <t>laufenmachtglücklich</t>
  </si>
  <si>
    <t>jazygetsfit</t>
  </si>
  <si>
    <t>1585462383940621149_412714784</t>
  </si>
  <si>
    <t>Yay #sunday morning workout done! was able to add weight again!! So proud of myself, super fast progress the last weeks on #barbell exercises and i like it to be #strongnotskinny 😍💪🏋 Erfolgreiches #training heute, Bankdrücken und military press super gemeistert mit mehr Gewicht als beim letzten Mal! Fühl mich #stärker nach jedem #workout #bleibdran #getstronger 
Und jetzt ganz viel #proteine und #carbs
#fit #creatine #keepongoing #fitmommy #notjuststrongforagirljuststrong #heavylifting #liftweights #liftheavythings #strong #strongwoman #flexibledieting #iifym #musclegain #muscles #muskeln</t>
  </si>
  <si>
    <t>bleibdran</t>
  </si>
  <si>
    <t>muskeln</t>
  </si>
  <si>
    <t>barbell</t>
  </si>
  <si>
    <t>lvniaataulepa</t>
  </si>
  <si>
    <t>1585465578909847777_317186493</t>
  </si>
  <si>
    <t>-
On my own lane 🙌🏽
Nobody else's but mine 💪🏽 #ifyoudontknownowyouknow #myownlane #grind #foodforthought #beyourself #dontchange #stayreal #staytrue #fuckhaters #keepongoing</t>
  </si>
  <si>
    <t>ifyoudontknownowyouknow</t>
  </si>
  <si>
    <t>fuckhaters</t>
  </si>
  <si>
    <t>myownlane</t>
  </si>
  <si>
    <t>stayreal</t>
  </si>
  <si>
    <t>1585466424707558159_5717527571</t>
  </si>
  <si>
    <t>#keepongoing #caminodesantiago #ocebreiro #360degrees #galicia #deepbreath #embracenature #simplicity
Give everything to hear half of your breath.</t>
  </si>
  <si>
    <t>ocebreiro</t>
  </si>
  <si>
    <t>360degrees</t>
  </si>
  <si>
    <t>embracenature</t>
  </si>
  <si>
    <t>simplicity</t>
  </si>
  <si>
    <t>henkkaalen</t>
  </si>
  <si>
    <t>1585467409337357340_1178964947</t>
  </si>
  <si>
    <t>Ollut kovat pari viikkoa. Pitää kiittää sekä Masterchef-työryhmää, duuni kavereita ravintoloissa ja perhettä tuesta. Syntymää, menetystä ja kaikkea siltä väliltä. Mutta elämä jatkuu ja hyvät ystävät auttaa aina.. #elämänikesä #chefslife #keepongoing #vieläjaksaahymyillä #vastatuulta</t>
  </si>
  <si>
    <t>chefslife</t>
  </si>
  <si>
    <t>elämänikesä</t>
  </si>
  <si>
    <t>vastatuulta</t>
  </si>
  <si>
    <t>vieläjaksaahymyillä</t>
  </si>
  <si>
    <t>team_popor</t>
  </si>
  <si>
    <t>1585469977376114537_5350362639</t>
  </si>
  <si>
    <t>“The only way to do great work is to love what you do.” @popor_sapsiree [true] ✌ ❤#Sapsireeinaction #BadmintonplayerofThai #Thailand #Cheeryouup #yonex #keeponfight #Keepongoing #followforfollow #followforfollow #alwayswithsapsiree</t>
  </si>
  <si>
    <t>badmintonplayerofthai</t>
  </si>
  <si>
    <t>thailand</t>
  </si>
  <si>
    <t>alwayswithsapsiree</t>
  </si>
  <si>
    <t>polesuss</t>
  </si>
  <si>
    <t>1585480629709416670_186560345</t>
  </si>
  <si>
    <t>Morningdance 🌞#studiodq#poledance#pole#fitnessgirl#fitnessmotivation#strong#flexibility#athletics#practice#keepongoing#muscles#fitness#dance#mood#need#to#train#more</t>
  </si>
  <si>
    <t>flexibility</t>
  </si>
  <si>
    <t>need</t>
  </si>
  <si>
    <t>jamesoncolin</t>
  </si>
  <si>
    <t>1585482877789558530_1504480140</t>
  </si>
  <si>
    <t>The only way to the other side is through it. So, suck it up buttercup and start #living your life the way your day is most #fullfulled! Don't just get through the week, enjoy it! Getting ready for a great week ahead @fitmacgympaarl 💪💪🙌 #tough #life #enjoytheprocess #keepongoing #otherside #coaching #teachingteachers #thenextgeneration  #moderncalligraphy #lettering #sharpie</t>
  </si>
  <si>
    <t>FIT-MAC Paarl</t>
  </si>
  <si>
    <t>coaching</t>
  </si>
  <si>
    <t>sharpie</t>
  </si>
  <si>
    <t>otherside</t>
  </si>
  <si>
    <t>living</t>
  </si>
  <si>
    <t>1585487590181897594_429036895</t>
  </si>
  <si>
    <t>HAPPY HUMPDAY 🍑
#daretoshare #bodylove #selflove #foodlover  #fitnessjourney #progress #fitness #fitdutchie #weightlifting #girlwholifts #fitfam #curves  #bodyandmind #gymlife #recovering #bootygrow #dedication #hardwork #keepongoing #strenght #grow #girlonamission #effort #girlpower</t>
  </si>
  <si>
    <t>bodylove</t>
  </si>
  <si>
    <t>1585488860351344622_5781397138</t>
  </si>
  <si>
    <t>On the Camino
Open spaces - open minds
.
. 
#camino #onthecamino #encamino #caminodesantiago #stjamesway #jakobsweg #galicia #pilgrim with #breastcancer #metastaticcancer under #chemotherapy #keepongoing #neverquit #lifeisbeautiful #keeponmoving #trustyourself #keepyourheadup</t>
  </si>
  <si>
    <t>dan_mgae</t>
  </si>
  <si>
    <t>1585491994367850098_214261641</t>
  </si>
  <si>
    <t>Gym life 😎💪🏼
#quickworkout #onedayclosertomygoal #keepongoing #workhardplayhard</t>
  </si>
  <si>
    <t>Lugner City</t>
  </si>
  <si>
    <t>quickworkout</t>
  </si>
  <si>
    <t>onedayclosertomygoal</t>
  </si>
  <si>
    <t>1585509811410397387_5705167414</t>
  </si>
  <si>
    <t>The #1 player in the top 25 is coming soon, probably gonna post like 4 or 5 more hours so make sure to be active in that time period to find out who's number 1, even though probably some of you have already guessed it #Dubnation
-
-
-
-
-
-
-
-
-
-
-
-
-
-
-
-
-
-
-
-
-
-
-
-
-
-
-
-
-
-
-
-
-
-
-
-
-
-
-
-
 #StephGonnaSteph #Mvp #SC30 #KT11 #DG23 #CURRYMVP #KEEPONGOING #NEVERGIVEUP #WCF #WEST #WESTERNCONFERENCEFINALS #CHAMPS #DUBSFORCHAMPS #DUBS #ALWAYSBELIEVEINGOD #STEPHENCURRY #EVEN #NBA #2016CHAMPS #CHAMPIONS #LOCKIN #STEPH #SPLASH #SPLASHBROS  #like4like #like4follow #follow4follow</t>
  </si>
  <si>
    <t>1</t>
  </si>
  <si>
    <t>1585510560875443168_351197499</t>
  </si>
  <si>
    <t>Never give up on something you do , if you get tired , just take a rest , not quit 😊 #arquotes #DirectorToBe #WishingDreamComesTrue #nevergiveup #keepongoing</t>
  </si>
  <si>
    <t>wishingdreamcomestrue</t>
  </si>
  <si>
    <t>directortobe</t>
  </si>
  <si>
    <t>anna_michelleu</t>
  </si>
  <si>
    <t>1585513704781554450_4674189270</t>
  </si>
  <si>
    <t>Almost there. Had some time to continue.
Not ready yet but it's getting closer.
#pencildrawing #zeichnung #patience #drawing #zeichnen #lovewhatyoudo #details #keepongoing #keepindrawing #drawingismyyoga #drawingismydrug #lovedrawing #zeitvertreib #time #zeit #geduld #Übung #practice #Übungmachtdenmeister #progress #prozess #weitermachen #actress #schauspielerin #joa</t>
  </si>
  <si>
    <t>weitermachen</t>
  </si>
  <si>
    <t>lovedrawing</t>
  </si>
  <si>
    <t>übung</t>
  </si>
  <si>
    <t>zeitvertreib</t>
  </si>
  <si>
    <t>zeichnen</t>
  </si>
  <si>
    <t>1585514570041827031_15887082</t>
  </si>
  <si>
    <t>Marian er næsten inde i T2! Han ser rigtig godt ud og holder en rigtig god fart! Nu skal løbeskoene kridtes, eller det skulle de gerne allerede være! Giv den gas Marian ☠️👌🏼
#kmdironmancopenhagen ironman #upcoming #mulitisport #tri365 #lovemylife #fitness #ironmanbarcelona2017 #outofcomfortzone #trilabdk #triathlon #triatlete #invisibleguns #worldoffusion #IMHamburg #keepongoing #purepowerdk #smileplease #swimbikerun</t>
  </si>
  <si>
    <t>1585517082219593812_263886655</t>
  </si>
  <si>
    <t>Sky above me - Earth below me - Fire inside me ☁️🌍🔥 #magic #clouds #sunset #magical #firesunset #ontheroad #mycar #iseefire #weekendvibes #greyclouds #lightclouds #bluesky #holland #naturephotography #skylover #skyview #keepongoing #enjoytheride #enjoy #lovinglife #skyearthfire #fireinsideme #fighter #happylife</t>
  </si>
  <si>
    <t>Berkel en Rodenrijs, Zuid-Holland, Netherlands</t>
  </si>
  <si>
    <t>magic</t>
  </si>
  <si>
    <t>iseefire</t>
  </si>
  <si>
    <t>enjoytheride</t>
  </si>
  <si>
    <t>loejkner</t>
  </si>
  <si>
    <t>1585519527297533582_283735678</t>
  </si>
  <si>
    <t>When the legs do not want to cooperate but the body still need to train . So all training will be seating on my ass and do the exercises 💪🍑 #training #upperbody #upperbodystrength #backmuscles #row #seatedrow #stupidlegs #girlwholift #muscels #storyofmylife #fitnessmotivation #myjourney #myfitnessjourney #workout #trainhard #bestrong #stronggirl #fitspo #motivation #inspiration #crossfit #crossfitaddict #crossfitathlete #nolegtraining #gym #gymtime #gohardorgohome #nevergiveup #keepongoing</t>
  </si>
  <si>
    <t>upperbodystrength</t>
  </si>
  <si>
    <t>stupidlegs</t>
  </si>
  <si>
    <t>seatedrow</t>
  </si>
  <si>
    <t>tronier93</t>
  </si>
  <si>
    <t>1585519641140077300_401416129</t>
  </si>
  <si>
    <t>Følger ham her idag! Kom så @marianborsinski !!! 🏃🏼🏊🏼🚴🏽
・・・
#Repost @linebonde ・・・
Marian er næsten inde i T2! Han ser rigtig godt ud og holder en rigtig god fart! Nu skal løbeskoene kridtes, eller det skulle de gerne allerede være! Giv den gas Marian ☠️👌🏼
#kmdironmancopenhagen ironman #upcoming #mulitisport #tri365 #lovemylife #fitness #ironmanbarcelona2017 #outofcomfortzone #trilabdk #triathlon #triatlete #invisibleguns #worldoffusion #IMHamburg #keepongoing #purepowerdk #smileplease #swimbikerun</t>
  </si>
  <si>
    <t>polinabhristova</t>
  </si>
  <si>
    <t>1585522137304626159_179757747</t>
  </si>
  <si>
    <t>#workhard #playhard #workharder #motivation #keepongoing #slowprogressisprogress</t>
  </si>
  <si>
    <t>playhard</t>
  </si>
  <si>
    <t>slowprogressisprogress</t>
  </si>
  <si>
    <t>1585522938727518481_1252777039</t>
  </si>
  <si>
    <t>Never let small minds convince you that you're dreams are too big 
#keepongoing #herbalife #lovelife #dreams #power</t>
  </si>
  <si>
    <t>lovelife</t>
  </si>
  <si>
    <t>jemm2468</t>
  </si>
  <si>
    <t>1585527400408915126_266022989</t>
  </si>
  <si>
    <t>WOW!!! 🙈 #swl #slimmingworldlee #slimmingworld #whatadifference #gettingthere #keepongoing #healthier #closetotarget #iwasamess 😯 #happygirl 💖😁</t>
  </si>
  <si>
    <t>swl</t>
  </si>
  <si>
    <t>gettingthere</t>
  </si>
  <si>
    <t>slimmingworldlee</t>
  </si>
  <si>
    <t>closetotarget</t>
  </si>
  <si>
    <t>whatadifference</t>
  </si>
  <si>
    <t>1585539337760538446_5586814877</t>
  </si>
  <si>
    <t>Breakfast for lunch 👌🏻 smash potato cakes, avocado (3 syns), poached eggs, ham, tomato and mushrooms 😍
#breakfastforlunch #poachedeggs #avocado #yum #sunday #fooddiary #slimmingworld #sw #slimmingworldfood #slimmingworldjourney #health #happiness #selfimprovement #bethebestyou #keepongoing #nomorestartingover</t>
  </si>
  <si>
    <t>breakfastforlunch</t>
  </si>
  <si>
    <t>poachedeggs</t>
  </si>
  <si>
    <t>1585542069710947391_640742459</t>
  </si>
  <si>
    <t>~ Refuse to accept Mediocrity ~
#sunday #funday #wodday #crossfit #endurance #goodone #inspiration #inspire #motivated #motivation #keepongoing #pushyourself #gold #discipline #crossfitlover #sportaddict #roundsfortime #run #pushup #row #calories #squat #doubleunders #done</t>
  </si>
  <si>
    <t>Catering Lombaerts</t>
  </si>
  <si>
    <t>wodday</t>
  </si>
  <si>
    <t>doubleunders</t>
  </si>
  <si>
    <t>gold</t>
  </si>
  <si>
    <t>kuzcath</t>
  </si>
  <si>
    <t>1585543750352350786_2279708071</t>
  </si>
  <si>
    <t>#keepongoing #keeponworking</t>
  </si>
  <si>
    <t>keeponworking</t>
  </si>
  <si>
    <t>1585557142922947401_218949811</t>
  </si>
  <si>
    <t>Found this old picture,  #thenandnow 😂, well... #ididitmyway , gotta love my #weightlossjourney ❤, cause I believe that #nopainnogain , I'll #keepongoing , I can do it! 💪
#iloveworkout #everydayisagymday ✌</t>
  </si>
  <si>
    <t>iloveworkout</t>
  </si>
  <si>
    <t>ididitmyway</t>
  </si>
  <si>
    <t>thenandnow</t>
  </si>
  <si>
    <t>1585563418113617569_5620542121</t>
  </si>
  <si>
    <t>Short night, small breakfast and a late short but intense back workout. Now rest eat and off to work. Best Sunday you can have 😎💪💪 joro10 10% sparen bei @loyalfitness
#loyalfitness #zkonzept #gym #fitness #fit #fitfam #training #trytogetbig #backworkout #keepongoing #gymlove #dreambig #neverquit #stayhungry #sunnyday #stayfocused #lovewhatudo #focus #olimp #optimumnutrition #smallgains #gainzcomingsoon #gainz #smallgainz #cologne #bodybuilding #getfit #instagood #zkonzept</t>
  </si>
  <si>
    <t>lovewhatudo</t>
  </si>
  <si>
    <t>gainzcomingsoon</t>
  </si>
  <si>
    <t>conqueringwanderlust</t>
  </si>
  <si>
    <t>1585564202112893045_396521549</t>
  </si>
  <si>
    <t>Follow @conqueringwanderlust for Epic Travel Shots!
Maldives.
Photo by @kardinalmelon
.
.
.
.
.
.
.
.
#journeytohealth #travelclub #thailandtravel #lifeisart #paradisedynasty #igers #travelblogger #getoutdoors #awesome_hotel #webstagram #keepongoing #seeingtheworld #paradiseinterior #travelgermany #liveforthis #hijabtraveler #mytravelgram #crystalclearwater #travelinsta #seetheworld #beachlovers #creativepreneur #travelvlog #journeybegins #travellife</t>
  </si>
  <si>
    <t>journeybegins</t>
  </si>
  <si>
    <t>webstagram</t>
  </si>
  <si>
    <t>beachlovers</t>
  </si>
  <si>
    <t>seeingtheworld</t>
  </si>
  <si>
    <t>suziphon</t>
  </si>
  <si>
    <t>1585573081806861554_2869328874</t>
  </si>
  <si>
    <t>#barcelona  #barcelonastreets #nocrime #peaceandlove✌ #spain❤️ #bnw #emptystreets #beautifulcity #cosmopolitan #keepongoing</t>
  </si>
  <si>
    <t>Gothic Quarter, Barcelona</t>
  </si>
  <si>
    <t>cosmopolitan</t>
  </si>
  <si>
    <t>beautifulcity</t>
  </si>
  <si>
    <t>spain❤️</t>
  </si>
  <si>
    <t>beautiunicornn</t>
  </si>
  <si>
    <t>1585573623484475200_2215932243</t>
  </si>
  <si>
    <t>Never question GOD on anything !!Let him move in your Life #keepongoing
#godisalwayswithyou #trustinhim🙏 #heneverfails.  May you have a barak (blessed) day #shalom</t>
  </si>
  <si>
    <t>heneverfails</t>
  </si>
  <si>
    <t>shalom</t>
  </si>
  <si>
    <t>godisalwayswithyou</t>
  </si>
  <si>
    <t>trustinhim🙏</t>
  </si>
  <si>
    <t>kates100by30</t>
  </si>
  <si>
    <t>1585576225866644458_4017129649</t>
  </si>
  <si>
    <t>And so began Day 7 of the cleanse. Down 7.6 lbs and officially at my lowest weight! #advocare #cleanse #10daycleanse #day7 #24daychallenge #spark #herbalcleanse #weightloss #lowestweight #keepongoing #eatclean</t>
  </si>
  <si>
    <t>cleanse</t>
  </si>
  <si>
    <t>day7</t>
  </si>
  <si>
    <t>spark</t>
  </si>
  <si>
    <t>mattaronbieg</t>
  </si>
  <si>
    <t>1585577716395842738_981751584</t>
  </si>
  <si>
    <t>Just me. Sunglasses and New Era and Sun. Nice to meet You. 🇮🇪 Po prostu Ja. Okulary, czapka, słońce. 
Miło mi Cię poznać. 🇵🇱
•
•
•
•
#keepongoing #striveforgreatness #polishman #polishmodel #model 
#newyork #newyorkcity #selfie</t>
  </si>
  <si>
    <t>Coney Island Beach &amp; Boardwalk</t>
  </si>
  <si>
    <t>polishmodel</t>
  </si>
  <si>
    <t>striveforgreatness</t>
  </si>
  <si>
    <t>newyorkcity</t>
  </si>
  <si>
    <t>moisudyen</t>
  </si>
  <si>
    <t>1585585427507377698_1557272543</t>
  </si>
  <si>
    <t>When I look into your eyes
It's like watching the night sky
Or a beautiful sunrise
There's so much they hold
And just like them old stars
I see that you've come so far
To be right where you are
How old is your soul?
I won't give up on us🎵
Even if the skies get rough☁
I'm giving you all my love💗
I'm still looking up🙆
And when you're needing your space
To do some navigating
I'll be here patiently waiting
To see what you find 'Cause even the stars they burn
Some even fall to the earth
We've got a lot to learn
God knows we're worth it
No, I won't give up
I don't wanna be someone who walks away so easily
I'm here to stay and make the difference that I can make
Our differences they do a lot to teach us how to use
The tools and gifts we got yeah, we got a lot at stake
And in the end, you're still my friend at least we did intend
For us to work we didn't break, we didn't burn
We had to learn how to bend without the world caving in
I had to learn what I've got, and what I'm not
And who I am
I won't give up on us
Even if the skies get rough
I'm giving you all my love
I'm still looking up
Still looking up.
I won't give up on us (no I'm not giving up)
God knows I'm tough enough (I am tough, I am loved)
We've got a lot to learn (we're alive, we are loved)
God knows we're worth it (and we're worth it)
I won't give up on us
Even if the skies get rough
I'm giving you all my love
I'm still looking up 🌑🌒🌘🌖🌕🌌🌆🌃🌉 #tidakselamanyaorangbenardilupakan #satusatunya #keepongoing</t>
  </si>
  <si>
    <t>Special Region of Yogyakarta</t>
  </si>
  <si>
    <t>tidakselamanyaorangbenardilupakan</t>
  </si>
  <si>
    <t>satusatunya</t>
  </si>
  <si>
    <t>_sanderrrr</t>
  </si>
  <si>
    <t>1585588113975350501_321372680</t>
  </si>
  <si>
    <t>Focus #setgoals #keepongoing #sports #therock</t>
  </si>
  <si>
    <t>sports</t>
  </si>
  <si>
    <t>therock</t>
  </si>
  <si>
    <t>daggfadern</t>
  </si>
  <si>
    <t>1585598275582842717_502395831</t>
  </si>
  <si>
    <t>egg whites with ham!</t>
  </si>
  <si>
    <t>egg</t>
  </si>
  <si>
    <t>mayushkanyc</t>
  </si>
  <si>
    <t>1585600370737293199_605044739</t>
  </si>
  <si>
    <t>Only one thing in life is certain.  Time will keep on ticking.  And I am right here waiting... ⏱
#waitingpatiently #righthere #always #anythingispossible #keepongoing #gm #facts</t>
  </si>
  <si>
    <t>righthere</t>
  </si>
  <si>
    <t>facts</t>
  </si>
  <si>
    <t>iridescent.squanch</t>
  </si>
  <si>
    <t>1585600501808913098_9788923</t>
  </si>
  <si>
    <t>"Forget about her looks. How about her insane work ethic, her unstoppable ambition and her ridiculously door soul." - Word Porn #positivevibes #quoteoftheday #stayfocused #staypositive #keepongoing</t>
  </si>
  <si>
    <t>sarahjeanclarke</t>
  </si>
  <si>
    <t>1585604587163023674_23051193</t>
  </si>
  <si>
    <t>Tomorrow is a new day.. #love#depression#positivethinking#keepongoing</t>
  </si>
  <si>
    <t>dawn_ison_29</t>
  </si>
  <si>
    <t>1585606873428378375_355961497</t>
  </si>
  <si>
    <t>#memyselfandi #me #helloworld #fab #curlyhair #sidecut #tattoos #cutepic #myownstyle #keepongoing #bosslady #like4like #like4follow #ifollowback #darkness #rad #gothicgirl #sunglasses #onpoint #peace✌️ #love #serenity ....</t>
  </si>
  <si>
    <t>curlyhair</t>
  </si>
  <si>
    <t>rad</t>
  </si>
  <si>
    <t>sunglasses</t>
  </si>
  <si>
    <t>shawn_solo_33</t>
  </si>
  <si>
    <t>1585612528171659782_367557938</t>
  </si>
  <si>
    <t>There arent many things better than sunlight diffused through palm trees. 
#Repost @wanderful.destinations
・・・
Reaching the sky
Photo by @paolo.fortades
Tag your friends 😍
.
.
.
.
.
.
.
.
#travelwithme #keepongoing #paycationtravel #travellife #ecotravel #meditative #visualsoflife #goodkarma #traintravel #travelgermany #yogajunkie #creativehappylife #lifeispeople #creativeentrepreneur #livefornow #doingwhatilove #spiritualquotes #lovewhatyoudodowhatyoulove #slowtravel #way2ill #longtravel #islandliving #sunsetcliffs #paradisevalley #travelgreece</t>
  </si>
  <si>
    <t>traintravel</t>
  </si>
  <si>
    <t>lovewhatyoudodowhatyoulove</t>
  </si>
  <si>
    <t>lifeispeople</t>
  </si>
  <si>
    <t>wiancarstens</t>
  </si>
  <si>
    <t>1585613214485173531_1562630802</t>
  </si>
  <si>
    <t>Banhoek duo
#boschendal #trailrunning #runbikerun #duo #newbalance #mtb #running #getfit #getoutside #enjoylife #keepongoing #farmlife #banhoek #banhoek duo #mudfest</t>
  </si>
  <si>
    <t>mudfest</t>
  </si>
  <si>
    <t>banhoek</t>
  </si>
  <si>
    <t>1585613503472823561_1562630802</t>
  </si>
  <si>
    <t>Banhoek duo
#boschendal #trailrunning #runbikerun #duo #newbalance #mtb #running #getfit #getoutside #enjoylife #keepongoing #farmlife #banhoek #banhoekduo</t>
  </si>
  <si>
    <t>newbalance</t>
  </si>
  <si>
    <t>1585613939940382648_1562630802</t>
  </si>
  <si>
    <t>Banhoek duo
#boschendal #trailrunning #runbikerun #duo #newbalance #mtb #running #getfit #getoutside #enjoylife #keepongoing #farmlife #banhoek #banhoek duo #silwerbackbikes</t>
  </si>
  <si>
    <t>1585618232247834715_2977071757</t>
  </si>
  <si>
    <t>😍😍😍
Follow @girls_fitness_vault for more 👈🏻
✨ Double tap if you Like it ✨</t>
  </si>
  <si>
    <t>andersoncreativeco</t>
  </si>
  <si>
    <t>1585619344151151113_5511205624</t>
  </si>
  <si>
    <t>A lesson from my 2 year old... sometimes you have to build something just so you can tear it down and start over and make it even better. I know a lot of small business owners who built a business and things didn't go right. Quite a few of them used those lessons they learned from failure to build something even better. So if you fail don't give up on your dream. Just build it again and make it better.</t>
  </si>
  <si>
    <t>businessmotivation</t>
  </si>
  <si>
    <t>startagain</t>
  </si>
  <si>
    <t>heartsandminds</t>
  </si>
  <si>
    <t>cusca_</t>
  </si>
  <si>
    <t>1585627600865144719_268410102</t>
  </si>
  <si>
    <t>Four wheel drive in Berlin
.
.
#berlin #bike #travelling #wondering #cuscacantstoptravelling #keepongoing</t>
  </si>
  <si>
    <t>Türkischer Markt Maybachufer</t>
  </si>
  <si>
    <t>wondering</t>
  </si>
  <si>
    <t>cuscacantstoptravelling</t>
  </si>
  <si>
    <t>bike</t>
  </si>
  <si>
    <t>dodo.priyambodo</t>
  </si>
  <si>
    <t>1585627768703752669_253524140</t>
  </si>
  <si>
    <t>Black and bitter,, will never fail ☕️
.
.
#coffee 
#bethankful 
#keepongoing 
#jakarta
#nightynight</t>
  </si>
  <si>
    <t>bethankful</t>
  </si>
  <si>
    <t>nightynight</t>
  </si>
  <si>
    <t>jakarta</t>
  </si>
  <si>
    <t>sunshine_danii</t>
  </si>
  <si>
    <t>1585640363309453388_5837371298</t>
  </si>
  <si>
    <t>Never stop looking up 🙄✨ #alwayslookup #keepmovingforward #theview #sf #sanfrancisco #theskyisbeautiful #photographyislifee #photography #capturemagic #bayarea #bayareaphotography #art🎨 #inspiration #inspiringquotes #keepongoing #thecity #california #quotelover #followyourpassion #sunshine_danii</t>
  </si>
  <si>
    <t>art🎨</t>
  </si>
  <si>
    <t>bayareaphotography</t>
  </si>
  <si>
    <t>theview</t>
  </si>
  <si>
    <t>thecity</t>
  </si>
  <si>
    <t>theskyisbeautiful</t>
  </si>
  <si>
    <t>1585645776126011253_52106195</t>
  </si>
  <si>
    <t>#zevenheuvelenloop maar dan de Almeerse...#spoorbaanpad 💪🏻🏃🏻‍♀️#hilltraining #backontrack #trainingsmode #damtotdamloop2017 #bruggentraining #trainingforahalfmarathon #sundaytraining #sundayrunday #runnerslife #runnersofinstagram #runnergirls #progress #keepongoing #nevernotrunning #run #justrun #runnersworldnl #run2day #runnersgirl #summerloop #gl2r #nike #adidas #adidasboost #hardlopen #rennen #runners #fitgirlsnl</t>
  </si>
  <si>
    <t>Almere</t>
  </si>
  <si>
    <t>damtotdamloop2017</t>
  </si>
  <si>
    <t>backontrack</t>
  </si>
  <si>
    <t>sundaytraining</t>
  </si>
  <si>
    <t>trainingforahalfmarathon</t>
  </si>
  <si>
    <t>1585649962821421663_52106195</t>
  </si>
  <si>
    <t>trainingsmode</t>
  </si>
  <si>
    <t>runnersofinstagram</t>
  </si>
  <si>
    <t>adidasboost</t>
  </si>
  <si>
    <t>1585650018739307997_3879735363</t>
  </si>
  <si>
    <t>#healthydessert #blueberry #blueberries #raspberry #raspberries #turkishyoghurt #yoghurt #yogurt #metime #pamperingtime #pamperingmyself #weightlossmotivation #motivation #iwilldoit #weightlossjourney #weightlosschallenge #challengeyourself #justdoit #keepongoing #losingweight #healthierlife #fitby2018 #ideservethis #roughday #soworthit</t>
  </si>
  <si>
    <t>weightlosschallenge</t>
  </si>
  <si>
    <t>yogurt</t>
  </si>
  <si>
    <t>raspberry</t>
  </si>
  <si>
    <t>turkishyoghurt</t>
  </si>
  <si>
    <t>1585652689008836647_1495181099</t>
  </si>
  <si>
    <t>'Cause we all get lost sometimes, you know? •
•
•
#travelphotography #travelling #voglioviverecosi #budapest #hungary #hungarian #chainbridge #light #nightlife #smile #wonderlust #lost #selfie #me #keepongoing #neverstop #trip #europe #keeponsmiling #laugh #bestmoment #solocosebelle #thismakesmehappy #travelgram</t>
  </si>
  <si>
    <t>Chain Bridge</t>
  </si>
  <si>
    <t>solocosebelle</t>
  </si>
  <si>
    <t>chainbridge</t>
  </si>
  <si>
    <t>1585654354878447659_4869035138</t>
  </si>
  <si>
    <t>Would you add anything else❓
Follow us to success @100xsuccess 🔥
•
📷 @sollenaphotography &amp; @herr_matthes</t>
  </si>
  <si>
    <t>Tampa, Florida</t>
  </si>
  <si>
    <t>1585654362997387525_5705167414</t>
  </si>
  <si>
    <t>#1 -  Russell Westbrook, since KD left OKC, Westbrook had the chance to break out and do what he wants on the floor and that has lead to him averaging a triple double, having 31.6 ppg, 10.7 rpg, and 10.4 apg. Westbrook's MVP season has been one of a kind, he broke so many triple double records and had a ton of headlines in every sports news possible, but there are 2 problems, 1.Just like Harden, Westbrook's turnovers per game aren't as impressive, having 5.4 TOPG makes his triple double stats not as fantastic, 2.Even though his stats are amazing, he still isn't capable of leading his team to the Finals, which makes him less valuable, so unless he leads his team to the finals next season, Westbrook won't be as valuable as Steph or Lebron (knowing both of them carried their teams to the Finals and won) but statwise this season, Westbrook is #1  #Dubnation
-
-
-
-
-
-
-
-
-
-
-
-
-
-
-
-
-
-
-
-
-
-
-
-
-
-
-
-
-
-
-
-
-
-
-
-
-
-
-
-
 #StephGonnaSteph #Mvp #SC30 #KT11 #DG23 #CURRYMVP #KEEPONGOING #NEVERGIVEUP #WCF #WEST #WESTERNCONFERENCEFINALS #CHAMPS #DUBSFORCHAMPS #DUBS #ALWAYSBELIEVEINGOD #STEPHENCURRY #EVEN #NBA #2016CHAMPS #CHAMPIONS #LOCKIN #STEPH #SPLASH #SPLASHBROS  #like4like #like4follow #follow4follow</t>
  </si>
  <si>
    <t>oana_laufer</t>
  </si>
  <si>
    <t>1585656328223086934_4005608132</t>
  </si>
  <si>
    <t>#me#selfie#moment#beautyblogger#curls#blondehair#daily#picoftheday#nude#makeup#mystyle#mykindofmix#rolling#keepongoing#womanthings#hotgirl#like4like#followme#instagood#instabeauty#magic#shot#pure#people#fashion#style#</t>
  </si>
  <si>
    <t>people</t>
  </si>
  <si>
    <t>shot</t>
  </si>
  <si>
    <t>sia.alekseevna</t>
  </si>
  <si>
    <t>1585664527775971148_345027692</t>
  </si>
  <si>
    <t>Never give up
Keep on going UP
#stairs #upstairs #blackandwhite #neverstopexploring #nevergiveup #keepongoing #bestisahead #thankgodforeverything #ukraine</t>
  </si>
  <si>
    <t>Kamenets Podolski, Khmel'Nyts'Ka Oblast', Ukraine</t>
  </si>
  <si>
    <t>ukraine</t>
  </si>
  <si>
    <t>thankgodforeverything</t>
  </si>
  <si>
    <t>upstairs</t>
  </si>
  <si>
    <t>lodmare</t>
  </si>
  <si>
    <t>1585665625938706941_4463656651</t>
  </si>
  <si>
    <t>Dining #Lodmare</t>
  </si>
  <si>
    <t>djon_ver</t>
  </si>
  <si>
    <t>1585666011628472725_336749750</t>
  </si>
  <si>
    <t>Net terug van londen nu al weer op naar Belgie #work #traveling #strongviking #ocrseries #keepongoing</t>
  </si>
  <si>
    <t>strongviking</t>
  </si>
  <si>
    <t>ocrseries</t>
  </si>
  <si>
    <t>1585670648331832391_2375665907</t>
  </si>
  <si>
    <t>Vielen Danke @dymatize_europe für das Packet 😃 Freu mich die Produkte testen zu dürfen. Besonders auf das Iso 100 Hydrolyzed von dem ich schon sehr viel gutes gehört habe 😉 Aktuell gibt es 25% bei #dymatize_europe auf alle ISO100 Produkte im Online Store 💪 Den Link dazu findet ihr in meiner Bio #getdymatized #dymatize #ad #fitnesslife #healthylife #muscles #austria #innsbruck #summer #happy #sponsor #sponsorship #biceps #triceps #keepongoing #protein #physique #followme #instafit #follow4follow #speedfitinnsbruck #shredded #fit #fitness #smile</t>
  </si>
  <si>
    <t>speedfitinnsbruck</t>
  </si>
  <si>
    <t>garthdallas</t>
  </si>
  <si>
    <t>1585671559963440319_318930269</t>
  </si>
  <si>
    <t>Some thieving low-life idiots stole my beloved blue bicycle. So what does one do? Replace it with a vintage, stunning late 70's /80's burgundy Peugeot 15 speed touring bike! I refuse to stop riding! The Brave May Fall but Never Yield! It's not as good as my other bike but it's still good enough #instacycling #keepcycling #keepongoing #lovecycling #peugeot #cheapandcheerful</t>
  </si>
  <si>
    <t>keepcycling</t>
  </si>
  <si>
    <t>instacycling</t>
  </si>
  <si>
    <t>peugeot</t>
  </si>
  <si>
    <t>tiiziianaaaa</t>
  </si>
  <si>
    <t>1585673419004687428_1818988599</t>
  </si>
  <si>
    <t>And we finish our weekend at circuit zolder!! #heavy #weekend #tired #keepongoing #24 #hours #elevensports #24zolder #2017❤️ #circuitzolder #fast #racing #cars #loud #fun #happy #togheter #summer</t>
  </si>
  <si>
    <t>24zolder</t>
  </si>
  <si>
    <t>katrinalouise92</t>
  </si>
  <si>
    <t>1585677180028801814_581204912</t>
  </si>
  <si>
    <t>Sunday vibes 🌿⛰ #feelingthoughtful #motivationalquotes #keepongoing #happiness #nature #journey #discovery #justme</t>
  </si>
  <si>
    <t>justme</t>
  </si>
  <si>
    <t>1585679469698499166_5705167414</t>
  </si>
  <si>
    <t>Just finished the top 25 players series, probably gonna make another series in around 5 days or so, untill then I'm just gonna be posting edits and daily content, be sure to be on when I start the series!!!! #Dubnation
-
-
-
-
-
-
-
-
-
-
-
-
-
-
-
-
-
-
-
-
-
-
-
-
-
-
-
-
-
-
-
-
-
-
-
-
-
-
-
-
 #StephGonnaSteph #Mvp #SC30 #KT11 #DG23 #CURRYMVP #KEEPONGOING #NEVERGIVEUP #WCF #WEST #WESTERNCONFERENCEFINALS #CHAMPS #DUBSFORCHAMPS #DUBS #ALWAYSBELIEVEINGOD #STEPHENCURRY #EVEN #NBA #2016CHAMPS #CHAMPIONS #LOCKIN #STEPH #SPLASH #SPLASHBROS  #like4like #like4follow #follow4follow</t>
  </si>
  <si>
    <t>bruyntje98</t>
  </si>
  <si>
    <t>1585681330216192188_464350232</t>
  </si>
  <si>
    <t>Photography, is more than "just a hobby" it's nothing more than capturing things that you love, that you like &amp; you want to keep in minds #me #photo #photographing #SDBPictures #quote #quoteoftheday #hobby #capturingthings #live #love #laugh #like4like #follow4follow #bw #blackandwhite #canon #700d📷 #belgian #sunglasses #happy #positivity #zoo #pairidaiza #mind #trueshit #keepsmiling #keepongoing</t>
  </si>
  <si>
    <t>hobby</t>
  </si>
  <si>
    <t>capturingthings</t>
  </si>
  <si>
    <t>josmelismo</t>
  </si>
  <si>
    <t>1585685838859514384_4409141</t>
  </si>
  <si>
    <t>...Find your hope path and moving forward 🛣
.
#path #spain #madrid #keepongoing #move</t>
  </si>
  <si>
    <t>spain</t>
  </si>
  <si>
    <t>path</t>
  </si>
  <si>
    <t>jessemota12</t>
  </si>
  <si>
    <t>1585692953397768700_499381168</t>
  </si>
  <si>
    <t>Ya gotta stay positive, stay motivated, and never give up! 💯 rs #staystrong #keepongoing #dontstop</t>
  </si>
  <si>
    <t>South Central LA</t>
  </si>
  <si>
    <t>janarneslutas</t>
  </si>
  <si>
    <t>1585693263975880677_492941863</t>
  </si>
  <si>
    <t>Kjekk treningsøkt ilag med @robinmisund i dag😄
#trening #treningsglede #fitnessfabriken #styrkeøkt #keepongoing  #setgoals #reachyourgoals #neverquit</t>
  </si>
  <si>
    <t>trening</t>
  </si>
  <si>
    <t>styrkeøkt</t>
  </si>
  <si>
    <t>sweatit.mrn</t>
  </si>
  <si>
    <t>1585697161005185694_2964099645</t>
  </si>
  <si>
    <t>😚I was going through my closet last night to eliminate all the baggy-looking clothes 🙈 and found this dress that I just had to try on. 💃🏻I've only worn it once before - on April 16, 2016. While the weight difference between t h e s e two photos isn't much (perhaps 3 kg), it feels like a whole new body. 🙌🏻💪🏻• 👉🏻Since June 12th, I have lost 8,2 kilos and I am nowhere near done but it's a very good motivator to keep on going. • #lifestylechanges #forthebetter #changesforthebetter #thisismyolympics #goingforthegold #weightlossjourney #beyourownmotivation #transformation #commitment #keepongoing #progress #fitazfk #fitazfkteam #FitAzFkArmy #week7done #onemoretogo #sweat #healthy #fitlap</t>
  </si>
  <si>
    <t>forthebetter</t>
  </si>
  <si>
    <t>thisismyolympics</t>
  </si>
  <si>
    <t>angeleyes33544</t>
  </si>
  <si>
    <t>1585697207376467994_1415903561</t>
  </si>
  <si>
    <t>#lovinlife #livinglifetothefullest #happyascanbe #unbreakable #killitwithkindness #confidenceissexy #hazeleyes #longhair #thenewme #whatyouseeiswhatyouget #keepongoing #nostoppingme #karmawillgetyou #beauty #donthate #ihavesomebeautytipsforyou #loveyourself #ivechanged #positivevibes</t>
  </si>
  <si>
    <t>lovinlife</t>
  </si>
  <si>
    <t>confidenceissexy</t>
  </si>
  <si>
    <t>ihavesomebeautytipsforyou</t>
  </si>
  <si>
    <t>hazeleyes</t>
  </si>
  <si>
    <t>1585701559244071547_4773778225</t>
  </si>
  <si>
    <t>Today's views 🛥🛶🚤💙🦋#worldtravelbook #flashesofdelight #art #lake #rainbow #goodafternoonpost #keeponkeepingon #keepongoing #motivation #motivationeveryday #sunset #flowers #architecturephotography #architecture #tagsforlikes #bluesky #likesforlikes #follow #almosttheweekend #smile #happy #morningmotivation #flower #behappy #grateful</t>
  </si>
  <si>
    <t>nicolet70</t>
  </si>
  <si>
    <t>1585708314279318966_17284663</t>
  </si>
  <si>
    <t>Me#happyme#happyface #happyfeelings #bestrong #nevergiveup #running #keepongoing #keepmyheadup #lovefeelings #hestolemyheart #lovehim #tillthemoonandback🌙🔙🌍 #snapchat #selfietime</t>
  </si>
  <si>
    <t>lovehim</t>
  </si>
  <si>
    <t>lovefeelings</t>
  </si>
  <si>
    <t>happyme</t>
  </si>
  <si>
    <t>happyface</t>
  </si>
  <si>
    <t>1585708721915383889_5509071474</t>
  </si>
  <si>
    <t>Went on a hike with a couple of friends. At the bottom of the trail there was a natural seat in a tree so of course we had to take turns getting out picture in it. 
#weightloss #weightlossjourney #weightlossstory #weightlossdiary #weightlossblog #weightlosssupport #weightlosscommunity #weightlossmotivation #keepongoing #nevergiveup #wegotthis #yougotthis #letsdoit  #hike</t>
  </si>
  <si>
    <t>weightlosssupport</t>
  </si>
  <si>
    <t>1585709307775844094_5509071474</t>
  </si>
  <si>
    <t>Let's see where this goes. 
#weightloss #weightlossjourney #weightlossstory #weightlossdiary #weightlossblog #weightlosssupport #weightlosscommunity #weightlossmotivation #keepongoing #nevergiveup #wegotthis #yougotthis #letsdoit</t>
  </si>
  <si>
    <t>1585711876577302081_5509071474</t>
  </si>
  <si>
    <t>Don't forget to stop and appreciate the view. This is a long journey and you need to learn to appreciate all aspects of it. When you see the beauty in ever step it helps you through the difficult times. Never give up on yourself. One of my friends on the hike was having a hard time and was saying out loud "don't give up, keep on going" over and over to herself. That strength she showed inspired me to continue pushing myself forward. Sometimes the climb is very much a steep incline that seems impossible but you need to keep on pushing yourself forward and don't be afraid to ask for a helping hand. 
#weightloss #weightlossjourney #weightlossstory #weightlossdiary #weightlossblog #weightlosssupport #weightlosscommunity #weightlossmotivation #keepongoing #nevergiveup #wegotthis #yougotthis #letsdoit</t>
  </si>
  <si>
    <t>1585712994006995845_5509071474</t>
  </si>
  <si>
    <t>We made it to the top and the views were amazing! Got to enjoy our packed lunch at the top before our hike back down. An beautiful day for a hike with my best friends. 
#weightloss #weightlossjourney #weightlossstory #weightlossdiary #weightlossblog #weightlosssupport #weightlosscommunity #weightlossmotivation #keepongoing #nevergiveup #wegotthis #yougotthis #letsdoit</t>
  </si>
  <si>
    <t>the_sporty_yogi</t>
  </si>
  <si>
    <t>1585713172593428151_4609542286</t>
  </si>
  <si>
    <t>No matter what happened yesterday, regardless of how horrible it might have been, take a deep breath and remind yourself that today is a new day! Here's a good morning post workout/pre church selfie for you ☺️Happy Sunday!! Best day of the week 💖🙏🏽
-
-
#windowstothesoul #nomakeup #messyhairdontcare #naturalbeauty #postworkout #selfie #posing #modeling #allnatural  #yogainstructor #yogateacher #yogilife #fitness #yogisofinstagram #instadaily #mixedgirl #mixedrace #sunday #sundaze #goodmorning #newday #keepongoing #dontgiveup #fitchick #exercise #health #messyhair #itsanewday #beautyisintheeyesofthebeholder #namaste</t>
  </si>
  <si>
    <t>mixedrace</t>
  </si>
  <si>
    <t>messyhairdontcare</t>
  </si>
  <si>
    <t>beautyisintheeyesofthebeholder</t>
  </si>
  <si>
    <t>1585714030906105911_5509071474</t>
  </si>
  <si>
    <t>Even went up the view tower and felt on top of the world with such beautiful views all around us. 
#weightloss #weightlossjourney #weightlossstory #weightlossdiary #weightlossblog #weightlosssupport #weightlosscommunity #weightlossmotivation #keepongoing #nevergiveup #wegotthis #yougotthis #letsdoit</t>
  </si>
  <si>
    <t>1585725617268187281_4678264587</t>
  </si>
  <si>
    <t>- 2:30 vs PB 👍🏻
#ARTEMIS this evening. It's all about rep and strength.. felt like I was weighing a 100kg when doing the last round of burpees 😱
Was hard but not impossible, keep pushing! 💪🏻 #freeletics #bodyweight #freeleticsangers #freeleticsecouflant #hippodrome #angers #ecouflant #freeathlete #freeleticslifestyle #fit #fitness #fitnessmotivation #stayinshape #betterversionofyourself #keepongoing #trainingday #workout #noexcuses</t>
  </si>
  <si>
    <t>stayinshape</t>
  </si>
  <si>
    <t>acaleria</t>
  </si>
  <si>
    <t>1585732589359917924_31392172</t>
  </si>
  <si>
    <t>The 28th is the beginning of second semester (medical/surgical nursing). It will be another cycle of no sleep and stress 😅 but sacrifices must be made to be a nurse! #classof2018 #studentnurse #nursingstudent #rnstudent #futurern #nursingschool #keepongoing #makeyourdreamscometrue #motivationalquotes</t>
  </si>
  <si>
    <t>classof2018</t>
  </si>
  <si>
    <t>nursingstudent</t>
  </si>
  <si>
    <t>rnstudent</t>
  </si>
  <si>
    <t>makeyourdreamscometrue</t>
  </si>
  <si>
    <t>mrmccallister_</t>
  </si>
  <si>
    <t>1585733445971025135_258078618</t>
  </si>
  <si>
    <t>We get old to soon and wise to late.
#view#0711#stuttgart#keepongoing#sunset#teambalr#thinkbigger#bleibstbeiuns❤️</t>
  </si>
  <si>
    <t>teambalr</t>
  </si>
  <si>
    <t>bleibstbeiuns❤️</t>
  </si>
  <si>
    <t>1585736241433143365_359685333</t>
  </si>
  <si>
    <t>Just watch me.</t>
  </si>
  <si>
    <t>One Fm</t>
  </si>
  <si>
    <t>radiodj</t>
  </si>
  <si>
    <t>theradiolife</t>
  </si>
  <si>
    <t>cookie_monstergrinch</t>
  </si>
  <si>
    <t>1585745400105753525_1530949519</t>
  </si>
  <si>
    <t>I'm working
on MYSELF
for MYSELF
by MYSELF ☯
#workout #proud #blessed #happy #fitness #formyself #keepongoing #goalsareset #sporty</t>
  </si>
  <si>
    <t>sporty</t>
  </si>
  <si>
    <t>goalsareset</t>
  </si>
  <si>
    <t>herrera_alyf</t>
  </si>
  <si>
    <t>1585747807436152128_3191046615</t>
  </si>
  <si>
    <t>"Kind heart, fierce mind, brave spirit"  #kindheart #fierce #bravespirit #crazyhairdontcare #curlyhair #keepongoing</t>
  </si>
  <si>
    <t>kindheart</t>
  </si>
  <si>
    <t>crazyhairdontcare</t>
  </si>
  <si>
    <t>bravespirit</t>
  </si>
  <si>
    <t>1585751929388002664_429150387</t>
  </si>
  <si>
    <t>So great seeing Angelica, enjoyed a good catch up around LondonTown and good meeting Nicole and Gabriela. It's #Goodtimes and #Yummytimes indeed 👍 😊 #LoveSundays 
#Londoner #LondonLife #CostaCoffee #YummyFood #Cappucino #Joy #Love #CatchUp #OxfordStreet #TottenhamCourtRoad #Sunday #Weekend #Shopping #Eating #Rain #Blessed #Thankful #Cakes #London #LondonTown #KeepOnGoing #Fun #LoveLondon #GreatDay #GodIsGood</t>
  </si>
  <si>
    <t>lovesundays</t>
  </si>
  <si>
    <t>lovelondon</t>
  </si>
  <si>
    <t>londontown</t>
  </si>
  <si>
    <t>1585752313006515921_4249248273</t>
  </si>
  <si>
    <t>After meeting #alexhonnold and frankly an amazing week, I really didn't think anything else good or worth celebrating could happen.
I was damn wrong! This year is my 5 years #cancerversary I've been indoor climbing the height of #everest for @shinecancersupport as my @smashitforshine #challenge in order to #giveback to a charity that has helped me turn my life around. This challenge has been incredible as I've been managing cancer secondary effects, issues with EDS and stuff coming from being a congenital amputee. Today, I hit 6000m out of 8848. I'm almost there, I'll need a 3rd jar 😂😂 for those that don't know, I put a bean in the jar for every metre climbed and change beans each week so you can see progress! Thoroughly chuffed that I hit 6000 today. @thecastleclimbingcentre @thisgirlcanclimbing @ehlersdanlosuk #sundayfunday #sundaymotivation #progress #fundraiser #amputee #believeinyourself #yesican #climber #climbing #climbing_is_my_passion #paraclimbing #thisgirlcan #thisgirlcanclimb #hijab #muslim #cancersucks #cancersurvivor #keepongoing #progress #training #determination #dontgiveup #goals #milestone #project #ehlersdanlossyndrome</t>
  </si>
  <si>
    <t>amputee</t>
  </si>
  <si>
    <t>everest</t>
  </si>
  <si>
    <t>hj.baby</t>
  </si>
  <si>
    <t>1585752538483951836_194011278</t>
  </si>
  <si>
    <t>A RABBIT run?!...who sees this too? 
#runlikeagirl#run2day#runlikearabbit#rabbitrun#instarunner#belgiumrunners#energylab#longslowrun#goodpace#keeponrunning#hardloopnetwerk#instarunnersbelgium#marathontraining#altrarunning#altrazerodrop#altrashoes#mudrun#nymarathon#nymarathon2017#hardlopen#hardlooptraining#instafeelgood#gettingbetter#gettingfaster#gettingthere#dontlookback#keepongoing#livetoday#relaxandenjoy#sportersbelevenmeer</t>
  </si>
  <si>
    <t>Wellen, Limburg, Belgium</t>
  </si>
  <si>
    <t>instafeelgood</t>
  </si>
  <si>
    <t>runlikearabbit</t>
  </si>
  <si>
    <t>run2day</t>
  </si>
  <si>
    <t>sportersbelevenmeer</t>
  </si>
  <si>
    <t>1585752562468897812_2715478190</t>
  </si>
  <si>
    <t>Finally got my 5k done in under 30mins, took two attempts tonight ... if at first you don't succeed have a swim in east dulwich pool and bit of a walk psych yourself up and then go and try again.. never give up on your goals 😊💪#loverunning #running #runninggoals #fastest5k #ocrtraining #obstaclecoursetraining #spartans #ironviking #swimtraining #swimming #nevergiveup #keeppushingon #keepongoing #keeptrying #daregreatly #ocrgirl #runlondon</t>
  </si>
  <si>
    <t>fastest5k</t>
  </si>
  <si>
    <t>1585760552054131685_279512262</t>
  </si>
  <si>
    <t>Я в этот раз обошлась без длинных постов об этом городе, даже без замёток в тетради. Это отчасти означает, что инфодетокс прошёл успешно. За четыре дня я прочла 1,5 книги, отоспалась вдоволь, вдоволь нагулялась и наелась сладостей. Мне кажется, это иногда необходимо, особенно после тяжёлого начала лета, переполненного экзаменами, дипломными защитами, работой и прочей жизнью. 3 дня в Питере, 4 — в Смоле. Вот и неделя на море😂 естественно, без моря.
.
#vscogood #livethedream #daily #dreamers #summertimesadness #sundaymood #summer #abmlife #authentic #abmhappylife #lifestyle #lifeex #livefolk #livestory #picoftheday #madrussians #keepongoing #vsco #vibes #vscocam #vscodaily #livy #москвичивсмоленске</t>
  </si>
  <si>
    <t>livefolk</t>
  </si>
  <si>
    <t>москвичивсмоленске</t>
  </si>
  <si>
    <t>1585762171257441285_15887082</t>
  </si>
  <si>
    <t>To stk Ironman overstået, en til mig og en til Marian. I morgen lader vi vores caps blive hjemme når vi flyver til Bulgarien! ☀️☀️Derefter er det igen tid til fokusere på Ironman, denne gang i Barcelona 🙂🙂 #kmdironmancopenhagen ironman #upcoming #mulitisport #tri365 #lovemylife #fitness #ironmanbarcelona2017 #outofcomfortzone #trilabdk #triathlon #triatlete #invisibleguns #worldoffusion #IMHamburg #keepongoing #purepowerdk #smileplease #swimbikerun</t>
  </si>
  <si>
    <t>innakantomaa</t>
  </si>
  <si>
    <t>1585764643270530016_5365403062</t>
  </si>
  <si>
    <t>#lift #your#headup #evening #exercise #athome #finally #mytime #relax #chillin #staypositive #keepongoing #lovethis #just #takeabreathe #tattoo #tattooed #girlswithink #fitness #stayfit #goodnight #sleeptight #kisses</t>
  </si>
  <si>
    <t>finally</t>
  </si>
  <si>
    <t>chillin</t>
  </si>
  <si>
    <t>camelihaa</t>
  </si>
  <si>
    <t>1585775676521504095_549047973</t>
  </si>
  <si>
    <t>.
The #road is long...Keep on #walking
.
#Iran #Tehran #mycity #peopleofmycity #blackandwhite #keeponwalking #keepongoing #life #longroad</t>
  </si>
  <si>
    <t>peopleofmycity</t>
  </si>
  <si>
    <t>iran</t>
  </si>
  <si>
    <t>mycity</t>
  </si>
  <si>
    <t>marvinlib18</t>
  </si>
  <si>
    <t>1585775898300737612_243596237</t>
  </si>
  <si>
    <t>Cloudy days don't last forever.
#cloudy #silhouette #tree #motivation #keepongoing #instapict #hk</t>
  </si>
  <si>
    <t>tree</t>
  </si>
  <si>
    <t>hk</t>
  </si>
  <si>
    <t>silhouette</t>
  </si>
  <si>
    <t>cloudy</t>
  </si>
  <si>
    <t>annalenath_</t>
  </si>
  <si>
    <t>1585776579782336065_250227815</t>
  </si>
  <si>
    <t>#focusonyourgoals #keepongoing #keepongrowing 🖤</t>
  </si>
  <si>
    <t>1585777508585033911_5717527571</t>
  </si>
  <si>
    <t>#keepongoing #inmemory #castellucciodinorcia #fioritura #flowers #eyeloosening #truecolors #view 
Fiori!</t>
  </si>
  <si>
    <t>fioritura</t>
  </si>
  <si>
    <t>castellucciodinorcia</t>
  </si>
  <si>
    <t>truecolors</t>
  </si>
  <si>
    <t>garun08</t>
  </si>
  <si>
    <t>1585781994879720337_525121737</t>
  </si>
  <si>
    <t>Sometimes i feel ashamed to be a part of this planet 
P.s - i hope everyone understand wat  i want to say .No need to explain in a thousands words .... #himalayas #keepongoing #mountainslove #gopro #natgeotravel #mountainman #lonelyplanet #bbcearth #explore #bbcearth #lonelyplanet #natgeocreative #nepal8thwonder #mounteverestofficial #natgeoadventure #himalayangeographic
#khumbutribe #sonyalpha #sonyimages  #thephotosociety
#northeastindia #photographersofindia #natgeotravellerindia #bbctravel</t>
  </si>
  <si>
    <t>Mother Earth</t>
  </si>
  <si>
    <t>sonyimages</t>
  </si>
  <si>
    <t>lonelyplanet</t>
  </si>
  <si>
    <t>natgeocreative</t>
  </si>
  <si>
    <t>nepal8thwonder</t>
  </si>
  <si>
    <t>mounteverestofficial</t>
  </si>
  <si>
    <t>1585783950526012157_540765515</t>
  </si>
  <si>
    <t>Busca lo que quieras fuera, cuando hayas encontrado lo que realmente buscas dentro.
#boya #krap #rtkrap #dubcork #cork #parkour #freerunning #front #tricking #poblenou #barcelona #bcn #17 #animals #animalspk #pk #jiujitsu #nogi #keepongoing #foton #airmov</t>
  </si>
  <si>
    <t>jiujitsu</t>
  </si>
  <si>
    <t>nogi</t>
  </si>
  <si>
    <t>foton</t>
  </si>
  <si>
    <t>krisbacara</t>
  </si>
  <si>
    <t>1585790713998679479_264451033</t>
  </si>
  <si>
    <t>"Be thankful for what you are now, and keep fighting for what you want to be tomorrow." #quoteoftheday✏️ #sunday #grateful #keepongoing #lovelife</t>
  </si>
  <si>
    <t>quoteoftheday✏️</t>
  </si>
  <si>
    <t>alyssademaster</t>
  </si>
  <si>
    <t>1585796166510321082_224501607</t>
  </si>
  <si>
    <t>💯 followers!!!!!! Thanks y'all!!!! xoxoxo #followers #appreciation #feelingloved #milestone #yippee #keepongoing #motivation #jumpforjoy #thankyou #100followers #100</t>
  </si>
  <si>
    <t>100</t>
  </si>
  <si>
    <t>feelingloved</t>
  </si>
  <si>
    <t>1585801857702367892_3284132002</t>
  </si>
  <si>
    <t>En bra dag på gymmet, där det stod cardio och rygg/axlar på schemat. Sen fixa matlådor till imorgon. #mywaytothenewme #keepongoing #mytimeisnow #myway #minresa #liftweights #liftgirl #training #gym #gymgirl #gymtime #girlswholift</t>
  </si>
  <si>
    <t>liftweights</t>
  </si>
  <si>
    <t>mytimeisnow</t>
  </si>
  <si>
    <t>1585805307074602088_216089260</t>
  </si>
  <si>
    <t>Thinking about how amazing this week will be!
#divineorder #empoweringwomen #goals #growth #happy #inspiration #jamaicanlifecoach #lifecoach #lovemyjob #mindset #morethanenough #nofear #nicolewright #purpose #success #survivor #universe #nevertoolatetostartover #nevertoolatetobegin #standuptocancer #nevergiveup #keepongoing #believeinyourself #happy #lovemylife  #anthropologie #naturalhair #jamaicanlifecoach</t>
  </si>
  <si>
    <t>nevertoolatetobegin</t>
  </si>
  <si>
    <t>morethanenough</t>
  </si>
  <si>
    <t>francescac7</t>
  </si>
  <si>
    <t>1585815031358726038_196076052</t>
  </si>
  <si>
    <t>Another day discovering SP 🕵🏻‍♀️✨💘 #stpetersburg #russia #stisaacscathedral #churchofthesavioronspilledblood #trip #traveling #whataview #awesome #day #best #guide #ever #neverstopexploring #gopro #keepongoing</t>
  </si>
  <si>
    <t>Saint Isaac's Cathedral</t>
  </si>
  <si>
    <t>comazza1986</t>
  </si>
  <si>
    <t>1585819269265086092_257811508</t>
  </si>
  <si>
    <t>Viviamo in un mondo talmente pieno di cose superflue da non lasciare più spazio alla vera felicità... #laricercadellafelicità #loveyourlife #keepongoing #appreciatewhatyouhave #feelthefeelings #muccino #willsmith #leadtheway #raiseup</t>
  </si>
  <si>
    <t>leadtheway</t>
  </si>
  <si>
    <t>muccino</t>
  </si>
  <si>
    <t>willsmith</t>
  </si>
  <si>
    <t>appreciatewhatyouhave</t>
  </si>
  <si>
    <t>cicmys</t>
  </si>
  <si>
    <t>1585827928690707487_51684299</t>
  </si>
  <si>
    <t>To me from me.. #uhaveto #nochooise #keepongoing</t>
  </si>
  <si>
    <t>uhaveto</t>
  </si>
  <si>
    <t>nochooise</t>
  </si>
  <si>
    <t>1585831676318099069_5793927980</t>
  </si>
  <si>
    <t>Today. Is AMAZING!!! LOVE LIFE AND BE THANKFUL FOR EVERY DAY!!
#blueeyes #bethankful #cannabiscommunity #cannabisculture #cannabis #cannagirls #dab #dablife #enjoylife #iihwarrior #keepongoing #keeponsurviving #love #live #laugh #perfectlyimperfect #persuitofhappiness #redhead #redhair #stillbreathing #survivor #todaywasagoodday #warrior #nevergiveup</t>
  </si>
  <si>
    <t>redhair</t>
  </si>
  <si>
    <t>keeponsurviving</t>
  </si>
  <si>
    <t>livelovetravellaugh</t>
  </si>
  <si>
    <t>1585837246202928378_5910679162</t>
  </si>
  <si>
    <t>#travel #morning #nikon3400d #travelling #traveller #world #photography #photooftheday #photographer #livelovetravellaugh #peace #keepongoing</t>
  </si>
  <si>
    <t>traveller</t>
  </si>
  <si>
    <t>nikon3400d</t>
  </si>
  <si>
    <t>maythesemicolonsbewithyou</t>
  </si>
  <si>
    <t>1585840936226451924_2073835842</t>
  </si>
  <si>
    <t>Keep on walking and don't give up. #donotgiveup #theroadislong #theroadisfar #keepgoing #keepwalking #success #successquotes #succesdoesnotcomeeasy #workforit #dreambig #ifitdoesntchallengeyou #ifitdoesntchallengeyouitwontchangeyou #collegelife #college #computerscience #keeponwalking #keepongoing</t>
  </si>
  <si>
    <t>college</t>
  </si>
  <si>
    <t>ifitdoesntchallengeyouitwontchangeyou</t>
  </si>
  <si>
    <t>vegasmcgraw</t>
  </si>
  <si>
    <t>1585844557118945431_4212133446</t>
  </si>
  <si>
    <t>My day off but I felt lazy. I never do cardio so Im tryin something new. Not very graceful but I will improve on it..
.
.
.
.
.
#newworkout #workout #dayoff #lazy #new #bored #inspiration #fitness #fit #exercise #cardio #cardioworkout #timmcgraw #faithhill #tribute #lasvegas #westvirginia #wvstrong #getit #keepongoing #keepontrucking</t>
  </si>
  <si>
    <t>keepontrucking</t>
  </si>
  <si>
    <t>sheana81</t>
  </si>
  <si>
    <t>1585848409310851051_30416633</t>
  </si>
  <si>
    <t>Come at me week 3 ! 
My first 2 weeks progress:
• Headache for the 1st 5 days straight. • Skin breaking out &amp; looked terrible • Sore &amp; tired • Struggle to finish my meal plan in the 1st week • Started drinking over 2litres of water per day
• Sleeping better than I ever had
• Waking up before the sun to get in my workouts • Not feeling bloated • Feeling positive 
And finally...
• lost 2.1kgs &amp; • 7cms in total 
#proudofmyself #fitness #motivation #eightweekchallenge #eatinghealthy #keepongoing #doingitforme #excercise #positivemind #results #itsnoteasy</t>
  </si>
  <si>
    <t>positivemind</t>
  </si>
  <si>
    <t>itsnoteasy</t>
  </si>
  <si>
    <t>rakadisiplin</t>
  </si>
  <si>
    <t>1585855621022293367_11150326</t>
  </si>
  <si>
    <t>...have faith... #jeremiah2911 #iamasianmike #panda #travel #wanderlust #heslookingoutforyou #bepatient #God #hisday #prayer #keepongoing #hardworkwillpayoff #youwillfindlove #itsinhisplan #begratefulforwhatyouhave #sundaypost #faith #believe #hardtimeshelpustorealizeblessings</t>
  </si>
  <si>
    <t>Garberville, California</t>
  </si>
  <si>
    <t>iamasianmike</t>
  </si>
  <si>
    <t>heslookingoutforyou</t>
  </si>
  <si>
    <t>taninchen09_</t>
  </si>
  <si>
    <t>1585857751074927774_2893282381</t>
  </si>
  <si>
    <t>I'm not most girls!!!❤
#lovemylife #notmostgirls #proud #dontgiveup #strong #power #enjoyinglife #singlemama #singlemom #lifequotes #staystrong #happiness #happyme #powerful #keepongoing #positivethinking #positivevibes #positivethoughts #life 
#me 
#brownhair 
#browneyes 
#longhair 
#curvy
#shorty 
#tattoed
#openminded</t>
  </si>
  <si>
    <t>singlemom</t>
  </si>
  <si>
    <t>kelsib555</t>
  </si>
  <si>
    <t>1585862080668407299_592860111</t>
  </si>
  <si>
    <t>"In life I plan to keep on going, till everyone's left, the bands gone home, the cleaners have cleaned, and it's just me and an old friend daring each other to steal things." -Atticus  #yep #life #keepongoing #oldfriends #mypuppy #ridley #ridleyscott #puppy #germanshepherdhusky #lovehim #onlymanineed #lesbian #smiles #myboy</t>
  </si>
  <si>
    <t>germanshepherdhusky</t>
  </si>
  <si>
    <t>ridley</t>
  </si>
  <si>
    <t>yep</t>
  </si>
  <si>
    <t>onlymanineed</t>
  </si>
  <si>
    <t>thatsamoret</t>
  </si>
  <si>
    <t>1585867489810699294_6654851</t>
  </si>
  <si>
    <t>Walk.
Saunter.
Stumble.
Run.
Sprint. 
Insert your verb of choice here __________.
Stopping however is not an option.
🏃🏻‍♀️🚶🏻‍♀️</t>
  </si>
  <si>
    <t>theroad</t>
  </si>
  <si>
    <t>sammidealba</t>
  </si>
  <si>
    <t>1585868902159552856_235388072</t>
  </si>
  <si>
    <t>" A wall is a very big weapon. It's one of the nastiest things you can hit someone with " 
#london #banksy #banksyrules #me #eye #lips #girl #powerful #dreams #strong #insta #instagramers #instagood #liveisgood #keepongoing #youcandoit  #happyweek #new #live #shoot #instalikes #tbt📷 #tbt #picoftheday #swag #nevergiveup #free #freestyle #sweetdreams</t>
  </si>
  <si>
    <t>liveisgood</t>
  </si>
  <si>
    <t>sweetdreams</t>
  </si>
  <si>
    <t>happyhippie93</t>
  </si>
  <si>
    <t>1585886688239888377_417605086</t>
  </si>
  <si>
    <t>I was discouraged today cause I didn't see much of a drop on the scale... It's okay though. Because it went to my booty!!! 😍😍 #gains #booty #bootygainz #bubblebutt #fitness #weektwo #seeingresults #fitfam #irishfitfam #squats #lunges #weights #lfl #l4l #confident #happy #workouts #littlechanges #lifestyle #motivation #keepongoing #itsworking #hardwork #payingoff</t>
  </si>
  <si>
    <t>littlechanges</t>
  </si>
  <si>
    <t>confident</t>
  </si>
  <si>
    <t>payingoff</t>
  </si>
  <si>
    <t>ashleygesner</t>
  </si>
  <si>
    <t>1585896605075348290_54766022</t>
  </si>
  <si>
    <t>#garden #goals #permaculture #sustainability #feedyoursoul #nutrition #california #sunburst #sanctuary #meditation #foodislife #intentionalliving #keepongoing #grassroots</t>
  </si>
  <si>
    <t>sunburst</t>
  </si>
  <si>
    <t>garden</t>
  </si>
  <si>
    <t>nutrition</t>
  </si>
  <si>
    <t>sustainability</t>
  </si>
  <si>
    <t>melissacaptured4evaphotography</t>
  </si>
  <si>
    <t>1585898034017226678_4921512288</t>
  </si>
  <si>
    <t>It's the little people (rocks) who hold up the big ones! Keep on going little rocks. #littlerocks #cliff #keepongoing #devonport #tasmania #photolife #inspirational #lovethisplace</t>
  </si>
  <si>
    <t>photolife</t>
  </si>
  <si>
    <t>lovethisplace</t>
  </si>
  <si>
    <t>cliff</t>
  </si>
  <si>
    <t>1585908744508605577_4203348813</t>
  </si>
  <si>
    <t>💪🏾🔥🔝</t>
  </si>
  <si>
    <t>tristan.d.simpson</t>
  </si>
  <si>
    <t>1585920706226307122_5884177295</t>
  </si>
  <si>
    <t>What working out and a nice tan can do. #instagramfitness #instagood #gym #love #muscles #bodybuilding #bodybuildingcom #progress #gymflow #photooftheday #gainz #keepongoing #work #workout #fitfam #fit #fitness #fitnessaddict #fitnessmotivation #motivate #inspire #onelifefitness #goals #focus #onedayillreachmygoal #iablift</t>
  </si>
  <si>
    <t>gymflow</t>
  </si>
  <si>
    <t>bodybuildingcom</t>
  </si>
  <si>
    <t>1585922396053298240_3275305</t>
  </si>
  <si>
    <t>When you give lot of importance to someone in your life.
You lose your importance in their life.
Love yourself more than anyone else.</t>
  </si>
  <si>
    <t>Macquarie Lighthouse</t>
  </si>
  <si>
    <t>sydney</t>
  </si>
  <si>
    <t>1smileykt</t>
  </si>
  <si>
    <t>1585925580317423577_656144651</t>
  </si>
  <si>
    <t>I am stronger than I know. Mentally. Physically. Emotionally. ◇◇◇
#strong #strongerthanyouknow #stronger #mentally #physically #emotionally #selfie #brunette #strength #gains #keepongoing #lookahead #gorgeous #sunshine #summer #lovelife #wind #derermined #loveyourself #hashtag #lovely</t>
  </si>
  <si>
    <t>derermined</t>
  </si>
  <si>
    <t>lookahead</t>
  </si>
  <si>
    <t>gorgeous</t>
  </si>
  <si>
    <t>victoriajoelle_5</t>
  </si>
  <si>
    <t>1585926591815569558_1424575223</t>
  </si>
  <si>
    <t>--
Dear reaper,
Please let me come away with you 
Dear reaper,
Do you think that I can stay with you? 
Gently, softly, he pushes me away,
Whispers never clearer,
Not today, not today.
- -
Photo: @moultonoriginals 
Poem: me
Mural: phoenix art district
-
#poem #lyric #art #photoart #death #life #keepongoing #keepbreathing #phoenixlocalart #model #reaper #stealmysoul #soulofsteel #darkness #deep #flirtingwithdeath #pasttheend #suicideawareness #darkandlight #nottheend #onlythebeginning</t>
  </si>
  <si>
    <t>keepbreathing</t>
  </si>
  <si>
    <t>pasttheend</t>
  </si>
  <si>
    <t>lyric</t>
  </si>
  <si>
    <t>deep</t>
  </si>
  <si>
    <t>conniemcpherson_hairwego</t>
  </si>
  <si>
    <t>1585927638236501767_1460979123</t>
  </si>
  <si>
    <t>Love this! 
#Repost @millionaireimage (@get_repost)
・・・
#keepongoing
#liveandletlive #inspirationalpost #inspirationalwomen #inspiredme #menquotes #confidentwoman #quoteday #goalsetting #goalmakers #simplething #successquote #womanowned #setitoff #overgram #dontquit #huntingthings #amillionways #amillionreasons  #quotedays  #inspiredwoman #inspireothersbybeingyou #quotes</t>
  </si>
  <si>
    <t>inspiredme</t>
  </si>
  <si>
    <t>overgram</t>
  </si>
  <si>
    <t>quotedays</t>
  </si>
  <si>
    <t>menquotes</t>
  </si>
  <si>
    <t>lularoemelanieschwartz</t>
  </si>
  <si>
    <t>1585934240464351969_5783335007</t>
  </si>
  <si>
    <t>Clothes aren't going to change the world, the women who wear them will. 💖</t>
  </si>
  <si>
    <t>lularoefashionconsultant</t>
  </si>
  <si>
    <t>chaseyourdreams</t>
  </si>
  <si>
    <t>ashleysweightwatchersjourney</t>
  </si>
  <si>
    <t>1585952551009593406_5867947194</t>
  </si>
  <si>
    <t>Weight watchers week one in the bag! It's amazing how much more confidence you gain when you are eating healthy and taking care of yourself. Long way to go though!
#longway #itsaprocess #keepongoing #pcoswarrior #fibromyalgiawarrior #kickinmybooty #weightwatchersonline #weightwatchers #watchmeshine</t>
  </si>
  <si>
    <t>pcoswarrior</t>
  </si>
  <si>
    <t>watchmeshine</t>
  </si>
  <si>
    <t>longway</t>
  </si>
  <si>
    <t>1585955157334388118_462344435</t>
  </si>
  <si>
    <t>All that you've been dreaming of is sitting on the other side of fear.  Have courage! Go seize your dreams!
.
.
.
#Bepositive #positivemindset #livelifetothefull #seethegood #seethegoodineverything #believeyoucan #befearless #keeponmoving #keeponlearning #keepondoing #keepongoing #keeponbelieving #believeinyou #goodhabits #achieve #achieveyourdreams #achieveyourgoals #believeinyourdream #believeinyourselfie #keepthefaith #neverstoplearning #positiveattitude #positivemindset #positivequotes #positivevibes #positiveminds #trustandbelieve #trustyourgut #yesyoucan  #youcandoit</t>
  </si>
  <si>
    <t>julesrtiu</t>
  </si>
  <si>
    <t>1585962750130088652_2413261960</t>
  </si>
  <si>
    <t>Been slacking the last couple of weeks. Prepping for tomorrow to get back into the rythem. Hope your all doing great. See you tomorrow ✌🏻💕 @toneitup #TIUteam #SummerToneUp #KeepOnGoing #YouGotThis #Positivity #PositiveVibesOnly #TIUMom #TIUmember #TIUCanada #TIUBritishColumbia</t>
  </si>
  <si>
    <t>positivevibesonly</t>
  </si>
  <si>
    <t>tiucanada</t>
  </si>
  <si>
    <t>tiubritishcolumbia</t>
  </si>
  <si>
    <t>tiumember</t>
  </si>
  <si>
    <t>1585966624669045987_2164591711</t>
  </si>
  <si>
    <t>Monsters... amazing monsters.😲
Would you hold this 😲 Tag someone who can!
Follow @_thetravelblogger_ for more👈
📸 @taohoogland
.
.
.
.
.
.
.
.
#lifejourney #sky #goodquote #backpackerslife #meditative #keepongoing #laptoplifestyle #picoftheday #lifeispeople #paradise🌴 #backpackingpr #leavers #exploremore #wayup #travellingourplanet #resourcetravel #gritandvirtue #travelessentials #travelingcouple #yogadudes #wanderluster #luxurytraveler #travelstagram #jj_forum #yogagirls</t>
  </si>
  <si>
    <t>resourcetravel</t>
  </si>
  <si>
    <t>backpackerslife</t>
  </si>
  <si>
    <t>1585969789497851982_4773778225</t>
  </si>
  <si>
    <t>Earth vs fire💦☀️#worldtravelbook #flashesofdelight #art #lake #rainbow #goodafternoonpost #keeponkeepingon #keepongoing #motivation #motivationeveryday #sunset #flowers #architecturephotography #architecture #tagsforlikes #bluesky #likesforlikes #follow #almosttheweekend #smile #happy #morningmotivation #flower #behappy #grateful</t>
  </si>
  <si>
    <t>glowagal_art</t>
  </si>
  <si>
    <t>1585978791583110410_5785597459</t>
  </si>
  <si>
    <t>Drawing for @_artsy_oasis_ I hope you like it {Tags} #artsyoasis #drawing #watermark #artistsoninstagram #artislife #art #doodle #werewolf #fanart #insparation #youinspireme #DaBest #keepongoing</t>
  </si>
  <si>
    <t>werewolf</t>
  </si>
  <si>
    <t>artislife</t>
  </si>
  <si>
    <t>fanart</t>
  </si>
  <si>
    <t>tdunaway99</t>
  </si>
  <si>
    <t>1585979411954192503_525269694</t>
  </si>
  <si>
    <t>End of the day smile! #imadeit #wahooo #twomoredays #keepongoing #smile #behappy😊</t>
  </si>
  <si>
    <t>wahooo</t>
  </si>
  <si>
    <t>behappy😊</t>
  </si>
  <si>
    <t>imadeit</t>
  </si>
  <si>
    <t>1585981850555667642_287479761</t>
  </si>
  <si>
    <t>Strongman shit! One of the lighter loads I did today! Really loving strongman! #strongman  #keepongoing #fitfam #motivation #fitmom #momoffour #farmercarries</t>
  </si>
  <si>
    <t>farmercarries</t>
  </si>
  <si>
    <t>strongman</t>
  </si>
  <si>
    <t>1585983547747189710_287479761</t>
  </si>
  <si>
    <t>The tire bit me!! Lol #tire #motivation #fitnessaddict #fitfam #keepongoing #fitmom #momoffour #bruises #lookingpretty #strongman</t>
  </si>
  <si>
    <t>bruises</t>
  </si>
  <si>
    <t>lookingpretty</t>
  </si>
  <si>
    <t>1585984788070456690_4230196596</t>
  </si>
  <si>
    <t>She's fit @alexandrabring 👌</t>
  </si>
  <si>
    <t>arielylpollack</t>
  </si>
  <si>
    <t>1585986384161538068_5765958425</t>
  </si>
  <si>
    <t>One leg jump challenge! 🤙
. 
Fail to success! ✌️
. 
Believe in yourselves my friends and have an awesome day! 🙅‍♀️
. 
@magicmikewarrior</t>
  </si>
  <si>
    <t>Philadelphia Zoo</t>
  </si>
  <si>
    <t>1585992467193405873_237237277</t>
  </si>
  <si>
    <t>I need more 💵💵💴💶💷💰💰💰💵💵 to 🔥 my cigars🤑😆😆
#nobigdeal #lifeislife #keepongoing #lifeismiracle #moneymoneymoney #smile #hahaha #humorous #loveyouguys #itsme</t>
  </si>
  <si>
    <t>nobigdeal</t>
  </si>
  <si>
    <t>loveyouguys</t>
  </si>
  <si>
    <t>moneymoneymoney</t>
  </si>
  <si>
    <t>lifeislife</t>
  </si>
  <si>
    <t>1585995704441405949_4773778225</t>
  </si>
  <si>
    <t>Tonight's sunset was so beautiful. People ask me how I take so many pictures without having it ruin the moment. For me, taking pictures only enhances the moment. I realize that I am capturing a moment that will later allow me to go back in time to how I felt in that exact moment. Pictures are not just there to look nice, they are there to help us relive that moment all over again. Goodnight world! Sweet dreams. 💙🦋🤗💛❤️#worldtravelbook #flashesofdelight #art #lake #rainbow #goodafternoonpost #keeponkeepingon #keepongoing #motivation #motivationeveryday #sunset #flowers #architecturephotography #architecture #tagsforlikes #bluesky #likesforlikes #follow #almosttheweekend #smile #happy #morningmotivation #flower #behappy #grateful</t>
  </si>
  <si>
    <t>1586005921381149430_5468355632</t>
  </si>
  <si>
    <t>HI so I have been veryyyy inactive but I'm back and fully loaded😏 sorry! (Screenshotted this from a vid) -🐠
-
-
-
#josh #tyler #jenna #twentyonepilots #bands #frens #laugh #myidols 
#loveyou #bestmusic #keepongoing #ibelieve #theyrethebest #funny #smile #tøpmemes #tøp #stayalive #inspiring  #beautifulpeople</t>
  </si>
  <si>
    <t>theyrethebest</t>
  </si>
  <si>
    <t>1586006332104022432_5468355632</t>
  </si>
  <si>
    <t>Friendship goals -🐠
-
-
-
#josh #tyler #jenna #twentyonepilots #bands #frens #laugh #myidols 
#loveyou #bestmusic #keepongoing #ibelieve #theyrethebest #funny #smile #tøpmemes #tøp #stayalive #inspiring  #beautifulpeople</t>
  </si>
  <si>
    <t>1586007491887821114_5468355632</t>
  </si>
  <si>
    <t>This has been in my camera roll for a month not even kidding -🐠
-
-
-
#josh #tyler #jenna #twentyonepilots #bands #frens #laugh #myidols 
#loveyou #bestmusic #keepongoing #ibelieve #theyrethebest #funny #smile #tøpmemes #tøp #stayalive #inspiring  #beautifulpeople</t>
  </si>
  <si>
    <t>beautifulpeople</t>
  </si>
  <si>
    <t>harris91fitri</t>
  </si>
  <si>
    <t>1586013499388417873_264138699</t>
  </si>
  <si>
    <t>. . 
Relationship just doesn't work with me anymore. 
Let me be myself, the wild one that i am, 
venturing into the deep corner of my own soul, 
alone without disturbance, 
without you. ~210817~
. . 
#brocuba
#keepongoing
#sesajeje 
#donttakeitpersonal 
#apieceofmymind</t>
  </si>
  <si>
    <t>apieceofmymind</t>
  </si>
  <si>
    <t>brocuba</t>
  </si>
  <si>
    <t>sesajeje</t>
  </si>
  <si>
    <t>donttakeitpersonal</t>
  </si>
  <si>
    <t>1586017142627685732_1822232190</t>
  </si>
  <si>
    <t>Milan, Italy
Photo by @dorpell
Tag your friends 😍
.
.
.
.
.
.
.
.
#condenasttraveler #discoverearth #lifechoices #foodandtravel #timefreedom #keepongoing #bestoftheday #backpackinglife #creativeentrepreneur #oceanbreeze #instravel #paradisebay #liveforthis #travelnow #girlsjustwannatravel #yogajournal #wildernessculture #paradisegarage #seeingtheworld #nature #paradisedynasty #islandvibes #lonelyplanettraveller #beachbod #dmtravelseries</t>
  </si>
  <si>
    <t>timefreedom</t>
  </si>
  <si>
    <t>lifechoices</t>
  </si>
  <si>
    <t>paradisebay</t>
  </si>
  <si>
    <t>mariellaprincess</t>
  </si>
  <si>
    <t>1586022625490813987_1713604379</t>
  </si>
  <si>
    <t>Montagmorgen und ich sprudel über vor Energie - Nicht 😂 ! 
Ich weiß ja nicht wie ihr das seht aber i bin mir echt sicher, dass die Nacht von SO auf MO definitiv die kürzeste ist....irgendwer klaut da immer ein paar Stunden 🤔🙄 !
Anbei leckere Reste-Küche vom WE -&gt; Gnocchi, Kartoffeln, Brokkoli, Spitzpaprika &amp; Karotte 😋 mit Kräutern &amp; Mandelmus !
Ich bin übrigens zurück in Bad Reichenhall und der Alltag hat mich wieder 💩 Da werd i wohl mal vorsichtshalber meine Reispackung mit in's Büro nehmen 😂 You know 😏 
Ich wünsch Euch nen zauberhaften Montag 🤓 Machen wir das Beste draus #keepsmiling #montagsmodus #mondayfunday #stayhealthystayfit #keepongoing #bavaria #resteküche #gnocchi #schmackofatzo #foodblogger #lovethisshit #smiletotheworld #mademydaybetter #youknow #whocares #rockthisshit #machenwirdasbestedraus #aufgehtsabgehts</t>
  </si>
  <si>
    <t>lovethisshit</t>
  </si>
  <si>
    <t>resteküche</t>
  </si>
  <si>
    <t>montagsmodus</t>
  </si>
  <si>
    <t>lilchefjohnson</t>
  </si>
  <si>
    <t>1586023620831198871_5819722530</t>
  </si>
  <si>
    <t>one of my favorites😍😍✌️✌️😘😘
#wordstoliveby #wordsofwisdom #mycreation #hope #hopeful #affirmations #staypositive #humble #positive #stayhumble #keepongoing #chinup #smile #letmehelpyou #motivated #motivationalquotes #inspired #motivationalspeaker #happy #behappy #justbreathe</t>
  </si>
  <si>
    <t>wordsofwisdom</t>
  </si>
  <si>
    <t>1586026040744439087_5468355632</t>
  </si>
  <si>
    <t>I love his face sm😂😂 -🐠
-
-
-
#josh #tyler #jenna #twentyonepilots #bands #frens #laugh #myidols 
#loveyou #bestmusic #keepongoing #ibelieve #theyrethebest #funny #smile #tøpmemes #tøp #stayalive #inspiring  #beautifulpeople</t>
  </si>
  <si>
    <t>patrickboone87</t>
  </si>
  <si>
    <t>1586032339362843606_174093440</t>
  </si>
  <si>
    <t>Drove with several buses from Turkey to Tabriz (1 day). Then we took a night bus to Tehran. We arrived early this morning. We are exhausted and need the most important things first! So we walked up to a taxi driver and I asked: "Where can we get a good cup of coffee?" Simultaneously Daisy asked: "Can you get us to a cafe with WiFi?" Now we are at the Cake Studio. Drinking coffee and not talking to each other. Loving it!
-
-
-
#coffee #freewifi #tehran #iran #travelling #worldtrip #keepongoing #reizen #koffie #cake #cakestudiovorta</t>
  </si>
  <si>
    <t>Tehran, Iran</t>
  </si>
  <si>
    <t>freewifi</t>
  </si>
  <si>
    <t>cakestudiovorta</t>
  </si>
  <si>
    <t>worldtrip</t>
  </si>
  <si>
    <t>cake</t>
  </si>
  <si>
    <t>_anja.ha_</t>
  </si>
  <si>
    <t>1586035160477241206_879355160</t>
  </si>
  <si>
    <t>Es wird vergehen ... und wenn es das tut, dann wirst du stärker sein, als du es jemals für möglich gehalten hast! 💪
#nevergiveup #motivationmonday #alleswirdgut #stärkeralsjemalszuvor #stärkeralsdudenkst #keepongoing</t>
  </si>
  <si>
    <t>Vienna, Austria</t>
  </si>
  <si>
    <t>stärkeralsdudenkst</t>
  </si>
  <si>
    <t>stärkeralsjemalszuvor</t>
  </si>
  <si>
    <t>1586038744635623381_207595619</t>
  </si>
  <si>
    <t>#GreatWorkout #BackAndShoulderDay #gymLife #KeepOnGoing</t>
  </si>
  <si>
    <t>Anytime Fitness of Oxnard</t>
  </si>
  <si>
    <t>greatworkout</t>
  </si>
  <si>
    <t>backandshoulderday</t>
  </si>
  <si>
    <t>1586039568330006344_1430907844</t>
  </si>
  <si>
    <t>Going with the flow. #floating #analogphotography #filmisnotdead #almostthere #keepongoing #inspiration #wings #upinthemountains #hiking #travel #travelgram #bliss #journal #diary #peru #nature #naturelovers  #quotes #travelgram #ontheway #exploretheworld #adventurethatislife #pachamama #inka #intothewild #freeyourself</t>
  </si>
  <si>
    <t>Salcantay Trek to Machu Picchu</t>
  </si>
  <si>
    <t>inka</t>
  </si>
  <si>
    <t>journal</t>
  </si>
  <si>
    <t>peru</t>
  </si>
  <si>
    <t>1586042947479825371_5495249433</t>
  </si>
  <si>
    <t>Make your Monday count ✌</t>
  </si>
  <si>
    <t>1586057914309027212_1611690820</t>
  </si>
  <si>
    <t>Cad done!
Prototype ongoing!
#product #work #buissnes
#productive #productdesign #creative #savetime #entrepreneursofinstagram #entrepreneur #productivity #working #hustle  #hustler  #dream #nevergiveup #workspace #create #keepongoing #dreams #inspiration #inspiringpeople #sverige #graphicdesign #art #design #designer #artist #3dprint #sneakers #workshop</t>
  </si>
  <si>
    <t>product</t>
  </si>
  <si>
    <t>productive</t>
  </si>
  <si>
    <t>workshop</t>
  </si>
  <si>
    <t>1586058610957767829_1611690820</t>
  </si>
  <si>
    <t>3D printer ✅
#product #work #buissnes
#productive #productdesign #creative #savetime #entrepreneursofinstagram #entrepreneur #productivity #working #hustle  #hustler  #dream #nevergiveup #workspace #create #keepongoing #dreams #inspiration #inspiringpeople #sverige #graphicdesign #art #design #designer #artist #3dprint #sneakers #workshop</t>
  </si>
  <si>
    <t>1586059935929983739_1611690820</t>
  </si>
  <si>
    <t>Very happy with the add:north filament!
High quality filament!
Check out their website addnorth.com!
#product #work #buissnes
#productive #productdesign #creative #savetime #entrepreneursofinstagram #entrepreneur #productivity #working #hustle  #hustler  #dream #nevergiveup #workspace #create #keepongoing #dreams #inspiration #inspiringpeople #sverige #graphicdesign #art #design #designer #filament #3dprint #3dprinting #workshop</t>
  </si>
  <si>
    <t>1586063246360026211_5468355632</t>
  </si>
  <si>
    <t>I deleted life 90% of our pics to try to make a fresh start :) -🐠
-
-
-
#josh #tyler #jenna #twentyonepilots #bands #frens #laugh #myidols 
#loveyou #bestmusic #keepongoing #ibelieve #theyrethebest #funny #smile #tøpmemes #tøp #stayalive #inspiring  #beautifulpeople</t>
  </si>
  <si>
    <t>myidols</t>
  </si>
  <si>
    <t>clementineserrell_pt</t>
  </si>
  <si>
    <t>1586065049457600654_181095944</t>
  </si>
  <si>
    <t>Remember where you started 👍🏼 My Saturday and Sunday were total contrasts in terms of how I was feeling. Saturday was not a great day and it took me a little by surprise. I was doing a Pilates course and this weekend was my second taught weekend
Saturday started ok but, for no particular reason as the day went on I found myself just filling, and then overflowing, with self doubt. 'I'm not as good as everyone else.... I don't know what I'm doing..... everyone knows more than me.....maybe I'm actually a rubbish PT too......maybe I should just sack the whole lot off....'. Something that started as a small doubting niggle developed into full blown 'fuck it, I'm crap at life, hopeless and useless' Dramatic to the max 😂
All this was made worse by the fact I'm probably a bit hormonal, and my tinnitus seemed off the scale. My hearing can effect me much more in some situations and this weekend was one of them- new people to lip read, accents, groups talking all together, echoy rooms etc. In these kinds of situations you can feel quite isolated, especially when no one realises how deaf you actually are- not their fault at all, just one of those things.
After a mini cry to my housemate, a fairly epic reduced price falafel salad from the Coop and a pep talk to myself, I felt a bit better. I know I've said this before but sometimes you have I remember where you've come from. On Saturday night I reminded myself of times when I couldn't get a coffee from anywhere other than Nero, times when I couldn't even entertain eating lunch at 12.55 not 1pm. I used to weigh every single food before I could eat it. I couldn't live on my own, and even the idea of going back to my house, the place I'd purged meals, binged, cried, called helplines, was enough to upset me. That was how I WAS. I'm not like that now, I'm a far far cry from that. When I feel so down on myself, my abilities and achievements I try and remember how I was a few years ago. The saying 'self doubt kills more dreams than failure ever will,' is so true. Try new things, if you don't like it, or it's not for you, doesn't matter but at least it tried. Believe in yourself, and know you've got through worse and survived</t>
  </si>
  <si>
    <t>tsong_hsune</t>
  </si>
  <si>
    <t>1586065470020433502_5898539470</t>
  </si>
  <si>
    <t>-
要有多大的勇氣
才能秉持信念向前邁進？
期待不安驚懼雀躍
複雜的情感交織出未來的道路
踏上了才能明白
選擇的孰對孰錯。
-
Hang on till the end.
.
.
#20170821
#hang #on #keelung #believeinyourself #keepongoing #bebrave #勇氣 #向前吧 #基隆 #future #unpredictable #未来 #行こう #信じる #ゆうき #諦めない #最後まで #sophisticated</t>
  </si>
  <si>
    <t>unpredictable</t>
  </si>
  <si>
    <t>最後まで</t>
  </si>
  <si>
    <t>20170821</t>
  </si>
  <si>
    <t>向前吧</t>
  </si>
  <si>
    <t>nila_veda</t>
  </si>
  <si>
    <t>1586067642752443250_1381266740</t>
  </si>
  <si>
    <t>Half way 👍☺️ of this 40 day challenge. It's not been without difficulty as a migraine one day and a achy hip one day has made it impossible to do yoga. I still feel great though and realize that life is hard to control. Previously this would have really bugged me and made me feel like I've failed but now it really doesn't. I have faith that everything happens for a reason and life will guide me in the right direction. I'm seeing things more clearly and with more positivity. This is the first time I've commited to a sadhana but certainly not the last. Talking of last...today is the last day of summer holidays over here 😢 I feel so grateful to have spent the last 10 weeks with my boys. We've been together every day and I've loved every moment. Going back to work tomorrow and I'm really going to miss them 😢 They are my life- my world 💙💙💙 #yoga #yogainspiration #truewords #waheguru #kundaliniyoga #sadhana #halfway #gratitude #faithinyourself #familyfirst #myboys #lovinglife #summer #summerfun #backtowork #truetoyourself #openheart #keepongoing</t>
  </si>
  <si>
    <t>kundaliniyoga</t>
  </si>
  <si>
    <t>waheguru</t>
  </si>
  <si>
    <t>reenergizefitness</t>
  </si>
  <si>
    <t>1586067749061485367_1311896103</t>
  </si>
  <si>
    <t>In life things dont always go how you plan and how you want it to all be!
Dont let the silly little things steal your happiness! 
Keep on going and life goes on, keep on smiling!🤗
Keep on shining!💎</t>
  </si>
  <si>
    <t>care</t>
  </si>
  <si>
    <t>1586068361355501807_5047113707</t>
  </si>
  <si>
    <t>It's just plane eating... 😂</t>
  </si>
  <si>
    <t>1586069075352073260_5468355632</t>
  </si>
  <si>
    <t>Why are people finding josh dun in California  when I can't even find my mom in Costco -🐠
-
-
-
#josh #tyler #jenna #twentyonepilots #bands #frens #laugh #myidols 
#loveyou #bestmusic #keepongoing #ibelieve #theyrethebest #funny #smile #tøpmemes #tøp #stayalive #inspiring  #beautifulpeople</t>
  </si>
  <si>
    <t>1586070067589545094_429150387</t>
  </si>
  <si>
    <t>When we face the trials of life, our attitude affects the outcome. A positive, faith-filled attitude will cause you to rise higher in life, but a negative, self-defeated attitude will only drag you down. Faith is what pleases God not complaining, you have to have an attitude that stands strong and fights that good fight of faith. When going through a difficult time, keep an attitude of faith and expectancy. Start thanking God for bringing you through to the other side. As you stand strong, you will rise higher. You will come out stronger and wiser, and you will experience the abundant life God has for you. Speak life and live by the word of God and you will enjoy the victory you have. May this be a blessed victorious week for you, remember the attitude we have through it all determines what outcome in life you will have. Enjoy your week. God bless 🙏 ☺️ #MondayMotivation #NewWeek #HappyMonday #Monday #KeepOnGoing #BeBold #Strength #Courageous #DontGiveUp #LookToJesus #Breakthrough #Victorious #FavorOfGod #Blessings #SpeakLife #Truth #Love #Joy #BeThankful #EnjoyLife #Victory #Devotion #Encouragement #StepOutInFaith #Attitude #YourAttitudeMatters #HaveAGoodAttitude #Faith #YouAreLoved #JesusLovesYou</t>
  </si>
  <si>
    <t>happymonday</t>
  </si>
  <si>
    <t>1586071975578891887_5468355632</t>
  </si>
  <si>
    <t>Can. Y'all. Maybe. Get. Us. To. 165. ? -🐠
-
-
-
#josh #tyler #jenna #twentyonepilots #bands #frens #laugh #myidols 
#loveyou #bestmusic #keepongoing #ibelieve #theyrethebest #funny #smile #tøpmemes #tøp #stayalive #inspiring  #beautifulpeople</t>
  </si>
  <si>
    <t>1586072163576118441_5468355632</t>
  </si>
  <si>
    <t>-🐠
-
-
-
#josh #tyler #jenna #twentyonepilots #bands #frens #laugh #myidols 
#loveyou #bestmusic #keepongoing #ibelieve #theyrethebest #funny #smile #tøpmemes #tøp #stayalive #inspiring  #beautifulpeople</t>
  </si>
  <si>
    <t>1586073177523985498_5468355632</t>
  </si>
  <si>
    <t>Goooodddnighttt💤 -🐠
-
-
-
#josh #tyler #jenna #twentyonepilots #bands #frens #laugh #myidols 
#loveyou #bestmusic #keepongoing #ibelieve #theyrethebest #funny #smile #tøpmemes #tøp #stayalive #inspiring  #beautifulpeople</t>
  </si>
  <si>
    <t>emipoohx</t>
  </si>
  <si>
    <t>1586076290226487457_2881894067</t>
  </si>
  <si>
    <t>#feelingsicktoday #work #dontgiveup #keepongoing #wakeuptoearly #selfietime #lovemyjob</t>
  </si>
  <si>
    <t>feelingsicktoday</t>
  </si>
  <si>
    <t>wakeuptoearly</t>
  </si>
  <si>
    <t>itssjennieo</t>
  </si>
  <si>
    <t>1586078672010532926_489410010</t>
  </si>
  <si>
    <t>💜#WontStop #KeepOnGoing</t>
  </si>
  <si>
    <t>wontstop</t>
  </si>
  <si>
    <t>beachlusim</t>
  </si>
  <si>
    <t>1586080272734792418_2112347490</t>
  </si>
  <si>
    <t>Concentration &amp; dedication (the intangibles) are the deciding factors... between getting it or not.... 🌟🌟
📷 credit: FIVB - International Volleyball Federation 
#commitment #dedication #beachvolleyball #worldtour #throwback #tbt #fuzhou #china #lovethegame #keepongoing #strong #awareness #focus #allin</t>
  </si>
  <si>
    <t>beachvolleyball</t>
  </si>
  <si>
    <t>awareness</t>
  </si>
  <si>
    <t>tbt</t>
  </si>
  <si>
    <t>lovethegame</t>
  </si>
  <si>
    <t>plusthirty</t>
  </si>
  <si>
    <t>1586091566366387616_37729390</t>
  </si>
  <si>
    <t>Keep On Going ! Καλημερα! #keepongoing #goodmorning #monday #driving #running #cycling #walking #lake #dam #instatravel #instagreece #bluesky #mountains #travelgreece #simplelife #ig_greece #great_greece #greecestagram #wu_greece #nature #iphone #mobilephotography #phonephotography #holidays #vacation #greece</t>
  </si>
  <si>
    <t>Plastiras lake/Λίμνη Πλαστήρα</t>
  </si>
  <si>
    <t>phonephotography</t>
  </si>
  <si>
    <t>travelgreece</t>
  </si>
  <si>
    <t>mobilephotography</t>
  </si>
  <si>
    <t>kama_sounds</t>
  </si>
  <si>
    <t>1586092441591904348_418826240</t>
  </si>
  <si>
    <t>Throwback to last weekends gig ✨💕 week number two of excessively hard graft with no days off! Feeling a tad shleeepy but still massively inspired and energised... not a thing in the world that me and this munchkin can't achieve together. Can't wait to create dreams with analog machines ❤✨ #keepongoing #throwback #love #kama #kamasounds #kamamusic #kamasutra #kayandmaz #mazzyandlui #bettertogether #strong #happiness #mylove #music #newproducers #graft #norestforthewicked  #london #analog</t>
  </si>
  <si>
    <t>kama</t>
  </si>
  <si>
    <t>kamasutra</t>
  </si>
  <si>
    <t>newproducers</t>
  </si>
  <si>
    <t>eh_lifestyletraveller</t>
  </si>
  <si>
    <t>1586098148186924695_197654049</t>
  </si>
  <si>
    <t>#our #first #SOMTUMDER #branch in #tokyo is #openingsoon -- #somtumdertokyo #yoyogi -- #gogogo -- #13september2017 -- #keepongoing !!!!</t>
  </si>
  <si>
    <t>Somtum Der TOKYO  ソムタムダー東京</t>
  </si>
  <si>
    <t>openingsoon</t>
  </si>
  <si>
    <t>branch</t>
  </si>
  <si>
    <t>somtumder</t>
  </si>
  <si>
    <t>loretytgat</t>
  </si>
  <si>
    <t>1586109662095690814_1628136744</t>
  </si>
  <si>
    <t>Twirling is one of those sports you need to keep practicing a movement a 1000 times, untill you Know you can do it! You have to be Committed to this sport! #dance #twirling #twirlingpijnisfijn #nopainnogame  #sport #practice #regursal #keepongoing #justdoit #guts #blankenberge #vlamo #twirlin #dezwaanlichtervelde #hardwork #togetherwecanmakeadifference</t>
  </si>
  <si>
    <t>nopainnogame</t>
  </si>
  <si>
    <t>twirlin</t>
  </si>
  <si>
    <t>xqueen__jx</t>
  </si>
  <si>
    <t>1586114037651967498_3019369426</t>
  </si>
  <si>
    <t>#monday #positivity #keepongoing #real #love #london #happy #instagood #me #l #photography #soca #mixed</t>
  </si>
  <si>
    <t>soca</t>
  </si>
  <si>
    <t>real</t>
  </si>
  <si>
    <t>l</t>
  </si>
  <si>
    <t>mixed</t>
  </si>
  <si>
    <t>1586114536296095817_3019369426</t>
  </si>
  <si>
    <t>1586115059652851563_3019369426</t>
  </si>
  <si>
    <t>" ain't that the truth " 😒
#monday #positivity #keepongoing #real #love #london #happy #instagood #me #l #photography #soca #mixed</t>
  </si>
  <si>
    <t>healthywarriorway</t>
  </si>
  <si>
    <t>1586134830202986416_3759006448</t>
  </si>
  <si>
    <t>Monday Motivation #motivationalmorning #motivation #motivationalquotes #mondayfunday #noexcuses #healthywarriorway #healthy #attitudeofgratitude #keepongoing #positivemindset #positivequotes</t>
  </si>
  <si>
    <t>attitudeofgratitude</t>
  </si>
  <si>
    <t>1586138116456753776_297558307</t>
  </si>
  <si>
    <t>GM😁🌅Warriors🏹! Happy Monday!! After all this violence going on in my country this past week, trying to focus my mind on my running workout to clear my head and fill my mind and body with positivity! Day 30/45 summer challenge 2017! Daily 8K 🏃🏼‍♀️&amp; back workout! Music by #dondiablo #hexagonradio #fitmom #fitmama #fitgirl #fitness #fitnessaddict #run #runner #running #rundancing #mamacorriendo #mamaenforma #gim #gimnasio #kikasporty #keeptrying #keepmoving #keepstrong #keepongoing #myanchor #mypassion #myhappyplace #asics #nike #justdoit #summerchallenge2017</t>
  </si>
  <si>
    <t>summerchallenge2017</t>
  </si>
  <si>
    <t>teckeleros</t>
  </si>
  <si>
    <t>1586140835773230052_1702085325</t>
  </si>
  <si>
    <t>La vida es dura pequeño 🐶pero lucha por tus sueños
Life is hard baby 🐶but fight for your dreams, keep on!!!
#sausagedog #dachshundsofinstagram #dachshund #doxie #dogsofinstagram #dackel #dachshundappreciation #dappled #dog #doxielove #dailydachshund #dogsofinstaworld #dogstagram #puppy #puppydog #love #tender #dontstop #keepongoing @sausagedogcentral @wienerdogworld @doxiecentral @dogs @thedogist @thedoxieworld @the_dachshund_daily @the_life_of_otto @dogsofinstaworld @dogsofinstagram @dachshundsofinstagram</t>
  </si>
  <si>
    <t>Portland, Oregon</t>
  </si>
  <si>
    <t>tender</t>
  </si>
  <si>
    <t>puppy</t>
  </si>
  <si>
    <t>puppydog</t>
  </si>
  <si>
    <t>dachshundappreciation</t>
  </si>
  <si>
    <t>1586140841771174827_2379767060</t>
  </si>
  <si>
    <t>BOOYAAA!! Another event smashed.. But my knees feeling it today! 💪🤘🏃‍♂️#kravmaga#southend#toughmudder2017#keepongoing#mudrun#lovemud# mud#muddy#toughmudder#</t>
  </si>
  <si>
    <t>mudrun</t>
  </si>
  <si>
    <t>muddy</t>
  </si>
  <si>
    <t>toughmudder2017</t>
  </si>
  <si>
    <t>kravmaga</t>
  </si>
  <si>
    <t>waxandbronze</t>
  </si>
  <si>
    <t>1586141543251810205_4739378376</t>
  </si>
  <si>
    <t>Not just at the gym...my girls lift everyday. Morning and night I hope 😋 ^^
^^
.Web》 www.waxxxandbronze.com
.Add》 45 Yarra Street Geelong 3320
.ph 》 03 5229 2630
.
.
#clients #amazingclients #blessing #keepongoing #workhard #thesebeauties #lashlife #lashmenow  #geelonglashes #centralgeelong #lashfordays #amazing #lovelife #salongeelong #auslashes #falsies #silklashes #classiclashes #eyelashextensions #eyelashes #waxingsalon #bikiniwax ##eyebrowshaping #waxing #geelong #geelongbusiness #onpoint</t>
  </si>
  <si>
    <t>eyelashextensions</t>
  </si>
  <si>
    <t>thesebeauties</t>
  </si>
  <si>
    <t>lashmenow</t>
  </si>
  <si>
    <t>amazing</t>
  </si>
  <si>
    <t>waxing</t>
  </si>
  <si>
    <t>1586143006587512935_1615759923</t>
  </si>
  <si>
    <t>oilcountry</t>
  </si>
  <si>
    <t>bencarminati_b_com</t>
  </si>
  <si>
    <t>1586144773201259374_4107629314</t>
  </si>
  <si>
    <t>Never give up Whatever the cost 🏋️#keepongoing #music #maskeddj 📸 @simon_derbord</t>
  </si>
  <si>
    <t>maskeddj</t>
  </si>
  <si>
    <t>albhaca_fresca</t>
  </si>
  <si>
    <t>1586150239100871172_4886813115</t>
  </si>
  <si>
    <t>Pararse a oler y subirse en la paja, blandita y pegadiza. 
#disfrutandoelcamino  #alcanzandoeldestinomeparéasaborearelcamino #arribaendrina #caminaendrina #estemoslesionadasono #keepongoing #comolavidamisma #golpeagolpe #versoaverso #lasvulpes #larioja
#buencamino</t>
  </si>
  <si>
    <t>estemoslesionadasono</t>
  </si>
  <si>
    <t>arribaendrina</t>
  </si>
  <si>
    <t>disfrutandoelcamino</t>
  </si>
  <si>
    <t>caminaendrina</t>
  </si>
  <si>
    <t>fabri.gu</t>
  </si>
  <si>
    <t>1586153638978552141_34655355</t>
  </si>
  <si>
    <t>Non accontentatevi della felicità, aspirate alla serenità. 📌 Sicilia 
#peace #pacedeisensi #holidays #summer2k17 #red #save #sea #beach #sicily #trip #keepongoing #marine #friends #like #instalike #instagood</t>
  </si>
  <si>
    <t>markodaily</t>
  </si>
  <si>
    <t>1586153744139985209_267746472</t>
  </si>
  <si>
    <t>Quando le tue gambe sono stanche, cammina con il cuore #vita#follow#yourway#myway#path#instalova#lovemylife#lovequotes#couples#relationshipgoals#couplegoals#italiancouple#future#malta#summertime#summervibes#estate#2k17#likeback#like4like#tagsta#tag4like#keepongoing#instadaily#naturelovers#muchlove</t>
  </si>
  <si>
    <t>Selmun</t>
  </si>
  <si>
    <t>couples</t>
  </si>
  <si>
    <t>summertime</t>
  </si>
  <si>
    <t>tagsta</t>
  </si>
  <si>
    <t>syariahpolis</t>
  </si>
  <si>
    <t>1586157301882245892_4360586079</t>
  </si>
  <si>
    <t>#warisan
#teaterkoma
#teaterkomawarisan 
#teater 
#semangatberbagi 
#syariahpolis
#keepongoing 
#iamprudentialsyariah</t>
  </si>
  <si>
    <t>semangatberbagi</t>
  </si>
  <si>
    <t>teaterkoma</t>
  </si>
  <si>
    <t>teater</t>
  </si>
  <si>
    <t>1586159366938116673_279512262</t>
  </si>
  <si>
    <t>✌🏻уже почти дома😍
Буду наслаждаться последними денёчками лета в Москве, готовясь к новому году в качестве студента-магистра.
.
#vscogood #livethedream #latergram #lifeex #livelife #livefolk #lifestyle #lifeisgood #daily #abmlife #authentic #abmhappylife #girl #russia #vsco #vibes #vscocam #keepcalm #keepongoing #summertimesadness #madrussians #москвичивсмоленске</t>
  </si>
  <si>
    <t>summertimesadness</t>
  </si>
  <si>
    <t>yoryofficial</t>
  </si>
  <si>
    <t>1586159396818512937_1208518469</t>
  </si>
  <si>
    <t>Magnetic (Original Mix) is already in Minimal /Deep Tech top 100 singles @Beatport...copy the url to take your copy : https://goo.gl/6LAVKs
#producerlife #producer #djlife #dj #beatport #top100djs #flstudio #minimal #techhousemusic #productions #keepongoing</t>
  </si>
  <si>
    <t>producer</t>
  </si>
  <si>
    <t>djlife</t>
  </si>
  <si>
    <t>productions</t>
  </si>
  <si>
    <t>minimal</t>
  </si>
  <si>
    <t>jhacristobal</t>
  </si>
  <si>
    <t>1586163063236998075_22527194</t>
  </si>
  <si>
    <t>#motivation #keepongoing #dontstop</t>
  </si>
  <si>
    <t>rogerlebouli</t>
  </si>
  <si>
    <t>1586164333079863384_2463010078</t>
  </si>
  <si>
    <t>#tatoo #tatoos #youvegotthelight #rogerlebouli #tatouage #lettrage #happy #love #believeinyourself #keepongoing #aseronetattoo #pictureoftheday #love</t>
  </si>
  <si>
    <t>aseronetattoo</t>
  </si>
  <si>
    <t>tatoos</t>
  </si>
  <si>
    <t>tatoo</t>
  </si>
  <si>
    <t>vitaliseforward</t>
  </si>
  <si>
    <t>1586167960438145656_4615062849</t>
  </si>
  <si>
    <t>Motivation Mondays - You'll never improve if you don't get the right: Training, Nutrition and Recovery. #personaltraining #personaltrainer #nutrition #motivation #trainlikeanathlete #eatlikeanutritionist #sleeplikeababy #winlikeachamp #training #nevergiveup #keepongoing #getinvolved #getfit #gethealthy #vitaliseforward</t>
  </si>
  <si>
    <t>Ringwood Health and Leisure</t>
  </si>
  <si>
    <t>personaltraining</t>
  </si>
  <si>
    <t>1586172782688855394_228312709</t>
  </si>
  <si>
    <t>#happyme #happylife #healthylife #healthyme #losingweight #keepongoing 😃✌🏼</t>
  </si>
  <si>
    <t>schlupparosa</t>
  </si>
  <si>
    <t>1586179108815464861_4908173616</t>
  </si>
  <si>
    <t>Is that enough for being one of @pink unique dancers ?! #keepongoing #fitnessmodel #fitnessgirl #stronggirl #krähe #colourfull #finally #havetobe #oninsta</t>
  </si>
  <si>
    <t>stronggirl</t>
  </si>
  <si>
    <t>fitnessmodel</t>
  </si>
  <si>
    <t>juneulv</t>
  </si>
  <si>
    <t>1586187619519025336_2287775847</t>
  </si>
  <si>
    <t>Rehabilitation😥 it takes a really long time to get well after a broken leg😑 #weak #brokenleg #rehabilitation #workout #gym #keepongoing #restless #longwaytogo #skinnylegs #skippedlegday</t>
  </si>
  <si>
    <t>skippedlegday</t>
  </si>
  <si>
    <t>weak</t>
  </si>
  <si>
    <t>brokenleg</t>
  </si>
  <si>
    <t>ketonic_life</t>
  </si>
  <si>
    <t>1586199416099169786_835925170</t>
  </si>
  <si>
    <t>For cirka fem år siden fik jeg at vide, at jeg havde PCOS (En Hormonsygdom), hvilket også har betydet, at jeg har udviklet Insulinresistens og er prædiabetiker. Det selvfølgelig super nederen, men med den rigtige livsstil og indstilling mod det, så kan man leve med det. Jeg vil vise mine venner, familie og måske andre, hvad jeg gør for at leve med det, og her er Instagram nok den bedste platform 😄#insulinresistance #pcos #prediabetes #keto #ketonicliving #keepongoing #lifestyleinspiration #workout #beactive #beposetive</t>
  </si>
  <si>
    <t>beposetive</t>
  </si>
  <si>
    <t>ketonicliving</t>
  </si>
  <si>
    <t>insulinresistance</t>
  </si>
  <si>
    <t>emmanuelsonofgod</t>
  </si>
  <si>
    <t>1586201478263401426_3491891264</t>
  </si>
  <si>
    <t>#prison #blacksuffering #anger #hate #sad #misery #revolution #help #slavery #madness #matrix #keepongoing #keeponfighting #nevergiveup #salvation #mosthighgod #bondage #exile #1619 #holdon</t>
  </si>
  <si>
    <t>mosthighgod</t>
  </si>
  <si>
    <t>exile</t>
  </si>
  <si>
    <t>madness</t>
  </si>
  <si>
    <t>slavery</t>
  </si>
  <si>
    <t>leenduysters</t>
  </si>
  <si>
    <t>1586201697457244578_510684164</t>
  </si>
  <si>
    <t>Another study day 🤓 #monday #newweek #study #studying #keepongoing #redlips #makeup #instagram #instadaily</t>
  </si>
  <si>
    <t>cafe_calm</t>
  </si>
  <si>
    <t>1586208527855245061_2228184788</t>
  </si>
  <si>
    <t>Getting into the mood )'( #cafecalm #burningman #festivalpeople #keepongoing</t>
  </si>
  <si>
    <t>Burning Man Arts &amp; Entertainment Festival</t>
  </si>
  <si>
    <t>festivalpeople</t>
  </si>
  <si>
    <t>burningman</t>
  </si>
  <si>
    <t>cafecalm</t>
  </si>
  <si>
    <t>stayingalive062</t>
  </si>
  <si>
    <t>1586212426100460838_5909755832</t>
  </si>
  <si>
    <t>#peptalk #positivethoughts #staystrong #keeponkeepingon👊 #keepongoing #yougotthis</t>
  </si>
  <si>
    <t>positivethoughts</t>
  </si>
  <si>
    <t>peptalk</t>
  </si>
  <si>
    <t>whereisvitoria</t>
  </si>
  <si>
    <t>1586215415927159618_345506637</t>
  </si>
  <si>
    <t>Daydreaming 🦋🍀🌟.#keepongoing #dreamer #followyourheart #fashion #lehenga #indianfashion #india #brazilianmodel #indiawedding #onceuponatrunk</t>
  </si>
  <si>
    <t>Delhi</t>
  </si>
  <si>
    <t>brazilianmodel</t>
  </si>
  <si>
    <t>followyourheart</t>
  </si>
  <si>
    <t>indiawedding</t>
  </si>
  <si>
    <t>1586218184495413462_216089260</t>
  </si>
  <si>
    <t>Be strong!
#divineorder #empoweringwomen #goals #growth #happy #inspiration #jamaicanlifecoach #lifecoach #lovemyjob #mindset #morethanenough #nofear #nicolewright #purpose #success #survivor #universe #nevertoolatetostartover #nevertoolatetobegin #standuptocancer #nevergiveup #keepongoing #believeinyourself #happy #lovemylife  #anthropologie #naturalhair #jamaicanlifecoach</t>
  </si>
  <si>
    <t>jamaicanlifecoach</t>
  </si>
  <si>
    <t>tri_by_noer</t>
  </si>
  <si>
    <t>1586218652577917486_1173594021</t>
  </si>
  <si>
    <t>Hold kæft en fed dag. Jeg er stadigvæk helt høj efter gårsdagens kamp. Vil gerne takke alle for den store opbakning. I gjorde alle dagen fantastisk. 
Great great day. I loved every moment. Thanks to all that cheering. 
#polar #polarv800#im #triathlete #triatlon #dreamcometrue #im #medal #hardworkpaysoff #motivation #onlytheskyisthelimit #aimhighhithigh #bigdreamsbigrewards #swimming #swim #cycling #bike #running #run #runforabettertomorrow #thisisnotateaparty #kmdironmancopenhagen #kmdironman #detdugøridagharbetydningfordigimorgen #anotheronebitesthedust #check #nevergiveup #keepongoing</t>
  </si>
  <si>
    <t>aimhighhithigh</t>
  </si>
  <si>
    <t>felixx.l__</t>
  </si>
  <si>
    <t>1586218831575415877_222467592</t>
  </si>
  <si>
    <t>Weekly Kick Start Done ✔️
#August #10daysleft #Keepongoing</t>
  </si>
  <si>
    <t>T Garden Cafe Cheras KL</t>
  </si>
  <si>
    <t>10daysleft</t>
  </si>
  <si>
    <t>1586219024110734227_429036895</t>
  </si>
  <si>
    <t>GETTING STRONGER😏💪 Don't be affraid to be different.. do what you love! Focus on your goals and give al the effort you got! Every step forward is one step closer to your achievement! Keep on going!
#daretoshare #bodylove #selflove #foodlover  #fitnessjourney #progress #fitness #fitdutchie #dutchie  #weightlifting #girlwholifts #fitfam #curves #strenght  #bodyandmind #gymlife #recovering #bootygrow #dedication #hardwork #keepongoing #strenght #grow #girlonamission #effort #girlpower</t>
  </si>
  <si>
    <t>1586220322171784514_5495249433</t>
  </si>
  <si>
    <t>Chicken meatballs made tonight to go with a salad 🥑🍅🥕 rest will be used for lunches 🖒</t>
  </si>
  <si>
    <t>wholesomefood</t>
  </si>
  <si>
    <t>1586221119811453412_3156182942</t>
  </si>
  <si>
    <t>You know what's sick about the concept of courage? It's not always badass and wielding swords. Sometimes it's just being sick of your own bullshit and trying something different. Sometimes it's reaching out for help even though you reaaaaally don't want to. Sometimes it's letting go of toxic behaviors of people because you notice how much happier you are when they aren't around.
It's like a courage buffet - pick and choose, but it should still fill you up. 💞#shotstoshakes #mondaymotivation</t>
  </si>
  <si>
    <t>meiz_concept_store</t>
  </si>
  <si>
    <t>1586224431104892863_2733517571</t>
  </si>
  <si>
    <t>Sales 💕Last Call💕
#summersales #keepongoing #50percentoff #everything #shop #lastcall #now #at #meizshop #meizconceptstore #rethymno #crete</t>
  </si>
  <si>
    <t>MEIZ</t>
  </si>
  <si>
    <t>crete</t>
  </si>
  <si>
    <t>rethymno</t>
  </si>
  <si>
    <t>everything</t>
  </si>
  <si>
    <t>meizshop</t>
  </si>
  <si>
    <t>tribalikuk</t>
  </si>
  <si>
    <t>1586226800307463522_1373105964</t>
  </si>
  <si>
    <t>#motivationalmonday #keepongoing #strong #strength #tribalik #tribalikuk #believe #mondaymotivation #motivationalquotes #youcandoit #monday</t>
  </si>
  <si>
    <t>motivationalmonday</t>
  </si>
  <si>
    <t>1586228581854839775_5909755832</t>
  </si>
  <si>
    <t>I write a blog about how I deal with my own mental illness. I try to make it as raw and to the point as possible. I hope it helps others that might be feeling something similar. You can find the link to the blog in my bio. #personal #staystrong #keeponkeepingon👊 #keepongoing #mentalhealth #mentalillness #mentalhealthmatters #myjourney #mystory #community #sticktogether</t>
  </si>
  <si>
    <t>mystory</t>
  </si>
  <si>
    <t>myjourney</t>
  </si>
  <si>
    <t>1586229046524866586_5909755832</t>
  </si>
  <si>
    <t>#staystrong #keepongoing #anxiety #depression #mentalillness #blog #personal</t>
  </si>
  <si>
    <t>blog</t>
  </si>
  <si>
    <t>minvei_ned</t>
  </si>
  <si>
    <t>1586234579400202692_1739734001</t>
  </si>
  <si>
    <t>✨ L u N s j ✨ Og plutselig HVERDAG igjen, sånn på ordentlig, etter en heidundrende byfest// parkenfestivalen som avslutning på årets sommerferie. En utrolig GØY helg, men også Good to be back on track!! Nå skal jeg komme meg på 60-tallet før neste ferietur står for døren 😆✌🏽️ #lunsj #lunch #lunchtime #lunchtoday #healtyfood #healtylife #healtylunch #backontrack #hverdag #hverdagsmat #ferieslutt #sommerenerover #sunnfastfood2017 #godmat #suntoggodt #bramat #etterenusunnhelg #blåmandag #godmandag #aktivhverdag #aktivejenter #weightlossjourney #weightloss #nedivekt #klarferdiggå #minveined #minsunnelivsstil #keepongoing</t>
  </si>
  <si>
    <t>etterenusunnhelg</t>
  </si>
  <si>
    <t>ferieslutt</t>
  </si>
  <si>
    <t>hverdag</t>
  </si>
  <si>
    <t>sommerenerover</t>
  </si>
  <si>
    <t>1586237920547792587_2075039459</t>
  </si>
  <si>
    <t>suicide</t>
  </si>
  <si>
    <t>bbbcycling</t>
  </si>
  <si>
    <t>1586239061792889998_390946727</t>
  </si>
  <si>
    <t>Red like the leaders jersey in the #vuelta, the Keirin from BBB was made to thrive in warm weather and keeps the rider cool and comfortable. #cool #warm #weather #spain #comfort #Keirin #cyclingclothes #bbbcycling #partofyourride #red #shortsleeve #jersey #keepongoing</t>
  </si>
  <si>
    <t>Spain</t>
  </si>
  <si>
    <t>cool</t>
  </si>
  <si>
    <t>jersey</t>
  </si>
  <si>
    <t>bobstijnen</t>
  </si>
  <si>
    <t>1586241209033238425_176176335</t>
  </si>
  <si>
    <t>True that! 💪🏼 @stefgbartender @crossfitzitterd #kaputwiehund #progress #workout #gaatgoed #leukman #crossfitzitterd #keepongoing #morgenterugvoormeer</t>
  </si>
  <si>
    <t>CrossFit Zitterd</t>
  </si>
  <si>
    <t>morgenterugvoormeer</t>
  </si>
  <si>
    <t>kaputwiehund</t>
  </si>
  <si>
    <t>leukman</t>
  </si>
  <si>
    <t>1586242071835032128_2813503554</t>
  </si>
  <si>
    <t>Heute war die Brust dran, hat gut getan. Morgen geht's nach Hannover zu #easyfitness da wird dann besprochen wie es weiter geht und ich werde dort trainieren um mir alles mal anzuschauen. 
#fitfam #fitnesslifestyle #fitnessmotivation #befit #nevergiveup #notadream #nopainnogain #noexcuses #keepongoing #trainhard #weightloss #diefatdie #chestday</t>
  </si>
  <si>
    <t>befit</t>
  </si>
  <si>
    <t>diefatdie</t>
  </si>
  <si>
    <t>1586244259231854789_1011271643</t>
  </si>
  <si>
    <t>AM workouts = weight hog and no bad feelings
#shoulders and #backday
Working on some #bouldershoulders 😆😁</t>
  </si>
  <si>
    <t>Ridgeland, Mississippi</t>
  </si>
  <si>
    <t>1586247496387106251_1584949428</t>
  </si>
  <si>
    <t>Перед юбилеем , который наступит вот-вот - урвала супер крутую молодящую масочку для лица и какие-то фантастические эмульсии (судя по цене и описанию длинной в роман ) .. просили сильно не увлекаться, чтобы легитимно можно было пить шампанское 😂😂😂#адвокат#адвокатмитрофанова #powerofnow #keepongoing</t>
  </si>
  <si>
    <t>Hostal de la Gavina (S'agaro)</t>
  </si>
  <si>
    <t>адвокат</t>
  </si>
  <si>
    <t>адвокатмитрофанова</t>
  </si>
  <si>
    <t>victoritodo</t>
  </si>
  <si>
    <t>1586251158509751786_356921272</t>
  </si>
  <si>
    <t>Never! #keepongoing #nevergiveup #positivevibes only #stayfocused</t>
  </si>
  <si>
    <t>representing</t>
  </si>
  <si>
    <t>alexseven11</t>
  </si>
  <si>
    <t>1586262319176655273_2198336320</t>
  </si>
  <si>
    <t>#motivation #transformation #keepongoing #selfreflect</t>
  </si>
  <si>
    <t>selfreflect</t>
  </si>
  <si>
    <t>mumi_75</t>
  </si>
  <si>
    <t>1586265129249740059_261748810</t>
  </si>
  <si>
    <t>Love, amore, parola facile da pronunciare ma avvolte difficile da dimostrare......Love, a word easy to say but sometimes difficult to show....
.
.
.
.
#love #amore #amare #pensiero #thinking #keeponmoving #keepongoing #avantitutta</t>
  </si>
  <si>
    <t>amare</t>
  </si>
  <si>
    <t>amore</t>
  </si>
  <si>
    <t>1586265249375784919_2317517565</t>
  </si>
  <si>
    <t>Turkish Get-Up er en fremragende øvelser for dig der gerne vil styrke din core, skulder og balance. Den kræver meget fokus, så du kan starte med at dele den op i små faser. Der ligger en god beskrivelse af den inden på Maxer.dk. •••
God fornøjelse:)
•••
#mortentillitzdk  #whatwouldbeyoncedo #toldyouso #tropådet #personligtræner #personaltrainer #cycling #Cykling #styrketræning #løb #Svømning #Swim #running #stronger #personligtræner #mitodense #fitfam #ﬁtfamdk #actionequalsresults #handlingskabersucces #helkropstræning #fullbody #SunRiceClubbyMortenTillitzDK #mentalpause #blivved #keepongoing #styrketræning #painfree #smertefri #søvn #sleep #mitodense</t>
  </si>
  <si>
    <t>1586268028931585991_5909755832</t>
  </si>
  <si>
    <t>@thesarahdoughty  #survive #keepongoing #yougotthis #power #positivethinking #keepfighting #staystrong #staypositive</t>
  </si>
  <si>
    <t>1586268140902725801_1011271643</t>
  </si>
  <si>
    <t>Trying to get to some kind of normalcy. 
More about that later.
#changingtracyann
#mondayworkout</t>
  </si>
  <si>
    <t>coachtracy</t>
  </si>
  <si>
    <t>aimbig</t>
  </si>
  <si>
    <t>mondayworkout</t>
  </si>
  <si>
    <t>1586269699841520421_5620542121</t>
  </si>
  <si>
    <t>Shoulder workout done for today. Left shoulder still hurts but the rm is a bit better, so keep on going 💪 
Mein Kooperationspartner @loyalfitness Joro10 - 10% Rabatt 
#loyalfitness #gym #shoulder #shoulderworkout #fitness #fit #fitfam #keepongoing #workonit #neverquit #stayhungry #stayfocused #focusonyourgoals #staystrong #insta #instapic #instagood #gymlife #gymlove #beliveinyou #nopainnogain #zkonzept</t>
  </si>
  <si>
    <t>loyalfitness</t>
  </si>
  <si>
    <t>gymlove</t>
  </si>
  <si>
    <t>__konstantina__</t>
  </si>
  <si>
    <t>1586273456478157966_1373237330</t>
  </si>
  <si>
    <t>Some time ago, I was like dis and dis and dis *swipe*, and I enjoyed it. 🤷‍♀️Not perfect but I was feeling good in my own skin. But not every day is the same or every month or every year is as good as the previous. So I remember me saying that I couldn't spend one day without working out and I truly believed that. And here I am, one and a half year later without a single workout (well, maybe a couple here and there), with some more extra weight, untrained and sad about it. What can I do? I can continue to sit in my own a$$ complaining about it OR I can make a change. And I really want to make that change even with ZERO motivation. So I will take one day at a time. Will make healthier food choices, reduce the alcohol and do some workouts for the first week as a first step. Dealing with some back issues at the time for unknown reason but let's hope nothing serious. Let's see what the future holds for us 😊🤞🏽🤙
#ImReallyNotSureIfIWannaPostThis #ButObvslyIJustDidIt #BeKind 
#1week #bodytransformation #keepitreal #beyourownmotivation #weightlossjourney #weightloss #weightlosstransformation #dontquit #keepongoing #makeyourowndestiny</t>
  </si>
  <si>
    <t>makeyourowndestiny</t>
  </si>
  <si>
    <t>terrileigh_alexandra</t>
  </si>
  <si>
    <t>1586276964031799616_2117375346</t>
  </si>
  <si>
    <t>💪
#gymin #gains #fitnessmotivation #mondaymotivation #keepongoing #traininsaneorremainthesame #glasses #muscle #babymuscles #toning</t>
  </si>
  <si>
    <t>toning</t>
  </si>
  <si>
    <t>traininsaneorremainthesame</t>
  </si>
  <si>
    <t>gymin</t>
  </si>
  <si>
    <t>cupcakes_and_counterblast</t>
  </si>
  <si>
    <t>1586277392514369295_322537940</t>
  </si>
  <si>
    <t>Screaming this into the void. #moana #disney #quote #quoteoftheday #mantra #affirmation #motto #positivethinking #thinkpositive #scars #journey #heal #fighton #keepongoing #survive #findawaytosurvive #sometimestheworldseemsagainstyou #thejourneymayleaveascar #scarscanhealandrevealjustwhereyouare</t>
  </si>
  <si>
    <t>moana</t>
  </si>
  <si>
    <t>disney</t>
  </si>
  <si>
    <t>mantra</t>
  </si>
  <si>
    <t>scars</t>
  </si>
  <si>
    <t>1586281126174240944_5909755832</t>
  </si>
  <si>
    <t>Accurate description/representation of how depression and anxiety feel in my mind #tornado #mentalhealth  #mentalillness #depression #anxiety #staystrong #keeponkeepingon👊 #keepongoing #survive #staypositive</t>
  </si>
  <si>
    <t>keeponkeepingon👊</t>
  </si>
  <si>
    <t>vernephotography</t>
  </si>
  <si>
    <t>1586283658712742918_1734341186</t>
  </si>
  <si>
    <t>Thank you all for following our work!
#photography #thankful #thankyou #followus #photographerlife #keepongoing #stillinlove #uptothenext #followers</t>
  </si>
  <si>
    <t>stillinlove</t>
  </si>
  <si>
    <t>photographerlife</t>
  </si>
  <si>
    <t>_birdie7</t>
  </si>
  <si>
    <t>1586284780982797548_46819928</t>
  </si>
  <si>
    <t>Pain changes people. It makes them trust less, overthink more, and shut people out.
.
#words #justwords #love #black&amp;white #imstillthankful #theresstillgoodpeopleoutthere #instawords #instaselfie #selfie #me #whysoserious #leary #ifyouregoingthroughhell #keepongoing #tired #😘</t>
  </si>
  <si>
    <t>Wales</t>
  </si>
  <si>
    <t>justwords</t>
  </si>
  <si>
    <t>theresstillgoodpeopleoutthere</t>
  </si>
  <si>
    <t>ifyouregoingthroughhell</t>
  </si>
  <si>
    <t>cowdenquiltschool</t>
  </si>
  <si>
    <t>1586288016586743852_3946601632</t>
  </si>
  <si>
    <t>I'm struggling today. Everything on my to-do list is going wrong and taking forever when I only have a few precious child-free hours to get sh*t done. That kind of day, you know? So I'm taking a minute to throw it back to another rainy day when all that mattered was the beauty of raindrops on roses..... #afewofmyfavouritethings #inspiredbynature #simplepleasures #seekthesimplicity #andbreathe #keepongoing</t>
  </si>
  <si>
    <t>Emmetts Garden</t>
  </si>
  <si>
    <t>inspiredbynature</t>
  </si>
  <si>
    <t>andbreathe</t>
  </si>
  <si>
    <t>simplepleasures</t>
  </si>
  <si>
    <t>seekthesimplicity</t>
  </si>
  <si>
    <t>1586289434754554947_5705167414</t>
  </si>
  <si>
    <t>Three point king 👑  #Dubnation
-
-
-
-
-
-
-
-
-
-
-
-
-
-
-
-
-
-
-
-
-
-
-
-
-
-
-
-
-
-
-
-
-
-
-
-
-
-
-
-
 #StephGonnaSteph #Mvp #SC30 #KT11 #DG23 #CURRYMVP #KEEPONGOING #NEVERGIVEUP #WCF #WEST #WESTERNCONFERENCEFINALS #CHAMPS #DUBSFORCHAMPS #DUBS #ALWAYSBELIEVEINGOD #STEPHENCURRY #EVEN #NBA #2016CHAMPS #CHAMPIONS #LOCKIN #STEPH #SPLASH #SPLASHBROS  #like4like #like4follow #follow4follow</t>
  </si>
  <si>
    <t>artluce.chespettacolo</t>
  </si>
  <si>
    <t>1586290166660998401_4574444926</t>
  </si>
  <si>
    <t>Keep on moving 🔩🔧
con i nostri flightcase personalizzati McLore 📷 @elenapagnoniph
.
.
.
.
.
#flightcase #case #customcase #mclore #bergamo #technical #technicalsupport #logistic #keepongoing #keepontrack #musically #eventdesign #musicadalvivo #chespettacolo #igers_lombardia #igers_bergamo</t>
  </si>
  <si>
    <t>flightcase</t>
  </si>
  <si>
    <t>mclore</t>
  </si>
  <si>
    <t>musically</t>
  </si>
  <si>
    <t>igers_bergamo</t>
  </si>
  <si>
    <t>eventdesign</t>
  </si>
  <si>
    <t>iamnoorchauhan</t>
  </si>
  <si>
    <t>1586291602137830328_1784239740</t>
  </si>
  <si>
    <t>God bless the women who chases nobody, needs no validation and minds her own ~ #noor 
#chaseurgoals #chaseurdreams #dothings #doplaces #do #dontstop #keepongoing #dontwait #makeithappen #pax #pilotlife #itsdifferent #itsamazing #shadesofgrey #shadesofpink #shadesoflife #blessed🙏 #apron #airportfashion #airportstyle #airports #aviation</t>
  </si>
  <si>
    <t>pax</t>
  </si>
  <si>
    <t>shadesofpink</t>
  </si>
  <si>
    <t>chaseurgoals</t>
  </si>
  <si>
    <t>noor</t>
  </si>
  <si>
    <t>kerrygbr</t>
  </si>
  <si>
    <t>1586292759186527295_275868177</t>
  </si>
  <si>
    <t>Gratitude is an essential part of being present, when you go deeply into the present,  gratitude arises spontaneously... "Eckhart Tolle" ☀️
------------------------------------------
#gratitude #longevity #mindfulness #liveauthentic #introvert #keepongoing #hairguru #kerrygold #kerryology #mancrushmonday #editorial</t>
  </si>
  <si>
    <t>hairguru</t>
  </si>
  <si>
    <t>mancrushmonday</t>
  </si>
  <si>
    <t>editorial</t>
  </si>
  <si>
    <t>pierlopedru</t>
  </si>
  <si>
    <t>1586297569716339462_4802877247</t>
  </si>
  <si>
    <t>No matter how tough is the climb, keep focusing on the top and the pleasure of being there
____________________💪🏻__________________
.
.
#trainingforlife #focusingonme #topoftherock #purenature #bestrong #keepongoing #sweatandsmile #nomatterwhat #woodcraft #stairs #stairsporn #naturalwalks #naturelovers #sardegnageographic #natural #naturephotography #wildnature #selvatica #igersardegna #sardiniasummer17 #cagliari #cagliarinatura #sardinia #casteddulovers #sardegna</t>
  </si>
  <si>
    <t>Poetto, Sardegna, Italy</t>
  </si>
  <si>
    <t>cagliari</t>
  </si>
  <si>
    <t>sardegna</t>
  </si>
  <si>
    <t>cagliarinatura</t>
  </si>
  <si>
    <t>purenature</t>
  </si>
  <si>
    <t>trainingforlife</t>
  </si>
  <si>
    <t>fiutos</t>
  </si>
  <si>
    <t>1586300147604521973_4359144987</t>
  </si>
  <si>
    <t>Se il Grande Spirito avesse voluto che noi vivessimo sempre nello stesso posto, avrebbe lasciato fermo il mondo 🌎 #keepongoing .
.
.
.
.
Tags
#travel #instatravel #adventure #explore #ontheroad #globetrotter #passionpassport #dream #wanderlust #trip #journey #nationalpark #nature #landscape #nikon #photograph #farwest #bestday #beautifulplace #discover #utah #monumentvalley #navajo #view #breathtaking #summer #wanderlust</t>
  </si>
  <si>
    <t>Monument Valley</t>
  </si>
  <si>
    <t>globetrotter</t>
  </si>
  <si>
    <t>photograph</t>
  </si>
  <si>
    <t>breathtaking</t>
  </si>
  <si>
    <t>1586301944073400622_5705167414</t>
  </si>
  <si>
    <t>Flyin' high ✈  #Dubnation
-
-
-
-
-
-
-
-
-
-
-
-
-
-
-
-
-
-
-
-
-
-
-
-
-
-
-
-
-
-
-
-
-
-
-
-
-
-
-
-
 #StephGonnaSteph #Mvp #SC30 #KT11 #DG23 #CURRYMVP #KEEPONGOING #NEVERGIVEUP #WCF #WEST #WESTERNCONFERENCEFINALS #CHAMPS #DUBSFORCHAMPS #DUBS #ALWAYSBELIEVEINGOD #STEPHENCURRY #EVEN #NBA #2016CHAMPS #CHAMPIONS #LOCKIN #STEPH #SPLASH #SPLASHBROS  #like4like #like4follow #follow4follow</t>
  </si>
  <si>
    <t>man2bookmark</t>
  </si>
  <si>
    <t>1586304138601068565_389745788</t>
  </si>
  <si>
    <t>All Purple. 💜💜💜
*
#m48fitnessclubhk
#有靚女導師 
#紫色 
#hold實個core
#allpurple #fitness #fitball #mongkok 
#purple #hk #hongkong #streching #coremuscle #1234 #keepongoing</t>
  </si>
  <si>
    <t>purple</t>
  </si>
  <si>
    <t>hongkong</t>
  </si>
  <si>
    <t>allpurple</t>
  </si>
  <si>
    <t>有靚女導師</t>
  </si>
  <si>
    <t>chelsearivier</t>
  </si>
  <si>
    <t>1586312285046299206_31590065</t>
  </si>
  <si>
    <t>never stop growing 🌷
#quote #quotes #quoteoftheday #quotestoliveby #monday #mondaymotivation #motivation #grow #learning #life #love #happy #movingforward #keepongoing #develop #flourish #healthy</t>
  </si>
  <si>
    <t>1586313745125249614_5705167414</t>
  </si>
  <si>
    <t>✌ times 🏆  #Dubnation
-
-
-
-
-
-
-
-
-
-
-
-
-
-
-
-
-
-
-
-
-
-
-
-
-
-
-
-
-
-
-
-
-
-
-
-
-
-
-
-
 #StephGonnaSteph #Mvp #SC30 #KT11 #DG23 #CURRYMVP #KEEPONGOING #NEVERGIVEUP #WCF #WEST #WESTERNCONFERENCEFINALS #CHAMPS #DUBSFORCHAMPS #DUBS #ALWAYSBELIEVEINGOD #STEPHENCURRY #EVEN #NBA #2016CHAMPS #CHAMPIONS #LOCKIN #STEPH #SPLASH #SPLASHBROS  #like4like #like4follow #follow4follow</t>
  </si>
  <si>
    <t>naturesgirl2</t>
  </si>
  <si>
    <t>1586320052544717850_1339676631</t>
  </si>
  <si>
    <t>Happy Monday!
Countdown to Eclipse totality in Greenville, SC 4.5 hours give or take. Took my walk with grandson pushing stroller 4328 steps, 1.5 miles better then not walking at all! 
#sun #beforeeclipsetoday2017 #eclipse2017 #healthandfitness #wellness #walking #keepongoing #lovemyself #fitnessmotivation #fightingautoimmunedisease #warriorgodess #smiles😊 #naturephotography</t>
  </si>
  <si>
    <t>Simpsonville, South Carolina</t>
  </si>
  <si>
    <t>healthandfitness</t>
  </si>
  <si>
    <t>warriorgodess</t>
  </si>
  <si>
    <t>smiles😊</t>
  </si>
  <si>
    <t>joseinrome</t>
  </si>
  <si>
    <t>1586321186348952730_5818585873</t>
  </si>
  <si>
    <t>Working today from my favourite #rooftop in #Rome 🇮🇹Do you know where it is? 🏆 •••••••••••••••• #lesetoiles #roma #dolcevita #workinghard #keepongoing #nevergiveup #amazingview #landscape #vatican #tours #livinginrome #expats #fashion #aperitivo #spritz</t>
  </si>
  <si>
    <t>Vatican City</t>
  </si>
  <si>
    <t>livinginrome</t>
  </si>
  <si>
    <t>dolcevita</t>
  </si>
  <si>
    <t>expats</t>
  </si>
  <si>
    <t>katjastingl</t>
  </si>
  <si>
    <t>1586323134662812222_43255408</t>
  </si>
  <si>
    <t>Every hurdle comes to make us or to break us. The choice is ours. @vztrajam #vztrajam #hurdles #nature #life #qotd #insist #motivation #dontstop #nevergiveup #moveon #moving #dontgiveup #breathe #wild #letsdoit #bebrave #bestrong #keepongoing #madkat #instafollow #nostress</t>
  </si>
  <si>
    <t>vztrajam</t>
  </si>
  <si>
    <t>madkat</t>
  </si>
  <si>
    <t>icecoldapollo</t>
  </si>
  <si>
    <t>1586323322038208562_636541500</t>
  </si>
  <si>
    <t>2 week break from posting over. Gonna start off the week with this!
Hebrews 11:1- Now faith is the substance hoped for, the evidence of things not seen. 
#keepongoing #nopainnogain</t>
  </si>
  <si>
    <t>kajsabrinell</t>
  </si>
  <si>
    <t>1586328285611397110_17194257</t>
  </si>
  <si>
    <t>It has taken a few days to digest the recent events. But I have already experienced both sunrises and sunsets together with amazing people &amp; with a lot of love surrounding us. Because that's the only way. 🙏🏻🌅🌇❤️ #love #mothernature #keepongoing #justlikethesun #prayforbarcelona #barcelona #emthaiboxing</t>
  </si>
  <si>
    <t>emthaiboxing</t>
  </si>
  <si>
    <t>justlikethesun</t>
  </si>
  <si>
    <t>mothernature</t>
  </si>
  <si>
    <t>1586330584308145716_4773778225</t>
  </si>
  <si>
    <t>Good morning! #worldtravelbook #flashesofdelight #art #lake #rainbow #goodafternoonpost #keeponkeepingon #keepongoing #motivation #motivationeveryday #sunset #flowers #architecturephotography #architecture #tagsforlikes #bluesky #likesforlikes #follow #almosttheweekend #smile #happy #morningmotivation #flower #behappy #grateful</t>
  </si>
  <si>
    <t>bfitter4life</t>
  </si>
  <si>
    <t>1586333021685055317_2276900422</t>
  </si>
  <si>
    <t>handstands progression . almost there.
#keepongoing #doitright #bootcamp #hardcore #fitnesscoach #functionalfitness #motivation #gogetit #workout #fitnessmotivation
#handstands</t>
  </si>
  <si>
    <t>gogetit</t>
  </si>
  <si>
    <t>functionalfitness</t>
  </si>
  <si>
    <t>doitright</t>
  </si>
  <si>
    <t>vidalimiha</t>
  </si>
  <si>
    <t>1586340123507052884_220176679</t>
  </si>
  <si>
    <t>There is always a light at the end of a tunnel! #bestrong #nevergiveup #keepongoing #strongertogether #running #instarunners #ultrarunning</t>
  </si>
  <si>
    <t>emma.paterson_</t>
  </si>
  <si>
    <t>1586342784490946998_3540680200</t>
  </si>
  <si>
    <t>Happy Monday morning 😊 If you're currently in the US, where are you spending your eclipse day? ❤️
.
.
.
.
.
#model #la #hollywood #cali #calilife #stars #modelslife #westcoast #locationshoot #toned #tanned #brunette #notgivingup #chaseyourdreams #happymonday #newweek #freshstart #remotivated #solareclipse #goodmorning #ineedcoffee #workoutmotivation #stars #dearphotographer #simple #motivatedmonday #motivatedmorning #keepongoing #youcandoit #believeinyourself</t>
  </si>
  <si>
    <t>Hollywood</t>
  </si>
  <si>
    <t>locationshoot</t>
  </si>
  <si>
    <t>solareclipse</t>
  </si>
  <si>
    <t>stars</t>
  </si>
  <si>
    <t>1586344321074800198_4618389069</t>
  </si>
  <si>
    <t>Procrastination doesn't help anybody! I'll be the first to admit, sometimes this gets the better of me and I too say "I'll do it later" or "I'll do it tomorrow" as life gets in the way but with the more important tasks, it's always better to just DO IT NOW! So if you have something urgent to do, DO IT NOW! #action #actionsspeaklouderthanwords #boss #bossbabe #doit #doitnow #dontwastetime #enrich #enrichment #keepitreal #keepongoing #makeit #makeitcount #procrastination #procrastinating #procrastinator #procrastinate #results #success #successes #successtip</t>
  </si>
  <si>
    <t>procrastination</t>
  </si>
  <si>
    <t>actionsspeaklouderthanwords</t>
  </si>
  <si>
    <t>makeit</t>
  </si>
  <si>
    <t>allexa.allexa</t>
  </si>
  <si>
    <t>1586368956453071126_1116864838</t>
  </si>
  <si>
    <t>Lake front encouragement #good4u #encouragement #lakefronttrail #keepongoing #keepmoving</t>
  </si>
  <si>
    <t>Shedd Aquarium</t>
  </si>
  <si>
    <t>good4u</t>
  </si>
  <si>
    <t>lakefronttrail</t>
  </si>
  <si>
    <t>masseriatorremaizza</t>
  </si>
  <si>
    <t>1586369751817620718_2097816482</t>
  </si>
  <si>
    <t>Repost Instagram @vale_beautytraveller
SMILING WITH THE MOON 
#Happydays #happy #friends #travelingwithfriends #travelingtofriends #backtomyself #keepongoing #keeponexploring #torremaizza #puglia #apulia #italy #backtoroods #ilovepuglia #tailormadedress #vietnamdress</t>
  </si>
  <si>
    <t>travelingtofriends</t>
  </si>
  <si>
    <t>keeponexploring</t>
  </si>
  <si>
    <t>backtoroods</t>
  </si>
  <si>
    <t>apulia</t>
  </si>
  <si>
    <t>puglia</t>
  </si>
  <si>
    <t>lisaklein22</t>
  </si>
  <si>
    <t>1586371534658013859_317009586</t>
  </si>
  <si>
    <t>What got you going on your Monday morning?!?!
☀️👫☕️🍳🏋🏻 Some days it's easier than others to jump out of bed and get going! 😳
For me, I knew my virtual "Training Camp" ladies would be looking for my post showing my workout was complete! 💪🏼 We hold each other accountable 🙌 
And when things get tough, schedules get busy, kids get sick, etc. we encourage each other to KEEP GOING 💥and to NEVER GIVE UP! 💥
That's what it's all about! 😍
.
.
.
.
#nevergiveup #nevermissamonday #mondaymotivation #keepongoing #fitat40 #fitmommyof2 #fitspo #justdoit #noregrets #noexcusemom #healthyandhappy #fullheartfitness #imomsohard #winelover #digdeep #shaunweek</t>
  </si>
  <si>
    <t>fullheartfitness</t>
  </si>
  <si>
    <t>digdeep</t>
  </si>
  <si>
    <t>jasiobonanza</t>
  </si>
  <si>
    <t>1586379001818119951_1594742499</t>
  </si>
  <si>
    <t>Już jest! Czuję w kościach, że pochłonę ją w jeden wieczór. :) #projektzdrowie #healthyfood #fit #healthy #keepongoing</t>
  </si>
  <si>
    <t>projektzdrowie</t>
  </si>
  <si>
    <t>nirsuslowski</t>
  </si>
  <si>
    <t>1586379065387845828_2100848811</t>
  </si>
  <si>
    <t>#summer #sunset #tlv #israel #beach #weekday #keepongoing #truecolors #august #mondays</t>
  </si>
  <si>
    <t>Gordon Beach Tel-Aviv</t>
  </si>
  <si>
    <t>israel</t>
  </si>
  <si>
    <t>weekday</t>
  </si>
  <si>
    <t>1586380587005665650_229265971</t>
  </si>
  <si>
    <t>❤✌❤✌❤
#personaltraining #motivation #fitnessmotivation #getfit #workhard #results #lovemytrainee #believeinyourself #keepongoing #dontquit #nopainnogain #healthylifestyle</t>
  </si>
  <si>
    <t>1586381270426222649_5781397138</t>
  </si>
  <si>
    <t>On the Camino
When you arrive at an important milestone and suddenly you found yourself confused whether you had reached the right one
.
. 
#camino #onthecamino #encamino #caminodesantiago #stjamesway #jakobsweg #milestones #100km #galicia #pilgrim with #breastcancer #metastaticcancer under #chemotherapy #keepongoing #neverquit #lifeisbeautiful #keeponmoving #trustyourself</t>
  </si>
  <si>
    <t>pilgrim</t>
  </si>
  <si>
    <t>milestones</t>
  </si>
  <si>
    <t>1586382582839682733_5909755832</t>
  </si>
  <si>
    <t>💜 #staystrong #keepongoing #positivethinking #yougotthis #keeponkeepingon👊 #positivity #positivevibes #keepgoingkeepgrowingstronger</t>
  </si>
  <si>
    <t>1586389361321485901_224929186</t>
  </si>
  <si>
    <t>@ruskracing number plates on point 👌🏻 #love #life #happy #art #quote #strength #music #inspirational #god #inspiration #inspired #smile #keepongoing #standup #fight #live #faith #photography #metal #rock #motivation #technology #mx #motocross #kawasaki #braap #monsterenergy #gopro</t>
  </si>
  <si>
    <t>braap</t>
  </si>
  <si>
    <t>englishcountryinterior</t>
  </si>
  <si>
    <t>1586394326774365061_5861140736</t>
  </si>
  <si>
    <t>A bucket of roses for all of us for getting through Monday! #almostweekend #keepongoing 💐🎀
-
-
-
- #cottagelife #cottage #englishcountryinteriors #cottageideas #interiordesign #interiorinspo #bucket #roses #countrylife #country #rustic #decor #interiordecor #interiorinspo</t>
  </si>
  <si>
    <t>countrylife</t>
  </si>
  <si>
    <t>interiorinspo</t>
  </si>
  <si>
    <t>interiordesign</t>
  </si>
  <si>
    <t>cottageideas</t>
  </si>
  <si>
    <t>country</t>
  </si>
  <si>
    <t>emma_lister_fitness</t>
  </si>
  <si>
    <t>1586395484862629688_724862693</t>
  </si>
  <si>
    <t>Remember why you started and block out the noise ... #keepongoing #EmmaListerFitness #motivationalquotes #positivevibes #businesswoman #positive #positivevibesonly #essex #essexpt #brentwood #leighonsea #towie #business #boss #travel #outdoorfitness #physique #gymlife #bbg #bbggirls #nike #abs #redhead #gymclothes #london</t>
  </si>
  <si>
    <t>Dagenham, United Kingdom</t>
  </si>
  <si>
    <t>gymclothes</t>
  </si>
  <si>
    <t>outdoorfitness</t>
  </si>
  <si>
    <t>cullis_12</t>
  </si>
  <si>
    <t>1586398121461993293_1008349876</t>
  </si>
  <si>
    <t>Excellent back session! Quite surprising after finishing a night duty but was still able to get decent weights, and nice solid reps keeping things slow and controlled. I also managed to do some abs as well 😬
Think the mellow music of country music definitely helped me zone out! 💪🏻🎸
Thank you @bodyalignmentclinic for sorting my back out, no pain today 😊#teamstraightspine 
#countrymusic #solidback #growingmywings #motivatedmonday #keepongoing #willgetthere #nevergonnastop #bodybuilding #bodybuildingbeginner #myfirstcomp 
@rippedgymbasildon 👍🏻😊</t>
  </si>
  <si>
    <t>Ripped Gym Basildon</t>
  </si>
  <si>
    <t>myfirstcomp</t>
  </si>
  <si>
    <t>motivatedmonday</t>
  </si>
  <si>
    <t>teamstraightspine</t>
  </si>
  <si>
    <t>countrymusic</t>
  </si>
  <si>
    <t>mr.solissa</t>
  </si>
  <si>
    <t>1586398346342639283_341804766</t>
  </si>
  <si>
    <t>you have to do something after destroying your gear... I just grab my camera #photographers #keepongoing •
•
•
•
•
#jokayspeedboards #blueprinteyewear #downhilllongboarding  #gohardorgohome #shredding #throwbackthursdays #memories #longboard #downhill #slide #done #stokeskatelab #hawgwheels #canon #photography #skate #skateandexplore</t>
  </si>
  <si>
    <t>longboard</t>
  </si>
  <si>
    <t>downhilllongboarding</t>
  </si>
  <si>
    <t>downhill</t>
  </si>
  <si>
    <t>blueprinteyewear</t>
  </si>
  <si>
    <t>alitacontreras</t>
  </si>
  <si>
    <t>1586398634190320570_2195137852</t>
  </si>
  <si>
    <t>"Si puedes soñarlo,puedes hacerlo"gracias por ese lindo mensaje primita linda @corafernanda3 :) Con todooo! ♡♡ @soill @d.a.f.r.u.d @primate_colombia @tienda.lamorada @refugiolaroca #vamosdejandomarca #takehold #nolimit #nofear #believe #keepongoing #womenonlead #womenwhoclimb #trust #keeponfighting #love #instagood #tweegram #photooftheday #me #instamood #picoftheday #girl #instadaily #instagramhub #bestoftheday #webstagram #picstitch #follow #nofilter #happy</t>
  </si>
  <si>
    <t>takehold</t>
  </si>
  <si>
    <t>teaching2twins</t>
  </si>
  <si>
    <t>1586400189521324884_3571005497</t>
  </si>
  <si>
    <t>#thehappynow #playoutside #keepongoing #toddlersofinstagram #thatsdarling #ocmom #hillcrestpark #learnbydoing #grossmotorskills #getit #nofear #babyboy</t>
  </si>
  <si>
    <t>thehappynow</t>
  </si>
  <si>
    <t>toddlersofinstagram</t>
  </si>
  <si>
    <t>thatsdarling</t>
  </si>
  <si>
    <t>hillcrestpark</t>
  </si>
  <si>
    <t>ocmom</t>
  </si>
  <si>
    <t>purely_vent</t>
  </si>
  <si>
    <t>1586401674137488032_5769205909</t>
  </si>
  <si>
    <t>還是忍不住的 隱藏了真實的自己
畢竟還是很不習慣讓人看到我的黑暗 還是習慣自己獨處時再處理那些暗物質 畢竟我是小太陽嘛(冷笑)
________________________________
熱舞的送舊 雖然很開心很歡樂 但我並沒有真正的盡興 因為我保留了自己最真實的情緒 我在即將悲傷時 刻意的在內心壓制自己 然後趕快冷靜 趕快隨便拿一本書來看 趕快遠離熱鬧的大家(20170820凌)
#嘉嘉語錄  #0822 #keepongoing</t>
  </si>
  <si>
    <t>嘉嘉語錄</t>
  </si>
  <si>
    <t>0822</t>
  </si>
  <si>
    <t>trishmeyer72_fitnessjourney</t>
  </si>
  <si>
    <t>1586403627493041169_2542165463</t>
  </si>
  <si>
    <t>A bit disappointed that I didn't look at my watch to see how far I was away from reaching 3miles , I was so close and gutted to see how close I was 😭never mind! #running #training #foragoodcause #keepongoing #ivegotthis #iphonewatch #keepingtrack#keepgoingon 🏃🏽‍♀️</t>
  </si>
  <si>
    <t>foragoodcause</t>
  </si>
  <si>
    <t>iphonewatch</t>
  </si>
  <si>
    <t>keepgoingon</t>
  </si>
  <si>
    <t>sweetiesandlove</t>
  </si>
  <si>
    <t>1586404699840888676_2175662601</t>
  </si>
  <si>
    <t>Hi Sweetieeeeees💕 what are u doing rn?🤔 I'm on Skype with a friend💦
TODAYS QUOTE👇🏼(or it's not really a quote but I thought it was funny😉)
____________________________________________
In bed, it's 6am you close your eyes for 5 minutes, it's 7.45. 
At school it's 1.30, close your eyes for five minutes, it's 1.31...
____________________________________________
Haha True😂 but actually I don't think that it is so horrible to go to school as almost everybody think 🤔 BUT that's probably bcs it isn't hard for me with work and with friends (and so on) but I can understand that it is hard for other people so keep on going❤ Did u know that your the best? Didn't you? Well, then I'm telling you that now🤷🏼‍♀️💖 ilsym😘
------------------------------------------
Btw😂 If you wonder why i have a picture on a ukulele is bcs I want to have one sooo bad😩 Hahaha! Have a great day now♥️ #ukulele #school #ilsym #keepongoing #ily #funnyquotes #funny #quote #pinkfeed #pinkukulele Ilysm Sweeties🌸</t>
  </si>
  <si>
    <t>ilsym</t>
  </si>
  <si>
    <t>school</t>
  </si>
  <si>
    <t>pinkfeed</t>
  </si>
  <si>
    <t>1586408629702829875_1456976711</t>
  </si>
  <si>
    <t>När man lekte apa efter jogging passet förra veckan! 🙈🙊</t>
  </si>
  <si>
    <t>Rönnbyspåret</t>
  </si>
  <si>
    <t>chezcharlotte29</t>
  </si>
  <si>
    <t>1586411527311902993_5888352964</t>
  </si>
  <si>
    <t>Salle pleine soleil en terrasse Chaud chaud ! 🌞🌡😓 #crepes #creperie #busy #fullon
#keepongoing #bzh #bretagne #complete #waiter #hospitality</t>
  </si>
  <si>
    <t>Crêperie Chez Charlotte</t>
  </si>
  <si>
    <t>crepes</t>
  </si>
  <si>
    <t>bzh</t>
  </si>
  <si>
    <t>bretagne</t>
  </si>
  <si>
    <t>waiter</t>
  </si>
  <si>
    <t>nipitella74</t>
  </si>
  <si>
    <t>1586418496928140734_3849704928</t>
  </si>
  <si>
    <t>#Spicy#Pic#Brucia#StaPassion#RedLove#ResistAndResist
#Keepongoing
#EatDrinkEnjoyLife</t>
  </si>
  <si>
    <t>Villa Borbone Viareggio</t>
  </si>
  <si>
    <t>redlove</t>
  </si>
  <si>
    <t>stapassion</t>
  </si>
  <si>
    <t>spicy</t>
  </si>
  <si>
    <t>eatdrinkenjoylife</t>
  </si>
  <si>
    <t>1586419305581698641_5819722530</t>
  </si>
  <si>
    <t>halfway through my workout and staying oh so hydrated. don't give yourself the excuse or the guilt trip. do a few thirty second planks today. a little something is a little something, yah feel me?
#letmehelpyou #positivethinking #fitness #fitmom #momof2 #fitnessmotivation #fitgirls #fitnessjourney #growth #strength #keepitreal #keepongoing #keeppushing #goals #reachingmygoals #youcandoit</t>
  </si>
  <si>
    <t>reachingmygoals</t>
  </si>
  <si>
    <t>s_ava_</t>
  </si>
  <si>
    <t>1586425620510175306_601137047</t>
  </si>
  <si>
    <t>Какой смысл в сжигании мостов? Захочешь вернуться - и вплавь выберешься, а если не захочешь и про мост не вспомнишь... #простаяистина #мойвыбор #твойвыбор #живем #keepinside #iknow #uknow #usee #thousandofthoughts #justbetruetourself #always #keepongoing #justme #instagirl #likeforlike #vape #ava</t>
  </si>
  <si>
    <t>justbetruetourself</t>
  </si>
  <si>
    <t>мойвыбор</t>
  </si>
  <si>
    <t>miriam.thomsen</t>
  </si>
  <si>
    <t>1586431136774824791_374968396</t>
  </si>
  <si>
    <t>🔹GRÆNSEOVERSKRIDENDE🔹
Men værd at dele! (Nu hvor det er to år siden, at billedet til venste blev taget). I september 2015 tog jeg afgørelsen om at tage på Ubberup Højskole, og det er den bedste afgørelse jeg har taget i mit liv! 
Jeg havde i ca et år døjet med overvægt og depression. Jeg tog mere og mere på i vægt og kom mindre og mindre ud til venner og familie.. Det var ikke noget at gøre, sagde min psykolog. Jeg skulle afsted - få mit liv på rette kurs igen!! Hvilket jeg ikke kunne opnå på Færøerne. (HUN fortalte og henviste mig til skolen og det vil jeg evigt være hende taknemlig over for!) Jeg tog afsted med et positivt og målrettet sind! Jeg skulle tabe mig, ja, men jeg skulle også have hovedet med! - og det gjorde jeg så! 14 uger! Jeg tabte mig lidt over 16 kg, holdt op med at ryge, fik et positivere sind og mødte mennesker, der har forandret mit liv! .. ja, det var meget hårdt, både psykisk og fysisk, men det var alle tårerne værd - fik bla. titlen som "holdets fighter" - men det vigtigste af alt var, at jeg fik et nyt syn på livet!! 💛 
Jeg er i dag lærer studerende og arbejder i et fitness center! (hvilket ikke var muligt, havde jeg ikke været på ubben🍏) and still going strong!!💪🏼 Overvejer du at tage på Ubberup Højskole? Jeg kan klart anbefale!! @ubberuphojskole #ubberuphøjskole #pårettekurs #lifechangingexperience #evigttaknemlig #positivemind #bestdicisionofmylife #kananbefales #grænseoverskridendebillede #pleasedontjudge #værdatdele #stillgoingstrong #killthesilence #nevergiveup #keepongoing</t>
  </si>
  <si>
    <t>Ubberup Højskole</t>
  </si>
  <si>
    <t>bestdicisionofmylife</t>
  </si>
  <si>
    <t>grænseoverskridendebillede</t>
  </si>
  <si>
    <t>kananbefales</t>
  </si>
  <si>
    <t>ubberuphøjskole</t>
  </si>
  <si>
    <t>lohoxx</t>
  </si>
  <si>
    <t>1586433745320623139_48389211</t>
  </si>
  <si>
    <t>So every time I feel a bit shit I remind myself I'm a diamond and so is anyone else going through hell and surviving it! Today I had some full on psycho send me pics off my Instagram to my address! A picture of my husband and myself! I hope the little bell end is reading this! Because I know who it is and sadly it's a very infantile grown man who has made hideous allegations against me because he was left negative feedback on eBay by a family member of mine 🙈😭😂 (if I don't laugh I'll cry) this man I just feel sorry for. I mean who has the time/energy to waste on being such a negative horrible bully?! My mum did teach me that bullies need positive vibes and love because they are clearly so miserable they have to be cruel. It's quite scary and terrifying having my private life invaded but then I choose to put myself out there especially now with my blog. I'm of the opinion that you should just 'out yourself' I've nothing to hide! Nothing whatsoever! I'm a truth teller! This man is a sad little fantasist who needs help and kindness sent his way. I made my profile private earlier on but I'm not going to be scared of this idiot. I've dealt with bigger/scarier and harder men in my life and one thing I don't do is back down if something is wrong you can sure as shit find me saying it's wrong! If someone's lying then I will stand up for what I believe in! So go ahead! Next time send me some chocolates and flowers yeh? 😘🙌🏻💁🏻 #fuckyou #nicetry #keepongoing #keepgoing #ignoretheshit #inhalethegoodvibes #negativeenergy #sendhimlove #hopeyoulikemyinstagram #standuptobullies #bullying #saynotobullying #socialmediabullies #behappy #youchosenicephotostosend</t>
  </si>
  <si>
    <t>negativeenergy</t>
  </si>
  <si>
    <t>saynotobullying</t>
  </si>
  <si>
    <t>socialmediabullies</t>
  </si>
  <si>
    <t>sendhimlove</t>
  </si>
  <si>
    <t>bullying</t>
  </si>
  <si>
    <t>losicko</t>
  </si>
  <si>
    <t>1586435595001218241_1988546104</t>
  </si>
  <si>
    <t>#facts #keepongoing</t>
  </si>
  <si>
    <t>1586439100054661343_234364940</t>
  </si>
  <si>
    <t>Nabend 🤗🤗 um gleich mal ein paar Fragen vorweg zu beantworten...ja, ich habe überlebt...nein, das hat mit Ernährungsplan nix zu tun...ja, mir hat's geschmeckt...und nein, ich weiss eigentlich nicht wirklich, was das darstellen soll 😂😂😂🙈🙈 Plan war, alle Reste zu verwerten und nen Auflauf zu machen...wie man sieht...teilweise eher Suppe...dafür schwimmt graurötliches Rührei drin rum 😆😆😅😅👻👻 dazu noch Erbsen, Geflügelwiener, Dosenchampignons (Schande über mein Haupt😶😅), Paprika und light Mozzarella 😄😄 dann 5 Eier mit light Cremefine, Tomatenmark und Gewürzen gemixt, drauf geklatscht und ca. 30 Minuten Ofen...nicht etwa, dass das wer nachmachen soll...aber so hab ich das halt verbrochen 😂😂 und ich fand's lecker 😜😜🙄🙄 ich lach mich grad selbst halb tot 😁😁😆😆👽👽 nun ruft das Sofa 😊😊 Schönen Abend @ all 🐛🐛😁😁😊😊.
.
.
.
.
#auflauf #healthyfood #delicious #postworkoutmeal #geflügelwiener #resteessen #sweetpeppers #crazyfood #gesundessen #abendessen #fitnessfood #bake #gesundabnehmen #nichtschönaberlecker #leckerschmecker #lecker #mondaymood #peas #casserole #gettingfit #keepongoing #wiener #abnehmen2017 #resteverwertung #schnelleküche #fürmehrrealitätaufinstagram #healthychoices #yummy #lowfat #lowcarb</t>
  </si>
  <si>
    <t>bake</t>
  </si>
  <si>
    <t>nichtschönaberlecker</t>
  </si>
  <si>
    <t>crazyfood</t>
  </si>
  <si>
    <t>resteverwertung</t>
  </si>
  <si>
    <t>shirazq70</t>
  </si>
  <si>
    <t>1586442577226027260_3663891399</t>
  </si>
  <si>
    <t>I keep on battling, whether it be keeping faith, reading, exercising, speaking to friends to keep my mind away from negative self talk, meditation, travelling, learning new skills, learning about what new skills I need to learn to succeed.  #learn #battle #fx #forexknowledgeacademy #investing #trading #strength #motivate #keepongoing #fight #win #real</t>
  </si>
  <si>
    <t>investing</t>
  </si>
  <si>
    <t>1586442852102561396_4773778225</t>
  </si>
  <si>
    <t>Hold your antlers! 🦌🦌🦌🐾🐾#worldtravelbook #flashesofdelight #art #lake #rainbow #goodafternoonpost #keeponkeepingon #keepongoing #motivation #motivationeveryday #sunset #flowers #architecturephotography #architecture #tagsforlikes #bluesky #likesforlikes #follow #almosttheweekend #smile #happy #morningmotivation #flower #behappy #grateful #walk</t>
  </si>
  <si>
    <t>Sweden</t>
  </si>
  <si>
    <t>la.vida.secreta</t>
  </si>
  <si>
    <t>1586443603781468703_5373008003</t>
  </si>
  <si>
    <t>Wish You Were Here
www.lavidasecreta.com
#wish #score #music #sansebastian #donosti #wishyouwerehere #pinkfloyd #piano #lavidasecreta #lavidaesbella #thinkbig #keepongoing #lamusique</t>
  </si>
  <si>
    <t>lavidasecreta</t>
  </si>
  <si>
    <t>wish</t>
  </si>
  <si>
    <t>piano</t>
  </si>
  <si>
    <t>score</t>
  </si>
  <si>
    <t>_111nostop_</t>
  </si>
  <si>
    <t>1586444852996151278_5522582708</t>
  </si>
  <si>
    <t>Back at it.
#producing #keepinatit #keepongoing #oneday #kicks #snares #hihats #beats #allday #grind #funshit #studio #studiotime</t>
  </si>
  <si>
    <t>producing</t>
  </si>
  <si>
    <t>keepinatit</t>
  </si>
  <si>
    <t>kicks</t>
  </si>
  <si>
    <t>hihats</t>
  </si>
  <si>
    <t>1586445556322211674_40619315</t>
  </si>
  <si>
    <t>Also heute hochmotiviert an die ganze Sache rangegangen, so vor dem Fußball noch ne kleine Runde 🏃🏼‍♀️ und richtig Gas gegeben... wow 😮 sehr gute Zeiten, aber man bin ich fertig 😥 dennoch sehr zufrieden 😀 #keepongoing #nevergiveup
Jetzt schnell noch was kochen, dann die Beine hoch und Fußball schauen und dann ab unter die Dusche und danach ins Bett 🙈
.
.
.
#natur #naturliebe #laufen #laufenmachtglücklich #happiness #germering #abnehmen2017 #weightlossjourney #running #runninggirl #laufenfürdieseele #sommerabend #fitfam #runtastic #runtasticpro #runtasticgirl #fürmehrrealitätaufinstagram #motivation #afterrunselfie</t>
  </si>
  <si>
    <t>elvir_96</t>
  </si>
  <si>
    <t>1586447928107638530_286843002</t>
  </si>
  <si>
    <t>#keepongoing ⚽️</t>
  </si>
  <si>
    <t>livehappyashley_</t>
  </si>
  <si>
    <t>1586451297987850011_2235956490</t>
  </si>
  <si>
    <t>My new mantra. 
#positivethinking #positiveenergy #positivevibes #keepongoing #keeponkeepingon👊 #iambeautiful #iamworthit #energyboost #affirmations #thesecret #spiritualgrowth #personalgrowth #iam #behappy #happinessquotes #choosejoy #choosejoy #choosehappiness 
#girlprenuer #designyourlife #beingboss #hustleandgrind #whoruntheworld
#stayinspired
#upliftandinspire
#womenempoweringwomen</t>
  </si>
  <si>
    <t>positiveenergy</t>
  </si>
  <si>
    <t>iam</t>
  </si>
  <si>
    <t>happinessquotes</t>
  </si>
  <si>
    <t>11c_equihua</t>
  </si>
  <si>
    <t>1586460011335615137_1347015205</t>
  </si>
  <si>
    <t>#fit #food #body #bodybuilding #motivation #newme #300-230 #hustle #cantstopwontstop #newborn #follow4follow #Forlife #keepongoing #protein #noquit #gains #shopping #mealpreps #packonmuscle #cutting</t>
  </si>
  <si>
    <t>300</t>
  </si>
  <si>
    <t>shopping</t>
  </si>
  <si>
    <t>mealpreps</t>
  </si>
  <si>
    <t>monicamillodge</t>
  </si>
  <si>
    <t>1586461165876170339_3472615969</t>
  </si>
  <si>
    <t>Running man back on it ! #getonwithit #nevertolate #running #fitness #urban #urbanart #urbanrunners #youcandoit #lostinmusic #keepongoing #witnessunfitness #feeltheburn #done #untilnexttime</t>
  </si>
  <si>
    <t>witnessunfitness</t>
  </si>
  <si>
    <t>lostinmusic</t>
  </si>
  <si>
    <t>getonwithit</t>
  </si>
  <si>
    <t>untilnexttime</t>
  </si>
  <si>
    <t>ingrid_ylona</t>
  </si>
  <si>
    <t>1586461766459022720_3174867174</t>
  </si>
  <si>
    <t>MONDAY, the start of a brand new week, so let's make it a good one! Early morning breakfast .. #quark #nuts #raspberries #blackberry and an #glassofwater .. #healthy #keepongoing  #work #offtoworkigo #letsgo #startoftheweek #startoftheday #wakeupandlive !!</t>
  </si>
  <si>
    <t>Friesland, Netherlands</t>
  </si>
  <si>
    <t>blackberry</t>
  </si>
  <si>
    <t>startoftheday</t>
  </si>
  <si>
    <t>startoftheweek</t>
  </si>
  <si>
    <t>offtoworkigo</t>
  </si>
  <si>
    <t>alinavitia</t>
  </si>
  <si>
    <t>1586463237570116325_4227747991</t>
  </si>
  <si>
    <t>The stubborn Mountain of Humane Dignity keeps on flourishing even when winds around get colder. 
#mountain #dignity #humane #florish #flower #wind #stubborn #art#artsu #acrylics #mypainting #canvas #hope #keepongoing #change #strong #growing #beutytips</t>
  </si>
  <si>
    <t>canvas</t>
  </si>
  <si>
    <t>stubborn</t>
  </si>
  <si>
    <t>1586465633532752394_4227747991</t>
  </si>
  <si>
    <t>The Mountain of Humane Dignity keeps on flourishing even when the winds around get colder. 
#mountain #dignity #humane #florish #flower #wind #stubborn #art#artsu #acrylics #scandinavian #finnishart #mypainting #canvas #hope #change #strong #growing #keepongoing</t>
  </si>
  <si>
    <t>scandinavian</t>
  </si>
  <si>
    <t>growing</t>
  </si>
  <si>
    <t>dignity</t>
  </si>
  <si>
    <t>1586467342794295862_5709167939</t>
  </si>
  <si>
    <t>#stairs #stapbystep #nopainnogain #keepongoing</t>
  </si>
  <si>
    <t>stapbystep</t>
  </si>
  <si>
    <t>1586469408589791966_4773778225</t>
  </si>
  <si>
    <t>WELL WOULD YOU LOOK AT THIS! Solar eclipse 101!!!!! #worldtravelbook #flashesofdelight #art #lake #rainbow #goodafternoonpost #keeponkeepingon #keepongoing #motivation #motivationeveryday #sunset #flowers #architecturephotography #architecture #tagsforlikes #bluesky #likesforlikes #follow #almosttheweekend #smile #happy #morningmotivation #flower #behappy #grateful #solareclipse #solareclipse2017</t>
  </si>
  <si>
    <t>xtiansimagery</t>
  </si>
  <si>
    <t>1586475077814149061_505362397</t>
  </si>
  <si>
    <t>Standing pretty! ❤️
#Adavic
#beautifulbride #weddingstory #americanwedding #destinationwedding #nigerianwedding #keepongoing 
#xtiansimagery #portlandoregonweddingphotographer</t>
  </si>
  <si>
    <t>americanwedding</t>
  </si>
  <si>
    <t>nigerianwedding</t>
  </si>
  <si>
    <t>destinationwedding</t>
  </si>
  <si>
    <t>weddingstory</t>
  </si>
  <si>
    <t>reecedevaney05</t>
  </si>
  <si>
    <t>1586476551255684545_4171730213</t>
  </si>
  <si>
    <t>1st mile warm up. 6mile Tempo run ✅ I was surprised how good I felt after this mornings session. The legs, lungs felt so good!! That has to be one of my best runs so far! I might have to start hitting the wattbike in the mornings more often! Happy with that performance couldn't of been better! I can definitely see improvements on my fitness. It's all about the gains 🤣🙋🏼‍♂️🏃🔥#temporun #runrunrun #running #runner #runnerlife #runnershigh #runningman #runningtime #instarunners #runnerlove #runninglegs #runner4life #runningday #runninggoals #loverunning #keepongoing #postivetraining #postiveenergy #postivemindset #postiveday #postivevibes #positivemind #positivelife</t>
  </si>
  <si>
    <t>runnerlife</t>
  </si>
  <si>
    <t>postiveenergy</t>
  </si>
  <si>
    <t>gwladys_laplace</t>
  </si>
  <si>
    <t>1586478410296521982_212883506</t>
  </si>
  <si>
    <t>Thanks @michaelbosacki @lostinsoundldn for a VERY good first chapter! Looking  forward to many more! 
#lostinsound #burningman #themedparty #melodic #deepmusic #deep #tunes #community #musicislife #westminsterboatingbase #pimlico #london #keepongoing #mytypeofweekend</t>
  </si>
  <si>
    <t>Westminster Boating Base Riverside Venue</t>
  </si>
  <si>
    <t>mytypeofweekend</t>
  </si>
  <si>
    <t>lostinsound</t>
  </si>
  <si>
    <t>melodic</t>
  </si>
  <si>
    <t>tylersorensen4</t>
  </si>
  <si>
    <t>1586479202810241467_187015344</t>
  </si>
  <si>
    <t>Get 1/10 on a test in school, you're a failure. Get 1/10 in business, it can change everything 🙌🏼
–
It's time to flip the script! Fail Forward ⏩
–
#decisions #consequences #flipthescript #business #entrepreneur #lifestyle #mindset #perspective #positivity #failforward #success #keepongoing #life #health #prosperity</t>
  </si>
  <si>
    <t>flipthescript</t>
  </si>
  <si>
    <t>prosperity</t>
  </si>
  <si>
    <t>otiumcenter</t>
  </si>
  <si>
    <t>1586488575283980358_5549559444</t>
  </si>
  <si>
    <t>#quoteoftheday #positivethinking #mindset #keepongoing #forward #quotes #stateofmind #believe #otiumteam</t>
  </si>
  <si>
    <t>otiumteam</t>
  </si>
  <si>
    <t>stateofmind</t>
  </si>
  <si>
    <t>regi.vlasova</t>
  </si>
  <si>
    <t>1586488868868694857_279758527</t>
  </si>
  <si>
    <t>- Однажды я вернусь…
- Когда? - Сама не знаю. 
Ты понимаешь,
ведь они зовут меня
и города, и страны…
🌅🌏🌍🌎🌃
#настроениеосень #хочувновыегородаистраны #alwaysonmyway #keepongoing</t>
  </si>
  <si>
    <t>Tatarstan</t>
  </si>
  <si>
    <t>хочувновыегородаистраны</t>
  </si>
  <si>
    <t>alwaysonmyway</t>
  </si>
  <si>
    <t>настроениеосень</t>
  </si>
  <si>
    <t>jhp088</t>
  </si>
  <si>
    <t>1586489494775971548_501496797</t>
  </si>
  <si>
    <t>Just another photo from yesterday's hike! First hike of the season for my buddy @jerrylee.realestate! Need to do more hikes before Vancouver becomes Raincouver 😅 #hikers #hikingadventures #sundayhike #startedfromthebottomnowehere #demblueskies #wemadeit #nevergiveup #keeppushing #keepongoing #climbingmountains #hikingtrio #threeamigos #livingthatfitlife #livingthatgoodlife #mountseymourprovincialpark #lovingtheoutdoors #thatoutdoorlife #northshoremountains #northvancouver #beautifulbc🍁 #viewfromthetop #vancityhikes #bchikes2017 #howiusuallyspendmyweekend</t>
  </si>
  <si>
    <t>Mount Seymour Provincial Park</t>
  </si>
  <si>
    <t>hikingadventures</t>
  </si>
  <si>
    <t>bchikes2017</t>
  </si>
  <si>
    <t>demblueskies</t>
  </si>
  <si>
    <t>northvancouver</t>
  </si>
  <si>
    <t>beautifulbc🍁</t>
  </si>
  <si>
    <t>1586491300163784239_264198860</t>
  </si>
  <si>
    <t>Denne uge har været underlig og hård - men heldigvis viste vægten -500gram imorges , hvilket betyder jeg følger @astridlind  plan for mig ❤️ ( er heldig jeg har min egen konstante hepper 😍). Igår lavede min seje kæreste @bigfitnessxl  ironman Copenhagen! Jeg er pisse stolt af ham- men samtidig også lettet over vi nu kan finde den gode rytme i hjemmet igen. Mentalt er det sku hårdt at være kæreste med en "jernmand". Mange måneder er alt prioriteret efter træningspas og Triathlon. Så nu er der lige ro på en månedstid, også starter showet langsomt op igen. Lykken er at være kærester med en Ironman! 😅😘. #copenhagen #keepongoing #ironman #myday #mylife #storyofmylife #family #love #keepsmiling #keepfighting #fit #fitness #diet #bootybuilding #weightloss #weightlossjourney #weightlossmotivation #vægttab #følgmitvægttab #nofilter #nomakeup</t>
  </si>
  <si>
    <t>bootybuilding</t>
  </si>
  <si>
    <t>seba.j.bernardo</t>
  </si>
  <si>
    <t>1586502371331265636_5575332838</t>
  </si>
  <si>
    <t>📷
#mondaymood #ootd #mirrorwars #keepongoing #wearyourshirtswithpride #meninthistown #cheesecakefactory #lifestyle #gq</t>
  </si>
  <si>
    <t>cheesecakefactory</t>
  </si>
  <si>
    <t>wearyourshirtswithpride</t>
  </si>
  <si>
    <t>mirrorwars</t>
  </si>
  <si>
    <t>mondaymood</t>
  </si>
  <si>
    <t>meninthistown</t>
  </si>
  <si>
    <t>revivalfitness_survival</t>
  </si>
  <si>
    <t>1586506344025034215_5817706204</t>
  </si>
  <si>
    <t>#gymdone #monday #mondaymotivation #trainhard #gymfreak #gymlifer #gymtime #pushhard #getresults #fitness #fitnessmotivation #personaltrainer #personaltraining #nevergiveup #keepongoing #onemorerep #pt</t>
  </si>
  <si>
    <t>gymfreak</t>
  </si>
  <si>
    <t>gymlifer</t>
  </si>
  <si>
    <t>getresults</t>
  </si>
  <si>
    <t>jennersamuel</t>
  </si>
  <si>
    <t>1586510479903512186_405363389</t>
  </si>
  <si>
    <t>First game, first win 🍻⚽#soccer #SVW #goalkeeper #number1 #uhlsport #adidas #heimsieg  #firstgameoftheseason #keepongoing #neverstop #focus</t>
  </si>
  <si>
    <t>svw</t>
  </si>
  <si>
    <t>soccer</t>
  </si>
  <si>
    <t>uhlsport</t>
  </si>
  <si>
    <t>goalkeeper</t>
  </si>
  <si>
    <t>number1</t>
  </si>
  <si>
    <t>judesmet</t>
  </si>
  <si>
    <t>1586523660336721472_198828933</t>
  </si>
  <si>
    <t>Doubt kills more dreams than failure ever will.☁️ #keepongoing #bessiselwermotiveieren #goodnight</t>
  </si>
  <si>
    <t>bessiselwermotiveieren</t>
  </si>
  <si>
    <t>1586523872147229410_1979470355</t>
  </si>
  <si>
    <t>Wer morgens faul is muss abends dran glauben 😂💪 #sweatwithkayla #kaylaitsines #bbg #sweating #fitmom #fitness #fitforlife #sweatnowshinelater #fightforit #keepongoing #poweron #monday #latenightsession #liss #nevertooold #nevertoolate #nevergiveup #nothingcanstopme #nopainnogain #comebackstronger #slowprogress #betterthannoprogress #derwegistdasziel</t>
  </si>
  <si>
    <t>sweatwithkayla</t>
  </si>
  <si>
    <t>poweron</t>
  </si>
  <si>
    <t>liss</t>
  </si>
  <si>
    <t>stojanabozic</t>
  </si>
  <si>
    <t>1586534135829028871_688038006</t>
  </si>
  <si>
    <t>Kad ne ide kako bi trebalo - nasmiješ se,  popraviš i nastaviš dalje. 😉
It's you against you. 🏋
#trening #life #lifestyle #keeponmoving #keepongoing #keeponworking #youagainstyou #work #progress #lunge #iskorak #cucanj #squat #strengthtraining #strength #femalefitness #strongfemales #stateofmind</t>
  </si>
  <si>
    <t>FitnesKlub Sparta</t>
  </si>
  <si>
    <t>lunge</t>
  </si>
  <si>
    <t>cucanj</t>
  </si>
  <si>
    <t>strongfemales</t>
  </si>
  <si>
    <t>1586536277430440693_11838829</t>
  </si>
  <si>
    <t>I think is time to get back to this one and finished @sjrag @chicana_status #frame#61impala #aztlanimperialscc #keepongoing #houseofkolor #airbrush #pattern #patterframe#lowriders #lowrider #lowriderlife #westcoast #paint#color #art#worldwide #alfarodesign #freddyalfaro</t>
  </si>
  <si>
    <t>lowriderlife</t>
  </si>
  <si>
    <t>freddyalfaro</t>
  </si>
  <si>
    <t>lowriders</t>
  </si>
  <si>
    <t>airbrush</t>
  </si>
  <si>
    <t>ulrikatellomunster</t>
  </si>
  <si>
    <t>1586547919788288624_2581576224</t>
  </si>
  <si>
    <t>...but if you never try, you will never know... #dontstoptrying #dontstopbelieving #dontstopdreaming #keepongoing #keepontrying #keepondreaming #nevergiveup #neversettle #strive #workhard #playhard #gymlife #workout #progress #gains #rehab #lesspain #motivation #goals #dreams #swedishwoman #positiveenergy #positivevibes #womanwithmuscles #womanwithtattoos #healthylife #fitlife #fitness #fitmom #mothertofour 💖 💖 💖 💖</t>
  </si>
  <si>
    <t>womanwithtattoos</t>
  </si>
  <si>
    <t>dontstopdreaming</t>
  </si>
  <si>
    <t>1586548710379906502_429150387</t>
  </si>
  <si>
    <t>We are live with Partick Alan and friends here at Ciro's, let the #Goodtimes roll 🎶
#Knightsbridge #CirosPomodoro #London #MondayNight #Music #Live #Motown #Gospel #RandB #Ciros #Londoner #LondonLife #LondonTown #KeepOnGoing #LetsGo #MusicBoxLive #MusicBox</t>
  </si>
  <si>
    <t>motown</t>
  </si>
  <si>
    <t>ciros</t>
  </si>
  <si>
    <t>1586549712012629744_5717527571</t>
  </si>
  <si>
    <t>#keepongoing #corvara #acitrullo #landscape #ghosttown #abandoned #rock #visitabruzzo #gransassolagapark #macciocapatonda
Benvenuti qui.</t>
  </si>
  <si>
    <t>corvara</t>
  </si>
  <si>
    <t>abandoned</t>
  </si>
  <si>
    <t>gransassolagapark</t>
  </si>
  <si>
    <t>visitabruzzo</t>
  </si>
  <si>
    <t>1586551897052001244_5717527571</t>
  </si>
  <si>
    <t>#keepongoing #campoimperatore #burningtrees #desolationrow #road #boycottstupidity #leavinghumanitybehind #environmentdisaster #visitabruzzo
Boicotta la stupidità.</t>
  </si>
  <si>
    <t>boycottstupidity</t>
  </si>
  <si>
    <t>road</t>
  </si>
  <si>
    <t>leavinghumanitybehind</t>
  </si>
  <si>
    <t>burningtrees</t>
  </si>
  <si>
    <t>desolationrow</t>
  </si>
  <si>
    <t>rookwook81</t>
  </si>
  <si>
    <t>1586557879674404107_2270575572</t>
  </si>
  <si>
    <t>Every day.  #keepongoing #quotes #cannabis #cannabiscommunity #sativa #indica #veteran #ptsd #ptsdsucks #depression #anxiety #insomnia #medicalmarijuana #marijuana #marijuana #420 #710 #710society</t>
  </si>
  <si>
    <t>Old Town Scottsdale</t>
  </si>
  <si>
    <t>indica</t>
  </si>
  <si>
    <t>ptsdsucks</t>
  </si>
  <si>
    <t>medicalmarijuana</t>
  </si>
  <si>
    <t>veteran</t>
  </si>
  <si>
    <t>kosmopolack</t>
  </si>
  <si>
    <t>1586562277780124262_4239115782</t>
  </si>
  <si>
    <t>The road to Goderdzi - a point in which asphalt ends 😬 Droga do Goderdzi - miejsce w którym skończył się asfalt 😬 #georgia #gruzja #საქართველო #tbilisi #თბილისი #goderdzi #khulo #ontheroad #ontheway #poland #polska #myway #mywayorhighway #forest #wyprawa #voyage #trip #journey #keepongoing #higher #wyzej #adventure #przygoda #watchout #enjoytheview #enjoylife #Gshock #Geobike</t>
  </si>
  <si>
    <t>Khulo</t>
  </si>
  <si>
    <t>mywayorhighway</t>
  </si>
  <si>
    <t>enjoytheview</t>
  </si>
  <si>
    <t>თბილისი</t>
  </si>
  <si>
    <t>georgia</t>
  </si>
  <si>
    <t>jessderese</t>
  </si>
  <si>
    <t>1586566203806927779_3042317018</t>
  </si>
  <si>
    <t>Alles kapot.. Getting old 😂#volleyball #volleyballgirls #volleylife #inshape #letsplay #loveit #sports #muscles #defense #sportgirl #fitgirl #blondehair #longhair #teamsport #greatteam #workhard #kickass #crazyface #concentratingface #shoulderproblems #keepongoing #tournament #volleytournament</t>
  </si>
  <si>
    <t>volleytournament</t>
  </si>
  <si>
    <t>concentratingface</t>
  </si>
  <si>
    <t>inshape</t>
  </si>
  <si>
    <t>sportgirl</t>
  </si>
  <si>
    <t>1586567801702179014_5909755832</t>
  </si>
  <si>
    <t>Be bold. Be strong. Be fearless. Lions don't lose sleep over the opinions of sheep. #staystrong #yougotthis #roar #bebold #keepongoing #blogger #wild #mentalhealthmatters</t>
  </si>
  <si>
    <t>roar</t>
  </si>
  <si>
    <t>bebold</t>
  </si>
  <si>
    <t>blogger</t>
  </si>
  <si>
    <t>ruthgrawert</t>
  </si>
  <si>
    <t>1586568736218802466_213442044</t>
  </si>
  <si>
    <t>Sometimes, 
you have to make big mistakes to figure out how to make things right, mistakes are painful but they are the only way to find out the reality !
#imperfection#nomakeup#redhair#freckles#missing#learnfromthemistake#keepongoing#selfacceptance#bigmistake#naturallook</t>
  </si>
  <si>
    <t>missing</t>
  </si>
  <si>
    <t>imperfection</t>
  </si>
  <si>
    <t>nomakeup</t>
  </si>
  <si>
    <t>selfacceptance</t>
  </si>
  <si>
    <t>davjdavies</t>
  </si>
  <si>
    <t>1586574289687494568_3636319106</t>
  </si>
  <si>
    <t>There is always something wonderful about reaching the #endofthepavement and knowing that you can just #keepongoing! The #bmc #roadmachine isn't a #salsawarbird but can hold its own. Gotta treasure my #gravelgrinding because it's back to #nanjing in less than two weeks! #earlymorningbikeridesarethebest</t>
  </si>
  <si>
    <t>salsawarbird</t>
  </si>
  <si>
    <t>gravelgrinding</t>
  </si>
  <si>
    <t>earlymorningbikeridesarethebest</t>
  </si>
  <si>
    <t>mikaelrenberg</t>
  </si>
  <si>
    <t>1586583402383903279_665657359</t>
  </si>
  <si>
    <t>#biceps #fitness #fitnessoverfifty #fitnessover50 #keepongoing</t>
  </si>
  <si>
    <t>fitnessoverfifty</t>
  </si>
  <si>
    <t>fitnessover50</t>
  </si>
  <si>
    <t>ozbods2</t>
  </si>
  <si>
    <t>1586584266903520981_3242465529</t>
  </si>
  <si>
    <t>Too darn right..... #hardlife #hardtimesbutworthit #getthroughit #youcandoit #keepongoing #keeponswimming #selfdevelopment #selfprogress #gogirl #yougotthis #yougotthisshit</t>
  </si>
  <si>
    <t>gogirl</t>
  </si>
  <si>
    <t>hardtimesbutworthit</t>
  </si>
  <si>
    <t>getthroughit</t>
  </si>
  <si>
    <t>shelbyfitx</t>
  </si>
  <si>
    <t>1586591603371690625_5710304706</t>
  </si>
  <si>
    <t>Pretending I didn't eat hot wings for breakfast. #keepongoing #keepitreal  #lifestylechanges #getfit #weightloss #confidencegain #musclefood #yum #girlswholiftweights</t>
  </si>
  <si>
    <t>musclefood</t>
  </si>
  <si>
    <t>astamalciute</t>
  </si>
  <si>
    <t>1586591853896242079_258571283</t>
  </si>
  <si>
    <t>GREATER THINGS ARE STILL TO BE DONE IN THIS CITY 🌆
•
I love the city view from our apartment💙 It reminds me where I came from (village of 2000 ppl in Lithuania!!!). It reminds me that I was afraid to even dream about living in such a big city! It reminds all of my struggles and life lessons! This view reminds me that the climb may be tough, but the view from the top is always better! 🙌
And this is just a beginning 💃🏻
#keepongoing 👊
•
•
•
#cityview #chicago #chicagoskyline #mymotivation #grateful #keepongoing #followyourdreams #believeinyourself #startyourlife</t>
  </si>
  <si>
    <t>chicagoskyline</t>
  </si>
  <si>
    <t>chicago</t>
  </si>
  <si>
    <t>cityview</t>
  </si>
  <si>
    <t>aryeaster</t>
  </si>
  <si>
    <t>1586596226290615611_272531242</t>
  </si>
  <si>
    <t>Isn't it ironic, how we tell other to stay strong, yet we can't do it ourselves. .
.
.
#life #quote #keepgoing #thatsjusthowitis #whatever #ironic #staystrong #keepontrucking #keepongoing #lake #dock #layingdown #profile #lookingaway #sideview #brunette #redlips #katespadeearrings #choker #latergram #fridaynight #cryskies #darknessfalls #laurentides #inthewoods #lakemacdonald #quebec #canada #allblack</t>
  </si>
  <si>
    <t>Skyline</t>
  </si>
  <si>
    <t>whatever</t>
  </si>
  <si>
    <t>lookingaway</t>
  </si>
  <si>
    <t>carolowe</t>
  </si>
  <si>
    <t>1586596944977800962_13031521</t>
  </si>
  <si>
    <t>Thank you for the pit stop for ice cream 🍦 and for practicing #nlp with me! #keepongoing #releasingbaggage #nlpmasterpractitioner #breakthrough #gratitude #results #tbt</t>
  </si>
  <si>
    <t>releasingbaggage</t>
  </si>
  <si>
    <t>gratitude</t>
  </si>
  <si>
    <t>nlp</t>
  </si>
  <si>
    <t>1586598659750337249_4773778225</t>
  </si>
  <si>
    <t>🛶🌞#worldtravelbook #flashesofdelight #art #lake #rainbow #goodafternoonpost #keeponkeepingon #keepongoing #motivation #motivationeveryday #sunset #flowers #architecturephotography #architecture #tagsforlikes #bluesky #likesforlikes #follow #almosttheweekend #smile #happy #morningmotivation #flower #behappy #grateful @jenntaras this is for you</t>
  </si>
  <si>
    <t>1586599525873860856_5705167414</t>
  </si>
  <si>
    <t>Kyrie's shakin over there, he knows what's coming to him  #Dubnation
-
-
-
-
-
-
-
-
-
-
-
-
-
-
-
-
-
-
-
-
-
-
-
-
-
-
-
-
-
-
-
-
-
-
-
-
-
-
-
-
 #StephGonnaSteph #Mvp #SC30 #KT11 #DG23 #CURRYMVP #KEEPONGOING #NEVERGIVEUP #WCF #WEST #WESTERNCONFERENCEFINALS #CHAMPS #DUBSFORCHAMPS #DUBS #ALWAYSBELIEVEINGOD #STEPHENCURRY #EVEN #NBA #2016CHAMPS #CHAMPIONS #LOCKIN #STEPH #SPLASH #SPLASHBROS  #like4like #like4follow #follow4follow</t>
  </si>
  <si>
    <t>hhutchgirl</t>
  </si>
  <si>
    <t>1586600486369371196_565307260</t>
  </si>
  <si>
    <t>As #parents we want our #kids to #dream bigger and do more than we ever will. Im fully embracing that as I eat this plate of #nachos and watch my kids do #burpees in my bedroom. #keepongoing #getitkids #betterlife #inspiration #noburpeesforme</t>
  </si>
  <si>
    <t>getitkids</t>
  </si>
  <si>
    <t>betterlife</t>
  </si>
  <si>
    <t>burpees</t>
  </si>
  <si>
    <t>eve_organizes</t>
  </si>
  <si>
    <t>1586602369821883222_5896291224</t>
  </si>
  <si>
    <t>This applies to many aspects of life... Unable to continue unpacking due to construction on my windows. Womp.</t>
  </si>
  <si>
    <t>photostyling</t>
  </si>
  <si>
    <t>complements</t>
  </si>
  <si>
    <t>organization</t>
  </si>
  <si>
    <t>declutter</t>
  </si>
  <si>
    <t>1586607118805484682_2464483327</t>
  </si>
  <si>
    <t>October 29th is my comp. Never in my life would I thought I would be doing this. I was the girl who got stretch marks as a 14yr old growing too fast for my body while being a top athlete in rowing. I was the young adult not eating right and abusing my body with yo yo dieting and angry abusive comments towards myself.  I was the self conscious over weight 30 yr old who couldn't understand what my body was doing. Now I'm 37 and I've finally figured out who I am. I've always fight like a strong independent woman, with gentleness. But it's taken me till now to fully own it. It took me figuring out my own body and it what it agrees with to finally understand how to look after me.  Now it's all about fine tuning what I have with the help of my support crew aka hubby, friends and of course my PT trainer @damien_williams_pt_nz_au. What I can say is. Once you've overcome your barrier in your mind. You can do anything! #bodybuilding #bodypositive #strongwomen #exercise #happiness</t>
  </si>
  <si>
    <t>Wolfs Gym 24/7</t>
  </si>
  <si>
    <t>hanbanan91</t>
  </si>
  <si>
    <t>1586609998523753220_2958535519</t>
  </si>
  <si>
    <t>Yeah, maybe my head's fucked up
But I'm falling right back in love with being alive
Dreaming in light, light, lights
This kitty cat lost her mind
Been lookin' for a star-sent sign that I'll be alright
Look to the skies; #keepongoing #kesha #rainbow</t>
  </si>
  <si>
    <t>kesha</t>
  </si>
  <si>
    <t>1586618022822211706_191537225</t>
  </si>
  <si>
    <t>When one of your best friends and biz partners gives you a sign that says "Boss Lady" 😀you set it up on your desk, right in front of you!! And you sit there and look at it, you smile, you feel grateful,  happy, proud... you keep reading it over and over again all day and keep smiling. And as you do, you suddenly remember it has almost been 1 year since you became one.  Cause guess what...YES, yes you are a boss lady...of your very own!🙋🙋🙋 And now your goal continues!!! To help other people become one too 👫👭👫👭
#bosslady #bossman #lovewhatido
#myownbosslady #bossbabe #workfromhome #livelifenow #everyonecandothis #ificansocanyou #keepongoing #neverstopdreaming #morechoices</t>
  </si>
  <si>
    <t>bosslady</t>
  </si>
  <si>
    <t>neverstopdreaming</t>
  </si>
  <si>
    <t>originalbosslady</t>
  </si>
  <si>
    <t>morechoices</t>
  </si>
  <si>
    <t>mxr.cix</t>
  </si>
  <si>
    <t>1586622649592173521_450688617</t>
  </si>
  <si>
    <t>Un drone desde el suelo - hoy, calle 51 - 
#keepongoing</t>
  </si>
  <si>
    <t>1586623586456812704_5705167414</t>
  </si>
  <si>
    <t>Behind the back 👀  #Dubnation
-
-
-
-
-
-
-
-
-
-
-
-
-
-
-
-
-
-
-
-
-
-
-
-
-
-
-
-
-
-
-
-
-
-
-
-
-
-
-
-
 #StephGonnaSteph #Mvp #SC30 #KT11 #DG23 #CURRYMVP #KEEPONGOING #NEVERGIVEUP #WCF #WEST #WESTERNCONFERENCEFINALS #CHAMPS #DUBSFORCHAMPS #DUBS #ALWAYSBELIEVEINGOD #STEPHENCURRY #EVEN #NBA #2016CHAMPS #CHAMPIONS #LOCKIN #STEPH #SPLASH #SPLASHBROS  #like4like #like4follow #follow4follow</t>
  </si>
  <si>
    <t>1586625058204295570_2464483327</t>
  </si>
  <si>
    <t>I always sweat so much when I do cardio. That's why I wear singlets a lot. I had just taken off my jersey which was covered in sweat too. At the end of the day I don't care. As long as I know I'm killing it for my goal to compete in my first body building comp. I'm happy. So go do what makes you happy. Don't worry what others have to say and just go have fun. You only have one life! #bikinicompetitor #competitionprep #happiness #keytolife #exercisetime</t>
  </si>
  <si>
    <t>lauelfer</t>
  </si>
  <si>
    <t>1586627555694563108_288404218</t>
  </si>
  <si>
    <t>Born at 3 lbs in 1919, this grandma of mine is killing it as she hit 98 yesterday. Her mom kept her and her twin brother in a shoebox on the oven door to stay warm during those early months. She's hilarious, straight to the point, and resilient. She takes levothryoxine and iron every morning. And just keeps on trucking. Visiting her this weekend has been a joy. #98 #keepongoing #healthygrandma</t>
  </si>
  <si>
    <t>98</t>
  </si>
  <si>
    <t>healthygrandma</t>
  </si>
  <si>
    <t>ffsidontknow</t>
  </si>
  <si>
    <t>1586631902345268671_1022666538</t>
  </si>
  <si>
    <t>#perseverance #persistence #fitnessmotivation #motivationalwords #fitnessgoals #stayinthefight #keepongoing #womenshealth #strongwomen #womensfitness #goals</t>
  </si>
  <si>
    <t>motivationalwords</t>
  </si>
  <si>
    <t>stayinthefight</t>
  </si>
  <si>
    <t>1586639759751651092_2228184788</t>
  </si>
  <si>
    <t>Playa Smiles are just Different ❤️ #cafecalm #burningman #almosthome #festivalpeople #keepongoing #CCbubblegum #jokevulture #fuckingloveyou #family</t>
  </si>
  <si>
    <t>jokevulture</t>
  </si>
  <si>
    <t>ccbubblegum</t>
  </si>
  <si>
    <t>almosthome</t>
  </si>
  <si>
    <t>fuckingloveyou</t>
  </si>
  <si>
    <t>1586643031552356903_4773778225</t>
  </si>
  <si>
    <t>Tonight's sunset 🤗🌞#worldtravelbook #flashesofdelight #art #lake #rainbow #goodafternoonpost #keeponkeepingon #keepongoing #motivation #motivationeveryday #sunset #flowers #architecturephotography #architecture #tagsforlikes #bluesky #likesforlikes #follow #almosttheweekend #smile #happy #morningmotivation #flower #behappy #grateful</t>
  </si>
  <si>
    <t>1586653775086899667_3275305</t>
  </si>
  <si>
    <t>I was so brutally hard with myself but unquestionably soft with someone who didn't appreciate me. 
It's a shame how hard I am on myself. 
It's time to treat myself with more love and spend time with those who cares. 
I deserve to be celebrated too :)</t>
  </si>
  <si>
    <t>1586658862013621073_1684424176</t>
  </si>
  <si>
    <t>strategize</t>
  </si>
  <si>
    <t>1586659582099735403_4520028849</t>
  </si>
  <si>
    <t>Great American Eclispe 2017
Shoppingwithjacquie.agnesanddora.com 
#agnesanddora #capri #abettermewithaandd #summeroutfits #iloveaandd #leggings #lularoe #pullover #greatamericaneclipse #solareclispe  #healthyliving #faith #positivevibes #unstoppable #icandothis #nanalife #keepongoing #powerinprayer #success #ilovedisney #beachlife #skirt #tank #dress #fisher #joplin #godiva #happywife #happylife</t>
  </si>
  <si>
    <t>fisher</t>
  </si>
  <si>
    <t>greatamericaneclipse</t>
  </si>
  <si>
    <t>hagaitatarigansibero</t>
  </si>
  <si>
    <t>1586660760103554578_216186119</t>
  </si>
  <si>
    <t>"God is cheering you on and holding out his hand to offer what you need to KEEP ON GOING."
•
•
•
•
•
•
#keepongoing #blessed #thanksgiving</t>
  </si>
  <si>
    <t>thanksgiving</t>
  </si>
  <si>
    <t>1586662463554460279_1615759923</t>
  </si>
  <si>
    <t>sistersupportingsisters</t>
  </si>
  <si>
    <t>1586664248178754341_5866618065</t>
  </si>
  <si>
    <t>#tothequeens #salute #keepongoing #nyc #sssnyc #sisterssupportingsistersnyc #love #encourage #uplift @sheconquers</t>
  </si>
  <si>
    <t>encourage</t>
  </si>
  <si>
    <t>sisterssupportingsistersnyc</t>
  </si>
  <si>
    <t>sssnyc</t>
  </si>
  <si>
    <t>1586669364307197612_224929186</t>
  </si>
  <si>
    <t>They’re small, but it’s just the start! The decals are installed to show my thanks to @365mx for choosing to sponsor me! I can’t thank you guys enough. 🤘🏻
/
/
#love #life #happy #art #quote #strength #music #inspirational #god #inspiration #inspired #smile #keepongoing #standup #fight #live #faith #photography #metal #rock #motivation #technology #mx #motocross #kawasaki #braap #monsterenergy #gopro #ride365 #365mx</t>
  </si>
  <si>
    <t>gopro</t>
  </si>
  <si>
    <t>1586669448949832186_216089260</t>
  </si>
  <si>
    <t>The little things!! .
.
#divineorder #empoweringwomen #goals #growth #happy #inspiration #jamaicanlifecoach #lifecoach #lovemyjob #mindset #morethanenough #nofear #nicolewright #purpose #success #survivor #universe #nevertoolatetostartover #nevertoolatetobegin #standuptocancer #nevergiveup #keepongoing #believeinyourself #happy #lovemylife  #anthropologie #naturalhair #jamaicanlifecoach</t>
  </si>
  <si>
    <t>divineorder</t>
  </si>
  <si>
    <t>1586670631238583638_2065144435</t>
  </si>
  <si>
    <t>Another budget hostel...
#guatemala</t>
  </si>
  <si>
    <t>Zephyr Lodge Lanquin</t>
  </si>
  <si>
    <t>guatemala</t>
  </si>
  <si>
    <t>dumaranshaira</t>
  </si>
  <si>
    <t>1586679464561453222_4317172426</t>
  </si>
  <si>
    <t>.. keyboard kaba ? .. kasi TYPE kita ei 😘😘😘💞💕 #blackground #smile #happy #corny #lovelovelove #keepongoing</t>
  </si>
  <si>
    <t>lovelovelove</t>
  </si>
  <si>
    <t>blackground</t>
  </si>
  <si>
    <t>1586679707034592683_216089260</t>
  </si>
  <si>
    <t>This was soooo good!
#divineorder #empoweringwomen #goals #growth #happy #inspiration #jamaicanlifecoach #lifecoach #lovemyjob #mindset #morethanenough #nofear #nicolewright #purpose #success #survivor #universe #nevertoolatetostartover #nevertoolatetobegin #standuptocancer #nevergiveup #keepongoing #believeinyourself #happy #lovemylife  #anthropologie #naturalhair #jamaicanlifecoach</t>
  </si>
  <si>
    <t>1586681932347681718_462344435</t>
  </si>
  <si>
    <t>The only real stumbling block is fear of failure.  Learn from your mistakes, be fearless and above all, have fun!
You can do this!💪😉😊😃
.
.
.
#Bepositive #positivemindset #livelifetothefull #seethegood #seethegoodineverything #believeyoucan #befearless #keeponmoving #keeponlearning #keepondoing #keepongoing #keeponbelieving #believeinyou #goodhabits #achieve #achieveyourdreams #achieveyourgoals #believeinyourdream #believeinyourselfie #keepthefaith #neverstoplearning #positiveattitude #positivemindset #positivequotes #positivevibes #positiveminds #trustandbelieve #focusonyourgoals #yesyoucan #youcandoit</t>
  </si>
  <si>
    <t>drtaufiqrashid</t>
  </si>
  <si>
    <t>1586682793101781661_448280952</t>
  </si>
  <si>
    <t>No matter how hard it gets, how tired you are or how much you want to give up. Just keep on going. As long as you don't quit. You will always get better.</t>
  </si>
  <si>
    <t>ammbam95</t>
  </si>
  <si>
    <t>1586682911288900491_22819915</t>
  </si>
  <si>
    <t>Do it for yourself &amp; no one else. 💪🏽#keepongoing#betteryourself</t>
  </si>
  <si>
    <t>Bodyworks Sports Medicine &amp; Rehabilitation, Inc.</t>
  </si>
  <si>
    <t>1586687966248205535_216089260</t>
  </si>
  <si>
    <t>Stolen @myleik but true!!!</t>
  </si>
  <si>
    <t>1586691760515372165_429150387</t>
  </si>
  <si>
    <t>What a way to end this awesome evening with Jennifer Phillips singing Simply the best live at Music Box and yes she's singing it to our Lord and Saviour Jesus because He is the best. 
So great seeing so many friends I haven't seen in such a long time and enjoyed all the #Goodtimes and #Yummytimes with my good friend Ben, what a great evening. 🎶🙌🎶
#MondayNight #TuesdayMorning #Music #Live #Soul #LiveMusic #Ciros #CirosPomodoro #Knightsbridge #Londoner #London #LondonLife #LondonTown #MusicBoxLive #MusicBox #KeepOnGoing #SimplyTheBest #ItsAllAboutJesus #GreatNight #Thankful #Blessed #Sing #WhatANight #NewWeek #ThankYouJesus</t>
  </si>
  <si>
    <t>knightsbridge</t>
  </si>
  <si>
    <t>whatanight</t>
  </si>
  <si>
    <t>chinandpops</t>
  </si>
  <si>
    <t>1586694986941206178_5894024102</t>
  </si>
  <si>
    <t>One very tender, gazebo disaster injury! Have to like how it has turned out kind of heart shaped though! Now we just need to replace our gazebo and things will be back on track!
#chinandpops  #bruises  #ihatebritishweather  #keepongoing  #whatdoesntkillyou</t>
  </si>
  <si>
    <t>ihatebritishweather</t>
  </si>
  <si>
    <t>whatdoesntkillyou</t>
  </si>
  <si>
    <t>david_puuentez</t>
  </si>
  <si>
    <t>1586696632946516477_415361200</t>
  </si>
  <si>
    <t>LeGeNdS iN tHe MaKiNg💯
#top#2#rappers#aboveall#jcole#kendricklamar#dreamville#topdawgentertainment#legends#inthemaking#💯#keepongoing</t>
  </si>
  <si>
    <t>dreamville</t>
  </si>
  <si>
    <t>kendricklamar</t>
  </si>
  <si>
    <t>inthemaking</t>
  </si>
  <si>
    <t>middlebyshawn</t>
  </si>
  <si>
    <t>1586697905733831416_3692276277</t>
  </si>
  <si>
    <t>#life #lifequotes #nevergiveup #motivation #motivationalquotes #believe #trust #beyourself #humble #humbled #learning #keepongoing #trusted #quotes #learn #neverstop #motivated #explore #selfbelief #insperation #memes #meme</t>
  </si>
  <si>
    <t>selfbelief</t>
  </si>
  <si>
    <t>shadreizjosh</t>
  </si>
  <si>
    <t>1586702778423025546_3956662299</t>
  </si>
  <si>
    <t>Good is Not Enough if Better is Possible!👌👍
#TuesdayMorning #KeepOnGoing #BikingDone #FoldingBike #BlackIs❤</t>
  </si>
  <si>
    <t>bikingdone</t>
  </si>
  <si>
    <t>foldingbike</t>
  </si>
  <si>
    <t>tuesdaymorning</t>
  </si>
  <si>
    <t>blackis</t>
  </si>
  <si>
    <t>nalli_dance</t>
  </si>
  <si>
    <t>1586704299847581947_5736354499</t>
  </si>
  <si>
    <t>Words from my Innerbeing to my Ego. Because you can't depend on others to push you to your greatness. Its all an inside job. I know from experience what it feels like.. So, I share cause I care.🙏✌❤🕉 We can become so unkind and impatient with ourselves. We put so much into changing ourselves and we only see little results for our efforts. We think, that we should be farther than where we are. The thing is, is if we keep looking outwards to give us confirmation that we've changed, then we truly have not changed. It's forgetting about your outside manifestations and saying to yourself. "I have changed and I don't need reality to change to confirm that I have indeed changed. Its about how i feel inside, not what has manifested." Because if not, then you'll be waiting forever for external change. Again, thank you for your time!🙏Namaste🙏 ✌1❤
#namaste #mythoughts #myexperience #inspire#dreambig #spiritualbeing #bekindtoyourself #changeisgood #keepongoing#nevergiveup
#youareppowerful #wearecreators #reprogrammingthemind #themindset#changeischange #yourdoinggreat #selflove #reality #changetakestime #yesican#ego #consciousness #authenticity #isharecauseicare #bethechange🌎</t>
  </si>
  <si>
    <t>isharecauseicare</t>
  </si>
  <si>
    <t>yourdoinggreat</t>
  </si>
  <si>
    <t>3dotbeyond</t>
  </si>
  <si>
    <t>1586718016137573770_5741529713</t>
  </si>
  <si>
    <t>I'm thrilled with today's numbers. Beat my 2 mile PR by a long shot, after running one mile at an easy pace... I started the year barely able to run a 5k at a 10:30 min/mile pace. Now, hopefully on track to complete one below an 8 min/mile pace before the year's end. Thanks for the encouragement and motivation. Happy Monday everybody! @3dotrafelo</t>
  </si>
  <si>
    <t>Cypress, Texas</t>
  </si>
  <si>
    <t>getupandgo</t>
  </si>
  <si>
    <t>giveityourbest</t>
  </si>
  <si>
    <t>californiadream0001</t>
  </si>
  <si>
    <t>1586725742632568336_5753123895</t>
  </si>
  <si>
    <t>5.4 Chumash Trail was a  hidden sight to see. #simivalley #chumashtrail #hikingoutdoors #wildlifeterritory #sightseeing #keepongoing #afternoondelight #afternoonwalks</t>
  </si>
  <si>
    <t>Chumash Park</t>
  </si>
  <si>
    <t>sightseeing</t>
  </si>
  <si>
    <t>afternoondelight</t>
  </si>
  <si>
    <t>wildlifeterritory</t>
  </si>
  <si>
    <t>afternoonwalks</t>
  </si>
  <si>
    <t>hikingoutdoors</t>
  </si>
  <si>
    <t>gordygetsfit</t>
  </si>
  <si>
    <t>1586730291764982477_5907099898</t>
  </si>
  <si>
    <t>Took this picture after I caught a few good shots for my transformation post. I know that these pictures will end up being "before pictures" in the near future. Just wanted to say that during this journey I've noticed that the best feature I have is my smile. Not being cocky, just saying that in the beginning it was rough because I was always so sad and tired. I've noticed that I'm so full of energy now and I've gotten really happy and confident. Just know your worth and keep pushing on people. Little by little, if you never give up, you will eventually reach your goals! Good night beautiful people!! #inspiration #inspire #inspired #weightloss #fattofit #weightlosstransformation #fat #weightlossjourney #fitlife #fitness #fitnessmotivation #happy #motivation #motivationmonday #keepongoing #persistence #committed #dedication #selfie #selflove #smile #strength #fit</t>
  </si>
  <si>
    <t>1586733643266899135_5468355632</t>
  </si>
  <si>
    <t>OML TY-🐯 #josh #tyler #jenna #twentyonepilots #bands #frens #laugh #myidols #loveyou #bestmusic #keepongoing #ibelieve #theyrethebest #funny  #smile #tøpmemes #tøp #stayalive #inspiring #beautifulpeople</t>
  </si>
  <si>
    <t>josh</t>
  </si>
  <si>
    <t>stoneyrodsvisions</t>
  </si>
  <si>
    <t>1586735154037135692_4576314631</t>
  </si>
  <si>
    <t>Flower child 🌺 #Stoney #austintx #downtownatx #stoneyrodsvisions #lethershine #keepongoing #naturephotography #austin360 #austinphotographer</t>
  </si>
  <si>
    <t>Downtown Austin</t>
  </si>
  <si>
    <t>lethershine</t>
  </si>
  <si>
    <t>austin360</t>
  </si>
  <si>
    <t>stoney</t>
  </si>
  <si>
    <t>i_am_bag_man</t>
  </si>
  <si>
    <t>1586742433253007209_5386140682</t>
  </si>
  <si>
    <t>#youarenotalone #keepongoing #staystrong #staypositive #loveyourselffirst #learntofly #bebrave #bebold #bebeautiful #youcan #crohnsawareness #crohnsandcolitis #crohnsdisease #ileostomy #ostomy #ostomybag #wearefamily #loveyouall #yourawesome</t>
  </si>
  <si>
    <t>crohnsawareness</t>
  </si>
  <si>
    <t>loveyourselffirst</t>
  </si>
  <si>
    <t>learntofly</t>
  </si>
  <si>
    <t>ostomybag</t>
  </si>
  <si>
    <t>bebrave</t>
  </si>
  <si>
    <t>gracelim_cw</t>
  </si>
  <si>
    <t>1586746867211293783_191355147</t>
  </si>
  <si>
    <t>人生就是这样 你不知道下一个台阶会发生什么事 你也无法躲避 只能对自己说坚持过去 就会海阔天空❗️所以勤劳和努力一向是我的座右铭❗️我相信自己的能力而不是运气‼️#坚持自己的梦想 #keepongoing#dreamcometrue #fighting</t>
  </si>
  <si>
    <t>Bangkok, Thailand</t>
  </si>
  <si>
    <t>坚持自己的梦想</t>
  </si>
  <si>
    <t>dreamcometrue</t>
  </si>
  <si>
    <t>isebellie_m</t>
  </si>
  <si>
    <t>1586755043200544551_48783226</t>
  </si>
  <si>
    <t>Nice and fresh.  #goodmorning #earlyshifthasitsbenefits #madagascar #islandliving #sopriviledged #thisislife #keepongoing #riseup</t>
  </si>
  <si>
    <t>riseup</t>
  </si>
  <si>
    <t>sopriviledged</t>
  </si>
  <si>
    <t>earlyshifthasitsbenefits</t>
  </si>
  <si>
    <t>1writeonmissamy</t>
  </si>
  <si>
    <t>1586755837819483442_1444457119</t>
  </si>
  <si>
    <t>#getchurgrooveon #zumbafitness #latinoheat #dancelikenobodyswatching #moveyobody #zumbaworldwide #weviva #sweatlife #keepongoing #fitgirls_inspire #fitfirlsguide #austinfit #❤️</t>
  </si>
  <si>
    <t>City of Austin</t>
  </si>
  <si>
    <t>weviva</t>
  </si>
  <si>
    <t>zumbaworldwide</t>
  </si>
  <si>
    <t>austinfit</t>
  </si>
  <si>
    <t>sweatlife</t>
  </si>
  <si>
    <t>getchurgrooveon</t>
  </si>
  <si>
    <t>radioscillator</t>
  </si>
  <si>
    <t>1586758369956241091_386507824</t>
  </si>
  <si>
    <t>Cleaning up vintage tools is about as satisfying as the work for which they are still utilized! This glazing point driver, a simple machine of steel components, likely began its working life before WWII. It is a faithful companion for anyone needing to secure glass lites (panes) into wooden sash frames. Often found in junk stores or among other 'obsolete' tools in boxes and workbenches, these really take a minimal amount of TLC to get functioning properly again. And if you are someone who restores historic windows, you will find it just as necessary as the first person who glazed them, many decades earlier. 👩🏻‍🔧 &lt;----scroll left-----&lt;
@thecraftsmanblog #austinrestores #girlswithtools #fixinstuff #restoration #likenew #cleanitup #noplastic #madeinamerica #builttolast #toolsyourgrandpaused #smartdesign #artisanarmy #keepongoing #girlswhofixthings #gonnamakeapinkonesoon #lovemyjob #windowrestoration #historical #happinessisshinytools</t>
  </si>
  <si>
    <t>restoration</t>
  </si>
  <si>
    <t>smartdesign</t>
  </si>
  <si>
    <t>artisanarmy</t>
  </si>
  <si>
    <t>gonnamakeapinkonesoon</t>
  </si>
  <si>
    <t>austinrestores</t>
  </si>
  <si>
    <t>1586759656364136608_4739378376</t>
  </si>
  <si>
    <t>Day of refills on the dolls🍦
.
.🌸Web》 www.waxxxandbronze.com
.🌸Add》 45 Yarra Street Geelong 3320
.🌸ph 》 03 5229 2630
.
.#clients #amazingclients #blessing #keepongoing #workhard #thesebeauties #lashlife #lashmenow  #geelonglashes #centralgeelong #lashfordays #amazing #lovelife #salongeelong #auslashes #falsies #silklashes #classiclashes #eyelashextensions #eyelashes #waxingsalon #bikiniwax ##eyebrowshaping #waxing #geelong</t>
  </si>
  <si>
    <t>Waxxx &amp; Bronze</t>
  </si>
  <si>
    <t>classiclashes</t>
  </si>
  <si>
    <t>clients</t>
  </si>
  <si>
    <t>pragati391966</t>
  </si>
  <si>
    <t>1586760136603470512_3019013272</t>
  </si>
  <si>
    <t>A love that's deeper than the ocean, and dedication higher than the heavens.. We all need a positive nudge every now and then to keep making our lives enriching and worthwhile.. To the greatness of almighty and riches of His mysteriously exuberant universe.. #namaste #colorsofindia #incredibleindia #livinglife #positivevibes #keepongoing #lifeisgreat #loveyourself #magical #amazingday #morningvibes #weeklymotivation #instapic #instagood #instamoto</t>
  </si>
  <si>
    <t>amazingday</t>
  </si>
  <si>
    <t>morningvibes</t>
  </si>
  <si>
    <t>livinglife</t>
  </si>
  <si>
    <t>weeklymotivation</t>
  </si>
  <si>
    <t>ardylioe</t>
  </si>
  <si>
    <t>1586762308893604690_305890135</t>
  </si>
  <si>
    <t>Do you hear me, talking to you
•🏞🎶
#acrossthedeepblue #ocean #sultravaler #travelindonesia #tentangpalu #unknown #nowhere #island #beautifulindonesia #langitsulawesi #righthere #strive #forbetterfuture #sacrife #reachgreaterheights #prayers #enjoy #lifetransition #keepongoing #reachthesky #Godsblessing #Godsfavor #prayers #doctor #AL7 #🐘</t>
  </si>
  <si>
    <t>unknown</t>
  </si>
  <si>
    <t>prayers</t>
  </si>
  <si>
    <t>island</t>
  </si>
  <si>
    <t>sacrife</t>
  </si>
  <si>
    <t>godsblessing</t>
  </si>
  <si>
    <t>venomprotein</t>
  </si>
  <si>
    <t>1586764116696074139_22995817</t>
  </si>
  <si>
    <t>.
我知影這袂輕鬆，頭前路崎崎嶇嶇，這是你的人生。
有勇氣來選擇，有志氣來承擔，做勇敢的人。
#170821
#keepongoing</t>
  </si>
  <si>
    <t>Shanghai, China</t>
  </si>
  <si>
    <t>170821</t>
  </si>
  <si>
    <t>leonardoribeiro028</t>
  </si>
  <si>
    <t>1586767751212770536_1572774086</t>
  </si>
  <si>
    <t>Transformation Tuesday 🏋!*
Top picture- January 2016 
Bottom picture-April 2017 
#transformationtuesday #gains #abs #veins #itsalifestyle #weloveit #itsanadiction #bodybuilding #eatclean #trainmean #motivation #keepongoing #hdlaboratories</t>
  </si>
  <si>
    <t>67 Training</t>
  </si>
  <si>
    <t>hdlaboratories</t>
  </si>
  <si>
    <t>trainmean</t>
  </si>
  <si>
    <t>momofmanytoes</t>
  </si>
  <si>
    <t>1586774166894582946_2042085473</t>
  </si>
  <si>
    <t>The sky's the limit! #successfulwomen #success #nebraskagirl #momlife #momboss #mom #social #succeed #eclipse2017 #keepongoing</t>
  </si>
  <si>
    <t>mom</t>
  </si>
  <si>
    <t>succeed</t>
  </si>
  <si>
    <t>momboss</t>
  </si>
  <si>
    <t>_nicolewatson_</t>
  </si>
  <si>
    <t>1586783941476520894_604844991</t>
  </si>
  <si>
    <t>New moon vibes ✨🌒✨. • •. #monday #LAlife #streetstyle #styles #FilmLife #goals #life #business #picoftheday #blonde #summer #goodvibes #smile #producer #actor #model #lifestyle #health #love #keepongoing 🦋</t>
  </si>
  <si>
    <t>West Hollywood, California</t>
  </si>
  <si>
    <t>1586793443932258693_279512262</t>
  </si>
  <si>
    <t>Уже скучаю по нашим утренним променадам с Милом)
Пока не доехала до центра, буду продолжать показывать вам Смоленск и ненавязчиво уговаривать сгонять туда на выходные😂
Уже порядочное число  моих московских делились со мной приятными впечатлениями от Смола и, главное, я пока не встретила не одного недовольного)
.
#vscogood #morning #mood #madrussians #russia #smolensk #abmlife #aloha #abmhappylife #abmlifeissweet #abmlifeiscolorful #summer #daily #keeponwalking #keepongoing #vsco #vscocam #oldtown #streetphoto</t>
  </si>
  <si>
    <t>oldtown</t>
  </si>
  <si>
    <t>abmlifeiscolorful</t>
  </si>
  <si>
    <t>streetphoto</t>
  </si>
  <si>
    <t>1586797209620431018_2464483327</t>
  </si>
  <si>
    <t>More body shots to keep me accountable. Taken last week. Have to keep up my own motivation 💪💪💪 #bikinicompetitor #keeponkeepingon #exercisetime</t>
  </si>
  <si>
    <t>bikinicompetitor</t>
  </si>
  <si>
    <t>exercisetime</t>
  </si>
  <si>
    <t>openmindbyjc</t>
  </si>
  <si>
    <t>1586799473454957844_2028489761</t>
  </si>
  <si>
    <t>Guten Morgen ☺️ für mich geht es Freitag für eine Woche nach Italien und ich hoffe, dass meine eingepackten After-sun Produkte zum Einsatz kommen 😅bis dahin heißt es noch ein bisschen produktiv zu sein, auch wenn ich gerade lieber im Bett bleiben würde als in die Bibliothek zu fahren. Einmal im Monat plagen mich die unterleibsschmerzen Deluxe 🤘🏼 normalerweise würde ich dann auch zu Hause bleiben, aber es gibt noch so viel zu tun 🤦🏽‍♀️ also auf gehts ✌🏼
Chrissi
.
#garnier#garnierambresolaire#apressun#aftersun#skincare#dm#rossmann#drogerie#aldi#aldisüd#facecare#vacay#waitforsummer#motivation#blogger#blog#beauty#beautyblog#beautyproducts#summer17#summervibes#destinationpermanentvacation#openmindbyjc#getthingsdone#keepongoing#aufgehts#blogger_de#readyforsummer#readyforvacation</t>
  </si>
  <si>
    <t>aftersun</t>
  </si>
  <si>
    <t>skincare</t>
  </si>
  <si>
    <t>dm</t>
  </si>
  <si>
    <t>itsmechillin</t>
  </si>
  <si>
    <t>1586802197310618334_5386046771</t>
  </si>
  <si>
    <t>This is it 🔥 #Don'tGiveUp #moveforward  #keepongoing #havefaith</t>
  </si>
  <si>
    <t>moveforward</t>
  </si>
  <si>
    <t>don</t>
  </si>
  <si>
    <t>corinacoleen</t>
  </si>
  <si>
    <t>1586820866787221369_179456273</t>
  </si>
  <si>
    <t>focus, always •</t>
  </si>
  <si>
    <t>alwaysfocus</t>
  </si>
  <si>
    <t>lifepullingback</t>
  </si>
  <si>
    <t>taketherisk</t>
  </si>
  <si>
    <t>marbsfit</t>
  </si>
  <si>
    <t>1586826066936529827_4361328352</t>
  </si>
  <si>
    <t>Time to move#keepongoing#fitfamily#tuesdaymorning#gymmotivation#purepower#noexcusesssss💪🏻❤️</t>
  </si>
  <si>
    <t>Marbella Puerto Banus</t>
  </si>
  <si>
    <t>fitfamily</t>
  </si>
  <si>
    <t>purepower</t>
  </si>
  <si>
    <t>noexcusesssss💪</t>
  </si>
  <si>
    <t>tammiexoxox</t>
  </si>
  <si>
    <t>1586855819441722133_577932927</t>
  </si>
  <si>
    <t>Keep it positive... #evenyourworstdaysonlyhavetwentyfourhours #keepitpositive #tryingtobepositive #keepingitpositive #worstdays #lifeishard #lifeisnotfair #alwayslookonthebrightsideoflife #keepyourheadup #keepyourchinup #keepmycrownon #keepmychinup #keepmyheadup #keepongoing #keeponshining #keeponsmiling #alwayssmile</t>
  </si>
  <si>
    <t>worstdays</t>
  </si>
  <si>
    <t>keepingitpositive</t>
  </si>
  <si>
    <t>1586859326744504111_297558307</t>
  </si>
  <si>
    <t>GM😁🌅Warriors🏹! "Few men are brave by nature, but good order and experience make many so."- Niccolo Machiavelli. Day 31/45 summer challenge 2017!!! Be brave and go for it, whatever you are fighting for💪🏻👊🏻!! Daily 8K🏃🏼‍♀️, Shoulders🏋🏼‍♀️ all in the company of #hardwell #hardwellonair #fitmom #fitmama #fitgirl #fitness #fitnessaddict #run #runner #running #mamaenforma #mamacorriendo #gim #gimnasio #gym #gymgirl #gymlife #gymaddict #gymaholic #keeptrying #keepmoving #keepstrong #keepongoing #myanchor #mypassion #myhappyplace #asics #nike #justdoit</t>
  </si>
  <si>
    <t>mamacorriendo</t>
  </si>
  <si>
    <t>kaitballefitness</t>
  </si>
  <si>
    <t>1586863431977693086_5499936257</t>
  </si>
  <si>
    <t>Sorry for being MIA lately guys! 🍃🌸 ⭐️
Uni has kicked up a gear and really gotten intense with a very important exam only days away now, have been pouring my energy into not only study, 👩🏽‍🎓but working many little jobs on the side to keep the $$ trickling in 👩🏽‍🔧Training is going well, fitting good sustained sessions in wherever I can and always taking time at the end of my days to take a deep breath and relax to ensure a good nights sleep 😴✌🏼
What's your tricks and tips to get a good restful sleep?🌙💫🌚🌝
@huntinglouise - artwork 
#tuesday #onthegrind #stressedout #training #sleep #howtosleep #relax #breathe #stress #exams #uni</t>
  </si>
  <si>
    <t>goodchoices</t>
  </si>
  <si>
    <t>ehplabsathlete</t>
  </si>
  <si>
    <t>manolito_loco</t>
  </si>
  <si>
    <t>1586865709601014559_1300461925</t>
  </si>
  <si>
    <t>#runup #summervibes #neverends #keepongoing #alwyshappy #loco #comosiempre #youlivejustonce #sojustdoit #beforitstoolate ✌🏾</t>
  </si>
  <si>
    <t>youlivejustonce</t>
  </si>
  <si>
    <t>sojustdoit</t>
  </si>
  <si>
    <t>alwyshappy</t>
  </si>
  <si>
    <t>runup</t>
  </si>
  <si>
    <t>charlie_makeupdesign</t>
  </si>
  <si>
    <t>1586867047290559165_403760210</t>
  </si>
  <si>
    <t>Fake it till we make it, right? 
#smile #staystrong #womanonamission #focusonyourself #keepongoing #failforward #timeforachange #bossbabe #makingwaves #goals #freshmotivation #powerthrough #postivethinking #power #strength #mindset #ready</t>
  </si>
  <si>
    <t>womanonamission</t>
  </si>
  <si>
    <t>powerthrough</t>
  </si>
  <si>
    <t>sahadiaj</t>
  </si>
  <si>
    <t>1586867415869612733_1173936063</t>
  </si>
  <si>
    <t>#motivationalquotes #inspirationalquotes #inspiration #keepongoing #youareavictor #youarestrong</t>
  </si>
  <si>
    <t>1586868032985929698_1173936063</t>
  </si>
  <si>
    <t>1586869001819937314_1173936063</t>
  </si>
  <si>
    <t>nimbusnaddy</t>
  </si>
  <si>
    <t>1586873821057624300_1139077051</t>
  </si>
  <si>
    <t>Value whoever values you, and don't treat as a priority whoever treats you as an option. Remember, we always deserve better. #cloudythoughts #goodvibes #Smile #keepongoing #MeMyselfAndI #LoveYourself #SingleJourney #LongweekEnds #lifequotes</t>
  </si>
  <si>
    <t>Naddy's Flat</t>
  </si>
  <si>
    <t>cloudythoughts</t>
  </si>
  <si>
    <t>singlejourney</t>
  </si>
  <si>
    <t>iamthegreatdane</t>
  </si>
  <si>
    <t>1586874475729905308_38809376</t>
  </si>
  <si>
    <t>Reminder to self and to everyone else struggling. ❤ #keepongoing #surviver #endometriosis #endofighter #gogogo #Encouragement</t>
  </si>
  <si>
    <t>surviver</t>
  </si>
  <si>
    <t>endofighter</t>
  </si>
  <si>
    <t>endometriosis</t>
  </si>
  <si>
    <t>peachystardust</t>
  </si>
  <si>
    <t>1586878817841428523_3710844072</t>
  </si>
  <si>
    <t>first ever go at wire wrapping stones, practice will eventually make perfect. More so hoping for imperfectly perfect 😜 #firsttimer #wirewrap #yellow #fluorite #gold #wire #practicemakesperfect #keepongoing #festivalart #healingcrystals #wirewrappedjewelry #wirewrappedstones #icandigit #imnewtothis #lolhelp</t>
  </si>
  <si>
    <t>lolhelp</t>
  </si>
  <si>
    <t>wirewrappedjewelry</t>
  </si>
  <si>
    <t>firsttimer</t>
  </si>
  <si>
    <t>wire</t>
  </si>
  <si>
    <t>healingcrystals</t>
  </si>
  <si>
    <t>liiiiieschen_liebt</t>
  </si>
  <si>
    <t>1586881464639712880_778698733</t>
  </si>
  <si>
    <t>M O T I V A T I O N • #morningrun #8km Wenn die Gezeiten so sind, dass Niedrigwasser gegen 8:41 Uhr ist, dann heißt es um 8 Uhr noch einmal: Kopf aus. Laufsachen an. Musik an. Los geht's. #undtäglichgrüsstdasmurmeltier Es hat einfach so einen Spaß gestern gemacht morgens am Strand lang zu laufen, dass alles drum herum in Vergessenheit gerät! Trotz Wind oder kleinen Regentropfen - es macht einfach Spaß und oft wundert man sich wieviele Menschen auch so denken. Einfach schön! Nach einem kleinen Frühstück geht es jetzt für mich an den Strand. Habt einen schönen Tag und keep on going - ihr schafft alles, wenn ihr nur an euch glaubt! #motivationquote #sylt #strand #sun #sky #fitfor #runforfun #running #runtime #challenge #100kminamonth #47kmleft #happiness #smile #keepongoing #awesome</t>
  </si>
  <si>
    <t>Strand Wenningstedt / Sylt</t>
  </si>
  <si>
    <t>sylt</t>
  </si>
  <si>
    <t>undtäglichgrüsstdasmurmeltier</t>
  </si>
  <si>
    <t>fitfor</t>
  </si>
  <si>
    <t>1586882165400155429_185195397</t>
  </si>
  <si>
    <t>Be the light in someone's life today. ❤️Happy Tuesday!
.
.
#bethelight #moonrise #amazingsky #highvibes #highenergy #positivemindset #sparklewater #reflect #bepresent #youareloved #youareenough #youareworthit #youareamazing #worththeeffort #kindnessmatters #compassionmatters #chooselove #choosejoy #cakidiehl #charlestonsc #clarity #joyfullife #breatheinbreatheout #rundaily #runhappy #meditatedaily #mindfullness #appreciatelife #persevere #keepongoing</t>
  </si>
  <si>
    <t>kindnessmatters</t>
  </si>
  <si>
    <t>compassionmatters</t>
  </si>
  <si>
    <t>taylorraytribble</t>
  </si>
  <si>
    <t>1586883688266823968_1440532303</t>
  </si>
  <si>
    <t>Late nights are awesome...open machines and weights!!! 🙌🙌🙌🙌🙌🤘😊🏋
Got a good workout in...hit arms hard and really focused on control... shout out @bigbodyfraz for posting the workout that shit was titzzzzz!!!! today was a good day...no matter what life throws you keep going! Just do it like NIKE said! My boy @dieverse24k on the track to had me feeling #irregular 
#hardwork
#cantstop
#keepongoing
#building</t>
  </si>
  <si>
    <t>EOS Fitness</t>
  </si>
  <si>
    <t>cantstop</t>
  </si>
  <si>
    <t>building</t>
  </si>
  <si>
    <t>irregular</t>
  </si>
  <si>
    <t>ratna_darshan</t>
  </si>
  <si>
    <t>1586886436450487917_1498773019</t>
  </si>
  <si>
    <t>Forget the mistakes,Remember the lesson!
💪😍😘💕😅😆😊😎😁😚
#keepongoing #roadtosuccess</t>
  </si>
  <si>
    <t>roadtosuccess</t>
  </si>
  <si>
    <t>natashatzovlas</t>
  </si>
  <si>
    <t>1586894965174494803_5913235185</t>
  </si>
  <si>
    <t>Something that's really beautiful is getting to a point where you can look in the mirror and truly be happy with what you see. I'm a work in progress but I'm so proud of how far I have come 💪
#thisisme #keepongoing</t>
  </si>
  <si>
    <t>emags21</t>
  </si>
  <si>
    <t>1586896168032473744_24625739</t>
  </si>
  <si>
    <t>Pink eyeshadow makes even the gloomiest of Tuesdays a little brighter. Trying to practice a little self care after a bit of a rough patch of feeling low and not loving myself like I should. Today, a cloud has lifted &amp; just in time for a little adventure... 🚗 👁🌸 #pinkpower #eyeshadow #makeup #eyes #tuesdaymorning #selfie #greeneyes #earrings #selflove #selfportrait #selfcareisntselfish #positivevibes #positivevibes #adventuretime #keepongoing #youvegotthis</t>
  </si>
  <si>
    <t>selfportrait</t>
  </si>
  <si>
    <t>1586899924811909871_4249248273</t>
  </si>
  <si>
    <t>I have to say, I'm really impressed about how well I can wrap my hand considering I only have one 😂 it's flare time again, thankfully expected, unfortunately localised and my wrist, thumb and fingers are very much so slipping in their sockets. The great thing? I'm actually ok about it. Yeah it's painful, yep it's impacting my left hand and is probably going to make feeding myself a rather challenging task today but the rest of me feels fine and the compression is helping a lot! It's actually a relief that the flare is here on time - not having a flare at all would be too much to hope for. So I'll take the fact that I've got one that's normal and not acute :) and not full body 😁 hopefully my next climbing session (light and slabby only!) will realign any naughty joints and I'll be back to normal shortly 😊 #amputee #amputeelife #herewego #ehlersdanlossyndrome @ehlersdanlosuk #flare #chronicillness #ouch #pain #lovinglife #makeitgoaway #invisibleillness #breathe #climber #challenge #dontgiveup #determination #enjoythelittlethings #hijab #muslim #cancersurvivor #paraclimbing #mynormal  #journey #keepongoing #letsdothis #resilience #struggle #tuesdaymorning #tuesdaythoughts</t>
  </si>
  <si>
    <t>amputeelife</t>
  </si>
  <si>
    <t>mr_mamesah</t>
  </si>
  <si>
    <t>1586908010825988122_176066268</t>
  </si>
  <si>
    <t>"I'm my own worst enemy."
.
.
.
.
.
. . . #fujifilmindonesia #fujifilm_id #terfujilah #keepinspired #selfreminder #keepongoing #japan #throwback #japantrip #selfmotivation #keepgrinding #justkeepgoing #life #lifeisgood</t>
  </si>
  <si>
    <t>fujifilmindonesia</t>
  </si>
  <si>
    <t>keepgrinding</t>
  </si>
  <si>
    <t>celine_e46</t>
  </si>
  <si>
    <t>1586908238889035964_1364516995</t>
  </si>
  <si>
    <t>Today, be the badass girl you were too lazy to be yesterday 😴👅
#keepongoing #calvinklein #ck #boobs #morning #mystery #belly #lifestyle #lifegoals #freelancephotographer #fitspo #fitgirl #model #naturel #fashion  #fitnessmodel #carchicks #insta #instapic #instamood #instafamous #badass #bitch #pretty #photooftheday#followme #snapchat #supergirl #qotd #ootd</t>
  </si>
  <si>
    <t>1586913749531852041_5909755832</t>
  </si>
  <si>
    <t>I'm always feeling guilty for feeling depressed because I tell myself that I shouldn't have a reason to be depressed living in such a privileged part of the world. Thank you for this @storiesbysam . It doesn't matter why anyone is going through a tough time, you just got to get through the other side and #keepmovingforward #staystrong #positivethinking #keepongoing #mentalhealthmatters #mentalhealthsupport #keeponkeepingon👊 #stigma #yougotthis</t>
  </si>
  <si>
    <t>mentalhealthsupport</t>
  </si>
  <si>
    <t>mentalhealthmatters</t>
  </si>
  <si>
    <t>oliviamartinphotography</t>
  </si>
  <si>
    <t>1586918278239338446_3105649918</t>
  </si>
  <si>
    <t>🎼</t>
  </si>
  <si>
    <t>Northern Quarter, Manchester</t>
  </si>
  <si>
    <t>urbanphotography</t>
  </si>
  <si>
    <t>manchestermusic</t>
  </si>
  <si>
    <t>pahickman</t>
  </si>
  <si>
    <t>1586922920947892337_3418607</t>
  </si>
  <si>
    <t>Always great! #quicksnack #perfect #pizzarium  #keepongoing</t>
  </si>
  <si>
    <t>Pizzarium, Helsinki</t>
  </si>
  <si>
    <t>quicksnack</t>
  </si>
  <si>
    <t>perfect</t>
  </si>
  <si>
    <t>pizzarium</t>
  </si>
  <si>
    <t>1586923943049508214_5850985896</t>
  </si>
  <si>
    <t>Keep trying
#keepongoing  #tryingsomethingdifferent  #truegrit  #georgewc  #gardenroute  #businessbranding  #smallbusiness</t>
  </si>
  <si>
    <t>smallbusiness</t>
  </si>
  <si>
    <t>tryingsomethingdifferent</t>
  </si>
  <si>
    <t>georgewc</t>
  </si>
  <si>
    <t>businessbranding</t>
  </si>
  <si>
    <t>1586932914388710663_5705167414</t>
  </si>
  <si>
    <t>“Success is not an accident, success is actually a choice.” – Stephen Curry  #Dubnation
-
-
-
-
-
-
-
-
-
-
-
-
-
-
-
-
-
-
-
-
-
-
-
-
-
-
-
-
-
-
-
-
-
-
-
-
-
-
-
-
 #StephGonnaSteph #Mvp #SC30 #KT11 #DG23 #CURRYMVP #KEEPONGOING #NEVERGIVEUP #WCF #WEST #WESTERNCONFERENCEFINALS #CHAMPS #DUBSFORCHAMPS #DUBS #ALWAYSBELIEVEINGOD #STEPHENCURRY #EVEN #NBA #2016CHAMPS #CHAMPIONS #LOCKIN #STEPH #SPLASH #SPLASHBROS  #like4like #like4follow #follow4follow</t>
  </si>
  <si>
    <t>pianoa_petersen</t>
  </si>
  <si>
    <t>1586940714117539769_1460384664</t>
  </si>
  <si>
    <t>Igen har denne lille edderkop mistet det meste af sit spind. Den klør bare på med at lave det igen🕸 den giver ikke op❤️ #keepongoing  #spiderdoitsjob</t>
  </si>
  <si>
    <t>spiderdoitsjob</t>
  </si>
  <si>
    <t>1586941164922064531_4618389069</t>
  </si>
  <si>
    <t>3 of the worst type of people! They will drain you of your energy, soul and anything else you value. Come across them? Pull out the root, plant something new and keep on moving. #actionsspeaklouderthanwords #beyou #beyourselfalways #character #dowhatsbest #excited #goal #grateful #gratefull #inspire #inspiration #inspirationalquotes #keepitreal #keepongoing #life #lifequotes #people #pushingforward #putyourselffirst #screwthem #unexcited #ungrateful #uninspired #whatsbest</t>
  </si>
  <si>
    <t>character</t>
  </si>
  <si>
    <t>screwthem</t>
  </si>
  <si>
    <t>pushingforward</t>
  </si>
  <si>
    <t>uninspired</t>
  </si>
  <si>
    <t>putyourselffirst</t>
  </si>
  <si>
    <t>pepechewy</t>
  </si>
  <si>
    <t>1586945747291289350_182306464</t>
  </si>
  <si>
    <t>A #goodmorning to all of you! Sadly I hurt my #shoulder last week and I need to let it rest until it #heals so I will have to #workout something else, So heres a #taketwo of the #gobletsquatchallenge that @john_fit_beast_ &amp; @fabiorigas challenged us to do. last time I did this I did 43 with 25 pounds and this time around I did 48 with the same weight its not much but my #goal was to do better the before 💪💪💥 have a great one everyone #onatuesday #gym #cardio #core #sadlyinjured #keepongoing #healthyliving #letsgetit #morningmotivation</t>
  </si>
  <si>
    <t>core</t>
  </si>
  <si>
    <t>mydailyvinaka</t>
  </si>
  <si>
    <t>1586950501400599023_5812231225</t>
  </si>
  <si>
    <t>#getbackup #cameronschwabb #reminders #keepongoing #mydailyvinaka #vinaka</t>
  </si>
  <si>
    <t>reminders</t>
  </si>
  <si>
    <t>getbackup</t>
  </si>
  <si>
    <t>cameronschwabb</t>
  </si>
  <si>
    <t>vinaka</t>
  </si>
  <si>
    <t>1586955370314860674_5909755832</t>
  </si>
  <si>
    <t>💪 #positivevibes #staystrong #keepongoing #positivethinking #yougotthis #keeponkeepingon👊 #mentalillness #mentalhealthmatters</t>
  </si>
  <si>
    <t>cacahueteetpistache</t>
  </si>
  <si>
    <t>1586967798180458703_3060732772</t>
  </si>
  <si>
    <t>MAJ du blog : Je viens d'obtenir le permis !!! Je rentre dans le "rang" ? Non, je poursuis ma route... http://cacahueteetpistache.com/index.php/2016/11/26/jai-34-ans-trois-enfants-et-je-nai-pas/  #blog #maj #happy #cacahueteetpistache #proud #keepongoing #car #ididit #surlaroute</t>
  </si>
  <si>
    <t>car</t>
  </si>
  <si>
    <t>ididit</t>
  </si>
  <si>
    <t>maj</t>
  </si>
  <si>
    <t>1586970443822646750_429036895</t>
  </si>
  <si>
    <t>FOCUS on the progress, BUILDING some strenght, pulling of some ugly faces and keep on going! 🐵💪🏋 #daretoshare #bodylove #selflove #foodlover  #fitnessjourney #progress #fitness #fitdutchie #weightlifting #girlwholifts #fitfam #curves  #bodyandmind #gymlife #recovering #bootygrow #dedication #hardwork #keepongoing #strenght #grow #girlonamission #effort #girlpower</t>
  </si>
  <si>
    <t>fioredelvale</t>
  </si>
  <si>
    <t>1586971480200563091_3507141443</t>
  </si>
  <si>
    <t>My perception of me, is a reflection of you. 
My reaction to you is an awerness of me. 
#me #double #girl #thoughts #thinking #life #keepongoing #searching #blueeyes #eyes #truth #find #blonde #sight #pointofview</t>
  </si>
  <si>
    <t>double</t>
  </si>
  <si>
    <t>searching</t>
  </si>
  <si>
    <t>sadgirlgoesfitgirl</t>
  </si>
  <si>
    <t>1586972712805594302_5720924032</t>
  </si>
  <si>
    <t>The sad jealous and twisted people will always try and bring you down, you just got to feel sorry for them, know yourself and move along. 
You got this and words will sting but you'll never forgive yourself if you give up or stop because of what someone said. You got this darling. Push through. 
#motivation #positivity #lovethyself #fitness #fitnessjourney #surviving #depression #anxiety #yougotthis #keepongoing</t>
  </si>
  <si>
    <t>surviving</t>
  </si>
  <si>
    <t>1586973585774420130_5705167414</t>
  </si>
  <si>
    <t>Curry doin it all 💪  #Dubnation
-
-
-
-
-
-
-
-
-
-
-
-
-
-
-
-
-
-
-
-
-
-
-
-
-
-
-
-
-
-
-
-
-
-
-
-
-
-
-
-
 #StephGonnaSteph #Mvp #SC30 #KT11 #DG23 #CURRYMVP #KEEPONGOING #NEVERGIVEUP #WCF #WEST #WESTERNCONFERENCEFINALS #CHAMPS #DUBSFORCHAMPS #DUBS #ALWAYSBELIEVEINGOD #STEPHENCURRY #EVEN #NBA #2016CHAMPS #CHAMPIONS #LOCKIN #STEPH #SPLASH #SPLASHBROS  #like4like #like4follow #follow4follow</t>
  </si>
  <si>
    <t>bernardethlealbraz</t>
  </si>
  <si>
    <t>1586977867572421304_214566064</t>
  </si>
  <si>
    <t>#natacao #swimming #lessons #emanuelabeingemanuela #pool #morningswim #motivation #keepongoing #hustle</t>
  </si>
  <si>
    <t>Academia R5 Sports</t>
  </si>
  <si>
    <t>maxprofitreviews</t>
  </si>
  <si>
    <t>1586978320365153089_4779933266</t>
  </si>
  <si>
    <t>Could not agree more. 😎
.
@Regrann from @magna.media - "Winners never quit and quitters never win." - Vince Lombardi
If you want to win, be determined to never quit. The opposition will eventually give in. Outlast, outsmart, outwork the opposition and you'll win. Whatever it takes. 🏆
.
#marketing #try #keepongoing #motivation #meme #memes #truth #maxprofitreviews</t>
  </si>
  <si>
    <t>marketing</t>
  </si>
  <si>
    <t>1586978369302829909_1011271643</t>
  </si>
  <si>
    <t>Cardio!!
#stairmaster 
#myfav
#changingtracyann</t>
  </si>
  <si>
    <t>freespirit_76</t>
  </si>
  <si>
    <t>1586979940992408523_144445983</t>
  </si>
  <si>
    <t>#keepongoing #liveyourdream #youcanandyouwill</t>
  </si>
  <si>
    <t>youcanandyouwill</t>
  </si>
  <si>
    <t>aakritisinghlabel</t>
  </si>
  <si>
    <t>1586980513104490041_2987815747</t>
  </si>
  <si>
    <t>R e f r e s h m e n t 🍋🍃.
.
.
Work over load always requires some rejuvenation 🙋🏻 #lovemywork .
.
.
.
.
#aakritisingh #india #aakritisinghlabel #workmode #peakseason #workworkwork #newdelhi #weddingseason2017 #customorders #refreshmenttime #keepongoing</t>
  </si>
  <si>
    <t>New Delhi, India</t>
  </si>
  <si>
    <t>customorders</t>
  </si>
  <si>
    <t>workmode</t>
  </si>
  <si>
    <t>peakseason</t>
  </si>
  <si>
    <t>hrhjrc007</t>
  </si>
  <si>
    <t>1586982386196612608_3072979997</t>
  </si>
  <si>
    <t>#latergram - I am left with the ultimate feeling of gratitude for this journey. My experience was humbling and wonderful, all rolled into one. I will forever be grateful for this opportunity and experience. I won't forget JJ, DD, LT, KS, NM, D+B+W, RB, MR, KJ, DA, MB, JC, L, C, 💐☀️🇺🇸 #itworksifyouworkit #bankit #va #grouptherapy #treatment #thankful #aplacebothwonderfulandstrange #mcboc #godbless #keepongoing #keeponkeepinon #vamedicalcenter #iphonephotography #nofilter #nofilterneeded</t>
  </si>
  <si>
    <t>Milwaukee VA Medical Center</t>
  </si>
  <si>
    <t>aplacebothwonderfulandstrange</t>
  </si>
  <si>
    <t>bankit</t>
  </si>
  <si>
    <t>vamedicalcenter</t>
  </si>
  <si>
    <t>1586987629949135553_176837527</t>
  </si>
  <si>
    <t>"Our deepest fear is not that we are inadequate. Our deepest fear is that we are powerful beyond measure. It is our light, not our darkness that most frightens us. We ask ourselves, Who am I to be brilliant, gorgeous, talented, fabulous? Actually, who are you not to be? You are a child of God. Your playing small does not serve the world. There is nothing enlightened about shrinking so that other people won't feel insecure around you. We are all meant to shine, as children do. We were born to make manifest the glory of God that is within us. It's not just in some of us; it's in everyone. And as we let our own light shine, we unconsciously give other people permission to do the same. As we are liberated from our own fear, our presence automatically liberates others.” -- Marianne Williamson 
It's so true. These words are a reminder of your genius, your full potential waiting quietly for you to take a leap towards your truth.
This is the beating heart of Nikiita Co. Helping you unlock your brilliance, tackle the limiting beliefs and get clear on HOW to live the life you know you deserve. 
After all, the world needs you to!! Loving and supporting you in your true greatness xxx 💕🌿💖</t>
  </si>
  <si>
    <t>Adelaide, South Australia</t>
  </si>
  <si>
    <t>therealme</t>
  </si>
  <si>
    <t>universehasmyback</t>
  </si>
  <si>
    <t>brilliance</t>
  </si>
  <si>
    <t>mskairoman</t>
  </si>
  <si>
    <t>1586988294142746279_242463783</t>
  </si>
  <si>
    <t>Drop it like a hot potato, learn from it, and move on!  #dontlinger #learnsomethingneweveryday #moveon #youarehuman #yougotthis #keepongoing #ibelieveinyou #staystrong</t>
  </si>
  <si>
    <t>dontlinger</t>
  </si>
  <si>
    <t>youarehuman</t>
  </si>
  <si>
    <t>1586989302781076753_231434</t>
  </si>
  <si>
    <t>• Tirsdag = bein økt 😡🏋🏼‍♀️ Tung men god økt der begge maxet på to gode øvelser 👏🏽😃 Ønsker dere alle en fortsatt fin dag💕 •
______________________________________________ 
#activelifestyle #summertime #girlswholift #lovelifting #smilebehappy #icaniwill #nordicfitnessgirls #fitness #sprekesprell #keepfit_no #keepongoing #aktivejenter #aktivlivsstil #påveimotmålet</t>
  </si>
  <si>
    <t>nordicfitnessgirls</t>
  </si>
  <si>
    <t>cinziaworld</t>
  </si>
  <si>
    <t>1586993160625052539_4975539500</t>
  </si>
  <si>
    <t>#washingtonmonument: yesterday an #amazingsunset. #usahistory #americanhistory #americanmonuments #unlimitedwashingtondc #unlimitedtravellers #citiesoftheworld #ilikehistory #iliketravelling #visitusa #living_destinations #neverstoptravelling #keepongoing</t>
  </si>
  <si>
    <t>Washington, District of Columbia</t>
  </si>
  <si>
    <t>hellocity</t>
  </si>
  <si>
    <t>travellingthroughtheworld</t>
  </si>
  <si>
    <t>americanhistory</t>
  </si>
  <si>
    <t>washingtonmonument</t>
  </si>
  <si>
    <t>bestcitybreaks</t>
  </si>
  <si>
    <t>sophialola3</t>
  </si>
  <si>
    <t>1586997909692434923_264787181</t>
  </si>
  <si>
    <t>#keepongoing #dream #quote ❤</t>
  </si>
  <si>
    <t>d.oset</t>
  </si>
  <si>
    <t>1587006711422632093_264942157</t>
  </si>
  <si>
    <t>X Runners Andorra. 
Carrera íntegramente por el agua. Superando corrientes, cascadas, ramas y obstáculos naturales. Remontando el río como los salmones 🐟💦
Una carrera diferente y muy divertida. Imposible dar 2 pasos rectos 😅
Un fallo en el sistema de cronometraje nos dejó sin clasificación. Así que me quedo con lo bueno. Me lo pasé en grande 🤣</t>
  </si>
  <si>
    <t>andorra</t>
  </si>
  <si>
    <t>superacion</t>
  </si>
  <si>
    <t>xrunnerslamassana</t>
  </si>
  <si>
    <t>candacetiana</t>
  </si>
  <si>
    <t>1587014521587115736_3581352023</t>
  </si>
  <si>
    <t>Yesterday morning I received a call from my neighbor at about 4:30 am telling me my car, along with approximately 45 others on the 1000 block of Rittenhouse Street, NW, and the 6200 block of 12th Street, NW, had been vandalized. I am most upset that my jump/flash drives' pouch was taken containing all of the files I worked so hard to create for work, school, the Dems...papers and essays, memos, PowerPoint presentations are all gone. My neighbors and I pulled together to support one another through a very tough day. However, today is another day. I'll be riding in an Uber to work instead of "Black Beauty", my #beautiful #volkswagen #beetle, as arrangements for a rental car must still be finalized. I do recognize this too shall pass. To God be the Glory for the strength to keep #driving forward. #movingforward #keepongoing #bruisednotbroken ☝️👊💪✊</t>
  </si>
  <si>
    <t>volkswagen</t>
  </si>
  <si>
    <t>movingforward</t>
  </si>
  <si>
    <t>bruisednotbroken</t>
  </si>
  <si>
    <t>driving</t>
  </si>
  <si>
    <t>furmi13</t>
  </si>
  <si>
    <t>1587020120084836351_1314953118</t>
  </si>
  <si>
    <t>Posturea, que la vida con un filtro no es tan fea. #arnaugriso #paraqueelmundolovea #postureo #birthday #wine #copichuelas #african #camiche #imdrinking #happybirthday #keepongoing #betterthanever</t>
  </si>
  <si>
    <t>camiche</t>
  </si>
  <si>
    <t>imdrinking</t>
  </si>
  <si>
    <t>paraqueelmundolovea</t>
  </si>
  <si>
    <t>osepa_pt</t>
  </si>
  <si>
    <t>1587020849540728651_250958433</t>
  </si>
  <si>
    <t>Millions saw the apple fall but 1 was the one who asked why. #observation #secret #focus #onyourself #knowswhatsup #system #doublefocus #observe #watch #grow #growing #everyday #stayfit #keepongoing #makeyourself #helpothers #coach #coaching #osepapt #osepapersonaltraining #ego #realresults #puregym #technogym #matrix #gym #fitness #getingetfit #building #dogoodgetgood</t>
  </si>
  <si>
    <t>Tiel</t>
  </si>
  <si>
    <t>helpothers</t>
  </si>
  <si>
    <t>puregym</t>
  </si>
  <si>
    <t>osepapersonaltraining</t>
  </si>
  <si>
    <t>knowswhatsup</t>
  </si>
  <si>
    <t>1587023092571366137_429150387</t>
  </si>
  <si>
    <t>Enjoying a good day off today, we had a great yummy brunch earlier now time to relax and watch a movie 
It's #Goodtimes and #Yummytimes indeed 👍 🍳🎥 😊
#DayOff #Tuesday #Brunch #YummyFood #Thankful #Salmon #Spinach #Eggs #Bacon #Coffee #Tea #Joy #Friendship #TuesdayMotivation #EnjoyLife #Londoner #LondonLife #KeepOnGoing #LondonBridge #Fun #GreatDay #MovieTime #Relax #Rest</t>
  </si>
  <si>
    <t>brunch</t>
  </si>
  <si>
    <t>eggs</t>
  </si>
  <si>
    <t>londoner</t>
  </si>
  <si>
    <t>tea</t>
  </si>
  <si>
    <t>spinach</t>
  </si>
  <si>
    <t>1587033077472583403_1684424176</t>
  </si>
  <si>
    <t>socialinfluencers</t>
  </si>
  <si>
    <t>ceciledejager</t>
  </si>
  <si>
    <t>1587034847669774924_2261269690</t>
  </si>
  <si>
    <t>Oh well...the life of a stylist!!! #cut #ouch #plaknplyster #keepongoing #thisislife #lovewhatido</t>
  </si>
  <si>
    <t>lovewhatido</t>
  </si>
  <si>
    <t>cut</t>
  </si>
  <si>
    <t>plaknplyster</t>
  </si>
  <si>
    <t>billz_h_jnr1982</t>
  </si>
  <si>
    <t>1587037390097242745_1656974989</t>
  </si>
  <si>
    <t>#longroadahead #forevermaintaining #keepongoing #somethinghasgottogive #startingtolikebeards</t>
  </si>
  <si>
    <t>forevermaintaining</t>
  </si>
  <si>
    <t>longroadahead</t>
  </si>
  <si>
    <t>startingtolikebeards</t>
  </si>
  <si>
    <t>somethinghasgottogive</t>
  </si>
  <si>
    <t>1587041773295938837_5705167414</t>
  </si>
  <si>
    <t>So I've planned a series and gonna announce it tomorrow about what the series actually is and probably gonna start the series the day after, idk I'm still thinking about it  #Dubnation
-
-
-
-
-
-
-
-
-
-
-
-
-
-
-
-
-
-
-
-
-
-
-
-
-
-
-
-
-
-
-
-
-
-
-
-
-
-
-
-
 #StephGonnaSteph #Mvp #SC30 #KT11 #DG23 #CURRYMVP #KEEPONGOING #NEVERGIVEUP #WCF #WEST #WESTERNCONFERENCEFINALS #CHAMPS #DUBSFORCHAMPS #DUBS #ALWAYSBELIEVEINGOD #STEPHENCURRY #EVEN #NBA #2016CHAMPS #CHAMPIONS #LOCKIN #STEPH #SPLASH #SPLASHBROS  #like4like #like4follow #follow4follow</t>
  </si>
  <si>
    <t>1587045706271012947_2317517565</t>
  </si>
  <si>
    <t>Jeg har glædet mig enormt meget til dette øjeblik efter jeg pådrog mig en overbelastet svømmeskulder tilbage i 2015. •••
Jeg har egentlig være smertefri i ca. 6 mdr. ved crawl svømning og styrketræning takket været min fys @anjadavidgreve . •••
Dipsøvelsen her har jeg bare ikke tænkt på at udføre i lang lang tid, så det føltes fuldstændig fantastisk, at hænge i de ringe og kun være ramt af manglende styrke.
•••
Hurra for perfekt genoptræning og min træningsdisciplin 😎
•••
#mortentillitzdk  #whatwouldbeyoncedo #toldyouso #tropådet #personligtræner #personaltrainer #cycling #Cykling #styrketræning #løb #Svømning #Swim #running #stronger #personligtræner #mitodense #fitfam #ﬁtfamdk #actionequalsresults #handlingskabersucces #helkropstræning #fullbody #SunRiceClubbyMortenTillitzDK #mentalpause #blivved #keepongoing #styrketræning #painfree #smertefri #søvn #sleep #mitodense</t>
  </si>
  <si>
    <t>fullbody</t>
  </si>
  <si>
    <t>1587062362849701105_274727915</t>
  </si>
  <si>
    <t>Because 5km wasn't enough! 😱 #keeponrunning #nevergiveup #superheet! #finalysummer #tohotoutside #running #healthylifestyle #c'estchaud #keepongoing #sporting #healthy #workout #gohardourgohome #nopainnogain #picoftheday #likedtodoit #l4l</t>
  </si>
  <si>
    <t>likedtodoit</t>
  </si>
  <si>
    <t>gohardourgohome</t>
  </si>
  <si>
    <t>_liveinakindheart</t>
  </si>
  <si>
    <t>1587063850981650980_4632925842</t>
  </si>
  <si>
    <t>FUCK #MISTAKES  #FAILURE OR GETTING IT #WRONG ! - IT WAS ALL A #TEACHER ON HOW TO GET IT #RIGHT &amp; #WIN ! =IN WHATEVER IT IS IN #LIFE ! - YOUR LAST MISTAKE IS YOUR BEST TEACHER!= #LEARN - &amp; THEN NAIL IT NEXT TIME! = #LIFELESSONS - #KEEPONGOING #KEEPMOVINGFORWARD #GOFORIT - #POSITIVEACTIONS #POSITIVETHINKING - #PRACTICEMAKESPERFECT #ACTION - #SKIPPING #SKIP #JUMPROPE #FIT #FITNESS #STAMINA #GYM #WORKOUT SKILL - #MOTIVATION #MOTIVATIONAL - IM #KEEPINGITREAL #GENUINE &amp; AUTHENTIC TO #INSPIRE OTHERS IN #LIFE =YOU? #LIVEINAKINDHEART</t>
  </si>
  <si>
    <t>skipping</t>
  </si>
  <si>
    <t>liveinakindheart</t>
  </si>
  <si>
    <t>stamina</t>
  </si>
  <si>
    <t>aldons_chua</t>
  </si>
  <si>
    <t>1587066066445331097_1365172985</t>
  </si>
  <si>
    <t>This child tries to fetch water from the sea. But whenever she tried, a big wave comes and makes her run back to her parents. Despite the waves, she keeps on trying to accomplish what she wanted to achieve with her parents on the background cheering and telling her that she can do it. After so many attempts, she made it and never got afraid again.😊 #life #waves #dailymotivation #perseverance #endurance #childbythesea #keepongoing #encouragement</t>
  </si>
  <si>
    <t>Birling Gap Coastguard</t>
  </si>
  <si>
    <t>waves</t>
  </si>
  <si>
    <t>dailymotivation</t>
  </si>
  <si>
    <t>childbythesea</t>
  </si>
  <si>
    <t>1587067895849128024_4249248273</t>
  </si>
  <si>
    <t>#transformationtuesday - so I was looking back at the plan I sat down with in Jan 2017 just before I got back with my coach after taking a month off. I had had a lot to think about having competed for my first time in climbing and seen just how much I needed to learn. It felt daunting. So I made a plan. What did I want overall? Any milestones? What did I need to do to keep my health in check? In 7 months, I've pretty much reached every milestone I had planned for and some I didn't plan for - that's very pleasing and a lesson learned that actually I should be aiming higher. Annoying as it is, the only way you can make progress with your body when you are in the chronic world is to get to know the beast. Become best friends with it and only then will you start making inroads. With less than 3 weeks before the comps, I can now look at th intentions I set in January and happily say I'm pleased - yes there's so much more to learn, but for now, I'll celebrate this win with a cup of tea. Biggest win for me is I've learned to train through my flares, even on the awful days, even if it means changing the session like I'll have to this week to accommodate my left hand. I was scared of training through flares last year, it's only with the encouragement of my @thecastleclimbingcentre coach did I finally do it. I didn't realise that training would actually reduce recovery time so I'm incredibly pleased with that unexpected win. I might not want to train on a flare day. Most of the time I want to just curl up in bed and disappear for a bit but the ultimate result is worth the interim suffering, it really is. @ehlersdanlosuk @thisgirlcanclimbing @thisgirlcanuk @teambmc #training #competition  #paraclimbing #thisgirlcan #thisgirlcanclimb #climber #climbing_is_my_passion #amputee #cancersurvivor #ehlersdanlossyndrome #chronicillness #milestone #faceyourfears #progress  #believeinyourself  #dontgiveup #determination  #goals  #journey  #keepongoing #hijab #muslim #learning #livingmydream  #outofmycomfortzone #strength #intentions #yesican</t>
  </si>
  <si>
    <t>livingmydream</t>
  </si>
  <si>
    <t>1587068609610766699_5909755832</t>
  </si>
  <si>
    <t>😘💜 #positivevibes #staystrong #youareenough #keepongoing #yougotthis #mentalhealthmatters #mentalhealthsupport #survive</t>
  </si>
  <si>
    <t>youareenough</t>
  </si>
  <si>
    <t>apostolos_tzo</t>
  </si>
  <si>
    <t>1587071178965991848_260442961</t>
  </si>
  <si>
    <t>plan Z</t>
  </si>
  <si>
    <t>Gallaria</t>
  </si>
  <si>
    <t>gallaria</t>
  </si>
  <si>
    <t>allaksanetaplanamas</t>
  </si>
  <si>
    <t>karenadeva</t>
  </si>
  <si>
    <t>1587071440825830985_348440176</t>
  </si>
  <si>
    <t>Even if it's a day like today that I am feeling super exhausted and tired and there is so much to do!!! And today is actually the first day that I will drink coffee...last time I drank coffee I was 6 and I said "ahí carajo no" lol let's see what type of coffee is the one for me. 🌿😅</t>
  </si>
  <si>
    <t>Allentown, Pennsylvania</t>
  </si>
  <si>
    <t>harseth87</t>
  </si>
  <si>
    <t>1587085229959660183_370384130</t>
  </si>
  <si>
    <t>Då var första träningspasset avklarat 💪🏻 #woho #träning #workout #fitness #justdoit #keepongoing</t>
  </si>
  <si>
    <t>Actic Lamberget</t>
  </si>
  <si>
    <t>woho</t>
  </si>
  <si>
    <t>träning</t>
  </si>
  <si>
    <t>mademoiselle_paris</t>
  </si>
  <si>
    <t>1587085441513593542_49760234</t>
  </si>
  <si>
    <t>When my new illustrations @leo_la_douce perfectly blend in with my plant!! #ad
...Aaaaaand 20 random facts of course 😜
1️⃣. I get bored really easily, that's why I'm always on the hunt for the next interesting thing to spark my curiosity.
2️⃣. I don't drink soda. Except in cocktails. I love cocktails. Mai-Tai, Cuba Libre, Gin Tonic, Pina Colada.... my party mood is already awakened.
3️⃣. I talk fast. People usually have trouble keeping up with me when I approach a subject I'm passionate about. By the end I notice people's blank faces nodding at me, ashamed to say they had no idea what I'm blabbering about.
4️⃣. Although I have a lot of acquaintances &amp; I'm very sociable, I keep my circle of friends small. But they're the real-deal. Loyalty is major for me
5️⃣. I'm very playful with people I'm close with. Fooling around is my talent
6️⃣. When I'll be old, I want to be able to say, that I’ve seen the whole world
7️⃣. I never ever watch horror movies
8️⃣. One day, I want to own a small, but gorgeous café, on a hidden street of a big city
9️⃣. I go through life thinking I can have it all.
1️⃣0️⃣. I have more high heels than flats, although I don't wear them as much. 
1️⃣1️⃣. I often think in English, even my conscience thinks it sounds better.
1️⃣2️⃣. If I fall asleep naked, I’m running around naked in my dreams, too
1️⃣3️⃣. When I’m upset I just go to sleep, my judgment is better when I wake up
1️⃣4️⃣. I was the biggest tom boy growing up, I hated wearing dresses. Now I am totally into ruffles &amp; playful girlie dresses
1️⃣5️⃣. My guilty pleasure is watching trashy reality tv shows like The Bachelor, it’s insane how much joy it gives me!
1️⃣6️⃣. I prefer texting over calling… it’s not personal
1️⃣7️⃣. I totally believe in Karma, The Universe and Magic Mike.  I think everything happens for a reason and it amazes me how clever The Universe is at bringing people together.  Also, Channing Tatum is hot
1️⃣8️⃣. I like to sing along to songs though I usually get the lyrics wrong
1️⃣9️⃣. I’m a loud laugher
2️⃣0️⃣. Some years ago, a co-worker told me that I was the most intense person he had ever met. I’m still not sure if that was a compliment. Maybe not</t>
  </si>
  <si>
    <t>onelove_brownsugar</t>
  </si>
  <si>
    <t>1587086084315982753_2656478274</t>
  </si>
  <si>
    <t>#retrofitness #blossomhill #retrobomb #energy #aminoacids #buttsandguts #morningmotivation #morningclass #keepingfit #keepongoing #gotthisshit #feelingstrong #feelingtheburn🔥 #workingthatass #makingtime #makingitwork 💪🏼💪🏼🙌🏼🙌🏼🍑🍑🏋🏽‍♀️🏋🏽‍♀️😍😍</t>
  </si>
  <si>
    <t>feelingstrong</t>
  </si>
  <si>
    <t>keepingfit</t>
  </si>
  <si>
    <t>retrofitness</t>
  </si>
  <si>
    <t>makingtime</t>
  </si>
  <si>
    <t>diego0ogs</t>
  </si>
  <si>
    <t>1587087270145394093_4914631766</t>
  </si>
  <si>
    <t>Caminante no hay camino, se hace camino al andar #livetoday #happiness #loveyourself #keepongoing</t>
  </si>
  <si>
    <t>Cantabria</t>
  </si>
  <si>
    <t>livetoday</t>
  </si>
  <si>
    <t>1587089815770233529_4632925842</t>
  </si>
  <si>
    <t>PART 2 ! - NAILED IT!= #PRACTICE MAKE #PERFECT #KEEPONGOING ! - IN ANYTHING IN YOUR #LIFE  #LEARN FROM YOUR #MISTAKES !  WEATHER LIKE ME TODAY! - THE #GYM #SKIP #SKIPPING #FIT #FITNESS #SPEED #SKILL #WORKOUT ! =OR YOUR #DREAMS #LOVE #RELATIONSHIPS ECT ECT! - #LEARN ! = #GROW = #WIN - #SUCCEED - #ACHIEVE - LET YOUR #DREAM BENEFIT ALL #LIFE FOR THE BETTER NOT WORSE!😊 - #LIVEINAKINDHEART =GO!</t>
  </si>
  <si>
    <t>1587093566415484241_5705167414</t>
  </si>
  <si>
    <t>Best PG rivalry of all time?  #Dubnation
-
-
-
-
-
-
-
-
-
-
-
-
-
-
-
-
-
-
-
-
-
-
-
-
-
-
-
-
-
-
-
-
-
-
-
-
-
-
-
-
 #StephGonnaSteph #Mvp #SC30 #KT11 #DG23 #CURRYMVP #KEEPONGOING #NEVERGIVEUP #WCF #WEST #WESTERNCONFERENCEFINALS #CHAMPS #DUBSFORCHAMPS #DUBS #ALWAYSBELIEVEINGOD #STEPHENCURRY #EVEN #NBA #2016CHAMPS #CHAMPIONS #LOCKIN #STEPH #SPLASH #SPLASHBROS  #like4like #like4follow #follow4follow</t>
  </si>
  <si>
    <t>pablojuan1231</t>
  </si>
  <si>
    <t>1587094205846956801_3549297431</t>
  </si>
  <si>
    <t>Love your journey. #loveit #loveyourwork #commitment #commit #doit #doitnow #keepongoing #focus #quote #quotestoliveby #quote #quotes #quotesaboutlife #quotestoliveby #quotestags #life #lifelesson #lifelessons #inspirationalquotes #inspirationalquotes #inspiration #quality #qualityoflife</t>
  </si>
  <si>
    <t>1587095532597471007_203325600</t>
  </si>
  <si>
    <t>Short run 🏃 heavy legs from soccergame 🤔#Running #Asics #InstaRun #InstaRunner #Runstagram #Healthy #EmptyMind #Qmusic #7K #Stampycer #RoadRunner #Training #Diksmuide  #Strava #StravaRunner #KeepOnGoing #FitLife #RunTherapy #SportersBelevenMeer #DiksmuideMoves</t>
  </si>
  <si>
    <t>Beerst</t>
  </si>
  <si>
    <t>strava</t>
  </si>
  <si>
    <t>qmusic</t>
  </si>
  <si>
    <t>asics</t>
  </si>
  <si>
    <t>movie_art_marketing</t>
  </si>
  <si>
    <t>1587097434664181238_5878634564</t>
  </si>
  <si>
    <t>There is always an option ✅
#nevergiveup #keepongoing #options #quotes #businesswoman #creativity #agencylife #entrepreneur #sayings #powerwoman #businessminded #motivation  #movieart #phoenixsee #kreativität #marketing #agenturleben #agency #advertising #thinkbig  #dreambig #businessminded  #businesswomen #instadaily #work #team #dortmund</t>
  </si>
  <si>
    <t>Phönixsee Dortmund</t>
  </si>
  <si>
    <t>options</t>
  </si>
  <si>
    <t>businesswomen</t>
  </si>
  <si>
    <t>agenturleben</t>
  </si>
  <si>
    <t>loveyourprintsmore</t>
  </si>
  <si>
    <t>1587097460768033458_5740522126</t>
  </si>
  <si>
    <t>Get your amazing prints here @loveyourprintsmore on #etsy. #success #motivation #nevergiveup #keepongoing</t>
  </si>
  <si>
    <t>etsy</t>
  </si>
  <si>
    <t>thehelpfulmom</t>
  </si>
  <si>
    <t>1587098767688063702_5739894651</t>
  </si>
  <si>
    <t>Keep on climbing!! 🏔
.
.
.
#nevergiveup
#keepongoing 
#thebestisyettocome</t>
  </si>
  <si>
    <t>primary</t>
  </si>
  <si>
    <t>teachersfollowteachers</t>
  </si>
  <si>
    <t>homeschoolfun</t>
  </si>
  <si>
    <t>teachers</t>
  </si>
  <si>
    <t>crystal_yuchenchang</t>
  </si>
  <si>
    <t>1587099428519335289_270810869</t>
  </si>
  <si>
    <t>原來自己可以 #keepongoing</t>
  </si>
  <si>
    <t>chelsraytwss</t>
  </si>
  <si>
    <t>1587099930501858913_35553440</t>
  </si>
  <si>
    <t>Everything I've been through has made me the person I am today and, I think I'm pretty great. #loveyourself #onestepatatime #daybyday #keepongoing #motivation</t>
  </si>
  <si>
    <t>daybyday</t>
  </si>
  <si>
    <t>abundant.life.dd</t>
  </si>
  <si>
    <t>1587100047102042783_1132606920</t>
  </si>
  <si>
    <t>I used to think that God gave the Roughest Battles to his Toughest Soldier's, Well, I was Wrong...In the Roughest of Battles is wherin emerges the Most Spiritually Tough Soldier. Because We don't know how strong we are until being strong is our only Option over Death!! We are all, Somehow in Someway on Our Own Pioneer's Journey, Blazing New Trails and Leaving behind amazing Spiritual Legacies. #keepongoing #payattention #getexcited #Neverquit #lifeisaschool #wecanpassthehardtests</t>
  </si>
  <si>
    <t>Independence Rock</t>
  </si>
  <si>
    <t>payattention</t>
  </si>
  <si>
    <t>lifeisaschool</t>
  </si>
  <si>
    <t>getexcited</t>
  </si>
  <si>
    <t>sandraac2480</t>
  </si>
  <si>
    <t>1587102951330527572_4134461621</t>
  </si>
  <si>
    <t>#justme💋 #lovemeorhatemeidontcare #imworthit #itstartswithyou #keepongoing #portuguesa #beachday #beachinit #praia #puntacana2017 #lovemyself #notperfectbutreal #neverwonder #notimeforbullshit #imnumberoneorimnothingtoyou #notasize2 #imamom #simplyme #memyselfandi  #ihavecurvesandnotafraidtoshowthemoff</t>
  </si>
  <si>
    <t>notperfectbutreal</t>
  </si>
  <si>
    <t>itstartswithyou</t>
  </si>
  <si>
    <t>portuguesa</t>
  </si>
  <si>
    <t>melissapejagger</t>
  </si>
  <si>
    <t>1587107598309895132_5718608551</t>
  </si>
  <si>
    <t>Think happy thoughts think happy thoughts. Make your own bliss. You have no idea how strong you really are unless you prove it to yourself! It can only come from within #findyourbliss #keepongoing</t>
  </si>
  <si>
    <t>findyourbliss</t>
  </si>
  <si>
    <t>1587108008226300820_5740522126</t>
  </si>
  <si>
    <t>Get your prints here @loveyourprintsmore to make sure you #keepongoing #nevergiveup #persevere #hustlehard #liveyourdeams</t>
  </si>
  <si>
    <t>liveyourdeams</t>
  </si>
  <si>
    <t>__kathina__</t>
  </si>
  <si>
    <t>1587109775513181091_1495285247</t>
  </si>
  <si>
    <t>Just turn around, give a litle smile, throw the match and burn the brigde. 🔥
#keepongoing #movingforward #nolookingback #momof3 #independent #smart #strongminded #womanwithclass #choker #tattoo #wearingblack #pearls #makeup #highheels #fashionista #mystyle #picoftheday</t>
  </si>
  <si>
    <t>momof3</t>
  </si>
  <si>
    <t>mystyle</t>
  </si>
  <si>
    <t>highheels</t>
  </si>
  <si>
    <t>pollywantsacraker</t>
  </si>
  <si>
    <t>1587112575630569546_144486562</t>
  </si>
  <si>
    <t>Septiembre llegá ya. #instamoods #tired #burnout #needvacation #rightnow #currentmood #exhausted #keepongoing #vacations #comingsoon #smile #me #ootd #denim #black #blackasmysoul #justgirlythings #selfie</t>
  </si>
  <si>
    <t>blackasmysoul</t>
  </si>
  <si>
    <t>denim</t>
  </si>
  <si>
    <t>comingsoon</t>
  </si>
  <si>
    <t>hakunamasquataaaa</t>
  </si>
  <si>
    <t>1587113901962962373_2521424009</t>
  </si>
  <si>
    <t>Oke chrissie is weer genezen van t weekend😅🙌🏼 #legdayy #glutesnhams #lovethegym #keepongoing #workingonmyself 💪🏼</t>
  </si>
  <si>
    <t>Basic Fit Geleen</t>
  </si>
  <si>
    <t>legdayy</t>
  </si>
  <si>
    <t>glutesnhams</t>
  </si>
  <si>
    <t>lovethegym</t>
  </si>
  <si>
    <t>chloe.rbtt</t>
  </si>
  <si>
    <t>1587114981778653628_1448332299</t>
  </si>
  <si>
    <t>#etretat #weekend #mood #goodvibesonly #beautifulview #remember #weekend #summer  #landscape #travel #wayoflife #goodtrip #lifestyle #climb #keepongoing #summertime #lifeissimple #way #parisianlife #cliffs #sea #seaside #chill #beach #summerday</t>
  </si>
  <si>
    <t>Étretat</t>
  </si>
  <si>
    <t>beautifulview</t>
  </si>
  <si>
    <t>remember</t>
  </si>
  <si>
    <t>goodtrip</t>
  </si>
  <si>
    <t>lewellensteven</t>
  </si>
  <si>
    <t>1587117794670786265_1395554037</t>
  </si>
  <si>
    <t>To this day probably my favorite tattoo I've ever gotten seeing this quote is it reminder for me. I believe everyone has a reason to be alive. And that reason is why you wake up every morning and don't give up.
#lifelessons #keepongoing #ithinkicanithinkicanithinkican #rememberwhyyourealive #rwya #myself #suicide #changedmylife #growingup #depression #keepfighting #smile #nevergiveup</t>
  </si>
  <si>
    <t>ithinkicanithinkicanithinkican</t>
  </si>
  <si>
    <t>rwya</t>
  </si>
  <si>
    <t>flowsprojects</t>
  </si>
  <si>
    <t>1587120728778900027_1109883641</t>
  </si>
  <si>
    <t>Hard work and persistence pays off... #hard #work #keepongoing #persistence #wasserette #interior #design #concept #restaurant #hospitality #nieuwpoort #sea #openingsoon #frominteriorconcepttoopeningnight #FlowsProjects</t>
  </si>
  <si>
    <t>wasserette</t>
  </si>
  <si>
    <t>isabella_wint</t>
  </si>
  <si>
    <t>1587120940559197561_2017572536</t>
  </si>
  <si>
    <t>#workoutpantgoal#
#bestie ever# 
#keepongoing#</t>
  </si>
  <si>
    <t>bestie</t>
  </si>
  <si>
    <t>workoutpantgoal</t>
  </si>
  <si>
    <t>melb_1973</t>
  </si>
  <si>
    <t>1587124466323761017_1765599592</t>
  </si>
  <si>
    <t>Don't postpone your joy any longer. Happiness can be found in all of our steps. It's often the smallest steps in the right direction that end up being the biggest steps of your life. Be proud of the steps you take today! #smallsteps #keepongoing</t>
  </si>
  <si>
    <t>smallsteps</t>
  </si>
  <si>
    <t>engelmanchmal</t>
  </si>
  <si>
    <t>1587124796280517606_1275510852</t>
  </si>
  <si>
    <t>#keepongoing #tokiohotel #bass #bassguitar #georglisting #gustavschäfer #billkaulitz 
@georglisting @gustavschafer @billkaulitz und ein IG-No-Life @tomkaulitz 
#bdc #boydontcry #dm2017</t>
  </si>
  <si>
    <t>Lublin, Poland</t>
  </si>
  <si>
    <t>bass</t>
  </si>
  <si>
    <t>bdc</t>
  </si>
  <si>
    <t>georglisting</t>
  </si>
  <si>
    <t>gustavschäfer</t>
  </si>
  <si>
    <t>boydontcry</t>
  </si>
  <si>
    <t>1587124889931072843_1100957329</t>
  </si>
  <si>
    <t>Tussendoortje 😋😋
#blueberry #blueberrys #healthysnack #healthy #sohealthy #vitamins #vitamin #fruit #freshfruit #antioxidants #cleaneating #simplefood #food  #foodlover #foodofinstagram #foodie #motivation #bettereating #keepithealthy #keepongoing 👍</t>
  </si>
  <si>
    <t>Lede</t>
  </si>
  <si>
    <t>keepithealthy</t>
  </si>
  <si>
    <t>blueberrys</t>
  </si>
  <si>
    <t>vitamin</t>
  </si>
  <si>
    <t>fruit</t>
  </si>
  <si>
    <t>sohealthy</t>
  </si>
  <si>
    <t>1587125014997241104_640742459</t>
  </si>
  <si>
    <t>~ Pace Yourself ~
#crossfit #emom #pacing #quotes #quotd #row #min #on #off #30 #sets #motivated #motivation #keepongoing #keepondreaming #goodlife #goodvibes #goodone #sportaddict #crossfitlover</t>
  </si>
  <si>
    <t>crossfitlover</t>
  </si>
  <si>
    <t>quotd</t>
  </si>
  <si>
    <t>pacing</t>
  </si>
  <si>
    <t>1587128773814352302_279512262</t>
  </si>
  <si>
    <t>Так бы и лето зря прошло без этой фотографии, но нет, теперь и у меня такая есть)
.
#garage #picoftheday #keepongoing #lifeex #livy #livelife #livealittle #livethelittlethings #liveauthentic #daily #dreamers #abmlife #authentic #abmhappylife #abmlifeiscolorful #abmlifeissweet #lifestyle #madrussians</t>
  </si>
  <si>
    <t>Garage Museum of Contemporary Art</t>
  </si>
  <si>
    <t>piencioszka</t>
  </si>
  <si>
    <t>1587133308982323764_3043750694</t>
  </si>
  <si>
    <t>Trochę się zakurzyły... 😂 uwaga, pirat! 😀 #jeszczebędęfit #keepongoing #keeponthinking #qualitytime #rollerblading #fun</t>
  </si>
  <si>
    <t>Osiedle-Jaroty</t>
  </si>
  <si>
    <t>jeszczebędęfit</t>
  </si>
  <si>
    <t>rollerblading</t>
  </si>
  <si>
    <t>qualitytime</t>
  </si>
  <si>
    <t>travel_entrepreneur</t>
  </si>
  <si>
    <t>1587134895746314880_1822123873</t>
  </si>
  <si>
    <t>Whoa😮😮 How the heck did they do that? Any ideas?? 🤔🤔
➖➖➖➖➖➖➖➖➖➖➖➖
Follow @vibetraveldaily for more 👈
📸@carolinaa.amaral
.
.
.
.
.
.
.
.
#traveljunkie #travelwell #lifeofadventure #beachglass #paradiseinterior #theglobewanderer #keepittight #traintravel #earthdiscoveries #travelog #femaletravel #landscape #earthy #cocoatravelersintl #discoverearth #magicpict #keepitlit #tourtheplanet #paradisebeach #keepongoing #paradisebay #eclectic_shotz #travelwithfriends #beachbod #adventureday datview</t>
  </si>
  <si>
    <t>adventureday</t>
  </si>
  <si>
    <t>lifeofadventure</t>
  </si>
  <si>
    <t>keepitlit</t>
  </si>
  <si>
    <t>eevasavonheimo</t>
  </si>
  <si>
    <t>1587135263368784160_235477604</t>
  </si>
  <si>
    <t>Still missing you 🚏 {running} #outdoors #outdoorlife #outdoorwoman #naturehippys #getoutside #letsgosomewhere #letsgo #letsrun #running #loverunning #instarun #tuesday #run #runhappy #feelgood #enjoy #healthylife #happytime #august #summertime #nature #landscape #countryside #countrysidelife #countrygirl #stillmissingyou #keepongoing #kamerakaulassa #justgoshoot #beautyiseverywhere</t>
  </si>
  <si>
    <t>Järventaus, Etelä-Suomen Lääni, Finland</t>
  </si>
  <si>
    <t>justgoshoot</t>
  </si>
  <si>
    <t>kamerakaulassa</t>
  </si>
  <si>
    <t>alexanderiadodson</t>
  </si>
  <si>
    <t>1587141661686198964_472849438</t>
  </si>
  <si>
    <t>Clouds in my background, the sun is ahead, light glam on, and wearing some pink!! Keep on keeping on!!
With messy hair, not caring, I keep my goals in sight, and soon will take flight
While searching the stars, I stay positive down the roads I go!!
.
..
#alexanderiadodson #muafun #glamlife #happytuesday #pink #blackchoker #glittereyes #littlepoem #keepongoing #downtheroad #positivequotes #messyhair #dontcare #wingliner #angelslive #everyday #cloudscape #clouds</t>
  </si>
  <si>
    <t>muafun</t>
  </si>
  <si>
    <t>dontcare</t>
  </si>
  <si>
    <t>angelslive</t>
  </si>
  <si>
    <t>wingliner</t>
  </si>
  <si>
    <t>1587142476404974557_1456976711</t>
  </si>
  <si>
    <t>3 km jogg med kanske 50 m gång för vaderna sa stopp! 🏃🏽‍♀️😩</t>
  </si>
  <si>
    <t>Grytaspåret</t>
  </si>
  <si>
    <t>noushad_han</t>
  </si>
  <si>
    <t>1587143019457664857_1434567087</t>
  </si>
  <si>
    <t>#successneverstops #hardworkpaysoff #keepongoing #longroad #onestepcloser #achievementhunter #goalsetter #beyourbest #beyourowncompetition</t>
  </si>
  <si>
    <t>onestepcloser</t>
  </si>
  <si>
    <t>beyourowncompetition</t>
  </si>
  <si>
    <t>longroad</t>
  </si>
  <si>
    <t>achievementhunter</t>
  </si>
  <si>
    <t>1587144494906471735_50373203</t>
  </si>
  <si>
    <t>《 CHIN UPS 》
Aaaaarrrgghh.... 😤😤
Officieel de meest zware oefening: chin ups!!! 💪💪
Ook al blijf ik het proberen.. het lukt gewoon niet! Iemand tips? 
#durftevragen #motivation #goals #workout #training #trainingday #nopainnogain #chinup #keepongoing #stayfocused #pbp #personalbodyplan #ditismijnpbp #fitness  #fitnessmotivation #fitjourney #progress #gettinghealthy #stronger #healthymind #healthybody #workinprogress</t>
  </si>
  <si>
    <t>personalbodyplan</t>
  </si>
  <si>
    <t>nelus_7</t>
  </si>
  <si>
    <t>1587147855810717631_1222788874</t>
  </si>
  <si>
    <t>Boeren trainingsdaggie done!
----------------------------------------------------
Vanmiddag Squats 10x 100kg, 8x 112.5kg, 6x 115kg -----------------------------------------------------4x 5 alternating dumbell en dumbell row 24kg tm 30kg
----------------------------------------------------Vanavond: 4x 20herh trekkerbandje gooien ----------------------------------------------------
5x 500mtr sprint (15 tm 17 km/u) + 300mtr roeien zsm
----------------------------------------------------
#nrgypersonaltraining #stadskanaal #gym #dojo #speed #kickboxing #karate #mma #jiujitsu #brazillianjiujitsu #boxing #judo #muaythai #fitness #conditioning #strength #trainhard #workhard #keepongoing #fit #gymlife #fitdutchies #fitfamnl #ufc #aggility #funtionaltraining #pads #padstraining #boxingbag #tireflips</t>
  </si>
  <si>
    <t>Sportcentrum Bruinsma</t>
  </si>
  <si>
    <t>dojo</t>
  </si>
  <si>
    <t>aggility</t>
  </si>
  <si>
    <t>mr.jlw</t>
  </si>
  <si>
    <t>1587149248394628687_394094117</t>
  </si>
  <si>
    <t>One of the many highlights from our 9 mile hike today, climbing three peaks - Cribyn, Pen y Fan &amp; Corn Du.
The scenery was amazing lower down but unfortunately the weather really set in towards the summits.
We had tough ascents and challenging descents with hardly any visibility along the way. There were steep drops either side of the trail and sometimes there wasn't even a trail!
On our final descent, we came across Llyn Cwm Llwch, a small glacial lake maybe 1 or 2 acres in size.
We call this walk The Brecon Beacons Horseshoe.
-----------------------------------------------------
#trek #hike #walk #treking #hiking #walking #breconbeacons #breconbeaconsnationalpark #wales #southwales #visitwales #penyfan #corndu #cribyn #threepeaks #adventure #adventureawaits #challenge #challengeyourself #persevere #keepongoing #onestepatatime #accomplished #satisfied #proud</t>
  </si>
  <si>
    <t>Llyn Cwm Llwch</t>
  </si>
  <si>
    <t>breconbeacons</t>
  </si>
  <si>
    <t>wales</t>
  </si>
  <si>
    <t>trek</t>
  </si>
  <si>
    <t>1587150847715273869_2948851283</t>
  </si>
  <si>
    <t>Progress-progress..✒
#black #fineliner #fineArt #progress #newone #started #afternoonwork #blackandwhite #blackart #myart #passion #keepongoing #diadelosmuertos</t>
  </si>
  <si>
    <t>myart</t>
  </si>
  <si>
    <t>newone</t>
  </si>
  <si>
    <t>started</t>
  </si>
  <si>
    <t>lela.b.16</t>
  </si>
  <si>
    <t>1587151358104387791_3939962825</t>
  </si>
  <si>
    <t>It feels great after a good jog around the neighborhood!👍
#keepinginshape #jog #excerising #walk #fitness #neighborhoodjog #keepongoing #greatworkout #instagram #snapchat #pic #morning #sunnyday #perfectweather #uphill #running #10ksteps #goal #nevergiveup #filters #great #fun #keepinginshape</t>
  </si>
  <si>
    <t>neighborhoodjog</t>
  </si>
  <si>
    <t>poirena</t>
  </si>
  <si>
    <t>1587151371508780348_1269035468</t>
  </si>
  <si>
    <t>#muduabudu #happyme #happyface #smile #keepongoing #weekendtrip #lifeisajourney</t>
  </si>
  <si>
    <t>Dalsnibba</t>
  </si>
  <si>
    <t>muduabudu</t>
  </si>
  <si>
    <t>teganreading_</t>
  </si>
  <si>
    <t>1587151857939513803_39558165</t>
  </si>
  <si>
    <t>Transformation Tuesday- so, there's not a huge amount of difference in these two photos, the photo on the left is now and the photo on the right is about a year ago. I can see that I've lost a bit of fat around my stomach but nothing too drastic.
.
.
Change takes time, any sort of change. It's not always about how you look in the mirror, but it's more about what you see when you look at yourself. You have to look deeper than just a reflection. .
.
If you feel like you're doing a good job then it's more than likely that you are. If you feel like you've made improvements then that is worth so much more. It's a mental thing and thinking positively will do you the world of good. .
.
I look at these two pictures and like I said, can't see huge changes but I feel so much better than I did a year ago. I feel like I have progressed a huge amount and that's what makes me happy. .
.
Think positive thoughts and keep on going to progress even further. 💪 .
.
#transformationtuesday #smallchanges #positivethoughts #bodyimage #fitness</t>
  </si>
  <si>
    <t>smallchanges</t>
  </si>
  <si>
    <t>bodyfat</t>
  </si>
  <si>
    <t>yana_murshed</t>
  </si>
  <si>
    <t>1587152650570805532_1596985355</t>
  </si>
  <si>
    <t>👑👑👑#embassycafe#rimini#italy#vacation#keepongoing#traveltheworld</t>
  </si>
  <si>
    <t>Embassy Cafe Rimini</t>
  </si>
  <si>
    <t>rimini</t>
  </si>
  <si>
    <t>embassycafe</t>
  </si>
  <si>
    <t>busybodiesfitness</t>
  </si>
  <si>
    <t>1587153213554273517_3267092533</t>
  </si>
  <si>
    <t>Is this you?</t>
  </si>
  <si>
    <t>Busy Bodies -Women's Health &amp; Fitness Club</t>
  </si>
  <si>
    <t>busybodiesgym</t>
  </si>
  <si>
    <t>1587156578677831463_4773778225</t>
  </si>
  <si>
    <t>These animals seem to love my camera 🐾🛶🌞#worldtravelbook #flashesofdelight #art #lake #rainbow #goodafternoonpost #keeponkeepingon #keepongoing #motivation #motivationeveryday #sunset #flowers #architecturephotography #architecture #tagsforlikes #bluesky #likesforlikes #follow #almosttheweekend #smile #happy #morningmotivation #flower #behappy #grateful</t>
  </si>
  <si>
    <t>ludovic_van_mierlo</t>
  </si>
  <si>
    <t>1587164200701309223_19208938</t>
  </si>
  <si>
    <t>Weer een #kilometerpaal bereikt met deze onverwoestbare #volvo #keepongoing</t>
  </si>
  <si>
    <t>kilometerpaal</t>
  </si>
  <si>
    <t>volvo</t>
  </si>
  <si>
    <t>runandgun17</t>
  </si>
  <si>
    <t>1587165044821760584_5592529812</t>
  </si>
  <si>
    <t>I prefer wings then cupcakes 😜 balance is a big deal in my life and i am human that has off days but I know if i am doing the right things then i am balanced better! Like Axl says 🎵nevermind the darkness we can still find a way 🎵#grateful #mattyonamission #thankyougod #eyeontheprize #healthymatty #sobrietyrules #balance #youarehuman #keepongoing #mentalhealthawareness</t>
  </si>
  <si>
    <t>eyeontheprize</t>
  </si>
  <si>
    <t>mentalhealthawareness</t>
  </si>
  <si>
    <t>healthymatty</t>
  </si>
  <si>
    <t>thankyougod</t>
  </si>
  <si>
    <t>neuromommyphd</t>
  </si>
  <si>
    <t>1587166745202203708_232611754</t>
  </si>
  <si>
    <t>A little sick day #teabagwisdom to brighten my mind. I need more tissues. 🤧🤒😷
.
School plagues: 1
Jessica: 0
.
#mamastrong #mothering #sickday #norestfortheweary #keepongoing</t>
  </si>
  <si>
    <t>mothering</t>
  </si>
  <si>
    <t>teabagwisdom</t>
  </si>
  <si>
    <t>mamastrong</t>
  </si>
  <si>
    <t>norestfortheweary</t>
  </si>
  <si>
    <t>magda_ko</t>
  </si>
  <si>
    <t>1587172144747881179_297716524</t>
  </si>
  <si>
    <t>💁🏻 #dinner #smiley #girl #work #motivation #satisfaction #keepongoing</t>
  </si>
  <si>
    <t>dinner</t>
  </si>
  <si>
    <t>evil.nova</t>
  </si>
  <si>
    <t>1587172806918371872_15694502</t>
  </si>
  <si>
    <t>True story! #entrepreneur #fail5timessucceed6 #fallandgetbackup #keepongoing #myownboss #workhardplayharder</t>
  </si>
  <si>
    <t>fail5timessucceed6</t>
  </si>
  <si>
    <t>myownboss</t>
  </si>
  <si>
    <t>emz_zika</t>
  </si>
  <si>
    <t>1587173142102400687_542766180</t>
  </si>
  <si>
    <t>Applies to everything this, what ever progress your doing for what ever it is, every little bit of progress will help achieve your goals #trynottobehardonyourself #littleprogressisbetterthannoprogress #motivation #positivequotes #keepongoing #keeponswimming #doitforyou #youareworthit</t>
  </si>
  <si>
    <t>keeponswimming</t>
  </si>
  <si>
    <t>trynottobehardonyourself</t>
  </si>
  <si>
    <t>1587177602192032377_359595518</t>
  </si>
  <si>
    <t>I've told them about continuing my travels in a week - they put me on a leash that I can't leave! 😅 cutest things on earth ❤️ ~
~
~
~
~
#travel #tbt #cute #kids #love #uncle #happy #sad #keepongoing #sweet #niecelove❤️ #picoftheday #travelgram #instadaily #instagood #motivation #surf #bali #iphone #wanderlust</t>
  </si>
  <si>
    <t>Öhringen</t>
  </si>
  <si>
    <t>kids</t>
  </si>
  <si>
    <t>helenekirstinedk</t>
  </si>
  <si>
    <t>1587178664943327189_257596540</t>
  </si>
  <si>
    <t>Standard quote - oprigtigt ment, hvor kliché det end er! 
Hvis der er noget jeg er god til, så er det at forholde mig skeptisk til alting. Et perfekt eksempel på dette er igår, hvor jeg havde en sindssygt god træning, cardio og træning kørte mere smooth end nogensinde før, men alligevel tog jeg mig selv i at tænke "nå, det var nok bare fordi jeg ramte en god dag!" - men idag skete det samme. Hele sidste uge har jeg gået med hovedet under armen, syntes det hele var noget rigtig møg og orkede slet ikke det her diætræs. Jeg tror, at jeg som mange andre har været ramt af "4-ugers krisen" - altså når der er omkring 4 uger til konkurrencen, og det hele bare er aller mest surt. Nu er der under tre uger tilbage, og jeg har besluttet mig for, at den sidste tid skal gå smooth og lækkert! #teamlyhnephysique #bikinifitness #motivation #persistence #holdon #goon #keepongoing #nevergiveup #DM17 #dbff</t>
  </si>
  <si>
    <t>dbff</t>
  </si>
  <si>
    <t>goon</t>
  </si>
  <si>
    <t>1061kissfm</t>
  </si>
  <si>
    <t>1587180450274581584_599863420</t>
  </si>
  <si>
    <t>We're at Klyde Warren Park today with @scottproducts and @priscillakjordan ! Come register to win a year supply of Scott paper towels &amp; tickets to see Portugal the Man! Here until 3PM! #KeepOnGoing</t>
  </si>
  <si>
    <t>Klyde Warren Park</t>
  </si>
  <si>
    <t>unicajewellery</t>
  </si>
  <si>
    <t>1587181961398749919_714563124</t>
  </si>
  <si>
    <t>N E W S E A S O N 
#lovemyjob #newseason #unicajewellery #everydaymadewell #style #beadloom #fashionblogger #trend #etsy #etsyshop #shoppingonline #jewelry #keepongoing #beads #jewelryaddict #torontofashion #torontocraft #supportsmallbusiness #supportlocal #creative #craftymom #handmadejewelry</t>
  </si>
  <si>
    <t>etsyshop</t>
  </si>
  <si>
    <t>jewelryaddict</t>
  </si>
  <si>
    <t>fashionblogger</t>
  </si>
  <si>
    <t>the.lobo.co</t>
  </si>
  <si>
    <t>1587185080811842474_1708648358</t>
  </si>
  <si>
    <t>change change change
@white.rabbit.poetry
.
.
.
.
.
.
#toronto #change #workonit #flow #move #keepongoing #newmoon #new #life #grow</t>
  </si>
  <si>
    <t>flow</t>
  </si>
  <si>
    <t>quepaseelproximo</t>
  </si>
  <si>
    <t>1587187973748496353_4176822192</t>
  </si>
  <si>
    <t>A veces no se si subo o si bajo, si aprendo o desaprendo, si crezco o retrocedo... lo más  importante es que sigo adelante.
.
Sometimes I'm not sure if I'm heading up or down, if I learn or unlearn, if I grow or go backwards... the most important thing, is I keep on going.
.
.
#seguiradelante #keeponmoving #keepongoing #stairs #escaleras #pasos #steps #lacaixa #lacaixaforum #white #blanco #architecture #arquitectura #rsa_architecture #buildings #edificios #madrid #madridmola #madridespaña #madridspain #igersmadrid #caixaforum #upanddown #arribayabajo</t>
  </si>
  <si>
    <t>escaleras</t>
  </si>
  <si>
    <t>madridmola</t>
  </si>
  <si>
    <t>seguiradelante</t>
  </si>
  <si>
    <t>1587188772829856127_2813503554</t>
  </si>
  <si>
    <t>Heute war ich in Hannover bei #easyfitness und habe über das weitere Vorgehen gesprochen und danach noch etwas in dem Studio dort trainiert. Die haben da 25er Platten 😉
#fitnesslifestyle #fitfam #fitnessmotivation #notadream #nopainnogain #noexcuses #diefatdie  #weightloss #muscle #easyfitness.club #keepongoing #trainhard</t>
  </si>
  <si>
    <t>A2 Rasthof Lipperland Richtung Dortmund</t>
  </si>
  <si>
    <t>easyfitness</t>
  </si>
  <si>
    <t>1587188911124393682_1822236485</t>
  </si>
  <si>
    <t>Follow @adventurouskiwi for awesome travel images. Norway's landscapes 💚
Photo by @frilufts.liv
.
.
.
.
.
.
.
.
#instagood #vacaymode #hlobelletravels #nature #traintravel #slowtravel #sunsetcliffs #epicgetaway #familypet #luxurytraveler #gritandvirtue #followers #lifeispeople #girlsjustwannatravel #keepongoing #travelinsta #foodandtravel #spiritualquotes #choosejoy #inspiredaily #natgeotravelphoto #yogatherapy #eclectic_shotz #adventurebuddies #leavenworth</t>
  </si>
  <si>
    <t>foodandtravel</t>
  </si>
  <si>
    <t>marijeindh</t>
  </si>
  <si>
    <t>1587189608881619304_493178521</t>
  </si>
  <si>
    <t>Another evening run in perfect conditions with a PR;). #strava#mizuno#instarunners#nike#fitfam #keepongoing #fitfam#summer#eveningrun</t>
  </si>
  <si>
    <t>mizuno</t>
  </si>
  <si>
    <t>mfavalos</t>
  </si>
  <si>
    <t>1587192144011818325_9010956</t>
  </si>
  <si>
    <t>First day back to training and enjoying of this view. How not to feel motivated?! #keepongoing #letsgo #marathon #berlinmarathon #sky #nature #sunset #river #reflection #goodmood #goodvibes #mind #soul #keepinmoving #challengeaccepted #beautiful #time #best #amazing #traveling #instagood #instadaily #instagram #road #running #water #worldplaces</t>
  </si>
  <si>
    <t>the_rock_food</t>
  </si>
  <si>
    <t>1587199841834270832_267434988</t>
  </si>
  <si>
    <t>Have a look to the future......drivin'! #therockfood #nobeard #shaved #instacar #instafuture #passion #love #keepongoing #nevergiveup #lookingformybaby #instachef #instagood  #cabergoestoveneto #bipboplula #tuttifrutti #solo #mementoauderesemper #paternumquam #sofigosobeosofotomodeo #blogger #amore #smoking</t>
  </si>
  <si>
    <t>paternumquam</t>
  </si>
  <si>
    <t>sofigosobeosofotomodeo</t>
  </si>
  <si>
    <t>therockfood</t>
  </si>
  <si>
    <t>lookingformybaby</t>
  </si>
  <si>
    <t>1587202725576293986_4678264587</t>
  </si>
  <si>
    <t>First PB for 6/10 GAIA
Didn't went well though..
On full GAIA my PB is around 33 minutes ! 😳
Spent way too much time on this workout (an had a stitch all along.. 😑)
I'm gonna do better next time for sure! 
#freeletics #bodyweight #freeleticsangers #freeleticsecouflant #hippodrome #angers #ecouflant #freeathlete #freeleticslifestyle #fit #fitness #fitnessmotivation #stayinshape #betterversionofyourself #keepongoing #trainingday #workout #noexcuses</t>
  </si>
  <si>
    <t>hippodrome</t>
  </si>
  <si>
    <t>1587206779027951936_425877607</t>
  </si>
  <si>
    <t>Should I go in? - she wondered. And so do I! Happy for my most recent #urbandiscovery in #phibsborough @yogahub 👍🙏😎👌😍👏🏻 #lovethis #appreciate #thankful #myjourney #photomonkees #yogahub #yoga #yogachallenge #loveisloveislove #lovinglife #lovindublin #urban #urbanlife #citystyle #dublin #totallydublin #lookaround #noticelittlethings #mindfulness #discoverireland #discoverdublin #neverstoplearning #neverstopexploring #keepongoing #keeponmovin #keepontrying #yogalover #yogaeverydamnday</t>
  </si>
  <si>
    <t>YogaHub</t>
  </si>
  <si>
    <t>discoverdublin</t>
  </si>
  <si>
    <t>totallydublin</t>
  </si>
  <si>
    <t>r.roveyy</t>
  </si>
  <si>
    <t>1587209777702869229_300190436</t>
  </si>
  <si>
    <t>...learning to let go. family, friends, and love; not everyone/thing is meant to stay... #living #life #blessed #happy #love #family #friends #positivevibes #motivation #keepongoing</t>
  </si>
  <si>
    <t>terukiku</t>
  </si>
  <si>
    <t>1587216096532354668_2226403827</t>
  </si>
  <si>
    <t>#terrysgirls #beinspired #womeninbiz #supportwomen #bestrong #keepongoing #neverquit</t>
  </si>
  <si>
    <t>womeninbiz</t>
  </si>
  <si>
    <t>terrysgirls</t>
  </si>
  <si>
    <t>supportwomen</t>
  </si>
  <si>
    <t>lenkakalink</t>
  </si>
  <si>
    <t>1587217431193834601_3639927245</t>
  </si>
  <si>
    <t>Wanderlust! #roadtrip #slovenia #bovec #waterfall #hiking #hikingboots #awesome #impressive #nature #active #keepongoing</t>
  </si>
  <si>
    <t>hikingboots</t>
  </si>
  <si>
    <t>waterfall</t>
  </si>
  <si>
    <t>1587218853608219629_3639927245</t>
  </si>
  <si>
    <t>bovec</t>
  </si>
  <si>
    <t>impressive</t>
  </si>
  <si>
    <t>suevanvuuren</t>
  </si>
  <si>
    <t>1587219674047489657_468098389</t>
  </si>
  <si>
    <t>Smashing out some quarter squats in my explosive circuit today @120kgs #powerworkout#explosive#fast#aheadofthegame#keepongoing#quartersquats#myhappyplace</t>
  </si>
  <si>
    <t>explosive</t>
  </si>
  <si>
    <t>aheadofthegame</t>
  </si>
  <si>
    <t>powerworkout</t>
  </si>
  <si>
    <t>cherise_booysen</t>
  </si>
  <si>
    <t>1587224772366770948_412889360</t>
  </si>
  <si>
    <t>Casting the whole of your care [ all your anxieties, all your worries, all your concerns, once and for all ] on Him, for he cares for you affectionately and cares about you watchfully..🌸 • •
1 Peter 5:7 
#whatawaytoendyourday #pray #believe #Hisloveisunending #love #Helives #trust #22August #keepongoing #purpose #newyourney #ItrustYouLord 🙏</t>
  </si>
  <si>
    <t>whatawaytoendyourday</t>
  </si>
  <si>
    <t>newyourney</t>
  </si>
  <si>
    <t>itrustyoulord</t>
  </si>
  <si>
    <t>marj0rie.g0nzales</t>
  </si>
  <si>
    <t>1587227146568197833_4462013811</t>
  </si>
  <si>
    <t>MY INJURIES BECAME MY STRENGHT
#training #workhard #fitness #running #weightloss #nevergiveup #keepongoing #motivation #goals #dontlookback #fitgirl #fit #passion #feelfree #newlife #lifestyle #sportlife #paris #France #frenchgirl #inked #muscle #legs #arms</t>
  </si>
  <si>
    <t>1587229065386120745_264198860</t>
  </si>
  <si>
    <t>Jeg er simpelthen så træt de her dage, hvilket er gået i kroppen så jeg føler mig halv sløj. Heldigvis fik jeg sovet et par timer inden mor ringede og fortalte at brormand lå i front til klubmesterskabet - og hvad gør en så god søster som mig? Kører fluks ud og ser drengen blive klubmester 💪🏻❤️. Den dreng er seriøst den sejeste jeg kender - på trods af bump på vejen så sejre han! ( og giver sin mor @marianne_christensen og søster blomster - godt valg 🤣. #copenhagen #keepongoing #motivation #friendship #mybrother #mybrotherisbetterthanyours #myday #mylife #bike #act #amager #amagercyklering #family #familiesareforever #fit #fitfam #fitness #diet #tired #goodnight</t>
  </si>
  <si>
    <t>mybrotherisbetterthanyours</t>
  </si>
  <si>
    <t>suralta.airben</t>
  </si>
  <si>
    <t>1587229441138642254_1658772475</t>
  </si>
  <si>
    <t>There's a rainbow always after the rain.  #keepongoing 👊</t>
  </si>
  <si>
    <t>michel_asselman</t>
  </si>
  <si>
    <t>1587229664249625499_4275209</t>
  </si>
  <si>
    <t>And pull.. Pull.. PULL!! #crossfit #crippled #crippleddoingcrossfit #leginjury #kneeinjury #rogue #roguefitness #fakegrass #rope #pull #pulling #sittingrow #growingstrong #growstrong #reebok #reebokcf #dowhatican #healthylife #fitfam #notimetoquit #keepongoing #sledpull #workout #backtraining #backworkout #training #getinshape #stayinshape</t>
  </si>
  <si>
    <t>CrossFit Solvay</t>
  </si>
  <si>
    <t>roguefitness</t>
  </si>
  <si>
    <t>sledpull</t>
  </si>
  <si>
    <t>pulling</t>
  </si>
  <si>
    <t>growingstrong</t>
  </si>
  <si>
    <t>jodi.frances</t>
  </si>
  <si>
    <t>1587231512520023850_192340311</t>
  </si>
  <si>
    <t>Feeling like I would love to burry my head in the sand, or nap, and avoid all things that must get done.</t>
  </si>
  <si>
    <t>1587233950140387054_203366243</t>
  </si>
  <si>
    <t>What an extraordinary feeling when you can share a passion with your Twinnie or more than one 🙊🤣😉🤛🏼 #twins#blondies#girls#coast#ocean#beach#landscape#nature#sky#dreamit#passion#keepongoing#strong#sister#memories#holiday#tbt#photography#love#family#goals#qualitytime#enjoylife#collectmomentsnotthings#instagood#instadaily#lifestyle#blogger#tagsforlikes#followme</t>
  </si>
  <si>
    <t>Sintra, Portugal</t>
  </si>
  <si>
    <t>j3kj3kbl4ckst4r</t>
  </si>
  <si>
    <t>1587234881393318782_187541884</t>
  </si>
  <si>
    <t>#dunking 
#playing 
#basketball 
#toronto 
#keepongoing 💪🏀</t>
  </si>
  <si>
    <t>dunking</t>
  </si>
  <si>
    <t>playing</t>
  </si>
  <si>
    <t>toronto</t>
  </si>
  <si>
    <t>jemmaharber</t>
  </si>
  <si>
    <t>1587240387944475343_10524354</t>
  </si>
  <si>
    <t>#transformationtuesday I probably bore you all to death with these posts but this is what motivates me to never be a cardio freak again 🙌🏽 almost one month on from my last progress pic! #keepongoing</t>
  </si>
  <si>
    <t>1587242523960965297_394094117</t>
  </si>
  <si>
    <t>Looking up to two of the three peaks we would be climbing.
-----------------------------------------------------
#trek #hike #walk #treking #hiking #walking #breconbeacons #breconbeaconsnationalpark #wales #southwales #visitwales #penyfan #corndu #cribyn #threepeaks #adventure #adventureawaits #challenge #challengeyourself #persevere #keepongoing #onestepatatime #accomplished #satisfied #proud</t>
  </si>
  <si>
    <t>Pen y Fan</t>
  </si>
  <si>
    <t>satisfied</t>
  </si>
  <si>
    <t>penyfan</t>
  </si>
  <si>
    <t>challengeyourself</t>
  </si>
  <si>
    <t>simon.gotab</t>
  </si>
  <si>
    <t>1587246399035133833_2985077868</t>
  </si>
  <si>
    <t>The good the bad and the ugly....😎😎😎💪💪💪💪#goodday #trainhard #goodfeeling #beardgrowing #musclegaining #fatloosing #keepongoing #daddyisback #polishman</t>
  </si>
  <si>
    <t>Oslo, Norway</t>
  </si>
  <si>
    <t>fatloosing</t>
  </si>
  <si>
    <t>beardgrowing</t>
  </si>
  <si>
    <t>musclegaining</t>
  </si>
  <si>
    <t>goodfeeling</t>
  </si>
  <si>
    <t>daddyisback</t>
  </si>
  <si>
    <t>mettemeejborn</t>
  </si>
  <si>
    <t>1587246772866932169_323468965</t>
  </si>
  <si>
    <t>Just finished a late workout 💪 feeling pretty smashed after this back session 🤣 
Theese last couple of weeks has been bit blurry, due to many reasons, but still managed to get my ass off to the gym 😂 I didnt feel like training, and I didnt feel any motivation at all, but because of my reasons to why I train, I still went and got the job done.. And that feeling is so satisfying 👌😉
#latenight #workout #workoutoftheday #killedit #backandabs #workhard #dreambig #keepongoing #vibes #muscleprogress#weightlifting #kicksclerosis #instafit #fitforlife#progress #lovelifting #fitnessjourney #fitnessgoals #trainhard #fitstagram #fitfam #fitness #fit</t>
  </si>
  <si>
    <t>lit.nieces</t>
  </si>
  <si>
    <t>1587252409884562664_5836621256</t>
  </si>
  <si>
    <t>I did it! Na een anderhalf jaar niet gesprongen te hebben en mn rug te hebben geneusd heb ik eindelijk mijn angst overwonnen thanks to @onbekendje2911 ben echt blij met haar! Dankjr zonder jou was ik nooit terug het zadel in gegaan. Ik was als de dood voor springen maar toch heb je me geholpen i love you❤️ #proudofmyself #keepongoing #nevergiveup #love #horse #teamalicia #teamsanny @lit.nieces  @_p.2611  @kyomaahrens</t>
  </si>
  <si>
    <t>teamsanny</t>
  </si>
  <si>
    <t>teamalicia</t>
  </si>
  <si>
    <t>bouncermurby</t>
  </si>
  <si>
    <t>1587254241437658010_4241579037</t>
  </si>
  <si>
    <t>#foodforthought #keepongoing</t>
  </si>
  <si>
    <t>foodforthought</t>
  </si>
  <si>
    <t>colebernes</t>
  </si>
  <si>
    <t>1587257098354107693_1077253370</t>
  </si>
  <si>
    <t>✌️
I wanna see you dancing again" #regencia #surfing #life #barrel #equipe @blackbirdgeneration @faroldavila #keepongoing #gopro</t>
  </si>
  <si>
    <t>barrel</t>
  </si>
  <si>
    <t>regencia</t>
  </si>
  <si>
    <t>surfing</t>
  </si>
  <si>
    <t>equipe</t>
  </si>
  <si>
    <t>melanielynn514</t>
  </si>
  <si>
    <t>1587261175778043595_45699078</t>
  </si>
  <si>
    <t>Yes!!!💖
#neversettle #keepongoing</t>
  </si>
  <si>
    <t>stephanieagal</t>
  </si>
  <si>
    <t>1587265978549631123_178348679</t>
  </si>
  <si>
    <t>One mans trash is another's treasure ✌🏼 #quote #life #sotrue #truth #keepongoing #keepon #keeponkeepingon #trash #treasure #quotesonquotes</t>
  </si>
  <si>
    <t>trash</t>
  </si>
  <si>
    <t>sotrue</t>
  </si>
  <si>
    <t>roberta.gentilini</t>
  </si>
  <si>
    <t>1587268270536675298_3081065989</t>
  </si>
  <si>
    <t>#my #funny #house #funnyhouse #playpiano #paintcolors #caos #love #wrongtime #loveisgone #lovecomes #singasong #writeonthewall #tattooyoursoul #gentilini #keepongoing #whitlove</t>
  </si>
  <si>
    <t>house</t>
  </si>
  <si>
    <t>my</t>
  </si>
  <si>
    <t>playpiano</t>
  </si>
  <si>
    <t>loveisgone</t>
  </si>
  <si>
    <t>1587270732458940217_7555168</t>
  </si>
  <si>
    <t>About 9 months between these pictures 💪😊New mealplan from tomorrow, exited to see the progress😊#littleprogress #strongisthenewskinny#gymcurves#keepongoing</t>
  </si>
  <si>
    <t>gymcurves</t>
  </si>
  <si>
    <t>strongisthenewskinny</t>
  </si>
  <si>
    <t>littleprogress</t>
  </si>
  <si>
    <t>dellamarie1985</t>
  </si>
  <si>
    <t>1587272032826276179_4534610855</t>
  </si>
  <si>
    <t>First run of the week boxed off. Wasn't a good one... humidity and asthma don't mix... battled through though#run#determined#determination#ditchtheweight#fitness#runday#keepongoing</t>
  </si>
  <si>
    <t>runday</t>
  </si>
  <si>
    <t>ditchtheweight</t>
  </si>
  <si>
    <t>1587272769976190611_3491891264</t>
  </si>
  <si>
    <t>#blackmenmatter #blackmen #blackmenrule #hebrewisraelites #keeponfighting #keepongoing #ancientknowledge #melaninpower #emmanuelsonofgod #melanineenergy</t>
  </si>
  <si>
    <t>melaninpower</t>
  </si>
  <si>
    <t>melanineenergy</t>
  </si>
  <si>
    <t>blackmenrule</t>
  </si>
  <si>
    <t>ancientknowledge</t>
  </si>
  <si>
    <t>hebrewisraelites</t>
  </si>
  <si>
    <t>blossomhudsonxo</t>
  </si>
  <si>
    <t>1587276220452976843_207653090</t>
  </si>
  <si>
    <t>Says it all really... #tothefuture #begrateful #thingschange #keepongoing #liveeveryday</t>
  </si>
  <si>
    <t>begrateful</t>
  </si>
  <si>
    <t>tothefuture</t>
  </si>
  <si>
    <t>thingschange</t>
  </si>
  <si>
    <t>glamardarlife</t>
  </si>
  <si>
    <t>1587299018894171679_454035815</t>
  </si>
  <si>
    <t>Smashing those steps today! 🚶🏼‍♀️🚶🏼‍♀️🚶🏼‍♀️🚶🏼‍♀️#keepongoing #fitbit #steptoit #getitdone #getoffyourass #fitfam #ukfitfam #keepinwalking #walkies #fittwinmum #dedicated #myjourney #progressnotperfection #journeytofit #workingonmyfitness</t>
  </si>
  <si>
    <t>workingonmyfitness</t>
  </si>
  <si>
    <t>getitdone</t>
  </si>
  <si>
    <t>dedicated</t>
  </si>
  <si>
    <t>pathufkens</t>
  </si>
  <si>
    <t>1587301415729192639_2544378090</t>
  </si>
  <si>
    <t>#bose #beautiful  #sound #60 #birthday #keepongoing #lovely</t>
  </si>
  <si>
    <t>60</t>
  </si>
  <si>
    <t>sound</t>
  </si>
  <si>
    <t>bose</t>
  </si>
  <si>
    <t>quotediems</t>
  </si>
  <si>
    <t>1587302840576122988_2793189067</t>
  </si>
  <si>
    <t>#keepongoing
#liveandletlive  #millionaireimage #inspirationalpost #inspirationalwomen #inspiredme #menquotes #confidentwoman #quoteday #goalsetting #goalmakers #simplething#successquote #millionairequotes #womanowned #millionsofdollars #setitoff #overgram #dontquit #huntingthings #amillionways #amillionreasons #amillionairelife #quotedays #amillionairelife #inspiredwoman #inspireothersbybeingyou</t>
  </si>
  <si>
    <t>quoteday</t>
  </si>
  <si>
    <t>setitoff</t>
  </si>
  <si>
    <t>millionsofdollars</t>
  </si>
  <si>
    <t>goalmakers</t>
  </si>
  <si>
    <t>radgirlcreations</t>
  </si>
  <si>
    <t>1587303988650619373_2140663332</t>
  </si>
  <si>
    <t>This pin is for those who hustle hard every. single. day. 💪🏃‍♀️
It's for those who set goals and smash them, who get up everyday and live a life of purpose, who fail but never ever quit, and it's especially for those who know that real success 0% luck and 100% hustle. 💫#thehustleisreal Link in our bio! ☝️</t>
  </si>
  <si>
    <t>medicos</t>
  </si>
  <si>
    <t>radtechstudent</t>
  </si>
  <si>
    <t>hussle</t>
  </si>
  <si>
    <t>medschoolproblems</t>
  </si>
  <si>
    <t>radiologylife</t>
  </si>
  <si>
    <t>izac__gt</t>
  </si>
  <si>
    <t>1587305877352791260_3055273559</t>
  </si>
  <si>
    <t>Hitting hamstrings. Trying to get back in shape all over again is tough. Cant give in •
•
•
•
#legday #fitness #athelete #motivation #keepongoing #dontdreamitdoit #cantstopwontstop</t>
  </si>
  <si>
    <t>dontdreamitdoit</t>
  </si>
  <si>
    <t>athelete</t>
  </si>
  <si>
    <t>1587306244422847994_374977343</t>
  </si>
  <si>
    <t>#mercedesmissions #mercedesbenz #mercedes #500 #widebody #lhd #v8 #eclass #maintain #maintenance #tlc #thebestornothing #oem #keepitgoing #keepongoing #e500 #porsche #porschedesign in for erratic idle and intermittent missfire</t>
  </si>
  <si>
    <t>maintain</t>
  </si>
  <si>
    <t>e500</t>
  </si>
  <si>
    <t>lhd</t>
  </si>
  <si>
    <t>mercedesbenz</t>
  </si>
  <si>
    <t>mercedesmissions</t>
  </si>
  <si>
    <t>surfswag64</t>
  </si>
  <si>
    <t>1587306480528257495_2087748998</t>
  </si>
  <si>
    <t>Positive vibes. 😏😍🌟#workboots #positive #lit #daddy #taken #onmygrind #keepongoing #sadboy</t>
  </si>
  <si>
    <t>workboots</t>
  </si>
  <si>
    <t>taken</t>
  </si>
  <si>
    <t>daddy</t>
  </si>
  <si>
    <t>1587306688960320039_374977343</t>
  </si>
  <si>
    <t>fantabulaufy</t>
  </si>
  <si>
    <t>1587307199271828265_303716379</t>
  </si>
  <si>
    <t>The Inauguration Ceremony of Gov. Joho. 
#ralaufyprophotography #inauguration #ceremony #kenya2017 #mombasa #instagood #workoutmotivation #keepongoing #ilovethisjob #professionalphotography</t>
  </si>
  <si>
    <t>Mama Ngina Drive</t>
  </si>
  <si>
    <t>professionalphotography</t>
  </si>
  <si>
    <t>mombasa</t>
  </si>
  <si>
    <t>kenya2017</t>
  </si>
  <si>
    <t>1587307687808830364_374977343</t>
  </si>
  <si>
    <t>#mercedesmissions #mercedesbenz #mercedes #500 #widebody #lhd #v8 #eclass #maintain #maintenance #tlc #thebestornothing #oem #keepitgoing #keepongoing #e500 #porsche #porschedesign brand new original parts fitted no expense spared by owner now purrrs like a kitten</t>
  </si>
  <si>
    <t>1587308684576709210_374977343</t>
  </si>
  <si>
    <t>#mercedesmissions #mercedesbenz #mercedes #500 #widebody #lhd #v8 #eclass #maintain #maintenance #tlc #thebestornothing #oem #keepitgoing #keepongoing #e500 #porsche #porschedesign #awsomemachine #powerhouse</t>
  </si>
  <si>
    <t>1587309948797333888_223403434</t>
  </si>
  <si>
    <t>#instaheart #heartgram #heart #up #high #lookthesky #love #ama #LoveisLove #loveisintheair #loveeveryone #emotions #nightlove #nighttime #instanight #instangram #instamood #feelings #sky #instacool #instagood #nightlights #carryon #keepongoing #picsoftheday #bestoftheday</t>
  </si>
  <si>
    <t>loveisintheair</t>
  </si>
  <si>
    <t>instacool</t>
  </si>
  <si>
    <t>nightlove</t>
  </si>
  <si>
    <t>1587312762143580767_2164432158</t>
  </si>
  <si>
    <t>Whirlpools
Photo by @mehmetgokyigit
Tag your friends 😍
.
.
.
.
.
.
.
.
#earthporn #travelportland #yogastyle #neverstoptravelling #natgeotravelphoto #ilovetravelling #travelinspired #travelvideo #paycationtravel #dontbelievemejustwatch #sky #livetotravel #paradiseonearth #creativeentrepreneur #lifehappens #travelnow #paradiseofminimal #keepongoing #lifebydesign #worktravel #yogaposes #travelingpost #livethelife #paradises #anewbreedoftraveller</t>
  </si>
  <si>
    <t>earthporn</t>
  </si>
  <si>
    <t>livetotravel</t>
  </si>
  <si>
    <t>1587321377008943034_223403434</t>
  </si>
  <si>
    <t>#justadayinthelife #justme #selfies #selfination #instaface #face #eyes #eyesopen #colorfull #beard #pierced #septum #pierced #levis #kissedbythesun #sunrays #sunshotz #sunshine #keepongoing #believer #dreamer #red #bestoftheday #picsoftheday #time #day #shadows #follow4follow #like4like</t>
  </si>
  <si>
    <t>instaface</t>
  </si>
  <si>
    <t>sunrays</t>
  </si>
  <si>
    <t>levis</t>
  </si>
  <si>
    <t>sony_crystal</t>
  </si>
  <si>
    <t>1587322222548353654_1419028594</t>
  </si>
  <si>
    <t>#sonycrystal #walkingwithgod #keepongoing</t>
  </si>
  <si>
    <t>sonycrystal</t>
  </si>
  <si>
    <t>walkingwithgod</t>
  </si>
  <si>
    <t>beachlifefitcouple</t>
  </si>
  <si>
    <t>1587322368433593196_336231225</t>
  </si>
  <si>
    <t>Having Already made the biggest wave ever caught on camera at my home town break in Brighton Uk.
My goal this year Is to go sub 3 hours for the Marathon. 
The most amazing things can happen when you provide your body with the best nutrition.
#MyKondaContest 
#HerbalifeNutrition #H24 
#BeYourBest 
#IdealBreakfast
#WaterReady 
#KeepOnGoing 
#ReachYourPersonalGoals
#HelpingPeopleGet
#HealthyActiveLifestyles
#Happiness</t>
  </si>
  <si>
    <t>herbalifenutrition</t>
  </si>
  <si>
    <t>mykondacontest</t>
  </si>
  <si>
    <t>beyourbest</t>
  </si>
  <si>
    <t>helpingpeopleget</t>
  </si>
  <si>
    <t>reachyourpersonalgoals</t>
  </si>
  <si>
    <t>mrliamcarter</t>
  </si>
  <si>
    <t>1587325315217188845_27831703</t>
  </si>
  <si>
    <t>Motto for the week. Getting shit done. #keepongoing #nevergiveup #imasurvivor #survivors #emotionalturmoil #ambitiouswomen #strong #fighting #singlewomen #singlemom #priorities</t>
  </si>
  <si>
    <t>priorities</t>
  </si>
  <si>
    <t>emotionalturmoil</t>
  </si>
  <si>
    <t>imasurvivor</t>
  </si>
  <si>
    <t>1587327238364297946_5509071474</t>
  </si>
  <si>
    <t>No filter on this one. Can you see the sweat ring around the. Eco of my shirt? Some people may think that's gross, I think it's a sign of how hard I worked in the gym today. Also those sweat beads on my forehead 😂😂😂😅 don't be ashamed of your body. It is beautiful in every stage of life and through every step of your journey. 💪🏃🏻‍♀️🔥 #weightloss #weightlossjourney #weightlossmotivation #weightlossdiary #weightlossstory #weightlosssupport #weightlossjournal #weightlosscommunity #weightlossblog #weightlossinspiration #workout #workoutmotivation #yougotthis #youcandoit #keepongoing #nevergiveup #sweaty #bodypositive #youarebeautiful</t>
  </si>
  <si>
    <t>weightlossstory</t>
  </si>
  <si>
    <t>8ricki1</t>
  </si>
  <si>
    <t>1587329877999993836_2030672957</t>
  </si>
  <si>
    <t>Halfway through my walk the other day and it decided to rain.  But I didn't let it stop me.  Took a break,  took a few pics then kept on going.  Even got a beautiful rainbow afterwards. :) Never give up!  I GOT THIS! 
#walking #raining #didntgiveup #smallbreak #keepongoing #rainbow #nevergiveup💪 #igotthis</t>
  </si>
  <si>
    <t>raining</t>
  </si>
  <si>
    <t>smallbreak</t>
  </si>
  <si>
    <t>didntgiveup</t>
  </si>
  <si>
    <t>shere_fitmind</t>
  </si>
  <si>
    <t>1587344092933117755_3220292885</t>
  </si>
  <si>
    <t>Loooove this! Look at those colors! Spinach, lettuce, pecans, apples, feta cheese, dried apricots, crispy onions and balsamic vinegar dressing. And a glass of shiraz! Let's EAT!!! #fitmindandbodyinitiative #wellness #dinnertime #joyoffood #nutrition #nevergiveup #consistency #goals #keepongoing # activemind #activelife #exercise</t>
  </si>
  <si>
    <t>joyoffood</t>
  </si>
  <si>
    <t>fitmindandbodyinitiative</t>
  </si>
  <si>
    <t>1587345477757343836_3258706533</t>
  </si>
  <si>
    <t>Loooove this! Look at these colors! Spinach, lettuce, pecans, apples, feta cheese, dried apricots, crispy onions and balsamic vinegar dressing. Let's EAT! #fitmindandbodyinitiative #wellness #dinnertime #joyoffood #nutrition #nevergiveup #consistency #goals #keepongoing # activemind #activelife #exercise #healthylife #healthylifestyle #delicious #salads #instapic</t>
  </si>
  <si>
    <t>West Island</t>
  </si>
  <si>
    <t>cantikbycynthia</t>
  </si>
  <si>
    <t>1587349062855960011_2940651641</t>
  </si>
  <si>
    <t>Off she goes! ❤️🙏😩#ingoodtimesandbad #shesalwaysbemybabygirl #nooneperfect #shepullsherselfup #keepongoing #reachyourdreams #reachyourgoals #mommylovesyou #always#family ❤️</t>
  </si>
  <si>
    <t>ingoodtimesandbad</t>
  </si>
  <si>
    <t>reachyourdreams</t>
  </si>
  <si>
    <t>mike_inthe_nyc</t>
  </si>
  <si>
    <t>1587353433319776874_2393260</t>
  </si>
  <si>
    <t>#samsara #keepongoing #manylives #mymomkeptamazingrecords #1971</t>
  </si>
  <si>
    <t>mymomkeptamazingrecords</t>
  </si>
  <si>
    <t>samsara</t>
  </si>
  <si>
    <t>manylives</t>
  </si>
  <si>
    <t>1971</t>
  </si>
  <si>
    <t>gypsy_soulk</t>
  </si>
  <si>
    <t>1587354423016275406_37844280</t>
  </si>
  <si>
    <t>No matter how many times you fall back or start over,keep on going and don't look back! #pushfoward #keepongoing #goals #inspiration #dontlookback #movingfoward #flex #strengthgains #strongwomen #fitlife #fitmom #fitfam #fitness #postworkout #jillianmichaels #myarmsdontwork #rippedin30 #somanysquats #squats #buildabooty # girlswholift #girlswithtattoos #fitmomsofig</t>
  </si>
  <si>
    <t>myarmsdontwork</t>
  </si>
  <si>
    <t>1587355065172326083_5705167414</t>
  </si>
  <si>
    <t>Sooo..... Kyrie was traded to the Celtics for Isaiah Thomas and others, interesting 👀  #Dubnation
-
-
-
-
-
-
-
-
-
-
-
-
-
-
-
-
-
-
-
-
-
-
-
-
-
-
-
-
-
-
-
-
-
-
-
-
-
-
-
-
 #StephGonnaSteph #Mvp #SC30 #KT11 #DG23 #CURRYMVP #KEEPONGOING #NEVERGIVEUP #WCF #WEST #WESTERNCONFERENCEFINALS #CHAMPS #DUBSFORCHAMPS #DUBS #ALWAYSBELIEVEINGOD #STEPHENCURRY #EVEN #NBA #2016CHAMPS #CHAMPIONS #LOCKIN #STEPH #SPLASH #SPLASHBROS  #like4like #like4follow #follow4follow</t>
  </si>
  <si>
    <t>fabfitme_</t>
  </si>
  <si>
    <t>1587378933733332863_5692387224</t>
  </si>
  <si>
    <t>Because of work, I stopped my daily workouts for a week. But I'm not letting my self fall out of my new habit. #keepongoing #gettingback #newlife // Dejé de venir una semana completa por ocupaciones en el trabajo, pero no dejaré que este nuevo hábito se pierda de nuevo. #nuevavida #nuevocuerpo #habitos #ejercicio #barre</t>
  </si>
  <si>
    <t>ejercicio</t>
  </si>
  <si>
    <t>habitos</t>
  </si>
  <si>
    <t>gettingback</t>
  </si>
  <si>
    <t>nuevavida</t>
  </si>
  <si>
    <t>barre</t>
  </si>
  <si>
    <t>1587379328726207663_4773778225</t>
  </si>
  <si>
    <t>Late night snack🍪 #worldtravelbook #flashesofdelight #art #lake #rainbow #goodafternoonpost #keeponkeepingon #keepongoing #motivation #motivationeveryday #sunset #flowers #architecturephotography #architecture #tagsforlikes #bluesky #likesforlikes #follow #almosttheweekend #smile #happy #morningmotivation #flower #behappy #grateful</t>
  </si>
  <si>
    <t>1587381594901416929_13952143</t>
  </si>
  <si>
    <t>~ Always believe in yourself ~ ➖➖➖➖➖➖➖➖➖➖➖➖➖➖➖➖➖ #keepongoing This was taken on Boxing Day two years ago, after a huge two days of eating and drinking, previous to that I'd just had a relationship of 5 years end badly, I was sad, lonely and depressed, but everyday I got up and ran 10km. It was the only thing that cleared my mind, and If I ever happened to get a girlfriend, or a wife again, I'd never let anyone get in the way of my fitness or my goals. ➖➖➖➖➖➖➖➖➖➖➖➖➖➖➖➖➖ Always be your own inspiration ~ #fit #training #positivity #results #nevergiveup #realtalk #ig #tfl #vtid #fearless #fearlessmotivation #nonmollaremai #andiamoavanti #avanti #cosi #dreambig #fitnessmotivation #trainingday #lean #healthylifestyle #healthy</t>
  </si>
  <si>
    <t>fearless</t>
  </si>
  <si>
    <t>fearlessmotivation</t>
  </si>
  <si>
    <t>ig</t>
  </si>
  <si>
    <t>azuremuse</t>
  </si>
  <si>
    <t>1587391976330925405_350608874</t>
  </si>
  <si>
    <t>❣️</t>
  </si>
  <si>
    <t>unitedwestand</t>
  </si>
  <si>
    <t>feministasfuck</t>
  </si>
  <si>
    <t>tiring</t>
  </si>
  <si>
    <t>whatshappening</t>
  </si>
  <si>
    <t>protest</t>
  </si>
  <si>
    <t>1587392123526546554_1684424176</t>
  </si>
  <si>
    <t>@millionaireimage OilCountry ❤️
@millionaireimage 
___________________________ 
#millionaireimage #doitforyourself #betterme #beyourown #keeponkeepingon #workforwhatyouwant  #marketingmoment #marketingsolutions #encourageyourself #bethechangeyouwanttosee #youvegotthis #oilfieldlife #millionairequotes #inspirationalthoughts #positivepeople #americanbusiness #quoteme #quoteaccount #strategize #seemslegit #youdoyou #inspirationalpost #businessownership #businessisbusiness #keepongoing #selfconfidence #bewhoyouare #bewhatyouwanttobe #socialinfluencers #socialize</t>
  </si>
  <si>
    <t>1587395704438898745_1684424176</t>
  </si>
  <si>
    <t>@talktexasoil 
@millionaireimage 
___________________________ 
#millionaireimage #doitforyourself #betterme #beyourown #keeponkeepingon #workforwhatyouwant  #marketingmoment #marketingsolutions #encourageyourself #bethechangeyouwanttosee #youvegotthis #oilfieldlife #millionairequotes #inspirationalthoughts #positivepeople #americanbusiness #quoteme  #strategize #seemslegit #youdoyou #inspirationalpost #businessownership #businessisbusiness #keepongoing #selfconfidence #bewhoyouare #bewhatyouwanttobe #socialinfluencers #socialize</t>
  </si>
  <si>
    <t>georgiegirl.design.llc</t>
  </si>
  <si>
    <t>1587396484687462780_2023523596</t>
  </si>
  <si>
    <t>You are not too old and it is not too late. #followyourdreams #followyourarrow #keepongoing 
#
#
#handlettering #handletteringpractice #lettering #modernbrushlettering #brushlettering #practice #fastpractice #ipadpro #applepencil #procreate #procreateapp</t>
  </si>
  <si>
    <t>followyourarrow</t>
  </si>
  <si>
    <t>brushlettering</t>
  </si>
  <si>
    <t>myrita_78</t>
  </si>
  <si>
    <t>1587396965951844209_3426035354</t>
  </si>
  <si>
    <t>A journey of a 1000 miles begins with one step #babysteps #onestepatatime #future #keepongoing #vegan #veganheaven #veganhealth #veganlife #positivethinking #goodvibes #Journey #happy #love</t>
  </si>
  <si>
    <t>babysteps</t>
  </si>
  <si>
    <t>mylife_mymistakes_</t>
  </si>
  <si>
    <t>1587407475643150510_493516315</t>
  </si>
  <si>
    <t>Boy, Bye 👋🏼 #goals #selfish #allaboutme #lessons #ilearnedfromthebest #savage #mindingmybusiness #keepongoing #noyoucanthavemynumber #lovesucks #lovehurts #negativity #notimeforbullshit</t>
  </si>
  <si>
    <t>ilearnedfromthebest</t>
  </si>
  <si>
    <t>allaboutme</t>
  </si>
  <si>
    <t>lessons</t>
  </si>
  <si>
    <t>paulinamichaels</t>
  </si>
  <si>
    <t>1587410348573483134_9886962</t>
  </si>
  <si>
    <t>The secret of change is to focus all of your energy, not on fighting the old, but on building the new.
#secretofchange #maninthemirror #changeyourlife #makeachange #newbeginnings #gofullforce #createyourlife #lalaland #hritalent #acting #commercials #onset #caligirls #melrose #blogger #keepongoing</t>
  </si>
  <si>
    <t>makeachange</t>
  </si>
  <si>
    <t>onset</t>
  </si>
  <si>
    <t>createyourlife</t>
  </si>
  <si>
    <t>maninthemirror</t>
  </si>
  <si>
    <t>lalaland</t>
  </si>
  <si>
    <t>jmjstories</t>
  </si>
  <si>
    <t>1587414613938775545_5839090856</t>
  </si>
  <si>
    <t>Finding my own path: series -----------------------------
Being Lost?  Is Something that we do a lot. We get lost in books, in classes, in traffic, we got lost in everything at some point. But it's interesting how we gear up to find what we are looking for. That makes us the most intelligent creatures in Earth. So whenever you feel lost, keep searching for a peep of light. Even if it's a small light. -------------------------------------- -------------------
#photography #portraitphotography #seriesphotography #portait #portraitmode #photographysouls #lost #findthelight #rainbow #keepongoing #motivation #motivationforlife</t>
  </si>
  <si>
    <t>portait</t>
  </si>
  <si>
    <t>portraitmode</t>
  </si>
  <si>
    <t>seriesphotography</t>
  </si>
  <si>
    <t>1587417048547755566_3275305</t>
  </si>
  <si>
    <t>Conversation became texting,
Arguments became phone calls,
Feelings became subliminal messages,
Sex became easy,
Insecurities became a way of thinking,
Trust is hard to come by,
Being hurt became natural and
Leaving became the only option.
Sad but true :)</t>
  </si>
  <si>
    <t>Circular Quay</t>
  </si>
  <si>
    <t>ver247</t>
  </si>
  <si>
    <t>1587426830621527669_1582513184</t>
  </si>
  <si>
    <t>Rough night of Jiujitsu training tonight for both of us. This post workout shake outta take away some of the soreness before tomorrow morning's workout! #teamedgefitness #keepongoing #bettereveryday</t>
  </si>
  <si>
    <t>teamedgefitness</t>
  </si>
  <si>
    <t>bettereveryday</t>
  </si>
  <si>
    <t>jayne.yoga</t>
  </si>
  <si>
    <t>1587430796520014431_4917277416</t>
  </si>
  <si>
    <t>#keepongoing #creative #entrepreneur #photography #vip #motivationalspeaker #conference #lifestyle #freedom #maldives #worldtraveler #outofyourcomfortzone #followme</t>
  </si>
  <si>
    <t>vip</t>
  </si>
  <si>
    <t>conference</t>
  </si>
  <si>
    <t>xxkariannxx</t>
  </si>
  <si>
    <t>1587432397467774692_55038075</t>
  </si>
  <si>
    <t>• Being a leader doesn't require a title; having a title doesn't make you a leader. •
These past couple of days have been pretty crazy at work, and it seems that I always find myself in conflict. Is it because I'm not scared to say what I want to say?
Or is it because I do as I'm told, and end up on the shorter end of the stick? Either way, true leadership roles have been shown, and some that have been leaders that shouldn't be at all. It's interesting to see what certain situations can do to a person and how they handle them. My question for you is: Do you see yourself as a leader? #foodforthought #leadership #leadershipquotes #dontbackdown #standupforwhatsright #fighttheinjustice #becomealeader #makeadifference #keepongoing</t>
  </si>
  <si>
    <t>leadership</t>
  </si>
  <si>
    <t>dontbackdown</t>
  </si>
  <si>
    <t>1587449507016961746_2323098024</t>
  </si>
  <si>
    <t>#legday#squats#gymtime#motivation#keepongoing.</t>
  </si>
  <si>
    <t>pilodam</t>
  </si>
  <si>
    <t>1587451721222656522_178842057</t>
  </si>
  <si>
    <t>Keep on going !! Goal is near #myself #pictureoftheday #fitness #fitnessmotivation #pushharder #gym #fitness #keepongoing #chestworkout</t>
  </si>
  <si>
    <t>gotgreenswellness</t>
  </si>
  <si>
    <t>1587453136841257220_301392866</t>
  </si>
  <si>
    <t>Any lifestyle change is a “work in progress.” Lasting changes take time. So, begin by setting small goals that are easy to add to your daily life. Health, wellness and fitness involve being aware and making healthy choices about diet, exercise, and staying positive. This is the most important investment you can make in your life. Strive for the best health you can have in all areas of your life by making mindful, healthy choices every single day. #forallofus#healthnuts#healthy 
#dailychoices#healthyfood#nourishing#energyfood#earthfoods#natural#wholefoods#vibrantfood#vitality#spirit#hooked#on#plantbased#food#love #greens#drinkyourgreens#eatyourveggies
#poweredbyplant#godismyrock#spiritfilled
#cheerstohealth#youareworthit#keepongoing</t>
  </si>
  <si>
    <t>spirit</t>
  </si>
  <si>
    <t>eatyourveggies</t>
  </si>
  <si>
    <t>wholefoods</t>
  </si>
  <si>
    <t>bsocialpr</t>
  </si>
  <si>
    <t>1587459105361390251_4698236624</t>
  </si>
  <si>
    <t>Just a little late night reminder to keep going forward. .
.
.
.
.
.
#life #lifequotes #dailymotivation #latenightthoughts #motivationalquotes #staystrong #keepongoing #keepontrucking #girlboss #momboss #momlife #momlifeisthebest #loveyourself #socialmedia #newbeginnings #newchapter #future #trustinthejourney</t>
  </si>
  <si>
    <t>gab_soriano_</t>
  </si>
  <si>
    <t>1587468815384727266_214635269</t>
  </si>
  <si>
    <t>Siempre así #keepongoing  #focused  #90dias #musculação  #gym</t>
  </si>
  <si>
    <t>musculação</t>
  </si>
  <si>
    <t>90dias</t>
  </si>
  <si>
    <t>1587472704084399828_179389652</t>
  </si>
  <si>
    <t>Bismillah... Say Hai to Kuza 💃🌹 #redvelvetdrama #astroria104 #dramaepisode #onset🎥🎬 #ilovemyjob❤️ #doingwhatyoulove #keepongoing #dekatdihati💕 #kuza</t>
  </si>
  <si>
    <t>kuza</t>
  </si>
  <si>
    <t>doingwhatyoulove</t>
  </si>
  <si>
    <t>astroria104</t>
  </si>
  <si>
    <t>natacha_lets_connect_</t>
  </si>
  <si>
    <t>1587476715247307183_3973099103</t>
  </si>
  <si>
    <t>Good morning lovely people.
How do u feel?
Start this aWesome dayby affirming it to be great as we have greatness in us.
I love to have a morning jogging at trou aux cerfs because at this time I recognize some people who are constantly doing daily actions again and again to meet their goal. I can see their transformation over a period of time.. I guess they see mine too 😛💪💪💪 . 
Every effort we do daily bring us close to our goal.
Every result we see, encourage us to double our action.
Similarly, business never grows by itself, our effort and daily ones are needed to make it grows.
Nurturing ourselves for better physical results .
Nurturing our business for growth.
What can we do today to bring us closer to our goal?
#goal #nurture #keepongoing</t>
  </si>
  <si>
    <t>Trou-Aux-Cerfs,cuerpipe</t>
  </si>
  <si>
    <t>brandy.robert</t>
  </si>
  <si>
    <t>1587477989586955578_4922880270</t>
  </si>
  <si>
    <t>move you ass#dancing #pleasure #goodfeeling #love #happyness #goodsounds#blues #moving #goodforyou#goodforhealth #keepongoing #</t>
  </si>
  <si>
    <t>blues</t>
  </si>
  <si>
    <t>goodforyou</t>
  </si>
  <si>
    <t>pleasure</t>
  </si>
  <si>
    <t>1587485102856946988_279512262</t>
  </si>
  <si>
    <t>Спустя два месяца вернулась завтракать на кухню. Почти утратила эту привычку, но чисто убранная кухня вернула меня назад. И это приятное чувство. Вокруг тихо, только ветер и вороны. 
Допиваю питерский кофеёк, а завтра уже буду пробовать Мексику от Чёрного.
.
#кофейнаякатерина #coffeeplace #livethedream #citylife #coffee #coffeeart #coffeecup #coffeetime #coffeelover #coffeeaddict #keepongoing #keepcalm #lifeex #livy #livelife #livefolk #livethedream #livealittle #liveauthentic #abmlife #aloha #authentic #abmhappylife #moscow #morning #mood</t>
  </si>
  <si>
    <t>Yugo-Zapadnaya</t>
  </si>
  <si>
    <t>aloha</t>
  </si>
  <si>
    <t>mestradafotografia</t>
  </si>
  <si>
    <t>1587492150478769702_3626706137</t>
  </si>
  <si>
    <t>Dance 💃
#cuu #photographer #photoshoot #dancer #color #alzubra #light #dark #luces #keepongoing #majoestrada</t>
  </si>
  <si>
    <t>luces</t>
  </si>
  <si>
    <t>dark</t>
  </si>
  <si>
    <t>majoestrada</t>
  </si>
  <si>
    <t>glamourismyonlyweapon</t>
  </si>
  <si>
    <t>1587495968880753012_1677204</t>
  </si>
  <si>
    <t>We gather strength from sadness and from pain, each time we die, we learn to live again.  #brave #love #passion #life  #keepongoing</t>
  </si>
  <si>
    <t>brave</t>
  </si>
  <si>
    <t>1587498548974671562_669865665</t>
  </si>
  <si>
    <t>What a good way to begin the day 🏃🏻👌🏻
#running #healthy #happyrunner #perfect #feelingood #happines #ponylegs #lovefreakingrunning #løbetur #frisk #justdoit #earlymorningrun #runnermom #runnerslife #worldrunners #instarunner #runninggirl #workthatass #poweraddict #runner #cardio #sunrise #morningrun #runningismytherapy #keepongoing #runhappy #alwaysrunning</t>
  </si>
  <si>
    <t>Skive, Denmark</t>
  </si>
  <si>
    <t>feelingood</t>
  </si>
  <si>
    <t>løbetur</t>
  </si>
  <si>
    <t>poweraddict</t>
  </si>
  <si>
    <t>1587498746240800273_429150387</t>
  </si>
  <si>
    <t>"Being confident of this very thing, that He who has begun a good work in you will complete it until the day of Jesus Christ"- Philippians: 1 vs 6. God has promised to finish the good work He’s started in your life. Be confident even when it looks like it’s not going to happen, that's faith we got to keep on going no matter how it looks because it all will work out. No matter how long it takes, stay in faith, keep hoping for the best and remember God's timing is always the right time. It shall come to pass. Have a Blessed day, God Bless you all. #WednesdayWisdom #HappyWednesday #Wednesday #Faith #AllThingsWorkTogether #LookToJesus #AllThingsArePossible #TrustGod #KeepOnGoing #DontGiveUp #Truth #Wisdom #SpeakLife #YourWordsMatter #Joy #EnjoyLife #Devotion #Encouragement #Confidence #Strength #GodsTiming #DontGiveUp #NoFear #Victory #YouAreVictorious #Blessed #Hope #StayInFaith #YouAreLoved #JesusLovesYou</t>
  </si>
  <si>
    <t>devotion</t>
  </si>
  <si>
    <t>happywednesday</t>
  </si>
  <si>
    <t>yonixbats</t>
  </si>
  <si>
    <t>1587501846594037543_1531041610</t>
  </si>
  <si>
    <t>The struggle 👆🏼😩 #fitnessgirl #healthyfood #healtylifestyle #moodswing #foodaddict #hungryobsession #foodobsession #challengemyself #weightliftinggirls #gymaholic #gettingstronger #gettingfit #hungerattack #keepongoing #stayhealthy #stayingontrack #difficultyear</t>
  </si>
  <si>
    <t>stayingontrack</t>
  </si>
  <si>
    <t>hungryobsession</t>
  </si>
  <si>
    <t>hungerattack</t>
  </si>
  <si>
    <t>healtylifestyle</t>
  </si>
  <si>
    <t>challengemyself</t>
  </si>
  <si>
    <t>core_in_pilates</t>
  </si>
  <si>
    <t>1587509711394024245_5545848544</t>
  </si>
  <si>
    <t>오늘은 MOTR day👻
우리회원님들이 대기구쓸때보다 MOTR&amp;코렉터 쓸때 더 힘들다하셔서 왠지 뿌듯😝더 괴롭혀드릴께요💪🏻
-
#울산#삼산동#삼산동필라테스#pilates #대기구#MOTR#파워플레이트#스파인코렉터#매트필라테스#울산코어인필라테스#코어인필라테스#득근#fitness #motivation#workout#keepongoing#like4like #instagood</t>
  </si>
  <si>
    <t>코어인필라테스</t>
  </si>
  <si>
    <t>pilates</t>
  </si>
  <si>
    <t>motr</t>
  </si>
  <si>
    <t>울산코어인필라테스</t>
  </si>
  <si>
    <t>1587510192881405096_1979470355</t>
  </si>
  <si>
    <t>No weakness allowed 😨💪 #sweatwithkayla #kaylaitsines #bbg #armsandabs #fitmom #fitness #fitforlife #sweatnowshinelater #fightforit #keepongoing #poweron #nevertooold #nevergiveup #nothingcanstopme #nopainnogain #noexcuses #midweek #earlybird #earlymorning #earlysession #slowprogress #betterthannoprogress</t>
  </si>
  <si>
    <t>sweatnowshinelater</t>
  </si>
  <si>
    <t>betterthannoprogress</t>
  </si>
  <si>
    <t>armsandabs</t>
  </si>
  <si>
    <t>1587513873904047978_3176267654</t>
  </si>
  <si>
    <t>I do naughty nicely. 
#lpfboutique #nailbar #prettynails #igdaily #chromenails #littlemissnaughty #nailstagram #passion #nailsofinstagram #nailpolish #buchareststyle #trending #chrome #instabeauty #instyle #instagrammer #purple #workonyourdreams #naildesign #nails2inspire #nailitdaily #nailsofig #keepongoing #keeponworking #dontsettleforless</t>
  </si>
  <si>
    <t>corrinewarren</t>
  </si>
  <si>
    <t>1587514245510244970_144627796</t>
  </si>
  <si>
    <t>#remake #storydoesmtendhere #semicolontattoo #semicolonproject #keepongoing #depression #anxiety</t>
  </si>
  <si>
    <t>semicolonproject</t>
  </si>
  <si>
    <t>1587514482532211750_5681311432</t>
  </si>
  <si>
    <t>Feeling very happy cause I did awesome on an interview today and got the job!😁🤗🤗 I've been really lagging it when it comes to going to the gym, but tomorrow is another day and I plan on getting on track again💪🏻💪🏻💪🏻 Have a lovely night everyone!!💖
.
.
.
.
.
.
.
.
.
#feelinghappy #happy #selfie #job #jobinterview #newjob #gettingbackontrack #fit #fitness #fitjourney #fitnessmotivation #gymmotivation #gymmotivation #bodypositive #loveyourbody #loveyourself #embraceyourcurves #embracethesquish #honormycurves #instagood #instadaily #keepongoing #dontgiveup</t>
  </si>
  <si>
    <t>jobinterview</t>
  </si>
  <si>
    <t>nate12_45.ig</t>
  </si>
  <si>
    <t>1587516708271330736_3228883206</t>
  </si>
  <si>
    <t>#livelife #staystrong #keepongoing</t>
  </si>
  <si>
    <t>ponceitalia</t>
  </si>
  <si>
    <t>1587519916880441761_264891097</t>
  </si>
  <si>
    <t>Many of us forget about rule #1 and are so hard on ourselves. Be kind to you and your body...myself included. Rules 2-5 are powerful because it reminds that everything that happens to us good or bad are part of lessons which helps us grow. It may not make sense at the time and it might be painful but trust that you will come out of it stronger and better than before. #lifeisbeautiful #lifequotes #keepongoing #onebody #lifelessons #keeplookingforward #dontlookback</t>
  </si>
  <si>
    <t>1587532577966450005_1684424176</t>
  </si>
  <si>
    <t>1587532835059875717_2793189067</t>
  </si>
  <si>
    <t>1587535459789928566_50373203</t>
  </si>
  <si>
    <t>《 MOTIVATION 》
Laat je niet tegenhouden door die cijfers op de weegschaal. Die zeggen niks over hoe jij je voelt. Als er iets is dat ik heb geleerd van Personal Body Plan is om de focus niet te hebben op een streefgewicht maar op mijn doel. Waar mijn doel in eerste instantie was om een X-aantal kg's kwijt te raken, heb ik inmiddels ontdekt dat het veel belangrijker is hoe je je voelt. Lekker in mijn vel zitten, een gezonde(re) levensstijl en regelmatig trainen. Dat maakt dat ik me happy voel. Die kg's komen dan vanzelf wel, of niet. Doe wat werkt voor jou! 
#goodmorning #riseandshine #trainingday #wednesday #gymtime #gym #fitness #gettingfit #gettinghealthy #healthymind #healthybody #workinprogress #stronger #motivation #goals #workforit #nopainnogain #dontgiveup #stayfocused #keepongoing #keepsmiling #positivevibesonly #instamotivation #pbp #personalbodyplan #ditismijnpbp #teamfalcon #offtowork #haveaniceday #bye💋</t>
  </si>
  <si>
    <t>Deventer, Overijssel</t>
  </si>
  <si>
    <t>workforit</t>
  </si>
  <si>
    <t>crissyeliz21</t>
  </si>
  <si>
    <t>1587537122444051554_1439684495</t>
  </si>
  <si>
    <t>#bedtime #sober #26months #god  #keepongoing ❤👏👏👏👏</t>
  </si>
  <si>
    <t>sober</t>
  </si>
  <si>
    <t>bedtime</t>
  </si>
  <si>
    <t>26months</t>
  </si>
  <si>
    <t>i_tussharwagh</t>
  </si>
  <si>
    <t>1587541018400318258_1466432575</t>
  </si>
  <si>
    <t>#let people keep on thinking anything abt u ...don't get distracted
#keep on your work going on #hardwork alwayz pay u good #fruit 😋
#transformationwednesday #tranform #keepongoing #till #your #best#gym #fitness #motivate #yourself 😋💪💪💪</t>
  </si>
  <si>
    <t>tranform</t>
  </si>
  <si>
    <t>lucasheirbaut</t>
  </si>
  <si>
    <t>1587546484340406263_1069758261</t>
  </si>
  <si>
    <t>Dropping the heat tomorrow at 5 pm CET 💥
Artwork done by me 🤷🏽‍♂️
#keepongoing #artwork #negenduusdhonderd #repostedittwice</t>
  </si>
  <si>
    <t>repostedittwice</t>
  </si>
  <si>
    <t>artwork</t>
  </si>
  <si>
    <t>negenduusdhonderd</t>
  </si>
  <si>
    <t>howtowhoreyourself</t>
  </si>
  <si>
    <t>1587549598937779622_4125447790</t>
  </si>
  <si>
    <t>Saw this jacket on a girl walking over Waterloo bridge in the pouring rain ☔️ "Guuuurl- you need to slow down so I can take a picture of that!" She obliged. She didn't understand a word of English, probably thought I was going to rob her but standing still, getting soaked left her confused, happy and v wet. Was it worth the hypothermia...? Time will tell. 🤷🏻‍♀️#happyhumpday kiddies #knowyourworth #keepongoing .
.
.
.
.
.
.
#HTWY #podcast #actorslife #comedianslife #creatives #hoelife #whoringnotboring #actor #comedian #actress #radio #workinggals #grafters #hoesforlife #bustinballs #needcoffee #takingovertheworld #slaying #queen #badass #hoebags</t>
  </si>
  <si>
    <t>workinggals</t>
  </si>
  <si>
    <t>slaying</t>
  </si>
  <si>
    <t>knowyourworth</t>
  </si>
  <si>
    <t>denitsamarkova</t>
  </si>
  <si>
    <t>1587551744418545717_360701290</t>
  </si>
  <si>
    <t>Sometimes, at the end of an adventure there's a surprise, and other times - it's just an exit. But don't give up, it is not the final step you are into but the journey itself. 
So, keep on going, keep on searching, keep on living 😎😊❤🌞🌍
..
.
.
.
.
.
.
.
 #stairs #staircase #hotel #hotelwandl #journey #surprise #adventures #keepitsimple #keepon #keepongoing #vienna🇦🇹 #wien🇦🇹 #austria🇦🇹 #osterreich #österreich #redstairs #spiral #spiralstairs #goingon #stairsteps #goingup #upanddowns</t>
  </si>
  <si>
    <t>Hotel Wandl</t>
  </si>
  <si>
    <t>hotelwandl</t>
  </si>
  <si>
    <t>hotel</t>
  </si>
  <si>
    <t>goingon</t>
  </si>
  <si>
    <t>österreich</t>
  </si>
  <si>
    <t>redstairs</t>
  </si>
  <si>
    <t>unetjie</t>
  </si>
  <si>
    <t>1587555634626023954_1255455847</t>
  </si>
  <si>
    <t>#blessed#newday#keepongoing#🙏🏼</t>
  </si>
  <si>
    <t>🙏</t>
  </si>
  <si>
    <t>1587560468208409975_2075039459</t>
  </si>
  <si>
    <t>xxxtentacion</t>
  </si>
  <si>
    <t>ratkai.amanda</t>
  </si>
  <si>
    <t>1587562288712709617_1629160581</t>
  </si>
  <si>
    <t>Day 1. 💪🏾 5 weeks to come
 #seriously#nomorecake#nomoreturogombi#5weeksdiet#letsdothis#whoswithme #diet#dietfood#protein#fitness#keepongoing#morning#todaybreakfast#healthyfood#ratkaiamanda</t>
  </si>
  <si>
    <t>diet</t>
  </si>
  <si>
    <t>seriously</t>
  </si>
  <si>
    <t>whoswithme</t>
  </si>
  <si>
    <t>dietfood</t>
  </si>
  <si>
    <t>1587563218086311630_2379767060</t>
  </si>
  <si>
    <t>This guy was a legend doing the whole course blind!!! His goggles were duck taped so he couldn't see a thing!! #kravmaga#southend#legend#toughmudder2017#keepongoing#mudrun#warriorstrong</t>
  </si>
  <si>
    <t>warriorstrong</t>
  </si>
  <si>
    <t>legend</t>
  </si>
  <si>
    <t>leelamovement</t>
  </si>
  <si>
    <t>1587567930370080933_4092601490</t>
  </si>
  <si>
    <t>#keepongoing ✨</t>
  </si>
  <si>
    <t>rashmiarun12</t>
  </si>
  <si>
    <t>1587570860653508459_568481926</t>
  </si>
  <si>
    <t>75 mins on bike.. slowly  increasing my time on saddle 
#saddle #biking #cyclinglife #fitmind #fitmom  #keepongoing #ISSA #postworkoutnutrition #dates #berries</t>
  </si>
  <si>
    <t>postworkoutnutrition</t>
  </si>
  <si>
    <t>fitmind</t>
  </si>
  <si>
    <t>berries</t>
  </si>
  <si>
    <t>saddle</t>
  </si>
  <si>
    <t>ianbanham</t>
  </si>
  <si>
    <t>1587575115961260950_508897114</t>
  </si>
  <si>
    <t>W❌RK ❗️N  PR⭕️GRESS | " Progress is impossible without change, and those who cannot change their minds cannot change anything | #structure #progression #wheyprotein #summer #work #fitness #mind #keepongoing #adidas #calvinklein #JoshPT #energy #push #limits #happy #heart #me #body #transformation #gym #gymmotivation #mindovermatter | ❌❗️⭕️</t>
  </si>
  <si>
    <t>push</t>
  </si>
  <si>
    <t>1587575520861913727_5781397138</t>
  </si>
  <si>
    <t>On  Camino
The Camino is like real life with little ups and downs but always beautiful . 
#camino #onthecamino #encamino #caminodesantiago #stjamesway #jakobsweg #galicia #pilgrim with #breastcancer #metastaticcancer under #chemotherapy #keepongoing #neverquit #lifeisbeautiful #keeponmoving #trustyourself</t>
  </si>
  <si>
    <t>shierothegreat</t>
  </si>
  <si>
    <t>1587577666138108655_978393957</t>
  </si>
  <si>
    <t>Either you run the day, or the day runs you. #smile #keepongoing #positivevibes #happiness #asianboy #selfie</t>
  </si>
  <si>
    <t>asianboy</t>
  </si>
  <si>
    <t>1587579370763906464_297558307</t>
  </si>
  <si>
    <t>GM😁🌅Warriors🏹! Day 32/45 summer challenge 2017! Happy Hump🐪Day Y'ALL! Let's push it to the end of the week!!!! Daily 8k🏃🏼‍♀️-Legday🏋🏼‍♀️-Martin Garrix in the decks🎶. #free #fitmom #fitmama #fitgirl #fitness #fitnessaddict #run #runner #running #rundancing #mamaenforma #mamacorriendo #gim #gimnasio #gym #gymgirl #gymlife #gymaddict #gymaholic #keeptrying #keepmoving #keepstrong #keepongoing #myanchor #mypassion #myhappyplace #asics #nike #justdoit</t>
  </si>
  <si>
    <t>gimnasio</t>
  </si>
  <si>
    <t>mamaenforma</t>
  </si>
  <si>
    <t>rundancing</t>
  </si>
  <si>
    <t>bartvbuggenum</t>
  </si>
  <si>
    <t>1587582929345009752_619070400</t>
  </si>
  <si>
    <t>One key to success is to have lunch at the time of the day most people have breakfast.
#keepongoing 
#earlybird 
#stayhumble 
#workhardplayharder 
#truckjunkie
#whoopwhoop 🤘🤘🤘</t>
  </si>
  <si>
    <t>whoopwhoop</t>
  </si>
  <si>
    <t>truckjunkie</t>
  </si>
  <si>
    <t>seth87</t>
  </si>
  <si>
    <t>1587583747150335486_36946608</t>
  </si>
  <si>
    <t>Happy hump day!! Half way there, keep smiling people!! 😁 #Wednesday #humpday #halfwaythrough #justanotherday #smile #keepongoing #laugh #contagious #spreadthelove #smileseverywhere #youcanfindthemanywhere #happiness #keepsmiling</t>
  </si>
  <si>
    <t>halfwaythrough</t>
  </si>
  <si>
    <t>1587585550885092543_5495249433</t>
  </si>
  <si>
    <t>Getting some meal ideas 🥗🍓🥑</t>
  </si>
  <si>
    <t>elliebullen</t>
  </si>
  <si>
    <t>1587586535573983468_2317517565</t>
  </si>
  <si>
    <t>Jeg har fornøjelse af at træne de ansatte på Rice 1 x ugen og det bedste ved det er stemningen. De kommer næste altid med ja-hatten på😅. Stoffer og Sanni kører pænt hårdt her med en burpee to box step over øvelse. Den bider godt fra sig. Altså øvelsen. •••
#mortentillitzdk  #whatwouldbeyoncedo #toldyouso #tropådet #personligtræner #personaltrainer #cycling #Cykling #styrketræning #løb #Svømning #Swim #running #stronger #personligtræner #mitodense #fitfam #ﬁtfamdk #actionequalsresults #handlingskabersucces #helkropstræning #fullbody #SunRiceClubbyMortenTillitzDK #mentalpause #blivved #keepongoing #styrketræning #painfree #smertefri #søvn #sleep #mitodense</t>
  </si>
  <si>
    <t>smertefri</t>
  </si>
  <si>
    <t>dinahossni</t>
  </si>
  <si>
    <t>1587594651416717236_2355033857</t>
  </si>
  <si>
    <t>This is marakech im in love with this city and the people of tou want to go back in time this where you should go morocco #morocco #history #happypeople #art #love #smile #living #mylife #keepongoing #keepgoing #live #life #smile #travel #traveladdict #traveltheworld #stopthehate #stoptheviolence #stopthehatecrimes</t>
  </si>
  <si>
    <t>stopthehate</t>
  </si>
  <si>
    <t>morocco</t>
  </si>
  <si>
    <t>stopthehatecrimes</t>
  </si>
  <si>
    <t>akamaiazul</t>
  </si>
  <si>
    <t>1587595496796308366_782751133</t>
  </si>
  <si>
    <t>@Regrann from @millionaireimage -  @millionaireimage 
___________________________ 
#millionaireimage #doitforyourself #betterme #beyourown #keeponkeepingon #workforwhatyouwant  #marketingmoment #marketingsolutions #encourageyourself #bethechangeyouwanttosee #youvegotthis #oilfieldlife #millionairequotes #inspirationalthoughts #positivepeople #americanbusiness #quoteme  #strategize #seemslegit #youdoyou #inspirationalpost #businessownership #businessisbusiness #keepongoing #selfconfidence #bewhoyouare #bewhatyouwanttobe #socialinfluencers #socialize</t>
  </si>
  <si>
    <t>victormasinda</t>
  </si>
  <si>
    <t>1587599993223929630_321638430</t>
  </si>
  <si>
    <t>Sabali! 
#100whynot #goals #digitalera #keepongoing #patience</t>
  </si>
  <si>
    <t>digitalera</t>
  </si>
  <si>
    <t>100whynot</t>
  </si>
  <si>
    <t>anastasia19972819</t>
  </si>
  <si>
    <t>1587602098598411350_2294418004</t>
  </si>
  <si>
    <t>@Regrann from @paulinamichaels -  The secret of change is to focus all of your energy, not on fighting the old, but on building the new.
#secretofchange #maninthemirror #changeyourlife #makeachange #newbeginnings #gofullforce #createyourlife #lalaland #hritalent #acting #commercials #onset #caligirls #melrose #blogger #keepongoing - #regrann</t>
  </si>
  <si>
    <t>regrann</t>
  </si>
  <si>
    <t>commercials</t>
  </si>
  <si>
    <t>1587607320481211156_1377135044</t>
  </si>
  <si>
    <t>Sometimes you have to give yourself pep talks. Like "Hello. You're a badass woman, don't be sad, you got this and I love you" ☝😗👸 #memyselfdandi#bestself#wellness#keepongoing#dontquit#youvegotthis#this#followme#strongwoman#bossbabes#badass#iloveyou#loveyourself#selflove#selfie#snapchatfilters#moments#smile#photography#lovinglife#happysnaps#humpdayhumor#wednesdaywisdom#love#laugh#live#happyhumpday</t>
  </si>
  <si>
    <t>bossbabes</t>
  </si>
  <si>
    <t>memyselfdandi</t>
  </si>
  <si>
    <t>dublinskyscrapers</t>
  </si>
  <si>
    <t>1587607381181667826_5875047645</t>
  </si>
  <si>
    <t>phibsborough</t>
  </si>
  <si>
    <t>lookaround</t>
  </si>
  <si>
    <t>jasmijnbosboom83</t>
  </si>
  <si>
    <t>1587608507753027760_1593291268</t>
  </si>
  <si>
    <t>Try something different 💥 #leggday #feelitburn#fitgirl #fitchick #gymjunkie #motivationwednesday #legsonfire🔥 #fitnessgoals#gymmotivation #fit #keepongoing</t>
  </si>
  <si>
    <t>legsonfire🔥</t>
  </si>
  <si>
    <t>motivationwednesday</t>
  </si>
  <si>
    <t>feelitburn</t>
  </si>
  <si>
    <t>1587610056157056486_185195397</t>
  </si>
  <si>
    <t>Illuminate the world around you today. When you give to others you give to you! ⭐️❤️Happy Wednesday!
.
.
Check out today's post about an exciting sailing adventure! ⛵️Link in bio 👆
.
.
.
#illuminate #shinebright #givelove #amazingsunrise #rundaily #runhappy #meditatedaily #mindful #mindfullness #choosejoy #chooselove #cakidiehl #clarity #kindnessmatters #compassionmatters #highvibes #highenergy #youaremagnificent #youareloved #youareenough #youareworthit #worththeeffort #positivemindset #bepresent #breatheinbreatheout #makeitcount #joyfullife #appreciatelife #persevere #keepongoing</t>
  </si>
  <si>
    <t>clarity</t>
  </si>
  <si>
    <t>shinebright</t>
  </si>
  <si>
    <t>meditatedaily</t>
  </si>
  <si>
    <t>__c.i.n.d.e.r.e.l.l.a__</t>
  </si>
  <si>
    <t>1587617945031216122_4326641562</t>
  </si>
  <si>
    <t>Never let them stop you.🙋#they #wanna #see #you #do #good #but #never #better #than #them #remember #that. #true #story #goals #setgoals #theywannaseeyoufail #quote #quoteoftheday #lifequotes #goaldigger #staymotivated #dontquit #keepongoing #liveyourlife #staypositive #byebitchbye #ciao</t>
  </si>
  <si>
    <t>do</t>
  </si>
  <si>
    <t>1587619394322067732_429036895</t>
  </si>
  <si>
    <t>Breakfast... the most important meal of the day.. I do not function without a good and nutritious start of the day! Today I took a day of. 
So breakfast is done... now I am of to the gym to hit a morning legday!!! Have a nice day!!</t>
  </si>
  <si>
    <t>julztaribo</t>
  </si>
  <si>
    <t>1587622470054076796_368648036</t>
  </si>
  <si>
    <t>Proud of my team!!! Ain't no mountain high enough, guys!!! #dreambig #nolimits #belarusbasket #nationalteam #fiba #fibawc #wedidit #proud #happy #blessed #keepongoing #basketballneverstops #belarus #myteamrocks #зборнаятваёйкраiны</t>
  </si>
  <si>
    <t>Europe/Minsk</t>
  </si>
  <si>
    <t>nolimits</t>
  </si>
  <si>
    <t>belarus</t>
  </si>
  <si>
    <t>fibawc</t>
  </si>
  <si>
    <t>fiba</t>
  </si>
  <si>
    <t>wedidit</t>
  </si>
  <si>
    <t>1587627036141417888_4802877247</t>
  </si>
  <si>
    <t>È strano, ma ognuno di noi nella propria vita tocca un apice. Una volta raggiunto, non può che scendere. Nessuno però sa dove sia il proprio apice. La linea di confine può presentarsi all’improvviso, quando si crede di essere ancora al sicuro. Nessuno lo sa.
(Haruki Murakami)
_______________________🎢_______________________
.
.
#reachingthetop #trainingforlife #focusingonlife #hiking #purenature #bestrong #keepongoing #sweatandsmile #nomatterwhat #stonestairs  #stairsporn #naturalwalks #naturelovers #sardegnageographic #natural #naturephotography #wildnature #selvatica #igersardegna #sardiniasummer17 #cagliari #cagliarinatura #sardinia #casteddulovers #sardegna #igerscagliari #selladeldiavolo</t>
  </si>
  <si>
    <t>Sardinia</t>
  </si>
  <si>
    <t>casteddulovers</t>
  </si>
  <si>
    <t>naturelovers</t>
  </si>
  <si>
    <t>sardegnageographic</t>
  </si>
  <si>
    <t>selladeldiavolo</t>
  </si>
  <si>
    <t>naturalwalks</t>
  </si>
  <si>
    <t>1587628548808720836_12198462</t>
  </si>
  <si>
    <t>Post workout 💪🏻 oatmeal, skyr, raspberries, banana and almonds 🍚🍌#postworkout #postworkoutmeal #bodybuilder #bodyreconstruction #momlife #fitnok #fitness #fitnessgirl #healthylunch #eatclean #feelgood #workhard #benchpress #triceps #royalcopenhagen #postpartum #shredding #bodygoals #keepongoing #lifewontwait #hardworkanddedication</t>
  </si>
  <si>
    <t>Islands Brygge</t>
  </si>
  <si>
    <t>shredding</t>
  </si>
  <si>
    <t>benchpress</t>
  </si>
  <si>
    <t>postworkout</t>
  </si>
  <si>
    <t>jayjay20091</t>
  </si>
  <si>
    <t>1587638693061367412_382724334</t>
  </si>
  <si>
    <t>#getyourshittogether #getbackup #keepongoing #motivationalquotes love this 👌👌</t>
  </si>
  <si>
    <t>getyourshittogether</t>
  </si>
  <si>
    <t>tritimewomen</t>
  </si>
  <si>
    <t>1587646764772997305_4839607855</t>
  </si>
  <si>
    <t>Es gibt auch schon erste Profidamen, die mit unserem tritime women-Dress durch die Gegend flizzen und total begeistert sind. Gerade düst @kathrin.walther.racing nach ihrer Verletzungspause mit dem Rad bei der @haute_route über die französischen Alpen. Gib Gas, Kathrin!!👍🏻💨</t>
  </si>
  <si>
    <t>alps</t>
  </si>
  <si>
    <t>cyclingapparel</t>
  </si>
  <si>
    <t>racing</t>
  </si>
  <si>
    <t>roadcycling</t>
  </si>
  <si>
    <t>chiaraclairee</t>
  </si>
  <si>
    <t>1587647036454810753_514195508</t>
  </si>
  <si>
    <t>The only way to get what you want is to work for it! 🍽🤘🏽
#healthyfood #lunch #stayhealthy #stayfit #diet #cleanse #fitness #fitnessmotivation #veggies #foodporn #foodography #foodforlife #motivationiskey #motivation #inspired #hardwork #keepongoing #gettingstronger #foodinsta #bonappetit #foodstagram</t>
  </si>
  <si>
    <t>Vicenza, Italy</t>
  </si>
  <si>
    <t>1587658465856312790_5509071474</t>
  </si>
  <si>
    <t>270.9 Lbs down 3.9 Lbs since last week. Besides the scale victory I've been finding my clothes are fitting better if not getting a little too big. So happy to see I'm making progress. 
#weightloss #weightlossjourney #weightlossblog #weightlossdiary #weightlossmotivation #weightlosssupport #weightlossstory #weightlosscommunity #weightlossjournal #weightlossresults #weighinwednesday #yougotthis #nevergiveup #keepongoing</t>
  </si>
  <si>
    <t>weightlossresults</t>
  </si>
  <si>
    <t>haponiuk_anna</t>
  </si>
  <si>
    <t>1587658909966089167_494859113</t>
  </si>
  <si>
    <t>Every entrepreneur goes through picks and valleys. The whole point is being aware of them and just keep on going. #entrepreneurlifestyle #entrepreneur #picksandvalleys #keepongoing</t>
  </si>
  <si>
    <t>Złote Tarasy</t>
  </si>
  <si>
    <t>picksandvalleys</t>
  </si>
  <si>
    <t>entrepreneurlifestyle</t>
  </si>
  <si>
    <t>jessieluii</t>
  </si>
  <si>
    <t>1587660993017057363_178516779</t>
  </si>
  <si>
    <t>老天不給你困難，你又如何看透人心；
老天不給你孤獨，你又如何反思自省；
老天不給你生命中配上君子和小人，你又如何懂得提高智商！
老天對我們每個人都是公平的，
有人讓你哭了，一定會有人讓你笑🙂
感激上天令我這10年路途上都有你在背後✨
#birthday #keepongoing #sweetmoments #lovelycake #tonywong #rose #chocolate #imjustababy #pinkpinkpink #thankyousomuch #bestofthebest #celebrate #afterbirthday #likeforlife #followforfollow #foodie</t>
  </si>
  <si>
    <t>ATUM Restaurant</t>
  </si>
  <si>
    <t>bestofthebest</t>
  </si>
  <si>
    <t>likeforlife</t>
  </si>
  <si>
    <t>afterbirthday</t>
  </si>
  <si>
    <t>sweetmoments</t>
  </si>
  <si>
    <t>janevmirjana</t>
  </si>
  <si>
    <t>1587661654701942511_683327069</t>
  </si>
  <si>
    <t>.old but gold 😸</t>
  </si>
  <si>
    <t>trainerdaria</t>
  </si>
  <si>
    <t>1587666300213633711_277400271</t>
  </si>
  <si>
    <t>Playing "the balance game" here and in real life. It takes a few adjustments, a huge amount of patience and consistency. No matter what, it always ends up working out as long as you keep on trying!
#keepongoing #progress #hardworkpaysoff #balancetraining #oxygenexhale #core #fitmom #instafit #workouteveryday #lifejourney</t>
  </si>
  <si>
    <t>1587668567343463142_981751584</t>
  </si>
  <si>
    <t>Good Morning America ! 
Can't wait to receive another good information from Poland 🇮🇪
••
Dzien dobry Ameryko !
Nie mogę się doczekać kolejnej pozytywnej informacji z Polski 🇵🇱🙏
••
#lawofattratcion #prayforgood
#keepongoing #kotnawyjezdzie
#prawoprzyciagania ••
#polishman #model #abs #fit #thebestshapeever</t>
  </si>
  <si>
    <t>Brooklyn, New York</t>
  </si>
  <si>
    <t>lawofattratcion</t>
  </si>
  <si>
    <t>kotnawyjezdzie</t>
  </si>
  <si>
    <t>erinfarosa</t>
  </si>
  <si>
    <t>1587672398721988305_5484052423</t>
  </si>
  <si>
    <t>Here's to a Feel Good Monday!
#feelgoodmusic #musical #musicmondays #lira #feelgoodmusic #allthingsmusic #lira #coversong #ErinFaro  #singer🎤 #melodies #musicians #passion #purpose #gracegivengift #thegiftwithin #keepongoing #motivateyourself #motivationmondays #yougotthisgirl</t>
  </si>
  <si>
    <t>motivationmondays</t>
  </si>
  <si>
    <t>musical</t>
  </si>
  <si>
    <t>feelgoodmusic</t>
  </si>
  <si>
    <t>lira</t>
  </si>
  <si>
    <t>the_real_bella1</t>
  </si>
  <si>
    <t>1587680060944841596_173703218</t>
  </si>
  <si>
    <t>If you don't have respect for yourself , why would anyone else have it for you .................#love #truth #realtalk #respect #pma #plur #thetruth #respectyourself #realrecovery #relationships #friendships #truthbetold #truth💯 #✌🏻#keepongoing #🤗#🙌🏼</t>
  </si>
  <si>
    <t>pma</t>
  </si>
  <si>
    <t>realrecovery</t>
  </si>
  <si>
    <t>truthbetold</t>
  </si>
  <si>
    <t>relationships</t>
  </si>
  <si>
    <t>emilylin5819</t>
  </si>
  <si>
    <t>1587681793410432636_1664183549</t>
  </si>
  <si>
    <t>#focus #try #keepongoing #mystery #corner #trip #friends #whichway #😩</t>
  </si>
  <si>
    <t>mystery</t>
  </si>
  <si>
    <t>whichway</t>
  </si>
  <si>
    <t>henryedler</t>
  </si>
  <si>
    <t>1587681942399473343_259739690</t>
  </si>
  <si>
    <t>A comfortable life is a stagnant one. .
.
.
#keepongoing
#keepongrowing
#keeponevolving
#challengestatusquo 
#perspectives #perspectivesonlife #comfortzone #nothinggreatevercamefromacomfortzone👌</t>
  </si>
  <si>
    <t>comfortzone</t>
  </si>
  <si>
    <t>challengestatusquo</t>
  </si>
  <si>
    <t>perspectives</t>
  </si>
  <si>
    <t>keeponevolving</t>
  </si>
  <si>
    <t>thriftnet_</t>
  </si>
  <si>
    <t>1587689037719446558_5605076434</t>
  </si>
  <si>
    <t>#dontquit #keepongoing #instagood #instagramer</t>
  </si>
  <si>
    <t>thriftnet</t>
  </si>
  <si>
    <t>ebayreseller</t>
  </si>
  <si>
    <t>stayathomehustler</t>
  </si>
  <si>
    <t>1587692379060737302_5509071474</t>
  </si>
  <si>
    <t>Feeling so good. I like to cherish these moments because for me they don't happen often enough. Recently I've been feeling better. I often focus on the past and what could have been. I'm pushing myself to look forward and what could be. Keep your head up and know that when you need a helping hand there are always family, friends, or even insta family that are more than happy to help you out. 
#weightloss #weightlossjourney #weightlossmotivation #weightlossdiary #weightlossstory #weightlossblog #weightlosssupport #weightlosscommunity #weightlossjournal #weightlossprogress #weightlossfam #instafam #instafamily #nevergiveup #keepgoing #keepongoing #yougotthis #bodypositive</t>
  </si>
  <si>
    <t>instafam</t>
  </si>
  <si>
    <t>weightlossfam</t>
  </si>
  <si>
    <t>weiernwong</t>
  </si>
  <si>
    <t>1587704082603527308_464726046</t>
  </si>
  <si>
    <t>Everyone will be tired, no one can bear all the sorrow for you, people always have to learn to grow their own. #keepongoing</t>
  </si>
  <si>
    <t>1587704494325868196_374977343</t>
  </si>
  <si>
    <t>#mercedesmissions #mercedesbenz #mercedes #sportline #amg #convertible #e320 #124 #suspension #handr #h&amp;r #thebestornothing #lowering #keepitgoing #wheredoyoustop #keepongoing</t>
  </si>
  <si>
    <t>keepitgoing</t>
  </si>
  <si>
    <t>suspension</t>
  </si>
  <si>
    <t>sportline</t>
  </si>
  <si>
    <t>paulosjanuario</t>
  </si>
  <si>
    <t>1587707971186403084_303953779</t>
  </si>
  <si>
    <t>Ótimo começo de dia @vemprabody 🏋🏽‍♀️🚴🏽👊🏽💪🏼🌧☀️#mybirthday #myday #keepongoing #keepmoving #spinning #wednesdaymotivation</t>
  </si>
  <si>
    <t>Academia Body Fitness</t>
  </si>
  <si>
    <t>mybirthday</t>
  </si>
  <si>
    <t>wednesdaymotivation</t>
  </si>
  <si>
    <t>wowmyday.be</t>
  </si>
  <si>
    <t>1587710874490986522_5159315939</t>
  </si>
  <si>
    <t>From the OH to the WOW
Slightly different name - same shout of pure happiness and positive vibes - still making us smile 🌼🌼🌼👌💪🏻😊 #wowmyday #woweverything #wowupyourday #wowupyoursummer #fromtheohtothewow #nameswitch #wow #wildflowers #stillveryhappy #flowerboost #keepongoing #flowersthatmakeyousmile</t>
  </si>
  <si>
    <t>fromtheohtothewow</t>
  </si>
  <si>
    <t>wowmyday</t>
  </si>
  <si>
    <t>nameswitch</t>
  </si>
  <si>
    <t>wow</t>
  </si>
  <si>
    <t>1587713560883768118_1684424176</t>
  </si>
  <si>
    <t>brindeiro</t>
  </si>
  <si>
    <t>1587719092643509304_327845811</t>
  </si>
  <si>
    <t>1587725763390263062_5339165643</t>
  </si>
  <si>
    <t>#youhavetodoit #behapppy #keepongoing #dontgiveup #entrepreneurlife #entrepreneurstyle #entrepreneur #businessman #businesswoman #onlinebusiness #onlinebiz #onlinemarketing #usa #uk #canada #australia #mewzealand #inspirationalquotes #motivationalquotes #sparkleoftheday #successful #success #successmindset</t>
  </si>
  <si>
    <t>onlinemarketing</t>
  </si>
  <si>
    <t>sonja_bausr</t>
  </si>
  <si>
    <t>1587728493823053839_3207677211</t>
  </si>
  <si>
    <t>Fragmented / Zersplittert 🌲🌳🌴🌲🌳🌴🌲🌳🌴 Fernwehhhhhhh kann echt wehtun 😱🙈 #wanderlust hurts..... 🤕 ❤️ © #sonjabausr #mountainlove#mountain #austria#theissenegg#wolfsberg#schlucht#tree#aussicht#vermissdiekälte#sun#sonne#bluesky#behindme#nikon #nikonphotography #lymelife#lymedisease#wood#healing#healthylifestyle#landscape#photography#naturelovers#foto#keepongoing #myart#art#d7100</t>
  </si>
  <si>
    <t>Theissenegg, Kärnten, Austria</t>
  </si>
  <si>
    <t>behindme</t>
  </si>
  <si>
    <t>nikonphotography</t>
  </si>
  <si>
    <t>lymedisease</t>
  </si>
  <si>
    <t>philthyfitnessnyc</t>
  </si>
  <si>
    <t>1587729704667241681_1743945407</t>
  </si>
  <si>
    <t>Not even a year deep...8 months #motivation #keepongoing #offday #fitlife #biceps #arms #fitnessmotivation #queens #nyc #yabuddy #selfie #selfmade #hashtag I just hashtagged "hashtag" #lol #whatsyourexcuse ??? #proud</t>
  </si>
  <si>
    <t>Briarwood, Queens</t>
  </si>
  <si>
    <t>selfmade</t>
  </si>
  <si>
    <t>hashtag</t>
  </si>
  <si>
    <t>lol</t>
  </si>
  <si>
    <t>1587732107986640781_2235956490</t>
  </si>
  <si>
    <t>Positivity is infectious. Try and shine bright today rather than walking around with a dark cloud brewing overhead. 
#positivethinking #positivevibes #positiveenergy #thelawofattraction #behappy❤️ #behappynow #choosejoy #keepongoing #keeponkeepingon #smallsteps #forwardmovement #iamenough #iambeautiful #manifestation #affirmations #bepresent Boss hashtag 
#girlprenuer #designyourlife #beingboss #hustleandgrind #whoruntheworld
#stayinspired
#upliftandinspire
#womenempoweringwomen</t>
  </si>
  <si>
    <t>manifestation</t>
  </si>
  <si>
    <t>upliftandinspire</t>
  </si>
  <si>
    <t>designyourlife</t>
  </si>
  <si>
    <t>forwardmovement</t>
  </si>
  <si>
    <t>reena.k19</t>
  </si>
  <si>
    <t>1587734291457039289_1301826884</t>
  </si>
  <si>
    <t>my 3 months of joy expire so i bake this cake to keep some happy fuel going on... #keepongoing #healthy #cake #homemade #lifestyle #social #food #baking</t>
  </si>
  <si>
    <t>Asia/Kuala_Lumpur</t>
  </si>
  <si>
    <t>1587735180298575446_3207677211</t>
  </si>
  <si>
    <t>Da ist #Sichtfeld im Blickfeld ❤️ #Field of view in the field of #view.... © #sonjabausr #hessen#deutschland #deep#tree#aussicht#vermissdiekälte#sun#sonne#bluesky#behindme#nikon #nikonphotography #lymelife#wanderlust #warrior#wood#healing#landscape#photography#naturelovers#foto#keepongoing #myart#art#d7100#naturelover</t>
  </si>
  <si>
    <t>elleneberg</t>
  </si>
  <si>
    <t>1587737450993603538_202268003</t>
  </si>
  <si>
    <t>Mistakes are the portals of discovery
#keepongoing #failuntilyousucceed #progress</t>
  </si>
  <si>
    <t>Oslo City</t>
  </si>
  <si>
    <t>failuntilyousucceed</t>
  </si>
  <si>
    <t>freedom.preneur</t>
  </si>
  <si>
    <t>1587738532520925952_2301215576</t>
  </si>
  <si>
    <t>Follow @freedom.preneur for top travel content. Photo by @sai693 in #Japan
.
.
.
.
.
.
.
.
#igglobalclub #spiritualgangster #travellifestyle #choosejoy #oceanbreeze #bestvacations #meditationtime #travelgermany #adventureday datview #traveljunkie #travelvideo #magicpict #leaveonlyleaves #spiritualawakening #leaveyourlegacy #yogamen #travelandlife #traveladventures #passionpassport #mytravelgram #keepongoing #travelbook #longtravel #energypro</t>
  </si>
  <si>
    <t>traveljunkie</t>
  </si>
  <si>
    <t>yogamen</t>
  </si>
  <si>
    <t>1587743113580767706_1684424176</t>
  </si>
  <si>
    <t>johnsonkekana</t>
  </si>
  <si>
    <t>1587743454611680320_1364999186</t>
  </si>
  <si>
    <t>I am glad of the knowledge that I have gained by having many experiences in life. #WisdomWednesdays #Wiser #KeepOnGoing</t>
  </si>
  <si>
    <t>wiser</t>
  </si>
  <si>
    <t>wisdomwednesdays</t>
  </si>
  <si>
    <t>rosiurendez</t>
  </si>
  <si>
    <t>1587744675933167289_3350095</t>
  </si>
  <si>
    <t>🖤B A R C E L O N A 🖤 #larambla #barcelona #peace #love #morelovelesshate  #heartbroken #pain #stopterrorism #noterrorism #notincpor #keepongoing #life #lifegoeson #butdifferent</t>
  </si>
  <si>
    <t>notincpor</t>
  </si>
  <si>
    <t>martinfuchs_official</t>
  </si>
  <si>
    <t>1587745684681270175_4916877020</t>
  </si>
  <si>
    <t>Swiss Team in the lead after day 1!💪🇨🇭🐴🇸🇪
#keepongoing #swissteam #clooney51 #nextclasstomorrow</t>
  </si>
  <si>
    <t>Gothenburg 2017 Longines Fei European Championship Sweden</t>
  </si>
  <si>
    <t>swissteam</t>
  </si>
  <si>
    <t>clooney51</t>
  </si>
  <si>
    <t>nextclasstomorrow</t>
  </si>
  <si>
    <t>creative.fit.hungry</t>
  </si>
  <si>
    <t>1587754847262968750_985095502</t>
  </si>
  <si>
    <t>// I AM A ______ // Fill in the blank! You can be what you tell yourself you can and WILL be. Starting the day with positive affirmations helps me stay in track and in a happy mindset (normally) for the whole day.... a bit of ashwaganda in my shakeology probably helps a bit too! 😉
Tell yourself you will be amazing today! 
I know I neeeeeded this today. Hoping it helps you too! 
#inspiration #iamamazing #youareamazing #makeithappen
#inspireyourself #loveyourtribe #youareabadass #momboss #liveyourlife #lifehappens #maketodaycount #positiveselftalk #positivethinking #thinkbig #bigdreams #dreamscometrue #keepongoing #justdoyou</t>
  </si>
  <si>
    <t>youareabadass</t>
  </si>
  <si>
    <t>maketodaycount</t>
  </si>
  <si>
    <t>lifehappens</t>
  </si>
  <si>
    <t>1587757560139461078_1173936063</t>
  </si>
  <si>
    <t>#motivationalquotes #inspirationalquotes #inspiration #dontbreakdown #dontdependonpeople #keepongoing #buildyourselfup #knowyourworth #selfpower #selfcontrol #youarestrong</t>
  </si>
  <si>
    <t>selfcontrol</t>
  </si>
  <si>
    <t>dontdependonpeople</t>
  </si>
  <si>
    <t>desireeacevedo79</t>
  </si>
  <si>
    <t>1587759486575985070_917852082</t>
  </si>
  <si>
    <t>Another beautiful day in the Sunshine State! #ultrabebot #floridarunner #ultrarunner #keepongoing #goodvibes #positiveaf</t>
  </si>
  <si>
    <t>positiveaf</t>
  </si>
  <si>
    <t>floridarunner</t>
  </si>
  <si>
    <t>ultrarunner</t>
  </si>
  <si>
    <t>1587759700945709474_1173936063</t>
  </si>
  <si>
    <t>#motivationalquotes #inspirationalquotes #inspiration #dontbreakdown #dontdependonpeople #keepongoing #buildyourselfup #selfpower #selfcontrol #youarestrong</t>
  </si>
  <si>
    <t>1587761268382253442_1173936063</t>
  </si>
  <si>
    <t>wandering_coffeeholic</t>
  </si>
  <si>
    <t>1587769761865793940_4273443007</t>
  </si>
  <si>
    <t>Inspired by #thepower #rhondabyrne , you can achieve anything you put your mind unto.Believing is always the first step to the impossible.  If you can see it in your mind, you're already on your way. #positivevibes #positivequotes #keepongoing #success #repost #motivationalquotes #motivation #believinginyourself #lifequotes #life</t>
  </si>
  <si>
    <t>thepower</t>
  </si>
  <si>
    <t>1587771906915789923_2536707158</t>
  </si>
  <si>
    <t>circles hate me 😋🌚 #art #artwork #diving #hemlet #vintage #oldschool #illustration #ink #markers #lines #fineliner #sketchbook #drawing #blackink. #artsy #instaartist #artgram #creative #keepongoing #bubbles #sea #penandpaper #vacation #inspired</t>
  </si>
  <si>
    <t>penandpaper</t>
  </si>
  <si>
    <t>instaartist</t>
  </si>
  <si>
    <t>markers</t>
  </si>
  <si>
    <t>harleyyjade</t>
  </si>
  <si>
    <t>1587776377355487213_219827912</t>
  </si>
  <si>
    <t>been a while since I've gone the gym due to a lack of motivation and self-esteem but it's good to be back 😊💖 #gym #gymgear #gymtime #finallybacktoit #motivation #bodypositive #bodyconfidence #selfesteem #happy #keepingfit #keepongoing</t>
  </si>
  <si>
    <t>Leek, Stoke-On-Trent, United Kingdom</t>
  </si>
  <si>
    <t>finallybacktoit</t>
  </si>
  <si>
    <t>denabecker</t>
  </si>
  <si>
    <t>1587778165992265622_2198048676</t>
  </si>
  <si>
    <t>Still not running but trying not to complain, especially when outside my cycle class are these views. #changeisintheair #keepongoing #injuredrunner #runner #fitfam #lakewashington #pnwonderland #getoutside</t>
  </si>
  <si>
    <t>Carillon Point</t>
  </si>
  <si>
    <t>pnwonderland</t>
  </si>
  <si>
    <t>changeisintheair</t>
  </si>
  <si>
    <t>1587786904227624430_4249248273</t>
  </si>
  <si>
    <t>#wednesdaywisdom - this is one hell of an awkward boulder @thecastleclimbingcentre - the next hand hold is right at the top of the route and yes, I'm using my head to keep me on the route.  I tried this the other day and felt so freaked at what I knew I was going to need to pull off that I backed off and abandoned. I won't manage this route until I try again. I won't succeed until I become comfortable with being uncomfortable, none of us will. This applies to life and to climbing. @ehlersdanlosuk #ehlersdanlossyndrome #amputee #bouldering #journey #hijab #muslim #faceyourfears #project #climber #climbing #climbing_is_my_passion #paraclimbing #journey #keepongoing #thisgirlcan #thisgirlcanclimb @thisgirlcanclimbing @thisgirlcanuk #pushyourlimits #believeinyourself #yesican #courage #struggle #striveforgreatness #growth #goals #intentions #justdoit #letsdothis #noboundaries #outofmycomfortzone thanks @gemlaurensmith for the shot :)</t>
  </si>
  <si>
    <t>struggle</t>
  </si>
  <si>
    <t>1587789742489888168_52407692</t>
  </si>
  <si>
    <t>四週年快樂❤👫
本身今日我地兩個都特登請假plan好左去NP360同大澳之後再去尖沙咀cafe dinner. 點知幾日前睇到新聞話今日會打風😣 而今日都真係打十號😢 唯有postpone NP360大澳之旅🙆🙆 cafe夜晚都無開 最後食左想試好耐嘅殿大喜屋💓 好好味啊!! 😋😋😋😋
多謝您手畫的卡 畫功有90分!!! 最愛花心思弄的東西😚 期待後補的户外之旅!! #royandkrystal</t>
  </si>
  <si>
    <t>4thanniversary</t>
  </si>
  <si>
    <t>chumaijai</t>
  </si>
  <si>
    <t>support</t>
  </si>
  <si>
    <t>tafikay</t>
  </si>
  <si>
    <t>1587790487054345459_1262827993</t>
  </si>
  <si>
    <t>Hard work, finally starting to see some results 💪 #fitness #gym #4months #keepongoing #lifestyle #lifestylefitness #nike</t>
  </si>
  <si>
    <t>4months</t>
  </si>
  <si>
    <t>lifestylefitness</t>
  </si>
  <si>
    <t>recetassaludables7</t>
  </si>
  <si>
    <t>1587791849741777298_5869287963</t>
  </si>
  <si>
    <t>Hoy ha llegado pedidaco!😍😍😍
Gracias @mybodygenius !!
#bodybuilding #fitboy #delicious #peanutbutter #proteincrunch #fit #mybodygenius #tasty #keepongoing</t>
  </si>
  <si>
    <t>proteincrunch</t>
  </si>
  <si>
    <t>peanutbutter</t>
  </si>
  <si>
    <t>tasty</t>
  </si>
  <si>
    <t>1587792240968651259_1684424176</t>
  </si>
  <si>
    <t>feels_like_the_end</t>
  </si>
  <si>
    <t>1587792748077144701_2067255280</t>
  </si>
  <si>
    <t>#keepongoing #buthow #beornottobe #tired #on #everything #justletitbe #letitbe</t>
  </si>
  <si>
    <t>beornottobe</t>
  </si>
  <si>
    <t>letitbe</t>
  </si>
  <si>
    <t>ryan.saladin.photo</t>
  </si>
  <si>
    <t>1587796299478984854_3693965586</t>
  </si>
  <si>
    <t>#nowordsneeded #success #penguin #zoo #flight #dontstop #keepongoing #doesntcare #salagraphy #ryanize</t>
  </si>
  <si>
    <t>Zürich, Switzerland</t>
  </si>
  <si>
    <t>ryanize</t>
  </si>
  <si>
    <t>zoo</t>
  </si>
  <si>
    <t>doesntcare</t>
  </si>
  <si>
    <t>cristinacollo</t>
  </si>
  <si>
    <t>1587799774541796468_462502969</t>
  </si>
  <si>
    <t>Día 2: 📍Tríacastela - Sarria - Barbadelo (29 km) 🌾👣
#camminodisantiago#peregrino#spain#galizia#keepongoing#landscape#walking#hola#mytravelgram#travel#trip#TFLers#ig_spain#view#europe#world#sunnyday#discover#backpacking#love#green#church#nature#likealways#like4like#photooftheday#bestoftheday#tour#tbt#paracomer?</t>
  </si>
  <si>
    <t>Barbadelo, Galicia, Spain</t>
  </si>
  <si>
    <t>likealways</t>
  </si>
  <si>
    <t>1587802429017519858_5781397138</t>
  </si>
  <si>
    <t>Buen Camino everyone .
. 
#camino #onthecamino #encamino #caminodesantiago #stjamesway #jakobsweg #galicia #pilgrim with #breastcancer #metastaticcancer under #chemotherapy #keepongoing #neverquit #lifeisbeautiful #keeponmoving #trustyourself</t>
  </si>
  <si>
    <t>1587804569218462745_4227693236</t>
  </si>
  <si>
    <t>Cardio time! 🍑 @sommerray</t>
  </si>
  <si>
    <t>michaelraypfeifer</t>
  </si>
  <si>
    <t>1587804733735886543_1457964092</t>
  </si>
  <si>
    <t>My morning ride. #lifesadventures #keepongoing #bike #bikeride #bikelife</t>
  </si>
  <si>
    <t>bikelife</t>
  </si>
  <si>
    <t>lifesadventures</t>
  </si>
  <si>
    <t>bikeride</t>
  </si>
  <si>
    <t>annlutz</t>
  </si>
  <si>
    <t>1587809183012362524_191120306</t>
  </si>
  <si>
    <t>Baby steps...baby steps...onward  I go, slowly but surely.
#keepongoing #orange #orangetheoryfitness #exercise #workout #amazing #day</t>
  </si>
  <si>
    <t>Orangetheory Fitness Savannah</t>
  </si>
  <si>
    <t>orangetheoryfitness</t>
  </si>
  <si>
    <t>orange</t>
  </si>
  <si>
    <t>jessiee.day</t>
  </si>
  <si>
    <t>1587815334966313166_4834418509</t>
  </si>
  <si>
    <t>I haven't felt this tired in a long time.. Sometimes life wants to test and see how strong you really are but with the family and friends that we have around us, I feel like I can handle anything.. Im hoping on good days to follow.. ❤💪
_______________________________________
#stressfultimes #stress #keepongoing #keephoping #staystrong #keeponmoving #staypositive #stayhopeful #difficulttimes #keeponsmiling #family #friends #nothingcanstopme #nothingcanstopus #positivevibes #positivity #makeup #simplemakeup #brows #eyeliner #lashes #makeupismytherapy #hopeyouhaveanamazingday</t>
  </si>
  <si>
    <t>makeupismytherapy</t>
  </si>
  <si>
    <t>brows</t>
  </si>
  <si>
    <t>ivan_esteban</t>
  </si>
  <si>
    <t>1587815547684212985_1497368437</t>
  </si>
  <si>
    <t>Despertar temprano, ejercicio y en camino a ti! 😃😊🐶
La serena 🌴☀️
#morning #trip #waitingfor #missu #sport #jog #excersice #workout #motivacion #laserena #enjoy #selfie #happy #piercing #keepongoing</t>
  </si>
  <si>
    <t>Jardin del Mar - SPA &amp; Enjoy</t>
  </si>
  <si>
    <t>missu</t>
  </si>
  <si>
    <t>laserena</t>
  </si>
  <si>
    <t>9luzelena</t>
  </si>
  <si>
    <t>1587815727091693244_302559758</t>
  </si>
  <si>
    <t>Goooood Morning Friends and family 🌻☀️ #happyhumpday feeling great after yesterday's #workout what ahhhmazing!!! Let's fuck shit up today 👊🏼#sisepuede #dontgiveup #keepongoing #areweawake #happywednesday #ineedcoffee #aspiretoinspire #empoweringwomen</t>
  </si>
  <si>
    <t>ineedcoffee</t>
  </si>
  <si>
    <t>sisepuede</t>
  </si>
  <si>
    <t>aspiretoinspire</t>
  </si>
  <si>
    <t>metalangeltapahtuma</t>
  </si>
  <si>
    <t>1587817428174506044_2040348284</t>
  </si>
  <si>
    <t>#Repost @psychobabydollgirl (@get_repost)
・・・
Some.. mikä ihana paikka. yleensä annetaan itsestään se meikattu puoli näytille,on highligt huipussaan,vähä peitevoiteit ja countourii. vähemmän näkee niitä kuvia missä ei ole mitään. Must se kauneus tulee sisältä ja sitä voi tehostaa meikkaamalla, sillä voi tuoda niitä omia piirteitään esille,niillä saa persoonallisuutta näkyviin enemmän. Mä oon paininu itsetunnon kanssa helvetin kauan ja uskallan alkaa sanomaa et nyt se alkaa olemaan kunnossa. Meillä jokaisella on niitä päiviä kun oma turpavärkki ei miellytä,mut niin on jokasella meillä. Mut silti sä olet kaunis sellaisena kun oot,just sinä kuka luet tätä tekstiä. Arvosta itseäsi ja anna itelles aikaa. Helli ittees ja rakasta itseäs💜 ihan siksi että kun sulla on hyvä olla,se näkyy ulospäin. Sä hehkut ja hymyilet sillon ja hymy on kauneinta mitä voi olla ❤ aina ei tarvii peittää kaikkea ja aina ei tarvii näyttää hehkältä. Tää perkeleen puolivuotinen hieman saattaa aiheuttaa jo pieniä elämisen merkkejä hetkellisesti. Kasvattaa ja opettaa mut myös uskallan sanoa että väsyttää. #keepongoing #nevergivup #almousthere #nevergobackwards #youarestrong #loveyourself #metalangel #metalangelsemifinalisti13</t>
  </si>
  <si>
    <t>metalangel</t>
  </si>
  <si>
    <t>nevergobackwards</t>
  </si>
  <si>
    <t>ale.ferra.ale</t>
  </si>
  <si>
    <t>1587817869431839499_183845423</t>
  </si>
  <si>
    <t>La malinconia ha onde come il mare,
Ti fa andare e poi tornare 
Ti culla dolcemente
La malinconia si balla come un lento 
La puoi stringere in silenzio 
E sentire tutto dentro 
È sentirsi vicini e anche lontani 
È viaggiare stando fermi 
È vivere altre vite
È sentirsi in volo dentro agli aeroplani
Sulle navi illuminate
Sui treni che vedi passare
Alla luce calda e rossa di un tramonto 
Di un giorno ferito che non vuole morire mai. 🌻🌅 #me #sunset #tramontisfusi #lamiamalinconiaètuttacolpatua #quote #latergram #conceptual #bestoftheday #missingthosedays #keepongoing #vacanzefinite</t>
  </si>
  <si>
    <t>tramontisfusi</t>
  </si>
  <si>
    <t>lamiamalinconiaètuttacolpatua</t>
  </si>
  <si>
    <t>missingthosedays</t>
  </si>
  <si>
    <t>dyninno_moldova</t>
  </si>
  <si>
    <t>1587818978095520554_4589996744</t>
  </si>
  <si>
    <t>Top performers. Eagles Team💪#goodjob #welldone #keepongoing #youarethebest #dyninnofamily #dyninnomoldova</t>
  </si>
  <si>
    <t>Chisinau, Moldova</t>
  </si>
  <si>
    <t>MOLDOVA, REPUBLIC OF</t>
  </si>
  <si>
    <t>goodjob</t>
  </si>
  <si>
    <t>youarethebest</t>
  </si>
  <si>
    <t>dyninnofamily</t>
  </si>
  <si>
    <t>dyninnomoldova</t>
  </si>
  <si>
    <t>welldone</t>
  </si>
  <si>
    <t>1587819957834541183_1584949428</t>
  </si>
  <si>
    <t>Фото в самом начале отдыха в Сагаро ... теперь чтобы вернуться в форму - нужен новый отпуск 😂🙈 #keepongoing #ревизорромосква #ревизорромитрофанова #powerofnow</t>
  </si>
  <si>
    <t>Aeropuerto de Barcelona (BCN)</t>
  </si>
  <si>
    <t>jacques89naude</t>
  </si>
  <si>
    <t>1587823080805733193_252866588</t>
  </si>
  <si>
    <t>Take a moment, look back at how far you've come and smile 
#Happy #Life #Progress #KeepOnGoing</t>
  </si>
  <si>
    <t>funkydivazen</t>
  </si>
  <si>
    <t>1587824114122815018_3530882892</t>
  </si>
  <si>
    <t>Okay, this badboy is starting to turn in to something now ✍🏻🦄 #creativeprocess #creativemind #mandala #mandalaart #zen #zenart #zentimes #bright #gettingbetter #newartist #keepongoing #touchedbyourownart</t>
  </si>
  <si>
    <t>zentimes</t>
  </si>
  <si>
    <t>zenart</t>
  </si>
  <si>
    <t>zen</t>
  </si>
  <si>
    <t>mandalaart</t>
  </si>
  <si>
    <t>jwatchman</t>
  </si>
  <si>
    <t>1587831379370288599_967825103</t>
  </si>
  <si>
    <t>☀️🍻🏝#unacervezaporfavor #beachtime #keepongoing #loveithere #sitges</t>
  </si>
  <si>
    <t>Sitges Platja</t>
  </si>
  <si>
    <t>loveithere</t>
  </si>
  <si>
    <t>unacervezaporfavor</t>
  </si>
  <si>
    <t>sitges</t>
  </si>
  <si>
    <t>beachtime</t>
  </si>
  <si>
    <t>1587832716279540440_2317517565</t>
  </si>
  <si>
    <t>Var til møde hos @ptpartnerdk i dag for at snakke om, hvad fremtiden skal bringe i MortenTillitz.dk. Jeg skal ud at holde flere foredrag, ansætte min første træner og andre spændende ting.  Det er virkelig spændende, for jeg synes efterhånden, at jeg er blevet en ret så fremragende coach / træner. Til gengæld er jeg ret så meget på bar bund, når det kommer til brand value proposition og andre strategiske værktøjer. Det er fedt. Jeg glæder mig som en lille dreng dagen før juleaften. •••
#mortentillitzdk  #whatwouldbeyoncedo #toldyouso #tropådet #personligtræner #personaltrainer #cycling #Cykling #styrketræning #løb #Svømning #Swim #running #stronger #personligtræner #mitodense #fitfam #ﬁtfamdk #actionequalsresults #handlingskabersucces #helkropstræning #fullbody #SunRiceClubbyMortenTillitzDK #mentalpause #blivved #keepongoing #styrketræning #painfree #smertefri #søvn #sleep #mitodense</t>
  </si>
  <si>
    <t>Indre Nørrebro</t>
  </si>
  <si>
    <t>1587832896977395157_4773778225</t>
  </si>
  <si>
    <t>🌞#worldtravelbook #flashesofdelight #art #lake #rainbow #goodafternoonpost #keeponkeepingon #keepongoing #motivation #motivationeveryday #sunset #flowers #architecturephotography #architecture #tagsforlikes #bluesky #likesforlikes #follow #almosttheweekend #smile #happy #morningmotivation #flower #behappy #grateful</t>
  </si>
  <si>
    <t>Phi Phi Islands</t>
  </si>
  <si>
    <t>1587843250692277915_5705167414</t>
  </si>
  <si>
    <t>Sorry for not posting all day, to make it up, here's a pic of a GOAT 🐐  #Dubnation
-
-
-
-
-
-
-
-
-
-
-
-
-
-
-
-
-
-
-
-
-
-
-
-
-
-
-
-
-
-
-
-
-
-
-
-
-
-
-
-
 #StephGonnaSteph #Mvp #SC30 #KT11 #DG23 #CURRYMVP #KEEPONGOING #NEVERGIVEUP #WCF #WEST #WESTERNCONFERENCEFINALS #CHAMPS #DUBSFORCHAMPS #DUBS #ALWAYSBELIEVEINGOD #STEPHENCURRY #EVEN #NBA #2016CHAMPS #CHAMPIONS #LOCKIN #STEPH #SPLASH #SPLASHBROS  #like4like #like4follow #follow4follow</t>
  </si>
  <si>
    <t>1587843628012093568_2948851283</t>
  </si>
  <si>
    <t>About 18-20h fineArt. I think it's finished now✨ I loved to draw on it♡
#finished #newone #fineliner #black #blackandwhite #fineArt #many #details #myArt #loveit #specialone #workforit #keepongoing #mypassion #meditating #work #blackstyle #diadelosmuertos #pencilwork #acrylic #mix #blackphotography #creativevibes #creativesoul #letitflow</t>
  </si>
  <si>
    <t>blackstyle</t>
  </si>
  <si>
    <t>meditating</t>
  </si>
  <si>
    <t>acrylic</t>
  </si>
  <si>
    <t>loveridge83baby</t>
  </si>
  <si>
    <t>1587845045804061851_248132220</t>
  </si>
  <si>
    <t>#wisdomwednsday #takeheed #keepongoing #weonlydieonce</t>
  </si>
  <si>
    <t>takeheed</t>
  </si>
  <si>
    <t>weonlydieonce</t>
  </si>
  <si>
    <t>wisdomwednsday</t>
  </si>
  <si>
    <t>virgin.active_</t>
  </si>
  <si>
    <t>1587848232560553021_1791142168</t>
  </si>
  <si>
    <t>Nail polish ↔ weight lifting.
•
#red #nailpolish #weightlifting #girls #femme #abs #gym #training #workoutmotivation #workouttime #fitnessmotivation #fitnessmodel #fitness #muscles #passion #keepongoing #motivation #styleoftheday #shot</t>
  </si>
  <si>
    <t>femme</t>
  </si>
  <si>
    <t>mlindh78</t>
  </si>
  <si>
    <t>1587849198862542992_39144816</t>
  </si>
  <si>
    <t>Yass! You ARE your only limit!
#word #quoteoftheday #energized 
#believe #dontgiveup #keepongoing 
#youareyouronlylimit #humannature 
#surroundedbyidiots #emptysoul 
#needtobeego #enoughisenough</t>
  </si>
  <si>
    <t>humannature</t>
  </si>
  <si>
    <t>enoughisenough</t>
  </si>
  <si>
    <t>emptysoul</t>
  </si>
  <si>
    <t>1587850811260637667_2813503554</t>
  </si>
  <si>
    <t>Heute war #backday und ich habe wieder gut rein gehauen. Momentan stagniert der gewichtsverlust zwar aber ich geb weiter Gas. 👍
#fitfam #fitnesslifestyle #fitnessmotivation #gymlife #keepongoing #bodybuilding #muscle  #strong #trainhard #notadream #nopainnogain #noexcuses #nevergiveup</t>
  </si>
  <si>
    <t>notadream</t>
  </si>
  <si>
    <t>tigereyehair</t>
  </si>
  <si>
    <t>1587851563123107213_1166241587</t>
  </si>
  <si>
    <t>Much gratitude and love for the support ! Our goal with our IG is to inspire people , make them laugh , and give them a small glimpse into the @tigereyehair culture . Life is short , have fun , love each other and look good doing it . #gratitude #livehair #love #appreciation #supportsmallbusiness #hair #hairsalon #barbershop #sandiego #goldenhill #haireducation #keepongoing #believeinthedream #loveeachother #lovepeaceandhairgrease</t>
  </si>
  <si>
    <t>Tiger Eye Hair</t>
  </si>
  <si>
    <t>goldenhill</t>
  </si>
  <si>
    <t>believeinthedream</t>
  </si>
  <si>
    <t>barbershop</t>
  </si>
  <si>
    <t>loveeachother</t>
  </si>
  <si>
    <t>cosmic_luck</t>
  </si>
  <si>
    <t>1587852386540747304_241038841</t>
  </si>
  <si>
    <t>Even on the toughest days it's still important to smile #smile #keepongoing #wontkeepmedown #goodvibes #beautiful #lifeisbeautiful #pink #brunette #igotthis #loveyourself #tattooedmom #tattedfemales #greeneyes #makeup #onpoint</t>
  </si>
  <si>
    <t>greeneyes</t>
  </si>
  <si>
    <t>onpoint</t>
  </si>
  <si>
    <t>dennisalbuquerque</t>
  </si>
  <si>
    <t>1587854375899071860_203158872</t>
  </si>
  <si>
    <t>#keepongoing #love</t>
  </si>
  <si>
    <t>Oviedo, Asturias</t>
  </si>
  <si>
    <t>maycunningham</t>
  </si>
  <si>
    <t>1587861289328280168_289262</t>
  </si>
  <si>
    <t>Couldn't agree more. (📷: @theactorscentre_official) Some people think acting is all about the limelight and being centre stage. The applause and adulation - and for some I suppose it is. 
For me, its serving the audience. There's a reason people love films and theatre shows. A reason why they will continue to do so until the end of time. It's cathartic. It's freeing. It's exciting. It helps people relax, feel less alone, feel understood.  Feel like they're part of something
And that's all we want. To be part of some special, right? ✊ Keep on acting my fellow actors. .
.
.
#actorslife #acting #actress #actor #keepongoing #filmmaking #theatre #film #director #producer #writer #quote #inspiration #davidoyelowo</t>
  </si>
  <si>
    <t>acting</t>
  </si>
  <si>
    <t>director</t>
  </si>
  <si>
    <t>theatre</t>
  </si>
  <si>
    <t>vandanakonsam</t>
  </si>
  <si>
    <t>1587863274291756454_4508718034</t>
  </si>
  <si>
    <t>Life's so hard and hectic with a little baby around but when I see her smile..everything's worth it!so carry on ..This shall pass too.
#Mommynlilgal#selfietime#itsworth#keepongoing#carryon#happybaby#lilshanaya#ourlilangel#oursunshine#</t>
  </si>
  <si>
    <t>happybaby</t>
  </si>
  <si>
    <t>mommynlilgal</t>
  </si>
  <si>
    <t>ourlilangel</t>
  </si>
  <si>
    <t>jjfitisfun</t>
  </si>
  <si>
    <t>1587863513617988427_1462210184</t>
  </si>
  <si>
    <t>Keep on keeping on because it is GOOD, and it's supposed to be HARD so we don't forget to remember who we are and where our strength comes from! 
So maybe it's when you are setting the alarm for that early workout. Or cleaning up after cooking a healthy meal for your family. Or maybe it's going to that counseling appointment knowing there are going to be some hard conversations. Or perhaps it's choosing to step back into the doors of a church even though you were hurt deeply there. Or maybe it's apologizing to someone you hurt, even if they hurt you first. 
The HARD things are too many to count, but you know what they are for you. 
But Keep doing them. Because doing the hard things lead to growth and maturity and they don't  come to everyone nor do they come without a cost. 
But keep on keeping on brothers &amp; sisters, because there is much JOY in the journey, maybe NOT today, but soon and very soon. 
It's worth doing the HARD things that are GOOD because we are in a better position to share our stories with others and they help us love them better!  So keep it up and praise God every step along the way! 
Just a thought from my HARD thing today! #healthyhabits #healthylifestyle #faithmuscles #fitnessinspiration #faithinfitness #bestronginthelord #stronginweakness #keepongoing #dontstopwhatisgood #itshardbutworthit #keepdoingwhatisgood #itssupposedtobehard #perspectiveshift #perserverancebuildscharacter #kingdomminded #fitmomof3 #fitmomover40</t>
  </si>
  <si>
    <t>bestronginthelord</t>
  </si>
  <si>
    <t>stronginweakness</t>
  </si>
  <si>
    <t>faithinfitness</t>
  </si>
  <si>
    <t>fitmomof3</t>
  </si>
  <si>
    <t>kingdomminded</t>
  </si>
  <si>
    <t>c.a.r.o.d</t>
  </si>
  <si>
    <t>1587863605054592527_3998466012</t>
  </si>
  <si>
    <t>🎶 New rules - Dua Lipa
#plandebaix #trekk #randonnee #keepongoing #day5 #fast #fasting #jeûne #discover #vercor #rhonealpes #france #instagram #instatrekk #instarandonnee #instanature #nature</t>
  </si>
  <si>
    <t>fasting</t>
  </si>
  <si>
    <t>jeûne</t>
  </si>
  <si>
    <t>rhonealpes</t>
  </si>
  <si>
    <t>vercor</t>
  </si>
  <si>
    <t>1587871173543174361_50373203</t>
  </si>
  <si>
    <t>《 OFF DAYS = GAAN 》 
Vandaag even een off-day, dat ik eigenlijk geen zin heb in trainen of gezond eten. Maar als ik beiden laat schieten, heb ik alleen mezelf er mee en baal ik morgen des te maar. Dus heb mezelf een schop gegeven, kop op, gewoon gaan trainen!! Op naar de overhead-squats en deadlifts. 🏋
#motivation #stayfocused #keepongoing #trustyourself #enjoytheride #dontgiveup #doyoursquats #workout #trainingday #workout #goals #fitjourney #gettingfit #gettinghealthy #stronger #weightlifting #nopainnogain #burnburnburn #workworkwork #pbp #personalbodyplan #ditismijnpbp #ditisperfect #gymtime #bye💋</t>
  </si>
  <si>
    <t>missanci1</t>
  </si>
  <si>
    <t>1587879559533315183_5890350039</t>
  </si>
  <si>
    <t>So true 💪 #motivation #stayfit #keepongoing #swimmingisfun</t>
  </si>
  <si>
    <t>swimmingisfun</t>
  </si>
  <si>
    <t>1587879563274048782_425877607</t>
  </si>
  <si>
    <t>Work that booty 😳😁💪😂😬👌🏋🏻‍♀️ #hardworkpaysoff #nevergiveup #lovethis #workinprogress #workbitch #youbetterwork #keepyourheadup #keepongoing #keepmovingforward #keepmoving #worklifebalance #workouttime #workoutmotivation #icandothis #iamstilllearning #iamdoingit #gym #gymmotivation #fitness #fitbitdublin #fitness #fit #ladies #fighter #losingweight #endorphins #proud</t>
  </si>
  <si>
    <t>West Wood Gym</t>
  </si>
  <si>
    <t>worklifebalance</t>
  </si>
  <si>
    <t>soniadutta_tvradio</t>
  </si>
  <si>
    <t>1587889297724660050_206226910</t>
  </si>
  <si>
    <t>ROAR if you're a WarriROARRR!! 👊💪👏👏👏 #Courage #Strength #Wisdom and the #Power #KeepOnGoing #Warrior #lawofattraction #wealth #mind #abundance #consciousness #positive #knowledge #power #spiritual #love #karma #prosperity #energy #universe #universe #staypositive #believe #higherlearning #goodtimes #loa #manifest #Affirmations #quantumphysics #love #Life
Repost from @house.of.leaders</t>
  </si>
  <si>
    <t>1587890203770958090_40619315</t>
  </si>
  <si>
    <t>Huhhhh, meine Fresse... was ein Lauf 😅 erst 1,5 km entspannt eingelaufen, dann auf 3 km HIIT probiert und sehr zufrieden mit der Abwechslung 😉 und dann noch mal 2,5 km gemütlich auslaufen 👌🏼 #keepongoing #nevergiveup
.
.
.
#natur #naturliebe #laufen #laufenmachtglücklich #happiness #germering #abnehmen2017 #weightlossjourney #running #runninggirl #laufenfürdieseele #sommerabend #fitfam #runtastic #runtasticpro #runtasticgirl #fürmehrrealitätaufinstagram #motivation #afterrunselfie #hiit #hiitrun</t>
  </si>
  <si>
    <t>naturliebe</t>
  </si>
  <si>
    <t>1587891735504477005_4520028849</t>
  </si>
  <si>
    <t>Don't forget to get your water goal met!! Shoppingwithjacquie.agnesanddora.com
https://www.facebook.com/groups/shoppingwithjacquie/
#agnesanddora #capri #abettermewithaandd #ilovefall #iloveaandd #leggings #lularoe #healthyliving #faith #swing #pullover #ohioboutique #positivevibes #unstoppable #icandothis #nanalife #onlineshopping  #keepongoing #powerinprayer #success #ilovedisney #beachlife #skirt #tank #dress #fisher #joplin #godiva #happywife #happylife</t>
  </si>
  <si>
    <t>tank</t>
  </si>
  <si>
    <t>ohioboutique</t>
  </si>
  <si>
    <t>nanalife</t>
  </si>
  <si>
    <t>monicaautet</t>
  </si>
  <si>
    <t>1587891994184056211_258251351</t>
  </si>
  <si>
    <t>Ahir vaig tornar a La Rambla. Feia mesos que no hi passejava. I em vaig sentir amb força de baixar-la fins al mosaic de Miró. Va ser impressionant veure la reacció d' amor, solidaritat i em vaig sentir orgullosa de Barcelona i de la seva gent. 
I vaig fer una cosa que no havia fet mai: esmorzar a l' @escriba1906 de la Rambla. Perquè hem de seguir endavant i no tenim por.</t>
  </si>
  <si>
    <t>Escribà</t>
  </si>
  <si>
    <t>heylizelle</t>
  </si>
  <si>
    <t>1587902606620490720_5752640345</t>
  </si>
  <si>
    <t>When much of society would like us all to stay in our little boxes, I say take a peek, laugh and keep climbing. Ain't nobody going to slow us down. #KeepClimbing #WomenWhoStartup</t>
  </si>
  <si>
    <t>Denver, Colorado</t>
  </si>
  <si>
    <t>womenwhostartup</t>
  </si>
  <si>
    <t>keepclimbing</t>
  </si>
  <si>
    <t>1587903175871735203_429150387</t>
  </si>
  <si>
    <t>Dinner is ready made a yummy 3 spiced salmon with coconut rice, lentils and a salad and for dessert my friend Emily baked a yummy peach, raspberry and almond cake. Oh yes it's #Goodtimes and #Yummytimes indeed 👍 😊 
#HomeCooking #YummyFood #Spices #Salmon #CoconutRice #Salad #Lentils #Cake #Coconut #ThreeSpices #Cake #Peach #Raspberry #Almond #Yummycake #Joy #EnjoyLife #WednesdayWisdom #KeepOnGoing #Foodie #InstaFood #Londoner #LondonLife #Grill #Cooking #Baking #Thankful</t>
  </si>
  <si>
    <t>sukriti28bhardwaj</t>
  </si>
  <si>
    <t>1587903223820410104_1360876445</t>
  </si>
  <si>
    <t>100 days of inspiration!_x000D_I will be posting a picture everyday of people or things that inspire me._x000D__x000D_Day 1 Nik Pillai_x000D_It hasn't been long that we know each other but the way you have progressed has inspired me._x000D_From late night parties to late night work_x000D_From asking to giving _x000D_From dependency to independent_x000D_You have come a long long way 😇_x000D__x000D_I aspire to be undeterred  like you in face of adversities._x000D_Thank you @nikpillai for being a part of my life ❤ ._x000D_._x000D_._x000D_._x000D_._x000D_._x000D_._x000D_#100daysofinspiration #nikpillai #happiness #inspireeachother #motivation #toughgetsgoing #faceadversities #challengeyourself #writerscommunity #willpower #undeterred #letsdoit #keepongoing #inspiringstories</t>
  </si>
  <si>
    <t>inspireeachother</t>
  </si>
  <si>
    <t>nikpillai</t>
  </si>
  <si>
    <t>toughgetsgoing</t>
  </si>
  <si>
    <t>1587907634315690175_2065144435</t>
  </si>
  <si>
    <t>Ah so that'll be why it takes 10 hours to go ~100 miles. Fine by me.
#guatemala</t>
  </si>
  <si>
    <t>Chicamán</t>
  </si>
  <si>
    <t>alenkavidic</t>
  </si>
  <si>
    <t>1587909066025656232_4313695104</t>
  </si>
  <si>
    <t>🤔 smtng was off today ... finish line was further away with every minute🙈🙊 But did it anyway 😜💪💪💪 #runningwoman #run #runningworld #app #appworld #aaptive #workhard #keepongoing #slovenia🇸🇮 #love #nature #home</t>
  </si>
  <si>
    <t>app</t>
  </si>
  <si>
    <t>aaptive</t>
  </si>
  <si>
    <t>slovenia🇸🇮</t>
  </si>
  <si>
    <t>chloe_.pereira</t>
  </si>
  <si>
    <t>1587910929705994725_362330658</t>
  </si>
  <si>
    <t>First #run (ok, #jog ) after WEEKS of slacking, may have been slow but I kept going so am proud of myself! #getfitordietrying #keepongoing</t>
  </si>
  <si>
    <t>jog</t>
  </si>
  <si>
    <t>getfitordietrying</t>
  </si>
  <si>
    <t>1587913254801507800_404052909</t>
  </si>
  <si>
    <t>#braies #lake #amazing #view #wild #nature #lightblue #water #evergreen #trees #ontheboat #fishing #rocks #horizon #high #mountains #me #happy #hot #summer #keepongoing #neverending #dontstop #lapacedeisensi #paradise #aroundtheworld #exploring #italy #🗻 #🇮🇹</t>
  </si>
  <si>
    <t>Lago Di Braies</t>
  </si>
  <si>
    <t>fishing</t>
  </si>
  <si>
    <t>fitness.girls.page</t>
  </si>
  <si>
    <t>1587914701450567344_4230484970</t>
  </si>
  <si>
    <t>Inked babes @myinkedbabes 😻💟
Model @valerie.c_ 💙</t>
  </si>
  <si>
    <t>cgodoylive</t>
  </si>
  <si>
    <t>1587915357146164862_5792420680</t>
  </si>
  <si>
    <t>STORY TIME? 🤔
So this morning I was running extremely late with my day to day schedule 🤦🏻‍♀️ I fell asleep later than I wanted to last night so that set me back 🤷🏻‍♀️ I didn’t wake up when my roommate came in to ask me if I was working out with her at 5am (which I had planned) I chose to keep sleeping and even when I woke up I chose to lay back down and just keep sleeping. Truth is, I was in a funk 😓 I just wanted to lay in bed until it was time to go to work when I knew I should've been training and getting my meals ready for the day… I laid there contemplating everything... Im a planner, I HAVE to pre plan everything in order to feel accomplished (it's just how I am 🤷🏻‍♀️). Today was different though. Something just shifted in a good way ✨ As I sat there giving up on my pre planned routine feeling like i failed for the day, I got up said “fuck it” got dressed. QUICKLY prepped my meals, got my bags ready, and off to the gym I went 🏋🏻‍♀️ Got a GNARLY pump AND some cardio in. (negative thoughts:0️⃣C:1️⃣👊🏼💥) I talk about wanting to become a great athlete, and the best of the best. But one thing I’ve realized through experiences and failures is no matter how much of a failure I feel like I CAN NOT GIVE UP, and will NEVER give up. Set backs in life are inevitable, but they sure as hell can’t stop me from achieving your goals/dreams. Shit will get hard. Life IS hard...If everything came easy to us we would never appreciate or value anything. This might sound cheesy 🧀 to some but, sometimes you really do have to just focus on the positive and take it one moment at a time, keep on dreaming and never give up. Even when shit gets hard. It’s these small battles that make you feel accomplished, and just GOOOOD about yourself. I mean who doesn’t want to feel good about themselves? Moral of the story: Don’t give up, even when life gets hard, or thoughts get dark or unbearable. Its not easy and doesn’t get easier but it sure is worth it. Take it one moment at a time. Focus on those small victories, and stay positive. That is all world 🌎 🔆🙏🏼✨</t>
  </si>
  <si>
    <t>lifeisgreat</t>
  </si>
  <si>
    <t>alwayshumble</t>
  </si>
  <si>
    <t>itainteasybutitsworthit</t>
  </si>
  <si>
    <t>onaonewayticket</t>
  </si>
  <si>
    <t>1587916879828609840_1750702308</t>
  </si>
  <si>
    <t>Follow @onaonewayticket for awesome travel images. Peaceful day 🏡 Obwalden, Switzerland. Photo by @sennarelax
.
.
.
.
.
.
.
.
#ilovetraveling #lifechoices #lifeisart #mindthemountain #leavenworth #mountaingirls #islandvibes #dontbelievemejustwatch #keepgrowing #travelingman #addictedtotravel #midoritravelersnotebook #jj_forum #keepongoing #creativeentrepreneur #liveforit #backpackinglife #traveljunkie #sky #sunset_rv #vacancy #bestoftheday #traveladventures #yogaofcolor #indonesiatravel</t>
  </si>
  <si>
    <t>traveladventures</t>
  </si>
  <si>
    <t>creativeentrepreneur</t>
  </si>
  <si>
    <t>1587919741267529540_4869035138</t>
  </si>
  <si>
    <t>Be unstoppable 💯❌
Follow us to success @100xsuccess 🔥
•
📷 @markdumbletonphoto</t>
  </si>
  <si>
    <t>Like &amp; Follow</t>
  </si>
  <si>
    <t>babygreen319</t>
  </si>
  <si>
    <t>1587921927482005767_1469560578</t>
  </si>
  <si>
    <t>We all have our bad days, but the only people who can help us are ourselves, you are the only person you can rely on in this world, never give that control to someone else. 🙌💕 #bestrong #yourgettingthere #keepongoing #youareyourownbestfriend #pickyourselfup</t>
  </si>
  <si>
    <t>youareyourownbestfriend</t>
  </si>
  <si>
    <t>pickyourselfup</t>
  </si>
  <si>
    <t>yourgettingthere</t>
  </si>
  <si>
    <t>lil.teez</t>
  </si>
  <si>
    <t>1587923708097081416_1729425411</t>
  </si>
  <si>
    <t>#words #wisdom #god #love #spirit #minions #despicableme #jesus #inspiration #keepitreal #keepongoing #like4like</t>
  </si>
  <si>
    <t>swim_bike_run_mum</t>
  </si>
  <si>
    <t>1587925539221261543_5348809385</t>
  </si>
  <si>
    <t>Back to the track today with @tridocmum ...must get faster 🏃🏽‍♀️🏃🏽‍♀️#gofasterpleaselegs
#running#ayrshireathleticsarena #triathlete #swimbikerun #runfaster #onrunning #keepongoing</t>
  </si>
  <si>
    <t>Ayrshire Athletics Arena</t>
  </si>
  <si>
    <t>triathlete</t>
  </si>
  <si>
    <t>ayrshireathleticsarena</t>
  </si>
  <si>
    <t>preciousgift_life</t>
  </si>
  <si>
    <t>1587932333405761465_5589795740</t>
  </si>
  <si>
    <t>#Bestrong #keepongoing #like4like #followforfollow #follow4follow #instagood</t>
  </si>
  <si>
    <t>linde0708</t>
  </si>
  <si>
    <t>1587932769554892766_2880078365</t>
  </si>
  <si>
    <t>Easy going evening run
#running #clearthemind #happymind #happygirl #healthy #keepongoing #nevergiveup</t>
  </si>
  <si>
    <t>Provinciaal domein De Gavers</t>
  </si>
  <si>
    <t>happymind</t>
  </si>
  <si>
    <t>happygirl</t>
  </si>
  <si>
    <t>clearthemind</t>
  </si>
  <si>
    <t>1587932969498357714_1144115375</t>
  </si>
  <si>
    <t>Me 🎉  #me #obsessedwiththisdress #weekend #seaside #muotd #mac #maceverything #beawesome #palegirl #naturalmakeup #goingout #keepongoing #russianvolume #lotsoffilter #selfie #blowout #hairgoals #ombrehair</t>
  </si>
  <si>
    <t>maceverything</t>
  </si>
  <si>
    <t>naturalmakeup</t>
  </si>
  <si>
    <t>tamiparker32968</t>
  </si>
  <si>
    <t>1587934987352357499_40209446</t>
  </si>
  <si>
    <t>Positive always wins! #positivevibes #winning  #change #control #brave #keepongoing #personalgrowth #hustle #thrive #blessed #thankful</t>
  </si>
  <si>
    <t>andreagreen888</t>
  </si>
  <si>
    <t>1587935525900183536_17257416</t>
  </si>
  <si>
    <t>Hopeless wanderer #2
•
•
•
#me #myself #i #southtyrol #altoadige #visitsouthtyrol #ig_altoadige #südtirol #dolomites #dolomiti #hiking #hiker #l4l 
#igers #picoftheday #holiday #keepongoing</t>
  </si>
  <si>
    <t>Plose</t>
  </si>
  <si>
    <t>visitsouthtyrol</t>
  </si>
  <si>
    <t>dolomiti</t>
  </si>
  <si>
    <t>2</t>
  </si>
  <si>
    <t>südtirol</t>
  </si>
  <si>
    <t>ashleysw2017</t>
  </si>
  <si>
    <t>1587938314500324408_5382411204</t>
  </si>
  <si>
    <t>Well... it's been a while after loosing a stone a few months ago today I stepped on the scales to realise I have put it all back on! I can't say I'm surprised as I haven't been sticking to any diet plan and I am truly gutted. So this evening I'm giving myself a kick up the arse to get back on the slimming world track, back to exercising and feeling fab! This time is different serious time for change because no-one need to look in the mirror and feel rubbish about themselves! 😡#slimmingworld #iknowimfat #iknowicandoit #timeforme #timeforchange #nomorefat #keepongoing #seriousheadon #healthyhit #healthyliving #slimlife #freshstart #healthmindandbody #girlpower</t>
  </si>
  <si>
    <t>healthmindandbody</t>
  </si>
  <si>
    <t>timeforchange</t>
  </si>
  <si>
    <t>seriousheadon</t>
  </si>
  <si>
    <t>lisanicolaysen</t>
  </si>
  <si>
    <t>1587939767659496266_189657759</t>
  </si>
  <si>
    <t>⬇️⬆️ #theonlyway is 👆🏻#keepongoing #nevergiveup #life #chooselife #live #chooselove #love #rightsideofthetracks</t>
  </si>
  <si>
    <t>rightsideofthetracks</t>
  </si>
  <si>
    <t>1587940640326269055_224929186</t>
  </si>
  <si>
    <t>Dang she’s beautiful. You can’t have her. /
/
#love #life #happy #art #quote #strength #music #inspirational #god #inspiration #inspired #smile #keepongoing #standup #fight #live #faith #photography #metal #rock #motivation #technology</t>
  </si>
  <si>
    <t>exotic_ninja</t>
  </si>
  <si>
    <t>1587942649623764111_305110743</t>
  </si>
  <si>
    <t>Your goal is your personal endeavor. People mostly see success but not the process and the struggles of getting there. Not many will understand your goals because they either don't care to or they just don't understand what hard work really means. Not many give their 💯, most survive in giving merely an effort so they don't get it when you say you fight for what you have, thru your pains, and just life in general. And since you're there doing it you must be ok. There's a difference between working through pain and slowing down to keep on going and come back with a vengeance. There will be a lot of naysayers. But as the saying goes. "The Lion does not concern himself with the opinions of the sheep"... you have to be ok to dine alone. You have to be ok to be alone. Period. You're apart from the herd because you think differently. Never lose yourself trying to please others. You will end up living a lonely life. #stayinthefight #keepongoing #keepfighting #momstrong #staystrong</t>
  </si>
  <si>
    <t>deda_i</t>
  </si>
  <si>
    <t>1587944468995544859_1350876468</t>
  </si>
  <si>
    <t>When the pump is real ‼️. gunz loading.. #bodybuilding #biggerisbetter #keepongoing  #pushittothelimit #nopainnogain</t>
  </si>
  <si>
    <t>biggerisbetter</t>
  </si>
  <si>
    <t>pushittothelimit</t>
  </si>
  <si>
    <t>derosedecana</t>
  </si>
  <si>
    <t>1587946026726994639_205715618</t>
  </si>
  <si>
    <t>"Obstáculos y dificultades son parte de la vida y la vida es el arte de superarlos" DeRose. #keepongoing #derosemethod #coreography #21añosdecana #derosedecana #derose</t>
  </si>
  <si>
    <t>Método DeRose Sede Decana</t>
  </si>
  <si>
    <t>derosemethod</t>
  </si>
  <si>
    <t>21añosdecana</t>
  </si>
  <si>
    <t>coreography</t>
  </si>
  <si>
    <t>performancefoodservice</t>
  </si>
  <si>
    <t>1587951279136570837_1751456761</t>
  </si>
  <si>
    <t>Proud to serve our foodservice customers with a family of specialty brands designed to meet their unique needs! 
#keepongoing #PERFORMANCEfoodservice</t>
  </si>
  <si>
    <t>Performance Foodservice</t>
  </si>
  <si>
    <t>wolkenlos82</t>
  </si>
  <si>
    <t>1587952405491089398_3567622251</t>
  </si>
  <si>
    <t>Im nächsten Leben finden wir uns früher😘 #friendshipgoals #friends #keepongoing #igers #picoftheday #pictureoftheday #instagood #instapic</t>
  </si>
  <si>
    <t>instapic</t>
  </si>
  <si>
    <t>1587952547627304080_1275510852</t>
  </si>
  <si>
    <t>#keepongoing #letsplaythebass #bass #girlwithbass #polishgirl #bassguitar #bas #gitarabasowa #abend #wieczór #music #musik #muzyka #instabass #bassist #bassistgirl</t>
  </si>
  <si>
    <t>gitarabasowa</t>
  </si>
  <si>
    <t>bas</t>
  </si>
  <si>
    <t>muzyka</t>
  </si>
  <si>
    <t>wincfy</t>
  </si>
  <si>
    <t>1587953360375718707_197632210</t>
  </si>
  <si>
    <t>Getting ready for my 2nd ride up to Melaka with the gang. This time is for a worthy cause. Let's rock and roll! ❤ #happydays #cyclinglife #avidriders #RFR2017 #keepongoing #justpedalon #malaccaride</t>
  </si>
  <si>
    <t>avidriders</t>
  </si>
  <si>
    <t>cyclinglife</t>
  </si>
  <si>
    <t>rfr2017</t>
  </si>
  <si>
    <t>justpedalon</t>
  </si>
  <si>
    <t>chiara_cosentino</t>
  </si>
  <si>
    <t>1587956103248059616_1292109701</t>
  </si>
  <si>
    <t>"Reaching your limit
Say you're reaching your limit
Going over your limit
But I know you can't quit it"
____________________________________________________
🎧 #selenagomez - Fetish °
°
°
°
°
#italia_bestsunset #loves_skyandsunset#loves_united_sunset #yallerscalabria #yallersitalia#igerscalabria #igersitalia #sunset_ig #ig_sky#whatitalyis #italia365 #travelgramitalia#italiainvacanza #calabriadaamare#keepongoing#staystrong#verso_sud#amepiaceilsud #ig_italia #italianlandscapes#italiainunoscatto #italia365 #vivo_italia #praiaamare #sunsetlovers#sunset</t>
  </si>
  <si>
    <t>Praia a Mare</t>
  </si>
  <si>
    <t>whatitalyis</t>
  </si>
  <si>
    <t>igerscalabria</t>
  </si>
  <si>
    <t>calabriadaamare</t>
  </si>
  <si>
    <t>ig_italia</t>
  </si>
  <si>
    <t>charlottespowell</t>
  </si>
  <si>
    <t>1587961118838638875_7954161</t>
  </si>
  <si>
    <t>#texas #clouds #perfect #lovephotography #myphotography #myphoto #amatuerphotographer #love #northtexas #mckinney #craigranch #lovethisarea #instagram #filter #stretch #keepongoing #whereweregoingwedontneedroads #blessed #giftofnature #giftofbeauty #landscapephotography #landscape</t>
  </si>
  <si>
    <t>McKinney, Texas</t>
  </si>
  <si>
    <t>giftofnature</t>
  </si>
  <si>
    <t>mariachi13</t>
  </si>
  <si>
    <t>1587969983434223203_182009677</t>
  </si>
  <si>
    <t>Loving my running at the min, and this inspiration to go that bit faster 😂🏃‍♀️🙋🏻‍♂️ #running #runnersofinstagram #keepongoing #thisgirlcan</t>
  </si>
  <si>
    <t>Derby</t>
  </si>
  <si>
    <t>mullenix92</t>
  </si>
  <si>
    <t>1587976182094407773_313148422</t>
  </si>
  <si>
    <t>' Sometimes you have to lose yourself to discover who you might yet be. Sometimes what feels like breaking down is really just breaking free ;; * ..♡.♡.♡.. #loveyourself #breakfree #yougotthis #keepongoing</t>
  </si>
  <si>
    <t>breakfree</t>
  </si>
  <si>
    <t>helenasyogajourney</t>
  </si>
  <si>
    <t>1587978062385329360_5765109195</t>
  </si>
  <si>
    <t>I received my order today from @stronger 😍 I'm so crazy in love with their tights and tops!! Comfy and excellent quality, check it out!😃👍🏼😍 So, today I practiced back bends! Bridge pose feels good and I'm still very happy that I can come up into wheel pose. Camel pose is a true struggle, and haha, hello... my bow pose is a joke 😂 But I'll keep on practicing..! 😃👍🏼
.
.
.
#strongersweden #getshitdone #keepongoing #yogajourney #yogabeginner #beginneryoga #yogalove #nevergiveup #yogaforfun #yogaforrecovery</t>
  </si>
  <si>
    <t>getshitdone</t>
  </si>
  <si>
    <t>beginneryoga</t>
  </si>
  <si>
    <t>yogalove</t>
  </si>
  <si>
    <t>stefkobi_dr</t>
  </si>
  <si>
    <t>1587980105229290337_261475774</t>
  </si>
  <si>
    <t>#run #runner #nikerunning #nikerunclub #nikeshoes #record #smashed #instarun #instarunner #fitness #fitnessgoals #training #marathontraining #healthy #justdoit #keepongoing #youtakewhatyougive #athlete #runningclub</t>
  </si>
  <si>
    <t>Γήπεδο Παλλήνης</t>
  </si>
  <si>
    <t>record</t>
  </si>
  <si>
    <t>nikeshoes</t>
  </si>
  <si>
    <t>activelifets</t>
  </si>
  <si>
    <t>1587981456347659635_3592754492</t>
  </si>
  <si>
    <t>A terminar o dia...um cheirinho  do treino de hoje 👍🏼💪🏼 férias?! Nunca do treino 💪🏼 #activelifets #personaltrainer #keepongoing #gohardorhohome #healthylife #healthychoices</t>
  </si>
  <si>
    <t>gohardorhohome</t>
  </si>
  <si>
    <t>julianvdh2000</t>
  </si>
  <si>
    <t>1587982760725867631_5754848703</t>
  </si>
  <si>
    <t>Was top dagg. Nu maar is ff mn kussen knuffelen😎 #zwaailamp #gevaarlijk #gingmooi #spotten #mooidagje #keepongoing</t>
  </si>
  <si>
    <t>zwaailamp</t>
  </si>
  <si>
    <t>spotten</t>
  </si>
  <si>
    <t>gingmooi</t>
  </si>
  <si>
    <t>gevaarlijk</t>
  </si>
  <si>
    <t>1587984449857310676_1635406027</t>
  </si>
  <si>
    <t>#love #caring #beautiful #lifestyle #beautifulday #beautifulminds #healthychoices #smile #keepcalm #keeponsmiling #keepongoing #followme #likes #pleasefollow #share #hairandbeauty</t>
  </si>
  <si>
    <t>beautifulminds</t>
  </si>
  <si>
    <t>1587987551946641568_5620542121</t>
  </si>
  <si>
    <t>After work short back attack part 1 💪
Tomorrow morning part 2 😎😎 Now after my shake, dinner and time to relax. 
Kooperationspartner @loyalfitness 👕 Joro10 -10% Rabatt 
#loyalfitness #gym #afterwork #backworkout #stayhungry #dreambig #dowhatyoulove #focus #beliveinyou #neverquit #staystrong #workforit #zkonzept #olimp #smallgainz #gainzcomingsoon #gainz #gymaddict #gymrat #cologne #keepongoing #allforthegainz #trytogetbig #beyourownhero #fitness #fit #fitfam #fitfamcologne #getfit #bodybuilding</t>
  </si>
  <si>
    <t>smallgainz</t>
  </si>
  <si>
    <t>sharonmc100</t>
  </si>
  <si>
    <t>1587989652991998482_3113107137</t>
  </si>
  <si>
    <t>When you're stuffed but food is life 😂 #Amsterdam #food #foodislife #sofull #keepongoing #nolimits #barneys #burger #onemorebite #irish #holidays #burgers #whenindam #beast #whataburger #foodislife #feedme #girlswithtattoos #struggling</t>
  </si>
  <si>
    <t>burgers</t>
  </si>
  <si>
    <t>burger</t>
  </si>
  <si>
    <t>feedme</t>
  </si>
  <si>
    <t>amsterdam</t>
  </si>
  <si>
    <t>irish</t>
  </si>
  <si>
    <t>djnaomifrancis</t>
  </si>
  <si>
    <t>1587990970976566642_414161550</t>
  </si>
  <si>
    <t>'She remembered who she was and the game changed' 🦄🕊🌈 📸 #sherememberedwhoshewasandthenthegamechanged#wednesdaywisdom#wednesdaynight#postivevibes#positiveenergy#goodquote#femaledj#djnaomifrancis#workhardforwhatiwant#thenetherlands#rotterdam#southholland#amsterdam#keepongoing#keeponmoving#dreamscancometrue#workhardplayhard#photoshoot thanks @terryawan</t>
  </si>
  <si>
    <t>South Holland</t>
  </si>
  <si>
    <t>rotterdam</t>
  </si>
  <si>
    <t>1587992777772689923_303716379</t>
  </si>
  <si>
    <t>Follow #fb "Youth For Joho"
The Inauguration Ceremony of Gov. Joho. 
#ralaufyprophotography #inauguration #ceremony #kenya2017 #mombasa #instagood #workoutmotivation #keepongoing #ilovethisjob #professionalphotography #raila</t>
  </si>
  <si>
    <t>inauguration</t>
  </si>
  <si>
    <t>ceremony</t>
  </si>
  <si>
    <t>1587995664049255482_4520028849</t>
  </si>
  <si>
    <t>I have new pretties
Link in bio @agnesanddorabyjacquie
http://bit.ly/shoppingwithjacquie1
#agnesanddora #capri #abettermewithaandd #ilovefall #pullover #takecareofyourself #favoritetee #iloveaandd #leggings #lularoe #healthyliving #faith #positivevibes #unstoppable #icandothis #nanalife #keepongoing #powerinprayer #success #ilovedisney #beachlife #skirt #tank #dress #fisher #joplin #godiva #happywife #happylife</t>
  </si>
  <si>
    <t>takecareofyourself</t>
  </si>
  <si>
    <t>ilovefall</t>
  </si>
  <si>
    <t>leggings</t>
  </si>
  <si>
    <t>1587995716907160099_5468355632</t>
  </si>
  <si>
    <t>If that smile doesn't kill u lmao I dunno wut will -🐯 #josh #tyler #jenna #twentyonepilots #bands #frens #laugh #myidols #loveyou #bestmusic #keepongoing #ibelieve #theyrethebest #funny  #smile #tøpmemes #tøp #stayalive #inspiring #beautifulpeople</t>
  </si>
  <si>
    <t>niky.della</t>
  </si>
  <si>
    <t>1588000441118177895_1460499993</t>
  </si>
  <si>
    <t>Kayak family 🙅
#kayak #kayaktour #ontheriver #flumendosa #sportivi #oforseno #go #keepongoing #nonmolliamo #cipiace #family #alltogethernow #lovethem #holidays #Italy #sardinia</t>
  </si>
  <si>
    <t>Flumendosa</t>
  </si>
  <si>
    <t>flumendosa</t>
  </si>
  <si>
    <t>nonmolliamo</t>
  </si>
  <si>
    <t>kayak</t>
  </si>
  <si>
    <t>sardinia</t>
  </si>
  <si>
    <t>prau_loh</t>
  </si>
  <si>
    <t>1588002975325155968_2283271553</t>
  </si>
  <si>
    <t>🇬🇧 #summervibes #keepongoing</t>
  </si>
  <si>
    <t>SunDancer</t>
  </si>
  <si>
    <t>monika_a_mazur</t>
  </si>
  <si>
    <t>1588005403123643250_4261055755</t>
  </si>
  <si>
    <t>You have my word! ☝🏼Last year, August to December were my toughest times ever. You didn't see it; I deleted my IG and barely used Facebook. I stopped communicating with people close to me. I was stressed, lonely and at times very scared for my wellbeing. I didn't sleep well and I didn't eat well. I barely exercised and all I felt was mental numbness. It was only 4 months but it felt like it was much longer. I was in an abusive relationship that started out so great and ended with police reports and court hearings. My responsibility was not leaving sooner and not setting boundaries from day 1. And I learned it the hard way. Luckily I had people who remained by my side and always offered advice, or coaching and who supported me. 
My word for you is- whatever you're going through- keep on going. And don't be me- don't stop being in communication with people who have your best interest, who you trust and who can advise you well... 🔑❤️🙌🏼 #overwhelmed #stressed #impossible #yougotit #yougotthis #youcandoit #keepongoing #lifequotes #lifeadvice #lifeisbeautiful #youcanyouwill #yourenotalone #abusiverelationship #abusiverelationships #abuseisnotlove #loveyourself #staystrong #strongwoman #empoweringwomen #polskadziewczyna #polishgirl #boston #conneticut #myctlife</t>
  </si>
  <si>
    <t>Connecticut</t>
  </si>
  <si>
    <t>abuseisnotlove</t>
  </si>
  <si>
    <t>abusiverelationship</t>
  </si>
  <si>
    <t>yougotit</t>
  </si>
  <si>
    <t>viorelaviz</t>
  </si>
  <si>
    <t>1588006414025142443_3274708890</t>
  </si>
  <si>
    <t>Think positive..#positivevibes #haveitall #lovemylife #happyme #onlysmile #keepongoing #keepmoving #❤️</t>
  </si>
  <si>
    <t>haveitall</t>
  </si>
  <si>
    <t>1588010337427666424_5339165643</t>
  </si>
  <si>
    <t>#dreambig #dreamcatcher #dreamchaser #keepongoing #dontstop #dontsettle #beconsistent #entrepreneurlife #successful #successfulwomen #sparkleoftheday #successfulmindset #millionairemindset #lifegoals #inspirationalquotes #inspiration #motivation #motivated</t>
  </si>
  <si>
    <t>dreamcatcher</t>
  </si>
  <si>
    <t>monika_labus</t>
  </si>
  <si>
    <t>1588011241686013729_1145473170</t>
  </si>
  <si>
    <t>Tunezja z Lotu 🛫
#byebye #maybecomeback #goodplace #keepongoing #travel 🏝☀️🍀🐬
#seeyousoon 👩‍💻🤝💋</t>
  </si>
  <si>
    <t>Tunis, Tunisia</t>
  </si>
  <si>
    <t>seeyousoon</t>
  </si>
  <si>
    <t>maybecomeback</t>
  </si>
  <si>
    <t>byebye</t>
  </si>
  <si>
    <t>adawareness</t>
  </si>
  <si>
    <t>1588032427703364424_5904399500</t>
  </si>
  <si>
    <t>Daily diary to gain as much personally research I can! #autonomicdysfunctionawarenessnow #autonomicdysfunction #eds #pots #ehlosdanlossyndrome #ehlosdanlos #posturalorthostatictachycardiasyndrome #invisibleillness #chronicillness #spoonie #dysautonomia #daily #diary #research #sotired #followforfollow #followme #like4like #notebook #multicoloured #keepongoing #wednesday #humpday #almostthursday #dayclosertofriday #somanyhashtags #tryingtoget #somewhere #thursday #dayclosertofriday</t>
  </si>
  <si>
    <t>somewhere</t>
  </si>
  <si>
    <t>almostthursday</t>
  </si>
  <si>
    <t>ehlosdanlos</t>
  </si>
  <si>
    <t>official._trilogy</t>
  </si>
  <si>
    <t>1588038261334118243_1299398651</t>
  </si>
  <si>
    <t>#CANTBACKDOWN #nevertoolate #keepongoing #grt #godrunsthis #TRILOGY</t>
  </si>
  <si>
    <t>Hands Of Prayer Evangelistic Deliverance Ministries</t>
  </si>
  <si>
    <t>godrunsthis</t>
  </si>
  <si>
    <t>grt</t>
  </si>
  <si>
    <t>nevertoolate</t>
  </si>
  <si>
    <t>trilogy</t>
  </si>
  <si>
    <t>cantbackdown</t>
  </si>
  <si>
    <t>1588039857140507281_4520028849</t>
  </si>
  <si>
    <t>So cute😙🌹🌼
Link in bio @agnesanddorabyjacquie
#agnesanddora #ohioboutique  #abettermewithaandd #i lovefall #iloveaandd #leggings #lularoe #healthyliving #faith #cutetee #positivevibes #unstoppable #icandothis #nanalife #pullover #onlineshopping  #keepongoing #powerinprayer #success #ilovedisney #beachlife #skirt #tank #dress #fisher #joplin #godiva #happywife #happylife</t>
  </si>
  <si>
    <t>powerinprayer</t>
  </si>
  <si>
    <t>1588040762363448060_4203455377</t>
  </si>
  <si>
    <t>Grab that booty 😍😁
Model: unknown</t>
  </si>
  <si>
    <t>trainingtobeabadass</t>
  </si>
  <si>
    <t>fitnessbodies</t>
  </si>
  <si>
    <t>fitwoman</t>
  </si>
  <si>
    <t>fitmodels</t>
  </si>
  <si>
    <t>mrs.k.welk</t>
  </si>
  <si>
    <t>1588045471074853999_269450532</t>
  </si>
  <si>
    <t>Wowww I am sooo blown away with the progress of little Charlie. I have been checking on her every 20 minutes since 6:30 this morning and this is the stage Ive gotten to with her. Usually feral kittens take weeks to get comfortable having a human pet them but she seemed to want nothing more than some good old love. I have a few people interested in her which is so amazing. If things fall through with either of these people I will be working with her until she is trained and healthy enough to be in her forever home. ✨🐈🐾 #keepongoing #dontstopuntilthejobisdone #kittenlove #allshewantsislove #progressisaprocess #wellworthit #charliethekitten #feralkittenrescue</t>
  </si>
  <si>
    <t>feralkittenrescue</t>
  </si>
  <si>
    <t>dontstopuntilthejobisdone</t>
  </si>
  <si>
    <t>progressisaprocess</t>
  </si>
  <si>
    <t>kittenlove</t>
  </si>
  <si>
    <t>farjer12208</t>
  </si>
  <si>
    <t>1588047680406656410_42958178</t>
  </si>
  <si>
    <t>I try not to be the one who posts about negative or hard times in my life but these past 2 weeks has defiantly been a rollercoaster. But these two little girls keep me going! I am going to keep a positive mindset and continue to do what I am doing and more, so I can be the strong Mommy they need me to be. #lifesrollercoaster #keepongoing #girlmom  #1stepback #2stepsfoward</t>
  </si>
  <si>
    <t>lifesrollercoaster</t>
  </si>
  <si>
    <t>2stepsfoward</t>
  </si>
  <si>
    <t>girlmom</t>
  </si>
  <si>
    <t>1stepback</t>
  </si>
  <si>
    <t>1588070409441373235_13734275</t>
  </si>
  <si>
    <t>Challenging myself to a better me #lifegoeson #keepongoing #rideordie</t>
  </si>
  <si>
    <t>rideordie</t>
  </si>
  <si>
    <t>1588070563908178938_5705167414</t>
  </si>
  <si>
    <t>Happy birthday mamba!!! #Dubnation
-
-
-
-
-
-
-
-
-
-
-
-
-
-
-
-
-
-
-
-
-
-
-
-
-
-
-
-
-
-
-
-
-
-
-
-
-
-
-
-
 #StephGonnaSteph #Mvp #SC30 #KT11 #DG23 #CURRYMVP #KEEPONGOING #NEVERGIVEUP #WCF #WEST #WESTERNCONFERENCEFINALS #CHAMPS #DUBSFORCHAMPS #DUBS #ALWAYSBELIEVEINGOD #STEPHENCURRY #EVEN #NBA #2016CHAMPS #CHAMPIONS #LOCKIN #STEPH #SPLASH #SPLASHBROS  #like4like #like4follow #follow4follow</t>
  </si>
  <si>
    <t>picture.and.pen</t>
  </si>
  <si>
    <t>1588088206972504654_3418856320</t>
  </si>
  <si>
    <t>Roll with the punches. Whether uphill or down, just keep rolling. #rollwiththepunches #keepongoing #letlifehappen #prose #pictureandpen #writtenword #lifequotesandsayings #lifequotes #lovequotes #lovequotesandsayings #typewriter #writersofinstagram #poetsofinstagram #poetry #typewriterpoetry #writersofig #poetsofig #igwriters #igpoets #igprose #nomorefear</t>
  </si>
  <si>
    <t>rollwiththepunches</t>
  </si>
  <si>
    <t>lifequotesandsayings</t>
  </si>
  <si>
    <t>typewriterpoetry</t>
  </si>
  <si>
    <t>igprose</t>
  </si>
  <si>
    <t>poetsofig</t>
  </si>
  <si>
    <t>cristy6273</t>
  </si>
  <si>
    <t>1588094084618116804_3469980926</t>
  </si>
  <si>
    <t>The body hasn't gotten any smaller but I have conquered my fear of the box jump.  Trying new things, waiting for things to click again and the weight to drop. Until then, I'll keep on keeping on #boxjumps @thetransformapp #keepongoing #weightlossjourney</t>
  </si>
  <si>
    <t>Life Fitness Inc</t>
  </si>
  <si>
    <t>boxjumps</t>
  </si>
  <si>
    <t>mandio22</t>
  </si>
  <si>
    <t>1588104293369257647_207453001</t>
  </si>
  <si>
    <t>h e r e ' s  t o  h o p i n g 🌈</t>
  </si>
  <si>
    <t>boymom</t>
  </si>
  <si>
    <t>rawessome</t>
  </si>
  <si>
    <t>1588117267484729804_1530106959</t>
  </si>
  <si>
    <t>We should enjoy the best of life
And be happy without strive
For tomorrow never comes
So get out there and beat your drums</t>
  </si>
  <si>
    <t>adam_hislop</t>
  </si>
  <si>
    <t>1588122568011064769_1558654291</t>
  </si>
  <si>
    <t>Ever  any trouble sleeping go train!! #chestday #chestworkout #chestpump #gym #healthyfood #dietplan #motivat #keepongoing #pushypurselftothelimit ✌🏻</t>
  </si>
  <si>
    <t>chestday</t>
  </si>
  <si>
    <t>chestpump</t>
  </si>
  <si>
    <t>motivat</t>
  </si>
  <si>
    <t>ffejwellab</t>
  </si>
  <si>
    <t>1588127308219624936_4705523814</t>
  </si>
  <si>
    <t>#goforit 
#knowyourwhy 
#10x 
#keepongoing 
#keeponmoving 
#truegrit</t>
  </si>
  <si>
    <t>10x</t>
  </si>
  <si>
    <t>knowyourwhy</t>
  </si>
  <si>
    <t>sunkissedvitality</t>
  </si>
  <si>
    <t>1588132626546646060_3068075434</t>
  </si>
  <si>
    <t>So damn true 👐
◇
Things can sometimes feel scary, intimidating, and chaotic. There will be days, and even weeks, that you question yourself completely. Remember to keep moving. Keep planning. Keep dreaming. Keep improving. Keep creating. Keep pushing through all the doubt and persevere. ◇
Because the more you keep on, the sooner you'll look in the mirror and ask... when did I become such a badass?!</t>
  </si>
  <si>
    <t>selfgrowth</t>
  </si>
  <si>
    <t>badassbabes</t>
  </si>
  <si>
    <t>tjco_always_true_2u</t>
  </si>
  <si>
    <t>1588134132730625799_289762181</t>
  </si>
  <si>
    <t>And so can you💯👍😩change your life for happiness💯😘 goodnight all❤️
#dont#let#anybody#family#friends#etc#restrict#you#from#your#dreams#or#happiness#do#what#makes#you#happy#its#yourlife#change#itworks#overcome#every#storm#keepitreal#keepongoing
Life is amazing😘 Be proud of your story and progress💯👍</t>
  </si>
  <si>
    <t>makes</t>
  </si>
  <si>
    <t>dont</t>
  </si>
  <si>
    <t>jesslynnmole</t>
  </si>
  <si>
    <t>1588134696091760984_508803740</t>
  </si>
  <si>
    <t>"As Washington DC falls apart, Oregon is coming together." 💙💙💙
Oregon young professionals came together tonight to fundraise for what is ahead. Our purple state has work to do, but I'm incredibly proud to have Kate Brown as our governor fighting for a better Oregon. 
#oregonian #oregon #smalltowngirl #youngprofessional #pantsuitnation #nastywoman #keepongoing #keepfighting #equality #justice #reproductiverightsarehumanrights #teamkate #girlonfire #lovemystate #governorkatebrown @oregongovbrown</t>
  </si>
  <si>
    <t>Revolution Hall</t>
  </si>
  <si>
    <t>youngprofessional</t>
  </si>
  <si>
    <t>oregonian</t>
  </si>
  <si>
    <t>reproductiverightsarehumanrights</t>
  </si>
  <si>
    <t>pantsuitnation</t>
  </si>
  <si>
    <t>a1_ulisses</t>
  </si>
  <si>
    <t>1588135426606857409_5374712485</t>
  </si>
  <si>
    <t>Today is my tomorrow.It's up to me to share it, to take control and seize every opportunity. The Power of Choice I make each day. #fitness #fitfam #workout #pullups #calisthenics #justdoit #noexcuses #nevergiveup #aesthetic #hustle #gains #getout #beast #strength #goddesslocs #lordoftherings #givingup #losehope #keeponfighting #keepongoing #Nothingtofear thank you #thanksyou #famliy @a1_crew</t>
  </si>
  <si>
    <t>pullups</t>
  </si>
  <si>
    <t>chronicallyliving_</t>
  </si>
  <si>
    <t>1588135462625626041_5798227210</t>
  </si>
  <si>
    <t>Keep on keeping on ladies . #chronicillness #nocure #chronicpain #invisibleillnessawareness #endometriosis #endometriosisawareness #strongforher #strength #pain #disease #keepongoing #symptoms #causes #nausea #pelvicpain #girls #women #getthefacts #infertility #infertilitysucks #support #strongertogether #strongereveryday #painistemporaryquittingisforever #autoimmune</t>
  </si>
  <si>
    <t>chronicpain</t>
  </si>
  <si>
    <t>nausea</t>
  </si>
  <si>
    <t>1588136781205864216_2793189067</t>
  </si>
  <si>
    <t>1588137447177566176_5509071474</t>
  </si>
  <si>
    <t>Feeling so good after today's gym session. Today has been a great day!!! Woke up feeling good and it's lasted me all day. Hope everyone has had the best day. 🏃🏻‍♀️💪🏻 #weightloss #weightlossblog #weightlossjourney #weightlossmotivation #weightlossdiary #weightlossstory #weightlosscommunity #weightlossfamily #weightlosssupport #weightlossprogress #weightlossjournal #workout #runforestrun #keepongoing #nevergiveup #yougotthis</t>
  </si>
  <si>
    <t>weightlossjournal</t>
  </si>
  <si>
    <t>1588139243606923446_1684424176</t>
  </si>
  <si>
    <t>1588139677834488003_2235956490</t>
  </si>
  <si>
    <t>Do you feel like you have tried everything? 🤔 That time has slowly caught up to you?
 Do you feel like it's time for a change, but you don't know how or where or what? 🔄
Do you feel like that things are not working, or maybe you feel disappointed,  unappreciated, maybe overlooked. 
Guess what?❓ You can change, you can grow, you can be in a joyous place. 
All it takes is a leap of faith and a change of mindset. 
You are not defeated, you just haven't won yet. 🏆
You are not stagnant, you are not done growing yet. 
You are not overlooked, you haven't let your light shine bright yet. ✨
You have a choice to make, a leap of faith to take, it's time to bet on yourself. 🤗
You are enough. 
You are worthy . 
You are not there yet, but you can get there with positivity and love and light. 😘💫 Join our tribe &amp; we will help you boost your mindset with regular exercise and healthy eating to make you feel great on the outside &amp; we also will be talking about mindset and personal growth to help you feel great on the inside.
Enrolling now! Comment below or drop an emoji!
Boss hashtag 
#girlprenuer #designyourlife #beingboss #hustleandgrind #whoruntheworld
#stayinspired
#upliftandinspire
#womenempoweringwomen
#iamalive
#iamgrateful
#gingerhead
#iamabadass
#40something
#letloverule
#redhairgirl
#40isthenew20
#crunchymom #keepongoing #keeponkeepingon #icandothis #iamstrong #stronggirl #strongbody #strongmind #choosejoy #behappy</t>
  </si>
  <si>
    <t>strongbody</t>
  </si>
  <si>
    <t>iamstrong</t>
  </si>
  <si>
    <t>40isthenew20</t>
  </si>
  <si>
    <t>girlprenuer</t>
  </si>
  <si>
    <t>1588141352990109930_198397161</t>
  </si>
  <si>
    <t>"No matter how long it takes. When God works, it's always worth the wait..." #patientlywaiting #waiting #waitingforhisperfecttiming #blessed #keepongoing #strongwoman #Ican #keeponbelieving #dontquit #like4like</t>
  </si>
  <si>
    <t>waitingforhisperfecttiming</t>
  </si>
  <si>
    <t>waiting</t>
  </si>
  <si>
    <t>1588148875911130540_462344435</t>
  </si>
  <si>
    <t>"Obstacles don't have to stop you.  If you run into a wall, don't turn around and give up!  Figure out how to climb it, go through it, or work around it!"- Michael Jordan
.
.
.
Are you facing challenges right now? Feel like giving up? .
.
.
Inhale and exhale, you can do this, be stronger than your strongest excuse.  You're stronger than you think!
.
.
.
#icandoallthingsthroughchrist 
#bepositive #positivemindset  #seethegood #seethegoodineverything #believeyoucan #befearless #keeponmoving #keeponlearning #keepondoing #keepongoing #keeponbelieving #believeinyou #goodhabits #achieveyourdreams #achieveyourgoals #believeinyourdream #believeinyourselfie #keepthefaith #neverstoplearning #positiveattitude #positivemindset #positivequotes #positiveminds #trustandbelieve #trustyourgut #yesyoucan #neverstoptrying #neverstopdoing #youcandoit</t>
  </si>
  <si>
    <t>icandoallthingsthroughchrist</t>
  </si>
  <si>
    <t>jakahliasworld</t>
  </si>
  <si>
    <t>1588149931061933482_5900743302</t>
  </si>
  <si>
    <t>Have a positive mindset🌺🌸#beautyblogger #beautyproducts #beautyguru #beautycare #fashion #fashionblogger #fashionista #liveinthemoment #nevergiveup #keepongoing #vintage #keepagoodattitude #keepagoodmindset #mindset #almostfriday #wendsdaynight #goodnight #positivequotes #post</t>
  </si>
  <si>
    <t>beautyblogger</t>
  </si>
  <si>
    <t>beautycare</t>
  </si>
  <si>
    <t>beautyproducts</t>
  </si>
  <si>
    <t>pwncessmegs</t>
  </si>
  <si>
    <t>1588153048889350186_34447075</t>
  </si>
  <si>
    <t>After everything that's happened this year, I have learned what truly matters in life. There is no reason to keep toxic relationships, it's okay to say no, you should always speak up for yourself, never let another treat you like you're worthless, and always get back up because it gets better. 🙏🏻💜 #donttrip #justsayfuckit #keepongoing #staystrong #strength #fighter #warrior #survivor #pursuitofhappiness #positivethinking #goodvibes #itsnoteasy #itllbeworthit #itgetsbetter #onedayatatime #walkaway #cutyourlosses #beyourownhappy</t>
  </si>
  <si>
    <t>beyourownhappy</t>
  </si>
  <si>
    <t>walkaway</t>
  </si>
  <si>
    <t>1588153282110835999_5409757454</t>
  </si>
  <si>
    <t>Always think happy thoughts! You're thoughts are so powerful, you don't want to think negatively! .
.
.
#Bepositive #positivemindset #livelifetothefull #seethegood #seethegoodineverything #believeyoucan #befearless #keeponmoving #keeponlearning #keepondoing #keepongoing #keeponbelieving #believeinyou #goodhabits #achieveyourgoals #believeinyourdream #believeinyourselfie #keepthefaith #neverstoplearning #positiveattitude #positivemindset #positivequotes #positivevibes #positiveminds #trustandbelieve #trustyourgut #yesyoucan #neverstoptrying #neverstopdoing #youcandoit</t>
  </si>
  <si>
    <t>dreamofwilderthings</t>
  </si>
  <si>
    <t>1588161227674437137_4932245227</t>
  </si>
  <si>
    <t>See the stars.
.
.
.
.
#quoteoftheday #instaquote #quotestagram #quotestoliveby #quote #quotes #quotesdaily #inspirationalquotes #inspiration #wordporn #wisdom #truth #lifequotes #dailyquote #wisewords #wordsofwisdom #wordstoliveby #motivation #motivationalquotes #quotestags #sayings #cleverwords #wordswagapp #life #lifequotes #acertaindarknessisneededtoseethestars #seethestars #keepongoing</t>
  </si>
  <si>
    <t>wordporn</t>
  </si>
  <si>
    <t>cleverwords</t>
  </si>
  <si>
    <t>schublime</t>
  </si>
  <si>
    <t>1588165351437509792_2020116817</t>
  </si>
  <si>
    <t>Conditioning; NOPE #Repost @ladbible (@get_repost)
・・・
😂🔥😂🔥 @menshumor just got voted "Funniest Instagram Account". Give them a follow! #running #marathon #endurance #aerobic #capacity #crossfit #weightlifting #powerlifting #strongman #maxeffort #sustainedeffort #keepongoing #fuckcardio</t>
  </si>
  <si>
    <t>maxeffort</t>
  </si>
  <si>
    <t>aerobic</t>
  </si>
  <si>
    <t>capacity</t>
  </si>
  <si>
    <t>powerlifting</t>
  </si>
  <si>
    <t>hyundaibk</t>
  </si>
  <si>
    <t>1588172251547555770_1707648981</t>
  </si>
  <si>
    <t>รัก 💙 #keepstrong #luv #keepongoing #janienineeleven #เจนี่เทียน #janiethien</t>
  </si>
  <si>
    <t>เจนี่เทียน</t>
  </si>
  <si>
    <t>luv</t>
  </si>
  <si>
    <t>janienineeleven</t>
  </si>
  <si>
    <t>janiethien</t>
  </si>
  <si>
    <t>lifeistoughdarling_soru</t>
  </si>
  <si>
    <t>1588174275802032459_3961164860</t>
  </si>
  <si>
    <t>"Strength grows in the moments, when you think you can't go on but you keep going anyway." #strentgh #keepongoing #letitgrow</t>
  </si>
  <si>
    <t>letitgrow</t>
  </si>
  <si>
    <t>strentgh</t>
  </si>
  <si>
    <t>user_mario</t>
  </si>
  <si>
    <t>1588177424818191807_315710323</t>
  </si>
  <si>
    <t>The only person on my MIND that's been motivating me and pushing me to the limit has been my MOM. I know your up there smiling down and telling me your proud of me and Michael. We promise we won't let you down. I promise, I will never give up. 👊🏻😁 untill we meet again mom, I love you. 😁 
#mind #motivation #nevergiveup #keepongoing #mom #ripmomma #untillnexttime #proudmom</t>
  </si>
  <si>
    <t>proudmom</t>
  </si>
  <si>
    <t>untillnexttime</t>
  </si>
  <si>
    <t>keager19</t>
  </si>
  <si>
    <t>1588178773008900862_4752645299</t>
  </si>
  <si>
    <t>Inspired by @cgordonboz I decided to share a bit of a transformation pic. After losing my father at a very young age it smartened me up to clean up my eating a bit and start focusing on a lot more of a cardio and conditioning way of training. I'm far from a specimen but feel great and enjoy pushing myself more each day. Since December I have got myself down from about 260 lbs down to just under 210 and aiming to be walking around a little lighter than that. I have gained a lot of respect for different forms of training whether it's powerlifting , Olympic lifting , crossfit, running. Whatever it may be props to everyone who gives it their all and keep at it! #training#conditioning#cardio#beallyoucanbe#keepongoing</t>
  </si>
  <si>
    <t>beallyoucanbe</t>
  </si>
  <si>
    <t>conditioning</t>
  </si>
  <si>
    <t>shenanigansboards</t>
  </si>
  <si>
    <t>1588185944540102216_1178435676</t>
  </si>
  <si>
    <t>They see me rollin 
They hatin 
Patrolling they tryin to catch me ridin' dirty~
#keepongoing #wednesdayfeels 
#skaterlife #SoCal
#skateboardeverydamnday</t>
  </si>
  <si>
    <t>Huntington Beach, California</t>
  </si>
  <si>
    <t>socal</t>
  </si>
  <si>
    <t>wednesdayfeels</t>
  </si>
  <si>
    <t>skateboardeverydamnday</t>
  </si>
  <si>
    <t>skaterlife</t>
  </si>
  <si>
    <t>tyweedtattoo</t>
  </si>
  <si>
    <t>1588191082301893182_241296019</t>
  </si>
  <si>
    <t>Sometimes it's a nonstop up hill battle but like sisyphus just keep on keeping on. The #textures in this were a blast.</t>
  </si>
  <si>
    <t>Divinity Tattoo</t>
  </si>
  <si>
    <t>arizonaartist</t>
  </si>
  <si>
    <t>divinitytattoo</t>
  </si>
  <si>
    <t>thestruggle</t>
  </si>
  <si>
    <t>thestruggleisreal</t>
  </si>
  <si>
    <t>japtoo</t>
  </si>
  <si>
    <t>1588194335663629644_557247356</t>
  </si>
  <si>
    <t>Ewwww.  Millipede I found walking across the carpeted hallway in the basement of my office.  I put him on a piece of paper and took him outside and took this clip before I put him in the mulch next to brick wall in the shade. At first he curled up like a baby trying to hide. Slide left to see some more pictures. 
#creepycrawly #millipede #inthebasement #creepy #lotsoflegs #scurry #eewwww #dontwalkonme #redlegs #rolypoly #redstripes #millipedeorcentipede #walkasfastasyoucan #keepongoing  #keepontrucking  #lotsoflegs #legsgalore</t>
  </si>
  <si>
    <t>McLean, Virginia</t>
  </si>
  <si>
    <t>millipedeorcentipede</t>
  </si>
  <si>
    <t>eewwww</t>
  </si>
  <si>
    <t>scurry</t>
  </si>
  <si>
    <t>rolypoly</t>
  </si>
  <si>
    <t>moetsch</t>
  </si>
  <si>
    <t>1588205375542742132_259884160</t>
  </si>
  <si>
    <t>#some #thoughts 
Früh aufstehen ist ja eigentlich gar nichts für mich. Wenn der Wecker um 5:00 läutet denk ich mir jeden Tag aufs Neue, dass ich doch einfach nur länger im Bett liegen bleiben will. Hilft aber alles nichts.
Wenn ich dann allerdings jeden Tag von so einem wunderschönen Sonnenaufgang geweckt werde. Bin ich einfach nur glücklich und dankbar. 🌳🌱🌲 Dankbar für die wunderschöne Natur die wir durch unseren Alltag und unseren Lebensstil doch viel zu oft gar nicht mehr wahrnehmen, bewundern und betrachten. Eins sein mit der Natur, sich von schönen Landschaften, Blumen, Bäumen uvm. in den Bann reißen lassen und dadurch Frieden und Glück auf eine neue Art und Weise erfahren, wäre doch mal einen Versuch wert oder? 
Dankbar, dass ich jeden Tag gesund aufwache, eine Familie und Freunde hab, die immer für mich da sind, hinter mir stehen und mir einfach ihre wertvolle Zeit schenken. Denk mal darüber nach! 
Dankbar, dass ich so viel schon erreicht hab und noch erreichen werde. Wieder eine neue Möglichkeit bekommen hab mich selbst weiterzuentwickeln, mich und mir selbst etwas zu beweisen, neue Dinge kennenzulernen, über mich selbst hinauswachsen zu können uvm. 
Sei dankbar und schätze die kleinen Dinge, denn die sind es doch schließlich die uns immer einen Schritt weiter zu unserem Ziel bringen, unser Leben bereichern und uns glücklich machen. 🍀
#landscape #nature #sunset #goodmorning #sky #clouds #colourful #austria #deepthoughts #appreciate #happiness #goals  #dankbarkeit #family #friends #life #keepongoing #growing</t>
  </si>
  <si>
    <t>deepthoughts</t>
  </si>
  <si>
    <t>thepainterswife_</t>
  </si>
  <si>
    <t>1588206855762744439_5759740870</t>
  </si>
  <si>
    <t>🎲
#keepongoing 
@russhmagazine</t>
  </si>
  <si>
    <t>matherface</t>
  </si>
  <si>
    <t>1588208013013347930_282717416</t>
  </si>
  <si>
    <t>A couple Sundays ago I ran a local half marathon trail race and was pleased to finish 11/56 with a time of 2h08.
But the real pleasure came from the training, working towards the goal and getting to know some good guys along the way 🤙</t>
  </si>
  <si>
    <t>Revelstoke, British Columbia</t>
  </si>
  <si>
    <t>barefootrunning</t>
  </si>
  <si>
    <t>cmoneyj231</t>
  </si>
  <si>
    <t>1588210694950504514_1693391641</t>
  </si>
  <si>
    <t>I want to take a moment and talk about failure instead of the typical post about achieving and making goals. To me they go hand in hand. Flat benching has never been my strongest. It's always lacked compared to everything else. Tonight I went for a new max 315 and failed. Failure brings out the best in me. It gives me more of a drive and motivates me to work even harder to meet a goal. Failure is not the end of the world. It's not a reason to give up or even to get discouraged about. Failure is a life lesson that tells you to keep on going and if you stop now then you really have failed yourself and let all of hard work, time, and effort go to waste. To me failure is every reason to conquer and achieve my goals no matter what it is I will do it. It will not always happen tomorrow but down the road you will look back and tell yourself I told you so.
.
.
.
.
.
.
.
.
.
#s2faction #bodybuilding #powerlifting #neversettle #nevergiveup #neversatisfied #nodaysoff #betterthanyesterday #gym #ironaddict #grind365 #growingstronger #workhard #motivated #dedication #alwayshungry #fitspo #fitness #lifestyle #lift #whateverittakes #keepongoing #staystrong #pushharder #iwillsuceed #leanphysique #nopainnogain</t>
  </si>
  <si>
    <t>Club Fitness</t>
  </si>
  <si>
    <t>ironaddict</t>
  </si>
  <si>
    <t>merman_geek</t>
  </si>
  <si>
    <t>1588212522106961175_55210529</t>
  </si>
  <si>
    <t>But going forward and with the right attitude. 
#OhYeah #fighter #proud #shameless #BiggerMan #SoWhat #success #iceberg #KeepOnGoing #ShowTime #actor</t>
  </si>
  <si>
    <t>biggerman</t>
  </si>
  <si>
    <t>showtime</t>
  </si>
  <si>
    <t>1588214956616345210_669865665</t>
  </si>
  <si>
    <t>My gym this morning 👌🏻☀️
Only 6,2 km morning run today 🏃🏻
☀️☀️☀️☀️☀️☀️☀️☀️🏃🏻☀️☀️☀️
#earlymorningrun #6km #running #sunshinerun #solstråler #healthy #happyrunner #runhappy #alwaysrunning #runnerslife #worldrunners #instarunner #instarun #womenrunners #runner #cardio #justdoit #behappy #tidligt #feelingood #sunrise #morningrun #runningismytherapy #keepongoing #perfect #lovethecolors #runnermom #runsavemylife #healthy #🤘</t>
  </si>
  <si>
    <t>runnermom</t>
  </si>
  <si>
    <t>runsavemylife</t>
  </si>
  <si>
    <t>tidligt</t>
  </si>
  <si>
    <t>6km</t>
  </si>
  <si>
    <t>1588226001048879721_429150387</t>
  </si>
  <si>
    <t>Because of what Jesus has done on the cross, we have the Victory over everything we go through, so remember that the Victory belongs to us so whatever you may be going through be thankful that you going through it and you will come out victorious, keep speaking life and looking to Jesus and don't you give up. With Jesus we win Oh how I love Jesus 🙌 🙏 🙌 #ThursdayThoughts #HappyThursday #Thursday #AllThingsArePossible #TrustGod #KeepOnGoing #DontGiveUp #Truth #Wisdom #SpeakLife #YourWordsMatter #Joy #EnjoyLife #Devotion #Encouragement #Confidence #Strength #GodsTiming #YouAreVictorious #JesusIsTheWay #Victory #LookToJesus #BeThankful #Stand #Rest #Discernment #Pray #WalkByFaith #YouAreLoved #JesusLovesYou</t>
  </si>
  <si>
    <t>jesuslovesyou</t>
  </si>
  <si>
    <t>godstiming</t>
  </si>
  <si>
    <t>scottav</t>
  </si>
  <si>
    <t>1588226866603340942_226123846</t>
  </si>
  <si>
    <t>Aunt Joan upgraded her Camry today. 2003 on the left and new to her 2016
on the right. Her 4th Camry in a row. They have been good to her. 👍🏼🚘 #toyota #camry #consistantlygood #keepongoing #elmoretoyota</t>
  </si>
  <si>
    <t>Westminster, California</t>
  </si>
  <si>
    <t>elmoretoyota</t>
  </si>
  <si>
    <t>camry</t>
  </si>
  <si>
    <t>consistantlygood</t>
  </si>
  <si>
    <t>toyota</t>
  </si>
  <si>
    <t>alessandra_evermore</t>
  </si>
  <si>
    <t>1588227110349293455_3424163290</t>
  </si>
  <si>
    <t>Sunset yoga "enlightened" by a kite in the sky 😏 take your space. Say what you think. Try something new. It's all right there ✨ #ready4more</t>
  </si>
  <si>
    <t>East Wittering, West Sussex, United Kingdom</t>
  </si>
  <si>
    <t>1588228192328854041_1571021823</t>
  </si>
  <si>
    <t>#niemambutów #running #runnergirl #training #keepongoing #moveonup #letsrun #marathontraining #marathoner #biegambolubię 🏃‍♀️</t>
  </si>
  <si>
    <t>niemambutów</t>
  </si>
  <si>
    <t>marathoner</t>
  </si>
  <si>
    <t>letsrun</t>
  </si>
  <si>
    <t>hashtaggurl</t>
  </si>
  <si>
    <t>1588228404586841608_234579781</t>
  </si>
  <si>
    <t>#love #beyou #happy #faith #keepongoing #love #qotd #truth #lifeisajourney</t>
  </si>
  <si>
    <t>pattycake.b</t>
  </si>
  <si>
    <t>1588228481904029237_2106880986</t>
  </si>
  <si>
    <t>Half way there! 🤔💃💪✌💞💕
#goals #determination #motivation #love #family #future #support #blessed #survivor #onelife #ownit #keepongoing #believe #believeinyourself #positivevibes #laugh #livelife .</t>
  </si>
  <si>
    <t>501buttonfly</t>
  </si>
  <si>
    <t>1588238203671679277_659302272</t>
  </si>
  <si>
    <t>A little doodle, Working on trying to get my depth and with color crayons😜 #drawing #flowers #art #crayons #keepongoing #needtodrawmore</t>
  </si>
  <si>
    <t>crayons</t>
  </si>
  <si>
    <t>1588240979705840665_181449664</t>
  </si>
  <si>
    <t>Så er dagen skudt i gang 😃MorgenMads menuen består Cheasy youghurt med skovbær, chiafrø, lidt granatæble-müsli og 10 mandler. On the side en banana (ialt 328 kcl)og vitaminer for at holde den gamle krop i skak. Hvilket jeg skal blive bedre til😏 Ellers står den på hjemmearbejde og træning senere 🤓😃😅 Hav en god dag 😃 #morgenmad #mitlivibilleder #sundmad #vægttab #keepongoing #udafcomfortzonen #nydlivet #chiagrød #vitamin</t>
  </si>
  <si>
    <t>chiagrød</t>
  </si>
  <si>
    <t>nydlivet</t>
  </si>
  <si>
    <t>1588255756398837303_2112347490</t>
  </si>
  <si>
    <t>Working hard for something we ❤ is called passion. 😎🏆
.
.
.
.
#beachvolleyball #TrustTheProcess #passion #gym #workout #fun #love #TrustTheProcess #keepongoing #relentless #nutrigenfitness #gettingstronger #allin #fitness #healthylife #health</t>
  </si>
  <si>
    <t>Virgin Active Gym - The Point</t>
  </si>
  <si>
    <t>relentless</t>
  </si>
  <si>
    <t>allin</t>
  </si>
  <si>
    <t>1588256106857009665_3176267654</t>
  </si>
  <si>
    <t>Never hide your wings. 
#lpfboutique #nailbar #prettynails #igdaily #nudelook #withatwist #details #nailstagram #passion #nailsofinstagram #nailpolish #naildesign #nails2inspire #nailitdaily #nailsofig #nailboutique #followme #instabeauty #lpfnails #keepitsimple #mapurefolie #summerlook #picturelove #sandnails #thermonails #hawkers #accessories #keeponworking #keepongoing #dontsettleforless</t>
  </si>
  <si>
    <t>designinbelgium</t>
  </si>
  <si>
    <t>1588261768596086773_235530430</t>
  </si>
  <si>
    <t>M.O.O.D #moodygrams #instastyle #funnyquotes #tiredaf #keepongoing</t>
  </si>
  <si>
    <t>funnyquotes</t>
  </si>
  <si>
    <t>tiredaf</t>
  </si>
  <si>
    <t>instastyle</t>
  </si>
  <si>
    <t>1588266458801826979_1684424176</t>
  </si>
  <si>
    <t>1588274474846675392_5495249433</t>
  </si>
  <si>
    <t>Decide who you want to be and make it happen! Only ourselves hold the power to make the change 💜 no one can do it for us!</t>
  </si>
  <si>
    <t>wonder_how_amazing</t>
  </si>
  <si>
    <t>1588274549656720991_499829617</t>
  </si>
  <si>
    <t>#throwbackthursday 🖤 yesterdays workout 💪🏻 keep on going .... #throwback #sport #sports #gym #gymselfie #fit #fitness #train #training #body #gymtime #fitnessmotivation #mood #happyme #girl #igers #igersgraz #motivation #justdoit #gymselfie #summer #lovely #instasport #trainhard #instagood #me #keepongoing #work #workforit</t>
  </si>
  <si>
    <t>thecrowncollectors</t>
  </si>
  <si>
    <t>1588275953498822203_5819194618</t>
  </si>
  <si>
    <t>Work it, work it!!! Juggle those balls girlfriend you got this!!! I really strongly dislike the word #busy- how often do you hear people say that word with a miserable sigh. 
Life is FULL and the juggle is real!! Sometimes you drop the ball and that's ok! #keepongoing #jugglethoseballs #yougotthis #nevergiveup</t>
  </si>
  <si>
    <t>jugglethoseballs</t>
  </si>
  <si>
    <t>busy</t>
  </si>
  <si>
    <t>wt_fitness_</t>
  </si>
  <si>
    <t>1588277289225629416_2026356241</t>
  </si>
  <si>
    <t>Dont give up. Ever. #fitsporation #fitnessmotivation #fitgirls #gym #legday #fit #strong #stronger #stronggirl #heavylifting #beyourbest #dontgiveup #keepongoing #motivation #motivate</t>
  </si>
  <si>
    <t>fitgirls</t>
  </si>
  <si>
    <t>fitsporation</t>
  </si>
  <si>
    <t>melissa_konigs_jewelry</t>
  </si>
  <si>
    <t>1588277362826825584_2265278796</t>
  </si>
  <si>
    <t>Skills​ improvement: self setted ring :) #preciousstones #stonesetter #pushingtechnicalskills #setter #jewellerydesign #learning #goldsmith #ring #bench #handmadejewellery #keepongoing</t>
  </si>
  <si>
    <t>stonesetter</t>
  </si>
  <si>
    <t>preciousstones</t>
  </si>
  <si>
    <t>jewellerydesign</t>
  </si>
  <si>
    <t>bench</t>
  </si>
  <si>
    <t>zoviism</t>
  </si>
  <si>
    <t>1588277965177763336_4297193658</t>
  </si>
  <si>
    <t>keep on keepin' on!
.
.
.
#keeponkeepinon #keepon #keepongoing #calligraphy #calligraphie #letteringcommunity #lettering #typography #font #fonts #quotes #quote #sketchbook #sketching #arttherapy #blackandwhite #zoviism 
@thedailytype</t>
  </si>
  <si>
    <t>typography</t>
  </si>
  <si>
    <t>letteringcommunity</t>
  </si>
  <si>
    <t>calligraphie</t>
  </si>
  <si>
    <t>fonts</t>
  </si>
  <si>
    <t>1588280947765439551_5409757454</t>
  </si>
  <si>
    <t>"Always turn negative situations into positive situations" - Michael Jordan
.
.
.
Yes you have the power to look into the good.  See the hood in everything!
.
.
.
#Bepositive #positivemindset #livelifetothefull #seethegood #seethegoodineverything #believeyoucan #befearless #keeponmoving #keeponlearning #keepondoing #keepongoing #keeponbelieving #believeinyou #goodhabits #achieve #achieveyourdreams #achieveyourgoals #believeinyourdream #believeinyourselfie #keepthefaith #neverstoplearning  #positivequotes #positivevibes #positiveminds #trustandbelieve #trustyourgut #yesyoucan #neverstoptrying #neverstopdoing #youcandoit</t>
  </si>
  <si>
    <t>1588296512852856435_429036895</t>
  </si>
  <si>
    <t>Yesterday I had a great leg workout. When you enjoy the sports you do it is a lot easier to stay motivated. 
Eyes on the price they would say... Every step forward is one step closer. Keep on going and stay motivated. The end of the road is one step closer today😊❤ #daretoshare #bodylove #selflove #foodlover  #fitnessjourney #progress #fitness #fitdutchie #weightlifting #girlwholifts #fitfam #curves  #bodyandmind #gymlife #recovering #bootygrow #dedication #hardwork #keepongoing #strenght #grow #girlonamission #effort #girlpower</t>
  </si>
  <si>
    <t>draganarakusic</t>
  </si>
  <si>
    <t>1588306405117682495_2283585304</t>
  </si>
  <si>
    <t>#decisionsdecisions #quoteoftheday  #quotes #citati #therearealwaysconsequences #keepongoing</t>
  </si>
  <si>
    <t>decisionsdecisions</t>
  </si>
  <si>
    <t>citati</t>
  </si>
  <si>
    <t>therearealwaysconsequences</t>
  </si>
  <si>
    <t>1588315608209879146_274727915</t>
  </si>
  <si>
    <t>Enjoying my view after running 7,5km #morningrun #myviewisbetterthanyours #keeponrunning #whitecate #nature #healthylifestyle #sporting #running #nevergiveup #keepongoing #workout #gohardourgohome #catoninstagram #outside #healthy #7,5km #54min #alwaysmore #lovephotos #naturephotography #photography #myview #ourgarden #picoftheday #l4l</t>
  </si>
  <si>
    <t>sporting</t>
  </si>
  <si>
    <t>54min</t>
  </si>
  <si>
    <t>1588315782702381098_297558307</t>
  </si>
  <si>
    <t>GM😁🌅Warriors🏹! 💫Day 33/45 summer challenge 2017 "Neither a wise man nor a brave man lies down on the tracks of history to wait for the train of the future to run over him."- Dwight D. Eisenhower.  Daily 8K🏃🏼‍♀️💨 in the company of my fav dj #tiesto #clublifebytiesto #free #fitmom #fitmama #fitgirl #fitness #fitnessaddict #run #runner #running #rundancing #mamaenforma #mamacorriendo #kikasporty #gim #gimnasio #gymgirl #gymgirl #gymlife #gymaddict #gymaholic #keeptrying #keepmoving #keepstrong #keepongoing #myanchor #mypassion #myhappyplace #summerchallenge2017</t>
  </si>
  <si>
    <t>1588317674777419961_2317517565</t>
  </si>
  <si>
    <t>5 kegler med 3 meter mellem hver. Høje knæ eller Big Jumps for at komme frem til næste kegle, hvor du  laver 3 armstrækkere. Videre hen til næste kegle. Gentag gentag gentag. •••
Fed øvelse fra RiceGym træningen i morges.
•••
#mortentillitzdk  #whatwouldbeyoncedo #toldyouso #tropådet #personligtræner #personaltrainer #cycling #Cykling #styrketræning #løb #Svømning #Swim #running #stronger #personligtræner #mitodense #fitfam #ﬁtfamdk #actionequalsresults #handlingskabersucces #helkropstræning #fullbody #SunRiceClubbyMortenTillitzDK #mentalpause #blivved #keepongoing #styrketræning #painfree #smertefri #søvn #sleep #mitodense</t>
  </si>
  <si>
    <t>kate_gorien</t>
  </si>
  <si>
    <t>1588323307324701626_695447433</t>
  </si>
  <si>
    <t>Good morning in the morning 😚 wünsche euch allen einen schönen Donnerstag! Werde versuchen jetzt mal wieder öfter hier zu sein, in letzter Zeit war es leider mehr als stressig 😶 hab auch mein Sportptogramm mehr als vernachlässigt und ehrlich gesagt, habe ich nicht grade das krasseste Sportptogramm - ich glaube Sportptogramm is auch nicht grade der passende Ausdruck dafür- ich würde es eher notwendige, gelegentliche Bewegung, mit dem Ziel dauerhaft Gewicht zu reduzieren nennen... 😅 aber ab jetzt wird wieder weiter gemacht ! Fünf Kilo sind noch dran und dann is gut. Das Foto hat eigentlich auch nix mit Training zutun, ich trainiere ungeschminkt - denn so wie ich im gesicht schwitze wäre da nachher nur noch eine bunte Pfütze auf dem Boden #eklig  #keepongoing #faultier #brownhair #girl #instagirl #zopf #diet #instamood #bodyshape #bodyweighttraining #makeup #swet #diät #sportmuffel #mädchen #instafun</t>
  </si>
  <si>
    <t>eklig</t>
  </si>
  <si>
    <t>instagirl</t>
  </si>
  <si>
    <t>bodyweighttraining</t>
  </si>
  <si>
    <t>instafun</t>
  </si>
  <si>
    <t>1588326308089604466_185195397</t>
  </si>
  <si>
    <t>Keep going, focus on what you appreciate; you are worth it! 🙌❤️ Happy Thursday!
.
.
.
#keepongoing #persevere #youareworthit #youareloved #youareenough #youareamazing #youaremagnificent #amazingsunrise #charlestonsc #clarity #cakidiehl #worththeeffort #breatheinbreatheout #bepresent #beyou #choosejoy #chooselove #kindnessmatters #compassionmatters #joyfullife #appreciatelife #mindful #makeitcount #meditatedaily #rundaily #runhappy #mindfullness #abundantlife</t>
  </si>
  <si>
    <t>magsness</t>
  </si>
  <si>
    <t>1588331779190085485_819904760</t>
  </si>
  <si>
    <t>My favourite poem to this day. I wasn't always told I can do and be anything I want but I decided I could and that's what I told myself from then on. Whether you think you can or you can't - you're right, so keep on going and never give up. 
#persistence #keepongoing #positiveaffirmations #believe #dreams #innerchild #listentoyourheart #gutsoverfear #inspiration #motivation #upliftyourself #upliftothers #poetry #whatyoubelievewillbe #bebrave #mantra #alwaysgrateful</t>
  </si>
  <si>
    <t>innerchild</t>
  </si>
  <si>
    <t>fiona2fiona</t>
  </si>
  <si>
    <t>1588331797761213193_4465490577</t>
  </si>
  <si>
    <t>不要只看著時鐘的運行，要切實執行，並不斷前進。🏃🏃🏃
#keepOnGoing</t>
  </si>
  <si>
    <t>1588335659072721616_5586814877</t>
  </si>
  <si>
    <t>These are 👌🏻Perfect desk snack 🍒
#fooddiary #slimmingworld #sw #slimmingworldfood #slimmingworldjourney #health #happiness #selfimprovement #bethebestyou #keepongoing #nomorestartingover</t>
  </si>
  <si>
    <t>weightwatchercoupleonajourney</t>
  </si>
  <si>
    <t>1588338586879776864_4659085416</t>
  </si>
  <si>
    <t>Yes! 😍🌈so thankful for a fresh New day!
#newday #joycomesinthemorning #ww #wwsisters #wwsp #wwsupport #wwsisterhood #moveon #freshday #freshdays #beginagain #brushitoff #healthylife #healthylifestyle #itsanewday #thursday #thursdaymotivation #motivationalquotes #motivation #forgiveyourself #livewhatyoupreach #emerge #weightwatchers #weightwatcherswashington #keepongoing #keeponkeepingon</t>
  </si>
  <si>
    <t>joycomesinthemorning</t>
  </si>
  <si>
    <t>emerge</t>
  </si>
  <si>
    <t>ww</t>
  </si>
  <si>
    <t>wwsisters</t>
  </si>
  <si>
    <t>wwsupport</t>
  </si>
  <si>
    <t>1588342654641399264_4739378376</t>
  </si>
  <si>
    <t>Thursday...a day full of lashes🍦
.
.🌸Web》 www.waxxxandbronze.com
.🌸Add》 45 Yarra Street Geelong 3320
.🌸ph 》 03 5229 2630
.
.#clients #amazingclients #blessing #keepongoing #workhard #thesebeauties #lashlife #lashmenow  #geelonglashes #centralgeelong #lashfordays #amazing #lovelife #salongeelong #auslashes #falsies #silklashes #classiclashes #eyelashextensions #eyelashes #waxingsalon #bikiniwax ##eyebrowshaping #waxing #geelong</t>
  </si>
  <si>
    <t>geelong</t>
  </si>
  <si>
    <t>centralgeelong</t>
  </si>
  <si>
    <t>eyelashes</t>
  </si>
  <si>
    <t>1588343481154210345_4739378376</t>
  </si>
  <si>
    <t>Fab lashes for a fab gal x
🦄⚡
.
.🌸Web》 www.waxxxandbronze.com
.🌸Add》 45 Yarra Street Geelong 3320
.🌸ph 》 03 5229 2630
.
.#clients #amazingclients #blessing #keepongoing #workhard #thesebeauties #lashlife #lashmenow  #geelonglashes #centralgeelong #lashfordays #amazing #lovelife #salongeelong #auslashes #falsies #silklashes #classiclashes #eyelashextensions #eyelashes #waxingsalon #bikiniwax ##eyebrowshaping #waxing #geelong</t>
  </si>
  <si>
    <t>1588345281475371634_4739378376</t>
  </si>
  <si>
    <t>Get lashed today!!
.and
.for an alternative to extensions our girl Beauty Therapist Prue is offering Lash Lifts ❤
.
.🌸Web》 www.waxxxandbronze.com
.🌸Add》 45 Yarra Street Geelong 3320
.🌸ph 》 03 5229 2630
.
.#clients #amazingclients #blessing #keepongoing #workhard #thesebeauties #lashlife #lashmenow  #geelonglashes #centralgeelong #lashfordays #amazing #lovelife #salongeelong #auslashes #falsies #silklashes #classiclashes #eyelashextensions #eyelashes #waxingsalon #bikiniwax ##eyebrowshaping #waxing #geelong #lashlift #lashes #coffeehub #lashtint</t>
  </si>
  <si>
    <t>coffeehub</t>
  </si>
  <si>
    <t>itsallaboutthabenjamins</t>
  </si>
  <si>
    <t>1588348320526702257_1107075391</t>
  </si>
  <si>
    <t>Play better than anyone else....👌😎💯 repost @millionairemafiainc 
#donthatethegamehatetheplayer#progresstakestime#playbetter#fuckem#keepongoing#focus</t>
  </si>
  <si>
    <t>donthatethegamehatetheplayer</t>
  </si>
  <si>
    <t>progresstakestime</t>
  </si>
  <si>
    <t>fuckem</t>
  </si>
  <si>
    <t>millionairemafiainc</t>
  </si>
  <si>
    <t>1588350671785513956_4324726430</t>
  </si>
  <si>
    <t>Play better than anyone else....👌😎💯
#donthatethegamehatetheplayer#progresstakestime#playbetter#fuckem#keepongoing#focus</t>
  </si>
  <si>
    <t>1588360550764364110_1684424176</t>
  </si>
  <si>
    <t>@millionaireimage #itsthatsimple 
___________________________ 
#millionaireimage #doitforyourself #betterme #beyourown #keeponkeepingon #workforwhatyouwant  #marketingsolutions #encourageyourself #bethechangeyouwanttosee #youvegotthis  #millionairequotes #inspirationalthoughts #positivepeople #americanbusiness #quoteme  #strategize #seemslegit #youdoyou #inspirationalpost #businessownership #businessisbusiness #keepongoing #selfconfidence #bewhoyouare #itsthatgood #bewhatyouwanttobe #itsthattime #socialinfluencers #socialize</t>
  </si>
  <si>
    <t>1588361374282339351_1684424176</t>
  </si>
  <si>
    <t>1588366340925435878_1684424176</t>
  </si>
  <si>
    <t>jessie_marchena</t>
  </si>
  <si>
    <t>1588376831793380361_23726153</t>
  </si>
  <si>
    <t>Yessss where I was and where I am proud of my self #keepongoing#</t>
  </si>
  <si>
    <t>derosekensington</t>
  </si>
  <si>
    <t>1588384323525146256_25512485</t>
  </si>
  <si>
    <t>ⓓⓔⓡⓞⓢⓔⓜⓔⓣⓗⓞⓓⓢⓞⓤⓣⓗⓚⓔⓝ
Obstacles and difficulties are part of life.
And life is the art of overcoming them."
DeRose
#keepongoing #derosemethod #coreography #derose</t>
  </si>
  <si>
    <t>DeRose Method South Kensington</t>
  </si>
  <si>
    <t>concentration</t>
  </si>
  <si>
    <t>earlscourt</t>
  </si>
  <si>
    <t>southkensington</t>
  </si>
  <si>
    <t>fabey.ks</t>
  </si>
  <si>
    <t>1588389674459977146_5788535701</t>
  </si>
  <si>
    <t>Keep on going and your aim will come closer and closer ✌😏 #pictureoftheday #picoftheday #potd #nofilter #filterless #dungeon #kasematten #luxembourg #luxemburg #sunday #eng #Licht #Urlaub #steinig #Grotten #krypta #Burg #way #weg #cold #kalt #tief #Tunnel #Grotte #nice #keepongoing #keinfilter</t>
  </si>
  <si>
    <t>Casemates Luxembourg</t>
  </si>
  <si>
    <t>tief</t>
  </si>
  <si>
    <t>luxembourg</t>
  </si>
  <si>
    <t>steinig</t>
  </si>
  <si>
    <t>urlaub</t>
  </si>
  <si>
    <t>1588399597250840604_279512262</t>
  </si>
  <si>
    <t>Old Moscow😍
Так привыкла гулять по Китай-городу, что теперь чувствую некоторую тревогу, когда долго там не оказываюсь.
.
#vscogood #seemymoscow #moscow #mood #moscowlife #abmlife #authentic #abmhappylife #abmlifeissweet #abmlifeiscolorfull #daily #dreamers #vsco #vibes #vscocam #keepongoing #keepcalm #keeponwalking #lifeex #livelife #livestory #liveauthentic #livealittle #picoftheday #architecturephotography</t>
  </si>
  <si>
    <t>Иоанно-Предтеченский Женский Монастырь</t>
  </si>
  <si>
    <t>marspw123</t>
  </si>
  <si>
    <t>1588400838313200868_2899822841</t>
  </si>
  <si>
    <t>healthyeatingtips</t>
  </si>
  <si>
    <t>with</t>
  </si>
  <si>
    <t>psalms</t>
  </si>
  <si>
    <t>lovesports</t>
  </si>
  <si>
    <t>4kiddos</t>
  </si>
  <si>
    <t>1588402441182225914_206226910</t>
  </si>
  <si>
    <t>"Education is the most powerful weapon you can use to help change the world" 🌍 #NelsonMandela
#Strength #Wisdom and the #Power #KeepOnGoing #Warrior #lawofattraction #wealth #mind #abundance #consciousness #positive #knowledge #power #spiritual #love #karma #prosperity #energy #universe #universe #staypositive #believe #higherlearning #goodtimes #loa #manifest #Affirmations #quantumphysics #love #Life</t>
  </si>
  <si>
    <t>affirmations</t>
  </si>
  <si>
    <t>1588403567160964909_4091599099</t>
  </si>
  <si>
    <t>Sliding doors against dark timber flooring. CABÜ cabins are entirely bespoke and can be for residential or commercial use.  Contact mail@cabu.co.uk for more information
.⠀
.⠀
.⠀
.⠀
.⠀
.⠀
.⠀
.⠀
.⠀
.⠀
#cabin #cabinlife #cabinfever #detail #design #architecture #archilovers #hygge #lettherebelight #nature #wilderness #cabucabins #hiddengem #roamtheplanet #thegreatoutdoors #getlost #escape #instagood #photooftheday #architectureporn #modern #furniture #keepongoing #letsgoheat</t>
  </si>
  <si>
    <t>roamtheplanet</t>
  </si>
  <si>
    <t>getlost</t>
  </si>
  <si>
    <t>modern</t>
  </si>
  <si>
    <t>greta_charlotta</t>
  </si>
  <si>
    <t>1588403753799573295_407896839</t>
  </si>
  <si>
    <t>Work work work - new projects in progress. 
#work #working #project #brainstorming #newproject #homeoffice #butfirstcoffee #keepongoing #bigdreams #stepbystep #malta #islandlife #travel #interior #instamood #instawork #instagood #igers #gretacharlotta</t>
  </si>
  <si>
    <t>Mellieħa</t>
  </si>
  <si>
    <t>bigdreams</t>
  </si>
  <si>
    <t>malta</t>
  </si>
  <si>
    <t>butfirstcoffee</t>
  </si>
  <si>
    <t>interior</t>
  </si>
  <si>
    <t>1588405927579996439_5620542121</t>
  </si>
  <si>
    <t>Back workout 2 done. No filter no special light just a few tiny little gainz on my back 💪🙌 @loyalfitness 10% discount Joro10
#loyalfitness #zkonzept #smallgainz #workout #backworkout #dreambig #staystrong #stayhungry #gainzcomingsoon #gainz #nofilter #nopainnogain #keepongoing #workonit #instapic #fitness #fit #fitfam #fitfamcologne #bodybuilding #olimp #optimumnutrition #esn #backgains #beyourownhero #beliveinyou #neverquit #gym #allforthegainz #focusonyourgoals</t>
  </si>
  <si>
    <t>esn</t>
  </si>
  <si>
    <t>olimp</t>
  </si>
  <si>
    <t>beliveinyou</t>
  </si>
  <si>
    <t>veronikazibelnikfit</t>
  </si>
  <si>
    <t>1588409951821302307_4770705733</t>
  </si>
  <si>
    <t>Working on my shoulders.💪 My arms are so stubborn but I'm not letting that get to me. I will keep on trying until I get them the way I want them. 😉
.
.
.
#keepongoing #nevergiveup #shouldersday</t>
  </si>
  <si>
    <t>stubbornshoulders</t>
  </si>
  <si>
    <t>prep</t>
  </si>
  <si>
    <t>ifbbbikini</t>
  </si>
  <si>
    <t>joshua127000</t>
  </si>
  <si>
    <t>1588410698073196153_1504906268</t>
  </si>
  <si>
    <t>《Fellowship &amp; Friendship &amp; Discipleship》
同心同行能走得更遠！
繼續忠心建造教會！
謝謝親愛的門徒們送的禮物，精心製作的立體卡片！
#KeepOnGoing 
#LovingJesus
#LovingPeople
#有你們真好</t>
  </si>
  <si>
    <t>墾丁 Kending</t>
  </si>
  <si>
    <t>有你們真好</t>
  </si>
  <si>
    <t>lovingpeople</t>
  </si>
  <si>
    <t>lovingjesus</t>
  </si>
  <si>
    <t>mjow_</t>
  </si>
  <si>
    <t>1588414534409031643_2519500602</t>
  </si>
  <si>
    <t>Nobody says it was easy!  #fitness #lostweight #motivation #gym #lost22kilo #healty #feelsgood #feeling #happy #workspaysoff #skinny #notthereyet #keepongoing #black #white #myself #mirrorselfie</t>
  </si>
  <si>
    <t>notthereyet</t>
  </si>
  <si>
    <t>mypogba_6</t>
  </si>
  <si>
    <t>1588414718891162930_5928920841</t>
  </si>
  <si>
    <t>Matic &amp; Pogba are celebrating the second victory against Swansea⚽🙈#keepongoing#devils</t>
  </si>
  <si>
    <t>devils</t>
  </si>
  <si>
    <t>argokeshishyan</t>
  </si>
  <si>
    <t>1588417730318854095_4705964958</t>
  </si>
  <si>
    <t>1st day in Greece, having grand opening of my new Hotel... #HaveFun #keepongoing #greece</t>
  </si>
  <si>
    <t>Argo Hotel Mykonos</t>
  </si>
  <si>
    <t>havefun</t>
  </si>
  <si>
    <t>greece</t>
  </si>
  <si>
    <t>delia_fitness_journey2016</t>
  </si>
  <si>
    <t>1588424046788452215_3024843618</t>
  </si>
  <si>
    <t>#weightlossjourney #fitnessjourney #mymotivation #keepongoing #goodhabits #nevergiveup #fitnessgoals #workhardplayharder #mealprep #desire #dedicationhasnolimitation</t>
  </si>
  <si>
    <t>1588428117628875798_2813503554</t>
  </si>
  <si>
    <t>Heute war #legday und ich habe das erste mal die 270kg + Platte gedrückt. 
Hat wieder ordentlich rein gehauen. 
#fitfam #fitnesslifestyle #fitnessmotivation #mcfit #instafit #mcfitleverkusen #nevergiveup #notadream #nopainnogain #noexcuses #legday #keepongoing #trainhard #diefatdie #weightloss #muscle #bodybuilding #koalakingz</t>
  </si>
  <si>
    <t>koalakingz</t>
  </si>
  <si>
    <t>1588432562005494257_2813503554</t>
  </si>
  <si>
    <t>Hier noch ein kleines Video vom #legday mit 105 KG ✌
#fitfam #fitnesslifestyle #fitnessmotivation #legday #nevergiveup #nopainnogain #keepongoing #trainhard #instafit</t>
  </si>
  <si>
    <t>1588436963097174993_5705167414</t>
  </si>
  <si>
    <t>3🏀0🏀  #Dubnation
-
-
-
-
-
-
-
-
-
-
-
-
-
-
-
-
-
-
-
-
-
-
-
-
-
-
-
-
-
-
-
-
-
-
-
-
-
-
-
-
 #StephGonnaSteph #Mvp #SC30 #KT11 #DG23 #CURRYMVP #KEEPONGOING #NEVERGIVEUP #WCF #WEST #WESTERNCONFERENCEFINALS #CHAMPS #DUBSFORCHAMPS #DUBS #ALWAYSBELIEVEINGOD #STEPHENCURRY #EVEN #NBA #2016CHAMPS #CHAMPIONS #LOCKIN #STEPH #SPLASH #SPLASHBROS  #like4like #like4follow #follow4follow</t>
  </si>
  <si>
    <t>1588438011784190462_216089260</t>
  </si>
  <si>
    <t>Attitude - gratitude- altitude</t>
  </si>
  <si>
    <t>be_ft</t>
  </si>
  <si>
    <t>1588441394714787068_38022195</t>
  </si>
  <si>
    <t>Foto: @michele_bartolo "Don't ask my opinion
Don't ask me to lie
Then beg for forgiveness
For making you cry
Making you cry
'Cause I'm only human after all
I'm only human after all
Don't put your blame on me
Don't put the blame on me" Rag'n'Bone Man. #pictures #photography #photoshoot #boudoir #happywithmyself #keepgrowing #keepchanging #keepongoing</t>
  </si>
  <si>
    <t>keepchanging</t>
  </si>
  <si>
    <t>happywithmyself</t>
  </si>
  <si>
    <t>boudoir</t>
  </si>
  <si>
    <t>1588441550936808755_1684424176</t>
  </si>
  <si>
    <t>whoamiftr</t>
  </si>
  <si>
    <t>1588442320768274028_4536711394</t>
  </si>
  <si>
    <t>#oops  I was so excited to finally find that missing link I'd been searching for, I spilt my tea all over me 😳
#dontgiveup #keepongoing #whoareyou #ancestors #family</t>
  </si>
  <si>
    <t>ancestors</t>
  </si>
  <si>
    <t>artofthedesignedlife</t>
  </si>
  <si>
    <t>1588446116530043943_2260601957</t>
  </si>
  <si>
    <t>It seems that we will be willing to do anything for money and to get as close to rich as possible. Why? Because we see others standing by speedboats and big houses. Really? 
Money is a great thing to have but to think you will be happier if you have more of it and stuff is an illusion. 
I've had money and I was miserable everyday because I wasn't fulfilled in what I was doing. Work is only work if you hate what you do, if you love what you do it isn't work it's a vocation and no money will replace that meaning in your life. 
Not every entrepreneur is about money and riches. 
Unless of course money is your top value then by all means go for it.
#
#artofthedesignedlife</t>
  </si>
  <si>
    <t>1588448617047641933_5890350039</t>
  </si>
  <si>
    <t>The never ending running road 😱 #10krun #stayfit #keepongoing #runhappy #nowreadyforwork</t>
  </si>
  <si>
    <t>10krun</t>
  </si>
  <si>
    <t>nowreadyforwork</t>
  </si>
  <si>
    <t>1588449418897919539_2317517565</t>
  </si>
  <si>
    <t>Dagens WOD:
Må beklage lyden. Tror min lydmand (@nazan.demirhan ) koger lidt efter den hårde træning😅
6 runder af:
10 x Stability Ball Crunch
5 x Military pres
10 x Snatch into lunge or squat
50 x Sjip
20 x Core Battlerope •••
#mortentillitzdk  #whatwouldbeyoncedo #toldyouso #tropådet #personligtræner #personaltrainer #cycling #Cykling #styrketræning #løb #Svømning #Swim #running #stronger #personligtræner #mitodense #fitfam #ﬁtfamdk #actionequalsresults #handlingskabersucces #helkropstræning #fullbody #SunRiceClubbyMortenTillitzDK #mentalpause #blivved #keepongoing #styrketræning #painfree #smertefri #søvn #sleep #mitodense</t>
  </si>
  <si>
    <t>dragonflydirection</t>
  </si>
  <si>
    <t>1588452423637485539_262559166</t>
  </si>
  <si>
    <t>Moving is a lot for anyone to take on, especially when your partner is out of town and can't be there to help.  Though a lot of progress has been made, I can't help but feel a little overwhelmed and sad from time to time.  Then I go check the mail and see that one of my dear friends sent me this gentle reminder that I've got everything I need and many people who are loving and supporting me in this moment.  Thank you friend, you made my week!</t>
  </si>
  <si>
    <t>loved</t>
  </si>
  <si>
    <t>youvegotafriendinme</t>
  </si>
  <si>
    <t>cheerup</t>
  </si>
  <si>
    <t>benprau_ocr</t>
  </si>
  <si>
    <t>1588455500110641557_261740006</t>
  </si>
  <si>
    <t>Throwback to Spartan UB -&gt; barbed wire crawl up the hill 😁..16 days till TRIFECTA weekend in Tirol/Austria🇦🇹 🗻
•
•
#tbt #throwbackthursday #slovakia🇸🇰 #spartanrace #WeAreSpartan #barbedwire #crawl #dirt #mudrun #ocr #ultrarunning #ultrabeast #beastmode #fight #fitnessmotivation #fitness #nevergiveup #keepongoing #loveit #lovemylife #trifectatribe #picoftheday #igers #instagood #sport #austria🇦🇹 #austrianblogger #iAmSpartan #AROO</t>
  </si>
  <si>
    <t>Slovakia</t>
  </si>
  <si>
    <t>dirt</t>
  </si>
  <si>
    <t>ocr</t>
  </si>
  <si>
    <t>1588456533795233253_2276900422</t>
  </si>
  <si>
    <t>Almost there.
#keepongoing #doitright #bootcamp #hardcore #fitnesscoach #functionalfitness #movement#empower #handstand #power #nopainnogain #gamechanger 
thank you @luis_in_turonno for the great tips on handstands 
follow us @leopardfitnessclub</t>
  </si>
  <si>
    <t>gamechanger</t>
  </si>
  <si>
    <t>bootcamp</t>
  </si>
  <si>
    <t>1588457740043477104_264942157</t>
  </si>
  <si>
    <t>💦⛰💦🏃🏻💦⛰💦 😅</t>
  </si>
  <si>
    <t>runshots</t>
  </si>
  <si>
    <t>fujilyte</t>
  </si>
  <si>
    <t>tough</t>
  </si>
  <si>
    <t>athenella92</t>
  </si>
  <si>
    <t>1588459438888196171_1317665382</t>
  </si>
  <si>
    <t>C a r p e • d i e m 💫
N u t z e • d e n • T a g 
Heute wirds noch ziemlich stressig 😥
Großeinkauf für die Geburtstagssause morgen bereits erledigt ✔️
Jetzt heim, alles ausladen, putzen, aufräumen und Kuchen 🎂 backen 💪🏼💪🏼💪🏼💪🏼💪🏼 #packenwiresan •
•
•
#carpediem #nutzedentag #stress #hustle #work #keepongoing #grosseinkauf #einkauf #aufräumen #putzen #dasbisschenhaushalt #backen #kuchenbacken #quotes #dailyquotes #instaquote #instadaily #writing #themeoftheday #blackandwhite</t>
  </si>
  <si>
    <t>grosseinkauf</t>
  </si>
  <si>
    <t>kuchenbacken</t>
  </si>
  <si>
    <t>backen</t>
  </si>
  <si>
    <t>dailyquotes</t>
  </si>
  <si>
    <t>hairby_amillie</t>
  </si>
  <si>
    <t>1588460536336820162_2020467308</t>
  </si>
  <si>
    <t>SHEESHHH ! Can we all take a freaking min and see this sh%^ ! Had to #rp this again ... I cannot stress how important that practice makes perfect ! And I'm still #learning ! So imagine my work in 5 years 🙌😝😜 #keepongoing #practice #practice #practice #dowhatyoulove #goforit #fullforce</t>
  </si>
  <si>
    <t>fullforce</t>
  </si>
  <si>
    <t>rp</t>
  </si>
  <si>
    <t>halfass_hippie</t>
  </si>
  <si>
    <t>1588468282336004976_5475698465</t>
  </si>
  <si>
    <t>My mantra today, and every day I'm struggling to stay afloat. I got this!
.
.
.
.
.
#zenstate #canttouchthis #igotthisshit #badmoms #mom lifestyle #singlemomlife #motivateyourself #keepongoing #chillaxed</t>
  </si>
  <si>
    <t>igotthisshit</t>
  </si>
  <si>
    <t>chillaxed</t>
  </si>
  <si>
    <t>zenstate</t>
  </si>
  <si>
    <t>1588470976847287068_1584949428</t>
  </si>
  <si>
    <t>"Осенний поцелуй после жаркого лета" играет в голове с утра:))) а на фото правда ещё - жаркий Испанский 😘😘😘🙈 #ревизорромосква #адвокатмосква #keepongoing</t>
  </si>
  <si>
    <t>Moscow, Russia</t>
  </si>
  <si>
    <t>адвокатмосква</t>
  </si>
  <si>
    <t>esme_solomoms</t>
  </si>
  <si>
    <t>1588473470545912435_3473645375</t>
  </si>
  <si>
    <t>We know it's hard now!  You really feel like you're struggling!  But it does get better, we promise! Keep on keeping on!  We are here, cheering you on every step of the way!  #keepongoing #persevere #positiveaction #positivevibes #strongwomen</t>
  </si>
  <si>
    <t>positiveaction</t>
  </si>
  <si>
    <t>1588474836311665215_5413152670</t>
  </si>
  <si>
    <t>Customer centric design means thinking about the health and well-being of the individual, rather than the specific things the individual uses.
.
This more comprehensive view requires broader thinking about your customer.
.
Do not think about the parts of your product in isolation, instead think about the whole person.
.
🤔 Double tap if you agree 😊
.
#designmatters #brandmatters</t>
  </si>
  <si>
    <t>baegoals</t>
  </si>
  <si>
    <t>customerfirst</t>
  </si>
  <si>
    <t>bernlarrea</t>
  </si>
  <si>
    <t>1588479135348874088_611101069</t>
  </si>
  <si>
    <t>Fastest mile #milestone 💪🏻🏃🏻‍♀️#keepongoing #justdoit 🏅😅</t>
  </si>
  <si>
    <t>milestone</t>
  </si>
  <si>
    <t>get_fit_wit_p</t>
  </si>
  <si>
    <t>1588482042261035995_3070473670</t>
  </si>
  <si>
    <t>Made some special juice. Belly sucker. Fiber,tea, and protein. Looks like I'll be peeing my life away today. Lol. #herbalife #portein #happy#change #keepongoing #dontstop #drinkup #icaniwill</t>
  </si>
  <si>
    <t>drinkup</t>
  </si>
  <si>
    <t>5melie</t>
  </si>
  <si>
    <t>1588484776300773065_1793732368</t>
  </si>
  <si>
    <t>Feeling #hopeful while I'm fighting will all my god damn cells and with all strength of my heart and soul 💜 #braid #braids #purplehair #greeneyes #nofilter #thislife #feelingconfused #fighting #wanttoreachmygoals #keepongoing #mytravel #playhardtowinhard #buildtoendorewhatthisworldthrowsatme #fightingwithmyself #Iwantsomuch #somuchchoice #successismental #wishmegoodluck #likethesituation #lovelife</t>
  </si>
  <si>
    <t>thislife</t>
  </si>
  <si>
    <t>mytravel</t>
  </si>
  <si>
    <t>somuchchoice</t>
  </si>
  <si>
    <t>braid</t>
  </si>
  <si>
    <t>arayofgolddust</t>
  </si>
  <si>
    <t>1588490421096889640_3435554229</t>
  </si>
  <si>
    <t>#Repost @soniadutta_tvradio (@get_repost)
・・・
"Education is the most powerful weapon you can use to help change the world" 🌍 #NelsonMandela
#Strength #Wisdom and the #Power #KeepOnGoing #Warrior #lawofattraction #wealth #mind #abundance #consciousness #positive #knowledge #power #spiritual #karma #prosperity #energy #universe #universe #staypositive #believe #higherlearning #goodtimes #loa #manifest #Affirmations #quantumphysics</t>
  </si>
  <si>
    <t>warrior</t>
  </si>
  <si>
    <t>emmalouwyatt</t>
  </si>
  <si>
    <t>1588490504914501422_201623884</t>
  </si>
  <si>
    <t>Survived! #unfit #run #running #keepongoing</t>
  </si>
  <si>
    <t>unfit</t>
  </si>
  <si>
    <t>life_of_a_victor</t>
  </si>
  <si>
    <t>1588491284183253439_4405432016</t>
  </si>
  <si>
    <t>I will admit this is something that really hit home with me yesterday. Being thankful even if the progress was small. I was reminded of the verse Habakkuk 3:19 which says: " The Lord God is my strength, my personal bravery, and my Invincible Army; HE makes my feet like hinds' feet and will make me to walk and make progress upon high places," 🙌🙌🙌🙌🙌🙌
It is easy to quit in hard times, it takes Faith to go through those Hard Times. Know that God wants to be with you to help you make progress. He wants to strengthen you and encourage you to "Keep On Keepin On!!"
No matter what happens around you or in your own life, live by faith and trust God to do what is right. #God #gives #opportunity #to #grow</t>
  </si>
  <si>
    <t>to</t>
  </si>
  <si>
    <t>lifeofavictor</t>
  </si>
  <si>
    <t>lucas.gois1</t>
  </si>
  <si>
    <t>1588495561575655653_506028279</t>
  </si>
  <si>
    <t>O importante eh manter a escalada seguro de si, determinado e focando cada suporte com o objetivo no topo.
@ronaldo.pasianot.fotografo
#escalada #sun #fitnesslifestyle #fit #keepongoing #keepontraining #TRAINING #train #trainer</t>
  </si>
  <si>
    <t>Academia Milagres</t>
  </si>
  <si>
    <t>escalada</t>
  </si>
  <si>
    <t>1588504280049079584_279512262</t>
  </si>
  <si>
    <t>🌸🌸🌸
В Москве меня застал дождь не хуже Петербургского) сразу вспомнилось, как умывалась его дождями, а после отпивалась кофейком в Подписных. У меня вместо них кофе дома на кухне и целый рюкзак вкусняшек из Лаш. Ммм. Люблю дожди.
.
#vscogood #попитерускучать #livy #latergram #lifeex #livelife #livealittle #livestory #liveauthentic #abmlife #authentic #abmcolorcontest #flowers #flowerslovers #dreamers #vsco #vibes #vscocam #keepongoing #madrussians</t>
  </si>
  <si>
    <t>Книжный магазин "Подписные издания"</t>
  </si>
  <si>
    <t>flowerslovers</t>
  </si>
  <si>
    <t>livestory</t>
  </si>
  <si>
    <t>_moshiix2</t>
  </si>
  <si>
    <t>1588506928643014526_938725424</t>
  </si>
  <si>
    <t>FACTS!! 🤘🏾🔥 #goodmorning #keepongoing</t>
  </si>
  <si>
    <t>seglemjean</t>
  </si>
  <si>
    <t>1588508422871977712_234376281</t>
  </si>
  <si>
    <t>#keepongoing#anotherday#sweatday#😍#💪🏼</t>
  </si>
  <si>
    <t>sweatday</t>
  </si>
  <si>
    <t>😍</t>
  </si>
  <si>
    <t>laralila_xx</t>
  </si>
  <si>
    <t>1588509600808805954_1482259257</t>
  </si>
  <si>
    <t>My new Video - check it out!!! Hope You like it guys!!! This Choreo means a lot to me because it's one of my first choreos this year with my first real Dancehall Impressions in dancing I ever got - and I only got cos of wonderful powerwomen from Europe and Germany who push this scene so hard!!! I'm so thankful that I can connect my passion for dancehall music with my passion to Dance!!!! ❤️❤️❤️ FINALLY!!!! this piece now is mixed by some original steps and steps combined with a bit of my own feeling! So this is actually me! Enjoy! ❤️ check out  @wanna_dance_company @cell_ojo @marthevg who doing so Great work in Germany!  Video by @cey_jk  Edit by me! 😎  some used steps (I just forgot a few names 🙈😩): #happyjook #toobadforyou #chromewine stylish moves by @latonyastyle @stylishmoves #jiggleit #originalrudegirl #boomponit and of course the #sexychocolat by #marthevangeel 😎 #dancehall #dance #nolie #seanpaul @duttypaul #newpiece #choreography #shoot #startrightintotheweek #newchapter #keepongoing #mypassion #glad and #lucky #wuppertal #tanzfabrikwuppertal</t>
  </si>
  <si>
    <t>seanpaul</t>
  </si>
  <si>
    <t>toobadforyou</t>
  </si>
  <si>
    <t>shoot</t>
  </si>
  <si>
    <t>dancehall</t>
  </si>
  <si>
    <t>_martiuxx_</t>
  </si>
  <si>
    <t>1588510342504309107_477902936</t>
  </si>
  <si>
    <t>Don't turn right !! 😅 #crazyex #nowayjose #keepongoing</t>
  </si>
  <si>
    <t>nowayjose</t>
  </si>
  <si>
    <t>crazyex</t>
  </si>
  <si>
    <t>singjyotii</t>
  </si>
  <si>
    <t>1588510846013933997_4471441577</t>
  </si>
  <si>
    <t>Just like #magic , I'll be flying free
I'mma disappear when they come for me😬
#justlikefire #madness #onemoretime #madworld #vivavideo #expressive #nautanki #hood #white #instafilter #instagood#timepass #stressbuster #smile #itsfree #keepongoing #video #colourful #charade #lighttheworld #noonecanbeyou</t>
  </si>
  <si>
    <t>charade</t>
  </si>
  <si>
    <t>madworld</t>
  </si>
  <si>
    <t>itsfree</t>
  </si>
  <si>
    <t>frontlineautojer</t>
  </si>
  <si>
    <t>1588511367777022295_4991812217</t>
  </si>
  <si>
    <t>Needed this quote today so I thought I'd share! 
#boss #bossdad #stevemartin #inspirationalquotes #keepongoing #motivationalquotes #motivation #inspire #positivethinking #focus #positivity #share #success #believe #entrepreneur #entrepreneurlife</t>
  </si>
  <si>
    <t>bossdad</t>
  </si>
  <si>
    <t>stevemartin</t>
  </si>
  <si>
    <t>1588514649275863330_2899822841</t>
  </si>
  <si>
    <t>Let your Faith be bigger then your Fear
After being really emotional yesterday and wanting to quit everything. I got up this morning with a new adittude a new goal and a new day. 
Yesterday has gone, tomorrow is not here yet so we work for today. 
God is wonderful.</t>
  </si>
  <si>
    <t>fogiveyourself</t>
  </si>
  <si>
    <t>dontlikedishes</t>
  </si>
  <si>
    <t>buildshoulders</t>
  </si>
  <si>
    <t>1588517038140378957_5705167414</t>
  </si>
  <si>
    <t>Can't believe that i forgot it was Seth's birthday yesterday😰, well happy birthday Seth!!! #Dubnation
-
-
-
-
-
-
-
-
-
-
-
-
-
-
-
-
-
-
-
-
-
-
-
-
-
-
-
-
-
-
-
-
-
-
-
-
-
-
-
-
 #StephGonnaSteph #Mvp #SC30 #KT11 #DG23 #CURRYMVP #KEEPONGOING #NEVERGIVEUP #WCF #WEST #WESTERNCONFERENCEFINALS #CHAMPS #DUBSFORCHAMPS #DUBS #ALWAYSBELIEVEINGOD #STEPHENCURRY #EVEN #NBA #2016CHAMPS #CHAMPIONS #LOCKIN #STEPH #SPLASH #SPLASHBROS  #like4like #like4follow #follow4follow</t>
  </si>
  <si>
    <t>drbroni</t>
  </si>
  <si>
    <t>1588528465883569086_975336244</t>
  </si>
  <si>
    <t>Throwback to when I was in Spain on first family holiday in 15 years. Going on a family holiday was one of my top 4 goals of 2017 and it all came together so effortlessly!
•
I've been really thinking about my other top goals as I head into the last quarter of the year. At times I start to think "oh man, I am way behind, hurry hurry!" The mind deposits these ideas of not doing or being enough and it can weaken me for a moment. It is so interesting that in every moment of our lives we have this choice: you can either be a host to GOD or a hostage to the ego.
•
Every Thursday, I like to take the time to be alone with my thoughts - so I can hear the whispers of the universe/God. During this time I intentionally unpack my ideas and ponder on them. I like to call these days Thinking Thursdays 👊🏿
•
This morning as I thought about my goals it struck me that all of my goals and deep desires are known by God because it was God that placed them there in the first place. And that everyday I rise I am a day closer to my goal. I just need to keep on moving forward in peace.
•
And with that said, this poem spoke loudly to me: •
"When I run after what I think I want, my days are a furnace of distress and anxiety;
•
If I sit in my own place of patience, what I need flows to me, and without any pain.
•
From this I understand that what I want also wants me, is looking for me and attracting me.
•
There is a great secret in this for anyone who can grasp it."
•
Wake up today and shine. You are on the right track and exactly where you are supposed to be.
#thinkingthursday #thoughtoftheday #itsavibe #keepongoing #closertoyourdreams #dreammakers #socent #reachformygoals #livingmylifelikeitsgolden #allforthemovie #tbt😎 #familyholiday2017 #sunshinejuice #blacktraveler #blackboymagic #travelnoire #entrepreneurslife</t>
  </si>
  <si>
    <t>tbt😎</t>
  </si>
  <si>
    <t>familyholiday2017</t>
  </si>
  <si>
    <t>livingmylifelikeitsgolden</t>
  </si>
  <si>
    <t>sunshinejuice</t>
  </si>
  <si>
    <t>1588529274720128681_5705167414</t>
  </si>
  <si>
    <t>So I'm planning on making like a top 10 Steph plays of the season or like a top 20 Warriors plays of the season, or maybe even a top 15 Golden State Warriors players of all time, I'll tell you guys tomorrow  #Dubnation
-
-
-
-
-
-
-
-
-
-
-
-
-
-
-
-
-
-
-
-
-
-
-
-
-
-
-
-
-
-
-
-
-
-
-
-
-
-
-
-
 #StephGonnaSteph #Mvp #SC30 #KT11 #DG23 #CURRYMVP #KEEPONGOING #NEVERGIVEUP #WCF #WEST #WESTERNCONFERENCEFINALS #CHAMPS #DUBSFORCHAMPS #DUBS #ALWAYSBELIEVEINGOD #STEPHENCURRY #EVEN #NBA #2016CHAMPS #CHAMPIONS #LOCKIN #STEPH #SPLASH #SPLASHBROS  #like4like #like4follow #follow4follow</t>
  </si>
  <si>
    <t>benvaughtwoodworking</t>
  </si>
  <si>
    <t>1588529404743814383_5910649638</t>
  </si>
  <si>
    <t>A new day, a new project.
#woodworking #mastercraftsman #cabinetry  #festool #bluffton #lowcountry #hotterthanhot #hiltonhead #hhi #keepongoing #longdays</t>
  </si>
  <si>
    <t>Ben Vaught Woodworking</t>
  </si>
  <si>
    <t>lowcountry</t>
  </si>
  <si>
    <t>woodworking</t>
  </si>
  <si>
    <t>longdays</t>
  </si>
  <si>
    <t>hiltonhead</t>
  </si>
  <si>
    <t>festool</t>
  </si>
  <si>
    <t>thoughts.for.happiness</t>
  </si>
  <si>
    <t>1588529429667412455_5857655733</t>
  </si>
  <si>
    <t>We can all survive
#keepongoing #youcandoit #survival #livingon #quotes #thoughtsforhappiness</t>
  </si>
  <si>
    <t>livingon</t>
  </si>
  <si>
    <t>thoughtsforhappiness</t>
  </si>
  <si>
    <t>survival</t>
  </si>
  <si>
    <t>avagrrl</t>
  </si>
  <si>
    <t>1588532111688959940_417615779</t>
  </si>
  <si>
    <t>1588537583661673039_1339676631</t>
  </si>
  <si>
    <t>This morning walk 3 laps around, 6358 steps, 2.7 miles in 45 minutes. 
#healthandfitness #wellness #walking #mychoiceofexercise#fightingautoimmunedisease #keepongoing #loveyourself #warrior #nevergiveup #outdoorworkouts #ilovewalking #naturephotography</t>
  </si>
  <si>
    <t>ilovewalking</t>
  </si>
  <si>
    <t>tanja_scrinzi</t>
  </si>
  <si>
    <t>1588539306934589998_1696566388</t>
  </si>
  <si>
    <t>it doesn't matter what others think - it's what you believe. #anotherraceinthebooks #nevernotrunning #alwaysraining #headwindsucks #keepongoing #finishline #runlikeagirl</t>
  </si>
  <si>
    <t>Campo tures</t>
  </si>
  <si>
    <t>headwindsucks</t>
  </si>
  <si>
    <t>anotherraceinthebooks</t>
  </si>
  <si>
    <t>alwaysraining</t>
  </si>
  <si>
    <t>runlikeagirl</t>
  </si>
  <si>
    <t>mariamartelli</t>
  </si>
  <si>
    <t>1588540734626050580_345260414</t>
  </si>
  <si>
    <t>Giorno 6: oggi dopo 21 km siamo arrivati a Pontomarin. Da Sarria partono gli ultimi 100 km prima di Santiago, quelli necessari e sufficienti per ottenere la Compostela, per cui si tratta di un percorso piuttosto affollato. In ogni caso persiste lo stesso spirito di condivisione e di disponibilità verso gli altri pellegrini delle prime tappe, e questa è una delle cose più belle del cammino. #caminodesantiago #keepongoing</t>
  </si>
  <si>
    <t>El Camino De Santiago</t>
  </si>
  <si>
    <t>1588541417760604091_231434</t>
  </si>
  <si>
    <t>• Flott start på torsdagen med råe @linncha86 💪🏽😁 Etterfulgt av 4x4 intervaller på tredemølle med stigning når jeg kom hjem 👊🏽💦
Håper aller har hatt en flott dag så langt 😃🌸• ___________________________________________
#activelifestyle #girlswholift #lovelifting #grow #workharder #nevergiveup #keepongoing #keepfit_no #sprekesprell #icaniwill #aktivejenter #aktivlivsstil #påveimotmålet #mittår</t>
  </si>
  <si>
    <t>aktivlivsstil</t>
  </si>
  <si>
    <t>1588544931243384071_5735798037</t>
  </si>
  <si>
    <t>Makeup by me 💃#never #ending #love #maleup #bridalmakeup #nightlook #perfection #keepongoing #workhard #stilllearning ♥</t>
  </si>
  <si>
    <t>Maharashtra</t>
  </si>
  <si>
    <t>perfection</t>
  </si>
  <si>
    <t>stilllearning</t>
  </si>
  <si>
    <t>ending</t>
  </si>
  <si>
    <t>wlgan</t>
  </si>
  <si>
    <t>1588548220601044350_1626261</t>
  </si>
  <si>
    <t>Need to get my fitness back after recovering from being sick.
#reebok #reebokgear #lesmills #lesmillsgear #lesmillsapparel #reebokapparel #workout #bulking #fitness #fitnessmotivation #fitnessjourney #fitnesslife #keepongoing #keepingfit #slowandsteady #gym #gymmotivation #gymlife #asian #asianguy #asianman #guy #timeforchange #changeisnow #gymtime #gymboy #pump</t>
  </si>
  <si>
    <t>Fitness First Setia City Mall</t>
  </si>
  <si>
    <t>lesmillsgear</t>
  </si>
  <si>
    <t>asianguy</t>
  </si>
  <si>
    <t>guy</t>
  </si>
  <si>
    <t>lesmills</t>
  </si>
  <si>
    <t>juliermedourado</t>
  </si>
  <si>
    <t>1588549050035068114_3537086107</t>
  </si>
  <si>
    <t>Feels so good when you actually see great changes.
#keepongoing #foco💪 #healthylife #happy #fitnessmotivation</t>
  </si>
  <si>
    <t>Neves Paulista, Sao Paulo, Brazil</t>
  </si>
  <si>
    <t>foco💪</t>
  </si>
  <si>
    <t>itsalltaken</t>
  </si>
  <si>
    <t>1588551676749615894_8010670</t>
  </si>
  <si>
    <t>I've never looked back and regretted doing the RIGHT thing.
#hustlehard #lifeisbeautiful #keepongoing #nevergiveup #eyeontheprize #godfirst #alwayslearning #workinprogress #teamvitahaus #vitahaus #vitahaussupplements #lifeiswhatyoumakeit #gooddecisions #thestruggleisreal</t>
  </si>
  <si>
    <t>gooddecisions</t>
  </si>
  <si>
    <t>tallmen_era</t>
  </si>
  <si>
    <t>1588558794643571062_1489748082</t>
  </si>
  <si>
    <t>Wrocilem po kryzysie...6kg lzejszy, ale za to troche mnie wycielo :p Niestety ektomorfik z moim wzrostem nie ma lekko w utrzymaniu masy mięśniowej...Ale jak to mowia #keepongoing 💪💪💪😁 #mensphysique #fitnessphysique #muscle #fitfam #fitness</t>
  </si>
  <si>
    <t>mensphysique</t>
  </si>
  <si>
    <t>1588559662268078784_1360876445</t>
  </si>
  <si>
    <t>100 days of inspiration!_x000D_Day 2 - Harsheen Juneja_x000D__x000D_My friend from graduation days, Harsheen you have always been that happy and chirpy girl._x000D_The fun at your marriage, the late night talks, the luncheons, I have done it all with you._x000D__x000D_But what you have taught me all these years is How to balance work and married life!!_x000D_You were married really soon ( according to me) , but the way you handled your personal life with your professional life and also doing a post graduation in the meanwhile is commendable._x000D__x000D_I aspire to be a balanced woman like you unperturbed by the society standards._x000D_Thank you @harsheenjuneja for being a part of my life ❤ ._x000D_._x000D_._x000D_._x000D_._x000D_._x000D_._x000D_#100daysofinspiration #harsheenjuneja #journalist #timesofindia #happiness #inspireeachother #motivation #toughgetsgoing #womanpower #faceadversities #strive together #challengeyourself #writerscommunity #willpower #undeterred #letsdoit #keepongoing #inspiringstories</t>
  </si>
  <si>
    <t>Poprocket</t>
  </si>
  <si>
    <t>strive</t>
  </si>
  <si>
    <t>e.s.jaya</t>
  </si>
  <si>
    <t>1588561756309917618_5713245121</t>
  </si>
  <si>
    <t>When things get really difficult  it means your almost at the finish line. Keep going, the result will be worth all the sweat, late nights and hard work!
#goals #strive #believe #strength #achieve #conquer #writer #keepongoing</t>
  </si>
  <si>
    <t>conquer</t>
  </si>
  <si>
    <t>nsaarmanbartholdi</t>
  </si>
  <si>
    <t>1588562940688902613_1972661982</t>
  </si>
  <si>
    <t>#positiivisellahöyrylläeteenpäin #leveähymy #keepongoing #smiley #justdoit #dontstressdoyourbest #dreamsaregoalswithdeadlines</t>
  </si>
  <si>
    <t>leveähymy</t>
  </si>
  <si>
    <t>dontstressdoyourbest</t>
  </si>
  <si>
    <t>positiivisellahöyrylläeteenpäin</t>
  </si>
  <si>
    <t>smiley</t>
  </si>
  <si>
    <t>m_sputnik</t>
  </si>
  <si>
    <t>1588571193133142342_2010740695</t>
  </si>
  <si>
    <t>Dagens træning veloverstået.. Søndersø rundt 😜🏃🏼‍♀️. #træning #done #løb #rundt #om #søndersø #viborg #svedige #kondisko #asics #rød #i #hovedet #polar #polarm430 
#keepongoing #keep #up #the #hard #work 🏃🏼‍♀️💪🏻 #girlswithtattoos #tattoo #blueeyes</t>
  </si>
  <si>
    <t>polarm430</t>
  </si>
  <si>
    <t>1588573744065166002_1100957329</t>
  </si>
  <si>
    <t>Sappige aardbeitjes 🍓🍓🍓#strawberry #strawberrys #redfruit #fruit #healthysnack #healthy #snack #vitamins #vitamin #cleaneating #simplefood #food #foodlover #foodie #foodofinstagram #foods #instafood #keepithealthy #keepongoing #motivation #wanttoloseweight</t>
  </si>
  <si>
    <t>foodofinstagram</t>
  </si>
  <si>
    <t>snack</t>
  </si>
  <si>
    <t>healthysnack</t>
  </si>
  <si>
    <t>ben_lu85</t>
  </si>
  <si>
    <t>1588578180255926400_2032379693</t>
  </si>
  <si>
    <t>▪️Don't stop. Push harder. Keep going 🗝 #me #picoftheday #photooftheday #igdaily #iphoneonly #roadtorecovery #recovery #recover #smile #keepongoing #keeponmoving #noexcuses #comeback #strongerthanbefore #strong #will #focused #nopainnogain #patience #faith #neverloseyoursmile 🤝👋</t>
  </si>
  <si>
    <t>Fulda, Germany</t>
  </si>
  <si>
    <t>elisabethtredal</t>
  </si>
  <si>
    <t>1588579387594208533_3619384294</t>
  </si>
  <si>
    <t>Do more of the stuff that scares you!⭐️#sayyes#bebrave #keepongoing #bestofme #elisabethtredal #elisabethtrædal #justbeyou ⭐️</t>
  </si>
  <si>
    <t>sayyes</t>
  </si>
  <si>
    <t>justbeyou</t>
  </si>
  <si>
    <t>bestofme</t>
  </si>
  <si>
    <t>daveratnernyc</t>
  </si>
  <si>
    <t>1588585880603691147_1349358786</t>
  </si>
  <si>
    <t>Just go after it! #noexcuses #keepongoing #brooklyn #williamsburg #theratnerteam</t>
  </si>
  <si>
    <t>The RATNER Team</t>
  </si>
  <si>
    <t>williamsburg</t>
  </si>
  <si>
    <t>theratnerteam</t>
  </si>
  <si>
    <t>brooklyn</t>
  </si>
  <si>
    <t>bjorn_2207</t>
  </si>
  <si>
    <t>1588591404108406948_1978775062</t>
  </si>
  <si>
    <t>Ride home 🚴‍♀️ #racefiets #wielrenfiets #wielrenner #wielrennen #cockpit #speedbike #goinghome #polar #polarv650 #lupine #lupinewilma #lupinelights #isaac #isaacmeson #burncalories #burnfat #fitdutchie #dutchcyclist #dutch #keepongoing #outsideisfree #lifebehindbars</t>
  </si>
  <si>
    <t>lupinewilma</t>
  </si>
  <si>
    <t>isaacmeson</t>
  </si>
  <si>
    <t>burnfat</t>
  </si>
  <si>
    <t>isaac</t>
  </si>
  <si>
    <t>cortezart1972</t>
  </si>
  <si>
    <t>1588595149846414440_531777484</t>
  </si>
  <si>
    <t>#august2017 #myjourney #iamhere #journal #walking #lifeportrait #memories #memoriasdepapel #abstractportraits #retrato #arte #art #abstracto #documentyourjourney #whateverrocksyourboat #keepongoing #recycledart #recycled #reused #repurposed #cortezart1972 #1990 #parasiempre #paraquenuncameolvides</t>
  </si>
  <si>
    <t>memoriasdepapel</t>
  </si>
  <si>
    <t>documentyourjourney</t>
  </si>
  <si>
    <t>recycledart</t>
  </si>
  <si>
    <t>victorthetrainer</t>
  </si>
  <si>
    <t>1588604703708405825_3660012630</t>
  </si>
  <si>
    <t>When I told @hrak76 10 weeks ago he was gonna squat his own weight (70kg/150lbs), he took me for crazy and didn't believe a word I said. I guess he was right 'cause he just squatted 90kg/200lbs! Lesson learned. Don't just meet expectations. EXCEED them. #exceedexpectations #lessonlearned #motivation #pogress #personaltraining #fitdutchies #squats</t>
  </si>
  <si>
    <t>lessonlearned</t>
  </si>
  <si>
    <t>pogress</t>
  </si>
  <si>
    <t>tristalihaha</t>
  </si>
  <si>
    <t>1588605260577000897_304502218</t>
  </si>
  <si>
    <t>With @waaves.io @automech.io  at @polskycenter getting ready for the demoday! #startuplife #keepongoing</t>
  </si>
  <si>
    <t>The Harper Theater</t>
  </si>
  <si>
    <t>startuplife</t>
  </si>
  <si>
    <t>1588605505641870889_1979470355</t>
  </si>
  <si>
    <t>After-work, work-out 😉💪 #sweatwithkayla #kaylaitsines #bbg #liss #workout #fitmom #fitness #fitforlife #poweron #sweatnowshinelater #fightforit #keepongoing #fitnessgirl #nopainnogain #noexcuses #nothingcanstopme #nevergiveup #nevertooold #slowprogress #betterthannoprogress #sweating #timetorelax #almostweekend</t>
  </si>
  <si>
    <t>sweating</t>
  </si>
  <si>
    <t>timetorelax</t>
  </si>
  <si>
    <t>1588608145663354203_4229046670</t>
  </si>
  <si>
    <t>saraafam</t>
  </si>
  <si>
    <t>1588613963178941397_221837215</t>
  </si>
  <si>
    <t>Je veux!!!💙))
Живу, дышу, смотрю
Я радуюсь тому что я могу
Найти среди теней себя и я хочу
Взлететь а все кружит вокруг
И жизнью пестрит планеты круг
Мне всё говорит о том
Что мир мой лучший друг!
:
:
:
#jeveux #followyourheart #mountains #nature #panorama #travel #canada #whistler #myself #mystyle #keepongoing #travelgram #bestview #instaview #momof3 #hiking #skiresort #instamood #bestdestinations #placestovisit #summer #positivevibes #путешествие #природа #горы #я #лето #стихи #инстафото #красота</t>
  </si>
  <si>
    <t>Whistler Mountain Side</t>
  </si>
  <si>
    <t>лето</t>
  </si>
  <si>
    <t>whistler</t>
  </si>
  <si>
    <t>инстафото</t>
  </si>
  <si>
    <t>beapan</t>
  </si>
  <si>
    <t>1588620352186047249_5578547925</t>
  </si>
  <si>
    <t>Da Santiago a #roseto il passo è breve
#keepongoing #summer #italysunset</t>
  </si>
  <si>
    <t>italysunset</t>
  </si>
  <si>
    <t>roseto</t>
  </si>
  <si>
    <t>hetariia</t>
  </si>
  <si>
    <t>1588623584058625909_1183957683</t>
  </si>
  <si>
    <t>Precisely a year ago 😓 #tbt #jännänäärellä #aclsurgery It's been a tough road to this point and it's not over, but #imtougher #keepongoing 💪</t>
  </si>
  <si>
    <t>aclsurgery</t>
  </si>
  <si>
    <t>imtougher</t>
  </si>
  <si>
    <t>jännänäärellä</t>
  </si>
  <si>
    <t>mimjow</t>
  </si>
  <si>
    <t>1588623603778518952_4626705209</t>
  </si>
  <si>
    <t>Would like to swim here 😤😊! Enjoy the beauty of this water ☺. -
-
-
#swimming #mittellandkanal #wolfsburg #colitis #colitisulcerosa #ulcerativecolitis #lebenleben #keepongoing #livesworthliving #instagood #instamood #pictureoftheday #happylife #nofilterneeded #enjoylife</t>
  </si>
  <si>
    <t>wolfsburg</t>
  </si>
  <si>
    <t>ulcerativecolitis</t>
  </si>
  <si>
    <t>colitisulcerosa</t>
  </si>
  <si>
    <t>dom_thebeast_ferenc</t>
  </si>
  <si>
    <t>1588627605840859140_1579723406</t>
  </si>
  <si>
    <t>Very talented and hard working guy 💪🏽💯😔 #RIP #dallasmccarver #restinpeace #nevergiveup #staystrong #staypositive #enjoylife #workhard #talented #neverforget #neverforgotten #reminder #keepinmind #keepongoing @dallasmccarver @flex_lewis @josh_lenartowicz</t>
  </si>
  <si>
    <t>keepinmind</t>
  </si>
  <si>
    <t>neverforgotten</t>
  </si>
  <si>
    <t>dallasmccarver</t>
  </si>
  <si>
    <t>medagliaantonia</t>
  </si>
  <si>
    <t>1588628281191475899_1157044949</t>
  </si>
  <si>
    <t>"..e nel dubbio ricordate, avete ragione voi!"👧🖤
#lilgirls #mypeace #cousins #summer #keepongoing #braids #beauty #endless #lover</t>
  </si>
  <si>
    <t>lover</t>
  </si>
  <si>
    <t>mypeace</t>
  </si>
  <si>
    <t>braids</t>
  </si>
  <si>
    <t>mindwerks_metalcraft</t>
  </si>
  <si>
    <t>1588633458622635653_1557480651</t>
  </si>
  <si>
    <t>That one time I built a wedding present for #fieldy from #korn and the sack of shit that took it there, then took all the credit....one of my earliest builds before I had a plasma table, before I had any  plasma capabilities at all! Soap stone and oxy/acetylene.. and lots of grinding... #retro #olddays #handcut #gottastartsomewhere #bewareofmoochesandtrolls #stillgoingstrong #keepongoing #500sqftempire #selfmade #betruetoyourself</t>
  </si>
  <si>
    <t>korn</t>
  </si>
  <si>
    <t>handcut</t>
  </si>
  <si>
    <t>bewareofmoochesandtrolls</t>
  </si>
  <si>
    <t>olddays</t>
  </si>
  <si>
    <t>gottastartsomewhere</t>
  </si>
  <si>
    <t>crossfitdistrict6</t>
  </si>
  <si>
    <t>1588639436714175867_585763054</t>
  </si>
  <si>
    <t>"Choose the positive. You have choice, you are master of your attitude, choose the positive, the constructive. Optimism is a faith that leads to success" - Bruce Lee
Thank you @jess_map @ondine_mfp @oscaroryan and #thejamesboulton for allowing me to post their fail clips from last nights weightlifting session. In a world  where everything has to be seemingly perfect it takes a lot to post something that's not. However in doing so one creates a fake reality of perfect lifts, PB cities and perfect and flawless physiques. Misses and fails are part of the process, if anything they teach us to handle hardships and failures better and better each time as there will always be hard times and often failures. Such is life "It's not always rainbows and butterflies" 
#crossfitdistrictsix #d6barbellclub #weightlifting #fails #mindset #positivity #fitfam #fitspo #girlswholift #strongwomen #strongmen #snatch #keepongoing #staypositive #positivemindset #shithappens #theprocessisthegoal #trusttheprocess #dalawhatyoumust #dontbeshit</t>
  </si>
  <si>
    <t>CrossFit District Six</t>
  </si>
  <si>
    <t>theprocessisthegoal</t>
  </si>
  <si>
    <t>lindakagram</t>
  </si>
  <si>
    <t>1588645815865651065_1279612751</t>
  </si>
  <si>
    <t>Tack för passet ikväll @cacan2 ! Nyttmotto😂😂😂#keepongoing</t>
  </si>
  <si>
    <t>mariondgl</t>
  </si>
  <si>
    <t>1588647979581370160_2071779475</t>
  </si>
  <si>
    <t>Chaque jour me guérit un peu plus. Chaque jour je m'éloigne de mon passé. Chaque jour je pense encore à ce que je n'ai plus, mais les larmes ne coulent plus, ou très peu. Chaque jour j'imagine un peu plus clairement le futur. Chaque jour je me sens un peu plus apaisée. Chaque jour j'ai envie de faire quelque chose pour moi. 
Même si par moment je craque, que j'ai toujours peur, que je suis impatiente de voir ma vie changer complètement, je suis convaincue que je suis sur le bon chemin. Plus de regrets. On a qu'une seule vie, et j'ai compris un peu tard qu'il faut faire de soi une priorité.
Parfois, je me dis que je ne suis pas "normale". À 27 ans je repars à zéro. Pas de carrière extraordinaire, de mariage, bébé ou achat d'appartement à l'horizon. 
Mais en réalité à 27 ans j'ai surtout la plus grande des libertés. Je peux faire ce que bon me semble. Je peux prendre le temps de m'écouter, de profiter, de rencontrer, de construire la vie qui me convient vraiment.
La vie n'est pas une course contre le temps, où il faudrait tout accomplir avant 30 ans. En tout cas, je n'ai pas envie de me mettre une telle pression. 
Et là tout de suite, ma priorité c'est de me sentir bien. Ces dernières années je n'avais pas l'espace nécessaire pour devenir moi même. J'étais concentrée à ne pas dépasser les limites qu'on m'imposait. Je me faisais toute petite pour éviter le conflit. 
Maintenant j'ai des années d'épanouissement personnel à rattraper. Let's keep on keeping on 😌
#pensées #keepongoing #nevergiveup #newlife #2017 #rupture #bilanaprès4mois #liberté #girlpower</t>
  </si>
  <si>
    <t>pensées</t>
  </si>
  <si>
    <t>bilanaprès4mois</t>
  </si>
  <si>
    <t>rupture</t>
  </si>
  <si>
    <t>liberté</t>
  </si>
  <si>
    <t>sinagolightly</t>
  </si>
  <si>
    <t>1588660001738743008_267097600</t>
  </si>
  <si>
    <t>#staypositive #keepongoing #stayhappy 🕊</t>
  </si>
  <si>
    <t>stayhappy</t>
  </si>
  <si>
    <t>move_with_d</t>
  </si>
  <si>
    <t>1588667190928160282_5829937664</t>
  </si>
  <si>
    <t>50lbs Down so Far!!! It has been a Long Hard Journey, with Lots of Ups N Downs. There were some definite struggles but one thing is for sure is I NEVER GAVE UP!!! I may have caved here and there on food but never did I give up!!! I'm proud of what I have accomplished so far, I'm happy but my journey isn't over yet!! @chillcrazy16 #fitness #goals #fitnessmotivation  #motivation #keepongoing #nevergiveup #workout  #moving #tryingtobefit #fitish</t>
  </si>
  <si>
    <t>tryingtobefit</t>
  </si>
  <si>
    <t>fitish</t>
  </si>
  <si>
    <t>annierose.cole2017</t>
  </si>
  <si>
    <t>1588667373857034303_5695254515</t>
  </si>
  <si>
    <t>Hey ! Haters gonna hate patatas gonna patate!@Colleen @mirandasingsofficial @oceanslight407 #keepongoing #hatersgonnahate #patatasgonnapatate</t>
  </si>
  <si>
    <t>hatersgonnahate</t>
  </si>
  <si>
    <t>patatasgonnapatate</t>
  </si>
  <si>
    <t>adrianekaygray</t>
  </si>
  <si>
    <t>1588668942126092291_3085385419</t>
  </si>
  <si>
    <t>Are you breakable or strong like the string on this kite, impossible to break no matter how hard I try to with my hands? 
I just had this thought ..... In the past I have let others actions and words break me and want to give up . But as I have focuses more on my own personal development and stopped caring what others have said, done, or may think about me, I have grown stronger each day, and I yearn to be like this kite string UNBREAKABLE!!! .
.
.
.
.
.
.
.
#strongmind #strongheart #strongerbody #beunbreakable #solidasarock #protectyourmind #dontgiveup #keeppushingthru #keepongoing #yourworthit #personaldevelopment #beatadversity</t>
  </si>
  <si>
    <t>keeppushingthru</t>
  </si>
  <si>
    <t>protectyourmind</t>
  </si>
  <si>
    <t>yourworthit</t>
  </si>
  <si>
    <t>lukes_artworks</t>
  </si>
  <si>
    <t>1588676751616243243_3099944101</t>
  </si>
  <si>
    <t>I nearly gave up on this at the beginning but I'm going to ride it out and, well, we'll see...#nevergiveup #keepongoing #justkeepswimming
.
.
.
.
.
#art #artist #artlover #artlovers #drawing #sketch #illustration #draw #picture #sketchbook #paper #pen #pencil #instaart #gallery #masterpiece #creative #instaartist #graphic #graphics #artoftheday #ink #inks #painting #paint</t>
  </si>
  <si>
    <t>pen</t>
  </si>
  <si>
    <t>instaart</t>
  </si>
  <si>
    <t>artlovers</t>
  </si>
  <si>
    <t>taste_ambassador</t>
  </si>
  <si>
    <t>1588678367708453311_4146997926</t>
  </si>
  <si>
    <t>photoshooting in the @bentianna manufactory.
i am always suprised about how important every single detail gets for someone who lives his passion.</t>
  </si>
  <si>
    <t>manufactory</t>
  </si>
  <si>
    <t>handsohandcrafted</t>
  </si>
  <si>
    <t>detail</t>
  </si>
  <si>
    <t>help</t>
  </si>
  <si>
    <t>1588684239155476472_2715478190</t>
  </si>
  <si>
    <t>Still traumatised by the skip! #endurance #enduranceevent #enduranceday #ocr #ocrtraining #spartans #ironviking #specialforcesfitness #keepongoing #outofyourcomfortzone #20x #intrepid #fittness #training #fittnesgirl #intrepidseries</t>
  </si>
  <si>
    <t>fittness</t>
  </si>
  <si>
    <t>endurance</t>
  </si>
  <si>
    <t>outofyourcomfortzone</t>
  </si>
  <si>
    <t>1588688833182999788_5537310255</t>
  </si>
  <si>
    <t>#dieunendlichegeschichte #michaelende #buch #fantasy #relax #kindheit #schön #chillen #kurzeauszeit #keepongoing #workhard #krafttanken #needholiday #picoftheday</t>
  </si>
  <si>
    <t>kurzeauszeit</t>
  </si>
  <si>
    <t>schön</t>
  </si>
  <si>
    <t>fantasy</t>
  </si>
  <si>
    <t>michaelende</t>
  </si>
  <si>
    <t>1588702365184098594_4203348813</t>
  </si>
  <si>
    <t>fitgoal</t>
  </si>
  <si>
    <t>vixens</t>
  </si>
  <si>
    <t>icandy</t>
  </si>
  <si>
    <t>trainhardorgohome</t>
  </si>
  <si>
    <t>newbody</t>
  </si>
  <si>
    <t>michellebrowsbh</t>
  </si>
  <si>
    <t>1588707509959317031_48660726</t>
  </si>
  <si>
    <t>📞Hello! New brows, who's this? I used #browpowder in #goldenbrown and the #highlighter from our #browline @michellebeverlyhills
.
.
.
.
 #browsbyme #browgame #browmakeup #bblogger #naturalbrows #archaddicts #sponsored #entrepreneurlife #browshaping #browsonpoint #browenvy #browsonfleek #browblogger #beauty #fashion #dressyourface #teenagermakeup #bridemakeup #keepongoing #wakeupandmakeup #teenmakeup #vlogger #sponsor #youtuber</t>
  </si>
  <si>
    <t>Michellebrowsbh</t>
  </si>
  <si>
    <t>vlogger</t>
  </si>
  <si>
    <t>sponsor</t>
  </si>
  <si>
    <t>goldenbrown</t>
  </si>
  <si>
    <t>archaddicts</t>
  </si>
  <si>
    <t>bblogger</t>
  </si>
  <si>
    <t>derveaux.pharma</t>
  </si>
  <si>
    <t>1588717681656418761_5586385549</t>
  </si>
  <si>
    <t>Update*3 - Zandstralen zit erop! 👌🏼 HupHupHup #keepongoing #apotheekineennieuwkleedje⚙️ #apotheekderveaux #tervuren #pharmaciederveaux</t>
  </si>
  <si>
    <t>apotheekderveaux</t>
  </si>
  <si>
    <t>pharmaciederveaux</t>
  </si>
  <si>
    <t>apotheekineennieuwkleedje⚙️</t>
  </si>
  <si>
    <t>tervuren</t>
  </si>
  <si>
    <t>1588719002183875850_4916877020</t>
  </si>
  <si>
    <t>Clooney my star! 
#keepongoing #clooney51 #genius</t>
  </si>
  <si>
    <t>genius</t>
  </si>
  <si>
    <t>valeroyal</t>
  </si>
  <si>
    <t>1588719128423036012_54342353</t>
  </si>
  <si>
    <t>#laotzu #quotes #quoteoftheday #motivation #keepongoing</t>
  </si>
  <si>
    <t>laotzu</t>
  </si>
  <si>
    <t>fitlifeofmineat49</t>
  </si>
  <si>
    <t>1588725162526411955_4137149770</t>
  </si>
  <si>
    <t>TBT 14 years ago today on the left at nearly 36,  and today at nearly 50 on the right.  #hardwork  #fitlife #fit_over_40 #keepongoing</t>
  </si>
  <si>
    <t>fit_over_40</t>
  </si>
  <si>
    <t>moscato_mama17</t>
  </si>
  <si>
    <t>1588730648709115016_192779863</t>
  </si>
  <si>
    <t>#goingthroughhell #hell #keepongoing</t>
  </si>
  <si>
    <t>hell</t>
  </si>
  <si>
    <t>goingthroughhell</t>
  </si>
  <si>
    <t>rajujohalmusic</t>
  </si>
  <si>
    <t>1588731185244509282_540758905</t>
  </si>
  <si>
    <t>Who else needs a mid-day boost?!
・・・
#rajujohalmusic #middayboost #caffeine #motivation #keepongoing #espresso #hardworkpaysoff #reenergize #hothotjalebis</t>
  </si>
  <si>
    <t>espresso</t>
  </si>
  <si>
    <t>hothotjalebis</t>
  </si>
  <si>
    <t>caffeine</t>
  </si>
  <si>
    <t>middayboost</t>
  </si>
  <si>
    <t>leanandmeankoreanmachine</t>
  </si>
  <si>
    <t>1588731217917175017_271744646</t>
  </si>
  <si>
    <t>Warm-up sesh 🤷‍♂️🤸‍♂️👉💍🐭 Didn't know that I had several reps in RMUs🤔😂👏That's another PR.. -----------------------------------------
3 Rounds og max reps, rest as needed
1 Ring Muscle up + 1 dip
1 Ring Muscle up + 2 dips 
1 Ring Muscle up + 3 dips ..... Do it without letting the rings go in each set, GO👊
Made it with 6-4-4 👆 last set.. #gymnastics #movement #strength #crossfit #balance #ringmuscleup #dips #amrap #gym #bemorehuman #2trainno #beastmode #pr #playsportno #goat #timing #kippingmuscleup #mobility #where #practicemakesperfect #justdoit #hanginthere #scaryshit #crossfitcommunity #keepongoing #leanandmeankoreanmachine</t>
  </si>
  <si>
    <t>timing</t>
  </si>
  <si>
    <t>bemorehuman</t>
  </si>
  <si>
    <t>1588738683359874827_2899822841</t>
  </si>
  <si>
    <t>All I could think of, when I got into the door, after picking up the kids and listing how wonderful their day went, was a nice HOT cup of coffee. ☕☕
That might seem selfish but that Expresso Machine😎😋🤤🤤 had been staring at me for 2 hours straight, while I was folding laundry and cleaning up the kitchen. 😎😎 Told myself, it had to wait till later. 
So here I am taken that sip and 😮 it is cold😬😨
Totally forgot that I had put of my hot water in my water dispenser. 
Oh well. Cold Coffee for today it is. It is actually not that bad.</t>
  </si>
  <si>
    <t>coldcoffee</t>
  </si>
  <si>
    <t>loveitanyway</t>
  </si>
  <si>
    <t>housewifelife</t>
  </si>
  <si>
    <t>skiing🎿</t>
  </si>
  <si>
    <t>jababvadacad7193</t>
  </si>
  <si>
    <t>1588738949386629288_5635759356</t>
  </si>
  <si>
    <t>;) #mma #bjjlifestyle #bjj #jiujitsulifestyle #ufc #migueltorres #getknockeddown #getbackup #keepongoing #nevergiveup #hitlikeabitch #motto</t>
  </si>
  <si>
    <t>migueltorres</t>
  </si>
  <si>
    <t>bjjlifestyle</t>
  </si>
  <si>
    <t>crazybulks.us</t>
  </si>
  <si>
    <t>1588742078170859131_5929445565</t>
  </si>
  <si>
    <t>Never settle!
#bodybuilding #bodybuildingmotivation #bodybuildinglife #bodybuildingaddict #bodybuildingnation #bodybuildingsupplements #boddybuildingstore #keepongoing #neversettle #neversettleforless</t>
  </si>
  <si>
    <t>bodybuildingnation</t>
  </si>
  <si>
    <t>bodybuildingmotivation</t>
  </si>
  <si>
    <t>neversettleforless</t>
  </si>
  <si>
    <t>fake_grownup</t>
  </si>
  <si>
    <t>1588744224244139662_574803649</t>
  </si>
  <si>
    <t>After a few days of REALLY bad eating, I have visibly lost definition that it took me a lot of hard work to get. This sucks... although the cake was good 🙊 It literally only took 2 very bad days! So here I am holding my hands up to a bit of a #healthierme fail. Time to stop being greedy 🐽 and try again. It's all part of the journey. #itwasgoodtho #myfitnessjourney #ilikecake #fitnessmotivation #keepongoing</t>
  </si>
  <si>
    <t>ilikecake</t>
  </si>
  <si>
    <t>myfitnessjourney</t>
  </si>
  <si>
    <t>itwasgoodtho</t>
  </si>
  <si>
    <t>vervelenderotjong</t>
  </si>
  <si>
    <t>1588744970353618056_3113979389</t>
  </si>
  <si>
    <t>A Moment Off Life...
Sometimes A Couple Off Second Is Everything Worth!! #livethedream #alotoffpeoplehateme #beacausetheysayitwillnotwork #throwmeout #cutmeout #abandonedme #wasnogoodforthem #hardwork #nevergaveup #holdon #likeatiger #selfmade #workhard #workharder #itsnotaboutthemoney #doingitforyourself #keepongoing #fight #fightharder #fightdepression #smallbusinessowner #thatswhatsup #love #coworker #staystrong #nomatterwhat #illbethere</t>
  </si>
  <si>
    <t>nomatterwhat</t>
  </si>
  <si>
    <t>fightdepression</t>
  </si>
  <si>
    <t>cutmeout</t>
  </si>
  <si>
    <t>estrellitaandco</t>
  </si>
  <si>
    <t>1588750127207500739_5838530193</t>
  </si>
  <si>
    <t>⭐️Thank you to everyone that has like/shared/followed my page so far....you wonderful people⭐️ let's see if how many more we can get 😘</t>
  </si>
  <si>
    <t>childrensfashion</t>
  </si>
  <si>
    <t>newbusinessventure</t>
  </si>
  <si>
    <t>childrensapparel</t>
  </si>
  <si>
    <t>loveyouall</t>
  </si>
  <si>
    <t>chapinakc85</t>
  </si>
  <si>
    <t>1588753319366455578_205103094</t>
  </si>
  <si>
    <t>Shawty got BIG dreams,so she gonna do BIG thangs!! #imabossuaworkerbitch#iseeitiwantit #entrepreneur#keepongoing</t>
  </si>
  <si>
    <t>imabossuaworkerbitch</t>
  </si>
  <si>
    <t>iseeitiwantit</t>
  </si>
  <si>
    <t>zora_deluxe_networking</t>
  </si>
  <si>
    <t>1588754011922626445_2231849488</t>
  </si>
  <si>
    <t>Make the best decisions... because that's what this life is about!!
Work hard to reach your goals and..."never allow others to close your way to go"
#Nothing'sgonnastopmenow
#KeepOnGoing #PositiveMind
Que nada ni nadie te detenga👈💫✨</t>
  </si>
  <si>
    <t>nothing</t>
  </si>
  <si>
    <t>taenichol</t>
  </si>
  <si>
    <t>1588771857199490815_12988480</t>
  </si>
  <si>
    <t>I swear these last few weeks have been trying. What happens when some of your equipment breaks down? Your computer crashes? Clients cancel on arrangements and pay? You can't help but be creative and stay positive. Continue to push forth and be grateful...#keepongoing #Icantbestopped</t>
  </si>
  <si>
    <t>Life's Journey</t>
  </si>
  <si>
    <t>icantbestopped</t>
  </si>
  <si>
    <t>mrnicevibes</t>
  </si>
  <si>
    <t>1588781598294205250_1343817433</t>
  </si>
  <si>
    <t>#Mrnicevibes #keepongoing #trustgodplan #behappywithyourself #mylordmygod #omnamahshivaya</t>
  </si>
  <si>
    <t>Princes Town</t>
  </si>
  <si>
    <t>mylordmygod</t>
  </si>
  <si>
    <t>trustgodplan</t>
  </si>
  <si>
    <t>behappywithyourself</t>
  </si>
  <si>
    <t>omnamahshivaya</t>
  </si>
  <si>
    <t>mrquietstorm305</t>
  </si>
  <si>
    <t>1588789009982962277_475056552</t>
  </si>
  <si>
    <t>When you fail, TRY AGAIN! When you fall, GET BACK UP! When you fuck up, OWN IT &amp; MOVE ON!
#mrquietstorm305 #shithappens #stayencouraged #dontquit #learning #life101 #freegame #keepongoing #courage #hope #motivationalquotes #lifeisgood #lifehappens #lessonlearned #perseverance #power #gohard #inspiration #dontgiveup #real #growth #confidence #thatslife
@crystal_e80 @missingteddyg @cute_lil_courtney @divapuddin @pmsthang @lanetolaine @nunu_xxx @droopy_lokz @ber_nita @iam_mrpoeticfort79 @_iamdada @oneway_focus @__jynn__ @toya_trustnoone @armourgurl53 @pieces_of_t @u_r_sumthin_else @toya_bge @memyselfandi_andgod @tu_boo  @ms_shawn @johnque_the5ive @miss_gogetta @jen9978</t>
  </si>
  <si>
    <t>healthier_heath</t>
  </si>
  <si>
    <t>1588794953981845888_29670483</t>
  </si>
  <si>
    <t>Hell yea ! I'm a 365'r  been drink my shakes consistently  for a year now!! Ohh yea #cool #healthy #goodforyou #keepongoing #goals #lost50lbs #lovechocolate</t>
  </si>
  <si>
    <t>lovechocolate</t>
  </si>
  <si>
    <t>1588795129496387506_5705167414</t>
  </si>
  <si>
    <t>The first of many to come 🏆  #Dubnation
-
-
-
-
-
-
-
-
-
-
-
-
-
-
-
-
-
-
-
-
-
-
-
-
-
-
-
-
-
-
-
-
-
-
-
-
-
-
-
-
 #StephGonnaSteph #Mvp #SC30 #KT11 #DG23 #CURRYMVP #KEEPONGOING #NEVERGIVEUP #WCF #WEST #WESTERNCONFERENCEFINALS #CHAMPS #DUBSFORCHAMPS #DUBS #ALWAYSBELIEVEINGOD #STEPHENCURRY #EVEN #NBA #2016CHAMPS #CHAMPIONS #LOCKIN #STEPH #SPLASH #SPLASHBROS  #like4like #like4follow #follow4follow</t>
  </si>
  <si>
    <t>mills_1981</t>
  </si>
  <si>
    <t>1588803513978633881_1532226404</t>
  </si>
  <si>
    <t>Så har vi skruet priserne på alle vores heelys/ rullesko ned til kr 500,- uanset før pris.. #heelys  #heelysshoes #rullesko #udsalg #niceprice #millsshop #mills #millsskateshop #keepongoing #københavn #millscopenhagen</t>
  </si>
  <si>
    <t>Mills</t>
  </si>
  <si>
    <t>heelys</t>
  </si>
  <si>
    <t>niceprice</t>
  </si>
  <si>
    <t>millsskateshop</t>
  </si>
  <si>
    <t>udsalg</t>
  </si>
  <si>
    <t>millsshop</t>
  </si>
  <si>
    <t>glebkaminer</t>
  </si>
  <si>
    <t>1588805035009311990_2329002714</t>
  </si>
  <si>
    <t>#keepongoing #awesomeday #wishingyouwell #givinghugs #lovewhatyoudo #nevergiveup #oneday #itscoming #beready #manifestation #meditatethencreate</t>
  </si>
  <si>
    <t>Warner Bros. Entertainment</t>
  </si>
  <si>
    <t>givinghugs</t>
  </si>
  <si>
    <t>awesomeday</t>
  </si>
  <si>
    <t>oneday</t>
  </si>
  <si>
    <t>meditatethencreate</t>
  </si>
  <si>
    <t>1588808461494503018_1774981442</t>
  </si>
  <si>
    <t>If you're reading this then the message is for you. The Universe wants you to know! #Universe #truthbomb #truth #follow #follow4follow #followforfollow #followme #followmeplease #followback #keepongoing #inspiration #youcandoit</t>
  </si>
  <si>
    <t>followmeplease</t>
  </si>
  <si>
    <t>truthbomb</t>
  </si>
  <si>
    <t>1588811041781219889_3275305</t>
  </si>
  <si>
    <t>Standing alone is better than standing with people who used you and don't value you :)</t>
  </si>
  <si>
    <t>mechi_poon</t>
  </si>
  <si>
    <t>1588817594878481509_146054261</t>
  </si>
  <si>
    <t>Oh my god 😱😱😱 我都話我肥左
#keepfit #gymnastics #gym #keepongoing #workout</t>
  </si>
  <si>
    <t>olivia_vazquez</t>
  </si>
  <si>
    <t>1588828815270225617_180615973</t>
  </si>
  <si>
    <t>Crónicas de la Región Angelópolis, en el camino hacia San Nicolás de los Ranchos, un poco de piedra volcánica... #volcano #popocateptl #ontheroad #onceagain #wedidit #elduodinamico #keepongoing #lovemyjob #newplaces #thisishowwedoit #ourway #visitapuebla #municipalistasenaccion #letsrock #makeadifference #cloudyday #nature #quechulaespuebla</t>
  </si>
  <si>
    <t>San Buenaventura Nealtican, Puebla, Mexico</t>
  </si>
  <si>
    <t>letsrock</t>
  </si>
  <si>
    <t>visitapuebla</t>
  </si>
  <si>
    <t>municipalistasenaccion</t>
  </si>
  <si>
    <t>s32_gtr_skyvia</t>
  </si>
  <si>
    <t>1588829633176798846_3584963787</t>
  </si>
  <si>
    <t>22800k miles on the body, 70-80k on the motor, runs like 20k on the motor, brand new #Clutch #Fresh #OEM #Factory #MintInterior Bought it from #OneOwner  #ThatHondaLife #Daily #keepongoing #CleanAsFuck #Manual #StickShift #Honda #vteckickedinyo #VtecLife 🤣 #Civic #FuckYouBiana #QueenBKiller #AmericanCarSuckAss</t>
  </si>
  <si>
    <t>cleanasfuck</t>
  </si>
  <si>
    <t>oneowner</t>
  </si>
  <si>
    <t>thathondalife</t>
  </si>
  <si>
    <t>stickshift</t>
  </si>
  <si>
    <t>honda</t>
  </si>
  <si>
    <t>1588834030248711311_4773778225</t>
  </si>
  <si>
    <t>🛶🌞#worldtravelbook #flashesofdelight #art #lake #rainbow #goodafternoonpost #keeponkeepingon #keepongoing #motivation #motivationeveryday #sunset #flowers #architecturephotography #architecture #tagsforlikes #bluesky #likesforlikes #follow #almosttheweekend #smile #happy #morningmotivation #flower #behappy #grateful</t>
  </si>
  <si>
    <t>art_by_thatgirl</t>
  </si>
  <si>
    <t>1588834910121019378_4768718732</t>
  </si>
  <si>
    <t>#keepongoing #artistsoninstagram</t>
  </si>
  <si>
    <t>metaldetecting_master</t>
  </si>
  <si>
    <t>1588839733520293462_253343193</t>
  </si>
  <si>
    <t>I crackmyself up whenever I get the urge to find a silver coin. It's like something inside me yells out "go get the treasure!" I went literally all day digging wheat penny after wheat penny I continued to push forward and dig more and more holes. I wish  you could see the calluses on my hands and how sunburnt my neck is... I wish you could see the crazy looks I get whenever someone sees me digging pull tabs, bottle caps, and random bits of metal out of yards! Days like today discourage me because for the amount of wheaties I definitely should have found more silver...but I know if I keep on trying I will finally find what I'm looking for. I'm grateful that I actually nailed one today. It's just a silly rosie, but it's that shiny bit of metal I was looking for... I'll be satisfied for a few days but I will have to scratch that itch once again here soon...happy hunting and good luck! #metaldetecting #silverdime #treasure #dirty #finderskeepers #pirates #pirate #metaldetector #money #gottagetit #grind #keepongoing #adventures #hobbies #outdoors #getoutside #xpdeus #silverporn #itainteasy #staugustine #palmetto #horticulture</t>
  </si>
  <si>
    <t>xpdeus</t>
  </si>
  <si>
    <t>horticulture</t>
  </si>
  <si>
    <t>itainteasy</t>
  </si>
  <si>
    <t>1588843399644270188_5409757454</t>
  </si>
  <si>
    <t>Make your life worth loving!  Life is a gift from God, love it no matter what! Live it to the fullest!
.
.
.
#loveyourlife #loveyourlife❤️ #bepositive #positivemindset #livelifetothefull #seethegood #seethegoodineverything #believeyoucan #befearless #keeponmoving #keeponlearning #keepondoing #keepongoing #keeponbelieving #believeinyou #goodhabits #achieve #achieveyourdreams #believeinyourdream #believeinyourselfie #keepthefaith #neverstoplearning  #positivemindset #positiveminds #trustandbelieve #trustyourgut #yesyoucan #neverstoptrying #neverstopdoing #youcandoit #worryless</t>
  </si>
  <si>
    <t>loveyourlife❤️</t>
  </si>
  <si>
    <t>trustyourgut</t>
  </si>
  <si>
    <t>worryless</t>
  </si>
  <si>
    <t>1588847830213391540_2065144435</t>
  </si>
  <si>
    <t>I set up this zoomed tripod shot so that we could swim out and get a nice couple photo. In the end this local man stole the show with his pensive middle distance gaze 💅🏽
#guatemala</t>
  </si>
  <si>
    <t>Semuc Champey</t>
  </si>
  <si>
    <t>passionpassport</t>
  </si>
  <si>
    <t>1588848179373555339_3220292885</t>
  </si>
  <si>
    <t>Had a tough week. Some lower back pain; upper back + neck + arms+ shoulder pain that started on Monday..... Nothing serious but in pain&amp; stiff. Needed my body to rest; stretch and focus on light training. Getting the support and always coaching helped to get myself back into regular training and eventually back to teaching cycling on Friday and Saturday. This session was all about upperbody. I did feel weak doing pushups but was needed. As you can see on this video the coaching was KEY because it's hard to remind ourselves of the importance of keeping those hips and lower back up and off the ground. Focusing on the right form for a push up. A full body exercise not just for chest. Hips on straight line not down; not too high. No curving of the back; everything stays flat as one goes down. Pushing up straight. Core tight. No moving of the shoulders. Everything needs to stay solid. NOT EASY. The benefits: push-ups help tremendously for overall fitness. They help one focus on  arms, abs and lower body, ALL at the same time. #pushups #fitgirl #joyofexercise #nevergiveup #keeponmoving #keepongoing #strength #performancetraining #workouts #fitgirls #instafit #instapic #instafitgirls #fitmom #workouts #abs #core #legs #armworkout #fitmindandbodyinitiative #wellness #healthylife</t>
  </si>
  <si>
    <t>Olympia Performance</t>
  </si>
  <si>
    <t>performancetraining</t>
  </si>
  <si>
    <t>leon_1.cancer_0</t>
  </si>
  <si>
    <t>1588853572307629885_241567940</t>
  </si>
  <si>
    <t>This picture was taken after this woman gave these crazy monkey bars 7 tries. She was bummed that she had to do the 30 burpees after falling the 1st time until i told her to try it again and again after ever failed attempt. At the end her hands were so bad, that they were starting to bleed. Her ancles were hurting from how many times she fell. But after failing her final time, she felt much better going into those 30 burpees knowing that she didnt give up till her body told her she had enough pain. I respect people with heart... keep pushing and never give up.
#savagerace #toughspartans #obstaclebuilding #ocr #obstacleracing #obstaclecourseracing #ocrbeast #warrior #beast #beastmode #veteran #ocrtraining #competitor #spartan #medaladdict #savage #medalchaser #reebok #savageraceflorida #keepongoing #spartanbeast #nopainnogain #nevergiveup #goaloriented #killmode #fulfillyourpurpose #mudtitan  #limitlessmindset #limitless #spartanrace</t>
  </si>
  <si>
    <t>mudtitan</t>
  </si>
  <si>
    <t>reebok</t>
  </si>
  <si>
    <t>limitless</t>
  </si>
  <si>
    <t>obstacleracing</t>
  </si>
  <si>
    <t>1588854178426654456_3258706533</t>
  </si>
  <si>
    <t>PUSH UPS. As you can see on this video the coaching is KEY because it's hard to remind ourselves of the importance of keeping those hips and lower back up and off the ground. Focusing on the right form for a push up: It's a full body exercise not just for chest. Hips on straight line not down; not too high. No curving of the back; everything stays flat as one goes down. Pushing up straight. Core tight. No moving of the shoulders. Everything needs to stay solid. NOT EASY. The benefits: push-ups help tremendously for overall fitness. They help one focus on  arms, abs and lower body, ALL at the same time. #pushups #fitgirl #joyofexercise #nevergiveup #keeponmoving #keepongoing #strength #performancetraining #workouts #fitgirls #instafit #instapic #instafitgirls #fitmom #workouts #abs #core #legs #armworkout #fitmindandbodyinitiative #wellness #healthylife</t>
  </si>
  <si>
    <t>nino.yaya</t>
  </si>
  <si>
    <t>1588855810195597869_1205604384</t>
  </si>
  <si>
    <t>Never settle for less #motivation #happylife #keepongoing #beauty #love #kiss #cute #sexy #hot #insta #selfie #selfies #kawaii #aegyo #selca #selcas #jidori</t>
  </si>
  <si>
    <t>kiss</t>
  </si>
  <si>
    <t>jidori</t>
  </si>
  <si>
    <t>selca</t>
  </si>
  <si>
    <t>j_k_27</t>
  </si>
  <si>
    <t>1588856525852740616_2117936755</t>
  </si>
  <si>
    <t>Test Trip to Yuma Arizona. Everyday Sunny, everyday over 40 °C. Training for the Marathon is really hard here. Keep on going.</t>
  </si>
  <si>
    <t>Yuma, Arizona</t>
  </si>
  <si>
    <t>momthriftter</t>
  </si>
  <si>
    <t>1588857982418320034_5843019636</t>
  </si>
  <si>
    <t>Some of tonights sale already, they have moved me over the 300.00 Mark in 15 days. 😊 my next goal is 500.00 #keepongoing #goalsetter
#keepthrifting</t>
  </si>
  <si>
    <t>keepthrifting</t>
  </si>
  <si>
    <t>1588862328093342032_2224047307</t>
  </si>
  <si>
    <t>Minus panagat dah.
#keepongoing 
#iammrlookboy</t>
  </si>
  <si>
    <t>1588863459206654256_462344435</t>
  </si>
  <si>
    <t>Rest it you must, but don't you quit.
.
.
.
In achieving your goals whether small or big , there will be struggles along the way that can make us feel like giving up. Rest but don't give up.  Oftentimes, we're almost there😉 so just believe and don't give up!
.
.
.
Happy Friday everyone!😊😁😄
.
.
.
#Bepositive #positivemindset #livelifetothefull #seethegood #seethegoodineverything #believeyoucan #befearless #keeponmoving #keeponlearning #keepondoing #keepongoing #keeponbelieving #believeinyou #achieveyourdreams #achieveyourgoals #believeinyourdream #believeinyourselfie #keepthefaith #neverstoplearning #positiveattitude #positivemindset #positivequotes #positivevibes #positiveminds #trustandbelieve #trustyourgut #yesyoucan #neverstoptrying #neverstopdoing #youcandoit</t>
  </si>
  <si>
    <t>positivemindset</t>
  </si>
  <si>
    <t>1588870494126658561_4520028849</t>
  </si>
  <si>
    <t>Seriously, GORGEOUS!!!
Link in bio @agnesanddorabyjacquie 
#agnesanddora #ohioboutique  #abettermewithaandd #i lovefall #iloveaandd #leggings #lularoe #healthyliving #faith #cutetee #positivevibes #unstoppable #icandothis #nanalife #pullover #onlineshopping  #keepongoing #powerinprayer #success #ilovedisney #beachlife #skirt #tank #dress #fisher #joplin #godiva #happywife #happylife</t>
  </si>
  <si>
    <t>iloveaandd</t>
  </si>
  <si>
    <t>pullover</t>
  </si>
  <si>
    <t>jennysuemakeup</t>
  </si>
  <si>
    <t>1588871644927320222_14655218</t>
  </si>
  <si>
    <t>"In any given moment we have two options : To step forward into growth OR to step back into safety." - Abraham Maslow 🤔 #deepthoughts
💃🏻Today I stepped away from behind the safety of my blog/computer and stepped forward into an opportunity of filming some beauty segments for a national television station to be aired during fashion week in September. #whatwhat 💁🏻
🎥I've recorded plenty of YouTube videos in my blogging career - those don't even compare to a legit film studio with teleprompters, lights, and tons of people!! I was a crazy ball of nerves but took that nervousness and flipped it into excitement of trying something completely out of my comfort zone! Truthfully, after a couple takes, it actually DID become fun!
🍳I  could barely eat my room service breakfast bc of the nerves tho before going on set...which is TOTALLY unlike me!
📺It ended up being a most amazing experience and I cannot wait to share ALL of the details as soon as I can! Thank you for all of the sweet and supportive comments on my Insta stories yesterday - I truly appreciate it!😘 #dreambigger //
💄: wearing @maybelline Matte Metallic lipstick in "Hot Lava"
📷 @adc0628 big thanks for being my photog behind the scenes!</t>
  </si>
  <si>
    <t>CNN Center</t>
  </si>
  <si>
    <t>dreambigger</t>
  </si>
  <si>
    <t>whatwhat</t>
  </si>
  <si>
    <t>hershey0111</t>
  </si>
  <si>
    <t>1588873979475573043_294718130</t>
  </si>
  <si>
    <t>She was a girl who knew how to be happy even when she was sad. 
And that's important. 💕
#snapchat #ears #filter #glasses #selfie #tat #tattoo #cute #curlyhair #hotmess #happy #sad #keepongoing #curvy #blueeyes</t>
  </si>
  <si>
    <t>mylesbianlover</t>
  </si>
  <si>
    <t>tat</t>
  </si>
  <si>
    <t>glasses</t>
  </si>
  <si>
    <t>insta_ruthie</t>
  </si>
  <si>
    <t>1588874409619710337_5401250286</t>
  </si>
  <si>
    <t>I went to the dr. today I've lost 70 pounds in almost 8 months. #anytimefitness #weightlossjourney #fattofit #lifechanger #contrave #keepongoing #torrid</t>
  </si>
  <si>
    <t>lifechanger</t>
  </si>
  <si>
    <t>contrave</t>
  </si>
  <si>
    <t>torrid</t>
  </si>
  <si>
    <t>anytimefitness</t>
  </si>
  <si>
    <t>gsdgrrl</t>
  </si>
  <si>
    <t>1588877861354400535_930148587</t>
  </si>
  <si>
    <t>Truth!  #keepongoing #chronicillnesswarrior #chronicillnesses #nevergiveup ❤️😎❤️</t>
  </si>
  <si>
    <t>chronicillnesswarrior</t>
  </si>
  <si>
    <t>chronicillnesses</t>
  </si>
  <si>
    <t>1588887177398807875_3623406174</t>
  </si>
  <si>
    <t>Japan nights.
Photo by @manabe470204
.
.
.
.
.
.
.
.
#yogagirls #keepongoing #lifesabeach #mybudgettravel #resourcetravel #discovertheroad #adventurers #lovewhatyoudodowhatyoulove #paradiseofpetals #therisingtidesociety #jj_forum #vacationlife #soultravel #igers #traveltogether #lifeabroad #exploreyourcity #followers #lifechoices #travelnow #mountaingirls #dmtravelseries #adventurepic #timefreedom #paradisebeach</t>
  </si>
  <si>
    <t>paradisebeach</t>
  </si>
  <si>
    <t>paradiseofpetals</t>
  </si>
  <si>
    <t>seninha18</t>
  </si>
  <si>
    <t>1588895754717464119_16670749</t>
  </si>
  <si>
    <t>1st lesson 🏄🏻🏄🏻🏄🏻 #surf #surfing #lombok #sea #life #love #waves #keepongoing #wild #nature #islandlife</t>
  </si>
  <si>
    <t>SBL Selong Belanak Lombok Surf School &amp; Resorts</t>
  </si>
  <si>
    <t>lombok</t>
  </si>
  <si>
    <t>1588916305967409985_1822232190</t>
  </si>
  <si>
    <t>Eiffel, Paris
Photo by @cbezerraphotos
.
.
.
.
.
.
.
.
#mountaingirls #vscocam #familypictures #keepongoing #paradisehotelse #livenow #eclectic_shotz #travelfashion #seeingtheworld #followers #getoutstayout #sunset_ig #traveltheglobe #oceanvibes #outdoortones #backpackinglife #lifechoices #travelingmodel #mytravelgram #skypainters #lifeisnow #addictedtotravel #lifehappens #thaitraveling #creativeprocess</t>
  </si>
  <si>
    <t>paradisehotelse</t>
  </si>
  <si>
    <t>1588941231592791183_194433727</t>
  </si>
  <si>
    <t>startyourdayoffright</t>
  </si>
  <si>
    <t>stiggy_fitness</t>
  </si>
  <si>
    <t>1588944755889502811_322382938</t>
  </si>
  <si>
    <t>Love this exercise✊🏾 30reps calm always control the weight never let the weight control you! #gym #gymlife #gymlifestyle #gym #fitness #keepongoing #keepmoving #hardworkpaysoff #adidas #adidasuk @dukedumont #bodybuildingmotivation #bodybuilding #sponsored</t>
  </si>
  <si>
    <t>1588946942154814728_2317517565</t>
  </si>
  <si>
    <t>Jeg er god til at stå op fordi mit arbejde kræver det og fordi jeg er så heldig at kombinere mit arbejde med min træning. 
Jeg føler mig i den grad priviligeret 🙏🚴🏋🏼‍♀️🍾😃 •••
#mortentillitzdk  #whatwouldbeyoncedo #toldyouso #tropådet #personligtræner #personaltrainer #cycling #Cykling #styrketræning #løb #Svømning #Swim #running #stronger #personligtræner #mitodense #fitfam #ﬁtfamdk #actionequalsresults #handlingskabersucces #helkropstræning #fullbody #SunRiceClubbyMortenTillitzDK #mentalpause #blivved #keepongoing #styrketræning #painfree #smertefri #søvn #sleep #mitodense</t>
  </si>
  <si>
    <t>1588951358722979885_429150387</t>
  </si>
  <si>
    <t>Don't compromise your relationship with Jesus for people's approval and for friendships you know that are not worth it.  Don't link up with those who will pollute you. See 2 Corinthians: 6 vs 17. We cannot make ourselves acceptable to all people, but we can believe that God will give us favour with the right people that are meant to be part of our lives. Sometimes we try to have relationships with people God does not even want us to be associated with. We should put our faith in the Lord to help us choose right friends, as well as everything else that concerns us. This is so important, please friends use discernment and wisdom, i have seen friends go this route and I see their lives and it’s not good so much of fakeness and deception and sad to say I lost them as friends but I pray for them because I still believe that He who has began a good work will finish it. Keep God first place always and don't be fooled by people, listen to the Holy Spirit, keep your distance when you need to and Trust God for He knows what's best. Have a Blessed #Friday and enjoy it, God Bless you all. #FridayFeeling #Truth #Wisdom #Understanding #Discernment #Pray #Friends #Life #Friendships #KeepOnGoing #WalkAway #Love #Forgiveness #LookToJesus #Strength #BeBold #TrustGod #Devotion #Encouragement  #HappyFriday #NoFear #HolySpirit #DontBeFooled #Listen #BeWise #Faith #Teaching #YouAreLoved #JesusLovesYou</t>
  </si>
  <si>
    <t>friendships</t>
  </si>
  <si>
    <t>d_paoli</t>
  </si>
  <si>
    <t>1588956679356821326_1272145310</t>
  </si>
  <si>
    <t>Truly the only people that feel free are the ones who have conquered the ugly messy part of who they are. It's OK to come out you might be facing something someone else might be facing: depression, addiction, loneliness, shamefulness  etc.
There is nothing better than your living testimony!
#unattainedbeauty #quote #quotes4life #dailytoughts #writer #blogger #poetry #poet #inspiration #motivation #motivationalquotes #encouragement #toughtsoflife #lifeisbeautiful #lifeisshort #instagood #instaquote #testimony #youhaveapurpose #youarebeautiful #love #keepongoing #quotesforthesoul #loveyourself #youareworthfightingfor</t>
  </si>
  <si>
    <t>dailytoughts</t>
  </si>
  <si>
    <t>poet</t>
  </si>
  <si>
    <t>quotes4life</t>
  </si>
  <si>
    <t>manoukaptein</t>
  </si>
  <si>
    <t>1588958772171114552_2719177287</t>
  </si>
  <si>
    <t>So true… and so difficult sometimes to stop thinking. Just focus on the good things to come and not always….. what if?…… So.. 5..4..3..2..1… GO! Happy Friday!</t>
  </si>
  <si>
    <t>openmind</t>
  </si>
  <si>
    <t>ivelawshukkwan</t>
  </si>
  <si>
    <t>1588966472931460199_1784871975</t>
  </si>
  <si>
    <t>好眼訓呢 #keepongoing #keepondoing #keepodotme #workhard #playhard #photoshooting #chaiwan #hkig #hkiger</t>
  </si>
  <si>
    <t>柴灣工業城 Chai Wan Industrial City</t>
  </si>
  <si>
    <t>chaiwan</t>
  </si>
  <si>
    <t>hkig</t>
  </si>
  <si>
    <t>keepodotme</t>
  </si>
  <si>
    <t>1588969879166393613_3249788376</t>
  </si>
  <si>
    <t>When you think you're done, you're only 40% done. Do MORE 😎 happy Friday crew! #ready4more⠀
⠀
(📷 @fpmovement @freepeople)</t>
  </si>
  <si>
    <t>1588969901623439903_5495249433</t>
  </si>
  <si>
    <t>Mixed chicken salad for lunch today 🍅🥗🥑🥕</t>
  </si>
  <si>
    <t>good.phie.ling</t>
  </si>
  <si>
    <t>1588975029293579760_2082198290</t>
  </si>
  <si>
    <t>O H. 
#mornings #weight #weightloss #curvy #abnehmen #gesundabnehmen #kilo #bmi #ibodyshape #app #application #tracking #13done #14togo #alright #letsdothis #newmotivation #holidays #summer2018incoming #wiegen #motivation #fitness #keepongoing #onestepatatime</t>
  </si>
  <si>
    <t>Osterode am Harz</t>
  </si>
  <si>
    <t>tracking</t>
  </si>
  <si>
    <t>bmi</t>
  </si>
  <si>
    <t>weight</t>
  </si>
  <si>
    <t>summer2018incoming</t>
  </si>
  <si>
    <t>anka_omayka</t>
  </si>
  <si>
    <t>1588978278125819064_2876589047</t>
  </si>
  <si>
    <t>#bojaufamtylkowlasnymnogom #noginogisetkinog #tupiatupia #tuptuptup #keepongoing #nomatterwhatkeepongoing</t>
  </si>
  <si>
    <t>noginogisetkinog</t>
  </si>
  <si>
    <t>tuptuptup</t>
  </si>
  <si>
    <t>tupiatupia</t>
  </si>
  <si>
    <t>nomatterwhatkeepongoing</t>
  </si>
  <si>
    <t>1588987596477769301_1684424176</t>
  </si>
  <si>
    <t>@oil.and.steel  Stop when it's done. 
___________________________ 
#millionaireimage #doitforyourself #betterme #beyourown #keeponkeepingon #workforwhatyouwant  #marketingmoment #marketingsolutions #encourageyourself #bethechangeyouwanttosee #youvegotthis #oilfieldlife #millionairequotes #fightmyway #inspirationalthoughts #positivepeople #americanbusiness #quoteme  #strategize #seemslegit #youdoyou #inspirationalpost #businessownership #businessisbusiness #keepongoing #selfconfidenceiskey #bewhoyouare #bewhatyouwanttobe #socialinfluencers #socialize</t>
  </si>
  <si>
    <t>selfconfidenceiskey</t>
  </si>
  <si>
    <t>millionairequotes</t>
  </si>
  <si>
    <t>1588991819815298241_4230484970</t>
  </si>
  <si>
    <t>@jenafrumes ❤😻</t>
  </si>
  <si>
    <t>1589011250178991569_5484016884</t>
  </si>
  <si>
    <t>Have faith no matter what! #mind #body #spirit #connection #heart #brain #psyche #organs #soul #faith #believe #dontlosehope #positivethinking #positiveenergy #keepongoing #progress #evolution #desireforbetter #selfdevelopment #selfdiscipline #healthymind #healthybody #healthyfood #sports #yoga #fit #liveinthemoment #novelhuman</t>
  </si>
  <si>
    <t>purefoodkate</t>
  </si>
  <si>
    <t>1589026462030494382_462373551</t>
  </si>
  <si>
    <t>Repost @loubuys...Gelukkige klanten geven mij zo veel voldoening! Een persoonlijk aangepast schema op basis van de individuele klachten!  Zo trots op deze topper en zo blij voor de snel bereikte resultaten! Food is medecine, geen twijfel over! Proficiat Lou!😘👊
#purefoodkate #foodismedecine #noallergies #purefood #skipthedietfeeltheenergy #nopain #purevoeding #foodiesofig #foodpic #keepongoing #voedingsdeskundige #healthyfoods #noaddedsugars #gezondeten #gezondetenzonderaftezien #gezondheidsconsulent #gezondiszoveellekkerder #letfoodbeyourmedecine #gezondmaaktgelukkig #healthylifestyle #healthychoices</t>
  </si>
  <si>
    <t>foodpic</t>
  </si>
  <si>
    <t>gezondheidsconsulent</t>
  </si>
  <si>
    <t>nopain</t>
  </si>
  <si>
    <t>purefood</t>
  </si>
  <si>
    <t>thejoshryan</t>
  </si>
  <si>
    <t>1589027340653028726_2191925761</t>
  </si>
  <si>
    <t>Deadly when focused 🔥</t>
  </si>
  <si>
    <t>dianewheelerweightlossjourney</t>
  </si>
  <si>
    <t>1589029411248129402_2307435763</t>
  </si>
  <si>
    <t>Feeling happy when I look back from when it started! The moment just before I gave birth and suddenly realised how important a healthy life is with a child to dependent on you.  I promised my myself my child will not have a fat mum at the school gate! I would hate my kids to have a fat unhealthy mum, wish I done things sooner, well I tried but I wasn't educated with the correct info!  More big changes will be coming my way 2018. I know 110% it's going to swing my way coz I'm controlling what way my ship goes. #pregnant #24weekspregnant #healthypregnancy #healthypregnacy #healthylifestyle #healthyfamily #takingcontrol #2018 
#targets #mummyoftwo #education #3sizessmaller #fatloss #weightloss #keepongoing</t>
  </si>
  <si>
    <t>education</t>
  </si>
  <si>
    <t>takingcontrol</t>
  </si>
  <si>
    <t>targets</t>
  </si>
  <si>
    <t>vjsocialmedia</t>
  </si>
  <si>
    <t>1589030536913946058_3161188806</t>
  </si>
  <si>
    <t>Good morning all 
We are get moment of self doubt especially as we are trying to deal with a storm or challenge in our lives , often we will doubt if we can do it alone .
Yet when we dig deep we often find threat would not only very capable of handling the storm ourselves but we find new depths of inner strength that we never know we had or tap into a whole new skill set to enrich our life .
What storm have you recently just weathered and how do you feel now that it's passed ? 
#storms #selfdoubt #innerstrength #selfbelief #inspire #keepongoing #alwaysmoveforward #business #biz #businessowner #businesswoman #womeninbusiness #momboss #singlemom #youcandoit #entrepreneurlifestyle #entrepreneur #mindset #ceo #millennials #noneedtofear #fearless #vjsocialmedia #socialmediamanageress</t>
  </si>
  <si>
    <t>Scotland</t>
  </si>
  <si>
    <t>womeninbusiness</t>
  </si>
  <si>
    <t>selfdoubt</t>
  </si>
  <si>
    <t>millennials</t>
  </si>
  <si>
    <t>annika_schleu</t>
  </si>
  <si>
    <t>1589045928081602881_4084784171</t>
  </si>
  <si>
    <t>Day off in Egypt yesterday 🇪🇬
Now I'm ready for semifinal 💪 competing in group B with Lena .... results on www.pentathlon.org 
#egypt🇪🇬 #pyramids #dayoff #recover #semifinale #worlds #keepongoing #pentathlon</t>
  </si>
  <si>
    <t>egypt🇪🇬</t>
  </si>
  <si>
    <t>pentathlon</t>
  </si>
  <si>
    <t>recover</t>
  </si>
  <si>
    <t>1589051650277002436_5744148801</t>
  </si>
  <si>
    <t>Finished prototypes of the first nano stick product!
#product #work #buissnes
#productive #productdesign #creative #photoshop #entrepreneursofinstagram #entrepreneur #productivity #working #hustle  #hustler  #dream #nevergiveup #workspace #create #keepongoing #dreams #inspiration #inspiringpeople #sverige #computer #phone #design #designer  #work #ipad  #iphone</t>
  </si>
  <si>
    <t>Gekås Ullared</t>
  </si>
  <si>
    <t>photoshop</t>
  </si>
  <si>
    <t>iphone</t>
  </si>
  <si>
    <t>1589051816649531608_2317517565</t>
  </si>
  <si>
    <t>Emma og jeg har det hårdt dag😂. Godt jeg kan powernappe på jobbet😴😴. •••
#mortentillitzdk  #whatwouldbeyoncedo #toldyouso #tropådet #personligtræner #personaltrainer #cycling #Cykling #styrketræning #løb #Svømning #Swim #running #stronger #personligtræner #mitodense #fitfam #ﬁtfamdk #actionequalsresults #handlingskabersucces #helkropstræning #fullbody #SunRiceClubbyMortenTillitzDK #mentalpause #blivved #keepongoing #styrketræning #painfree #smertefri #søvn #sleep #mitodense</t>
  </si>
  <si>
    <t>Riceteria by RICE</t>
  </si>
  <si>
    <t>1589064074048689975_2075039459</t>
  </si>
  <si>
    <t>1589071437199611731_5705167414</t>
  </si>
  <si>
    <t>Legends  #Dubnation
-
-
-
-
-
-
-
-
-
-
-
-
-
-
-
-
-
-
-
-
-
-
-
-
-
-
-
-
-
-
-
-
-
-
-
-
-
-
-
-
 #StephGonnaSteph #Mvp #SC30 #KT11 #DG23 #CURRYMVP #KEEPONGOING #NEVERGIVEUP #WCF #WEST #WESTERNCONFERENCEFINALS #CHAMPS #DUBSFORCHAMPS #DUBS #ALWAYSBELIEVEINGOD #STEPHENCURRY #EVEN #NBA #2016CHAMPS #CHAMPIONS #LOCKIN #STEPH #SPLASH #SPLASHBROS  #like4like #like4follow #follow4follow</t>
  </si>
  <si>
    <t>1589072576055753949_297558307</t>
  </si>
  <si>
    <t>GM😁🌅Warriors🏹! HAPPY FRIDAY!!!!!!!!!!!!! #free #fitmom #fitmama #fitgirl #fitness #fitnessaddict #run #runner #running #gim #gimnasio #gym #gymgirl #gymlife #gymaddict #gymaholic #keeptrying #keepmoving #keepstrong #keepongoing #myanchor #mypassion #myhappyplace #friday</t>
  </si>
  <si>
    <t>1589077294587156397_1593291268</t>
  </si>
  <si>
    <t>So true.......🤣#lovethegym#keepongoing#sometimesitshard#doityourself#pushyourselftothelimit#forza</t>
  </si>
  <si>
    <t>forza</t>
  </si>
  <si>
    <t>sometimesitshard</t>
  </si>
  <si>
    <t>1589078284377069531_185195397</t>
  </si>
  <si>
    <t>Ahh Friday...Reflect, Relax, Unwind, Repeat. 🌴❤️ Happy Weekend!
.
.
#reflect #unwind #breatheinbreatheout #relaxmode #charlestonsc #highvibes #highenergy #positivemindset #rundaily #runhappy #meditatedaily #mindfullness #worththeeffort #youareloved #youareenough #youareworthit #youareamazing #youaremagnificent #keepongoing #kindnessmatters #persevere #choosejoy #chooselove #joyfullife #brilliantday #clarity #cakidiehl #appreciatelife #wakeuphappy#abundantlife</t>
  </si>
  <si>
    <t>unwind</t>
  </si>
  <si>
    <t>worththeeffort</t>
  </si>
  <si>
    <t>khalisill_waey</t>
  </si>
  <si>
    <t>1589080280328999373_242745631</t>
  </si>
  <si>
    <t>One hour dancing work out. Feeling more alive already!  As long as we are moving it will be alright. #dancing #youKnowImAllAboutThatBass #WorkOut #WorkoutRoutine #MorningRoutine #WeKeepOnMoving #LosingWeight #keepOnGoing #WeDoNotQuit #Health #sport #sweatyselfie  #JustDoIt</t>
  </si>
  <si>
    <t>morningroutine</t>
  </si>
  <si>
    <t>1589092838938227145_5909755832</t>
  </si>
  <si>
    <t>💜 dumbledore #mentalhealthmatters #mentlahealthawareness #harrypotter #dumbledore #deathlyhallows #depression #anxiety #keepongoing #staystrong #yougotthis</t>
  </si>
  <si>
    <t>mentlahealthawareness</t>
  </si>
  <si>
    <t>dumbledore</t>
  </si>
  <si>
    <t>happyfitgirlsarethebest</t>
  </si>
  <si>
    <t>1589094533999097399_5640148132</t>
  </si>
  <si>
    <t>How proud do you feel when after Hours/days/months of suffering finally a new muscle appears !!! That's an amazing achievement 💪🏻🙆🏼🏆🎉🔝#beproudofyourbody #fitnessaddict #believeinyourself #keepongoing #muscle #achievement #personalgoals</t>
  </si>
  <si>
    <t>beproudofyourbody</t>
  </si>
  <si>
    <t>personalgoals</t>
  </si>
  <si>
    <t>achievement</t>
  </si>
  <si>
    <t>maikevandenboom</t>
  </si>
  <si>
    <t>1589096311939040823_2257471335</t>
  </si>
  <si>
    <t>Too many pics in the social media is a sign of lack of inspiration. Help! #keepongoing #happywriting #inspiration</t>
  </si>
  <si>
    <t>Black Coffee Pharmacy GmbH</t>
  </si>
  <si>
    <t>happywriting</t>
  </si>
  <si>
    <t>1589100620017600946_38177443</t>
  </si>
  <si>
    <t>Go where your light takes you
.
.
.
.
.
#artoftheday #summervibes #sunnyday #peaceful #calmwaves #bluesky #all2epic #amileabove #discoverearth #diewocheaufinstagram #epicsky #earthpix #exploretocreate #ExploreOurEarth #instasky #igaddict #keepitwild #likeadream #liveauthentic #meistershots #neverstopexploring #naturelover #theoutdoorfolk #visualsoflife #wekeepmoments #welivetoexplore #wanderlust #keepongoing #bevisuallyinspired #stayandwander</t>
  </si>
  <si>
    <t>Pula, Croatia</t>
  </si>
  <si>
    <t>likeadream</t>
  </si>
  <si>
    <t>instasky</t>
  </si>
  <si>
    <t>elensaddler</t>
  </si>
  <si>
    <t>1589101889072146961_4829431662</t>
  </si>
  <si>
    <t>Feeling a bit chuffed with myself ☺️#grateful #promotion #amazingteam #friends #business #workfromhome #workfromphone #freedom #family #familytime #keepongoing #believe #believeinyou #followyourdreams #personaldevelopment #lovingit xxx</t>
  </si>
  <si>
    <t>amazingteam</t>
  </si>
  <si>
    <t>1589103755437992230_267746472</t>
  </si>
  <si>
    <t>Ready? Si vola😎 #exploringtheglobe#experience#togheter#flying#paragliding#smile#like4like#likeback#malta#love#summervibes#summertime#throwback#iger#discoverglobe#instadaily#picoftheday#tagsta#keepsmiling#keepongoing#holahola#couplegoals</t>
  </si>
  <si>
    <t>St. Paul's Bay, Malta</t>
  </si>
  <si>
    <t>likeback</t>
  </si>
  <si>
    <t>janphilippmai</t>
  </si>
  <si>
    <t>1589104364676851985_233510212</t>
  </si>
  <si>
    <t>What does it mean to be an #entrepreneur? Honestly!? On many occasions it really sucks. Most of the time it means #hardwork and what exactly is this mysterious #worklifebalance? So, why am I posting this? At the moment I try to get some days off. However, when others start their holidays you open up your laptop to finish another report or whatsoever, because this is what you have chosen to do. It's your company, your venture and this in many cases dominates your life. It is really not romantic when you spend the first day off in bed with the headache of your lifetime only because the stress reliefs. I do not want to complain, but show you a realistic side of being an #entrepreneur and #startup founder. It's hard to find your balance! In the end I think the struggle is worth it, but be sure to have the support of your friends and family. So to every #startup and #entrepreneur: #keepongoing and nice holidays 😉</t>
  </si>
  <si>
    <t>Hannover Airport</t>
  </si>
  <si>
    <t>startup</t>
  </si>
  <si>
    <t>misspineaple12</t>
  </si>
  <si>
    <t>1589128426055605263_234166493</t>
  </si>
  <si>
    <t>It's a new dawn. It's a new day. It's a new life for me. Ooh and I 'm feelin' good 🎼 Nina Simone 🎼  #whenitrains #newday #windowview #shadowandlight #darkandlight #contrast #lighter #keepexploring #keephopealive  #colors🎨 #lightcolors #lightcolor #igersmood #songoftheday #keepshining #shinebright #brightlights #keepongoing #photooftoday #beautyshot #fenetre #thoughtful #beautyseeker #lumiere #ombreetlumiere #lightandshadow #shadowplay  #clairobscur #coloroftheday #allofthelights</t>
  </si>
  <si>
    <t>keephopealive</t>
  </si>
  <si>
    <t>keepshining</t>
  </si>
  <si>
    <t>beautyshot</t>
  </si>
  <si>
    <t>darkandlight</t>
  </si>
  <si>
    <t>1589134462087421054_5495249433</t>
  </si>
  <si>
    <t>Friday nights roast &amp; veggies 🍠🥕🌽🍴</t>
  </si>
  <si>
    <t>1589137635464918155_2899822841</t>
  </si>
  <si>
    <t>introvert_</t>
  </si>
  <si>
    <t>gymclothesaddict</t>
  </si>
  <si>
    <t>christina_poledanceluzern</t>
  </si>
  <si>
    <t>1589139647749231040_2907550168</t>
  </si>
  <si>
    <t>Flexy Friday 💎 #pole #polestretch #flexy #stretching #middlesplit #mirrorstretch #stretch #breathe #flexible #flexibility #poledanceluzern #flexyfriday #fitmom #followyourpassion #fitmommy #dontgiveup #keepongoing</t>
  </si>
  <si>
    <t>mirrorstretch</t>
  </si>
  <si>
    <t>pole</t>
  </si>
  <si>
    <t>middlesplit</t>
  </si>
  <si>
    <t>flexy</t>
  </si>
  <si>
    <t>1589142831359291689_5620542121</t>
  </si>
  <si>
    <t>A bit of arms and chest today. 
Can't wait to train with my new stuff from @loyalfitness👕 💪😎
Kooperationspartner 🌊 @loyalfitness 
Joro10 10% Rabatt abstauben
#loyalfitness #zkonzept #gymaddict #fitness #fit #fitfam #fitfamcologne #dreambig #trytogetbig #workonit #friday #keepongoing #enjoylife #bodyunderconstruction #neverquit #stayhungry #training #train #stayfocused #staystrong #chestday #cologne #2017 #dowhatyoulove #smallgainz #smallgains #gainz #gainzcomingsoon</t>
  </si>
  <si>
    <t>catherine_tomlisson</t>
  </si>
  <si>
    <t>1589150281903748817_199276530</t>
  </si>
  <si>
    <t>Well I'm not where I wanted to be by now, but I've come along way &amp; I'll keep on trying! 💪🏻
.
.
.
#flashbackfriday #fbf #recovery #learningtowalkagain #comealongway #pushingthrough #keepgoing #longjourney #slowandsteadywinstherace #ankleinjury #brokenankle #achilles #anklesurgery #achillessurgery #stilloncrutches #keeptrying #keepongoing #ivegotthis</t>
  </si>
  <si>
    <t>learningtowalkagain</t>
  </si>
  <si>
    <t>achilles</t>
  </si>
  <si>
    <t>slowandsteadywinstherace</t>
  </si>
  <si>
    <t>achillessurgery</t>
  </si>
  <si>
    <t>maxree</t>
  </si>
  <si>
    <t>1589152843054243250_54124448</t>
  </si>
  <si>
    <t>#peterforsberg #hockey #warrior #keepongoing</t>
  </si>
  <si>
    <t>peterforsberg</t>
  </si>
  <si>
    <t>hockey</t>
  </si>
  <si>
    <t>jasonljxx</t>
  </si>
  <si>
    <t>1589153976531935807_1345518267</t>
  </si>
  <si>
    <t>I'd rather be standing at the top of the hill that I just dominated, unable to breathe, ready to puke, hair matted to my forehead, than at the bottom Wondering what it would feel like.
#keepongoing#Improving#positive#nevergiveup</t>
  </si>
  <si>
    <t>大馬九寨溝</t>
  </si>
  <si>
    <t>wedel.michael</t>
  </si>
  <si>
    <t>1589165983506016753_4858951766</t>
  </si>
  <si>
    <t>Where is my Mind? 
#ink #inkdrawing #blackandwhite #randomlines #searchandfind #djungle #freeyourmind #tired #keepongoing</t>
  </si>
  <si>
    <t>randomlines</t>
  </si>
  <si>
    <t>djungle</t>
  </si>
  <si>
    <t>1589166583559831133_4858951766</t>
  </si>
  <si>
    <t>1589166991967670415_4858951766</t>
  </si>
  <si>
    <t>1589167484815276138_4858951766</t>
  </si>
  <si>
    <t>searchandfind</t>
  </si>
  <si>
    <t>xxmoonlight_nightxx</t>
  </si>
  <si>
    <t>1589167914656521786_5413707041</t>
  </si>
  <si>
    <t>今日の夕方の空。
今週もお疲れ様でした。
素敵な週末を過ごして下さいね。
＊
The sky of this evening. 
It was a very beautiful sky. 
Have a nice weekend.
#空#夕方の空#良い週末を#今は大変だけど#少しずつ前進#大丈夫きっとうまくいく#あなたも#私も#応援してるよ#sky#evningsky#keepongoing</t>
  </si>
  <si>
    <t>夕方の空</t>
  </si>
  <si>
    <t>少しずつ前進</t>
  </si>
  <si>
    <t>私も</t>
  </si>
  <si>
    <t>evningsky</t>
  </si>
  <si>
    <t>_remcoverheijen</t>
  </si>
  <si>
    <t>1589168857528787180_357983776</t>
  </si>
  <si>
    <t>👆🏼 #daaromgaanwegewoondoor #keepongoing</t>
  </si>
  <si>
    <t>daaromgaanwegewoondoor</t>
  </si>
  <si>
    <t>carreonsid</t>
  </si>
  <si>
    <t>1589169143638930490_279120248</t>
  </si>
  <si>
    <t>Friday night feels.. what a better way to spend the rainy friday night.. 😊☔ @poundforpoundfitness @keithpicazo @roi_cajili #poundforpoundlaspiñas #poundforpoundfitness #crossfit #reebok #reebokph #reebokphilippines #strenghtandconditioning #staystrong #keepongoing #sweat #imdead #ilovethis #batangpoundforpound #lifting #fridaynight #rainyevening</t>
  </si>
  <si>
    <t>rainyevening</t>
  </si>
  <si>
    <t>imdead</t>
  </si>
  <si>
    <t>1589170389706961640_5495249433</t>
  </si>
  <si>
    <t>Some fruit after dinner tonight 🍉🍉
I sometimes feel like snacking after dinner even though I know I'm not really that hungry. It's a habit that I have created and i am working on changing that. In the meantime, I try and choose a healthy option and practice portion control 🌒</t>
  </si>
  <si>
    <t>1589170487676649577_4858951766</t>
  </si>
  <si>
    <t>No worries, we can change.
We are strong!
#inkdrawing #blackandwhite #scifiart #pollutedair #survival  #keepongoing  #chance #scificharacter</t>
  </si>
  <si>
    <t>pollutedair</t>
  </si>
  <si>
    <t>scifiart</t>
  </si>
  <si>
    <t>scificharacter</t>
  </si>
  <si>
    <t>helenne_k</t>
  </si>
  <si>
    <t>1589183478711708463_374407565</t>
  </si>
  <si>
    <t>#helsinki #vantaa #keepongoing</t>
  </si>
  <si>
    <t>Almost at home Lounge</t>
  </si>
  <si>
    <t>vantaa</t>
  </si>
  <si>
    <t>helsinki</t>
  </si>
  <si>
    <t>1589184459550118086_5495249433</t>
  </si>
  <si>
    <t>Live your life 💜 it's too short not to</t>
  </si>
  <si>
    <t>1589185175105944594_279512262</t>
  </si>
  <si>
    <t>Приходить за счастьем и покоем, за чувством осени, за голосами людей, чтобы из обрывков писать истории.
В такие дни, как сегодня, особенно люблю Москву.
.
#loveinmoscow #vscogood #coffeeplace #daily #citylife #coffeecup #coffee #coffeeaddict #vsco #vibes #v60 #picoftheday #keepongoing #lifeex #lifestyle #abmlife #authentic #abmhappylife #vscocam #vscodaily #madrussians</t>
  </si>
  <si>
    <t>Кооператив «Чёрный»</t>
  </si>
  <si>
    <t>v60</t>
  </si>
  <si>
    <t>goldenballersclub</t>
  </si>
  <si>
    <t>1589191187331278231_4027250093</t>
  </si>
  <si>
    <t>Never give up! Great things take time. ⚫
⚫
📸Photo via: @goldenballersclub ⚫
⚫
#goldenballersclub #unforgettable #fun #nevergiveup #boss #king #hustle #neverstop #keepongoing #keepgrowing #hustler #success</t>
  </si>
  <si>
    <t>bellyrunningworld</t>
  </si>
  <si>
    <t>1589203969398099229_19009436</t>
  </si>
  <si>
    <t>As long as you can call it "today" yup it's a new day! Always let us be thankful for what we have today! Thank God for another day 🙏🏼
•
•
•
•
•
•
#happyfriday #thankful #Godisgood #blessed #happy #runner #runforlife #lovelife #lifeisgood #photography #photooftheday #nevergiveup #noexcuses #keepongoing #keepitup #Godwillprovide #Hegotmyback #thankyou</t>
  </si>
  <si>
    <t>1589204292332845242_4773778225</t>
  </si>
  <si>
    <t>Bye Muskoka! You've been good to us👋🏻🌞#worldtravelbook #flashesofdelight #art #lake #rainbow #goodafternoonpost #keeponkeepingon #keepongoing #motivation #motivationeveryday #sunset #flowers #architecturephotography #architecture #tagsforlikes #bluesky #likesforlikes #follow #almosttheweekend #smile #happy #morningmotivation #flower #behappy #grateful</t>
  </si>
  <si>
    <t>carrieannephoto</t>
  </si>
  <si>
    <t>1589204702713083934_975652361</t>
  </si>
  <si>
    <t>It's Friday and the old minivan rolled to this awesome 😎 number just as I dropped Grant off at school this morning.  #happyfriday #unfancy #thenumber5 #5 #searssisters #minivan #momlife #thewaycarrieseesit #155555 #practical #getsmewhereineedtogo #comfy #nottooshabby #keepongoing #blessed</t>
  </si>
  <si>
    <t>searssisters</t>
  </si>
  <si>
    <t>thenumber5</t>
  </si>
  <si>
    <t>momlife</t>
  </si>
  <si>
    <t>foreverbusyyy</t>
  </si>
  <si>
    <t>1589205624946788819_5555478547</t>
  </si>
  <si>
    <t>"Beauty is about being comfortable in your own skin. It's about knowing and accepting who you are" 
Goooood morning &amp; happy friday!!!! In the process of learning to love myself, i have to learn to love My stretch marks. They are a major part of me. It's a daily reminder of how far I've come and It keeps me grounded to who am I. •
•
•
#keepongoing #loveyourself #youarebeautiful #strechmarks #tigerstripes #ButImALion 🦁 #perfectlyflawed</t>
  </si>
  <si>
    <t>Miami, Florida</t>
  </si>
  <si>
    <t>butimalion</t>
  </si>
  <si>
    <t>perfectlyflawed</t>
  </si>
  <si>
    <t>tigerstripes</t>
  </si>
  <si>
    <t>curvy_valkyrie</t>
  </si>
  <si>
    <t>1589205722581948208_5878901070</t>
  </si>
  <si>
    <t>Feeling like a bucket of snot but must stay strong for work 💪 #ill #sick #cold #work #keepongoing #nurse #fashion #curvyfashion</t>
  </si>
  <si>
    <t>ill</t>
  </si>
  <si>
    <t>cold</t>
  </si>
  <si>
    <t>sick</t>
  </si>
  <si>
    <t>strengthofthevine</t>
  </si>
  <si>
    <t>1589207888486982097_202928176</t>
  </si>
  <si>
    <t>Keep on going! 👊#stumbleon #strength</t>
  </si>
  <si>
    <t>goodthingshappen</t>
  </si>
  <si>
    <t>lifeisanadventure</t>
  </si>
  <si>
    <t>wallis86</t>
  </si>
  <si>
    <t>1589211739923216927_189097434</t>
  </si>
  <si>
    <t>Musikk og tegning gir meg liv 💓🎶 #tegning #drawing #art #heart #hjerte #music #chords #life #keepongoing #climbeverymountain</t>
  </si>
  <si>
    <t>hjerte</t>
  </si>
  <si>
    <t>heart</t>
  </si>
  <si>
    <t>m.u.a.piiasillamae</t>
  </si>
  <si>
    <t>1589213878339106112_3312750587</t>
  </si>
  <si>
    <t>My key to doing it all @redbullestonia ! ❤️💪🏻Working full time as an ICU nurse and a makeup artist can be difficult at times, but doable! Don't give up! Keep on doing the thing You love! 👌#redbull #annabtiivad #keepongoing #redbull #energy  #myfav #comesbeforeecoffee #mua #makeupartist #mua #redbullsummeredition #sponcoremepleace #lol</t>
  </si>
  <si>
    <t>comesbeforeecoffee</t>
  </si>
  <si>
    <t>redbull</t>
  </si>
  <si>
    <t>myfav</t>
  </si>
  <si>
    <t>sponcoremepleace</t>
  </si>
  <si>
    <t>pustebluemchen3</t>
  </si>
  <si>
    <t>1589224428858797680_212175051</t>
  </si>
  <si>
    <t>week one done! 💪🏼 3/5 #workoutdays is a good start! although im not highly motivated i will #keepongoing . i already have some #musclehangover 🙈 but it feels good to know you did something. #getinshape #doitforyou #feelgood #workout</t>
  </si>
  <si>
    <t>workoutdays</t>
  </si>
  <si>
    <t>musclehangover</t>
  </si>
  <si>
    <t>1589227996265330355_5413152670</t>
  </si>
  <si>
    <t>Everyone runs into an obstacle.  Everyone gets knocked down by unforeseen circumstances.
.
You will get knocked down.  You will take a leap of faith and miss.  You will lift more then you can handle.
.
But it happens to everyone.  So embrace it, learn from it, and keep going.
.
#failfriday</t>
  </si>
  <si>
    <t>fridayfeeling</t>
  </si>
  <si>
    <t>getup</t>
  </si>
  <si>
    <t>1589234578244200874_1584949428</t>
  </si>
  <si>
    <t>Никогда не знаешь, когда придёт проверка)) возможно, уже в эту пятницу .... так что следите за качеством продуктов и состоянием холодильников  дорогие мои шефы- всегда , как оно и положено 😘 #ревизорромитрофанова #ревизорромосква #keepongoing</t>
  </si>
  <si>
    <t>ktbear3</t>
  </si>
  <si>
    <t>1589239176937845225_42872601</t>
  </si>
  <si>
    <t>It's a brand new day! Yesterday was a rough one. But with the kind words and support from my loving peeps, I was able to push through a shitstorm that I was afraid I couldn't bare. My friends are my family... I am blessed. 
#keepongoing #movinonup #nextchapterawaits</t>
  </si>
  <si>
    <t>nextchapterawaits</t>
  </si>
  <si>
    <t>movinonup</t>
  </si>
  <si>
    <t>alli_c_boydstun_</t>
  </si>
  <si>
    <t>1589240589052115967_479814456</t>
  </si>
  <si>
    <t>Week one of work out regime? ✔️ #weekonecompleted #afterworkoutselfie #soreaf #ifeelgreat #keepongoing #panicatthedisco #missjackson #workoutjam #weightlossjourney</t>
  </si>
  <si>
    <t>afterworkoutselfie</t>
  </si>
  <si>
    <t>weekonecompleted</t>
  </si>
  <si>
    <t>panicatthedisco</t>
  </si>
  <si>
    <t>ifeelgreat</t>
  </si>
  <si>
    <t>1589241365852678677_4249248273</t>
  </si>
  <si>
    <t>As part of #fridayfun I put together my attempt to get my second ever sit start @thecastleclimbingcentre - I didn't get it, I ripped a shocking amount of skin but I had a lot of fun trying. I also worked through a lot of different options 😂Unfortunately it was reset not a week later 😢 but that means I get other projects to send :) part of being a public figure and athlete isn't just showing how good you are, but how much work goes behind it and how many fail attempts you might have before you succeed. I will always always say that failing at something is never the end, unless you choose for that to be your story. Failing at something is a chance for you to choose to try again or change direction, learn and succeed at a later date while celebrating harder because you went through a tougher journey. #wisdom #motivation #tryagain #tryhard #keepongoing #learning #letsdothis #justdoit #believeinyourself #choices #challenge #grit #determination #yesican #thisgirlcan #thisgirlcanclimb @thisgirlcanuk @thisgirlcanclimbing #paraclimbing #climber #climbing #climbing_is_my_passion #bouldering #ehlersdanlossyndrome @ehlersdanlosuk #cancersurvivor #amputee #muslim #hijab #practice #training</t>
  </si>
  <si>
    <t>pangolin_at_home</t>
  </si>
  <si>
    <t>1589247048732104130_4578104230</t>
  </si>
  <si>
    <t>Aaaaaaaand breathe, thank goodness it's Friday, thank goodness for amazing amazing wonder post!!!!! Thank goodness for all the lovely lovely people around me who care and love and support me. It's a rocky uphill climb, but keeping on keeping on 
#edfam #recovery #edrecovery #grateful #thankyouuniverse #thankful #thankyouangels #nature #naturephotography #niceview #scenery #myphoto #getoutside #freshair #anarecovery #anorexia #anorexiarecovery #mentalhealth #eatingdisorder #eatingdisorderrecovery #keepongoing #onwardsandupwards 🌈</t>
  </si>
  <si>
    <t>eatingdisorderrecovery</t>
  </si>
  <si>
    <t>edfam</t>
  </si>
  <si>
    <t>thankyouuniverse</t>
  </si>
  <si>
    <t>edrecovery</t>
  </si>
  <si>
    <t>keepongoing_a</t>
  </si>
  <si>
    <t>1589247546471817236_5577357612</t>
  </si>
  <si>
    <t>#train #nike #adidas #trainingday #love #fitgirl #fitdutchies #fit #keepongoing</t>
  </si>
  <si>
    <t>David Lloyd Leisure Nederland</t>
  </si>
  <si>
    <t>corinnesnoeker90</t>
  </si>
  <si>
    <t>1589247630893746406_4252325236</t>
  </si>
  <si>
    <t>Na weken niet echt lekker te hebben gelopen, nu toch weer 4,5 km! #keepongoing #ladiesrun</t>
  </si>
  <si>
    <t>ladiesrun</t>
  </si>
  <si>
    <t>1589248593797052074_8739183</t>
  </si>
  <si>
    <t>🖤happy weekend🖤||#frankfurtammain #igersfrankfurt #aboutfrankfurt #tgif #ezbfrankfurt #sachsenhausen #inspiration #aboutlastnight #ostend #positivity #positivevibes #darlingmovement #darlingmoment #frankfurtatnight #ostendfrankfurt #frankfurtlove #frankfurtdubistsowunderbar #goodvibes #lifestyleblogger #lifeisgood #happygirl #keepongoing #frankfurtliebe #frankfurtview #igersinspiration #luckywelivehi #moments #collectmomentsnotthings #smcffm</t>
  </si>
  <si>
    <t>motiversity</t>
  </si>
  <si>
    <t>1589250801795406691_4031139622</t>
  </si>
  <si>
    <t>Surround yourself with the right people 🐅🙏
•
Follow @motiversity for more motivation!💪
Check us out on YouTube, Powerful New Motivational Speech Videos every week🎧</t>
  </si>
  <si>
    <t>1589252450552199047_2375665907</t>
  </si>
  <si>
    <t>Hey Leute heute gibts was neues und zwar ein !!GEWINNSPIEL mit @dymatize_europe 😃 Ihr könnt 1 von 10 Dymatize Packeten im Wert von ca. 100€ gewinnen!! Im Packet enthalten ist: - Shaker - Handtuch - 5×SMG Bar Deluxe Chocolate - 5×SMG Vanilla Caramel Fudge - 5× Elite Bar Chocolat Gourmet -  5×Elite Bar Coffee Chocolate - ISO100 Hydrolized 900g Geschmack nach Wahl 😉
Um an dem Gewinnspiel teilzunehmen müsst ihr nur folgendes tun: 
1) @dymatize_europe folgen 
2) ein Bild vom letzten Training auf euren Account posten
3) den erstellten Post mit den Hashtags #getdymatized und #getdymatizedgewinnspiel markieren 4) @dymatize_europe verlinken und auf dem Foto markieren That's it. Ich drücke euch allen die Daumen und wünsche euch weiterhin viel Erfolg beim Training 💪💪#Werbung #getdymatized #dymatize #ad #getdymatizedgewinnspiel #natty #gainz #muscles #biceps #workout #austria #innsbruck #motivation #keepongoing #enjoy #lifestyle  #healthy #fitness #natty #bodybuilding #austria #innsbruck #motivation #roadtosucess #model #armday</t>
  </si>
  <si>
    <t>dymatize</t>
  </si>
  <si>
    <t>1589254488169027820_2164432158</t>
  </si>
  <si>
    <t>Oregon
Photo by @neohumanity
.
.
.
.
.
.
.
.
#travelvideo #familypet #paradises #girlsjustwannatravel #meditative #yogaposes #dontbelievemejustwatch #lifeislife #travellife #travelclub #sunset #laptoplife #vscocam #safetravels #energyflow #travelmagazine #yoga4growth #getoutdoors #instagood #adventurebuddies #leavenworth #travelgermany #keepongoing #backpackinglife #livefornow</t>
  </si>
  <si>
    <t>1589255797984213007_2899822841</t>
  </si>
  <si>
    <t>It was still a bit chilly outside  when the workout happened.
But it is almost the weekend!!😀😀💃💃
And it is flex Friday.💪💪
I am loving the weights again.
Can't wait for the new 5 day weight challenge  that is gonna be out Sept. 5th. If you are up for something more intense or just want to build some muscle this might be for you.
But for now this is what it was #workoutdone✔️</t>
  </si>
  <si>
    <t>lovebeingoutside</t>
  </si>
  <si>
    <t>momswithmuscle</t>
  </si>
  <si>
    <t>flexfridays</t>
  </si>
  <si>
    <t>loveyogurtland</t>
  </si>
  <si>
    <t>proverbs31wife</t>
  </si>
  <si>
    <t>1589260460742186820_4203348813</t>
  </si>
  <si>
    <t>😍❤️</t>
  </si>
  <si>
    <t>1589264771093635237_4230484970</t>
  </si>
  <si>
    <t>Crush 😻
@tara.frost 💟</t>
  </si>
  <si>
    <t>1589264878015379257_52407692</t>
  </si>
  <si>
    <t>今晚Gen Y Special gathering❤
就是喜歡和您們在一起🙆🙆
其實真係好慶幸有呢到💜💜💜
繼續B612之面都"咩"埋😘😘
#geny
#mysecondhome
#thanksforthesupport</t>
  </si>
  <si>
    <t>projadefit</t>
  </si>
  <si>
    <t>1589266261060140459_4104867752</t>
  </si>
  <si>
    <t>Extend 😁 mango flavour Bcaas from @sportercom 💪💚 my fave flavour and helps me through my workouts and recovery 👌
#teamsporter#extend#bcaa#getyourstoday#ambassador#discount#keepongoing#mylife</t>
  </si>
  <si>
    <t>ambassador</t>
  </si>
  <si>
    <t>discount</t>
  </si>
  <si>
    <t>bcaa</t>
  </si>
  <si>
    <t>youssefsebhaoui</t>
  </si>
  <si>
    <t>1589277819892231199_15196300</t>
  </si>
  <si>
    <t>• Only me and u my friend , only me and u ! • #music#keepongoing #tune #mytune #myshit #thatstheshit #marvingaye #soulmusic #thekingofsoul #love#meandyou</t>
  </si>
  <si>
    <t>thatstheshit</t>
  </si>
  <si>
    <t>marvingaye</t>
  </si>
  <si>
    <t>myshit</t>
  </si>
  <si>
    <t>1589279410767024900_4230196596</t>
  </si>
  <si>
    <t>Wow feel free to tag this beauty! 👌</t>
  </si>
  <si>
    <t>marysanbel</t>
  </si>
  <si>
    <t>1589288606273807155_198782340</t>
  </si>
  <si>
    <t>Proud 🚭
Mes y medio, increíble pero cierto! 💪🏽
_______________________________________________________
#quit #feelgood #healthylife #workout #power #positivevibes #strong  #motivation #dontsmoke #proud #happyness #keepongoing #goals #schedule #stopsmoking #life #style #fitnesslifestyle</t>
  </si>
  <si>
    <t>Womens Fitness Cork</t>
  </si>
  <si>
    <t>stopsmoking</t>
  </si>
  <si>
    <t>helenacadeifritz</t>
  </si>
  <si>
    <t>1589289558457197181_1434162099</t>
  </si>
  <si>
    <t>Hej fredag💃. Något att jobba vidare på👊#kroppsträning #gymtime #fridays #bodyfitness #staypositive #keepongoing #nevergiveup #fitness #fitnessmotivation #sats #satshornstull</t>
  </si>
  <si>
    <t>SATS Sverige</t>
  </si>
  <si>
    <t>satshornstull</t>
  </si>
  <si>
    <t>kroppsträning</t>
  </si>
  <si>
    <t>fridays</t>
  </si>
  <si>
    <t>two_bears_fit_</t>
  </si>
  <si>
    <t>1589294421189663033_3080582717</t>
  </si>
  <si>
    <t>Leg day got me like.... #goals #morningworkout #fitlife #motivation #focus #challengeyourself #respectyourself #aesthetics #fitlife #womanpower #weightlifting #cardio #keepongoing #diet #protein</t>
  </si>
  <si>
    <t>Mexico</t>
  </si>
  <si>
    <t>protein</t>
  </si>
  <si>
    <t>morningworkout</t>
  </si>
  <si>
    <t>respectyourself</t>
  </si>
  <si>
    <t>simplycharras</t>
  </si>
  <si>
    <t>1589297104193534189_27687974</t>
  </si>
  <si>
    <t>Post workout monkey business with shaky arms and legs 😅I was shaking after finishing today's WOD but decided to spend some time just playing around and getting more comfortable in the rings. Not pretty but progress isn't always pretty ⭐️ lunch was a big bowl of veggies and fruit with goat cheese and turmeric pistachios 😋#vegetarianfoodprep #fuelyourbody #fueledbyplants #veggies #strongandhappy #gettingstronger #keepongoing #keepgettingbetter #crossfitwod #crossfitlife #crossfitlifestyle #skinthecat</t>
  </si>
  <si>
    <t>crossfitlifestyle</t>
  </si>
  <si>
    <t>crossfitwod</t>
  </si>
  <si>
    <t>fueledbyplants</t>
  </si>
  <si>
    <t>keepgettingbetter</t>
  </si>
  <si>
    <t>alexa__victoria</t>
  </si>
  <si>
    <t>1589298151721005146_277923053</t>
  </si>
  <si>
    <t>This is a good reminder for me some days. 👩🏼‍💼💪🏻 #shebelievedshecouldsoshedid #strongwomen #determined #keepongoing</t>
  </si>
  <si>
    <t>shebelievedshecouldsoshedid</t>
  </si>
  <si>
    <t>determined</t>
  </si>
  <si>
    <t>goddessdacey</t>
  </si>
  <si>
    <t>1589298849426599260_2116679628</t>
  </si>
  <si>
    <t>Jangan hanya memikirkan theory langkah presisi saja 😂😂, tapi harus fokus pada prioritas agar terealisasi. 
#whatthehellimsaying #notquotes
#keepongoing</t>
  </si>
  <si>
    <t>whatthehellimsaying</t>
  </si>
  <si>
    <t>notquotes</t>
  </si>
  <si>
    <t>1589310809385079727_429036895</t>
  </si>
  <si>
    <t>Just an other photo you might think... but for me, this is THE photo that proofs that I am in CONTROL! After years of not eating what I like, this was my first pizza in 4 years.
The last years were awfull but now I see what it is like to enjoy life, taking care of myself and love social moments WITH A LOT OF FOOD!! Making memories with my lovedones and I love it!❤❤ #daretoshare #bodylove #selflove #foodlover  #fitnessjourney #progress #fitness #fitdutchie #weightlifting #girlwholifts #fitfam #food #curves #foodislife #bodyandmind #gymlife #recovering #bootygrow #dedication #hardwork #keepongoing #strenght #grow #girlonamission #effort #girlpower #eatingdisorders</t>
  </si>
  <si>
    <t>effort</t>
  </si>
  <si>
    <t>cihancengiz_85</t>
  </si>
  <si>
    <t>1589319427479292657_3509125589</t>
  </si>
  <si>
    <t>#stage#off#mood#chill#freeday#keepongoing#mma#cigar</t>
  </si>
  <si>
    <t>Biutiful By the Lake</t>
  </si>
  <si>
    <t>stage</t>
  </si>
  <si>
    <t>off</t>
  </si>
  <si>
    <t>freeday</t>
  </si>
  <si>
    <t>thegraciousway_</t>
  </si>
  <si>
    <t>1589323140278638124_3179725238</t>
  </si>
  <si>
    <t>Life always offers you a choice, either you stay happy no matter what is going on around you or you stay negative. I've been through tough tests and trials and I had to learn to take life as it is and be greatful for everything. God is always in control and everything is a lesson.
#positivevibes #motivationalspeaker #lifestylecoach #Christismycenter #lifegoals  #keepongoing 😘😘😘😘 Foto by Joern Andreas</t>
  </si>
  <si>
    <t>lifestylecoach</t>
  </si>
  <si>
    <t>lifegoals</t>
  </si>
  <si>
    <t>christismycenter</t>
  </si>
  <si>
    <t>lil_hummingbird</t>
  </si>
  <si>
    <t>1589326860742779277_104859292</t>
  </si>
  <si>
    <t>Hard Rock Cafe Honolulu style.
.
.
#hawaii40 #hawaii #honolulu #birthdaycelebration #keepongoing #familytime #lastnightonvacation #holidays #nearlyover #soblessed #littlehummingbird #hardrockcafe #thanksforthesurprise #bestfamily #wegotleid #onthelastnight</t>
  </si>
  <si>
    <t>Hard Rock Cafe Honolulu</t>
  </si>
  <si>
    <t>familytime</t>
  </si>
  <si>
    <t>soblessed</t>
  </si>
  <si>
    <t>littlehummingbird</t>
  </si>
  <si>
    <t>samnsay</t>
  </si>
  <si>
    <t>1589333117705676356_5808324206</t>
  </si>
  <si>
    <t>But I'm freer than I've ever been Something that you never been #keeponmoving #keepongoing .
.
.
.
#tunnel #adventure #dark #door #notsodark #pavement #path #palma #palmademallorca #mallorca #spain #island #holiday #tatoo #ink #girl #woman #6lack #free #travel #welivetoexplore #travelmore #travelgram #travelstagram #trip #igtravel #instatravel</t>
  </si>
  <si>
    <t>Jardins S'hort Del Rei - Palma De Mallorca</t>
  </si>
  <si>
    <t>tunnel</t>
  </si>
  <si>
    <t>igtravel</t>
  </si>
  <si>
    <t>1589333144020961190_4618389069</t>
  </si>
  <si>
    <t>Along with a lot of doubters, haters and shit talkers but block all that crap and keep doing YOU. FOCUS. #attitude #behindthescenes #behindeverygreatman #believe #boss #bossbabe #consistencyiskey #dedication #doubt #doubters #hardwork #hardworkpaysoff #haters #hatersbelike #hustle #hustleharder #keepongoing #learn #learner #shittalkers #success #successes #successquotes #successtip #successful #unsuccessful</t>
  </si>
  <si>
    <t>successes</t>
  </si>
  <si>
    <t>shittalkers</t>
  </si>
  <si>
    <t>behindthescenes</t>
  </si>
  <si>
    <t>1589334597706027593_2813503554</t>
  </si>
  <si>
    <t>Heute war #neckday hat wir immer Spaß gemacht und war anstrengend 😁 jetzt ist erstmal Wochen enden und am Sonntags heißt es Patenkind auf unserer Welt begrüßen. 
Euch ein schönes #wochenende
#fitfam #fitnesslifestyle #fitneessmotivation #instafit #mcfit #muscle #strong #instavid #nevergiveup #notadream #nopainnogain #noexcuses #keepongoing #trainhard #weightloss #diefatdie #koalakingz</t>
  </si>
  <si>
    <t>instavid</t>
  </si>
  <si>
    <t>danielakarruku</t>
  </si>
  <si>
    <t>1589334794395494138_263730803</t>
  </si>
  <si>
    <t>Just give me flowers &amp; the sea 🌺
________________________________________
#travelinspo #flowers #sea #ocean #amazingthailand #phuket #thailand #red #brunette #denim #fashioninspo #feminine #lovemylife #sorryforbadquality #nature #green #thailandtravel #igers #keepongoing #seeingtheworld #explorer #exploretheworld #travelinsta #beachlover #wanderlust #journeybegins #creativepreneur</t>
  </si>
  <si>
    <t>Karon Beach</t>
  </si>
  <si>
    <t>beachlover</t>
  </si>
  <si>
    <t>thailandtravel</t>
  </si>
  <si>
    <t>babettetabruyn</t>
  </si>
  <si>
    <t>1589335018873706477_242432702</t>
  </si>
  <si>
    <t>When long white-sand beachwalks are becoming your daily workout 🐚🌊 #beachgirlatheart #stewardess #coloursofnature #tropicalstorms  #clearwater #whitesand  #darkskies #energyboost #cloudscape #travelgram #instatravel #keepongoing</t>
  </si>
  <si>
    <t>stewardess</t>
  </si>
  <si>
    <t>clearwater</t>
  </si>
  <si>
    <t>tropicalstorms</t>
  </si>
  <si>
    <t>1589337186960299297_203325600</t>
  </si>
  <si>
    <t>Friday afternoon swim 🏊 #Swimming #Swim #Diksmuide #DeKupe #SportersBelevenMeer #DiksmuideMoves #Water #Swimmingpool #Lengtes #1650m #KeepOnGoing #AquaSphere #Garmin #Forerunner235 #Stampycer</t>
  </si>
  <si>
    <t>Zwembad De Kupe</t>
  </si>
  <si>
    <t>stampycer</t>
  </si>
  <si>
    <t>forerunner235</t>
  </si>
  <si>
    <t>dekupe</t>
  </si>
  <si>
    <t>kindis</t>
  </si>
  <si>
    <t>1589338997598368306_5408805</t>
  </si>
  <si>
    <t>One week, over 90 hours at work so far, and no stop in sight. I can only dream about my summer vacation when I had a life. 
#keepongoing #nightshift #workworkworkworkwork #nolife #silmäpussit ##tb #repovesi #visitkouvola #nationalpark #hiking #camping #gopro #lookingdownattreetops</t>
  </si>
  <si>
    <t>nolife</t>
  </si>
  <si>
    <t>silmäpussit</t>
  </si>
  <si>
    <t>repovesi</t>
  </si>
  <si>
    <t>lookingdownattreetops</t>
  </si>
  <si>
    <t>1589340605821355875_1739734001</t>
  </si>
  <si>
    <t>Ganske nøyaktig ✨ 1 år ✨ skiller disse bildene! 34,4 kg!! Jeg som de fleste andre overvektige, har lite bilder av meg selv fra den tiden. Få eller ingen fikk lov å ta bilder av meg, utenom i smug. Selv tok jeg også lite bilder. Tanken min var egentlig å dokumentere reisen min. Men på de fleste oppstillingsbilder, gjør man jo sitt for å se best mulig ut... Så vanskelig å få frem slik det virkelig var, da. Og vanskelig å få frem hele helheten i dette bilder her. Men det er altså 34,4 kg og 1 år mellom dem! ❤️ De siste mnd har det gått tregt, som dere vet. Likevel, noe skjer tydeligvis hele tiden 🙌🏽🙌🏽🙌🏽 Musesteg! I tilegg til at vekten kryper og kroppen minsker, merker jeg at jeg blir sterkere og strammere. Merker at det er sunt med den treningen jeg gjør, de turene jeg går, den maten jeg spiser og den livsstilen jeg lever. Jeg er mye mer glad og positiv, og livet føles lett &amp; lekent! Jeg digger forandringen så langt 😄😄 Men jeg skal nå hovedmålet mitt med bmi på 24 og brystreduksjon, så jeg har ca 8-8,5 kg igjen!! Og de skal være borte innen jul ✌🏽️😆🌟 #minveined #vektnedgang #nedivekt #slankeblogg #slanking #livsstilendring #sunnerelivsstil #sunnmat #aktivhverdag #sterkkropp #sunnmamma #aktivmamma #aktivejenter #sunnhettilfolket #weightlosstransformation #weightlossjourney #weightloss #healtylife #healtyfood #strongbody #strongmind #keepongoing #oneyear</t>
  </si>
  <si>
    <t>minveined</t>
  </si>
  <si>
    <t>livsstilendring</t>
  </si>
  <si>
    <t>sunnmamma</t>
  </si>
  <si>
    <t>oneyear</t>
  </si>
  <si>
    <t>dezinhamargutti</t>
  </si>
  <si>
    <t>1589342074641348183_41172692</t>
  </si>
  <si>
    <t>Se você cansar, aprenda a descansar, não a desistir! 💭 (da série: frases motivacionais pra animar nóixxx meixxxmo 😂😂😂😂)
.
.
.
.
.
.
.
#workhard #mentalize #workaholic #believeinyourself #keepongoing</t>
  </si>
  <si>
    <t>mentalize</t>
  </si>
  <si>
    <t>workaholic</t>
  </si>
  <si>
    <t>jooee_21</t>
  </si>
  <si>
    <t>1589343334534893728_32292614</t>
  </si>
  <si>
    <t>~ Une cicatrice veut simplement dire que tu étais plus forte que ce qui a essayé de te blesser .. ~ 💔 #staystrong #keepongoing #keepsmiling #lookaheadnotbehind</t>
  </si>
  <si>
    <t>lookaheadnotbehind</t>
  </si>
  <si>
    <t>ali_zakka</t>
  </si>
  <si>
    <t>1589346281637323228_424941303</t>
  </si>
  <si>
    <t>Do Not Become Complacent!
It is an easy way for you to become bored and not have a fulfilling life. Think about what you want to do, set up a plan to do it, and then execute. It doesn't have to be some life changing event, it can be something as simple as going to the nature center or trying a new style of food.
Remember to constantly be thinking of your next move and then take action. Continue to grow, enjoy your life, and accomplish your goals! 
#Grow #Think #KeepOnGoing #Inspiration #Motivation #Goals #Life #Grind  #Positivity #CatchYourDreams #MakeItHappen #Success #AccomplishYourGoals  #AchieveGreatness</t>
  </si>
  <si>
    <t>Kansas City, Missouri</t>
  </si>
  <si>
    <t>carlimartinez1</t>
  </si>
  <si>
    <t>1589349175286717615_381909407</t>
  </si>
  <si>
    <t>Back on track...
#motivation #workinprogress #determined #healthconscious #exercise #loosingweight #stayinshape #goals #cantstopnow #keepongoing #dontquit #cardioworkout #weightlifting #exercisedaily #onedayatatime #eatinghealthy  #gym</t>
  </si>
  <si>
    <t>iwonaklaczak</t>
  </si>
  <si>
    <t>1589349981248494094_3874528397</t>
  </si>
  <si>
    <t>#weightloss #fitgirl #feelingbeautyfull #healthy #happy #polishwoman #keepongoing -10kg :)</t>
  </si>
  <si>
    <t>feelingbeautyfull</t>
  </si>
  <si>
    <t>polishwoman</t>
  </si>
  <si>
    <t>1589351115018606229_3879735363</t>
  </si>
  <si>
    <t>My #eveningsnack Strawberry Cupcake -green tea &amp; turkish yoghurt with self-picked berries.. A lot of them! 🍵🥄☮🍃 #goodevening #healthy #snack #blueberry #blueberries #raspberry #raspberries #redcurrant #redcurrants #turkishyoghurt #yoghurt #yogurt #pamperingmyself #weightlossmotivation #motivation #iwilldoit #weightlossjourney #weightlosschallenge #challengeyourself #keepongoing #losingweight #healthierlife #fitby2018</t>
  </si>
  <si>
    <t>blueberries</t>
  </si>
  <si>
    <t>goodevening</t>
  </si>
  <si>
    <t>alphonsephilippemouzon</t>
  </si>
  <si>
    <t>1589352984041997558_340551272</t>
  </si>
  <si>
    <t>I had a great time visiting Voodoo Donuts at Universal CityWalk. First time being there. Best donuts I've ever had. 
#backtothegym #sogood
#actorslife #actor #nemotalent
#venturaactorsstudio #keepongoing
#grateful #goodtimes #themotivatedactor</t>
  </si>
  <si>
    <t>Universal CityWalk Hollywood</t>
  </si>
  <si>
    <t>backtothegym</t>
  </si>
  <si>
    <t>1589353645265300947_1360876445</t>
  </si>
  <si>
    <t>100 days of inspiration_x000D_Day 3 - 2 woman sadhvis_x000D__x000D_After a lot of turmoil and mayhem created in across 4 states and 2 union territories over the conviction of Guru Ram Rahim, I have my heart to those two sadhvis who fought relentlessly for 15 years to get justice._x000D_They had to lose their loved ones in the process, would have gone through societal pressures, keeping aside the mental agony of the night when they had to go to that room where Baba Ram Rahim was watching a porn (whom they considered as god). The journey was ardent but they did not give up._x000D_The fire that Guru Ram Rahim consumed that night to warm his bed did not extinguish. _x000D_I aspire to be reckless when it comes to raising the voice against injustice like the two sadhvis. ._x000D_._x000D_._x000D_._x000D_._x000D_._x000D_#100daysofinspiration #derasachasauda #gururamrahim #justiceprevailed #india #inspireeachother #motivation #toughgetsgoing #womanpower #faceadversities #strive together #dontkeepquiet #challengeyourself #firewithin #blindfaith #writerscommunity #willpower #undeterred #letsdoit #keepongoing #relentless #speakthetruth #youcantrapemeofmyidentity #inspiringstories</t>
  </si>
  <si>
    <t>willpower</t>
  </si>
  <si>
    <t>undeterred</t>
  </si>
  <si>
    <t>justiceprevailed</t>
  </si>
  <si>
    <t>1589354414777680520_2519500602</t>
  </si>
  <si>
    <t>There are so many people out there who will tell you that you can’t. What you’ve got to do is to turn around and say – watch me. #fitness #strong #progress #booty #body #fit #healty #skinny #motovation #goals #thekey #watchme #keepongoing #results #power #strong #happy #live #life #like #feeling #loveit</t>
  </si>
  <si>
    <t>livingriver</t>
  </si>
  <si>
    <t>1589356578484974452_5932232918</t>
  </si>
  <si>
    <t>Be strong and courageous... #dontstopbelieving 
#dontstoptrying 
#dontworry
#Jesushasthebest
#Jesusnevergiveuponyou
#keepongoing 
#continueonyourjourney</t>
  </si>
  <si>
    <t>continueonyourjourney</t>
  </si>
  <si>
    <t>jesushasthebest</t>
  </si>
  <si>
    <t>jesusnevergiveuponyou</t>
  </si>
  <si>
    <t>dontstoptrying</t>
  </si>
  <si>
    <t>1589363234635261209_462502969</t>
  </si>
  <si>
    <t>Dìa 3 y 4: 📍Barbadelo - Portomarin - Melide (55 km). Ultreya y susesya! ☀️
#camminodisantiago#spain#galizia#pulpoafeira#peregrinos#walking#keepongoing#trip#travel#mytravelgram#goodvibes#vacaciones#buencamino#comeon#world#europe#TFLers#instadaily#instagood#ig_spain#photooftheday#bestoftheday#love#life#nature#likealways#like4like#tbt#whatilove</t>
  </si>
  <si>
    <t>tflers</t>
  </si>
  <si>
    <t>world</t>
  </si>
  <si>
    <t>joanna.sta</t>
  </si>
  <si>
    <t>1589365696240182972_2930814652</t>
  </si>
  <si>
    <t>#sometimesiwonder #isitworthit #keepongoing #inthatshit 💣</t>
  </si>
  <si>
    <t>isitworthit</t>
  </si>
  <si>
    <t>sometimesiwonder</t>
  </si>
  <si>
    <t>inthatshit</t>
  </si>
  <si>
    <t>1589366049443123710_4463656651</t>
  </si>
  <si>
    <t>Mercedes #Lodmare</t>
  </si>
  <si>
    <t>hundreds.empire</t>
  </si>
  <si>
    <t>1589368951757242025_5400484408</t>
  </si>
  <si>
    <t>If you're going through hell, keep on going. Tag 1 friend below 👊
➖
#keepongoing #grindmode #mclaren675lt #hundredsempire</t>
  </si>
  <si>
    <t>hundredsempire</t>
  </si>
  <si>
    <t>grindmode</t>
  </si>
  <si>
    <t>mclaren675lt</t>
  </si>
  <si>
    <t>isabelnik</t>
  </si>
  <si>
    <t>1589369328021380633_51628038</t>
  </si>
  <si>
    <t>Við erum oftar en ekki of fljót að dæma án þess að vita 👆🏼 fólk sem sér mig í ræktinni og eða vinnu heldur eflaust ég sé bullandi heilbrigð! Og þá eflaust gert grín ef ég tek litlar þyngdir, þar sem ég hef nú verið lengi að lyfta! En það vita ekkert allir að ég er sárakvalin alla daga sem og nætur, stundum skárri stundum mun verri! 😒 skellti mér sem dæmi á æfingu í dag eftir að hafa fengið 11 eða 12 stórar sprautur í bakið í gær, en nei eftir smástund var ég að drepast og fann engan mun og gat ekki klárað æfinguna! 😔 en ég mætti þó og reyndi! Munum það að verkir, andleg líðan og fleira sést ekki alltaf utan á fólki! En besta sem að maður gerir er að halda höfði og halda áfram 😃 og vera jákvæður, ég þekki fólk í mun verri stöðu en ég sem hefur afrekað helling og ég horfi upp til 🙌🏼 hættum að vera svona fljót að dæma, þú veist oftar en ekkert um hvað næsti aðili er að, eða hefur gengið í gegnum ✌🏼... #workout #myfitsuccess #fitsuccessiceland #dontjudge #book #byits #cover #life #goals #keepongoing</t>
  </si>
  <si>
    <t>World Class Egilshöll</t>
  </si>
  <si>
    <t>myfitsuccess</t>
  </si>
  <si>
    <t>dontjudge</t>
  </si>
  <si>
    <t>fitsuccessiceland</t>
  </si>
  <si>
    <t>lujomax</t>
  </si>
  <si>
    <t>1589379840958631983_358987305</t>
  </si>
  <si>
    <t>From Spain with L💙VE 💌
.
Je reçois pas mal de petits messages adorables suite à la publication de mes photos de vacances et je voulais vous en remercier 😊.
Plus que la forme, je crois que j'ai voulu revoir un peu le fond de ce compte dans lequel je ne me retrouvais plus: poster un peu moins de looks et plus de "lifestyle", comme on dit par ici 😉. Certaines ne s'y sont pas retrouvées et sont parties (c'est le jeu sur Insta: on s'inspire, on se suit, et puis on change, on part, je ne juge pas). Les autres sont restées (les meilleures, forcément 🙌😜) ou sont arrivées 👋. En tous cas, j'ai retrouvé le plaisir de poster, plus en accord avec moi-même (et surtout, BEAUCOUP moins frustrée de la CB 😂) et suis contente de poursuivre cette aventure avec vous... un peu différemment, donc 🌿 #tobecontinued
.
.
#freshstart #newseason #mindset #newgoals #newadventures #thanks ❤ #new #keepongoing #inspiration #motivationalquotes #travelphotography #instatravelling #landscapes #landscapelover #wanderlust #summervibes</t>
  </si>
  <si>
    <t>newseason</t>
  </si>
  <si>
    <t>landscapes</t>
  </si>
  <si>
    <t>steffen.wauters</t>
  </si>
  <si>
    <t>1589384547506387376_1725394413</t>
  </si>
  <si>
    <t>Friyay 🤗 #workday #done #13hourshift #tiredaf #keepongoing #keeponsmiling #ikwilmijnbed #gayboy #hairdresser #hairdresserslife #doitwithpassion #werkmensj #olaplexhair #joicosalon</t>
  </si>
  <si>
    <t>Knippo Bello kapsalon</t>
  </si>
  <si>
    <t>hairdresser</t>
  </si>
  <si>
    <t>olaplexhair</t>
  </si>
  <si>
    <t>joicosalon</t>
  </si>
  <si>
    <t>1589405335330967931_1339676631</t>
  </si>
  <si>
    <t>6650 steps, 2.8 miles in this mornings walk. Life is a challenge, yet I will not give up! 💪🏼👊🏼💥🙏🏼 #healthandfitness #wellness #fightingautoimmunedisease #warrior #keepongoing #tothineownselfbetrue #loveyourself #positivethinking #positiveenergy #quotes</t>
  </si>
  <si>
    <t>wendyiyoga</t>
  </si>
  <si>
    <t>1589405872025971098_819031336</t>
  </si>
  <si>
    <t>Bad things and shitty things happen every single day. For instance, today I had a bad morning and at the beginning I was in shocked for the turn of events. Then the lady that was with me said: "take the time you need to process all this". My internal voice, after 2 min said: "OK, Im good" and my answer to her was: "It is ok, it is a rough thing and I actually understand but now I have to keep on moving. So let's talk about what I need to do". .
As I was telling to someone close to my heart about the news. He reminded me that "It's the universe telling you you're on the wrong path 😉" (he literally used MY own words to comfort and advise me). Resilience.
It is something that comes out of you in those shitty moments and you didnt know you had that strength until you have gone through and are in the other side. The lady I talked to before used that word and it has been my word for this whole year.
Because at the end it doesnt matter how many times you fall, it matters how many times you have fallen and have came back up again + 1.
.
. 📷: when I feel really low and I need extra care and 💘. I cuddle with this reminder of resilience. His name is Nemo and it used to be my cat, he was diagnosed with diabetes a couple of years ago. However he loves to spread love!!!! (fur and tons of purr)
.
.
.
#resilience #gratitude #shittymorning #selflove #cat #catsofinstagram #meditation #breathe #selflove #powerback #letgo #friday #live #life #thingshappenforareason #universe #universerules #keepongoing #standup #lovelovelove #cats #movingon #softkittywarmkittylittleballoffurhappykittysleepykittypurrpurrpurr #energy #notasinglefuckgiven #bestrong</t>
  </si>
  <si>
    <t>thingshappenforareason</t>
  </si>
  <si>
    <t>universerules</t>
  </si>
  <si>
    <t>catsofinstagram</t>
  </si>
  <si>
    <t>softkittywarmkittylittleballoffurhappykittysleepykittypurrpurrpurr</t>
  </si>
  <si>
    <t>1589408260447791503_1684424176</t>
  </si>
  <si>
    <t>#inthe first place. 
___________________________ 
#millionaireimage #doitforyourself #betteringmyself #beyourown #keeponkeepingon #workforwhatyouwant  #marketingtip #marketingsolutions #encourageyourself #bethechangeyouwanttosee #youvegotthis  #millionairedreams #inspirationalthoughts #positivepeople #americanbusiness #quoteme  #strategize #seemslegit #youdoyou #inspirationalpost #businessownership #businessisbusiness #keepongoing #quotes4you #bewhoyouare #goalsaf #bewhatyouwanttobe #socialinfluencers #socialize</t>
  </si>
  <si>
    <t>millionairedreams</t>
  </si>
  <si>
    <t>phatboiiswagg07</t>
  </si>
  <si>
    <t>1589409254144578471_564593373</t>
  </si>
  <si>
    <t>Rise &amp; Thrive
It's okay if you fall down and lose your spark just make sure that when you get back up you rise as the whole Damn fire#RISEUP#DUOUP
#WOOHOO#ITSFRIDAY
#COMEJOINOUR
#TEAM
#DONTSTAYDOWN#KEEPONGOING
#THRIVEON🔥🔥🔥
👊www.vaailemamea.le-vel.com
👊www.spencerlemamea.le-vel.com</t>
  </si>
  <si>
    <t>Kailua-Kona, Hawaii</t>
  </si>
  <si>
    <t>dontstaydown</t>
  </si>
  <si>
    <t>comejoinour</t>
  </si>
  <si>
    <t>thriveon🔥🔥🔥</t>
  </si>
  <si>
    <t>itsfriday</t>
  </si>
  <si>
    <t>rosbicina</t>
  </si>
  <si>
    <t>1589416538511553157_221777420</t>
  </si>
  <si>
    <t>•Quando you are not alta, but you are all'altezza 🙅🏽🤙🏼 #simamenateladimeno#sorrynotsorry#nofilter#keepongoing#calvinklein#gaeaulenti#milano</t>
  </si>
  <si>
    <t>Piazza Gae Aulenti</t>
  </si>
  <si>
    <t>anchemenosi</t>
  </si>
  <si>
    <t>calvinklein</t>
  </si>
  <si>
    <t>milano</t>
  </si>
  <si>
    <t>gaeaulenti</t>
  </si>
  <si>
    <t>1589417502924137430_2899822841</t>
  </si>
  <si>
    <t>❤️❤️❤️that blueberries are small, this way I can can put more in my container😂😂😂👊👊
As much as I Love strawberries they are just to big 😂😂</t>
  </si>
  <si>
    <t>godswayisthebestway</t>
  </si>
  <si>
    <t>england</t>
  </si>
  <si>
    <t>damnyouleavemedefenseless</t>
  </si>
  <si>
    <t>1589422798552328794_219383804</t>
  </si>
  <si>
    <t>It's just a spark, but it's enough to keep me going ✨#lasthope #keepongoing</t>
  </si>
  <si>
    <t>lasthope</t>
  </si>
  <si>
    <t>ryan_wilsonfitness</t>
  </si>
  <si>
    <t>1589425014225870985_5677117160</t>
  </si>
  <si>
    <t>*Another pic of you not lifting Ryan?? What you doing with your life?* here is me with a rather cheesy grin, but seriously as I say, second video for my channel is nearly done! Should be up by the end of this week hopefully! #bodybuilding #fitness #fitnessmodel #fitnessmotivation #model #bodybuildingmotivation #photography #lensbible #adidas #nike #justdoit #models1 #aesthetic #aesthetics #outdoors #abandoned #workout #workoutmotivation #sports #happy #abandonedplaces #fullbodyworkout #videography #keepongoing #calaesthetics #weight #calisthenics #nikeinternational #perseverance</t>
  </si>
  <si>
    <t>aesthetics</t>
  </si>
  <si>
    <t>1589428814332828714_4230484970</t>
  </si>
  <si>
    <t>@annanystrom 💟</t>
  </si>
  <si>
    <t>nadine_hamelers</t>
  </si>
  <si>
    <t>1589431306805952667_187608569</t>
  </si>
  <si>
    <t>#keepongoing #family #stronger #happykid #happyfamily #proud #togetherforever 💖</t>
  </si>
  <si>
    <t>togetherforever</t>
  </si>
  <si>
    <t>happyfamily</t>
  </si>
  <si>
    <t>megan9761</t>
  </si>
  <si>
    <t>1589435595548983971_3049699468</t>
  </si>
  <si>
    <t>So break me down if it makes you feel right
And hate me now if it keeps you alright
You can break me down if it takes all your might
Because I'm so much more than meets the eye  #keepongoing #stronger</t>
  </si>
  <si>
    <t>0laam</t>
  </si>
  <si>
    <t>1589436599657002800_5773560131</t>
  </si>
  <si>
    <t>Amazing time with Amazing people ! 😘😚</t>
  </si>
  <si>
    <t>post</t>
  </si>
  <si>
    <t>1589438280332341569_344342790</t>
  </si>
  <si>
    <t>Just some pics after a very long and difficult leg day yesterday! #legday #bootygainz #growthepeach #booty #peach #dedication #determination #dontgiveup #flexinonem #gym #gymlife #gymrat #getswole #keepongoing #motivation #pushtillyoucantanymore #stackinandsixpackin #strongereveryday</t>
  </si>
  <si>
    <t>lopez_kingz1</t>
  </si>
  <si>
    <t>1589447509872057244_25807256</t>
  </si>
  <si>
    <t>Work, eat, sleep, repeat. #keepongoing #dontgiveup</t>
  </si>
  <si>
    <t>1589461179024828957_429150387</t>
  </si>
  <si>
    <t>Such an awesome Friday Night of #Goodtimes and #Yummytimes with great friends. Enjoyed yummy treats, fun games, great conversations, lots of laughs and a yummy dinner after the yummy treats. Oh yes it been such a great evening indeed. Got to love days like these 😊
#FridayFeeling #FridayNight #YummyFood #GreatFriends #Joy #Fun #Games #Food #Treats #EnjoyLife #London #LondonLife #LondonTown #KeepOnGoing #Love #Foodie #GamesNight #LotsOfLaughs #Joyful #Thankful #Blessed #CelebrateLife #InstaLondon #InstaFriends #InstaFood #ThankYouJesus</t>
  </si>
  <si>
    <t>lotsoflaughs</t>
  </si>
  <si>
    <t>londonlife</t>
  </si>
  <si>
    <t>gamesnight</t>
  </si>
  <si>
    <t>1589475528828860450_180615973</t>
  </si>
  <si>
    <t>Este día en las crónicas de la Región Valle de Serdán, presentamos a Ocotepec. #wediditagain #bestteamever #ontheroad #onceagain #elduodinamico #rockinout #thisishowwedoit #keepongoing #sobrevivimos #somoslaonda #estoespuebla #thisishome #greenbeauty #cloudyday #municipalistasenaccion #makethedifference #lovemyjob #somewhereoutthere #travelers #trotamundos</t>
  </si>
  <si>
    <t>Ocotepec, Puebla, Mexico</t>
  </si>
  <si>
    <t>trotamundos</t>
  </si>
  <si>
    <t>elduodinamico</t>
  </si>
  <si>
    <t>thisishowwedoit</t>
  </si>
  <si>
    <t>1589480778144584508_2899822841</t>
  </si>
  <si>
    <t>My football player.
Getting ready for the season and football games on Saturday mornings❤️❤️.</t>
  </si>
  <si>
    <t>1589484900548044722_5509071474</t>
  </si>
  <si>
    <t>Top 2 are per workout bottom 2 are post workout check out that sweaty neck line and all the sweat drops dripping off my forehead 😂 💦 
#weightloss #weightlossjourney #weightlossblog #weightlossstory #weightlosscommunity #weightlossmotivation #weightlossjournal #weightlossdiary #weightlosssupport #weightlossprogress #weightlossfamily #workout #keepongoing #nevergiveup #yougotthis #sweat #sweaty #proofisinthepudding</t>
  </si>
  <si>
    <t>sweat</t>
  </si>
  <si>
    <t>proofisinthepudding</t>
  </si>
  <si>
    <t>menelliavalcentcoaching</t>
  </si>
  <si>
    <t>1589486293644438800_217341257</t>
  </si>
  <si>
    <t>Money loves me, money loves me,money loves me!!
❤
Understanding the concept that money is simply  energy might be difficult in the beginning but the more you practice aligning yourself and your mind the easier it becomes.The first time I heard that phrase my reaction was literally huh 😦, but since working on my wealth consciousness I now understand how much I had been blocking with anger,resentment and the overall physical lack of finances.
❤
Working on my money mindset over the past month and a half has truly opened me up to so much.More well being "p.s spa day tmr 🎉",more clients,more projects with other business women,more money and overall heightened my passion for what I do.
❤
Crazy right??Who is in moneyflow mode and loving it???❤❤ And if you're not,how would you love to have more wealth in your life and business right now??
❤
P.s. I have one available strategy session for tomorrow at 3p.m. ET which is perfect for supporting you in aligning your money story &amp; MORE btw... Do you want it?Check out the bio link @menelliavalcentcoaching 😘
.
.
.
.
.
.
.
.
.
#entrepreneurmindset #entrepreneurquotes #successfulday #successfulwomen #successmindset #successcoach #successdriven #happinessiskey #seizethemoment #empowerwomen #determinedtosucceed #businessquotes #motivationmonday #motivationalwords #girlgang #girlswhotravel #bossup #bossbabes #bosslifestyle #bossmoves #lifecoaching #lifecoaches #beyourbest #authenticity #dreamchasers #dreamsdocometrue #goalsetting #goalgetter #goaldriven</t>
  </si>
  <si>
    <t>goalgetter</t>
  </si>
  <si>
    <t>girlgang</t>
  </si>
  <si>
    <t>watchmeorjoinme</t>
  </si>
  <si>
    <t>blunders_inc</t>
  </si>
  <si>
    <t>1589495522463839075_5936800963</t>
  </si>
  <si>
    <t>Gewoon doen alsof je naar iemand anders aan het zwaaien bent. That's the spirit! #blunders #keepongoing #zoergishetniet</t>
  </si>
  <si>
    <t>zoergishetniet</t>
  </si>
  <si>
    <t>blunders</t>
  </si>
  <si>
    <t>maarria.munoz</t>
  </si>
  <si>
    <t>1589496906953245858_19092820</t>
  </si>
  <si>
    <t>I know my life will be completely changed in just a few more months. Patience is a virtue. #keepongoing #lifechanges #movingforward #dontquit #patience #life #justkeepswimming</t>
  </si>
  <si>
    <t>lifechanges</t>
  </si>
  <si>
    <t>better.active.you</t>
  </si>
  <si>
    <t>1589504431190246424_3191569655</t>
  </si>
  <si>
    <t>O...M...G...just crushed 6 miles from Canton to Harbor East and back. The fastest I've ever run that distance. Helps to have a running partner to keep ya going. 
This is how you Friday. 
#canton #cantonrunners #baltimore #baltimorerunning #runnergirl #6miles #crushedit #howispendmyweekend #fridayfitness #fridaynight #running #runningpartner #runner #keepongoing #gettingfaster #gettingstronger</t>
  </si>
  <si>
    <t>Baltimore, Maryland</t>
  </si>
  <si>
    <t>cantonrunners</t>
  </si>
  <si>
    <t>howispendmyweekend</t>
  </si>
  <si>
    <t>ilhamkhamsi</t>
  </si>
  <si>
    <t>1589504632038818795_244821846</t>
  </si>
  <si>
    <t>mikkabaltic619</t>
  </si>
  <si>
    <t>1589506849795561811_33150802</t>
  </si>
  <si>
    <t>In This #facetofacefriday ACCEPT YOUR PAST WITHOUT REGRET, HANDLE YOUR PRESENT WITH CONFIDENCE &amp; #face YOUR FUTURE WITHOUT FEAR! #facetoface #ftfselfie #friday #fridayquotes #weightlossmotivation #weightlossjourney #weightlossmotivation #weightlosstransformation #transformation #fridayfeelings #fridaymood #fridaypost #fromfattofit #fromfat2fit #keepongoing #weightlosssupport #weightlossquotes #doitfortheselfie</t>
  </si>
  <si>
    <t>doitfortheselfie</t>
  </si>
  <si>
    <t>facetofacefriday</t>
  </si>
  <si>
    <t>1589513063462493787_4230484970</t>
  </si>
  <si>
    <t>@katiegoodwin1 booty goals 🍑😻</t>
  </si>
  <si>
    <t>sugaree89</t>
  </si>
  <si>
    <t>1589521500398841725_5806419228</t>
  </si>
  <si>
    <t>You can never cross the ocean unless you have the courage to loose sight of the shore. #befree #livelife #keepongoing #positivevibes #positivity #peace #peaceofmind #love #happiness #bluehair #dontcare #happygirl #liveandletlive</t>
  </si>
  <si>
    <t>Hendersonville, North Carolina</t>
  </si>
  <si>
    <t>peaceofmind</t>
  </si>
  <si>
    <t>polishedandhumble</t>
  </si>
  <si>
    <t>1589536639242229468_5381727104</t>
  </si>
  <si>
    <t>They don't know your story!
They probably don't know why you alive today!They probably can't understand why you so successful! They just can't understand why you still walk with your head held high. 
Now available Small - 2XLarge SHOP profile link.
#love #wordsofencouragement #happy #imadeit #keepongoing #lifeisgood #givegodtheglory</t>
  </si>
  <si>
    <t>givegodtheglory</t>
  </si>
  <si>
    <t>roseangela3122</t>
  </si>
  <si>
    <t>1589537083211353940_4742733218</t>
  </si>
  <si>
    <t>You deserve happiness, joy and peace. And life is truly beautiful despite the challenges we have to face. I salute and truly admire and respect all the folks that despite how tough their circumstances and lives  are they keep on going. People who keep smiling when there's no reason to smile, and those who keep giving when they are in need of more than they give, people who sacrifice day and night to give others a fighting chance in life. I SALUTE you with heartfelt honour and respect. I thank God for people like you, who fight for the people they love, the single parents who keep grinding and hustling to make ends meet and keep their family's together. I pray God blesses you abundantly that you will never lack again! Keep hustling, keep grinding, keep fighting, keep doing right, keep the faith strong and your hope ALIVE ! God Is going to reward you with blessings that will blow you away! Amen! ❤️🙏🏾🙌🏾#keepongoing #behappy #Godlovesyou</t>
  </si>
  <si>
    <t>godlovesyou</t>
  </si>
  <si>
    <t>bardownskis1234</t>
  </si>
  <si>
    <t>1589546546735059609_1166361987</t>
  </si>
  <si>
    <t>Sounds about right #keepongoing</t>
  </si>
  <si>
    <t>jennfainfitness</t>
  </si>
  <si>
    <t>1589551709965591915_40740215</t>
  </si>
  <si>
    <t>I just love it when my little girl ask to workout with me! It shows me that she is watching what I'm doing and makes me feel great that I'm being a good role model to her. Another great thing is that she thinks it's fun and that's how it should be! If you dread your workouts we need to talk because your doing it wrong!</t>
  </si>
  <si>
    <t>grit</t>
  </si>
  <si>
    <t>gogetter</t>
  </si>
  <si>
    <t>not_so_free_soul</t>
  </si>
  <si>
    <t>1589554332864712386_4223763759</t>
  </si>
  <si>
    <t>Not my words, but my same feelings. #edsheeran#happier#pain#loss#keepongoing#fallforyou#losthope#waitinghere</t>
  </si>
  <si>
    <t>edsheeran</t>
  </si>
  <si>
    <t>happier</t>
  </si>
  <si>
    <t>loss</t>
  </si>
  <si>
    <t>1589558923589775779_2323098024</t>
  </si>
  <si>
    <t>#legday#motivation#strong#gymtime#squats #bigbooty#booty#keepongoing#eatwell</t>
  </si>
  <si>
    <t>bigbooty</t>
  </si>
  <si>
    <t>sefnytanty</t>
  </si>
  <si>
    <t>1589566304388495388_2097111075</t>
  </si>
  <si>
    <t>"No challenge = No Change" Don't let the weekend become your weak end. #keepongoing #healthyworkout #girlsworkout</t>
  </si>
  <si>
    <t>healthyworkout</t>
  </si>
  <si>
    <t>girlsworkout</t>
  </si>
  <si>
    <t>lux.inspire</t>
  </si>
  <si>
    <t>1589576692103791751_5916048423</t>
  </si>
  <si>
    <t>What would you do with this? 😎❓ ____________________________________
- Follow Me👉🏼 @lux.inspire 👈🏼
- Follow Me👉🏼 @lux.inspire 👈🏼
____________________________________
💡Turn on Notifications to See New Posts
💡Share with friends, family, and followers</t>
  </si>
  <si>
    <t>mumpreneur</t>
  </si>
  <si>
    <t>realresults</t>
  </si>
  <si>
    <t>stayfoucused</t>
  </si>
  <si>
    <t>stayontrack</t>
  </si>
  <si>
    <t>amateur.artist_99</t>
  </si>
  <si>
    <t>1589576700182092164_4662641474</t>
  </si>
  <si>
    <t>Sometimes its hard to keep doing what you like cuz your not that great at it or you feel there's always someone better at it than you. But just as we all are different in heart and mind, what we create or make is definitely going  to be different and your own style……and believe​ you me noone can beat that😄😄. I have those days, hell i have em literally 6 days a week. But i gatta do what i love even if it takes a while thats how this journey is gonna be worth it 
#motivation #notgivingup #keepongoing #life #lessons 
#Work #arts #hardwork #journey #practice #stilllearning #better #than #being#bored #all #your #life #excited  #scared #happy</t>
  </si>
  <si>
    <t>than</t>
  </si>
  <si>
    <t>scared</t>
  </si>
  <si>
    <t>jasmineinthegarden</t>
  </si>
  <si>
    <t>1589580340384943805_219800442</t>
  </si>
  <si>
    <t>She finally went on the road with me @stylebylissettebrito 🌈💖🦋Love the multiple card slots as well as the long cash/checkbook pocket...simply #roomy &amp; #fabulous for all my #necessities #live #colorfully #inspire #beyourownkindofbeautiful #fashion #clutch #tajclutch #thankyou #queen #lissette #keepongoing #bossbabe #stelladotstyle</t>
  </si>
  <si>
    <t>roomy</t>
  </si>
  <si>
    <t>tajclutch</t>
  </si>
  <si>
    <t>colorfully</t>
  </si>
  <si>
    <t>macchiatto_helen</t>
  </si>
  <si>
    <t>1589584062183206277_415692045</t>
  </si>
  <si>
    <t>This used to be impossible 😬 Keep on trying！It is such a great feeling when the impossible became possible! #pole #poledancing #polefitness #polegirl #fitness
#positivevibes #keepongoing #staystrong</t>
  </si>
  <si>
    <t>poledancing</t>
  </si>
  <si>
    <t>1589586471710658807_5816316301</t>
  </si>
  <si>
    <t>Just posted this on my fb page... don't  forget to plan some down time to rest and treat yourself. #goalgetter #goalee #gogetter #fridaynight #chillvibes #rest #motivation #success #keepongoing #facebook</t>
  </si>
  <si>
    <t>chillvibes</t>
  </si>
  <si>
    <t>1589587616293167098_5751309200</t>
  </si>
  <si>
    <t>It's Saturday already ?? .. 1 more day to a new week.. new goal.. new improvements to be a stronger better version of me.. This week hasn't been a good one for I got cought up with a bad flu for 3 days but I tried my best to stay on track and never miss a day routine eventhough some adjustment had to be made for it such a lighter cardio and a lighter weight to lift ☺ and I made it.. Finished every routine 😀.. The struggle is getting real 💪 #positivevibes #positivemind #fitday #fitlifestyle #healthychoices #fitnessgoals #fitgoals #weightlossjourney #saturday #balancelife #healthylife #keepongoing #nevergiveup #consistency #determination #workoutjourney #fitjourney #myjourney #fitbody #fitfam #getfit #iworkout #fitnation #eatcleantrainmean #stayfit #stayontrack #staystrong #stronger</t>
  </si>
  <si>
    <t>eatcleantrainmean</t>
  </si>
  <si>
    <t>fitgoals</t>
  </si>
  <si>
    <t>lisa.ennis.chocoholic</t>
  </si>
  <si>
    <t>1589590575334410464_5809066705</t>
  </si>
  <si>
    <t>#keepongoing #dontstop #holdfast #youareamazing</t>
  </si>
  <si>
    <t>holdfast</t>
  </si>
  <si>
    <t>1589593762500435512_5705167414</t>
  </si>
  <si>
    <t>Mamba × Chef  #Dubnation
-
-
-
-
-
-
-
-
-
-
-
-
-
-
-
-
-
-
-
-
-
-
-
-
-
-
-
-
-
-
-
-
-
-
-
-
-
-
-
-
 #StephGonnaSteph #Mvp #SC30 #KT11 #DG23 #CURRYMVP #KEEPONGOING #NEVERGIVEUP #WCF #WEST #WESTERNCONFERENCEFINALS #CHAMPS #DUBSFORCHAMPS #DUBS #ALWAYSBELIEVEINGOD #STEPHENCURRY #EVEN #NBA #2016CHAMPS #CHAMPIONS #LOCKIN #STEPH #SPLASH #SPLASHBROS  #like4like #like4follow #follow4follow</t>
  </si>
  <si>
    <t>1589596484880451441_5705167414</t>
  </si>
  <si>
    <t>Throwback to Toronto 🌟  #Dubnation
-
-
-
-
-
-
-
-
-
-
-
-
-
-
-
-
-
-
-
-
-
-
-
-
-
-
-
-
-
-
-
-
-
-
-
-
-
-
-
-
 #StephGonnaSteph #Mvp #SC30 #KT11 #DG23 #CURRYMVP #KEEPONGOING #NEVERGIVEUP #WCF #WEST #WESTERNCONFERENCEFINALS #CHAMPS #DUBSFORCHAMPS #DUBS #ALWAYSBELIEVEINGOD #STEPHENCURRY #EVEN #NBA #2016CHAMPS #CHAMPIONS #LOCKIN #STEPH #SPLASH #SPLASHBROS  #like4like #like4follow #follow4follow</t>
  </si>
  <si>
    <t>1589598664869831669_5705167414</t>
  </si>
  <si>
    <t>Yo I was just inactive for like probably 6 hours and I went from 245 to 237, C'mon i need to grow not shrink  #Dubnation
-
-
-
-
-
-
-
-
-
-
-
-
-
-
-
-
-
-
-
-
-
-
-
-
-
-
-
-
-
-
-
-
-
-
-
-
-
-
-
-
 #StephGonnaSteph #Mvp #SC30 #KT11 #DG23 #CURRYMVP #KEEPONGOING #NEVERGIVEUP #WCF #WEST #WESTERNCONFERENCEFINALS #CHAMPS #DUBSFORCHAMPS #DUBS #ALWAYSBELIEVEINGOD #STEPHENCURRY #EVEN #NBA #2016CHAMPS #CHAMPIONS #LOCKIN #STEPH #SPLASH #SPLASHBROS  #like4like #like4follow #follow4follow</t>
  </si>
  <si>
    <t>carpediemks</t>
  </si>
  <si>
    <t>1589598709379825977_5741748538</t>
  </si>
  <si>
    <t>Day 41: I love pictures like this. These two pics were taken about 2 months apart. I can already see the difference in my face from right to left. Can't believe I'm 25 pounds down! Amazing what happens when you put two pics side by side. #weightloss #weightlossjourney #weightlosstransformation #healthy #healthylifestyle #fattofit #keepongoing #25poundsdown</t>
  </si>
  <si>
    <t>25poundsdown</t>
  </si>
  <si>
    <t>1589601676356403921_1822123873</t>
  </si>
  <si>
    <t>OMG...😧 would you dare ?
Fake or not?
Follow us for more @vibetraveldaily👈👈
Photo by @cleitonlmorais
.
.
.
.
.
.
.
.
#paradisefound #vsco #lifehappens #paradiseonearth #travelnow #livethelife #yogaposes #feelinginspired #travelingmodel #travelhappy #lifeislife #ecotravel #getoutdoors #magicpict #adventurebuddies #visualsoflife #familyaffair #keepongoing #waycoolshots #ilovetraveling #addictedtotravel #spiritualquotes #seeingtheworld #lifepartner #exploreyourcity</t>
  </si>
  <si>
    <t>livethelife</t>
  </si>
  <si>
    <t>1589603477280102183_2164432158</t>
  </si>
  <si>
    <t>Glacier National Park
Photo by @travisburkephotography &amp; @chelseakauai
Tag your friends 😍 ❤️
.
.
.
.
.
.
.
.
#earthporn #traveljunkie #yogadudes #travelnow #outdoortones #sunsetting #keepongoing #mytraveldiary #travelfrance #travelingphotographer #bucketlisters #keepitmovin #lifeonourplanet #yogajournal #paradisepark #paradisevalley #beachboy #keepittight #thaitraveling #travelrock #backpackerslife #stayinspired #traveldeals #liveforit #femaletravel</t>
  </si>
  <si>
    <t>sunsetting</t>
  </si>
  <si>
    <t>paradisepark</t>
  </si>
  <si>
    <t>traveldeals</t>
  </si>
  <si>
    <t>carlitos_way_18</t>
  </si>
  <si>
    <t>1589616263616201001_517660820</t>
  </si>
  <si>
    <t>#hennesywhite #nightcap #keepongoing #tastelikenotwakinguptomorrow #goodnight</t>
  </si>
  <si>
    <t>nightcap</t>
  </si>
  <si>
    <t>tastelikenotwakinguptomorrow</t>
  </si>
  <si>
    <t>hennesywhite</t>
  </si>
  <si>
    <t>csnnvancouver</t>
  </si>
  <si>
    <t>1589620467820259580_2956883668</t>
  </si>
  <si>
    <t>#keepongoing #gutinstinct #beautyisintheeyeofthebeholder</t>
  </si>
  <si>
    <t>gutinstinct</t>
  </si>
  <si>
    <t>beautyisintheeyeofthebeholder</t>
  </si>
  <si>
    <t>dosestudio2</t>
  </si>
  <si>
    <t>1589623216463321812_3402279016</t>
  </si>
  <si>
    <t>Caminando
#walking #keepongoing #motion #photographysouls #souljourney #film #canon #moving #guatemala #mercados #marketsaroundtheworld</t>
  </si>
  <si>
    <t>mercados</t>
  </si>
  <si>
    <t>canon</t>
  </si>
  <si>
    <t>brittanyfromamamatale</t>
  </si>
  <si>
    <t>1589651216506057939_5149310282</t>
  </si>
  <si>
    <t>...because some weeks you just have to keep going. Then you get to Friday and realize your success is that you survived. I want to feel successful in all areas of my life- as a mom, wife, teacher, blogger, and human being. I shall just keep persisting. How do you measure success? .
.
.
#success #teacherlife #momlife #bloggerlife #friday #friyay #persistence #imstillstanding #keepongoing #toughweek #tgif #weekendishere 🙌🏻</t>
  </si>
  <si>
    <t>toughweek</t>
  </si>
  <si>
    <t>tgif</t>
  </si>
  <si>
    <t>1589668076088098513_5705167414</t>
  </si>
  <si>
    <t>Curry in Paris 🇫🇷, and btw if you guys remember Draymond said Curry was like Neymar but in the NBA, so technically Curry is meeting his twin 🏀⚽ #Dubnation
-
-
-
-
-
-
-
-
-
-
-
-
-
-
-
-
-
-
-
-
-
-
-
-
-
-
-
-
-
-
-
-
-
-
-
-
-
-
-
-
 #StephGonnaSteph #Mvp #SC30 #KT11 #DG23 #CURRYMVP #KEEPONGOING #NEVERGIVEUP #WCF #WEST #WESTERNCONFERENCEFINALS #CHAMPS #DUBSFORCHAMPS #DUBS #ALWAYSBELIEVEINGOD #STEPHENCURRY #EVEN #NBA #2016CHAMPS #CHAMPIONS #LOCKIN #STEPH #SPLASH #SPLASHBROS  #like4like #like4follow #follow4follow</t>
  </si>
  <si>
    <t>brannongraphics</t>
  </si>
  <si>
    <t>1589685302506483004_5805346283</t>
  </si>
  <si>
    <t>Customizable #walldecal #wallart #decals #motivationalwords #murals #wallmural #wallmurals #keepongoing #keeponkeepingon #keeponkeepinon http://www.facebook.com/brannongraphics</t>
  </si>
  <si>
    <t>Hattiesburg, Mississippi</t>
  </si>
  <si>
    <t>wallmural</t>
  </si>
  <si>
    <t>mtrtatoo</t>
  </si>
  <si>
    <t>1589687916917900672_210907418</t>
  </si>
  <si>
    <t>#lightafterthedark #miamilife #rainydays #247life #photography  #light#hoody #305life #sportwear #keepongoing #fridaystyle 
#miami #venezuela🇻🇪 #blacknred #lookforward #lacalmadespuesdelatormenta Los días lluviosos hacen que los días soleados valgan la pena☀️☀️☀️☀️🙏🏼🙌🏻</t>
  </si>
  <si>
    <t>miamilife</t>
  </si>
  <si>
    <t>venezuela🇻🇪</t>
  </si>
  <si>
    <t>rainydays</t>
  </si>
  <si>
    <t>305life</t>
  </si>
  <si>
    <t>ayoubrachidi_1</t>
  </si>
  <si>
    <t>1589689286642637286_5318802790</t>
  </si>
  <si>
    <t>بعد اطلاعي هذه الأيام على مستجدات رياضة البوديبورد ، أثار انتباهي وجود رياضيين أو لجان خاصة بهذه الرياضة تتبنى للتعبير عن رأيها أسلوبا حرا بعيدا كل البعد عن بيع الأوهام و تزوير الواقع كما عهدنا في الأيام السابقة ، حيث أنه و بالموازاة مع انطلاق البطولة العالمية هناك أشخاص و بعد حصولهم على دعم مادي يقومون باعطاء فكرة مغلوطة و بعيدة كل البعد عن الواقع ، و ذلك عبر نشرهم لصور توهم الرأي العام بأنهم في فترة تدريبات مكثفة بينما هم في الواقع لا يقومون بأي مجهود و ليسوا معنيين بتمثيل البلاد أو حمل العلم الوطني في المسابقات العالمية ، و في المقابل هناك أشخاص لا يحظون بأي دعم يذكر وهذه الشريحة بالظبط هي التي تضحي بالغالي و النفيس من أجل النهوض بالرياضة الوطنية و تمثيل البلاد أحسن تمثيل.  و أود فقط الإشارة إلى ٱن وجود هذه اللجان أو رياضيين يجب أن يساهم في الوصول إلى نتائج إيجابية.  و أخيرا و ليس آخرا ، أنا اليوم و بعد حصولي على المرتبة الأولى في المرحلة الأخيرة من بطولة المغرب بشاطئ بلالة فاطنة و المرتبة الثالثة في الترتيب النهائي لبطولة المغرب ، أشهد أمام الملأ أن هذه الإنجازات لم تبعث الفرح في قلبي لأنها جد ضئيلة أمام طموحاتي و أهدافي. و أنا أعلم بأن الجمهور الذي يساندني و يتفاعل مع منشوراتي بطريقة إيجابية ، هو جمهور يضم محبين مخلصين يكنون لي و لهذه الرياضة حب لا مشروط و بدون مصالح ، كما أن مشاعرهم منقسمة فقط ما بين حب كبير للوطن و حب و تقدير لأبناء هذا الوطن...و أنا أعتز بكوني واحد من أبناءه 
#أنا_جيت_وخا_معمرني_مشيت  #في_انتظار_تعليقاتكم_للتغيير
I've been scrolling throughout my news feed on fb and I noticed that a little bodyboarding community are talking freely about the real situation of bodyboarding in Morocco, and faking their selves and others about the real struggles of bodyboarders here. 
I'm still glad but not satisfied of my winning in the last event of the year and my 3rd position on the national ranking. My goals haven't changed, I'll always try to dig my way to the world tour.
#KeepOnGoing
#Bodyboard_Sniper
#ONDA_Wetsuits_MAROC
#Churchill_Swim_Fins
#Carve_Sunglasses
#R-espet_MA</t>
  </si>
  <si>
    <t>bodyboard_sniper</t>
  </si>
  <si>
    <t>في_انتظار_تعليقاتكم_للتغيير</t>
  </si>
  <si>
    <t>carve_sunglasses</t>
  </si>
  <si>
    <t>onda_wetsuits_maroc</t>
  </si>
  <si>
    <t>1589698310585815399_1531041610</t>
  </si>
  <si>
    <t>Eliminete what doesn't help you evolve. ✌🏼110kg ➡️ 60kg ✔️🖤
▪️
▪️
▪️
▪️
▪️
#transformation #stayingontrack #progress #proud #keepongoing #workingonmyself #doingmybest #healtylifestyle #healthyfood #gymrat #fitgirl #fitdutchie #fitqueen #gymaholic #weightliftinggirls #weightlifting #weightlosstransformation #bodypositive #bodygoals #goalsandgains #instafit #basicfitbe #2years #eatcleantraindirty #thankstomyfriends #doingmybest #lovemylifestyle #50kgoff #gettingstronger #gettingmuscle.</t>
  </si>
  <si>
    <t>goalsandgains</t>
  </si>
  <si>
    <t>weightliftinggirls</t>
  </si>
  <si>
    <t>1589700021626988178_279512262</t>
  </si>
  <si>
    <t>Жизнь — это путь. Aloha Gaia — путь к себе)
Любимые колечки, как талисманы, что уберегут от беды и направят внимание на действительно важные вещи.
Всем доброго серого утра. 
Мое утро — внезапно доедает остатки вчерашней грушевой пиццы и невкусного сыра под странный старый фильм, который смотрю не с начала и все ещё плохо понимаю.
Внезапно дома. Внезапно.
.
#loveinmoscow #vscogood #lifeex #livy #keepcalm #keepongoing #alohagaia #authentic #abmhappylife #abmlife #aloha #mood #moscowlife #seemymoscow #catherineinmoscow #citylife #vsco #vscocam #vibes #madrussians #seemymoscow</t>
  </si>
  <si>
    <t>Кафедральный Собор Непорочного Зачатия Пресвятой Девы Марии</t>
  </si>
  <si>
    <t>derrickgoesrunning</t>
  </si>
  <si>
    <t>1589705528228153839_3608486811</t>
  </si>
  <si>
    <t>*Man vs Lakes 09/07/2016*
Due to the weather (it rained a lot), I was barely able to take any photos but there was a break in the downpour and hot this not-so-great shot of everyone running past me. All part of the experience! 
#derrickgoesrunning #runningpastme #runnershigh #runnerslow #watching#ratrace #ratraceevents #manvslakes #marathon #trailmarathon #verywet #WeDontQuit #wetandcold #neverquit #keepongoing #lakedistrict #gettothefinish</t>
  </si>
  <si>
    <t>lakedistrict</t>
  </si>
  <si>
    <t>manvslakes</t>
  </si>
  <si>
    <t>watching</t>
  </si>
  <si>
    <t>trailmarathon</t>
  </si>
  <si>
    <t>gettothefinish</t>
  </si>
  <si>
    <t>1589713796988806745_2028489761</t>
  </si>
  <si>
    <t>Guten Morgen ihr 😊 ich wünsche euch einen produktiven Samstag, stay motivated 👩🏽‍🔬
Chrissi
.
#openmindbyjc#organizer#organisation#organisation#odernichtoderdoch#joandjudy#office#officespace#officeview#officedecor#rosegold#roségold#newbeginning#newin#decoration#stationary#stationaryaddict#motivation#motivationalquotes#motivationiskey#keepongoing#staypositive#staymotivated#beinghappynevergoesoutofstyle#magicofnewbeginnings#blogger#blogger_de#blogspot#lifestyle#lifestyleblog</t>
  </si>
  <si>
    <t>rosegold</t>
  </si>
  <si>
    <t>blogspot</t>
  </si>
  <si>
    <t>stationary</t>
  </si>
  <si>
    <t>palooooog</t>
  </si>
  <si>
    <t>1589723399251449522_407458814</t>
  </si>
  <si>
    <t>When yo' sick and weak af but you're an adult and you've got bills to pay plus you don't wanna cause burden to the clients. 🤒😷 #performerdiaries #weddingsinger #workislife #dehydrated #keepongoing #doublechinstill</t>
  </si>
  <si>
    <t>Immaculate Conception Parish, Gatchalian</t>
  </si>
  <si>
    <t>dehydrated</t>
  </si>
  <si>
    <t>doublechinstill</t>
  </si>
  <si>
    <t>performerdiaries</t>
  </si>
  <si>
    <t>workislife</t>
  </si>
  <si>
    <t>tisupaperlin</t>
  </si>
  <si>
    <t>1589728996736448960_434634597</t>
  </si>
  <si>
    <t>只是逗号，并未句号。
#graduatedwithdistinction #dfi #welldonebabygirl #aimforthebettergoal #keepongoing</t>
  </si>
  <si>
    <t>dfi</t>
  </si>
  <si>
    <t>aimforthebettergoal</t>
  </si>
  <si>
    <t>graduatedwithdistinction</t>
  </si>
  <si>
    <t>welldonebabygirl</t>
  </si>
  <si>
    <t>1589744305877972631_234364940</t>
  </si>
  <si>
    <t>Morgeeeeeen 😀😀 jaaaa...ihr seht richtig!! BREZEL-SAMSTAAAAAAG 😆😆😆😄😄😄😂😂😂 das erste mal seit knapp 2 Monaten 😍😍🤤🤤 nu kipp ich mir noch n Eimer Kaffee rein ☕ dann geht's bissi Cardio machen. Dann noch etwas in die Stadt und am späten Nachmittag und Abend hier zum See an ein Fest mit Bands und lecker Futter 😄😄 Schönen Tag @ all 🐛🐛🙌🏼🙌🏼🌞🌞 .
.
.
.
.
#breakfast #guterstartindentag #gutenmorgen #goodmorning #brezel #butter #frühstück #gains #foodlove #weekendvibes #brezn #soulfood #simplefood #tastyfood #leckerschmecker #carbs #fitnessaddict #fitnesslifestyle #delicious #foodporn #foodies #foodie #powerfood #omnomnom #butterbrezel #pretzel #pretzels #foodgasm #stayfocused #keepongoing</t>
  </si>
  <si>
    <t>frühstück</t>
  </si>
  <si>
    <t>brezn</t>
  </si>
  <si>
    <t>1589748080995260880_4916877020</t>
  </si>
  <si>
    <t>Dreamteam!
#clooneymartinandsean #keepongoing</t>
  </si>
  <si>
    <t>clooneymartinandsean</t>
  </si>
  <si>
    <t>adamwedebrand</t>
  </si>
  <si>
    <t>1589756582328360859_236571111</t>
  </si>
  <si>
    <t>Bilden är från Sprint SM som gick för lite mer än en månad sedan, är nöjd med mina resultat i stort men blev tyvärr inga medaljer! Nästa tävling blir säsongens sista, höstregattan går i Jönköping om en vecka👍
#keepongoing</t>
  </si>
  <si>
    <t>Kanotstadion Rocksjön</t>
  </si>
  <si>
    <t>blanko_family</t>
  </si>
  <si>
    <t>1589766444782452532_5420384881</t>
  </si>
  <si>
    <t>La única salida siempre es hacia adelante. #keepongoing #nevergiveup</t>
  </si>
  <si>
    <t>Blanko</t>
  </si>
  <si>
    <t>1589775795681574181_297558307</t>
  </si>
  <si>
    <t>GM😁🌅Warriors🏹! "Hope is the pillar that holds up the world."- Pliny the Elder... Happy Satutday Y'ALL! The last thing we loose is HOPE! So grab it and never let it go.  Today is a new canvas, paint 🎨 the best day you can!! #free #hope #saturdayvibes #fitmom #fitmama #fitgirl #fitness #fitnessaddict #runner #mamaenforma #mamacorriendo #photography #gym #gymgirl #gymlife #gymaddict #gymaholic #keeptrying #keepmoving #keepstrong #keepongoing</t>
  </si>
  <si>
    <t>1589777836519870599_1959382455</t>
  </si>
  <si>
    <t>My loved one is fighting for his health in hospital 😢and I just have to stay strong!!Strong to give even more love and support❤so..i run (10km today) and then relax here..among the sunbeams in my conservatory❤#myhome #mylove #keepfighting #keepongoing #stayfit #staystrong #running #runner #conservatory #vintage #health #hälsa#löpning #excercise #träning #loveconquersall #haveaniceweekend</t>
  </si>
  <si>
    <t>loveconquersall</t>
  </si>
  <si>
    <t>myhome</t>
  </si>
  <si>
    <t>vintage</t>
  </si>
  <si>
    <t>carmonazammitpace</t>
  </si>
  <si>
    <t>1589787149175520518_2093468092</t>
  </si>
  <si>
    <t>#goodmorning#changeisgood#keepongoing</t>
  </si>
  <si>
    <t>1589792706392196747_1469303635</t>
  </si>
  <si>
    <t>Keep hustling!</t>
  </si>
  <si>
    <t>1589797970755230418_5705167414</t>
  </si>
  <si>
    <t>I've been thinking lately, how about a 'the talents of Steph' series, it'll be 1 post everyday, consisting of the 15 talents of Curry, pretty funny series not really a serious basketball related one 😂, so if this post hits 40 likes imma do it, and if 1 day has passed but it still hasn't made it to 40 likes, im not gonna do it, just to get your guys approval, cause i don't wanna make content people won't like, or you can also comment about the idea 💡  #Dubnation
-
-
-
-
-
-
-
-
-
-
-
-
-
-
-
-
-
-
-
-
-
-
-
-
-
-
-
-
-
-
-
-
-
-
-
-
-
-
-
-
 #StephGonnaSteph #Mvp #SC30 #KT11 #DG23 #CURRYMVP #KEEPONGOING #NEVERGIVEUP #WCF #WEST #WESTERNCONFERENCEFINALS #CHAMPS #DUBSFORCHAMPS #DUBS #ALWAYSBELIEVEINGOD #STEPHENCURRY #EVEN #NBA #2016CHAMPS #CHAMPIONS #LOCKIN #STEPH #SPLASH #SPLASHBROS  #like4like #like4follow #follow4follow</t>
  </si>
  <si>
    <t>1589804037027471337_5705167414</t>
  </si>
  <si>
    <t>Whoops, looks like the Kyrie trade isn't a done deal yet👀, doesn't matter though, still Warriors in 4  #Dubnation
Credit:
@gsw.all.day
-
-
-
-
-
-
-
-
-
-
-
-
-
-
-
-
-
-
-
-
-
-
-
-
-
-
-
-
-
-
-
-
-
-
-
-
-
-
-
-
 #StephGonnaSteph #Mvp #SC30 #KT11 #DG23 #CURRYMVP #KEEPONGOING #NEVERGIVEUP #WCF #WEST #WESTERNCONFERENCEFINALS #CHAMPS #DUBSFORCHAMPS #DUBS #ALWAYSBELIEVEINGOD #STEPHENCURRY #EVEN #NBA #2016CHAMPS #CHAMPIONS #LOCKIN #STEPH #SPLASH #SPLASHBROS  #like4like #like4follow #follow4follow</t>
  </si>
  <si>
    <t>1589812598013106165_4249248273</t>
  </si>
  <si>
    <t>One thing I love about the weekend is I get to sleep in a bit and then train without having to balance work. I also get to train with @ladiesstrengthcoach off the wall. Never realised how much strength training would play into my climbing - it's been an awesome surprise. Here's me working towards my first proper push up. That bar is adjustable so as I get better as it, we can lower it and eventually reach the floor. 😁 feeling quite dead from the week, my wrist flare is still not fully settled and I am definitely dragging but I get to go strength train, it'll wake me up and set me going again :) happy Saturday all! #training #amputee #muslim #hijab #strength #pushups #progress #learning #keepongoing #weekendvibes #exhausted #thisgirlcan #paraclimbing #thisgirlcanclimb #ehlersdanlossyndrome #yesican #believeinyourself #pushyourlimits #coach #determination #goals #justdoit</t>
  </si>
  <si>
    <t>tacaksbbg</t>
  </si>
  <si>
    <t>1589814953500859762_3965939619</t>
  </si>
  <si>
    <t>My pretty delicious brekkie 🐸 crunchy muesli with natural jogurt, banana and cinnamon 💕 #bbg #bikinibodyguide #kaylasarmy #itsiness #bbg1 #pretraining #diet #delicious #weightloss #weightlossjourney #yumyum #transformation #motivation #icandoit #keepongoing #bbgsisters #bbgcommunity #bikinibody #workout #fitness #run #running #nikerun #asics #asicsrun</t>
  </si>
  <si>
    <t>bbgsisters</t>
  </si>
  <si>
    <t>bikinibodyguide</t>
  </si>
  <si>
    <t>shaikylicious81</t>
  </si>
  <si>
    <t>1589817528435592817_5880970851</t>
  </si>
  <si>
    <t>#nevergiveup #keepongoing #keepondreaming #keeponrocking #goals #puchyourselfe #belive #beliveinyourselfe #keeponsmiling</t>
  </si>
  <si>
    <t>puchyourselfe</t>
  </si>
  <si>
    <t>sitnikovski</t>
  </si>
  <si>
    <t>1589820039849217046_1432751728</t>
  </si>
  <si>
    <t>26.11.16 - 26.08.17.
9 months, a pregnancy. Could have had a baby in that time.
But sadly it's just the time I spent till today with my left foot being destroyed.
And still I'm not getting used to it. 
It feels like I am stuck in my own body. 
Well, I can move everything but my foot, I am able to turn my head, rise up my arms or wiggle my ass.
But I CAN NOT run. It's not even possible to walk without (my new best friends) crutches. I CAN'T wiggle my left toes, even if I'm concentrating like hell. Everyday life has changed. Not just the sport-thing, but little things I never considered being important.
1. Grocery shopping. Did you ever try to move a shopping trolley without using your hands?
2. Carrying things. Never ever forget your backpack!
3. Rainy weather. Never thought that would be a problem, but with your hands on the crutches: how do you hold an umbrella?
4. Coffee to go or anything else "to go". There is no "to go". No "take away" and eat while walking home. You can eat or drink exactly in one moment: standing still.
5. Nights out. Tried it ones and never again. It's frustrating, everybody's dancing, jumping and flipping around.
6. Getting from A to B. The easiest way: walking. Works for distances up to 2 kms, but although I am using crutches every step I take is painful. Taking the bus is another option, but as I am a person of delay and running to catch the bus is not possible with crutches..
Speaking of crutches: friend and enemy at the same time (so called "frenemy"). Indispensable and annoying.
But in the end I need them to manage my life. So do thousands of people and sometimes I feel ashamed because I feel pity for myself.
But 9 months ago my life changed forever and I think it's ok, that I am sometimes struggling with that fact.
Nevertheless, I keep on going. Some days are harder than others and then I just feel like crying and craving for my old life. But I can't turn back the time.
So life is sweet, even as Quasimodo. Perhaps sometime I turn to Esmeralda.
#injuredfoot #football #lifechangingaccident #rehab #keepongoing #nevergiveup #everydaystruggle #quasimodo #foot #lisfrancinjury #crutchessuck #jetzterstrecht #noexcuses</t>
  </si>
  <si>
    <t>Wuppertal, Germany</t>
  </si>
  <si>
    <t>lifechangingaccident</t>
  </si>
  <si>
    <t>everydaystruggle</t>
  </si>
  <si>
    <t>injuredfoot</t>
  </si>
  <si>
    <t>lisfrancinjury</t>
  </si>
  <si>
    <t>1589823924120527489_4618389069</t>
  </si>
  <si>
    <t>You will never be able to please everybody... but focus and keep doing YOU! #choices #choose #choosewisely #confidence #focus #growth #hater #hatersgonnahate #hustle #hustlehard #idiot #idiots #issues #keepitmovin #keepitreal #keepongoing #personaldevotion #self #selfconfidence #selflove #vision #wiseman #workonyou #worldisyours #yourtime #yourtimeisnow #yourewelcome</t>
  </si>
  <si>
    <t>wiseman</t>
  </si>
  <si>
    <t>self</t>
  </si>
  <si>
    <t>idiots</t>
  </si>
  <si>
    <t>choose</t>
  </si>
  <si>
    <t>frannytje</t>
  </si>
  <si>
    <t>1589824871251097589_5762042788</t>
  </si>
  <si>
    <t>Bamm, I did it again!!! 5km 💪💪💪 #running #runninggirl #runtastic #sport #betterme #feelgood #keepongoing</t>
  </si>
  <si>
    <t>Serskamp, Oost-Vlaanderen, Belgium</t>
  </si>
  <si>
    <t>myjourneyat52</t>
  </si>
  <si>
    <t>1589826862036387753_5883451579</t>
  </si>
  <si>
    <t>Jaaa😀 Drog upp 80 kg i marklyft idag. Tack @samuelsamblomgren för motivation😀
#jagärpåväg #iamonmyway #deadlift #marklyft #bendag #legday #powerlifting #powerliftingwomen #nevergiveup #keepongoing #myjourney #myjourneyat52 #ironstablebodybuilding</t>
  </si>
  <si>
    <t>jagärpåväg</t>
  </si>
  <si>
    <t>iamonmyway</t>
  </si>
  <si>
    <t>ironstablebodybuilding</t>
  </si>
  <si>
    <t>1589829195906547522_5495249433</t>
  </si>
  <si>
    <t>Zoodles with bolognese sauce 🍅🥒🍝</t>
  </si>
  <si>
    <t>1589829622434190272_429036895</t>
  </si>
  <si>
    <t>WEEKEND!! Just had a good back workout. Normally I feel bad when my routine is not how I wanted but today I did some exercises just to clear my head. These days my energy is very minimum, but since a few months I can listen more to my body instead of being obsessive after a few days of junkfood. 
Now going to enjoy this sunny day 👌😏🌞 have a nice day!! #daretoshare #bodylove #selflove #foodlover  #fitnessjourney #progress #fitness #fitdutchie #weightlifting #girlwholifts #fitfam #exercise #curves #fitnessaddict #dreams #bodyandmind #gymlife #recovering #bootygrow #dedication #hardwork #keepongoing #strenght #grow #girlonamission #effort #girlpower</t>
  </si>
  <si>
    <t>iszdassler</t>
  </si>
  <si>
    <t>1589834086623508527_1349565740</t>
  </si>
  <si>
    <t>Runner League 02 
Zone: North Team 2017 has completed👍😎
#nicetomeetyoubuddy
#endurance #focus #nevergiveup #motivation #whyirace #bemorehuman #runforlife #keepongoing #runneroftheweek
#runnerleague #northsingapore #fitness #fitnessjourney #fitnessmotivation #underarmour #gopro #goprooftheday #justrunlah #42raceasia #virtualrun #singapore #com.sg</t>
  </si>
  <si>
    <t>Garden By the Bay Singapore</t>
  </si>
  <si>
    <t>runnerleague</t>
  </si>
  <si>
    <t>nicetomeetyoubuddy</t>
  </si>
  <si>
    <t>42raceasia</t>
  </si>
  <si>
    <t>goprooftheday</t>
  </si>
  <si>
    <t>graf.anika</t>
  </si>
  <si>
    <t>1589835670468584591_5550392363</t>
  </si>
  <si>
    <t>#ontherun #onmyway #keepongoing #littlelove #halberstadt #black #white #blackandwhite #edit #phone #photography #app #picsart</t>
  </si>
  <si>
    <t>picsart</t>
  </si>
  <si>
    <t>littlelove</t>
  </si>
  <si>
    <t>1589847516694477708_1364516995</t>
  </si>
  <si>
    <t>Well behaved women, don't make history ❤️💸
#keepongoing #calvinklein #ck #boobs #dreamon #history #supergirl #longhair #lifestyle #freelancephotographer #fitspo #fitgirl #model #naturel #fashion  #fitnessmodel #carchicks #insta #instapic #instamood #instafamous #pretty #photooftheday#followme #snapchat #supergirl #qotd #ootd #fashionblogger</t>
  </si>
  <si>
    <t>supergirl</t>
  </si>
  <si>
    <t>carchicks</t>
  </si>
  <si>
    <t>pretty</t>
  </si>
  <si>
    <t>basqueichonpictures</t>
  </si>
  <si>
    <t>1589851842446188287_9298007</t>
  </si>
  <si>
    <t>Fly into the future  #Repost @wanderful.destinations (@get_repost)
・・・
Glacier National Park
Photo by @travisburkephotography &amp; @chelseakauai
Tag your friends 😍 ❤️
.
.
.
.
.
.
.
.
#earthporn #traveljunkie #yogadudes #travelnow #outdoortones #sunsetting #keepongoing #mytraveldiary #travelfrance #travelingphotographer #bucketlisters #keepitmovin #lifeonourplanet #yogajournal #paradisepark #paradisevalley #beachboy #keepittight #thaitraveling #travelrock #backpackerslife #stayinspired #traveldeals #liveforit #femaletravel</t>
  </si>
  <si>
    <t>femaletravel</t>
  </si>
  <si>
    <t>thaitraveling</t>
  </si>
  <si>
    <t>paradisevalley</t>
  </si>
  <si>
    <t>seeking_a_purpose</t>
  </si>
  <si>
    <t>1589852641311390141_4536181271</t>
  </si>
  <si>
    <t>Keep moving forward! The things you persist in doing will eventually become easier... Not because the nature of the activity itself changed, but because our power to do it increases.</t>
  </si>
  <si>
    <t>careerpath</t>
  </si>
  <si>
    <t>persistancepaysoff</t>
  </si>
  <si>
    <t>ambition</t>
  </si>
  <si>
    <t>selfhelpseries</t>
  </si>
  <si>
    <t>eliza_er</t>
  </si>
  <si>
    <t>1589854111515725864_431385287</t>
  </si>
  <si>
    <t>Ich bin durch soviele Meere geschwommen... glaubst du, ich ertrinke jetzt in der Welle, die du schiebst? 🌊
#wavebreaker #blondehair #austriangirl #greeneyes #potd #thinkpositive #keepongoing #happyday #sunnyday #tb #krankseinistdoof</t>
  </si>
  <si>
    <t>blondehair</t>
  </si>
  <si>
    <t>wavebreaker</t>
  </si>
  <si>
    <t>austriangirl</t>
  </si>
  <si>
    <t>happyday</t>
  </si>
  <si>
    <t>1589854258316735473_5586814877</t>
  </si>
  <si>
    <t>This 👌🏻 I've been saying for ages that I'm gonna get myself back to the gym as I know a good exercise routine is going to help me massively with reaching my weight loss goals and generally feeling lots better 💪🏻 This morning I finally started and I'm so glad I did ☺️ #fooddiary #slimmingworld #sw #slimmingworldfood #slimmingworldjourney #health #happiness #selfimprovement #bethebestyou #keepongoing #nomorestartingover</t>
  </si>
  <si>
    <t>zimt_zucker</t>
  </si>
  <si>
    <t>1589866469126499870_33068826</t>
  </si>
  <si>
    <t>Feel free. 💚
Dieses Freiheitsgefühl &amp; die Ruhe mitten in den Alpen ⛰
.
#lostintherightdirection #mountainlover #feelthealps #outsideisfree #wanderlust #alpencross #beautifulnature #munichandthemountains #justbreathe #keepongoing</t>
  </si>
  <si>
    <t>alpencross</t>
  </si>
  <si>
    <t>munichandthemountains</t>
  </si>
  <si>
    <t>lostintherightdirection</t>
  </si>
  <si>
    <t>outsideisfree</t>
  </si>
  <si>
    <t>justbreathe</t>
  </si>
  <si>
    <t>shonnabrownmusic</t>
  </si>
  <si>
    <t>1589875090726655792_273829865</t>
  </si>
  <si>
    <t>"THE WORLD IS A JUNGLE,YOU EITHER FIGHT,OR RUN FOREVER.I CHOOSE TO FIGHT!"(This is some serious jungle hair,jus sayin😜.)(Photography by James Korolas of Light Writer Studios)#junglehair #theworldisajungle #ichoosetofight #chooselife #fightforwhatyouwant #keepworkinghard #blackandwhitephoto #keepongoing</t>
  </si>
  <si>
    <t>fightforwhatyouwant</t>
  </si>
  <si>
    <t>junglehair</t>
  </si>
  <si>
    <t>chooselife</t>
  </si>
  <si>
    <t>theworldisajungle</t>
  </si>
  <si>
    <t>dr.oanachende</t>
  </si>
  <si>
    <t>1589878367963779311_4036082958</t>
  </si>
  <si>
    <t>Subtle remodeling of the lips, so natural 💋💉 #keepongoing #estetica #lipsaugmentation #fillers #happypatient #Oradea #OradeaMare #Nagyvarad #Bihor #Romania #DrOanaChende</t>
  </si>
  <si>
    <t>nagyvarad</t>
  </si>
  <si>
    <t>fillers</t>
  </si>
  <si>
    <t>estetica</t>
  </si>
  <si>
    <t>bihor</t>
  </si>
  <si>
    <t>lipsaugmentation</t>
  </si>
  <si>
    <t>1589880966688501396_273508132</t>
  </si>
  <si>
    <t>Dopo una bellissima giornata di relax oggi si riprende con #workout #studio e .. basta per carità, è sabato anche per me 😤</t>
  </si>
  <si>
    <t>commitment</t>
  </si>
  <si>
    <t>fitmomofig</t>
  </si>
  <si>
    <t>fitmommy</t>
  </si>
  <si>
    <t>helenaturu</t>
  </si>
  <si>
    <t>1589881494246121916_1337179964</t>
  </si>
  <si>
    <t>Vive, joder. VIVE. 🌍🦋
I feel blessed for life, every day I wake up, I feel great to share my life, adventures with my people, they are the most important for me. Always taking care and learning every time from all around us. Sometimes hard moments come, but I try to be positive and keep on growing my positive energy inside, will reflect to all..
Take care of your inner light forever, it's the best you have ✨
#quote #love #inspiration #learning #keepongoing #vive #life #attitude #strong</t>
  </si>
  <si>
    <t>vive</t>
  </si>
  <si>
    <t>1589882377239287909_1469303635</t>
  </si>
  <si>
    <t>Dress and act like you are the man, confidence gets you a long way!</t>
  </si>
  <si>
    <t>lauraae91</t>
  </si>
  <si>
    <t>1589887396093982811_308567022</t>
  </si>
  <si>
    <t>Pues parece que va bien la cosa teniendo en cuenta que me voy esta tarde 😂😂😂
#ytodoasi #maletacasilista #ironía #esassonlasganasquetengodeirme #concalma #theresalwaystime #back #Gijon #Londoncalling #nottinghill #keepongoing #bankholiday #mivueltaalcole #elcorteingles #inglesporlomenossi</t>
  </si>
  <si>
    <t>maletacasilista</t>
  </si>
  <si>
    <t>esassonlasganasquetengodeirme</t>
  </si>
  <si>
    <t>ytodoasi</t>
  </si>
  <si>
    <t>bankholiday</t>
  </si>
  <si>
    <t>dadesette</t>
  </si>
  <si>
    <t>1589887572238133930_1971496530</t>
  </si>
  <si>
    <t>#lake#safeandsound#igplace#instatravel#instatrip#isnotaselfie#isnotacrime#instabeard#instagram#instagood#instadaily#instadailypic#instatravel#igpic#gogogo#igpeople#goonthen#whatif#and#andgoing#keep#keepongoing#onandon#igers#iggood#shotoniphone#shootingday#shotoftheday#ilikethisone#thinkpositive</t>
  </si>
  <si>
    <t>shotoftheday</t>
  </si>
  <si>
    <t>instabeard</t>
  </si>
  <si>
    <t>igpic</t>
  </si>
  <si>
    <t>iggood</t>
  </si>
  <si>
    <t>ilikethisone</t>
  </si>
  <si>
    <t>1589890329909025958_5495249433</t>
  </si>
  <si>
    <t>Take the plunge. Live for now. Happiness is key 🌻🌘</t>
  </si>
  <si>
    <t>taketheplunge</t>
  </si>
  <si>
    <t>melmendez91</t>
  </si>
  <si>
    <t>1589891546676147944_4841934682</t>
  </si>
  <si>
    <t>I've been celebrating some great personal weight-wins recently (from dropping my first 5, then 10 lbs and then breaking under 200lbs for the first time in years). Today I'm celebrating the 20lbs lost-mark! Here's to @crossfit_nyc and @weightwatchers for keeping me in check! #keepongoing #alwayshangry</t>
  </si>
  <si>
    <t>alwayshangry</t>
  </si>
  <si>
    <t>dr.andresocando</t>
  </si>
  <si>
    <t>1589892960550762231_1394062351</t>
  </si>
  <si>
    <t>Keep On Learning 📚
Jornada Paulista Reconstrutiva - Campinas SP
•
.
•
#JornadaPaulistaReconstrutiva #JornadaPaulistadeCirurgiaPlastica #PlasticAndReconstructiveSurgery #DrAndresOcando #PlasticSurgery #PlasticSurgeon #KeepOnGoing #KeepOnLiving #ILoveWhatIDo #CirurgiaPlasticaCampinas #CirurgiaPlasticaSaoPaulo</t>
  </si>
  <si>
    <t>Royal Palm Hotels &amp; Resorts</t>
  </si>
  <si>
    <t>plasticandreconstructivesurgery</t>
  </si>
  <si>
    <t>ilovewhatido</t>
  </si>
  <si>
    <t>keeponliving</t>
  </si>
  <si>
    <t>cirurgiaplasticacampinas</t>
  </si>
  <si>
    <t>jornadapaulistareconstrutiva</t>
  </si>
  <si>
    <t>nathalyke</t>
  </si>
  <si>
    <t>1589896047860380425_3245784158</t>
  </si>
  <si>
    <t>Hmmm... maybe if I asked nicely 🤔😉😂. #fitnessconcept #healtylifestyle #fitness #cardio #hardworkpaysoff #foodplan #absaremadeinthekitchen #trainharder #keepongoing #hitttraining #goals😍</t>
  </si>
  <si>
    <t>absaremadeinthekitchen</t>
  </si>
  <si>
    <t>foodplan</t>
  </si>
  <si>
    <t>goals😍</t>
  </si>
  <si>
    <t>1589904375248387320_1347015205</t>
  </si>
  <si>
    <t>newborn</t>
  </si>
  <si>
    <t>noquit</t>
  </si>
  <si>
    <t>1589912909887028864_2301215576</t>
  </si>
  <si>
    <t>Follow @freedom.preneur for top travel inspiration! Tag who you'd stand with!
Houston. Photo by @karen.lao
.
.
.
.
.
.
.
.
#liveyourpassion #paradiseinterior #travelinspired #yogadudes #paradisevalley #keepongoing #travelingyogi #travelinsta #familyset #sky #leaveonlyleaves #beautifuldestinations #travelstory #islandliving #lifechoices #creativepreneur #energypro #backpackerlife #paradiseofminimal #mytraveldiary #allthewayup #vacaville #vscocam #exploreyourcity #energyflow</t>
  </si>
  <si>
    <t>yogadudes</t>
  </si>
  <si>
    <t>1589913443200041296_5360973505</t>
  </si>
  <si>
    <t>Being totaly honest as you can see👀 its not looking great ..fresh start today hope to get good results tues and just STAY ON PLAN !!! Would love to get one more stone of until crimbo !! Looking thru the sw book at the mo gives me lot's of inspiration as well as being on here with u inspiring lot ! Xx #slimmingworldplan #planning #fooddiary #keepfocused #stayonplan #goals #slimmingmum #focus #loosingweight #keepongoing #slimmingworldmagazine #targetthisyear</t>
  </si>
  <si>
    <t>slimmingmum</t>
  </si>
  <si>
    <t>slimmingworldplan</t>
  </si>
  <si>
    <t>christine_jane</t>
  </si>
  <si>
    <t>1589914924845485932_2904452</t>
  </si>
  <si>
    <t>Saturday night. 2205. .
.
🖤
.
.
Thank you @jonathanmcphoto &amp; Suzanne. 🙌🏼
.
#gofundme #songsforbleedinghearts #recordnumberthree #christinejane #independentartist #crowdfunding #keepongoing #gottahavefaith #music #musicismylife #originality</t>
  </si>
  <si>
    <t>musicismylife</t>
  </si>
  <si>
    <t>independentartist</t>
  </si>
  <si>
    <t>recordnumberthree</t>
  </si>
  <si>
    <t>originality</t>
  </si>
  <si>
    <t>1589916697602325263_15887082</t>
  </si>
  <si>
    <t>Skygge hygge 😎 det er efterhånden 14 dage siden jeg løb over målstregen ved Ironman Hamburg. Jeg har virkelig nydt at holde ferie, selvom jeg godt kan mærke jeg gerne snart vil i svede på en lidt anden måde end man gør i solen. Det er jo klart at den fysiske træning er sat på ✋🏼 et lille øjeblik, mens jeg forsøger at være mindre begravet i min krimi bog af Jussi Adler-Olsen. Marian påstår jeg burde være mere i vores lille pool med alt for mange børn, i stedet for at sidde i skyggen begravet i efterforskninger af afdeling-Q. For at tale kort om min mentale træning, må jeg sige at den er lidt på prøve for jeg savner som sagt min cykel. Det er jo nok heller ikke nogen overraskelse at Marian og jeg taler rigtig meget om Ironman Barcelona, som for mig bliver et vigtigt slag. Jeg glæder mig og sommerfuglene i min mave er begyndt at ophobe sig en lille smule. 
God lørdag 🎉☀️☀️
#ferie #athlete #upcoming #mulitisport #tri365 #lovemylife #fitness #ironmanbarcelona2017 #outofcomfortzone #trilabdk #triathlon #triatlete #invisibleguns #IMHamburg #keepongoing #purepowerdk #smileplease #swimbikerun</t>
  </si>
  <si>
    <t>triatlete</t>
  </si>
  <si>
    <t>j0nnywilliams</t>
  </si>
  <si>
    <t>1589917648946623402_5896938275</t>
  </si>
  <si>
    <t>Cutting down on my portions,we live and we learn so hoping I get a weight loss this week, breakfast this morning was overnight oats mint flavour with a green tea.
Dinner is a bachelors Cheese and Pancetta pasta sauce with added #mushroom #asparagus and #spinach #keepongoing #slimmingworld #slimmingworlduk #slimmingworldmen #pasta</t>
  </si>
  <si>
    <t>slimmingworldmen</t>
  </si>
  <si>
    <t>mushroom</t>
  </si>
  <si>
    <t>asparagus</t>
  </si>
  <si>
    <t>pasta</t>
  </si>
  <si>
    <t>niamh_fitness</t>
  </si>
  <si>
    <t>1589928426285641051_4205758236</t>
  </si>
  <si>
    <t>Protein pancakes. Yummy 😜 #workinprogress #keepongoing #foodporn #pancakes #leanin15 #fitfam #yummy #bbg</t>
  </si>
  <si>
    <t>pancakes</t>
  </si>
  <si>
    <t>avian_alamsyah</t>
  </si>
  <si>
    <t>1589951668525686332_1459019222</t>
  </si>
  <si>
    <t>With the Great Power, Comes Great Gains...
With all the effort, hardwork &amp; passion
Together WE complete the race because the game has just begun!!! EFFORT | HARDWORK | PASSION
#UsrahAssociates
#GrowingTogetherWithUs
#DashToMdrt
#MdrtDay2017 
#motivations 
#keepongoing</t>
  </si>
  <si>
    <t>Setia Alam</t>
  </si>
  <si>
    <t>usrahassociates</t>
  </si>
  <si>
    <t>growingtogetherwithus</t>
  </si>
  <si>
    <t>mdrtday2017</t>
  </si>
  <si>
    <t>motivations</t>
  </si>
  <si>
    <t>dashtomdrt</t>
  </si>
  <si>
    <t>1589955905510970856_464726046</t>
  </si>
  <si>
    <t>Imagine when you get a champion in sea game 😂😂😂 #malaysiaboleh #keepongoing #supportmalaysia #thanksmyphotographer</t>
  </si>
  <si>
    <t>supportmalaysia</t>
  </si>
  <si>
    <t>thanksmyphotographer</t>
  </si>
  <si>
    <t>malaysiaboleh</t>
  </si>
  <si>
    <t>a.k.a_wawa</t>
  </si>
  <si>
    <t>1589957807015222379_2532269892</t>
  </si>
  <si>
    <t>#호텔 #헬스 #운동 #살빠짐 #이대로 #keepongoing #화이팅 #잘따라할게 #일상 #여유 #셀스타그램</t>
  </si>
  <si>
    <t>일상</t>
  </si>
  <si>
    <t>호텔</t>
  </si>
  <si>
    <t>운동</t>
  </si>
  <si>
    <t>여유</t>
  </si>
  <si>
    <t>셀스타그램</t>
  </si>
  <si>
    <t>lularoejlasalle</t>
  </si>
  <si>
    <t>1589957921637407058_46404287</t>
  </si>
  <si>
    <t>I know this all too well this year #keepongoing #keepswimming #strength #quotes #inspiration #yougotthis</t>
  </si>
  <si>
    <t>keepswimming</t>
  </si>
  <si>
    <t>matt_mutch</t>
  </si>
  <si>
    <t>1589959373629877376_1556690458</t>
  </si>
  <si>
    <t>So this happened for the very first time this week 🙌🏻 My favorite part of training is the moment I surprise myself trying a new skill 😳  3 years of training may seem like a long time for many, but it's all part of successfully reaching life long goals (that goes for any aspect of life). I still have lots to learn, but for now celebrate the small victories 🏅...next goal, let's see if I can go the opposite direction 😏 #soulshinechiro #straddlepress  #handstand #gst #gymnasticbodies #christophersommer #sonomastrengthacademy #eccentricstrength #mobility #menwhostretch #airporthealthclub #cantstopwontstop #keepongoing #bodyweight #calisthenics</t>
  </si>
  <si>
    <t>christophersommer</t>
  </si>
  <si>
    <t>soulshinechiro</t>
  </si>
  <si>
    <t>eccentricstrength</t>
  </si>
  <si>
    <t>gymnasticbodies</t>
  </si>
  <si>
    <t>theshanevalerie</t>
  </si>
  <si>
    <t>1589974199982637520_1723414352</t>
  </si>
  <si>
    <t>Happy 17th Anniversary Younglife Cebu-South💟💞💝💛💗💚💞💜💖💕💋❤💚💛💜💝❤💕💖💙💝 #younglifeclub @younglife  #younglifevolunteers #younglifecampaigners #allforhim #keepongoing</t>
  </si>
  <si>
    <t>younglifevolunteers</t>
  </si>
  <si>
    <t>younglifeclub</t>
  </si>
  <si>
    <t>allforhim</t>
  </si>
  <si>
    <t>younglifecampaigners</t>
  </si>
  <si>
    <t>1589979810730331946_40740215</t>
  </si>
  <si>
    <t>I love working out outside! I think it's the fresh air I'm gulping in as I'm sweating hard 😄Anyone else enjoy an  outdoor workout?!</t>
  </si>
  <si>
    <t>momslife</t>
  </si>
  <si>
    <t>familyfitness</t>
  </si>
  <si>
    <t>1589980070825682823_5705167414</t>
  </si>
  <si>
    <t>Yo, these Toronto All Star jerseys were so lit 🔥🔥🔥 #Dubnation
-
-
-
-
-
-
-
-
-
-
-
-
-
-
-
-
-
-
-
-
-
-
-
-
-
-
-
-
-
-
-
-
-
-
-
-
-
-
-
-
 #StephGonnaSteph #Mvp #SC30 #KT11 #DG23 #CURRYMVP #KEEPONGOING #NEVERGIVEUP #WCF #WEST #WESTERNCONFERENCEFINALS #CHAMPS #DUBSFORCHAMPS #DUBS #ALWAYSBELIEVEINGOD #STEPHENCURRY #EVEN #NBA #2016CHAMPS #CHAMPIONS #LOCKIN #STEPH #SPLASH #SPLASHBROS  #like4like #like4follow #follow4follow</t>
  </si>
  <si>
    <t>marthefm</t>
  </si>
  <si>
    <t>1589980216915021739_5548353134</t>
  </si>
  <si>
    <t>I believe I can fly 😂 Gomusikken er på, Shake It Off er favorittlåta som får meg til å trosse frykten og GO for It 💃#feelthefearanddoitanyway #goforit #keepitup #keepitup💪 #believeinyourself #youcandoit #youcandothis #keepgoing #dontgiveup #youhavecometofartogiveupnow #keepongoing #youcandothis</t>
  </si>
  <si>
    <t>youhavecometofartogiveupnow</t>
  </si>
  <si>
    <t>feelthefearanddoitanyway</t>
  </si>
  <si>
    <t>1589981434184199127_5705167414</t>
  </si>
  <si>
    <t>So, by the looks of it I don't think I'm gonna make the series, I'm still gonna post some Curry talents that are pretty much just like my everyday random Curry posts, but still gonna think of making another series  #Dubnation
-
-
-
-
-
-
-
-
-
-
-
-
-
-
-
-
-
-
-
-
-
-
-
-
-
-
-
-
-
-
-
-
-
-
-
-
-
-
-
-
 #StephGonnaSteph #Mvp #SC30 #KT11 #DG23 #CURRYMVP #KEEPONGOING #NEVERGIVEUP #WCF #WEST #WESTERNCONFERENCEFINALS #CHAMPS #DUBSFORCHAMPS #DUBS #ALWAYSBELIEVEINGOD #STEPHENCURRY #EVEN #NBA #2016CHAMPS #CHAMPIONS #LOCKIN #STEPH #SPLASH #SPLASHBROS  #like4like #like4follow #follow4follow</t>
  </si>
  <si>
    <t>valerioincisivo</t>
  </si>
  <si>
    <t>1589982371023763541_298767646</t>
  </si>
  <si>
    <t>scatti improvvisi @mariapinaincisivo... sarò pure vanitoso ma so da dove sono partito e dove posso arrivare 💪#sisterlove#suddenshot#neverstop#keepongoing#keepontraining#keeponclimbing#highmountain#sofuckinghard#ifyoubelieve#itworths#ithurts#itdoesnotmatter#nopainnogain#mysister#mybelief#myall#mysafety#myharbour#myanchor#mylife#beproud#believeinyourself#ridiculousness#havefun#coldplayaddicted#miracles#someonespecial#youvegotfireinyoureyes#youllgofurtherthanweveevergone#justturniton</t>
  </si>
  <si>
    <t>Brusciano</t>
  </si>
  <si>
    <t>youllgofurtherthanweveevergone</t>
  </si>
  <si>
    <t>ifyoubelieve</t>
  </si>
  <si>
    <t>justturniton</t>
  </si>
  <si>
    <t>myharbour</t>
  </si>
  <si>
    <t>gleeful_soul</t>
  </si>
  <si>
    <t>1589992142419716914_1701837465</t>
  </si>
  <si>
    <t>Spend your life your way.! ❤ #instaquotes #instadaily #quotes #life #selfhelp #motivation #god  #keepongoing #happiness #personalgrowth #truth #encouragement #wellness #mindfulness #freespirit</t>
  </si>
  <si>
    <t>1589997888070950457_2899822841</t>
  </si>
  <si>
    <t>It is Saturday and the alarm ⏲️ was on. 
You ever feel like this 😡😭😱😢 when the alarm ⏲️ goes off in the morning especially on a Saturday???
Yea me too.
But I had 2 choices this morning
1: I could be upset and not get up on time or
2: I could get up make it a good day and get that Workout in before the busy day at the football field today.
Choice was made.
But I am by no means a ballerina, not by far but oh these moves got them glutes and legs jiggly today. 
#saturdayworkoutdone
#legdayonsaturday</t>
  </si>
  <si>
    <t>bookworm</t>
  </si>
  <si>
    <t>silkemaria.be</t>
  </si>
  <si>
    <t>1589999996279614225_4591891982</t>
  </si>
  <si>
    <t>Who doesn't love waterfalls 😍</t>
  </si>
  <si>
    <t>Ometepe, Nicaragua</t>
  </si>
  <si>
    <t>1590001582715753713_197556986</t>
  </si>
  <si>
    <t>lost in the light
#lost#found#self#portrait#keepongoing#vibes#wet#hair#blackandwhite#photo#vsco#vscocam#latergram</t>
  </si>
  <si>
    <t>found</t>
  </si>
  <si>
    <t>1590003531582924345_267746472</t>
  </si>
  <si>
    <t>I colori, i suoni, gli sguardi raccontano il nostro tragitto. Un colore mi può incantare, uno sguardo mi può far innamorare, un sorriso mi fa sperare. #lovequote#familyfirst#love#couplegoals#relationshipgoals#malta#summervibes#summertime#fitnessmotivation#instadaily#tagsta#picoftheday#igersitalia#instapassport#like4like#likeback#hot#vacation#2k17#travelblogger#bloggerlife#selfiesunday#keepongoing</t>
  </si>
  <si>
    <t>Golden Bay</t>
  </si>
  <si>
    <t>familyfirst</t>
  </si>
  <si>
    <t>exploring2b</t>
  </si>
  <si>
    <t>1590004560846699381_714955455</t>
  </si>
  <si>
    <t>Balancing through life sometimes feels like the first steps on a slackline....,just keep on trying and enjoy the progres😁🤙🏼
#slackline#slacklining#gibbon#beginner#newby#fun#workout#motivation#goals#mood#keepongoing#goodvibes#goodpeople#friends#simplyliving#befree</t>
  </si>
  <si>
    <t>Schinznach Bad</t>
  </si>
  <si>
    <t>simplyliving</t>
  </si>
  <si>
    <t>_nicole.nicky</t>
  </si>
  <si>
    <t>1590009528135710860_18079986</t>
  </si>
  <si>
    <t>Life is a journey and only you hold the map🛤 #keepongoing #serious #headfullofhair #curlylocks</t>
  </si>
  <si>
    <t>curlylocks</t>
  </si>
  <si>
    <t>headfullofhair</t>
  </si>
  <si>
    <t>serious</t>
  </si>
  <si>
    <t>mutausbruch_</t>
  </si>
  <si>
    <t>1590010762427302647_2891079251</t>
  </si>
  <si>
    <t>#wirallekönntenunsterblichsein#dreamit #thinkaboutit #boy #girl #loved #pool #pool #poolparty #relaxed #vacation #holidays #sunglasses #inkedgirl #keepongoing #goodlife #sunkissed #easy #picoftheday #wirallesindsternenstaub</t>
  </si>
  <si>
    <t>Las Palmas Subdivision, United States</t>
  </si>
  <si>
    <t>dreamit</t>
  </si>
  <si>
    <t>wirallesindsternenstaub</t>
  </si>
  <si>
    <t>inkedgirl</t>
  </si>
  <si>
    <t>1590011470777829572_223403434</t>
  </si>
  <si>
    <t>rings</t>
  </si>
  <si>
    <t>styles</t>
  </si>
  <si>
    <t>silver</t>
  </si>
  <si>
    <t>ladytorcida</t>
  </si>
  <si>
    <t>1590012320384717770_225411493</t>
  </si>
  <si>
    <t>Allons ensemble, découvrir ma liberté.
Oubliez donc tous vos clichés.
Bienvenue dans ma réalité ☄
#awakening #myroad #keepongoing #32</t>
  </si>
  <si>
    <t>32</t>
  </si>
  <si>
    <t>awakening</t>
  </si>
  <si>
    <t>myroad</t>
  </si>
  <si>
    <t>aldoelcreator</t>
  </si>
  <si>
    <t>1590012749285762813_181240184</t>
  </si>
  <si>
    <t>- I've seen this musician grow grow for years now. 🎤I'm happy to see one of my friends is living the life he wants. So for that I made him a 1/1 Denim Jacket for his show...... turns out I think @808sensei digs it🔥🔥 #keepongoing #hustlehard #streetwear #denver #denium</t>
  </si>
  <si>
    <t>Colorado</t>
  </si>
  <si>
    <t>denium</t>
  </si>
  <si>
    <t>denver</t>
  </si>
  <si>
    <t>houserunnerq</t>
  </si>
  <si>
    <t>1590014121126787210_13770138</t>
  </si>
  <si>
    <t>Duurloopje van 20km lekker warm ☀️☀️ verder dan 20 kwam ik niet door de warmte. Maar goed 20km stond op het programma dus een ✔️😃. Had een foto of vier nodig om tot deze 'geweldige' te komen 😅. Fijn weekend iedereen and #keepongoing .
.
.
.
#strava #citystrides #42195 #terschelling #zwolle #berenloop #marathon #marathontraining #duurloop #run #running #instarunner #instarunners #hardlopen #hardlopers #houserunners #keepongoing</t>
  </si>
  <si>
    <t>Zwolle, Netherlands</t>
  </si>
  <si>
    <t>duurloop</t>
  </si>
  <si>
    <t>hardlopers</t>
  </si>
  <si>
    <t>zwolle</t>
  </si>
  <si>
    <t>georgiegirl_38</t>
  </si>
  <si>
    <t>1590014186765751865_47902207</t>
  </si>
  <si>
    <t>👍 #onestepatatime  #keepongoing 
#workweekchallenge</t>
  </si>
  <si>
    <t>workweekchallenge</t>
  </si>
  <si>
    <t>1590014224246454186_224929186</t>
  </si>
  <si>
    <t>Race day 🤘🏻
/
/
#love #life #happy #art #quote #strength #music #inspirational #god #inspiration #inspired #smile #keepongoing #standup #fight #live #faith #photography #metal #rock #motivation #technology #mx #motocross #kawasaki #braap #monsterenergy #gopro #ride365 #365mx</t>
  </si>
  <si>
    <t>interleaf.eu</t>
  </si>
  <si>
    <t>1590014785687563361_1929240541</t>
  </si>
  <si>
    <t>#kitchen #cooking #lovelyplace #favouriteplace #homesweethome #homeplace #loveit #buildinganempire #inlove #workinprogress #keepongoing #damnimgood #damnimricherthanyall #bora</t>
  </si>
  <si>
    <t>favouriteplace</t>
  </si>
  <si>
    <t>homesweethome</t>
  </si>
  <si>
    <t>homeplace</t>
  </si>
  <si>
    <t>bora</t>
  </si>
  <si>
    <t>clarksfarm</t>
  </si>
  <si>
    <t>1590017186902475207_303456390</t>
  </si>
  <si>
    <t>Tomato selling and hay bale making! 🍅👨‍🌾🌾🚜 #farmlife #neverdull #alwayssomething #norest #farm365 #keepongoing #saturdayfun #tomatoes #homegrown #grassfedbeef #hoco #hocofarming #ellicottcitymd #columbiamd #locoforhoco</t>
  </si>
  <si>
    <t>neverdull</t>
  </si>
  <si>
    <t>homegrown</t>
  </si>
  <si>
    <t>hocofarming</t>
  </si>
  <si>
    <t>norest</t>
  </si>
  <si>
    <t>robertalor_</t>
  </si>
  <si>
    <t>1590029224201668466_2930898053</t>
  </si>
  <si>
    <t>🌼#shoes #heels #feet #jeans #keepongoing</t>
  </si>
  <si>
    <t>shoes</t>
  </si>
  <si>
    <t>jeans</t>
  </si>
  <si>
    <t>feet</t>
  </si>
  <si>
    <t>1590032023815351037_5705167414</t>
  </si>
  <si>
    <t>Mayweather vs Mcgregor, who ya got? I'm bettin' on Money Mayweather 💸💸💸 #Dubnation
-
-
-
-
-
-
-
-
-
-
-
-
-
-
-
-
-
-
-
-
-
-
-
-
-
-
-
-
-
-
-
-
-
-
-
-
-
-
-
-
 #StephGonnaSteph #Mvp #SC30 #KT11 #DG23 #CURRYMVP #KEEPONGOING #NEVERGIVEUP #WCF #WEST #WESTERNCONFERENCEFINALS #CHAMPS #DUBSFORCHAMPS #DUBS #ALWAYSBELIEVEINGOD #STEPHENCURRY #EVEN #NBA #2016CHAMPS #CHAMPIONS #LOCKIN #STEPH #SPLASH #SPLASHBROS  #like4like #like4follow #follow4follow</t>
  </si>
  <si>
    <t>1590033215074059721_1684424176</t>
  </si>
  <si>
    <t>Exist. 
___________________________ 
#millionaireimage #doitforyourself #betteringmyself #beyourown #keeponkeepingon #workforwhatyouwant  #marketingtip #marketingsolutions #encourageyourself #bethechangeyouwanttosee #youvegotthis  #millionairedreams #inspirationalthoughts #positivepeople #americanbusiness #quoteme  #strategize #seemslegit #youdoyou #inspirationalpost #businessownership #businessisbusiness #keepongoing #quotes4you #bewhoyouare #goalsaf #bewhatyouwanttobe #socialinfluencers #socialize</t>
  </si>
  <si>
    <t>1590033430837210448_1684424176</t>
  </si>
  <si>
    <t>@millionaireimage 
___________________________ 
#millionaireimage #doitforyourself #betteringmyself #beyourown #keeponkeepingon #workforwhatyouwant  #marketingtip #marketingsolutions #encourageyourself #bethechangeyouwanttosee #youvegotthis  #millionairedreams #inspirationalthoughts #positivepeople #americanbusiness #quoteme  #strategize #seemslegit #youdoyou #inspirationalpost #businessownership #businessisbusiness #keepongoing #quotes4you #bewhoyouare #goalsaf #bewhatyouwanttobe #socialinfluencers #socialize</t>
  </si>
  <si>
    <t>quotes4you</t>
  </si>
  <si>
    <t>1590035553416191863_345260414</t>
  </si>
  <si>
    <t>"Che tu sia figlio di un re o capo di stato
Che tu sia buono come il pane, o brutto e maleducato
Che tu sia pazzo o normale, gatto oppure cane
Guardia o ladro, non importa se sei fatto o ubriaco
Puoi chiamarti dottore, puoi chiamarti scienziato
Puoi chiamarti ufficiale, puoi chiamarti soldato
Puoi persino morire
Comunque l'amore è là dove sei pronto a soffrire
Lasciando ogni cosa al suo posto e partire
Anche tu come me" 
#travel #goingplaces #walking #keepongoing</t>
  </si>
  <si>
    <t>goingplaces</t>
  </si>
  <si>
    <t>wings.belle</t>
  </si>
  <si>
    <t>1590037975878521300_5075532073</t>
  </si>
  <si>
    <t>Was supposed to make a swiss roll, but when i tried rolling it, it cracked badly, so! It becomes stacked roll 😂😂😂
•
•
•
Although I fail this time, it doesn't mean I will fail the next time or forever. Just keep on trying 😁 I will nail it definitely 😘
•
•
•
The road to mastery is nvr easy, but you nvr know the feeling of successful if you nvr have it. In order to have it, we have to try more than once... maybe a thousand times. The result? A combination of happiness and satisfaction that nothing can replace ☺
•
•
•
For videos, follow this link:
https://goo.gl/tXqpGX
•
•
•
Like and follow me here:
facebook.com/wingsbelle •
•
•
WBB 💋
•
•
•
#beautyentrepreneur #lifestylefollower #wingsbeautybelle #wbb #youngentrepreneur #staypretty #stayyoung #stayhealthy #stayfabulous #beautiful #networkmarketing #marketing #MLM #ageloc #beauty #batambeauty #positivemindset #positivelife #positivevibe #millionaire #millionairemindset #neverevergiveup #wecandoit #pride #provethemwrong #mastery #ittakesmorethanonetrytobeamaster #keepongoing #failmoretobeamastersoon</t>
  </si>
  <si>
    <t>mlm</t>
  </si>
  <si>
    <t>positivelife</t>
  </si>
  <si>
    <t>millionaire</t>
  </si>
  <si>
    <t>staypretty</t>
  </si>
  <si>
    <t>grant_toitjie</t>
  </si>
  <si>
    <t>1590040144047312877_2197625418</t>
  </si>
  <si>
    <t>Screen installed ✔✔✔👏😎
#dreamchaser #vdubprogress #vw #vwpolo #instalike #instasexy #instagood  #instafollow #keepongoing</t>
  </si>
  <si>
    <t>vdubprogress</t>
  </si>
  <si>
    <t>vw</t>
  </si>
  <si>
    <t>melvin_foo</t>
  </si>
  <si>
    <t>1590042301822962043_1989124</t>
  </si>
  <si>
    <t>Road ahead will never smooth. Keep on paddling #keepongoing #cycling #blackandwhite</t>
  </si>
  <si>
    <t>ivansavic87</t>
  </si>
  <si>
    <t>1590048415064373346_368773559</t>
  </si>
  <si>
    <t>I see you 😉😆😆!!!!!!!#motivation #serbianguy #fitness #keepongoing #havefun💋 #youliveonce</t>
  </si>
  <si>
    <t>havefun💋</t>
  </si>
  <si>
    <t>youliveonce</t>
  </si>
  <si>
    <t>1590053177050019963_1456976711</t>
  </si>
  <si>
    <t>Kräftkalas! 🎉🦐</t>
  </si>
  <si>
    <t>Aggarön</t>
  </si>
  <si>
    <t>l_fdm</t>
  </si>
  <si>
    <t>1590059250334812550_187591998</t>
  </si>
  <si>
    <t>Alguien se coló en mi atardecer 🌅 #keepongoing #adriaticpearlwefoundyou #memories ✨</t>
  </si>
  <si>
    <t>adriaticpearlwefoundyou</t>
  </si>
  <si>
    <t>1590059653583162090_4678264587</t>
  </si>
  <si>
    <t>Run 1/2
#Freeletics #running #freeleticsangers #freeleticsecouflant #hippodrome #angers #ecouflant #freeathlete #freerunner #freeleticslifestyle #fit #fitness #fitnessmotivation #stayinshape #betterversionofyourself #keepongoing #trainingday #interval #run #noexcuses</t>
  </si>
  <si>
    <t>interval</t>
  </si>
  <si>
    <t>llauralinn</t>
  </si>
  <si>
    <t>1590064258702898538_4169312589</t>
  </si>
  <si>
    <t>Courage doesn't mean you are not afraid. Courage means you don't let fear stop you. The pain you feel today, will be the strength you feel tomorrow. #workout #inspiration #preparation #keepongoing #exercise #motivation #love #selflove #happysaturday</t>
  </si>
  <si>
    <t>Rede Bodytech de Academias</t>
  </si>
  <si>
    <t>preparation</t>
  </si>
  <si>
    <t>1590072451027307556_40740215</t>
  </si>
  <si>
    <t>Non-Scale Victory: I killed these bird dogs without falling on my face 👍 I've struggle in getting my balance back since having a baby but today I got it back! Anyone else achieve a non-scale victory today?!</t>
  </si>
  <si>
    <t>fitnessjunkie</t>
  </si>
  <si>
    <t>1590078596268085417_4678264587</t>
  </si>
  <si>
    <t>Run 2/2
Had a lot of (bad) calories intaken between yesterday evening and this afternoon.. so I did two runs instead of only one with the @freeleticsrunning app ✌🏻😬
Feel much much better now! 💪🏻 #Freeletics #running #freeleticsangers #freeleticsecouflant #hippodrome #angers #ecouflant #freeathlete #freerunner #freeleticslifestyle #fit #fitness #fitnessmotivation #stayinshape #betterversionofyourself #keepongoing #trainingday #interval #run #noexcuses</t>
  </si>
  <si>
    <t>1590078747515905431_4839607855</t>
  </si>
  <si>
    <t>238 km und 5.500 Hm... das ist der Ötztaler und alles andere als ein Kindergeburtstag... mach's gut liebe @katie.power1</t>
  </si>
  <si>
    <t>tritimewomenteam</t>
  </si>
  <si>
    <t>bikeday</t>
  </si>
  <si>
    <t>mountainfun</t>
  </si>
  <si>
    <t>1590080576836412332_4230484970</t>
  </si>
  <si>
    <t>Bycicle rides 🍑😍
@elhartista 📸</t>
  </si>
  <si>
    <t>1590084636670984857_5468355632</t>
  </si>
  <si>
    <t>Eeeeeerrrhggggh I didn't see it -🐠
-
-
-
#josh #tyler #jenna #twentyonepilots #bands #frens #laugh #myidols 
#loveyou #bestmusic #keepongoing #ibelieve #theyrethebest #funny #smile #tøpmemes #tøp #stayalive #inspiring  #beautifulpeople</t>
  </si>
  <si>
    <t>1590085433966318409_5468355632</t>
  </si>
  <si>
    <t>Sorry I haven't been so active I'm a little sick 🤧 Tyler is SO CUTEEEE also I'm going to try to make edits but I haven't really had time I'm going to try to make as many as possible though! =D -🐠
-
-
-
#josh #tyler #jenna #twentyonepilots #bands #frens #laugh #myidols 
#loveyou #bestmusic #keepongoing #ibelieve #theyrethebest #funny #smile #tøpmemes #tøp #stayalive #inspiring  #beautifulpeople</t>
  </si>
  <si>
    <t>1590087054938941962_5468355632</t>
  </si>
  <si>
    <t>I kind of want to live in the U.K. -🐠
-
-
-
#josh #tyler #jenna #twentyonepilots #bands #frens #laugh #myidols 
#loveyou #bestmusic #keepongoing #ibelieve #theyrethebest #funny #smile #tøpmemes #tøp #stayalive #inspiring  #beautifulpeople</t>
  </si>
  <si>
    <t>joonastaskinen</t>
  </si>
  <si>
    <t>1590088942374563929_2003041490</t>
  </si>
  <si>
    <t>If you want make yourself better, you have to work study and learn. Someday you will find your reward #studying #keepongoing #work #accountant #accountantlife #accounting #myfuture #reward #tired #buthappy</t>
  </si>
  <si>
    <t>neljänviikonpäästämuutenon</t>
  </si>
  <si>
    <t>buthappy</t>
  </si>
  <si>
    <t>accountant</t>
  </si>
  <si>
    <t>sfxlt</t>
  </si>
  <si>
    <t>1590089228845443166_1806588516</t>
  </si>
  <si>
    <t>Yes!!!! #helovesyou #youngchurch #buildbridgesnotwalls #jesuschangeseveything #graceontopofgrace #keepongoing #instagood</t>
  </si>
  <si>
    <t>St. Francis Xavier Catholic Community</t>
  </si>
  <si>
    <t>buildbridgesnotwalls</t>
  </si>
  <si>
    <t>graceontopofgrace</t>
  </si>
  <si>
    <t>jesuschangeseveything</t>
  </si>
  <si>
    <t>oil.and.steel</t>
  </si>
  <si>
    <t>1590106180259590540_1551000842</t>
  </si>
  <si>
    <t>RepostBy @millionaireimage: "#inthe first place. 
___________________________ 
#millionaireimage #doitforyourself #betteringmyself #beyourown #keeponkeepingon #workforwhatyouwant  #marketingtip #marketingsolutions #encourageyourself #bethechangeyouwanttosee #youvegotthis  #millionairedreams #inspirationalthoughts #positivepeople #americanbusiness #quoteme  #strategize #seemslegit #youdoyou #inspirationalpost #businessownership #businessisbusiness #keepongoing #quotes4you #bewhoyouare #goalsaf #bewhatyouwanttobe #socialinfluencers #socialize"</t>
  </si>
  <si>
    <t>1590124736046101491_4869035138</t>
  </si>
  <si>
    <t>Shhhhhhhhhhh 💯❌
Tap here 👉 @100xsuccess and follow 🔥
•
📷 @sj_nate</t>
  </si>
  <si>
    <t>Follow Us</t>
  </si>
  <si>
    <t>1590126352044136174_5468355632</t>
  </si>
  <si>
    <t>I'm actually proud of this -🐠
-
-
-
#josh #tyler #jenna #twentyonepilots #bands #frens #laugh #myidols 
#loveyou #bestmusic #keepongoing #ibelieve #theyrethebest #funny #smile #tøpmemes #tøp #stayalive #inspiring  #beautifulpeople</t>
  </si>
  <si>
    <t>1590130884283386994_5468355632</t>
  </si>
  <si>
    <t>Crappy edit :/ -🐠
-
-
-
#josh #tyler #jenna #twentyonepilots #bands #frens #laugh #myidols 
#loveyou #bestmusic #keepongoing #ibelieve #theyrethebest #funny #smile #tøpmemes #tøp #stayalive #inspiring  #beautifulpeople</t>
  </si>
  <si>
    <t>1590131071433119529_5468355632</t>
  </si>
  <si>
    <t>Saaaammmmeeee Mr pope -🐠
-
-
-
#josh #tyler #jenna #twentyonepilots #bands #frens #laugh #myidols 
#loveyou #bestmusic #keepongoing #ibelieve #theyrethebest #funny #smile #tøpmemes #tøp #stayalive #inspiring  #beautifulpeople</t>
  </si>
  <si>
    <t>1590131369757351809_5468355632</t>
  </si>
  <si>
    <t>I felt cute in this pic might delete later -🐠
-
-
-
#josh #tyler #jenna #twentyonepilots #bands #frens #laugh #myidols 
#loveyou #bestmusic #keepongoing #ibelieve #theyrethebest #funny #smile #tøpmemes #tøp #stayalive #inspiring  #beautifulpeople</t>
  </si>
  <si>
    <t>the.standard.life</t>
  </si>
  <si>
    <t>1590134090005615012_3001700902</t>
  </si>
  <si>
    <t>The only way to keep your balance 🙏🗝 #keepongoing #neverstophustling #hardworkworks #thestandardlife</t>
  </si>
  <si>
    <t>neverstophustling</t>
  </si>
  <si>
    <t>hardworkworks</t>
  </si>
  <si>
    <t>thestandardlife</t>
  </si>
  <si>
    <t>1590138006864852880_3965939619</t>
  </si>
  <si>
    <t>Perfect taste💕 #bbg #bbg1 #bikinibodyguide #bikinibody #tasty #delicious #cleaneating #weightloss #weightlossjourney #keepongoing #icandoit #kaylayarmy #kaylaitsinesbikinibodyguide  #kaylaitsines #workout #liss #run #running #asics #nike #yumyum #bbgsisters #bbgcommunity #salad #tomatoes #zucchini #bestever</t>
  </si>
  <si>
    <t>bbg1</t>
  </si>
  <si>
    <t>yumyum</t>
  </si>
  <si>
    <t>maraike_biglmaier</t>
  </si>
  <si>
    <t>1590153289423857492_633648646</t>
  </si>
  <si>
    <t>Amazing atmosphere here in the night-session in Saarlouis! We won the German Championships in mixed doubles 😊🇩🇪Danke Beni 💪🍻tomorrow semis in the 15k ITF, and after that the final of doubles of the German Championships! Auf gehtsssss @laura.kemkes @kp_beach 💪💪😁 @deutscher_tennis_bund @b4tpro #deutschermeister #champions #winner #aufgehts #deutschland #germany #saarlouis #saarland #beach #in #the #city #beachlife #amazing #athmosphere #goodvibes #nightsession #comeon #schland #🥇 #sports #beachtennis #best #sport #ever #keepongoing #💪</t>
  </si>
  <si>
    <t>Saarlouis Kleiner Markt</t>
  </si>
  <si>
    <t>the</t>
  </si>
  <si>
    <t>aufgehts</t>
  </si>
  <si>
    <t>in</t>
  </si>
  <si>
    <t>athmosphere</t>
  </si>
  <si>
    <t>khriscastillo</t>
  </si>
  <si>
    <t>1590155128869126064_232336573</t>
  </si>
  <si>
    <t>#repost #bekind #stayhumble #workhard #praydaily #smile #slay #dailygrind #dailyinspiration #loveoften #spreadjoy #keepongoing #traveloften #happiness #strong #strength #strongwomen #singlemom #bossbabe</t>
  </si>
  <si>
    <t>wndrwmn2</t>
  </si>
  <si>
    <t>1590161887764784568_46546141</t>
  </si>
  <si>
    <t>Just guess which one is my spirit animal currently. (Hint: it cannot fly) #idontlikebirdsanyway #keepongoing #ugggggh</t>
  </si>
  <si>
    <t>ugggggh</t>
  </si>
  <si>
    <t>idontlikebirdsanyway</t>
  </si>
  <si>
    <t>slsara39</t>
  </si>
  <si>
    <t>1590168656522896125_465250014</t>
  </si>
  <si>
    <t>终于可以下班回家了。感觉能现在冬眠 睡一季 补觉补体力 🙈😴生命中最重要的是过程而非结果。若不尝试着做些能力之外的事，你就永远不会成长。#keepongoing #在路上 #vsco #vscocam #nyig #hkig #sgig #lookforward #pushforward #weekendvibes #blessed #summer</t>
  </si>
  <si>
    <t>在路上</t>
  </si>
  <si>
    <t>pushforward</t>
  </si>
  <si>
    <t>lanjaink</t>
  </si>
  <si>
    <t>1590188015779023109_1759479656</t>
  </si>
  <si>
    <t>#finished my first #urbanchallenge in #hamburg today and it was simply #awesome 
Will do it #again next year!
#finisher #urbanchallengehamburg #medal #medaille #läuferin #runner #runninggirl #greatday #laufen #super #instarun #further #pushyourlimits #saturdays #weekend #spendyourweekendright #keepongoing #sports</t>
  </si>
  <si>
    <t>Hamburg, Germany</t>
  </si>
  <si>
    <t>further</t>
  </si>
  <si>
    <t>hamburg</t>
  </si>
  <si>
    <t>finisher</t>
  </si>
  <si>
    <t>mx_rtg23</t>
  </si>
  <si>
    <t>1590189066049329035_251588167</t>
  </si>
  <si>
    <t>Build the wall!!! 🇺🇸🇲🇽#savingmylife #transformation #transformationjourney #fatboy #nomorefat #fat #fattofit #obese #obesetobeast #mylife #nevergiveup #change #mexico #usa #mivida #loosingweight #mywightlossjourney #myjourney #happy #happylife #phoenix #exercise  #keepongoing</t>
  </si>
  <si>
    <t>fatboy</t>
  </si>
  <si>
    <t>usa</t>
  </si>
  <si>
    <t>lynette_foreverfit</t>
  </si>
  <si>
    <t>1590189314830857534_1489499</t>
  </si>
  <si>
    <t>Sorry about the half naked photo but... This is my 1 year progress photo of consistently working on growing my booty to where I want it to be. 🍑🍑 #neverstop #keepongoing
#neversatisfied #bootie 
#girlsthatlift #girlswithmuscle #discipline</t>
  </si>
  <si>
    <t>girlsthatlift</t>
  </si>
  <si>
    <t>discipline</t>
  </si>
  <si>
    <t>1590191901532497117_429150387</t>
  </si>
  <si>
    <t>Had such an awesome day with Adrian, Lilly and family. A great day of catching up, lots of laughs and lots of yummy food and yes Adrian and Lilly I did eat alot but now I'm wishing for more lol 
It's been #Goodtimes and #Yummytimes indeed 👍 😊
#Blessed #Thankful #Friends #Joy #Love #Londoner #Langley #Slough #DayAway #YummyFood #LotsOfLaughs #CatchUp #KeepOnGoing #Weekend #Saturday #Family #CelebrateLife #EnjoyLife #Travel #Fun #ToMuchFun #InstaBlessed #InstaFriends #InstaJoy #GodIsGood</t>
  </si>
  <si>
    <t>instablessed</t>
  </si>
  <si>
    <t>instajoy</t>
  </si>
  <si>
    <t>1590191970461874447_5773560131</t>
  </si>
  <si>
    <t>Sweetheart 😎😚</t>
  </si>
  <si>
    <t>neverenough</t>
  </si>
  <si>
    <t>polish</t>
  </si>
  <si>
    <t>smart</t>
  </si>
  <si>
    <t>1590204461601642340_5509071474</t>
  </si>
  <si>
    <t>Another weekend, another hike. Feels so good getting out and losing yourself in the woods. So many people were on the trails with their family's. I feel at home when I am amongst the trees. 
#weightloss #weightlossblog #weightlossjourney #weightlossmotivation #weightlosssupport #weightlosscommunity #weightlossdiary #weiggtlossjournal #weightlossprogress #workout #hike #nature #keepongoing #nevergiveup #yougotthis</t>
  </si>
  <si>
    <t>1590205360206222271_5509071474</t>
  </si>
  <si>
    <t>It's all worth it when you get to see sights like these at the top. 
#weightloss #weightlossblog #weightlossjourney #weightlossmotivation #weightlosssupport #weightlosscommunity #weightlossdiary #weiggtlossjournal #weightlossprogress #workout #hike #nature #keepongoing #nevergiveup #yougotthis</t>
  </si>
  <si>
    <t>1590206430844184650_5509071474</t>
  </si>
  <si>
    <t>Found our way on another trail the led to a beautiful view. Soaking in the sun and fresh air ☀️ #weightloss #weightlossblog #weightlossjourney #weightlossmotivation #weightlosssupport #weightlosscommunity #weightlossdiary #weiggtlossjournal #weightlossprogress #workout #hike #nature #keepongoing #nevergiveup #yougotthis</t>
  </si>
  <si>
    <t>1590207312528767415_5509071474</t>
  </si>
  <si>
    <t>I'm a sucker for a winding path that you follow not knowing what to expect around the next bend, twist, or turn. 
#weightloss #weightlossblog #weightlossjourney #weightlossmotivation #weightlosssupport #weightlosscommunity #weightlossdiary #weiggtlossjournal #weightlossprogress #workout #hike #nature #keepongoing #nevergiveup #yougotthis</t>
  </si>
  <si>
    <t>1590210290467915124_5509071474</t>
  </si>
  <si>
    <t>Just because I'm not sure my friend wants to be part of this account (she doesn't know about it 😬). It's been so good to have someone to go on hikes with. Some other hikers were nice enough to take this picture for us. Weight loss together or with some else going through the same thing as you helps so much! 
#weightloss #weightlossblog #weightlossjourney #weightlossmotivation #weightlosssupport #weightlosscommunity #weightlossdiary #weiggtlossjournal #weightlossprogress #workout #hike #nature #keepongoing #nevergiveup #yougotthis</t>
  </si>
  <si>
    <t>carolynb23</t>
  </si>
  <si>
    <t>1590214735315839242_232433553</t>
  </si>
  <si>
    <t>Some days/weeks there are more uphills in life than down! #keepongoing but the up hills help you appreciate the downhills more!</t>
  </si>
  <si>
    <t>alvonjr</t>
  </si>
  <si>
    <t>1590218853434444380_320392709</t>
  </si>
  <si>
    <t>Today's performance, still back in action! Been a while since I pay anything 🙏
@yhkfa #keepongoing #kungfu #shaolinkungfu #wayofshaolin #shaolinlife #canberralife #canberrauniversity #dowhatyoulove #kickingass</t>
  </si>
  <si>
    <t>canberrauniversity</t>
  </si>
  <si>
    <t>wayofshaolin</t>
  </si>
  <si>
    <t>kickingass</t>
  </si>
  <si>
    <t>myfitboduk</t>
  </si>
  <si>
    <t>1590226145943655327_261472666</t>
  </si>
  <si>
    <t>My fit bod new clothes line for #fatherandsons#rayban#zeustattoo#greekgodsleeve#sundial#icarus#posiedon#gopasthesun#sword#mensanoincorporesano #carpediem #nearly18inchofbicep#hardworkpaysoff#myfitbod love it when someone asks are you on gear 😃💪#natural #trainyourassoff#compliment#neverstop#keepongoing#firefighter #personaltrainer #supportsmallbusiness#myfitbodsupplements#myfitbodpersonaltraining#haveanicedayeveryone #thankyou #attitudeforgratitude#haveanicedayeveryone#myfitbod</t>
  </si>
  <si>
    <t>posiedon</t>
  </si>
  <si>
    <t>greekgodsleeve</t>
  </si>
  <si>
    <t>zeustattoo</t>
  </si>
  <si>
    <t>myfitbod</t>
  </si>
  <si>
    <t>sword</t>
  </si>
  <si>
    <t>kay_pops</t>
  </si>
  <si>
    <t>1590233285590296790_332557231</t>
  </si>
  <si>
    <t>No matter how many times she was hurt and abused, she held strong to the weight on her back. Her strength is what keeps her moving...but not without the price of her mind and her heart for both are littered with scars.@al.fess #artnudephotography #nude #nudeartphotography #bnw #bnwphotography #artisticnude #naked #emotions #struggle #pain #betrayal #strong #strength #pts #depression #mentalhealth #keepongoing #yournotalone #youcan #youwill #youare</t>
  </si>
  <si>
    <t>nude</t>
  </si>
  <si>
    <t>artnudephotography</t>
  </si>
  <si>
    <t>derrickarthur21</t>
  </si>
  <si>
    <t>1590237746289694396_400424359</t>
  </si>
  <si>
    <t>8 years in New York City. Lots of ups and down but no giving up. I'm calling my shot and guaranteeing I'll hit it out of the park. All of your support a long the way has been the factor for me not hanging it up and trying something else. I moved here to be an actor and I'm a god damn talented actor who has acted opposite giants in the business. Thank you and God Bless.</t>
  </si>
  <si>
    <t>shootmyshot</t>
  </si>
  <si>
    <t>1590244663889979171_2715478190</t>
  </si>
  <si>
    <t>Getting swimming lessons from my old teenage friend who has swam the channel between England and France and got 6 miles off the channel crossing between Ireland and Scotland before his shoulder cut him short .. forever my inspiration from the teenage years and well beyond!💗💪😊xxxx#amazingfriends #swimming #swimtraining #swimming #swimminginspiration #hardcore #fittness #fittnessgirl #training #keepongoing#ocrtraining #obstaclecoursetraining #obstaclecourseracing #spartans</t>
  </si>
  <si>
    <t>obstaclecourseracing</t>
  </si>
  <si>
    <t>swimminginspiration</t>
  </si>
  <si>
    <t>little_yikez</t>
  </si>
  <si>
    <t>1590249134925136163_1364785436</t>
  </si>
  <si>
    <t>Fuck it time keeps going, so should I. All i got to do it keep on Swimming no matter what life throws at me #mood #sadboy #yikez #keepongoing #keeponswimming #sadquotes #lol</t>
  </si>
  <si>
    <t>sadboy</t>
  </si>
  <si>
    <t>sadquotes</t>
  </si>
  <si>
    <t>_m3l3ni3</t>
  </si>
  <si>
    <t>1590263403973128444_1496121238</t>
  </si>
  <si>
    <t>Thank you @roland_us for following me!! I feel I should make more music now...!!! #music #techno #followyourdreams #keepongoing #justthebeginning #W00t Also, changed my IG screen name. "Melenie" was taken, lol.</t>
  </si>
  <si>
    <t>justthebeginning</t>
  </si>
  <si>
    <t>w00t</t>
  </si>
  <si>
    <t>1590290646588221584_3622431891</t>
  </si>
  <si>
    <t>Albula Pass 🇨🇭 ⌘ 📸 by: @kitkat_ch
Follow @drone_feed for the best Drone Shots!
.
.
.
.
.
.
.
#travelgermany #paradise🌴 #travelrussia #paradiseonearth #skyporn #beachlovers #beachvibes #traveldeals #islandvibes #allthewayup #creativepreneur #meditative #life4life #travelrock #traveligram #vacationlife #viewfromabove #keepongoing #travelaccessories #travellernottourist</t>
  </si>
  <si>
    <t>viewfromabove</t>
  </si>
  <si>
    <t>beachvibes</t>
  </si>
  <si>
    <t>tinadarmadji</t>
  </si>
  <si>
    <t>1590296725091613480_487167771</t>
  </si>
  <si>
    <t>#playing #funday #happyme #playing #anewgame #with #mommy #skillful #trying #tokeep #calm #cutebaby #verypatient #loveit #keepongoing #happymorning #happyday #grateful</t>
  </si>
  <si>
    <t>happymorning</t>
  </si>
  <si>
    <t>tokeep</t>
  </si>
  <si>
    <t>funday</t>
  </si>
  <si>
    <t>verypatient</t>
  </si>
  <si>
    <t>getsekhonharry</t>
  </si>
  <si>
    <t>1590307311162496463_1570907128</t>
  </si>
  <si>
    <t>Success is a journey not destination. The doing is often more important than outcome. I am on new journey just finding my way. #travellingthroughtheworld #newmission #keepongoing #neverstopexploring #lifestyleblogger #neverquit #fightback #lovelifelivelife #motivation #menphysique #menfitness #health #instafitness #instahealth #instapic #makeitbig #livelifekingsize #doitwithsmile #doitwithstyle  #jeraiathlete #gymxathlete #benipardieu</t>
  </si>
  <si>
    <t>San Francisco, California</t>
  </si>
  <si>
    <t>makeitbig</t>
  </si>
  <si>
    <t>jeraiathlete</t>
  </si>
  <si>
    <t>fightback</t>
  </si>
  <si>
    <t>1590311944273891301_5705167414</t>
  </si>
  <si>
    <t>Steph can play soccer, and he's a proffesional, he even has his own soccer jersey ⚽  #ThetalentsofSteph
-
-
-
-
-
-
-
-
-
-
-
-
-
-
-
-
-
-
-
-
-
-
-
-
-
-
-
-
-
-
-
-
-
-
-
-
-
-
-
-
 #StephGonnaSteph #Mvp #SC30 #KT11 #DG23 #CURRYMVP #KEEPONGOING #NEVERGIVEUP #WCF #WEST #WESTERNCONFERENCEFINALS #CHAMPS #DUBSFORCHAMPS #DUBS #ALWAYSBELIEVEINGOD #STEPHENCURRY #Dubnation #NBA #2016CHAMPS #CHAMPIONS #LOCKIN #STEPH #SPLASH #SPLASHBROS  #like4like #like4follow #follow4follow</t>
  </si>
  <si>
    <t>thetalentsofsteph</t>
  </si>
  <si>
    <t>1590317585446253293_5468355632</t>
  </si>
  <si>
    <t>I want a piece of Ty's shirt!!!! Not fair -🐯 #josh #tyler #jenna #twentyonepilots #bands #frens #laugh #myidols #loveyou #bestmusic #keepongoing #ibelieve #theyrethebest #funny  #smile #tøpmemes #tøp #stayalive #inspiring #beautifulpeople</t>
  </si>
  <si>
    <t>1590318803245612293_5468355632</t>
  </si>
  <si>
    <t>OH NO SOMEONE HELP!!!! OH LOOK IT'S SUPER JISH HE CAME TO SAVE ME! -🐯 #josh #tyler #jenna #twentyonepilots #bands #frens #laugh #myidols #loveyou #bestmusic #keepongoing #ibelieve #theyrethebest #funny  #smile #tøpmemes #tøp #stayalive #inspiring #beautifulpeople</t>
  </si>
  <si>
    <t>a.namelesscat</t>
  </si>
  <si>
    <t>1590319208716503754_5597216916</t>
  </si>
  <si>
    <t>Just an update on my muscles. #motivationmonday #workoutmotivation #keepongoing #livelaughlove #work #hard #play #hard #life #love #workout</t>
  </si>
  <si>
    <t>1590319276455476968_5468355632</t>
  </si>
  <si>
    <t>Comment which is u -🐯
#josh #tyler #jenna #twentyonepilots #bands #frens #laugh #myidols #loveyou #bestmusic #keepongoing #ibelieve #theyrethebest #funny  #smile #tøpmemes #tøp #stayalive #inspiring #beautifulpeople</t>
  </si>
  <si>
    <t>__meaningful.quotes.__</t>
  </si>
  <si>
    <t>1590323707091135241_5943228984</t>
  </si>
  <si>
    <t>^-^^-^------ ; -^-^^-^^-^--^ "And I Kept Living, My Story Isnt Over Yet" ❤ Neither Is Your.. #options #keepongoing</t>
  </si>
  <si>
    <t>1590330590196819065_4230196596</t>
  </si>
  <si>
    <t>Solid abs @jess_carvaalho 👍</t>
  </si>
  <si>
    <t>1590331504596558079_3512203302</t>
  </si>
  <si>
    <t>In the middle of the valley 🏞 Lauterbrunnen, Switzerland. Photo by @elenakrizhevskaya
.
.
.
.
.
.
.
.
#traintravel #journeybegins #openmyworld #awesomeglobe #escapegame #backpackerslife #creativeentrepreneur #worldtravelguide #beachglass #keepitlit #keepongoing #travelingmodel #sunsetcliffs #traveltheglobe #mountaingirls #igers #paradisevalley #spiritualgangster #sunset_ig #hlobelletravels #adventurebuddies #travelog #skypainters #travelfreak #waycoolshots</t>
  </si>
  <si>
    <t>awesomeglobe</t>
  </si>
  <si>
    <t>openmyworld</t>
  </si>
  <si>
    <t>d_pumpz</t>
  </si>
  <si>
    <t>1590334396585247724_615890434</t>
  </si>
  <si>
    <t>(Dramatic woosh) life is a trip. #views #sunset #scenery #river #colors #love #420 #photography #horizon #deepthoughts #free #memories #caged #bird #necklace #moveon #inspiration #keepongoing</t>
  </si>
  <si>
    <t>scenery</t>
  </si>
  <si>
    <t>kwame.oppongleshaq</t>
  </si>
  <si>
    <t>1590336531612377372_1348148224</t>
  </si>
  <si>
    <t>#keepongoing 
#GyeNyame</t>
  </si>
  <si>
    <t>gyenyame</t>
  </si>
  <si>
    <t>1590339747402087246_5468355632</t>
  </si>
  <si>
    <t>I'm just experimenting here 🤔 -🐠
-
-
-
#josh #tyler #jenna #twentyonepilots #bands #frens #laugh #myidols 
#loveyou #bestmusic #keepongoing #ibelieve #theyrethebest #funny #smile #tøpmemes #tøp #stayalive #inspiring  #beautifulpeople</t>
  </si>
  <si>
    <t>1590340818342170770_5468355632</t>
  </si>
  <si>
    <t>;))) -🐠
-
-
-
#josh #tyler #jenna #twentyonepilots #bands #frens #laugh #myidols 
#loveyou #bestmusic #keepongoing #ibelieve #theyrethebest #funny #smile #tøpmemes #tøp #stayalive #inspiring  #beautifulpeople</t>
  </si>
  <si>
    <t>1590343299012982803_5468355632</t>
  </si>
  <si>
    <t>MY FIRST PHOTO EDIT DON'T JUDGE -🐯 #josh #tyler #jenna #twentyonepilots #bands #frens #laugh #myidols #loveyou #bestmusic #keepongoing #ibelieve #theyrethebest #funny  #smile #tøpmemes #tøp #stayalive #inspiring #beautifulpeople</t>
  </si>
  <si>
    <t>1590344230609824932_5468355632</t>
  </si>
  <si>
    <t>S t a y S t r o n g. L i v e o n. That is our original motto 💕✌🏼 -🐠
-
-
-
#josh #tyler #jenna #twentyonepilots #bands #frens #laugh #myidols 
#loveyou #bestmusic #keepongoing #ibelieve #theyrethebest #funny #smile #tøpmemes #tøp #stayalive #inspiring  #beautifulpeople</t>
  </si>
  <si>
    <t>1590349003668932638_5468355632</t>
  </si>
  <si>
    <t>Taco tyler :) 🌮 -🐠
-
-
-
#josh #tyler #jenna #twentyonepilots #bands #frens #laugh #myidols 
#loveyou #bestmusic #keepongoing #ibelieve #theyrethebest #funny #smile #tøpmemes #tøp #stayalive #inspiring  #beautifulpeople</t>
  </si>
  <si>
    <t>thislife.mylens</t>
  </si>
  <si>
    <t>1590351252965091283_5701220187</t>
  </si>
  <si>
    <t>Unstoppable. 
#keepongoing #instaquote #dailyquotes #beautaplin</t>
  </si>
  <si>
    <t>beautaplin</t>
  </si>
  <si>
    <t>1590352076499869554_5468355632</t>
  </si>
  <si>
    <t>I'M SO PROUD OF THIS GO ME -🐯 #josh #tyler #jenna #twentyonepilots #bands #frens #laugh #myidols #loveyou #bestmusic #keepongoing #ibelieve #theyrethebest #funny  #smile #tøpmemes #tøp #stayalive #inspiring #beautifulpeople</t>
  </si>
  <si>
    <t>1590352112663206255_5468355632</t>
  </si>
  <si>
    <t>We love you @jennaajoseph 🍩😇
///// ohmigod lion (🐯) on the phone and we are making soo many bad edits but we are so proud cuz we are amateurs ✌🏼😹 -🐠
-
-
-
#josh #tyler #jenna #twentyonepilots #bands #frens #laugh #myidols 
#loveyou #bestmusic #keepongoing #ibelieve #theyrethebest #funny #smile #tøpmemes #tøp #stayalive #inspiring  #beautifulpeople</t>
  </si>
  <si>
    <t>1590357460157700638_5468355632</t>
  </si>
  <si>
    <t>OMG guys we gained ten followers today! We are on a roll 🥐 (Ik that's a croissant) thank you guys so much our main goal is 200! 💕 thank you everyone again WOO -🐠
-
-
-
#josh #tyler #jenna #twentyonepilots #bands #frens #laugh #myidols 
#loveyou #bestmusic #keepongoing #ibelieve #theyrethebest #funny #smile #tøpmemes #tøp #stayalive #inspiring  #beautifulpeople</t>
  </si>
  <si>
    <t>1590359287875809951_5468355632</t>
  </si>
  <si>
    <t>OKAY BIG SHOUTOUT TO @meowburgersauce she's been with us from the beginning and she likes the majority of our stuff and comment tons, give her a follow she's SUPER sweet and she's just awesome all together 💙💙 💕 @meowburgersauce💕 💙@meowburgersauce 💙💓@meowburgersauce 💓 -🐠
-
-
-
#josh #tyler #jenna #twentyonepilots #bands #frens #laugh #myidols 
#loveyou #bestmusic #keepongoing #ibelieve #theyrethebest #funny #smile #tøpmemes #tøp #stayalive #inspiring  #beautifulpeople</t>
  </si>
  <si>
    <t>1590380839358984017_5468355632</t>
  </si>
  <si>
    <t>This. Is. The. Best. Meme. I have. And. Will. Ever. Make. And this is how I will end my day by saying goodnight with this blessed meme 🙏🏼 can we wake up to 180 follows? Your friendly neighbor hood fish ;) (ahhh so happy) -🐠 -
-
-
#josh #tyler #jenna #twentyonepilots #bands #frens #laugh #myidols 
#loveyou #bestmusic #keepongoing #ibelieve #theyrethebest #funny #smile #tøpmemes #tøp #stayalive #inspiring  #beautifulpeople</t>
  </si>
  <si>
    <t>1590383949501424659_279512262</t>
  </si>
  <si>
    <t>Доброе утро)
Вспомнились мне что-то посиделки на коленях у Достоевского. Повторить их я пока не могу, но вот найти в фотографиях на телефоне — запросто!
.
#loveinmoscow #vscogood #seemymoscow #moscowcity #moscowlife #mood #morning #picoftheday #keepcalm #keepongoing #keeponwalking #madrussians #daily #dreamers #abmlife #authentic #abmhappylife #citylife #cityscape #vsco #vibes #vscocam</t>
  </si>
  <si>
    <t>Даблби</t>
  </si>
  <si>
    <t>theradiantroseco</t>
  </si>
  <si>
    <t>1590385892790878812_190794135</t>
  </si>
  <si>
    <t>I love this so much! May we persist fighting the good fight. Fighting against anything and everything that belittles, undermines and overlooks all that we truly are. Keep on keeping on! 💃💃🏻💃🏼💃🏽💃🏽💃🏿
*
*
*
*
*
*
#repost @torridfashion #yaassss #despiteitall #womenpower #yeswecan #girlbosses #imeverywoman #womansworld #whorunstheworldgirls #cantstopwontstop #nevergivein #keepongoing #pushit #werk #grindharder #playharder #letsgo</t>
  </si>
  <si>
    <t>whorunstheworldgirls</t>
  </si>
  <si>
    <t>dsyaneu_</t>
  </si>
  <si>
    <t>1590390701870638104_4796656086</t>
  </si>
  <si>
    <t>Just keep on going!!
•
•
•
•
•
•
•
#handlettering #handlettered #handletteringfont #font #keepongoing #handletteringchallenge #handletteringideas #handletteringpractice #art #drawing #artwork #artgallery #vsco #blackandwhite #timesnewroman #font #handmadefont #drawing</t>
  </si>
  <si>
    <t>handlettered</t>
  </si>
  <si>
    <t>timesnewroman</t>
  </si>
  <si>
    <t>handletteringchallenge</t>
  </si>
  <si>
    <t>artgallery</t>
  </si>
  <si>
    <t>patricia_nacoud</t>
  </si>
  <si>
    <t>1590395153326212389_1413481149</t>
  </si>
  <si>
    <t>#chicago #independent #powermother #keepongoing</t>
  </si>
  <si>
    <t>powermother</t>
  </si>
  <si>
    <t>carieomsunshine</t>
  </si>
  <si>
    <t>1590405782750203674_1628663382</t>
  </si>
  <si>
    <t>#keepongoing #upandaround</t>
  </si>
  <si>
    <t>upandaround</t>
  </si>
  <si>
    <t>tmichalao</t>
  </si>
  <si>
    <t>1590409248369512091_1523694542</t>
  </si>
  <si>
    <t>#aboutlastnight #raver #vip #dancer #noneedtofilter #thenextmorning #batman #hairband #pilgrim #sorefeet #keepongoing #norestforme</t>
  </si>
  <si>
    <t>thenextmorning</t>
  </si>
  <si>
    <t>norestforme</t>
  </si>
  <si>
    <t>sorefeet</t>
  </si>
  <si>
    <t>batman</t>
  </si>
  <si>
    <t>_jaroschewski</t>
  </si>
  <si>
    <t>1590411444315179086_582003380</t>
  </si>
  <si>
    <t>... But when it rains anyway why not spend time in India, monsoon time #Ganesha #ganpata  #india #monsoon #instatravel #ontheroad #colors #rainydays #keepongoing</t>
  </si>
  <si>
    <t>ganesha</t>
  </si>
  <si>
    <t>monsoon</t>
  </si>
  <si>
    <t>1590414505215698543_1626261</t>
  </si>
  <si>
    <t>#determination #dontgiveup #nevergiveup #slowandsteady 
#reebok #reebokgear #lesmills #lesmillsgear #lesmillsapparel #reebokapparel #workout #bulking #fitness #fitnessmotivation #fitnessjourney #fitnesslife #keepongoing #keepingfit #slowandsteady #gym #gymmotivation #gymlife #asian #asianguy #asianman #guy #timeforchange #changeisnow #gymtime #gymboy #pump</t>
  </si>
  <si>
    <t>lesmillsapparel</t>
  </si>
  <si>
    <t>reebokapparel</t>
  </si>
  <si>
    <t>1590414824504253708_5468355632</t>
  </si>
  <si>
    <t>Stay Alive For Me -🐯
#josh #tyler #jenna #twentyonepilots #bands #frens #laugh #myidols #loveyou #bestmusic #keepongoing #ibelieve #theyrethebest #funny  #smile #tøpmemes #tøp #stayalive #inspiring #beautifulpeople</t>
  </si>
  <si>
    <t>1590429167269409301_2464483327</t>
  </si>
  <si>
    <t>Cheat meal! My god this was yum. But I couldn't eat it all. So worth it though. Haha! It cracks me up as my cheat meals used to be cheat days. But it was some kind of takeaway, chocolate, chips you name it. I would smash it back. It's amazing how much you change when eating clean. #keto #eatingclean #paleo #lovefood</t>
  </si>
  <si>
    <t>lovefood</t>
  </si>
  <si>
    <t>eatingclean</t>
  </si>
  <si>
    <t>stockholmbohemeofficial</t>
  </si>
  <si>
    <t>1590431275302648564_481361960</t>
  </si>
  <si>
    <t>Goodmorning - let's yoge 😊🙏 time to fill up the system with energy💕and Love ❤️and remember - diamonds are chunk of coals - and we did well under pressure 😉😍🙏#namaste #keepongoing #beliveinyourself #staytruetotheart #yogateacher #itsallyoga #yogalife #yogalove #lovewhatyoudo #stockholmbohemeofficial</t>
  </si>
  <si>
    <t>rachelda1vn</t>
  </si>
  <si>
    <t>1590435901183645416_180917512</t>
  </si>
  <si>
    <t>Shoulders ! Loving every moment of my transformation💪 #workout #hardwork #fitness #bouldershoulders #week6 #keepongoing #instafit</t>
  </si>
  <si>
    <t>week6</t>
  </si>
  <si>
    <t>bouldershoulders</t>
  </si>
  <si>
    <t>1590445417991034867_5705167414</t>
  </si>
  <si>
    <t>Told y'all he was gonna win  #Dubnation
-
-
-
-
-
-
-
-
-
-
-
-
-
-
-
-
-
-
-
-
-
-
-
-
-
-
-
-
-
-
-
-
-
-
-
-
-
-
-
-
 #StephGonnaSteph #Mvp #SC30 #KT11 #DG23 #CURRYMVP #KEEPONGOING #NEVERGIVEUP #WCF #WEST #WESTERNCONFERENCEFINALS #CHAMPS #DUBSFORCHAMPS #DUBS #ALWAYSBELIEVEINGOD #STEPHENCURRY #EVEN #NBA #2016CHAMPS #CHAMPIONS #LOCKIN #STEPH #SPLASH #SPLASHBROS  #like4like #like4follow #follow4follow</t>
  </si>
  <si>
    <t>sari_silvan</t>
  </si>
  <si>
    <t>1590450903143802084_719845470</t>
  </si>
  <si>
    <t>Taas kävellen töihin Herttoniemenrannasta Meilahteen #hyväfiilis #työmatkakävely#kävelyllä#10km #isoisänsilta#kalasatama#bridge#nature#sky#walking#keepongoing#motivation#jaksaajaksaa#kuntoilu#goodfeeling#myhelsinki</t>
  </si>
  <si>
    <t>kuntoilu</t>
  </si>
  <si>
    <t>hyväfiilis</t>
  </si>
  <si>
    <t>isoisänsilta</t>
  </si>
  <si>
    <t>1590458578300108865_3124360503</t>
  </si>
  <si>
    <t>Not my day 🤔@ 10k ruhrauenlauf: started fast but had to slow down after 4K. Nothing left in the tank. 🙄So it was a little faster tempo run in the end. To tired, to hot, to close to Thursday's targorun? Maybe a bit of everything. #ausdauerschulebybunert #runsmart #nexttimefastagain #nikerunning #ruhrauenlauf #vaporfly #everydayisgameday #eveycompetitionistraining #running #instarunner #compressport #keepongoing</t>
  </si>
  <si>
    <t>Mülheim an der Ruhr</t>
  </si>
  <si>
    <t>ruhrauenlauf</t>
  </si>
  <si>
    <t>eveycompetitionistraining</t>
  </si>
  <si>
    <t>everydayisgameday</t>
  </si>
  <si>
    <t>nexttimefastagain</t>
  </si>
  <si>
    <t>baconrus76</t>
  </si>
  <si>
    <t>1590469584926154516_1482174715</t>
  </si>
  <si>
    <t>It may be a rough and bumpy road. But one day it'll get me to where I need to be. #firelanes #youbet #noplaceidratherbe #Wisconsin #peaceful #perfect #keepongoing #alrightalrightalright</t>
  </si>
  <si>
    <t>firelanes</t>
  </si>
  <si>
    <t>youbet</t>
  </si>
  <si>
    <t>alrightalrightalright</t>
  </si>
  <si>
    <t>noplaceidratherbe</t>
  </si>
  <si>
    <t>insane_sanity.xo</t>
  </si>
  <si>
    <t>1590469732859795593_5439440820</t>
  </si>
  <si>
    <t>Woke up in a positive mindset for the first time in months 🙃 time to get productive. #positivequotes #positivevibes #feelinghappy #positivemindset #namaste #endthestigma #mentalhealthwarrior #mentalhealthblogger #mentalhealthawareness #mentalillness #meditation #bpd #borderlinepersonalitydisorder #anxiety #anxietyhelp #anxietyquotes #fuckanxiety #positivity #depression #fuckdepression #staystrong #carryon #keepongoing #goodday #today #productivity</t>
  </si>
  <si>
    <t>anxietyquotes</t>
  </si>
  <si>
    <t>endthestigma</t>
  </si>
  <si>
    <t>bpd</t>
  </si>
  <si>
    <t>1590471191569865023_2164432158</t>
  </si>
  <si>
    <t>Havasu Falls, Arizona, photo by @everchanginghorizon
Tag your friends 😍
.
.
.
.
.
.
.
.
#vsco #sunset #instatravels #mytraveldiary #traveltime #yogagirls #igers #travelgear #backpackingpr #travelcouple #skypainters #paradisevalley #traveladventure #energyboost #bestbeach #lifesabeach #travelmagazin #lifeistravel #sunsetting #keepongoing #beaching #yogaclass #paradisefound #live_planet #followers</t>
  </si>
  <si>
    <t>lifeistravel</t>
  </si>
  <si>
    <t>live_planet</t>
  </si>
  <si>
    <t>traveltime</t>
  </si>
  <si>
    <t>micaandersens</t>
  </si>
  <si>
    <t>1590478626913972813_5805725046</t>
  </si>
  <si>
    <t>Nothing like a Sunday afternoon with some live tunes and good friends in a good ole country pub, so nice to chill out after pushing so many comfort zones lately. Recommitting to the journey today as every day, keeping in going, speaking my truth, living with Love, what else can you do ?! Let's keep stepping up every day! Bring on Monday morning! Let's go! ❤️crowded house vibes ❤️❤️woohoo 🎉💥🙏 #sundayvibes #lifebalance #sayyes #loveyourself #loveyourlife #livingeveryminute #livemusic #chill #keepongoing #regroup #lovingeveryminute #celebratinglife #movingforward #chillax #speakyourtruth</t>
  </si>
  <si>
    <t>chill</t>
  </si>
  <si>
    <t>sundayvibes</t>
  </si>
  <si>
    <t>celebratinglife</t>
  </si>
  <si>
    <t>livingeveryminute</t>
  </si>
  <si>
    <t>cutie_lizzy</t>
  </si>
  <si>
    <t>1590482696446713957_267075377</t>
  </si>
  <si>
    <t>#energietanken #kapelle #naturelovers #nature #lebejedentagalswärsderletzte #liebedasleben🎀 #weiteratmen #dontstopbelieving #keepongoing</t>
  </si>
  <si>
    <t>Pöckau, Kärnten, Austria</t>
  </si>
  <si>
    <t>kapelle</t>
  </si>
  <si>
    <t>weiteratmen</t>
  </si>
  <si>
    <t>1590483684606252332_1822235880</t>
  </si>
  <si>
    <t>Follow @vision.book for awesome travel images. Gros Morne National Park, Newfoundland #Canada. Photo by @jakegrahamphoto
.
.
.
.
.
.
.
.
#skyporn #lifeissimple #wildernessculture #roadlesstraveled #creativeentrepreneur #addictedtotravel #keepongoing #foodandtravel #beachboy #fantastic_earth #followers #paradiseofminimal #lifebydesign #travelmorocco #indonesiatravel #crystalclearwater #travelmate #livefortoday #earthy #condenasttraveler #paradisecoast #photooftheday #getoutdoors #creativepreneur</t>
  </si>
  <si>
    <t>indonesiatravel</t>
  </si>
  <si>
    <t>lifeissimple</t>
  </si>
  <si>
    <t>livefortoday</t>
  </si>
  <si>
    <t>1590494420396935479_4678264587</t>
  </si>
  <si>
    <t>Morning running with @l.jordan_fit ! 💪🏻 #Freeletics #running #freeleticsangers #freeleticsecouflant #hippodrome #angers #ecouflant #freeathlete #freerunner #freeleticslifestyle #fit #fitness #fitnessmotivation #stayinshape #betterversionofyourself #keepongoing #trainingday #interval #run #noexcuses</t>
  </si>
  <si>
    <t>Jardin D'expression Parc De Pignerolle</t>
  </si>
  <si>
    <t>1590497203914057813_1523694542</t>
  </si>
  <si>
    <t>#sundaysareforcocktails #sydneylife #keepongoing #happytunes #goodvibesonly✌ #thatshowweroll #neverstopdancing #lifeofadventure #happiestgirl @cauliflower_hotel</t>
  </si>
  <si>
    <t>Cauliflower Hotel - The Forgotten Cask Rum Cocktail Bar</t>
  </si>
  <si>
    <t>thatshowweroll</t>
  </si>
  <si>
    <t>sundaysareforcocktails</t>
  </si>
  <si>
    <t>neverstopdancing</t>
  </si>
  <si>
    <t>vemiller90</t>
  </si>
  <si>
    <t>1590500433124783390_1485102730</t>
  </si>
  <si>
    <t>Sycamore, Illinois</t>
  </si>
  <si>
    <t>ire.ne.h</t>
  </si>
  <si>
    <t>1590501166600421329_180196086</t>
  </si>
  <si>
    <t>Liebe @frauhoelle, wochenlang habe ich die Entstehung des Buches #handletteringalphabete über deinen Feed und deine Stories verfolgt und freue mich jetzt riesig es endlich in Händen zu halten. Für andere ist es Yoga, für mich ist es, seit ich Frau Hölle gefunden habe, Lettering, das mir hilft, mich zu entspannen. Daher ist es an der Zeit, sich bei Tanja für Ihre Inspiration und ihre Liebe zum Detail zu bedanken. Das Buch ist wundervoll und steckt voller "höllischer" Liebe ❤️ .
.
#handletteringalphabete #frauhoelledasbuch #lettering #letterlove #brushlettering #tombow #brushpen #handlettering #love #proud #happysunday #letterart #letters #letteringpractice #keepongoing #lovewhatyoudo #beproud #congratulations</t>
  </si>
  <si>
    <t>congratulations</t>
  </si>
  <si>
    <t>beproud</t>
  </si>
  <si>
    <t>brushpen</t>
  </si>
  <si>
    <t>1590503011758099261_5909755832</t>
  </si>
  <si>
    <t>💜 #positivevibes #keepongoing #mentalhealthawareness #mentalhealthmatters #mentalhealthsupport #anxiety #depression #positivethoughts</t>
  </si>
  <si>
    <t>ninaleidenfrost</t>
  </si>
  <si>
    <t>1590506150590500680_144118630</t>
  </si>
  <si>
    <t>you're never to old to learn something new 🤘🏼😊 now I'm a scooter girl 🛵💃🏻
#scooter #learnsomethingnew #keepongoing #keepondreaming #indonesia #bali #canggu #lovelylife #gypsy #youngwildandfree #scootergirl #howmuchisthefish #behindthecow #mariailikeitloud #hpbaxxter #scooooooter</t>
  </si>
  <si>
    <t>Canggu Beach</t>
  </si>
  <si>
    <t>learnsomethingnew</t>
  </si>
  <si>
    <t>lovelylife</t>
  </si>
  <si>
    <t>canggu</t>
  </si>
  <si>
    <t>nastetti</t>
  </si>
  <si>
    <t>1590508830599432447_644159001</t>
  </si>
  <si>
    <t>" У Вас есть то, чего нет больше ни у кого, – Вы. Ваш голос, ваш ум, ваша история, ваше видение. Поэтому пишите, рисуйте, стройте, играйте, танцуйте, живите так, как можете лишь Вы. "
.
.
.
.
.
.
.
.
.
.
.
.
.
.
.
.
.
.
#inspiration #inspro #beauty #happiness #behappy #enjoy #staymotivated #motivateyourself #reachyourgoals #girl #blogging #lifestyleblogger #lifestyle #bliggerlife #justforfun #fashionlook #fashiongram #girl #moscow #instarussia #nyc #citylife #bigcitylife #f4f #like4like #vscorussia #vscolovers #amazingplaces #keepongoing</t>
  </si>
  <si>
    <t>Пассаж Кузнецкий мост</t>
  </si>
  <si>
    <t>moscow</t>
  </si>
  <si>
    <t>bliggerlife</t>
  </si>
  <si>
    <t>amazingplaces</t>
  </si>
  <si>
    <t>g_wanqian43</t>
  </si>
  <si>
    <t>1590513508500120673_2249360587</t>
  </si>
  <si>
    <t>You get nothing easily, unless you pay.
#qianlifeqianstyle#qiantkd 
#tb#taekwondo#mylife#taekwondolife#taekwondogirl#flexibility#stretching#keepongoing#waiting#yoursupport#almost#and#improvementneeded</t>
  </si>
  <si>
    <t>and</t>
  </si>
  <si>
    <t>almost</t>
  </si>
  <si>
    <t>yoursupport</t>
  </si>
  <si>
    <t>undermyshoes</t>
  </si>
  <si>
    <t>1590518990394905288_2092538756</t>
  </si>
  <si>
    <t>#theskyisblue #anotheramazingview #theskyisthelimit #keepongoing #dream #donstopbelieving #amazingthingshappen</t>
  </si>
  <si>
    <t>anotheramazingview</t>
  </si>
  <si>
    <t>donstopbelieving</t>
  </si>
  <si>
    <t>theskyisthelimit</t>
  </si>
  <si>
    <t>1590526754288438315_462344435</t>
  </si>
  <si>
    <t>But God has not given us a spirit of fear, but one of power, of ❤️love and of a sound mind. .
.
.
2 Timothy 1:7
.
.
.
Sunday blessings to everyone!
.
.
.
#icandoallthingsthroughchrist #christwhostrengthensme #faithingod #believe #happysunday #beblessed #courage #wisdom #livelifetothefull #seethegood #seethegoodineverything #believeyoucan #befearless #keeponmoving #keeponlearning #keepondoing #keepongoing #keeponbelieving #believeinyou #goodhabits #achieve #achieveyourgoals #believeinyourdream #believeinyourselfie #keepthefaith #neverstoplearning #positiveattitude #positivemindset #positiveminds #trustandbelieve</t>
  </si>
  <si>
    <t>beblessed</t>
  </si>
  <si>
    <t>1590533898194812083_297558307</t>
  </si>
  <si>
    <t>GM😁🌅Warriors🏹! Happy sunday Y'ALL!!! Every time we fall down, we stand up again but STRONGER💪🏻! #sundayvibes #fitmom #fitmama #fitgirl #fitness #fitnessaddict #runner #mamaenforma #mamacorriendo #gim #gimnasio #gym #gymgirl #gymlife #gymaddict #gymaholic #keeptrying #keepmoving #keepstrong #keepongoing #myanchor #mypassion #myhappyplace</t>
  </si>
  <si>
    <t>feegoon</t>
  </si>
  <si>
    <t>1590537629924775963_3478593598</t>
  </si>
  <si>
    <t>Goodmorning babes☕️
.
.
.
.
.
#feegoon#morning#inspiration#hardwork#hustle#hard#keepongoing#coffee#caffeine#yes#team#quote#work</t>
  </si>
  <si>
    <t>yes</t>
  </si>
  <si>
    <t>hard</t>
  </si>
  <si>
    <t>st4nerz</t>
  </si>
  <si>
    <t>1590539704686745780_222060200</t>
  </si>
  <si>
    <t>#buckosstag17 #nap #keepongoing #snoozy</t>
  </si>
  <si>
    <t>Revolution Call Lane</t>
  </si>
  <si>
    <t>snoozy</t>
  </si>
  <si>
    <t>nap</t>
  </si>
  <si>
    <t>buckosstag17</t>
  </si>
  <si>
    <t>akhil_dx_khan</t>
  </si>
  <si>
    <t>1590546447601060780_4019850368</t>
  </si>
  <si>
    <t>Government Medical College, Kozhikode</t>
  </si>
  <si>
    <t>1590549943569973899_5705167414</t>
  </si>
  <si>
    <t>Just needed to post this  #Dubnation
-
-
-
-
-
-
-
-
-
-
-
-
-
-
-
-
-
-
-
-
-
-
-
-
-
-
-
-
-
-
-
-
-
-
-
-
-
-
-
-
 #StephGonnaSteph #Mvp #SC30 #KT11 #DG23 #CURRYMVP #KEEPONGOING #NEVERGIVEUP #WCF #WEST #WESTERNCONFERENCEFINALS #CHAMPS #DUBSFORCHAMPS #DUBS #ALWAYSBELIEVEINGOD #STEPHENCURRY #EVEN #NBA #2016CHAMPS #CHAMPIONS #LOCKIN #STEPH #SPLASH #SPLASHBROS  #like4like #like4follow #follow4follow</t>
  </si>
  <si>
    <t>joel_maiden</t>
  </si>
  <si>
    <t>1590559481627807210_711897327</t>
  </si>
  <si>
    <t>#portfolio #compilationofwork #blvk #keepongoing #illustrator</t>
  </si>
  <si>
    <t>blvk</t>
  </si>
  <si>
    <t>illustrator</t>
  </si>
  <si>
    <t>compilationofwork</t>
  </si>
  <si>
    <t>portfolio</t>
  </si>
  <si>
    <t>francescompuppini</t>
  </si>
  <si>
    <t>1590560086353271602_3008777901</t>
  </si>
  <si>
    <t>Todo recto #day4 #caminoportugues #keepongoing</t>
  </si>
  <si>
    <t>day4</t>
  </si>
  <si>
    <t>caminoportugues</t>
  </si>
  <si>
    <t>1590562930301106880_1516203357</t>
  </si>
  <si>
    <t>Preguntas con miga: 
En cabina, programamos el FMS (Flight Management System) antes del vuelo. Pero en el caso que surja algún cambio durante la ruta, podríamos modificar estos datos. 
Una pregunta común viene a ser, por qué los aviones siguen trayectorias distintas de aproximación al aeropuerto para aterrizar o despegar? Despertando la curiosidad de buenos observadores en zonas cercanas a aeropuertos. El responsable es el viento, y la pista asignada tiene la componente de viento "de frente". Esta se utiliza para despegues y aterrizajes de forma indistinta. Es una ecuación perfecta para maniobras seguras y operaciones eficientes.
Reasonable questions:
Before each flight, we prepare the FMS (Flight Management System) on ground. Anyway, we are able to make changes if there's any along our route.
A popular question is why an airplane follows a different path for take-off or landing. It catches the eye and holds the attention of  observers by an airport area. The responsible is the wind direction. The runway in use has a headwind component. And it's used for take-off and landing interchangeably. The perfect equation for safe and efficient manoeuvres.
#listosparadespegue #fly #youcan #pilot #aircraft #vamos #tupuedes #move #keepongoing #beyou #bepositive #staypositive #smile #enjoy #workout #nolimits #flyadicted #flyholic #takeoff #landing #workhard #beready #change #staycool</t>
  </si>
  <si>
    <t>vamos</t>
  </si>
  <si>
    <t>home.of.sports</t>
  </si>
  <si>
    <t>1590566510659713504_1598215573</t>
  </si>
  <si>
    <t>It's like that. Leggo! #trialanderror #quote #ideas #newideas #challengeyourself #keepongoing 
Www.homeofsports.nl</t>
  </si>
  <si>
    <t>trialanderror</t>
  </si>
  <si>
    <t>ideas</t>
  </si>
  <si>
    <t>newideas</t>
  </si>
  <si>
    <t>1590567470249465248_279512262</t>
  </si>
  <si>
    <t>Медленно, но верно двигаюсь к цели в 49 книг за год. Это небольшая цифра, однако в последние четыре года она даётся мне все труднее. Книги все толще, все менее художественны или более сложны.
С экономикой ко мне не прирастало такое количество профессиональной литературы, с искусством же — хочется постичь все. Особенно историю искусств, а то никогда мне не избавится от чувства самозванца в искусствоведческой среде.
Но тут изучила вопрос обучения искусству и стала с ещё большим скепсисом относиться к тому, как учат этому в наших художественных вузах, если верить рассказам.
В общем, держитесь, господа художники!
.
#book #bookstagram #mood #morning #picoftheday #lifeex #livy #livestory #liveauthentic #livethedream #abmlife #admarginem #daily #vsco #vscocam #vibes #keepcalm #keepongoing #lifestyle</t>
  </si>
  <si>
    <t>Soul Kitchen Hostel in St Petersburg, Russia</t>
  </si>
  <si>
    <t>admarginem</t>
  </si>
  <si>
    <t>beautiful_and_homely</t>
  </si>
  <si>
    <t>1590570804344806567_606839464</t>
  </si>
  <si>
    <t>DIY and Bank Holidays are a tradition or maybe Make Hay While the Sun Shines 🌞 The roof is finally going on the summer house and over the 1930s garage so the existing can be removed as it's too low to get a car in and raised to the correct height 🚗 I'm visualising where my sewing machine and cutting table will go and some of my treasures that I have been gathering 😊 swipeleft for more pics #bankholidayweekend #DIY #summerhouse #summerhousebuild #sewingroom #abuilderslife #abuildershouseisneverfinished #makehaywhilethesunshines #keepongoing #mygarden #selfbuild #buildingrenovation #summer #thesunhasgothishaton #2k17 #swipeleft</t>
  </si>
  <si>
    <t>sewingroom</t>
  </si>
  <si>
    <t>buildingrenovation</t>
  </si>
  <si>
    <t>2k17</t>
  </si>
  <si>
    <t>thesunhasgothishaton</t>
  </si>
  <si>
    <t>1590574760714481655_5722990971</t>
  </si>
  <si>
    <t>Still growing, still full of dirt, someday I will bloom magnificently, keep on creating! #flower #watercolour #write #draw #paint #watercolor #flower #handlettering #lettering #study #nevergiveup #keepongoing #creative #happy #contended</t>
  </si>
  <si>
    <t>write</t>
  </si>
  <si>
    <t>contended</t>
  </si>
  <si>
    <t>1590590441531456948_146054261</t>
  </si>
  <si>
    <t>食左咁多野 又要#exercise #gym #gymnastics #TRX #keepfit #keepongoing</t>
  </si>
  <si>
    <t>trx</t>
  </si>
  <si>
    <t>gabrielmahiaa</t>
  </si>
  <si>
    <t>1590595192250939550_1356420080</t>
  </si>
  <si>
    <t>You can never conquer the mountain. You can only conquer yourself.” -James Whittaker
#keepon #keepongoing</t>
  </si>
  <si>
    <t>skolus</t>
  </si>
  <si>
    <t>1590595689862469976_3171662</t>
  </si>
  <si>
    <t>#makeup #makeuptime #makeuplife #sminke #norge #makeuplover #wannabe #workinprogress #amatørmua #amateurmua #anastasiabeverlyhills #hudabeauty #flawless #ktown #kristiansand #keepongoing #burgundy #hairfailure #fudgeshampoo #purplehair #loveitanyway #2am #mua #august2017</t>
  </si>
  <si>
    <t>Kristiansand, Norway</t>
  </si>
  <si>
    <t>2am</t>
  </si>
  <si>
    <t>hudabeauty</t>
  </si>
  <si>
    <t>mua</t>
  </si>
  <si>
    <t>makeuplife</t>
  </si>
  <si>
    <t>djmrbeckz</t>
  </si>
  <si>
    <t>1590596690909842774_283392794</t>
  </si>
  <si>
    <t>Never Lose your Purpose &amp; Vision in Life ✊🏾#sundaymotivation #dj #djlife #djlifestyle #lifeofdjmrbeckz #motivationalquotes #motivation #remeberwhyyoustarted #quotes #quotestoliveby #respectdj #keepongoing</t>
  </si>
  <si>
    <t>lifeofdjmrbeckz</t>
  </si>
  <si>
    <t>djlifestyle</t>
  </si>
  <si>
    <t>jayrodrigo</t>
  </si>
  <si>
    <t>1590598418408233488_49187535</t>
  </si>
  <si>
    <t>"Stay humble, stay grounded, remember what got you to that level and that's hard work"  #tbt #behumble #gohardorgohome #keepongoing #nevergiveup #hardworkpaysoff</t>
  </si>
  <si>
    <t>gohardorgohome</t>
  </si>
  <si>
    <t>christoskatsafados</t>
  </si>
  <si>
    <t>1590600456161623077_810682680</t>
  </si>
  <si>
    <t>Carry on and keep on walking 🚶🏼 🥃  #streetart</t>
  </si>
  <si>
    <t>Hotel d'Inghilterra Roma</t>
  </si>
  <si>
    <t>rome</t>
  </si>
  <si>
    <t>urbanart</t>
  </si>
  <si>
    <t>hayleighs_journey</t>
  </si>
  <si>
    <t>1590602445847069732_5944686895</t>
  </si>
  <si>
    <t>Can't get over the difference in my face. Never really notice it until you compare pictures #weightlosstransformation #weightlossjourney #weightloss #weightlossmotivation #keepongoing #weightlossbeforeandafter</t>
  </si>
  <si>
    <t>nathanmack.clark</t>
  </si>
  <si>
    <t>1590603834263071284_1405833398</t>
  </si>
  <si>
    <t>Really need to start doing this more often, didn't realise how relaxing and mind clearing it can be. #bikeride#dayout#keepongoing#happy#thoughtful#costa</t>
  </si>
  <si>
    <t>Costa Coffee</t>
  </si>
  <si>
    <t>thoughtful</t>
  </si>
  <si>
    <t>costa</t>
  </si>
  <si>
    <t>dayout</t>
  </si>
  <si>
    <t>1590608959928918883_231434</t>
  </si>
  <si>
    <t>• Litt av fredagens økt 🍑🏋🏼‍♀️ To deilige fri dager er blitt tilbringet ute 🌸☀️ Ønsker dere en riktig god søndag 💕• ______________________________________________
#nordicfitnessgirls #fitness #fitnessinspiration #grow #workharder #keepongoing #lovelifting girlswholift #aimn #reebok #sprekesprell #aktivejenter #aktivlivsstil #påveimotmålet #skyfitness #skyfitnessnorge #skyfitnessdrotningsvik @sky_fitness_drotningsvik</t>
  </si>
  <si>
    <t>sprekesprell</t>
  </si>
  <si>
    <t>skyfitnessnorge</t>
  </si>
  <si>
    <t>1590610757028790617_50373203</t>
  </si>
  <si>
    <t>《 TIME FOR A WORKOUT 》
Ok... plannen zijn iets gewijzigd vandaag. Trainen in Amsterdam bij @changinglifehub ging ik niet redden, volgend weekend nieuwe poging. Dus de gym in Deventer ingegaan. Outfit aangepast op het weer buiten 😎
#trainingday #workout #goals #workinprogress #enjoytheride #keepongoing #stayfocused #motivation #smile #sweat #nopainnogain #burnburnburn #pinguin #dontcare #gettingfit #doyoursquats #legday #auauauau #sun #sunshine #sunday #weekend #vitaminsun #personalbodyplan #pbp #ditismijnpbp #bye💋</t>
  </si>
  <si>
    <t>vitaminsun</t>
  </si>
  <si>
    <t>1590611797903526947_2899822841</t>
  </si>
  <si>
    <t>sabrinachel</t>
  </si>
  <si>
    <t>1590611798699029657_3591385903</t>
  </si>
  <si>
    <t>To keep fueling the dream #santorini #greece #instatravel #sunset #terrasse #view #sun #vacation #romantic #outoftheworld #instapicture #wanderlust #keepongoing #keepondreaming</t>
  </si>
  <si>
    <t>Santorini - Greece</t>
  </si>
  <si>
    <t>terrasse</t>
  </si>
  <si>
    <t>1590624684020468046_4249248273</t>
  </si>
  <si>
    <t>Throwback to One wobbly autobelay climb mid season last year - sometimes I climb when I'm not supposed to. This was more the case last year when my flares were much more present and I was fighting very hard to maintain any training at all. I keep this video on my phone as a reminder of when I shouldn't climb and how much I was struggling as I was competing last year. It's a reminder because I know how much further things have come. How hard I'm working to get around my health. How much grit I had to pull out of the bag. Thank god even my bad climbing sessions have never looked close to this this year :) happy Sunday all :) hope you're enjoying the sun where you are! @thisgirlcanclimbing  @ehlersdanlosuk @thecastleclimbingcentre #lookingback #lookingforward #training #competition #invisibleillness #ehlersdanlossyndrome #amputee #paraclimbing #thisgirlcan #thisgirlcanclimb #climber #climbing #climbing_is_my_passion #confidence #sundaymood #mentalgame #resilience #yesican #tryhard #struggle #motivation #muslim #hijab #journey #justdoit #keepongoing #tryhard #tryagain #faceyourfears #throwback</t>
  </si>
  <si>
    <t>1590630462884046235_5586814877</t>
  </si>
  <si>
    <t>Slimming World rocks because... when you're hungry, you can eat 🍴A &amp; B choice used for my toastie which means not a syn in sight 👀👌🏻 #fooddiary #slimmingworld #sw #slimmingworldfood #slimmingworldjourney #health #happiness #selfimprovement #bethebestyou #keepongoing #nomorestartingover</t>
  </si>
  <si>
    <t>mmvstc</t>
  </si>
  <si>
    <t>1590635780009839114_2163880117</t>
  </si>
  <si>
    <t>"Life is a journey, not a destination." - Ralph Waldo Emerson 
#keepongoing #quoteoflife #quoteoftheday #ralphwaldoemerson #lifequotes #inspiration #goldenhour</t>
  </si>
  <si>
    <t>quoteoflife</t>
  </si>
  <si>
    <t>goldenhour</t>
  </si>
  <si>
    <t>1590638344323606604_3622431891</t>
  </si>
  <si>
    <t>🚁 Photo by @zachallia
Follow @drone_feed for the best Drone Shots!
.
.
.
.
.
.
.
#travellernottourist #paradisehotelse #paradiseonearth #welivetoexplore #slowtravel #crystalclearwater #keepongoing #yogajournal #travelaccessories #paradisegarage #life4life #natgeotravelphoto #yogaclass #liveforyou #awesome_hotel #keepgrowing #choosejoy #traveltogether #thetravelwomen #travelpost</t>
  </si>
  <si>
    <t>taty_vilma</t>
  </si>
  <si>
    <t>1590641209604760755_233137379</t>
  </si>
  <si>
    <t>Ci sono due tipi di persone: quelli che sanno amare e persone che amano solo se stessi. Da quest'ultimi non aspettarti nulla, consapevoli della loro mediocrità proveranno a calpestarti nella speranza di innalzare il proprio EGO alle stelle. #lifeistooshort #neverstoptoshine #brushthedirtoffyourshoulder #choices #keepongoing #keepitreal #noregrets #happynessisachoice #memyselfandi #dontgiveup #anotherdayanotherjourney #ideservebetter #ideservemore #amalficoast #southofitaly #weekendvibes</t>
  </si>
  <si>
    <t>Positano</t>
  </si>
  <si>
    <t>southofitaly</t>
  </si>
  <si>
    <t>choices</t>
  </si>
  <si>
    <t>ideservebetter</t>
  </si>
  <si>
    <t>ancacheles</t>
  </si>
  <si>
    <t>1590641294101968275_4266875509</t>
  </si>
  <si>
    <t>#neverlookback#keepongoing ❗️✅💫</t>
  </si>
  <si>
    <t>San Remo Liguria</t>
  </si>
  <si>
    <t>sweetbabyheh1</t>
  </si>
  <si>
    <t>1590641609933056812_1911815678</t>
  </si>
  <si>
    <t>#survivors #keepongoing #godhasaplanforyou</t>
  </si>
  <si>
    <t>survivors</t>
  </si>
  <si>
    <t>godhasaplanforyou</t>
  </si>
  <si>
    <t>annaogunnusi</t>
  </si>
  <si>
    <t>1590645546313785021_2234892575</t>
  </si>
  <si>
    <t>Sometimes there is a lot going on and we get distracted, derailed...Always #stayfocused , remember why you started in the first place and what is your #goal ! #staydetermined #keepongoing #whatdoesnotkillyoumakesyoustronger #fitness #motivation #inspiration #personaltrainer #personaltraining #fitgirl #nlppractitioner #healthcoach #empowerment #empowermentcoach #fabin8weeks #FABin8</t>
  </si>
  <si>
    <t>healthcoach</t>
  </si>
  <si>
    <t>fabin8</t>
  </si>
  <si>
    <t>europeantour17</t>
  </si>
  <si>
    <t>1590651655853961701_5376299760</t>
  </si>
  <si>
    <t>#keepongoing #8monthtrip en el #ecuador del #europeantour #travellife #travellers #homeiswhereyouparkit #homeonweels #wildcamping</t>
  </si>
  <si>
    <t>Livadhja</t>
  </si>
  <si>
    <t>travellife</t>
  </si>
  <si>
    <t>homeiswhereyouparkit</t>
  </si>
  <si>
    <t>ecuador</t>
  </si>
  <si>
    <t>travellers</t>
  </si>
  <si>
    <t>connieshutt</t>
  </si>
  <si>
    <t>1590654334320129957_637721341</t>
  </si>
  <si>
    <t>Leeds festival #leeds #leedsfestival #2017 #friends #partay #drinks #glitter #simpsons #smiles #4days #annemarie #keepongoing #sunglasses  #sunny  #lovinglife</t>
  </si>
  <si>
    <t>leedsfestival</t>
  </si>
  <si>
    <t>partay</t>
  </si>
  <si>
    <t>simpsons</t>
  </si>
  <si>
    <t>blessedlady31</t>
  </si>
  <si>
    <t>1590656202631378372_1993244310</t>
  </si>
  <si>
    <t>Don't lose hope ❤
#hope #faith #love #dontlosehope #beencouraged #believe #Keepfaith #keepongoing but #rest #keepyourpeace #trustHisplan #followHislead #inspirationalquotes #motivationalwords #mentalhealth #mentalillness #mentalhealthawareness #spiritualquotes #Godlovesyou #shalom #staystrong</t>
  </si>
  <si>
    <t>sameska</t>
  </si>
  <si>
    <t>1590661646099226343_209336368</t>
  </si>
  <si>
    <t>And we are #roling #roling #roling #roling #inastyle #nature #whenyouhaveto #nofilter #reproduction #magic #keepongoing #flies</t>
  </si>
  <si>
    <t>whenyouhaveto</t>
  </si>
  <si>
    <t>flies</t>
  </si>
  <si>
    <t>zamiramli</t>
  </si>
  <si>
    <t>1590674111821032538_38380786</t>
  </si>
  <si>
    <t>One for the album..Selamat Pengantin Baru Peja! Semoga berbahagia ke anak cucu! #hiswedding #hisbride #selamatpengantinbaru #keepongoing #bajubatik</t>
  </si>
  <si>
    <t>Kampung Pengantin Kuala Lumpur</t>
  </si>
  <si>
    <t>hisbride</t>
  </si>
  <si>
    <t>bajubatik</t>
  </si>
  <si>
    <t>hiswedding</t>
  </si>
  <si>
    <t>selamatpengantinbaru</t>
  </si>
  <si>
    <t>1590674570426685114_1347015205</t>
  </si>
  <si>
    <t>Because it's all a Science, understanding the way your body works. S/O to @pretty_paola24 for tracking and teaching me the secrets!! #fit #food #body #bodybuilding #motivation #newme #300-230 #hustle #cantstopwontstop #newborn #follow4follow #Forlife #keepongoing #protein #noquit #gains #shopping #mealpreps #packonmuscle #cutting</t>
  </si>
  <si>
    <t>forlife</t>
  </si>
  <si>
    <t>wwcoach_sylvie</t>
  </si>
  <si>
    <t>1590676064076736597_4278179546</t>
  </si>
  <si>
    <t>Een bordje pure energie 👌🏼👌🏼👌🏼
#powerfood #avocado #hummus #chickpeas #tunafish #cucumber #delicious #energie #energyfood #healthyfat #omega3 #dontquit #keepongoing #everyday a new set #smartpoints 👌🏼 #goalsetting #looseweigth #nodiet #lifestyle ❤️</t>
  </si>
  <si>
    <t>looseweigth</t>
  </si>
  <si>
    <t>tunafish</t>
  </si>
  <si>
    <t>1590677952016893057_5413152670</t>
  </si>
  <si>
    <t>Strong, pure, and happy thoughts build up the body in vigor and grace.
.
The body is a delicate and plastic instrument, which responds readily to the thoughts by which it is impressed, and habits of thoughts will produce their own effects, good or bad, upon it. 😋
.
#sundayfunday</t>
  </si>
  <si>
    <t>associateecommerce</t>
  </si>
  <si>
    <t>smileyface</t>
  </si>
  <si>
    <t>1590687806718848687_1132606920</t>
  </si>
  <si>
    <t>Lets do our best to remember this!! #keepongoing #itiswell</t>
  </si>
  <si>
    <t>itiswell</t>
  </si>
  <si>
    <t>run2yoga.de</t>
  </si>
  <si>
    <t>1590692572489911138_2096463506</t>
  </si>
  <si>
    <t>Alles im Leben ist Veränderung. Während sich die Blüte entblättert, beginnt die Frucht zu Reifen. (H. Bräunlich)
********************************
#blumedeslebens #lebensblume #wandel #veränderung #trusttheprocess #keepongoing #yogawisdomoftheday #yoga #quote #sacredgeometry</t>
  </si>
  <si>
    <t>yogawisdomoftheday</t>
  </si>
  <si>
    <t>blumedeslebens</t>
  </si>
  <si>
    <t>sacredgeometry</t>
  </si>
  <si>
    <t>trusttheprocess</t>
  </si>
  <si>
    <t>1590694477836444690_1978775062</t>
  </si>
  <si>
    <t>Middagje in de ☀️ op de tacx! #wielrennen #workout #wielrenfiets #tacx #tacxigenius #sweat #burncalories #burnfat #shutuplegs #outsideisfree #outside #outdoor #stayfit #noexcuses #keepongoing #myasshurts #lifebehindbars #racefiets #speedbike #strava #stravacycling</t>
  </si>
  <si>
    <t>stravacycling</t>
  </si>
  <si>
    <t>sakurafeliciano</t>
  </si>
  <si>
    <t>1590695413601871098_177287141</t>
  </si>
  <si>
    <t>The best view comes after the hardest climb. Happy Anniversary, Mapùa Cardinal Singers! 🎼🎉 #mapuacardinalsingers7th #keepongoing</t>
  </si>
  <si>
    <t>mapuacardinalsingers7th</t>
  </si>
  <si>
    <t>dennis_hundacker</t>
  </si>
  <si>
    <t>1590702285447511339_3673308539</t>
  </si>
  <si>
    <t>Den Blick immer nach vorne richten!
#nevergiveup #neverquit #keepongoing #keepon #neverdie #beastmode #motivation #motivationalquotes #passion #fitspo #fitspiration #gohard #gohardorhome #calisthenics</t>
  </si>
  <si>
    <t>neverdie</t>
  </si>
  <si>
    <t>1590703582865054167_40740215</t>
  </si>
  <si>
    <t>Wanna burn out your legs and shoulders?! Try adding these 3 moves in your workout. Do each exercise for a minute with no rest in between and you will feel the burn 🔥</t>
  </si>
  <si>
    <t>igrunners</t>
  </si>
  <si>
    <t>maryd_barbell</t>
  </si>
  <si>
    <t>1590706128302530092_3115132128</t>
  </si>
  <si>
    <t>Last day at the 🌊 don't regret any of my cheat meals 😜feeling a little bloated. Back to my macros 💪🏽#keepongoing #wontstop #wings #fries #foodie</t>
  </si>
  <si>
    <t>lastday</t>
  </si>
  <si>
    <t>1590707521146940522_5509071474</t>
  </si>
  <si>
    <t>Gym workout complete. Working hard to reach my goals. Keep on pushing forward. Do this for you. You are worth it. You are enough. You are beautiful. 
#weightloss #weightlossblog #weightlossjourney #weightlossmotivation #weightlosssupport #weightlosscommunity #weightlossdiary #weiggtlossjournal #weightlossprogress #workout  #keepongoing #nevergiveup #yougotthis</t>
  </si>
  <si>
    <t>weiggtlossjournal</t>
  </si>
  <si>
    <t>1590707798121946281_5705167414</t>
  </si>
  <si>
    <t>Steph can also paint if you're looking for an artist 🎨  #ThetalentsofSteph
-
-
-
-
-
-
-
-
-
-
-
-
-
-
-
-
-
-
-
-
-
-
-
-
-
-
-
-
-
-
-
-
-
-
-
-
-
-
-
-
 #StephGonnaSteph #Mvp #SC30 #KT11 #DG23 #CURRYMVP #KEEPONGOING #NEVERGIVEUP #WCF #WEST #WESTERNCONFERENCEFINALS #CHAMPS #DUBSFORCHAMPS #DUBS #ALWAYSBELIEVEINGOD #STEPHENCURRY #Dubnation #NBA #2016CHAMPS #CHAMPIONS #LOCKIN #STEPH #SPLASH #SPLASHBROS  #like4like #like4follow #follow4follow</t>
  </si>
  <si>
    <t>ilias.koutsoupias</t>
  </si>
  <si>
    <t>1590708658450514434_2005385201</t>
  </si>
  <si>
    <t>Συνεχίζουμε! #keepongoing 🙏
Forza entella 🔵</t>
  </si>
  <si>
    <t>vera_wang18</t>
  </si>
  <si>
    <t>1590714705251802908_1400575798</t>
  </si>
  <si>
    <t>Playing on mi red chair!💪🏻🤸🏻‍♂️🙏🔥#sundayfun #livewell #poweryoga #yogaaddicted #keepongoing #yogababe #yogi #flex #torsions #calm #next #grateful #bending #happyyogabyvera</t>
  </si>
  <si>
    <t>happyyogabyvera</t>
  </si>
  <si>
    <t>flex</t>
  </si>
  <si>
    <t>next</t>
  </si>
  <si>
    <t>sundayfun</t>
  </si>
  <si>
    <t>1590715640112993776_429036895</t>
  </si>
  <si>
    <t>Life is about enjoying the moments of fun, making memories with love and cherish them with whole your heart. 
Memories are for a lifetime❤
#makingmemories #sharelove #daretoshare #bodylove #selflove #foodlover  #fitnessjourney #progress #fitness #fitdutchie #weightlifting #girlwholifts #fitfam #curves  #bodyandmind #gymlife #recovering #bootygrow #dedication #hardwork #keepongoing #strenght #grow #girlonamission #effort #girlpower</t>
  </si>
  <si>
    <t>makingmemories</t>
  </si>
  <si>
    <t>starlightquossion</t>
  </si>
  <si>
    <t>1590716009370445081_5944730818</t>
  </si>
  <si>
    <t>Keep on moving forward guys ! No one succeed without failing ! There’s still time and chance , so get up and fight ! You can do it !💪💪💪 P/s : sorry for my bad english 😂
#inspirationalquotes #inspiration #quotes #dontgiveup #keepongoing #youcandoit #liveyourdream #chaseyourdreams #love #family #friendship #motivationalquotes #motivation</t>
  </si>
  <si>
    <t>tarrynv</t>
  </si>
  <si>
    <t>1590717937735380247_21554931</t>
  </si>
  <si>
    <t>We can sometimes be soo hard on ourselves. Just trying is enough. Trying is progress and progress is moving forward! Be proud of how hard you're trying🌸 #motivation #inspiration #sundayvibes #selflove #progress #selflove #movingforward #keepongoing #fitfam #fitspo #muaythai #muaythaigirls #gym #healthylifestyle #foodprep #weightloss #weightlossjourney #getlean #eatclean #getlean17</t>
  </si>
  <si>
    <t>muaythai</t>
  </si>
  <si>
    <t>muaythaigirls</t>
  </si>
  <si>
    <t>sharon_sulong</t>
  </si>
  <si>
    <t>1590718489067412720_47743520</t>
  </si>
  <si>
    <t>見身邊既隊友咁勤力練結他
我都應該要再努力一點
作為第一首練的歌
就選當初剛學bass時，就想挑戰的Hysteria 吧
#basspractice #hysteria #muse #bass #bassguitar #oneofmyfavsongs #keepongoing</t>
  </si>
  <si>
    <t>hysteria</t>
  </si>
  <si>
    <t>basspractice</t>
  </si>
  <si>
    <t>bassguitar</t>
  </si>
  <si>
    <t>1590722453020357557_1100957329</t>
  </si>
  <si>
    <t>Groentjes, courgetteslierten en een stukje zalm...meer moet da nie zijn.. Lekker en gezond 😋
#healthydinner #dinner #healthy #vegetables #redpepper #champignons #onion #cherrytomatoes #courgette #salmon #spicy #sambal #sambaloelek #stillmotivated #keepithealthy #keepongoing #foodsofig #foodie #foodofinstagram #instafood</t>
  </si>
  <si>
    <t>sambaloelek</t>
  </si>
  <si>
    <t>onion</t>
  </si>
  <si>
    <t>19megs92</t>
  </si>
  <si>
    <t>1590729545764743813_1081844036</t>
  </si>
  <si>
    <t>❤✌🍾 #lovetolaugh #liveyourbestlife #lookafteryourself #behappy #bestrong #keepongoing</t>
  </si>
  <si>
    <t>lovetolaugh</t>
  </si>
  <si>
    <t>liveyourbestlife</t>
  </si>
  <si>
    <t>sofimg2311</t>
  </si>
  <si>
    <t>1590735780194698351_333093823</t>
  </si>
  <si>
    <t>Working hard for save lives 🙌🏼😍💓 #medstudent #medlife #happylife #medicine #sop #keepongoing #nevergiveup</t>
  </si>
  <si>
    <t>medstudent</t>
  </si>
  <si>
    <t>1590744654377188333_4678264587</t>
  </si>
  <si>
    <t>My @freeletics week.. 😬
When you see your training plan's a #hellweek, your emotions are all messed up like 😳😭😏🤕😓😁
But once it's over, you're so damn proud of what you did and can't wait for another one to come!! #Freeletics #bodyweight #freeleticsangers #freeleticsecouflant #hippodrome #angers #ecouflant #freeathlete #freeleticslifestyle #fit #fitness #fitnessmotivation #stayinshape #betterversionofyourself #keepongoing #trainingday #workout #noexcuses #hellweek 🔥🔥🔥 #day1</t>
  </si>
  <si>
    <t>day1</t>
  </si>
  <si>
    <t>dennis_at_berlin</t>
  </si>
  <si>
    <t>1590744708753015705_1488393444</t>
  </si>
  <si>
    <t>If it doesn't challlenge you, it's an unnecessary waste of time!! #workhardplayharder #work #study #architecture #berlin #keepongoing #motivation #menstyle #hardlife #sweetlife #fightforit #sonyalpha6000 #photographer #moviemakers #filmmaker #hairstyle #haircut #redhair</t>
  </si>
  <si>
    <t>Berlin, Deutschland</t>
  </si>
  <si>
    <t>menstyle</t>
  </si>
  <si>
    <t>billymerryman</t>
  </si>
  <si>
    <t>1590748771883477349_220595634</t>
  </si>
  <si>
    <t>Back at this in between breaks of a bigger project. Going to be vectoring 4 to 5 pieces for t-shirt art. #lich #tees #art #vectorart #wip #drawing #keepongoing</t>
  </si>
  <si>
    <t>vectorart</t>
  </si>
  <si>
    <t>maurica_gets_fit</t>
  </si>
  <si>
    <t>1590754740782637933_4635117040</t>
  </si>
  <si>
    <t>Enough said!!!
#transformationforlife #bodybuilding #lifechanging #lifechoices #livetolift #lifttolive #weights #keepongoing</t>
  </si>
  <si>
    <t>lifechanging</t>
  </si>
  <si>
    <t>transformationforlife</t>
  </si>
  <si>
    <t>1590766490512267827_203325600</t>
  </si>
  <si>
    <t>Nr. 5 van 2017 volbracht
Raid Of Valour
#12k #Running #ObstacleRunner #ObstacleRace #Zeebrugge #RaidOfValour #Belgium #Stampycer #KeepOnGoing #OCR #Medal #DiksmuideMoves #SportersBelevenMeer</t>
  </si>
  <si>
    <t>Raid Of Valour Obstacle Run</t>
  </si>
  <si>
    <t>obstaclerace</t>
  </si>
  <si>
    <t>zeebrugge</t>
  </si>
  <si>
    <t>1590769522229394842_1360876445</t>
  </si>
  <si>
    <t>100 days of inspiration_x000D_Day5- Muhammad Ali_x000D__x000D_Today, waiting for a friend, landed hands over this book._x000D_While I was reading, the quote 'A heart enlightened by love is more precious than all of the diamonds and gold in the world' _x000D_got engraved into my mind._x000D_Reading through, I got motivated at each and every line._x000D_
After fighting some of the fiercest bouts in boxing history, today Muhammad Ali faced the toughest foe- physical disability. _x000D_This book has inspired me throughout from how to fight battles physically and mentally to having love as quintessential in one's life._x000D__x000D_I aspire to fight my inner battles and stay optimistic under every situation. _x000D_Thank you @muhammadali and Hana Yasmeen Ali for writing this book ❤ ._x000D_._x000D_._x000D_._x000D_._x000D_._x000D_. 
#100daysofinspiration #muhammadali #hanayasmeenali #the soulofbutterfly #motivation #happiness #inspireeachother #booknerds #booklover #toughgetsgoing #fightyourbattles #staystrong #optimisticlife #loveislife #faceadversities #challengeyourself #writerscommunity #willpower #undeterred #letsdoit #keepongoing #inspiringstories</t>
  </si>
  <si>
    <t>optimisticlife</t>
  </si>
  <si>
    <t>muhammadali</t>
  </si>
  <si>
    <t>faceadversities</t>
  </si>
  <si>
    <t>loveislife</t>
  </si>
  <si>
    <t>fightyourbattles</t>
  </si>
  <si>
    <t>funaabefiko</t>
  </si>
  <si>
    <t>1590770219423463830_3752789287</t>
  </si>
  <si>
    <t>#keepongoing #keepongoing #keeponkeepingon 
You don't have limits. 
Happy Sunday From @funaabefiko</t>
  </si>
  <si>
    <t>Isaac John Street Ikeja Lagos Nigeria</t>
  </si>
  <si>
    <t>1590773038835450106_1684424176</t>
  </si>
  <si>
    <t>itsthatgood</t>
  </si>
  <si>
    <t>itsthatsimple</t>
  </si>
  <si>
    <t>litakira</t>
  </si>
  <si>
    <t>1590774254511661067_2154426960</t>
  </si>
  <si>
    <t>[ALBUM] 2 more guitars, yeah 🎸🎸
#litakira #record #recording #pointrougestudio #schedule #guitars #song #album #project #workinprogress #keepongoing #sunday #sundaygram #nomakeup #badhairday #sorrynotsorry #video</t>
  </si>
  <si>
    <t>sundaygram</t>
  </si>
  <si>
    <t>guitars</t>
  </si>
  <si>
    <t>pointrougestudio</t>
  </si>
  <si>
    <t>lightattheendofthetable</t>
  </si>
  <si>
    <t>1590775867247657003_5825533024</t>
  </si>
  <si>
    <t>Before pulling out of our driveway for church we realized our tire was flat. So, we unpacked the baby &amp; then someone close to me told me, " I can't tell a difference from you starving yourself, you should just eat healthy &amp; go to the gym." All of this negativity sent me spiraling down emotionally. I sanitized a blade, put it to my skin &amp; was ready to cut myself. I stopped because my baby was sleeping in the next room &amp; I thought what kind of example would I be setting for him? The truth is yes, right now I am considered not only FAT but technically speaking OBESE! I'm on day 10 of my 50 day challenge &amp; I wanted to just give up &amp; binge. But, come ON guys! It took me 8 flipping years to get this unhealthy! It's not gonna disappear after a  measly WEEK!😑 I'm praying that when I come out of this weak phase, I will not only be leaner &amp; physically stronger, but emotionally in control too. I hate myself for letting others invalid opinions get the best of me. I'm writing this to remind anyone who is feeling down because of what someone said or because they're having a bad day that they will remember good things take TIME! Be PATIENT with yourself &amp; focus on your EFFORTS not just your results! #bopo #loveyourself #selflove #dontgiveup #staystrong #positivevibes #bodypositive #bodypositivity #bestrong #tothebone #overcoming #lowselfesteem #healthylifestyle #keepongoing #bliss #journey #triumph #fatsickandnearlydead #plantbased #mothernature #utah #beutahful #farm #smalltown #nongmo #dontquit #fitness #sundaymorning #goodthingstaketime</t>
  </si>
  <si>
    <t>tothebone</t>
  </si>
  <si>
    <t>goodthingstaketime</t>
  </si>
  <si>
    <t>sundaymorning</t>
  </si>
  <si>
    <t>1590777160912736418_2053552003</t>
  </si>
  <si>
    <t>A test with 2 explosions today but also many 8's and still two times a 2th place Z1 😍 also some really nice comments from the judges 💪
.
.
.
.
#dressagerider #dressage #dressagehorse #kwpn #knhs #competing #competitor #proud #keepongoing #competiontime #sunnyday #sundays #sunnyweather #happyathelete #happyrider</t>
  </si>
  <si>
    <t>sunnyweather</t>
  </si>
  <si>
    <t>la_haine1927</t>
  </si>
  <si>
    <t>1590778279828546342_201173169</t>
  </si>
  <si>
    <t>$$$ •JUST KEEPIN ON• $$$
#graffitiart#wynwood#onthewall 
#keepongoing#restless#miami ?
#ciaone 🤞🏼</t>
  </si>
  <si>
    <t>graffitiart</t>
  </si>
  <si>
    <t>onthewall</t>
  </si>
  <si>
    <t>restless</t>
  </si>
  <si>
    <t>1590783319738260741_5586814877</t>
  </si>
  <si>
    <t>A little 🌈 on my plate tonight 😍 Cajun spiced chicken with roasted sweet potato and veg with some freshly grilled corn 🌽 Totally syn free and packed with speed food 👌🏻 #eattherainbow #dinnertime #cajunchicken #sweetpotato #roastedveg #grilledcorn #fooddiary #slimmingworld #sw #slimmingworldfood #slimmingworldjourney #health #happiness #selfimprovement #bethebestyou #keepongoing #nomorestartingover</t>
  </si>
  <si>
    <t>cajunchicken</t>
  </si>
  <si>
    <t>1590784315716147446_3171662</t>
  </si>
  <si>
    <t>#anastasiabeverlyhills #modernrenaissance #jaclynhillxmorphepalette #jaclynhill #champagnepop #morphelipstick #mophe #makeup #makeuptime #makeuplife #sminke #sminkedukke #norge #norway🇳🇴 #ktown #keepongoing #kristiansand #makeuplover #mua #wannabe #workinprogress #practicemakesperfect #øvelse #wannabemua</t>
  </si>
  <si>
    <t>anastasiabeverlyhills</t>
  </si>
  <si>
    <t>sminkedukke</t>
  </si>
  <si>
    <t>norge</t>
  </si>
  <si>
    <t>wannabemua</t>
  </si>
  <si>
    <t>1590793265262524781_224929186</t>
  </si>
  <si>
    <t>The left side; the side I fell over on. A few scratches but it still cleaned up very well! Thank you once again to my sponsors Howard Automotive and @365mx. And most of all, my family and friends for supporting me! Last night was a blast. /
/
#love #life #happy #art #quote #strength #music #inspirational #god #inspiration #inspired #smile #keepongoing #standup #fight #live #faith #photography #metal #rock #motivation #technology #mx #motocross #kawasaki #braap #monsterenergy #gopro #ride365 #365mx</t>
  </si>
  <si>
    <t>ride365</t>
  </si>
  <si>
    <t>1590794519141687849_5468355632</t>
  </si>
  <si>
    <t>HELLO GOOD MORNING, we have almost reached 180 thank you guys so much 😁 -🐠
-
-
-
#josh #tyler #jenna #twentyonepilots #bands #frens #laugh #myidols 
#loveyou #bestmusic #keepongoing #ibelieve #theyrethebest #funny #smile #tøpmemes #tøp #stayalive #inspiring  #beautifulpeople</t>
  </si>
  <si>
    <t>lisel_love</t>
  </si>
  <si>
    <t>1590804520157786668_241914532</t>
  </si>
  <si>
    <t>🙃 #behappy #goodlife #justsmile #keepongoing #happygirl #brownie #girly #sundayevening #youcandoit #weekend</t>
  </si>
  <si>
    <t>brownie</t>
  </si>
  <si>
    <t>1590806654470843273_3879735363</t>
  </si>
  <si>
    <t>I can now proudly say, that I have lost 10kg (22 pounds)! There is no going back! 💪 #ilost10kg #nowornever #healthierlife #nomakeup #nofilter #halfwaygoal #challengingmyself #vlcd #verylowcaloriediet #weightlosschallenge #justdoit #keepongoing #seeingresults #noexcusesjustresults #weightlosstransformation #weightlossjourney #jogging #weightedhulahoop #nutrilett #dieting #diet #weightlossspirit #weightlossmotivation #motivation #losingweight #tummyfat #seeyou2018 #kesäkuntoon2018 #fitby2018 #vaakakapina</t>
  </si>
  <si>
    <t>nutrilett</t>
  </si>
  <si>
    <t>kesäkuntoon2018</t>
  </si>
  <si>
    <t>dieting</t>
  </si>
  <si>
    <t>seeyou2018</t>
  </si>
  <si>
    <t>1590808291062195244_4678264587</t>
  </si>
  <si>
    <t>- 1:16 vs PB 👍🏻
🔥🔥🔥 #hellweek 🔥🔥🔥 #day1
I wish to no one a training w/ a #headache.. 🤕 It was awful!! 😖
There's still good points though : a new PB and I tested out the new #dynamicwarmup and #activecooldown ! 👍🏻 Good job for that @freeletics team ✌🏻 Some improvement on that would be to add like 5 seconds between the exercises (#activecooldown) to change the position 😬
#Freeletics #bodyweight #freeleticsangers #freeleticsecouflant #hippodrome #angers #ecouflant #freeathlete #freeleticslifestyle #fit #fitness #fitnessmotivation #stayinshape #betterversionofyourself #keepongoing #trainingday #workout #noexcuses</t>
  </si>
  <si>
    <t>bodyweight</t>
  </si>
  <si>
    <t>hellweek</t>
  </si>
  <si>
    <t>angers</t>
  </si>
  <si>
    <t>1590809460417577049_16545532</t>
  </si>
  <si>
    <t>Just Do It ✔️ #running #sport #nature #city #barcelona #views #sunday #weekend #instabest #instagood #instamood #instagramers #instadaily #pic #picoftheday #photooftheday #august #summer #keepongoing #keepitsimple</t>
  </si>
  <si>
    <t>Carretera de les Aigües</t>
  </si>
  <si>
    <t>1590811106162949495_429036895</t>
  </si>
  <si>
    <t>Made some comfort food to end this weekend with. Angusbeef burgers with oven baked fries. I love cooking and enjoying delicious food! Enjoy your evening!! ❤
#cooking #food #veggies #beef #burgers #fries #daretoshare #bodylove #selflove #foodlover  #fitnessjourney #progress #fitness #fitdutchie #weightlifting #girlwholifts #fitfam #curves  #bodyandmind #gymlife #recovering #bootygrow #dedication #hardwork #keepongoing #strenght #grow #girlonamission #effort #girlpower</t>
  </si>
  <si>
    <t>strenght</t>
  </si>
  <si>
    <t>g_sin__</t>
  </si>
  <si>
    <t>1590816440494231059_3944633497</t>
  </si>
  <si>
    <t>Courage doesn't mean you don't get afraid.. Courage means you don't let the fear stop you 👣 #keepongoing #thinkingofyou #getstrong #lovetobehere #inked #makeuplover #style #tb #saturdaynight #partytime #ladiesnight</t>
  </si>
  <si>
    <t>Nürnberg  Centrum</t>
  </si>
  <si>
    <t>partytime</t>
  </si>
  <si>
    <t>inked</t>
  </si>
  <si>
    <t>getstrong</t>
  </si>
  <si>
    <t>lovetobehere</t>
  </si>
  <si>
    <t>minty86minty</t>
  </si>
  <si>
    <t>1590818376735796965_2719587198</t>
  </si>
  <si>
    <t>Seriously this is me at the minute, feel as tho there isn't enough hours in a day to fit everything in.....!!! #earlymorning5amgetup #10hoursatwork #1hourrest #gymoclocksoonfollows #weallsharethesame24hrs #bestofboth #workandgymsidebyside #gottogainthosegainz #willenhallgym #keeppushing #theeasyway #keepongoing #needtoupmygame #ketodiet #timetoshine #timetobedifferent #differentisbetterthannormal #standout</t>
  </si>
  <si>
    <t>needtoupmygame</t>
  </si>
  <si>
    <t>gymoclocksoonfollows</t>
  </si>
  <si>
    <t>1hourrest</t>
  </si>
  <si>
    <t>workandgymsidebyside</t>
  </si>
  <si>
    <t>1590822505081474162_1611690820</t>
  </si>
  <si>
    <t>Late night Development ✌
#product #work #buissnes
#productive #productdesign #creative #savetime #entrepreneursofinstagram #entrepreneur #productivity #working #hustle  #hustler  #dream #nevergiveup #workspace #create #keepongoing #dreams #inspiration #inspiringpeople #sverige #graphicdesign #art #design #designer #artist #3dprint #sneakers #workshop</t>
  </si>
  <si>
    <t>workspace</t>
  </si>
  <si>
    <t>productivity</t>
  </si>
  <si>
    <t>1590823216050273270_40740215</t>
  </si>
  <si>
    <t>So I totally indulged in one of my favorite treats last night, Chips and salsa! And you know what I'm not beating myself up about it! I'm all about a BALANCED healthy lifestyle so if I indulge a few times I'm not going to get bent out of shape because I know I'll get right back on track. So if you want chips and salsa, have it! Just don't make it a 3 day binge 😜Who else indulged in one of their favs this weekend?!</t>
  </si>
  <si>
    <t>bbggirls</t>
  </si>
  <si>
    <t>timetogetfit</t>
  </si>
  <si>
    <t>squirrel_88</t>
  </si>
  <si>
    <t>1590828335248062239_2165363619</t>
  </si>
  <si>
    <t>#meandmyhorse #ilovemyhorse #turnier #horse #pferd #love #trust #keepongoing #alleranfangistschwer #dressurviereck #ridinginthesun</t>
  </si>
  <si>
    <t>alleranfangistschwer</t>
  </si>
  <si>
    <t>turnier</t>
  </si>
  <si>
    <t>1590828645895602968_2035134972</t>
  </si>
  <si>
    <t>Free yourself and let it go
#focus#terror#mindfuck#challenge#lifeisthehardesttraining#youcan#keepongoing#thereisareasonwhy#strength#power#angels#trust#faith#youcan#instalike#istagood</t>
  </si>
  <si>
    <t>terror</t>
  </si>
  <si>
    <t>lifeisthehardesttraining</t>
  </si>
  <si>
    <t>istagood</t>
  </si>
  <si>
    <t>1590829924931222764_2165363619</t>
  </si>
  <si>
    <t>#meandmyhorse #ilovemyhorse #turnier #horse #pferd #love #trust #keepongoing #alleranfangistschwer #dressurviereck #riding #dressur #ridinginthesun #team</t>
  </si>
  <si>
    <t>ridinginthesun</t>
  </si>
  <si>
    <t>katia_mataluna</t>
  </si>
  <si>
    <t>1590835210910771352_4188434754</t>
  </si>
  <si>
    <t>"Ca se fatica"
#gelateria #Marcianise  #centrocampania #italian #girl #madewithlove #lavoro #atwork #gelati #go #keepongoing #noterindas #diosteama #voyadelante #sigoorando #getwhatyouwant #siguesiendo #fuerte #graciasDios #siemprecontigo</t>
  </si>
  <si>
    <t>Centro Commerciale Campania</t>
  </si>
  <si>
    <t>diosteama</t>
  </si>
  <si>
    <t>fuerte</t>
  </si>
  <si>
    <t>madewithlove</t>
  </si>
  <si>
    <t>voyadelante</t>
  </si>
  <si>
    <t>noterindas</t>
  </si>
  <si>
    <t>1590835909237689278_1684424176</t>
  </si>
  <si>
    <t>1590836258413637220_1684424176</t>
  </si>
  <si>
    <t>1590837129721537580_1684424176</t>
  </si>
  <si>
    <t>96shell_perkins</t>
  </si>
  <si>
    <t>1590839045922865247_2032681587</t>
  </si>
  <si>
    <t>All my 7 babies in one picture 😍 
The only ones that keep me going strong 
#animals #pets #dogs #guineapig #rabbit #babies #offspring #summer #playtime #labrador #retriever #goldenlab #goldenretriever #labradorretriever #husky #siberianhusky #huskamute #malamute #alaskanmalamute #dutchrabbit #love #family #hope #keepongoing</t>
  </si>
  <si>
    <t>playtime</t>
  </si>
  <si>
    <t>huskamute</t>
  </si>
  <si>
    <t>dogs</t>
  </si>
  <si>
    <t>gimmeabeet_</t>
  </si>
  <si>
    <t>1590845942129770614_4402392121</t>
  </si>
  <si>
    <t>Change of scenery. 
#newyork #eatcleannomhard #keepongoing #sticktotheplan</t>
  </si>
  <si>
    <t>High Line Park - W 30th St</t>
  </si>
  <si>
    <t>eatcleannomhard</t>
  </si>
  <si>
    <t>jfldr</t>
  </si>
  <si>
    <t>1590846557544383631_366046239</t>
  </si>
  <si>
    <t>#keepongoing #segueojogo</t>
  </si>
  <si>
    <t>Amsterdam, Netherlands</t>
  </si>
  <si>
    <t>segueojogo</t>
  </si>
  <si>
    <t>suiteretreatnyc</t>
  </si>
  <si>
    <t>1590847755335670217_2283652406</t>
  </si>
  <si>
    <t>#keepfighting</t>
  </si>
  <si>
    <t>fighton</t>
  </si>
  <si>
    <t>livingthedream</t>
  </si>
  <si>
    <t>jeyespee_the_feb_guy</t>
  </si>
  <si>
    <t>1590847970428807821_4481956969</t>
  </si>
  <si>
    <t>#jsprecords #music #dubstep #surviva #remix #myremix #newtry #fusion #mashing #mashup #comingsoon #onprocess #dedication  #learning #keep #keepongoing
please like and support🙏</t>
  </si>
  <si>
    <t>mashing</t>
  </si>
  <si>
    <t>mashup</t>
  </si>
  <si>
    <t>fusion</t>
  </si>
  <si>
    <t>remix</t>
  </si>
  <si>
    <t>surviva</t>
  </si>
  <si>
    <t>pirrona</t>
  </si>
  <si>
    <t>1590851950730163925_274146626</t>
  </si>
  <si>
    <t>🌋💦 #feelingfree #piedimolli #keepongoing #summervibes</t>
  </si>
  <si>
    <t>piedimolli</t>
  </si>
  <si>
    <t>feelingfree</t>
  </si>
  <si>
    <t>1590860063160300949_412714784</t>
  </si>
  <si>
    <t>This was one of the reasons why i wanted to get leaner fitter and stronger. Friday was the wedding from my brother and i buyed this dress a size smaller than i was in March this year. So proud of myself 💕👌💪
I'm now seeing it as a motivation and i'm #keepongoing with my workouts and progress!
#loveyourself #staymotivated #fitmommy #strongnotskinny #strong #fit #fitfam #fitfamgermany #workout #training #stark #gibnieauf #motivation #heavylifting #getfit #getstrong #iifym #flexibledieting #macros #weightloss #transformation #progress #weightlosstransformation</t>
  </si>
  <si>
    <t>stark</t>
  </si>
  <si>
    <t>lejefalife</t>
  </si>
  <si>
    <t>1590864524575261761_1963077512</t>
  </si>
  <si>
    <t>Lejefalife#keepongoing#dreams#ambition#leadership#makeyourdreamscometrue#makeithappen#believeinyourself</t>
  </si>
  <si>
    <t>jocy._.220618</t>
  </si>
  <si>
    <t>1590869144987619862_5749614072</t>
  </si>
  <si>
    <t>Keep on smiling every day #insperational #keepongoing #smile</t>
  </si>
  <si>
    <t>insperational</t>
  </si>
  <si>
    <t>perevod4itsa1</t>
  </si>
  <si>
    <t>1590871066690308779_52159032</t>
  </si>
  <si>
    <t>Today, people no longer go out with a total look or ensemble taken straight from the runway. Customers mix and match between labels and between price points. The idea is to create something for yourself: what you want and how you want it. @Georgio Armani. #armani #fashion #beyourself #keepongoing #nevergiveup #trustyourself #believeinyourdreams 🇷🇺 Стиль - это не название бренда, и не скопированный образ с подиума. Стиль - это умение выражать себя, правильно расставляя акценты👌🏻 #мода #будьсобой #стиль #франция #шоппинг</t>
  </si>
  <si>
    <t>White Rabbit Restaurant&amp;Bar</t>
  </si>
  <si>
    <t>франция</t>
  </si>
  <si>
    <t>будьсобой</t>
  </si>
  <si>
    <t>believeinyourdreams</t>
  </si>
  <si>
    <t>anushka_db</t>
  </si>
  <si>
    <t>1590876132318852679_235076586</t>
  </si>
  <si>
    <t>Is it maybe a Libra thing? 🤔
#reallifestory
#woman 
#quote 
#goodpeople
#libra
#evilpeople
#makingdifference 
#beyourself 
#believeingood
#alwaystry
#dogood
#keepongoing
#lovepeace
#youcanmakeadifference</t>
  </si>
  <si>
    <t>alwaystry</t>
  </si>
  <si>
    <t>believeingood</t>
  </si>
  <si>
    <t>sarahmccain90</t>
  </si>
  <si>
    <t>1590876497609021239_5893741143</t>
  </si>
  <si>
    <t>Awesome chair print!#travelingtheworld #paris #love #cityoflove #keepongoing</t>
  </si>
  <si>
    <t>cityoflove</t>
  </si>
  <si>
    <t>travelingtheworld</t>
  </si>
  <si>
    <t>lizh03</t>
  </si>
  <si>
    <t>1590893828825877021_11982990</t>
  </si>
  <si>
    <t>Hardest one yet. Somehow I still made it home alive and did better than I did last time...15 days ago...must be why today was so hard #keepongoing #c210k</t>
  </si>
  <si>
    <t>c210k</t>
  </si>
  <si>
    <t>1590894765833815491_429150387</t>
  </si>
  <si>
    <t>Such a great evening here by Shakespeare's Globe. Enjoying a cool walk and the great views this Sunday evening 👍 #Goodtimes #LoveSundays #ShakespearesGlobe #SundayNight #LondonWalks #EnjoyLife #StPauls #Thames #RiverThames #Thankful #KeepOnGoing #Lights #Londoner #Bankside #London #LondonTown #LondonLife #LondonVibes #Joy #Love #LondonAtNight #LoveLondon</t>
  </si>
  <si>
    <t>londonwalks</t>
  </si>
  <si>
    <t>londonatnight</t>
  </si>
  <si>
    <t>sundaynight</t>
  </si>
  <si>
    <t>crisstalized</t>
  </si>
  <si>
    <t>1590895032230262754_47012868</t>
  </si>
  <si>
    <t>Even though there are days I wish i could change some things that have happened in the past, there's a reason the rear view mirror is so small and the windshield is so big, where your headed is that much more important then what you left behind.  #doingmeforme #itsmystorytotell #keepongoing #goals #crushingthem</t>
  </si>
  <si>
    <t>crushingthem</t>
  </si>
  <si>
    <t>itsmystorytotell</t>
  </si>
  <si>
    <t>doingmeforme</t>
  </si>
  <si>
    <t>1590900109704830808_5468355632</t>
  </si>
  <si>
    <t>Hayyy peeps this is the second edit I've made ever in my entire life so plz tell me wut ya think thx -🐯 #josh #tyler #jenna #twentyonepilots #bands #frens #laugh #myidols #loveyou #bestmusic #keepongoing #ibelieve #theyrethebest #funny  #smile #tøpmemes #tøp #stayalive #inspiring #beautifulpeople</t>
  </si>
  <si>
    <t>mecanicchic14</t>
  </si>
  <si>
    <t>1590907592460584927_536668452</t>
  </si>
  <si>
    <t>#sad #staystrong #keepongoing #dontgiveup #stayfocused #tryingtobestrong</t>
  </si>
  <si>
    <t>tryingtobestrong</t>
  </si>
  <si>
    <t>1590908105574389501_1684424176</t>
  </si>
  <si>
    <t>savvybusinesschick</t>
  </si>
  <si>
    <t>1590910337832457511_4025697497</t>
  </si>
  <si>
    <t>"Keep going... you never know where the road takes you"
Reposting @pouyanrfard:</t>
  </si>
  <si>
    <t>independentwomen</t>
  </si>
  <si>
    <t>buildanempire</t>
  </si>
  <si>
    <t>djdelicz_</t>
  </si>
  <si>
    <t>1590913716378697301_1458255167</t>
  </si>
  <si>
    <t>Had a Blast Playing at Maze Festival! 
See You All Upcomming Saturday at GIZMO! Playing The Closing!🎧😍🎉🎉🙌
#dj #delicz #booking #gizmo #nightlife #nightclub #live #life #love #music #techno #techhouse #classics #vinyl #follow4follow #keepongoing</t>
  </si>
  <si>
    <t>booking</t>
  </si>
  <si>
    <t>1590916983246775718_5773560131</t>
  </si>
  <si>
    <t>Meanwhile in Poland 😶</t>
  </si>
  <si>
    <t>1590921746013173518_429150387</t>
  </si>
  <si>
    <t>Oh my day's I just bumped into Angelica and now we are at the Swan bar and restaurant here at Shakespeare's Globe enjoying a late night of #Goodtimes and #Yummytimes 👍
#LoveSundays #ShakespearesGlobe #Bankside #Swan #SwanBar #SwanRestaurant #Londoner #SundayNight #Fun #Joy #EnjoyLife #Thames #London #Bankend #LondonTown #Weekend #Sunday #BankHoliday #Thankful #KeepOnGoing</t>
  </si>
  <si>
    <t>swanbar</t>
  </si>
  <si>
    <t>thatga.l</t>
  </si>
  <si>
    <t>1590925262273776332_1434834201</t>
  </si>
  <si>
    <t>🇪🇸❤️ #mood #keepongoing #spain</t>
  </si>
  <si>
    <t>1590926408888015046_1684424176</t>
  </si>
  <si>
    <t>sergiotarantini</t>
  </si>
  <si>
    <t>1590929009372496803_247861110</t>
  </si>
  <si>
    <t>Ci è Taranta lassala ballare ci è malinconia cacciala fore 
Taranta Night 20th edition
#ciballalapizzicanumoremai#cietarantalassalaballare#cièmalincuniacaccialafore#lanottedellataranta#2017#20thedition#talento#raphaelgualazzi#top#nicolettamanni#primaballerina#grazia#e#bellezza#questoèsalento#keepongoing#takeyourshoesoff</t>
  </si>
  <si>
    <t>La Notte della Taranta - pagina ufficiale</t>
  </si>
  <si>
    <t>questoèsalento</t>
  </si>
  <si>
    <t>nicolettamanni</t>
  </si>
  <si>
    <t>ciballalapizzicanumoremai</t>
  </si>
  <si>
    <t>takeiteasyvic</t>
  </si>
  <si>
    <t>1590929154671858045_2079716191</t>
  </si>
  <si>
    <t>Respect to my boy 👌👏💰#makeitrain #moneyfight #mcgregor #mayweathermcgregor #fighting #boxing #wehomies #letmetellyouaboutmybestfriend #bigchillen #ufc #dailylook #entertainment #whoknew #keepongoing #nextfight #peace</t>
  </si>
  <si>
    <t>mcgregor</t>
  </si>
  <si>
    <t>whoknew</t>
  </si>
  <si>
    <t>wehomies</t>
  </si>
  <si>
    <t>1590936824527557642_1684424176</t>
  </si>
  <si>
    <t>1590942418495999357_1684424176</t>
  </si>
  <si>
    <t>1590943142047044022_1684424176</t>
  </si>
  <si>
    <t>Cinco Ranch West, Katy, Texas</t>
  </si>
  <si>
    <t>1590945295955483912_5705167414</t>
  </si>
  <si>
    <t>Mood  #Dubnation
-
-
-
-
-
-
-
-
-
-
-
-
-
-
-
-
-
-
-
-
-
-
-
-
-
-
-
-
-
-
-
-
-
-
-
-
-
-
-
-
 #StephGonnaSteph #Mvp #SC30 #KT11 #DG23 #CURRYMVP #KEEPONGOING #NEVERGIVEUP #WCF #WEST #WESTERNCONFERENCEFINALS #CHAMPS #DUBSFORCHAMPS #DUBS #ALWAYSBELIEVEINGOD #STEPHENCURRY #EVEN #NBA #2016CHAMPS #CHAMPIONS #LOCKIN #STEPH #SPLASH #SPLASHBROS  #like4like #like4follow #follow4follow</t>
  </si>
  <si>
    <t>1590945451530611508_5509071474</t>
  </si>
  <si>
    <t>Spent my afternoon kayaking with my best friend. Way to go for upper body workout. Couldn't stop laughing putting them on the car and taking them off. Almost dropped them on us over 10 times. Makes great memories. 
#weightloss #weightlossblog #weightlossjourney #weightlossmotivation #weightlosssupport #weightlosscommunity #weightlossdiary #weiggtlossjournal #weightlossprogress #workout #kayaking #nature #keepongoing #nevergiveup #yougotthis</t>
  </si>
  <si>
    <t>kayaking</t>
  </si>
  <si>
    <t>1590946172296742253_5509071474</t>
  </si>
  <si>
    <t>Feeling so good out on the water. Great workout and great times. 
#weightloss #weightlossblog #weightlossjourney #weightlossmotivation #weightlosssupport #weightlosscommunity #weightlossdiary #weiggtlossjournal #weightlossprogress #workout #kayaking #nature #keepongoing #nevergiveup #yougotthis</t>
  </si>
  <si>
    <t>1590947242070510212_5509071474</t>
  </si>
  <si>
    <t>Some of the locals on my kayaking afternoon. 😂
#weightloss #weightlossblog #weightlossjourney #weightlossmotivation #weightlosssupport #weightlosscommunity #weightlossdiary #weiggtlossjournal #weightlossprogress #workout #kayaking #nature #keepongoing #nevergiveup #yougotthis</t>
  </si>
  <si>
    <t>1590948970224483440_5509071474</t>
  </si>
  <si>
    <t>A hearty dinner after a long week. So good. Cheat meal of the week but still done in a healthy way... kind of. Before and after I dug into it. So full. Think I need to walk it off. 
#weightloss #weightlossblog #weightlossjourney #weightlossmotivation #weightlosssupport #weightlosscommunity #weightlossdiary #weiggtlossjournal #weightlossprogress #cheatmeal #spaghetti #food #italianfood #homemadefood #keepongoing #nevergiveup #yougotthis</t>
  </si>
  <si>
    <t>blue_frog1</t>
  </si>
  <si>
    <t>1590949344516170859_1571182851</t>
  </si>
  <si>
    <t>This is what I tell myself almost every day: this isn't a dream, it's a reality so deal with it.You can do it if you try even if it's hard sometimes.. #girl#mirrow#selfie#words#for#myself#smiling#face#but#is#it#true#pinkfilter#pinktheme#addictedtopink#afterbath#goodnight#dealwithit#motivationquotes#motivation#for#keepongoing#lithuaniangirl#hipster#tumblrgirl#instamood#sad#photoofday#instadaily#summertime</t>
  </si>
  <si>
    <t>smiling</t>
  </si>
  <si>
    <t>photoofday</t>
  </si>
  <si>
    <t>is</t>
  </si>
  <si>
    <t>for</t>
  </si>
  <si>
    <t>prettyisrisky</t>
  </si>
  <si>
    <t>1590958097181285158_1509923943</t>
  </si>
  <si>
    <t>When you get a cute haircut but you can't enjoy it because of the pain. Also.... look at this HUGE bruise from my Humira Auto Injectable pen 😒
#chronicpain #chronicillness #awarenessiskey #happy #keepongoing #staystrong #staypositive #prettyisrisky #tired #methotrexatesucks #methotrexatehangover #nausea</t>
  </si>
  <si>
    <t>awarenessiskey</t>
  </si>
  <si>
    <t>methotrexatesucks</t>
  </si>
  <si>
    <t>lovinglifenow2</t>
  </si>
  <si>
    <t>1590962580539659801_232772576</t>
  </si>
  <si>
    <t>It all starts with small beginnings =) #motivation #keepongoing #Business #OnlineBusiness #Instalike #LovingLifeNow</t>
  </si>
  <si>
    <t>onlinebusiness</t>
  </si>
  <si>
    <t>lovinglifenow</t>
  </si>
  <si>
    <t>1590966761390255028_40740215</t>
  </si>
  <si>
    <t>Are you extremely busy but want to make health and fitness a priority?! I still have a few spots available in my busy and fit bootcamp that starts September 4th, registration closes soon so grab a spot while you still can! If your ready to commit to your health and fitness DM me or drop your email below👇</t>
  </si>
  <si>
    <t>workingforabs</t>
  </si>
  <si>
    <t>createhappiness</t>
  </si>
  <si>
    <t>fitnesstransformation</t>
  </si>
  <si>
    <t>aeo941_champlainmall</t>
  </si>
  <si>
    <t>1590969788165964988_1440120267</t>
  </si>
  <si>
    <t>Management team and leads enjoying some down time with the best team #aeowallofawesome #yayforallofus #keepongoing #aeotreats</t>
  </si>
  <si>
    <t>yayforallofus</t>
  </si>
  <si>
    <t>aeotreats</t>
  </si>
  <si>
    <t>aeowallofawesome</t>
  </si>
  <si>
    <t>ginacorren</t>
  </si>
  <si>
    <t>1590972827963931703_192556373</t>
  </si>
  <si>
    <t>Been losing hope lately, but then I look at this and laugh 😂💁🏻 #keepongoing</t>
  </si>
  <si>
    <t>1590974955809805192_3275305</t>
  </si>
  <si>
    <t>Don't kill people with kindness, because not everyone deserves your kindness.
Kill people with silence, because not everyone deserves your attention :)</t>
  </si>
  <si>
    <t>1590979892974175151_1774981442</t>
  </si>
  <si>
    <t>Never give up! #keepongoing #youcandoit #youvegotthis #yourethebest #neverstop #follow #followforlikes #follow4follow #followmeplease #followme #followforfollow #followfollowback #followtrain #followus #followusplease #followmeplease</t>
  </si>
  <si>
    <t>yourethebest</t>
  </si>
  <si>
    <t>tina_georgemani</t>
  </si>
  <si>
    <t>1590982188441079832_1793427412</t>
  </si>
  <si>
    <t>Monday morning run... Just finished... #ilovemorningruns #lovetobesweat #runninglovers #keeprunning #slowlybutprogressing #fitnessjourney #keepongoing #misimembuanglemakdegil #staypositive #stayfit #nevergiveup #borneofitmoms #lahaddatusabah</t>
  </si>
  <si>
    <t>ilovemorningruns</t>
  </si>
  <si>
    <t>keeprunning</t>
  </si>
  <si>
    <t>misimembuanglemakdegil</t>
  </si>
  <si>
    <t>slowlybutprogressing</t>
  </si>
  <si>
    <t>1590991107873664807_216089260</t>
  </si>
  <si>
    <t>Everything you will experience this week, both favorable and unfavorable will help you to grow. Embrace it
#
#divineorder #empoweringwomen #goals #growth #happy #inspiration #jamaicanlifecoach #lifecoach #lovemyjob #mindset #morethanenough #nofear #nicolewright #purpose #success #survivor #universe #nevertoolatetostartover #nevertoolatetobegin #standuptocancer #nevergiveup #keepongoing #believeinyourself #happy #lovemylife  #anthropologie #naturalhair #jamaicanlifecoach</t>
  </si>
  <si>
    <t>type_one_say_whaa</t>
  </si>
  <si>
    <t>1590993958153016421_5944308873</t>
  </si>
  <si>
    <t>Going on tow weeks can't wait till Friday  #almostdone #dbdontstopme #keepongoing #crazyforlove #dbstrong</t>
  </si>
  <si>
    <t>dbdontstopme</t>
  </si>
  <si>
    <t>dbstrong</t>
  </si>
  <si>
    <t>crazyforlove</t>
  </si>
  <si>
    <t>almostdone</t>
  </si>
  <si>
    <t>1590996708502065881_5468355632</t>
  </si>
  <si>
    <t>WHAT THIS GOT 200 LIKES WHATTTT WHAT WHAT AHHH THANKSS 🌮🌮 -🐠
-
-
-
#josh #tyler #jenna #twentyonepilots #bands #frens #laugh #myidols 
#loveyou #bestmusic #keepongoing #ibelieve #theyrethebest #funny #smile #tøpmemes #tøp #stayalive #inspiring  #beautifulpeople</t>
  </si>
  <si>
    <t>where.does.that.road.go</t>
  </si>
  <si>
    <t>1591001639257707124_5529160725</t>
  </si>
  <si>
    <t>sadly, this one was too hot! guessing it was about 115°... no river close enough to cool it off, and no buckets in sight... #keepongoing #cantwinthemall #theresmorehotspringsinthesea #hotsprings •
•
#thecloudcamper #wheredoesthatroadgo #fourwheelcampers #homeiswhereyouparkit #taketheroadlesstraveled #offthebeatenpath #onehorsetown #roadtrip #neverstopexploring  #homesweethome #truckcamper #campfree #vanlife #simplelife #naturalliving #hotsprings #hotsprings #geothermalspa #geothermal #hotspringlife #sendit  #hikenaked #takeahike</t>
  </si>
  <si>
    <t>North Fork River</t>
  </si>
  <si>
    <t>fourwheelcampers</t>
  </si>
  <si>
    <t>vanlife</t>
  </si>
  <si>
    <t>wheredoesthatroadgo</t>
  </si>
  <si>
    <t>theresmorehotspringsinthesea</t>
  </si>
  <si>
    <t>valuablemediagroup2002</t>
  </si>
  <si>
    <t>1591006900466724307_5063265054</t>
  </si>
  <si>
    <t>Perspective is the name of the game!
.
Thank you, @patsmithty, for posting this reminder today!
.
#perspective #viewpoint  #gamechanger #stay #stayfocused #dontgiveup #dontquit #keepongoing #victory #testimony</t>
  </si>
  <si>
    <t>viewpoint</t>
  </si>
  <si>
    <t>testimony</t>
  </si>
  <si>
    <t>andrsri77</t>
  </si>
  <si>
    <t>1591007920479529547_4077111361</t>
  </si>
  <si>
    <t>Keep on running #bnwmood #bnw_one #bnw_addicted #bnw_globe #bnwlife #bnw_rose #bnwphotography #bnw_captures #bnw_planet #bnw_of_our_world #bnwsouls #bnwphotograph #bnw_society #bnw_magazine #bnw_kings #running #runningcommunity #runningcouple #keepongoing</t>
  </si>
  <si>
    <t>bnw_rose</t>
  </si>
  <si>
    <t>bnwsouls</t>
  </si>
  <si>
    <t>bnwmood</t>
  </si>
  <si>
    <t>bnw_addicted</t>
  </si>
  <si>
    <t>runningcommunity</t>
  </si>
  <si>
    <t>1591022532068414137_5722990971</t>
  </si>
  <si>
    <t>I almost can't believe that this is a real flower 😂, i pinched its leave to make sure. Oh hopefully it's happy and keep on blooming #happy #keepongoing #nevergiveup #flower #daisy #lovely #pretty #nature #homesweethome</t>
  </si>
  <si>
    <t>1591027064903643837_462344435</t>
  </si>
  <si>
    <t>"It always seems impossible until it's done"- Nelson Mandela
.
.
.
Monday motivation!
.
.
.
Let's rock this Monday!
.
.
.
#Bepositive #positivemindset #livelifetothefull #seethegood #seethegoodineverything #believeyoucan #befearless #keeponmoving #keeponlearning #keepondoing #keepongoing #keeponbelieving #believeinyou #goodhabits #achieve #achieveyourdreams #achieveyourgoals #believeinyourdream #believeinyourselfie #keepthefaith #neverstoplearning #positiveattitude #positivemindset  #positiveminds #trustandbelieve #trustyourgut #yesyoucan #neverstoptrying #neverstopdoing #youcandoit</t>
  </si>
  <si>
    <t>1591030777221667851_1972606430</t>
  </si>
  <si>
    <t>Some people were born on this Earth knowing their life's purpose from the get go, knowing exactly what they were meant to be one day. A doctor, nurse, lawyer, fireman, cop, etc.
.
But then there are those people that feel lost and just feel like they have no life's purpose.
.
I promise you're wrong though. Just keep trying everything until you find something you can roll with.
.
Remember, you're not alone in anything you do. Hang in there and you'll find it👌🏼
#prestoknowsbest
-
-
#liveandlearn #dontsettle #mindsetshift #dropout #content #quotesoflife #fireyourboss #empowernetwork #onlinesuccess #personalgrowth #motivateyourself #betteryourself #keepongoing #mindsetiseverything #inspiredaily #valueyourself #valuelife #entrepreneurmind #newmindset #goalachiever</t>
  </si>
  <si>
    <t>beautifultif</t>
  </si>
  <si>
    <t>1591041999149943561_11219412</t>
  </si>
  <si>
    <t>ˢᵁᴺᴰᴬᵞ 👀</t>
  </si>
  <si>
    <t>wordisalive</t>
  </si>
  <si>
    <t>1591057912363499811_4774414339</t>
  </si>
  <si>
    <t>Lately I had been feeling down, and I had my doubts on things. But, on Saturday it was just one of the best days that I had ever had in quite some time. I went to church and I was just so filled with his spirit it was something different that I can't explain.. but no matter what you may be going through. God is with you! He is by your side and this Psalm 62:8 helped me a lot. It says... At ALL TIMES! We have to trust him. I know it's hard I know it's just not how you thought it was all gonna go down but! HE IS OUR REFUGE! HE IS OUR SAFE HOUSE! We just have to TRUST him... give him all you've got. Give him your heart... •••••
I just encourage you to keep going don't stop! There is no limit to Gods power! HE'S THERE FOR YOU! HE IS BY YOUR SIDE! Don't you ever forget that.. ~I love you all God bless ❤️
••••
#jesusmysavior #jesusmylord #jesusmyrock #godsword #powerfulismylord #bibleverse #biblescripture #biblereading #biblequotes #bibleverse #biblestudy #bibleversedaily #icandoallthingsthroughchrist #lordismystrength #lightoftheworld #lordismyshepherd #lordismyrock #lordismysalvation #heislord #trustingod #nolimittohispower #limittoyourlove #motivation #keepongoing #keepfightingthegoodfight #kingoftheworld</t>
  </si>
  <si>
    <t>biblereading</t>
  </si>
  <si>
    <t>lordismysalvation</t>
  </si>
  <si>
    <t>trustingod</t>
  </si>
  <si>
    <t>lightoftheworld</t>
  </si>
  <si>
    <t>biblestudy</t>
  </si>
  <si>
    <t>gooeylove7</t>
  </si>
  <si>
    <t>1591066246705703182_334486254</t>
  </si>
  <si>
    <t>And if tomorrow isn't better there is always the next day✌🏻 #keepongoing #roughlife #illjusttrymybest #oneday #hopeful</t>
  </si>
  <si>
    <t>hopeful</t>
  </si>
  <si>
    <t>illjusttrymybest</t>
  </si>
  <si>
    <t>roughlife</t>
  </si>
  <si>
    <t>bellefleurapothecary</t>
  </si>
  <si>
    <t>1591078949943799027_4232610765</t>
  </si>
  <si>
    <t>Real talk.. ❤️💯❤️ #keepongoing #dothework #nojoke #stepoutofyourcomfortzone #workerbee #payoffsoon</t>
  </si>
  <si>
    <t>dothework</t>
  </si>
  <si>
    <t>workerbee</t>
  </si>
  <si>
    <t>payoffsoon</t>
  </si>
  <si>
    <t>nojoke</t>
  </si>
  <si>
    <t>misytan</t>
  </si>
  <si>
    <t>1591079863228478920_184088294</t>
  </si>
  <si>
    <t>#keepongoing #stayawesome #thankfulforeachday #staystrongandpositive #mydreamsmygoals #mondaynoblue</t>
  </si>
  <si>
    <t>staystrongandpositive</t>
  </si>
  <si>
    <t>stayawesome</t>
  </si>
  <si>
    <t>mydreamsmygoals</t>
  </si>
  <si>
    <t>mondaynoblue</t>
  </si>
  <si>
    <t>sillibillith_420productions</t>
  </si>
  <si>
    <t>1591091008216799178_4386559760</t>
  </si>
  <si>
    <t>"From the moment I wake up, I start packing all my stuff. Tell the homies I Got To Keep On Goin"
@Russ this speaks louder than just words for me, it helps me understand the way I'm doin things.
Dope ass Art by @gcodedesigns ------
------
#russ #keepongoing #gcodedesigns  #inspiration #art #dopeart</t>
  </si>
  <si>
    <t>dopeart</t>
  </si>
  <si>
    <t>gcodedesigns</t>
  </si>
  <si>
    <t>russ</t>
  </si>
  <si>
    <t>journeythroughthewilderness</t>
  </si>
  <si>
    <t>1591102275559046049_3088159624</t>
  </si>
  <si>
    <t>It's time to continue the journey, leave old places behind and open new doors. "The Lord is the one who goes ahead of you; He will be with you He will not fail you or forsake you. Do not fear or be dismayed." #deuteronomy318 -
#qotd #rachelwolchin #journey #bibleverse #thankful for the experiences #excited for the new #challenges #newchapter #keepongoing #curious #explore #noroots on this earth #skylovers  #mondaymotivation #thoughts</t>
  </si>
  <si>
    <t>challenges</t>
  </si>
  <si>
    <t>1591102426923742504_5495249433</t>
  </si>
  <si>
    <t>My go to salad 🥗🥗🥗</t>
  </si>
  <si>
    <t>chelseabelichmua</t>
  </si>
  <si>
    <t>1591105877937530014_2269454057</t>
  </si>
  <si>
    <t>I am going to post this for me to remember to not give up on where I want to be in this career! This career can be a make it or break one! Some one might not like the way you do your eye brows so they don't hire you! Maybe they don't like you cause your a heavy girl and don't look like an instagram model! Maybe your to sensitive and should just give up! I have had my ups and mother fucking downs! I had my fake friends and my real ride or dies who I can seriously count on one hand (you know who are) No will mean try harder and harder until you can breath, its that hard! I'm Chelsea Belich and I know what I want and I am coming for you! #dreams #film #makeorbreak #keepongoing #dontgiveup #grainofsalt #brave #bebrave #fight #mua</t>
  </si>
  <si>
    <t>Vancouver B.C</t>
  </si>
  <si>
    <t>makeorbreak</t>
  </si>
  <si>
    <t>mlphotos_vta</t>
  </si>
  <si>
    <t>1591113892985487148_2308333456</t>
  </si>
  <si>
    <t>Sunday Night Lights!📸🙌
#visitventura #805 #discoverventura #photography #canon #longexposure #photo</t>
  </si>
  <si>
    <t>Ventura, California</t>
  </si>
  <si>
    <t>longexposure</t>
  </si>
  <si>
    <t>discoverventura</t>
  </si>
  <si>
    <t>805</t>
  </si>
  <si>
    <t>1591114102582232539_4773778225</t>
  </si>
  <si>
    <t>🐒🙊🙉🙈🐵#worldtravelbook #flashesofdelight #art #lake #rainbow #goodafternoonpost #keeponkeepingon #keepongoing #motivation #motivationeveryday #sunset #flowers #architecturephotography #architecture #tagsforlikes #bluesky #likesforlikes #follow #almosttheweekend #smile #happy #morningmotivation #flower #behappy #grateful</t>
  </si>
  <si>
    <t>Angkor Thom</t>
  </si>
  <si>
    <t>thekyguylv</t>
  </si>
  <si>
    <t>1591121865871280885_3028843962</t>
  </si>
  <si>
    <t>Ya know what's strange. The amount I can lift is getting higher and higher but  I'm really not getting the shredded back that I want. I guess I just need more #patience. My #shoulders however I am seeing a difference. Gonna keep on keeping on! #keepongoing #backday #back #gym #fitness #motivation #spreadingmywings #beastieboy #beastmode #lats #traps #delts #deltoids #wings #cobra #ginger</t>
  </si>
  <si>
    <t>EOS Fitness - Centennial</t>
  </si>
  <si>
    <t>deltoids</t>
  </si>
  <si>
    <t>lats</t>
  </si>
  <si>
    <t>1591127189180312621_5944730818</t>
  </si>
  <si>
    <t>Know your values guys !  Be yourself , don't change yourself for anyone ! ( unless you have a really bad attitude 😂). #inspirationalquotes #inspiration #quotes #loveyourself #beyourself #dontgiveup #chaseyourdreams #keepongoing #liveyourdream #love #family #friendship #motivation #motivationalquotes</t>
  </si>
  <si>
    <t>ana_coppola_</t>
  </si>
  <si>
    <t>1591129218830063678_332057414</t>
  </si>
  <si>
    <t>#notetoself #quote 💪</t>
  </si>
  <si>
    <t>fitnesswoman</t>
  </si>
  <si>
    <t>sydneycommunity</t>
  </si>
  <si>
    <t>lamannaconda</t>
  </si>
  <si>
    <t>1591130649179693838_1389829431</t>
  </si>
  <si>
    <t>#birthday #53 #ageisonlyanumber #28aug2017 #gymrat #lifestyle #fitover50 #fiftyandfeelinggood #cakewithlotsoficing #monday #youngagain #addictedtofitness #fitfam #family #friends #celebrationday #keepongoing #makethemostoflife</t>
  </si>
  <si>
    <t>53</t>
  </si>
  <si>
    <t>cakewithlotsoficing</t>
  </si>
  <si>
    <t>celebrationday</t>
  </si>
  <si>
    <t>1591137041147341779_5944730818</t>
  </si>
  <si>
    <t>Tag your bestie ! 💕👫👬👭. Friends are important in life , sometime he/she knows you better than your family do (no offense i love my family )😂. #inspirationalquotes
#inspiration #friendship #friendshipquotes #bff #love #family #quotes #dontgiveup #chaseyourdreams #liveyourdream #keepongoing #loveyourself #love</t>
  </si>
  <si>
    <t>bff</t>
  </si>
  <si>
    <t>1591139770027804112_279512262</t>
  </si>
  <si>
    <t>Давно я так не проваливалась в книги, тем более такие увесистые, как "Джонатан Стрендж и мистер Норрел"🖤 я вообще-то не очень люблю фантазийный шанр, но, памятуя неплохой сериал, решила попробовать. И не зря)
.
#vscogood #morning #mood #madrussians #bookstagram #book #booksandcoffee #daily #abmlife #authentic #abmhappylife #abmlifeissweet #vsco #vibes #vscocam #citylife #coffee #breakfast #keepcalm #keepongoing #picoftheday #lifeex #lifestyle #livealittle</t>
  </si>
  <si>
    <t>Balashikhinsky District</t>
  </si>
  <si>
    <t>earthhouse.nl</t>
  </si>
  <si>
    <t>1591148084666551086_5622153294</t>
  </si>
  <si>
    <t>@Earthhouse.nl leveling the concrete exactely 😇👌
#nofilter #dusty #dust #concrete #sanding #earthhouse #elipse #elipshouse #earthship #building #architecture #design #tinyhouse #forresthouse #cabin #keepongoing #nobreath</t>
  </si>
  <si>
    <t>earthship</t>
  </si>
  <si>
    <t>elipse</t>
  </si>
  <si>
    <t>unifynation</t>
  </si>
  <si>
    <t>1591149992192670117_3054732477</t>
  </si>
  <si>
    <t>Just keep moving forward. You may encounter hardships along the way but you will find great opportunities too. Learn, be strong and have the courage to keep on going.
#UnifyNation #CharlesFKettering #Keepongoing #moveforward #positivity</t>
  </si>
  <si>
    <t>charlesfkettering</t>
  </si>
  <si>
    <t>1591150013819722614_2317517565</t>
  </si>
  <si>
    <t>1,5 times undervisning på cyklen. Vi kunne ikke bede om bedre rammer 🚴🏋🏼‍♀️🙏
•••
#mortentillitzdk  #whatwouldbeyoncedo #toldyouso #tropådet #personligtræner #personaltrainer #cycling #Cykling #styrketræning #løb #Svømning #Swim #running #stronger #personligtræner #mitodense #fitfam #ﬁtfamdk #actionequalsresults #handlingskabersucces #helkropstræning #fullbody #SunRiceClubbyMortenTillitzDK #mentalpause #blivved #keepongoing #styrketræning #painfree #smertefri #søvn #sleep #mitodense</t>
  </si>
  <si>
    <t>Funen</t>
  </si>
  <si>
    <t>haladeriva</t>
  </si>
  <si>
    <t>1591164869230829956_5755894940</t>
  </si>
  <si>
    <t>Happy Monday &amp; flower power 🌺 
#endofvacation #keepongoing</t>
  </si>
  <si>
    <t>endofvacation</t>
  </si>
  <si>
    <t>karla_sophya</t>
  </si>
  <si>
    <t>1591166683619659454_692377682</t>
  </si>
  <si>
    <t>Com direito a claque ...
.
#reepham10k#reepham#runday#runninggirl#nike#keepongoing#nevergiveup#noexcuses#stronger#10k#instagood#instarunners#instadaily#picoftheday#photooftheday#fitnesslife#healthylifestyle#healthylife 💪🏽🏃🏽‍♀️❤️🙏🏼</t>
  </si>
  <si>
    <t>reepham10k</t>
  </si>
  <si>
    <t>reepham</t>
  </si>
  <si>
    <t>takitaka_shangbo_new</t>
  </si>
  <si>
    <t>1591171503512056383_4585439901</t>
  </si>
  <si>
    <t>Forget how much it hurts and try again 🦋 #nevergiveup #keepongoing #studygram 👊👍🏻😺</t>
  </si>
  <si>
    <t>studygram</t>
  </si>
  <si>
    <t>1591173024526039349_1684424176</t>
  </si>
  <si>
    <t>rianne20021989</t>
  </si>
  <si>
    <t>1591175108717046487_400045482</t>
  </si>
  <si>
    <t>#bestrong #keepongoing #crying #sad #dontgiveup</t>
  </si>
  <si>
    <t>crying</t>
  </si>
  <si>
    <t>hotmen.23</t>
  </si>
  <si>
    <t>1591189692371715608_5861678072</t>
  </si>
  <si>
    <t>Hot morning run ......... #ibiza #hotmen #beachbody -#beachrun #friends #friendsthatmatter #naturalbeauty #instagram #lifestyle #motivationmonday #keepongoing</t>
  </si>
  <si>
    <t>Ibiza, Spain</t>
  </si>
  <si>
    <t>naturalbeauty</t>
  </si>
  <si>
    <t>friendsthatmatter</t>
  </si>
  <si>
    <t>beachbody</t>
  </si>
  <si>
    <t>eleanorbvm</t>
  </si>
  <si>
    <t>1591192188686117208_2088162261</t>
  </si>
  <si>
    <t>Fred DeVito. 
#motivationalquotes #motivation #keepfallingforward #keepongoing #fitness #life #love #health #work #play #keeppushingforward</t>
  </si>
  <si>
    <t>keepfallingforward</t>
  </si>
  <si>
    <t>dudetrax</t>
  </si>
  <si>
    <t>1591196313968848874_4202538847</t>
  </si>
  <si>
    <t>#itsbeenawhile from the #dudetrax front but now we're back. The 5th edition of the #nationalenduroseries took part this weekend and coming from a #podiumfinish in the last #race my #expectations were high specially #thrashing my #newbike a #ktm350excf which I traded with a friend for my old #ktm250excf 
My goals were unfortunately shot to pieces after 5-6 minutes holding the 3rd place in the race when my clutch started to fail. It simply stopped engaging the engine and I lost 75% of my power. I pitted in the rep zone trying to adjust the lever as I had a suspicion this was the cause having mounted the #midwestmountainengineering clutch lever from my old bike. It partially fixed the problem and I went out again this time with tools omme pack. Little did it help and I ended up having to stop 3 times to try to fix it, #gettingstuckinthemud once and #scrambling to get in the rep zone once again this time to swap for the oem lever. This did the trick. I fought to #overcome the disappointment of blowing my podium chance and getting in a #smile and finishing the race in a proud manner. #thingsdontalwaysgotoplan and you have to #makethemostofit #keepongoing #staypositive The day after I found the problem. When I switched levers I wasn't aware of that I should have swapped the small pistons enganging the #clutchmaster Didn't stand a chance and a #lessonlearned #readytorace next weekend!!
#allroadadventures_dk #kalleskaffe #aagesenmc #je68se #offroadriding #endurorace #ktmlover</t>
  </si>
  <si>
    <t>thrashing</t>
  </si>
  <si>
    <t>kalleskaffe</t>
  </si>
  <si>
    <t>ktm250excf</t>
  </si>
  <si>
    <t>ktm350excf</t>
  </si>
  <si>
    <t>raquel_27_</t>
  </si>
  <si>
    <t>1591199799185339463_194762599</t>
  </si>
  <si>
    <t>Not so serious!!! #selfie #morning #morningselfie #picture #beach #sunglasses #hair #straighthair #sunglasses #cateye #styling #style #beachstyle #keepongoing #tag #feelgood #fun #vacation #summertime</t>
  </si>
  <si>
    <t>styling</t>
  </si>
  <si>
    <t>kathy_minister</t>
  </si>
  <si>
    <t>1591206922588411835_1645921788</t>
  </si>
  <si>
    <t>Good ideas, or God ideas?
It is so easy to come up with good ideas. And Christian people have a lot of those. It is great to desire to see the whole nation saved. It is a good idea to start an outreach for prostitutes or drug addicts. It is a good idea to start a Christian social group.
But far more important than having good ideas, is ; what is your driving force? What makes you have these good ideas? Is it just wishful thinking? is it a new year's resolution that quickly wanes off as soon as we turn our calendars to February?
Good ideas are great! But God ideas are even greater! But God ideas require a tenacity that is unusual. They require a conviction that is far more than wishful thinking. You need more than just a good plan, or good intentions when you declare that you have received a God idea!
God ideas are birthed in the Spirit realm; prayer, fasting, etc....and are kept alive by dwelling in the word and praying without ceasing.
Staying on fire is a matter of keeping the Word of God alive in our hearts.
God ideas require focus. Intentionally making the decision to keep all forms of distractions at bay. In this era of social media junk, it is also important to filter out anything that is not beneficial to the ideas that God gives.
Learn to discern and know if you should run with an idea, or just let it slide off as a "good intention"
#goodideas #godideas #followitthrough #revival #notjustamyth #notbymight #butbytheSpirit #keepongoing #focus #stayontrack #keepthefaith</t>
  </si>
  <si>
    <t>notjustamyth</t>
  </si>
  <si>
    <t>notbymight</t>
  </si>
  <si>
    <t>butbythespirit</t>
  </si>
  <si>
    <t>1591207936426796066_4482296409</t>
  </si>
  <si>
    <t>It was over tooo soon, so I made my decision... 🏁I want to live by the sea. ⛱😁
Now I have to make it happen!✔💦👍🙌😉
#goals #sea #enjoy #relax #takeiteasy #relationshipgoals❤️ #bossbabe #plan #dowhatyouloveandneverstop #behappy #makeithappen #believeeverythingispossible #justdoit  #bethebestversionofyourself #bethechangeyouwanttosee #nevergiveup #keepongoing #love #beautifullife #doitforyou</t>
  </si>
  <si>
    <t>bethebestversionofyourself</t>
  </si>
  <si>
    <t>1591210520479539221_1684424176</t>
  </si>
  <si>
    <t>1591215461286413385_429036895</t>
  </si>
  <si>
    <t>In the meanwile I lay in bed because I am ill, so a little trowback to one of my earlier workouts. 
I am proud of the progress I made, but I have much bigger goals in mind to work on ... The key to succes is never giving up. This summer my goal was being happy, healthy and confident even with me gaining 14kg. 
Mission accomplished... Next goal is seeing what my body is capable of in the next months/years . 🤔🏋</t>
  </si>
  <si>
    <t>1591215495160174368_297558307</t>
  </si>
  <si>
    <t>GM😁🌅Warriors🏹! Happy monday, happy week Y'ALL! Not my best monday I have to say, bad bad sleep, anxiety feeling, sadness and nostalgic morning, ufff don't know what's going on but the only thing I know is that nothing beats a good morning run to boost the happy hormone and clear my mind! Doing exercise keeps me happy 😊!! You should try it!!!! #fitmom #fitmama #fitgirl #fitness #fitnessaddict #run #runner #running #rundancing #mamaenforma #mamacorriendo #kikasporty #keepmoving #keeptrying #keepstrong #keepongoing #gim #gimnasio #gym #gymgirl #gymlife #gymaddict #gymaholic #myanchor #mypassion #myhappyplace #runningmom</t>
  </si>
  <si>
    <t>monika.eliza</t>
  </si>
  <si>
    <t>1591217327584351222_1700269964</t>
  </si>
  <si>
    <t>Stand by me 😈😇 #sidebyside #nexttoyou #standbyme #keepongoing #walk #dogs #homies #myboy #lovethisguy #weekend #countryside #polishgirl #polishboy #blondegirl #smallgirl #tallboy #devil #angel #red #blue #dress #summertime #zofinin #nature #vsco #vscopoland</t>
  </si>
  <si>
    <t>Zofinin</t>
  </si>
  <si>
    <t>lovethisguy</t>
  </si>
  <si>
    <t>homies</t>
  </si>
  <si>
    <t>smallgirl</t>
  </si>
  <si>
    <t>1591219962277802567_185195397</t>
  </si>
  <si>
    <t>"There is great satisfaction in knowing that we made good use of our days, that we lived up to our expectations of ourselves." -Gretchen Rubin. 🙌❤️Happy Monday!
.
.
#happier2017 #mondaymotivation #happyflowers #flowerpower #meditatedaily #mindful #mindfullness #rundaily #runhappy #kindnessmatters #compassionmatters #keepongoing #persevere #highvibes #highenergy #positivemindset #choosejoy #chooselove #youareloved #youareenough #youareworthit #youareamazing #worththeeffort #charlestonsc #cakidiehl #appreciatelife #makeitcount #clarity#joyfullife #bepresent</t>
  </si>
  <si>
    <t>victorrrd</t>
  </si>
  <si>
    <t>1591221122120515645_256779794</t>
  </si>
  <si>
    <t>What about this⁉️ before to go on stage and of course after 24h without drinking water🤦🏻‍♂️ #mensphysique #kentclassic #gone #gym #food #focus #strong #gainz #ripped #shredded #lifestyle #beready #stage #muscle #bodybuilding #bodygoals #betterthingswillcome #keepongoing #keepon #bodybyvio</t>
  </si>
  <si>
    <t>gone</t>
  </si>
  <si>
    <t>1591226233767649479_2075039459</t>
  </si>
  <si>
    <t>Hope you all have a amazing day, stay strong and stay amazing 💚
#positivethinking #positivevibes #positiveenergy #positivequotes #quotestoliveby #happiness #joy #recovery #recoveryisworthit #depression #l4l #f4f #keepongoing #recovery #recoveryquotes #positivityquotes #love #selflove #brokenheart #fear #insanity #insane #grunge #secretsociety1234 #suicide #suicidal #anxiety #richchigga</t>
  </si>
  <si>
    <t>secretsociety1234</t>
  </si>
  <si>
    <t>1591232635274636844_429150387</t>
  </si>
  <si>
    <t>Father, establish me in the truth that I am greatly blessed, highly favored and deeply loved. Because of Your unmerited favor and Jesus’ perfect work on the cross, I am made righteous by His blood. I believe and declare that I am greatly blessed, highly favored and deeply loved. This week, I expect good things to come my way. I expect great success in all areas of my life and amazing breakthroughs for me and my loved ones in Jesus Name 🙏 let this be our prayer and may we experience the unmerited favor of God in our lives and may our loved ones experience it as well. Have a Blessed new week everyone. God bless ☺️ #NewWeek #MondayMotivation #HappyMonday #SpeakLife #YourWordsMatter #Pray #Favor #UnmeritedFavor #Breakthroughs #Family #Friends #BelieveForTheBest #DontGiveUp #LookToJesus #GreatlyBlessed #Devotion #Encouragemnet #Victory #KeepOnGoing #Love #Joy #TrustGod #ItsBreakthroughTime #FavorOfGod #Healing #Discernment #PrayerWorks #InJesusName #YouAreLoved #JesusLovesYou</t>
  </si>
  <si>
    <t>unmeritedfavor</t>
  </si>
  <si>
    <t>favor</t>
  </si>
  <si>
    <t>gabberschappers</t>
  </si>
  <si>
    <t>1591235678988054172_193558420</t>
  </si>
  <si>
    <t>Our feet on the ground, our minds in the clouds.  Could think of worse ways to spend a Sunday. 🐀🐀🐀 #deadmau5 #johndigweed #sw4 #southwestfour #bankholiday #dayrave #keepongoing</t>
  </si>
  <si>
    <t>South West Four Festival</t>
  </si>
  <si>
    <t>deadmau5</t>
  </si>
  <si>
    <t>sw4</t>
  </si>
  <si>
    <t>southwestfour</t>
  </si>
  <si>
    <t>johndigweed</t>
  </si>
  <si>
    <t>abstarbeauty</t>
  </si>
  <si>
    <t>1591235980500085090_4141831339</t>
  </si>
  <si>
    <t>After a manic weekend this sums up my Monday! #busy #tired #coffee #concealer #needsleep #keepongoing</t>
  </si>
  <si>
    <t>needsleep</t>
  </si>
  <si>
    <t>concealer</t>
  </si>
  <si>
    <t>nehls0n</t>
  </si>
  <si>
    <t>1591240018509062882_1934868384</t>
  </si>
  <si>
    <t>Computerlogbuch der #Enterprise aka @kobum_cgn #kobum #15dez17 @_guts_n_glory_ 🥊 Sternzeit 26.8.: #firstsparring #boxing #boxinggirl 🖤 krasser scheiß, ich muss mental erstmal drauf klarkommen, hab aber auf jeden Fall weniger schiss als vorher 🥊 absolute #Kontrolle und #Konzentration von Nöten...noch knapp 3 Monate Zeit dafür....#keepongoing</t>
  </si>
  <si>
    <t>GUTS &amp; GLORY Boxclub</t>
  </si>
  <si>
    <t>boxinggirl</t>
  </si>
  <si>
    <t>konzentration</t>
  </si>
  <si>
    <t>enterprise</t>
  </si>
  <si>
    <t>kontrolle</t>
  </si>
  <si>
    <t>gillqvc</t>
  </si>
  <si>
    <t>1591240881201305156_5426630626</t>
  </si>
  <si>
    <t>Another day another TSV #keepongoing</t>
  </si>
  <si>
    <t>1591241042824553262_5426630626</t>
  </si>
  <si>
    <t>Another day another TSV! #keepongoing!</t>
  </si>
  <si>
    <t>1591246489689859896_1684424176</t>
  </si>
  <si>
    <t>Fort Bend County, Texas</t>
  </si>
  <si>
    <t>successquote</t>
  </si>
  <si>
    <t>amillionways</t>
  </si>
  <si>
    <t>womanowned</t>
  </si>
  <si>
    <t>1591248269073005610_1684424176</t>
  </si>
  <si>
    <t>j3nndavis</t>
  </si>
  <si>
    <t>1591254431009537636_3100067166</t>
  </si>
  <si>
    <t>6 pounds loss in two weeks! ☺ 
#slimmingworld #weightlossjourney
#healthyeating #feelingfresh #keepongoing</t>
  </si>
  <si>
    <t>feelingfresh</t>
  </si>
  <si>
    <t>berg.maedchen</t>
  </si>
  <si>
    <t>1591256397416120126_1363893917</t>
  </si>
  <si>
    <t>There will be times feeling like beeing fed up with all the "#higher, further, more" surrounding you. Well, that's fine, just #keepongoing like I tried to in this less-frequented tour over a beautiful ridge inbetween the #summits of #WilderKaiser, #Tyrol. 👌🏻😎 #friends #companion #dahoamiswodbergsan #steigstganzauffi #findabeautifulplaceandgetlost #qualitytime @dynafit @salomon @salomonrunning @petzl_official @grivel @visittirol @visitaustria #passion #mountains #mountainsarecalling #mountaineering #naturalhabitat #outdoor #collectmomentsnotthings #bergliebe #livewithoutlimits #homeiswherethemountainsare #lifeisbetterinthemountains #bergwelten #alpensucht</t>
  </si>
  <si>
    <t>naturalhabitat</t>
  </si>
  <si>
    <t>mountaineering</t>
  </si>
  <si>
    <t>outdoor</t>
  </si>
  <si>
    <t>linda_cherry_fit</t>
  </si>
  <si>
    <t>1591264131401655286_2605560753</t>
  </si>
  <si>
    <t>#breathing #freedom #mountain #paceofmind #trekking #challenge #mountainview #mountainlover #keepongoing #bergamo #orobie #clouds #sky</t>
  </si>
  <si>
    <t>bergamo</t>
  </si>
  <si>
    <t>paceofmind</t>
  </si>
  <si>
    <t>onlyleob</t>
  </si>
  <si>
    <t>1591268693369867287_596578607</t>
  </si>
  <si>
    <t>No massive progress so far but getting somewhere! #gains #weights #gettingfit #changeisoksometimes #betteryourself #bewhoyouare #mylife #iswhat #imakeit #tattoo #tattoos #progress #nevergiveup #keepongoing #sleeves #sleevetattoo #handtattoo #handtattoos #fingertattoos #basketball #life #necktattoo #tattooseverywhere #iamwhoiam #dealwithit #imme #im #me #youjustbeyou 💯💪👊</t>
  </si>
  <si>
    <t>iswhat</t>
  </si>
  <si>
    <t>imme</t>
  </si>
  <si>
    <t>klcuthbert</t>
  </si>
  <si>
    <t>1591275076472258727_611723546</t>
  </si>
  <si>
    <t>✖Promise me no promises... because you never keep them. DICK. 🖕✖
#selfie #lyrics #heartache #killer #icantdeal #hate #love #cry #smile #pain #keepongoing #pickingupthepieces #still #imgood #imfine #movingon #youreadick #makeup #eyelineronpoint #putmyfaceon #upandout #lovelaughlive #instadaily</t>
  </si>
  <si>
    <t>imfine</t>
  </si>
  <si>
    <t>lovelaughlive</t>
  </si>
  <si>
    <t>dairyfarmers_wife</t>
  </si>
  <si>
    <t>1591284209014726294_1824925471</t>
  </si>
  <si>
    <t>Such an encouraging verse to renew strength to endure because in the end God's great reward will far surpass any earthly joy we can ever imagine!!</t>
  </si>
  <si>
    <t>homeschoolmom</t>
  </si>
  <si>
    <t>dailyparenting</t>
  </si>
  <si>
    <t>dairyfarmerswife</t>
  </si>
  <si>
    <t>fitmeagata</t>
  </si>
  <si>
    <t>1591290615520392849_4050404687</t>
  </si>
  <si>
    <t>A bit faster than last time 😉💪🏃‍♀️#beatyesterday #garmin #faster #run #runner #running #runninggirl #fast #nofilter #fit #fitme #green #grass #summer #5k #personaltrainer #gymhero_official #training #train #hellomonday #monday #instarun #motivation #mondaymotivation #keepongoing #keeponrunning #loverunning</t>
  </si>
  <si>
    <t>Gdansk, Poland</t>
  </si>
  <si>
    <t>beatyesterday</t>
  </si>
  <si>
    <t>grass</t>
  </si>
  <si>
    <t>1591291675539208119_5495249433</t>
  </si>
  <si>
    <t>vegan_vagabondgirl</t>
  </si>
  <si>
    <t>1591293332565433232_5060458175</t>
  </si>
  <si>
    <t>It's been real NYC. But time to get back on that airplane. 💋</t>
  </si>
  <si>
    <t>weekendtrips</t>
  </si>
  <si>
    <t>wanderer</t>
  </si>
  <si>
    <t>longweekend</t>
  </si>
  <si>
    <t>fleur_rebelle1982</t>
  </si>
  <si>
    <t>1591295141536406770_40917260</t>
  </si>
  <si>
    <t>The meaning of life is not simply to exist, to survive BUT to MOVE AHEAD, to GET UP, to ACHIEVE, to CONQUER! 💪🏻 #quote #quotes #quoteoftheday #quotesoftheday #instaquote #quotesofinstagram #lifequotes #motivationalquotes #conquer #youwillneverseemequit #youwillneverseemefall #ijuststarted #keepongoing #heartofalioness #nofear #nopainnogain #gohardorgohome</t>
  </si>
  <si>
    <t>Glattbrugg, Zurich, Switzerland</t>
  </si>
  <si>
    <t>mirjam__c</t>
  </si>
  <si>
    <t>1591300114815600605_13499903</t>
  </si>
  <si>
    <t>Twee apen op een stokje 🐒🐒
Blij dat jij er 1 van bent! Now let's rock this life! #keepongoing #motivatedminds #change #future #imin #brother #brotherfromanothermother #entrepreneur #buildingabrand #friendshipgoals #bffs #onelife #mondaymotivation #letsgo</t>
  </si>
  <si>
    <t>Schiphol International Airport</t>
  </si>
  <si>
    <t>brotherfromanothermother</t>
  </si>
  <si>
    <t>imin</t>
  </si>
  <si>
    <t>anja.ceuls</t>
  </si>
  <si>
    <t>1591313514643820401_1713420561</t>
  </si>
  <si>
    <t>Los #italy door gestapt zegt mijn #vriend #fitbit #walk #badge #keepongoing</t>
  </si>
  <si>
    <t>vriend</t>
  </si>
  <si>
    <t>badge</t>
  </si>
  <si>
    <t>princyguanyee</t>
  </si>
  <si>
    <t>1591316652644044064_400817320</t>
  </si>
  <si>
    <t>It takes your knowing to decide on your going. If you know where you are going, you will keep going because you have already seen yourself gone. #keepongoing #eitheryourunthedayorthedayrunsyou #moveforward</t>
  </si>
  <si>
    <t>eitheryourunthedayorthedayrunsyou</t>
  </si>
  <si>
    <t>lukey.brx</t>
  </si>
  <si>
    <t>1591324691414179513_423040186</t>
  </si>
  <si>
    <t>The struggle start from the first tour to #sandakan then 2nd tour to #ranau and 3rd tour to #keningau and the last tour is #KOTAKINABALU , we end it with smoothly and something happen at the end of the workshop when we cleaning up the studio #irahbehappy 😁 i just want to say thanks to @nelsontsc , HE is the guy who started this camp , why we doing this ? Because we helping the community , making dance scene alive and sharing our art to the people 🙏 #KEEPONGOING #DONTSTOP #BEYOU #MAKEARTNOTWAR</t>
  </si>
  <si>
    <t>kotakinabalu</t>
  </si>
  <si>
    <t>sandakan</t>
  </si>
  <si>
    <t>keningau</t>
  </si>
  <si>
    <t>mediumdawnwilbur</t>
  </si>
  <si>
    <t>1591326526624192311_4467803169</t>
  </si>
  <si>
    <t>Today is a new day ❤️ #mediumdawnwilbur #newday #cantchangepast #keepongoing #yougotthis #moveon #newbeginnings #youcandoit</t>
  </si>
  <si>
    <t>1591330239866591840_2899822841</t>
  </si>
  <si>
    <t>God's faithfulness is a commitment on His Part and is as dependable as the scheduled appearances of the sun and moon. When we wake up in the morning, God Will always be there. Family and friends may disappoint; heroes and heroines may fail to live up to expectations. Nevertheless, God is ever faithful. 
No matter what you do, God cannot be unfaithful because He cannot deny Himself. He is stead fast and trustworthy. He keeps His promises. 
God's presence is assured, even if you are unaware of it. 
His faithfulness is expierenced in His protection, mercy preservation, love and discipline; it is revealed in all His promises. 
What a comfort and encouragement to experience His faithfulness.</t>
  </si>
  <si>
    <t>godisfaithful</t>
  </si>
  <si>
    <t>kent_brx</t>
  </si>
  <si>
    <t>1591331314094005318_37281355</t>
  </si>
  <si>
    <t>#Repost @lukey.brx (@get_repost)
・・・
The struggle start from the first tour to #sandakan then 2nd tour to #ranau and 3rd tour to #keningau and the last tour is #KOTAKINABALU , we end smoothly and something happen at the end of the workshop when we were cleaning up the studio #irabehappy 😁 i just want to say thanks to @nelsontsc , HE is the guy who started this @steppinoutdanceworkshop , why we doing this ? Because we trying our best to help the community , making dance scene alive and sharing our art to the people 🙏 #KEEPONGOING #DONTSTOP #BEYOU #MAKEARTNOTWAR</t>
  </si>
  <si>
    <t>Square Space KK</t>
  </si>
  <si>
    <t>beverlyagnessbeauty</t>
  </si>
  <si>
    <t>1591335077878937885_181813768</t>
  </si>
  <si>
    <t>Great Morning😘.... #keepongoing #slowandsteadywinstherace #wordsofwisdom</t>
  </si>
  <si>
    <t>moniqabeu</t>
  </si>
  <si>
    <t>1591335519589490067_1224882777</t>
  </si>
  <si>
    <t>Just keep going ... one day you'll thank yourself for not giving up. ☝️🌹 #Mondays #keepongoing</t>
  </si>
  <si>
    <t>ewa_labno</t>
  </si>
  <si>
    <t>1591346241287453672_631128527</t>
  </si>
  <si>
    <t>Przypinka xD #muscle #legs #power #gym #sportish #polishgirl #pinkshorts #pinkshoes #bodybuilding #bodybuilder #always #active #stay #health #keepongoing #loveyourself #losefat #gainmuscle 💪👈 #instadaily</t>
  </si>
  <si>
    <t>pinkshorts</t>
  </si>
  <si>
    <t>mttazawa_</t>
  </si>
  <si>
    <t>1591347179393137790_253339504</t>
  </si>
  <si>
    <t>Spoiler, we die in the end. 
#keepongoing 📛</t>
  </si>
  <si>
    <t>Collingwood, Victoria, Australia</t>
  </si>
  <si>
    <t>rotaractnabeulneapolis</t>
  </si>
  <si>
    <t>1591347382113444288_2230690767</t>
  </si>
  <si>
    <t>First day ! Premier jour de collecte et sensibilisation 😎
#keepongoing #rotaract #interact
Victor Hugo a dit " ouvrez des écoles vous fermerez des prisons " . Dans une Tunisie ou l état démissionne , ou chaque jour est un pas en arrière , ou nos jeunes se tournent vers la délinquance , la violence et le terrorisme , nous devons miser sur les générations futures ! Aidez nous à leur garantir  un futur brillant ! Nous serons présents du 28 au 30 août devant Monoprix pr une collecte de fournitures scolaires au profit des élèves de l école Btin . Nous comptons sur votre générosité !! :D</t>
  </si>
  <si>
    <t>interact</t>
  </si>
  <si>
    <t>rotaract</t>
  </si>
  <si>
    <t>1591352167453570014_5586814877</t>
  </si>
  <si>
    <t>KFC rice box with a side of beans and a Diet Pepsi for 10.5 syns all in ☺️ #fooddiary #slimmingworld #sw #slimmingworldfood #slimmingworldjourney #health #happiness #selfimprovement #bethebestyou #keepongoing #nomorestartingover</t>
  </si>
  <si>
    <t>1591354802129043741_5705167414</t>
  </si>
  <si>
    <t>Sorry for not being active enough, gotta lot of school stuff to handle, but I'll try to be as active as I can  #Dubnation
-
-
-
-
-
-
-
-
-
-
-
-
-
-
-
-
-
-
-
-
-
-
-
-
-
-
-
-
-
-
-
-
-
-
-
-
-
-
-
-
 #StephGonnaSteph #Mvp #SC30 #KT11 #DG23 #CURRYMVP #KEEPONGOING #NEVERGIVEUP #WCF #WEST #WESTERNCONFERENCEFINALS #CHAMPS #DUBSFORCHAMPS #DUBS #ALWAYSBELIEVEINGOD #STEPHENCURRY #EVEN #NBA #2016CHAMPS #CHAMPIONS #LOCKIN #STEPH #SPLASH #SPLASHBROS  #like4like #like4follow #follow4follow</t>
  </si>
  <si>
    <t>1591356407741988232_5705167414</t>
  </si>
  <si>
    <t>Steph can also play golf (duhhhhh, who doesn't know this)  #ThetalentsofSteph
-
-
-
-
-
-
-
-
-
-
-
-
-
-
-
-
-
-
-
-
-
-
-
-
-
-
-
-
-
-
-
-
-
-
-
-
-
-
-
-
 #StephGonnaSteph #Mvp #SC30 #KT11 #DG23 #CURRYMVP #KEEPONGOING #NEVERGIVEUP #WCF #WEST #WESTERNCONFERENCEFINALS #CHAMPS #DUBSFORCHAMPS #DUBS #ALWAYSBELIEVEINGOD #STEPHENCURRY #Dubnation #NBA #2016CHAMPS #CHAMPIONS #LOCKIN #STEPH #SPLASH #SPLASHBROS  #like4like #like4follow #follow4follow</t>
  </si>
  <si>
    <t>nina_perche</t>
  </si>
  <si>
    <t>1591356632960851336_4113539909</t>
  </si>
  <si>
    <t>Portrait. #portraitmood #nina #niña #growingup #mydaughter #mylove #keepongoing #neverstop #drawing #nofilter @kiarabbella</t>
  </si>
  <si>
    <t>growingup</t>
  </si>
  <si>
    <t>mydaughter</t>
  </si>
  <si>
    <t>1591359363318865878_40740215</t>
  </si>
  <si>
    <t>Don't stop when your tired, stop when your done!!! --
I was struggling during my workout this morning, just really tired and feeling sluggish, but I did it! Even though I wanted to stop I didn't! I pushed myself and killed it! Who else is killin' their workout today?! 💪</t>
  </si>
  <si>
    <t>lanezeofficial</t>
  </si>
  <si>
    <t>1591359427322130611_266625267</t>
  </si>
  <si>
    <t>WE ARE THE INFLUENCE 📍@lanezeofficial
#Laneze #Influence #Tailored #Premium #Scuba #KeepOnGoing #Activist #ArtDealer #MenWith #Style #Lux #Fashion #Fit #Dapper #Gent #Menswear #Styling #Luxury #Active #Designer #Couture #Inspo #Icon #MadeInEngland #Track #Suit #Art #LFW #LCM #MVP</t>
  </si>
  <si>
    <t>tailored</t>
  </si>
  <si>
    <t>menwith</t>
  </si>
  <si>
    <t>dapper</t>
  </si>
  <si>
    <t>laneze</t>
  </si>
  <si>
    <t>1591359625965808873_5468355632</t>
  </si>
  <si>
    <t>Oh look another one -🐠
-
-
-
#josh #tyler #jenna #twentyonepilots #bands #frens #laugh #myidols 
#loveyou #bestmusic #keepongoing #ibelieve #theyrethebest #funny #smile #tøpmemes #tøp #stayalive #inspiring  #beautifulpeople</t>
  </si>
  <si>
    <t>kristina.mac</t>
  </si>
  <si>
    <t>1591359684995345315_1554878900</t>
  </si>
  <si>
    <t>Befor workout. 🙇When your motivation is falling down sometimes. Take a selfie 📷
#monday#mood#notontop#remmber#whyyoustarted#gymlife#workout#nike#addidas#gym#diet#training#dedication#keepongoing#body#girlswholift#bikinifitness#muscle#grow#offseason</t>
  </si>
  <si>
    <t>notontop</t>
  </si>
  <si>
    <t>bmwxm336</t>
  </si>
  <si>
    <t>1591361472129154273_3012747321</t>
  </si>
  <si>
    <t>#mtbenduro #bikingadventures #ytfamily #ytcapra #bikeandhike #trailrunning #austria #zillertal #lanersbach #wanglspitz #rastkogel #hintertuxergletscher #sram #foxracing #foxclothing #milehigh #keepongoing #pointofview</t>
  </si>
  <si>
    <t>bikingadventures</t>
  </si>
  <si>
    <t>sram</t>
  </si>
  <si>
    <t>ytfamily</t>
  </si>
  <si>
    <t>rastkogel</t>
  </si>
  <si>
    <t>sebastianmagnani</t>
  </si>
  <si>
    <t>1591369021005358976_1904329911</t>
  </si>
  <si>
    <t>Elena (9) #woman #women #raw #unretouched #botticelli #sensual #seductive #body #lingerie #shape #shadows #light #gameofthrones #portrait #photography #photographer #lovemylife #dowhatyoulove #keepongoing #thankful #happy @_elenakuznetsova_</t>
  </si>
  <si>
    <t>shadows</t>
  </si>
  <si>
    <t>unretouched</t>
  </si>
  <si>
    <t>botticelli</t>
  </si>
  <si>
    <t>shape</t>
  </si>
  <si>
    <t>1591369436912676717_1904329911</t>
  </si>
  <si>
    <t>Elena (8) #woman #women #raw #unretouched #sensual #seductive #body #lingerie #shape #shadows #light #gameofthrones #portrait #photography #photographer #lovemylife #dowhatyoulove #keepongoing #thankful #happy @_elenakuznetsova_</t>
  </si>
  <si>
    <t>seductive</t>
  </si>
  <si>
    <t>gameofthrones</t>
  </si>
  <si>
    <t>1591369595818022343_1904329911</t>
  </si>
  <si>
    <t>Elena (7) #woman #women #raw #unretouched #sensual #seductive #body #lingerie #shape #shadows #light #gameofthrones #portrait #photography #photographer #lovemylife #dowhatyoulove #keepongoing #thankful #happy @_elenakuznetsova_</t>
  </si>
  <si>
    <t>1591369782640635426_1904329911</t>
  </si>
  <si>
    <t>Elena (6) #woman #women #raw #unretouched #sensual #seductive #body #lingerie #shape #shadows #light #portrait #photography #photographer #lovemylife #dowhatyoulove #keepongoing #thankful #happy @_elenakuznetsova_</t>
  </si>
  <si>
    <t>1591369936571492030_1904329911</t>
  </si>
  <si>
    <t>Elena (5) #woman #women #raw #unretouched #sensual #seductive #body #lingerie #shape #shadows #light #heart #heartbeat #portrait #photography #photographer #lovemylife #dowhatyoulove #keepongoing #thankful #happy @_elenakuznetsova_</t>
  </si>
  <si>
    <t>1591370084588537509_1904329911</t>
  </si>
  <si>
    <t>Elena (4) #woman #women #raw #unretouched #sensual #seductive #body #lingerie #shape #shadows #light #portrait #photography #photographer #lovemylife #dowhatyoulove #keepongoing #thankful #happy @_elenakuznetsova_</t>
  </si>
  <si>
    <t>1591370241992483099_1904329911</t>
  </si>
  <si>
    <t>Elena (3) #woman #women #raw #unretouched #sensual #seductive #body #lingerie #shape #shadows #light #gameofthrones #portrait #photography #photographer #lovemylife #dowhatyoulove #keepongoing #thankful #happy @_elenakuznetsova_</t>
  </si>
  <si>
    <t>1591370380832166851_1904329911</t>
  </si>
  <si>
    <t>Elena (2) #woman #women #raw #unretouched #sensual #seductive #body #lingerie #shape #shadows #light #gameofthrones #portrait #photography #photographer #lovemylife #dowhatyoulove #keepongoing #thankful #happy @_elenakuznetsova_</t>
  </si>
  <si>
    <t>1591370637573944306_1904329911</t>
  </si>
  <si>
    <t>Elena (1) #woman #women #raw #unretouched #sensual #seductive #body #lingerie #shape #shadows #light #gameofthrones #portrait #photography #photographer #lovemylife #dowhatyoulove #keepongoing #thankful #happy @_elenakuznetsova_</t>
  </si>
  <si>
    <t>1591374120027843650_3012747321</t>
  </si>
  <si>
    <t>Oops..#absolutebeginner #mistakeslikethis ...#results #lost some Skin in the Woods and damaged my left hip a little #keepongoing #mtbenduro #nextlevel #bikingadventures #ytfamily #ytcapra #downhillmtb #zillertal #sram #ex1501 #gopro #garminedge #failoftheday</t>
  </si>
  <si>
    <t>ytcapra</t>
  </si>
  <si>
    <t>absolutebeginner</t>
  </si>
  <si>
    <t>mistakeslikethis</t>
  </si>
  <si>
    <t>failoftheday</t>
  </si>
  <si>
    <t>_el0628_</t>
  </si>
  <si>
    <t>1591381360656742852_386918112</t>
  </si>
  <si>
    <t>情人節快樂💑
有了對戒很開心💓
#452days 
#keepongoing</t>
  </si>
  <si>
    <t>452days</t>
  </si>
  <si>
    <t>nickzak</t>
  </si>
  <si>
    <t>1591381972318424571_23834512</t>
  </si>
  <si>
    <t>Morning commute.</t>
  </si>
  <si>
    <t>Zak Manor</t>
  </si>
  <si>
    <t>butterfly</t>
  </si>
  <si>
    <t>bus</t>
  </si>
  <si>
    <t>ambitiousfitmom</t>
  </si>
  <si>
    <t>1591382200615848717_1426170889</t>
  </si>
  <si>
    <t>Make today a Great Day! It's Monday, it's a start to a new week. Instead of being gloomy like the weather, reach out to someone and tell them something nice. Do something for somebody else today and make their day brighter. I bet that it just might make your day better too 😉! Btw, I just realized my dog and I are doing the same pose 😂. Happy Monday!!</t>
  </si>
  <si>
    <t>fitmomof2</t>
  </si>
  <si>
    <t>dolphinpose</t>
  </si>
  <si>
    <t>induct.es</t>
  </si>
  <si>
    <t>1591388230649831789_3168477195</t>
  </si>
  <si>
    <t>La bombilla ya vuelve a encenderse #seacabanlasvacaciones 💡</t>
  </si>
  <si>
    <t>seacabanlasvacaciones</t>
  </si>
  <si>
    <t>officelife</t>
  </si>
  <si>
    <t>jenjube72</t>
  </si>
  <si>
    <t>1591405341639641375_5668976847</t>
  </si>
  <si>
    <t>How do you or did you start your day?! #healthy #momlife #ohyeah #mondaymood #zealmom #lovinglife #feelingood #keepongoing #dontgiveup #faith #hope #love #positivevibes</t>
  </si>
  <si>
    <t>zealmom</t>
  </si>
  <si>
    <t>1591412893887044289_462344435</t>
  </si>
  <si>
    <t>"Let not fear stop you from achieving your dreams."
.
.
.
Be fearless and stand out!
.
.
.
#Bepositive #positivemindset #livelifetothefull #seethegood #seethegoodineverything #believeyoucan #befearless #keeponmoving #keeponlearning #keepondoing #keepongoing #keeponbelieving #believeinyou #goodhabits #achieve #achieveyourdreams #achieveyourgoals #believeinyourdream #believeinyourselfie #keepthefaith #neverstoplearning #positiveattitude #positivemindset #positivequotes #positivevibes #positiveminds #trustandbelieve #trustyourgut #yesyoucan  #youcandoit</t>
  </si>
  <si>
    <t>thespecificokc</t>
  </si>
  <si>
    <t>1591421222448903095_5342605100</t>
  </si>
  <si>
    <t>#motivationmonday #brucelee #quote #quotes #comment #motivation #whathesaid #comment #comments #instagood #igers #oklahoma #okc #ok #chiropractic #nevergiveup #keepongoing #follow #instaquotes</t>
  </si>
  <si>
    <t>ok</t>
  </si>
  <si>
    <t>brucelee</t>
  </si>
  <si>
    <t>nicklaasjo21</t>
  </si>
  <si>
    <t>1591426910217464767_271712980</t>
  </si>
  <si>
    <t>Hinfallen, aufstehen, weitermachen 🚶🏻#keepongoing --------------------------------------------
#ootd #outfitoftheday #lookoftheday #TagsForLikes #fashion #fashiongram #style #love #beautiful #currentlywearing #lookbook #wiwt #whatiwore #whatiworetoday #ootdshare #outfit #clothes #wiw #mylook #fashionista #todayimwearing #instastyle #TagsForLikesApp #instafashion #outfitpost #fashionpost #todaysoutfit #fashiondiaries</t>
  </si>
  <si>
    <t>Mach1 Club Nürnberg</t>
  </si>
  <si>
    <t>wiw</t>
  </si>
  <si>
    <t>whatiwore</t>
  </si>
  <si>
    <t>fashionista</t>
  </si>
  <si>
    <t>fashiongram</t>
  </si>
  <si>
    <t>buckleyvictoria</t>
  </si>
  <si>
    <t>1591431053963322678_1534575910</t>
  </si>
  <si>
    <t>No gym for week, running will have to do! #holiday #abersoch #running #runnersofinstagram #outdoors #inwood #activlifestyle #keepongoing wish I hadn't drank all that wine last night 😬🍷#nopainnogain 🏃‍♀️</t>
  </si>
  <si>
    <t>abersoch</t>
  </si>
  <si>
    <t>inwood</t>
  </si>
  <si>
    <t>kitiyagibb</t>
  </si>
  <si>
    <t>1591432017010488228_15155971</t>
  </si>
  <si>
    <t>นี่คือสภาพหลังคลาสวันจันทร์ เหมือนตากฝนมา เหนื่อยจริงๆ แต่หนุกด้วย จริงๆก็ตากฝนมาและตากฝนกลับด้วย ยังไงก็ไม่ยอมพลาดคลาสนี้ #mondaynightworkout #healthylifestyle #bodyweight #cardio #fatburn #fitnfirm #fitandfirm #youngatheart #youngerthanmyage #keepongoing #lovemyself</t>
  </si>
  <si>
    <t>youngatheart</t>
  </si>
  <si>
    <t>fatburn</t>
  </si>
  <si>
    <t>youngerthanmyage</t>
  </si>
  <si>
    <t>lovemyself</t>
  </si>
  <si>
    <t>1591432306827836163_1684424176</t>
  </si>
  <si>
    <t>1591434226317480807_1684424176</t>
  </si>
  <si>
    <t>@millionaireimage 😢😥😭
@millionaireimage 
___________________________ 
#oilbusiness #doitforyourself #betterme #beyourown #keeponkeepingon #workforwhatyouwant  #marketingmoment #marketingsolutions #encourageyourself #bethechangeyouwanttosee #youvegotthis #oilfieldlife #millionairequotes #inspirationalthoughts #positivepeople #americanbusiness #quoteme #quoteaccount #strategize #seemslegit #youdoyou #inspirationalpost #businessownership #businessisbusiness #keepongoing #selfconfidence #bewhoyouare #bewhatyouwanttobe #socialinfluencers #socialize</t>
  </si>
  <si>
    <t>1591435166068762049_2226403827</t>
  </si>
  <si>
    <t>#terrysgirls #beinspired #womeninbiz #supportwomen #bestrong #freshstart #mondayfunday #keepongoing #godbless #smile</t>
  </si>
  <si>
    <t>beinspired</t>
  </si>
  <si>
    <t>sarah79m</t>
  </si>
  <si>
    <t>1591442194028043488_1616154</t>
  </si>
  <si>
    <t>Have these leaves of gold. Give me back my soul. I know no matter what. I can't stay on my knees. Heaven help me please. #seinabosey #rosendal #keepongoing</t>
  </si>
  <si>
    <t>Rosendals Trädgård</t>
  </si>
  <si>
    <t>rosendal</t>
  </si>
  <si>
    <t>seinabosey</t>
  </si>
  <si>
    <t>1591445352322364427_5586814877</t>
  </si>
  <si>
    <t>I've missed my own group twice due to last minute work commitments so going to a different group for the next 2 weeks until things settle a bit. 
Thrilled with this little loss after a M A J O R wobble about a week ago that seemed to drag on for days and days and almost sent me spiralling back to my old ways.  2 stone award I'm coming for ya! 💪🏻 #fooddiary #slimmingworld #sw #slimmingworldfood #slimmingworldjourney #health #happiness #selfimprovement #bethebestyou #keepongoing #nomorestartingover</t>
  </si>
  <si>
    <t>jbf.fitness</t>
  </si>
  <si>
    <t>1591449023335528825_5744315621</t>
  </si>
  <si>
    <t>When in Berlin Mitte around Alexanderplace, stop by @fitbarberlin - Simply concept; healthy, delicious and fresh green fastfood. Great deal! 💯👍 Fitbar Salad + 'Go Green' Smoothie ca. 12 ,- EUR #itisworthit #thankyou @fitbarberlin #keepongoing #berlin #streetfood #healthyfastfood #allday #everyday #gogreen #gohealthy #gofit #naturalprotein #eatcleangetlean #jbffitness</t>
  </si>
  <si>
    <t>Fitbar Berlin</t>
  </si>
  <si>
    <t>healthyfastfood</t>
  </si>
  <si>
    <t>allday</t>
  </si>
  <si>
    <t>gohealthy</t>
  </si>
  <si>
    <t>naturalprotein</t>
  </si>
  <si>
    <t>1591449093992769667_5944730818</t>
  </si>
  <si>
    <t>Your feelings means the most . No , im not telling you to be selfish just take care of yourself😌. I know how we want to please all the people around us ( been there , done that ) but let's face it , haters gonna hate so just let them be and spent your time with the people that care and accept you for who you are 💕. #inspirationalquotes #inspiration #quotes #loveyourself #love #family #friendship #relatedquotes #dontgiveup #keepongoing #liveyourdream #chaseyourdreams #beyourself</t>
  </si>
  <si>
    <t>relatedquotes</t>
  </si>
  <si>
    <t>pri_superioga</t>
  </si>
  <si>
    <t>1591455568044729777_3660670185</t>
  </si>
  <si>
    <t>Move on..... keep on going..... #superiogapaulojunqueira #superioga #iogadinamica #ardhauttanasana #moveon #keepongoing #thisislife #ibirapuera #sol #vida #life</t>
  </si>
  <si>
    <t>Pq. Ibirapuera</t>
  </si>
  <si>
    <t>vida</t>
  </si>
  <si>
    <t>ardhauttanasana</t>
  </si>
  <si>
    <t>iogadinamica</t>
  </si>
  <si>
    <t>lilyesilia</t>
  </si>
  <si>
    <t>1591455687865784410_54831745</t>
  </si>
  <si>
    <t>Avkoppling när det behövs som mest 💗#avkoppling#endagitaget#kämpa#keepongoing#keepcalm#lantliv#sjö#brygga#lugn</t>
  </si>
  <si>
    <t>lantliv</t>
  </si>
  <si>
    <t>endagitaget</t>
  </si>
  <si>
    <t>avkoppling</t>
  </si>
  <si>
    <t>sjö</t>
  </si>
  <si>
    <t>ky_montoya</t>
  </si>
  <si>
    <t>1591461907926311334_37605705</t>
  </si>
  <si>
    <t>So long story short Friday night I had a meltdown before my NCLEX(the nerves were real!) my sister had sent me all these funny pictures and said I had to post them when I found out the results...Well I'm pleased/relieved to announce that I PASSED my PN NCLEX!! Next goal is to be able to put "RN" behind my name! #nursingschool #soexcited #sorelieved #keepongoing</t>
  </si>
  <si>
    <t>soexcited</t>
  </si>
  <si>
    <t>sorelieved</t>
  </si>
  <si>
    <t>nursingschool</t>
  </si>
  <si>
    <t>islamaallah</t>
  </si>
  <si>
    <t>1591468954391837662_5677209617</t>
  </si>
  <si>
    <t>liveandletlive</t>
  </si>
  <si>
    <t>inspireothersbybeingyou</t>
  </si>
  <si>
    <t>confidentwoman</t>
  </si>
  <si>
    <t>inspirationalwomen</t>
  </si>
  <si>
    <t>huntingthings</t>
  </si>
  <si>
    <t>welcometothegreatlife</t>
  </si>
  <si>
    <t>1591470423764125729_1565303231</t>
  </si>
  <si>
    <t>#Love 🍭🍡🍬🦋☀️ #Happiness #FollowYourPassion #NeverGiveUp ✨✨🌙⚡️🌈 #KeepOnGoing #Believe #DoIt #EnjoyEverything #Thankful 🌍</t>
  </si>
  <si>
    <t>enjoyeverything</t>
  </si>
  <si>
    <t>1591471147031887246_267746472</t>
  </si>
  <si>
    <t>Il brindisi è sempre a noi, perché ogni minuto passato insieme è il più prezioso che io possa desiderare!@vanessita_holahola #love#lovequote#us#drinkporn#wine#italian#sushi#tartare#asianfood#foodporn#relationshipgoals#couplegoals#cincin#holahola#like4like#likeback#tagsta#tagsforlikes#f4f#igermilano#iger#picoftheday#keepongoing#foodie#bloggerlife</t>
  </si>
  <si>
    <t>Restaurant Youshi Cascina Merlata</t>
  </si>
  <si>
    <t>italian</t>
  </si>
  <si>
    <t>tartare</t>
  </si>
  <si>
    <t>patchi_andrade</t>
  </si>
  <si>
    <t>1591474353919351999_540668401</t>
  </si>
  <si>
    <t>inner, outer, self #selfreflection #creativeenergy #unicorn #keepongoing #leorising #leao #creatividade #innout #expression</t>
  </si>
  <si>
    <t>leorising</t>
  </si>
  <si>
    <t>selfreflection</t>
  </si>
  <si>
    <t>expression</t>
  </si>
  <si>
    <t>innout</t>
  </si>
  <si>
    <t>creativeenergy</t>
  </si>
  <si>
    <t>1591477376705828125_2260601957</t>
  </si>
  <si>
    <t>Dualities exist in nature everywhere. You cannot have one without the other it is intrinsic to life, but it can be to our downfall that we tend to focus on the negative. You might feel the world is against you sometimes but this is not the case, nature doesn't have favourites. 
#
#artofthedesignedlife</t>
  </si>
  <si>
    <t>primed</t>
  </si>
  <si>
    <t>startnow</t>
  </si>
  <si>
    <t>fitcoachjan</t>
  </si>
  <si>
    <t>1591483574704393737_3205521037</t>
  </si>
  <si>
    <t>Happy Monday everyone!! Keep on going with those goals this week! I'm cheering you on! :) -
-
-
#fitcoachjan #teamlovemylife #fitcoach #fitnesscoach #mondaymotivation #mondays #motivationalmonday #quoteoftheday #dailyquotes #nodaysoff #noexcuses #joinmyteam #starttoday #letsdothis #dontstop #keepongoing</t>
  </si>
  <si>
    <t>starttoday</t>
  </si>
  <si>
    <t>fitnesscoach</t>
  </si>
  <si>
    <t>leonievandewalle</t>
  </si>
  <si>
    <t>1591483956544149749_2074948630</t>
  </si>
  <si>
    <t>I ❤️ tennis 🎾 #match #tennis #keepongoing #toernooi</t>
  </si>
  <si>
    <t>match</t>
  </si>
  <si>
    <t>toernooi</t>
  </si>
  <si>
    <t>tennis</t>
  </si>
  <si>
    <t>safe.harbor.mt</t>
  </si>
  <si>
    <t>1591484591076487303_5654857175</t>
  </si>
  <si>
    <t>Good morning SKC and surrounding communities! I hope you had a wonderful weekend! I am back from our trip and will be posting again.  Quick introduction I am Kayla the Campus Advocate. I am located in the Agnes Kenmille building. 
#skcollege #flathead #college #tribalcollege #summertime #enjoytheday #beanactivebystander #domesticviolenceawareness #stalkingawareness #sexualassaultawareness #advocacy #withhelpcomeshope #youarenotalone #keepongoing #dowhatyoucan #hope #peace #love #light</t>
  </si>
  <si>
    <t>flathead</t>
  </si>
  <si>
    <t>withhelpcomeshope</t>
  </si>
  <si>
    <t>tribalcollege</t>
  </si>
  <si>
    <t>advocacy</t>
  </si>
  <si>
    <t>minnaparjo</t>
  </si>
  <si>
    <t>1591485151644026250_438695824</t>
  </si>
  <si>
    <t>In love with the road ✨ #keepongoing #lovingtheroad #destinationwhereever #awesomeride #rangerover #rangerovervogue #autobiography ##ultimateluxury #purejoy #towardsthesun #happygirl 😎</t>
  </si>
  <si>
    <t>autobiography</t>
  </si>
  <si>
    <t>purejoy</t>
  </si>
  <si>
    <t>lovingtheroad</t>
  </si>
  <si>
    <t>rangerovervogue</t>
  </si>
  <si>
    <t>schobi1919</t>
  </si>
  <si>
    <t>1591485162968280796_265414843</t>
  </si>
  <si>
    <t>Vom Alk zum Hulk 💪😂 #motivationmonday #transformation #transformationtuesday #allthewayup #keepongoing #gangstarapmademedoit #vomalkzumhulk #motivation #berserkermode #fitness #proud #20kg #tranformationloading #fitforfun #hardwork #healthyfood #esndesignerwhey #hardworkpaysoff #fitinspiration #fitnessmotivation #builtbyme</t>
  </si>
  <si>
    <t>builtbyme</t>
  </si>
  <si>
    <t>fitforfun</t>
  </si>
  <si>
    <t>randomthoughtwala</t>
  </si>
  <si>
    <t>1591500096963545958_5480197821</t>
  </si>
  <si>
    <t>#powerofthought #randomness #positivethinking #randomthoughts #randomthoughtwala #nlpnetwork #motivationalquotes #instagood #instadaily #instaquote #inspiredaily #inspirationalquotes #rockybalboa #rockyboxingclub #trainhardplayhard #mondayvibe #keepongoing #fighttowin #persistanceiskey #rockymarciano #lifequotes #lifequotes #lifelesson #lageyraho</t>
  </si>
  <si>
    <t>rockyboxingclub</t>
  </si>
  <si>
    <t>fighttowin</t>
  </si>
  <si>
    <t>thmstslr</t>
  </si>
  <si>
    <t>1591503069861312417_4917738859</t>
  </si>
  <si>
    <t>Abendspaziergang geht in der Heimat immer. #walking #keepongoing #abendkitsch #relaxation #haveabreakhaveasunset</t>
  </si>
  <si>
    <t>Grabfeld</t>
  </si>
  <si>
    <t>abendkitsch</t>
  </si>
  <si>
    <t>haveabreakhaveasunset</t>
  </si>
  <si>
    <t>relaxation</t>
  </si>
  <si>
    <t>1591504488577698444_2323098024</t>
  </si>
  <si>
    <t>#gymtime#shoulders#bicep#cardio#happy #keepongoing</t>
  </si>
  <si>
    <t>theunionsa</t>
  </si>
  <si>
    <t>1591505085150385368_540924050</t>
  </si>
  <si>
    <t>"Try to look at your weakness and convert it into your strength. That's success."
-Zig Ziglar
A little Motivation for your Monday Morning! #MotivationalMonday
#KeepOnGoing 
Who's working out later? 💪</t>
  </si>
  <si>
    <t>tu</t>
  </si>
  <si>
    <t>jointheclub</t>
  </si>
  <si>
    <t>hotyoga</t>
  </si>
  <si>
    <t>pose</t>
  </si>
  <si>
    <t>beabyren</t>
  </si>
  <si>
    <t>1591506438533392272_145027306</t>
  </si>
  <si>
    <t>Sometimes I just need to look back for a second and remind myself of how far I've come in this two last years. From not be able to walk by myself to sometimes even run on a good day🙏🏼 Nothing is for free...I have to work to get some results💪🏼 Love😘❤️
#throwback #life #wiplash #backinjury #caraccident #keepongoing #nevergiveup #makeachoice #makeyourownhappiness #rehab #hardwork #workhard #hardworkpaysoff</t>
  </si>
  <si>
    <t>makeyourownhappiness</t>
  </si>
  <si>
    <t>backinjury</t>
  </si>
  <si>
    <t>1591510272839826767_1774981442</t>
  </si>
  <si>
    <t>Don't let it happen! Make thinking positive a habit just like you've become to think about the worst thing that could possibly happen. You can change your mind! #thinkpositive #goodvibes #goodvibrations #positivevibes #positiveenergy #youcandoit #keepongoing #followmeplease #followme #followus #followusplease #follow4follow #followforfollow #followtrain #followfollowback</t>
  </si>
  <si>
    <t>followus</t>
  </si>
  <si>
    <t>followtrain</t>
  </si>
  <si>
    <t>kaylarae_rocks</t>
  </si>
  <si>
    <t>1591513787148375779_23306782</t>
  </si>
  <si>
    <t>Those sleepless nights. 😴#motherhood #babyleonie #babiesofinstagram #keepongoing</t>
  </si>
  <si>
    <t>motherhood</t>
  </si>
  <si>
    <t>babiesofinstagram</t>
  </si>
  <si>
    <t>babyleonie</t>
  </si>
  <si>
    <t>marcel__viljoen</t>
  </si>
  <si>
    <t>1591516382742636223_2137559332</t>
  </si>
  <si>
    <t>Almost there for my summer body
#SummerBody
#KeepOnGoing</t>
  </si>
  <si>
    <t>summerbody</t>
  </si>
  <si>
    <t>sinziananegres</t>
  </si>
  <si>
    <t>1591517628568741225_1004104349</t>
  </si>
  <si>
    <t>#suzysdream #keepongoing #love #photography #photoshoot #summer #vacation #greece #cliffedge #sea #waves #ootd #sunlight #longhair #allblack #happiness #smile #beautiful #photooftheday #instadaily #instagood #peace #joy</t>
  </si>
  <si>
    <t>Karnagio Thassos Beach Bar</t>
  </si>
  <si>
    <t>sunlight</t>
  </si>
  <si>
    <t>1591518033998701329_13770138</t>
  </si>
  <si>
    <t>Rondje 🔥🔥 op de horte, in de omgeving van Zwolle. Vandaag in het bos gegaan omdat anders te warm was, maar als je zo hard gaat dan is toch nog warm 😅 lekker begin van de week! Nog een week of 10 tot aan de berenloop! Fijne werkweek allemaal 🙋🏼‍♂️
.
.
.
#keepongoing #houserunners #hardlopers #hardlopen #instarunners #hardgaan #run #running #tomtom #marathon #marathontraining instarunner #42195 #zwolle #berenloop #terschelling #maandag #mondaymotivation #horte #dehorte #hardlopenisleuk #laufen #strava #woods #bos</t>
  </si>
  <si>
    <t>Landschap Overijssel</t>
  </si>
  <si>
    <t>hardlopen</t>
  </si>
  <si>
    <t>1591518146899008315_40619315</t>
  </si>
  <si>
    <t>Aufgeben ist nicht... auch wenn mir erst nicht nach Laufen war und es auch sehr beschwerlich war, nach dem HIIT waren die Beine leichter und die Atmung ging auch besser 😉 #keepongoing #nevergivingup
.
.
.
#natur #naturliebe #laufen #laufenmachtglücklich #happiness #germering #abnehmen2017 #weightlossjourney #running #runninggirl #laufenfürdieseele #sommerabend #fitfam #runtastic #runtasticpro #runtasticgirl #fürmehrrealitätaufinstagram #motivation #afterrunselfie #hiit #hiitrun</t>
  </si>
  <si>
    <t>hiitrun</t>
  </si>
  <si>
    <t>nessa6297</t>
  </si>
  <si>
    <t>1591522319266764815_1688185666</t>
  </si>
  <si>
    <t>As someone who has a very vivid imagination this is true. 9 times out of 10 what think will happen does. 
@Regrann from @astrologyanswers -  Don't let it happen! Make thinking positive a habit just like you've become to think about the worst thing that could possibly happen. You can change your mind! #thinkpositive #goodvibes #goodvibrations #positivevibes #positiveenergy #youcandoit #keepongoing #followmeplease #followme #followus #followusplease #follow4follow #followforfollow #followtrain #followfollowback</t>
  </si>
  <si>
    <t>charlieandrea_new_</t>
  </si>
  <si>
    <t>1591524149276037852_5898639215</t>
  </si>
  <si>
    <t>Eyebrows need doing hairs a mess &amp; no makeup but still smiling !😌 #KeepOnGoing 💪🏼</t>
  </si>
  <si>
    <t>1591525695689956377_1360876445</t>
  </si>
  <si>
    <t>100 days of inspiration_x000D_Day 6 - Me_x000D__x000D_People were of the view that you should have been the first one on Day 1. I agree. I have been inspiring myself._x000D_But this I am doing on daily basis and not on past records._x000D_Why me on Day 6?_x000D_I have done a hell lot of work today. Only I wished to have dozen hands and 2 brains more 😃 _x000D_I realised I have tremendous potential. The area where I thought was weak, I ventured into those today._x000D_Hard work and will power- the recipe for today._x000D__x000D_I aspire to be this hard working and unwilling to succumb to downfalls._x000D_Thank you @Sukriti28bhardwaj for being what you are ❤ ._x000D_._x000D_._x000D_._x000D_._x000D_._x000D_._x000D_#100daysofinspiration #sukritibhardwaj #memyself  #happiness #inspireeachother #motivation #willpower #determination #everdaymotivation #instadaily #toughgetsgoing #faceadversities #challengeyourself #writersofinstagram #writerscommunity #willpower #undeterred #letsdoit #eventstylist #hardworkpays #keepongoing #inspiringstories</t>
  </si>
  <si>
    <t>hardworkpays</t>
  </si>
  <si>
    <t>antlerfinder</t>
  </si>
  <si>
    <t>1591527350477451492_1515328229</t>
  </si>
  <si>
    <t>Been focusing more on my arms and less on my chest. Need more time for some balance. Doubled legs and arms today. 😁✌🏻 #gym #gymtime #gymrat #fit #fitness #keepongoing</t>
  </si>
  <si>
    <t>1591529734997774382_4678264587</t>
  </si>
  <si>
    <t>- 6:55 vs PB !!! 😳😍😀
🔥🔥🔥 #hellweek 🔥🔥🔥 #day2
Never have been this fast on GAIA (endurance) guys! I still can't believe it.. 2 months ago I was performing with 30:56.. 😅
This is a HUGE progression! This is the proof that EVERYTHING is POSSIBLE if you give yourself the means 💪🏻
BTW, I don't remember having ever sweat like that after a training.. 😂😂
#Freeletics #bodyweight #freeleticsangers #freeleticsecouflant #hippodrome #angers #ecouflant #freeathlete #freeleticslifestyle #fit #fitness #fitnessmotivation #stayinshape #betterversionofyourself #keepongoing #trainingday #workout #noexcuses #keeppushing #harder</t>
  </si>
  <si>
    <t>1591531713947702831_5849430942</t>
  </si>
  <si>
    <t>Souvenir des 20km de Bruxelles 2016 💪💙 1ère participation 🏆 🏃‍♀️
Temps médiocre lol 2h45 😅
Mais fière de ma médaille 🥇 ha ha ha 👏
#runninggirl #running #20kmdebruxelles #justdoit #justdoyourbest #keepongoing #beproudofyourself #runnerscommunity #happyrunner #runnerslife #runningtime #runnersofinstagram #🥇</t>
  </si>
  <si>
    <t>Brussels, Belgium</t>
  </si>
  <si>
    <t>beproudofyourself</t>
  </si>
  <si>
    <t>dimi_fitrun</t>
  </si>
  <si>
    <t>1591532151604952402_4163584777</t>
  </si>
  <si>
    <t>Een uur alles geven en daarbij genieten van de ondergaande zon... schitterend toch 😎🚴🏼😁. #sportersbelevenmeer #mtbpictureoftheday #mtb #keepinshape #runningalternative #takeittothenextlevel #allesgeven #keepongoing #lovecycling #25kselfie #mtbtour #greatweather #imlovinit #carpediem #afterworkout</t>
  </si>
  <si>
    <t>allesgeven</t>
  </si>
  <si>
    <t>afterworkout</t>
  </si>
  <si>
    <t>runningalternative</t>
  </si>
  <si>
    <t>greatweather</t>
  </si>
  <si>
    <t>25kselfie</t>
  </si>
  <si>
    <t>1591532514194577434_1781113481</t>
  </si>
  <si>
    <t>Pink and turquoise skies in Novigrad, Croatia. Photo by @kardinalmelon
.
.
.
.
.
.
.
.
#livefornow #travelingyogi #waycoolshots #resourcetravel #yogaclass #keepongoing #liveforit #yogastrong #lifeissimple #liveforthis #adventureculture #traveligram #instatravels #yogagirls #ilovetravelling #travelblogger #travelcouple #paradisepark #addictedtotravel #sky #hlobelletravels #spiritualawakening #keepitgoing #moodygrams #epicgetaway</t>
  </si>
  <si>
    <t>epicgetaway</t>
  </si>
  <si>
    <t>yogagirls</t>
  </si>
  <si>
    <t>addictedtotravel</t>
  </si>
  <si>
    <t>1591532518632086259_396521172</t>
  </si>
  <si>
    <t>New York City Underground. Photo by @theinkedshooter
.
.
.
.
.
.
.
.
#bestvacations #leaveonlyleaves #igers #earthfocus #femaletravel #vacationlife #backpackerlife #hijabtraveler #choosejoy #keepongoing #ecotravel #biketravel #lifeisnow #beachbunny #adventurers #getoutstayout #meditatedaily #lifechoices #lifeisfun #traveltrailer #keepittight #beachbar #islandvibes #beachboy #paradisetour</t>
  </si>
  <si>
    <t>backpackerlife</t>
  </si>
  <si>
    <t>beachbunny</t>
  </si>
  <si>
    <t>leaveonlyleaves</t>
  </si>
  <si>
    <t>1591535871325068961_4230196596</t>
  </si>
  <si>
    <t>Fit and beautiful @jossanforsberg 💕</t>
  </si>
  <si>
    <t>hashtagpeje</t>
  </si>
  <si>
    <t>1591538878823973252_174499905</t>
  </si>
  <si>
    <t>Training mode!! #arms #training #fitness #hulk #muscle #muscless #biceps #progress #bulk #keepongoing #healthy #peje #hashtagpeje #youtuber</t>
  </si>
  <si>
    <t>hulk</t>
  </si>
  <si>
    <t>1591539260471842572_279512262</t>
  </si>
  <si>
    <t>Вот так, на улице была, а фото выложит забыла. Это все дождь, промочивший мне ноги.
И все равно я кайфую от погоды.
.
#loveinmoscow #daily #seemymoscow #summertimesadness #madrussians #moscowcity #moscowlife #livelife #lifeex #livy #livestory #livethedream #liveauthentic #authentic #abmhappylife #abmlife #abmcolorcontest #abmlifeissweet #abmlifeiscolorful #citylife #vsco #vibes #vscocam #vscodaily #keepcalm #keepongoing #keeponwalking</t>
  </si>
  <si>
    <t>Spass Tower Festival / Фестиваль Спасская Башня</t>
  </si>
  <si>
    <t>irdapane</t>
  </si>
  <si>
    <t>1591545140115472046_3100421756</t>
  </si>
  <si>
    <t>Back to the basics... que l'or em doni força i el foc energia per a superar amb èxit aquesta prova! #goodluck #lucky#pepsilightaddicted #motherinlaw #keepongoing</t>
  </si>
  <si>
    <t>Tárrega</t>
  </si>
  <si>
    <t>goodluck</t>
  </si>
  <si>
    <t>motherinlaw</t>
  </si>
  <si>
    <t>lucky</t>
  </si>
  <si>
    <t>pepsilightaddicted</t>
  </si>
  <si>
    <t>stippsi</t>
  </si>
  <si>
    <t>1591547970809900280_3154771617</t>
  </si>
  <si>
    <t>Montags ganz typisch Brust/Bizeps trainiert - sehr fantasielos 😒 aber irgendein Highlight braucht auch ein Montag, schließlich kann er ja nichts dafür dass er ist was er ist. Ein Tag ist nur dann schlecht, wenn man ihn selbst dazu macht - daher am besten jeden Tag etwas tun was einem Freude macht. 😊😘 ich wünsche euch einen schönen Abend.
#mcfit #austria #gymwarrior #fitnessaddicted #bb #carinthia #gymjunky #fitnesslife #dontstop #enjoylife #focus #gymlove #fitnessgirl #justdoit #keepongoing #gym #girlswholift #bodybuilding #loveyourself #fitnessmotivation #nike #proudtobemcfit #staystrong #vienna #staymotivated #gettingstronger #fitnesslover #workoutdone</t>
  </si>
  <si>
    <t>gymjunky</t>
  </si>
  <si>
    <t>1591550123367099033_4991812217</t>
  </si>
  <si>
    <t>Be different. Be you. Those who love you will be right there outside the box with you!
#inspirationalquotes #inspire #positivethinking #focus #success #successquotes #hardwork #entrepreneur #entrepreneurlife #boss #keepongoing #beyourself</t>
  </si>
  <si>
    <t>livelaughlift</t>
  </si>
  <si>
    <t>1591551605526001435_34386425</t>
  </si>
  <si>
    <t>Shoutout to all the people that not only dream it, but do it. 👌🏼👌🏼👌🏼#entrepreneur #entrepreneurlifestyle #bossbabe #getonmylevel #realshit #everydamnday #everydaystruggle #dreamersanddoers #dreamersunite #doers #grinditout #grinding #dontstopgetitgetit #keepongoing #keeponkeepinon #fitspo #fitfam #fitspiration #fitstudio #lovethis #motto #everydaymotto #iam1stphorm #1stphorm #legionofboom #legionnaire #thephysiofix</t>
  </si>
  <si>
    <t>getonmylevel</t>
  </si>
  <si>
    <t>fitspiration</t>
  </si>
  <si>
    <t>dontstopgetitgetit</t>
  </si>
  <si>
    <t>realshit</t>
  </si>
  <si>
    <t>sharondrijanski</t>
  </si>
  <si>
    <t>1591552321777704251_225383145</t>
  </si>
  <si>
    <t>#keepongoing #monday Ajak Deng photographed by Egor Tsodov for @numerorussia September 2017.</t>
  </si>
  <si>
    <t>gabby.sleasman</t>
  </si>
  <si>
    <t>1591559062007578303_5552056608</t>
  </si>
  <si>
    <t>Hey Instagram!!! I'm so happy to say that I'm going for my BIGGEST promotion yet this month! The past few months have made me closer than ever but I still need some more orders!! I have 2 ways you can help me!! 1. Order a product of your choice for me and receive my discount!!! 2. Post a status for me and receive a free product!!! Either way will help me out SO much! I only have a few more days to reach this and I know with your help I can do this 💕
Please comment below or message me privately if you would like to contribute at all to helping me reach my promotion!
•
•
•
•
•
•
•
•
•
#happymonday😊 #like4likeback #followforfollow #supportsmallbusiness #supportyourfriends #mondaymotivation #keepongoing #iwontgiveup #likemyrecent #followtrain #momlife #throwback #mommasgirl #workfromhomemommy #helpme #gaintrick #picoftheday #workfromanywhere #buildanempire #like4like #follow4follow #reachyourgoal #aimhigh #achieveit #bossbabe #positivityonly #bossmoves</t>
  </si>
  <si>
    <t>supportyourfriends</t>
  </si>
  <si>
    <t>like4likeback</t>
  </si>
  <si>
    <t>likemyrecent</t>
  </si>
  <si>
    <t>1591560435751119666_2224047307</t>
  </si>
  <si>
    <t>The only reason I'm FAT is because I put all my happiness in my tiny body.
Ano raw??? Hehehe
#iammrlookboy 
#keepongoing</t>
  </si>
  <si>
    <t>1591561438365854064_4227693236</t>
  </si>
  <si>
    <t>Good Morning! 🍑 @elizabethzaks</t>
  </si>
  <si>
    <t>fitnesspageforall</t>
  </si>
  <si>
    <t>fitfanatic</t>
  </si>
  <si>
    <t>squatbeauty</t>
  </si>
  <si>
    <t>bodybuild</t>
  </si>
  <si>
    <t>athleticgirl</t>
  </si>
  <si>
    <t>1591567199848222142_2715478190</t>
  </si>
  <si>
    <t>Went for a big training day on Bank holiday Monday, 4 mile run on the morning with OCR hubbie , then  2000ms in pool, 13 mile bike ride and finished off with another shot at 5k in under 30 mins next stop Spartan Super competitive wave on Saturday followed by 3 laps of Nuts challenge on Sunday 😬#ocrgirl #ocr #ocrtraining #obstaclecoursetraining #obstaclecourseracing #obstaclecourse #spartans #spartanrace #ironviking #ocrfun #training #trainhard #keeptrying #keepongoing #fittness #swimtraining #triathlonvirgin #triathlontraining</t>
  </si>
  <si>
    <t>ocrfun</t>
  </si>
  <si>
    <t>triathlonvirgin</t>
  </si>
  <si>
    <t>summer.nightsx</t>
  </si>
  <si>
    <t>1591567312790725602_5945182384</t>
  </si>
  <si>
    <t>#quotesoftheday #simplebutgood #dontgiveup #keepongoing #nothingisover #staymotivated #staystrong #motivationalquote #mentalhealth #loveyourself 👍🏼</t>
  </si>
  <si>
    <t>nothingisover</t>
  </si>
  <si>
    <t>1591568356443295005_5916048423</t>
  </si>
  <si>
    <t>Best laundry day caption? 👚👕👖
____________________________________
- Follow Me👉🏼 @lux.inspire 👈🏼
- Follow Me👉🏼 @lux.inspire 👈🏼
____________________________________
💡Turn on Notifications to See New Posts
💡Share with friends, family, and followers</t>
  </si>
  <si>
    <t>just_another_one_of_the_guys</t>
  </si>
  <si>
    <t>1591569255860713078_1355219513</t>
  </si>
  <si>
    <t>Feeling worth it today. #keepongoing #worthit</t>
  </si>
  <si>
    <t>myworld_myloveur</t>
  </si>
  <si>
    <t>1591575243130755770_5806695322</t>
  </si>
  <si>
    <t>Les paroles d'amour sont comme des flèches lancées par un chasseur. Le cerf qui les a reçues continue à courir et l'on ne sait pas tout de suite que la blessure est mortelle.
Regarder moi cette perfection, ma perfection.
#lyrics #love #as #arrows #launch #hunter #deer #keepongoing #run #allofafter #injury #deadly #photography #champagne #beautifulman #perfection #myperfection #l4l #f4f #mybirthday</t>
  </si>
  <si>
    <t>beautifulman</t>
  </si>
  <si>
    <t>deadly</t>
  </si>
  <si>
    <t>allofafter</t>
  </si>
  <si>
    <t>yao.oxy</t>
  </si>
  <si>
    <t>1591577023603528524_5768294121</t>
  </si>
  <si>
    <t>'When life knocks you down, faith picks you up' #true #getup
#mybaby #coco #keepongoing #bobbycar #blackandwhitephoto #sweet #babyboy #love #car #racing #quotes #mumlife #coolkids</t>
  </si>
  <si>
    <t>bobbycar</t>
  </si>
  <si>
    <t>mumlife</t>
  </si>
  <si>
    <t>babyboy</t>
  </si>
  <si>
    <t>1591581151989071350_1516203357</t>
  </si>
  <si>
    <t>¿A qué sería estupendo ir a la charcutería y decir: oiga, póngame un cuarto y mitad de éxito? Pero hágame el favor de poner otro corte distinto al de la semana pasada que quedó soso. A continuación la Pildorita numero XVI.
#listosparadespegue #fly #youcan #pilot #aircraft #vamos #tupuedes #move #keepongoing #beyou #bepositive #staypositive #smile #enjoy #workout #nolimits #flyadicted #flyholic #takeoff #landing #workhard #beready #change #staycool #yourock #flawless #staycalm</t>
  </si>
  <si>
    <t>flyholic</t>
  </si>
  <si>
    <t>lindsays.journey</t>
  </si>
  <si>
    <t>1591583638825251754_1264093956</t>
  </si>
  <si>
    <t>#handlettering #bulletjournal #quote #motivationalquotes #keepongoing</t>
  </si>
  <si>
    <t>bulletjournal</t>
  </si>
  <si>
    <t>_stabbmoom_</t>
  </si>
  <si>
    <t>1591584305056901077_1939677294</t>
  </si>
  <si>
    <t>"Tienes que esperar cosas de ti antes de poder hacerlas" 
#lunes #legday #motivation #gymtime #gym #timetogo #fit #fitnessgirl #fitnessmotivation #passion #bodybuilding #bodytransformations #keepongoing #roadto #sacrifice #moment #reflexion #seguir</t>
  </si>
  <si>
    <t>reflexion</t>
  </si>
  <si>
    <t>timetogo</t>
  </si>
  <si>
    <t>seguir</t>
  </si>
  <si>
    <t>rosyredapple</t>
  </si>
  <si>
    <t>1591594490111786446_362264832</t>
  </si>
  <si>
    <t>35.8 - it's ok to wallow (but not for too long)
I know there's no such thing as luck, but honestly I get fed-up picking myself up again and again. Sometimes it's ok to have a bloody good cry and remember that tomorrow is a new day. I'm tired but I'm loved (the dog on my lap and the large mug of prosecco is helping too). Also where does all of my money go? #couldbeworse #mentalhealth #keepongoing #backtowork #whowantstobuyakidney</t>
  </si>
  <si>
    <t>backtowork</t>
  </si>
  <si>
    <t>whowantstobuyakidney</t>
  </si>
  <si>
    <t>couldbeworse</t>
  </si>
  <si>
    <t>merry_in_wonderland</t>
  </si>
  <si>
    <t>1591595457996519806_1619564473</t>
  </si>
  <si>
    <t>This is the best thing at my work place. My employer feeds us healthy nomnom weekly. 😊✨💜🌿🙏🏻 #healthysnacks #eathealthy #fruta #fruit #snack #hobbitneedsheryummies #banana #berries #betterchoise #OMNOMNOM #instagood #instafood #hunger #keepongoing #thisislife #thisisfreedom #thankstoemployer #thankful</t>
  </si>
  <si>
    <t>betterchoise</t>
  </si>
  <si>
    <t>annemariehosbond</t>
  </si>
  <si>
    <t>1591596944819301621_4847619438</t>
  </si>
  <si>
    <t>What a weekend with my horses at #danishderbyhorseshows 💕😄 Diva Unik ended up 3rd in the PSG, and 4th in INT1.  ML's Zeline (BH Zack/Lorentin 1) got a silver medal 🏅 and I bought a superb foal by Sezuan/schwardroneur from @thomasbachjensen together with @annedorteberthelsen and Palsgaard😍 also really proud of Kenneth, placed in his first GP with Tailormade Lancelot🌟 #proud #competetion #danishwarmblood #silvermedal #dressagehorse #keepongoing #futurestar #makersgonnamake #dreambig #stallion #mare #eliteskue #elite</t>
  </si>
  <si>
    <t>futurestar</t>
  </si>
  <si>
    <t>danishderbyhorseshows</t>
  </si>
  <si>
    <t>competetion</t>
  </si>
  <si>
    <t>dressagehorse</t>
  </si>
  <si>
    <t>danishwarmblood</t>
  </si>
  <si>
    <t>llramydaniels</t>
  </si>
  <si>
    <t>1591597083767482313_4298145642</t>
  </si>
  <si>
    <t>It's easy to look at others in your field and feel jealous of their success. What we something forget is that they (most likely) didn't just happen upon that success. They worked for it. Keep working toward your goals. You'll be enjoying the view from the top before you thought you would. 
#motivationmonday #smallbusiness #smallbusinessowner #goals #keepongoing #keeponkeepinon #yougotthis</t>
  </si>
  <si>
    <t>smallbusinessowner</t>
  </si>
  <si>
    <t>babo.mstyle</t>
  </si>
  <si>
    <t>1591599959727415844_1605760583</t>
  </si>
  <si>
    <t>Getting signs to plan a trip 😇😅someday
#trip #thaidrama #sign #hormones #school #youth #วัยว้าวุ่น #someday #forsure #flying #over #dream #cometrue #keepongoing</t>
  </si>
  <si>
    <t>forsure</t>
  </si>
  <si>
    <t>1591605873780055263_3156182942</t>
  </si>
  <si>
    <t>Stop "shoulding" all over yourself
Saying you "should" do this or that.
You're here. You're in this moment. That's all that matters. 🌱 #shotstoshakes</t>
  </si>
  <si>
    <t>1591612220962133213_5339165643</t>
  </si>
  <si>
    <t>Quite true 😂😂
.
#entrepreneurlife #entrepreneur #businesswoman #businesswomen #businessmom #affiliateprogram #successful #success #successfulquotes #keepongoing #sparkleoftheday #marketingdigital #marketing #laptoplifestyle #uk #usa #canada #newzealand #australia #behappy</t>
  </si>
  <si>
    <t>businessmom</t>
  </si>
  <si>
    <t>traveltheworld_97</t>
  </si>
  <si>
    <t>1591613946019604531_5946353846</t>
  </si>
  <si>
    <t>This is 100% true ! #traveling #youngtraveler #traveltheworld #makeyouricher #followyourdreams #lifeisshort #nofinaldestination #endlessdreams #longamazingjourney #life #live #nevergiveup #keepongoing #loveyourself #loveyourlife #homewillalwaysbehere #newfoundland #newfie #theworldismylimit #adventuretravel #adventureawaits #follow4follow</t>
  </si>
  <si>
    <t>Newfoundland and Labrador</t>
  </si>
  <si>
    <t>makeyouricher</t>
  </si>
  <si>
    <t>theworldismylimit</t>
  </si>
  <si>
    <t>1591614507309285224_5906308093</t>
  </si>
  <si>
    <t>Domingo de fotos #SPIN  #springsummer2018 en #valledeguadalupe.
#lovedesign #keepongoing #fotoshoot</t>
  </si>
  <si>
    <t>springsummer2018</t>
  </si>
  <si>
    <t>fotoshoot</t>
  </si>
  <si>
    <t>valledeguadalupe</t>
  </si>
  <si>
    <t>samalander.jo</t>
  </si>
  <si>
    <t>1591634561099850570_2196339537</t>
  </si>
  <si>
    <t>Deciding to make some changes is hard... But new shoes can always make it easier 👟😉💪</t>
  </si>
  <si>
    <t>myjudotechniques</t>
  </si>
  <si>
    <t>1591643537479751182_5949431766</t>
  </si>
  <si>
    <t>When you feel like #Quitting remember #Why you started! #HardWork #AllIn #KeepOnGoing #Training #Motivation #QuoteOfTheDay #InstaMotivation #Judo #Dojo #Gi #MartialArts #Sports #BlackBelt</t>
  </si>
  <si>
    <t>k0f1</t>
  </si>
  <si>
    <t>1591647654719043904_416653935</t>
  </si>
  <si>
    <t>When you're playing around on the bars and the young gunz want to get involved 👊🏾💯
#younggunz#parklife#parkworkout#future#bartenders#motivation#keepongoing#educatetheyouth</t>
  </si>
  <si>
    <t>King George V Park</t>
  </si>
  <si>
    <t>educatetheyouth</t>
  </si>
  <si>
    <t>parkworkout</t>
  </si>
  <si>
    <t>bartenders</t>
  </si>
  <si>
    <t>parklife</t>
  </si>
  <si>
    <t>1591654804831922375_257202554</t>
  </si>
  <si>
    <t>#keepongoing #oneweekleft #newjob #travelingaustralia</t>
  </si>
  <si>
    <t>travelingaustralia</t>
  </si>
  <si>
    <t>oneweekleft</t>
  </si>
  <si>
    <t>feel_fit_fitness_gym</t>
  </si>
  <si>
    <t>1591656324437644179_4237281144</t>
  </si>
  <si>
    <t>Come and try it! Train, enjoy &amp; have run learning mixed martial arts. #bestgymever #mma #notequites #noterindas #keepongoing #feelfitgympr</t>
  </si>
  <si>
    <t>bestgymever</t>
  </si>
  <si>
    <t>feelfitgympr</t>
  </si>
  <si>
    <t>vonnie1999ja</t>
  </si>
  <si>
    <t>1591658925911410181_1351871249</t>
  </si>
  <si>
    <t>#TRUTH #winners #focus #winning #losers #losing #inspirationalquotes #inspiration #believeinyourself #dontstop #determination #serious #selfesteem #selfemployed #selfempowerment #lifegoals #eagar #keepongoing #keepon #pictureoftheday</t>
  </si>
  <si>
    <t>losing</t>
  </si>
  <si>
    <t>1591660477092420293_229875516</t>
  </si>
  <si>
    <t>Morning Runs are a real drag especially when U r enjoying those warm cosy moments just before U stir...been having longer nights the past week or so cos my boy has been unwell and his bad cough and fever were keeping him awake. I'm glad (with God's Grace) that he is almost fully recovered now stronger than before! Thank U Daddy God...hang in there &amp; keep on going! #healthy #lifestyle #living #liveitup #asics #nimbus18 #morning #jog #motivated #determined #keepongoing #sgig #casio #Gshock #gf8250cm #camo #frogman #froggie #frog #wristcheck #wristcandy #wristporn #watchporn #sweatitout #swagsg #resolute #keepongoing #watchanish #watchfam</t>
  </si>
  <si>
    <t>wristporn</t>
  </si>
  <si>
    <t>wristcandy</t>
  </si>
  <si>
    <t>swagsg</t>
  </si>
  <si>
    <t>frogman</t>
  </si>
  <si>
    <t>onesharpwill</t>
  </si>
  <si>
    <t>1591671948815711950_2214170254</t>
  </si>
  <si>
    <t>Get a few #laughs and #smiles in. #forget the rest and #keepongoing.
.
.
.
.
.
.
.
.
.
.
.
.
.
.
.
.
.
#foodforthought #drinks #jimbeam #dietcoke #fuckyeah #fuckmondays #forgetting #goahead #judgeme #drinking #alcohol #keepongoing #lightroom #mobilephotography</t>
  </si>
  <si>
    <t>dietcoke</t>
  </si>
  <si>
    <t>jimbeam</t>
  </si>
  <si>
    <t>laughs</t>
  </si>
  <si>
    <t>therealrosanerezende</t>
  </si>
  <si>
    <t>1591681026756167095_321563490</t>
  </si>
  <si>
    <t>#notaboutcollege lol 😂 .
.
.
.
.
.
#happyMonday #weareback #synchronicity #video #videooftheday #brunette #brazilian #craZy #savage #wild #sparkle #shine #keepongoing #wildflowers #dvf #funny #fun #joy #live #love #laugh</t>
  </si>
  <si>
    <t>crazy</t>
  </si>
  <si>
    <t>brunette</t>
  </si>
  <si>
    <t>just_that_kinda_woman</t>
  </si>
  <si>
    <t>1591687197021897590_295758972</t>
  </si>
  <si>
    <t>🙏🏻 Just don't ever lose faith.. And don't let those dreams die..
Remember your goals..
Reach for those stars.
Remain humble 👌🏻
Rome wasn't built in a day.
#positivevibes #keepongoing #justathought</t>
  </si>
  <si>
    <t>justathought</t>
  </si>
  <si>
    <t>1591693710474890726_287479761</t>
  </si>
  <si>
    <t>Oh look it cut off my sweaty no make up head! Got a great work out in at my house. Squats, squats and more dreadful squats. No I don't love squats. Deadlifts will forever be my love ❤️ #fitfam #fitmom #fitness #fitnessmotivation  #abs #keepongoing #icantfeelmylegs #dead</t>
  </si>
  <si>
    <t>icantfeelmylegs</t>
  </si>
  <si>
    <t>1591697803302433181_40740215</t>
  </si>
  <si>
    <t>I wanna get REAL for a minute! I wanna thank you for supporting me on my own health and fitness journey! It's still scary sometimes to share things on social media but I do it to hopefully motivate others and to keep myself accountable! I also share to show others that everyone's journey may look different but traveling the journey is what matters MOST!
 I LOVE the person I've become and I wanna get other women to love themselves and their journeys as well. 
So from the bottom of my heart, THANK YOU! Thank you to everyone who as showed me love rather it be a simple like on a picture or a message, i truly appreciate you💙</t>
  </si>
  <si>
    <t>1591718247429753836_5944730818</t>
  </si>
  <si>
    <t>Good morning ,guys ! May all of you have a nice day 😊💕. #goodmorning #morningmotivation #startyourdaywithasmile #inspirationalquotes #inspiration #loveyourself #love #friendship #family #motivationalquotes #motivation #dontgiveup #keepongoing #chaseyourdreams #liveyourdream</t>
  </si>
  <si>
    <t>1591722150364339128_5468355632</t>
  </si>
  <si>
    <t>I'm going to go make a bunch of edits prepare my tacos -🐠
-
-
-
#josh #tyler #jenna #twentyonepilots #bands #frens #laugh #myidols 
#loveyou #bestmusic #keepongoing #ibelieve #theyrethebest #funny #smile #tøpmemes #tøp #stayalive #inspiring  #beautifulpeople</t>
  </si>
  <si>
    <t>mie_gren</t>
  </si>
  <si>
    <t>1591723186784243876_4839757036</t>
  </si>
  <si>
    <t>I have a dark mind - but I need that, to see the light 🌓 #darkness #contrast #belive #havefaith #useit #itsagift #darknesisbeautiful #keepongoing #lifeisgood #univers #art #everythingissorrowgood #martinus @kasper.juhl @rose_staywoke</t>
  </si>
  <si>
    <t>martinus</t>
  </si>
  <si>
    <t>darknesisbeautiful</t>
  </si>
  <si>
    <t>everythingissorrowgood</t>
  </si>
  <si>
    <t>1591735687296430524_462344435</t>
  </si>
  <si>
    <t>Don't give up! Great things take time.  Progress comes with struggle, and without struggle, there will be no progress, so keep on doing what you do to achieve your dreams!
.
.
.
Persevere this Tuesday!
.
.
.
Blessings and to everyone!
.
.
.
#Bepositive #positivemindset  #seethegood #seethegoodineverything #believeyoucan #befearless #keeponmoving #keeponlearning #keepondoing #keepongoing #keeponbelieving #believeinyou #goodhabits #achieve #achieveyourdreams #achieveyourgoals #believeinyourdream #believeinyourselfie #keepthefaith #neverstoplearning #positivemindset #positivequotes #positivevibes #positiveminds #trustandbelieve #trustyourgut #yesyoucan #neverstoptrying #neverstopdoing #youcandoit</t>
  </si>
  <si>
    <t>DUBAI Mall</t>
  </si>
  <si>
    <t>nrtmama</t>
  </si>
  <si>
    <t>1591738067463190924_420644626</t>
  </si>
  <si>
    <t>Today's inspiration...
#keepongoing 
#holistichealingandnutrition</t>
  </si>
  <si>
    <t>Holistic Healing and Nutrition SC</t>
  </si>
  <si>
    <t>holistichealingandnutrition</t>
  </si>
  <si>
    <t>1591739397702997289_5468355632</t>
  </si>
  <si>
    <t>Jenna looks stunning in this picture 🔥
@jennaajoseph -🐠
-
-
-
#josh #tyler #jenna #twentyonepilots #bands #frens #laugh #myidols 
#loveyou #bestmusic #keepongoing #ibelieve #theyrethebest #funny #smile #tøpmemes #tøp #stayalive #inspiring  #beautifulpeople</t>
  </si>
  <si>
    <t>1591740943564015170_5468355632</t>
  </si>
  <si>
    <t>I love them so much not together but as friends, this is the relationship I want with my best friend one day. 😊😋💓💙
We're still working towards 180 I know we can make it!! -🐠
-
-
-
#josh #tyler #jenna #twentyonepilots #bands #frens #laugh #myidols 
#loveyou #bestmusic #keepongoing #ibelieve #theyrethebest #funny #smile #tøpmemes #tøp #stayalive #inspiring  #beautifulpeople</t>
  </si>
  <si>
    <t>german_magallanes_</t>
  </si>
  <si>
    <t>1591741141022941988_189021658</t>
  </si>
  <si>
    <t>Just keep on hitting it... #motivationmonday #fitlife #fitnessjourney #keepongoing #keeponfighting #nevergiveup #keepondoubtingme</t>
  </si>
  <si>
    <t>keeponfighting</t>
  </si>
  <si>
    <t>keepondoubtingme</t>
  </si>
  <si>
    <t>1591741443399236743_5468355632</t>
  </si>
  <si>
    <t>Where can I get these magazines? I'm actually being serious where can I get one? Plzzz let me know -🐠
-
-
-
#josh #tyler #jenna #twentyonepilots #bands #frens #laugh #myidols 
#loveyou #bestmusic #keepongoing #ibelieve #theyrethebest #funny #smile #tøpmemes #tøp #stayalive #inspiring  #beautifulpeople</t>
  </si>
  <si>
    <t>1591743333058023997_5409757454</t>
  </si>
  <si>
    <t>Stars can't shine without darkness.
Don't give up. Struggles are key for you to shine! Persevere and believe you can achieve your dreams!
.
.
.
#Bepositive #positivemindset #livelifetothefull #seethegood #seethegoodineverything #believeyoucan #befearless #keeponmoving #keeponlearning #keepondoing #keepongoing #keeponbelieving #believeinyou #achieveyourdreams #achieveyourgoals #believeinyourdream #believeinyourselfie #keepthefaith #neverstoplearning #positiveattitude #positivemindset #positivequotes #positivevibes #positiveminds #trustandbelieve #trustyourgut #yesyoucan #neverstoptrying #neverstopdoing #youcandoit</t>
  </si>
  <si>
    <t>Disneyland and California Advendure Amusement Park</t>
  </si>
  <si>
    <t>1591745624155795903_5468355632</t>
  </si>
  <si>
    <t>I ACTUALLY YELPED WHEN I AAW THIS , THIS IS THE MAN I LOOK UO TO AND IM RPOUD TO SAY THAT -🐠
-
-
-
#josh #tyler #jenna #twentyonepilots #bands #frens #laugh #myidols 
#loveyou #bestmusic #keepongoing #ibelieve #theyrethebest #funny #smile #tøpmemes #tøp #stayalive #inspiring  #beautifulpeople</t>
  </si>
  <si>
    <t>1591747329970676355_5468355632</t>
  </si>
  <si>
    <t>It's awful but proud of this -🐯 #josh #tyler #jenna #twentyonepilots #bands #frens #laugh #myidols #loveyou #bestmusic #keepongoing #ibelieve #theyrethebest #funny  #smile #tøpmemes #tøp #stayalive #inspiring #beautifulpeople</t>
  </si>
  <si>
    <t>1591749155717316737_1684424176</t>
  </si>
  <si>
    <t>1591750067491342553_5409757454</t>
  </si>
  <si>
    <t>I've never met a strong person with an easy past.
.
.
.
Your struggles in life make you a stronger and better person.
.
.
.
So don't give up and continue doing what you do to achieve your dreams!
.
.
.
#Bepositive #positivemindset #livelifetothefull #seethegood #seethegoodineverything #believeyoucan #befearless #keeponmoving #keeponlearning #keepondoing #keepongoing #keeponbelieving #believeinyou #goodhabits #achieve #achieveyourdreams #achieveyourgoals #believeinyourdream #believeinyourselfie #keepthefaith #neverstoplearning #positivequotes #positivevibes #positiveminds #trustandbelieve #trustyourgut #yesyoucan #neverstoptrying #neverstopdoing #youcandoit</t>
  </si>
  <si>
    <t>1591752050433506122_5468355632</t>
  </si>
  <si>
    <t>Shaking hands with the dark parts of my thoughts, no -🐯 #josh #tyler #jenna #twentyonepilots #bands #frens #laugh #myidols #loveyou #bestmusic #keepongoing #ibelieve #theyrethebest #funny  #smile #tøpmemes #tøp #stayalive #inspiring #beautifulpeople</t>
  </si>
  <si>
    <t>1591755372858043084_5409757454</t>
  </si>
  <si>
    <t>What others think of you is none of your business.
.
.
.
So focus on your dreams and achieve it!💪💪💪
.
.
.
Blessings!
.
.
.
#Bepositive #positivemindset #livelifetothefull #seethegood #seethegoodineverything #believeyoucan #befearless #keeponmoving #keeponlearning #keepondoing #keepongoing #keeponbelieving #believeinyou #achieveyourdreams #achieveyourgoals #believeinyourdream #believeinyourselfie #keepthefaith #neverstoplearning #positiveattitude #positivemindset #positivequotes #positivevibes #positiveminds #trustandbelieve #trustyourgut #yesyoucan #neverstoptrying #neverstopdoing #youcandoit</t>
  </si>
  <si>
    <t>girly_love_inspo</t>
  </si>
  <si>
    <t>1591777207984945332_5898823522</t>
  </si>
  <si>
    <t>S M I L E || #smileandbehappy#noregrets#quoteoftheday#inspiration#liveyourlife#dontstopdreaming#keepongoing#followme</t>
  </si>
  <si>
    <t>liveyourlife</t>
  </si>
  <si>
    <t>flex_xpress</t>
  </si>
  <si>
    <t>1591779826900302284_1274760664</t>
  </si>
  <si>
    <t>🏃🏽💨 Keep marching forward and know that each step will lead you to newfound opportunities to grow, learn and shine ☀️ •
•
•
•
•
#mondaythoughts #wordstoliveby #keepongoing #keeponkeepingon #marchtogreatness #aspiretoinspire #quotesandsayings #riseshineandgrind #originalthought</t>
  </si>
  <si>
    <t>quotesandsayings</t>
  </si>
  <si>
    <t>marchtogreatness</t>
  </si>
  <si>
    <t>originalthought</t>
  </si>
  <si>
    <t>inmotion_yoga</t>
  </si>
  <si>
    <t>1591794030080094773_1489077725</t>
  </si>
  <si>
    <t>#meditation  We're starting the next #challenge Sept 1 so if you're finding you need some tips and #inspiration to #keepongoing then book in for our next #meditationinmotion challenge 🙏🏻✨🌅 #quiettime #calm #learning #breathwork #mindfulness</t>
  </si>
  <si>
    <t>Cronulla, New South Wales, Australia</t>
  </si>
  <si>
    <t>the_adventures_of_elle</t>
  </si>
  <si>
    <t>1591798270758132420_3440753034</t>
  </si>
  <si>
    <t>You never know what is around the corner until you get there
.
.
.
.
.
#keepongoing #lifequotes #woods #forest #path #trail #hiking #adventure #explore #vermont</t>
  </si>
  <si>
    <t>woods</t>
  </si>
  <si>
    <t>trail</t>
  </si>
  <si>
    <t>magdalena29</t>
  </si>
  <si>
    <t>1591799768399625426_177405540</t>
  </si>
  <si>
    <t>Today I got a compliment from one of my coworkers. She asked me if I have been losing weight? I told her I've been trying to go to gym daily. She said: Well it shows! You look really good! 🤓 It was good to hear! I love food. Have always struggled with weight. Now with knee pain I have to lose weight. I don't see much change only notice that my clothes fit better! Scale says -7 lbs. Hard work but feel better physically and mentally! #exercise #formyhealth #healthylifestyle #heathy #workingout #itsastruggle #keepongoing</t>
  </si>
  <si>
    <t>itsastruggle</t>
  </si>
  <si>
    <t>heathy</t>
  </si>
  <si>
    <t>formyhealth</t>
  </si>
  <si>
    <t>meli_western</t>
  </si>
  <si>
    <t>1591808360272238399_1994842615</t>
  </si>
  <si>
    <t>Sketch of sun flower #sketch #sketchbook #flower #summerflower #simple #simplesketch #new #sunflower #keepongoing #practice #istasketch #instafollowers</t>
  </si>
  <si>
    <t>istasketch</t>
  </si>
  <si>
    <t>instafollowers</t>
  </si>
  <si>
    <t>sunflower</t>
  </si>
  <si>
    <t>summerflower</t>
  </si>
  <si>
    <t>kedarkulkarni94</t>
  </si>
  <si>
    <t>1591811964405219624_424550752</t>
  </si>
  <si>
    <t>#transformation #fattofit #muscles #gains #hardworkpaysoff #selfie #mirrorselfie #prisma #gym #gymmotivation #gymlife #motivation #keepongoing #achievementunlocked #instapic #instagram #instamood #instalike #instadaily #stayfit #eatgood #dailypic #instablogger #instafun #morningmotivation #goodvibes #goodmorningpost #mumbai</t>
  </si>
  <si>
    <t>panvel, Navi Mumbai</t>
  </si>
  <si>
    <t>melly.jelly27</t>
  </si>
  <si>
    <t>1591813483555560976_321458925</t>
  </si>
  <si>
    <t>And I got way too many feels, way too much emotion
I don't even know what's real, I just say fuck it, keep on going
.
.
#feelskiiara #lyrics #music #themfeels #tomanyemotions #why #fuckit #keepongoing #lettherestfinditself  #catknowswhatsup #myfurbaby #shegotmyback #cleo  #goodcompany #vibewithme #happiness #cateyes #crazycatlady #shemymainbitch #catsofinstagram</t>
  </si>
  <si>
    <t>catknowswhatsup</t>
  </si>
  <si>
    <t>lettherestfinditself</t>
  </si>
  <si>
    <t>themfeels</t>
  </si>
  <si>
    <t>shemymainbitch</t>
  </si>
  <si>
    <t>1591830074613310974_1615759923</t>
  </si>
  <si>
    <t>ballysagooofficial</t>
  </si>
  <si>
    <t>1591847231254477459_1325866128</t>
  </si>
  <si>
    <t>Everyday I start my day with a 'thank you' and a 'fuck yeh lets do this'!!⚡👊☺
#getupandgo #keepongoing #grind #motivationalquotes#positivevibes#grateful #blessed #vibe #nonstop #onthego#selfie #grafting #music #ballysagoo #uk #producer #dj #artist</t>
  </si>
  <si>
    <t>ballysagoo</t>
  </si>
  <si>
    <t>vibe</t>
  </si>
  <si>
    <t>1591856885308645561_3657711004</t>
  </si>
  <si>
    <t>Yesℹ...#rastaorder 💚💛❤
" Never give up "
MY LIFE BEEN FILLED WITH UPS AND DOWNS...WHEN THE GOING GETS ROUGH AND THE TOUGH  GETS GOING....I NEVER GIVE UP MY PRIDE.....EVEN THOUGH I'M BROKEN UP INSIDE.... I NEVER GIVE UP MY PRIDE.
● MY LIFE KEEPS ON GOING...JAH LOVE KEEPS ON GUIDING I
● THE MOST I LOVE KEEPS FLOWING...NEVER GIVE UP
.
.
#rastafari#bebless#staybless#naturalvibes#givethanksforlife#jahlove#keepongoing#morelove #bethankful#nevergiveup#staybless#staypositive#dreadlocks#dreads#dreadhead#nattydread#locks#dreadlocks</t>
  </si>
  <si>
    <t>bebless</t>
  </si>
  <si>
    <t>dreadhead</t>
  </si>
  <si>
    <t>jahlove</t>
  </si>
  <si>
    <t>rastaorder</t>
  </si>
  <si>
    <t>rodzinnyzakatek</t>
  </si>
  <si>
    <t>1591857296988485864_4068340028</t>
  </si>
  <si>
    <t>......Dzień dobry 🌿.....dziś dzień zaczęliśmy o 4 także kawa będzie się dziś lać kubłami ☕☕☕ .........ostatni czas obfitował w kilka rozczarowań......nic dosłownie nie szło po mojej myśli🙇🙇🙇 jednak wczoraj na koniec dnia pojawilo się malutkie światełko💡 jeszcze nie wiem czy rozpędzi czarne chmurzyska ale jest I jakoś tak kurczowo się go chwyciłam.....w środę wszystko ma się wyjaśnić także ten tego trzymajcie kciuki✊✊✊.......trochę nas tu znów mniej no ale ostatnie dni lat ostatnie dni razem bo od wrzesnia Franko wraca do przedszkola 👣👣👣#mybigboy 🚶🔔.
.
.
.
.
.
.
.
....Ahoj IG🌿 we start tuesday at 4am so today I'll need litres of coffee to survive the day ☕☕☕...lots of ☕☕☕☕☕........
Lately nothing goes as I suposed it will so there I have few disappointments....but yesterday some light showed up💡 and I grabbed it tightly...not sure it'll work but for now it's my last hope ..... on wednesday everything should clear up so keep your fingers cross ✊✊✊.... sometime things get complicated just to bring sth new possibilities, new solutions best for us does it?🙈 please say it does ✊✊✊.......have a great day🙋
.
.
.
.
.
.
.
.
.
.
.
.
.
.
.
.
.
.
.
.
.
.
.
.
.
#hello #dziendobry #tuesday #morningbirds 🐦#momstagram #momlife #mumoftwoboys #momwithcameras #flatlay #flatlaypoland #onmybed #onthebed #coffeestagram #coffeeadict #coffee #sukulent #flowers #mom #matkapolka #reallife #reallifeshit #dailylife #familystagram #familygoals #familylife #lifeislife #keepongoing #newdaynewpossibilities #haveagreatday</t>
  </si>
  <si>
    <t>familylife</t>
  </si>
  <si>
    <t>dziendobry</t>
  </si>
  <si>
    <t>dailylife</t>
  </si>
  <si>
    <t>morningbirds</t>
  </si>
  <si>
    <t>reallife</t>
  </si>
  <si>
    <t>shopatnamora</t>
  </si>
  <si>
    <t>1591863791891708059_826646121</t>
  </si>
  <si>
    <t>Make sure you take one step a day, so you can reach whatever you want to achieve! ♥
#tuesdaymotivation 
#keepongoing 
#onestepatatime 
#noneedtorush 
#trusttheprocess 
#namora</t>
  </si>
  <si>
    <t>noneedtorush</t>
  </si>
  <si>
    <t>tuesdaymotivation</t>
  </si>
  <si>
    <t>namora</t>
  </si>
  <si>
    <t>h_m217</t>
  </si>
  <si>
    <t>1591876768935236822_201104456</t>
  </si>
  <si>
    <t>Well I always check with mirrors to see the results all the time. I didn't check out my inbody for longtime this time I did it. I use the Inbody520 at lifetime fitness. It came out with 160lbs/72kg BF 15.9% I am still working on it. I wish I can keep more body mass and just keep on losing fat more. I never diet before when I workout but this time I actually try the diet it's really working!! I see how amazing diet works and great results. I guess all that times and hard work pays off now. It really gives me motivation to stay in hard work. Always NO PAIN NO GAIN!! Still trying to keep much strength as possible. Also lose fats much as possible all in one. Same time I have tried variety different diets and workouts and it looks like I found the right one for me this time. This results means lot to me. 
#운동 #운동하는남자 #운동하는여자 #요가 #헬스 #스트레칭 #다이어트 #쌀빼기 #근력증가 #힘키우기 #결과물 #인바디 #노력중 #계속된다 #평생과제 #보인다 #느껴진다 #workout #inbody #seeresults #paysoff #hardwork #lifetimegoals #feelsgreat #keepongoing #stillworkingonit #streaching #healthy #bodymass #bodyfat #</t>
  </si>
  <si>
    <t>계속된다</t>
  </si>
  <si>
    <t>운동하는여자</t>
  </si>
  <si>
    <t>feelsgreat</t>
  </si>
  <si>
    <t>streaching</t>
  </si>
  <si>
    <t>chanel_vanzyl</t>
  </si>
  <si>
    <t>1591877756482917370_3099300520</t>
  </si>
  <si>
    <t>#keepongoing #movingforwardeveryday #lookbeyondwhatyousee</t>
  </si>
  <si>
    <t>lookbeyondwhatyousee</t>
  </si>
  <si>
    <t>movingforwardeveryday</t>
  </si>
  <si>
    <t>1591878057475835341_1781079691</t>
  </si>
  <si>
    <t>Canada
Photo by @william_patino
Follow @forever.wanderlust for more!
.
.
.
.
.
.
.
.
#keepshining #lifejourney #sky #travelhappy #openmyworld #lifeisfun #doingwhatilove #travelmagazine #midoritravelersnotebook #live_planet #jomblotraveler #moodygrams #keepongoing #igers #femaletravel #travellove #travelnow #allthewayup #keepgrowing #statravel #life4life #global_hotshotz #yogadudes #oceanbreeze #intentionalliving</t>
  </si>
  <si>
    <t>allthewayup</t>
  </si>
  <si>
    <t>midoritravelersnotebook</t>
  </si>
  <si>
    <t>1591878551890734240_176066268</t>
  </si>
  <si>
    <t>"Without feelings of respect, what is there to distinguish men from beasts?" -Confucius
Soo... Are you a men or a beast?? 😊
.
.
.
.
.
. #respectisearned  #respect fujifilmindonesia #fujifilm_id #terfujilah #selfreminder #keepongoing #japan #throwback #japantrip #fujifeed #fujifilm_id #fujifilm_Xseries #XT1 #streetphotograpy #ig_japan #osaka #sunset #sunset_ig #ig_sunset #ig_sunsetshots #finalmasquerade #linkinpark #sunsethunter #fotografia #shootlesslookmore #talklessshootmore</t>
  </si>
  <si>
    <t>finalmasquerade</t>
  </si>
  <si>
    <t>fujifeed</t>
  </si>
  <si>
    <t>fujifilm_xseries</t>
  </si>
  <si>
    <t>ig_japan</t>
  </si>
  <si>
    <t>nat_saskia4</t>
  </si>
  <si>
    <t>1591879561175263622_4486419161</t>
  </si>
  <si>
    <t>Finally tackling this drawing again, I'm working on the background now and will post the final product soon! #keepongoing #mozartmarkers  #vocaloid #fanart #miku #hatsunemiku #meiko #lukamegurine #megurineluka #rinkagamine #kagaminerin #miku10thanniversary #tokyootakumode #10thanniversary #miku10tom @tokyootakumode</t>
  </si>
  <si>
    <t>rinkagamine</t>
  </si>
  <si>
    <t>megurineluka</t>
  </si>
  <si>
    <t>vocaloid</t>
  </si>
  <si>
    <t>hatsunemiku</t>
  </si>
  <si>
    <t>1591883244814784506_1822123873</t>
  </si>
  <si>
    <t>This is incredible! Do you agree? Yay or Nay?
.
.
.
.
.
.
.
.
#adventureculture #travelfrance #travelphotography #travelnow #travelstoke #thaitraveling #traveltogether #travelvlog #natgeotravelphoto #jomblotraveler #intentionalliving #beachdog #keepongoing #yogaofcolor #beaching #awesome_hotel #biketravel #travelhappy #travelstory #beachboy #travelmorocco #paradisefalls #paradisepier #mindthemountain #beachglass</t>
  </si>
  <si>
    <t>beaching</t>
  </si>
  <si>
    <t>1591883499711193651_2307435763</t>
  </si>
  <si>
    <t>#brekkie after a bit of a messy bank holiday of eating. Nothing bad but are cereal  for  bfast as often was having a bigger lunch.  From experience I need protein bfast to kick start my steady sugar level readings and it makes me feel a lot better. Plus protein is good for growing a #healthybaby  Had a bit of a growth spurt 🙈🙈🙈🙈 lol  Now up to 7.5lb gain!  I could be retaining fluid a bit from pregnancy and the heat, plus baby growth plus possible getting a bit fatter 🙊🙊🙊 but hey shit happens.  I know it's gotta happen.  But hey baby is healthy, I've got no medical problems and I'm so happy upstairs  in my think box. I've done amazing so far, I've got the tools on how to get bk on track once baby is born and most most most most important thing is I stay mentally ace this time round.  Because that makes a huge impact on me and the whole family. #pregnant #24weekspregnant #healthypregnancy #pregnancyproblems #weightgain #mentalhealth #mentalhealthawareness #plans #keepongoing</t>
  </si>
  <si>
    <t>pregnant</t>
  </si>
  <si>
    <t>24weekspregnant</t>
  </si>
  <si>
    <t>healthypregnancy</t>
  </si>
  <si>
    <t>brekkie</t>
  </si>
  <si>
    <t>shyannekym</t>
  </si>
  <si>
    <t>1591884343882000896_407506794</t>
  </si>
  <si>
    <t>"We keep moving forward, opening new doors, and doing new things, because we're curious and curiosity keeps leading us down new paths." 💭
#disney #quote #thoughts #shamelessselfie #lovinglife #keepongoing</t>
  </si>
  <si>
    <t>shamelessselfie</t>
  </si>
  <si>
    <t>1591886764262494625_3623309738</t>
  </si>
  <si>
    <t>Honeymoon Lake in Jasper National Park. Photo by @markjinksphoto
.
.
.
.
.
.
.
.
#liveforyou #discovertheroad #leaveonlyleaves #weliketotravel #meditatedaily #dontbelievemejustwatch #likers #traveljapan #sunsetsky #ecotravel #travelvideo #creativeentrepreneur #beaching #paradiseinterior #vacancy #sunsetcliffs #livethelife #keepongoing #photooftheday #getoutdoors #traveladventures #lovewhatyoudodowhatyoulove #livefornow #destinationearth #paradisegarage</t>
  </si>
  <si>
    <t>travelvideo</t>
  </si>
  <si>
    <t>likers</t>
  </si>
  <si>
    <t>i.shaboon</t>
  </si>
  <si>
    <t>1591894310704828796_5809864307</t>
  </si>
  <si>
    <t>I look into your eyes &amp; I see the truth. I look into your eyes and I know &amp; yes I know. I get to know the unknown &amp; the ugly truth. 
Don't hide.
Don't play games.
Don't fool.
Don't pretend.
I see through you. 
The smell of your rotten intentions is in the air.
There is no more hiding &amp; this is the ugly truth.
My further steps can be a disaster 🙂 
#NotAcceptable
#IWillLive
#KeepOnGoing
#BeAware
#ThinkBeforeYouSpeak
#ItAllMatters</t>
  </si>
  <si>
    <t>iwilllive</t>
  </si>
  <si>
    <t>beaware</t>
  </si>
  <si>
    <t>thinkbeforeyouspeak</t>
  </si>
  <si>
    <t>itallmatters</t>
  </si>
  <si>
    <t>1591896561654476383_2317517565</t>
  </si>
  <si>
    <t>Side Jump Lunges og boldkast. Hele kroppen arbejder med kraft udvikling. Prøv den og scaler med dybe lunges, tungere bolde og mere eksplosive bevægelser. •••
Mangler du en makker, så kast bolden op af en væg💪🏋🏼‍♀️💃🍾
•••
#mortentillitzdk  #whatwouldbeyoncedo #toldyouso #tropådet #personligtræner #personaltrainer #cycling #Cykling #styrketræning #løb #Svømning #Swim #running #stronger #personligtræner #mitodense #fitfam #ﬁtfamdk #actionequalsresults #handlingskabersucces #helkropstræning #fullbody #SunRiceClubbyMortenTillitzDK #mentalpause #blivved #keepongoing #styrketræning #painfree #smertefri #søvn #sleep #mitodense</t>
  </si>
  <si>
    <t>runtorecovermummy</t>
  </si>
  <si>
    <t>1591901068988270178_5862860057</t>
  </si>
  <si>
    <t>Need to start adding at least one longer run in a week, difficult before work but will be so beneficial to my speed. Don't have any races booked in for the rest of the year so maybe need a focus! #runnersofinstagram #runningcommunity #runninggirl #mentalhealth #eatingdisorder #strongwoman #runninguk #thismumruns #commitment #roadtorecovery #needmotivation #keepongoing</t>
  </si>
  <si>
    <t>needmotivation</t>
  </si>
  <si>
    <t>runninguk</t>
  </si>
  <si>
    <t>c.u.b.o90</t>
  </si>
  <si>
    <t>1591901899282580648_220274224</t>
  </si>
  <si>
    <t>Another day another gaining #gym #workoutmotivation #workoutfit #trainingday #armday💪 #chestday #sandiego #california #fallbrook #socal #excercise #keepongoing #maintainactive #healthy #greatlife #sporty #musco #Abercrombie&amp;fitchSport #puma #readearphones #wireless</t>
  </si>
  <si>
    <t>Club Paradise Fitness</t>
  </si>
  <si>
    <t>abercrombie</t>
  </si>
  <si>
    <t>maintainactive</t>
  </si>
  <si>
    <t>1591902598858893579_279512262</t>
  </si>
  <si>
    <t>Зелёный чай, цветы и тёплый свет ламп, как воспоминания о солнце)
Доброе утро, мир!✌🏻
Пересматриваю первый сезон Моста, что ещё делать, когда ИП закончился, а Твин Пикс выходит раз в неделю😄
И да, я похоже старею. Новым сериалам предпочитаю пересматривать любимые, также и вместо непросмотренных фильмов выбираю те, что уже видела.
.
#breakfast #loveinmoscow #seemymoscow #moscow #moscowlife #keepongoing #keeponwalking #keepcalm #matchalatte #daily #abmlife #authentic #abmhappylife #photooftheday #lifeex #lifestyle #livealittle</t>
  </si>
  <si>
    <t>TABLE</t>
  </si>
  <si>
    <t>1591909010540559857_1584949428</t>
  </si>
  <si>
    <t>Последний день 29 года жизни .. что ты мне готовишь, а? #адвокат#адвокатмитрофанова#keepongoing</t>
  </si>
  <si>
    <t>Арбитражный суд города Москвы</t>
  </si>
  <si>
    <t>zaid_suhaipin</t>
  </si>
  <si>
    <t>1591913126914418719_500783812</t>
  </si>
  <si>
    <t>mabruk alaika , you did it 🎓@safwan_suhaipin -urbrader 
#photooftheday  #convocation  #teachersfollowteachers  #travel 
#keepongoing  #followyourdreams</t>
  </si>
  <si>
    <t>Malaysia Agro Exposition Park Serdang (MAEPS)</t>
  </si>
  <si>
    <t>convocation</t>
  </si>
  <si>
    <t>mitch.run.and.ride</t>
  </si>
  <si>
    <t>1591913364580674045_538273427</t>
  </si>
  <si>
    <t>Goal:
° Half Marathons (09/02, 10/01, 10/28 &amp; 11/01) + Marathon (10/15)
——————————————————
It's been a while since I've done a #TransformationTuesday, so here I go ...
From 2005 till 2014, I weighed between 110kg (242.5lb) &amp; 120.8kg (266.3lb) (highest number my scale ever showed me)
Pictures from 2005-2008-2013 (top right &amp; left + bottom left): 110kg-120.8 kg (266.3 lb) &gt;&gt; I wasn't happy with being this guy, but I was too lazy to do something about it, untill January 2014!! 🙌
Picture from 2016-2017 (bottom right + center): 90 kg (198.4 lb), but I became stronger in 2017 &gt;&gt; I'm proud of my journey so far, but it's still a work in progress and I keep working to get where I wanna be 👊💥💪
.
I really hate to look back at my old me, but it keeps me focused and keeps me going to finish the journey I started in 2014 😊
I hope with looking back from time to time and sharing my progress, I can inspire people that everything is possible, as long as you want to put in the hard work 🙏
For everyone who is on a journey to become a better version of yourself; for some it's losing weight, for some it's gaining weight, for others it's getting better/faster/stronger or maintain their current form: YOU CAN DO THIS!!! 🙌🙌 #YouCanDoThis #KeepOnGoing #YouAreAllAmazing 💚💚
.
And some motivational quotes I like...
- "Succes isn't owned. It's leased. And rent is due every day." J.J. Watt
- "Only I can change my life. No one can do it for me." Carol Burnett
- "Good, better, best. Never let it rest. 'Til your good is better and your better is best." St. Jerome
.
Happy Tuesday my friends!!!
Have an amazing day/night my wonderful friends 🎉🙌🤘
——————————————————
#ASICS #ASICSGelPursue #ASICSRunningGear
#CEP #Enertor #EnertorGlobal
#Garmin #GarminForerunner235
#Challengeville
#Halfmarathon #Marathon  #MarathonTraining
#Running #Runner #RunAlways  #RunItFast #RunToHaveFun
#InstaRunners #InstaRunnersBelgium
#RunnersLoveYoga #DoYogaRunFaster
#LopersvanGent
#DonutYogaSquad
#NeverGiveUp
——————————————————
** Inspiration * Determination * Commitment * Courage * Never quit * I can do it * Every step counts ** I DID IT ***</t>
  </si>
  <si>
    <t>cep</t>
  </si>
  <si>
    <t>enertor</t>
  </si>
  <si>
    <t>instarunnersbelgium</t>
  </si>
  <si>
    <t>garmin</t>
  </si>
  <si>
    <t>1591920636934469600_429036895</t>
  </si>
  <si>
    <t>In the meanwile I am still knocked out.. Sometimes you just need to listen to your body. And if you don't it makes you listen 😅
For me this means a few days of rest, sleep and vitamins. 🍓🍏🍊🍇</t>
  </si>
  <si>
    <t>1591923952647716571_4860693220</t>
  </si>
  <si>
    <t>#hardship #youcandoitall #achieve #whynot #youcan #liveon #bekind #kind #kindness #you #stopviolenceagainstwomen #stopselfharm #love #save #savealife #stopthehate #antibully #keepongoing #donthate #antihate #easytohate #stayhappy #staypositive #positivevibes #vibes #true</t>
  </si>
  <si>
    <t>mariesirine</t>
  </si>
  <si>
    <t>1591925261363110651_227758405</t>
  </si>
  <si>
    <t>Guys do you feel me? 😱😅😇 #onlineshopping #keepongoing #help #ineedhelp #clotheseverywhere #toomuch #allnight #everyday #againandagain #whythough #broke</t>
  </si>
  <si>
    <t>broke</t>
  </si>
  <si>
    <t>clotheseverywhere</t>
  </si>
  <si>
    <t>1591926633345050327_2379767060</t>
  </si>
  <si>
    <t>Me and the guys before the run#kravmaga#southend#toughmudder2017#keepongoing#lovemud#running#funtimes#run</t>
  </si>
  <si>
    <t>1591930941390007160_4249248273</t>
  </si>
  <si>
    <t>It doesn't matter how many times you fall, it doesn't matter how many attempts you make. 
It doesn't matter how scared, tired, awful you might feel about that route that just won't work. What matters, is that you get yourself back up and you try and try again. Maybe it will work, maybe it won't but you will lose the opportunity to find out if you don't try. @thisgirlcanclimbing @thisgirlcanuk @womenclimb @thecastleclimbingcentre @ehlersdanlosuk #training #hijab #muslim #amputee #believeinyourself #ehlersdanlossyndrome #exhausted #faceyourfears #grit #goals #headgame #journey #justdoit #dontgiveup #determination #thisgirlcan #thisgirlcanclimb #paraclimbing #climber #climbing #climbing_is_my_passion #climbing_pictures_of_instagram #tryhard #tryagain #keepongoing  #lifegoals #mentalgame #motivation #tuesdaymotivation #tuesdaythoughts</t>
  </si>
  <si>
    <t>headgame</t>
  </si>
  <si>
    <t>mentalgame</t>
  </si>
  <si>
    <t>fit_mount_lifestyle</t>
  </si>
  <si>
    <t>1591933907250382332_5392373638</t>
  </si>
  <si>
    <t>When you wake up every morning to fight the same demons that left you so tired the night before, that my love, is bravery #keepongoing #killerworkout #brave 
#butt #glutes #peach #perky #squats #reps #workout #tuesdaymotivation #tuesdaymorning #tuesdaytransformation #tuesdaytip #tuesdaywisdom #underwearmodel #underwear #sweat #picoftheday #followforfollow #fitfam #fitness #bikini #swole #flex #😈 #🍑 #killingit #gymsharkwomen</t>
  </si>
  <si>
    <t>gymsharkwomen</t>
  </si>
  <si>
    <t>🍑</t>
  </si>
  <si>
    <t>glutes</t>
  </si>
  <si>
    <t>tuesdaywisdom</t>
  </si>
  <si>
    <t>1591934843938353684_2379767060</t>
  </si>
  <si>
    <t>#kravmaga#southend#toughmudder2017#keepongoing#mudrun#gettingdirty#lovemud</t>
  </si>
  <si>
    <t>lovemud</t>
  </si>
  <si>
    <t>gettingdirty</t>
  </si>
  <si>
    <t>1591936965955822401_297558307</t>
  </si>
  <si>
    <t>GM😁🌅Warriors🏹! Happy Tuesday!!! Who's your date today😜⁉️Get up, put your runners and go conquer the road!!!! Day 36/45 summer challenge. Daily 8K &amp; Shoulders, music by fav dj #dondiablo #hexagonians #hexagonradio  #free #fitmom #fitmama #fitgirl #fitness #fitnessaddict #mamaenforma #mamacorriendo #run #runner #running #rundancing #kikasporty #gim #gimnasio #gym #gymgirl #gymlife #gymaddict #gymaholic #keeptrying #keepmoving #keepstrong #keepongoing #myanchor #mypassion #myhappyplace</t>
  </si>
  <si>
    <t>growspec</t>
  </si>
  <si>
    <t>1591941991015412851_5697017264</t>
  </si>
  <si>
    <t>Hello Growers!✋🏻🌸🥒 How's your Tuesday? Do you remember our cucumber? It's so shapely, isn't it? Grow fresh food with us and have a nice day! www.grow-spec.com  #growspec #growspeceu #growspecialist #indoor #indoorgrow #indoorgarden #ecofriendly #earthfocus #earthfriendly #growbox #keepongoing #led #ledlight #cucumber #follow4follow #likeforlike</t>
  </si>
  <si>
    <t>growbox</t>
  </si>
  <si>
    <t>ledlight</t>
  </si>
  <si>
    <t>ecofriendly</t>
  </si>
  <si>
    <t>1591948723250969329_2464483327</t>
  </si>
  <si>
    <t>The next step is learning how to pose for stage. There are so many processes to this all. But it's being such an amazing journey so far. #bikinicomp #goingforit #lovemynewlife</t>
  </si>
  <si>
    <t>Te Atatu South</t>
  </si>
  <si>
    <t>lovemynewlife</t>
  </si>
  <si>
    <t>bikinicomp</t>
  </si>
  <si>
    <t>goingforit</t>
  </si>
  <si>
    <t>franco3t</t>
  </si>
  <si>
    <t>1591960483510099760_696051913</t>
  </si>
  <si>
    <t>On the road again. Journey to Lisboa
#drop #sumertime #aereo #airport #keepongoing</t>
  </si>
  <si>
    <t>airport</t>
  </si>
  <si>
    <t>aereo</t>
  </si>
  <si>
    <t>sumertime</t>
  </si>
  <si>
    <t>drop</t>
  </si>
  <si>
    <t>1591965005119532175_2224047307</t>
  </si>
  <si>
    <t>Has anyone seen my CINDERELLA?? #iammrlookboy 
#keepongoing</t>
  </si>
  <si>
    <t>sweetemme112</t>
  </si>
  <si>
    <t>1591983827806775452_277780257</t>
  </si>
  <si>
    <t>Saturday and last day of this cycle, finished of with some speedlifts on 50%
I leave this cycle with alot more to wish for. But my head and my will havent been stronger then my lack of motivation. Both with workouts and diet. So it all ended up in a bad circle. 
But been working with my head a bit and I feel its turning around. 
Tonight I it is my brothers 40th brithdayparty and I will eat and drink with a good conscience. 
On Monday its time for maxtest 💪
. 
#movingforward #focus #coachedbyzebssons #icaniwill #deadlift #powerlifting #followyourdreams #challengeyourself #keepongoing #benchpress #nevergiveup #motivation #girlswholift #allkindofgains #squat #motmintoppform #strength #lifestyle #fitlife #tattoo #workhardorgohome #lettevekter #flagom #getfitordietrying #noexcuses #styrkelyft #lifting #everydayislegday #sbd #diet</t>
  </si>
  <si>
    <t>lettevekter</t>
  </si>
  <si>
    <t>1591985844166640140_5705167414</t>
  </si>
  <si>
    <t>Steph being Steph 😂😂😂 #Dubnation
-
-
-
-
-
-
-
-
-
-
-
-
-
-
-
-
-
-
-
-
-
-
-
-
-
-
-
-
-
-
-
-
-
-
-
-
-
-
-
-
 #StephGonnaSteph #Mvp #SC30 #KT11 #DG23 #CURRYMVP #KEEPONGOING #NEVERGIVEUP #WCF #WEST #WESTERNCONFERENCEFINALS #CHAMPS #DUBSFORCHAMPS #DUBS #ALWAYSBELIEVEINGOD #STEPHENCURRY #EVEN #NBA #2016CHAMPS #CHAMPIONS #LOCKIN #STEPH #SPLASH #SPLASHBROS  #like4like #like4follow #follow4follow</t>
  </si>
  <si>
    <t>1591991188281707709_277780257</t>
  </si>
  <si>
    <t>Maxday! 
Didn't really go as wished for but kind of pleased anyways. 
Total fail in squat, BUT my 3 reps on 85% before max feelt better then my 3 rep on 80% this hole cycle, always something. 
PB in bench w stop, 2,5 kg. 82,5 came up. Also 85 kg TnG, forgot the stop. Also PB. 
THEN came one of the slowest deadlift ever. But it was enough with one fail so there was no way I was going to stop. And 155 kg came finally up. PB w 5 kg in 6 weeks. *kindofhappy*
And with this I feelt my motivation turned, now my big focus will be on NM in 50 days. Hopefully I will gain 30 more kg in total and loose 6 kg in bodyweight on the way 😂 Why set realistic goals when you can aim HIGH 😂💪
. 
#coachedbyzebssons #pb #personalbest #deadlift #powerlifting #followyourdreams #challengeyourself #keepongoing #benchpress #nevergiveup #motivation #girlswholift #allkindofgains #squat #motmintoppform #strength #lifestyle #fitlife #tattoo #workhardorgohome #lettevekter #flagom #getfitordietrying #noexcuses #styrkelyft #lifelookingood #lifting #everydayislegday #sbd</t>
  </si>
  <si>
    <t>nationalparkbikemarathon</t>
  </si>
  <si>
    <t>1591991406301603864_2953814015</t>
  </si>
  <si>
    <t>When you crossed the line and you know: You did it 👍💪
📷 by @dominik_taeuber 
#engadin #graubünden #mtb #mtbswitzerland #herbertbike#graubuendenbike #marathon #mtbrace #justdoit #nevergiveup #sport #keepongoing #race #happiness #strong #nationalparkbikemarathon</t>
  </si>
  <si>
    <t>Scuol, Switzerland</t>
  </si>
  <si>
    <t>graubünden</t>
  </si>
  <si>
    <t>mtbrace</t>
  </si>
  <si>
    <t>1591992382911914524_185195397</t>
  </si>
  <si>
    <t>Let nothing hold you back from your dreams_SOAR! 💫❤️Happy Tuesday!
.
.
#flyinghigh #soar #makeitcount #amazingsunrise #charlestonsc #clarity #youaremagnificent #youareloved #youareworthit #worththeeffort #breatheinbreatheout #cakidiehl #rundaily #runhappy #meditatedaily #mindfullness #mindful #beyou #bepresent #appreciatelife #joyfullife #kindnessmatters #compassionmatters #persevere #keepongoing #positivemindset #highvibes</t>
  </si>
  <si>
    <t>suiokyh</t>
  </si>
  <si>
    <t>1591995207037820692_2111137873</t>
  </si>
  <si>
    <t>Al mal tiempo... 🏃🏽 #running #justrun #stayout #keepongoing #saucony #northface</t>
  </si>
  <si>
    <t>Praia de Areas Sanxenxo</t>
  </si>
  <si>
    <t>justrun</t>
  </si>
  <si>
    <t>stayout</t>
  </si>
  <si>
    <t>northface</t>
  </si>
  <si>
    <t>viv_91126</t>
  </si>
  <si>
    <t>1591997025107507419_5519425261</t>
  </si>
  <si>
    <t>What are your goals in life?
#mindset#kennedeinwarum#keepongoing#skysthelimit#b.a.u</t>
  </si>
  <si>
    <t>kennedeinwarum</t>
  </si>
  <si>
    <t>skysthelimit</t>
  </si>
  <si>
    <t>b</t>
  </si>
  <si>
    <t>nerdikaism</t>
  </si>
  <si>
    <t>1592003203896283603_487714064</t>
  </si>
  <si>
    <t>#liztaylor #pullyourselftogether #keepongoing #headupheartstrong #quotesoftheday #inspirationalquotes</t>
  </si>
  <si>
    <t>headupheartstrong</t>
  </si>
  <si>
    <t>pullyourselftogether</t>
  </si>
  <si>
    <t>liztaylor</t>
  </si>
  <si>
    <t>quotesoftheday</t>
  </si>
  <si>
    <t>saviana_mes_creations</t>
  </si>
  <si>
    <t>1592004577992297321_3177495480</t>
  </si>
  <si>
    <t>#threads #fil #colors #colorful #colori #creation #creazioni #keepongoing #holdon #nevergiveup</t>
  </si>
  <si>
    <t>colorful</t>
  </si>
  <si>
    <t>threads</t>
  </si>
  <si>
    <t>creazioni</t>
  </si>
  <si>
    <t>colori</t>
  </si>
  <si>
    <t>a.o_fitness</t>
  </si>
  <si>
    <t>1592008901321080677_1799852619</t>
  </si>
  <si>
    <t>If you've ever had people in your life that have tried to pull you down with them, then you may understand me. 
#lovinglife #morelife #life #lifequotes #motivation #inspiration #mindset #realfriends #fakefriends #changedman #fuckthehaters #beyourself #fitness #morals #keepongoing</t>
  </si>
  <si>
    <t>realfriends</t>
  </si>
  <si>
    <t>carola_kastman</t>
  </si>
  <si>
    <t>1592013634644825642_2280717898</t>
  </si>
  <si>
    <t>We talk about attitude...
#carolakastman #keepongoing #sketch #canvas#onmywall</t>
  </si>
  <si>
    <t>sketch</t>
  </si>
  <si>
    <t>onmywall</t>
  </si>
  <si>
    <t>carolakastman</t>
  </si>
  <si>
    <t>morelforel</t>
  </si>
  <si>
    <t>1592016296860950267_28966928</t>
  </si>
  <si>
    <t>Holiday aint over till the fat lady sings! ☀️#keepongoing #lichttorenstrand #knokke #beachlife #summerholidays #last3daysofsummer</t>
  </si>
  <si>
    <t>Lichttorenstrand Knokke</t>
  </si>
  <si>
    <t>last3daysofsummer</t>
  </si>
  <si>
    <t>summerholidays</t>
  </si>
  <si>
    <t>lichttorenstrand</t>
  </si>
  <si>
    <t>1592018195421497436_5944730818</t>
  </si>
  <si>
    <t>Don't judge people that you don't know ! 😤
#motivationalquotes #motivation #inspirationalquotes #inspiration #loveyourself #love #friendship #dontgiveup #dontjudge #dontjudgeme #chaseyourdreams #liveyourdream #keepongoing</t>
  </si>
  <si>
    <t>dontjudgeme</t>
  </si>
  <si>
    <t>arendnooitgedagt</t>
  </si>
  <si>
    <t>1592021995067082246_29104425</t>
  </si>
  <si>
    <t>伏見稲荷大社.
.
.
.
#伏見稲荷大社 #kyoto #japan #Fushimiinaritaisha #shrine #japantrip #japantravel #traveljapan #igjapan #igtravel #travelnow #travelpic #travelmore #hoihanoi #keepongoing #bestjapanpics #wu_japan #explorejapan #theoutbound #kyotojapan</t>
  </si>
  <si>
    <t>Kyoto, Japan</t>
  </si>
  <si>
    <t>hoihanoi</t>
  </si>
  <si>
    <t>wu_japan</t>
  </si>
  <si>
    <t>shrine</t>
  </si>
  <si>
    <t>1592022510025736740_5898539470</t>
  </si>
  <si>
    <t>-
脫去了那層包裝
我們也不過是最單純的人罷了
假象總是把我們偽裝成不認識的自己
當有人願意去掀開去看見
完全是一種如釋重負。
Try to find myself back, and back to the world that I used to be.
.
.
#20170829
#放鬆 #解脫 #自己
#自分になった #relax
#try #neverstop #pursuing #keepongoing</t>
  </si>
  <si>
    <t>解脫</t>
  </si>
  <si>
    <t>pursuing</t>
  </si>
  <si>
    <t>自己</t>
  </si>
  <si>
    <t>放鬆</t>
  </si>
  <si>
    <t>kenyablac</t>
  </si>
  <si>
    <t>1592036323715553589_181167947</t>
  </si>
  <si>
    <t>Life works in mysterious ways!!! #leaveitingodhands #godgotme #walkbyfaith #notbysight #inspiration #motivation #yes #amen #a #strong #woman #keepongoing #facts #true #just #wait #fr #realtalk #staystrong #moveon #hustlehard #grow</t>
  </si>
  <si>
    <t>just</t>
  </si>
  <si>
    <t>em____07</t>
  </si>
  <si>
    <t>1592043830488351717_5642944157</t>
  </si>
  <si>
    <t>My shoulder blade hurts when I breathe, I'm both physically and mentally exhausted, it's competition week and all I want to do is cry; well this is a great mix. 🙄 #quote #exhausted #tired #drained #sore #painpaingoaway #competitionweek #keepongoing #falldownsevenstandupeight</t>
  </si>
  <si>
    <t>drained</t>
  </si>
  <si>
    <t>competitionweek</t>
  </si>
  <si>
    <t>sore</t>
  </si>
  <si>
    <t>fabulousfabsters</t>
  </si>
  <si>
    <t>1592048419642680551_2300173413</t>
  </si>
  <si>
    <t>Back to school for many - young and old. Cheering on all those who want to keep learning. .
.
.
#educationforall #keepongoing</t>
  </si>
  <si>
    <t>educationforall</t>
  </si>
  <si>
    <t>worldingram</t>
  </si>
  <si>
    <t>1592050870718976707_3610664639</t>
  </si>
  <si>
    <t>Outstanding sunrise.
Edited photo by @jo_kegel
.
.
.
.
.
.
.
.
#passionpassport #oceanvibes #travelbreak #lifejourney #travelgermany #earthfocus #weliketotravel #animals #travelmagazin #livefortoday #ecotravel #exploreyourcity #airtravel #familypet #vscocam #yogatherapy #keepitlit #roadlesstraveled #lovewhatyoudodowhatyoulove #travelingyogi #travelpictures #yogaposes #lifeisart #laptoplifestyle #keepongoing</t>
  </si>
  <si>
    <t>exploreyourcity</t>
  </si>
  <si>
    <t>ecotravel</t>
  </si>
  <si>
    <t>1592054029407770770_429036895</t>
  </si>
  <si>
    <t>Never look back unless it is a TB to a back workout! 
I always was affraid to gain weight and build muscles. The moment I started to do what I love it all become better and I started loving the progress I made so far.
I am starting to love my own body without comparing myself to others.
#daretoshare #bodylove #selflove #foodlover  #fitnessjourney #progress #fitness #fitdutchie #weightlifting #girlwholifts #fitfam #fitnessaddict #curves #weightgaining #bodyandmind #gymlife #recovering #bootygrow #dedication #hardwork #keepongoing #strenght #grow #girlonamission #effort #girlpower  #healthylifestyle</t>
  </si>
  <si>
    <t>lolledaniel</t>
  </si>
  <si>
    <t>1592056166388985061_4687852460</t>
  </si>
  <si>
    <t>#brabrandstien #newshoes #asics #runningishard #keepongoing #whenwillIseeimprovement? #enjoylife</t>
  </si>
  <si>
    <t>Aarhus, Denmark</t>
  </si>
  <si>
    <t>brabrandstien</t>
  </si>
  <si>
    <t>runningishard</t>
  </si>
  <si>
    <t>1592062654415723535_4237281144</t>
  </si>
  <si>
    <t>No esperes mas. Ven al mejor gym de Guaynabo. Visitanos, pruebalo y te quedaras. #feelfitgympr #keepongoing #noterindas #notequites #mma #guaynabo #zumba #yoga #spinning #indoorcycling #personaltrainer #gym #gymguaynabo #gymgirl</t>
  </si>
  <si>
    <t>guaynabo</t>
  </si>
  <si>
    <t>indoorcycling</t>
  </si>
  <si>
    <t>nkhotlaagnes</t>
  </si>
  <si>
    <t>1592064591932069586_5510983192</t>
  </si>
  <si>
    <t>Just when you are about to give up that's when your breakthrough comes.#keepongoing 
#nevergiveup</t>
  </si>
  <si>
    <t>Diepsloot</t>
  </si>
  <si>
    <t>1592069709501710152_462502969</t>
  </si>
  <si>
    <t>Dìa 5 y 6: 📍Melide - Petrouzo - Santiago de Compostela: fine di questi 160 km! 👣
#camminodisantiago#buencamino#galizia#spain#españa#santiagodecompostela#sello#walking#trip#travel#mytravelgram#europe#holiday#happiness#architecture#instagood#goodvibes#summervibes#sun#keepongoing#bestrong#like4like#likealways#TFLers#tbt</t>
  </si>
  <si>
    <t>Santiago de Compostela, Spain</t>
  </si>
  <si>
    <t>buencamino</t>
  </si>
  <si>
    <t>nhelpottotay</t>
  </si>
  <si>
    <t>1592070669872204613_51505217</t>
  </si>
  <si>
    <t>#keepongoing 👌
#nhelfies ...</t>
  </si>
  <si>
    <t>Teacher's Camp, Baguio City</t>
  </si>
  <si>
    <t>nhelfies</t>
  </si>
  <si>
    <t>1592072006967202355_216089260</t>
  </si>
  <si>
    <t>Change your mindset change your life!.
.
#divineorder #empoweringwomen #goals #growth #happy #inspiration #jamaicanlifecoach #lifecoach #lovemyjob #mindset #morethanenough #nofear #nicolewright #purpose #success #survivor #universe #nevertoolatetostartover #nevertoolatetobegin #standuptocancer #nevergiveup #keepongoing #believeinyourself #happy #lovemylife  #anthropologie #naturalhair #jamaicanlifecoach</t>
  </si>
  <si>
    <t>1592079052884242943_5717527571</t>
  </si>
  <si>
    <t>#keepongoing #peak #tillthetop #hiking #gransasso #cai #meditationmountain #montecoppe #kanomalta 
It's not hard as it seems.</t>
  </si>
  <si>
    <t>cai</t>
  </si>
  <si>
    <t>peak</t>
  </si>
  <si>
    <t>kasidilla</t>
  </si>
  <si>
    <t>1592079980254596501_27176290</t>
  </si>
  <si>
    <t>Happy #tuesday ! Heading #cozumel 🌴! #keepongoing #travel #workworkwork #beachlife</t>
  </si>
  <si>
    <t>cozumel</t>
  </si>
  <si>
    <t>lugina.j</t>
  </si>
  <si>
    <t>1592080985998912676_1388285557</t>
  </si>
  <si>
    <t>I don't have a 9-5
I have 24/7
#keepongoing#works#workselfie #doctorlife #lovelife</t>
  </si>
  <si>
    <t>doctorlife</t>
  </si>
  <si>
    <t>workselfie</t>
  </si>
  <si>
    <t>works</t>
  </si>
  <si>
    <t>1592083525027397439_5705167414</t>
  </si>
  <si>
    <t>Steph can also play football, even Aaron Rodgers wants to meet him 🏈  #Dubnation
-
-
-
-
-
-
-
-
-
-
-
-
-
-
-
-
-
-
-
-
-
-
-
-
-
-
-
-
-
-
-
-
-
-
-
-
-
-
-
-
 #StephGonnaSteph #Mvp #SC30 #KT11 #DG23 #CURRYMVP #KEEPONGOING #NEVERGIVEUP #WCF #WEST #WESTERNCONFERENCEFINALS #CHAMPS #DUBSFORCHAMPS #DUBS #ALWAYSBELIEVEINGOD #STEPHENCURRY #EVEN #NBA #2016CHAMPS #CHAMPIONS #LOCKIN #STEPH #SPLASH #SPLASHBROS  #like4like #like4follow #follow4follow</t>
  </si>
  <si>
    <t>1592084261630998808_5717527571</t>
  </si>
  <si>
    <t>#caminodesantiago #negreira #ifyourehappyandyouknowitclapyourhands #eresfeliz #cucumber #lastkm #keepongoing 
Only for those who are happy and know it.</t>
  </si>
  <si>
    <t>lastkm</t>
  </si>
  <si>
    <t>negreira</t>
  </si>
  <si>
    <t>ifyourehappyandyouknowitclapyourhands</t>
  </si>
  <si>
    <t>dorkorenmusicbigfoot</t>
  </si>
  <si>
    <t>1592089811542539840_3926868989</t>
  </si>
  <si>
    <t>Work in Progress
Bigfoot 2nd full album
Peace &amp; Love
#bigfoot#album#second#vinyl#record#work#progress#peace#love#fuzz#wahwah#tube#amp#guitar#songs#life#rolling#keepongoing#daytoday#stepbystep#</t>
  </si>
  <si>
    <t>songs</t>
  </si>
  <si>
    <t>1592095276419776710_2317517565</t>
  </si>
  <si>
    <t>Havde i dag fornøjelsen af at arbejde med Danmarks bedste beachvolleyspiller Line Trans. Vi arbejder med hendes evne til at flytte sig i forsvaret. Vi fik kigget på hende evne til at udvikle kraft gennem speficikke bevægelser. Nu skal øvelserne stå i test, hvor det virkelig gælder. SANDET :)
•••
Det er ret så sjovt og hun er pisse stærk. Som I jeg vil ikke forsøge at lægge arm med hende. •••
#mortentillitzdk  #whatwouldbeyoncedo #toldyouso #tropådet #personligtræner #personaltrainer #cycling #Cykling #styrketræning #løb #Svømning #Swim #running #stronger #personligtræner #mitodense #fitfam #ﬁtfamdk #actionequalsresults #handlingskabersucces #helkropstræning #fullbody #SunRiceClubbyMortenTillitzDK #mentalpause #blivved #keepongoing #styrketræning #painfree #smertefri #søvn #sleep #mitodense</t>
  </si>
  <si>
    <t>personligtræner</t>
  </si>
  <si>
    <t>1592121409165778354_231434</t>
  </si>
  <si>
    <t>• Etter gårsdagens gode armøkt var det godt å starte dagen litt seinere med trappe cardio 😅💦
Ønsker dere alle en fin dag videre 🌸💕• ______________________________________________
#nordicfitnessgirls #lovelifting #smilebehappy #gorlswholift #keepfit_no #keepongoing #grow #workharder #nevergiveup #sprekesprell #aktivejenter #aktivlivsstil #påveimotmålet @sprekesprell @skinsnorge.no</t>
  </si>
  <si>
    <t>gorlswholift</t>
  </si>
  <si>
    <t>konstantina_kotsiaris</t>
  </si>
  <si>
    <t>1592124526254443930_2872882006</t>
  </si>
  <si>
    <t>When hubby sends me videos on messenger.. always being positive and strong &amp; funny.. 💪💯 @julianokobenhavn
__________________________________
F.A.I.L = First Attempt In Learning 
E.N.D = Effort Never Dies 
N.O =  Next Opportunity 
#positivemind #muckingaround #hope #fun #keepongoing #neverbackdown #fitnesslifestyle #strongmind #fitnessjourney</t>
  </si>
  <si>
    <t>motivational_draft</t>
  </si>
  <si>
    <t>1592125294860657082_5924175676</t>
  </si>
  <si>
    <t>Know yourself.
#roadtosuccess #entrepreneurship #success #faithful #bestrong #keepongoing #believe #faith #endurance #persistence #persiverance #loveself #dailyhabit #findyourworld #discoverself #selfrespect</t>
  </si>
  <si>
    <t>faithful</t>
  </si>
  <si>
    <t>findyourworld</t>
  </si>
  <si>
    <t>persiverance</t>
  </si>
  <si>
    <t>twirlingoda</t>
  </si>
  <si>
    <t>1592129219052123083_4811928062</t>
  </si>
  <si>
    <t>on my way to Horten!❤️❤️ #summer #havefun #happy #havefaith #behapppy #training #tricks #longtime #raining #batontwirler #baton #workhard #workoutmotivation #workout #adidas #2xunorge #norway #keeptrying #keepongoing #excitingtimes</t>
  </si>
  <si>
    <t>batontwirler</t>
  </si>
  <si>
    <t>2xunorge</t>
  </si>
  <si>
    <t>longtime</t>
  </si>
  <si>
    <t>rubycpy</t>
  </si>
  <si>
    <t>1592140461580418670_453122199</t>
  </si>
  <si>
    <t>Day 394.
泌尿超棒！（我知道我去哪科都覺得很棒可是這裡真的棒😂） 老師學長姐各種不酸不電超teaching, clerkship的設計也讓我們能真正學習而不是應付作業。
可外可內的性質也很吸引人。跟楊主任查房、開刀簡直如沐春風😍😍😍 老師優雅的刀術、臨床邏輯推理、為病人的思慮，都讓我好喜歡💕
這裡有各種精彩充實的課、超級照顧我們又善於教學的ODK學長、刀房病房裡樂於解說的住院醫師們，怎麼能不愛如此clerk友善的地方呢？
今天下午看檢查的時候，不求甚解的態度被鄭醫師幾個簡單的問題給道破了，有點羞愧😅 接下來一個半禮拜只好更努力了！時間不夠啊😱😱😱😱😱😱 一天是48小時該有多好😭
Last but not least, 導談好豪華😋 謝謝學長🤗
#NCKUHdiary #urology #urologyteam #manythanks #keepongoing</t>
  </si>
  <si>
    <t>食倉鮮切牛排 The Warehouse Steakhouse</t>
  </si>
  <si>
    <t>urology</t>
  </si>
  <si>
    <t>urologyteam</t>
  </si>
  <si>
    <t>nckuhdiary</t>
  </si>
  <si>
    <t>manythanks</t>
  </si>
  <si>
    <t>1592141493454575831_3171662</t>
  </si>
  <si>
    <t>#anastasiabeverlyhills #thebalm #toofaced #maccosmetics #jaclynhillxmorphe #colorpop #colorpoplipstick #katvondcosmetics #makeupforever #urbandecay #kevinacouin #keepongoing #makeuptime #makeuplife #sminkedukke #sminke #makeuplover #mua #wannabemua #practicemakesperfect #practicing #norge #norway🇳🇴 #ktown #kristiansand</t>
  </si>
  <si>
    <t>kristiansand</t>
  </si>
  <si>
    <t>colorpoplipstick</t>
  </si>
  <si>
    <t>meilinger.melanie</t>
  </si>
  <si>
    <t>1592157735611288041_294845896</t>
  </si>
  <si>
    <t>#skiing in #progress. #moguls here in @zermatt.matterhorn are kind of special 🙂#zermatt #matterhorn #swiss #schweiz #switzerland #ski #skifahren #buckelpiste #snow #schnee #skifreestyle #freestyle #training #roadtopyeongchang #pyeongchang2018 #keepongoing ❄️⛷🤗@hochkoenig @bergdorfdertiere @pocsports @komperdell_official</t>
  </si>
  <si>
    <t>Zermatt, Switzerland</t>
  </si>
  <si>
    <t>freestyle</t>
  </si>
  <si>
    <t>schnee</t>
  </si>
  <si>
    <t>pyeongchang2018</t>
  </si>
  <si>
    <t>moguls</t>
  </si>
  <si>
    <t>skifahren</t>
  </si>
  <si>
    <t>sylcdance</t>
  </si>
  <si>
    <t>1592163787648414579_50422945</t>
  </si>
  <si>
    <t>#modern #kids #sylcdance #hot #keepongoing</t>
  </si>
  <si>
    <t>Sylcdance dans en sport studio</t>
  </si>
  <si>
    <t>1592166719458929680_4229046670</t>
  </si>
  <si>
    <t>fitgirlsmotivate</t>
  </si>
  <si>
    <t>workoutguide</t>
  </si>
  <si>
    <t>fitnessaddicted</t>
  </si>
  <si>
    <t>saveena_b</t>
  </si>
  <si>
    <t>1592167691941192321_20076790</t>
  </si>
  <si>
    <t>Back in the lab! 3x5 at 255 then to finish it with 250x1 pause squat had me like💀..but I manage to get through it. Always constant battle between how low my squat should be. I always been taught ATG squats but I think as long as you hit 90 degree(depending on the sport) then thats just fine🤘🏽. #strenghth#squats #onedayatatime#nosleeves
#nobelt#whatarethose #imnotevenapowerlifter
#butilovetolift#weightlifting#keepongoing#fitness
#adidas#yeezy#myfavoritebar</t>
  </si>
  <si>
    <t>butilovetolift</t>
  </si>
  <si>
    <t>yeezy</t>
  </si>
  <si>
    <t>imnotevenapowerlifter</t>
  </si>
  <si>
    <t>lov.v.e.d</t>
  </si>
  <si>
    <t>1592171624060549582_5943325574</t>
  </si>
  <si>
    <t>#plans#lifeisachoice#reality#keepongoing#chooseyourlife#chooseyourdestiny#playhard#bewiser#plansareplans#dontstop#neverlookback#nevergiveup</t>
  </si>
  <si>
    <t>bewiser</t>
  </si>
  <si>
    <t>plansareplans</t>
  </si>
  <si>
    <t>1592177163368888683_2164592786</t>
  </si>
  <si>
    <t>Follow @adventure.gram for awesome travel images. Maldives vibes.
Photo by @michutravel
.
.
.
.
.
.
.
.
#indonesiatravel #lifebydesign #livetotravel #paradisebay #paradises #beachvibes #condenasttraveler #travelog #keepitgoing #thaitraveling #keepongoing #energypro #energyboost #inspiredaily #paradiseonearth #liveforthis #traveligram #travelinsta #earthpix #yogajournal #ecotravel #familyaffair #bestbeach #jomblotraveler #keepgrowing</t>
  </si>
  <si>
    <t>travelinsta</t>
  </si>
  <si>
    <t>_voguishstyles_</t>
  </si>
  <si>
    <t>1592181425410229539_5921346476</t>
  </si>
  <si>
    <t>Someone is thinking about giving up!! DON'T!... 😍  #motivationalquotes #positivethinking #keepongoing #dontgiveup #itsonlytuesday #godlovesyou #sodoi</t>
  </si>
  <si>
    <t>sodoi</t>
  </si>
  <si>
    <t>1592181876229986839_263886655</t>
  </si>
  <si>
    <t>Trust the magic of new beginnings. ☁️✨ ~~~~~~~~~~~~
#hotelnewyork #rotterdam #introductiedag #rotterdamacademy #cmc #newschoolyear #sunscreen #startofsomethingnew #sightseeing #oldbuding #bigclock #sunshine #clouds #hotday #introduction #architecture #holland #education #keepongoing #followyourdreams #instadaily #studentlife #geeky #sunnyday #rottergram #architectuurrotterdam</t>
  </si>
  <si>
    <t>Hotel New York Rotterdam</t>
  </si>
  <si>
    <t>architectuurrotterdam</t>
  </si>
  <si>
    <t>rottergram</t>
  </si>
  <si>
    <t>someshitstory</t>
  </si>
  <si>
    <t>1592183599209448476_5958308394</t>
  </si>
  <si>
    <t>I've had numerous of secret accounts. Stopped posting on them a while ago, cuz everything went well. But unfortunately I'm kinda relapsing rn. 
#depression #depression #grave #depressedquotes #depressedgirl #suicidal #suicidalthoughts #relapsing #relapse #eatingdisorder #eatingdisorders #selfharmmm #fighting #keepongoing</t>
  </si>
  <si>
    <t>relapsing</t>
  </si>
  <si>
    <t>depressedquotes</t>
  </si>
  <si>
    <t>suicidalthoughts</t>
  </si>
  <si>
    <t>eatingdisorder</t>
  </si>
  <si>
    <t>eliifli</t>
  </si>
  <si>
    <t>1592190664304800051_888834728</t>
  </si>
  <si>
    <t>Her rengin içimizde bir duyguya denk. 👑 #keepongoing #keeponkeepingon #vsco #vscocam</t>
  </si>
  <si>
    <t>dmitryjdanov</t>
  </si>
  <si>
    <t>1592191909878355647_3244923983</t>
  </si>
  <si>
    <t>#Repost @adventure.gram (@get_repost)
・・・
Follow @adventure.gram for awesome travel images. Maldives vibes.
Photo by @michutravel
.
.
.
.
.
.
.
.
#indonesiatravel #lifebydesign #livetotravel #paradisebay #paradises #beachvibes #condenasttraveler #travelog #keepitgoing #thaitraveling #keepongoing #energypro #energyboost #inspiredaily #paradiseonearth #liveforthis #traveligram #travelinsta #earthpix #yogajournal #ecotravel #familyaffair #bestbeach #jomblotraveler #keepgrowing</t>
  </si>
  <si>
    <t>1592196941608814996_1489748082</t>
  </si>
  <si>
    <t>Chyba szykuje sie życiowa forma :p Jeszcze z tydzien maks 2 przytrzymam dietę, obecny plan  treningowy i beda fotki bez koszulki 😁😎💪
#mensphysique #fitnessphysique #keepongoing #fitman #dzik #110kg #warszawa</t>
  </si>
  <si>
    <t>McFIT Ostrobramska</t>
  </si>
  <si>
    <t>polishman</t>
  </si>
  <si>
    <t>polskichlopak</t>
  </si>
  <si>
    <t>dzik</t>
  </si>
  <si>
    <t>kulturystyka</t>
  </si>
  <si>
    <t>djordje_m_91</t>
  </si>
  <si>
    <t>1592197502244059684_878622780</t>
  </si>
  <si>
    <t>Push it 💪 #motivation #keepongoing #motivationalquotes</t>
  </si>
  <si>
    <t>1592198755762820031_1684424176</t>
  </si>
  <si>
    <t>Update #happeningnow
Nothing but prayers #richmondtx #harvey2017 #houstonstrong 
@millionaireimage 
___________________________ 
#millionaireimage #doitforyourself #betterme #beyourown #keeponkeepingon #workforwhatyouwant  #marketingmoment #marketingsolutions #encourageyourself #bethechangeyouwanttosee #youvegotthis #oilfieldlife #millionairequotes #inspirationalthoughts #positivepeople #americanbusiness #quoteme  #strategize  #inspirationalpost #businessownership #businessisbusiness #keepongoing  #bewhoyouare #bewhatyouwanttobe #socialinfluencers #socialize</t>
  </si>
  <si>
    <t>Kroger Marketplace</t>
  </si>
  <si>
    <t>harvey2017</t>
  </si>
  <si>
    <t>richmondtx</t>
  </si>
  <si>
    <t>1592200241124433949_1456976711</t>
  </si>
  <si>
    <t>Idag fick jag svart på vitt varför jag inte ska vara ute i spår och jogga! 😩 Alldeles för tung för att mina vader ska klara av detta... Varför utsätter man sig själv för tortyr, mina vader är tortyr!! 🏃🏽‍♀️😡 Så nu har jag spytt ur mig klart! Påt igen på torsdag bara... 🙄</t>
  </si>
  <si>
    <t>recklessdefiance</t>
  </si>
  <si>
    <t>1592205181754790501_1644738685</t>
  </si>
  <si>
    <t>14 days left #moving #boxes #movingon #solo #keepongoing</t>
  </si>
  <si>
    <t>solo</t>
  </si>
  <si>
    <t>boxes</t>
  </si>
  <si>
    <t>jessyka.fay</t>
  </si>
  <si>
    <t>1592205812451970992_325588040</t>
  </si>
  <si>
    <t>When life forces you to choose between two paths
You must take that time to feel with your heart
And listen to your soul. 
Unity of oneself will provide you with a life that you have always dreamed of.
Life is not meant to be hard,
It is meant to be enjoyed. 
Lessons are to be learned,
and it doesn't have to be through constant struggle. - Jessy'ka Fay
#breakingchains #liveyourtruth #keepongoing #authentic #transparency #explorecanada #explore #adventureawaits #adventure #outsideyourcomfortzone #writerssociety #writersofinstagram #writerslife #writer #poetscorner #poetsofnature #poetsofinstagram #poetry #fromthepentothepaper</t>
  </si>
  <si>
    <t>breakingchains</t>
  </si>
  <si>
    <t>fromthepentothepaper</t>
  </si>
  <si>
    <t>explorecanada</t>
  </si>
  <si>
    <t>nukitaa</t>
  </si>
  <si>
    <t>1592207395315240141_12441052</t>
  </si>
  <si>
    <t>Shine &amp; rise🌞 
#morningglory #sunnyday #tuesdaymotivation #spritedaway #caliday #keepongoing #weekwibes #sun #sunglassesselfie #cheese 😁</t>
  </si>
  <si>
    <t>cheese</t>
  </si>
  <si>
    <t>morningglory</t>
  </si>
  <si>
    <t>weekwibes</t>
  </si>
  <si>
    <t>marloes_veldhuis</t>
  </si>
  <si>
    <t>1592207651444398863_4426427726</t>
  </si>
  <si>
    <t>Mooie, zonnige en energieke dag vandaag, met kick-off nummer 2 bij @omybagamsterdam! Van start met een superversie van ons vitaliteitsprogramma. #gogogo #onfire #sport #food #mind #energiek #lovemyjob #keepongoing #vitaliteit</t>
  </si>
  <si>
    <t>energiek</t>
  </si>
  <si>
    <t>vitaliteit</t>
  </si>
  <si>
    <t>onfire</t>
  </si>
  <si>
    <t>kimmylouise82</t>
  </si>
  <si>
    <t>1592214254848955118_4689437</t>
  </si>
  <si>
    <t>Yes. But, following a concerned text from a friend, I'm going to clarify that today was a good day. Today, someone decided to fight in our corner rather than against us. Today we have hope again. But life does love chucking curve balls in our direction. #fml#lifeslikethat #life#hangingon #keepongoing #truth#mylife</t>
  </si>
  <si>
    <t>fml</t>
  </si>
  <si>
    <t>hangingon</t>
  </si>
  <si>
    <t>lifeslikethat</t>
  </si>
  <si>
    <t>_marianodg</t>
  </si>
  <si>
    <t>1592218798680447517_27999668</t>
  </si>
  <si>
    <t>*
*
- perché le vacanze finiscono? 
_
- perché le cose belle finiscono o non sarebbero così belle. 
_
- perché dici così?
_
- hai presente il tramonto? 
_
- sì.
_
- ti piace guardarlo?
_
- sì.
_
- ecco, il tramonto indica che una giornata sta per terminare. 
_
- e quindi? 
_
- e quindi è semplice: tutte le cose belle finiscono e possiamo solo contare su quello che viene dopo, sperarci e crederci. Dietro la fine di qualcosa si nasconde sempre qualcosa di più grande. 
Abbi fede. 
Non avere paura. 
Io ci sarò sempre. 
Anche quando non ci sarò più.
_
#IPensieriDiMariano 
#KeepOnGoing. 🏃🏼🔐🤞🏻🌏
#ChiSiFermaÈPerso 
#love #TagsForLikes  #instagood #me #smile #follow #cute #photooftheday #tbt #followme #girl #beautiful #happy #picoftheday #instadaily #food #swag #amazing #fashion #igers #fun #summer #instalike #bestoftheday #smile #like4like #friends #instamood</t>
  </si>
  <si>
    <t>swag</t>
  </si>
  <si>
    <t>kandicegriffin</t>
  </si>
  <si>
    <t>1592227301231111244_3430315629</t>
  </si>
  <si>
    <t>It will be worth it!  #nothing #easy #but #so #worthit #keepongoing #dontquit #satisfaction #justdoit #happy #glad #prosperous #mompreneur #boss #bossbabe #IBO926 #groomingchick</t>
  </si>
  <si>
    <t>prosperous</t>
  </si>
  <si>
    <t>ibo926</t>
  </si>
  <si>
    <t>1592230299052151188_5586814877</t>
  </si>
  <si>
    <t>When you just can't face proper cooking... Aldi Chinese stir fry meal kit to the rescue with some extra prepped veg thrown in for speed ☺️ 4.5 syns for half of the meal kit and worth every one for a hassle free dinner 👌🏻 swipe to see packaging ➡️ #fooddiary #slimmingworld #sw #slimmingworldfood #slimmingworldjourney #health #happiness #selfimprovement #bethebestyou #keepongoing #nomorestartingover</t>
  </si>
  <si>
    <t>pbp_anouk</t>
  </si>
  <si>
    <t>1592237131161767849_4554946888</t>
  </si>
  <si>
    <t>Strompelend de dag overleefd. Als mn benen konden huilen om de spierpijn, dan zouden ze dat de hele dag doen 😭. Vandaag kwam mn body&amp;fit pakketje binnen met spulletjes en een pakketje met mn nieuwe blender! Dus donderdag ga ik eens een protein fluff maken 😍. Nog iets waar ik naar uit keek was de wrappizza die ik op de planning had staan als avondmaaltje. 🌚 lekker, makkelijk én gezond! 😍 nu heerlijk Masterchef kijken! #pbp #personalbodyplan #wrappizza #itsawrap #healthyfood #happyfood #comfortfood #pizza #eatclean #weighloss #afvallen #motivated #avocado #beans #meat #bodybuilding #team31juli #team30januari #keepongoing #caloriecounting #backontrack</t>
  </si>
  <si>
    <t>weighloss</t>
  </si>
  <si>
    <t>itsawrap</t>
  </si>
  <si>
    <t>comfortfood</t>
  </si>
  <si>
    <t>beastynurse</t>
  </si>
  <si>
    <t>1592239873624746119_5646227458</t>
  </si>
  <si>
    <t>When you're trying to diet but it's not working out right now 🙄</t>
  </si>
  <si>
    <t>cantresist</t>
  </si>
  <si>
    <t>dietshardwork</t>
  </si>
  <si>
    <t>myprotein</t>
  </si>
  <si>
    <t>shitday</t>
  </si>
  <si>
    <t>tu__carma</t>
  </si>
  <si>
    <t>1592245238281206693_480756461</t>
  </si>
  <si>
    <t>💪#dontgiveup #keepgoing #youcandoanythingyouputyourmindto #youcreateyourownreality #ifyouwantyoucan #keepongoing #youvryou #dontquit #youwontregretit #youworthit #newbeginning #newme #newgoals #goaldigger #letsuccessmakesthenoise #letsdoit</t>
  </si>
  <si>
    <t>youwontregretit</t>
  </si>
  <si>
    <t>1592245242752277138_1684424176</t>
  </si>
  <si>
    <t>tasious89</t>
  </si>
  <si>
    <t>1592245690712959788_922492249</t>
  </si>
  <si>
    <t>Ooops this is my 2nd gain on my journey.  i guess it has caught up with me. After both holidays i expected a gain but had losses today I expected a maintain and but put on🙈🙈
I plan to keep an eye on my syns as did go iver in the week as i didn't keep count and double check syn values etc. Deffo need more speed. Total loss 3stone 7lbs
#slimmingworlduk #slimmingworld #weighday #gain #nevergiveup #keepontrack #keepongoing</t>
  </si>
  <si>
    <t>gain</t>
  </si>
  <si>
    <t>weighday</t>
  </si>
  <si>
    <t>slimmingworlduk</t>
  </si>
  <si>
    <t>karramella1</t>
  </si>
  <si>
    <t>1592247492796132112_222169836</t>
  </si>
  <si>
    <t>🤸‍♂️ jumping into Day 3 of #shapeupyourinversions 🙌🏼 with l-shaped #sirsasana #boundheadstand 😺gotta work on that pike up!
@omniyogagirl @micoldelloro @park_yoga_girl @feetup @yogisurprise @niyama_sports @liforme @modernmalas
-
#keeppracticing #keepongoing #inversionjunkie #absabsabs #invertalert #yogaeverydamnday #strikeapose #upsidedown #headstand #headstands #beagoddess #aloyoga #liforme #yogawear #invertyoself #augustyogachallenge #photochallenge #gymnastics #headstandvariation #dontcallmebaby #ashtangayoga #loveyourbody #loveyourpractice #liftingheavy #everydaystyle #namaste #corepoweryoga</t>
  </si>
  <si>
    <t>dontcallmebaby</t>
  </si>
  <si>
    <t>ashtangayoga</t>
  </si>
  <si>
    <t>augustyogachallenge</t>
  </si>
  <si>
    <t>corepoweryoga</t>
  </si>
  <si>
    <t>1592251207179409906_4203348813</t>
  </si>
  <si>
    <t>Double tap if you love Abs ❤️
.
#health #fitness #fit #fitnessaddict #fitnessmodel #fitnessmotivation #tags4likes #fitnessfood #LiftingAcademy #training #picoftheday #healthyeating #healthy #diet #fitnessmodels #gym  #fitnesslife #fitnessphysique #fitnesslifestyle #fitnesswomen #healthyfood #exercise #shesquats #motivation #lifestyle #cleaneating #squats</t>
  </si>
  <si>
    <t>claudiovitto_</t>
  </si>
  <si>
    <t>1592252817387797027_1527151695</t>
  </si>
  <si>
    <t>#caminorecto #caminoerguido #santiagodecompostela #keepongoing</t>
  </si>
  <si>
    <t>caminorecto</t>
  </si>
  <si>
    <t>santiagodecompostela</t>
  </si>
  <si>
    <t>caminoerguido</t>
  </si>
  <si>
    <t>1592253040902210982_2793189067</t>
  </si>
  <si>
    <t>Good energy @talktexasoil 
Quotediems 
___________________________ 
#doitforyourself #betterme #beyourown #keeponkeepingon #drillingrig #crudeoil #shale #workforwhatyouwant  #marketingsolutions #encourageyourself  #youvegotthis #oilfieldlife #pipeliners  #positivepeople  #quoteme #quoteaccount #strategize #seemslegit #youdoyou #inspirationalpost #businessownership #businessisbusiness #keepongoing #selfconfidence #bewhoyouare #drill #bewhatyouwanttobe #oilcountry #socialize</t>
  </si>
  <si>
    <t>drill</t>
  </si>
  <si>
    <t>1592253846042649459_1615759923</t>
  </si>
  <si>
    <t>Quotediems Houston! 
___________________________ 
#doitforyourself #betterme #beyourown #keeponkeepingon #drillingrig #crudeoil #shale #workforwhatyouwant  #marketingsolutions #encourageyourself  #youvegotthis #oilfieldlife #pipeliners  #positivepeople  #quoteme #quoteaccount #strategize #seemslegit #youdoyou #inspirationalpost #businessownership #businessisbusiness #keepongoing #selfconfidence #bewhoyouare #drill #bewhatyouwanttobe #oilcountry #socialize</t>
  </si>
  <si>
    <t>1592255472315007780_4678264587</t>
  </si>
  <si>
    <t>First time I had to do a full APHRODITE (endurance) so it's my first PB on this one! 👍🏻
🔥🔥🔥 #hellweek 🔥🔥🔥 #day3
Good time for a first, I'll try being under 20:00 next time I gotta do it! 💪🏻💪🏻
#Freeletics #bodyweight #freeleticsangers #freeleticsecouflant #hippodrome #angers #ecouflant #freeathlete #freeleticslifestyle #fit #fitness #fitnessmotivation #stayinshape #betterversionofyourself #keepongoing #trainingday #workout #noexcuses</t>
  </si>
  <si>
    <t>thisgirlcan_slim</t>
  </si>
  <si>
    <t>1592258545666982968_5923375379</t>
  </si>
  <si>
    <t>I finally plucked up the courage to do the 20min non stop run! And guess what I did it!! It was hard, but I just kept plodding with Sarah Millican in my ear telling me to keep on going... very chuffed! And I didn't need to get in the shower to cool down as the heavens opened and I got a little wet, even my dog was not happy about the deluge. But still I didn't stop smiling! #slimmingworld #c25k #running #keepongoing</t>
  </si>
  <si>
    <t>c25k</t>
  </si>
  <si>
    <t>1592261040657963568_4241579037</t>
  </si>
  <si>
    <t>#malcolmx #blackpantherpartyforselfdefense #foodforthought #nevergiveup #keepongoing</t>
  </si>
  <si>
    <t>blackpantherpartyforselfdefense</t>
  </si>
  <si>
    <t>malcolmx</t>
  </si>
  <si>
    <t>davidjensen01</t>
  </si>
  <si>
    <t>1592261237186330835_197541399</t>
  </si>
  <si>
    <t>Focus on the next one 🔴⚪️ #keepongoing</t>
  </si>
  <si>
    <t>1592267126037883563_2235956490</t>
  </si>
  <si>
    <t>Where does the weight go? 
What happens to it?❓ How does it leave my body?  No I  don't "Burn it off" 🏃 
Why? It's Simply science like we learned in school -
we cannot turn atoms into energy &amp; the weight is atoms. 🔍
In fact here is the chemical equation.  C 55 H104 O6.  That is an average fat molecule - crazy right? 
We convert our fat atoms  to CO2 carbondioxide which we breath out! And H2O water which leaves the body in many ways! 
In order for this to happen  we need to convert that fat molecule by moving more and eating less.  To learn more watch Ruben Meerman's TedX talk called "The Mathmatics of weightloss"  it's on Youtube and I promise you its not boring! 
#whereisit #fattofit #weightlossjourney #keepongoing #keepgoing #keeponkeepingon #breatheout #losefat #fatloss #goals😍 #icandothat #icandothis #icandohardthings #breathelife @tedx_official @rubenmeerman</t>
  </si>
  <si>
    <t>1592267532660079176_4869035138</t>
  </si>
  <si>
    <t>Oh so loud indeed 💯❌
Have you followed us @100xsuccess yet❓
•
📷 @kai.boet</t>
  </si>
  <si>
    <t>julieglassmanjewelry</t>
  </si>
  <si>
    <t>1592272599673246057_490607714</t>
  </si>
  <si>
    <t>Crohn's Disease isn't only about tummy pain.  There's much more to it. Even with great treatment, vitamins, clean diet, no alcohol I occasionally have a day where I feel like life has been sucked out of me. I know if I wasn't doing all these things I'd be worse. Fatigue is one of the biggest symptoms of this condition.  Today is one of those days. I feel hungover but, without the party. But, I get up and make it priority to do all the things I have to for self care so I can stay as healthy as I can and keep going. I'm thinking of all my friends and family with chronic illness.  Remember to put your self care first. No excuses.
These pieces are my tribute to everyone with illness.  It's a reminder of the warriors we are on a daily basis. Warrior woman is custom made to order. Turnaround time is currently 6-8 weeks.
#keepongoing #fightforever #crohnswarrior #warriorwoman #vivaciousfineartjewelry #selfcarefirst #noexcuses #takegoodcare #noguilt #iwin #survivor #kickbutt</t>
  </si>
  <si>
    <t>kickbutt</t>
  </si>
  <si>
    <t>takegoodcare</t>
  </si>
  <si>
    <t>fightforever</t>
  </si>
  <si>
    <t>iwin</t>
  </si>
  <si>
    <t>workoutbykl</t>
  </si>
  <si>
    <t>1592273536335438663_3576017154</t>
  </si>
  <si>
    <t>Late night workout where I pushed my shoulders to the end of strength and some cardio as well to be best of me 💪👊🤙🏼 #shoulders #cardio #gym #gymlife #gymtime #lateworkout #strong #comeback #gettingfit #fit #fitness #bethebestofyou #bethebestversionofyourself #keepongoing #nevergiveup #nopainogain #focus #pushthepace #teambringit</t>
  </si>
  <si>
    <t>bethebestofyou</t>
  </si>
  <si>
    <t>1592273759790967445_2190333578</t>
  </si>
  <si>
    <t>Little Restart
Heute eine Runde schwimmen gewesen, kann es kaum erwarten wieder zu laufen...
#swimming  #headache #runningman #Motivation #runnershigh #running #instapic #instarunners #sport #fitness #nopainnogain #Disziplin #asics #runner #runday #abnehmen #kalorien #Läufer #runnerspic #epic #keepongoing #Kopfsache</t>
  </si>
  <si>
    <t>Timmendorfer Strand</t>
  </si>
  <si>
    <t>headache</t>
  </si>
  <si>
    <t>sand_mc</t>
  </si>
  <si>
    <t>1592274488602177615_246507004</t>
  </si>
  <si>
    <t>La última foto del domingo &lt;3
Gracias por su trabajo y compromiso #SPIN team :) #keepongoing</t>
  </si>
  <si>
    <t>der_facharzt</t>
  </si>
  <si>
    <t>1592276543509166338_5778027619</t>
  </si>
  <si>
    <t>#workoutmotivation #fitness #challenge #keepongoing #nevergiveup</t>
  </si>
  <si>
    <t>mariabmontaner</t>
  </si>
  <si>
    <t>1592281051438747283_640103266</t>
  </si>
  <si>
    <t>Hoy al salir del trabajo, el cielo me ha parecido tan intenso como el día #sky #clouds #igersmallorca #lookback and #keepongoing</t>
  </si>
  <si>
    <t>lookback</t>
  </si>
  <si>
    <t>igersmallorca</t>
  </si>
  <si>
    <t>1592281633004494512_4463656651</t>
  </si>
  <si>
    <t>Megan #Lodmare</t>
  </si>
  <si>
    <t>1592285285000328887_1347015205</t>
  </si>
  <si>
    <t>#kids #norules #stassi #stassthaboss #boss #nogate #kiwiclan #follow4follow #daddyslittlegirl #minime #fit #food #body #bodybuilding #motivation #newme #300-230 #hustle #cantstopwontstop #newborn #follow4follow #Forlife #keepongoing #</t>
  </si>
  <si>
    <t>lil_fit13</t>
  </si>
  <si>
    <t>1592287336553503655_1508470527</t>
  </si>
  <si>
    <t>#stay strong #bestrong #smiling #keepongoing #nevergiveup #believeinyourself #loveyourself #wonder</t>
  </si>
  <si>
    <t>wonder</t>
  </si>
  <si>
    <t>bex_w_88</t>
  </si>
  <si>
    <t>1592288078549162780_1793099095</t>
  </si>
  <si>
    <t>#day1 of my steps challenge complete...Had to hit 5000 steps (see previous post). Also I'm with in my #1200calories so I'd call that a successful day 💕 #weightloss #mfp #myfitnesspal #mfpuk #weightlossjourney #fitbit #fitbitfam #fitfam #fitspo #healthyeating #glutenfree #eatingwell #fattofit #motivated #determined #keepongoing #nevergiveup #doitforyou #beyourownmotivation ❤️💙💛💜💚</t>
  </si>
  <si>
    <t>eatingwell</t>
  </si>
  <si>
    <t>mfp</t>
  </si>
  <si>
    <t>1592288426483525379_1347015205</t>
  </si>
  <si>
    <t>Sometimes the best guide is a reflection of yourself!! #trusted #truth #freemason #G #bodybuilding #fit #food #body #bodybuilding #motivation #newme #300-230 #hustle #cantstopwontstop #newborn #follow4follow #Forlife #keepongoing #protein #noquit #gains #shopping #mealpreps #packonmuscle #cutting</t>
  </si>
  <si>
    <t>trusted</t>
  </si>
  <si>
    <t>1592293921424207140_264198860</t>
  </si>
  <si>
    <t>Lungebetændelse kan være smertefuldt - det fandt jeg bestemt ud af idag. Ved ikke om det er kroppens måde at straffe mig på, for ikke at holde mig i ro. Heldigvis har jeg nogle stille og rolige dage på kontoret - hvor jeg ved de passer på mig ❤️. Denne uge valgte @astridlind  og jeg at droppe vejningen. Det fucker altid med min krop når jeg får penicillin. Så næste uge .... #bestrong #mylife #myday #sick #vægttab #følgmitvægttab #weightloss #weightlossjourney #fight #fit #love #work #nofilter #justanotherday #keepsmiling #keepongoing #keepfighting</t>
  </si>
  <si>
    <t>følgmitvægttab</t>
  </si>
  <si>
    <t>1592296856271911568_1684424176</t>
  </si>
  <si>
    <t>@millionaireimage really tho. 
___________________________ 
#millionaireimage #doitforyourself #betterme #beyourown #keeponkeepingon #workforwhatyouwant  #marketingmoment #marketingsolutions #encourageyourself #bethechangeyouwanttosee #youvegotthis #oilfieldlife #millionairequotes #inspirationalthoughts #positivepeople #americanbusiness #quoteme  #strategize #seemslegit #youdoyou #inspirationalpost #businessownership #businessisbusiness #keepongoing #selfconfidence #bewhoyouare #bewhatyouwanttobe #socialinfluencers #socialize</t>
  </si>
  <si>
    <t>1592298686489214534_3115132128</t>
  </si>
  <si>
    <t>Hey Fitness Fam!
Follow my snap &amp; Insta stories #marysnap50!  I usually post my daily meals/gym and progress videos. #babyabs Here's a snap video after my cardio workout. Staying consistent is key to results. Be patient and keep on going. #goals #everyonehasone</t>
  </si>
  <si>
    <t>marysnap50</t>
  </si>
  <si>
    <t>babyabs</t>
  </si>
  <si>
    <t>everyonehasone</t>
  </si>
  <si>
    <t>1592302153073837564_1684424176</t>
  </si>
  <si>
    <t>@millionaireimage 
___________________________ 
#millionaireimage #harvey2017 #doitforyourself #betterme #beyourown #keeponkeepingon #workforwhatyouwant  #marketingmoment #marketingsolutions  #bethechangeyouwanttosee #youvegotthis #oilfieldlife #millionairequotes #houstonstrong #inspirationalthoughts #positivepeople #americanbusiness #quoteme  #strategize #seemslegit #youdoyou #inspirationalpost #businessownership #businessisbusiness #keepongoing #selfconfidence #bewhoyouare #bewhatyouwanttobe #socialinfluencers #socialize</t>
  </si>
  <si>
    <t>1592303103511891804_5943325574</t>
  </si>
  <si>
    <t>#keepongoing#findyourway#findyourlife#bepositive#spirituality#controlyourself#trustyourinstincts#positivevibes</t>
  </si>
  <si>
    <t>findyourlife</t>
  </si>
  <si>
    <t>controlyourself</t>
  </si>
  <si>
    <t>trustyourinstincts</t>
  </si>
  <si>
    <t>_gabbbbb_</t>
  </si>
  <si>
    <t>1592303795019109125_1506954020</t>
  </si>
  <si>
    <t>This is why I keep going. 
#weightloss#determined#motivated#inshape#keepongoing#healthy#notgivingup#progress#fit#exercise#clothesgettinghuge#icandoit</t>
  </si>
  <si>
    <t>1592307267004234711_15887082</t>
  </si>
  <si>
    <t>Det bedste heppekor at have med sig hvis jeg nu selv skal sige det 😎🎉 @lsimonel 
#kmdironmancopenhagen ironman #upcoming #mulitisport #tri365 #lovemylife #fitness #imbarcelona #outofcomfortzone #trilabdk #triathlon #triatlete #invisibleguns #IMHamburg #keepongoing #purepowerdk #smileplease #swimbikerun</t>
  </si>
  <si>
    <t>marta_salvi_makeupartist</t>
  </si>
  <si>
    <t>1592315471842040584_1454537729</t>
  </si>
  <si>
    <t>One of the best experience I've done so far 😍 • because #makeupartist never stop! • #martasalvimakeup #chanel #chanelacademy #makeupacademy #instamakeup #instacosmetics #makeuplover #makeuplove #ilovemyjob #ilovemakeup #academy #neverstop #keepongoing ✨ ✨ ✨</t>
  </si>
  <si>
    <t>chanelacademy</t>
  </si>
  <si>
    <t>1592338604655292496_40740215</t>
  </si>
  <si>
    <t>MOTD: Plank with a renegade row💪
---
Plank with a renegade row is a dynamic exercise and develops and works so many muscles at once! Place your hands on a pair of dumbbells and set your body in pushup position. Make sure to keep your  abs tight and elbows close to your body, row one dumbbell off of the floor, pulling your elbow as high as you can while you squeeze your shoulder blade back. Return the dumbbell to the floor and repeat with opposite arm. Who's going to add this awesome exercise to their next workout?!</t>
  </si>
  <si>
    <t>cardiogirl</t>
  </si>
  <si>
    <t>progressionnotperfection</t>
  </si>
  <si>
    <t>1592344910353181670_1360876445</t>
  </si>
  <si>
    <t>100 days of inspiration_x000D_Day 7- Amu Sofat_x000D__x000D_People call him a make up artist, hair stylist and tattoo artist but for me he is a daily dose of motivation._x000D_Why?_x000D_Because he is focussed and treads on his path with nofucksgiven attitude, I am surely in awe.of him._x000D_Spend a day with him and you will be full of optimism and motivation._x000D_I aspire to be focussed in my life like him._x000D_Thank you @amusofat for being in my life ❤ ._x000D_._x000D_._x000D_._x000D_._x000D_._x000D_._x000D_#100daysofinspiration #amusofat #goodfriends #happiness #inspireeachother #motivateveryday #motivation #willpower #determination #everdaymotivation #instadaily #toughgetsgoing #faceadversities #challengeyourself #writersofinstagram #writerscommunity #willpower #focussed #undeterred #letsdoit #eventstylist #hardworkpays #unperturbed #keepongoing #inspiringstories</t>
  </si>
  <si>
    <t>inspiringstories</t>
  </si>
  <si>
    <t>vloggmylife</t>
  </si>
  <si>
    <t>1592347392703029210_1937020543</t>
  </si>
  <si>
    <t>No matter how hard life gets I will always look forward➡️.
#alwayslookup #lookingahead #motivation #lifeisbeautiful #vloggmylife #inspiration #nevergiveup #keepongoing</t>
  </si>
  <si>
    <t>alwayslookup</t>
  </si>
  <si>
    <t>1592354146723109634_4359740860</t>
  </si>
  <si>
    <t>Infinite Possibilities
From @castersemenya800m
#infinite #possibilities #awesome #life #mind #awareness #smile #tuesday #motivation #keepongoing #choice #be</t>
  </si>
  <si>
    <t>choice</t>
  </si>
  <si>
    <t>possibilities</t>
  </si>
  <si>
    <t>motivate.empower.inspire</t>
  </si>
  <si>
    <t>1592360806112518243_5139866557</t>
  </si>
  <si>
    <t>YOU is the most important ♥️</t>
  </si>
  <si>
    <t>youarebeautiful</t>
  </si>
  <si>
    <t>serendipity</t>
  </si>
  <si>
    <t>1592388339931011707_5468355632</t>
  </si>
  <si>
    <t>I'm bored and rlly want Chinese food 🤔 -🐠
-
-
-
#josh #tyler #jenna #twentyonepilots #bands #frens #laugh #myidols 
#loveyou #bestmusic #keepongoing #ibelieve #theyrethebest #funny #smile #tøpmemes #tøp #stayalive #inspiring  #beautifulpeople</t>
  </si>
  <si>
    <t>1592389336564499263_5468355632</t>
  </si>
  <si>
    <t>I guess I should clean my room -🐠
-
-
-
#josh #tyler #jenna #twentyonepilots #bands #frens #laugh #myidols 
#loveyou #bestmusic #keepongoing #ibelieve #theyrethebest #funny #smile #tøpmemes #tøp #stayalive #inspiring  #beautifulpeople</t>
  </si>
  <si>
    <t>1592389578341664740_5715259229</t>
  </si>
  <si>
    <t>The journey continues🏃🏻... Success is ahead 🔜... The attitude of not giving up makes it closer to where we are headed 🔝. Law of attraction comes in strong when the mission and vision are clear💪.Mindset says its all👊
#morning #morningmotivation #positivevibes #mindset #neverstop #nevergiveup #persistence #focus #goingstrong #stability #goals #achieve #success #clearmind #goingstrong #vibes #positivevibes #selftrust #keepongoing #victory #instagram</t>
  </si>
  <si>
    <t>1592390172774652786_5468355632</t>
  </si>
  <si>
    <t>I really wish josh grew his hair back and dyed it blue, I can't believe it's gone 😭 -🐠
-
-
-
#josh #tyler #jenna #twentyonepilots #bands #frens #laugh #myidols 
#loveyou #bestmusic #keepongoing #ibelieve #theyrethebest #funny #smile #tøpmemes #tøp #stayalive #inspiring  #beautifulpeople</t>
  </si>
  <si>
    <t>kamigordon</t>
  </si>
  <si>
    <t>1592391361431127588_31410536</t>
  </si>
  <si>
    <t>A great reminder....some days I want to throw in the towel. #keepongoing (thanks to @snoopygrams for this gem)</t>
  </si>
  <si>
    <t>norisjoffre</t>
  </si>
  <si>
    <t>1592392645434277338_266049668</t>
  </si>
  <si>
    <t>#keepongoing #texas #hurricaneharvey #hurricaneharvey</t>
  </si>
  <si>
    <t>hurricaneharvey</t>
  </si>
  <si>
    <t>purpleberry2325</t>
  </si>
  <si>
    <t>1592396379815668354_1184420692</t>
  </si>
  <si>
    <t>Ain't that the truth! 😂
#feelingblessed #happy #truth #keepongoing #everydayisagift #begrateful #behumble #bekindalways❤ #love #unconditionallove #loveyourselffirst</t>
  </si>
  <si>
    <t>bekindalways</t>
  </si>
  <si>
    <t>1592396621809869912_8010670</t>
  </si>
  <si>
    <t>#hustlehard #lifeisbeautiful #keepongoing #nevergiveup #eyeontheprize #godfirst #alwayslearning #workinprogress #teamvitahaus #vitahaus #vitahaussupplements #lifeiswhatyoumakeit #gooddecisions #thestruggleisreal</t>
  </si>
  <si>
    <t>teamvitahaus</t>
  </si>
  <si>
    <t>alwayslearning</t>
  </si>
  <si>
    <t>1592404929878769887_4203455377</t>
  </si>
  <si>
    <t>Tanned and fit 😈
Model: @tara.frost</t>
  </si>
  <si>
    <t>1592408177613124917_192340311</t>
  </si>
  <si>
    <t>Yoga is for EVERY BODY. You don't have to be an acrobat or a gymnast. Although IG photos might have you believing differently.  You don't have to wear certain clothes or be able to do difficult poses...you don't even need to be able to touch your toes.  If you can breathe, you can do yoga.  Yoga will meet you wherever you are at.  All you have to do is show up and Be Present.  It's fun to take beautiful pictures but in reality, my personal practice looks like; me, in my small living room, dressed in my mixed matched mom pyjamas ( that are probably dirty ) trying to be present, while totally being distracted cause my kids are wreaking havoc two feet away from my almost zen like , but not even close, breath.</t>
  </si>
  <si>
    <t>1592409155354783822_1565303231</t>
  </si>
  <si>
    <t>Just don't give up! Do what you think you should do 💜 Act how you want to act ✨🌤⭐️ #KeepOnGoing #BeYourself #ChangeIsGood #Feellikeyoudeserveit #TreatYourselfGood #MakeYourDreamsHappen</t>
  </si>
  <si>
    <t>makeyourdreamshappen</t>
  </si>
  <si>
    <t>feellikeyoudeserveit</t>
  </si>
  <si>
    <t>1592418971771002649_5705167414</t>
  </si>
  <si>
    <t>Pretty famous guy over there 📷  #Dubnation
-
-
-
-
-
-
-
-
-
-
-
-
-
-
-
-
-
-
-
-
-
-
-
-
-
-
-
-
-
-
-
-
-
-
-
-
-
-
-
-
 #StephGonnaSteph #Mvp #SC30 #KT11 #DG23 #CURRYMVP #KEEPONGOING #NEVERGIVEUP #WCF #WEST #WESTERNCONFERENCEFINALS #CHAMPS #DUBSFORCHAMPS #DUBS #ALWAYSBELIEVEINGOD #STEPHENCURRY #EVEN #NBA #2016CHAMPS #CHAMPIONS #LOCKIN #STEPH #SPLASH #SPLASHBROS  #like4like #like4follow #follow4follow</t>
  </si>
  <si>
    <t>1592419585397859150_5705167414</t>
  </si>
  <si>
    <t>Steph can also play ping pong  #ThetalentsofSteph
-
-
-
-
-
-
-
-
-
-
-
-
-
-
-
-
-
-
-
-
-
-
-
-
-
-
-
-
-
-
-
-
-
-
-
-
-
-
-
-
 #StephGonnaSteph #Mvp #SC30 #KT11 #DG23 #CURRYMVP #KEEPONGOING #NEVERGIVEUP #WCF #WEST #WESTERNCONFERENCEFINALS #CHAMPS #DUBSFORCHAMPS #DUBS #ALWAYSBELIEVEINGOD #STEPHENCURRY #Dubnation #NBA #2016CHAMPS #CHAMPIONS #LOCKIN #STEPH #SPLASH #SPLASHBROS  #like4like #like4follow #follow4follow</t>
  </si>
  <si>
    <t>abanobe_shenoda</t>
  </si>
  <si>
    <t>1592422403567468665_526846656</t>
  </si>
  <si>
    <t>Peut-être un jour, je vais découvrir ce la faute oi l'erreur que jai fait, celui qui a transformé ma vie à l'envers, mais jusqu'à ce jour, je vais essayer de continuer à vivre #hardtimes #Hope #faith #keepongoing #lost #staystrong</t>
  </si>
  <si>
    <t>maggs069</t>
  </si>
  <si>
    <t>1592424529149083148_970656598</t>
  </si>
  <si>
    <t>I can do it all on my own! Thank you very much!
#selfsestructive #singlelife #single #ruining #ruin #lol #memes #stayingpositive #funnymemes #funny #icandoitmyself #thecheesstandsalone #keepongoing #sarcasticmemes #sarcasticmemes #sarcasm #sarcasticquotes</t>
  </si>
  <si>
    <t>ruin</t>
  </si>
  <si>
    <t>sarcasticquotes</t>
  </si>
  <si>
    <t>ruining</t>
  </si>
  <si>
    <t>coach__rodrigo</t>
  </si>
  <si>
    <t>1592430690607852992_2323805666</t>
  </si>
  <si>
    <t>I am fucking addicted to success , though respect a lot when I fail , cuz I know after it comes success if you keep on goin '
#addicted #success #motivation  #discipline  #keepongoing #hardwork  #determinacion  #determination</t>
  </si>
  <si>
    <t>addicted</t>
  </si>
  <si>
    <t>1592442976789705741_462344435</t>
  </si>
  <si>
    <t>"If you don't give up, you still have a chance.  Giving up is the greatest failure. "- Jack Ma
.
.
.
💪💪💪Grind now, shine later! 🌞 ☀️ 🌞 🙂😊😁
.
.
.
#Bepositive #positivemindset #livelifetothefull #seethegood #seethegoodineverything #believeyoucan #befearless #keeponmoving #keeponlearning #keepondoing #keepongoing #keeponbelieving #believeinyou #goodhabits  #achieveyourgoals #believeinyourdream #believeinyourselfie #keepthefaith #neverstoplearning #positiveattitude #positivemindset #positivequotes #positivevibes #positiveminds #trustandbelieve #trustyourgut #yesyoucan #neverstoptrying #neverstopdoing #youcandoit</t>
  </si>
  <si>
    <t>Netherlands</t>
  </si>
  <si>
    <t>1592444461479890867_2664709731</t>
  </si>
  <si>
    <t>That's when it all started, exactly 4 years ago today I got my first electronic drum kit delivered :D As soon as I've played my first beat I knew that was what I wanted to do for the rest of my life... It's been a fun fulfilling journey so far with struggles along the way and many ups and downs.. I've been spending most of my free time practicing, sometimes having the sense of learning and doing very well and sometimes finding myself lost jamming aimlessly.... Some achievements, realizations and also frustrations with brief thoughts of giving it all up but you know what? That ain't happening!!! Good things will come to those who work hard and persevere...It might sound weird but nothing makes me happier than spending a great deal of my time hitting things with a stick :P
It's easy to get frustrated and unmotivated at times but let's remember  it's all about the journey not the destination so whatever your passion is, let's have fun!!!
Also just wanted to give a massive thanks to everyone who support and believe in me 😘</t>
  </si>
  <si>
    <t>hitlikeagirl</t>
  </si>
  <si>
    <t>ijustwanttoplay</t>
  </si>
  <si>
    <t>bosphoruscymbals</t>
  </si>
  <si>
    <t>sslad3</t>
  </si>
  <si>
    <t>1592445432830084373_4047640880</t>
  </si>
  <si>
    <t>BACK DAY TODAY I do luv a good back day...very happy with my progress love how shes coming into play cause I upped the anti on my weights big time, post holiday getting back to pre holiday form but still finding it hard to do my 20 chin ups every day b4 i start my workouts ( not happy Jan)so I will #keepongoing #iamnotperfect #iamafcknlioness #iamabadmom #iamlimitless 💪</t>
  </si>
  <si>
    <t>Goodlife Health Clubs Robina</t>
  </si>
  <si>
    <t>iamabadmom</t>
  </si>
  <si>
    <t>iamnotperfect</t>
  </si>
  <si>
    <t>iamlimitless</t>
  </si>
  <si>
    <t>iamafcknlioness</t>
  </si>
  <si>
    <t>1592447308230635637_525269694</t>
  </si>
  <si>
    <t>Just trying to survive the week! #survivor #keepongoing #keeponkeepingon #theweeklygrind #twomoredays #vacationbound</t>
  </si>
  <si>
    <t>vacationbound</t>
  </si>
  <si>
    <t>twomoredays</t>
  </si>
  <si>
    <t>__romeomustdie__</t>
  </si>
  <si>
    <t>1592447466673073650_3194028285</t>
  </si>
  <si>
    <t>#hitemwiththeshoulders #blockedandleftbehind #dontlaywiththeenemy #keepongoing #godgotyou</t>
  </si>
  <si>
    <t>hitemwiththeshoulders</t>
  </si>
  <si>
    <t>dontlaywiththeenemy</t>
  </si>
  <si>
    <t>blockedandleftbehind</t>
  </si>
  <si>
    <t>godgotyou</t>
  </si>
  <si>
    <t>1592449268194336733_1684424176</t>
  </si>
  <si>
    <t>Good energy @talktexasoil 
Quotediems 
___________________________ 
#doitforyourself #betterme #beyourown #keeponkeepingon #drillingrig #crudeoil #shale #workforwhatyouwant  #marketingsolutions #encourageyourself  #youvegotthis #oilfieldlife #pipeliners  #positivepeople  #quoteme #quoteaccount #strategize #seemslegit #youdoyou #inspirationalpost #businessownership #businessisbusiness #keepongoing #selfconfidence #bewhoyouare #drillbabydrill #bewhatyouwanttobe #oilcountry #socialize</t>
  </si>
  <si>
    <t>drillingrig</t>
  </si>
  <si>
    <t>1592451826469293414_1615759923</t>
  </si>
  <si>
    <t>#talktexasoil</t>
  </si>
  <si>
    <t>chrissym0319</t>
  </si>
  <si>
    <t>1592454803274739607_225798426</t>
  </si>
  <si>
    <t>Grinding hard and staying good👍trying to stay postive and let go of what i can't control~
#goodnight #blackandwhite #positivevibes #sotd #anxiety #keepongoing</t>
  </si>
  <si>
    <t>tabgettingridofflab</t>
  </si>
  <si>
    <t>1592458233166123602_5947789850</t>
  </si>
  <si>
    <t>Doing an in home workout because I didn't make it to the gym today. 
After work, dinner, making my food for tomorrow and clean up I could've easily said "eh let's go to bed". But I care too much about being active. I care too much to give up. So ready to continue this. 
I've felt like a failure all day because I had a half of a piece of cake yesterday. I need to keep telling myself to just keep going. Don't let one indulgence cause your down spiral, AGAIN. 
So I DIDN'T! 
#keeponmovin #keepontrack #keepongoing</t>
  </si>
  <si>
    <t>keeponmovin</t>
  </si>
  <si>
    <t>plussize</t>
  </si>
  <si>
    <t>overcomingobesity</t>
  </si>
  <si>
    <t>naturalweightloss</t>
  </si>
  <si>
    <t>1592458463552188680_5839090856</t>
  </si>
  <si>
    <t>"Forbidden Bite"
-----------------
A collaboration of fire and red brings out the dangerous games. Don't let her bite you because she will end you. For she is the forbidden apple. Be careful. ----------------------------------------------------------
Model in frame: @alistarrg 
#photography #portraitphotography #seriesphotography #portait #portraitmode #photographysouls #lost #findthelight #rainbow #keepongoing #motivation #motivationforlife</t>
  </si>
  <si>
    <t>portraitphotography</t>
  </si>
  <si>
    <t>motivationforlife</t>
  </si>
  <si>
    <t>1592464854640004441_216089260</t>
  </si>
  <si>
    <t>There comes a time when you must realize that enough is enough, you've had enough, you've given enough and tolerated enough! That moment when you realize that you are more than enough!!..
.
.
#divineorder #empoweringwomen #goals #growth #happy #inspiration #jamaicanlifecoach #lifecoach #lovemyjob #mindset #morethanenough #nofear #nicolewright #purpose #success #survivor #universe #nevertoolatetostartover #nevertoolatetobegin #standuptocancer #nevergiveup #keepongoing #believeinyourself #happy #lovemylife  #anthropologie #naturalhair #jamaicanlifecoach</t>
  </si>
  <si>
    <t>1592466733151465802_216089260</t>
  </si>
  <si>
    <t>Just as you are..
.
.
.
#divineorder #empoweringwomen #goals #growth #happy #inspiration #jamaicanlifecoach #lifecoach #lovemyjob #mindset #morethanenough #nofear #nicolewright #purpose #success #survivor #universe #nevertoolatetostartover #nevertoolatetobegin #standuptocancer #nevergiveup #keepongoing #believeinyourself #happy #lovemylife  #anthropologie #naturalhair #jamaicanlifecoach</t>
  </si>
  <si>
    <t>arantxaleonm</t>
  </si>
  <si>
    <t>1592470715969181782_24785690</t>
  </si>
  <si>
    <t>If it doesn't open... it's not your door #NightNight 🌙 #KeepOnGoing</t>
  </si>
  <si>
    <t>nightnight</t>
  </si>
  <si>
    <t>bopstoptms</t>
  </si>
  <si>
    <t>1592477199189914483_1426681045</t>
  </si>
  <si>
    <t>The entire Music Settlement staff is ready for fall semester! At BOP STOP we have 28 shows to look forward to in September
#jazz #club #fall #september #music #school #semester #education #keepongoing #ready #set #go #organize #cleveland</t>
  </si>
  <si>
    <t>The Music Settlement</t>
  </si>
  <si>
    <t>organize</t>
  </si>
  <si>
    <t>jazz</t>
  </si>
  <si>
    <t>ready</t>
  </si>
  <si>
    <t>1592477560040964538_5409757454</t>
  </si>
  <si>
    <t>"Surrender , just let go, go with the flow things will work out for the better"- @fitandfunnymomma .
.
.
Thank you for the inspiration and occasional laughs 😂 @fitandfunnymomma .
.
.
Blessings to all!
.
.
.
#Bepositive #fitandfunnymomma #livelifetothefull #seethegood #seethegoodineverything #believeyoucan #befearless #keeponmoving #keeponlearning #keepondoing #keepongoing #keeponbelieving #believeinyou #goodhabits #achieve #achieveyourdreams #achieveyourgoals #believeinyourdream #believeinyourselfie #keepthefaith #neverstoplearning  #positivemindset  #positivevibes #positiveminds #trustandbelieve #trustyourgut #yesyoucan #neverstoptrying #neverstopdoing #youcandoit</t>
  </si>
  <si>
    <t>Calgary, Alberta</t>
  </si>
  <si>
    <t>iamlisa_love</t>
  </si>
  <si>
    <t>1592484009009513633_143928300</t>
  </si>
  <si>
    <t>Donating items to the people in Houston! #gooddeeds #godblesshouston #houston #krama #backstabbyfriends #keepongoing #whatgoesaroundcomesaround #blessed #donated #prayforhouston</t>
  </si>
  <si>
    <t>prayforhouston</t>
  </si>
  <si>
    <t>houston</t>
  </si>
  <si>
    <t>gooddeeds</t>
  </si>
  <si>
    <t>godblesshouston</t>
  </si>
  <si>
    <t>theprussianblue</t>
  </si>
  <si>
    <t>1592488626050345105_4547013150</t>
  </si>
  <si>
    <t>Even if it's not what you hoped it would be, the important thing is to see things through and learn from what you don't like.
#printmaking @cathy.heller #keepongoing</t>
  </si>
  <si>
    <t>printmaking</t>
  </si>
  <si>
    <t>1592491660738454402_5468355632</t>
  </si>
  <si>
    <t>OHMYGOD -🐠
-
-
-
#josh #tyler #jenna #twentyonepilots #bands #frens #laugh #myidols 
#loveyou #bestmusic #keepongoing #ibelieve #theyrethebest #funny #smile #tøpmemes #tøp #stayalive #inspiring  #beautifulpeople</t>
  </si>
  <si>
    <t>scrapwordsgirl</t>
  </si>
  <si>
    <t>1592495663908547336_195813702</t>
  </si>
  <si>
    <t>Life is a journey right?  And we never know what lies ahead. As I strive for #eatsleepmovepraycreate this week I spent most of my time #praying.  I am grateful for my Father in Heaven who knows ME personally.  And not only does He KNOW me but He LOVES me. #sograteful #keepingoing #keepongoing #youneverknow #holdyourlovedonesclose #nevergiveup #itsnoteasybutitsworthit #thankyougod #friendship #thankyoufriends</t>
  </si>
  <si>
    <t>praying</t>
  </si>
  <si>
    <t>eatsleepmovepraycreate</t>
  </si>
  <si>
    <t>holdyourlovedonesclose</t>
  </si>
  <si>
    <t>maria_travels_the_world</t>
  </si>
  <si>
    <t>1592506111893051091_1376527376</t>
  </si>
  <si>
    <t>The stunning view of the montains of Peru! ☺🎉🥇🌍📸 #peru #mountains #tinkerbell #onthetop #imadeit #expedition #southamerica #rainbowmountains #amazing #trip #traveltheworld #aroundtheworld #addiction #neverstop #keepongoing #globetrotter</t>
  </si>
  <si>
    <t>aroundtheworld</t>
  </si>
  <si>
    <t>onthetop</t>
  </si>
  <si>
    <t>jannaleighdel</t>
  </si>
  <si>
    <t>1592509680801642921_192672028</t>
  </si>
  <si>
    <t>I used to regularly binge eat out of stress, boredom, etc,etc.I felt out of control. I literally felt as if I could not stop. Today i eat to fuel my body for the workouts I do. I feel so much better. Every day I get a little bit stronger. I choose to have a healthy and happy life because i deserve to.  We all do 💕. #healthylifestyle #happiness #sweatismagic #metcon #functionalfitness #kettlebells #nutrition #foodisfuel #foodisfuelnottherapy #nomorebinges #keepongoing</t>
  </si>
  <si>
    <t>foodisfuel</t>
  </si>
  <si>
    <t>fatkidtofitmom</t>
  </si>
  <si>
    <t>1592520872916995821_408670095</t>
  </si>
  <si>
    <t>Day 2: Back at it with a vengeance. Never give up on yourself no matter what, keep pushing forward. #fattofit #fattofitmom #fatkidtofitmom #nevergiveup #sweat #workout #loveyourself #keto #blessed #healthy #keepongoing #mom #newgoals #obese #paleo #sexy #selfsabotage #thick #weightloss #youcandoit</t>
  </si>
  <si>
    <t>1592524544114215878_340551272</t>
  </si>
  <si>
    <t>I had two auditions for films at USC Cinema Department. My first time on that awesome campus and a privilege to even read for the parts.</t>
  </si>
  <si>
    <t>USC School of Cinematic Arts</t>
  </si>
  <si>
    <t>usccinema</t>
  </si>
  <si>
    <t>krnlmustard</t>
  </si>
  <si>
    <t>1592524729335743991_1542202068</t>
  </si>
  <si>
    <t>MG Roadster.</t>
  </si>
  <si>
    <t>livin</t>
  </si>
  <si>
    <t>shakennotstirred</t>
  </si>
  <si>
    <t>spokes</t>
  </si>
  <si>
    <t>whip</t>
  </si>
  <si>
    <t>etotheizzay</t>
  </si>
  <si>
    <t>1592531042450654609_176597269</t>
  </si>
  <si>
    <t>I am ready for it 
#magicmaking #love #laugh #live #believe #dogood #bebetter #constantlystriveformore #lifeisbeautiful #lifeismagic #gratitude #magic #keepongoing #havenofear</t>
  </si>
  <si>
    <t>California</t>
  </si>
  <si>
    <t>magicmaking</t>
  </si>
  <si>
    <t>ta.ads</t>
  </si>
  <si>
    <t>1592535465562809042_3451588794</t>
  </si>
  <si>
    <t>Don't you ever listen to what others say about you, for listening to them will gradually make you believe what they're saying and your brain will never be able to erase this image about yourself. So next time someone say bad things about you, just toss them and their accusations in the trash and move on☺️ #keepongoing #moveon #neverlisten #neverbelieve #whattheysay #justbelieveinyourself #keepyourheartsafe #keepyoursoulfree #bryantmcgill #quotes #morningquote</t>
  </si>
  <si>
    <t>Sodeco</t>
  </si>
  <si>
    <t>keepyourheartsafe</t>
  </si>
  <si>
    <t>bryantmcgill</t>
  </si>
  <si>
    <t>jie_mel</t>
  </si>
  <si>
    <t>1592546963121875059_260953622</t>
  </si>
  <si>
    <t>🤙🏾🖤😈暗黑系
I'm feeling a little blasé @lcmns
.
Check out my friend's new streetwear! 🗣
#lcmns #blazé #streetwear #streetwearbrand #urbanwear #keepongoing #grain</t>
  </si>
  <si>
    <t>streetwearbrand</t>
  </si>
  <si>
    <t>lcmns</t>
  </si>
  <si>
    <t>grain</t>
  </si>
  <si>
    <t>mare381</t>
  </si>
  <si>
    <t>1592547877497082675_185073992</t>
  </si>
  <si>
    <t>#truth #energy #negativity #light #keepongoing #nevergiveup #love #smile</t>
  </si>
  <si>
    <t>Aravaipa Canyon Wilderness</t>
  </si>
  <si>
    <t>negativity</t>
  </si>
  <si>
    <t>1592550930539604310_4773778225</t>
  </si>
  <si>
    <t>No edits necessary here❣️👋🏻🌞#worldtravelbook #flashesofdelight #art #lake #rainbow #goodafternoonpost #keeponkeepingon #keepongoing #motivation #motivationeveryday #sunset #flowers #architecturephotography #architecture #tagsforlikes #bluesky #likesforlikes #follow #almosttheweekend #smile #happy #morningmotivation #flower #behappy #grateful</t>
  </si>
  <si>
    <t>Halifax, Nova Scotia</t>
  </si>
  <si>
    <t>1592574903621409530_429150387</t>
  </si>
  <si>
    <t>Jesus heals the broken hearted. God promised to never leave you, so you are never alone. Go ahead and conquer your giant. All of heaven is backing you up. You can make it because Jesus is on your side. He never will forsake you, so don't give up keep going because Victory is yours. Trust in Him always. You can make it. The breakthrough is yours 🙌🙏🙌 #WednesdayWisdom #HappyWednesday #Wednesday #Faith #AllThingsWorkTogether #LookToJesus #AllThingsArePossible #TrustGod #KeepOnGoing #DontGiveUp #Truth #Wisdom #SpeakLife #Joy #Hope #Love #Victory #Healing #Blessings #Peace #InJesusName #ItIsWell #YouAreNotAlone #YouAreVictorious #Devotion #Encouragement #Pray #LetGoAndLetGod #YouAreLoved #JesusLovesYou</t>
  </si>
  <si>
    <t>allthingsarepossible</t>
  </si>
  <si>
    <t>boulderbetty</t>
  </si>
  <si>
    <t>1592584046876153937_3266684665</t>
  </si>
  <si>
    <t>#ipman #bruceleesteacher #truestory #martialarts #kungfu #movies #kungfumovies #dopequotes #quotestoliveby #keepongoing #keepontrack #keepon #boulderbetty</t>
  </si>
  <si>
    <t>kungfu</t>
  </si>
  <si>
    <t>dopequotes</t>
  </si>
  <si>
    <t>ipman</t>
  </si>
  <si>
    <t>143fitness_sweden</t>
  </si>
  <si>
    <t>1592604140805196824_5945476718</t>
  </si>
  <si>
    <t>#training #besuccessful #thegym #keepongoing #nevergiveup #Fitgirl #girlswholifts #FitLife</t>
  </si>
  <si>
    <t>girlswholifts</t>
  </si>
  <si>
    <t>besuccessful</t>
  </si>
  <si>
    <t>casey_conemac</t>
  </si>
  <si>
    <t>1592605135434056680_145872018</t>
  </si>
  <si>
    <t>I have been pursuing photography for awhile now and it feels good to be finally recognized for my work. Out of thousands of submissions someone took the time to look at my picture and say "that's worthy of praise". I owe it all to you guys for always giving me the push I need to do better. Always strive for the best, never give up on your passions. Someday they might make you famous. #fortheloveofwood #dreamsdocometrue #nevergivingup #alwaysstaytrue #adoramapix  #staytruetoyou #newyorkphotography #keepongoing #adoramanyc</t>
  </si>
  <si>
    <t>fortheloveofwood</t>
  </si>
  <si>
    <t>alwaysstaytrue</t>
  </si>
  <si>
    <t>newyorkphotography</t>
  </si>
  <si>
    <t>nevergivingup</t>
  </si>
  <si>
    <t>dreamsdocometrue</t>
  </si>
  <si>
    <t>1592605280145942912_1979470355</t>
  </si>
  <si>
    <t>Full Power till the end 💪#sweatwithkayla #kaylaitsines #bbg #legday #fitmom #fitness #fitnessgirl #fitforlife #nevertooold #nevertoolate #nevergiveup #nothingcanstopme #nopainnogain #poweron #midweek #earlybird #earlymorning #earlysession #keepongoing #sweatnowshinelater #fightforit #slowprogress #betterthannoprogress</t>
  </si>
  <si>
    <t>earlysession</t>
  </si>
  <si>
    <t>slowprogress</t>
  </si>
  <si>
    <t>1592607863543636659_1456976711</t>
  </si>
  <si>
    <t>Startade min morgon på hemmaplan, där inga vader spökar och jag kan svettas ur mig rejält! 👌🏻🏋🏻‍♀️</t>
  </si>
  <si>
    <t>Factor Functional Gym</t>
  </si>
  <si>
    <t>kost</t>
  </si>
  <si>
    <t>vvonline</t>
  </si>
  <si>
    <t>mat</t>
  </si>
  <si>
    <t>peppkonto</t>
  </si>
  <si>
    <t>grandmasrecipe1</t>
  </si>
  <si>
    <t>1592608437576259772_4702764362</t>
  </si>
  <si>
    <t>crowdfunding campagne is niet geslaagd helaas. Iedereen bedankt voor alle steun deze periode! Dit betekent geen eetwinkel van Grandma's Recipe in Sneek. We gaan nu verder met het verzorgen van onze verworven zakelijke gasten. Voor het verzorgen van particulieren gasten moeten wij het 1 en ander aanpassen. Daarom is onze website tijdelijk offline. Blijf onze social media volgen voor het laatste nieuws! Op Twitter, Instagram en Snapchat zijn we te vinden onder grandmasrecipe1. Of abonneer je op onze YouTube kanaal. #stayingstrong #keepongoing #nextstep #volgendemijlpaal</t>
  </si>
  <si>
    <t>Sneek</t>
  </si>
  <si>
    <t>volgendemijlpaal</t>
  </si>
  <si>
    <t>stayingstrong</t>
  </si>
  <si>
    <t>nextstep</t>
  </si>
  <si>
    <t>vanice_huiii</t>
  </si>
  <si>
    <t>1592626319756248022_1169573160</t>
  </si>
  <si>
    <t>一直往前，不断努力。告诉自己我一定能 ！
Stop doubting urself , work hard and make it happen 
#keepongoing #wecandoit</t>
  </si>
  <si>
    <t>wecandoit</t>
  </si>
  <si>
    <t>sinaelhami.m</t>
  </si>
  <si>
    <t>1592634210450046595_5703841628</t>
  </si>
  <si>
    <t>رود راه خودش را از وسط سنگ باز میکند
 نه به خاطر قدرتش 
بلکه بخاطر تداومش
#friends #rock #keepongoing #rush</t>
  </si>
  <si>
    <t>rush</t>
  </si>
  <si>
    <t>1592634470153218965_1498773019</t>
  </si>
  <si>
    <t>Don't wait.Life goes faster than you think...
💕💪😂😅😚😁😎😍😘😆😊
#keepongoing #roadtosuccess</t>
  </si>
  <si>
    <t>joanedeysel</t>
  </si>
  <si>
    <t>1592636731554648805_4029354532</t>
  </si>
  <si>
    <t>“Never give up! Failure and rejection are only the first step to succeeding. #stayingstrong #hockeyislife#fitness #goalstoreach #keepongoing #passionate #fieldhockey #nedstar #Forever77</t>
  </si>
  <si>
    <t>goalstoreach</t>
  </si>
  <si>
    <t>forever77</t>
  </si>
  <si>
    <t>jelena_fitness_1</t>
  </si>
  <si>
    <t>1592636940993440928_5532638763</t>
  </si>
  <si>
    <t>My life was definetly not an easy one! Tried to break me down thousand times. And made me a lot of scars. But I was always a fighter, refusing to give up! Cause I have strong faith and I belive that life is so precious and beautiful, I'm still very positive and optimistic, stronger definitely. I love my life cause from all hardships, I've built very strong character. As they say "What doesn't kill you, only makes you stronger"👊👊👊 instagood#followme#quotes#wisewords#stronger#power#lovemylife#character#dignity#respect#bepositive#havefaith#inspire#motivate#fighter#tough#girlpower#staystrong#unstoppable#takerisks#hustle#nevergiveup#beliveingood#beliveinyourself#keepongoing#yourscarstellastory</t>
  </si>
  <si>
    <t>unstoppable</t>
  </si>
  <si>
    <t>1592640346457916666_2317517565</t>
  </si>
  <si>
    <t>Kan du hænge vandret i luften Hjalte? Ja da💪. •••
Elsker hvordan børn bare er klar på alt slags bevægelse. De leger bare👻🤠 •••
#mortentillitzdk  #whatwouldbeyoncedo #toldyouso #tropådet #personligtræner #personaltrainer #cycling #Cykling #styrketræning #løb #Svømning #Swim #running #stronger #personligtræner #mitodense #fitfam #ﬁtfamdk #actionequalsresults #handlingskabersucces #helkropstræning #fullbody #SunRiceClubbyMortenTillitzDK #mentalpause #blivved #keepongoing #styrketræning #painfree #smertefri #søvn #sleep #mitodense</t>
  </si>
  <si>
    <t>1592640556953242606_5468355632</t>
  </si>
  <si>
    <t>Desperate times call for desperate measures -🐠
-
-
-
#josh #tyler #jenna #twentyonepilots #bands #frens #laugh #myidols 
#loveyou #bestmusic #keepongoing #ibelieve #theyrethebest #funny #smile #tøpmemes #tøp #stayalive #inspiring  #beautifulpeople</t>
  </si>
  <si>
    <t>tessalinssen</t>
  </si>
  <si>
    <t>1592641801603296414_266647081</t>
  </si>
  <si>
    <t>Uit bed en rennen. Blijft altijd een kleine struggle. Maar na een paar passen, snap je niet dat je een paar minuten geleden nog smoesjes aan het bedenken was waarom die ochtend run geen goed idee zou zijn. In m'n up in het bos in de regen, ohhhh yeah! 2*16, 1*10, iets langere intervals ivm de regen, maar ging perfect! Na afloop goed stretchen om de bilspieren soepel te houden #keepongoing #morningrun #pregnanttriathlete #happyrunner</t>
  </si>
  <si>
    <t>happyrunner</t>
  </si>
  <si>
    <t>pregnanttriathlete</t>
  </si>
  <si>
    <t>weightloss.sw</t>
  </si>
  <si>
    <t>1592644459777844535_5734367270</t>
  </si>
  <si>
    <t>#steak #peppercornsauce #rocket #actifrychips #courgette #mushrooms #nosynshere #slimmingworldideas #slimmmingworlduk #slimmerme #slimmingworldfriends #support #keepongoing</t>
  </si>
  <si>
    <t>mushrooms</t>
  </si>
  <si>
    <t>slimmingworldideas</t>
  </si>
  <si>
    <t>slimmerme</t>
  </si>
  <si>
    <t>slimmingworldfriends</t>
  </si>
  <si>
    <t>courgette</t>
  </si>
  <si>
    <t>ryuhei_kitamura</t>
  </si>
  <si>
    <t>1592658161436079063_2979844696</t>
  </si>
  <si>
    <t>3 years ago today.
#lupinthethird #movie #japanesemovie #released #cinema #goodmemories #missmyteam #love #respect #proudofyou #thankyou #director #life #keepongoing</t>
  </si>
  <si>
    <t>goodmemories</t>
  </si>
  <si>
    <t>japanesemovie</t>
  </si>
  <si>
    <t>1592658945118097316_297558307</t>
  </si>
  <si>
    <t>GM😁⛈Warriors🏹! Rainy morning, but not even that stops me from running! What a feeling! Like when you were a kid but better!SPALSH💦SPALSH💦! Have a good Hump🐪Day! #free #fitmama #fitmom #fitgirl #fitness #fitnessaddict #run #runner #running #rundancing #mamaenforma #mamacorriendo #gim #gimnasio #gym #gymgirl #gymlife #gymaddict #gymaholic #kikasporty #keeptrying #keepmoving #keepstrong #keepongoing #myanchor #mypassion #myhappyplace</t>
  </si>
  <si>
    <t>qubtic_church_uk</t>
  </si>
  <si>
    <t>1592660426410309219_2347023133</t>
  </si>
  <si>
    <t>We continuously strive to do better and be better.  #Repost @nahlabee (@get_repost)
・・・
#keepongoing #keepgoingon 
#Repost #STILLSTANDING #savedandsustained #soIcangetupagain #ILoveGod #NotAfraid #quotes #RiseUp</t>
  </si>
  <si>
    <t>notafraid</t>
  </si>
  <si>
    <t>savedandsustained</t>
  </si>
  <si>
    <t>1592662443292453677_257202554</t>
  </si>
  <si>
    <t>#fuckyou #frenchcore #goodvibes #farmer #workingholiday #travelingaustralia #redcliff #travel #bestbrother #keepongoing</t>
  </si>
  <si>
    <t>frenchcore</t>
  </si>
  <si>
    <t>bestbrother</t>
  </si>
  <si>
    <t>workingholiday</t>
  </si>
  <si>
    <t>1592662967757661208_5862860057</t>
  </si>
  <si>
    <t>Whoever came up with resilience shift protocol needs shooting! 6:30am alarm means the household wakes for nothing....run it is! #runnersofinstagram #runningcommunity #runninggirl #mentalhealth #eatingdisorder #strongwoman #runninguk #thismumruns #commitment #roadtorecovery #needmotivation #keepongoing #wifeofafirefighter</t>
  </si>
  <si>
    <t>thismumruns</t>
  </si>
  <si>
    <t>1592664941201761868_5944730818</t>
  </si>
  <si>
    <t>Basically , it's okay to cry and it's okay to not be okay . Sometime crying will make you feel better 😌
#motivationalquotes #motivation #inspirationalquotes #inspiration #quotes #itsokaytocry #loveyourself #love #friendship #family #dontgiveup #keepongoing #chaseyourdreams #liveyourdream</t>
  </si>
  <si>
    <t>arianna_martinez_wicks</t>
  </si>
  <si>
    <t>1592667179794187288_179042843</t>
  </si>
  <si>
    <t>#darkskin #nubian #puertoricanstyle #myfashionations #impressionism #immbetter #postivevibes #transgender #mytransformation #newme #ilived #keepongoing #blackisbeautiful #freespirit</t>
  </si>
  <si>
    <t>mytransformation</t>
  </si>
  <si>
    <t>puertoricanstyle</t>
  </si>
  <si>
    <t>immbetter</t>
  </si>
  <si>
    <t>darkskin</t>
  </si>
  <si>
    <t>sistermokkelke</t>
  </si>
  <si>
    <t>1592671073114810618_3993584268</t>
  </si>
  <si>
    <t>About that.. #quoteoftheday #chaos #workworkwork #keepongoing #follow</t>
  </si>
  <si>
    <t>Europe/Brussels</t>
  </si>
  <si>
    <t>chaos</t>
  </si>
  <si>
    <t>1592672901772037489_2347023133</t>
  </si>
  <si>
    <t>This is why true faith is so important. It's what you have when the times get tough, and you feel like giving up. #atonist #faith #keepgoingon #keepongoing</t>
  </si>
  <si>
    <t>atonist</t>
  </si>
  <si>
    <t>izyanzayyani</t>
  </si>
  <si>
    <t>1592679083144327157_24219701</t>
  </si>
  <si>
    <t>"Champion finds a way"
#innerstrenghts #solutiontoeveryproblem #keepongoing</t>
  </si>
  <si>
    <t>Gosford Hospital</t>
  </si>
  <si>
    <t>innerstrenghts</t>
  </si>
  <si>
    <t>solutiontoeveryproblem</t>
  </si>
  <si>
    <t>thakkarvit</t>
  </si>
  <si>
    <t>1592681319605858383_1190049455</t>
  </si>
  <si>
    <t>#inspired #by @sajidwajidshaikh  #gowiththeflow  #drawings #illustration #keepongoing #workisworship #art #artwork #time</t>
  </si>
  <si>
    <t>Mumbai, India</t>
  </si>
  <si>
    <t>by</t>
  </si>
  <si>
    <t>workisworship</t>
  </si>
  <si>
    <t>drawings</t>
  </si>
  <si>
    <t>1592683520701231558_4249248273</t>
  </si>
  <si>
    <t>We have a beans update! I'm now 6500m (and a little more as this was Sunday) up Everest and climbing.
Summit attempt will be in early October - I've almost hit my fundraising target too. Really happy I've taken on this challenge to raise money for the cancer charity that helped turn my life around. 2300 to go, bring it on 😁😎 #bringiton #everest @shinecancersupport @smashitforshine #cancersurvivor #cancersucks #cancerversary #5years #summit #charity #fundraising #pushyourlimits #keepongoing #challenge #dontgiveup #determination #grit #believeinyourself #amputee #climber #climbing #climbing_is_my_passion #paraclimbing #ehlersdanlossyndrome #indoorclimbing #thisgirlcanclimb #muslim #hijab</t>
  </si>
  <si>
    <t>bringiton</t>
  </si>
  <si>
    <t>1592687615641935661_279512262</t>
  </si>
  <si>
    <t>Ну разве не чудо?
🍃
.
#photooftheday #seemymoscow #moscowlife #mood #madrussians #keepcalm #keepongoing #keeponwalking #lifeex #livy #livelife #livestory #daily #dreamers #abmlife #authentic #abmhappylife #citylife #vsco #vibes #vscocam</t>
  </si>
  <si>
    <t>Ulitsa 1905 Goda</t>
  </si>
  <si>
    <t>1592691576626667433_429036895</t>
  </si>
  <si>
    <t>I realy want to train again..... 😑
I hate being sick😒
So if you are fresh and full of energy enjoy this shitty raining day!! In a few days I will join the "fit family" again🤣</t>
  </si>
  <si>
    <t>1592693088380034539_267746472</t>
  </si>
  <si>
    <t>I can't change the direction of the wind, but I can adjust my sails to always reach my destination.
#lovequotes#malta#summervibes #summertime#luxuryplaces fashiongram#webstagram#picoftheday#naturephotography#photooftheday#tagsta#tag4like#like4like#likeback#travelblogger#instapassport#bloggerstyle#iger#panoramic#keepongoing#instadaily#instanature</t>
  </si>
  <si>
    <t>Popeye Village</t>
  </si>
  <si>
    <t>travelblogger</t>
  </si>
  <si>
    <t>1592698011685932755_1377135044</t>
  </si>
  <si>
    <t>😜😗👑 #lifejourney#followme#strongwoman#bossbabes#wednesdaywisdom#bestself#wellness#keepongoing#dontquit#youvegotthis#this#qotd#selflove#rheumatoidarthritisawareness#rheumatoidarthritiswarrior#rasurvivor#fabulous#love#laugh#live#smile#happyhumpday</t>
  </si>
  <si>
    <t>rasurvivor</t>
  </si>
  <si>
    <t>1592701630329975823_5705167414</t>
  </si>
  <si>
    <t>Flex on 'em 💪  #Dubnation
-
-
-
-
-
-
-
-
-
-
-
-
-
-
-
-
-
-
-
-
-
-
-
-
-
-
-
-
-
-
-
-
-
-
-
-
-
-
-
-
 #StephGonnaSteph #Mvp #SC30 #KT11 #DG23 #CURRYMVP #KEEPONGOING #NEVERGIVEUP #WCF #WEST #WESTERNCONFERENCEFINALS #CHAMPS #DUBSFORCHAMPS #DUBS #ALWAYSBELIEVEINGOD #STEPHENCURRY #EVEN #NBA #2016CHAMPS #CHAMPIONS #LOCKIN #STEPH #SPLASH #SPLASHBROS  #like4like #like4follow #follow4follow</t>
  </si>
  <si>
    <t>jesslynn.s</t>
  </si>
  <si>
    <t>1592709329798857236_287939339</t>
  </si>
  <si>
    <t>#life #quotes #keepongoing</t>
  </si>
  <si>
    <t>megliddellx</t>
  </si>
  <si>
    <t>1592715251400715392_538332070</t>
  </si>
  <si>
    <t>Good things come to those who sweat!✨
-
-
-
-
-
#afterpic #motivation #workharder #gymlife #gymgirl #fitness #summerbody #dancerbody #determination #workout #cardio #girlswhosquat #girlswithabs #keepongoing #loveyourself #doitforyou</t>
  </si>
  <si>
    <t>doitforyou</t>
  </si>
  <si>
    <t>grit_gym</t>
  </si>
  <si>
    <t>1592718231544776786_1145779270</t>
  </si>
  <si>
    <t>Motto to live by .
.
.
.
#motto #workout #training #lift #gym #life #gritgym #weights #keepongoing #exercise #mmagym</t>
  </si>
  <si>
    <t>motto</t>
  </si>
  <si>
    <t>gritgym</t>
  </si>
  <si>
    <t>1592727775080773652_185195397</t>
  </si>
  <si>
    <t>Tune into your intuition today_trust your gut! ⭐️❤️ Happy Wednesday!
.
.
.
Check out today's post about my exciting sailing adventure ⛵️link in bio 👆
.
.
#trustyourgut #bepresent #tunein #clarity #appreciatelife #amazingsunrise #charlestonsc #choosejoy #chooselove #cakidiehl #rundaily #runhappy #highvibes #highenergy #positivemindset #youaremagnificent #youareloved #youareenough #youareworthit #worththeeffort #joyfullife #selfinquiry #persevere #keepongoing #kindnessmatters #compassionmatters #wednesdaywisdom</t>
  </si>
  <si>
    <t>youaremagnificent</t>
  </si>
  <si>
    <t>1592729610825604159_2075039459</t>
  </si>
  <si>
    <t>Hope you all have a amazing day, stay strong and stay amazing 💚
#positivethinking #positivevibes #positiveenergy #positivequotes #happiness #joy #recovery #depression #l4l #f4f #keepongoing #recovery #recoveryquotes #positivityquotes #love #selflove #secretsociety1234 #suicide #suicidal #anxiety #richchigga #motivationalquotes #motivationmonday #loveyourself</t>
  </si>
  <si>
    <t>1592740309169804289_279512262</t>
  </si>
  <si>
    <t>Первый глоток — самый вкусный. С первым глотком соевого капучино на улице, укутавшись в шарф и пальто, я почувствовала осень очень по-личному, по-родному. Как будто встретила дорогого человека, с которым давно не виделась.
И повела я его, конечно, гулять по улочкам и медитировать у прудов.
Здравствуй.
.
#photooftheday #loveinmoscow #coffeecup #citylife #coffeetime #coffeeaddict #coffeelover #lifeex #livelife #livealittle #liveauthentic #picoftheday #keepongoing #livy #keepcalm #livethelittlethings #abmlife #abmhappylife #authentic #automn #fall</t>
  </si>
  <si>
    <t>Patriarch Ponds</t>
  </si>
  <si>
    <t>livingthefitness</t>
  </si>
  <si>
    <t>1592742922280634228_4068727793</t>
  </si>
  <si>
    <t>Swipe to see the result 💕
Das hier ist heute mein Mittagessen 🙏 denn momentan möchte ich meinen Körperfettanteil wieder etwas reduzieren 😏😌 ( auch wenn ich die Scheibe Brot und das Dressing dazu gegessen habe 🙈) #food#essen#lunch#fitness#fitnessfood#healthy#salat#salad#keepongoing#gesund</t>
  </si>
  <si>
    <t>salat</t>
  </si>
  <si>
    <t>gesund</t>
  </si>
  <si>
    <t>lunch</t>
  </si>
  <si>
    <t>salad</t>
  </si>
  <si>
    <t>fitnessfood</t>
  </si>
  <si>
    <t>1592748036094524144_40740215</t>
  </si>
  <si>
    <t>Time used to ALWAYS be my excuse. When I first had my daughter I was working full time, coaching volleyball, soccer, and track&amp;field and not to mention being a new mom! So I used the time excuse well.... one day I realized I had just as much time as everyone else who was extremely busy,  I just had to MAKE time if it was important to me. When I realized that working out helped me cope with my busy lifestyle I made it a priority and guess what?!?! I FOUND time! If you think you are too busy to fit in time to work on yourself, you actually do have the time you just have to make it a priority. 💪</t>
  </si>
  <si>
    <t>makeitapriority</t>
  </si>
  <si>
    <t>gayle.yani</t>
  </si>
  <si>
    <t>1592752737346884748_5855379566</t>
  </si>
  <si>
    <t>Done with our 15th session in the gym. 👊🏻 Looking forward dor dinner 😁😁 Haha! Ofcourse it should be a healthy meal. 😌
.....
We make sure that we always walk going home 👣 .
.
If you are just starting out on your journey to a healthier life. I hope I can hear from you. 😊 ...
#gym #postworkout #selfie #gymbuddy #partnergoals #partnerincrime #weightlossphilippines #weightlossph #fitnessjourney #weightlossdiary #weightlossjourney #weightlossjournal #weightlifting #strenggttraining #lesscardio #soremuscle #keepongoing #ican #icandoit #babysteps #healthylifestyle #healthylife #goals #fitfam #followme</t>
  </si>
  <si>
    <t>ARDCI Cafe</t>
  </si>
  <si>
    <t>gymbuddy</t>
  </si>
  <si>
    <t>partnerincrime</t>
  </si>
  <si>
    <t>soremuscle</t>
  </si>
  <si>
    <t>1592754936412522561_273508132</t>
  </si>
  <si>
    <t>Superset spalle-gambe, alternando un esercizio per le gambe con uno per le spalle, così da ampliare la circolazione ed il ritorno di sangue a diversi distretti corporei per cercare di risolvere questo problema di cellulite (classica di qualsiasi donna). Per chi mi chiede come faccio ad essere dimagrita così in questi ultimi anni.. dedizione, concentrazione, alimentazione pensata (senza rinunciare a nulla di particolare, senza privarmi di acqua o di altre parti essenziali della mia nutrizione).. continuando a bere birre e spritz, sicuramente meno, eliminando McDonald e scempi del genere. Ma comunque.. se avete bisogno di un aiuto, chiedete pure 😊</t>
  </si>
  <si>
    <t>Mcfit Mestre</t>
  </si>
  <si>
    <t>girlsthatsquat</t>
  </si>
  <si>
    <t>purebliss</t>
  </si>
  <si>
    <t>gluteday</t>
  </si>
  <si>
    <t>matichi</t>
  </si>
  <si>
    <t>1592755800069441885_280219721</t>
  </si>
  <si>
    <t>First time I fell in love ❤
#travel #traveladdict #bucketlisters #lifeisworthliving
#keepongoing #travellernottourist
#worldwonders</t>
  </si>
  <si>
    <t>worldwonders</t>
  </si>
  <si>
    <t>traveladdict</t>
  </si>
  <si>
    <t>travellernottourist</t>
  </si>
  <si>
    <t>aminasidat</t>
  </si>
  <si>
    <t>1592760976091341274_5893743205</t>
  </si>
  <si>
    <t>⏱
.
.
.
#quoteoftheday #patience #faith #strength #goodthingstocome #dontgiveup #motivateyourself #positivevibes #bepatient #focusonyourself #loveyourself #positivequotes #positivethinking #instaquote #goodmorning #betterdays #countyourblessings #goodthingshappen #quotestoliveby #appreciate #keepongoing #waitforit #nevertakethingsforgranted #instagood #quotestagram #quotesofinstagram #instadaily</t>
  </si>
  <si>
    <t>betterdays</t>
  </si>
  <si>
    <t>1592761365600043643_3623406174</t>
  </si>
  <si>
    <t>Yedigöller, Bolu, Turkey.
Photo by @bihterelis
.
.
.
.
.
.
.
.
#oceanvibes #travelstory #ecotravel #live_planet #nakedplanet #instatravels #lifestile #creativeentrepreneur #instagood #sunset_rv #discoverearth #travelingyogi #onmygrind #keepgrowing #paradiseweekend #paradisepier #travellingourplanet #journeybegins #keepongoing #yogaholic #pursueyourpassion #paradiseofminimal #beauthentic #traveljunkie #earthy</t>
  </si>
  <si>
    <t>pursueyourpassion</t>
  </si>
  <si>
    <t>sunset_rv</t>
  </si>
  <si>
    <t>ninochristianalejandro</t>
  </si>
  <si>
    <t>1592768289741999723_183785074</t>
  </si>
  <si>
    <t>Strong as Wood 
#goals #fall #pw #keepongoing #inthecity #instagay</t>
  </si>
  <si>
    <t>instagay</t>
  </si>
  <si>
    <t>inthecity</t>
  </si>
  <si>
    <t>photoshotbyt</t>
  </si>
  <si>
    <t>1592768721093220230_5080753092</t>
  </si>
  <si>
    <t>#shadows #abstract #bnw #blackandwhite #bw #lines #perspective #minimal #silhouette #archgram #architectureporn #ArtOfVisuals #fineartphotography #experimental #photography #contrast #isthisart #instagood #instadaily #travelgram #travel #bnw_love #love #noir #explore #followme #keepongoing #texture #sidewalk  #grey</t>
  </si>
  <si>
    <t>texture</t>
  </si>
  <si>
    <t>isthisart</t>
  </si>
  <si>
    <t>matteorocchidna</t>
  </si>
  <si>
    <t>1592775483492612723_302168388</t>
  </si>
  <si>
    <t>#Super #blackandwhite #artistic #beautifuldestinations #believeinyourself #growingup #keepongoing #nevergiveup #neverbackdown #business #summer #a1 #a1life #a1lifestyle #a1rewind2017 #a1rewind #fullimmersion #grazie #red #thinking #positivethinking #positiveenergy #portraitmood #kiss #sikura</t>
  </si>
  <si>
    <t>Villa Magi</t>
  </si>
  <si>
    <t>a1rewind2017</t>
  </si>
  <si>
    <t>a1lifestyle</t>
  </si>
  <si>
    <t>sikura</t>
  </si>
  <si>
    <t>charonmasschelein</t>
  </si>
  <si>
    <t>1592776780557534152_2167013400</t>
  </si>
  <si>
    <t>#lifequotes #mindkeeper #true #message #mindfuck #makeyoureownhappiness #keepongoing #honesty #mylifemyshit #instalike 💓</t>
  </si>
  <si>
    <t>message</t>
  </si>
  <si>
    <t>mindfuck</t>
  </si>
  <si>
    <t>makeyoureownhappiness</t>
  </si>
  <si>
    <t>obroni_afia</t>
  </si>
  <si>
    <t>1592778888379684408_5463382416</t>
  </si>
  <si>
    <t>👣 💭 #thankful #quotes #motivation #keepongoing #dailyinspiration #life #sayings #quotestagram #feelingblessed #energy #positivevibes #positivemind</t>
  </si>
  <si>
    <t>sayings</t>
  </si>
  <si>
    <t>1592781740371775543_2317517565</t>
  </si>
  <si>
    <t>Få løftet brysterne!
•••
Fik jeg din opmærksom? Godt, så læs med her:).
•••
Næste onsdag d. 6. sep. kl. 18.30 holder jeg et foredrag sammen med Triumph ekspert Lisette Nielsen i Tryde André. •••
Lisette holder oplæg om den perfekte sports BH. Jeg holder oplæg om, hvordan du skaber motivationen til at nå dine mål og hvordan du træner mest effektivt.
•••
Ydermere udlodder jeg ialt 3 sessions til 3 heldige vindere ved lodtrækning. •••
Billetten koster sølle 50,- på billetto.dk ELLER I BUTIKKEN.
https://billetto.dk/da/e/sund-med-tryde-andres-billetter-205102
•••
Køber du noget på aftenen bliver pengene refunderet. Så det er faktisk gratis at komme. Altså hvis du køber noget;).
•••
Håber I har lyst til at komme og blive inspireret:)
•••
Del gerne, så vi kan få budskabet ud til veninderne. •••
#mortentillitzdk  #whatwouldbeyoncedo #toldyouso #tropådet #personligtræner #personaltrainer #cycling #Cykling #styrketræning #løb #Svømning #Swim #running #stronger #personligtræner #mitodense #fitfam #ﬁtfamdk #actionequalsresults #handlingskabersucces #helkropstræning #fullbody #SunRiceClubbyMortenTillitzDK #mentalpause #blivved #keepongoing #styrketræning #painfree #smertefri #søvn #sleep #mitodense</t>
  </si>
  <si>
    <t>dennisdewolf5</t>
  </si>
  <si>
    <t>1592782736871266748_5586745869</t>
  </si>
  <si>
    <t>#lifegoals #keepongoing</t>
  </si>
  <si>
    <t>1592784535648434314_15887082</t>
  </si>
  <si>
    <t>Always remember to pause your Garmin ☝🏼today I had my first long bike session since IM Hamburg. New goals coming up and Barcelona is waiting 👋🏼 #ironman #imhamburg #upcoming #mulitisport #tri365 #lovemylife #fitness #ironmanbarcelona2017 #outofcomfortzone  #triathlon #triatlete #invisibleguns #worldoffusion @worldoffusion #keepongoing #purepowerdk #smileplease #swimbikerun @trilab_ #trilabdk #trilab</t>
  </si>
  <si>
    <t>1592792843187990121_17284663</t>
  </si>
  <si>
    <t>Fitness#bodyfit #bodyfitness #fitnessgirl #healthy #powerwoman #happyfeelings #feelsgood #keepongoing #proudmom</t>
  </si>
  <si>
    <t>feelsgood</t>
  </si>
  <si>
    <t>bodyfit</t>
  </si>
  <si>
    <t>powerwoman</t>
  </si>
  <si>
    <t>1592795685852357925_5509071474</t>
  </si>
  <si>
    <t>2.4 Lbs down! Feeling good and happy with my progress. I won my diet bets and I signed up for another one! Let's hope this month goes just as well. 🎉
#weightloss #weightlossjourney #weightlossblog #weighinwednesday #weighlossdiary #weightlossjournal #weightlossstory #weightlosssupport #weightlossmotivation #weightlossprogress #weightlosscommunity #weightlossfamily #wegotthis #keepongoing #nevergiveup #yougotthis</t>
  </si>
  <si>
    <t>weightlossfamily</t>
  </si>
  <si>
    <t>nini_pd</t>
  </si>
  <si>
    <t>1592796466136319719_2111107029</t>
  </si>
  <si>
    <t>Love that picture. Nok fordi det ikke er hver dag man får kigget derom 😂Det er SÅ vildt hvad kroppen er i stand til. 
#workwork #changes #bodygoals #stayfit #fitness #pullups #keeppushing #keepongoing #newergiveup #ingentræningidag #mylife #mypassion</t>
  </si>
  <si>
    <t>ingentræningidag</t>
  </si>
  <si>
    <t>workwork</t>
  </si>
  <si>
    <t>1592797573148504935_216089260</t>
  </si>
  <si>
    <t>Repeated until you believe it!
.
.
.
#divineorder #empoweringwomen #goals #growth #happy #inspiration #jamaicanlifecoach #lifecoach #lovemyjob #mindset #morethanenough #nofear #nicolewright #purpose #success #survivor #universe #nevertoolatetostartover #nevertoolatetobegin #standuptocancer #nevergiveup #keepongoing #believeinyourself #happy #lovemylife  #anthropologie #naturalhair #jamaicanlifecoach</t>
  </si>
  <si>
    <t>dubaibluess</t>
  </si>
  <si>
    <t>1592798438776731354_32066041</t>
  </si>
  <si>
    <t>站在船上唱有點帥阿
🔥🔥🔥🔥🔥
🤘🏻🤘🏻🤘🏻🤘🏻🤘🏻
#滅火器
#FireEX
#晚安臺灣
#goodnightformosa
#繼續向前行
#keepongoing</t>
  </si>
  <si>
    <t>goodnightformosa</t>
  </si>
  <si>
    <t>滅火器</t>
  </si>
  <si>
    <t>繼續向前行</t>
  </si>
  <si>
    <t>晚安臺灣</t>
  </si>
  <si>
    <t>1592798967257720286_5509071474</t>
  </si>
  <si>
    <t>Here's a look at all my lumps and bumps. Feeling so much better than the last time I took these photos and I'm looking forward to the future and feeling even better. I love my body and only want to do what's best for my health. As I get smaller I also get stronger. Goals are to stay happy, healthy, and strong. 💪🏻🏃🏻‍♀️ #weightloss #weightlossjourney #weightlossblog #weightlossprogress #weightlosssupport #weightlosscommunity #weightlossfamily #weightlossdiary #weightlossmotivation #weighinwednesday #bodypositive #bodypositivity #selflove #youarebeautiful #wegotthis #yougotthis #nevergiveup #keepongoing</t>
  </si>
  <si>
    <t>bodypositivity</t>
  </si>
  <si>
    <t>blueberries_007</t>
  </si>
  <si>
    <t>1592799939464784318_3194130562</t>
  </si>
  <si>
    <t>If you're going thru hell ..
KEEP on moving thru. --------------------------------------#keepongoing #mission22 #veterans #ptsd #army #navy #airforce #marines #brothersinarms #christfollower #youarenotalone #prayforourtroops #godisnearthebrokenhearted</t>
  </si>
  <si>
    <t>christfollower</t>
  </si>
  <si>
    <t>army</t>
  </si>
  <si>
    <t>prayforourtroops</t>
  </si>
  <si>
    <t>veterans</t>
  </si>
  <si>
    <t>evhmx_9</t>
  </si>
  <si>
    <t>1592803564073224956_4315838540</t>
  </si>
  <si>
    <t>Just try and try again😎 ..#motocross #mxlife #braapp #offroad #lifebehindbars #2wheels #9 #ansr #keepongoing #nevergiveup #gaerneboots #mud #letsdothis</t>
  </si>
  <si>
    <t>ansr</t>
  </si>
  <si>
    <t>2wheels</t>
  </si>
  <si>
    <t>offroad</t>
  </si>
  <si>
    <t>9</t>
  </si>
  <si>
    <t>1592811826575735308_1750704811</t>
  </si>
  <si>
    <t>Follow @the.digital.nomad for Epic Travel Photos!
Kayseri, Turkey. Photo by @cumacevikphoto
.
.
.
.
.
.
.
.
#lifestile #blacktravel #goodstart #yogastyle #paradiseonearth #instravel #seeingtheworld #traveltrailer #travellove #landscape #travelclub #travelinsta #traintravel #wildernessculture #openmyworld #keepongoing #paradisebay #keeppraying #vacaville #travelbook #resourcetravel #cocoatravelersintl #jomblotraveler #beachboy #yogaclass</t>
  </si>
  <si>
    <t>cocoatravelersintl</t>
  </si>
  <si>
    <t>traveltrailer</t>
  </si>
  <si>
    <t>blacktravel</t>
  </si>
  <si>
    <t>1592814322060713598_4091599099</t>
  </si>
  <si>
    <t>It's all in the details. CABÜ cabins are simple, chic and completely bespoke. Contact media@cabu.co.uk for more information. ⠀
.⠀
.⠀
.⠀
.⠀
.⠀
.⠀
.⠀
.⠀
.⠀
.⠀
.⠀
#cabin #cabinlife #cabinfever #detail #design #architecture #archilovers #hygge #lettherebelight #nature #wilderness #cabucabins #hiddengem #roamtheplanet #thegreatoutdoors #getlost #escape #instagood #photooftheday #architectureporn #modern #furniture #keepongoing #letsgo</t>
  </si>
  <si>
    <t>architectureporn</t>
  </si>
  <si>
    <t>1592820889676831292_4249248273</t>
  </si>
  <si>
    <t>#wednesdaywisdom - if you want something? Break your target into realistic chunks. Celebrate each little win and learn when things don't go right, can you improve or change? I had a catastrophically large list of things to do coming out of last season. Lose weight, take control of my #ehlersdanlossyndrome symptoms and #potssyndrome issues, get my left leg and right arm stronger, learn how to balance better, get my ankles and hips in a better place, get a grade 6 climb, climb outdoors, learn to boulder, learn to jump, learn to fall...massive list. And learn to accept that my health can be pretty shit sometimes. Lots of ups and downs but I have persistently reminded myself of what has gone well and how much more I want to learn. Here's a video of how my climbing style has changed. The first was this time last year, I was struggling to do a basic left leg twist. And me a few weeks ago running up a 6b and a slightly overhang route. What a change! @thisgirlcanclimbing @thisgirlcanuk @ehlersdanlosuk #thisgirlcanclimb #thisgirlcan @thecastleclimbingcentre #hijab #muslim #cancersurvivor #amputee #acceptance #training  #competition #milestone #progress #mentalgame #faceyourfears #outofmycomfortzone #believeinyourself #climber #climbing #climbing_is_my_passion #paraclimbing #dontgiveup #determination #goals  #journey #justdoit #keepongoing  #yesican</t>
  </si>
  <si>
    <t>ms_aneikaah</t>
  </si>
  <si>
    <t>1592829254530140775_5682830033</t>
  </si>
  <si>
    <t>As long as I abide in God's love ❤️, nothing can harm me. #happywednesday -
-
-
#happywednesday #love #godlovesme #keepongoing #quiettime #blessed</t>
  </si>
  <si>
    <t>quiettime</t>
  </si>
  <si>
    <t>godlovesme</t>
  </si>
  <si>
    <t>tomoya412</t>
  </si>
  <si>
    <t>1592831449088882871_31849893</t>
  </si>
  <si>
    <t>HERO COMPLEX "Keep on going."
元気丸エンディング、Dream Roadの曲「Feel Life Goes On」が入ってます。
去年のDream Road曲、瑠璃の「作りかけの唄」が特別な曲になったように、この曲も特別なものになることを願って。
iTunesに無かったのでCD買いましたが、新しいCDの封を開ける瞬間はいつでも心躍るもんですわ。
#HeroComplex #KeepOnGoing #FeelLifeGoesOn
#元気丸 #広テレ #DreamRoad #carp #sanfrecce</t>
  </si>
  <si>
    <t>元気丸</t>
  </si>
  <si>
    <t>sanfrecce</t>
  </si>
  <si>
    <t>広テレ</t>
  </si>
  <si>
    <t>feellifegoeson</t>
  </si>
  <si>
    <t>herocomplex</t>
  </si>
  <si>
    <t>werthechristys</t>
  </si>
  <si>
    <t>1592832056627291765_4101655387</t>
  </si>
  <si>
    <t>#philipians413 #icandoallthingsthroughchrist #keepongoing</t>
  </si>
  <si>
    <t>philipians413</t>
  </si>
  <si>
    <t>the_king_balti</t>
  </si>
  <si>
    <t>1592833624389396012_1512313236</t>
  </si>
  <si>
    <t>#shouldersurgery #notraining #bodybuilder #bodybuilding #bodypowerlifter #dontstop #instadaily #instagood #instagram #gym #gymnastics #gymmotivation #tbh #tb #fitness #fitnessmotivation #gymrats #happy #goals #motivation #killit #onedayyoumay #focused #follow4follow #like4like #keepongoing #betterbytheday #today #killit #motivationalquotes #today</t>
  </si>
  <si>
    <t>Reykjavík, Iceland</t>
  </si>
  <si>
    <t>notraining</t>
  </si>
  <si>
    <t>lularoemixmaster</t>
  </si>
  <si>
    <t>1592841782503155561_2210450023</t>
  </si>
  <si>
    <t>#positivevibes for your #Wednesday !! Keep up the hustle. #lularoe #boss #myownboss #keepongoing</t>
  </si>
  <si>
    <t>mkemoms</t>
  </si>
  <si>
    <t>wahm</t>
  </si>
  <si>
    <t>mkemycity</t>
  </si>
  <si>
    <t>iamcoirof</t>
  </si>
  <si>
    <t>1592855510116342238_558961437</t>
  </si>
  <si>
    <t>LifeOnTheRoad
#keepongoing 
#keeponit
#black #blackstyle #blackandwhiteonly #ontherocks #people_and_world</t>
  </si>
  <si>
    <t>San Giorgio a Liri</t>
  </si>
  <si>
    <t>keeponit</t>
  </si>
  <si>
    <t>people_and_world</t>
  </si>
  <si>
    <t>ontherocks</t>
  </si>
  <si>
    <t>vincentia1129</t>
  </si>
  <si>
    <t>1592857074039953769_4608852106</t>
  </si>
  <si>
    <t>#keepongoing 
#tothenextlevel 
#cheers</t>
  </si>
  <si>
    <t>tothenextlevel</t>
  </si>
  <si>
    <t>simon_purtscher</t>
  </si>
  <si>
    <t>1592857926933766133_239746362</t>
  </si>
  <si>
    <t>#nichtnurhechelnauchmallächln #keepongoing #bissibergaufradln #örm2017 #ötztalradmarathon2017 👌🏼😊🚵🏽⛰👍🏼</t>
  </si>
  <si>
    <t>Timmelsjoch</t>
  </si>
  <si>
    <t>örm2017</t>
  </si>
  <si>
    <t>ötztalradmarathon2017</t>
  </si>
  <si>
    <t>bissibergaufradln</t>
  </si>
  <si>
    <t>nichtnurhechelnauchmallächln</t>
  </si>
  <si>
    <t>danielle.adler</t>
  </si>
  <si>
    <t>1592859875121373847_3650322346</t>
  </si>
  <si>
    <t>"There are only two ways to live your life. One is as though nothing is a miracle. The other is as though everything is a miracle." - Albert Einstein #fightforlife #recovery #alberteinstein #miracle #livelife #livefree #lifeisamiracle #lifeisbeautiful #lifequotes #inspirationalquotes #reclaimingmylife #minneapolisartist #freelanceartist #giftoflife #purpose #keepingitreal #keepongoing #keeponkeepingon #hardworkpaysoff #hardday #lifesaprocess #onedayatatime</t>
  </si>
  <si>
    <t>Minneapolis, Minnesota</t>
  </si>
  <si>
    <t>alberteinstein</t>
  </si>
  <si>
    <t>freelanceartist</t>
  </si>
  <si>
    <t>miracle</t>
  </si>
  <si>
    <t>livingingrace05</t>
  </si>
  <si>
    <t>1592861070321994801_5951703481</t>
  </si>
  <si>
    <t>#KeepOnGoing #GodLovesYou #BibleQuote</t>
  </si>
  <si>
    <t>biblequote</t>
  </si>
  <si>
    <t>1592861124880259150_5620542121</t>
  </si>
  <si>
    <t>Today first training with a booster. Took only one scoop before the arm workout starts. Tastes awesome, got a little pump and focus. @bloodlioncom #vicious nice work guys #loyalfitness 😀👌💪
🌊 👕 🙌 @loyalfitness 10% discount joro10
#gym #loyalfitness #bloodlion #booster #armworkout #trytogetbig #gymlove #smallgainz #gainzcomingsoon #gainz #smallgains #bodyunderconstruction #bodybuilding #dreambig #dowhatyoulove #focus #stayhungry #staystrong #keepongoing #neverquit #workonit #gohardorgohome #babygains</t>
  </si>
  <si>
    <t>bloodlion</t>
  </si>
  <si>
    <t>1592864846318215126_5705167414</t>
  </si>
  <si>
    <t>I love KD and all but still, I miss this Steph, where he was the MVP, the next Michael Jordan, the next to be among the GOATS, the one that can actually challenge Lebron's supremacy over the NBA, he was the leader, the man, the face of the NBA after Lebron, but apparently that's all in the past and you can't do anything about it 😢  #Dubnation
-
-
-
-
-
-
-
-
-
-
-
-
-
-
-
-
-
-
-
-
-
-
-
-
-
-
-
-
-
-
-
-
-
-
-
-
-
-
-
-
 #StephGonnaSteph #Mvp #SC30 #KT11 #DG23 #CURRYMVP #KEEPONGOING #NEVERGIVEUP #WCF #WEST #WESTERNCONFERENCEFINALS #CHAMPS #DUBSFORCHAMPS #DUBS #ALWAYSBELIEVEINGOD #STEPHENCURRY #EVEN #NBA #2016CHAMPS #CHAMPIONS #LOCKIN #STEPH #SPLASH #SPLASHBROS  #like4like #like4follow #follow4follow</t>
  </si>
  <si>
    <t>roytje1987</t>
  </si>
  <si>
    <t>1592869052250141595_527037895</t>
  </si>
  <si>
    <t>werken eten trainen slapen groeien👌💪 #keepongoing #everydayaworkout #fitness #fitnessmotivation #fitnesslife #workout #growing #training #food #healthyfood #muscle  #mass</t>
  </si>
  <si>
    <t>mass</t>
  </si>
  <si>
    <t>chochemannn</t>
  </si>
  <si>
    <t>1592881555630217911_542390041</t>
  </si>
  <si>
    <t>A step at a time #leaning #grinding #pumps #arms #motivated #keepongoing #itdontstophere #gains</t>
  </si>
  <si>
    <t>leaning</t>
  </si>
  <si>
    <t>grinding</t>
  </si>
  <si>
    <t>arms</t>
  </si>
  <si>
    <t>itdontstophere</t>
  </si>
  <si>
    <t>minevad</t>
  </si>
  <si>
    <t>1592890785917720954_238031092</t>
  </si>
  <si>
    <t>I need a belt... 😄 best way to start the day! But sad it's my favorite jeans ❤️
#weigtloss #belt #10kg #diet #healthy #keepongoing #almostthere #happy #lovelife #nosugar #happyme #smile #feelinggood #flowers #croptops #nextsummer #rainingoutside #longhair #selfie #habittracker #vacation #goals #bodychange #loveit #workout #healthylifestyle #motivation #favorite #jeans</t>
  </si>
  <si>
    <t>nosugar</t>
  </si>
  <si>
    <t>weigtloss</t>
  </si>
  <si>
    <t>bodychange</t>
  </si>
  <si>
    <t>youngceo9684</t>
  </si>
  <si>
    <t>1592893739050116314_5948296166</t>
  </si>
  <si>
    <t>Life comes with many obstacles but if you remain focused, your dreams will become reality. @youngceo9684 .
.
.
.#follow4follow #follow #trainhard #putinthework  #twinkles #flexible #strong #goals #prosper #invest #seriously #grow #nike #goals #preseason #lastgame #goal #bloodsweatandtears #keepongoing #workhard</t>
  </si>
  <si>
    <t>lastgame</t>
  </si>
  <si>
    <t>preseason</t>
  </si>
  <si>
    <t>prosper</t>
  </si>
  <si>
    <t>keshishyanshushan</t>
  </si>
  <si>
    <t>1592897941559169776_4866494368</t>
  </si>
  <si>
    <t>Recently I have been meeting people who had their own stories of overcoming hardships and tragedies in their lives, and these stories inspire to always stay strong, open and smile 😊
Thanks to @ninapijoyan
#blackandwhite #strong #inspiration #keepongoing</t>
  </si>
  <si>
    <t>vanessahapple</t>
  </si>
  <si>
    <t>1592906422432465949_283515171</t>
  </si>
  <si>
    <t>Mittwoch, die Hälfte der Woche ist geschafft und das Rückentraining ist durch für heute! ❤😍 ich liebe es! 
#backattack #training #gym #back #bodybuilding #fitnessfigure #bodyfitness #liveyourpassion #dreambig #athlete #competitor #diet #competitionprep #nevergiveup #keepongoing</t>
  </si>
  <si>
    <t>New Fitness World</t>
  </si>
  <si>
    <t>liveyourpassion</t>
  </si>
  <si>
    <t>competitionprep</t>
  </si>
  <si>
    <t>ameridisability</t>
  </si>
  <si>
    <t>1592907598641076519_4768570168</t>
  </si>
  <si>
    <t>We love our blogger! Today she shares the pros &amp; cons about an Ergonomic Kneeling Chair that she has been using for some time now and how it has helped her with scoliosis, lordosis, and muscle tension associated with Cerebral Palsy. ⠀
⠀
She is one busy young lady and has found this tool extremely useful to help her body keep up with her mind! ⠀
⠀
#ergonomickneelingchair #flashfurniture #cerebralpalsy #backsupport #scoliosis #lordosis #everydayalternatives #blogger #blog #keepongoing #workinghard</t>
  </si>
  <si>
    <t>cerebralpalsy</t>
  </si>
  <si>
    <t>everydayalternatives</t>
  </si>
  <si>
    <t>flashfurniture</t>
  </si>
  <si>
    <t>gab_lingel</t>
  </si>
  <si>
    <t>1592909350694159668_32420495</t>
  </si>
  <si>
    <t>Loving this life I live with you. 🇺🇸</t>
  </si>
  <si>
    <t>Willamette Country Music Concerts</t>
  </si>
  <si>
    <t>mrs_what_urs</t>
  </si>
  <si>
    <t>1592916576960782777_5906245169</t>
  </si>
  <si>
    <t>One of my favorite drawings!
#Draw #Inspire #Yourself #KeepOnGoing</t>
  </si>
  <si>
    <t>fangmaennchen</t>
  </si>
  <si>
    <t>1592917801243586320_3110602310</t>
  </si>
  <si>
    <t>Norway Trip 3/10
#motorcycletrip #motorcycle #norway #skandinavia #offroad #rallye #enduro #camping #ktm #690 #yamaha #xt #660 #cagiva #brothers #trip #motocross #adventure #motorcycletravel #2stroke #4stroke #trollstigen #preikestolen #fjord #hochebene #keepongoing #moto #twowheels #sweden #visitnorway</t>
  </si>
  <si>
    <t>Bjorli</t>
  </si>
  <si>
    <t>2stroke</t>
  </si>
  <si>
    <t>brothers</t>
  </si>
  <si>
    <t>ktm</t>
  </si>
  <si>
    <t>cagiva</t>
  </si>
  <si>
    <t>660</t>
  </si>
  <si>
    <t>yara_bodegraven</t>
  </si>
  <si>
    <t>1592919169702187407_5885262314</t>
  </si>
  <si>
    <t>Gooi die handjes in de lucht#endofsummer#keepongoing</t>
  </si>
  <si>
    <t>endofsummer</t>
  </si>
  <si>
    <t>1592921798920303212_3537086107</t>
  </si>
  <si>
    <t>Quarta eu sou "cinza"...
#foco💪 #fitnessmotivation #keepongoing #nevergiveup #aheadforever #healthymind</t>
  </si>
  <si>
    <t>healthymind</t>
  </si>
  <si>
    <t>aheadforever</t>
  </si>
  <si>
    <t>rj3624</t>
  </si>
  <si>
    <t>1592922267506835780_219434963</t>
  </si>
  <si>
    <t>Hello and Happy Day My Friends 🌻🤗🌻
...............................
On my way back from my trip all I could think of was getting busy on the bus and the thoughts and ideas of what I want to do were flooding my brain big-time and that's what made me think of this poem today 🤔🤔🤔...
..........................................
We have so many thoughts or ideas that pop into our head.. yet if we try to focus on  all of them then the ideas and thoughts we dread... So choose the one that inspires you and push the rest to the back of your mind.. cause the only way to get things done is to focus on one at a time 😀❤😀
........................................................................
#helloworld #focus #stayfocused #motivation #inspiration #thoughts #ideas #oneatatime #keepongoing #keepmovingforward #dontrush #dontquit #neverquit #nevergiveup #slowlybutsurely #slowdown #frustrated #positivethinking #mindset #getcentered #getitdone #youcandoit #slowprogressisbetterthannoprogress</t>
  </si>
  <si>
    <t>dontrush</t>
  </si>
  <si>
    <t>frustrated</t>
  </si>
  <si>
    <t>slowprogressisbetterthannoprogress</t>
  </si>
  <si>
    <t>1592927444527009961_5705167414</t>
  </si>
  <si>
    <t>I need help, school is killing me 💀  #Dubnation
-
-
-
-
-
-
-
-
-
-
-
-
-
-
-
-
-
-
-
-
-
-
-
-
-
-
-
-
-
-
-
-
-
-
-
-
-
-
-
-
 #StephGonnaSteph #Mvp #SC30 #KT11 #DG23 #CURRYMVP #KEEPONGOING #NEVERGIVEUP #WCF #WEST #WESTERNCONFERENCEFINALS #CHAMPS #DUBSFORCHAMPS #DUBS #ALWAYSBELIEVEINGOD #STEPHENCURRY #EVEN #NBA #2016CHAMPS #CHAMPIONS #LOCKIN #STEPH #SPLASH #SPLASHBROS  #like4like #like4follow #follow4follow</t>
  </si>
  <si>
    <t>1592928923531719516_1417472007</t>
  </si>
  <si>
    <t>LET'S RUN?! 🏃
#penhastrailteam #penhasonfire #running #run #trail #trailrunning #portugalrunning #runningportugal #correr #nature #odemira #rotavicentina  #runninglifestyle #newbalance #breakyourlegs #runner #runforlife #instarunners #salomon  #mountainrunning #bustlegs #keepongoing #worldrunners #runnerslife #RUNpt #garmin #geonature #stravarunning #letsrun</t>
  </si>
  <si>
    <t>salomon</t>
  </si>
  <si>
    <t>penhastrailteam</t>
  </si>
  <si>
    <t>1592930931847577394_5705167414</t>
  </si>
  <si>
    <t>Happy birthday D-West!!!!🎂 #Dubnation
-
-
-
-
-
-
-
-
-
-
-
-
-
-
-
-
-
-
-
-
-
-
-
-
-
-
-
-
-
-
-
-
-
-
-
-
-
-
-
-
 #StephGonnaSteph #Mvp #SC30 #KT11 #DG23 #CURRYMVP #KEEPONGOING #NEVERGIVEUP #WCF #WEST #WESTERNCONFERENCEFINALS #CHAMPS #DUBSFORCHAMPS #DUBS #ALWAYSBELIEVEINGOD #STEPHENCURRY #EVEN #NBA #2016CHAMPS #CHAMPIONS #LOCKIN #STEPH #SPLASH #SPLASHBROS  #like4like #like4follow #follow4follow</t>
  </si>
  <si>
    <t>dovanson</t>
  </si>
  <si>
    <t>1592932299795875443_51311158</t>
  </si>
  <si>
    <t>Al drie dagen zo ziek als het maar zijn kan. But the kids give me energy! #whybemoodywhenyoucanshakeyourbooty #sick #butlifegoeson #teaching #givesme #energy #kids #dancing #singing #keepongoing #watzijnzetochheerlijk</t>
  </si>
  <si>
    <t>teaching</t>
  </si>
  <si>
    <t>whybemoodywhenyoucanshakeyourbooty</t>
  </si>
  <si>
    <t>singing</t>
  </si>
  <si>
    <t>1592933572607295841_1684424176</t>
  </si>
  <si>
    <t>@millionaireimage strong mind strong man 
___________________________ 
#millionaireimage #doitforyourself #betterme #beyourown #keeponkeepingon #workforwhatyouwant  #marketingmoment #marketingsolutions #encourageyourself #bethechangeyouwanttosee #youvegotthis #oilfieldlife #millionairequotes #inspirationalthoughts #positivepeople #americanbusiness #quoteme  #strategize #seemslegit #youdoyou #inspirationalpost #businessownership #businessisbusiness #keepongoing #selfconfidence #bewhoyouare #bewhatyouwanttobe #socialinfluencers #socialize</t>
  </si>
  <si>
    <t>1592934484172245976_1684424176</t>
  </si>
  <si>
    <t>@millionaireimage be bad and classy. 
___________________________ 
#millionaireimage #doitforyourself #betterme #beyourown #keeponkeepingon #workforwhatyouwant  #marketingmoment #marketingsolutions #encourageyourself #bethechangeyouwanttosee #youvegotthis #oilfieldlife #millionairequotes #inspirationalthoughts #positivepeople #americanbusiness #quoteme  #strategize #seemslegit #youdoyou #inspirationalpost #businessownership #businessisbusiness #keepongoing #selfconfidence #bewhoyouare #bewhatyouwanttobe #socialinfluencers #socialize</t>
  </si>
  <si>
    <t>sammie_mayhead</t>
  </si>
  <si>
    <t>1592936227483857049_511717703</t>
  </si>
  <si>
    <t>Not going to let people get to me keep on smiling girl 😁 #smile #keepongoing #beyou #fuckeveryone #feelinghappy #out #drinks #happy #always</t>
  </si>
  <si>
    <t>feelinghappy</t>
  </si>
  <si>
    <t>out</t>
  </si>
  <si>
    <t>debbie_roy_</t>
  </si>
  <si>
    <t>1592944450032055905_1491957542</t>
  </si>
  <si>
    <t>#weightloss #35lbsdown #feelingfabulous #eatinghealthy #moreveggiesplease #nosugaradded #keepongoing #nofilter</t>
  </si>
  <si>
    <t>Edson AB</t>
  </si>
  <si>
    <t>nosugaradded</t>
  </si>
  <si>
    <t>35lbsdown</t>
  </si>
  <si>
    <t>nettymoore65</t>
  </si>
  <si>
    <t>1592946364814511291_3767354434</t>
  </si>
  <si>
    <t>Yoga workout including practicing this pose,starting to see improvements.  #yoga #yogagram #yogalove #yogatime #strength #breathe #try #believe #fit #instafit#instagram #instdaily#instayoga #alberteinstein#yogalifestyle #yogacommunity#keepongoing</t>
  </si>
  <si>
    <t>instdaily</t>
  </si>
  <si>
    <t>yogagram</t>
  </si>
  <si>
    <t>jovanicajoly</t>
  </si>
  <si>
    <t>1592947316989343451_871881017</t>
  </si>
  <si>
    <t>The time when everything falls into place always come 🦄 #unicornstyle #instamoment #wednesday #backtowork #instamood #girl #instadaily #beyou #keepongoing</t>
  </si>
  <si>
    <t>Belgrade, Serbia</t>
  </si>
  <si>
    <t>unicornstyle</t>
  </si>
  <si>
    <t>arjun_singh_4043</t>
  </si>
  <si>
    <t>1592952804171227438_361890162</t>
  </si>
  <si>
    <t>Work hard and in the end you will get what you want  #mywork #keepongoing  #webdesigner</t>
  </si>
  <si>
    <t>webdesigner</t>
  </si>
  <si>
    <t>1592954648868072477_1611690820</t>
  </si>
  <si>
    <t>New student!
How will be thought the 3D market way 😉
#product #work #buissnes
#productive #productdesign #creative #savetime #entrepreneursofinstagram #entrepreneur #productivity #working #hustle  #hustler  #dream #nevergiveup #workspace #create #keepongoing #dreams #inspiration #inspiringpeople #sverige #graphicdesign #art #design #designer #filament #3dprint #3dprinting #workshop</t>
  </si>
  <si>
    <t>entrepreneursofinstagram</t>
  </si>
  <si>
    <t>1592955358928904104_4678264587</t>
  </si>
  <si>
    <t>-5:28 vs PB 👊🏻
▪️
▪️🔥🔥🔥 #hellweek 🔥🔥🔥 #day4
▪️
Guys this is awesome, it's my third PB of the week (not including yesterday as it was a first) and the second ABOVE 5:00 !! 😱😍
I love this #hellweek !! 🔥🔥🔥
#Freeletics #bodyweight #freeleticsangers #freeleticsecouflant #hippodrome #angers #ecouflant #freeathlete #freeleticslifestyle #fit #fitness #fitnessmotivation #stayinshape #betterversionofyourself #keepongoing #trainingday #workout #noexcuses</t>
  </si>
  <si>
    <t>1592958463477216635_54831745</t>
  </si>
  <si>
    <t>Efter en låååång dag.... ☺️#onsdag#kväll#väntan#lund#endagitaget#varräddaomvarandra#kämpa#keepongoing#keepcalm 💗</t>
  </si>
  <si>
    <t>lund</t>
  </si>
  <si>
    <t>kväll</t>
  </si>
  <si>
    <t>väntan</t>
  </si>
  <si>
    <t>onsdag</t>
  </si>
  <si>
    <t>1592961886089337239_277645992</t>
  </si>
  <si>
    <t>💪🏽💪🏽💪🏽💪🏽 #fitness #love #keepongoing ❤</t>
  </si>
  <si>
    <t>1592963382062856162_4462013811</t>
  </si>
  <si>
    <t>Throwback this morning : rpm 70 ! High cardio
#throwback #rpm70 #rpm #lesmills #cardio #bike #legs #caloriekiller #music #boost #neverstop #goals #keepongoing  #addicted  #focus #fit #fitness #fitgirl #paris #france #frenchgirl</t>
  </si>
  <si>
    <t>rpm70</t>
  </si>
  <si>
    <t>bens_sw_journey</t>
  </si>
  <si>
    <t>1592966796662901693_2177840178</t>
  </si>
  <si>
    <t>Not a bad August but I could do better still progress is progress.  #slimmingworlduk #slimmingworld #slimmingworldfood #slimmingworldjourney #slimmingworldfriends #slimmingworldsupport #slimmingworldfamily #slimmingworldmafia #slimmingworldfood #slimmingworldinsta #slimmingworldinspiration #menofslimmingworld #swfoodideas #menofsw #swmen #foodie #fooddiary #foodblogger #slimmingworldblogger #slimming #eatwell #progressnotperfection #progess #continuingmyjourney #keepongoing #motivation</t>
  </si>
  <si>
    <t>eatwell</t>
  </si>
  <si>
    <t>continuingmyjourney</t>
  </si>
  <si>
    <t>slimming</t>
  </si>
  <si>
    <t>1592967040645489663_5715259229</t>
  </si>
  <si>
    <t>When it hits you down knowing that you are speechless, acceleration comes without hesitation.Bursting up with the high temperature makes an absolute results in moving forward. 0 to 320km/h in 60sec,hows that feel!! #victory #keepongoing #vibes #passion #future #selftrust #goals #mindset #nevergiveup #movingforward #loveyourself</t>
  </si>
  <si>
    <t>broken_souls_0</t>
  </si>
  <si>
    <t>1592967067598095075_5951034034</t>
  </si>
  <si>
    <t>Demons in his eyes , they wasn't who he was though , they controlled him broke him
#demons #eyes #help #journey #recovery #healing #controlling #depression #anxiety #mentalhealthawareness #mentalhealthmatters #mentalillness #nevergiveup #keepongoing #lonley</t>
  </si>
  <si>
    <t>controlling</t>
  </si>
  <si>
    <t>demons</t>
  </si>
  <si>
    <t>lonley</t>
  </si>
  <si>
    <t>morethanonestream</t>
  </si>
  <si>
    <t>1592973907172855890_2408508276</t>
  </si>
  <si>
    <t>A bend in your road might be a moment of rest, a mistake, a set back or a pause for celebration. However, don't stop, keep on going. Get to your destination. #keepitmoving #keepongoing #movingforward #dontstop #getthere #forwardmarch #fullspeedahead #wednesday #wednesdaywisdom #wednesdaymotivation #jacksonville #florida</t>
  </si>
  <si>
    <t>florida</t>
  </si>
  <si>
    <t>forwardmarch</t>
  </si>
  <si>
    <t>acidbatsinthebelfry</t>
  </si>
  <si>
    <t>1592974084115621272_1462428728</t>
  </si>
  <si>
    <t>Utilizing my day off today and tomorrow and doing some much deserved self care.  Adjusting to work has been difficult, but my therapist reassured me what I'm feeling is normal. When you're bipolar it's hard to tell if what you're feeling is a normal reaction or if your disorder is flaring up.The stressor is not my job, it's the fear of relapse. I'm learning to take one day at a time. I'm in a better place with a solid support foundation, and I do everything I need to do to manage my illness.
So after therapy I treated myself to some retail therapy. Anxiety is at bay, at least for now.
#selfcare #selfcareday #retailtherapy #managingemotions #onedayatatime #anxiety #bipolardisorder #inrecovery #keepongoing #tvandbooks #goldengirls #favoriteshow #thankyouforbeingafriend</t>
  </si>
  <si>
    <t>goldengirls</t>
  </si>
  <si>
    <t>inrecovery</t>
  </si>
  <si>
    <t>favoriteshow</t>
  </si>
  <si>
    <t>tvandbooks</t>
  </si>
  <si>
    <t>turkusowydzem</t>
  </si>
  <si>
    <t>1592978394358155965_1632358307</t>
  </si>
  <si>
    <t>Od jutra ZMIANY ! Czas na nowe ;) #keepongoing #doprzodu #czasnanowe #czasnazmiany #uczymysienanowo #gogogo</t>
  </si>
  <si>
    <t>czasnazmiany</t>
  </si>
  <si>
    <t>uczymysienanowo</t>
  </si>
  <si>
    <t>doprzodu</t>
  </si>
  <si>
    <t>sandraslob</t>
  </si>
  <si>
    <t>1592981076120044858_368327574</t>
  </si>
  <si>
    <t>Just 659 steps to the top! #Colombia #instatravel #keepongoing</t>
  </si>
  <si>
    <t>Piedra El Peñol, Antioquia, Colombia</t>
  </si>
  <si>
    <t>colombia</t>
  </si>
  <si>
    <t>mcwilliams.jordan</t>
  </si>
  <si>
    <t>1592986549251063597_4143059396</t>
  </si>
  <si>
    <t>I had an "ah-ha" moment this morning. I have honestly been really "overwhelmed" for a solid two months now.
.
With further reflection though, I assume that most people go through phases of being overwhelmed at least in one point of life,  right? It's like growing pains - if you ate underwhelmed, you probably aren't really progressing in life. If it's easy, well where is the value in that?
.
Furthurmore, it is basically impossible to MEASURE the feelings of being overwhelmed. Right? How can one person say they are more or less so than another? It's a cumulative process of a million little tiny things (or giant things with tiny ones in between the cracks) that give us these feelings. .
I do know ONE thing though. It's okay. We have to realize these feelings pass. This phase changes into a new chapter of life, that I bet you and I couldn't have been ready for if we didn't struggle through the days, weeks or months of feeling overwhelmed. .
So maybe I AM the only one feeling like this is the season of life right now, but maybe I'm not too! IlSo if you feel like you've been treading water for awhile,  you're not alone!  One way or another, we got this 😉✌
.
Oh and the picture of hwim and the barn - that's just one of those special places that helps me reflect! If you don't have a special place like that, I highly recommend you find one 😍🐎
.
.
.
.
.
.
.
.
.
.
.
.
.
.
#life#crazylife#overwhelmed#courage#success#wegothis#thejourney#dontstress#grit#believe#faith#happyplace#refreshment #retreat#thebarn#placeofpeace#barnlife#momlife#justaphase#seasonsoflife#blessingsoflife#organizedmom#fitmom#workingmom#balancinglife#keepongoing#headup#climbthatmountain #wednedsay#reflections</t>
  </si>
  <si>
    <t>organizedmom</t>
  </si>
  <si>
    <t>refreshment</t>
  </si>
  <si>
    <t>retreat</t>
  </si>
  <si>
    <t>the_stef79</t>
  </si>
  <si>
    <t>1592987225112432389_236344104</t>
  </si>
  <si>
    <t>word. #motivationalquotes #motivation #injured #attitude #f4f #follow4follow #followforfollow #instamood #staypositive #toughguy #keepongoing #fuckinjuries</t>
  </si>
  <si>
    <t>toughguy</t>
  </si>
  <si>
    <t>injured</t>
  </si>
  <si>
    <t>1592988957201524064_216089260</t>
  </si>
  <si>
    <t>Came back from lunch to this....
.
.
.
.
.
#divineorder #empoweringwomen #goals #growth #happy #inspiration #jamaicanlifecoach #lifecoach #lovemyjob #mindset #morethanenough #nofear #nicolewright #purpose #success #survivor #universe #nevertoolatetostartover #nevertoolatetobegin #standuptocancer #nevergiveup #keepongoing #believeinyourself #happy #lovemylife  #anthropologie #naturalhair #jamaicanlifecoach</t>
  </si>
  <si>
    <t>1592989667061745352_1750704811</t>
  </si>
  <si>
    <t>Follow @the.digital.nomad for Epic Travel Photos!
Fishing village 🎣 Henningsvær, Lofoten. Norway. Photo by @jannilaakso
.
.
.
.
.
.
.
.
#keepshining #travelrock #earthofficial #bucketlisters #livefornow #vacancy #mytraveldiary #lifeisworthliving #getoutstayout #lifeisajoke #travelfreak #islandliving #biketravel #adventurebuddies #yogaholic #meditatedaily #energyflow #keepongoing #mybudgettravel #life4life #lifestile #liveyourpassion #creativeentrepreneur #escapegame #neverstoplearning</t>
  </si>
  <si>
    <t>bucketlisters</t>
  </si>
  <si>
    <t>lifeisworthliving</t>
  </si>
  <si>
    <t>yogaholic</t>
  </si>
  <si>
    <t>inwonderlandalicelol</t>
  </si>
  <si>
    <t>1592989777564980169_3478041837</t>
  </si>
  <si>
    <t>Beach afternoon 👌🏼👌🏼 #beach #beachday #nato #natobeach #happy #smile #smileforever #smileforeverything #keepongoing #igers #igersportugal #igerofday #ohlalala</t>
  </si>
  <si>
    <t>Praia Da Nato</t>
  </si>
  <si>
    <t>beachday</t>
  </si>
  <si>
    <t>nato</t>
  </si>
  <si>
    <t>igerofday</t>
  </si>
  <si>
    <t>igersportugal</t>
  </si>
  <si>
    <t>terceiromilenio9999</t>
  </si>
  <si>
    <t>1592993165957944855_5925468528</t>
  </si>
  <si>
    <t>#life4life #keepongoing #paradiseinterior #yogaclass #discovertheroad #lifeissimple #beachbag #femaletravel #keepitlit #awesome_naturepix #lifepartner #travelbook #travelphotography #leaveyourmark #travelingcouple #journeys #vsco #animals #travellernottourist #косметика #успех #волосы #красотаволос #hair #life #уходзаволосами #красота #summer #rilife #instalife</t>
  </si>
  <si>
    <t>красота</t>
  </si>
  <si>
    <t>красотаволос</t>
  </si>
  <si>
    <t>anifranchipani</t>
  </si>
  <si>
    <t>1592995540185208683_3159145974</t>
  </si>
  <si>
    <t>Sweat is just fat crying 😂😂 #feelinggreat #strong #healthyactivelifestyle #gymgirl #motivation #keepongoing</t>
  </si>
  <si>
    <t>Basic Fit</t>
  </si>
  <si>
    <t>healthyactivelifestyle</t>
  </si>
  <si>
    <t>1592996284338788195_1551000842</t>
  </si>
  <si>
    <t>RepostBy @millionaireimage: . 
___________________________ 
#millionaireimage #doitforyourself #betteringmyself #beyourown #keeponkeepingon #workforwhatyouwant  #marketingtip #marketingsolutions #encourageyourself #bethechangeyouwanttosee #youvegotthis  #millionairedreams #inspirationalthoughts #positivepeople #americanbusiness #quoteme  #strategize #seemslegit #youdoyou #inspirationalpost #businessownership #businessisbusiness #keepongoing #quotes4you #bewhoyouare #goalsaf #bewhatyouwanttobe #socialinfluencers #socialize"</t>
  </si>
  <si>
    <t>betteringmyself</t>
  </si>
  <si>
    <t>jeronymoe</t>
  </si>
  <si>
    <t>1592996583854937898_2285896006</t>
  </si>
  <si>
    <t>Ich kann nicht mehr...😢
MACH WEITER!😤
Bin kaputt...😥
MACH WEITER!😠
Es tut weh...😭
MACH WEITER!😡
Training beginnt genau DA, wo du aufhören willst!!! Ganz einfach... 🤓
.
.
.
________
#keepongoing #dontgiveup #motivation #idoportal #idoportalmethod #gohard #nevergiveup #training #trainhard #streetworkout #calisthenics #thenx #kalimuscle #frankmedrano #mayweathermcgregor #hardwork #cologne #kölle #köln #cgn #workout #beachworkout #beachlife #zrce #zrcebeach #mcgregor #boxing #kickboxing #boxen #mma</t>
  </si>
  <si>
    <t>Zrće Beach</t>
  </si>
  <si>
    <t>beachworkout</t>
  </si>
  <si>
    <t>calisthenics</t>
  </si>
  <si>
    <t>a.lynndesigns</t>
  </si>
  <si>
    <t>1592997996538510847_5795630752</t>
  </si>
  <si>
    <t>#womenwednesday ... According to #cocochanel we'll be a success!
"Success is often achieved by those who don't know that failure is inevitable" ~Coco</t>
  </si>
  <si>
    <t>womenwednesday</t>
  </si>
  <si>
    <t>perfectfit</t>
  </si>
  <si>
    <t>casualstyle</t>
  </si>
  <si>
    <t>comfort</t>
  </si>
  <si>
    <t>antgibert</t>
  </si>
  <si>
    <t>1593000917687093635_39914438</t>
  </si>
  <si>
    <t>Keep smiling even when you are down. It help you to go thru hard times.
--
#vsco #vscocam #smile #smiling #inter #boy #fitness #gym #rugby #sad #sadness #keepongoing #Selfie --
The Grind Never Stops
--
Vlog Start This Week-end 😎📷 @leogobbat0</t>
  </si>
  <si>
    <t>rugby</t>
  </si>
  <si>
    <t>1593008560715156893_5880970851</t>
  </si>
  <si>
    <t>Slow progress is better than no progress! #nevergiveup #keepongoing #beliveinyourselfe #goals #work #sweat #achieve #workout #motivation #nopainnogain #nosweatnobeauty #nosquatnobooty #gymaholic #pushyourself #gym 💪🍑</t>
  </si>
  <si>
    <t>nosquatnobooty</t>
  </si>
  <si>
    <t>1593010069002409899_1360876445</t>
  </si>
  <si>
    <t>100 days of inspiration_x000D_Day 8- Vandana Mahajan_x000D__x000D_Just as this picture is so bright, so is this woman!!_x000D_Whenever I meet her (though very rare) , she brings a smile on my face. _x000D_Ever cheerful and gorgeous, she takes life in its stride. Facing the difficulties of life she has risen from it like a phoenix. _x000D_A person whom I could call my soul mate, I aspire to be ever cheerful and gorgeous as she is in spite of tormenting weather._x000D_Thank you @mahajanvandana12 for being in my life ❤ ._x000D_._x000D_._x000D_._x000D_._x000D_._x000D_._x000D_#100daysofinspiration #vandanamahajan #soulmate #happiness #gorgeous #inspireeachother #everdaymotivation #staybeautiful#instadaily #challengeyourself #facethelife #alwayscheerful #killwithyoursmile #writersofinstagram #writerscommunity #letsdoit #keepongoing #inspiringstories</t>
  </si>
  <si>
    <t>Unknown</t>
  </si>
  <si>
    <t>soulmate</t>
  </si>
  <si>
    <t>writerscommunity</t>
  </si>
  <si>
    <t>jenny_starmoonie</t>
  </si>
  <si>
    <t>1593010251824428444_29074670</t>
  </si>
  <si>
    <t>#Imust #Bestrong #timewillhealeverything #keepongoing #havefaith 🙏🙏🙏</t>
  </si>
  <si>
    <t>Al Ain</t>
  </si>
  <si>
    <t>timewillhealeverything</t>
  </si>
  <si>
    <t>imust</t>
  </si>
  <si>
    <t>jackiesmiph</t>
  </si>
  <si>
    <t>1593010704389045285_1478475411</t>
  </si>
  <si>
    <t>I'd say the free weights added on to my running are paying off! Only the second week!! #runnerforlife #crosscountryrunner #goldsgym #photography #slayer #shirt #6miles #freeweights #results #keepongoing #music #running #travel #food #art #family #beinghealthy #makesmyheartsmile !</t>
  </si>
  <si>
    <t>shirt</t>
  </si>
  <si>
    <t>runnerforlife</t>
  </si>
  <si>
    <t>onpraes</t>
  </si>
  <si>
    <t>1593011500803434180_5804924747</t>
  </si>
  <si>
    <t>Heute den letzten warmen Tag ausgenutzt und einen geilen Sonnenuntergang genossen... Ich hoffe ihr hatte einen schönen Tag #ruhegenießen #Sonnenuntergang #goodvibes #keepongoing</t>
  </si>
  <si>
    <t>Heidelberg, Germany</t>
  </si>
  <si>
    <t>sonnenuntergang</t>
  </si>
  <si>
    <t>ruhegenießen</t>
  </si>
  <si>
    <t>hermajestykitty91</t>
  </si>
  <si>
    <t>1593013343287203568_276055593</t>
  </si>
  <si>
    <t>#hellowednesday #slovakia #slovakgirl #keepongoing</t>
  </si>
  <si>
    <t>Randal Club - live&amp;wild rock'n'roll music club</t>
  </si>
  <si>
    <t>hellowednesday</t>
  </si>
  <si>
    <t>slovakgirl</t>
  </si>
  <si>
    <t>janettesephton</t>
  </si>
  <si>
    <t>1593013491252664559_1354375360</t>
  </si>
  <si>
    <t>#simplethings #greece #snail #marryyourbestfriend #traveltheworld #experiencesoverthings #keepongoing</t>
  </si>
  <si>
    <t>simplethings</t>
  </si>
  <si>
    <t>traveltheworld</t>
  </si>
  <si>
    <t>experiencesoverthings</t>
  </si>
  <si>
    <t>snail</t>
  </si>
  <si>
    <t>all.about.sabrina.d</t>
  </si>
  <si>
    <t>1593013973741425810_3167650153</t>
  </si>
  <si>
    <t>Für mehr "Fuck you's" im Leben#me#selfie#blondehair#motivated#newgoals#dress#potd#totallyme#shorthairdontcare#strong#energy#throwback#fun#fuckyou#strongnotskinny#sweet#smile#loveyourself#noexcuses#letnoonestealyourjoy#keepongoing</t>
  </si>
  <si>
    <t>the_renegade_priest</t>
  </si>
  <si>
    <t>1593018497121434842_26564002</t>
  </si>
  <si>
    <t>Oh. Better do some overtime, then... 🙂 #neymar #priestwages #keepongoing</t>
  </si>
  <si>
    <t>priestwages</t>
  </si>
  <si>
    <t>neymar</t>
  </si>
  <si>
    <t>simonsemilyy</t>
  </si>
  <si>
    <t>1593021673693832244_1338845743</t>
  </si>
  <si>
    <t>Op weg naar dromenland. 💤💋
•
•
•
#sleep #love #tired #bed #yawn #money #miss  #lol #nap #queen #quote #goodnight #sleepy #girl #sweetdreams #neverstop #keepongoing #motivation #spirit #rest #meme #bed #tired #night #pajamas #pyjama #sleepingbeauty #work #napqueen #queen #antwerp #belgium</t>
  </si>
  <si>
    <t>yawn</t>
  </si>
  <si>
    <t>night</t>
  </si>
  <si>
    <t>bed</t>
  </si>
  <si>
    <t>pyjama</t>
  </si>
  <si>
    <t>sophie_sunshiine_</t>
  </si>
  <si>
    <t>1593022781988914532_1644823288</t>
  </si>
  <si>
    <t>...How could this be
You're not here with me
You never said goodbye
Someone tell me why
Did you have to go
And leave my world so cold...💕💔🎶 [M.J. - You are not alone]
.
.
Never forget to enjoy the time with your loved ones NOW! You never know how long they will be there... #missingyou #missingqoutes #isascommunity #familyfirst #wintertimes #woods #curlyhair #michaeljackson #bremen #runnerscommunity #laufcommunity #bremermoment #truelove #traveller #heartbroken #traveltheword #travelphotography #thosedays #musicmemories #keepongoing #RIP #mostimportantperson #tryingmybestforyou</t>
  </si>
  <si>
    <t>missingqoutes</t>
  </si>
  <si>
    <t>missingyou</t>
  </si>
  <si>
    <t>truelove</t>
  </si>
  <si>
    <t>nicolepantaleo</t>
  </si>
  <si>
    <t>1593023986584110458_2804264</t>
  </si>
  <si>
    <t>❤️🌊 #selfie #me #beach #sunset #smile #swimwear #blue #waves #onde #tramonto #sand #salty #hairstyle #hair #instaphoto #photography #travel #travelling #sicily #sicilia #nature #love #keepongoing #thinkpositive #sea #landscape #tan #nails #girly #sorridi</t>
  </si>
  <si>
    <t>salty</t>
  </si>
  <si>
    <t>1593024105066522687_231434</t>
  </si>
  <si>
    <t>• I dag ble det kun en HIIT Spinn 🚴🏼‍♀️ Godt å ha en litt roligere dag i dag når kroppen var litt sliten etter går kvelds x-FIT 😆👊🏽Avsluttet dagen med en rolig tur og litt handstand 🐶🤸🏽‍♀️ Håper alle har hatt en super dag 💕🌸• ____________________________________________
#activelifestyle #handstand #nevergiveup #keepfit_no #keepongoing #grow #nordicfitnessgirls #girlswholift #smilebehappy #gymshark #aktivejenter #aktivlivsstil #påveimotmålet #sprekesprell</t>
  </si>
  <si>
    <t>1593025553291532648_1417472007</t>
  </si>
  <si>
    <t>Rebentados mas sempre a sorrir! 😰😉✌
@goncalorosario #penhastrailteam #penhasonfire #running #run #trail #trailrunning #portugalrunning #runningportugal #correr #nature #odemira #riomira #rotavicentina #mirariver #viverodemira #runninglifestyle #newbalance #breakyourlegs #runner #runforlife #instarunners #salomon  #mountainrunning #bustlegs #keepongoing #worldrunners #runnerslife #RUNpt</t>
  </si>
  <si>
    <t>bustlegs</t>
  </si>
  <si>
    <t>runpt</t>
  </si>
  <si>
    <t>penhasonfire</t>
  </si>
  <si>
    <t>riomira</t>
  </si>
  <si>
    <t>sparkledollstarr</t>
  </si>
  <si>
    <t>1593028801569403965_495653850</t>
  </si>
  <si>
    <t>Just one of them days.. battling on through... #stressed #needabreak #ugh #keepongoing #life #thebattleisreal #wednesday</t>
  </si>
  <si>
    <t>ugh</t>
  </si>
  <si>
    <t>thebattleisreal</t>
  </si>
  <si>
    <t>1593032488321887255_1241272196</t>
  </si>
  <si>
    <t>#warrior #drawing #tattooart #lord #beard #head #illustration #art #somecolor #redcolor #sketch #digitalart #tattooing #keepongoing #helmet  #old #guy</t>
  </si>
  <si>
    <t>helmet</t>
  </si>
  <si>
    <t>redcolor</t>
  </si>
  <si>
    <t>tattooing</t>
  </si>
  <si>
    <t>1593035438669584612_1584949428</t>
  </si>
  <si>
    <t>В общем, в 31 году поедем мы - туда! #ревизорромитрофанова #keepongoing</t>
  </si>
  <si>
    <t>Blue Marlin Ibiza</t>
  </si>
  <si>
    <t>1593036321780659085_1571021823</t>
  </si>
  <si>
    <t>Dzisiaj wszyscy mieli lepiej. Ci, którzy szli dlatego, że nie biegli. Rolkarze bo szybciej i mniej zmęczeni. Najfajniej jednak ci na rowerze. Siedzą i owiewa ich ciepły wiatr. Wszyscy mnie mijają. Taki dzień. #runnergirl #lovehaterelationship #keepongoing 🏃‍♀️💪</t>
  </si>
  <si>
    <t>lovehaterelationship</t>
  </si>
  <si>
    <t>tohappytogiveup</t>
  </si>
  <si>
    <t>1593040255795500351_4842328140</t>
  </si>
  <si>
    <t>🇺🇸 cute, cuddling time with my little dog But I think someone gets tired .. it's bed time 💤 good night to you 😴🌙😴
🇩🇪süüüüüüß, kuschelzeit mit wauzi, aber es scheint da wird jemand müde ... das Bett ruft 💤schlaft schön ihr lieben 😴🌙😴 #️⃣#goodnight #schlaftschön #gutennacht #wauzi #hundeliebe #kuscheln #cuddling #chiwawa #doglife #fitnesspro #fitnessgirl #fitnessgermany #abs #6pack 
#fitchick #dailydog #dailyfit #bauchfrei #bauchnabelpiercing #bauchmuskeln #bedtime #bettzeit #dairy #pictureoftheday #love #bestrong #keepcalm #keepongoing 
#fitfam #gethealthy</t>
  </si>
  <si>
    <t>Ulmen</t>
  </si>
  <si>
    <t>dailyfit</t>
  </si>
  <si>
    <t>fitnesspro</t>
  </si>
  <si>
    <t>gutennacht</t>
  </si>
  <si>
    <t>mindingmybody</t>
  </si>
  <si>
    <t>1593044933407675914_337564878</t>
  </si>
  <si>
    <t>Work It Wednesday! Hope deferred maketh the heart sick! #inspire  #lift #encouragement #love #give #knowyoursource #keepongoing #hewillneverleavemenorforsakeme #hewillneverputmoreonyouthanyoucanbare #resilience #werisebyliftingothers #notimetowaste #blessedtobeablessing #love</t>
  </si>
  <si>
    <t>knowyoursource</t>
  </si>
  <si>
    <t>blessedtobeablessing</t>
  </si>
  <si>
    <t>hewillneverleavemenorforsakeme</t>
  </si>
  <si>
    <t>jwhiit</t>
  </si>
  <si>
    <t>1593047286069638241_379982059</t>
  </si>
  <si>
    <t>Rocky road? sounds good 🍦
•
•
•
#nature #adventure #adventuretime #gopro #goprohero4 #goprophotography #photography #letsgetit #keepongoing #wethriveoutdoors #earbudsin #spiritwalk #trails #itsjustforfun</t>
  </si>
  <si>
    <t>wethriveoutdoors</t>
  </si>
  <si>
    <t>earbudsin</t>
  </si>
  <si>
    <t>ewhitsett</t>
  </si>
  <si>
    <t>1593053402044354576_18167248</t>
  </si>
  <si>
    <t>Send up all your loving kindness... about to head in for our interview with director of agency. #nextstep #fosteradopt #keepongoing</t>
  </si>
  <si>
    <t>fosteradopt</t>
  </si>
  <si>
    <t>jae_organics</t>
  </si>
  <si>
    <t>1593061770493385313_16308121</t>
  </si>
  <si>
    <t>Even though life may not work out the way you planned it to, it's still working out the way you need it to. Smile through everything and your journey will be more pleasant ☺️
--------------------------------
#smile #journey #life #shithappens #beyourself #befree #live #behappy #lifegoeson #keepongoing #keepmoving #alwaysforward #babysteps #progress #growth #spiritualjourney #quote #quoteoftheday #humpday #lifegoeson #havefaith #trustingod #trusttheuniverse #trusttheprocess #curls #curlsforthegirls #naturalhair</t>
  </si>
  <si>
    <t>humpday</t>
  </si>
  <si>
    <t>curls</t>
  </si>
  <si>
    <t>trusttheuniverse</t>
  </si>
  <si>
    <t>kayla_m_reed</t>
  </si>
  <si>
    <t>1593062510327765577_2194071216</t>
  </si>
  <si>
    <t>Seared Scallops, Noodle Sushi, Miso Vin, Pea shoots, Pickled Veg, Pickled Ginger, Scallions and sesame seeds:) #sea #seafood #seafoodlife #scallops #sear #delicious #newbrunswickeats #newbrunswicknj #chefcareer #cheflife #goodeats #foodie #foodart #foodieforlife #foodporn #gormet #gorgeous #lifesgood #keepongoing #alwaysforward #careerchoices #humpday #wednesday #august #fish #atlanticocean #fresh #seasonal #culinarylife #flavorexplosion</t>
  </si>
  <si>
    <t>The Frog and The Peach</t>
  </si>
  <si>
    <t>chefcareer</t>
  </si>
  <si>
    <t>atlanticocean</t>
  </si>
  <si>
    <t>fish</t>
  </si>
  <si>
    <t>foodieforlife</t>
  </si>
  <si>
    <t>1593065384767709111_4203348813</t>
  </si>
  <si>
    <t>@rosannaarkle has a big butt 😉😉</t>
  </si>
  <si>
    <t>nicola_alberta</t>
  </si>
  <si>
    <t>1593068432910342602_5393057</t>
  </si>
  <si>
    <t>#someyearsago #firstbigsteps #thankful #keepongoing #smile #love</t>
  </si>
  <si>
    <t>firstbigsteps</t>
  </si>
  <si>
    <t>ourfamilynest</t>
  </si>
  <si>
    <t>1593071039058672065_1964823</t>
  </si>
  <si>
    <t>It’s almost time for the kids to go back to school so we had a practice run making After School Snacks in today’s vlog and even held a mini competition! One messy kitchen later, Blake had fun cleaning up using Scott® Towels with quick absorbing ridges, leaving more time for snacking! What’s your go-to after school snack?  Link in Bio! #ad #scotttowels #keepongoing #backtoschool #snacks</t>
  </si>
  <si>
    <t>scotttowels</t>
  </si>
  <si>
    <t>snacks</t>
  </si>
  <si>
    <t>sharondunleavy</t>
  </si>
  <si>
    <t>1593076595218926825_410916913</t>
  </si>
  <si>
    <t>I love beautiful tempsy... anyone who knows me knows this time last year I was flat out with my fitness at least 5 times a week. Between bootcamp at this lovely park and yoga or whatever else was going at the gym. Since January I've been out with my back and it really has got to me. Thanks tempsy for keeping me sane 😍 #SW #swuk #swinsta #slimming #slimmingworldbodymagic #daysgettingshorter #core #corestrength #corestrong #onedayatatime #lookafteryourself #health #instahealth #fitness #instafit #fitnessjourney #walking #keepongoing #keepmoving #instadaily</t>
  </si>
  <si>
    <t>Temple Newsam Estate</t>
  </si>
  <si>
    <t>slimmingworldbodymagic</t>
  </si>
  <si>
    <t>wordsaresimplemusic</t>
  </si>
  <si>
    <t>1593082809390501382_5372037739</t>
  </si>
  <si>
    <t>Some very true words from ajr!! Never give up on your dreams! #Repost @ajrbrothers (@get_repost)
・・・
#shitty #art #music #nevergiveup #dreambig #itwillgetbetter #dreams #goals #music #yas #keepongoing #yougotthis #thankyou #true #truth #ajr #drama #getready #infinity</t>
  </si>
  <si>
    <t>drama</t>
  </si>
  <si>
    <t>lolo7596</t>
  </si>
  <si>
    <t>1593085307333562971_490934238</t>
  </si>
  <si>
    <t>~Mirror mirror on the wall, I always get up after I fall. And whether I run, walk or have to crawl, Ill set my goals and achieve them all!!~ #growthroughwhatyougothrough #dreambig #achieveyourdreams #thendreamevenbigger #neverlosefocus #nevergiveup #keepongoing #trustthetiming #positivethinking #positivevibes #believe</t>
  </si>
  <si>
    <t>neverlosefocus</t>
  </si>
  <si>
    <t>thendreamevenbigger</t>
  </si>
  <si>
    <t>gmatthewsmusic</t>
  </si>
  <si>
    <t>1593090808206016792_1722771293</t>
  </si>
  <si>
    <t>Keep On Going! 📷 :: @quainphoto
#singer #songwriter #artist #recordingartist #music #alternative #altrock #losangeles #LA #alternativegirl #redhair #lyrics #poppunk #superhero #leapoffaith #newmusic #single #keepongoing #leapoffaith #positivevibes</t>
  </si>
  <si>
    <t>alternative</t>
  </si>
  <si>
    <t>la</t>
  </si>
  <si>
    <t>poppunk</t>
  </si>
  <si>
    <t>songwriter</t>
  </si>
  <si>
    <t>1593092841008796298_211599856</t>
  </si>
  <si>
    <t>Este lunes estaremos en #JungleIsland de 11am a 1pm en la 1111 Parrot Jungle Trail, Miami, FL 33132 junto a nuestros amigos @theoriginalgreek donde podrás comer la mejor comida griega e inscríbete en para ganar toallas de papel Scott por un año! Visita: www.ScottBrand.com para más información!!! #KeepOnGoing @scottProducts</t>
  </si>
  <si>
    <t>jungleisland</t>
  </si>
  <si>
    <t>acveras</t>
  </si>
  <si>
    <t>1593097080434352196_662764746</t>
  </si>
  <si>
    <t>#boanoite 
#thatsit 
#forward 
#speed 
#confia 
#quartafeira 
#wednesdays 
#keepongoing</t>
  </si>
  <si>
    <t>Uninorte Unidade 6</t>
  </si>
  <si>
    <t>confia</t>
  </si>
  <si>
    <t>quartafeira</t>
  </si>
  <si>
    <t>thatsit</t>
  </si>
  <si>
    <t>boanoite</t>
  </si>
  <si>
    <t>1593099519616511678_5139866557</t>
  </si>
  <si>
    <t>Wish I had summer all year long ⛱</t>
  </si>
  <si>
    <t>Portugal</t>
  </si>
  <si>
    <t>glutenbergcali</t>
  </si>
  <si>
    <t>1593104388824526388_5660866042</t>
  </si>
  <si>
    <t>The chair. #chair #lonely #dontdoanythingstupid #youllgetoverit #keepongoing #desperatefurniture #missionbay #clairemont #landscapephotography</t>
  </si>
  <si>
    <t>Mission Bay</t>
  </si>
  <si>
    <t>missionbay</t>
  </si>
  <si>
    <t>dontdoanythingstupid</t>
  </si>
  <si>
    <t>desperatefurniture</t>
  </si>
  <si>
    <t>alejo.brito.d_photo</t>
  </si>
  <si>
    <t>1593110172091130027_235033328</t>
  </si>
  <si>
    <t>Always with me #father #fatherson #cyclinglife #roadbike #trainingday #keepongoing #nonstop #necklace #loveforbike #shimano #bmcbikes</t>
  </si>
  <si>
    <t>Niederöstreeich</t>
  </si>
  <si>
    <t>loveforbike</t>
  </si>
  <si>
    <t>roadbike</t>
  </si>
  <si>
    <t>father</t>
  </si>
  <si>
    <t>1593124213932208561_3623309738</t>
  </si>
  <si>
    <t>Switzerland shire.
Photo by @martinrakphoto
.
.
.
.
.
.
.
.
#leaveyourlegacy #yogaforlife #lifeistravel #paradisefalls #yogatherapy #onmygrind #travelclub #travellife #thaitraveling #stayinspired #hijabtraveler #vacationland #landscape #earthspirit #travelblogger #journeytohealth #dontbelievemejustwatch #staywild #keepongoing #keepgrowing #earthofficial #travelgrams #paradisedynasty #instavsco #yogaclass</t>
  </si>
  <si>
    <t>paradisedynasty</t>
  </si>
  <si>
    <t>instavsco</t>
  </si>
  <si>
    <t>onmygrind</t>
  </si>
  <si>
    <t>claudiojuin</t>
  </si>
  <si>
    <t>1593129776587899053_1094812026</t>
  </si>
  <si>
    <t>#workout #nevergiveup #muscle #glasses #keepongoing</t>
  </si>
  <si>
    <t>annika.torres</t>
  </si>
  <si>
    <t>1593130544261092419_179796998</t>
  </si>
  <si>
    <t>This week has felt a bit like "insanity" in many ways... but like they say, "No pain, no gain" 😉
.
.
.
#insanity #workout #motivation #keepongoing #nopainnogain #livestrong #fight #punchintheface</t>
  </si>
  <si>
    <t>punchintheface</t>
  </si>
  <si>
    <t>livestrong</t>
  </si>
  <si>
    <t>1593141781053432738_1509923943</t>
  </si>
  <si>
    <t>We must try to find the good in each day 🖤🙌🏻
-today I woke up
-today I could shower &amp; dress myself
-today I worked my whole shift
-today I laughed
-today I found joy in others company
#chronicpain #chronicillness #awarenessiskey #mentalhealth #happy #rheumatoiddisease #rheumatoiddiseasesucks #rheumatoidarthritiswarrior #bruised #fairskin #fairskinproblems #nomakeup #prettyisrisky #keeprising #keepongoing #havefaith #trustGod #staystrong #staythecourse #embracingbeauty #embracelife #newlife #newnormal #heisgreaterthani #heis&gt;I</t>
  </si>
  <si>
    <t>chronicillness</t>
  </si>
  <si>
    <t>staythecourse</t>
  </si>
  <si>
    <t>1593142933498885179_52407692</t>
  </si>
  <si>
    <t>❤ Yes!
#習慣記低自己夢想
#mymotivation
#makeithappen
#weonlyliveonce 
#livethelifewewant</t>
  </si>
  <si>
    <t>addoil</t>
  </si>
  <si>
    <t>mymotivation</t>
  </si>
  <si>
    <t>1593149881085377309_1684424176</t>
  </si>
  <si>
    <t>Honestly. 
___________________________ 
#millionaireimage #doitforyourself #betterme #beyourown #keeponkeepingon #workforwhatyouwant  #marketingmoment #marketingsolutions #encourageyourself #bethechangeyouwanttosee #youvegotthis #oilfieldlife #millionairequotes #inspirationalthoughts #positivepeople #americanbusiness #quoteme  #strategize #seemslegit #youdoyou #inspirationalpost #businessownership #businessisbusiness #keepongoing #selfconfidence #bewhoyouare #bewhatyouwanttobe #socialinfluencers #socialize</t>
  </si>
  <si>
    <t>1593151515656058948_1684424176</t>
  </si>
  <si>
    <t>Tag someone you love 
___________________________ 
#millionaireimage #doitforyourself #betterme #beyourown #keeponkeepingon #workforwhatyouwant  #marketingmoment #marketingsolutions #encourageyourself #bethechangeyouwanttosee #youvegotthis #oilfieldlife #millionairequotes #inspirationalthoughts #positivepeople #americanbusiness #quoteme  #strategize #seemslegit #youdoyou #inspirationalpost #businessownership #businessisbusiness #keepongoing #selfconfidence #bewhoyouare #bewhatyouwanttobe #socialinfluencers #socialize</t>
  </si>
  <si>
    <t>1593152828255128184_586298771</t>
  </si>
  <si>
    <t>Whenever I start painting, I look around my house and imagine paintings that'd look great in one particular spot. Whether it's folk art or abstract, where I live has a very strong influence on what I am about to paint. These pieces are experiments. Some will make it to the future online shop. Some will be ripped into pieces 😂😂. #acrylicinkoncanvas #acrylicinkonpaper #goldenhighflow #artistexperiment #paintingsinprogress #paint100badpaintings #keepongoing #artistjourney #momartist #stillsummer</t>
  </si>
  <si>
    <t>acrylicinkonpaper</t>
  </si>
  <si>
    <t>acrylicinkoncanvas</t>
  </si>
  <si>
    <t>1593155428463609933_1684424176</t>
  </si>
  <si>
    <t>Love is love 
___________________________ 
#millionaireimage #doitforyourself #betterme #beyourown #keeponkeepingon #workforwhatyouwant  #marketingmoment #marketingsolutions #encourageyourself #bethechangeyouwanttosee #youvegotthis #oilfieldlife #millionairequotes #inspirationalthoughts #positivepeople #americanbusiness #quoteme  #strategize #seemslegit #youdoyou #inspirationalpost #businessownership #businessisbusiness #keepongoing #selfconfidence #bewhoyouare #bewhatyouwanttobe #socialinfluencers #socialize</t>
  </si>
  <si>
    <t>1593156829478644547_4229046670</t>
  </si>
  <si>
    <t>1593157546722360858_1615759923</t>
  </si>
  <si>
    <t>Love is love. 
___________________________ 
#millionaireimage #doitforyourself #betterme #beyourown #keeponkeepingon #workforwhatyouwant  #marketingmoment #marketingsolutions #encourageyourself #bethechangeyouwanttosee #youvegotthis #oilfieldlife #millionairequotes #inspirationalthoughts #positivepeople #americanbusiness #quoteme  #strategize #seemslegit #youdoyou #inspirationalpost #businessownership #businessisbusiness #keepongoing #selfconfidence #bewhoyouare #bewhatyouwanttobe #socialinfluencers #socialize</t>
  </si>
  <si>
    <t>1593158708427179735_1615759923</t>
  </si>
  <si>
    <t>lunamuse</t>
  </si>
  <si>
    <t>1593170852489093847_260692710</t>
  </si>
  <si>
    <t>A Few Moments of Magic Will Carry Us Through The Neverending  Mundane #newhorizons #magichour #magicalmoments #sunset #nevergiveup #keepongoing #seethebeauty #beautyallaround #eastport #eastportmaine #maineisgorgeous #maineisbeautiful</t>
  </si>
  <si>
    <t>Shackford Head State Park</t>
  </si>
  <si>
    <t>maineisbeautiful</t>
  </si>
  <si>
    <t>newhorizons</t>
  </si>
  <si>
    <t>magichour</t>
  </si>
  <si>
    <t>seethebeauty</t>
  </si>
  <si>
    <t>magicalmoments</t>
  </si>
  <si>
    <t>1593175564125321196_40740215</t>
  </si>
  <si>
    <t>NSV: I finished 20 days of my 21 day program today and I haven't missed a day!!! I am so proud of myself for finishing this program strong (because I will be getting my workout in tomorrow)! I can't wait to rock my next program! Who wants to accomplish Non-scale victories like this with me?!</t>
  </si>
  <si>
    <t>adi_getsfit</t>
  </si>
  <si>
    <t>1593179475036736658_177352219</t>
  </si>
  <si>
    <t>When your co-worker invites you over to have a healthy snack....after shopping in the healthy aisle.
.
.
Check out my Insta story for ingredients🥑🥑 #healthylifestyle 🤗😋😋
.
.
.
.
.
.
.
.
.
.
.
#healthysnacks
#keepongoing 
#adisfitinspiration 
#snacktime 
#yumm
#loosingweight</t>
  </si>
  <si>
    <t>yumm</t>
  </si>
  <si>
    <t>adisfitinspiration</t>
  </si>
  <si>
    <t>snacktime</t>
  </si>
  <si>
    <t>1593191348827396748_5468355632</t>
  </si>
  <si>
    <t>Swipe &gt;&gt; for a patch I want -🐠
-
-
-
#josh #tyler #jenna #twentyonepilots #bands #frens #laugh #myidols 
#loveyou #bestmusic #keepongoing #ibelieve #theyrethebest #funny #smile #tøpmemes #tøp #stayalive #inspiring  #beautifulpeople</t>
  </si>
  <si>
    <t>jess_loving_life</t>
  </si>
  <si>
    <t>1593191844316088773_3234390731</t>
  </si>
  <si>
    <t>This may or may not be a personal reminder 🤣 i definitely have those "excuses" kinda days &amp; I also have those "too many calorie" days but I keep getting my A$$ to the #gym daily &amp; keep on pushing towards my #goals❤️ #alwayspushing, #keepongoing, #newgoals💪, #noexcuses, #burnthosecalories, #fitnessjourney, #strongerthanyesterday, #healthylifestyle, #neverstopping, #sexyfit, #sexystrong, #girlsandmuscles, #settingthebar, #workingonme, #workingout</t>
  </si>
  <si>
    <t>alwayspushing</t>
  </si>
  <si>
    <t>settingthebar</t>
  </si>
  <si>
    <t>neverstopping</t>
  </si>
  <si>
    <t>unspecifiedpro</t>
  </si>
  <si>
    <t>1593192028665469629_5930734015</t>
  </si>
  <si>
    <t>Still working, still on it!
Came up with this &amp; feeling it! 🙌
#keepongoing#moretocome 
#flstudio12 #flstudio #producerlife #producer #music #beats #melody</t>
  </si>
  <si>
    <t>producerlife</t>
  </si>
  <si>
    <t>flstudio</t>
  </si>
  <si>
    <t>beats</t>
  </si>
  <si>
    <t>1593192122936614787_5468355632</t>
  </si>
  <si>
    <t>I'm going to do a face reveal at 200!! 🚀
(-🐠)
-
-
-
#josh #tyler #jenna #twentyonepilots #bands #frens #laugh #myidols 
#loveyou #bestmusic #keepongoing #ibelieve #theyrethebest #funny #smile #tøpmemes #tøp #stayalive #inspiring  #beautifulpeople</t>
  </si>
  <si>
    <t>martakamilla</t>
  </si>
  <si>
    <t>1593199170542190523_38988081</t>
  </si>
  <si>
    <t>Is it me or for you too August has been feeling like the vortex pulling you in? Lots of exciting things have been happening this month but gosh, oftentimes it all required not double but triple dose of inner strength and resilience. And hundreds of times I felt like I'm falling down, down pulled into that space of great self doubt, stress, anxiety, unworthiness, beating myself up for not doing enough or not being good enough for others, for the world. 
Yes, we can always do more but the most important is to start somewhere and do what you can right now. So I just want to say thank you, for being you, for showing up, for doing what you can. We need each other. So please, keep on going. Lots of love. Marta</t>
  </si>
  <si>
    <t>1593201847707359172_5468355632</t>
  </si>
  <si>
    <t>Do you want your clique are reposted? Tag us and use the hashtag #jishwaandtylerart 
Let's see how this goes! (Artist is tagged in post) -🐠
-
-
-
#josh #tyler #jenna #twentyonepilots #bands #frens #laugh #myidols 
#loveyou #bestmusic #keepongoing #ibelieve #theyrethebest #funny #smile #tøpmemes #tøp #stayalive #inspiring  #beautifulpeople</t>
  </si>
  <si>
    <t>tigirlily</t>
  </si>
  <si>
    <t>1593203062443388025_272022120</t>
  </si>
  <si>
    <t>You got this, babe. 🙌🏻💕😘 #neverquit #keepongoing #wisdomwednesday</t>
  </si>
  <si>
    <t>Westlight Studios</t>
  </si>
  <si>
    <t>wisdomwednesday</t>
  </si>
  <si>
    <t>1593204702375636673_5468355632</t>
  </si>
  <si>
    <t>For the second pic (swipe) JOSHS HAIR IS DEFYING GRAVITY and fourth post WOW THATS RLLY HOT -🐠
-
-
-
#josh #tyler #jenna #twentyonepilots #bands #frens #laugh #myidols 
#loveyou #bestmusic #keepongoing #ibelieve #theyrethebest #funny #smile #tøpmemes #tøp #stayalive #inspiring  #beautifulpeople</t>
  </si>
  <si>
    <t>the_fit_witch</t>
  </si>
  <si>
    <t>1593211974510272378_2050937659</t>
  </si>
  <si>
    <t>You know what sucks about getting back #inshape ?? Working out! So looking forward to the day when the #gym becomes fun again. Shaking my head at myself for being back at this spot again. #keepongoing #fitness #fattofit #fitfam #teampineapple #weightloss #workitout #running #10000steps #workout #xxfitness</t>
  </si>
  <si>
    <t>teampineapple</t>
  </si>
  <si>
    <t>1593213019865015354_5468355632</t>
  </si>
  <si>
    <t>Wow I am actually in love with this, so if anyone was wondering about me (probably not) this basically describes me as a whole :) -🐠
-
-
-
#josh #tyler #jenna #twentyonepilots #bands #frens #laugh #myidols 
#loveyou #bestmusic #keepongoing #ibelieve #theyrethebest #funny #smile #tøpmemes #tøp #stayalive #inspiring  #beautifulpeople</t>
  </si>
  <si>
    <t>entrepreneurialgolddust</t>
  </si>
  <si>
    <t>1593228525098333949_5961446085</t>
  </si>
  <si>
    <t>What's in your garage?
#checkyourself #wealthy 
#liveandlearn #dontsettle #mindsetshift #dropout #content #quotesoflife #fireyourboss #empowernetwork #onlinesuccess #personalgrowth #motivateyourself #betteryourself #keepongoing #mindsetiseverything #inspiredaily #valueyourself #valuelife #entrepreneurmind #newmindset #goalachiever</t>
  </si>
  <si>
    <t>wealthy</t>
  </si>
  <si>
    <t>allyallosaurus</t>
  </si>
  <si>
    <t>1593230399038129293_714060885</t>
  </si>
  <si>
    <t>Each step i take brings me closer to where I want to be #alwaysmovingforward #keepongoing #dontgiveup</t>
  </si>
  <si>
    <t>alwaysmovingforward</t>
  </si>
  <si>
    <t>1593233762685980943_5944730818</t>
  </si>
  <si>
    <t>Try it , guys ! But i didn't tell you to shut down the negative people , you can be friends with them just don't take the negativity , besides who knows that you might be their piece of sunshine 💕
#motivationalquotes #motivation #morningmotivation  #itsupposedtobemorning  #inspirationalquotes #inspiration #quotes #loveyourself #love #friendship  #chaseyourdreams #liveyourdream #dontgiveup #keepongoing</t>
  </si>
  <si>
    <t>1593235585420499556_1469303635</t>
  </si>
  <si>
    <t>Always move forward...</t>
  </si>
  <si>
    <t>pvictor714</t>
  </si>
  <si>
    <t>1593243952067196359_520001203</t>
  </si>
  <si>
    <t>"I used all your excuses, then I decided to change." It should be a #transformationtuesday but it is #wednesday #humpday #whatever. I'm really happy to see I'm capable of controlling my mind and changing my body. #anyonecandoit #blessed #blessings #focused #motivation #l4l #fitness #fit #fitnessmotivation #fitnessjourney #fitnation #l4f #journey #keepongoing #workout #hardwork #workhard #itpaysoff #justdoit #workinprogress #gym #gymlife #fitnessmodel #fitbody</t>
  </si>
  <si>
    <t>South Beach, Miami</t>
  </si>
  <si>
    <t>fitnation</t>
  </si>
  <si>
    <t>baby_mustang</t>
  </si>
  <si>
    <t>1593249769903820641_1551233116</t>
  </si>
  <si>
    <t>Feeling kinda stellar! Confidence is 🗝 even though I've gained 1% body fat. I'll keep trying and pushing through.  #weightloss #weightlossjourney #lifting #liftoften #badworkoutisbetterthannone #stayingmotivated #keepongoing #lifton #gymlife #lifestyle #gymlove</t>
  </si>
  <si>
    <t>liftoften</t>
  </si>
  <si>
    <t>badworkoutisbetterthannone</t>
  </si>
  <si>
    <t>erika_rodd</t>
  </si>
  <si>
    <t>1593254032170931605_49677941</t>
  </si>
  <si>
    <t>Listen to the wind,  it talks.. Listen to the silence, it speaks... Listen to your heart, it knows ❤ #nighthikes #citylights #views #therapy #mivida #keepongoing</t>
  </si>
  <si>
    <t>nighthikes</t>
  </si>
  <si>
    <t>mivida</t>
  </si>
  <si>
    <t>citylights</t>
  </si>
  <si>
    <t>views</t>
  </si>
  <si>
    <t>belz.c79</t>
  </si>
  <si>
    <t>1593258805800693740_37106498</t>
  </si>
  <si>
    <t>Having one of those days were I'm torn between home and adventure 😑🙃 Missing everyone like crazy 💓💚💓 #KeepOnGoing #PositiveVibes #HomeSick #MissingTheFamilyAndFriends #SometimesYouNeedAGoodCry #TravelGoodTimeAndBadTimes</t>
  </si>
  <si>
    <t>Mimbi Caves</t>
  </si>
  <si>
    <t>sometimesyouneedagoodcry</t>
  </si>
  <si>
    <t>missingthefamilyandfriends</t>
  </si>
  <si>
    <t>homesick</t>
  </si>
  <si>
    <t>monkeysonetwo</t>
  </si>
  <si>
    <t>1593262497853508306_2232839091</t>
  </si>
  <si>
    <t>@texasquotes 💭
___________________________ 
#millionaireimage #doitforyourself #betterme #beyourown #keeponkeepingon #workforwhatyouwant  #marketingmoment #marketingsolutions #encourageyourself #bethechangeyouwanttosee #youvegotthis #oilfieldlife #millionairequotes #inspirationalthoughts #positivepeople #americanbusiness #quoteme  #strategize #seemslegit #youdoyou #inspirationalpost #businessownership #businessisbusiness #keepongoing #selfconfidence #bewhoyouare #bewhatyouwanttobe #socialinfluencers #socialize</t>
  </si>
  <si>
    <t>jose.trujillo.2019</t>
  </si>
  <si>
    <t>1593264757643926740_4843088298</t>
  </si>
  <si>
    <t>#motivationalquotes #be #keepongoing</t>
  </si>
  <si>
    <t>be</t>
  </si>
  <si>
    <t>1593272419631297048_1684424176</t>
  </si>
  <si>
    <t>Don't hate. Love. 
___________________________ 
#millionaireimage #doitforyourself #betterme #beyourown #keeponkeepingon #workforwhatyouwant  #marketingmoment #marketingsolutions #encourageyourself #bethechangeyouwanttosee #youvegotthis #oilfieldlife #millionairequotes #inspirationalthoughts #positivepeople #americanbusiness #quoteme  #strategize #seemslegit #youdoyou #inspirationalpost #businessownership #businessisbusiness #keepongoing #selfconfidence #bewhoyouare #bewhatyouwanttobe #socialinfluencers #socialize</t>
  </si>
  <si>
    <t>1593277586788006840_5943325574</t>
  </si>
  <si>
    <t>Follow the signs ↔️ .
.
#signsoflife#signsofchange#followyourheart#followyourdreams#keepongoing#dream#change#changeisgood#openyourmind#followyourpassion#lifeisachallenge#lifeisbeautiful#blessings#thankful#bliss</t>
  </si>
  <si>
    <t>signsofchange</t>
  </si>
  <si>
    <t>c.g.m._zurich</t>
  </si>
  <si>
    <t>1593277960492089865_212457546</t>
  </si>
  <si>
    <t>#lovequotes #😍 #lovemylife #keepongoing #onmyway #lookforward #life #laugh #happyday #lifeisacabaret #love #hugmorelovemore #thursday</t>
  </si>
  <si>
    <t>Erlenbach, Zurich</t>
  </si>
  <si>
    <t>1593282859708089848_344342790</t>
  </si>
  <si>
    <t>Had a bomb shoulder, ab, and hiit workout. My abs are slowly.. and I mean slowly coming in.😂 #abs #booty #dedication #determination #dontgiveup #flexinonem #gym #gymrat #gymlife #getswole #keepongoing #motivation #pushtillfailure #stackinandsixpackin #strongereveryday #shoulderday</t>
  </si>
  <si>
    <t>1593285523970326729_3622431891</t>
  </si>
  <si>
    <t>🚁 Photo by @yantastic
Follow @drone_feed for the best Drone Shots!
.
.
.
.
.
.
.
#yogatherapy #animals #foodandtravel #liveforit #mountaingirls #live_planet #keepongoing #lifeissweet #paradisepark #mindthemountain #hijabtraveler #awesomeglobe #jj_forum #travelclub #yoga4growth #livethelife #creativeentrepreneur #travelwell #neverstoplearning #beachlovers</t>
  </si>
  <si>
    <t>1593292197737237510_1551000842</t>
  </si>
  <si>
    <t>1593302498418915650_4278179546</t>
  </si>
  <si>
    <t>Start de dag met een setje nieuwe #smartpoints #water &amp; wat #activity 💪🏽👍#activepoints #feelfit #feelgood #walk #bowflexmaxtrainerm5 #keepongoing #staymotivated #everyday #coach #2bstrong #2bfit #2bhealthy @2bstrong_sylvie 👍</t>
  </si>
  <si>
    <t>2bhealthy</t>
  </si>
  <si>
    <t>2bstrong</t>
  </si>
  <si>
    <t>activepoints</t>
  </si>
  <si>
    <t>bowflexmaxtrainerm5</t>
  </si>
  <si>
    <t>lidenetruter</t>
  </si>
  <si>
    <t>1593306206218503715_1593929020</t>
  </si>
  <si>
    <t>#ConsistencyIsKey #KeepOnGoing #NeverGiveUp</t>
  </si>
  <si>
    <t>justjayjustjay</t>
  </si>
  <si>
    <t>1593309650807657076_9672218</t>
  </si>
  <si>
    <t>I think Disney is like walking a marathon. The longest I have walked in two years. Though felt like a truck hit me today. #keepongoing #chrinicpainwarrior #sleepybear #soberbear</t>
  </si>
  <si>
    <t>Zeus's Resort</t>
  </si>
  <si>
    <t>sleepybear</t>
  </si>
  <si>
    <t>chrinicpainwarrior</t>
  </si>
  <si>
    <t>soberbear</t>
  </si>
  <si>
    <t>1593312381132113161_462344435</t>
  </si>
  <si>
    <t>It never gets easy, you just get better.
.
.
.
Starting something that you wish is over and done with? Yes, it's hard at the start, but as you continue, you will getter better and it will be as easy as a pie. Just trust and believe!😉😊😄😁
.
.
.
#Bepositive #positivemindset  #seethegood #seethegoodineverything #believeyoucan #befearless #keeponmoving #keeponlearning #keepondoing #keepongoing #keeponbelieving #believeinyou #goodhabits  #achieveyourdreams #achieveyourgoals #believeinyourdream #believeinyourselfie #keepthefaith #neverstoplearning #positiveattitude #positivemindset #positivequotes #positivevibes #positiveminds #trustandbelieve #trustyourgut #yesyoucan #neverstoptrying #neverstopdoing #youcandoit</t>
  </si>
  <si>
    <t>1593313797682350317_5943325574</t>
  </si>
  <si>
    <t>#boatlife#morning#lifeonaboat#islandlife#positivevibes#goodmorning#infinity#love#endlesssummer#lastdayofsummer#coolwind#morningslikethese#keeponfloating#keepongoing#askformore#liveyouradventure#liveyourlife#atitsbest</t>
  </si>
  <si>
    <t>endlesssummer</t>
  </si>
  <si>
    <t>askformore</t>
  </si>
  <si>
    <t>infinity</t>
  </si>
  <si>
    <t>1593315180922326106_1615759923</t>
  </si>
  <si>
    <t>Speak energy #speaktomeinenergy 
___________________________ 
#millionaireimage #doitforyourself #betterme #beyourown #keeponkeepingon #workforwhatyouwant  #marketingmoment #marketingsolutions #encourageyourself #bethechangeyouwanttosee #youvegotthis #oilfieldlife #millionairequotes #inspirationalthoughts #positivepeople #americanbusiness #quoteme  #strategize #seemslegit #youdoyou #inspirationalpost #businessownership #businessisbusiness #keepongoing #selfconfidence #bewhoyouare #bewhatyouwanttobe #socialinfluencers #socialize</t>
  </si>
  <si>
    <t>1593317495724211654_1684424176</t>
  </si>
  <si>
    <t>Tag a friend
At all times #atalltimes 
___________________________ 
#millionaireimage #doitforyourself #betterme #beyourown #keeponkeepingon #workforwhatyouwant  #marketingmoment #marketingsolutions #encourageyourself #bethechangeyouwanttosee #youvegotthis #oilfieldlife #millionairequotes #inspirationalthoughts #positivepeople #americanbusiness #quoteme  #strategize #seemslegit #youdoyou #inspirationalpost #businessownership #businessisbusiness #keepongoing #selfconfidence #bewhoyouare #bewhatyouwanttobe #socialinfluencers #socialize</t>
  </si>
  <si>
    <t>melindaagarcia</t>
  </si>
  <si>
    <t>1593322010942276585_222807618</t>
  </si>
  <si>
    <t>#hangingout with #goodfriends at #Cowboy #Country #saloon in #longbeach #california #losangelescounty #linedancing #twostep #dancing #keepongoing #socal #southerncalifornia #summernights</t>
  </si>
  <si>
    <t>hangingout</t>
  </si>
  <si>
    <t>summernights</t>
  </si>
  <si>
    <t>linedancing</t>
  </si>
  <si>
    <t>peetsjes</t>
  </si>
  <si>
    <t>1593324643472085954_276193852</t>
  </si>
  <si>
    <t>Patience is not my best feature, but the rebounded months were a good teacher.
#bepatient #nevergiveuponyouredreams #keepongoing #keepsmiling #lifelessons</t>
  </si>
  <si>
    <t>nevergiveuponyouredreams</t>
  </si>
  <si>
    <t>cathyhonii1</t>
  </si>
  <si>
    <t>1593328302189098518_1509216404</t>
  </si>
  <si>
    <t>Life is a Festival 👅🎆
#weekend #festival #uprising #slowakia #boyfriend #love #reaggae #hippie #hot #summer #party #3days #jägermeister #captainmorgan #keepongoing</t>
  </si>
  <si>
    <t>Zlaté Piesky</t>
  </si>
  <si>
    <t>captainmorgan</t>
  </si>
  <si>
    <t>festival</t>
  </si>
  <si>
    <t>ristea.catalin</t>
  </si>
  <si>
    <t>1593334960679793502_4134483115</t>
  </si>
  <si>
    <t>Just chillin'
#catalinristea#fitness#healthylifestyle#motivation#strenght#positivevibes#gym#neverbackdown#nevergiveup#instafit#intsapic #sunisup #daddysgirl#chillin#fishingwithdaddy#bestsunsets#live#love#peace#holdontowhatyoulove#makeeachmomentcount#keepongoing</t>
  </si>
  <si>
    <t>sunisup</t>
  </si>
  <si>
    <t>daddysgirl</t>
  </si>
  <si>
    <t>1593335676294846704_2464483327</t>
  </si>
  <si>
    <t>I post a lot about my journey to comp on Snapchat... not always here to instagram. Follow me monzky23 to see more behind the scenes. 💪🏼💪🏼💪🏼👌😬 #stronggirl #progress #gymlife</t>
  </si>
  <si>
    <t>Aaron's Gym</t>
  </si>
  <si>
    <t>1593340467658222165_4230484970</t>
  </si>
  <si>
    <t>Kill egos🍑🤙🏽</t>
  </si>
  <si>
    <t>yoonsbeautylife</t>
  </si>
  <si>
    <t>1593343712147006187_252952013</t>
  </si>
  <si>
    <t>just make simple.
keep on going
do for your goal-!
let's do it together😍</t>
  </si>
  <si>
    <t>Est Los Angeles</t>
  </si>
  <si>
    <t>맞팔</t>
  </si>
  <si>
    <t>youtuber</t>
  </si>
  <si>
    <t>소통</t>
  </si>
  <si>
    <t>1593346873577864998_2129605436</t>
  </si>
  <si>
    <t>På måndag är det premiär för månadens kurs! 800 kcal på 4 veckor. Hänger du på? Alla våra kurser är baserade på en lågkolhydratskost. Se länk i bio☝🏼 starta en riktig hälsohöst! #hälsa #måbra #ulrikaskickstart #kost #kostrådgivareulrikadavidsson #kickstart #wellnes #nukörvi #hälsosammareliv #heathlyliving #keepongoing #keepitup #healthylifestyle #instahealth #instagood #weightloss #viktminskning</t>
  </si>
  <si>
    <t>wellnes</t>
  </si>
  <si>
    <t>hälsosammareliv</t>
  </si>
  <si>
    <t>viktminskning</t>
  </si>
  <si>
    <t>_lovely_mad.ness_</t>
  </si>
  <si>
    <t>1593347635204207049_2133914060</t>
  </si>
  <si>
    <t>D8 Thu: Today my willpower was definitely stronger than sleepiness. 💪
At 7:30 I was at the gym for the stretching class, discovering one minute later that it was cancelled. 😥
7:35, I turned the music on and I gave myself a private class 😇
#admaiorca #admaiora #trentax30 #makingthemostoFIT #keepongoing #goodmorning #buenosdias #buongiorno #igersbalears #palmademallorca</t>
  </si>
  <si>
    <t>Palma De Mallorca, Spain</t>
  </si>
  <si>
    <t>buenosdias</t>
  </si>
  <si>
    <t>trentax30</t>
  </si>
  <si>
    <t>igersbalears</t>
  </si>
  <si>
    <t>admaiora</t>
  </si>
  <si>
    <t>1593355326618285468_5944730818</t>
  </si>
  <si>
    <t>No caption needed 😙
#motivationalquotes #motivation #inspirationalquotes #inspiration #quotes #family #friendship #chaseyourdreams #liveyourdream #dontgiveup #keepongoing #loveyourself</t>
  </si>
  <si>
    <t>1593355638506242659_1347015205</t>
  </si>
  <si>
    <t>carlacantsleep</t>
  </si>
  <si>
    <t>1593356298261545882_28133343</t>
  </si>
  <si>
    <t>#throwback to a post I shared from #PANDAS three years ago. Looking back now I can't believe how far I've come, those days feel like a distant bad memory. I'm so glad I'm in a position to try and help others who find themselves on a similar path, it's such a privilege 💜
#tbt #throwback #throwbackthursday #PANDAS #PANDASFoundation #PNDawareness #postnataldepressionsupport #PNDAW17 #peersupport #womensupportingwomen #volunteer #volunteering #volunteerwork #grateful #itsoktonotbeok #keepongoing #stronger #strongerthanever #resilient</t>
  </si>
  <si>
    <t>volunteer</t>
  </si>
  <si>
    <t>pandasfoundation</t>
  </si>
  <si>
    <t>1593357149002448097_52407692</t>
  </si>
  <si>
    <t>So true. Stay out of our comfort zone in order for amazing things to happen💕 and..have confidence in ourselves. 
#quote
#bebrave
#believeinourselves
#bedifferent
#amazingthingswillhappen</t>
  </si>
  <si>
    <t>goodpeople</t>
  </si>
  <si>
    <t>experiencealot</t>
  </si>
  <si>
    <t>rnymermaid</t>
  </si>
  <si>
    <t>1593358985872082793_3638495660</t>
  </si>
  <si>
    <t>Always collecting quotes when I can't sleep and my mind is turning. 
Keep going guys. Failure is not permanent. Quitting is. Start over daily if needed. I know I do. One day at a time. .
.
.
💎Find me on
Snapchat: RnyMermaid
Fitbit/garmin rnymermaid@gmail.com or MFP: thick2fitclaud💎 .
.
Drink Protein? Use "SYNTRAXCLAUDIA" for 40%OFF at www.si03.com
#claudiarny #gastricbypasssurgery #gastricbypass  #rnyjourney #food #workout #believe #wls #wlsjourney #rnylife #rnycommunity #love  #wlsfamily #rouxeny #weightlossSurgery #fitfam #gym 
#brave #strength #hope #womanhood #survivial #success #keepongoing #nevergiveup #mermaid #quote #RnyMermaid #rny #vsg</t>
  </si>
  <si>
    <t>claudiarny</t>
  </si>
  <si>
    <t>gastricbypass</t>
  </si>
  <si>
    <t>wls</t>
  </si>
  <si>
    <t>1593365556199576644_5862860057</t>
  </si>
  <si>
    <t>Pulled my bloody hamstring so two miles in I could've cried. Rest day tomorrow then I think! Rocking my #cardiffhalfmarathonworldchampionships tshirt, a hard race as we dealt with rain, hail and 50mph winds from 6 miles!  #runnersofinstagram #runningcommunity #runninggirl #mentalhealth #eatingdisorder #strongwoman #runninguk #thismumruns #commitment #roadtorecovery #needmotivation #keepongoing</t>
  </si>
  <si>
    <t>1593368568563886592_2190333578</t>
  </si>
  <si>
    <t>My first try to run....After the injury...
Day One!
🍀
#firsttry #restart #hopingforluck  #headache #runningman #Motivation #runnershigh #running #instapic #instarunners #sport #fitness #nopainnogain #Disziplin #asics #runner #runday #abnehmen #kalorien #Läufer #runnerspic #epic #keepongoing #Kopfsache #afterinjury</t>
  </si>
  <si>
    <t>disziplin</t>
  </si>
  <si>
    <t>kalorien</t>
  </si>
  <si>
    <t>1593371260761679933_5932232918</t>
  </si>
  <si>
    <t>Be patient, He's taking care of you... #bepatient 
#Heistakingcareofyou
#youarenotalone
#keepbelieving 
#dontgiveup 
#dontquit 
#hewatchesoveryou 
#keepongoing 
#faithquotes 
#motivationalquotes</t>
  </si>
  <si>
    <t>keepbelieving</t>
  </si>
  <si>
    <t>youarenotalone</t>
  </si>
  <si>
    <t>heistakingcareofyou</t>
  </si>
  <si>
    <t>1593371376188779869_263886655</t>
  </si>
  <si>
    <t>Just day dreaming.. ☁️☁️
~~~~~~~~~~~~
#daydreamer #blackandwhite #sunglasses #curls #curlyhair #semicolon #upsidedown #tattoo #keepongoing #photooftheday #boyfriend #paparazzi #potd #stanford #misstheweekend #instamood #lunchtime #eigenlijkwasditonsontbijt #happyday #enjoythemoments</t>
  </si>
  <si>
    <t>Kwalitaria Pijnacker</t>
  </si>
  <si>
    <t>boyfriend</t>
  </si>
  <si>
    <t>misstheweekend</t>
  </si>
  <si>
    <t>1593375694140859257_4249248273</t>
  </si>
  <si>
    <t>Wahay!!!!! Super happy folks. Today I hit my fundraising target for my indoor climb of Mount Everest. For those that don't know, this year I'm commemorating my 5 years since finishing hospital treatment by climbing nearly 9000m indoors to raise money for a cancer charity that has helped me a lot. It's been an incredible challenge and I still have about 25% of it to do. Aiming to make my summit attempt in October. Thank you to all those following, supporting and encouraging. You're making this challenge worth it. @smashitforshine @shinecancersupport @thecastleclimbingcentre @thisgirlcanclimbing @thisgirlcanuk #paraclimbing #thisgirlcan #thisgirlcanclimb #amputee #cancersucks #cancerversary #cancersurvivor #climber #climbing #climbing_is_my_passion #muslim #hijab #everest #summit #thankyou #grateful #thankfulthursday thanks @rebecca_westcott for the shot. #indoorclimbing #challenge #fundraising #charity #milestone #celebration #support #keepongoing #icandothis #invisibleillness  #believeinyourself #yay</t>
  </si>
  <si>
    <t>onetreehilldiner</t>
  </si>
  <si>
    <t>1593379657817216417_3442294293</t>
  </si>
  <si>
    <t>Just a thought for the day #feelings #keepongoing</t>
  </si>
  <si>
    <t>1593380077012712688_5932232918</t>
  </si>
  <si>
    <t>But the righteous are fearless as a lion. (Proverbs 28:1)
#dontstopbelieving 
#dontstoptrying 
#dontworry
#keepyourheadup
#Jesusnevergiveuponyou
#keepongoing 
#continueonyourjourney
#motivationalquotes 
#faithquotes</t>
  </si>
  <si>
    <t>dontworry</t>
  </si>
  <si>
    <t>1593384548006994114_4068727793</t>
  </si>
  <si>
    <t>Guten Morgeen 💕 
Na alles klar bei euch ? was macht ihr heute schönes 😋 ich habe momentan noch Ferien 💪 und werde später eine Freundin treffen und heute abend noch ein Workout machen 😁 
#q wann macht ihr immer Sport ? Frühs/Mittags/Abends ? 😏
#a immer abends ... frühs hab ich viel zu wenig Energie und bin zu faul 😅
#sport#fitness#lifestyle#motivation#question#answer#sports#love#keepongoing</t>
  </si>
  <si>
    <t>1593386111425332899_176837527</t>
  </si>
  <si>
    <t>Always do your best!
Don Miguel Ruiz teaches us this as one of The Four Agreements to living a beautiful life. But there's more to it than you might think at first. In fact, hearing this agreement might even trigger your inner critic (it does for me). The teaching goes, we must always do our best - given our circumstances at the time. If you have a head cold, your best will be less than if you are in peak health. The same as your ability to show compassion will depend on your sense of worth and self-love on that given day. Whatever the circumstances, do your best with what you have. 
No more. No less.
And this is the clincher: if you have done the best you can, you can't judge yourself! You can only be grateful, be kind, and proud of your efforts.
Moral of the story is: Always do your best. Then let the rest go.
Thank you @caleyhensworth for sharing this beautiful book with me nearly 10 years ago! xxx</t>
  </si>
  <si>
    <t>kindness</t>
  </si>
  <si>
    <t>nothingtodefend</t>
  </si>
  <si>
    <t>proudofmyself</t>
  </si>
  <si>
    <t>1593400468503799773_297558307</t>
  </si>
  <si>
    <t>GM😁🌅Warriors🏹! Day 38/45 summer challenge 2017! Last day of August, my bday month😢... Tomorrow September and with it a whole new season!!!!👏🏻Have you set your goals? Dreams? Accomplishments? I haven't 🤦🏼‍♀️so I guess I have homework to do! Have a good thrusday Y'all!!! Daily 8k, Chest workout! #free #fitmom #fitmama #fitgirl #fitness #fitnessaddict #run #runner #running #rundancing #gim #gimnasio #gym #gymgirl #gymlife #gymaddict #gymaholic #gim #gimnasio #keeptrying #keepmoving #keepstrong #keepongoing #myanchor #mypassion #myhappyplace</t>
  </si>
  <si>
    <t>thingsallydoes</t>
  </si>
  <si>
    <t>1593403286344629617_778229844</t>
  </si>
  <si>
    <t>The entire month of august has been like the sunday evening of the year where you think you have your shit together. But at 11 pm you realize there's school tomorrow and your shit is completely not together 👏
#nichtschuleaberdasleben #eyichhabebaldurlaub #durchhalten #durch #mood #currently #allesegal #tired #mooddisorder #keepongoing #currentlywearing #fashiongram #keinelust #notinthemood #ichwillnichtraus  #ichwillinsbett #aboutlife #struggle</t>
  </si>
  <si>
    <t>eyichhabebaldurlaub</t>
  </si>
  <si>
    <t>durchhalten</t>
  </si>
  <si>
    <t>keinelust</t>
  </si>
  <si>
    <t>allesegal</t>
  </si>
  <si>
    <t>dstout2013ww</t>
  </si>
  <si>
    <t>1593406352842938642_481403096</t>
  </si>
  <si>
    <t>Can't get to the gym with olivia being off school but thats no excuse so....... I'm doing exercise videos from our WeightWatchers Hub #weightwatchersuk #wwhub #movemore #exercise #keepongoing</t>
  </si>
  <si>
    <t>weightwatchersuk</t>
  </si>
  <si>
    <t>wwhub</t>
  </si>
  <si>
    <t>movemore</t>
  </si>
  <si>
    <t>satutolva</t>
  </si>
  <si>
    <t>1593413070281300162_850118941</t>
  </si>
  <si>
    <t>Tennarit jalassa ja fyssarille! Ensi kesänä on tavoitteena juosta 💪💎 Put shoes on and heading to physiotherapist! My #goal is to run next summer 💪💎 #kuntoutus #jaksaajaksaa #haaveenajuokseminen #terveysedellä #energiaa #päämäärä #tavoite #keepongoing #mydream #running #healthy #first</t>
  </si>
  <si>
    <t>Maaninka</t>
  </si>
  <si>
    <t>terveysedellä</t>
  </si>
  <si>
    <t>kuntoutus</t>
  </si>
  <si>
    <t>jaksaajaksaa</t>
  </si>
  <si>
    <t>haaveenajuokseminen</t>
  </si>
  <si>
    <t>frei__anna</t>
  </si>
  <si>
    <t>1593422455547013327_4430389349</t>
  </si>
  <si>
    <t>!sredna lam egniD ied ethcarteB
#versteasches? #eppesfürnkepfl #rückwärtslesen #tb #shooting #👫 #ollmahetz #goalsahead #keepongoing</t>
  </si>
  <si>
    <t>ollmahetz</t>
  </si>
  <si>
    <t>goalsahead</t>
  </si>
  <si>
    <t>rückwärtslesen</t>
  </si>
  <si>
    <t>versteasches</t>
  </si>
  <si>
    <t>claudio_gymaddict</t>
  </si>
  <si>
    <t>1593424088919893965_1324372766</t>
  </si>
  <si>
    <t>I will get there pushing harder and harder to get this abs #keepongoing #fitness #fit #fitnessjourney #weightlossjourney #push #gymlife #gymaholic #gymaddict #abs #definition #gymmotivation #gymaddicts #fitfam #gymrat #bodypositive #bodybuilding #bodygoals #followforfollow #followback #like4like #inkedguys #guyswithtattoos #picoftheday</t>
  </si>
  <si>
    <t>definition</t>
  </si>
  <si>
    <t>gymaddicts</t>
  </si>
  <si>
    <t>1593433556947171573_2190333578</t>
  </si>
  <si>
    <t>Back on track
Geplant waren 5km zum antesten...
es waren am Ende 10! Ich weiß, es war vielleicht nicht so clever, aber es hat sich gut angefühlt, genau wie unreife Pflaumen zu naschen, wenn man vor dem Lauf einen Espresso getrunken hat und noch 5km von zu Hause weg ist...manchmal bin ich eben erst 5 Jahre alt 😁😁😁😁😁😁😁😁
Back on track
It was planned 5km to the beginning...
It was at the end of 10! I know it may not have been so clever, but it felt good to eat just like immature plums when you drunk an espresso before the run and still 5km away from home ... sometimes I'm just 5 year old
#plum #pflaumen #verbotenefrüchte  #headache #runningman #Motivation #runnershigh #running #instapic #instarunners #sport #fitness #nopainnogain #Disziplin #asics #runner #runday #abnehmen #kalorien #Läufer #runnerspic #epic #keepongoing #Kopfsache chic</t>
  </si>
  <si>
    <t>runnerspic</t>
  </si>
  <si>
    <t>anna.hellier</t>
  </si>
  <si>
    <t>1593434539631256213_1437273190</t>
  </si>
  <si>
    <t>It's just a little turbulence 🎼✨ #lyricstoliveby #bowlingforsoup #keepongoing</t>
  </si>
  <si>
    <t>lyricstoliveby</t>
  </si>
  <si>
    <t>bowlingforsoup</t>
  </si>
  <si>
    <t>1593436959693575586_5697017264</t>
  </si>
  <si>
    <t>Hello Growers!🌸 Recently we planted a lot of new seedlings. Arugula is one of them. It grows under the dedicated GS Sunray lamp in our experimental crop system. How do you like it? #growspec #growspecialist #growspeceu #growyourown #growyourownfood #foodmatters #healthyfood #indoor #indoorgrow #indoorgarden #keepongoing #earthfocus #earthfriendly #ecofriendly #photography #growbox #follow4follow #followforfollow #like4like #likeforfollow #led #ledlight</t>
  </si>
  <si>
    <t>earthfriendly</t>
  </si>
  <si>
    <t>indoorgrow</t>
  </si>
  <si>
    <t>growyourown</t>
  </si>
  <si>
    <t>1593439237443699060_5697017264</t>
  </si>
  <si>
    <t>Have you already seen our cucumber? Look at these beautiful yellow flowers! Extraordinary, right?🌼 www.grow-spec.com #ledlight #led #likeforfollow #like4like #followforfollow #growbox #growspec #growspeceu #growyourown #growspecialist #indoor #indoorgrow #indoorgarden #keepongoing #foodmatters #earthfocus #ecofriendly #earthfriendly #healthyfood</t>
  </si>
  <si>
    <t>carlaaboujaoude</t>
  </si>
  <si>
    <t>1593446169110234099_213547466</t>
  </si>
  <si>
    <t>No matter the trail winds, no matter the all-weather, wearing these super comfy cotton pants with elastic waist from @michaelkors are my new go-to "Me" #keepongoing 👟👖👟👟#seenewthings #travelclothes #comfiestpantsontheplanet ----------------------------------------------
The Sibelius Monument, one of Helsinki's main sightseeings, located at the Sibelius Park. Ultra modern Monument made of steel pipes that captures the sound of the wind and can do music if you stand under the pipes 🎼🎶 🎶</t>
  </si>
  <si>
    <t>Sibelius Monument</t>
  </si>
  <si>
    <t>wonderful_places</t>
  </si>
  <si>
    <t>lebanesegirls</t>
  </si>
  <si>
    <t>seenewthings</t>
  </si>
  <si>
    <t>comfiestpantsontheplanet</t>
  </si>
  <si>
    <t>mizzsan_</t>
  </si>
  <si>
    <t>1593449514957966727_4645879226</t>
  </si>
  <si>
    <t>Manusia jenis neh ada lah aku. Kena hina ke kena maki ke kena pijak2, aku diam ja. Sabar. Allah ada. #sabar #movingon #keepongoing #merdeka #malaysia #anakmalaysia #jangankecamsaya #janganmengata</t>
  </si>
  <si>
    <t>janganmengata</t>
  </si>
  <si>
    <t>anakmalaysia</t>
  </si>
  <si>
    <t>jessstebb</t>
  </si>
  <si>
    <t>1593454667046593246_145763826</t>
  </si>
  <si>
    <t>Transformation Thursday💪🏼 I love to use before and after pictures to track my progress and keep me motivated to keep going.  Using scales doesn't always show you how well your doing and sometimes it can be really disheartening if you haven't lost any weight, but infact your body is changing. That's why photos are a great way to see the changes happening.  Always remember muscle weighs more than fat!  #myweightlossjourney #4stoneloss #transformationthursday #mytransformation #feelingamazing #healthyeating #healthyfood #keepingfit #keepongoing #healthyfood #healthylifestyle #gymgirl #fit #nikeplus #dwsports #dwgym #puregymmiltonkeynes #fitness #fitnessclass #fitgirl #girlsthatlift #thisgirlcan #prep #running #goals #bodytransformation #bodypump #gymgirl #photooftheday #followme #love</t>
  </si>
  <si>
    <t>dwgym</t>
  </si>
  <si>
    <t>tizzandtonic</t>
  </si>
  <si>
    <t>1593455266481605130_4016199295</t>
  </si>
  <si>
    <t>Don't look back you're not going that way🍑. Some days are a breeze &amp; other days can just suck. But no matter what you gotta keep your chin up Buttercup! And always keep moving forward. #positivevibes 
Happy Thursday! xx</t>
  </si>
  <si>
    <t>Bremen, Germany</t>
  </si>
  <si>
    <t>marcellduffey</t>
  </si>
  <si>
    <t>1593464439541560048_647499875</t>
  </si>
  <si>
    <t>Long week time for n beer #quay4 #capetown #lunchtime #blessed #l4l #keepongoing #beer 🤓</t>
  </si>
  <si>
    <t>V &amp; A Waterfront</t>
  </si>
  <si>
    <t>quay4</t>
  </si>
  <si>
    <t>lunchtime</t>
  </si>
  <si>
    <t>beer</t>
  </si>
  <si>
    <t>hotrush</t>
  </si>
  <si>
    <t>1593464440119840178_186698388</t>
  </si>
  <si>
    <t>Some days are more challenging than others. Time to switch up a gear to overdrive. 
Vissa dagar bjuder på mer utmaningar än andra. Dags att lägga i overdrive.
#challenges #roughday #overdrive #keepongoing</t>
  </si>
  <si>
    <t>roughday</t>
  </si>
  <si>
    <t>overdrive</t>
  </si>
  <si>
    <t>thepre_black</t>
  </si>
  <si>
    <t>1593465294658148004_1505300471</t>
  </si>
  <si>
    <t>The trumpet is a monster 😈#music #practice #nodayoff #keepongoing #jazz #pop #instruments #trumpet #monster #monsterjam #blacktrumpet #darkside #liveevil</t>
  </si>
  <si>
    <t>instruments</t>
  </si>
  <si>
    <t>nodayoff</t>
  </si>
  <si>
    <t>blacktrumpet</t>
  </si>
  <si>
    <t>hanlieswane</t>
  </si>
  <si>
    <t>1593466645728055466_2284579504</t>
  </si>
  <si>
    <t>They say you should be a hero, work hard everyday. When you fall down get up again and fight the day. When you fail never stop trying cause you believed in something in every heartbeat. Maybe one day it will mean something  #nevergiveup #staytrue #keepongoing #workhard #stayahero #getbackup #fixwhatyouhave #superhero #usntrustbar</t>
  </si>
  <si>
    <t>usntrustbar</t>
  </si>
  <si>
    <t>staytrue</t>
  </si>
  <si>
    <t>fixwhatyouhave</t>
  </si>
  <si>
    <t>stayahero</t>
  </si>
  <si>
    <t>1593470151797635538_185195397</t>
  </si>
  <si>
    <t>"Never regret. If it's good, it's wonderful. If it's bad, it's experience." - Victoria Holt 🙌❤️Happy Thursday!
.
.
.
#neverregret #appreciatelife #experiences #persevere #keepongoing #highvibes #highenergy #positivemindset #rundaily #runhappy #meditatedaily #mindfullness #clarity #cakidiehl #charlestonsc #choosejoy #chooselove #kindnessmatters #compassionmatters #beyou #bepresent #youareloved #youareworthit #youareamazing #worththeeffort #courage #gratefulheart #innerwisdom #faith</t>
  </si>
  <si>
    <t>innerwisdom</t>
  </si>
  <si>
    <t>1593475230453240255_1684424176</t>
  </si>
  <si>
    <t>maexine02</t>
  </si>
  <si>
    <t>1593477024952806552_3942908969</t>
  </si>
  <si>
    <t>Once you see the results,,it becomes an addictions.😉😉 #Keepongoing</t>
  </si>
  <si>
    <t>1593486133388208945_5812231225</t>
  </si>
  <si>
    <t>#sharpenyoursaw #sharpenyoursaweveryday #training #behappy #keepongoing #refresh #mydailyvinaka #vinaka</t>
  </si>
  <si>
    <t>refresh</t>
  </si>
  <si>
    <t>sharpenyoursaw</t>
  </si>
  <si>
    <t>1593489223078562626_1516203357</t>
  </si>
  <si>
    <t>Querid@s amig@s! El post que completa la pildorita "cuarto y mitad" ya está colgado. Como siempre: espero de corazón que os guste y si os puede ayudar en algo, yo encantada! 
http://www.listosparadespegue.com/category/blog/
#listosparadespegue #fly #youcan #pilot #aircraft #vamos #tupuedes #move #keepongoing #beyou #bepositive #staypositive #smile #enjoy #workout #nolimits #flyadicted #flyholic #takeoff #landing #workhard #beready #change #staycool #yourock #flawless #staycalm</t>
  </si>
  <si>
    <t>aircraft</t>
  </si>
  <si>
    <t>christinecayer</t>
  </si>
  <si>
    <t>1593493298130293901_2536518229</t>
  </si>
  <si>
    <t>〰win that battle 〰 #fitnesslifestyle #bodysweat #sweatthatshitout #burnfat #bodygoals #gymshark #gymflow #girlwholift #womanizer #powerful #balance #bebetter #neverquit #keepongoing #strongereveryday #workoutmotivation #dontlosehope #thestruggleisreal #sensation #discipline #selfesteem #beproudbutneversatisfied</t>
  </si>
  <si>
    <t>womanizer</t>
  </si>
  <si>
    <t>sweatthatshitout</t>
  </si>
  <si>
    <t>1593495324969088105_1551000842</t>
  </si>
  <si>
    <t>RepostBy @texasquotes: "Speak energy #speaktomeinenergy 
___________________________ 
#millionaireimage #doitforyourself #betterme #beyourown #keeponkeepingon #workforwhatyouwant  #marketingmoment #marketingsolutions #encourageyourself #bethechangeyouwanttosee #youvegotthis #oilfieldlife #millionairequotes #inspirationalthoughts #positivepeople #americanbusiness #quoteme  #strategize #seemslegit #youdoyou #inspirationalpost #businessownership #businessisbusiness #keepongoing #selfconfidence #bewhoyouare #bewhatyouwanttobe #socialinfluencers #socialize"</t>
  </si>
  <si>
    <t>the.big.things</t>
  </si>
  <si>
    <t>1593497082340278281_5865684549</t>
  </si>
  <si>
    <t>Amazing interior #interiordesign #luxury #mansions #millionairemindset #lights #stairs #keepongoing</t>
  </si>
  <si>
    <t>luxury</t>
  </si>
  <si>
    <t>1593498783801658542_4482296409</t>
  </si>
  <si>
    <t>Every moment matters. 💗😊💕 #feelinggood #sunny🌞 #justme #littlethingsthatmakeyouhappy #lovebeingmyself #happy #enjoying #smile #believeeverythingispossible #bethechangeyouwanttosee #keepongoing #makeeverydaycount 🌼🌻🌼🌞🌟🎉</t>
  </si>
  <si>
    <t>sunny🌞</t>
  </si>
  <si>
    <t>tri_jerry_tri</t>
  </si>
  <si>
    <t>1593501044642308646_1452285311</t>
  </si>
  <si>
    <t>Let's do this👊First big 2018 race #fusionpwr #fusionteamnl #worldoffusion #hammernutrition #howihammer #hokaoneone #vanherwerden #timetofly #hokaflyer #trainhardfeelgood #strengthandconditioning #keepongoing #settinggoals #nogainnopain #newseason</t>
  </si>
  <si>
    <t>hokaflyer</t>
  </si>
  <si>
    <t>nogainnopain</t>
  </si>
  <si>
    <t>settinggoals</t>
  </si>
  <si>
    <t>vanherwerden</t>
  </si>
  <si>
    <t>strengthandconditioning</t>
  </si>
  <si>
    <t>jenniferjheinrich</t>
  </si>
  <si>
    <t>1593509776921239376_22075739</t>
  </si>
  <si>
    <t>This was a timely reminder for me this morning. Sometimes the season of struggle seems so long that it doesn't seem possible that there will ever be another season. It feels like there will never be a harvest. There will never be a victory. God knew I needed this little reminder today that there is purpose in the struggle. He is working in me and working things out for me. My only job is to hang with Him and do my best, one day at a time. The rest is up to Him. #donotgiveup</t>
  </si>
  <si>
    <t>Franklin, Tennessee</t>
  </si>
  <si>
    <t>1593513099365093755_429036895</t>
  </si>
  <si>
    <t>Even when you're not fit you need to take care of your body. A wrap with cottage cheese, salat and turkey. Ricewafels with turkey and salat. I can tell you it's a great combination.</t>
  </si>
  <si>
    <t>themidlifeaesthetic</t>
  </si>
  <si>
    <t>1593513232759491611_2244860805</t>
  </si>
  <si>
    <t>GENTLE FOLK ADVISORY. 
The following post contains several exhortation's that may be considered well, a bit sweary. 
Read on if you are a curious character such as myself.
Midlife persons,
You are sitting on prime real estate all up in here at midlife. 
This real estate is in fact so sweet, that cultural expectations would have you believe otherwise.
I say- take advantage of this catbird seat. 
I mean, seriously what are you waiting for?
Midlife is providing opportunities up the Ying Yang.
Stay with me here... Midlife is designed to be opportunistic. 
And, you may have found or are finding, that the most dear opportunities may have or will be presented to you through deep challenge, or deep sorrow.
Take advantage of your hard won wisdom. 
Some of these sorrows we will carry forever.
I will always carry and endure the physical loss of my son-at times it still brings me to my knees and shakes me to the core. 
It is a forever thing – how could it be otherwise?
I know my son still exists – this sustains me.  He is rooting for me to thrive and I intend to not let him down.
And that brings me to the other side of sorrow. 
To survive, I have nurtured the capacity to animate the good in my life, and love life like a mofo!
Funny story-
Years ago, when my kids were teens, I used the term mofo. 
My daughter was appalled and exclaimed "mom!"
My son said to his sister " don't worry, she doesn't know what that means." Well, I knew what it meant then and I know what it means to me now-and it is how I love life – like a mofo!
My eyes are wide open, and I know this is not a dress rehearsal. 
It's time sweet peeps. 
It's time to love life like a mofo. 
I'm rooting for you buttercups. ^ ^ ^ ^ ^ ^ ^
#life #daretodream #lifeisgood #thrive #keepongoing #love #femininerocketfuel #themidlifeaesthetic #over50 #sweet #midlife #midlifeclan #midlifecoach #lifecoach #ageless #capecod #belief #designyourlife #graballthehappy #empoweringwomen #embracetheagelessyou #grateful #dontquit #attitude #makeiteasy #thisissixty #thisismidlife</t>
  </si>
  <si>
    <t>midlifeclan</t>
  </si>
  <si>
    <t>thisismidlife</t>
  </si>
  <si>
    <t>daretodream</t>
  </si>
  <si>
    <t>midlife</t>
  </si>
  <si>
    <t>1593522855642751000_5495249433</t>
  </si>
  <si>
    <t>So true!!</t>
  </si>
  <si>
    <t>1593529126908440336_267746472</t>
  </si>
  <si>
    <t>Uno non può pensare bene, amare bene, dormire bene, se non ha mangiato bene. #lovequotes#lobster#malta#foodie#foodporn#foodlover#instafood#instagood#instadaily#foodblogger#food#tagsta#like#like4like#likeback#follow4follow#tagsforlikes#pasta#iger#picoftheday#keepongoing#healthyfood#bloggerlife</t>
  </si>
  <si>
    <t>Charles Grech Bistro</t>
  </si>
  <si>
    <t>foodblogger</t>
  </si>
  <si>
    <t>chabadawiz</t>
  </si>
  <si>
    <t>1593529456763369152_3159160038</t>
  </si>
  <si>
    <t>🇫🇷 Qu'est-ce tu fais quand t'as des vieilles blessures qui se réveillent ? Tu mets une attèle &amp; tu travailles autour de tes faiblesses, différemment.. 🤕🤒🤔🙂
••••••••••••••••
🇬🇧 What do you do when old pains wake up ? You bandage them &amp; work around them...
🙂🤕🤒🤣😃</t>
  </si>
  <si>
    <t>salledemuscu</t>
  </si>
  <si>
    <t>forte</t>
  </si>
  <si>
    <t>blessure</t>
  </si>
  <si>
    <t>blessures</t>
  </si>
  <si>
    <t>brittany_teddy</t>
  </si>
  <si>
    <t>1593535806312365711_223887881</t>
  </si>
  <si>
    <t>It's been a really hectic week. -Car ran a 🛑 , hit me and 'totaled' my car -The accident happened a day before I started my new job 💼 in South jersey. -Caught a cold 🤧. -School starts tomorrow 📚🤦🏼‍♀️ #thestruggleisreal #notthetimetobotherme #singleparentstruggles #tiredmama #keepongoing #noexcuses #cheerstoashittyweek #goodmorning</t>
  </si>
  <si>
    <t>notthetimetobotherme</t>
  </si>
  <si>
    <t>cheerstoashittyweek</t>
  </si>
  <si>
    <t>singleparentstruggles</t>
  </si>
  <si>
    <t>frosteetipz</t>
  </si>
  <si>
    <t>1593535873437449587_3481006971</t>
  </si>
  <si>
    <t>#morningworkflow #wakeup #gettowork #loveyourjobloveyourlife #watergrown #masterkush #cottonballs #herewegoagain #keepongoing #neverstop #cannabis #vegas some master kush starting to pop off</t>
  </si>
  <si>
    <t>watergrown</t>
  </si>
  <si>
    <t>masterkush</t>
  </si>
  <si>
    <t>gettowork</t>
  </si>
  <si>
    <t>vegas</t>
  </si>
  <si>
    <t>christinestlstylist</t>
  </si>
  <si>
    <t>1593536411188630237_331367162</t>
  </si>
  <si>
    <t>Happy Thursday Everyone! 💪💥💯❤️ #makeithappen #youcandoit #youarekillingit #keepongoing #liftweights #exerciseregularly👟 #eatclean #moveyourbody #fitnessandhealth #strongnotskinny #deadlifts #squats #fitnessgoals #gymlife💪 #myhappyplace #nutritioniskey #burncalories #growmuscles #stlpersonaltrainer #yourbodyisyourtemple #behappy #livewell #takechances #nevergiveup #youarestrong</t>
  </si>
  <si>
    <t>moveyourbody</t>
  </si>
  <si>
    <t>1593536746271219976_1750702308</t>
  </si>
  <si>
    <t>Tag your creative friends and follow @onaonewayticket for more.
Secret Paradise
Photo by art by @art.side
.
.
.
.
.
.
.
.
#stayinspired #picoftheday #yogafitness #travelinspired #lifesabeach #paradisefalls #familyset #fantastic_earth #blacktravel #keepongoing #travelclub #travelog #paradisebeach #escapegame #liveyourpassion #animals #keepshining #travelnow #keepgrowing #ilovetraveling #travelmalaysia #beachbod #ecotravel #sky #instatravelhub</t>
  </si>
  <si>
    <t>familyset</t>
  </si>
  <si>
    <t>1593536832347175549_1781113481</t>
  </si>
  <si>
    <t>Night Views from the Stairway to Heaven, Oahu. Hawaii
Photo by @surrealshotz
.
.
.
.
.
.
.
.
#stayinspired #worktravel #wildernessculture #passionpassport #offthebeatenpath #creativeentrepreneur #traveljunkie #magicpict #lifeisworthliving #radtravel #travelblogger #keepongoing #paradisefound #adventureculture #yogafitness #travelnow #yogastyle #traveltogether #inspiredaily #travelclub #travelvideo #fantastic_earth #travelingyogi #travelfashion #travelinsta</t>
  </si>
  <si>
    <t>traveltogether</t>
  </si>
  <si>
    <t>yogafitness</t>
  </si>
  <si>
    <t>cufioncampus</t>
  </si>
  <si>
    <t>1593542654519335525_401505945</t>
  </si>
  <si>
    <t>Failure is never final. You're never a failure until you quit, and it's always too soon to quit. #nevergiveup #keepongoing #motivation</t>
  </si>
  <si>
    <t>thefrenchienomad</t>
  </si>
  <si>
    <t>1593543285811585183_3952576817</t>
  </si>
  <si>
    <t>Make everyday count | Faites compter chaque jour</t>
  </si>
  <si>
    <t>healthcoachlife</t>
  </si>
  <si>
    <t>petitejoys</t>
  </si>
  <si>
    <t>trueyoufitness</t>
  </si>
  <si>
    <t>popping_lilys</t>
  </si>
  <si>
    <t>1593544950782454307_3501158294</t>
  </si>
  <si>
    <t>What would I do without you to lift me up when I'm down and when I'm up you keep me there to my husband I love you so much @bellyben1506! Thank you for all you do my wonderful husband! #myhusband #ilovehim #iloveyou #ourlife #keepongoing #rtc #loveeachother #anime #animegirl #animefan #ouranimelife #anime #manga #whatwouldidowithoutyou #kawaii #magicalgirl #creditotheartist</t>
  </si>
  <si>
    <t>ilovehim</t>
  </si>
  <si>
    <t>creditotheartist</t>
  </si>
  <si>
    <t>anime</t>
  </si>
  <si>
    <t>kawaii</t>
  </si>
  <si>
    <t>ourlife</t>
  </si>
  <si>
    <t>1593546369255389281_5722990971</t>
  </si>
  <si>
    <t>Cozy corner in my house where i supposed to be meditate regularly but mostly for me to just decorate the room 😂 #homesweethome #flower #keepongoing #happy #nevergiveup #watercolor #daisy #pink #cozy #work #home</t>
  </si>
  <si>
    <t>helenabejerstal</t>
  </si>
  <si>
    <t>1593547491406940004_631587324</t>
  </si>
  <si>
    <t>På söndag den 3:e sept kl.17:30 SMÄLLER DET👊🏼⭐️ Nu kör jag igång igen -cycling intervall klasser på sats Sollentuna. Hänger du på? #energy #satssollentuna #cardio #happysunday #training #bestoftheday #måbra #healthylifestyle #healthy #wellness #nukörvi #cycling #konditionsträning #sats #nike #pulse #livinghealthy #keeponmovin #keepongoing #keepitup</t>
  </si>
  <si>
    <t>pulse</t>
  </si>
  <si>
    <t>livinghealthy</t>
  </si>
  <si>
    <t>mschalant</t>
  </si>
  <si>
    <t>1593548906549365989_19943287</t>
  </si>
  <si>
    <t>Someone needed to hear this today. Always keep the faith and know that you have what it takes to make the best out of every situation. Lean on those who have your best interest at heart and are there to always support you and lift you up. Faith coupled with drive and determination is a recipe for greatness. We fall down, but we get up. Keep on, keepin' on!</t>
  </si>
  <si>
    <t>teeka_fleeka</t>
  </si>
  <si>
    <t>1593548972424503040_3256439145</t>
  </si>
  <si>
    <t>"When there is a hill to climb, don't think that waiting will make it smaller." 👩🏽‍🚒⛰🌄🌅
.
.
.
.
#thingstoremember #thestruggle #work #workhard #planner #focus #seethegood #makeitcount #tryingtostaypositive #quotes #quotestoliveby #inspirationalquotes #inspiration #motivation #keepongoing #wegotthis</t>
  </si>
  <si>
    <t>tryingtostaypositive</t>
  </si>
  <si>
    <t>lake.rb</t>
  </si>
  <si>
    <t>1593550098746775982_45782544</t>
  </si>
  <si>
    <t>The Lord knows exactly what to say and when to say it. 💜 #keepongoing</t>
  </si>
  <si>
    <t>1593565821026876333_5705167414</t>
  </si>
  <si>
    <t>Sorry for not posting all day, i had school and basketball practice, so i couldn't open my phone, to make it up here's another pic of a GOAT 🐐  #Dubnation
-
-
-
-
-
-
-
-
-
-
-
-
-
-
-
-
-
-
-
-
-
-
-
-
-
-
-
-
-
-
-
-
-
-
-
-
-
-
-
-
 #StephGonnaSteph #Mvp #SC30 #KT11 #DG23 #CURRYMVP #KEEPONGOING #NEVERGIVEUP #WCF #WEST #WESTERNCONFERENCEFINALS #CHAMPS #DUBSFORCHAMPS #DUBS #ALWAYSBELIEVEINGOD #STEPHENCURRY #EVEN #NBA #2016CHAMPS #CHAMPIONS #LOCKIN #STEPH #SPLASH #SPLASHBROS  #like4like #like4follow #follow4follow</t>
  </si>
  <si>
    <t>1593565877240823143_1615759923</t>
  </si>
  <si>
    <t>RepostBy @millionaireimage: "@millionaireimage 
___________________________ 
#millionaireimage #doitforyourself #betterme #beyourown #keeponkeepingon #workforwhatyouwant  #marketingmoment #marketingsolutions #encourageyourself #bethechangeyouwanttosee #youvegotthis #oilfieldlife #millionairequotes #inspirationalthoughts #positivepeople #americanbusiness #quoteme  #strategize #seemslegit #youdoyou #inspirationalpost #businessownership #businessisbusiness #keepongoing #selfconfidence #bewhoyouare #bewhatyouwanttobe #socialinfluencers #socialize"</t>
  </si>
  <si>
    <t>jheljordan</t>
  </si>
  <si>
    <t>1593566817048327610_35863434</t>
  </si>
  <si>
    <t>Sometimes happiness is a feeling. Sometimes it's a decision. 
#keepongoing</t>
  </si>
  <si>
    <t>1593567020900669688_1655347240</t>
  </si>
  <si>
    <t>1593574802693517243_4315838540</t>
  </si>
  <si>
    <t>..#motocross #mxlife #braapp #offroad #lifebehindbars #2wheels #9 #ansr #keepongoing #nevergiveup #gaerneboots  #letsdothis #wheelie</t>
  </si>
  <si>
    <t>mxlife</t>
  </si>
  <si>
    <t>gaerneboots</t>
  </si>
  <si>
    <t>_zoeysmom_</t>
  </si>
  <si>
    <t>1593575728048424073_609465636</t>
  </si>
  <si>
    <t>August sucked. Let's hope September has a better outcome. #gained #weightlossjourney #keepongoing</t>
  </si>
  <si>
    <t>gained</t>
  </si>
  <si>
    <t>rotem_niz</t>
  </si>
  <si>
    <t>1593575815449177208_371060026</t>
  </si>
  <si>
    <t>Home?!... #keepongoing #home #walk #go #sun</t>
  </si>
  <si>
    <t>Rishpon</t>
  </si>
  <si>
    <t>go</t>
  </si>
  <si>
    <t>laurengottmakeup</t>
  </si>
  <si>
    <t>1593575912203787956_246012209</t>
  </si>
  <si>
    <t>Mantra: Don't stop, get it, get it 🎶😅
.
.
.
#workflo #dontstopnow #keepongoing #keeponkeepinon #motivateyourself #mantras #yogagirls</t>
  </si>
  <si>
    <t>mantras</t>
  </si>
  <si>
    <t>workflo</t>
  </si>
  <si>
    <t>dontstopnow</t>
  </si>
  <si>
    <t>tonyataylorphilanthropy</t>
  </si>
  <si>
    <t>1593577856791813110_5827313</t>
  </si>
  <si>
    <t>We've all been here before. It's not easy to admit it, but it can be hard putting your feet on the floor and moving forward some days when things are hard, and when life's unexpected setbacks turn into what feels like a never-ending tailspin. Remind yourself of who you are and "the why" when life's hardships and the day's disappointments seem the most paralyzing. #nevergiveup #doinggood #keepongoing #gratitude #believeinyourself</t>
  </si>
  <si>
    <t>doinggood</t>
  </si>
  <si>
    <t>d.lombarde</t>
  </si>
  <si>
    <t>1593578295962017908_5841970645</t>
  </si>
  <si>
    <t>The same could be said for drawing too :3 #motivation #write #writing #practicemakesperfect #keepongoing #keeponwriting #domore #dontstop #challenge #striveforgreatness #makechange #bebetter</t>
  </si>
  <si>
    <t>1593585312127146830_273508132</t>
  </si>
  <si>
    <t>Totally in love with my new dress 👗😍 thank you @asos for this amazing outfit 💘</t>
  </si>
  <si>
    <t>lollipop0604</t>
  </si>
  <si>
    <t>1593587216893046249_179673063</t>
  </si>
  <si>
    <t>今天是八月的最後一天，在過不久我們也即將開始上課了，快三個月的假期過的好快，而我雖然沒什麼放到假，但在這兩個多月來真的學到很多東西，真的很棒☺️
#onmywayhome #maybeihaveasmallvacation#justtendays #keepongoing #sometimefeeltired #butiamveryenjoy</t>
  </si>
  <si>
    <t>maybeihaveasmallvacation</t>
  </si>
  <si>
    <t>butiamveryenjoy</t>
  </si>
  <si>
    <t>onmywayhome</t>
  </si>
  <si>
    <t>justtendays</t>
  </si>
  <si>
    <t>1593587838094831519_2065144435</t>
  </si>
  <si>
    <t>Most people go for the iconic shot of Mt Fuego erupting from the summit of Acatenango at sunrise. Not for me - I've always preferred candid portrait photos from basecamp. Didn't want to go to the summit anyway 👍🏼 ⛈ #terribleconditions
Taken @ 3,500m
#guatemala</t>
  </si>
  <si>
    <t>Volcan Acatanango</t>
  </si>
  <si>
    <t>terribleconditions</t>
  </si>
  <si>
    <t>nabilhisham_</t>
  </si>
  <si>
    <t>1593594292199015251_1668636172</t>
  </si>
  <si>
    <t>31st August 2017 | Here i am 🙌🏻🇲🇾
#Merdeka!! #merdeka2017 #merdekaphuket #keepongoing #esokbalik</t>
  </si>
  <si>
    <t>esokbalik</t>
  </si>
  <si>
    <t>merdeka</t>
  </si>
  <si>
    <t>merdeka2017</t>
  </si>
  <si>
    <t>merdekaphuket</t>
  </si>
  <si>
    <t>girlmira622</t>
  </si>
  <si>
    <t>1593596136030042936_5849940734</t>
  </si>
  <si>
    <t>#dietfood for supper
#keepongoing and #keepondiet</t>
  </si>
  <si>
    <t>keepondiet</t>
  </si>
  <si>
    <t>1593597306593924361_1684424176</t>
  </si>
  <si>
    <t>Tag someone you love  #beaman - 
___________________________ 
#millionaireimage #doitforyourself #betterme #beyourown #keeponkeepingon #workforwhatyouwant  #marketingmoment #marketingsolutions #encourageyourself #bethechangeyouwanttosee #youvegotthis #oilfieldlife #millionairequotes #inspirationalthoughts #positivepeople #americanbusiness #quoteme  #strategize #seemslegit #youdoyou #inspirationalpost #businessownership #businessisbusiness #keepongoing #selfconfidence #bewhoyouare #bewhatyouwanttobe #socialinfluencers #socialize</t>
  </si>
  <si>
    <t>beaman</t>
  </si>
  <si>
    <t>1593600970594566556_4249248273</t>
  </si>
  <si>
    <t>Throwback to my first attempts trying one handed traversing and by one hand - no use of right arm on holds. I remember my reaction when my coach told me I needed to get better at this - it's bloody difficult! Anyway this was me practicing with @s.m.tenn a few months back. Love how I still mini jump in frustration when I can't get something. #throwbackthursday #training #practicemakesperfect #competition #precision #frustrated #climber #climbing #climbing_is_my_passion #paraclimbing #thisgirlcan #thisgirlcanclimb #amputee #ehlersdanlossyndrome #cancersurvivor #dontgiveup #determination #focus #keepongoing #keeptrying #tryagain #muslim #hijab #goals #grit #icandothis #coach #balance @thecastleclimbingcentre @thisgirlcanuk @thisgirlcanclimbing</t>
  </si>
  <si>
    <t>tee_rutters</t>
  </si>
  <si>
    <t>1593601717650491200_1764797170</t>
  </si>
  <si>
    <t>Atleast on bad days, there are cats ❤🐱 #baddays #baddayssuck #ugh #feelingbleh #wheresthewine #chillingcheesy #chillin #catobsessed #catsofinstagram #cats #cat #catlover #catlady #catlife #longday #redlips #pinup #lazyevening #atleastthereiscats #pout #stayingpositive #justkeepswimming #keepongoing #polkadots #blackandwhite #greeneyes #browneyedgirl #eyes #hashtag #meow</t>
  </si>
  <si>
    <t>meow</t>
  </si>
  <si>
    <t>cat</t>
  </si>
  <si>
    <t>stayingpositive</t>
  </si>
  <si>
    <t>mylifescape</t>
  </si>
  <si>
    <t>1593606108592118588_744626</t>
  </si>
  <si>
    <t>Mood. #focus #motivationalquotes #motivation #love #life #organised #best #hello #whatsnew #success #girlboss #change #keepongoing #onestep #mylifescape #doitforyou #bestlife #badass #kickass #liveonce #ownit #showtime</t>
  </si>
  <si>
    <t>whatsnew</t>
  </si>
  <si>
    <t>ownit</t>
  </si>
  <si>
    <t>1593609287001860545_40619315</t>
  </si>
  <si>
    <t>Aktuelle Draufsicht 🙈
und den Bauch nicht eingezogen, nur das Shirt „angelegt“ 😛
Da geht natürlich noch was. Aber bin schon sehr zufrieden, was ich bisher erreicht habe ☺️
Und die Pölsterchen müssen noch weg^^
.
.
.
#essinddiekleinendinge #happiness #essinddiekleinendingedieglücklichmachen #ziele #goals #nodiet #nohunger #foodblogger #weightlossjourney #abnehmen2017 #lowcarb #lowcarblifestyle #lowcarbdeutschland #keepongoing #fürmehrrealitätaufinstagram</t>
  </si>
  <si>
    <t>essinddiekleinendingedieglücklichmachen</t>
  </si>
  <si>
    <t>jezzicaengstrom</t>
  </si>
  <si>
    <t>1593610758088214099_254121153</t>
  </si>
  <si>
    <t>Where I'd rather be.. Bekämpar min dunderförkylning med Ipren, nässpray och jobb #komigendetblirkul #workworkwork #keepongoing</t>
  </si>
  <si>
    <t>komigendetblirkul</t>
  </si>
  <si>
    <t>renato_newhopex</t>
  </si>
  <si>
    <t>1593612543855088960_4043581845</t>
  </si>
  <si>
    <t>@Regrann from @adventure.gram -  Follow @adventure.gram for awesome travel images. Maldives vibes.
Photo by @michutravel
.
.
.
.
.
.
.
.
#indonesiatravel #lifebydesign #livetotravel #paradisebay #paradises #beachvibes #condenasttraveler #travelog #keepitgoing #thaitraveling #keepongoing #energypro #energyboost #inspiredaily #paradiseonearth #liveforthis #traveligram #travelinsta #earthpix #yogajournal #ecotravel #familyaffair #bestbeach #jomblotraveler #keepgrowing - #regrann</t>
  </si>
  <si>
    <t>liveforthis</t>
  </si>
  <si>
    <t>1593615258593683387_665657359</t>
  </si>
  <si>
    <t>#gymlife #muscles #fitnessover50  #keepongoing #fitness</t>
  </si>
  <si>
    <t>m.susi26</t>
  </si>
  <si>
    <t>1593616699428744827_1698441081</t>
  </si>
  <si>
    <t>Set goals then kick'em in the face💪 #results #keepongoing #fitness #sixpack #eightpack #workout #motivation</t>
  </si>
  <si>
    <t>sixpack</t>
  </si>
  <si>
    <t>eightpack</t>
  </si>
  <si>
    <t>maeday888</t>
  </si>
  <si>
    <t>1593617231491629842_15224562</t>
  </si>
  <si>
    <t>We are worth celebrating and let's be thankful for where we are now. #gratefulheart #thankfulspirit #godchicks #keepongoing #keepthefaith #gratitude #selfprogress #selfiegrowth #faith #trust #believeinyourself #loveyourself #changeisgood</t>
  </si>
  <si>
    <t>godchicks</t>
  </si>
  <si>
    <t>selfprogress</t>
  </si>
  <si>
    <t>ariannahut</t>
  </si>
  <si>
    <t>1593621946226302838_398431822</t>
  </si>
  <si>
    <t>Sometimes happiness is not knowing the whole story. #breathe #staytuned #shithappens #keepongoing #lookforward</t>
  </si>
  <si>
    <t>Massa Vecchia</t>
  </si>
  <si>
    <t>alwayssurfin</t>
  </si>
  <si>
    <t>1593623646739680010_185014519</t>
  </si>
  <si>
    <t>Yes to all of this! #yes #motivationalquotes #truth #keepongoing #movingforward</t>
  </si>
  <si>
    <t>nurit_oren</t>
  </si>
  <si>
    <t>1593626511145967108_3659666271</t>
  </si>
  <si>
    <t>Our greatest weakness lies in giving up 🔝🔝
#fitnessmotivation #healthylifestyle #keepongoing #nevergiveup</t>
  </si>
  <si>
    <t>riri_fitandhealthy</t>
  </si>
  <si>
    <t>1593631502887935262_1325964889</t>
  </si>
  <si>
    <t>BBG Week 7 #nevermadeitthisfar #💪🏻 #keepongoing #japanesegirl #follow4follow #followforfollow #workout #gymtime #noearlybird #bbg #kaylaitsines #fit #healthy #gymgirlz #blondieandgeisha #düsseldorf #fitx #fitfam #fitspo</t>
  </si>
  <si>
    <t>FitX Düsseldorf-Lörick</t>
  </si>
  <si>
    <t>noearlybird</t>
  </si>
  <si>
    <t>gymgirlz</t>
  </si>
  <si>
    <t>lottalotte30592</t>
  </si>
  <si>
    <t>1593633958653728060_1234350802</t>
  </si>
  <si>
    <t>My parents are so lovely. I've been having a rotten couple of weeks, feeling down and disheartened. It's nice to know they still believe in me ♥️♥️♥️ #family #familygoals #lovemyfamily #lovemyparents #lovemymum #lovemydad #keepongoing #determination #allyouhavetodoistry #tryhard #tryharder #uphillstruggles #parents #parenting</t>
  </si>
  <si>
    <t>tryhard</t>
  </si>
  <si>
    <t>lovemyparents</t>
  </si>
  <si>
    <t>lovemyfamily</t>
  </si>
  <si>
    <t>allyouhavetodoistry</t>
  </si>
  <si>
    <t>gabbyfrancots4</t>
  </si>
  <si>
    <t>1593635520637234512_424801510</t>
  </si>
  <si>
    <t>It is all about perspective!
#mindset #motivation #keepongoing #dontbeafraidtofail #beyourownhero
•
•
Derrotas vencen a los perdedores, derrotas inspiran a los campeones!
Es question de perspectiva!
#motivacion #campeones #atrevete #venezuela</t>
  </si>
  <si>
    <t>dontbeafraidtofail</t>
  </si>
  <si>
    <t>motivacion</t>
  </si>
  <si>
    <t>beyourownhero</t>
  </si>
  <si>
    <t>1593639051478340624_1684424176</t>
  </si>
  <si>
    <t>1593642363804139811_1684424176</t>
  </si>
  <si>
    <t>Sugar Land, Texas</t>
  </si>
  <si>
    <t>1593650783214939761_429150387</t>
  </si>
  <si>
    <t>This collage of Photos is with my family and friends taken 18 years ago at my Baptism, Confirmation and the day I publicly confessed Jesus as my Lord and Saviour at The Stanger Methodist Church, which was my Church that I grew up in and left at the age of 17 to attend Rhema Bible College and move to Johannesburg. Wow, what a day it was and what a great celebration we had. So thankful for all that Jesus has done and still is doing, am so looking forward to all that He has in store for me I am so excited and ready to do more for the kingdom. Without Jesus where will we be?
He is awesome, oh how I love Jesus. 
#BornAgainBirthday #JesusSaves #ThankYouJesus #Love #Joy #Goodtimes #SouthAfrican #Blessed #Thankful #GodIsGood #EnjoyLife #KeepOnGoing #Londoner #Family #Friends #Birthday #HappyBirthday #ItsAllAboutJesus #BornAgain #HolySpirit #Jesus #18 #GoodMemories #Hope #Faith #NewLife #ILoveTheLord #YouAreLoved #JesusLovesYou</t>
  </si>
  <si>
    <t>ilovethelord</t>
  </si>
  <si>
    <t>bill_bean</t>
  </si>
  <si>
    <t>1593655379963667448_3675484081</t>
  </si>
  <si>
    <t>#rungforhealth #keepongoing</t>
  </si>
  <si>
    <t>rungforhealth</t>
  </si>
  <si>
    <t>1593657480360140611_279512262</t>
  </si>
  <si>
    <t>Люблю странные кинофестивали.
Боюсь, что с занятиями с 19 часов, и с фестивалями придётся попрощаться и ходить разве что на открытия 😒
.
#photooftheday #seemymoscow #vsco #vscocam #lifeex #livy #liveauthentic #livealittle #lifeex #lifeisgood #keepongoing #madrussians #mood #moscowlife #picoftheday #daily #dreamers #abmlife #authentic #abmhappylife</t>
  </si>
  <si>
    <t>Каро 11 Октябрь</t>
  </si>
  <si>
    <t>denwis86</t>
  </si>
  <si>
    <t>1593664534701947540_1707386795</t>
  </si>
  <si>
    <t>Inizio luglio ➡️fine agosto 
Se vai al #centrofitnessevolution puoii.. 😎
Altri piccoli "gheinz", la strada sembra essere quella giusta 👌🏼😎 Come al solito grazie ai preziosi consigli di @daltosomatteo
_____________________
#iomiallenoallevolution
#stayfocused 
#keepongoing 
#neverquit 
#gains 
#fit 
#measurement 
#check
#denwis</t>
  </si>
  <si>
    <t>Centro Fitness Evolution</t>
  </si>
  <si>
    <t>check</t>
  </si>
  <si>
    <t>iomiallenoallevolution</t>
  </si>
  <si>
    <t>heidi.handlettering</t>
  </si>
  <si>
    <t>1593664985933751214_4348757591</t>
  </si>
  <si>
    <t>Practice some flourishes, it's really hard.... #showmeyourflourishes #thehappyevercrafter #handlettering #moderncalligraphy #calligraphy #brushlettering #brushpen #tombow #flourish #keepongoing</t>
  </si>
  <si>
    <t>tombow</t>
  </si>
  <si>
    <t>showmeyourflourishes</t>
  </si>
  <si>
    <t>1593667868577277778_176066268</t>
  </si>
  <si>
    <t>"We're all born strangers to ourselves and each other, and we're seldom formally introduced." Robert Charles Wilson
.
.
.
.
.
.#terfujilah #keepinspired #selfreminder #keepongoing #japan #throwback #japantrip #osaka #selfmotivation #bw_photography #bwphotography #bwindo_worldwide #bw_lover #bw_society #blackandwhite #blackandwhitephotography #pocket_bw #pocket_bnw #monochrome #hitamputih #duniatanpawarna #fujifilm_id #fujifilm_Xseries #XT1 #insta_bw_streetphoto #amateurs_bnw #streetphotograpy #bw_japan #ig_japan</t>
  </si>
  <si>
    <t>amateurs_bnw</t>
  </si>
  <si>
    <t>duniatanpawarna</t>
  </si>
  <si>
    <t>streetphotograpy</t>
  </si>
  <si>
    <t>keepinspired</t>
  </si>
  <si>
    <t>sar_celeste</t>
  </si>
  <si>
    <t>1593668378789949365_187388382</t>
  </si>
  <si>
    <t>Ever since we were in the process of buying our first place we didn't intend on staying more than a year or two. This house 🏡 was never given a chance. I always felt ashamed (crazy right?!) to be in a 1 bedroom condo with a little one, and never in a million years thought we'd be here this long. 
Now 4 years later and another family member added we have been searching for places to live elsewhere... still not giving this house a chance. We looked everywhere for a couple years and finally we've switched our mindsets to making this place work for a little longer until we find the perfect place. 
But this place is perfect. It just needed a little more love, and an extra bedroom. So we have decided to look into upgrading a few things and converting an unused space for Luca. I'm so excited to finally give this home a chance and change our focus! 😊
The first minor change was our dining chairs. I hope they hold up, but I am so excited for the next projects to come!! 😁 I will keep you all posted on what's to come next... #houseintoahome #homereno #giveitachance #toddlerlife #lovemyboys #babyproof #toddlerboys #workingmummy #workingmom  #justthebeginning #keepongoing #newdiningroom #happywifehappylife #sanjoseca #lexmod #newperspective</t>
  </si>
  <si>
    <t>toddlerlife</t>
  </si>
  <si>
    <t>happywifehappylife</t>
  </si>
  <si>
    <t>newdiningroom</t>
  </si>
  <si>
    <t>workingmom</t>
  </si>
  <si>
    <t>giveitachance</t>
  </si>
  <si>
    <t>1593671293655665399_2317517565</t>
  </si>
  <si>
    <t>Min dag i dag. Skøn med skøn på. En kombination af undervisning og tid til at selvtræne. Det er alt hvad jeg ønsker mig:)
•••
Først undervisning og morgenmad i RiceClub med de skønneste og sejeste kvinder. Så et par coachingsessions med snak om alt fra toplinjen til værdier og identitet. Rundede dagen af en svømmetur i Havnebassinet efter et par timer med regnskab.
•••
Jeg nyder det - og ja, jeg har arbejdet hårdt for at nå her til:)
•••
#mortentillitzdk  #whatwouldbeyoncedo #toldyouso #tropådet #personligtræner #personaltrainer #cycling #Cykling #styrketræning #løb #Svømning #Swim #running #stronger #personligtræner #mitodense #fitfam #ﬁtfamdk #actionequalsresults #handlingskabersucces #helkropstræning #fullbody #SunRiceClubbyMortenTillitzDK #mentalpause #blivved #keepongoing #styrketræning #painfree #smertefri #søvn #sleep #mitodense</t>
  </si>
  <si>
    <t>courtneybaldwin_</t>
  </si>
  <si>
    <t>1593673341785185861_244319149</t>
  </si>
  <si>
    <t>tb to doing something i wanna do everyday for a living ! #dreamer #keepongoing</t>
  </si>
  <si>
    <t>modelswanted</t>
  </si>
  <si>
    <t>imgetscouted</t>
  </si>
  <si>
    <t>carolbutler1913</t>
  </si>
  <si>
    <t>1593675254218503252_5636204599</t>
  </si>
  <si>
    <t>The moment you have decided what to do. Just do it. Have that attitude of no turning back. Give it ALL YOU'VE GOT!! ❤️🔥🙏🔥🔥🔥The drive is the key of success. #successquotes #summer #drive #determination #neverlookback #strong #strongwomen #strongmom #strongman #life #keepongoing #freedom #power #goals #goal #model #fitnessmodel #core #physique #lean #muscles #mind #physique #muscles #fall #newbegining #followforfollow #followme #follow #instagram #instagood #</t>
  </si>
  <si>
    <t>1593680488642545552_4678264587</t>
  </si>
  <si>
    <t>+ 01:55 vs PB .. 👎🏻😓
▪️
▪️🔥🔥🔥 #hellweek 🔥🔥🔥 #day5
▪️
This is my PW (#personalworst) of the week guys.. couldn't beat myself this time! Never been able to do under 09:55 on NYX (strength) yet BTW.. Even if this PB was 5 months ago! 😳
#Freeletics #bodyweight #freeleticsangers #freeleticsecouflant #hippodrome #angers #ecouflant #freeathlete #freeleticslifestyle #fit #fitness #fitnessmotivation #stayinshape #betterversionofyourself #keepongoing #trainingday #workout #noexcuses</t>
  </si>
  <si>
    <t>1593686109170445622_277645992</t>
  </si>
  <si>
    <t>Schoulders and Chest💪🏽💪🏽 #fitness #love #heeeeeelmoeilijkhoofd🙈😂 #keepongoing ❤❤💪🏽</t>
  </si>
  <si>
    <t>heeeeeelmoeilijkhoofd🙈😂</t>
  </si>
  <si>
    <t>f.ranca_k</t>
  </si>
  <si>
    <t>1593690593653171803_1755823198</t>
  </si>
  <si>
    <t>Walk towards the good in life, and one day, you'll arrive.
#vacation #urlaub #rhodes #greece #sunshine #stairs #stepbystep #keepongoing #walking #walkingonsunshine #goodtimes #wanderlust #traveller #traveltheworld #qualitytime #photooftheday #potd #enjoylife</t>
  </si>
  <si>
    <t>Acropolis of Rhodes</t>
  </si>
  <si>
    <t>walkingonsunshine</t>
  </si>
  <si>
    <t>1593694304780771023_4230484970</t>
  </si>
  <si>
    <t>Amassing views 🍑⛰🏞
@laurendrainfit</t>
  </si>
  <si>
    <t>1593696301295299994_1684424176</t>
  </si>
  <si>
    <t>1593696674588269244_1684424176</t>
  </si>
  <si>
    <t>1593696816331152504_179389652</t>
  </si>
  <si>
    <t>Hey Virgo Women out there.. Hello September 🌹❤💃 #naszsally🎶 #whatmakeshappy #keepongoing #fallriseshine #dekatdihati💕 #virgo #septemberbabies #caritenang #queenoftenuk</t>
  </si>
  <si>
    <t>whatmakeshappy</t>
  </si>
  <si>
    <t>naszsally🎶</t>
  </si>
  <si>
    <t>fallriseshine</t>
  </si>
  <si>
    <t>septemberbabies</t>
  </si>
  <si>
    <t>1593697092660873664_5586814877</t>
  </si>
  <si>
    <t>Continuing my "can't be bothered to cook" theme of the week 🙈 This, in front of the TV, for 7 syns with some speedy broccoli on the side 👌🏻 #fooddiary #slimmingworld #sw #slimmingworldfood #slimmingworldjourney #health #happiness #selfimprovement #bethebestyou #keepongoing #nomorestartingover</t>
  </si>
  <si>
    <t>collectivehomeuk</t>
  </si>
  <si>
    <t>1593697806706382711_1507509422</t>
  </si>
  <si>
    <t>Things like this make me realise we are on the right track and need to keep going. This time last year we had no heating and very we're living in one room. #homerenovation #diy #openfireplace #keepongoing #throwbackthursday</t>
  </si>
  <si>
    <t>openfireplace</t>
  </si>
  <si>
    <t>diy</t>
  </si>
  <si>
    <t>homerenovation</t>
  </si>
  <si>
    <t>siim_kirsborg</t>
  </si>
  <si>
    <t>1593698349565901439_1219395233</t>
  </si>
  <si>
    <t>My Friends💜 
#lifegoals #ugirl #love #bff #days #modellife #style #keepongoing #cheer #soulmates #music #danish #wearedanishdesign #keeponliving #reaching #lvl6 #cc #bases #group #øg17 #gymlife #loveless #lovefull #makeup #fullon #pretty #life #friendshipgoals #friendsgroup</t>
  </si>
  <si>
    <t>danish</t>
  </si>
  <si>
    <t>loveless</t>
  </si>
  <si>
    <t>wearedanishdesign</t>
  </si>
  <si>
    <t>yvonne.nora.kensy</t>
  </si>
  <si>
    <t>1593702157056436233_5379075697</t>
  </si>
  <si>
    <t>#keepongoing#focus#strength
#discipline#bycicle#myway
#keeponlearning#study#dusktilldawn#Inspiration #happy#greatfull
#keeponsmiling#picoftheday
#fitness#healthy#lovebooks
#braintraining#muscletraining
#bodyforming
#justdoit 
#haveagreatevening  #everybody 😊 🌎🌍🌏🕊 * I learned; liking my own Status  Is a High Five to myself in Public  Quelle: @SocialsPro thank you 😊</t>
  </si>
  <si>
    <t>lovebooks</t>
  </si>
  <si>
    <t>1593703773632440995_4203348813</t>
  </si>
  <si>
    <t>Amazing butt 😍😍
.
#health #fitness #fit #fitnessaddict #fitnessmodel #fitnessmotivation #tags4likes #fitnessfood #LiftingAcademy #training #picoftheday #healthyeating #healthy #diet #fitnessmodels #gym  #fitnesslife #fitnessphysique #fitnesslifestyle #fitnesswomen #healthyfood #exercise #shesquats #motivation #lifestyle #cleaneating #squats</t>
  </si>
  <si>
    <t>tags4likes</t>
  </si>
  <si>
    <t>fitnesswomen</t>
  </si>
  <si>
    <t>fitnessmodels</t>
  </si>
  <si>
    <t>1593704138117385324_1507509422</t>
  </si>
  <si>
    <t>Here is the other room that we have finished. We have finished this room which is the snug and the living room. The bedroom is our next challenge. #homerenovation #diy #throwbackthursday #keepongoing</t>
  </si>
  <si>
    <t>la_babyz</t>
  </si>
  <si>
    <t>1593704266715352010_50690037</t>
  </si>
  <si>
    <t>"Se almeno si vedesse l'#autostrada ci porterebbe senz'altro a una #città oppure proseguire ovunque vada meglio che qua"
#freedom #nuoveprospettive #keepongoing #stepbystep #ontheroad #roaditaly #mylittleitaly #travel #travelgirl #vagabonding #nomadeinside</t>
  </si>
  <si>
    <t>mylittleitaly</t>
  </si>
  <si>
    <t>vagabonding</t>
  </si>
  <si>
    <t>nomadeinside</t>
  </si>
  <si>
    <t>diana_rg21</t>
  </si>
  <si>
    <t>1593704531040220755_200352331</t>
  </si>
  <si>
    <t>Como cuando pasan los años, se te olvida la técnica, pierdes estabilidad y elasticidad pero te aferras a seguir intentando... #EpicFail #notaseasyasitlooks #keepongoing #OldLove #WTF</t>
  </si>
  <si>
    <t>epicfail</t>
  </si>
  <si>
    <t>wtf</t>
  </si>
  <si>
    <t>notaseasyasitlooks</t>
  </si>
  <si>
    <t>oldlove</t>
  </si>
  <si>
    <t>annieblayo.ecrivaine</t>
  </si>
  <si>
    <t>1593705143449628296_4118344280</t>
  </si>
  <si>
    <t>#motivation #motivationalquotes #dream #dreamcatcher #bienetre #happy #keepongoing #believe</t>
  </si>
  <si>
    <t>bienetre</t>
  </si>
  <si>
    <t>patrickjensen90</t>
  </si>
  <si>
    <t>1593707606747315822_365777350</t>
  </si>
  <si>
    <t>#keepongoing #nomatterwhat #fashion #formen #mensfashion #streetstyle #videooftheday #cool #stuff #work</t>
  </si>
  <si>
    <t>!Solid Hundige</t>
  </si>
  <si>
    <t>videooftheday</t>
  </si>
  <si>
    <t>lauschgoldengel</t>
  </si>
  <si>
    <t>1593708627003976138_4721929</t>
  </si>
  <si>
    <t>KURMA // search for wisdom in yourself 🐢 #tortoise #slowandsteadywinstherace #keepongoing #kurma #wisdom #decorating #lovethis #schildkröte #hinduism #vishnu #indienhaus #mainz #wiesbaden #home</t>
  </si>
  <si>
    <t>tortoise</t>
  </si>
  <si>
    <t>decorating</t>
  </si>
  <si>
    <t>1593710474854932286_1417472007</t>
  </si>
  <si>
    <t>DONE 🏃🏃 #penhastrailteam #penhasonfire #running #run #trail #trailrunning #portugalrunning #runningportugal #correr #nature #odemira #viverodemira #runninglifestyle #newbalance #breakyourlegs #runner #runforlife #instarunners #salomon  #mountainrunning #bustlegs #keepongoing #worldrunners #runnerslife  #RUNpt #garmin #stravarunning</t>
  </si>
  <si>
    <t>correr</t>
  </si>
  <si>
    <t>austinhulme</t>
  </si>
  <si>
    <t>1593711853514914091_1136480905</t>
  </si>
  <si>
    <t>Just keep on going... We'll get there. #music #work #musician #guitarist #marshall #marshallamps #keepongoing #dreams #guitar #performing</t>
  </si>
  <si>
    <t>musician</t>
  </si>
  <si>
    <t>guitarist</t>
  </si>
  <si>
    <t>1593714437969535952_5139866557</t>
  </si>
  <si>
    <t>📚#booklover #reading</t>
  </si>
  <si>
    <t>bbg</t>
  </si>
  <si>
    <t>icanbehealthytoo</t>
  </si>
  <si>
    <t>1593715650349317336_5946941257</t>
  </si>
  <si>
    <t>Today I'm wearing my lazy pants. 🙌 #nosports #justchilling #andworking #working #working #toomuchwork #isitweekendalready #thursdays #keepongoing #almostthere #quote</t>
  </si>
  <si>
    <t>andworking</t>
  </si>
  <si>
    <t>nosports</t>
  </si>
  <si>
    <t>thursdays</t>
  </si>
  <si>
    <t>justchilling</t>
  </si>
  <si>
    <t>evalinaschalkshop</t>
  </si>
  <si>
    <t>1593721363252492517_1507731576</t>
  </si>
  <si>
    <t>Well, well weather is cooler in mornings now. So I've made some goals to strive for a regular 5 mile walk. Today 4.2miles from my 3.5 norm. I got a hilly neighborhood and the workout is truly strenuous. Exercise pays off in more than one way. Love doing it. #samsunggear2 #exercise #exerciseover60 #exerciseover50 # strongwomen, #adias #fitness #fitandfabulous #fitnessover50 #fitnessoverfifty #fitnessover60 # agelessstyle #exercisedaily #exercise #walkingoutdoors #gettingfit #50andfit #keepongoing #texasladies</t>
  </si>
  <si>
    <t>exerciseover60</t>
  </si>
  <si>
    <t>fitandfabulous</t>
  </si>
  <si>
    <t>samsunggear2</t>
  </si>
  <si>
    <t>exercisedaily</t>
  </si>
  <si>
    <t>exerciseover50</t>
  </si>
  <si>
    <t>lunabertolotti2017</t>
  </si>
  <si>
    <t>1593722918146548735_913569</t>
  </si>
  <si>
    <t>Oh yes indeed #success #alltheway #mylife #believeinyourself #unsaid #keepongoing #brickell #empoweringwomen</t>
  </si>
  <si>
    <t>Brickell City Centre</t>
  </si>
  <si>
    <t>lucerneregatta</t>
  </si>
  <si>
    <t>1593722946022848636_2281001746</t>
  </si>
  <si>
    <t>Fight! #rowing #worldrowing #keepongoing #rotsee #lucerne #switzerland (Photo: @jeanmiphotographies )</t>
  </si>
  <si>
    <t>lucerne</t>
  </si>
  <si>
    <t>rotsee</t>
  </si>
  <si>
    <t>rowing</t>
  </si>
  <si>
    <t>maxschroeter93</t>
  </si>
  <si>
    <t>1593728972415691946_3181958882</t>
  </si>
  <si>
    <t>#fit #fitness #pump #keepongoing #cap #snapback</t>
  </si>
  <si>
    <t>Kirchlengern</t>
  </si>
  <si>
    <t>snapback</t>
  </si>
  <si>
    <t>cap</t>
  </si>
  <si>
    <t>kwamekuadey</t>
  </si>
  <si>
    <t>1593732005376097652_1306527393</t>
  </si>
  <si>
    <t>Don't give up now. #dontgivein #keepongoing</t>
  </si>
  <si>
    <t>dontgivein</t>
  </si>
  <si>
    <t>1593745062387163002_3154771617</t>
  </si>
  <si>
    <t>Krönender Abschluss dieses Monats! Sehr gutes Training gehAbt und zusätzlich noch eine Übung gemacht - schuld daran ist der @neufried 🙈🙈🙈 danach war wirklich absolut keine Kraft mehr vorhanden. Die Heimfahrt war da schon eine wahnsinnige Herausforderung. 😱🐒 Aber ich bin heil angekommen, Morgen wird mal ausgeschlafen damit die Muskeln genug Zeit zur Regeneration haben. Dann heißt es denn Freitag noch überstehen und schon ist wieder Wochenende. 
#McFit #fitfam #austria #gymwarrior #fitnessaddicted #bb #carinthia #gymjunky #focus #bodybuilding #dontstop #enjoylife #fitnesslife #gym #girlswholift #fitnessmotivation #gymlove #justdoit #keepongoing #gettingstronger #loveyourself #staymotivated #fitnessgirl #nike #proudtobemcfit #staystrong #vienna #fitnesslover #workoutdone</t>
  </si>
  <si>
    <t>fitnesslover</t>
  </si>
  <si>
    <t>thegraywhiteowl</t>
  </si>
  <si>
    <t>1593746699080100514_3634101045</t>
  </si>
  <si>
    <t>The struggle is real.......but it doesn't last forever. Be strong my friend and don't let your heart be so heavy. 💜✌🏼❤️🌺✨🕊😍
.
.
.
#loveyourself #bereal #belight #beautiful #positivevibes #positivity #life #heart #letsgochamp #staymotivated #healtheworld #weareone #loveandlight #nevergiveup #neverstoplearning #keepongoing #determination #success #awakening #realwomen #dontstop #lifegoeson #motivate #inspire #helpothers #beauty #snapchat #filters #thursday</t>
  </si>
  <si>
    <t>1593747725936204057_1774981442</t>
  </si>
  <si>
    <t>Choose to be unstoppable!</t>
  </si>
  <si>
    <t>mademoiselle.purzel</t>
  </si>
  <si>
    <t>1593751964433223337_5590298777</t>
  </si>
  <si>
    <t>Tolle Veranstaltung, geniale Vorträge und coole Location 👩🏼‍💻 Tag des Onlinehandel #TDOH #BVOH</t>
  </si>
  <si>
    <t>bvoh</t>
  </si>
  <si>
    <t>tdoh</t>
  </si>
  <si>
    <t>1593760022815114489_3540680200</t>
  </si>
  <si>
    <t>Had a great time shooting with @benwilliamscott &amp; @dceliteimage today ✨Now to binge watch some AHS 👀
.
.
.
.
.
#model #victoriassecret #vsmodel #lingerie #brunette #modelslife #smokeyeye #studioscenes #happythursday #chaseyourdreams #keepongoing #loveyourself #loveyourbody #glow #glowing #vslingerie #dc #va #dmv #glitterguide #myunicornlife #bralette #ahs #brit #elegance #tanned #toned #fitnessmotivation #shoot #dearphotographer</t>
  </si>
  <si>
    <t>Aldie, Virginia</t>
  </si>
  <si>
    <t>happythursday</t>
  </si>
  <si>
    <t>glowing</t>
  </si>
  <si>
    <t>flashstarrj</t>
  </si>
  <si>
    <t>1593769669310648034_3288576159</t>
  </si>
  <si>
    <t>Cali*S Finest  T-Shirts _ The Brand of #California #Style #products #greatstuff #dagringa  #thelifeyoulive #keepongoing ✌️</t>
  </si>
  <si>
    <t>Niterói, Rio de Janeiro, Brazil</t>
  </si>
  <si>
    <t>greatstuff</t>
  </si>
  <si>
    <t>dagringa</t>
  </si>
  <si>
    <t>thelifeyoulive</t>
  </si>
  <si>
    <t>1593775191532421650_540765515</t>
  </si>
  <si>
    <t>Riesgo y confianza van cogidas de la mano de control, puede que uno de los dos lados falle pero siempre ten el control de saber a donde quieres llegar y sobretodo por donde!
#palausolitaiplegamans #parkour #pk #exibicion #skate #scoot #snake #bmx #freerunning #tricking #animals #animalspk #fieston #losbuenosconpañeros #bjj #jiujitsu #nogi #keepongoing</t>
  </si>
  <si>
    <t>exibicion</t>
  </si>
  <si>
    <t>scoot</t>
  </si>
  <si>
    <t>palausolitaiplegamans</t>
  </si>
  <si>
    <t>skate</t>
  </si>
  <si>
    <t>marlonhiraldo</t>
  </si>
  <si>
    <t>1593776426744740911_375141402</t>
  </si>
  <si>
    <t>" W A L K " 🚶🏾
_______________________________________________  #travelphotography #traveler #thecity #sydney #australia #MarlonInAustralia #moments #keepongoing</t>
  </si>
  <si>
    <t>australia</t>
  </si>
  <si>
    <t>paths.to.grow</t>
  </si>
  <si>
    <t>1593779487438608082_3047798751</t>
  </si>
  <si>
    <t>Brighten up ! Wear something colourful, dare to be stand out, be different like this building in Melbourne.  #writingofinstagram #selfawareness #spilledink #guidance #wisdom #quietmind #quotestagram #inspirationalquotes #motivationalquotes #writerscommunity #poetrygram #writersofig #poetrycommunity #lifequotes #mindful #mindfulness #businesspassion #keepongoing #poetic #dailythoughts #wordplay #wordporn #poetrylovers #positivethinking #positivevibes</t>
  </si>
  <si>
    <t>quietmind</t>
  </si>
  <si>
    <t>spilledink</t>
  </si>
  <si>
    <t>quotestagram</t>
  </si>
  <si>
    <t>_fridathomsen</t>
  </si>
  <si>
    <t>1593783205234996108_549963132</t>
  </si>
  <si>
    <t>"I will not let anyone walk through my mind with their dirty feet" / "You must not lose faith in humanity. Humanity is like an ocean; if a few drops of the ocean are dirty, the ocean does not become dirty" / "The future depends on what you do today" -- Mahatma Gandhi 🙏🏻♥️🎶🔮🤷🏼‍♀️🙌🏻🏃🏼‍♀️🦄🚀 #keepongoing #onestepatatime #loveisintheair #reborn #harmonyoflight #allofmelovesallofyou</t>
  </si>
  <si>
    <t>Tomorrowland</t>
  </si>
  <si>
    <t>harmonyoflight</t>
  </si>
  <si>
    <t>allofmelovesallofyou</t>
  </si>
  <si>
    <t>reborn</t>
  </si>
  <si>
    <t>tumovaklara</t>
  </si>
  <si>
    <t>1593795146897805593_1608759810</t>
  </si>
  <si>
    <t>'It might be stormy now but it can't rain forever.'
#hardlife #keepongoing #stepbystep #gettingbetter #hope #czechgirl #london #pearls</t>
  </si>
  <si>
    <t>pearls</t>
  </si>
  <si>
    <t>hardlife</t>
  </si>
  <si>
    <t>1593803808126222509_4773778225</t>
  </si>
  <si>
    <t>Jumping into the new school year like....💦👋🏻🌞#worldtravelbook #flashesofdelight #art #lake #rainbow #goodafternoonpost #keeponkeepingon #keepongoing #motivation #motivationeveryday #sunset #flowers #architecturephotography #architecture #tagsforlikes #bluesky #likesforlikes #follow #almosttheweekend #smile #happy #morningmotivation #flower #behappy #grateful @jordekstein</t>
  </si>
  <si>
    <t>1593812128131886236_1822235880</t>
  </si>
  <si>
    <t>Follow @vision.book for top travel content. Beautiful Photo by @nancirenner
Edited By @sennarelax
.
.
.
.
.
.
.
.
#indonesiatravel #spiritualwarrior #livenow #energyhealing #travelwell #discoverearth #epicgetaway #vacaymode #timefreedom #sunsetting #spiritualgangster #sunset_ig #liveforyou #spiritualawakening #lifeisajoke #keepongoing #travelon #goodkarma #creativehappylife #intentionalliving #travelrock #skypainters #paradisefound #paradisepark #spiritualquotes</t>
  </si>
  <si>
    <t>spiritualgangster</t>
  </si>
  <si>
    <t>paradisefound</t>
  </si>
  <si>
    <t>bones_titanium</t>
  </si>
  <si>
    <t>1593812587248914100_2305950752</t>
  </si>
  <si>
    <t>How many fit in this cedar tree?
#vacationtime #howmanycanfit #funny#keepongoing #cedartree #rosscreekcedars #rosscreek</t>
  </si>
  <si>
    <t>Troy, Montana</t>
  </si>
  <si>
    <t>rosscreek</t>
  </si>
  <si>
    <t>rosscreekcedars</t>
  </si>
  <si>
    <t>howmanycanfit</t>
  </si>
  <si>
    <t>1593812725745453671_429150387</t>
  </si>
  <si>
    <t>We had such a great celebration of #Goodtimes and #Yummytimes for Camilla and Amy today at La Tasca 😊. Lots of laughs, lots of banter and lots of yummy food. Going to really miss having them around in the office, wishing them God's best always 🙏
#LaTasca #London #KeepOnGoing #GodsBest #EnjoyLife #Friends #Joy #Fun #Laughs #Banter #WillMissThem #LookingForwardToOurCatchUps #Love #Faith #Thursday #JamesStreet #LondonTown #LondonLife #Thankful #Blessed #GoodPeople #MakeADifference #Shine #GreaterThingsToCome #Work #LastDay #TrustGod #Loved</t>
  </si>
  <si>
    <t>jamesstreet</t>
  </si>
  <si>
    <t>kimre4ever</t>
  </si>
  <si>
    <t>1593868309953184563_5470404883</t>
  </si>
  <si>
    <t>#fakesmile #atworklikethis #keepongoing #megadeth</t>
  </si>
  <si>
    <t>fakesmile</t>
  </si>
  <si>
    <t>megadeth</t>
  </si>
  <si>
    <t>atworklikethis</t>
  </si>
  <si>
    <t>jimmywallin89</t>
  </si>
  <si>
    <t>1593870164919017195_3091654199</t>
  </si>
  <si>
    <t>-You can't live a positive life with a negative mind, sometimes change is good.. say no more.- 😑 #friday #feeling #endoftheweek #weekend #motivation #deep #keepinmind #letgo #stayfocused #stayhappy #keepongoing #struggle #hustle #stayhumble #bequiet #seethelight #positive #positivevibes #positivemind #fucknegativity #lifeistoshort #love #life #lookforward #staystrong #needchange #onedayordayone</t>
  </si>
  <si>
    <t>Älvdalen</t>
  </si>
  <si>
    <t>lifeistoshort</t>
  </si>
  <si>
    <t>bequiet</t>
  </si>
  <si>
    <t>1593872395540898945_180615973</t>
  </si>
  <si>
    <t>Recuperando prácticas locales exitosas, una crónica de la Región Del Valle de Serdán. #elduodinamico #onceagain #ontheroad #wediditagain #rockinout #keepongoing #dontstop #thisishowwedoit #lovemyjob #travel #somewhereoutthere #municipalistasenaccion #changetheworld #impossibleisnothing #makethedifference #thisishome #estoespuebla #visitapuebla #tecamachalco #ontheroad</t>
  </si>
  <si>
    <t>Tecamachalco</t>
  </si>
  <si>
    <t>onceagain</t>
  </si>
  <si>
    <t>changetheworld</t>
  </si>
  <si>
    <t>insidemyminddd_</t>
  </si>
  <si>
    <t>1593876474056887596_3557304297</t>
  </si>
  <si>
    <t>New top 💜 Well today didn't start well at all..missed my alarm (again!) Which meant that I missed calling my sponsor&amp; missed getting ready n bussing to a lunchtime meeting where I was meant to give my friend the thing I made her last night &amp; hangout with her afterwards then come home, clean, have lunch &amp; do more assignment but no none of that happened 😤 ➡➡ instead I woke up at like 11.20am over tired realizing what happened, had a pity party about how lazy I am, had an innocent text from my flatmate that my mind twisted into a bitchy text so I was all lowkey mad at her and in a Fuck you kinda mood &amp; was planning on looking for a new flat &amp; just in general being really irritated &amp; grr 😬 ➡➡ BUT ended up having a shower , eating my mealplan breakfast and contacting my sponsor who said I could call in an hour and a half, I did my morning prayers and am feeling more capable, instead of being all bitchy n fucked off at my flatmate I'll just do what she asked, I get to see the person I wanted to see tomorrow night at the meeting and I'm going to an addictive eaters anonymous meeting tonight for the first time in over a week 🙌 , I can still clean &amp; get my assignment done (tho I'm gonna risk it &amp; watch a horror or thriller movie this arvo). Anyway just got an unknown number call from a chick asking if it was me then it went quiet n hung up . Gonna try someone from the food fellowship now and I'm thankful for my higher power.
________
#12steps #prayer #higherpower #godofmyunderstanding #spiritual #letgoandletgod #keepongoing #edrecovery #edfam #osfed #ednos  #ana #mia #compulsiveovereater #bingeeatingdisorder #addictionrecovery</t>
  </si>
  <si>
    <t>letgoandletgod</t>
  </si>
  <si>
    <t>ana</t>
  </si>
  <si>
    <t>osfed</t>
  </si>
  <si>
    <t>spiritual</t>
  </si>
  <si>
    <t>bingeeatingdisorder</t>
  </si>
  <si>
    <t>ging_mw</t>
  </si>
  <si>
    <t>1593885234431275955_55189117</t>
  </si>
  <si>
    <t>"Keep close to Nature's heart...and break clear away, once in a while, and climb a mountain o spend a week in the woods. Wash your spirit clean." -John Muir #devilstower #nationalpark #opoutside #travel #travelphotography #traveler #traveltheworld #beutifuldestinations #beautifulview #hiking #hikingadventures #adventureawaits #adventures #travelgram #photooftheday #naturelover #happytravels #beutifulsky #keepongoing #lifeofnature #travelwyoming #natureisamazing #hikingmountains #ilovehiking #hikingfun #hikeitout #blueskies #keepwalking #thatswy #aliveadventures</t>
  </si>
  <si>
    <t>blueskies</t>
  </si>
  <si>
    <t>natureisamazing</t>
  </si>
  <si>
    <t>jody_schnatter</t>
  </si>
  <si>
    <t>1593890987122321359_1066683560</t>
  </si>
  <si>
    <t>Just keep swimming, swimming, swimming. #fakeittilyoumakeit #keepongoing #keeponkeepingon</t>
  </si>
  <si>
    <t>1593896204324052527_5468355632</t>
  </si>
  <si>
    <t>Same...
-🐠
-
-
-
#josh #tyler #jenna #twentyonepilots #bands #frens #laugh #myidols 
#loveyou #bestmusic #keepongoing #ibelieve #theyrethebest #funny #smile #tøpmemes #tøp #stayalive #inspiring  #beautifulpeople</t>
  </si>
  <si>
    <t>ourfestivepuds</t>
  </si>
  <si>
    <t>1593907099170242457_473454067</t>
  </si>
  <si>
    <t>#keepongoing #trusttheprocess #ourfestivepuds #persistencepaysoff</t>
  </si>
  <si>
    <t>persistencepaysoff</t>
  </si>
  <si>
    <t>vthatsingeroverthere</t>
  </si>
  <si>
    <t>1593910094743323777_1267644733</t>
  </si>
  <si>
    <t>Hi everyone!! I decided to cover this new song that I really liked and I started hearing it on the radio at work so I'd say it's pretty popular now! Hope y'all enjoy this one! It's Why by Sabrina Carpenter.
-
-
-
-
-
-
#sing #singing #singingmakesmehappy #song #cover #fullcover #why #sabrinacarpenter #newsong #newsong2017 #singer #joy #aspiringtalent #aspiringsinger #tonight #karaoke #keepongoing #newmusic #radio #work #catchy #goodsong #herewego #aight @sabrinacarpenter</t>
  </si>
  <si>
    <t>herewego</t>
  </si>
  <si>
    <t>catchy</t>
  </si>
  <si>
    <t>sing</t>
  </si>
  <si>
    <t>newmusic</t>
  </si>
  <si>
    <t>andymappdrums</t>
  </si>
  <si>
    <t>1593910326292952123_40009105</t>
  </si>
  <si>
    <t>My happy place! 😀 @ludwigdrums_uk @ludwigdrumshq @alex.amedia @vateruk @vaterdrumsticks @drdrums_uk @pearl_drums @remopercussion @protectionracket #drummer #drums #ludwigartist #ludwig #instagood #followforfollow #switchtovater #wearefamily #studio #krkrokit #pearldrums #lovemyjob #keepongoing #asyouwere #sessionmusician</t>
  </si>
  <si>
    <t>drums</t>
  </si>
  <si>
    <t>ludwig</t>
  </si>
  <si>
    <t>sessionmusician</t>
  </si>
  <si>
    <t>drummer</t>
  </si>
  <si>
    <t>1593917335538650721_40740215</t>
  </si>
  <si>
    <t>You know that feeling you get when you accomplish one of your goals?? It makes me wanna do cartwheels and jump up and down like a crazy person, it's the best feeling in the world! If you've never experienced these feelings your doing something wrong!</t>
  </si>
  <si>
    <t>1593919339878498304_4230484970</t>
  </si>
  <si>
    <t>Incredible peachiness 🍑💛
@amberrdaviss</t>
  </si>
  <si>
    <t>aussiefrenchy</t>
  </si>
  <si>
    <t>1593919651087565926_198133944</t>
  </si>
  <si>
    <t>"Ne cesse jamais d'essayer, d'apprendre, de te battre, d'expérimenter, de faire... jusqu'à ce que le miracle ce produit" .
.
.
#quote #inspiration #keepongoing #disney #learn #forever #goals #growth #makethemostofeverymoment #everythinghappensforareason #moments #aussiefrenchy #frenchy #life #yolo #forever #quote #motivation #devotion #dedication #miracle</t>
  </si>
  <si>
    <t>rahmieneh</t>
  </si>
  <si>
    <t>1593929877606600502_434604222</t>
  </si>
  <si>
    <t>You mean besides Saks?😂 Jusssst kiddding...(I'm more of a Nordstrom girl, anyways lol). 💃🏽I just need to be by an ocean or a lake...now if only the hubby would finish the boat renovation (one more week!!) so we could get out there, that would be lovely! Please and thank you!🙏🏽
#boats #lakes #oceans #boating #boatlife #idratherbeboating #lakelife #rahmieneh #travel #givemefive #letsdothis #boatrenovation #shoplocal #smallbusiness #entrepreneurlife #entrepreneurlifestyle #flyby #neverstopdreaming #alwayssomething #onlineshopping #nature #feelalive #goodtimes #makingmemories #keepongoing #familyfirst</t>
  </si>
  <si>
    <t>givemefive</t>
  </si>
  <si>
    <t>shoplocal</t>
  </si>
  <si>
    <t>1593957447578555548_1360876445</t>
  </si>
  <si>
    <t>100 days of inspiration_x000D_Day 9- Vinny Handa_x000D__x000D_A girl with contagious smile , she spreads love wherever she goes._x000D_Passionate about relations and make up, she can motivate the hell out of you. Though I haven't been much with her, but whenever I am with her, I am sure to smile 😊_x000D_From a stranger to make up artist to a friend, I have seen her happy in all the seasons of life._x000D_I aspire to remain happy in all walks of life like her._x000D_Thank you @vinny_handa for being in my life ❤ ._x000D_._x000D_._x000D_._x000D_._x000D_._x000D_._x000D_#100daysofinspiration #vinnyhanda #happiness #inspireeachother #everdaymotivation #staybeautiful#instadaily #challengeyourself #facethelife #alwayscheerful #killwithyoursmile #writersofinstagram #writerscommunity #smilealways #letsdoit #keepongoing #inspiringstories</t>
  </si>
  <si>
    <t>everdaymotivation</t>
  </si>
  <si>
    <t>alwayscheerful</t>
  </si>
  <si>
    <t>staybeautiful</t>
  </si>
  <si>
    <t>surealife</t>
  </si>
  <si>
    <t>1593968403605176513_1272208094</t>
  </si>
  <si>
    <t>#smile#windy#hair#closeup#edit#hd#hdr_lovers#hdr_europe#naturegram#natureisourgod#igers#ig_souls#bodylanguage#staypositive#keepongoing#dontforgettosmile 😆</t>
  </si>
  <si>
    <t>hdr_europe</t>
  </si>
  <si>
    <t>natureisourgod</t>
  </si>
  <si>
    <t>naturegram</t>
  </si>
  <si>
    <t>closeup</t>
  </si>
  <si>
    <t>ig_souls</t>
  </si>
  <si>
    <t>yoga_lary</t>
  </si>
  <si>
    <t>1593973774871800546_2517735413</t>
  </si>
  <si>
    <t>#keepondancing#reina#me#love#keeponkissing#keeponsliling#keeponmovin #keepongoing #keeponliving#keepondreaming#keepondancin</t>
  </si>
  <si>
    <t>keepondancing</t>
  </si>
  <si>
    <t>reina</t>
  </si>
  <si>
    <t>keeponsliling</t>
  </si>
  <si>
    <t>keepondancin</t>
  </si>
  <si>
    <t>1593977310108671093_5925468528</t>
  </si>
  <si>
    <t>As vezes a criatividade é vista de um modo negativo se não for imbuída de um contexto produtivo faça das suas idéias sua marca e seus produtos se você é um bom desenhista será bom para desenvolver propaganda visual se for bom esportista mesmo amador pode também promover marcas e campanhas se você acha que ninguém te entende faça seu grupo da meia noite ache pessoas com seu perfil desenvolva suas idéias forme seu time e profissionalize seu estilo de vida.
#life4life #keepongoing #paradiseinterior #yogaclass #discovertheroad #lifeissimple #beachbag #femaletravel #keepitlit #awesome_naturepix #lifepartner #travelbook #travelphotography #leaveyourmark #travelingcouple #journeys #vsco #animals #travellernottourist #косметика #успех #волосы #красотаволос #hair #life #уходзаволосами #красота #summer #rilife #instalife</t>
  </si>
  <si>
    <t>lifepartner</t>
  </si>
  <si>
    <t>travelingcouple</t>
  </si>
  <si>
    <t>justme.becky</t>
  </si>
  <si>
    <t>1593981095609872814_3005022410</t>
  </si>
  <si>
    <t>It can be discouraging to continually do the right thing and receive no thanks or see any real results. But we are #challenged to #keepongoing and #trust in God. In due time, we will reap the harvest of blessings. 
#dontgiveup #confidencefromwithin #motivation  #bestself #inspiration #enjoythejourney #glutenfree #girlmom #momofgirls #mindovermatter #enjoythejourney</t>
  </si>
  <si>
    <t>enjoythejourney</t>
  </si>
  <si>
    <t>confidencefromwithin</t>
  </si>
  <si>
    <t>1593983303232180797_194433727</t>
  </si>
  <si>
    <t>the_campbellettes</t>
  </si>
  <si>
    <t>1593987185438374392_2038400027</t>
  </si>
  <si>
    <t>We are still working hard to get to Curefest in a few weeks so that we can share our hope for a cure to DIPG.  Thank you to @mikegillettemedia @the.truth365 @curefestusa for helping us on this journey.  #keepongoing #sister #duet for #dipgawareness #inherhonor #curefest #curefestorbust 💞💞💞💞💞💞💞 @phoebe_campbell13 @official_avarose  Please click the link in our bio for more info ⬆️⬆️⬆️⬆️⬆️ #phoebe_campbell13 #official_avarose</t>
  </si>
  <si>
    <t>curefest</t>
  </si>
  <si>
    <t>sister</t>
  </si>
  <si>
    <t>official_avarose</t>
  </si>
  <si>
    <t>curefestorbust</t>
  </si>
  <si>
    <t>inherhonor</t>
  </si>
  <si>
    <t>1593988046067189309_5944730818</t>
  </si>
  <si>
    <t>Be nice to people , guys ! Unless they treat you like shit (sorry not sorry ) 😏
#inspirationalquotes #inspiration #motivationalquotes #motivation #quotes #loveyourself #love #friendship #family #chaseyourdreams #liveyourdream #dontgiveup #keepongoing</t>
  </si>
  <si>
    <t>haylie_sunshine</t>
  </si>
  <si>
    <t>1593994195773102181_1827605864</t>
  </si>
  <si>
    <t>My mom made a video of my music recital , here's a clip . Kind of hard to hear but here it is . Had a great time at the music recital with Molly @mollysmusicschool #singer #music #lovemusic #doingwhatilove #bestmusicteacherever #mollyrocks #mollysmusic #actress #model #keepongoing #staytogether #recital</t>
  </si>
  <si>
    <t>mollysmusic</t>
  </si>
  <si>
    <t>bestmusicteacherever</t>
  </si>
  <si>
    <t>mollyrocks</t>
  </si>
  <si>
    <t>doingwhatilove</t>
  </si>
  <si>
    <t>dawnting88</t>
  </si>
  <si>
    <t>1593995722372703475_855988908</t>
  </si>
  <si>
    <t>Moving day got me like. #exhaustedmommy #momlife #movingday #norestforthewicked #workoutofsorts #tiredaf #onedayoff #gottadoit #almostthere #sleepinginmyclothes #keepongoing #movingishardwork #ineedadrink #ineedavacation</t>
  </si>
  <si>
    <t>movingishardwork</t>
  </si>
  <si>
    <t>exhaustedmommy</t>
  </si>
  <si>
    <t>1594013474562868750_5898539470</t>
  </si>
  <si>
    <t>-
內心翻騰的感受該怎麼稱呼？
懷念 感慨 不明白 還是捨不得
貌似也找不到明確的定位。
看著最單純的笑容時
心總隱隱作痛
該如何化解呢？
我也想知道。
.
.
#20170901
#人生 #明白 #困難 #堅持 
#捨不得 #永遠 #lastforever #sophisticated #keepongoing #always #optimistic #tryhard #believe #頑張れ #最後まで #ファイト #行け</t>
  </si>
  <si>
    <t>困難</t>
  </si>
  <si>
    <t>行け</t>
  </si>
  <si>
    <t>sophisticated</t>
  </si>
  <si>
    <t>ファイト</t>
  </si>
  <si>
    <t>1594021275222559356_5495249433</t>
  </si>
  <si>
    <t>Simple yummy lunch 👌🌽🥗</t>
  </si>
  <si>
    <t>healthylive</t>
  </si>
  <si>
    <t>1594032685180538429_429150387</t>
  </si>
  <si>
    <t>We welcome the month of #September today Wow how time is going, May you experience God's best and nothing less. It does not matter what’s happened in your past, it’s time to forget what lies behind. Make the choice to live forward. Sometimes our past victories keep us from rising higher as much as past failures. If we don’t let go of the old, we will never be able to embrace the new. Trust that God has a great future in store for you. Trust that He’s working on your behalf in all things. As you forget what lies behind and press forward, you will move forward. You will see increase, blessings and live the abundant life He has in store for you. Remember in Christ all things are possible, so enjoy your victorious blessed life. Have a Blessed New Month. Trust God, Keep going and don't give up. Keep believing for the best and stay focused. Enjoy this new month, God Bless you all lots 😊. #HappySeptember #NewMonth #FridayFeeling #LookToJesus #AbundantLife #Healing #Blessing #Love #Joy #MoveForward #KeepOnGoing #DontGiveUp #LetGoAndLetGod #TrustInJesus #LookToJesus #Victory #YouAreBlessed #YouAreVictorious #Devotion #Encouragement #Change #PressForward #TimeForTheNew #Pray #PrayerWorks #Embrace #Christianity #YouAreLoved #JesusLovesYou</t>
  </si>
  <si>
    <t>christianity</t>
  </si>
  <si>
    <t>youarevictorious</t>
  </si>
  <si>
    <t>hendriconieuwoudt</t>
  </si>
  <si>
    <t>1594040949367927719_5515382641</t>
  </si>
  <si>
    <t>What lies behind us and what lies before us are tiny matters compared to what lies within us.
#fitness#fit#healthy#fitspo#fitgoals#hardworkpaysoff#gymlife#keepongoing#photoshoot#instafit#photooftheday#blessed#justdoyourbest#thankful 📷 Louis Botha</t>
  </si>
  <si>
    <t>justdoyourbest</t>
  </si>
  <si>
    <t>heatherliu1986</t>
  </si>
  <si>
    <t>1594044995093181299_5444304605</t>
  </si>
  <si>
    <t>Enjoy Your Beginning of School Days, My Girl
#havefun #happyschool #enjoytheday #loveyou #mygirl #youarethebest #healthy #peaceful #mybestgirl #wishyouhappy #keepongoing #momloveyou #dadloveyou #september #goodbeginning</t>
  </si>
  <si>
    <t>China South City, Shenzhen, China</t>
  </si>
  <si>
    <t>enjoytheday</t>
  </si>
  <si>
    <t>goodbeginning</t>
  </si>
  <si>
    <t>mybestgirl</t>
  </si>
  <si>
    <t>millanlundgren</t>
  </si>
  <si>
    <t>1594046821252278359_547895494</t>
  </si>
  <si>
    <t>Rehab training...,cycling, arms and shoulders 🙃#rehabtraining #keepongoing #gym #nopainnogain #satsgärdet #sats #mytherapy#fitnessmom #fitness #fitnessat50</t>
  </si>
  <si>
    <t>fitnessat50</t>
  </si>
  <si>
    <t>fitnessmom</t>
  </si>
  <si>
    <t>satsgärdet</t>
  </si>
  <si>
    <t>1594056637759402706_279512262</t>
  </si>
  <si>
    <t>Отголоски пролетевшего лета🍃
Ну вот и все, сентябрь. Те, кто ещё молод душой, отправляются на занятия или хотя бы это планируют😄 
Поздравляю всех, кто так или иначе скучал по школам, универсам и просто осенней поре✌🏻
.
#photooftheday #breakfast #loveinmoscow #seemymoscow #livy #lifeex #livefolk #livelife #livestory #livethedream #liveauthentic #livealittle #daily #dreamers #vsco #vegan #vibes #vscocam #vscogood #vscofood #abmlife #authentic #abmhappylife #moscowlife #keepongoing</t>
  </si>
  <si>
    <t>Лето на Патриках</t>
  </si>
  <si>
    <t>1594062111747347344_5586814877</t>
  </si>
  <si>
    <t>Hello September 🙋🏻One of my favourite months, bring on Autumn 🍂 
#helloseptember #fooddiary #slimmingworld #sw #slimmingworldfood #slimmingworldjourney #health #happiness #selfimprovement #bethebestyou #keepongoing #nomorestartingover</t>
  </si>
  <si>
    <t>1594070524187471559_279120248</t>
  </si>
  <si>
    <t>While others are busy for out of town trips due to the long weekend.. im just here being a loser and working on my cleans, bb snatch, boxjumps, prowler and battle rops 😢😢😢 @poundforpoundfitness @roi_cajili  #poundforpoundlaspiñas #poundforpoundfitness #roiknows #coachkoyan #fitness #stresssicoach #holidayworkout #sweat  #strenghtandconditioning #keepongoing #keepongrinding #moveforward #letyourprogressdothetalking #blackandwhite #phonephotography #phonetography #worksilently</t>
  </si>
  <si>
    <t>strenghtandconditioning</t>
  </si>
  <si>
    <t>coachkoyan</t>
  </si>
  <si>
    <t>keepongrinding</t>
  </si>
  <si>
    <t>poundforpoundlaspiñas</t>
  </si>
  <si>
    <t>1594079313082013020_5360973505</t>
  </si>
  <si>
    <t>Starting the morning with berries🍓🍇 and quark 😋...saving heB for later #slimmingworldfoodoptimising #slimmingworlder #swblogger #morningmotivation #newmonth #swuk #swmum #swfriends #swfood #fruit #breakfast #stayhealthy #slimmingjourney #keepfocused #keepongoing</t>
  </si>
  <si>
    <t>slimmingjourney</t>
  </si>
  <si>
    <t>swmum</t>
  </si>
  <si>
    <t>swfood</t>
  </si>
  <si>
    <t>henkesson</t>
  </si>
  <si>
    <t>1594079591399282320_27383270</t>
  </si>
  <si>
    <t>Come on Friday let's do this ! #keepongoing #Friday #soonweekend</t>
  </si>
  <si>
    <t>soonweekend</t>
  </si>
  <si>
    <t>aa_epic</t>
  </si>
  <si>
    <t>1594081042738526343_298381553</t>
  </si>
  <si>
    <t>Giving a lecture for small business at a local office space this was on the wall!! I got inspired and thought to share it with you as well... Never give up... Live life with passion!! #michaeljordan #motivation #livelifewithpassion #moveforward #dontgiveup #keepongoing</t>
  </si>
  <si>
    <t>michaeljordan</t>
  </si>
  <si>
    <t>livelifewithpassion</t>
  </si>
  <si>
    <t>inmydayz</t>
  </si>
  <si>
    <t>1594089316044080838_5547791700</t>
  </si>
  <si>
    <t>#love #loveyourself #lovequotes #loveislove #love❤️ #dontgiveup #dontstop #dontquit #nevergiveup #neverforget #neverquit #keepongoing #keepmoving #havefaith #faith #iloveyou #iluvyou #ily #positivity #positivelife #positivemind #positivevibes #positivequotes #forever #always #youandme #us #youandi #quoteoftheday #quotesaboutlife</t>
  </si>
  <si>
    <t>808fitfam_</t>
  </si>
  <si>
    <t>1594093175650180316_3466173739</t>
  </si>
  <si>
    <t>#StayHealthyStayFit...
because YOU are so #WorthIT! 💚
#POUNDinthePARK #FunActiveLifestyle #KeepOnGoing #CantStopWontStop
@daoriginal_mamajay808 @iveeeeeeeeeeee @dani_e808 @flowitheroll @kaylaahbuu @blaze_kekoa</t>
  </si>
  <si>
    <t>Magic Island (Hawaii)</t>
  </si>
  <si>
    <t>poundinthepark</t>
  </si>
  <si>
    <t>stayhealthystayfit</t>
  </si>
  <si>
    <t>1594095427370723608_5705167414</t>
  </si>
  <si>
    <t>I might post more today, since I'm having a holiday  #Dubnation
-
-
-
-
-
-
-
-
-
-
-
-
-
-
-
-
-
-
-
-
-
-
-
-
-
-
-
-
-
-
-
-
-
-
-
-
-
-
-
-
 #StephGonnaSteph #Mvp #SC30 #KT11 #DG23 #CURRYMVP #KEEPONGOING #NEVERGIVEUP #WCF #WEST #WESTERNCONFERENCEFINALS #CHAMPS #DUBSFORCHAMPS #DUBS #ALWAYSBELIEVEINGOD #STEPHENCURRY #EVEN #NBA #2016CHAMPS #CHAMPIONS #LOCKIN #STEPH #SPLASH #SPLASHBROS  #like4like #like4follow #follow4follow</t>
  </si>
  <si>
    <t>brocksjetmoksje</t>
  </si>
  <si>
    <t>1594097057739954092_1629082371</t>
  </si>
  <si>
    <t>Proficiat @lynntje86 
#tbt #marriage #5years #hallelujah #iwouldsignagainwithoutadoubt #2childrenlater #stillhappytogether #loveyousomuch #keepongoing #💋</t>
  </si>
  <si>
    <t>Koksijde, Belgium</t>
  </si>
  <si>
    <t>2childrenlater</t>
  </si>
  <si>
    <t>5years</t>
  </si>
  <si>
    <t>loveyousomuch</t>
  </si>
  <si>
    <t>stillhappytogether</t>
  </si>
  <si>
    <t>mattschroeder029</t>
  </si>
  <si>
    <t>1594099432949751660_1730336984</t>
  </si>
  <si>
    <t>With everything going on this is how i feel. But i will keep going no matter what it takes. Got keep my head up and not look back. Once you fall the only way is up. #neverlookback #nevergiveup #keepongoing #feelings #alwayssmiling #lifeishardsometimes #dontgiveup</t>
  </si>
  <si>
    <t>misskelaura</t>
  </si>
  <si>
    <t>1594108322282014703_17951301</t>
  </si>
  <si>
    <t>1 September.. all 👧🏼👦🏼back to school... and here? School never ended😂👌🏼#keepongoing #school #tryingtoeathealthy</t>
  </si>
  <si>
    <t>tryingtoeathealthy</t>
  </si>
  <si>
    <t>1594110724191780807_580859030</t>
  </si>
  <si>
    <t>S T R E E T ⚠
•
Autumn is around the corner. We could feel it into our bones! •
#barcelona 
#street 
#streetart 
#streetpainting 
#streetphotography 
#summerseason 
#ends 
#autumn 
#comingsoon 
#rainydays 
#warmup 
#leaves 
#fall 
#newbalance 
#girl 
#colorful 
#road 
#keepongoing 
#lines 
#arqlovers 
#photography 
#travel 
#discover 
#follow 
#instaphoto 
#instaart 
#arte</t>
  </si>
  <si>
    <t>Sant Antoni</t>
  </si>
  <si>
    <t>warmup</t>
  </si>
  <si>
    <t>laursenmarianne</t>
  </si>
  <si>
    <t>1594118384484583459_1223463567</t>
  </si>
  <si>
    <t>#keepongoing #fredagsfilosofi #truestory</t>
  </si>
  <si>
    <t>I Det Eftertænksomme Hjørne</t>
  </si>
  <si>
    <t>truestory</t>
  </si>
  <si>
    <t>fredagsfilosofi</t>
  </si>
  <si>
    <t>heather.swang</t>
  </si>
  <si>
    <t>1594127828329150183_1520789804</t>
  </si>
  <si>
    <t>And just like that 2 years has passed.
57 stamps.
25 countries.
50+ cities.
Endless memories. 
One final trip to Amsterdam and then off to Canada to do it all over again. #thisisthelife .
.
.
.
.
.
.
.
#travel #europe #tick #complete #wheretonext #endofanera #london #amsterdam #ilovemylife #holiday #travelspam #australian #australianpassport #stamps #keepongoing #life</t>
  </si>
  <si>
    <t>stamps</t>
  </si>
  <si>
    <t>1594128000085212496_183785074</t>
  </si>
  <si>
    <t>Ride
#keepongoing #horses #instagay #nature #intothewild</t>
  </si>
  <si>
    <t>aps307</t>
  </si>
  <si>
    <t>1594128259369305520_3974126662</t>
  </si>
  <si>
    <t>Capture it for yourself#hope#breathe#qoute#inspiration#karam#doitwiththefearodgod#struggle#mediation#keepongoing#love</t>
  </si>
  <si>
    <t>karam</t>
  </si>
  <si>
    <t>irene__lla</t>
  </si>
  <si>
    <t>1594137332034292544_5448622771</t>
  </si>
  <si>
    <t>#newmonth#newgoals#keepongoing</t>
  </si>
  <si>
    <t>newgoals</t>
  </si>
  <si>
    <t>newmonth</t>
  </si>
  <si>
    <t>maureen200266</t>
  </si>
  <si>
    <t>1594138819056166452_2198701298</t>
  </si>
  <si>
    <t>上台北上台北👣
 但是為什麼是去上課的😭
Fighting！ 9月底就可以去度假了
#badcold #frienddate #keepongoing</t>
  </si>
  <si>
    <t>國道上奔馳</t>
  </si>
  <si>
    <t>badcold</t>
  </si>
  <si>
    <t>frienddate</t>
  </si>
  <si>
    <t>jia_fashion_house</t>
  </si>
  <si>
    <t>1594142171832018849_649320238</t>
  </si>
  <si>
    <t>As this says seize it, every opportunity this new month offers, to step forward, to make good a promise, to do something new, in a new way everyday. #gettingbettereveryday ,#keepongoing , #movingon .</t>
  </si>
  <si>
    <t>gettingbettereveryday</t>
  </si>
  <si>
    <t>1594142601370453889_2075039459</t>
  </si>
  <si>
    <t>h3nrysetiawan</t>
  </si>
  <si>
    <t>1594147942440589659_2148702200</t>
  </si>
  <si>
    <t>Meninggalkan zona kenyaman dan mengikuti panggilan Tuhan , 20 tahun hidup di tanah papua , berjuang utk menjadi garam dan terang di tanah papua...melihat kehidupan Bapak Leo dengan kerendahan.hati dan pengalamannya bersama dgn Tuhan, membuat berpikir  bahwa apa yg saya kerjakan sungguh sungguh belum seberapa , ...thx pak.sudah menjadi contoh buat generasi muda arti kata " Panggilan " ....
#SayaMasihBelajar #Learning #OjoDumeh #BlumApa2 #PerjalananMasihJauh #KeepOnLearning #KeepOnGoing #KeepOnDoing #</t>
  </si>
  <si>
    <t>Kaliurang, Jawa Tengah, Indonesia</t>
  </si>
  <si>
    <t>blumapa2</t>
  </si>
  <si>
    <t>perjalananmasihjauh</t>
  </si>
  <si>
    <t>jon.snow90</t>
  </si>
  <si>
    <t>1594148505954207948_387672200</t>
  </si>
  <si>
    <t>There are ups and downs in life.. #keepongoing 
#keyofhappiness</t>
  </si>
  <si>
    <t>keyofhappiness</t>
  </si>
  <si>
    <t>1594148515473535531_203325600</t>
  </si>
  <si>
    <t>Na Eden af te zetten voor zijn eerste schooldag nam ik even tijd om die wekelijkse run in te plannen. #Running #Diksmuide #DiksmuideMoves #SportersBelevenMeer #Training #Stampycer #Stampyc #12K #KeepOnGoing #InsaRun #Runstagram #StravaRunner #BattleOfThorHereICome</t>
  </si>
  <si>
    <t>stravarunner</t>
  </si>
  <si>
    <t>runstagram</t>
  </si>
  <si>
    <t>12k</t>
  </si>
  <si>
    <t>1594148965773835355_7760595</t>
  </si>
  <si>
    <t>"Let your smile change the world but don't let the world change your smile!" ~unknown
#love #life #live #happy #smile #laugh #change #happiness #keepongoing #nevergiveup #staystrong #quote #instaquote #quoteoftheday #picture #portrait #blackandwhite #girl #woman #picsart #photogrid</t>
  </si>
  <si>
    <t>photogrid</t>
  </si>
  <si>
    <t>jasminatoh</t>
  </si>
  <si>
    <t>1594149936009334919_176189464</t>
  </si>
  <si>
    <t>Productive Friday #offbutnotoff #singer #classical #opera #lifeofasinger #studytime #keepongoing #loveit #timeforme</t>
  </si>
  <si>
    <t>opera</t>
  </si>
  <si>
    <t>classical</t>
  </si>
  <si>
    <t>studytime</t>
  </si>
  <si>
    <t>1594151311188632723_185195397</t>
  </si>
  <si>
    <t>Be in the present moment by engaging the five senses. BREATHE. ⭐️❤️Happy Friday! .
.
.
#bepresent #inthemoment #hereandnow #beherenow #breatheinbreatheout #amazingsunrise #rundaily #runhappy #meditatedaily #mindfullness #makeitcount #youareloved #youareenough #youareworthit #youaremagnificent #clarity #cakidiehl #charlestonsc #appreciatelife #highvibes #highenergy #positivemindset #choosejoy #joyfullife #persevere #keepongoing #kindnessmatters #compassionmatters</t>
  </si>
  <si>
    <t>inthemoment</t>
  </si>
  <si>
    <t>michela_faedda</t>
  </si>
  <si>
    <t>1594156497393557339_41562375</t>
  </si>
  <si>
    <t>Settembre è il vero inizio anno.
Buon anno a tutti 🎊🎊🎉🎉
Happy New year 
Bonne année
Sobota dobir leto
Feliz año nuevo
Feliz ano novo 
Prost Neujahr
___________
#september #1settembre #settembre #anno #year #happy #new #start #instagram #instagood #instalike #instadaily #instadailyphoto #school #comingsoon #keepcalm #keepongoing #language #phrase #stop #holydays #comment #quote #quotes #dailyphotos #tweetgram #fun #life #weekend</t>
  </si>
  <si>
    <t>anno</t>
  </si>
  <si>
    <t>instadailyphoto</t>
  </si>
  <si>
    <t>year</t>
  </si>
  <si>
    <t>settembre</t>
  </si>
  <si>
    <t>healthcreator.se</t>
  </si>
  <si>
    <t>1594156580390529255_302992500</t>
  </si>
  <si>
    <t>Perfekt jogga väder 😘💕✨👊🏻🏃🏽‍♀️#jogga #exercise #träna #healthcreator #running #jogging #healthblogger #foodblogger #eatcleankokbok #skapadinhälsa #yvonnehedberg #foodblogger #healthblogger #tränapålunchen #nykokbokpågång #eatclean #veganfood #healthyliving #healthyfood #plantbased #organicfood #ekomat #entrepreneurlife #lawofattraction #1111 #keepongoing  #strong #happyhappy #followyourheart</t>
  </si>
  <si>
    <t>ekomat</t>
  </si>
  <si>
    <t>organicfood</t>
  </si>
  <si>
    <t>jogga</t>
  </si>
  <si>
    <t>loreleismusings</t>
  </si>
  <si>
    <t>1594157693717894134_4148799815</t>
  </si>
  <si>
    <t>Soooo what does everyone think of this? I really made me chuckle yesterday, it's pretty on point isn't it? 
For me it's not always like this but there have definitely been episodes where I've felt under siege by feelings that have been so powerful that I yearned to cease existing - that's the call of the void - that's the worst kind of episode. Other minor episodes were where I felt overwhelmed by worries about the future (anxiety), pulled down by emotional baggage (depression) etc etc.
Yesterday I noticed a lot of bird synchronicities (the seagulls in this meme as one example) and it got me thinking. What is the message from birds?
They soar. They see the bigger picture from their high perspective. They do not get tangled in affairs on the ground (low vibration thoughts). Another way of looking at it is to see the seagulls as shrieks of the ego - when we feel the unhelpful feelings that cause depression and anxiety it is the ego insisting that we are not ok, they are not ok, things aren't right etc etc. Ignore the shrieks and soar above - disengage from the programming and reject the unhelpful thoughts. Fight it. 
The ego is a coward; the Soul is not.
Listen to your Soul. ~Lorelei 
#loreleismusings</t>
  </si>
  <si>
    <t>1594157700529474199_4249248273</t>
  </si>
  <si>
    <t>I've got that Friday feeling looking back at all the non training things I promised I would hold myself to this year....I think the 2 hardest ones but most rewarding have been to be able to find a win on the bad days - learn to be grateful even if life might feel like it's coming apart and to accept that I can't change what is not within my control. Together, both of those have made life different, in a good way. Did you decide to make any changes to your life like this? What did you do? @thisgirlcanclimbing @thisgirlcanuk @ehlersdanlosuk #ehlersdanlossyndrome #amputee #fridayfeeling #fridaythoughts #introspect #lookingback #lookingforward #promise #selfcare #mantra #lifestyle #choices #cancersurvivor #muslim #hijab #paraclimber #climber #findyourhappy #empowerment #acceptance #grateful #enjoythelittlethings #yesican #balance #icandothis #keepongoing #keepsmiling #lifegoals</t>
  </si>
  <si>
    <t>yesican</t>
  </si>
  <si>
    <t>empowerment</t>
  </si>
  <si>
    <t>findyourhappy</t>
  </si>
  <si>
    <t>abundanceclinic</t>
  </si>
  <si>
    <t>1594161423427302217_4464559848</t>
  </si>
  <si>
    <t>#repost from @loreleismusings :
:
:
Soooo what does everyone think of this? I really made me chuckle yesterday, it's pretty on point isn't it? 
For me it's not always like this but there have definitely been episodes where I've felt under siege by feelings that have been so powerful that I yearned to cease existing - that's the call of the void - that's the worst kind of episode. Other minor episodes were where I felt overwhelmed by worries about the future (anxiety), pulled down by emotional baggage (depression) etc etc.
Yesterday I noticed a lot of bird synchronicities (the seagulls in this meme as one example) and it got me thinking. What is the message from birds?
They soar. They see the bigger picture from their high perspective. They do not get tangled in affairs on the ground (low vibration thoughts). Another way of looking at it is to see the seagulls as shrieks of the ego - when we feel the unhelpful feelings that cause depression and anxiety it is the ego insisting that we are not ok, they are not ok, things aren't right etc etc. Ignore the shrieks and soar above - disengage from the programming and reject the unhelpful thoughts. Fight it. 
The ego is a coward; the Soul is not.
Listen to your Soul. ~Lorelei 
#abundanceclinic</t>
  </si>
  <si>
    <t>reprogramingourconsciousness</t>
  </si>
  <si>
    <t>okcorral</t>
  </si>
  <si>
    <t>ankadabrowska</t>
  </si>
  <si>
    <t>1594164648689436671_248408416</t>
  </si>
  <si>
    <t>Good times... @l.garlic_photography ❤️⚡️#oldfriends #LIFE #talktalk #memories #hearttoheart #takenoshit #resist #keepongoing #keeponpushing #warszawa #warsaw</t>
  </si>
  <si>
    <t>Hala Koszyki</t>
  </si>
  <si>
    <t>talktalk</t>
  </si>
  <si>
    <t>resist</t>
  </si>
  <si>
    <t>keeponpushing</t>
  </si>
  <si>
    <t>shabeer_hussain_</t>
  </si>
  <si>
    <t>1594168653242153717_3587061939</t>
  </si>
  <si>
    <t>#endlessroad #futuregoals #keepongoing #longway #hahaha</t>
  </si>
  <si>
    <t>hahaha</t>
  </si>
  <si>
    <t>endlessroad</t>
  </si>
  <si>
    <t>futuregoals</t>
  </si>
  <si>
    <t>liftr4life</t>
  </si>
  <si>
    <t>1594170872616577014_5879730374</t>
  </si>
  <si>
    <t>#alldayumay #richpiana #keepongoing #5percent</t>
  </si>
  <si>
    <t>alldayumay</t>
  </si>
  <si>
    <t>richpiana</t>
  </si>
  <si>
    <t>5percent</t>
  </si>
  <si>
    <t>lady.gg</t>
  </si>
  <si>
    <t>1594174795901514307_207342581</t>
  </si>
  <si>
    <t>Lazy friday! 🐾 #womanfit #girlswholift #girlssquat #fitlike #progress #healthylifestyle #gymlife #dedicationhasnolimitation #squatgirls #girlpower #ladysfirst #ladyboss #bossgirls #fitfam #coupleswholift #couplegoals #fitfamnl #fitdutchies #dutchfitgirl #girlswholift #xxlnutrition #xxl #biggerisbetter #fitfamnl #fitfam #girlpower #strongwomen #motivated #keepongoing  #gymtime #newlife #healthylifestyle #gymqueen #transformation #dutchfitness</t>
  </si>
  <si>
    <t>squatgirls</t>
  </si>
  <si>
    <t>ladyboss</t>
  </si>
  <si>
    <t>meicydiaz</t>
  </si>
  <si>
    <t>1594175775473243309_265762239</t>
  </si>
  <si>
    <t>#legendsareborninseptember #septembermourning #keepongoing #vamuarriba #touchè</t>
  </si>
  <si>
    <t>septembermourning</t>
  </si>
  <si>
    <t>vamuarriba</t>
  </si>
  <si>
    <t>touchè</t>
  </si>
  <si>
    <t>legendsareborninseptember</t>
  </si>
  <si>
    <t>1594176245134010722_2317517565</t>
  </si>
  <si>
    <t>😂😂😂 •••
#mortentillitzdk  #whatwouldbeyoncedo #toldyouso #tropådet #personligtræner #personaltrainer #cycling #Cykling #styrketræning #løb #Svømning #Swim #running #stronger #personligtræner #mitodense #fitfam #ﬁtfamdk #actionequalsresults #handlingskabersucces #helkropstræning #fullbody #SunRiceClubbyMortenTillitzDK #mentalpause #blivved #keepongoing #styrketræning #painfree #smertefri #søvn #sleep #mitodense</t>
  </si>
  <si>
    <t>arnold.patrick.sevilla</t>
  </si>
  <si>
    <t>1594181002648266416_2063445636</t>
  </si>
  <si>
    <t>Stay strong, make them wonder why you're still smiling ☺💪
.
.
.
.
.
.
.
.
.
.
#keepongoing #workhardplayharder #motivation #train #sweatyfriday #workoutmotivation #positivity #bettersorethansorry #consistency #calisthenics #streetstyle #streetworkout #fitnessmotivation #fitnessboy #asian #pinoy #wootd #fridayworkout #selfieafterworkout</t>
  </si>
  <si>
    <t>bettersorethansorry</t>
  </si>
  <si>
    <t>asian</t>
  </si>
  <si>
    <t>fridayworkout</t>
  </si>
  <si>
    <t>selfieafterworkout</t>
  </si>
  <si>
    <t>kenthiquan</t>
  </si>
  <si>
    <t>1594181182383694768_355701017</t>
  </si>
  <si>
    <t>When every rep starts to kill ya! But u still keep on going.  50kg Dumbbells for the shoulder. #asiancandoit #gymaddition #shoulderpress #keepongoing #dedication</t>
  </si>
  <si>
    <t>TopFit 24 Neu-Ulm</t>
  </si>
  <si>
    <t>shoulderpress</t>
  </si>
  <si>
    <t>asiancandoit</t>
  </si>
  <si>
    <t>gymaddition</t>
  </si>
  <si>
    <t>1594182276265198947_5509071474</t>
  </si>
  <si>
    <t>Did an at home workout this morning and I am literally dripping with sweat. I guess that's when you know it works. 😂💦💪 #weightloss #weightlossjourney #weightlossblog #weightlossmotivation #weightlossinspo #weightlossstory #weightlosscommunity #weightlossdiary #weightlosssupport #weightlossjournal #weightlossfam #weightlossfamily #wegotthis #yougotthis #nevergiveup #keepongoing #workout #morningmotivation</t>
  </si>
  <si>
    <t>wegotthis</t>
  </si>
  <si>
    <t>weightlossinspo</t>
  </si>
  <si>
    <t>lollielovemom</t>
  </si>
  <si>
    <t>1594183007979666626_46777018</t>
  </si>
  <si>
    <t>Not only my kids get a new start... I also have a few things I want to achieve! So today I'm gonna start and hope to get some dreams accomplished! 💪 #Start #NeverGiveUp #Healthy #NewLife #GonnaBeHard #KeepOnGoing #NoFailure #LongWayToGo</t>
  </si>
  <si>
    <t>start</t>
  </si>
  <si>
    <t>nofailure</t>
  </si>
  <si>
    <t>longwaytogo</t>
  </si>
  <si>
    <t>1594183190791283579_5509071474</t>
  </si>
  <si>
    <t>I suppose I should shower and get ready for work now.... feeling good!!! #weightlossblog #weightlossmotivation #weightlossinspo #weightlossstory #weightlosscommunity #weightlossdiary #weightlosssupport #weightlossjournal #weightlossfam #weightlossfamily #wegotthis #yougotthis #nevergiveup #keepongoing #workout #morningmotivation</t>
  </si>
  <si>
    <t>1594184141263837945_5722990971</t>
  </si>
  <si>
    <t>Wanted so much to join the September challenge! I should set myself to draw at least once a day no matter how busy I am 😍. Hello september! draw #pencil #pen #paddleplant  #linedrawing #draw #onedrawingaday #keepongoing #illustration #creative #creativemind #doubleletterchallenge #lettering #handlettering #painting #happy</t>
  </si>
  <si>
    <t>linedrawing</t>
  </si>
  <si>
    <t>pencil</t>
  </si>
  <si>
    <t>doubleletterchallenge</t>
  </si>
  <si>
    <t>painting</t>
  </si>
  <si>
    <t>1594188227841235449_5722990971</t>
  </si>
  <si>
    <t>Not sure if I am correct with it but heyaaa Hello September! My most exciting month of the year, @thepigeonletters challenge #homesweethome #draw #pencil #pen #doodling #paddleplant #doubleletterchallenge #linedrawing #drawing #nevergiveup #keepongoing #letsworkitout</t>
  </si>
  <si>
    <t>1594192815713114093_5944730818</t>
  </si>
  <si>
    <t>I actually done it once and it was awsome ! Tbh it was actually a short unexpected trip and i hope to do it again 😁
#inspirationalquotes #inspiration #motivationalquotes #motivation #friendship #friendshipquotes #travel #friendshipgoal #love #loveyourself #family #chaseyourdreams #liveyourdream #dontgiveup #keepongoing</t>
  </si>
  <si>
    <t>friendshipgoal</t>
  </si>
  <si>
    <t>1594196120454598285_3623309738</t>
  </si>
  <si>
    <t>Saint Chamond, Loire.
Photo by @blandinette42
.
.
.
.
.
.
.
.
#yogamen #crystalclearwater #travelaccessories #hlobelletravels #keepongoing #Instalove #paradisepier #creativeentrepreneur #travelstoke #webstagram #creativepreneur #getoutdoors #travelpost #awesome_hotel #anewbreedoftraveller #majestic_earth #lifeisfun #travellingourplanet #yogadudes #getoutstayout #moodygrams #beachbar #mytraveldiary #skyporn #travelstagram</t>
  </si>
  <si>
    <t>hlobelletravels</t>
  </si>
  <si>
    <t>travellingourplanet</t>
  </si>
  <si>
    <t>mhandreea</t>
  </si>
  <si>
    <t>1594196762621275056_1309048185</t>
  </si>
  <si>
    <t>Story of my life 👱🏼‍♀️🤓 #preplife #bikinicompetitor #tired #keepongoing #nopainnogain 💪🏻👌🏻</t>
  </si>
  <si>
    <t>preplife</t>
  </si>
  <si>
    <t>da_shepherd</t>
  </si>
  <si>
    <t>1594198090745861583_363314357</t>
  </si>
  <si>
    <t>#God #godblessamerica #godson #godbless #jesus #jesuscalling #jesuschrist #fightforthelord #christianlouboutin #keepongoing</t>
  </si>
  <si>
    <t>godblessamerica</t>
  </si>
  <si>
    <t>jesuschrist</t>
  </si>
  <si>
    <t>jesuscalling</t>
  </si>
  <si>
    <t>aboutcharlotte</t>
  </si>
  <si>
    <t>1594201148436057476_1291124703</t>
  </si>
  <si>
    <t>° R I S K °
#me #metoday #today #friday #happy #girl #italiangirl #milan #lifestyle #living #beautiful #summervibes #holidaytime #focus #goals #lifegoals #keepongoing #unilife #university #ootd #instalike #instagood #instadaily #picoftheday #picture #follow #followme #follow4follow #</t>
  </si>
  <si>
    <t>Università Cattolica del Sacro Cuore</t>
  </si>
  <si>
    <t>milan</t>
  </si>
  <si>
    <t>candice_yan0107</t>
  </si>
  <si>
    <t>1594205508801470102_357884054</t>
  </si>
  <si>
    <t>时间过得真快，在新环境工作快满2个月了，但是感觉上好像还是很不适应，而有些要解决的问题始终还是没能解决，也不知道怎么去解决，有时候还是会觉得很难受，但愿自己每天都能活得像个小孩似的，拥有发自内心和最真诚的笑容😊😊😊9️⃣🈷里我还得继续努力，继续加油了💪💪💪
#helloseptember #goodbyeaugust #keepongoing #keepfighting #keepaddoil #hopeeverythinggonnabeokay #hopeeverythinggoeswell #lovelife #throwback #throw🔙</t>
  </si>
  <si>
    <t>hopeeverythinggonnabeokay</t>
  </si>
  <si>
    <t>helloseptember</t>
  </si>
  <si>
    <t>throw🔙</t>
  </si>
  <si>
    <t>keepaddoil</t>
  </si>
  <si>
    <t>kcontr34</t>
  </si>
  <si>
    <t>1594212076660867064_465250871</t>
  </si>
  <si>
    <t>How about that? 5 years
#workhard #keepongoing</t>
  </si>
  <si>
    <t>1594224901693479666_40740215</t>
  </si>
  <si>
    <t>Stop dreaming and start achieving!!
--
If you want to work from home and pay off all your debt, start working for it! If you want to lose weight and keep it off, start working for it!! Your dreams can become a reality if you put in the work, now let's start achieving those dreams! Happy Friday peeps ✌️</t>
  </si>
  <si>
    <t>blumonkeymusic</t>
  </si>
  <si>
    <t>1594228234395657067_3169078915</t>
  </si>
  <si>
    <t>80's funk electronic composition🕺🏾🎸🌃🤘🏽🤴🏿👨🏼‍💻 ! #funkopop #funkelectronic #popsong #freedom #dowhatyoulove #nomatterwhat #liveisagift #endofsummer #arrangement #keyboard #keyboardist #southoffrance #like4like #likeforfollow #follow4follow #facebook #bluemonkey #nilerogers #influences #80s #letsdance #keepongoing #computer #stage #workbeforeplay #workbeforefun</t>
  </si>
  <si>
    <t>workbeforefun</t>
  </si>
  <si>
    <t>bluemonkey</t>
  </si>
  <si>
    <t>keyboardist</t>
  </si>
  <si>
    <t>funkopop</t>
  </si>
  <si>
    <t>1594230968971967252_1469303635</t>
  </si>
  <si>
    <t>It takes time...</t>
  </si>
  <si>
    <t>1594233174246770856_180027801</t>
  </si>
  <si>
    <t>🔅 S E P T I E M B R E 🔅
Después de un veranazo exprimido al 200% el lunes toca volver a la rutina 📚 
Vuelven los madrugones, las prácticas y las clases. 
Pero también vuelvo a competir, viajar, entrenar, correr, escalar.... cómo no voy a tener ganas?? 😊🤘🏼
•
•
•
#GASALAVIDA!!!</t>
  </si>
  <si>
    <t>Menorca</t>
  </si>
  <si>
    <t>gasalavida</t>
  </si>
  <si>
    <t>1594234737236849143_2317517565</t>
  </si>
  <si>
    <t>Jeg forsøger, at give folk viden, inspiration, motivation og kærlighed nok til, at de kan selv - uden mig. •••
Tina kan på egen hånd. Rammerne har ikke været ligetil, hvilket bare gør det mere imponerende.
••• #mortentillitzdk  #whatwouldbeyoncedo #toldyouso #tropådet #personligtræner #personaltrainer #cycling #Cykling #styrketræning #løb #Svømning #Swim #running #stronger #personligtræner #mitodense #fitfam #ﬁtfamdk #actionequalsresults #handlingskabersucces #helkropstræning #fullbody #SunRiceClubbyMortenTillitzDK #mentalpause #blivved #keepongoing #styrketræning #painfree #smertefri #søvn #sleep #mitodense</t>
  </si>
  <si>
    <t>samiracortenray</t>
  </si>
  <si>
    <t>1594236843800304278_210951915</t>
  </si>
  <si>
    <t>Weer eentje van men lijst. Nog 10 te gaan! #starttorunmetevy #les20 #running #starttorun #keepongoing #dontgiveup</t>
  </si>
  <si>
    <t>les20</t>
  </si>
  <si>
    <t>starttorunmetevy</t>
  </si>
  <si>
    <t>starttorun</t>
  </si>
  <si>
    <t>tedantonides</t>
  </si>
  <si>
    <t>1594237396491211929_309589764</t>
  </si>
  <si>
    <t>Jaja nieuw record #keepongoing #nopainnogain #xxlnutrition</t>
  </si>
  <si>
    <t>Sport- en Testcentrum van Drunen</t>
  </si>
  <si>
    <t>xxlnutrition</t>
  </si>
  <si>
    <t>iamangieangelika</t>
  </si>
  <si>
    <t>1594242001384970082_2252569212</t>
  </si>
  <si>
    <t>I am proud of my own accomplishments after dropping 30kg of unloved, stressed, sick, demolished,  poisoned body that was hard on my bones and heavy on my body frame. It took me long time and now I know it will take me even more willpower and dedication to trim all that I have and build an body mass that looks good and that is healthy and strong for life to come.  I am not scared and I am not afraid. I have a great support of wonderful people around me that are eager to help, to hold and support me in my future goals. 
My worst enemy is myself. I am fighting it and as Mr. Salveo said....take it one day at a time, eat good and stay positive.
We all have THAT something that pushes us beyond ourselves and if we are dedicated to It....result can not and will not be unnoticed or rewarded. 
Stay true to yourself, do not deprive yourself of good stuff and live your life only YOU know how.
I did, I will and there is no obstacles that can not be conquered.
God, indeed, never gives us more than we can handle.
Respect and move fearless forward.👊
#AngieAngelika #healthymom #dedication #positivevibes #stayfearless #conquerfear #keepongoing #gettingthere</t>
  </si>
  <si>
    <t>conquerfear</t>
  </si>
  <si>
    <t>healthymom</t>
  </si>
  <si>
    <t>stayfearless</t>
  </si>
  <si>
    <t>angieangelika</t>
  </si>
  <si>
    <t>1594243193405525444_2948851283</t>
  </si>
  <si>
    <t>New Art trying♤
#newart #newone #exploring #creativity #acrylic #mirrored #colorsplash #inspired #myArt #myway #creativemind #creativevibes #keepongoing #neverquit #creativesoul #letitflow #mood #tryingsomethingnew #inprogress</t>
  </si>
  <si>
    <t>exploring</t>
  </si>
  <si>
    <t>colorsplash</t>
  </si>
  <si>
    <t>newart</t>
  </si>
  <si>
    <t>1594246660702304242_4249248273</t>
  </si>
  <si>
    <t>So....yesterday after some sound advice from @moinmountains on working with my little arm, I decided to try some routes with my little arm only! You got it, no left arm aside from the very occasional match. I was terrified at the idea and knew just how much more precision I was going to need to be with both feet and body positioning. This was my second route up - I really enjoyed it, learned a LOT and am chuckling at how I was still stopping to chalk up my left hand - such an ingrained habit 😂 @thecastleclimbingcentre @thisgirlcanclimbing @thisgirlcanuk #lifegoals #keepongoing #icandothis #balance #faceyourfears #outofmycomfortzone #training #paraclimbing #thisgirlcan #thisgirlcanclimb #climber #climbing #climbing_is_my_passion #climbing_pictures_of_instagram #muslim #hijab #amputee #ehlersdanlossyndrome #cancersurvivor #believeinyourself #yesican #pushyourlimits #noboundaries #footwork #precision #fridayfun #goals #tryhard #dontgiveup #determination thanks @lawrencevandervoort for the vid!</t>
  </si>
  <si>
    <t>footwork</t>
  </si>
  <si>
    <t>1594249252640908102_4230484970</t>
  </si>
  <si>
    <t>Weekend Ready 😌🍑
@neivamara 💟</t>
  </si>
  <si>
    <t>mattisthielmann</t>
  </si>
  <si>
    <t>1594250387190347174_505753025</t>
  </si>
  <si>
    <t>God brings you to places you haven't been before! So if u follow him be ready for an adventure. /// got the pleasure of being the speaker at a men's conference this weekend in an absolute stunning city. God is good! #church #churchplant #c3leipzig #bestisyetocome #pastor #mensconference #keepongoing #roadtrip</t>
  </si>
  <si>
    <t>Limburg an der Lahn</t>
  </si>
  <si>
    <t>bestisyetocome</t>
  </si>
  <si>
    <t>mensconference</t>
  </si>
  <si>
    <t>churchplant</t>
  </si>
  <si>
    <t>1594253337086384729_304502218</t>
  </si>
  <si>
    <t>Accelerate out of @polskycenter onto the best phase of KitcheNet! #startuplife #keepongoing #socialenterprise</t>
  </si>
  <si>
    <t>Gleacher Center</t>
  </si>
  <si>
    <t>socialenterprise</t>
  </si>
  <si>
    <t>1594257946072933761_2065144435</t>
  </si>
  <si>
    <t>Friendly farmer tending to his crop high above Santa Cruz, Lake Atitlan. Requested a tip for his posing services. Didn't take USD. #guatemala
#canon</t>
  </si>
  <si>
    <t>Lago Atitlan</t>
  </si>
  <si>
    <t>yawiministry</t>
  </si>
  <si>
    <t>1594261805572433968_3453908708</t>
  </si>
  <si>
    <t>When life gets hard.. 👊 #youareworthit #yawimovement #youarethebest #youmeansomethingtosomeone #dontgiveup #keeponliving #keepongoing #youcandoit #bethebestyoucanbe #betterdaysareahead #positivity #inspiration #motivation #suicideawareness #depressionawareness</t>
  </si>
  <si>
    <t>youmeansomethingtosomeone</t>
  </si>
  <si>
    <t>suicideawareness</t>
  </si>
  <si>
    <t>yawimovement</t>
  </si>
  <si>
    <t>1594264328538466705_4315838540</t>
  </si>
  <si>
    <t>..#motocross #mxlife #braapp #offroad #lifebehindbars #2wheels #9 #ansr #keepongoing #nevergiveup #gaerneboots #mud #letsdothisagain #raceprep</t>
  </si>
  <si>
    <t>mud</t>
  </si>
  <si>
    <t>1594269841086618787_5537310255</t>
  </si>
  <si>
    <t>#tired #sleep #sleepy #needholidays #auszeit #chillen #soon #lovemylife #short #break #keepongoing #immerweiter #picoftheday</t>
  </si>
  <si>
    <t>needholidays</t>
  </si>
  <si>
    <t>sleepy</t>
  </si>
  <si>
    <t>auszeit</t>
  </si>
  <si>
    <t>short</t>
  </si>
  <si>
    <t>wanda_land</t>
  </si>
  <si>
    <t>1594270015182352794_29431411</t>
  </si>
  <si>
    <t>After 3weeks of training i can finally  enjoy the tortured and got a better result.. #dontgiveup #keepongoing #noshortcut #cycling #training #LoveOfCycling #roadbike #outdoor #cyclinglife #Indonesia</t>
  </si>
  <si>
    <t>Gunung Geulis</t>
  </si>
  <si>
    <t>noshortcut</t>
  </si>
  <si>
    <t>loveofcycling</t>
  </si>
  <si>
    <t>1594275370805257880_179673063</t>
  </si>
  <si>
    <t>My favorite friends .❤️
#secondtimeinthisyear #keepongoing #favorite</t>
  </si>
  <si>
    <t>臺中國家歌劇院（National Taichung Theater）</t>
  </si>
  <si>
    <t>favorite</t>
  </si>
  <si>
    <t>secondtimeinthisyear</t>
  </si>
  <si>
    <t>1594275500040384217_2224047307</t>
  </si>
  <si>
    <t>Time moves slowly but passes quickly.
#iammrlookboy 
#keepongoing</t>
  </si>
  <si>
    <t>1594280077805579317_5455677963</t>
  </si>
  <si>
    <t>#focus #dontworry #motivationalquotes #quotes #motivation #motivacional #next #progress #progressive #keepgoing👉 #keepgoing #persevere #strong #alldayworking #life #process #daybyday #ambition #noexcuse #keepongoing #keepon #dontstop #dontstopnow #dontlookback</t>
  </si>
  <si>
    <t>vibesbeautiful</t>
  </si>
  <si>
    <t>1594280179399934453_5900756057</t>
  </si>
  <si>
    <t>❤follow us for more....double tap if u agree....#moving#life#keepongoing #motivation#motivationalquotes #focus#follow#vibesbeautiful</t>
  </si>
  <si>
    <t>senemkhalo</t>
  </si>
  <si>
    <t>1594287759212673969_1506640868</t>
  </si>
  <si>
    <t>#butterflyeffect on my #cappuccino 😍 if you're to hungry: have a #coffee with extra light #milk 👌🏻👌🏻
#weightlossjourney #stayhealthy #coffeetime #bonappetit #lovelyday #keepongoing #tryharder #staystrong #gethealthy #eatless #eatsmart #kahvekeyfi #toklukhissi #acıkmayın #afiyetşifaolsun #kiloversağlıklıyaşa</t>
  </si>
  <si>
    <t>cappuccino</t>
  </si>
  <si>
    <t>milk</t>
  </si>
  <si>
    <t>toklukhissi</t>
  </si>
  <si>
    <t>lovelyday</t>
  </si>
  <si>
    <t>1594289910680272251_429036895</t>
  </si>
  <si>
    <t>Please bring me back😐
Hope that I am capable of training again this weekend. And with training I actualy mean kick some bad ass workout (when I am fit again) 😂 patience pays off they say, so I will wait 😌
#patience #longride #daretoshare #bodylove #selflove #foodlover  #fitnessjourney #progress #fitness #fitdutchie #weightlifting #girlwholifts #fitfam #fitnessaddict #curves #weightgaining #bodyandmind #gymlife #recovering #bootygrow #dedication #hardwork #keepongoing #strenght #grow #girlonamission #effort #girlpower  #healthylifestyle</t>
  </si>
  <si>
    <t>burlesquebaubles</t>
  </si>
  <si>
    <t>1594294833048747310_1982901731</t>
  </si>
  <si>
    <t>Beat my personal best on resistance 3; 3 weeks and counting #anytimefitness #keepongoing #selfmotivation</t>
  </si>
  <si>
    <t>selfmotivation</t>
  </si>
  <si>
    <t>1594307130679332370_4203455377</t>
  </si>
  <si>
    <t>Goodnight from Aus @tamradae 😍😍</t>
  </si>
  <si>
    <t>fitaddict</t>
  </si>
  <si>
    <t>gymlooks</t>
  </si>
  <si>
    <t>journeytohealth</t>
  </si>
  <si>
    <t>gettingstrong</t>
  </si>
  <si>
    <t>1594311922697528964_5350362639</t>
  </si>
  <si>
    <t>THROW BACK SEA GAMES 2017 .... [Trophy Ceremony] @popor_sapsiree @b_dechapol ... Gold Medal XD #Sapsireebass #goodplayer #Super #goldmedal #congrats #gofighting #susu #followforfollow #keepongoing #getwellsoon #Seagames2017 #Semangat #Thailand #Badmintonplyers</t>
  </si>
  <si>
    <t>getwellsoon</t>
  </si>
  <si>
    <t>super</t>
  </si>
  <si>
    <t>goldmedal</t>
  </si>
  <si>
    <t>goodplayer</t>
  </si>
  <si>
    <t>ohyeah_1203</t>
  </si>
  <si>
    <t>1594315705849829839_1261207221</t>
  </si>
  <si>
    <t>-
九月，你好👋
新工作不知不覺也任職三個月了
一直以來都是從事服務業性質的工作
轉戰業助後，一切從頭開始學
出貨、打單、算帳…
也慢慢開始漸入佳境了！
之後還是要保持努力 繼續向前行啊🤘
/
📷榆
#September #fight #keepongoing #keepitup #繼續向前行 #九月</t>
  </si>
  <si>
    <t>烘爐地南山福德宮</t>
  </si>
  <si>
    <t>september</t>
  </si>
  <si>
    <t>1594322817578346797_5495249433</t>
  </si>
  <si>
    <t>Take a chance, you only live once 🌠🌠</t>
  </si>
  <si>
    <t>takeachance</t>
  </si>
  <si>
    <t>spread_positivity_2004</t>
  </si>
  <si>
    <t>1594323095082402120_5968346232</t>
  </si>
  <si>
    <t>Keep on going.... #keepongoing #walktheoughthefire</t>
  </si>
  <si>
    <t>walktheoughthefire</t>
  </si>
  <si>
    <t>patricia.romeo_dbfv_bikini</t>
  </si>
  <si>
    <t>1594328672911712851_3124446219</t>
  </si>
  <si>
    <t>Wenn es in mir in der Diät mal nicht so gut geht....ich an mir zweifle und ich offensichtlich den klaren Blick verliere wenn es um meine form geht...ist es wichtig einfach mal kurz abzuschalten und wieder einen klaren Kopf zu bekommen!🙏 Einfach mal stolz auf sich selber sein. .den wenn es so einfach wäre würde es jeder tun😎
#focus #workforit #keepongoing #getshredded #beproud #bikiniathletes #arnoldclassic #barcelona #teamsmash #DBFV #ifbb</t>
  </si>
  <si>
    <t>getshredded</t>
  </si>
  <si>
    <t>dbfv</t>
  </si>
  <si>
    <t>1594336476991177321_5705167414</t>
  </si>
  <si>
    <t>"Steph can only shoot threes" they say  #Dubnation
-
-
-
-
-
-
-
-
-
-
-
-
-
-
-
-
-
-
-
-
-
-
-
-
-
-
-
-
-
-
-
-
-
-
-
-
-
-
-
-
 #StephGonnaSteph #Mvp #SC30 #KT11 #DG23 #CURRYMVP #KEEPONGOING #NEVERGIVEUP #WCF #WEST #WESTERNCONFERENCEFINALS #CHAMPS #DUBSFORCHAMPS #DUBS #ALWAYSBELIEVEINGOD #STEPHENCURRY #EVEN #NBA #2016CHAMPS #CHAMPIONS #LOCKIN #STEPH #SPLASH #SPLASHBROS  #like4like #like4follow #follow4follow</t>
  </si>
  <si>
    <t>1594340909356345452_4229046670</t>
  </si>
  <si>
    <t>womanwholift</t>
  </si>
  <si>
    <t>gymprogress</t>
  </si>
  <si>
    <t>fitnesstherapy</t>
  </si>
  <si>
    <t>proteinworld</t>
  </si>
  <si>
    <t>1594341381189626336_5705167414</t>
  </si>
  <si>
    <t>Gettin' tired with life 😳  #Dubnation
-
-
-
-
-
-
-
-
-
-
-
-
-
-
-
-
-
-
-
-
-
-
-
-
-
-
-
-
-
-
-
-
-
-
-
-
-
-
-
-
 #StephGonnaSteph #Mvp #SC30 #KT11 #DG23 #CURRYMVP #KEEPONGOING #NEVERGIVEUP #WCF #WEST #WESTERNCONFERENCEFINALS #CHAMPS #DUBSFORCHAMPS #DUBS #ALWAYSBELIEVEINGOD #STEPHENCURRY #EVEN #NBA #2016CHAMPS #CHAMPIONS #LOCKIN #STEPH #SPLASH #SPLASHBROS  #like4like #like4follow #follow4follow</t>
  </si>
  <si>
    <t>engeleanne</t>
  </si>
  <si>
    <t>1594341578700510810_232879828</t>
  </si>
  <si>
    <t>In a society that wants instant everything..learning the skill of endurance is a must. #keepongoing #lovingthejourney #keeponswimming</t>
  </si>
  <si>
    <t>lovingthejourney</t>
  </si>
  <si>
    <t>karunaluludezign</t>
  </si>
  <si>
    <t>1594342352590492551_3499539580</t>
  </si>
  <si>
    <t>Live life to the FULLEST each and every day! September is Spring time in South Africa! 🌸🌸🌸⠀
#quotes #quotestoliveby #motivation #keepongoing #lovespring #springtime #flowers #blooming #lovelife #inspirationalwords #wordsoftruth #truthseeker #livealittle #quoteoftheday #behappy#happiness #joy #creativespirit #bloomingflowers #budsofspring #cheerful #beoptomistic #optimism</t>
  </si>
  <si>
    <t>wordsoftruth</t>
  </si>
  <si>
    <t>bloomingflowers</t>
  </si>
  <si>
    <t>springtime</t>
  </si>
  <si>
    <t>nickie_47</t>
  </si>
  <si>
    <t>1594343880668470473_24980272</t>
  </si>
  <si>
    <t>📷📷📷#oo#firstpersonview#firstperson#p9worldfie#truck#xc60#volvo#volvomoment#keepon#keepongoing</t>
  </si>
  <si>
    <t>Khon Kaen, Thailand</t>
  </si>
  <si>
    <t>p9worldfie</t>
  </si>
  <si>
    <t>truck</t>
  </si>
  <si>
    <t>oo</t>
  </si>
  <si>
    <t>volvomoment</t>
  </si>
  <si>
    <t>braddah_marcky</t>
  </si>
  <si>
    <t>1594345191639919450_1697176683</t>
  </si>
  <si>
    <t>firefighter training.. 🤙🏽🤙🏽👩🏽‍🚒👩🏽‍🚒👩🏽‍🚒 #roadtofirefighting #staymotivated #keepongoing</t>
  </si>
  <si>
    <t>roadtofirefighting</t>
  </si>
  <si>
    <t>1594345900393603831_5883451579</t>
  </si>
  <si>
    <t>Friday afternoon intervall✔
Med en j-a sträckning i vänster jumske som gjort att jag haft svårt att gå i två dagar och något som smärtar i vä sida bäckenet men jävlar det gav med sig. Ger mig inte i första taget. Skulle ut och en mil blev det💪
#friday #runningmom #gymwomen #nevergiveup #keepongoing</t>
  </si>
  <si>
    <t>runningmom</t>
  </si>
  <si>
    <t>gymwomen</t>
  </si>
  <si>
    <t>allymfit</t>
  </si>
  <si>
    <t>1594345909815043355_29436172</t>
  </si>
  <si>
    <t>⛅Sky Above Me
🌱Earth Below Me
🔥Fire Within Me
Because of a strong mindset &amp; good support system, I will not be stopped.
#RoadToRecovery #NinjaInTraining #keepongoing #AchillesTear #StayingStrong</t>
  </si>
  <si>
    <t>ninjaintraining</t>
  </si>
  <si>
    <t>achillestear</t>
  </si>
  <si>
    <t>roadtorecovery</t>
  </si>
  <si>
    <t>1594349247246839140_1496451778</t>
  </si>
  <si>
    <t>#lorealluxe #lorealsummerparty #newbeginnings #keepongoing #partyonwhite #lavidaesparavivirla</t>
  </si>
  <si>
    <t>Club de Golf La Moraleja</t>
  </si>
  <si>
    <t>partyonwhite</t>
  </si>
  <si>
    <t>lorealluxe</t>
  </si>
  <si>
    <t>lorealsummerparty</t>
  </si>
  <si>
    <t>amirajaru</t>
  </si>
  <si>
    <t>1594350210141602973_347693002</t>
  </si>
  <si>
    <t>🌻 Aun no se a donde me dirijo exactamente, pero eso nunca me detuvo. .
.
.
.
#avisacuandollegues #followme #travelporn #instatraveling #traveler #travelphotos #travelers #globe_travel #travelgram #travelandlife #travels #travelpic #traveling #mytravelgram #traveltheworld #travelpics #ilovetravelling #neverstoptravelling  #traveladdict #travellingstyle  #travellingaroundtheworld #girlslovetravel #keepongoing #neverlookback #followyourdreams #creatyourownhappiness</t>
  </si>
  <si>
    <t>Porto District</t>
  </si>
  <si>
    <t>globe_travel</t>
  </si>
  <si>
    <t>travellingstyle</t>
  </si>
  <si>
    <t>mariamkraus_mary</t>
  </si>
  <si>
    <t>1594353221509137246_581439494</t>
  </si>
  <si>
    <t>Hände hoch Wochenende, auch wenn gearbeitet wird 💪 #motivation #fitgirl #bluesky #behappy #smile #keepongoing #jump</t>
  </si>
  <si>
    <t>1594354539100464843_1456976711</t>
  </si>
  <si>
    <t>Taco-kväll med pantertanterna! 🌮😋</t>
  </si>
  <si>
    <t>tropådigsjälv</t>
  </si>
  <si>
    <t>1594355286231445040_2317517565</t>
  </si>
  <si>
    <t>Hvad er der med de der CRAVINGs😋? •••
Hjemme hos os har de med at ramme  ca. 20.30 og her viser Mette, hvad der sker, når vi ikke har noget lækkert liggende. Selv skuffen med mel og pasta bliver gennemrodet😂😂.
•••
I aften har vi helgarderet med Hansen flødeis og chokolade…Rigtig god weekend folkens 💃🎂🏋🏼‍♀️🍾🏆
••• #mortentillitzdk  #whatwouldbeyoncedo #toldyouso #tropådet #personligtræner #personaltrainer #cycling #Cykling #styrketræning #løb #Svømning #Swim #running #stronger #personligtræner #mitodense #fitfam #ﬁtfamdk #actionequalsresults #handlingskabersucces #helkropstræning #fullbody #SunRiceClubbyMortenTillitzDK #mentalpause #blivved #keepongoing #styrketræning #painfree #smertefri #søvn #sleep #mitodense</t>
  </si>
  <si>
    <t>1594361153735561088_5722990971</t>
  </si>
  <si>
    <t>According to witchipedia, primrose flower can be use to increase energy to reach one's goal and even can attract lovers! But according to Neil Gaiman's stardust, this flower can keep you away from black magic, some said its weed, but I would love to see real primrose someday, in my own garden #letsworkitout #keepongoing #nevergiveup #drawing #linedrawing #pencil #pen #flower #i#lettering #handlettering #write #draw #creative #floralsyourway #lettering #handlettering #challenge #creative #creating #primrose#floral #flower #watercolour #watercolor  Thanks all 😘 @kryslauren_loveletters @heysailor_ @sketchyminx @georgioudraws @alieletters</t>
  </si>
  <si>
    <t>tibertania</t>
  </si>
  <si>
    <t>1594363979738960561_213008358</t>
  </si>
  <si>
    <t>Would the black botton be for a wine emergency? Black? 
#swisslife #swisstrain #swissrailway #switzerland🇨🇭 #switzerlandpictures #swissspeciality #bottons #hotbottons #wine #wineemergency #needaglassofwine #needaglassofwinenowplease #winemakesitbetter🍷 #winemakestheworldgoround #winemakestheworldabetterplace #fino #invinoveritas🍷 #vivailvino🍷 #train #alwaysonthego #keepongoing #moveon</t>
  </si>
  <si>
    <t>Luzern, Switzerland</t>
  </si>
  <si>
    <t>swisslife</t>
  </si>
  <si>
    <t>needaglassofwine</t>
  </si>
  <si>
    <t>winemakestheworldgoround</t>
  </si>
  <si>
    <t>swissrailway</t>
  </si>
  <si>
    <t>geens_journey</t>
  </si>
  <si>
    <t>1594364492066453431_251747785</t>
  </si>
  <si>
    <t>Tag 32: Tag 2 auf dem Camino  Heute morgen ging es für uns 3 gegen 7:30 schon raus aus Uterga. Die Landschaft hört einfach nicht auf wunderschön zu sein 😍 auch heute ging es nur bergauf und bergab, allgemein geht es hier eigentlich nie grade aus 🤔 und die steinigen Wege gehen ganz schön auf die Füße 😫 wir haben uns gegen Mittag spontan dazu entschieden doch noch ein Dorf weiter zu gehen als wir wollten und sind somit heute auf 21 km gekommen. Die letzten Km hatten es bergauf nochmal echt in sich, sodass wir ziemlich fertig an der Herberge ankamen. Da wir antizyklisch gehen sind wir wieder in einem klitzekleinen Dorf und haben das Glück zu dritt in einem vier Bett Zimmer zu nächtigen und das für 8€, purer Luxus! 😍 und obwohl alles weh tut, bin ich immer noch sehr glücklich ✌🏻 #jakobsweg #caminofrances #caminodesantiago #peregrina #peregrino #pilgrim #keepongoing #einjahrurlaub #365tagefrei #worldtraveler</t>
  </si>
  <si>
    <t>einjahrurlaub</t>
  </si>
  <si>
    <t>peregrina</t>
  </si>
  <si>
    <t>caminofrances</t>
  </si>
  <si>
    <t>samdouglasart</t>
  </si>
  <si>
    <t>1594364519948653694_580147111</t>
  </si>
  <si>
    <t>#beautiful #wings #migration #cosmos #garden #orange #flowers #oklahoma #outside #friday #sunshine #keepongoing #life #inspiration</t>
  </si>
  <si>
    <t>cosmos</t>
  </si>
  <si>
    <t>zoneyisland</t>
  </si>
  <si>
    <t>1594365276451003248_3012097807</t>
  </si>
  <si>
    <t>I wrote this letter to numb your Ive been hurt ive seen car tissue , if i showed you would you run away  #mgk #atmybest #keepongoing #staystrong #laceup</t>
  </si>
  <si>
    <t>laceup</t>
  </si>
  <si>
    <t>atmybest</t>
  </si>
  <si>
    <t>mgk</t>
  </si>
  <si>
    <t>1594368789582267874_1011271643</t>
  </si>
  <si>
    <t>I really did go to the gym this morning. 🙃
#legday
#hamstrings #realstuff 
#ithurt
#ifeelit</t>
  </si>
  <si>
    <t>hamstrings</t>
  </si>
  <si>
    <t>ithurt</t>
  </si>
  <si>
    <t>ifeelit</t>
  </si>
  <si>
    <t>realstuff</t>
  </si>
  <si>
    <t>1594369433408022463_1011271643</t>
  </si>
  <si>
    <t>And I #stretched
#sorebooty
#glutegains 
#changingtracyann</t>
  </si>
  <si>
    <t>sorebooty</t>
  </si>
  <si>
    <t>stretched</t>
  </si>
  <si>
    <t>changingtracyann</t>
  </si>
  <si>
    <t>glutegains</t>
  </si>
  <si>
    <t>haapakoski007</t>
  </si>
  <si>
    <t>1594370771022944936_3003653601</t>
  </si>
  <si>
    <t>At the partyyyy...Happy birthday Drama Queens 😊 #fridayvibes #party #sisters #entrepreneurlife #keepongoing #happybirthday #hairstyle</t>
  </si>
  <si>
    <t>DRAMA hair. beauty &amp; wellbeing.</t>
  </si>
  <si>
    <t>sisters</t>
  </si>
  <si>
    <t>fridayvibes</t>
  </si>
  <si>
    <t>hairstyle</t>
  </si>
  <si>
    <t>thecountrynerdsaiyan</t>
  </si>
  <si>
    <t>1594371597158841548_4794296028</t>
  </si>
  <si>
    <t>When your back is killing you and  about to lock up but you need that paycheck. Thank God for biofreeze
#work #workflow #fedexdriver #pain #inpain #lowerbackpain #ugh #thissucks #keepongoing #nevergiveup #biofreeze #country #nerd #countrynerd</t>
  </si>
  <si>
    <t>South Carolina</t>
  </si>
  <si>
    <t>workflow</t>
  </si>
  <si>
    <t>fedexdriver</t>
  </si>
  <si>
    <t>thissucks</t>
  </si>
  <si>
    <t>nerd</t>
  </si>
  <si>
    <t>1594371746760200512_5773560131</t>
  </si>
  <si>
    <t>Casual 😶</t>
  </si>
  <si>
    <t>rajat_bakshi</t>
  </si>
  <si>
    <t>1594373148647458301_701747868</t>
  </si>
  <si>
    <t>I can See where I started and I can See where Am going even more clearly.  Believe in Yourself and those who came in your way, will make way for You. Keep on Going !! .
PC @meghnabhalla .
#beliveinyourself #keepongoing #staystrong #faith #belief</t>
  </si>
  <si>
    <t>India</t>
  </si>
  <si>
    <t>belief</t>
  </si>
  <si>
    <t>fitsowfly</t>
  </si>
  <si>
    <t>1594377120610701866_2141773781</t>
  </si>
  <si>
    <t>Keep smiling. ✌
#girl #smile #sporty #fitness #neon #pierced #friday #keepongoing</t>
  </si>
  <si>
    <t>neon</t>
  </si>
  <si>
    <t>joanna_perfectly_imperfect</t>
  </si>
  <si>
    <t>1594379971244996880_671123973</t>
  </si>
  <si>
    <t>Current situation. Do you boo! ❤❤❤❤❤❤ #Repost @thecrimsonkiss (@get_repost)
・・・
From my second book, Blush (A Novel). || Available in paperback and for kindle, directly through the link in my bio, and on all Amazon sites 🌹 .
.
#CiciB #TheCrimsonKiss💋</t>
  </si>
  <si>
    <t>doyouboo</t>
  </si>
  <si>
    <t>1594381303289879336_4463656651</t>
  </si>
  <si>
    <t>Lion #Lodmare</t>
  </si>
  <si>
    <t>nicolaslivaditis</t>
  </si>
  <si>
    <t>1594383690325509390_5462310556</t>
  </si>
  <si>
    <t>Η φωτεινή πλευρά της ζωής (μου!). nL
#brightside #meandyou #keepongoing #keeponloving #bethereforyou #bethereforme #septemberlove #together</t>
  </si>
  <si>
    <t>keeponloving</t>
  </si>
  <si>
    <t>bethereforme</t>
  </si>
  <si>
    <t>septemberlove</t>
  </si>
  <si>
    <t>bethereforyou</t>
  </si>
  <si>
    <t>mahmud_momo</t>
  </si>
  <si>
    <t>1594384074415777769_574522582</t>
  </si>
  <si>
    <t>🔜 In a day a dream of mine is going to become a reality. I've been invited to join a group of CEOs from leading german companies on their journey to the world's biggest #innovation festival in Tel Aviv 🇮🇱 Even though I know it will be a unique experience, this puts so much pressure on me. Wish me luck &amp; follow my stories 😎 Thank you @diconium and @horizont.online for the trust 💪🏽 #announcement #startupspirit #telaviv #dld17 #disruptivetechnology #blogger #dldinnovationfestival #grind #youngentrepreneur #alwayson #marketingintern #keepongoing #innovationnation #travel #startup #business #thankful #startuplife #go #garyvee #digitalisierung #businessmodel #digitaltransformation #bsgtciy</t>
  </si>
  <si>
    <t>digitaltransformation</t>
  </si>
  <si>
    <t>startupspirit</t>
  </si>
  <si>
    <t>dld17</t>
  </si>
  <si>
    <t>telaviv</t>
  </si>
  <si>
    <t>meditationinconnecticut</t>
  </si>
  <si>
    <t>1594385654073071190_1193760320</t>
  </si>
  <si>
    <t>Each success, no matter how small, is a success and leading to even deeper understanding and peace. Celebrate these and encourage yourself to continue to practice. 🌅 #meditation #practice #success #goals #keepongoing #encouragement #happiness #others</t>
  </si>
  <si>
    <t>others</t>
  </si>
  <si>
    <t>ash_misako</t>
  </si>
  <si>
    <t>1594385932459200581_2690490001</t>
  </si>
  <si>
    <t>Weight loss... May 2015-September 2017. 75lbs down officially as of yesterday. I told myself when I had lost 75 that I would dig up the photos I hated and post them for all to see. The first photo was me in May 2015 at my cousins wedding 219 lbs it was this photo that made me want to get healthier. Thankfully my brother @bishop_paradox had recently lost a ton of weight and introduced me to #keto which started my journey. The next photo is me Oct 2015 around 200 lbs. Then July 2016 175.2. October 2016 169.8. January 2017 165. And today at 144. It's been easier than I thought it was going to be and although it was hard work and realizing what my relationship to food was it's all been worth it. Next step putting on weight in a healthful way. #weightlossjourney #weightloss #beforeandafter #ketogenic #ketodiet #healthy #happy #whole #stronger #strongnotskinny #workinprogress #workout #yoga #awake #thankful #readyforthenext #keepongoing #instagood #inspiration #youvegotthis #transformationtuesday #transformation #transformationinprogress #yogabody #yogabodychallenge #fuckingslayer #underpants #metalhead #fattofit</t>
  </si>
  <si>
    <t>underpants</t>
  </si>
  <si>
    <t>yogabody</t>
  </si>
  <si>
    <t>yogabodychallenge</t>
  </si>
  <si>
    <t>from_chaos_born_stars</t>
  </si>
  <si>
    <t>1594390631562686424_746663411</t>
  </si>
  <si>
    <t>Sigue adelante 
#keepongoing #destination #anywhere</t>
  </si>
  <si>
    <t>anywhere</t>
  </si>
  <si>
    <t>destination</t>
  </si>
  <si>
    <t>lindaseverino</t>
  </si>
  <si>
    <t>1594391719893776974_50903923</t>
  </si>
  <si>
    <t>Here I am again! 😎🚴‍♀️💪🏻
...
...
...
#spinning #mypassion #keepongoing #nothingbetter #happyface #instalike #instafit #instadaily #fitness #fitnessmotivation #girlstuff #girlonbike #bikeride #healthylifestyle #healthandfitness</t>
  </si>
  <si>
    <t>Cyclebeat</t>
  </si>
  <si>
    <t>nothingbetter</t>
  </si>
  <si>
    <t>girlonbike</t>
  </si>
  <si>
    <t>lovetobreathe</t>
  </si>
  <si>
    <t>1594399703257016673_39491793</t>
  </si>
  <si>
    <t>Walking into the weekend like... wait a minute, scratch that, walking into September like... what?! How is it already Sept?! ✌🏼out summer, I seriously will not miss the bajillion degree heat. It sure seems like this year has flown by so fast. I'll just be over here welcoming some cooler air and trying to take the rest of this year day by day. Slow down time!! Breathe out Love! Xo❤️ .
.
#LoveToBreathe #keepongoing #september #fall #cysticfibrosis #curecf #spreadlove #live #love #breathe #onedayatatime #beinthemoment #positivevibes #spoonie #daybyday #grateful #slowdowntime #BreatheOutLoveXo❤️</t>
  </si>
  <si>
    <t>Salt Lake City, Utah</t>
  </si>
  <si>
    <t>breatheoutlovexo❤️</t>
  </si>
  <si>
    <t>slowdowntime</t>
  </si>
  <si>
    <t>beinthemoment</t>
  </si>
  <si>
    <t>spreadlove</t>
  </si>
  <si>
    <t>1594400999077668063_429150387</t>
  </si>
  <si>
    <t>So so good to see David and Theo and enjoy a good catch up and lots of yummy food at the Loop, such a great time of #Goodtimes and #Yummytimes indeed 👍 😊
#FridayFeeling #TheLoop #London #Friends #Blessed #Thankful #Londoner #LondonLife #YummyFood #EnjoyLife #KeepOnGoing #Friday #Foodie #CatchUp #InstaFood #InstaLondon #InstaFriends #Joy #TheLoopBar #Fun #Fellowship #FridayInLondon #London_Only #CelebrateLife #GodIsGood</t>
  </si>
  <si>
    <t>london_only</t>
  </si>
  <si>
    <t>ann_novva</t>
  </si>
  <si>
    <t>1594404286909772549_346593171</t>
  </si>
  <si>
    <t>The warmth #czechrepublic #kutnahora #amazing #walking #way #keepongoing #traveling #travelph #adore #relax #restaurant #tour #czech #picoftheday #master #street #downtown #goodmood #happiness #lock #architecture #architecturephotography #nikon #nikontop #goodmood #beauty #inspiration #instagood #instadaily</t>
  </si>
  <si>
    <t>Czech Republic</t>
  </si>
  <si>
    <t>master</t>
  </si>
  <si>
    <t>downtown</t>
  </si>
  <si>
    <t>nikon</t>
  </si>
  <si>
    <t>lingo_da_gringo</t>
  </si>
  <si>
    <t>1594407996786937971_1657480204</t>
  </si>
  <si>
    <t>I always have a difficult time drawing Thor in the past that I can't capture the essence of godly figure. Now with some improvement, I think these are acceptable. Keep on drawing. #avengers #marvel #marvelcinematicuniverse #avengersinfinitywar #avengersageofultron #thor #thorragnarok #asgardian #asgard #drawing #drawingoftheday #portrait #portraitoftheday #improvement #progress #practice #practicedrawing #keepongoing #keepondrawing</t>
  </si>
  <si>
    <t>portraitoftheday</t>
  </si>
  <si>
    <t>marvelcinematicuniverse</t>
  </si>
  <si>
    <t>thor</t>
  </si>
  <si>
    <t>1594408651124494511_4842328140</t>
  </si>
  <si>
    <t>🇺🇸Fitness at Home today 😁it was pretty great again 👍 i Love to watch a Movie in englisch, have my free Space for do what exercise i Want if i Want and  looking like a freaky Monster at this time 🤣( what The pic Shows)
🇩🇪 heute war mal wieder dort in den eigenen vier Wänden dran 😁war mal wieder richtig gut 👍 
Ich persönlich finde es einfach großartig dabei zB. einen Film in Orginal Ton oder eine spannende Reportage zu schauen . Außerdem ist es super das man einfach machen kann was man möchte . Auf dem Sofa mit dem schwingeding, oder Liegestütze an den verschiedensten Möbeln USw. Und das aller beste ich kann dabei aussehen wie ein kleines Monster 🤣( wie das Foto zeigt) 
#️⃣#fitforfun #fitforlife #homeworkout #homeexercises #sportzuhause #fitnessgirl #ilovesport #ilovemuscles #fitisbeautiful #looklikeamonster #fitnesspic #glücklich #happygirl #keeponsmiling #powerofpositivity #fitisthenewskinny #fitispiration #pictureoftheday #keepongoing #fitnessjourney #motivation #amballbleiben #recovery #luckyme #afterworkout #justme #happyafternoon #gutenabend</t>
  </si>
  <si>
    <t>fitispiration</t>
  </si>
  <si>
    <t>powerofpositivity</t>
  </si>
  <si>
    <t>fitisthenewskinny</t>
  </si>
  <si>
    <t>amballbleiben</t>
  </si>
  <si>
    <t>rahul9nirmal2</t>
  </si>
  <si>
    <t>1594413603749111793_1645814865</t>
  </si>
  <si>
    <t>No one else can give to directions to  your journey cause they've never been where you're going ‼️‼️another biceps day 💪🏻💪🏻biceps blast👊🏻👊🏻biceps finisher workout 
Follow‼️ @rahul9nirmal2 #fitnessmotivation #fitnesstrainer #personaltrainer #fitlife #fitness #workoutmotivation #workouttime #friday #bicepworkout #motivation #motivationalquotes #keeppushing #keepongoing #keepexercising #nevergiveup #everythinghappensforareason #outofcomfortzone</t>
  </si>
  <si>
    <t>IARI, PUSA, New Delhi.</t>
  </si>
  <si>
    <t>workouttime</t>
  </si>
  <si>
    <t>1594415605130187664_4991812217</t>
  </si>
  <si>
    <t>Disappointment is a learning tool in life. Embrace it and learn from it.
#smallbizlife #success #successquotes #hardwork #entrepreneur #entrepreneurlife #boss #keepongoing #inspirationalquotes #inspire #positivethinking #focus #positivity #share #believe #believeinyourself</t>
  </si>
  <si>
    <t>delegatetoday</t>
  </si>
  <si>
    <t>1594416018091717230_5967044377</t>
  </si>
  <si>
    <t>I know it's not that easy but whatever it is you're going for, show up everyday with #determination and #enthusiasm! 
#keepongoing #showupeveryday #youcandoit #wecandothis #entreprenurship</t>
  </si>
  <si>
    <t>enthusiasm</t>
  </si>
  <si>
    <t>showupeveryday</t>
  </si>
  <si>
    <t>wecandothis</t>
  </si>
  <si>
    <t>madchocolatier</t>
  </si>
  <si>
    <t>1594417453390600325_1563983154</t>
  </si>
  <si>
    <t>#blackcurrants and 60% carenero #bonbons it was a special request this week. Me and my toddler dreaming away. Have a great weekend folks 🥃
#tiredmama #toddler #noteasytobeme #keepongoing #sleepfirstthough #helga</t>
  </si>
  <si>
    <t>helga</t>
  </si>
  <si>
    <t>toddler</t>
  </si>
  <si>
    <t>bonbons</t>
  </si>
  <si>
    <t>noteasytobeme</t>
  </si>
  <si>
    <t>blackcurrants</t>
  </si>
  <si>
    <t>yanleblack00743</t>
  </si>
  <si>
    <t>1594423546314290434_4312702414</t>
  </si>
  <si>
    <t>#beast_mood #motivation #hardgainer #power_of_mind #focusonyourgoals #keepongoing #lifestyle_choice #flexfriday #workout #killerroutine #weekendvibes #allofme #givethebest #enjoy #haveagoodday#justkilledit 👊😉</t>
  </si>
  <si>
    <t>haveagoodday</t>
  </si>
  <si>
    <t>hardgainer</t>
  </si>
  <si>
    <t>givethebest</t>
  </si>
  <si>
    <t>power_of_mind</t>
  </si>
  <si>
    <t>allofme</t>
  </si>
  <si>
    <t>costaquin</t>
  </si>
  <si>
    <t>1594423918163445509_1411928621</t>
  </si>
  <si>
    <t>#braustationsursee #bier #bierkessel #6210 #goodjob #brauen #craftbeer #keepongoing #impressed #braumeister</t>
  </si>
  <si>
    <t>Braustation Sursee</t>
  </si>
  <si>
    <t>brauen</t>
  </si>
  <si>
    <t>braumeister</t>
  </si>
  <si>
    <t>bierkessel</t>
  </si>
  <si>
    <t>6210</t>
  </si>
  <si>
    <t>1594425198281752392_54831745</t>
  </si>
  <si>
    <t>Trevlig helg 💗💗#fredag#kväll#trevlighelg#sensommar#sol#kärlek#keepongoing#positivethinking #njutavvarjeögonblick 💗</t>
  </si>
  <si>
    <t>trevlighelg</t>
  </si>
  <si>
    <t>1594430586261224679_4230196596</t>
  </si>
  <si>
    <t>Check her out 😉 @hannahpolites</t>
  </si>
  <si>
    <t>1594434150421494101_1507731576</t>
  </si>
  <si>
    <t>Sept 1ST - FIRST 5 miles Steady walk ever . New milestone.#dailywalk #dailyexercise #dailywalking #fitnessoverfifty #fitnessover60 #samsunggear2 #exerciseover50 #exerciseover60 #milestone #fitandfabulous #gettingfit #keepongoing #exercisedaily #exerciseoutdoors #elpasotx #texasladies # strongwomen #walking #fitnessafterfifty #fitandfab #elpasohills</t>
  </si>
  <si>
    <t>exerciseoutdoors</t>
  </si>
  <si>
    <t>fitnessover60</t>
  </si>
  <si>
    <t>fitnessafterfifty</t>
  </si>
  <si>
    <t>lyndeborja</t>
  </si>
  <si>
    <t>1594437514025054473_1793398792</t>
  </si>
  <si>
    <t>"CHARACTER IS BUILT BY STRIVING TO BE KIND...NOT FAMOUS. "
.
.
By= Brendon Burchard
#smile#athome#selfie#friday#vegasnv#aftercardio#feelgreat#bekind#goodvibes#befit#feelwasome#keepongoing#sendingluv</t>
  </si>
  <si>
    <t>feelwasome</t>
  </si>
  <si>
    <t>sendingluv</t>
  </si>
  <si>
    <t>vegasnv</t>
  </si>
  <si>
    <t>athome</t>
  </si>
  <si>
    <t>against_our_dead</t>
  </si>
  <si>
    <t>1594440919742375667_322165165</t>
  </si>
  <si>
    <t>I do this constantly. #beenthroughitall #bringiton #nevergonnachange #keepongoing #sameshitdifferentday #itiswhatitis #friday #whatsnew #keepyourheadup</t>
  </si>
  <si>
    <t>sameshitdifferentday</t>
  </si>
  <si>
    <t>nevergonnachange</t>
  </si>
  <si>
    <t>benny_beechwood</t>
  </si>
  <si>
    <t>1594444500570502540_5325588</t>
  </si>
  <si>
    <t>😆aaaaaahhhh-aaahh-aaaahhh keep on going #sunshinetunes #thearondies #harmonyneeded #keepongoing @wss_514 @frankievolcanic @terceroramiro</t>
  </si>
  <si>
    <t>thearondies</t>
  </si>
  <si>
    <t>sunshinetunes</t>
  </si>
  <si>
    <t>harmonyneeded</t>
  </si>
  <si>
    <t>nicksteynen</t>
  </si>
  <si>
    <t>1594448142147943048_3170801478</t>
  </si>
  <si>
    <t>Het zit erop #roadtoinflandersfields #sportinturnhout #sportersbelevenmeer #marathontraining #runningonendorphins #runningaddict  #28k #runners_of_insta #instarunnersbelgium #nurust #keeponrunning #keepongoing</t>
  </si>
  <si>
    <t>runners_of_insta</t>
  </si>
  <si>
    <t>28k</t>
  </si>
  <si>
    <t>runningonendorphins</t>
  </si>
  <si>
    <t>emachado85</t>
  </si>
  <si>
    <t>1594453734171546553_4788302785</t>
  </si>
  <si>
    <t>Lost all my books. :( #harvey2017 #agustenburroughs #sigh #keepongoing</t>
  </si>
  <si>
    <t>agustenburroughs</t>
  </si>
  <si>
    <t>sigh</t>
  </si>
  <si>
    <t>1594457305176692492_1654351236</t>
  </si>
  <si>
    <t>FRI - nally ✌🏼CHEERS
#POSITIVEVIBES #jajaja 🔥🙌🏼
#hello #keepongoing #weekend #friyay #friday #weekendfun #summertime #summer #sunshine #goodtimes #qualitytime #goodvibes #belucky #luckyrebel #girls #boys #fitness #goals #love #friendship #holidays #motivation #quotes #staystrong #tattoo #inkedgirls #fitgirl #fitboy</t>
  </si>
  <si>
    <t>belucky</t>
  </si>
  <si>
    <t>windelsm</t>
  </si>
  <si>
    <t>1594457886910564159_2653866</t>
  </si>
  <si>
    <t>New best time ( 37:36 ) and average on the 10k! All the hours of hard work finally pays off. Next goal, my first marathon. Still 3 weeks of hard labor ahead #keepongoing #run #running #marathon #runnerscommunity #instarun #polar #m400polar #instarunners #runitfast #runners</t>
  </si>
  <si>
    <t>Kuurne, Belgium</t>
  </si>
  <si>
    <t>runnerscommunity</t>
  </si>
  <si>
    <t>1594458433812386529_4678264587</t>
  </si>
  <si>
    <t>First PB on DIONE (standard) and far from being a good PB.. 😅
▪️
▪️ 🔥🔥🔥 #hellweek 🔥🔥🔥 #day6
▪️
Tomorrow's the last day of this #hellweek.. almost sad it's over so soon, as I've told you at its beginning 😂
#Freeletics #bodyweight #freeleticsangers #freeleticsecouflant #hippodrome #angers #ecouflant #freeathlete #freeleticslifestyle #fit #fitness #fitnessmotivation #stayinshape #betterversionofyourself #keepongoing #trainingday #workout #noexcuses</t>
  </si>
  <si>
    <t>1594462714720221024_221837215</t>
  </si>
  <si>
    <t>1 Сентября... Помню, этот день всегда был волнующим, чуточку устрашающим, но в то же время, полным надежд и впечатлений! Благословений и успехов всем нашим деткам в новом учебном году! Храни вас Бог!
:
:
:
#vscogram #instakids #instatravel #canada #exploretocreate #dream #lifeisbeautiful #keepongoing #chinatown #blessings  #stylishkids #bestplaces #havingfun #momentsofmine #makingmemories #worldstar #1сентября #инстадетки #инстафото #adventure #жизньпрекраснаиудивительна</t>
  </si>
  <si>
    <t>Fan Tan Alley</t>
  </si>
  <si>
    <t>havingfun</t>
  </si>
  <si>
    <t>synda_harper</t>
  </si>
  <si>
    <t>1594476067480390798_244483333</t>
  </si>
  <si>
    <t>This has by far been the hardest year of our life, but we have a living hope!
.
.
"This world is not what it was meant to be,
All this pain, all this suffering.
There's a better place waiting for me
In Heaven
Every tear will be wiped away
Every sorrow and sin erased &amp;
We'll dance on seas of amazing grace!"
.
.
.
.
#faithlife #trustwithoutborders #surrender #whereyougoiwillgo #godisgood #hope #graceupongrace #herestoresmysoul #livinghope #willnotgiveup #resolve #perserverance #keepongoing #shereadstruth #lifetothefullest #lifeofadventure #heisfaithful</t>
  </si>
  <si>
    <t>surrender</t>
  </si>
  <si>
    <t>willnotgiveup</t>
  </si>
  <si>
    <t>faithlife</t>
  </si>
  <si>
    <t>1594476528511269365_1972606430</t>
  </si>
  <si>
    <t>It's not stupid, it's smart! You should be trying to improve yourself everyday.
.
Find a passion, learn everything you possibly can about it, and show people what you know.
#prestoknowsbest
-
-
#liveandlearn #dontsettle #mindsetshift #quotesoflife #personalgrowth #motivateyourself #betteryourself #keepongoing #mindsetiseverything #inspiredaily #valueyourself #valuelife #entrepreneurmind #newmindset #goalachiever</t>
  </si>
  <si>
    <t>georgia_myshittit</t>
  </si>
  <si>
    <t>1594476769960732457_4264691797</t>
  </si>
  <si>
    <t>Day 64 of chemo- Pins and needles in my mouth, tummy ache and can't taste a thing BUT steroids done, injections started, #teamboobs badge on, chemo trousers on, beautiful doglet at my feet and only 41 sleeps to go!! #fect #chemo #docetaxel #taxotere #breastcancerawareness #doglet #therapydog #keepongoing</t>
  </si>
  <si>
    <t>breastcancerawareness</t>
  </si>
  <si>
    <t>fect</t>
  </si>
  <si>
    <t>chemo</t>
  </si>
  <si>
    <t>docetaxel</t>
  </si>
  <si>
    <t>exploreyourselfcoaching</t>
  </si>
  <si>
    <t>1594477785870404322_1901729168</t>
  </si>
  <si>
    <t>September Spotlight &lt;3
Jeetje, alweer een nieuwe maand. Wat is er veel gebeurd in augustus. Na een heerlijke vakantie op Bali met mijn vier mannen en meisje, heb ik knopen door gehakt en echt JA gezegd tegen mezelf en tegen Explore Yourself!  In september gaat de spotlight volledig op mijn bedrijf. Ga ik full focus voor dat waar ik zo blij en gelukkig van word! Zoveel mogelijk andere vrouwelijke ondernemers helpen om hun Spotlight ook aan te zetten! 
Ging dat zomaar? Nee zeker niet. Tranen, veel tranen, vele gesprekken, vele nachten heb ik wakker gelegen. Maar met de volle maan op 8 augustus, is de poort echt open gaan staan, is de Leeuw in mij wakker geworden en ben ik voor mezelf gaan staan. Vanuit liefde voor mezelf en voor mijn gezin! 
September wordt de maand van vele emoties. Blijdschap en vreugde omdat mijn twee oudste jongens jarig zijn. Feestweek in huize Leka! 
Blijdschap omdat ik weer live dagen mag gaan geven voor mijn programma's, die altijd zo'n heerlijke energie boost geven! Er gaat weer een nieuwe ronde starten van Natural Glamour Woman op 26 september met krachtige mooie vrouwen.
En... Afscheid nemen van de blauwe wereld staat ook op de agenda. Afscheid nemen van vele lieve collega's. Worden vast tranen maar met een goed gevoel. Waar de ene deur sluit, gaat er een ander open. Daar ben ik heilig van overtuigd! 
Mijn September Spotlight staat aan en hoe! Gaat steeds feller schijnen en ik nodig nog meer vrouwen uit om naast me te komen staan. Op dat prachtige podium, in het licht! 
#Welcome #September #letsdothis #spotlight #newbook #newchapter #exploreyourself #coaching #training #zegjategenjezelf #instabelieve #instabusiness #instasmile #keeponsmiling #keepongoing</t>
  </si>
  <si>
    <t>welcome</t>
  </si>
  <si>
    <t>newbook</t>
  </si>
  <si>
    <t>exploreyourself</t>
  </si>
  <si>
    <t>tlclarkauthor</t>
  </si>
  <si>
    <t>1594479341697165998_3675960752</t>
  </si>
  <si>
    <t>Being #spiritual does not mean you are a saint, or that you're constantly happy. 
It just means you're aware.
This awareness sometimes means you actually feel deeper. 
The cuts can go deeper. 
But the love can also reach further. 
It is a feeling. 
It is being #authentic 
It is being you; the truest to you, thes best you you can be.
It does not ask you to look down on others as we are a walking our own path. 
We are all #humansbeing 
We are here for the human experience, so live it in all its messy glory. 
#nobodysaiditwaseasy just that it would be worth it 😌
Yeah, I'm all peace, #loveandlight and a little go fuck yourself 🙄 
So #keepongoing for #thistooshallpass 😘</t>
  </si>
  <si>
    <t>thistooshallpass</t>
  </si>
  <si>
    <t>1594480597546462845_4203455377</t>
  </si>
  <si>
    <t>Model: @stephaniedavisfitness</t>
  </si>
  <si>
    <t>workoutgirl</t>
  </si>
  <si>
    <t>excersise</t>
  </si>
  <si>
    <t>danielfloresdesign</t>
  </si>
  <si>
    <t>1594481051338481976_4353031971</t>
  </si>
  <si>
    <t>Keep moving forward #designaday #day95 #backontrack #april5 #wednesday #vectorsarefree #vector #keepongoing #humpday</t>
  </si>
  <si>
    <t>day95</t>
  </si>
  <si>
    <t>vector</t>
  </si>
  <si>
    <t>april5</t>
  </si>
  <si>
    <t>billycastillo08</t>
  </si>
  <si>
    <t>1594482477148409867_218491476</t>
  </si>
  <si>
    <t>Shoulder WorkOut
#fitness #keepongoing #maxburnbahrain #middleeast #gcc #thanksgod</t>
  </si>
  <si>
    <t>Bahrain-Manama City</t>
  </si>
  <si>
    <t>gcc</t>
  </si>
  <si>
    <t>middleeast</t>
  </si>
  <si>
    <t>maxburnbahrain</t>
  </si>
  <si>
    <t>1594483491180254301_340551272</t>
  </si>
  <si>
    <t>Having a great time learning and growing in my acting class. Working my way to landing a role in a series or film. I want it more and more each day. Thank you to my awesome acting coach Gina Nemo. #nemotalent #keepongoing #acting #nemophotography #themotivatedactor</t>
  </si>
  <si>
    <t>themotivatedactor</t>
  </si>
  <si>
    <t>nemotalent</t>
  </si>
  <si>
    <t>nemophotography</t>
  </si>
  <si>
    <t>juliusofunity</t>
  </si>
  <si>
    <t>1594487154476605661_1392141398</t>
  </si>
  <si>
    <t>"I don't need therapy, I need jiu-jitsu." Thank you #unityjiujitsu and #nsbrotherhood for taking me in. --- #bjj #jiujitsu #jiujitsulifestyle #inspirationalquotes #behumble #behonest #beloyal #nevergiveup #keepongoing #keeponfighting #candid</t>
  </si>
  <si>
    <t>unityjiujitsu</t>
  </si>
  <si>
    <t>beloyal</t>
  </si>
  <si>
    <t>thao_boi</t>
  </si>
  <si>
    <t>1594488727828491247_1539108317</t>
  </si>
  <si>
    <t>This fortune cookie motivational AF. #fortunecookie #deepthoughts #keepongoing</t>
  </si>
  <si>
    <t>fortunecookie</t>
  </si>
  <si>
    <t>myjourneytofit4real</t>
  </si>
  <si>
    <t>1594489687804699521_4628719198</t>
  </si>
  <si>
    <t>Drinking and losing water is just way to fun🔥💦#fatburningman #drinking #hydration #beastmode #fatburningmachine #boosting #metabolism #onfire #keepongoing #keeponburning #neverstop #shrednation #fatloss #sixpackjourney</t>
  </si>
  <si>
    <t>keeponburning</t>
  </si>
  <si>
    <t>sixpackjourney</t>
  </si>
  <si>
    <t>drinking</t>
  </si>
  <si>
    <t>fatburningmachine</t>
  </si>
  <si>
    <t>1594497250251706335_4230484970</t>
  </si>
  <si>
    <t>@lauraivetteg is so Boss 💟</t>
  </si>
  <si>
    <t>festligeting</t>
  </si>
  <si>
    <t>1594501670998355596_2527379626</t>
  </si>
  <si>
    <t>The only way to do great work is to love what you do. If you haven't found it yet, keep looking, don't settle 💕#keeponworking #keepongoing #festligeting</t>
  </si>
  <si>
    <t>kikis_eye</t>
  </si>
  <si>
    <t>1594502930621729676_24798602</t>
  </si>
  <si>
    <t>Mi galleta de la suerte llena de verdad. 🎋 #truefriends #prosperity #adversity #knowledge #keepongoing #focused</t>
  </si>
  <si>
    <t>truefriends</t>
  </si>
  <si>
    <t>adversity</t>
  </si>
  <si>
    <t>1594510068337288640_40740215</t>
  </si>
  <si>
    <t>Wanna good cardio blast?! Add these three moves for a good sweat 💦 Try each move a minute each with little to no rest in between! Now go get your sweat on💪</t>
  </si>
  <si>
    <t>momswhoworkout</t>
  </si>
  <si>
    <t>thetimeisnow</t>
  </si>
  <si>
    <t>colecalciferolo</t>
  </si>
  <si>
    <t>1594514968351112565_268541342</t>
  </si>
  <si>
    <t>Scusate se sono esplosiva 😂
.
.
.
.
#newshape #keepongoing #me #outfitoftheday #outfit #outfitinspiration #picoftheday #photooftheday #bestoftheday #nomakeup #instapic #instant #dress #igers #ig_today #ig_daily #ig_italia #igersdaily #igersitaly #igersitalia #igersteramo #igersabruzzo #daily #dailypic #followforfollow #instagood #sometimesifeelpretty #curvygirl #curvyfashion</t>
  </si>
  <si>
    <t>ig_daily</t>
  </si>
  <si>
    <t>aint_shiva</t>
  </si>
  <si>
    <t>1594515310178571319_5431795763</t>
  </si>
  <si>
    <t>#hometraining #workout #keepongoing #atlantaga #fintniss</t>
  </si>
  <si>
    <t>atlantaga</t>
  </si>
  <si>
    <t>fintniss</t>
  </si>
  <si>
    <t>hometraining</t>
  </si>
  <si>
    <t>dorte_rydahl</t>
  </si>
  <si>
    <t>1594526623078591348_1931837789</t>
  </si>
  <si>
    <t>🏃🏽‍♀️💨🔥⚡️⚡️💪🏼De her gamle stænger 👇🏻slog sgu rekord i dag med ny pr🎉 
5 km. i 21:59 - 4:24 pace pr. km 🙌🏻✌🏻🏃🏽‍♀️på en flot aften med Holbæk Natløb. 
Nr. 3 🥉samlet hos kvinder og nr. 1 🥇i min aldersklasse 💃🏻😉.
Hvad f..... sker der så for mit dæknavn Rydak😳🔫🤣på min bedste 5 km ever . God week 😎🍷😉😘 #holbæknatløb #løbetræning #runfast #runforfree #runjustrun #løbforsatan #degamlestængerkanstadig 💃🏻#higheels 👠#atday#runbynight #nyemål#keepongoing #neverstopdreaming #icandoit #cphhalf #hereicome 💪🏼🏃🏽‍♀️</t>
  </si>
  <si>
    <t>runbynight</t>
  </si>
  <si>
    <t>holbæknatløb</t>
  </si>
  <si>
    <t>atday</t>
  </si>
  <si>
    <t>nyemål</t>
  </si>
  <si>
    <t>1594533200889107675_429150387</t>
  </si>
  <si>
    <t>Such an awesome Birthday Celebration we had for Daniel at Shane's on Canalside. A good evening for sure. So great to see Daniel and Eric and enjoy a good catch up at this great celebration. It's #Goodtimes and #Yummytimes indeed 👍 😊 #Birthday #HappyBirthday #FridayFeeling #FridayNight #Canalside #Stratford #Londoner #LondonAtNight #London #EastSide #HereEast #BirthdayCelebration #GreatNight #Friends #Party #Joy #Love #EnjoyLife #KeepOnGoing #Thankful #Blessed #StratfordCity #LondonLife #LondonTown #Party #Cake #Food #ShanesOnCanalside</t>
  </si>
  <si>
    <t>stratfordcity</t>
  </si>
  <si>
    <t>1594544130481194226_4520028849</t>
  </si>
  <si>
    <t>MYSTERY HOSTESS LEGGING SALE EVENT!!! Shop and be entered to win Hostess Rewards!
https://shoppingwithjacquie.agnesanddora.com/shop/mystery-hostess-legging-sale-event
#agnesanddora #capri #abettermewithaandd #falloutfits #iloveaandd #leggings #lularoe #momlife #iloveleggings #kidsleggings  #healthyliving #faith #positivevibes #unstoppable #icandothis #nanalife #keepongoing #powerinprayer #success #ilovedisney #beachlife #skirt #tank #dress #fisher #joplin #godiva #happywife #happylife</t>
  </si>
  <si>
    <t>Huber Heights, Ohio</t>
  </si>
  <si>
    <t>falloutfits</t>
  </si>
  <si>
    <t>1594556122736143330_216089260</t>
  </si>
  <si>
    <t>Be more, give more, have more. . .
.
#divineorder #empoweringwomen #goals #growth #happy #inspiration #jamaicanlifecoach #lifecoach #lovemyjob #mindset #morethanenough #nofear #nicolewright #purpose #success #survivor #universe #nevertoolatetostartover #nevertoolatetobegin #standuptocancer #nevergiveup #keepongoing #believeinyourself #happy #lovemylife  #anthropologie #naturalhair #jamaicanlifecoach</t>
  </si>
  <si>
    <t>anthropologie</t>
  </si>
  <si>
    <t>mocahandcrafted</t>
  </si>
  <si>
    <t>1594557979629522579_1759394137</t>
  </si>
  <si>
    <t>MoCa #hotashell #friday #danceparty #familyfirst #missouri #guatemala #stuccowork #sucksass #keepongoing #keeponsweatin' #buildergirl #builderkids @goplen2 @empireofthesunsound</t>
  </si>
  <si>
    <t>missouri</t>
  </si>
  <si>
    <t>hotashell</t>
  </si>
  <si>
    <t>keeponsweatin</t>
  </si>
  <si>
    <t>builderkids</t>
  </si>
  <si>
    <t>viktorialoidl</t>
  </si>
  <si>
    <t>1594563929015363856_3790254938</t>
  </si>
  <si>
    <t>Don't chase people. Just do your thing. If they want to be in your life, they'll stay🖋
#happyme#thankfulformyfriends #ambitiousgirl#backtocolddays#autumniscoming #goodnewstoday#keepongoing#</t>
  </si>
  <si>
    <t>backtocolddays</t>
  </si>
  <si>
    <t>goodnewstoday</t>
  </si>
  <si>
    <t>autumniscoming</t>
  </si>
  <si>
    <t>kayfexmusic</t>
  </si>
  <si>
    <t>1594565276198795839_3264952396</t>
  </si>
  <si>
    <t>New music 18/09/17 🔥 via @lokosound #keepongoing @dj_bl3nd 🙏</t>
  </si>
  <si>
    <t>1594591610053461787_1684424176</t>
  </si>
  <si>
    <t>@talktexasoil 
___________________________ 
#millionaireimage #doitforyourself #betterme #beyourown #keeponkeepingon #workforwhatyouwant  #marketingmoment #marketingsolutions #encourageyourself #bethechangeyouwanttosee #youvegotthis #oilfieldlife #millionairequotes #inspirationalthoughts #positivepeople #americanbusiness #quoteme  #strategize #seemslegit #youdoyou #inspirationalpost #businessownership #businessisbusiness #keepongoing #selfconfidence #bewhoyouare #bewhatyouwanttobe #socialinfluencers #socialize</t>
  </si>
  <si>
    <t>1594600733840113097_4230196596</t>
  </si>
  <si>
    <t>The perfect @michelle_lewin 💕</t>
  </si>
  <si>
    <t>kerinrealty</t>
  </si>
  <si>
    <t>1594606091608944213_2205504649</t>
  </si>
  <si>
    <t>Some people see a storm, I see a beautiful downtown. Some will turn around, I will drive through it. You wanna be successful then be positive and don't let anything stop you! 
#noexcuses #postivethinking #dontstop</t>
  </si>
  <si>
    <t>Hillsborough County, Florida</t>
  </si>
  <si>
    <t>workthroughit</t>
  </si>
  <si>
    <t>postivethinking</t>
  </si>
  <si>
    <t>evamichellehenry</t>
  </si>
  <si>
    <t>1594612868186318866_5799384097</t>
  </si>
  <si>
    <t>Patch #2 #planetexpress #futurama #craftswoman #learning #keepongoing #hardwork #handscramping #gavemearthritis #fml</t>
  </si>
  <si>
    <t>YellowHammer Tattoo</t>
  </si>
  <si>
    <t>handscramping</t>
  </si>
  <si>
    <t>planetexpress</t>
  </si>
  <si>
    <t>craftswoman</t>
  </si>
  <si>
    <t>1594623027110022041_1684424176</t>
  </si>
  <si>
    <t>1594623596528752310_1684424176</t>
  </si>
  <si>
    <t>vaper620</t>
  </si>
  <si>
    <t>1594626348293730012_308854959</t>
  </si>
  <si>
    <t>It's going to be#epic #keepongoing #movies #movie #livemovie #motivationalquotes #mood #model #motivated</t>
  </si>
  <si>
    <t>movie</t>
  </si>
  <si>
    <t>livemovie</t>
  </si>
  <si>
    <t>1594627649551073678_2224047307</t>
  </si>
  <si>
    <t>There's a love less defined.
And it's yours and its mine.
#iammrlookboy 
#keepongoing</t>
  </si>
  <si>
    <t>1594629771450648049_287479761</t>
  </si>
  <si>
    <t>Perfectly imperfect. Try to accept the flaws we were given. In this case by my four beautiful children. The one part of me I sometimes nit pick but then think, hey I have had four kids and my body is still trying to do me right! I'll accept that!
#imperfect #imperfectlyperfect #motivation #fitness #fitfam #fitnessaddict #keepongoing #fitmom #mom #mommaoffour #momlife #momswholift #stretchmarks</t>
  </si>
  <si>
    <t>momswholift</t>
  </si>
  <si>
    <t>mommaoffour</t>
  </si>
  <si>
    <t>imperfect</t>
  </si>
  <si>
    <t>1594632132684619522_287479761</t>
  </si>
  <si>
    <t>305 in the works. Not bad coming off an injury that set me back almost 4 weeks for deadlifts!! Here's to getting stronger than I was before injury!!! #grunts #deadlift #fitnessaddict #keepongoing #fitfam #fitmom #strongnotskinny #mommyoffour #fitness #305 #sumo #strong #gettingbetter</t>
  </si>
  <si>
    <t>mommyoffour</t>
  </si>
  <si>
    <t>305</t>
  </si>
  <si>
    <t>jeffer0505</t>
  </si>
  <si>
    <t>1594646637224119028_51355031</t>
  </si>
  <si>
    <t>&lt; En estos tiempos donde nadie escucha a nadie &gt; practicando! #typography #type #procreate #applepen #ipadpro #typo #typer #practice #keepongoing #goodtype</t>
  </si>
  <si>
    <t>type</t>
  </si>
  <si>
    <t>procreate</t>
  </si>
  <si>
    <t>1594661394580554836_4203455377</t>
  </si>
  <si>
    <t>@laurendrainfit with them sweet legs 😍😍</t>
  </si>
  <si>
    <t>1594684052814803690_5705167414</t>
  </si>
  <si>
    <t>Still thinking about what series to make 😕  #Dubnation
-
-
-
-
-
-
-
-
-
-
-
-
-
-
-
-
-
-
-
-
-
-
-
-
-
-
-
-
-
-
-
-
-
-
-
-
-
-
-
-
 #StephGonnaSteph #Mvp #SC30 #KT11 #DG23 #CURRYMVP #KEEPONGOING #NEVERGIVEUP #WCF #WEST #WESTERNCONFERENCEFINALS #CHAMPS #DUBSFORCHAMPS #DUBS #ALWAYSBELIEVEINGOD #STEPHENCURRY #EVEN #NBA #2016CHAMPS #CHAMPIONS #LOCKIN #STEPH #SPLASH #SPLASHBROS  #like4like #like4follow #follow4follow</t>
  </si>
  <si>
    <t>cvfitness15</t>
  </si>
  <si>
    <t>1594685448496385487_2542068814</t>
  </si>
  <si>
    <t>Holiday weekend! Let's do this! 
Rocking my own solo workout tomorrow. Offering 1 class Sunday! 10:30am HIIT at YMCA $10 day pass! And 1 class Tuesday 5:45am Cross-Train Fix $7 drop in or register for the session! 
#cvfitness #weekendworkouts #groupexercise #hiitworkout #highintensityintervaltraining #ymca #keepitpositive #keepongoing #workoutforabetterlife #crosstraining #outdoorworkout #getupshowup #youcan #letsdothis</t>
  </si>
  <si>
    <t>cvfitness</t>
  </si>
  <si>
    <t>workoutforabetterlife</t>
  </si>
  <si>
    <t>weekendworkouts</t>
  </si>
  <si>
    <t>1594685535997528586_5468355632</t>
  </si>
  <si>
    <t>Nibble -🐠
-
-
-
#josh #tyler #jenna #twentyonepilots #bands #frens #laugh #myidols 
#loveyou #bestmusic #keepongoing #ibelieve #theyrethebest #funny #smile #tøpmemes #tøp #stayalive #inspiring  #beautifulpeople</t>
  </si>
  <si>
    <t>1594691308567818831_5722990971</t>
  </si>
  <si>
    <t>I am happy worth the result even though I think I am doing it a bit rush gonna be late for a housewarming party, not bad for someone who never seen hollyhock though ! Just realise I write it wrongly, please don't disqualify me 😂 It is said hollylock represents abundance, because it always bloom abundantly! Thanks for the challenge, makes me wants to explore the world @kryslauren_loveletters @sketchyminx @heysailor_ @georgioudraws #floralsyourway #lettering #drawing #linedrawing #keepongoing #paint #pen #pencil #creative #illustration #illustrationgram #draw #sketch #flower #flora #challenge #keepongoing #hollylocks</t>
  </si>
  <si>
    <t>hollylocks</t>
  </si>
  <si>
    <t>1594692934514859276_5468355632</t>
  </si>
  <si>
    <t>This is so cool : artist unknown -🐠
-
-
-
#josh #tyler #jenna #twentyonepilots #bands #frens #laugh #myidols 
#loveyou #bestmusic #keepongoing #ibelieve #theyrethebest #funny #smile #tøpmemes #tøp #stayalive #inspiring  #beautifulpeople</t>
  </si>
  <si>
    <t>1594693365873949122_5468355632</t>
  </si>
  <si>
    <t>So apparently your only allowed to crest and deactivate so many accs, so now I can't make any more accs off of this phone but maybe off another? And I'm about to get a new one soooo
-🐠
-
-
-
#josh #tyler #jenna #twentyonepilots #bands #frens #laugh #myidols 
#loveyou #bestmusic #keepongoing #ibelieve #theyrethebest #funny #smile #tøpmemes #tøp #stayalive #inspiring  #beautifulpeople</t>
  </si>
  <si>
    <t>barbieloustroud</t>
  </si>
  <si>
    <t>1594695488794707361_1560617831</t>
  </si>
  <si>
    <t>Wise words.. #selflove #smile #strength #strengthinadversity #keepongoing #staystrong #faith #friends #friendship #loveyourself #loveoneanother #loveearth #love #takecareofyourself #takecareofoneanother #beautiful #beautyandthebeast💕💖💕💚💖🤗#peaceandlove ❤️</t>
  </si>
  <si>
    <t>England</t>
  </si>
  <si>
    <t>loveoneanother</t>
  </si>
  <si>
    <t>1594704610098341231_5468355632</t>
  </si>
  <si>
    <t>All hail josh 🙋
-🐠
-
-
-
#josh #tyler #jenna #twentyonepilots #bands #frens #laugh #myidols 
#loveyou #bestmusic #keepongoing #ibelieve #theyrethebest #funny #smile #tøpmemes #tøp #stayalive #inspiring  #beautifulpeople</t>
  </si>
  <si>
    <t>1594704878542028629_5468355632</t>
  </si>
  <si>
    <t>SHOOK -🐠
-
-
-
#josh #tyler #jenna #twentyonepilots #bands #frens #laugh #myidols 
#loveyou #bestmusic #keepongoing #ibelieve #theyrethebest #funny #smile #tøpmemes #tøp #stayalive #inspiring  #beautifulpeople</t>
  </si>
  <si>
    <t>1594719590482819006_5781397138</t>
  </si>
  <si>
    <t>On the Camino
Good morning to all the pilgrims on their way. Whether you start a pilgrimage just today or your already on your walk or you continue the way in your life
 keep safe ... and keep on walking .
. 
#camino #onthecamino #encamino #caminodesantiago #stjamesway #jakobsweg #galicia #pilgrim with #breastcancer #metastaticcancer under #chemotherapy #keepongoing #neverquit #lifeisbeautiful #keeponmoving #trustyourself</t>
  </si>
  <si>
    <t>1594727998173852554_2164591711</t>
  </si>
  <si>
    <t>Comment 'beach' letter by letter for a like back💦
Follow us @_thetravelblogger_ for more💙
👇🏼Tag your friend's you'd travel to the Bahamas with
📸 Credit: @extremenature
.
.
.
.
.
.
.
.
#majestic_earth #yogastrong #travelingyogi #traveltime #keepongoing #exploremore #paradiseonearth #yogadudes #visualsoflife #openmyworld #followers #earthfocus #vacationlife #creativepreneur #traveljunkie #travellove #travelmate #theglobewanderer #travellifestyle #thailandtravel #beachbod #skyporn #mytravelgram #instatravels #energyhealing</t>
  </si>
  <si>
    <t>enuj_dlareg</t>
  </si>
  <si>
    <t>1594733679568072252_2287922138</t>
  </si>
  <si>
    <t>One LOVE One FIRE One LIFE...keep on going. #onelove #onefire #onelife #keepongoing #beach #bonfire #beachparty #bonfireparty #enuj17</t>
  </si>
  <si>
    <t>onefire</t>
  </si>
  <si>
    <t>bonfireparty</t>
  </si>
  <si>
    <t>enuj17</t>
  </si>
  <si>
    <t>bonfire</t>
  </si>
  <si>
    <t>joshclemensfit</t>
  </si>
  <si>
    <t>1594750704928423802_1108261219</t>
  </si>
  <si>
    <t>I'm not just a Trainer. I'm a motivator, therapist, and friend. #fbf #motivator #therapy #therapist #personaltrainer #bayareatrainer #bayareafitness #motivation #text #textmessage #emoji #keepongoing</t>
  </si>
  <si>
    <t>therapist</t>
  </si>
  <si>
    <t>bayareafitness</t>
  </si>
  <si>
    <t>bayareatrainer</t>
  </si>
  <si>
    <t>ingela_atletfabriken</t>
  </si>
  <si>
    <t>1594752097119416574_1767956237</t>
  </si>
  <si>
    <t>Jag är alltid som starkast när jag är som svagast. Precis före mållinjen. När det inte finns något annat alternativ 💜 
Så nu sjuhelsike massa kaffe, muskler och goda vänner ☕️💪🏼🚚 #strongest #weak #finishline #goal #moving #family #kids #tired #keepongoing</t>
  </si>
  <si>
    <t>finishline</t>
  </si>
  <si>
    <t>1594754988721181458_5705167414</t>
  </si>
  <si>
    <t>October why you takin forever? 😭  #Dubnation
-
-
-
-
-
-
-
-
-
-
-
-
-
-
-
-
-
-
-
-
-
-
-
-
-
-
-
-
-
-
-
-
-
-
-
-
-
-
-
-
 #StephGonnaSteph #Mvp #SC30 #KT11 #DG23 #CURRYMVP #KEEPONGOING #NEVERGIVEUP #WCF #WEST #WESTERNCONFERENCEFINALS #CHAMPS #DUBSFORCHAMPS #DUBS #ALWAYSBELIEVEINGOD #STEPHENCURRY #EVEN #NBA #2016CHAMPS #CHAMPIONS #LOCKIN #STEPH #SPLASH #SPLASHBROS  #like4like #like4follow #follow4follow</t>
  </si>
  <si>
    <t>francescoflorence</t>
  </si>
  <si>
    <t>1594755272911853985_294657188</t>
  </si>
  <si>
    <t>•street•
#sydney #streetstyle #keepongoing #discovery #music #live #artist #ground #photography #photoshoot #instastreet #positivevibes #thinkbig #bigpic</t>
  </si>
  <si>
    <t>Pitt Street Mall</t>
  </si>
  <si>
    <t>uswah_chu</t>
  </si>
  <si>
    <t>1594763292386310374_1825102997</t>
  </si>
  <si>
    <t>Jaga Pandangan..Jaga Ucapan..Jaga Hati.
Mungkin lebih baik jika semuanya terjaga..biarkan saja mereka berkata2 penuh dengan cacian,n hinaan.Karna dengan itu,hidupmu lebih berwarna n bermakna
#keepongoing</t>
  </si>
  <si>
    <t>sonialovesmario</t>
  </si>
  <si>
    <t>1594766193955266313_186261386</t>
  </si>
  <si>
    <t>My blog assistant tonight 🎧 Mario G! 
#wordpressblog #john4four #keepongoing #wordpress</t>
  </si>
  <si>
    <t>wordpress</t>
  </si>
  <si>
    <t>wordpressblog</t>
  </si>
  <si>
    <t>john4four</t>
  </si>
  <si>
    <t>1594767775452084165_5944730818</t>
  </si>
  <si>
    <t>Losing and winning is the part of competition... #inspirationalquotes #inspiration #motivationalquotes #motivation #loveyourself #love #family #friendship #chaseyourdreams #liveyourdream #dontgiveup #youcandoit #keepongoing</t>
  </si>
  <si>
    <t>pulchre_confringetur</t>
  </si>
  <si>
    <t>1594774056431080586_5971122485</t>
  </si>
  <si>
    <t>We don't cut for attention.
We don't bleed because we want to fit in.
We try to escape, to feel better, to kill what we're running from.
If you're a cutter, I just wanna tell you: YOU ARE NOT WEAK. You are a fighter, and you are never alone!
#selfharn #selfharnn #suicidalthoughts #suicidalgirl #suicidesquad #suicidal #thinking #heart #blood #imfighting #united #depressed #fighters #keepongoing #feelings #depression
#depressing #selfhate #cutting #cuttingmyself</t>
  </si>
  <si>
    <t>depressed</t>
  </si>
  <si>
    <t>cutting</t>
  </si>
  <si>
    <t>vkcruz122</t>
  </si>
  <si>
    <t>1594783913539259089_293340364</t>
  </si>
  <si>
    <t>#KeepOnGoing#MorningWalk#ThanksForTheCapture#Hubby#EidHoliday</t>
  </si>
  <si>
    <t>hubby</t>
  </si>
  <si>
    <t>thanksforthecapture</t>
  </si>
  <si>
    <t>eidholiday</t>
  </si>
  <si>
    <t>morningwalk</t>
  </si>
  <si>
    <t>1594792104982642969_179389652</t>
  </si>
  <si>
    <t>Melihat dari jauh 🌹💕🎶 agar sentiasa kita beringat 😊 
#naszsally🎶 #keepongoing #whatmakeshappy #dekatdihati💕 #caritenang #Alhamdulillah</t>
  </si>
  <si>
    <t>caritenang</t>
  </si>
  <si>
    <t>silvanalekalima</t>
  </si>
  <si>
    <t>1594792272587027271_288976565</t>
  </si>
  <si>
    <t>newchapter</t>
  </si>
  <si>
    <t>zegjategenjezelf</t>
  </si>
  <si>
    <t>1594814094778459757_202349433</t>
  </si>
  <si>
    <t>Billedet til venstre er mig tilbage i 2011, billedet til højre blev taget igår💪🏼.
For nogle er der måske ikke ret stor forskel, men jeg ser en stor forskel. Vejede omkring de 80 kg dengang, ikke en muskel på min krop og var virkelig flov og ked af min krop..👊🏼 jeg tog mig sammen og begyndte at træne... havde dog ingen ide om at det jeg puttede i munden ville modarbejde mit arbejde nede i fitness, ligemeget det enlig var indlysende!
Det er først indenfor de sidste 2 år jeg har taget kosten og træning helt seriøs, været på en kostplan og har fået et helt andet syn på træning da min veninde @fitnessby_larsen kom ind i mit liv for knap er år siden! Efter hun har hjulpet mig med træning og kosten har der kun været fremgang! Skylder hende alt! Hun er guld værd. Holder utrolig meget af dig!😘. Har siden d.10 juli været på en kostplan som @annemettestaub.dk har lavet! Og den virker! Glæder mig til endnu mere fremgang både med kosten og træning!💪🏼😆
Go lørdag!👏🏼
#fitgirl #movingforward #keepongoing #fight #youcandoit #loveyourbody #happyme #past #helthylife #helthychoices #lifestyle #lile4like #morningworkout</t>
  </si>
  <si>
    <t>helthychoices</t>
  </si>
  <si>
    <t>808eddie907</t>
  </si>
  <si>
    <t>1594817486871065432_1433596598</t>
  </si>
  <si>
    <t>Always! #stayonthegrind #keepongoing #eatumup #fuckwhattheysay #fuckwhatyouheard #ifyoudontknowstfu #timewilltell</t>
  </si>
  <si>
    <t>fuckwhatyouheard</t>
  </si>
  <si>
    <t>ifyoudontknowstfu</t>
  </si>
  <si>
    <t>stayonthegrind</t>
  </si>
  <si>
    <t>fuckwhattheysay</t>
  </si>
  <si>
    <t>1594827565843626725_462344435</t>
  </si>
  <si>
    <t>It's not how good you are, it's about how good you want to be.
.
.
.
Happy Saturday!
.
.
.
Make it happen!
.
.
.
#Bepositive #positivemindset #livelifetothefull #seethegood #seethegoodineverything #believeyoucan #befearless #keeponmoving #keeponlearning #keepondoing #keepongoing #keeponbelieving #believeinyou #goodhabits #achieve #achieveyourdreams #achieveyourgoals #believeinyourdream #believeinyourselfie #keepthefaith #neverstoplearning #positiveattitude #positivemindset #positivequotes #positivevibes #positiveminds #neverstoptraining #neverstoplearning #begoodatit</t>
  </si>
  <si>
    <t>1594828140211695352_1325964889</t>
  </si>
  <si>
    <t>Week 7 #accomplished #bbg #kaylaitsines #fit #weekend #japanesegirl #followforfollow #follow4follow #bbgcommunity #fitx #gymgirlz #workout #gymlife #healthy #and #happy #motivation #keepongoing #stayfocused #staystrong</t>
  </si>
  <si>
    <t>japanesegirl</t>
  </si>
  <si>
    <t>1594829659387565090_1684424176</t>
  </si>
  <si>
    <t>1594832323524974000_1380342216</t>
  </si>
  <si>
    <t>Every decision you make will show results in the end. ❤ #berlin #newhome</t>
  </si>
  <si>
    <t>berlin</t>
  </si>
  <si>
    <t>newhome</t>
  </si>
  <si>
    <t>mr.chill.alex</t>
  </si>
  <si>
    <t>1594837470028063452_283459621</t>
  </si>
  <si>
    <t>Oh'Man, Congratz @dance10fikshun 🙌👑🎊 it's your day, and hope it will be one of its best 🎉⭐️🏆❣️ #KeepOnGoing 🔥 
#Staychill 💎 
https://www.instagram.com/p/BVA5vDfg_Pp/</t>
  </si>
  <si>
    <t>staychill</t>
  </si>
  <si>
    <t>dance10alexchill</t>
  </si>
  <si>
    <t>1594839062741448751_3932200021</t>
  </si>
  <si>
    <t>Oh'Man, Congratz @dance10fikshun 🙌👑🎊 it's your day, and hope it will be one of its best 🎉⭐️🏆❣️ #KeepOnGoing 🔥 
#Staychill 💎 🎞
https://www.instagram.com/p/BVA5vDfg_Pp/</t>
  </si>
  <si>
    <t>1594845474262417777_429150387</t>
  </si>
  <si>
    <t>Today i celebrate my Dad's Birthday. As he celebrates back in South Africa I will be celebrating here in the UK for him as well 😄 🎉🎂🙏 🎉
May God bless my Dad with many more and I know he will sure be having a great celebration at home. Wishing my Dad God's best always. Love My Dad, am so thankful for my Dad 🙏🎉🤗 Enjoy all the #Goodtimes and #Yummytimes Dad🎂
#HappyBirthday #Birthday #Dad #SouthAfrica #CelebrateLife #KeepOnGoing #GodIsGood #Pray #Love #Joy #EnjoyLife #Londoner #UnitedKingdom #DadsBirthday #Life #LookToJesus #Blessed #Thankful #GodsBest #Family #PrayerWorks #InJesusName #InstaBirthday #PrayForYourFamily #DontGiveUp #Strength #Faith #LondonTown</t>
  </si>
  <si>
    <t>injesusname</t>
  </si>
  <si>
    <t>onil_rus</t>
  </si>
  <si>
    <t>1594864650988641621_5522757063</t>
  </si>
  <si>
    <t>#oman#adventuretime #keepongoing #explore #nature #boat#sea #seacreatures #beautifullife #enjoyinglife</t>
  </si>
  <si>
    <t>Diba / Daba Port, Musandam, Oman</t>
  </si>
  <si>
    <t>seacreatures</t>
  </si>
  <si>
    <t>oman</t>
  </si>
  <si>
    <t>deezs</t>
  </si>
  <si>
    <t>1594864745999835223_1245752970</t>
  </si>
  <si>
    <t>#goodmorning #holidayfun #mood #funny #pool #summervibes☀️ #beachball #vacationtime #goodtimes #summer #smiley #noworkday #travelgrams #touriste #keepongoing #keeponsmiling</t>
  </si>
  <si>
    <t>NAFSIKA VILLAS- PETRA MARE VILLAGE / Apartments &amp; Villas, Samos</t>
  </si>
  <si>
    <t>noworkday</t>
  </si>
  <si>
    <t>summervibes☀️</t>
  </si>
  <si>
    <t>je55ums</t>
  </si>
  <si>
    <t>1594865103127485774_203701073</t>
  </si>
  <si>
    <t>It's not even over yet! Hurry up 2017! You have been a total pain in the ass! But thankfully those of you who have been around for the bumpy ride have got me through! You know how rough it's been and I am so lucky and blessed you have been there to hold my hand when it's got too much! 😘☀️💕 🙏🏼 #2017 #begone #overit #whybenice #crappyyear #blessed #bringonthnext #bumpy #chinup #staysmiling #bekind #stayhumble #keepongoing #nothingtoitbuttodoit</t>
  </si>
  <si>
    <t>staysmiling</t>
  </si>
  <si>
    <t>bumpy</t>
  </si>
  <si>
    <t>le_chaton_chiffon</t>
  </si>
  <si>
    <t>1594879835191329462_3901022476</t>
  </si>
  <si>
    <t>Certains auront deviné la raison de mon silence ces derniers jours ...
Le dernier Adieu a été murmuré et le dernier tour de clé a été donné ...
Le Temps a beau m'avoir arraché tous ces beaux projets, tous ces moments provilégiés, je garde le souvenir de tous ceux que nous lui avons subtilisés, Promethée(s) d'Amour et de complicité.
Ce feu là, rien ne le pourra éteindre ...
Et comme il le souhaitait c'est dans la ville blessée que je m'en vais panser mon coeur brisé.
Apprendre comme elle à me relever. 
A défier le malheur, l'injustice, la Mort et le Temps.
A accepter de dire Adieu, tout en murmurant "A bientôt" ...
.
.
.
Ne m'en veuillez pas mes amis si mes publications se font erratiques ...
J'ai besoin d'oublier quelques secondes...
Je vous souhaite un beau weekend et de beaux moments provilégiés avec vos proches...
Xoxo Le Chaton Chiffon 🐱💔</t>
  </si>
  <si>
    <t>Sagrada Familia, Barcelona</t>
  </si>
  <si>
    <t>life_with_twins2017</t>
  </si>
  <si>
    <t>1594881329798734951_5928008621</t>
  </si>
  <si>
    <t>My ultimate survival items- coffee to keep me alive. Sunglasses to hide my tired eyes. Be lost without them. That and some good cover-up and a dyson #coffeedependent #coffeeforlife #letmummydrinkhercoffe #coffeemum #coffeelover #caffinefix #tiredeyes #sunglassesrayban #favouritethings #twinmum #twinmummy #twinmom #twinsurvival #parentsurvival #keepongoing</t>
  </si>
  <si>
    <t>tiredeyes</t>
  </si>
  <si>
    <t>twinmummy</t>
  </si>
  <si>
    <t>sunglassesrayban</t>
  </si>
  <si>
    <t>twinsurvival</t>
  </si>
  <si>
    <t>coffeelover</t>
  </si>
  <si>
    <t>kevinv1978</t>
  </si>
  <si>
    <t>1594881392528804681_344415065</t>
  </si>
  <si>
    <t>#rainstorm #regenbui #thornsrain #keepongoing #niepleuje #goinghiking</t>
  </si>
  <si>
    <t>Fjord Limski Kanal</t>
  </si>
  <si>
    <t>goinghiking</t>
  </si>
  <si>
    <t>niepleuje</t>
  </si>
  <si>
    <t>thornsrain</t>
  </si>
  <si>
    <t>regenbui</t>
  </si>
  <si>
    <t>rainstorm</t>
  </si>
  <si>
    <t>1594907358549729843_4249248273</t>
  </si>
  <si>
    <t>Ah no strength training today - doesn't mean I won't actually train - it will just mean not training in the gym. Nothing stopping me from practicing side planks when cooking dinner 😁 it's funny, I find right side planks so much easier than left, even with the smaller base. 😂 off wall training is just as important as in wall 😁thanks @ladiesstrengthcoach for the shot and see you soon! #tryhard #goals #determination #dontgiveup #training #notraining #plank #sideplank #amputee #muslim #hijab #ehlersdanlossyndrome #thisgirlcan #abs #saturdaymorning #believeinyourself #focus #grit #icandothis #justdoit #keeptrying #keepongoing #progress #paraclimber #thisgirlcanclimb</t>
  </si>
  <si>
    <t>paraclimber</t>
  </si>
  <si>
    <t>1594912487831181593_5705167414</t>
  </si>
  <si>
    <t>The Warriors Dynasty has just begun!!!! 🏆🏆🏆 #Dubnation
-
-
-
-
-
-
-
-
-
-
-
-
-
-
-
-
-
-
-
-
-
-
-
-
-
-
-
-
-
-
-
-
-
-
-
-
-
-
-
-
 #StephGonnaSteph #Mvp #SC30 #KT11 #DG23 #CURRYMVP #KEEPONGOING #NEVERGIVEUP #WCF #WEST #WESTERNCONFERENCEFINALS #CHAMPS #DUBSFORCHAMPS #DUBS #ALWAYSBELIEVEINGOD #STEPHENCURRY #EVEN #NBA #2016CHAMPS #CHAMPIONS #LOCKIN #STEPH #SPLASH #SPLASHBROS  #like4like #like4follow #follow4follow</t>
  </si>
  <si>
    <t>dimiser</t>
  </si>
  <si>
    <t>1594912667826758504_23643327</t>
  </si>
  <si>
    <t>Beautifulday#Sunny#Dayoffwork#Nobballgames#Trainingday#Running#Keepinshape#Workout#Nikegearon#Dowhateverittakes#Keepongoing#Clearingthemindbodyandsoul#🏃</t>
  </si>
  <si>
    <t>dayoffwork</t>
  </si>
  <si>
    <t>nobballgames</t>
  </si>
  <si>
    <t>nikegearon</t>
  </si>
  <si>
    <t>keepinshape</t>
  </si>
  <si>
    <t>1594915960303839697_368773559</t>
  </si>
  <si>
    <t>Pain is just beging of the road👊👊👊👊👊!!!! #fitness #serbianguy #nevergiveup #keepongoing #sverige  #24fitness #dance #gym #keepitcomming #serbia #gymaddict</t>
  </si>
  <si>
    <t>serbia</t>
  </si>
  <si>
    <t>serbianguy</t>
  </si>
  <si>
    <t>phiffster</t>
  </si>
  <si>
    <t>1594920305771801517_4265172252</t>
  </si>
  <si>
    <t>🔟km 🏃 🙌🙌🙌 es geht wieder in unter einer Stunde - nachdem ich vor ein paar Monaten befürchten musste das laufen aufgeben zu müssen macht mich das ultraglücklich 😀 
#runhappy #keepongoing #smallstep #nevergiveup #laufforrestlauf #instarunners #instarun #laufenmachtglücklich #todayigetstronger #hoffentlichbereueichesnicht #workforit</t>
  </si>
  <si>
    <t>todayigetstronger</t>
  </si>
  <si>
    <t>hoffentlichbereueichesnicht</t>
  </si>
  <si>
    <t>smallstep</t>
  </si>
  <si>
    <t>laufforrestlauf</t>
  </si>
  <si>
    <t>i_am_mariannaz</t>
  </si>
  <si>
    <t>1594925020721850789_228156172</t>
  </si>
  <si>
    <t>This trip to #Chamonix for the #utmb has been a #jumpintothepast with #goodmemories and a #clearidea of how my entire life, both personal and professional, have changed and evolved towards an on-going-better-me. This shot summarizes everything. #changeisgood #evolution #dontworrybehappy #sempreavanti #avantitutta #keepongoing #neverstop #thespecials #natipronti #testedtough #simplerichlife #gratitude #mariannaz ❤️</t>
  </si>
  <si>
    <t>Chamonix, France</t>
  </si>
  <si>
    <t>dontworrybehappy</t>
  </si>
  <si>
    <t>avantitutta</t>
  </si>
  <si>
    <t>evolution</t>
  </si>
  <si>
    <t>sempreavanti</t>
  </si>
  <si>
    <t>clearidea</t>
  </si>
  <si>
    <t>john_lamb82</t>
  </si>
  <si>
    <t>1594928196002969040_2921494</t>
  </si>
  <si>
    <t>run done,weights smashed,750 press ups killed.all while on shift #noexcuses #running #weights #weighttraining #oldschoolstyle #power #strength #speed #fitness #fitnessmotivation #fitfam #smashit #onlymecanbeatme #iwillbebigger #biggerstrongerfaster #inspiration #motivation #conquer #hulksizesoon #pushyourlimits #keepongoing #punisher #thepunisher #gym #gymrat #positive #positivelife #positivemindset</t>
  </si>
  <si>
    <t>onlymecanbeatme</t>
  </si>
  <si>
    <t>thepunisher</t>
  </si>
  <si>
    <t>1594929642175506161_4589275325</t>
  </si>
  <si>
    <t>Still Loving Deadlifts.I Cant Understand Why I Hated Them Back In Time.
Which Exercise Do You Hated Back In Time But Love Today? 
natural #bodybuilding #shrugs #bizepz #relaxandmakegainz #westcoastworkout #Push
#pull #leg #beastmode #dowhatittakes #focused #alpha #power #muscles #keepongoing #motivated #nostress #drinkteaandgrowmuscles #tea #oldschool #oldschoolhiphop #gangstarap #nohipstar #nomainstream #charger #nike #airmax95 #sneakers #keepyourshoesclean</t>
  </si>
  <si>
    <t>westcoastworkout</t>
  </si>
  <si>
    <t>keepyourshoesclean</t>
  </si>
  <si>
    <t>oldschoolhiphop</t>
  </si>
  <si>
    <t>1594931487207852785_297558307</t>
  </si>
  <si>
    <t>Gm😁🌅Warriors🏹! Happy Saturday Y'all! Breathe, relax and enjoy the weekend! #free #beach #sea #fitmom #fitmama #fitgirl #fitness #fitnessaddict #runner #mamaenforma #mamacorriendo #gim #gimnasio #gym #gymgirl #gymlife #gymaddict #gymaholic #myanchor #mypassion #myhappyplace #keeptrying #keepmoving #keepstrong #keepongoing #sailing #summer</t>
  </si>
  <si>
    <t>1594931939210318637_429150387</t>
  </si>
  <si>
    <t>On route to The Beacon Baptist church in Kilmington Devon, looking forward to a blessed day representing Christian Concern with Andrea Williams.
These are blessed #Goodtimes indeed 🙌 🙏 🙌
#ChristianConcern #LondonWaterloo #London #Waterloo #Travel #EventProfs #Thankful #Blessed #Devon #Londoner #Kilmington #Church #Events #HopeForTheNation #Joy #Love #Trains #KeepOnGoing #DontGiveUp #JesusIsTheWay #BaptistChurch #EnjoyLife #Weekend #Saturday</t>
  </si>
  <si>
    <t>londonwaterloo</t>
  </si>
  <si>
    <t>jesusistheway</t>
  </si>
  <si>
    <t>kilmington</t>
  </si>
  <si>
    <t>manzoorhussain864</t>
  </si>
  <si>
    <t>1594932818687964065_3611314938</t>
  </si>
  <si>
    <t>#like4like #yolo#me#bestpic#keepongoing#justforfun#instagood#mood#manchester</t>
  </si>
  <si>
    <t>Gulbarga</t>
  </si>
  <si>
    <t>gen22009</t>
  </si>
  <si>
    <t>1594933399751348898_144286574</t>
  </si>
  <si>
    <t>❤️❤️ the prettiest thing on a woman is her smile, and independence! #keepongoing #shootforthestars</t>
  </si>
  <si>
    <t>shootforthestars</t>
  </si>
  <si>
    <t>mr_asilva</t>
  </si>
  <si>
    <t>1594933592899538717_429077333</t>
  </si>
  <si>
    <t>#neverstop #dontstop #keepongoing #goals #stamina #goals #mission</t>
  </si>
  <si>
    <t>mission</t>
  </si>
  <si>
    <t>makingithappen_87</t>
  </si>
  <si>
    <t>1594936547090445185_263250818</t>
  </si>
  <si>
    <t>Those moments of gratitude in life. ❤️ Full of love. Not sure why as it's been a bitch of a week (and another one coming up with uni placement) but in this moment in time, I am content. And full of love. What a pleasant feeling ☺️ ✨❤️ #gratitude #gratitudejournal #love #happiness #content #ponderinglife #lovethelifeyoulive #keepongoing #spreadlove #lifequotes #livelife #behappy #itallstartswithyou</t>
  </si>
  <si>
    <t>ponderinglife</t>
  </si>
  <si>
    <t>itallstartswithyou</t>
  </si>
  <si>
    <t>dolinseknejc</t>
  </si>
  <si>
    <t>1594937493761575004_3032469241</t>
  </si>
  <si>
    <t>Think before you speak, and don't say everything you think.
.
.
.
Photo: Nina Premk
@proteini.sikamni 
#proteinisi #shopKamnik #bestsupplements #thisismydumbell #topwaterbotle #dumbells #fitness #fitnessmotivation #determination #dedication #motivation #fitfam #workingout #keepongoing #everforward #diet #igfitness #iifym #photoshoot #goals #progression</t>
  </si>
  <si>
    <t>topwaterbotle</t>
  </si>
  <si>
    <t>shopkamnik</t>
  </si>
  <si>
    <t>everforward</t>
  </si>
  <si>
    <t>1594941466654855902_279512262</t>
  </si>
  <si>
    <t>Уже полдня потрачено, а я все ещё то и дело засыпаю. Просто день не может наступить без чашки кофе, а она все никак не случится! 
Обращаюсь к последнему дню лета за помощью в кофейной ностальгии!
А сама никак не могу решить, то ли гулять пойти, то ли остаться книжку читать.
.
#brunch #loveinmoscow #ddcoffeemoscow #daily #sundaymood #aloha #abmlife #abmhappylife #keepongoing #livy #lifeex #lifestyle #livethedream #livealittle #citylife #coffee #coffeeart #coffeecup #coffeetime #coffeeplace #coffeeinmoscow #moscowlife #keepcalm #liveauthentic</t>
  </si>
  <si>
    <t>coffeeinmoscow</t>
  </si>
  <si>
    <t>ddcoffeemoscow</t>
  </si>
  <si>
    <t>1594942344036262521_5705167414</t>
  </si>
  <si>
    <t>Not really Curry or Warriors related stuff and I'm pretty late to post this, but thoughts on Boston adding another pick for Kyrie?  #Dubnation
-
-
-
-
-
-
-
-
-
-
-
-
-
-
-
-
-
-
-
-
-
-
-
-
-
-
-
-
-
-
-
-
-
-
-
-
-
-
-
-
 #StephGonnaSteph #Mvp #SC30 #KT11 #DG23 #CURRYMVP #KEEPONGOING #NEVERGIVEUP #WCF #WEST #WESTERNCONFERENCEFINALS #CHAMPS #DUBSFORCHAMPS #DUBS #ALWAYSBELIEVEINGOD #STEPHENCURRY #EVEN #NBA #2016CHAMPS #CHAMPIONS #LOCKIN #STEPH #SPLASH #SPLASHBROS  #like4like #like4follow #follow4follow</t>
  </si>
  <si>
    <t>bernice_strijker</t>
  </si>
  <si>
    <t>1594945020280204591_5028204577</t>
  </si>
  <si>
    <t>If you do what you always did, you'll get what you allways got. #lifeisaclimb #onestepatatime #keepongoing #neverstopgrowing #readyfor20172018 #happy #motivated #sw #paulabspoel #shoot</t>
  </si>
  <si>
    <t>readyfor20172018</t>
  </si>
  <si>
    <t>neverstopgrowing</t>
  </si>
  <si>
    <t>1594945227209149745_40619315</t>
  </si>
  <si>
    <t>Schade, dass ich grad so ein mega Tief habe... Konditionell heute ganz großes Kacka 😑 trotz langer Pause während des großen Regengusses nach 3km ☔️🌧
Aber gut, war verletzt, längere Pause. Jetzt muss ich für nächsten Samstag noch bissl was tun, sonst schaffe ich das mit den 10km nicht so gut 😅 #keepongoing #nevergivingup
.
.
.
#natur #naturliebe #laufen #laufenmachtglücklich #happiness #germering #abnehmen2017 #weightlossjourney #running #runninggirl #laufenfürdieseele #fitfam #runtastic #runtasticpro #runtasticgirl #fürmehrrealitätaufinstagram #motivation #afterrunselfie #hiit #hiitrun</t>
  </si>
  <si>
    <t>runtasticpro</t>
  </si>
  <si>
    <t>grinse_katze01</t>
  </si>
  <si>
    <t>1594958447397062024_5835011373</t>
  </si>
  <si>
    <t>Leg&amp;booty day... 💪👣
#neverskiplegday
#instadaily #instagirl #fitnessbabe #girlswholift #beine #po #aufgehts #gymtime #fitfam #legday #booty🍑 #day #keepongoing #motivated #girl #lifting #injoygrazsued #ilovetotrain</t>
  </si>
  <si>
    <t>INJOYmed Graz</t>
  </si>
  <si>
    <t>fitnessbabe</t>
  </si>
  <si>
    <t>beine</t>
  </si>
  <si>
    <t>ilovetotrain</t>
  </si>
  <si>
    <t>cholored</t>
  </si>
  <si>
    <t>1594959114096891816_4279385377</t>
  </si>
  <si>
    <t>#japan #oldvibes #highway #50 #keepongoing</t>
  </si>
  <si>
    <t>50</t>
  </si>
  <si>
    <t>oldvibes</t>
  </si>
  <si>
    <t>iamgeorgefive</t>
  </si>
  <si>
    <t>1594961852408552637_1519327058</t>
  </si>
  <si>
    <t>My lovely @officialgretsch Green Penguin 🐧😍 love her! 📸 by @beliklein .
.
.
.
.
.
.
#singer #songwriter #london #electricguitar #guitar #gretsch #greenpenguin #rehearsal #keepongoing #goodstuff #nicetone #instaguitar #instaguitard #instapicoftheday</t>
  </si>
  <si>
    <t>nicetone</t>
  </si>
  <si>
    <t>instaguitar</t>
  </si>
  <si>
    <t>lifeisaticket</t>
  </si>
  <si>
    <t>1594964019151536407_5863606920</t>
  </si>
  <si>
    <t>Cruising around 😎#skate #nowind #cruising #skateboarding #keepongoing #street #sk8 #skater #skaterboy #skatergirl #relationshipgoals #qualitytime #stayactive #fun #workout #tallinn #waitingforwind</t>
  </si>
  <si>
    <t>waitingforwind</t>
  </si>
  <si>
    <t>skatergirl</t>
  </si>
  <si>
    <t>tallinn</t>
  </si>
  <si>
    <t>relationshipgoals</t>
  </si>
  <si>
    <t>1594964869579557003_1011271643</t>
  </si>
  <si>
    <t>My workout buddies this morning 
#couldntsleep
#bandworkout
#backandshoulders</t>
  </si>
  <si>
    <t>backandshoulders</t>
  </si>
  <si>
    <t>couldntsleep</t>
  </si>
  <si>
    <t>bandworkout</t>
  </si>
  <si>
    <t>lisamccready05</t>
  </si>
  <si>
    <t>1594966761807442489_531471870</t>
  </si>
  <si>
    <t>Feeling a bit better today.....the smile is out 😁 #smiling #keepongoing</t>
  </si>
  <si>
    <t>b_schult_z</t>
  </si>
  <si>
    <t>1594968131289088957_143887970</t>
  </si>
  <si>
    <t>I hope everyone is having a wonderful start to their Labor Day weekend. If you are high in mountains or laying out in a field, Be Safe!!
@sitkagear @goretexhuntfishgear @mathewsinc @theqdma @officialgoosecommander @gooseheadsunlimited @whitetailproperties @tall_tine_bowstrings 
#sunrise #sun #falldays #d500 #sickforit #divergent #divergeit #MainFrameCreative #itsinmyblood #itsinmynature #experincemore #earlygoose #elkhunting #huntdifferent #follow #builtforthewild #howiconquer #wisconsin #itisseptember #keepongoing #becreative #imagination #drive #passion</t>
  </si>
  <si>
    <t>imagination</t>
  </si>
  <si>
    <t>itsinmyblood</t>
  </si>
  <si>
    <t>falldays</t>
  </si>
  <si>
    <t>lu.melina</t>
  </si>
  <si>
    <t>1594971287527275941_2261482085</t>
  </si>
  <si>
    <t>Vor dem Posing-Training und dem Formcheck noch einmal stärken. Auberginen-Gemüse mit Lachs und Reiswaffeln. 
Die Woche war irgendwie komisch durchwachsen. Das Training war nicht so Bombe und jeden Tag lange gearbeitet. Könnte besser sein. Aber abwarten wie nächste Woche wird! Nie den Mut verlieren.
#fitnesslifestyle #fitnessfood #bodybuildingfood #fitgirl #growmusclesgrow #healthyfood #powerfood #posingtime #formcheck #competetionprep #keepongoing #fightforit #nichtmeinewoche #nichtaufgeben #Motivation</t>
  </si>
  <si>
    <t>bodybuildingfood</t>
  </si>
  <si>
    <t>sabrinaperessutti</t>
  </si>
  <si>
    <t>1594975314310731714_1562178525</t>
  </si>
  <si>
    <t>Accessory of the day: Umbrella ☔️ #rainysaturday #accessoryoftheday #umbrella #rain #autumnpreview #endofsummer #itsalwayssunnyatbloomingdales #onlypositivevibes #keepongoing #enjoytheday</t>
  </si>
  <si>
    <t>Milan, Italy</t>
  </si>
  <si>
    <t>itsalwayssunnyatbloomingdales</t>
  </si>
  <si>
    <t>accessoryoftheday</t>
  </si>
  <si>
    <t>onlypositivevibes</t>
  </si>
  <si>
    <t>xcix4ever</t>
  </si>
  <si>
    <t>1594979106475045616_5753137596</t>
  </si>
  <si>
    <t>When everything goes south but you want to go north you start digging so to build a tunnel which takes you north. It won't be visible until you come out on the other side. Nobody would interfere and nobody would apprectiate. So it will be alone at times. Here you should remind yourself "If it was easy, anybody would do it" So if it is hard, you do it hard. If it unbearable then you become unbreakable. If it is what you love then you put in the work to get it. 
JUST DO IT
#selfie #selfieaddict
#selfiesaturday #writersoﬁnstagram #writingofig #writes #writing #wordporn #photographer #photo #photoinsta #photogram #photoselfie #digging #goessouth #walknorth #tunnel #determination #focus #alone #keepongoing #unbrearable #unbreakable #justdoit #doitnow #doit</t>
  </si>
  <si>
    <t>writes</t>
  </si>
  <si>
    <t>goessouth</t>
  </si>
  <si>
    <t>1594980215540877214_429036895</t>
  </si>
  <si>
    <t>I still not feeling fit but I had a good night sleep. Today slowly tried to train again. I had a recovery training without pushing myself to much. First I will see how my body responses on this session. The upcoming days slowly adding more exercises and weights to my workouts. 
#recoveryworkout #daretoshare #bodylove #selflove #foodlover  #fitnessjourney #progress #fitness #fitdutchie #weightlifting #girlwholifts #fitfam #fitnessaddict #curves #weightgaining #bodyandmind #gymlife #recovering #bootygrow #dedication #hardwork #keepongoing #strenght #grow #girlonamission #effort #girlpower  #healthylifestyle</t>
  </si>
  <si>
    <t>weightgaining</t>
  </si>
  <si>
    <t>1594987745146514061_5916048423</t>
  </si>
  <si>
    <t>What's happening here? 😂
____________________________________
- Follow Me👉🏼 @lux.inspire 👈🏼
- Follow Me👉🏼 @lux.inspire 👈🏼
____________________________________
💡Turn on Notifications to See New Posts
💡Share with friends, family, and followers</t>
  </si>
  <si>
    <t>brainwashed</t>
  </si>
  <si>
    <t>1594990960843070330_5705167414</t>
  </si>
  <si>
    <t>Got alot of hw to do, so I'm probably gonna be off for a while😴  #Dubnation
-
-
-
-
-
-
-
-
-
-
-
-
-
-
-
-
-
-
-
-
-
-
-
-
-
-
-
-
-
-
-
-
-
-
-
-
-
-
-
-
 #StephGonnaSteph #Mvp #SC30 #KT11 #DG23 #CURRYMVP #KEEPONGOING #NEVERGIVEUP #WCF #WEST #WESTERNCONFERENCEFINALS #CHAMPS #DUBSFORCHAMPS #DUBS #ALWAYSBELIEVEINGOD #STEPHENCURRY #EVEN #NBA #2016CHAMPS #CHAMPIONS #LOCKIN #STEPH #SPLASH #SPLASHBROS  #like4like #like4follow #follow4follow</t>
  </si>
  <si>
    <t>candy_isabelhp</t>
  </si>
  <si>
    <t>1594996876154067506_1257551635</t>
  </si>
  <si>
    <t>Around mile 6 I saw this breathtaking view of the sunrise 🌅 you can't help to feel peace and blessed about everything , good and bad because it will shape us into who we are .. we learn , we teach we uplift others to keep on going and to never give up. Remember We don't have to run we get to run .. so do it for the ones who can't ❤️🏃🏽‍♀️💪🏼#keepongoing #youarealwaysonmymind #youllbeokay #nevergiveup #marathontraining #runnerscommunity #runwithyourheart #runhappy #sunriseinmiami #longrunsaturday</t>
  </si>
  <si>
    <t>Key Biscayne</t>
  </si>
  <si>
    <t>youarealwaysonmymind</t>
  </si>
  <si>
    <t>kasie.fit.mom</t>
  </si>
  <si>
    <t>1594998555278293017_4680734344</t>
  </si>
  <si>
    <t>😘💯 Facts! No one can ever break me. #strength #strongformykids #innerbeauty #love #strongwomen #strongmind #keepongoing #neversettle #morning #motivation #lovelife #loveyourself</t>
  </si>
  <si>
    <t>1595005246810253215_1584949428</t>
  </si>
  <si>
    <t>The world is ours :))) #keepongoing #адвокатмитрофанова #ревизорромитрофанова :)) правду говорили, 30 - это не страшно :)) @o.olgasysoeva 😀</t>
  </si>
  <si>
    <t>Ibiza Formentera</t>
  </si>
  <si>
    <t>1595014375956399394_2065144435</t>
  </si>
  <si>
    <t>Utila looking about as surreal as it actually is.
#honduras #islandlife</t>
  </si>
  <si>
    <t>Utila, Islas De La Bahia, Honduras</t>
  </si>
  <si>
    <t>honduras</t>
  </si>
  <si>
    <t>islandlife</t>
  </si>
  <si>
    <t>1595030271848581862_5620542121</t>
  </si>
  <si>
    <t>Today's arm workout was awesome. Love my new snap from #loyalfitness
With 2 scoops of #bloodlion vicious the focus was perfect and got a little pump I think so 😅💪
Now off to work. Love my weekend's 🙌👌
10% discount joro10 @loyalfitness ⚫
#loyalfitness #bloodlion #pump #gym #gainz #gymlove #trytogetbig #training #fit #fitfamcologne #fitfam #bodyunderconstruction #bodybuilding #beardedman #beliveinyou #dreambig #staystrong #stayhungry #cologne #neverquit #newprofilepic #picoftheday #lovewhatudo #smallgainz #smallgains #gainz #gainzcomingsoon #workforit #instagood #zkonzept #keepongoing</t>
  </si>
  <si>
    <t>cologne</t>
  </si>
  <si>
    <t>pump</t>
  </si>
  <si>
    <t>1595034533814997673_4975539500</t>
  </si>
  <si>
    <t>Missing #indiancolors. #rajasthantrip #brightcolors #unlimitedindia #ig_rajasthan #amoicolori #placetogo #living_destinations #keepontravelling #mytripspics #fotodeimieiviaggi #guidedtoursinvenice #traveldeeper #lovefortravel #lustforknowledge</t>
  </si>
  <si>
    <t>Rajasthan</t>
  </si>
  <si>
    <t>stayhungrystayfoolish</t>
  </si>
  <si>
    <t>topphotos</t>
  </si>
  <si>
    <t>amoviaggiare</t>
  </si>
  <si>
    <t>travelandtakephoto</t>
  </si>
  <si>
    <t>living_destinations</t>
  </si>
  <si>
    <t>jannabobier</t>
  </si>
  <si>
    <t>1595035153382367382_3085296630</t>
  </si>
  <si>
    <t>Interview today! Wish me luck! 🖤😊 Not letting this seizure stuff slow this strong woman down! #perseverance #staypositive #optimistic #keepongoing #michaelkors</t>
  </si>
  <si>
    <t>michaelkors</t>
  </si>
  <si>
    <t>optimistic</t>
  </si>
  <si>
    <t>mrs_chauvette</t>
  </si>
  <si>
    <t>1595039360854596166_269121933</t>
  </si>
  <si>
    <t>It's gonna be around 115 degrees today , so I got 8 miles done before 8am! It was already hot and humid out there! #run #ilovetorun #iruntoburnoffthecrazy #halfmarathon #halfmarathontraining #keepongoing</t>
  </si>
  <si>
    <t>iruntoburnoffthecrazy</t>
  </si>
  <si>
    <t>ilovetorun</t>
  </si>
  <si>
    <t>halfmarathontraining</t>
  </si>
  <si>
    <t>1595065754243211286_4315838540</t>
  </si>
  <si>
    <t>..#motocross #mxlife #braapp #offroad #lifebehindbars #2wheels #9 #ansr #keepongoing #nevergiveup #gaerneboots #mud #letsdothis #awesome #woods #mx1</t>
  </si>
  <si>
    <t>1595066789019363716_40740215</t>
  </si>
  <si>
    <t>Real talk: I was tired and really sore when I woke up and really wasn't feeling a workout but I DID IT! And you know what I'm so glad I did! I feel 100x's better and now ready to take on the rest of the day! Who else got their sweat on early?!</t>
  </si>
  <si>
    <t>tylerkravitz11</t>
  </si>
  <si>
    <t>1595072215290873093_2020874508</t>
  </si>
  <si>
    <t>It's crazy not knowing what's in front of you. Not knowing what will be your next destination or success point in your life. 
#keepongoing #doitforthestory #nevergiveup #successiseveryday #nomatterwhat #wearebowhunters #flw #flatlinewhitetails #iamsportsman #Whatgetsyououtdoors @flatlinewhitetails @sitkagear @mathewsinc @wicked_tree_gear @roughridge @hawk_hunting @innerloc_broadheads @antlerice @knockout @exodustrailcameras @remington_sct @fourth.arrow 
Photo | @nkravitz1</t>
  </si>
  <si>
    <t>iamsportsman</t>
  </si>
  <si>
    <t>flatlinewhitetails</t>
  </si>
  <si>
    <t>doitforthestory</t>
  </si>
  <si>
    <t>1595072998695407711_429150387</t>
  </si>
  <si>
    <t>Can't believe it's 4 years ago today that my Aunty Pam went to be with the Lord, oh how i miss you Aunty Pam. Life is great but it has not been the same without you, i thank the Lord for the amazing years He gave me with you, always love you Aunty Pam. You are always in my heart. Miss my Aunty Pam lots but i know she is in a much better place today and we will meet again in Heaven. Will always celebrate and honour Aunty Pam. Love my Aunty Pam Lots. 🙏 #InLovingMemory #WillNeverForget #Missed #Loved #TillWeMeetAgain #WillAlwaysRemember #Aunt #Heaven #GoodMemories #Family #Love #PrayForYourFamily #DontGiveUp #KeepOnGoing #LookToJesus #Salvation #WeWillMeetAgain #Thankful #Blessed #ItIsWell #Peace #Comfort  #InJesusName #SouthAfrica #London #NeverForgotten #AlwaysRemember</t>
  </si>
  <si>
    <t>inlovingmemory</t>
  </si>
  <si>
    <t>salvation</t>
  </si>
  <si>
    <t>1595075053015217517_4229046670</t>
  </si>
  <si>
    <t>1595076905447438832_4869035138</t>
  </si>
  <si>
    <t>Success and nothing less 💯❌
Follow us @100xsuccess 🔥
•
📷 @digitalbite_</t>
  </si>
  <si>
    <t>clippergarminteam</t>
  </si>
  <si>
    <t>1595078632207736164_5817638983</t>
  </si>
  <si>
    <t>This is truly 'the race of your life' - we are steaming down to Uruguay, watching dolphins play at our bow, with shooting stars over head, working like we've never worked before, exhausted mentally and physically. We eat, sleep, trim, repeat. This is an adventure tire of a lifetime. #uruguay #clipperrace #raceofourlives #racing #sailing #crew #garmin #crewlife #lucky #dolphins #stars #hardwork #keepongoing #neverstop</t>
  </si>
  <si>
    <t>clipperrace</t>
  </si>
  <si>
    <t>dolphins</t>
  </si>
  <si>
    <t>sailing</t>
  </si>
  <si>
    <t>siim_cheer</t>
  </si>
  <si>
    <t>1595080623839971783_4303686854</t>
  </si>
  <si>
    <t>🇩🇰 araber flik tuck💖 -
-
-
-
-
🇬🇧 Roundoff backhandspring tuck💖 
#tuck #bhs #Elite #tumbling #cc #friends #gym #gymnastics #gymnastik #cheer #cheerleadingworlds #cheerup #cheerful #cheerleading #cheerlove #high #move #love #live #laugh #spotter #you #me #world #imagine #dream #cometrue #keepongoing #devoploments #fight</t>
  </si>
  <si>
    <t>tuck</t>
  </si>
  <si>
    <t>devoploments</t>
  </si>
  <si>
    <t>cheerleading</t>
  </si>
  <si>
    <t>1595083546522663889_344415065</t>
  </si>
  <si>
    <t>#endoftheworld #anotherstorm #holiday #dontmind #makefun #keepongoing #stormcantkillthemood #thereareworstthings #makeyourownluck</t>
  </si>
  <si>
    <t>anotherstorm</t>
  </si>
  <si>
    <t>thereareworstthings</t>
  </si>
  <si>
    <t>endoftheworld</t>
  </si>
  <si>
    <t>makefun</t>
  </si>
  <si>
    <t>sandyagmon</t>
  </si>
  <si>
    <t>1595085952208285290_345329748</t>
  </si>
  <si>
    <t>Beyond the horizon of the place we lived when we were young
In a world of magnets and miracles
Our thoughts strayed constantly and without boundary
The ringing of the division bell had begun #horizon #worldstar #pinkfloyd#highhopes#enjoy#life#orherside#photo#instagood #tagsforlikes#beauty#keepongoing#sunset#israel#newday#versus#</t>
  </si>
  <si>
    <t>highhopes</t>
  </si>
  <si>
    <t>1595091958057166431_5722990971</t>
  </si>
  <si>
    <t>The more I do it, the more I am fascinating about world... so many lovely things out there, so many beautiful! Happy Bday to myself, so much things to reflect about and so many things I have accomplished in my life, I am proud to be me. 2nd day challenge, I did it while feel so sleepy but I just dont miss it whenever I can @thepigeonletters. They said karoo rose is symbol of good luck! 😁#doubleletterchallenge #keepongoing #illustrationgram #illustration #linedrawing #drawing #draw #lettering #handlettering #pencil #pen #karoorose #happy #birthday #creative #draw #paint #flower</t>
  </si>
  <si>
    <t>urche_</t>
  </si>
  <si>
    <t>1595094743109109836_2468891</t>
  </si>
  <si>
    <t>A shoulder injury before joining @PMMA, After almost losing a finger before my belt test, I said to myself "Oh no, I can't let this stop me, so I continue to go to class and sat at the bench while watching the rest of the team while I wait to heal...I kept n going #Inevergaveup #keepongoing # #kickboxingbelttest #martialartsgirl #punchit! 👊🏽#everythingispossible #nevergiveup #inspired #dedicated #womensfitness #strength #getyourgison #jujitsulife 👍🏽</t>
  </si>
  <si>
    <t>Practical Martial Arts</t>
  </si>
  <si>
    <t>womensfitness</t>
  </si>
  <si>
    <t>tpotvien</t>
  </si>
  <si>
    <t>1595097530818250119_1749525602</t>
  </si>
  <si>
    <t>Life has a funny way of knocking us down. 
At that point we have two choices. We can stay down or we can get back up. Both are hard. But in getting back up we find that maybe there was a lesson that needed to be learned throughout this process. Let that lesson shape your life. Learn from it. Grow from it. Adapt. Your future self will thank you. So will the people around you. 
One truth about life is that it is unpredictable. It changes constantly. Don't ever assume tomorrow will be here. Do what you want with who you want NOW. 
And even through all the struggles, continue to smile. There is so much beauty in the world. There are a lot of experiences to be had. There are a lot of people that love you. 
Get out there and live. Life is tough, but so are you. 💪🏼 #lifeisgood #keepongoing #smile</t>
  </si>
  <si>
    <t>future_mrs_d_2017</t>
  </si>
  <si>
    <t>1595097956406332536_355049873</t>
  </si>
  <si>
    <t>#wedding #weddingdress #itfits #4inchesoff #losingweight #thatwonderfulmoment #thatwonderfulfeeling #beautifulgirl #floridagirl #3monthstogo💍 #3months #happy #thankful #keepongoing #pushplayeveryday #pushtotheend #push</t>
  </si>
  <si>
    <t>3months</t>
  </si>
  <si>
    <t>weddingdress</t>
  </si>
  <si>
    <t>4inchesoff</t>
  </si>
  <si>
    <t>thatwonderfulmoment</t>
  </si>
  <si>
    <t>ralimch17</t>
  </si>
  <si>
    <t>1595098270057458478_3514509148</t>
  </si>
  <si>
    <t>#urbanbynature #strongbow #stillme #keepongoing #goodbyelonghardsummer</t>
  </si>
  <si>
    <t>Livada Urbana</t>
  </si>
  <si>
    <t>strongbow</t>
  </si>
  <si>
    <t>stillme</t>
  </si>
  <si>
    <t>urbanbynature</t>
  </si>
  <si>
    <t>goodbyelonghardsummer</t>
  </si>
  <si>
    <t>cn.writes</t>
  </si>
  <si>
    <t>1595099612184355982_5860160540</t>
  </si>
  <si>
    <t>past affirmation #2: keep going, keep growing.
.
.
.
.
.
.
.
.
.
.
#AlexElle #affirmations #affirm #cnwrites #journey #pain #movingforward #trust #healing #healingprocess #keepgoing #keepongoing #keepgrowing #growing #inspiration</t>
  </si>
  <si>
    <t>alexelle</t>
  </si>
  <si>
    <t>ssfitbiz</t>
  </si>
  <si>
    <t>1595102107718180953_4728956274</t>
  </si>
  <si>
    <t>#speedround #saturdays with @amar_jandoo &amp; @suren2711 , putting the #combos together while near on #fatigued to #grow the #tank , #strength &amp; #stamina, #nevergiveup, #keepongoing . #powerthroughit , #padwork #boxing #fitness #combatsports</t>
  </si>
  <si>
    <t>powerthroughit</t>
  </si>
  <si>
    <t>saturdays</t>
  </si>
  <si>
    <t>speedround</t>
  </si>
  <si>
    <t>innejane</t>
  </si>
  <si>
    <t>1595104113979576846_1398436840</t>
  </si>
  <si>
    <t>Sometimes, your biggest enemy is oneself..
.
.
#dhammapada #thethousands #conquerthemind #whenyoucantsleep #quiettime #stilllearning #conqueroneself #goodnight #nightthoughts #pieceofmind #quotes #qotd #instaquotes #thingstoponder #becomeabetteryou #improve #keepongoing #stayatpeace #movingforward #afraidnot #words #buddhism #buddha #wisdom #wisdomwords #motivationalquotes #dontgiveup #missoptimistic #instapic #instadaily</t>
  </si>
  <si>
    <t>conquerthemind</t>
  </si>
  <si>
    <t>pieceofmind</t>
  </si>
  <si>
    <t>1595111984616043432_279512262</t>
  </si>
  <si>
    <t>А мы и так уже вполне вредные) люблю любимого. You make me happy 🖤
.
.
#photooftheday #loveinmoscow #seemymoscow #abmlife #authentic #abmhappylife #daily #citylife #vsco #vibes #vscocam #livy #lifeex #livelife #keepcalm #keepongoing #keeponwalking #livelife #livestory</t>
  </si>
  <si>
    <t>Миусский Парк</t>
  </si>
  <si>
    <t>loveinmoscow</t>
  </si>
  <si>
    <t>1595112591154473261_4678264587</t>
  </si>
  <si>
    <t>-0:13 vs PB ✌🏻
▪️
▪️ 🔥🔥🔥 #hellweek 🔥🔥🔥 #day7
▪️
The #heelweek's over guys! And what's better than a new #personalbest to finish it ?! 😜
I'm as overjoyed as sad that it's already over though.. 😅
#Freeletics #bodyweight #freeleticsangers #freeleticsecouflant #hippodrome #angers #ecouflant #freeathlete #freeleticslifestyle #fit #fitness #fitnessmotivation #stayinshape #betterversionofyourself #keepongoing #trainingday #workout #noexcuses</t>
  </si>
  <si>
    <t>1595119432913330885_346593171</t>
  </si>
  <si>
    <t>Lublin 🌞#poland #lublin #nikon #bush #nikoncoolpix #nikontop #nocrop #remarkableplaces #picoftheday #instadaily #street #traveling #shot #beauty #travelph #lovetravel #symphony #summer #hotel #feel #goodmood #window #flower #balcony #hotelalter #architecture #building #keepongoing #walls #relax</t>
  </si>
  <si>
    <t>Hotel Alter</t>
  </si>
  <si>
    <t>goodmood</t>
  </si>
  <si>
    <t>nikontop</t>
  </si>
  <si>
    <t>poland</t>
  </si>
  <si>
    <t>pvanhool67</t>
  </si>
  <si>
    <t>1595120386880972681_226321016</t>
  </si>
  <si>
    <t>#u21 #fclanden #win #seven #zero #greatstart #keepongoing #verliezenkennenwenie</t>
  </si>
  <si>
    <t>greatstart</t>
  </si>
  <si>
    <t>zero</t>
  </si>
  <si>
    <t>u21</t>
  </si>
  <si>
    <t>verliezenkennenwenie</t>
  </si>
  <si>
    <t>jackal_93</t>
  </si>
  <si>
    <t>1595122593438749530_339224332</t>
  </si>
  <si>
    <t>ca_s_be_fit</t>
  </si>
  <si>
    <t>1595133516429871831_5064256460</t>
  </si>
  <si>
    <t>Running done💪 #badmintonsaisonvorbereitung #badminton #loveit #preperation #running #seasoniscoming #cardio #keepongoing #neverstop #nevergiveup #justdoit #fitness #casbefit 
Thanks to @meikeschyra 💕</t>
  </si>
  <si>
    <t>preperation</t>
  </si>
  <si>
    <t>yukki_boi</t>
  </si>
  <si>
    <t>1595133866645802637_5816698742</t>
  </si>
  <si>
    <t>happy #adoptaversary yukki!!!!! I am so happy everyday to know that you are happy and safe with me and my family i know you didn't have an easy start to life and things weren't good for you but i hope now you are living your best life
#love  #vancouver  #persistence #yellowlab #lab #Vancouverlabs #labpup #labrador #sleepy #sleepylab #happy #learning #gettingthere #day24 #cheeseroll #prettysun #adoptaversary #loveyou #keepongoing</t>
  </si>
  <si>
    <t>vancouver</t>
  </si>
  <si>
    <t>adoptaversary</t>
  </si>
  <si>
    <t>prettysun</t>
  </si>
  <si>
    <t>shiyashi93</t>
  </si>
  <si>
    <t>1595136181992115013_5379622461</t>
  </si>
  <si>
    <t>#kissmyadrawingchallengepart2 #kissmyadrawingchallenge #drawing #sketch #digital #art #art🎨 #newchallenge #keepongoing #bethebest #needtotakemytime</t>
  </si>
  <si>
    <t>kissmyadrawingchallenge</t>
  </si>
  <si>
    <t>kissmyadrawingchallengepart2</t>
  </si>
  <si>
    <t>digital</t>
  </si>
  <si>
    <t>sandy__lou</t>
  </si>
  <si>
    <t>1595137616772053436_289065707</t>
  </si>
  <si>
    <t>#wandering #wanderlust #skyisthelimit #highlands #wowplanet #coolbutcold #keepitreal #keepongoing #keepitsimple 🦄🦋</t>
  </si>
  <si>
    <t>keepitsimple</t>
  </si>
  <si>
    <t>wowplanet</t>
  </si>
  <si>
    <t>highlands</t>
  </si>
  <si>
    <t>bitterhout15</t>
  </si>
  <si>
    <t>1595138818155425429_581288226</t>
  </si>
  <si>
    <t>#firstgamedoneanddusted #rugby #england🇬🇧 #burtonrugby #greattobepartofsomethingspecail #firstgametwotries #rugbyworld #rugbyfit #muzino #canterbury #spain🇪🇸 #Sa🇿🇦 #keepongoing #englandrugby</t>
  </si>
  <si>
    <t>england🇬🇧</t>
  </si>
  <si>
    <t>sa🇿🇦</t>
  </si>
  <si>
    <t>greattobepartofsomethingspecail</t>
  </si>
  <si>
    <t>rugbyworld</t>
  </si>
  <si>
    <t>canterbury</t>
  </si>
  <si>
    <t>1595142043355674939_12198462</t>
  </si>
  <si>
    <t>Mom life ❤️🏋🏻‍♀️🔛😈🙌🏻 #bodyrepair #nopainnogain #hardworkanddedication #shredding #hardworkpaysoff #bodybuilding #bodyreconstruction #adidas #nike #reebok #neverstop #keepongoing #momlife #fit #fitness #deadlift #benchpress #biceps #triceps #back #glutes #glutesmaximus #eatclean #workhard #postpartum #feelgood</t>
  </si>
  <si>
    <t>glutesmaximus</t>
  </si>
  <si>
    <t>jasarout</t>
  </si>
  <si>
    <t>1595142464943690005_1149077166</t>
  </si>
  <si>
    <t>Embrace them..You have to keep on going 🌪
#embracethestormsoflife #keepongoing #learn #grow</t>
  </si>
  <si>
    <t>embracethestormsoflife</t>
  </si>
  <si>
    <t>reignofnate</t>
  </si>
  <si>
    <t>1595143143362365111_1320513016</t>
  </si>
  <si>
    <t>#KeepOnGoing 💯 😉☺️</t>
  </si>
  <si>
    <t>Tampa International Airport</t>
  </si>
  <si>
    <t>jozy_jane_pinnock</t>
  </si>
  <si>
    <t>1595151719640293094_1273493112</t>
  </si>
  <si>
    <t>#donewiththisweek #tired #wantpeace #longweek #herestotheweekend #nomakeup #selfie #glasses #blondehair #natural #browsonfleek #100percentpure #bigheart #love #baristalife #hoodie #leggings #nightin #choker here's to you hard working peeps enjoy your weekend and #keepongoing xxx &lt;	3</t>
  </si>
  <si>
    <t>donewiththisweek</t>
  </si>
  <si>
    <t>longweek</t>
  </si>
  <si>
    <t>1595158293566650540_429150387</t>
  </si>
  <si>
    <t>Awesome turnout here at The Beacon Baptist Church in Kilmington Devon to hear all about the state of the nation and all the work that we do at Christian Concern by Andrea Williams. This is blessed #Goodtimes for sure 🙌👍😊
#ChristianConcern #StateOfTheNation  #HopeForTheNation #Blessed #Thankful #GodIsGood #KeepOnGoing #Love #Truth #Joy #Unity #ItsAllAboutJesus #NoFear #NoGivingUp #Kilmington #Devon #BaptistChurch #JesusIsTheWay #EventProfs #Londoner #TheBeacon #Worship #Praise #ThisIsGreat</t>
  </si>
  <si>
    <t>baptistchurch</t>
  </si>
  <si>
    <t>thebeacon</t>
  </si>
  <si>
    <t>unity</t>
  </si>
  <si>
    <t>millionpreneur</t>
  </si>
  <si>
    <t>1595179401620071328_3043392516</t>
  </si>
  <si>
    <t>RepostBy @texasquotes: "#dayofgiving 
TEXT TO DONATE: Text Harvey to 90999  #harvey2017 @americanredcross #hopeforhouston #quotelove #quoteme #socialmarketing  #makeitreal #goalgetter #oilfield  #thankfulness #seemslegit #millionaireimage #dailyinspirations #bemyownboss #realpeople #simplytrue #careergoals #millionaireimage  #goaldriven  #ceolife #socialinfluencer #oilfield  #getting  #goalsetting #quotes4you  #inspirationalpost  #positivepeople #keepongoing #marketingpro #marketingtools #inspirationalpeople"</t>
  </si>
  <si>
    <t>inspirationalpeople</t>
  </si>
  <si>
    <t>makeitreal</t>
  </si>
  <si>
    <t>simplytrue</t>
  </si>
  <si>
    <t>1595180159613692336_206226910</t>
  </si>
  <si>
    <t>Truly exhausted right now. Need my bed to come to me tonight coz I'm not budging from this sofa 😴😴😴
#Strength #Wisdom and the #Power #KeepOnGoing #Warrior #lawofattraction #wealth #mind #abundance #consciousness #positive #knowledge #power #spiritual #love #karma #prosperity #energy #universe #universe #staypositive #believe #higherlearning #goodtimes #loa #manifest #Affirmations #quantumphysics #love #Life</t>
  </si>
  <si>
    <t>1595180598489911807_1654351236</t>
  </si>
  <si>
    <t>#saturday ✌🏼CHEERS
#POSITIVEVIBES 🔥🙌🏼
#hello #keepongoing #weekend #samstag #weekendfun #summertime #summer #sunshine #goodtimes #qualitytime #goodvibes #belucky #luckyrebel #girls #boys #fitness #goals #love #friendship #holidays #motivation #quotes #staystrong #tattoo #inkedgirls #fitgirl #fitboy</t>
  </si>
  <si>
    <t>hello</t>
  </si>
  <si>
    <t>1595181655679996698_1551000842</t>
  </si>
  <si>
    <t>marites.son</t>
  </si>
  <si>
    <t>1595182800977212110_12574643</t>
  </si>
  <si>
    <t>Good question... who is going to stop you? 
#whoisstoppingyou #keepgoing #unityseosolutions</t>
  </si>
  <si>
    <t>socialmedia</t>
  </si>
  <si>
    <t>synergy.universe</t>
  </si>
  <si>
    <t>1595183161276866051_49013603</t>
  </si>
  <si>
    <t>When I struggle and have a down day, I just look at her and know it's all going to be ok. She has come such a long way in such a short amount of time. Just 2 wks ago she didn't know how go crawl forward; now not only is she crawling, but climbing and learning to walk and ride her little car. 
Every waking moment she is pushing forward and if she falls, she gets back up and pushed herself to "get it".
We should all take lessons from a baby. learning that whatever is thrown her way she gets up and pushed herself to keep on going til she gets it. #lifelessons #pushingeveryday #firststeps #yougotthis #thatsmilethough #momsofgirls #momsofbabies #babygirls #blueeyes #keepongoing #pushcars #lazyday #footballmom</t>
  </si>
  <si>
    <t>Ontario</t>
  </si>
  <si>
    <t>pushingeveryday</t>
  </si>
  <si>
    <t>momsofgirls</t>
  </si>
  <si>
    <t>firststeps</t>
  </si>
  <si>
    <t>momsofbabies</t>
  </si>
  <si>
    <t>frayasimonsen</t>
  </si>
  <si>
    <t>1595184012073390098_205267645</t>
  </si>
  <si>
    <t>#lightattheendoftunnel #keepongoing #fromdarknesstolight #followthelight #følglyset #lysforendenaftunnelen 
Somme tider er det bare det ene ben foran det andet. Følg lyset ☀️</t>
  </si>
  <si>
    <t>lysforendenaftunnelen</t>
  </si>
  <si>
    <t>followthelight</t>
  </si>
  <si>
    <t>fromdarknesstolight</t>
  </si>
  <si>
    <t>følglyset</t>
  </si>
  <si>
    <t>hitman_lodzki</t>
  </si>
  <si>
    <t>1595186206652389688_2331177170</t>
  </si>
  <si>
    <t>#coloursofsummer #keepongoing</t>
  </si>
  <si>
    <t>coloursofsummer</t>
  </si>
  <si>
    <t>thewrightrealestategroup</t>
  </si>
  <si>
    <t>1595195112491747152_5677918450</t>
  </si>
  <si>
    <t>#Success is only the tip of the iceberg. Recall everything you had to do that no one else can see to make it happen! #keepongoing #keepitreal #makeitcount #makeityours 
#luxuryrealestate.
.
.
.</t>
  </si>
  <si>
    <t>The Wright Real Estate Group</t>
  </si>
  <si>
    <t>makeityours</t>
  </si>
  <si>
    <t>luxuryrealestate</t>
  </si>
  <si>
    <t>eastboiseluxuryliving</t>
  </si>
  <si>
    <t>1595195728963444171_5139866557</t>
  </si>
  <si>
    <t>Fruit please! 🍓🍇🍉🥝🍍 #fruit #healthyfood</t>
  </si>
  <si>
    <t>mi_em.m</t>
  </si>
  <si>
    <t>1595202906340828706_3119612690</t>
  </si>
  <si>
    <t>Wise Words Sunday! Keeping that in mind for the hard days! 😤#alberteinst #motivation #quoteoftheday #keepongoing</t>
  </si>
  <si>
    <t>alberteinst</t>
  </si>
  <si>
    <t>fisher096</t>
  </si>
  <si>
    <t>1595208150796121351_1178613530</t>
  </si>
  <si>
    <t>Life is a blur, stay on track and keep focused 🙌 #stayfocused#keepongoing</t>
  </si>
  <si>
    <t>pokemyhontis</t>
  </si>
  <si>
    <t>1595217461681407384_391509023</t>
  </si>
  <si>
    <t>Practice will never make perfect but it will get me closer to it... #fortheloveofpaint #chicago #graffiti #orked #keepongoing #loveyourself #selfworth</t>
  </si>
  <si>
    <t>orked</t>
  </si>
  <si>
    <t>selfworth</t>
  </si>
  <si>
    <t>svandw7</t>
  </si>
  <si>
    <t>1595219751410523181_5792444247</t>
  </si>
  <si>
    <t>#rincones de #madrid que #enamoran ! 💜 gracias a mi @carlacayon por la #fotaza #summer #september #verano #park #green #greenpark #palmtrees #palmeras #girl #ladygoldenhair #jeans #longhair #photography #photo #nature #naturephotography #smile #keepongoing #photooftheday #beautiful #staypositive</t>
  </si>
  <si>
    <t>greenpark</t>
  </si>
  <si>
    <t>palmtrees</t>
  </si>
  <si>
    <t>beaodd2</t>
  </si>
  <si>
    <t>1595232227084295821_26239404</t>
  </si>
  <si>
    <t>I've accepted I'm special, you need to accept this too lol. Haha all before 30 hell my mid 20's have been all about demanding whatever test I need or etc just because I'm to "young" last time I checked cancer doesn't have a age where it's like nah I'll let you slide today you are only this age. I know ladies who were diagnosed at 18 and younger with uterine cancer.  I had a 2% chance of getting it at 25. I'm not angry about it that much anymore, just at the possibility that I might not be able to carry my children, but its life It happens. Just spread awareness and pay attention to your symptoms,if it doesn't feel right fight don't give find someone to listen!  You know your body more than anyone!! #knowyourbody #peachlife #uterinecancerawareness #peachsisters #fightcancer  #beattheodds  #Septemberisgynecoligicalcancerawarness #gynecologicalcancer #hashtagahashtag  #hashtagfordays #hashtagoverload #fuckcancer  #keepongoing</t>
  </si>
  <si>
    <t>peachlife</t>
  </si>
  <si>
    <t>gynecologicalcancer</t>
  </si>
  <si>
    <t>beattheodds</t>
  </si>
  <si>
    <t>septemberisgynecoligicalcancerawarness</t>
  </si>
  <si>
    <t>fightcancer</t>
  </si>
  <si>
    <t>1595241030582955913_412714784</t>
  </si>
  <si>
    <t>Going out this evening and got this sheer lace top a few days ago! I didn't felt good in such tops until now. I'm proud to show off what i'm working so hard for 💪💕 #loveyourself 
#selflove #strongnotskinny #heavylifting #flexibledieting #keepongoing #keepmotivated #bodypositive #muscles #fitfam #fitfamgermany #liebedichselbst  #getstronger #workout #workonyourself #dontgiveup #cutting #iifym #weightloss #weightlossmotivation #weightlosstransformation</t>
  </si>
  <si>
    <t>liebedichselbst</t>
  </si>
  <si>
    <t>keepmotivated</t>
  </si>
  <si>
    <t>mirdark667</t>
  </si>
  <si>
    <t>1595246767283592701_1334084149</t>
  </si>
  <si>
    <t>Samoilla silmillä torstai aamusta asti Fucked up life #väsyttää #tired #sleepdept #pakkojatkaa #buick #keepongoing #fuckeduplife #breakup #bluehair  #dontwannagoon</t>
  </si>
  <si>
    <t>Shell Oriketo</t>
  </si>
  <si>
    <t>fuckeduplife</t>
  </si>
  <si>
    <t>pakkojatkaa</t>
  </si>
  <si>
    <t>dontwannagoon</t>
  </si>
  <si>
    <t>breakup</t>
  </si>
  <si>
    <t>bluehair</t>
  </si>
  <si>
    <t>peace_and_love_stephanie</t>
  </si>
  <si>
    <t>1595251454720806427_4183141219</t>
  </si>
  <si>
    <t>While keep moving -laugh, love &amp; shine as much as you can.🌞 #lovethemall #keepongoing #the4musketeers #beachlife #summer #love #laugh #shine #insights #wisewords #goodlife</t>
  </si>
  <si>
    <t>Charmes</t>
  </si>
  <si>
    <t>the4musketeers</t>
  </si>
  <si>
    <t>1595254220965004035_429150387</t>
  </si>
  <si>
    <t>We had such a blessed evening at The Beacon Baptist Church here in Kilmington Devon. So great to see so many stand for the whole truth of the word of God and to meet so many that support the great work we do for the Lord and His people at Christian Concern (@cconcern) . It's been great to meet Claire who hosted this evening and to have Mike Overd with us. Andrea spoke about our work at Christian Concern and the state of the nation which is such a great presentation to help the church to Arise and shine for such a time as this.
It's blessed #Goodtimes indeed 🙏
#SaltAndLight #AriseAndShine #ChristianConcern #Church #Stand #Truth #Love #Joy #Media #Law #Government #DontGiveUp #KeepOnGoing #Kilmington #Devon #Londoner #StateOfTheNation #HopeForTheNation #Pray #Support #Thankful #Blessed #MakeADifference #BaptistChurch #Bible #ItsAllAboutJesus #EventProfs #Weekend #WeLookToJesus</t>
  </si>
  <si>
    <t>eventprofs</t>
  </si>
  <si>
    <t>saltandlight</t>
  </si>
  <si>
    <t>diana_aapril</t>
  </si>
  <si>
    <t>1595255566656486023_1766048679</t>
  </si>
  <si>
    <t>Oh these sunsets make u high🐬#beach #vacationtime #sunset #Rhodes #chill #keepongoing</t>
  </si>
  <si>
    <t>Rhodes Ialisos Greece</t>
  </si>
  <si>
    <t>rhodes</t>
  </si>
  <si>
    <t>pibblypop</t>
  </si>
  <si>
    <t>1595264458077315085_741248702</t>
  </si>
  <si>
    <t>Repost from @jennyfromdablock86 
#truth #stayhumble #rt #survivor #godsplan #redeemed #humble #whatsoeveryoudo #keepongoing #strength #stillirise #phenomenalwoman</t>
  </si>
  <si>
    <t>stillirise</t>
  </si>
  <si>
    <t>phenomenalwoman</t>
  </si>
  <si>
    <t>ayleen.caterine</t>
  </si>
  <si>
    <t>1595269816602740976_4045826010</t>
  </si>
  <si>
    <t>"I want to go to the seaside" 🏝❤ #italy #sardinia #bellaitalia #sun #sunshine #mostbeautifulbeaches #lovethisplace #findpeace #placetobe #bestvacation #goodtimes #beachlover #fightforhealth #fightthepain #oneday #gonnamovehere #whenigrowold #sunshinecoast #coast</t>
  </si>
  <si>
    <t>wasbetterbackthen</t>
  </si>
  <si>
    <t>mostbeautifulbeaches</t>
  </si>
  <si>
    <t>juulvdtuin</t>
  </si>
  <si>
    <t>1595271189005547668_1337149269</t>
  </si>
  <si>
    <t>🔥 basics 🔥
#workout @bodyweightsports 
#chinups #pullups #pushups #beastmodeon #upthelevel #fitdutchies #keepongoing #sport #calisthenicsnederland #calisthenicsv</t>
  </si>
  <si>
    <t>upthelevel</t>
  </si>
  <si>
    <t>calisthenicsnederland</t>
  </si>
  <si>
    <t>beastmodeon</t>
  </si>
  <si>
    <t>martijnsmetsers</t>
  </si>
  <si>
    <t>1595271337106468667_4917508942</t>
  </si>
  <si>
    <t>#keepongoing #enjoyliving #goodtimes #pushyourlimits #nevergiveup</t>
  </si>
  <si>
    <t>enjoyliving</t>
  </si>
  <si>
    <t>laumenmark</t>
  </si>
  <si>
    <t>1595274941548601416_5614010639</t>
  </si>
  <si>
    <t>#turbo#20vt#ringtool#friends#keepongoing#timetodrive#gaas</t>
  </si>
  <si>
    <t>timetodrive</t>
  </si>
  <si>
    <t>20vt</t>
  </si>
  <si>
    <t>ringtool</t>
  </si>
  <si>
    <t>turbo</t>
  </si>
  <si>
    <t>delirio.store</t>
  </si>
  <si>
    <t>1595280503799204778_1357728573</t>
  </si>
  <si>
    <t>✨✨✨✨ Right? .
.
.
.
.
#quote #inspiration #delirio #wanderlust #frase #inspiracion #jewelry #travel #igtravel #instatravel #vamos #keepongoing</t>
  </si>
  <si>
    <t>delirio</t>
  </si>
  <si>
    <t>frase</t>
  </si>
  <si>
    <t>inspiracion</t>
  </si>
  <si>
    <t>greeneyesbk</t>
  </si>
  <si>
    <t>1595283802844977304_354671334</t>
  </si>
  <si>
    <t>🤔"What will people say" ⬅️This sentence has kill more dreams than anything else in the world. #whocares #keepongoing #beyou 💪🏼</t>
  </si>
  <si>
    <t>whocares</t>
  </si>
  <si>
    <t>1595284657218231471_216089260</t>
  </si>
  <si>
    <t>Jamaica 🇯🇲 vs Canada 🇨🇦 #teamjamaica #teamcanada .
.
#divineorder #empoweringwomen #goals #growth #happy #inspiration #jamaicanlifecoach #lifecoach #lovemyjob #mindset #morethanenough #nofear #nicolewright #purpose #success #survivor #universe #nevertoolatetostartover #nevertoolatetobegin #standuptocancer #nevergiveup #keepongoing #believeinyourself #happy #lovemylife  #anthropologie #naturalhair #jamaicanlifecoach</t>
  </si>
  <si>
    <t>purpose</t>
  </si>
  <si>
    <t>teamjamaica</t>
  </si>
  <si>
    <t>manny_saldana</t>
  </si>
  <si>
    <t>1595287426732010252_1364276150</t>
  </si>
  <si>
    <t>Darkness cannot drive out darkness, only light can do that .
.
.
.
.
.
.
.
.
.
#lights #darkness #photography #landscape #inspiration #keepcalm #houston #texas #nevergiveup #keepongoing #amazingday</t>
  </si>
  <si>
    <t>darkness</t>
  </si>
  <si>
    <t>jennahudecz</t>
  </si>
  <si>
    <t>1595291045007297506_1431553270</t>
  </si>
  <si>
    <t>Sometimes, you eat an entire container of vegan BBQ wings in the car, on the drive to the gym, during your 3 hour break between shifts at work. And that's alright, bro. #keepongoing #ifyoulikeranchdoh.. #youredisgusting</t>
  </si>
  <si>
    <t>youredisgusting</t>
  </si>
  <si>
    <t>ifyoulikeranchdoh</t>
  </si>
  <si>
    <t>lindsaybauerfitness</t>
  </si>
  <si>
    <t>1595292082443884674_2086035161</t>
  </si>
  <si>
    <t>"Life is amazing. And then it's awful. And then it's amazing again. And in between the amazing and awful it's ordinary and mundane and routine. Breathe in the amazing, hold on through the awful, and relax and exhale during the ordinary. That's just living heartbreaking, soul-healing, amazing, awful, ordinary life. And it's breathtakingly beautiful."
- L.R. Knost
#ownyourday #loveyourlifenow #keepongoing</t>
  </si>
  <si>
    <t>ownyourday</t>
  </si>
  <si>
    <t>loveyourlifenow</t>
  </si>
  <si>
    <t>1595293252101949406_216089260</t>
  </si>
  <si>
    <t>Oh no she didn't! Omg moms smuggled in her bully beef and rice.
Jamaica 🇯🇲 vs Canada 🇨🇦 #teamjamaica #teamcanada .
.
#divineorder #empoweringwomen #goals #growth #happy #inspiration #jamaicanlifecoach #lifecoach #lovemyjob #mindset #morethanenough #nofear #nicolewright #purpose #success #survivor #universe #nevertoolatetostartover #nevertoolatetobegin #standuptocancer #nevergiveup #keepongoing #believeinyourself #happy #lovemylife  #anthropologie #naturalhair #jamaicanlifecoach</t>
  </si>
  <si>
    <t>1595300098261332155_1360876445</t>
  </si>
  <si>
    <t>100 days of inspiration_x000D_Day 10- Oscar_x000D__x000D_A dog teaches you millions of things but the best one is how to love unconditionally. Dog waits for the entire day, shut inside the house, eagerly and patiently. _x000D_Even if you do not meet him properly, he would not complain, his love for you will not change._x000D_He will always look at you with those loving eyes and gleam like he saw you for the first time._x000D__x000D_Whenever I will love, I aspire to love like Oscar unconditionally._x000D_Thank you Oscar for being in my life ❤ . . . . .
.
#100daysofinspiration #Oscar #Labrador #labsofig #doglove  #inspireeachother #everdaymotivation #loyaldogs #instadaily #writersofinstagram #lovehimtobits #loveunconditionally #writerscommunity #paws #smilealways #letsdoit #keepongoing #inspiringstories</t>
  </si>
  <si>
    <t>oscar</t>
  </si>
  <si>
    <t>lovehimtobits</t>
  </si>
  <si>
    <t>loveunconditionally</t>
  </si>
  <si>
    <t>moejoeward</t>
  </si>
  <si>
    <t>1595311697626059631_1575365573</t>
  </si>
  <si>
    <t>One of my old finished pencil drawing that I found in my old drawing pads. I have always loved the game Scott Pilgrim Vs. The World: The Game because it brought back what I love about the beat 'em up genre. The design of the last boss was amazing, along with it's soundtrack, and I wanted to draw a college scene about it. This might be colored, but we shall see.
#scottpilgrim #dbz #heart #finalboss #drawing #draw #gamer #gameart #sketch #sketchbook #keepontrying #keepongoing #finalattack #evilexes #motivation #art #artist #ramonaflowers #vstheworld</t>
  </si>
  <si>
    <t>keepontrying</t>
  </si>
  <si>
    <t>dbz</t>
  </si>
  <si>
    <t>realmonkeypalm</t>
  </si>
  <si>
    <t>1595312813245426466_3170179944</t>
  </si>
  <si>
    <t>vtab62</t>
  </si>
  <si>
    <t>1595316128423241636_1432448125</t>
  </si>
  <si>
    <t>#saturdayfunday #ootd #hairislife🙌 #investinyourhair #naturalhair #longhair #luvyourhair #keepongoing #itiswhatitis #nomatterwhat #apartofyourlife #whocares #muchluv❤️ #goodvibesonly✌ #livelaughlovelife😎😎😎</t>
  </si>
  <si>
    <t>investinyourhair</t>
  </si>
  <si>
    <t>livelaughlovelife😎😎😎</t>
  </si>
  <si>
    <t>thehomemadekid</t>
  </si>
  <si>
    <t>1595316836220371666_2066576663</t>
  </si>
  <si>
    <t>Vibes. 💁</t>
  </si>
  <si>
    <t>seattlewa</t>
  </si>
  <si>
    <t>smallbuisnessproblems</t>
  </si>
  <si>
    <t>imitation</t>
  </si>
  <si>
    <t>shey2.0.02</t>
  </si>
  <si>
    <t>1595318500015354370_4313294799</t>
  </si>
  <si>
    <t>Fitness things also😩😏😏❤
#me#goals#keepongoing#work#moveone#live#only#workout#motivation#busy#saturday#hashtag#active#jump#twirl#run#hoop#situp#pushup#lunges#donkeykicks#gym#weights#lifts#shakes#keep#things#going#worktillyouearnit#allday</t>
  </si>
  <si>
    <t>Virgin Active Windhoek</t>
  </si>
  <si>
    <t>shakes</t>
  </si>
  <si>
    <t>twirl</t>
  </si>
  <si>
    <t>things</t>
  </si>
  <si>
    <t>vivian_mnj</t>
  </si>
  <si>
    <t>1595342995297106331_5927155728</t>
  </si>
  <si>
    <t>Step by step. #nightscape #badtemper #keepongoing</t>
  </si>
  <si>
    <t>nightscape</t>
  </si>
  <si>
    <t>badtemper</t>
  </si>
  <si>
    <t>1595350804747191559_280219721</t>
  </si>
  <si>
    <t>Where my summer began, guess where ✨
#bucketlist #bucketlisters #wanderlust #travellernottourist #traveladdict #travelgirl #worldwonders #lifeisworthliving #keepongoing</t>
  </si>
  <si>
    <t>travelgirl</t>
  </si>
  <si>
    <t>alaynamariefitness</t>
  </si>
  <si>
    <t>1595375270381178721_5970806560</t>
  </si>
  <si>
    <t>Flashback two months ago to when one of the most amazing women on the planet got married. I stressed myself out for months about needing to lose weight, and it didn't happen. I was 60 pounds heavier than I had anticipated, but hey you know what? No regrets. Keep moving forward. The wedding wasn't about me anyway, it was her day. #eyesontheprize #keepongoing #bestfriend #bridesmaid</t>
  </si>
  <si>
    <t>eyesontheprize</t>
  </si>
  <si>
    <t>bridesmaid</t>
  </si>
  <si>
    <t>bestfriend</t>
  </si>
  <si>
    <t>1595378861696051222_176837527</t>
  </si>
  <si>
    <t>//Creating new habits// When we attempt to stretch and grow, the brain will try to pull us back into the old habits. It's a protection mechanism. Poor brain! It's the way fear operates, trying to keep us comfortable and safe. 
But we're not talking about being attacked by a bear here. We're talking about speaking up, doing what we really want instead of going along with everything and everyone else, daring to put yourself first.
So how about, all together, we just go ahead and keep on tackling those old habits, every time they come up, until they don't hold us back anymore? 
The new habits are so much better. 
Less bears. More joy.
Love you xxx</t>
  </si>
  <si>
    <t>letsdoittigether</t>
  </si>
  <si>
    <t>1595404085317382255_211599856</t>
  </si>
  <si>
    <t>andreabardenettifbbpro</t>
  </si>
  <si>
    <t>1595405075583342108_1591582165</t>
  </si>
  <si>
    <t>#mayaangelou #brilliant #woman #admiration #respect #poetry #truth #reality #selfrealization #nevergiveup #rise #findyourstrong #keepongoing #picoftheday #postoftheday #positivevibes</t>
  </si>
  <si>
    <t>brilliant</t>
  </si>
  <si>
    <t>1595410372705501518_5468355632</t>
  </si>
  <si>
    <t>Thanks for the likes!! 💙💙 -🐠
-
-
-
#josh #tyler #jenna #twentyonepilots #bands #frens #laugh #myidols 
#loveyou #bestmusic #keepongoing #ibelieve #theyrethebest #funny #smile #tøpmemes #tøp #stayalive #inspiring  #beautifulpeople</t>
  </si>
  <si>
    <t>1595413644296630073_216089260</t>
  </si>
  <si>
    <t>Moms is upset about the match!
Jamaica 🇯🇲 vs Canada 🇨🇦 #teamjamaica #teamcanada .
.
#divineorder #empoweringwomen #goals #growth #happy #inspiration #jamaicanlifecoach #lifecoach #lovemyjob #mindset #morethanenough #nofear #nicolewright #purpose #success #survivor #universe #nevertoolatetostartover #nevertoolatetobegin #standuptocancer #nevergiveup #keepongoing #believeinyourself #happy #lovemylife  #anthropologie #naturalhair #jamaicanlifecoach</t>
  </si>
  <si>
    <t>1595424408759191342_5468355632</t>
  </si>
  <si>
    <t>MEEEEEEEE -🐯
#josh #tyler #jenna #twentyonepilots #bands #frens #laugh #myidols #loveyou #bestmusic #keepongoing #ibelieve #theyrethebest #funny  #smile #tøpmemes #tøp #stayalive #inspiring #beautifulpeople</t>
  </si>
  <si>
    <t>cf_rock</t>
  </si>
  <si>
    <t>1595425810368716644_292993861</t>
  </si>
  <si>
    <t>"Know what you want to do, hold the thought firmly, and do everyday what should be done, and every sunset will see you that much closer nearer to your goal." -Elbert Hubbard •As Always: #chill #life #lifeofadventure #sunset #keepongoing #staytrue #summer #yourgoals #success #leadership #staytuned #moretocome</t>
  </si>
  <si>
    <t>moretocome</t>
  </si>
  <si>
    <t>1595432525844941628_5468355632</t>
  </si>
  <si>
    <t>I LUV HIS SMILE MORE THAN LIFE - 🐯
#josh #tyler #jenna #twentyonepilots #bands #frens #laugh #myidols #loveyou #bestmusic #keepongoing #ibelieve #theyrethebest #funny  #smile #tøpmemes #tøp #stayalive #inspiring #beautifulpeople</t>
  </si>
  <si>
    <t>1595434830798140763_5705167414</t>
  </si>
  <si>
    <t>I need a trainer like Steph's 😕  #Dubnation
-
-
-
-
-
-
-
-
-
-
-
-
-
-
-
-
-
-
-
-
-
-
-
-
-
-
-
-
-
-
-
-
-
-
-
-
-
-
-
-
 #StephGonnaSteph #Mvp #SC30 #KT11 #DG23 #CURRYMVP #KEEPONGOING #NEVERGIVEUP #WCF #WEST #WESTERNCONFERENCEFINALS #CHAMPS #DUBSFORCHAMPS #DUBS #ALWAYSBELIEVEINGOD #STEPHENCURRY #EVEN #NBA #2016CHAMPS #CHAMPIONS #LOCKIN #STEPH #SPLASH #SPLASHBROS  #like4like #like4follow #follow4follow</t>
  </si>
  <si>
    <t>1595436337192041418_5468355632</t>
  </si>
  <si>
    <t>This is 100% my photo of the day I can't get over Jish's face 😂😂😂- 🐯
#josh #tyler #jenna #twentyonepilots #bands #frens #laugh #myidols #loveyou #bestmusic #keepongoing #ibelieve #theyrethebest #funny  #smile #tøpmemes #tøp #stayalive #inspiring #beautifulpeople</t>
  </si>
  <si>
    <t>1595439478732937274_5705167414</t>
  </si>
  <si>
    <t>So this offseason has been pretty 🔥 so far, by far the best offseason in NBA history for us fans, will Kyrie to the Celtics trade be te last offseason move?  #Dubnation
-
-
-
-
-
-
-
-
-
-
-
-
-
-
-
-
-
-
-
-
-
-
-
-
-
-
-
-
-
-
-
-
-
-
-
-
-
-
-
-
 #StephGonnaSteph #Mvp #SC30 #KT11 #DG23 #CURRYMVP #KEEPONGOING #NEVERGIVEUP #WCF #WEST #WESTERNCONFERENCEFINALS #CHAMPS #DUBSFORCHAMPS #DUBS #ALWAYSBELIEVEINGOD #STEPHENCURRY #EVEN #NBA #2016CHAMPS #CHAMPIONS #LOCKIN #STEPH #SPLASH #SPLASHBROS  #like4like #like4follow #follow4follow</t>
  </si>
  <si>
    <t>1595443745506071943_5705167414</t>
  </si>
  <si>
    <t>Tbh I think this upcoming season will be Dirk's last, he's definitely one of the best PFs of all time 😭  #Dubnation
-
-
-
-
-
-
-
-
-
-
-
-
-
-
-
-
-
-
-
-
-
-
-
-
-
-
-
-
-
-
-
-
-
-
-
-
-
-
-
-
 #StephGonnaSteph #Mvp #SC30 #KT11 #DG23 #CURRYMVP #KEEPONGOING #NEVERGIVEUP #WCF #WEST #WESTERNCONFERENCEFINALS #CHAMPS #DUBSFORCHAMPS #DUBS #ALWAYSBELIEVEINGOD #STEPHENCURRY #EVEN #NBA #2016CHAMPS #CHAMPIONS #LOCKIN #STEPH #SPLASH #SPLASHBROS  #like4like #like4follow #follow4follow</t>
  </si>
  <si>
    <t>r2_sama</t>
  </si>
  <si>
    <t>1595450081339193424_318200963</t>
  </si>
  <si>
    <t>Práctica!! Jugando un ratito (para variar) 😜 #handwalk #handstand #practice #crossfit #gettingthere #keepongoing #strong 😏😄🙆💪❤👟</t>
  </si>
  <si>
    <t>handwalk</t>
  </si>
  <si>
    <t>magalhaes.rita</t>
  </si>
  <si>
    <t>1595465377068844944_1491836821</t>
  </si>
  <si>
    <t>Yep!! .... because actions speak louder than words... 💔#letyourheartbeyourguide #live #love #laugh #keepongoing #sadbuttrue</t>
  </si>
  <si>
    <t>sadbuttrue</t>
  </si>
  <si>
    <t>letyourheartbeyourguide</t>
  </si>
  <si>
    <t>igtruism</t>
  </si>
  <si>
    <t>1595466351940815336_5460660738</t>
  </si>
  <si>
    <t>#progression #tobecome #expert #startnow #dreambig✨ #expert #wasonce #anamateur #everyexpertwasonceabeginner #everyday #keepgoing #keepprogressingforward #reachout #foryour #dreams #dreamsdocometrue #expertsecrets #juststartover #nowistherighttime #nowisthebesttime #tostart #procrastinators #timefliesby #veryfast #timeisgold⏰ #itsnowornever #keepongoingon #keepmoving #keeplearningandgrowing #keepon #keepongoing</t>
  </si>
  <si>
    <t>reachout</t>
  </si>
  <si>
    <t>everyexpertwasonceabeginner</t>
  </si>
  <si>
    <t>juststartover</t>
  </si>
  <si>
    <t>bob243</t>
  </si>
  <si>
    <t>1595476880719261151_49404661</t>
  </si>
  <si>
    <t>Love a good sunset ❤ #sunset #australia #outback #gumtrees #reddirt #explorensw #iloveexploring #keepongoing #4x4 #4x4fun #offroading #offthebeatenpath #canadianinaustralia #hunting #huntingaustralia</t>
  </si>
  <si>
    <t>hunting</t>
  </si>
  <si>
    <t>reddirt</t>
  </si>
  <si>
    <t>iloveexploring</t>
  </si>
  <si>
    <t>4x4fun</t>
  </si>
  <si>
    <t>gumtrees</t>
  </si>
  <si>
    <t>alexander97</t>
  </si>
  <si>
    <t>1595483294270996215_20032025</t>
  </si>
  <si>
    <t>Sometimes u give up to early . U never know if the next step is the biggest set u could take . #keepgoing #keepongoing</t>
  </si>
  <si>
    <t>l4n4n</t>
  </si>
  <si>
    <t>1595486420385032751_388181938</t>
  </si>
  <si>
    <t>And that's how life works, you take it all in, make the most out of it and keep on goin✌🏼
*
*
*
#life #itiswhatitis #goodmorning #goals #keepongoing #grateful #gratitude #letgo #love #positivevibes #inabudhabi #uae</t>
  </si>
  <si>
    <t>uae</t>
  </si>
  <si>
    <t>shutup_cory</t>
  </si>
  <si>
    <t>1595487983476416864_35011204</t>
  </si>
  <si>
    <t>Prepping so late but I need a good meal and some extra energy tomorrow at work! 😍💪🏼 #mealprep#late#night#fitness#healthy#yum#foodporn#greens#cleaneating#eatclean#feelinggood#yass#body#fruit#veggies#pineapple#vegan#veganeats#diet#gay#gordanramsey#gayboy#workout#motivation#keepongoing.</t>
  </si>
  <si>
    <t>greens</t>
  </si>
  <si>
    <t>castielemma</t>
  </si>
  <si>
    <t>1595496861334874597_318094638</t>
  </si>
  <si>
    <t>This is how I feel today!!!! #notgood #pain #keepongoing #6amstarts #wooo</t>
  </si>
  <si>
    <t>notgood</t>
  </si>
  <si>
    <t>wooo</t>
  </si>
  <si>
    <t>6amstarts</t>
  </si>
  <si>
    <t>1595498940534316256_15887082</t>
  </si>
  <si>
    <t>Thousands of hours, just for one day 📸 @marcusklepke 
#ironman #upcoming #mulitisport #tri365 #lovemylife #fitness #IMBarcelona #outofcomfortzone #trilabdk #triathlon #triatlete #invisibleguns #worldoffusion #IMHamburg #keepongoing #purepowerdk #smileplease #swimbikerun @worldoffusion @trilab_</t>
  </si>
  <si>
    <t>ironman</t>
  </si>
  <si>
    <t>shahzadi_and_mariam</t>
  </si>
  <si>
    <t>1595501437075443776_4795326467</t>
  </si>
  <si>
    <t>I stop the world and carry on ⚠️‼️ #keepongoing #slay #runways #alert #red #confidenceisbeauty</t>
  </si>
  <si>
    <t>alert</t>
  </si>
  <si>
    <t>runways</t>
  </si>
  <si>
    <t>1595504998468622513_5781397138</t>
  </si>
  <si>
    <t>On the Camino
Ways to go - milestones to reach - goals to achieve . 
#camino #onthecamino #encamino #caminodesantiago #stjamesway #jakobsweg #galicia #milestones #pilgrim with #breastcancer #metastaticcancer under #chemotherapy #keepongoing #neverquit #lifeisbeautiful #keeponmoving #trustyourself</t>
  </si>
  <si>
    <t>omtexsports</t>
  </si>
  <si>
    <t>1595523827126742341_1498585262</t>
  </si>
  <si>
    <t>Happiest Birthday To Our Athlete @coguftw 
#KeepOnGoing #TeamOmtex</t>
  </si>
  <si>
    <t>teamomtex</t>
  </si>
  <si>
    <t>1595532414931510847_462344435</t>
  </si>
  <si>
    <t>Try to outdo yourself, make yourself better than yesterday.💪💪💪
.
.
.
Blessed Sunday to all!😄
.
.
.
#Bepositive #positivemindset #livelifetothefull #seethegood #seethegoodineverything #believeyoucan #befearless #keeponmoving #keeponlearning #keepondoing #keepongoing #keeponbelieving #believeinyou #achieveyourgoals #believeinyourdream #believeinyourselfie #keepthefaith #neverstoplearning #positiveattitude #positivemindset #positivequotes #positivevibes #positiveminds #trustandbelieve #trustyourgut #yesyoucan #neverstoptrying #neverstopdoing #youcandoit</t>
  </si>
  <si>
    <t>1595536282356124737_5537310255</t>
  </si>
  <si>
    <t>#work #prepare #actor #actorslife #lovemylife #home #sofa #homework #macbook #unterlagen #papier #technik #keepongoing #immerweiter #justdoit #havefun #picoftheday #instafoto #followme</t>
  </si>
  <si>
    <t>sofa</t>
  </si>
  <si>
    <t>homework</t>
  </si>
  <si>
    <t>technik</t>
  </si>
  <si>
    <t>1595540796844502820_5944730818</t>
  </si>
  <si>
    <t>Sometime we just need time alone to think about life or nothing and just chilling enjoying nature 😌
#motivationalquotes #motivation #inspirationalquotes #inspiration #loveyourself #love #friendship #family #chaseyourdreams #liveyourdream #dontgiveup #keepongoing #youcandoit #relatedquotes</t>
  </si>
  <si>
    <t>laurettacheng</t>
  </si>
  <si>
    <t>1595548988698016570_4706880044</t>
  </si>
  <si>
    <t>~It doesn't matter if you're stuck deep in the mud, just as long as you keep your head up;
...
Hold on; Keep on and on and on.
.
.
.
#keepongoing #almostthere #flowers #lake #biking #hills #rottnestisland #island #landscape #nature #naturephotography #flowerstagram #wanderlust #exploring #travel #instatravel #travelphotography #ig_travel #travelgram  #instamood #welltravelled #artofvisuals #liveauthentic #picoftheday #discoverearth #perth #australia #westernaustralia #australiagram</t>
  </si>
  <si>
    <t>Rottnest Island, Western Australia</t>
  </si>
  <si>
    <t>ig_travel</t>
  </si>
  <si>
    <t>1595557017165058588_1531041610</t>
  </si>
  <si>
    <t>Just keep going 👏🏻 #keepongoing #fitnesslife #weightlifting #bodygoals #workinhard #doingitforme #healthylifestyle #tiredaf #girlswithmuscle #musclesoreness #gymaddict #gymrat #fitdutchies #happylifestyle #keepyourheadhigh #justkeepmoving #consistancy</t>
  </si>
  <si>
    <t>musclesoreness</t>
  </si>
  <si>
    <t>_bithi__</t>
  </si>
  <si>
    <t>1595560684741791235_5635682799</t>
  </si>
  <si>
    <t>@Regrann from @unbelievable.scenes -  Japan nights.
Photo by @manabe470204
.
.
.
.
.
.
.
.
#yogagirls #keepongoing #lifesabeach #mybudgettravel #resourcetravel #discovertheroad #adventurers #lovewhatyoudodowhatyoulove #paradiseofpetals #therisingtidesociety #jj_forum #vacationlife #soultravel #igers #traveltogether #lifeabroad #exploreyourcity #followers #lifechoices #travelnow #mountaingirls #dmtravelseries #adventurepic #timefreedom #paradisebeach - #regrann</t>
  </si>
  <si>
    <t>getlikeme.93</t>
  </si>
  <si>
    <t>1595571290851430354_1338845143</t>
  </si>
  <si>
    <t>#family#lovemysister#love#keepongoing</t>
  </si>
  <si>
    <t>lovemysister</t>
  </si>
  <si>
    <t>1595587858898314431_429150387</t>
  </si>
  <si>
    <t>Enjoyed a yummy full English breakfast this glorious Sunday morning here in Devon 😋
It's #Goodtimes and #Yummytimes indeed 👍 😊. Wishing you all a blessed Sunday 🙏
#LoveSundays #FullEnglishBreakfast #Kilmington #Devon #Yummy #FullEnglish #Breakfast #SundayMorning #EnjoyLife #KeepOnGoing #Love #Joy #Londoner #Eggs #Bacon #Foodie #YummyFood #Tasty #Coffee #RainyDay #GodIsGood #Thankful #Blessed</t>
  </si>
  <si>
    <t>devon</t>
  </si>
  <si>
    <t>studio.abe</t>
  </si>
  <si>
    <t>1595589936118967265_4498087561</t>
  </si>
  <si>
    <t>Birth of Venus #executive #business #style #venus #birth #cashmere #jacket #silk #jacquards #luxe #fashion #hautecouture #direction #positivemind #beyourself #dreamtobe #superwoman #fashionphotography #glowinthedark #tendance #keepongoing #newyork #brooklyn</t>
  </si>
  <si>
    <t>executive</t>
  </si>
  <si>
    <t>silk</t>
  </si>
  <si>
    <t>glowinthedark</t>
  </si>
  <si>
    <t>leauly_ka</t>
  </si>
  <si>
    <t>1595590926135019062_5929470728</t>
  </si>
  <si>
    <t>Back on tracks ! 🙌 KEEP ON ! 🏃🏃 Sortie longue qui a fait bien bien plaisir ! 😁 de bonnes sensations tout du long, la fin de journée avec le soleil qui se couchait, tout était réunis pour kiffer ! 😜👌👌
#backdanslegame #good #feelings #running #run #garmin #20k #keepongoing #fit #fitness #runner #runnergirl #runaway #addict</t>
  </si>
  <si>
    <t>runaway</t>
  </si>
  <si>
    <t>backdanslegame</t>
  </si>
  <si>
    <t>essi_esmeraldakk</t>
  </si>
  <si>
    <t>1595600992883167810_21413497</t>
  </si>
  <si>
    <t>1. Kapeella 2. Leveellä 🤘🏼
#sundaysmadeofsquats #parasreenikamu @ulputuuli 
#squatlife #keepongoing #keeplearning #bodausonparasta #squats #legworkout #legwarmer #pyllypyöreeksi #lisääpullaa #lahenparassali #kuntokeskuskm #sampovarmistaatiukimmat 💪🏼 @sampokirjovaara</t>
  </si>
  <si>
    <t>Kuntokeskus K&amp;M</t>
  </si>
  <si>
    <t>lisääpullaa</t>
  </si>
  <si>
    <t>lahenparassali</t>
  </si>
  <si>
    <t>bodausonparasta</t>
  </si>
  <si>
    <t>parasreenikamu</t>
  </si>
  <si>
    <t>legworkout</t>
  </si>
  <si>
    <t>1595602158739496515_4249248273</t>
  </si>
  <si>
    <t>I can't really believe this year has gone by so fast. In 6 days, I'll be back to meeting my paraclimbing family. Last year when I joined the paraclimbing series, I didn't know the other climbers and I had never climbed outside of London. It changed my life. The encouragement, the support, the new friends, the network, the sport. I can't wait to see how everyone has changed! Especially looking forward to seeing @bella_the_paraclimber and @tink.o.bell who have both been incredible since the comps and have helped and encouraged me to keep striving towards my climbing goals and life in general. I can't wait to be back @eica_ratho thanks @beach.buggy for the shot :) @teambmc @thisgirlcanclimbing @thisgirlcanuk #amputee #climber #climbing #climbing_is_my_passion #climbing_pictures_of_instagram #paraclimber #paraclimbing #thisgirlcan #thisgirlcanclimb #training #competition #friends #family #believeinyourself #yesican #determination #keepongoing #focus #goals #hijab #muslim #icandothis #journey #justdoit #lifegoals #livingmydream #outofmycomfortzone  #excited #outofmycomfortzone #nervous @thecastleclimbingcentre #sundaymotivation</t>
  </si>
  <si>
    <t>1595613178434261695_3623309738</t>
  </si>
  <si>
    <t>Kingfisher camouflage 🐦Photo by @eaglejon
.
.
.
.
.
.
.
.
#paradisepier #travelaccessories #earthporn #travellife #condenasttraveler #ecotravel #dmtravelseries #stayinspired #allthewayup #adventurers #travelfamily #discovertheroad #sunset_rv #keepongoing #neverstoplearning #weliketotravel #beachdog #yogatherapy #traveltheglobe #choosejoy #instavsco #cocoatravelersintl #travelagents #epicgetaway #instatravels</t>
  </si>
  <si>
    <t>yogatherapy</t>
  </si>
  <si>
    <t>weliketotravel</t>
  </si>
  <si>
    <t>fsk0728</t>
  </si>
  <si>
    <t>1595617580080263556_1542990897</t>
  </si>
  <si>
    <t>#gym #believe #grind #motivation #inked #keepongoing #dedication #ciccone #cicconepharma #ciconnepharmloyal</t>
  </si>
  <si>
    <t>cicconepharma</t>
  </si>
  <si>
    <t>ciconnepharmloyal</t>
  </si>
  <si>
    <t>1595618727759402194_1542990897</t>
  </si>
  <si>
    <t>#gym #believe #grind #keepongoing #dedication #believeinyourself #cicconepharma #cicconepharmaloyal</t>
  </si>
  <si>
    <t>cicconepharmaloyal</t>
  </si>
  <si>
    <t>natielitoni</t>
  </si>
  <si>
    <t>1595622628075385687_4853226682</t>
  </si>
  <si>
    <t>#whereisthesummer😯#autumniscoming🍁#itdoesnotmatter#keepongoing❤#eatcleantraindirty😈#running#rungirl#enjoyyourlife #behappy#warsaw#warsawgirl#wola#poland#park🌳🍂🍃🍀</t>
  </si>
  <si>
    <t>rungirl</t>
  </si>
  <si>
    <t>enjoyyourlife</t>
  </si>
  <si>
    <t>itdoesnotmatter</t>
  </si>
  <si>
    <t>michellelblog</t>
  </si>
  <si>
    <t>1595622673398999569_225027443</t>
  </si>
  <si>
    <t>#respect #trust #consistency #loyalty just #keep #on #keepongoing #improve #myself and the #universe will #take #care the rest for me</t>
  </si>
  <si>
    <t>loyalty</t>
  </si>
  <si>
    <t>take</t>
  </si>
  <si>
    <t>1595622957404104651_412714784</t>
  </si>
  <si>
    <t>that #booty🍑 the work is getting results now! Have a great sunday #fitfam 
#heavylifting #strenghtgains #strongnotskinny #liftheavythings #workout #fit #fitfamgermany #butt #getstronger #keepongoing #dontgiveup #strong #fitmommy #strongwoman #gym #training #trainandtransform #machdichfit #fitness #gewichtheben</t>
  </si>
  <si>
    <t>1595624353763937827_5967044377</t>
  </si>
  <si>
    <t>Unless you're allergic to lobsters! :D 
Happy Sunday y'all! xo
#howyouhandlethingsmatters #attitude #sundayvibes #justchill #youcandoit #justshowupnomatterwhat #keepongoing #slayalldayeveryday #empoweredwomen #getthesupportyouneed #staypositive #positivevibes</t>
  </si>
  <si>
    <t>slayalldayeveryday</t>
  </si>
  <si>
    <t>howyouhandlethingsmatters</t>
  </si>
  <si>
    <t>justshowupnomatterwhat</t>
  </si>
  <si>
    <t>1595625640023817383_5862860057</t>
  </si>
  <si>
    <t>Only in Wolverhampton do you run a 10k and get a free Greggs #welldonewolverhampton #slowclap #carvers10k #runnersofinstagram #runningcommunity #runninggirl #mentalhealth #eatingdisorder #strongwoman #runninguk #thismumruns #commitment #roadtorecovery #needmotivation #keepongoing</t>
  </si>
  <si>
    <t>slowclap</t>
  </si>
  <si>
    <t>welldonewolverhampton</t>
  </si>
  <si>
    <t>kuexin_creatistop</t>
  </si>
  <si>
    <t>1595630601388614448_5786317648</t>
  </si>
  <si>
    <t>You are #awesome just like that because you have the #courage to go through #today! Cheers for you people! 
#depressed #youarestrong #keepongoing #youcandothis #justanotherday</t>
  </si>
  <si>
    <t>1595630929409115587_647207825</t>
  </si>
  <si>
    <t>😂😂 this is the hardest part😝  #eatinghealthy #fitness #fitnessmotivation #keepongoing #motivation #progress #gymshark #gymaholic #lifestyle #bettershaped #noexcuse #gymtime #workout #justdoit</t>
  </si>
  <si>
    <t>bettershaped</t>
  </si>
  <si>
    <t>noexcuse</t>
  </si>
  <si>
    <t>1595631494240338314_3032469241</t>
  </si>
  <si>
    <t>Finally got my first ever 200kg deadlift. 
There is still a lot of room for improvements of my technique, I  know that. But considering all my prior injuries and issues with my lower back (wasn't deadlifting for more than a year), I'm very happy with this lift and my progress in last 3 months. .
.
.
#deadlift #sumodeadlift #deadlifting #200kg #finallygotit #happy #progress #progression #keepongoing #feelingmotivated #motivation #workingout #fitness #everforward #smallsteps #igfitness #onepoundatatime #spartanapula</t>
  </si>
  <si>
    <t>Spartana Pula</t>
  </si>
  <si>
    <t>feelingmotivated</t>
  </si>
  <si>
    <t>sumodeadlift</t>
  </si>
  <si>
    <t>1595641320972557463_3249788376</t>
  </si>
  <si>
    <t>Summer might be wrapping up, but this is the perfect time to start mixing your fitness routine! We're all about more yin &amp; yang: sprints &amp; marathons, strength &amp; balance, HIIT &amp; yoga 😉🙏 #ready4more⠀
(📷 @seonia)</t>
  </si>
  <si>
    <t>gymstyle</t>
  </si>
  <si>
    <t>effortface</t>
  </si>
  <si>
    <t>evermore</t>
  </si>
  <si>
    <t>yummyummyinmytummy</t>
  </si>
  <si>
    <t>1595644624650557586_1161810579</t>
  </si>
  <si>
    <t>Je größer der Dachschaden, desto besser der Blick auf die Sterne!
#supportyourinnermonkey #uglycar #butiloveit #stickerbomb #wirdnichtlangweilig #ford #focus #unzerstörbar #carporn #darferdas #erdarfdas #niederrhein #sun #enjoytheday #goforgold #goforit #fuckthesystem #keepongoing #werrastetderrostet #supportyourinnermonkey</t>
  </si>
  <si>
    <t>carporn</t>
  </si>
  <si>
    <t>erdarfdas</t>
  </si>
  <si>
    <t>werrastetderrostet</t>
  </si>
  <si>
    <t>1595650456637241597_229265971</t>
  </si>
  <si>
    <t>Cardio 😅
@liorshelah 
#cardio #cardioworkout #personaltraining #healthylifestyle #nevergiveup #dontquit #keepongoing #workhard</t>
  </si>
  <si>
    <t>chestpress</t>
  </si>
  <si>
    <t>oana99m</t>
  </si>
  <si>
    <t>1595662059968705933_1143059497</t>
  </si>
  <si>
    <t>The cloudy weather won't keep me from exploring #krakow #keepongoing #traveltheworld #busysummer</t>
  </si>
  <si>
    <t>krakow</t>
  </si>
  <si>
    <t>busysummer</t>
  </si>
  <si>
    <t>hazime.uzun</t>
  </si>
  <si>
    <t>1595663971105234846_2954517408</t>
  </si>
  <si>
    <t>I will always be a step ahead✌🏻 keep on following me✌🏻😝 #keepongoing #jealousyisadesease #hairdresserslife 🎉</t>
  </si>
  <si>
    <t>Hazime Uzun Salons</t>
  </si>
  <si>
    <t>jealousyisadesease</t>
  </si>
  <si>
    <t>hairdresserslife</t>
  </si>
  <si>
    <t>1595681650498271829_5495249433</t>
  </si>
  <si>
    <t>Sunday night salads &amp; movies ✌</t>
  </si>
  <si>
    <t>1595681965147454835_188049176</t>
  </si>
  <si>
    <t>@ 听见下雨的声音！ #听见下雨的声音 #raining #buddylove #missingmoments #bestmemories #happy #keepongoing #bettertomorrow #letsworkfor2017</t>
  </si>
  <si>
    <t>bestmemories</t>
  </si>
  <si>
    <t>buddylove</t>
  </si>
  <si>
    <t>1595686184424491449_251747785</t>
  </si>
  <si>
    <t>Tag 34: Tag 4 auf dem Camino  Heute war es soweit, ich bin zu genau dem Pilger mutiert, der ich nie werden wollte 😪 S und ich sind um 6 aufgestanden, haben unsere Sachen zusammen gepackt obwohl andere im Raum noch am schlafen waren und sind im stockdunkeln los gelaufen, M war zu diesem Zeitpunkt schon über ne Stunde unterwegs 😳 ich hasse es, wenn die andern Pilger morgen so früh aufstehen und Stress und Krach machen, aber die Etappe heute war wieder lang und es wird mittags so unerträglich heiß, dass das laufen zunehmend schwerer wird 😫 also sind wir um 6:30 los gegangen und sind schon seit ca. 1,5 Stunden am Ziel, frisch geduscht und die Wäsche läuft auch schon 💪🏻 #peregrina #peregrino #pilgrim #jakobsweg #caminofrances #caminodesantiago #spain #spanien #buencamino #365tagefrei #einjahrurlaub #worldtraveler #keepongoing</t>
  </si>
  <si>
    <t>365tagefrei</t>
  </si>
  <si>
    <t>peregrino</t>
  </si>
  <si>
    <t>the_ruthie_16</t>
  </si>
  <si>
    <t>1595687223454296538_4554031506</t>
  </si>
  <si>
    <t>"Ride as much or as little, or as long or as short as you feel. But ride."
~ Eddy Merckx~ -
-
-
-
-
-
-
-
-
-
#nomad #nomadlife #potd #illgrammers #blackandwhitephotography #ig_today  #everything_imaginable  #fotocatchersmember #ilovephotography #myphotography #photography #photographer #photooftheday #creativevisuals 
#ride  #keepongoing #journey #traveldiaries #beautiful #whatabeautifullife #travel #traveler #wanderer #wanderlust #instagood #instagram #insta #instatravel #explorecreateshare #dontstop</t>
  </si>
  <si>
    <t>Parma, Italy</t>
  </si>
  <si>
    <t>nomadlife</t>
  </si>
  <si>
    <t>everything_imaginable</t>
  </si>
  <si>
    <t>yogameike</t>
  </si>
  <si>
    <t>1595689421722560858_3560760195</t>
  </si>
  <si>
    <t>Der eine oder andere hat sicher, so wie ich auch, eine komplette Yogapause gehabt und freut sich jetzt umso mehr, dass alles wieder in Gang kommt. Ich habe mich von meiner OP im Juli gut erholt und bin tatsächlich auch erst letzte Woche wieder so richtig auf meiner Matte und im Alltag angekommen. Manchmal tun auch kleine Yogapausen gut, schwer ist es oft nur, wieder die Matte auszurollen und zu beginnen. Deshalb lasst uns wieder gemeinsam loslegen!!!Starte mit mir in die neue Woche! Keep on moving! Do. yoga!!! #yoga #yogamum #yogalove #yogaeverydamnday #yogaeverywhere #meiyoga #luebeck #herrnburg #lübeck #timmendorferstrand #newweek #keepongoing #balance #lovelife #instagram #instagood ❤️🙏</t>
  </si>
  <si>
    <t>Meiyoga</t>
  </si>
  <si>
    <t>herrnburg</t>
  </si>
  <si>
    <t>lübeck</t>
  </si>
  <si>
    <t>1595690489347459912_5462310556</t>
  </si>
  <si>
    <t>Εγώ κι  εσύ μαζί. Να τα εκατοστήσουμε. nL
#mylove #anniversary #truelove #evolution #revolution #musictogether #lifetogether #swingeyewear #threeyearsofpassion #keeponloving #iwantyoumore #keepongoing</t>
  </si>
  <si>
    <t>musictogether</t>
  </si>
  <si>
    <t>threeyearsofpassion</t>
  </si>
  <si>
    <t>silvietta_chapeau</t>
  </si>
  <si>
    <t>1595699830313876947_733542590</t>
  </si>
  <si>
    <t>Mando tanti bacioni alla mia amicona Valeria @vdah2o , roccia dei mari e dei monti e che crolla ma non barcolla e soprattutto non molla!!! Sei la mejo, te vojo bbene ❤️😻🌷
.
.
.
.
.
#strenght
#strong
#friendship 
#nevergiveup
#keepongoing
#holiday 
#photooftheday 
#picoftheday 
#photography 
#igers 
#instatravel 
#instagood 
#instamood 
#instagram 
#lovecoffee 
#love
#like 
#italy 
#italianstyle
#lifestyle</t>
  </si>
  <si>
    <t>Porto Rotondo, Sardinia</t>
  </si>
  <si>
    <t>italianstyle</t>
  </si>
  <si>
    <t>1595700448664607201_5722990971</t>
  </si>
  <si>
    <t>Forget me not, for the time we spend together, for the laughter and tears we have been through, for amazing adventures we had done and we will do... forget me not... #drawing #linedrawing #illustration #illustrationgram #keepongoing #flower #flora #draw #paint #forgetmenot #floralsyourway #imagine #rememberme</t>
  </si>
  <si>
    <t>floralsyourway</t>
  </si>
  <si>
    <t>rememberme</t>
  </si>
  <si>
    <t>1595702322468655900_5705167414</t>
  </si>
  <si>
    <t>I wanna kill myself rn, seriously I'm dying already  #Dubnation
-
-
-
-
-
-
-
-
-
-
-
-
-
-
-
-
-
-
-
-
-
-
-
-
-
-
-
-
-
-
-
-
-
-
-
-
-
-
-
-
 #StephGonnaSteph #Mvp #SC30 #KT11 #DG23 #CURRYMVP #KEEPONGOING #NEVERGIVEUP #WCF #WEST #WESTERNCONFERENCEFINALS #CHAMPS #DUBSFORCHAMPS #DUBS #ALWAYSBELIEVEINGOD #STEPHENCURRY #EVEN #NBA #2016CHAMPS #CHAMPIONS #LOCKIN #STEPH #SPLASH #SPLASHBROS  #like4like #like4follow #follow4follow</t>
  </si>
  <si>
    <t>mastermike_d</t>
  </si>
  <si>
    <t>1595709774530608254_256100424</t>
  </si>
  <si>
    <t>Fortunate I had the opportunity to talk to Steve Weinberger, the head judge of the North Americans. And also the head judge for the Top NPC &amp; IFBB bodybuilding shows in the world, including the Mr. Olympia. He gave me some feedback on my weaknesses and gave me some advice of which body parts I need to bring up. The one compliment that he gave me was that I had great conditioning and good shape. To come from one of the top judges, means so much to me. 🙌🏽 I'll be back better than ever next time! 💪🏾💪🏾 @omarv33 thanks brother for bringing me in shape. We brought the best version of myself to date, appreciate all the guidance. 🙌🏽 #npc #ifbb #workhard #northamericans #bodybuilding #classicphysique #nevergiveup #keepongoing #weworkinsilence #teamffyg #teamallduay #teamventura</t>
  </si>
  <si>
    <t>classicphysique</t>
  </si>
  <si>
    <t>teamffyg</t>
  </si>
  <si>
    <t>crystallarson_coach</t>
  </si>
  <si>
    <t>1595709962863087638_5788310750</t>
  </si>
  <si>
    <t>Yesterday's workout was brought to you by @morisak!! Being a new mom to your second baby brings its own set of challenges as you mold to a new family dynamic, adjust to sleepless nights, and find your own place in the world again! Your humor, honesty, and outlook are infectious! Wish I was closer so I could hold that sweet baby boy!! Here's to you momma!! 💙 #momlife #fitmom #newmom #keepongoing</t>
  </si>
  <si>
    <t>newmom</t>
  </si>
  <si>
    <t>socialiser.biz</t>
  </si>
  <si>
    <t>1595711105156898064_4198604834</t>
  </si>
  <si>
    <t>Take the road less travelled #theroadlesstraveled #makeyourownpath #makeyourownluck #makeyourownrules #liveyouradventure #successmindset #keepongoing #selfbelief</t>
  </si>
  <si>
    <t>makeyourownpath</t>
  </si>
  <si>
    <t>makeyourownluck</t>
  </si>
  <si>
    <t>theroadlesstraveled</t>
  </si>
  <si>
    <t>liveyouradventure</t>
  </si>
  <si>
    <t>davieskimi</t>
  </si>
  <si>
    <t>1595713364913801724_3586162174</t>
  </si>
  <si>
    <t>Finally broke 10 min mile barrier this morning. Wahooooo. 🏃🏽‍♀️🏃🏽‍♀️🏃🏽‍♀️🏃🏽‍♀️🏃🏽‍♀️. #keepongoing.</t>
  </si>
  <si>
    <t>Kings Bay Base, Georgia</t>
  </si>
  <si>
    <t>1595718530769536338_40740215</t>
  </si>
  <si>
    <t>Sunday's are for recovery workouts, meal planning &amp; prepping and family time! Who else uses their Sundays to prepare for the upcoming week? If I didn't prep for the week I would have a hard time staying on track! If you have trouble sticking to a healthy eating routine try meal planning &amp; prepping, it will change your life!!</t>
  </si>
  <si>
    <t>mi_mootje</t>
  </si>
  <si>
    <t>1595720828711766134_4464114966</t>
  </si>
  <si>
    <t>Nog lang niet de tijden die ik wil lopen, maar wel op de goede plek geëindigd 💪🎉 #winner #keepongoing #lekkerinhetzonnetje☀️ #longwaybackup</t>
  </si>
  <si>
    <t>lekkerinhetzonnetje☀️</t>
  </si>
  <si>
    <t>winner</t>
  </si>
  <si>
    <t>longwaybackup</t>
  </si>
  <si>
    <t>thefabulouskaty</t>
  </si>
  <si>
    <t>1595727267856679711_185581761</t>
  </si>
  <si>
    <t>Welp, my life has been one big #coddiwomple!😆🤗😁
#journey #life #keepongoing #newfavoriteword</t>
  </si>
  <si>
    <t>coddiwomple</t>
  </si>
  <si>
    <t>newfavoriteword</t>
  </si>
  <si>
    <t>1595728169314716550_5455677963</t>
  </si>
  <si>
    <t>Remember why you started.
#focus #dontworry #motivacion #workoutmotivation #motivation #motivacional #next #progress #progressive #keepgoing👉 #keepgoing #persevere #strong #alldayworking #life #process #daybyday #ambition #noexcuse #keepongoing #keepon #dontstop #dontstopnow #dontlookback #motivationalpost</t>
  </si>
  <si>
    <t>alldayworking</t>
  </si>
  <si>
    <t>giotaroz</t>
  </si>
  <si>
    <t>1595729345775621376_2294792547</t>
  </si>
  <si>
    <t>#aboutlife #theoryoflife #to #believe #and #keepongoing "Η ζωή είναι ένα ταξίδι με μία μόνο αρχή και ένα μόνο τέλος. Όλα τα υπόλοιπα κατά τη διάρκεια της, είναι ενδιάμεσες στάσεις προς ανάπαυση, ανασυγκρότηση και συνέχιση της πορείας μας."
Γ.Ρ.</t>
  </si>
  <si>
    <t>theoryoflife</t>
  </si>
  <si>
    <t>aboutlife</t>
  </si>
  <si>
    <t>lenicux</t>
  </si>
  <si>
    <t>1595733782014794615_3232963547</t>
  </si>
  <si>
    <t>✨ Keep on smiling ✨</t>
  </si>
  <si>
    <t>Hanover, Germany</t>
  </si>
  <si>
    <t>ashtangalove</t>
  </si>
  <si>
    <t>yogainspiration</t>
  </si>
  <si>
    <t>1595743886872719000_4068727793</t>
  </si>
  <si>
    <t>Hey Leute 😋🎀 ich bin momentan noch in Südtirol bevor die Schule wieder beginnt ☹ ... nur noch ein paar Tage "Erholubgsurlaub" auch wenn ich davor schon genug erholt war 😅 ... Wart ihr schon mal in Südtirol ? Ich finde es klingt oft sehr langweilig ... nur berge 😮 ABER auch wenn ich schon das 2. mal hier bin macht es mir immer mehr Spaß. Einfach runterzukommen und etwas anderes zu sehen.
-
Ich genieße dann noch den restlichen Urlaub und melde mich bald wieder ❤ 
#travel#travelling#italy#austria#mountains#hiking#sports#sport#fitness#girl#boat#lake#healthy#healthyliving#keepongoing#vacations#holidays#relaxed</t>
  </si>
  <si>
    <t>Kalterer See</t>
  </si>
  <si>
    <t>eglebriliauskaite</t>
  </si>
  <si>
    <t>1595745665114262888_2224772097</t>
  </si>
  <si>
    <t>Yoga day 3! Getting a lesson on how to do a cat pose 😻 #yogaeverydamnday #30daychallenge #keepongoing</t>
  </si>
  <si>
    <t>30daychallenge</t>
  </si>
  <si>
    <t>teggieeeee</t>
  </si>
  <si>
    <t>1595752674200718640_14272766</t>
  </si>
  <si>
    <t>I can't sleep and my mind is playing tricks on me right now but reading this does help. 👌🏻 #relevant #motivation #keepongoing #happydays #gettingthere #smallsteps #life #quotes #notgivingup #igdaily #instagood #13392 💚</t>
  </si>
  <si>
    <t>relevant</t>
  </si>
  <si>
    <t>lifeinmotion7</t>
  </si>
  <si>
    <t>1595754588716030907_4742324558</t>
  </si>
  <si>
    <t>Beginning of september and another start of 10km for my modest collection! Finished with 1 hr 30 secs and mastered previous result by 4! minutes! The atmosphere was absolutely amazing and thanks to all who #cheered along the way! #mercedesbenzhalbmarathon #reinickendorf #autumn🍁 #berlin #greatweather #keepongoing #lauf #energized #kazakhstan #abroad</t>
  </si>
  <si>
    <t>abroad</t>
  </si>
  <si>
    <t>cheered</t>
  </si>
  <si>
    <t>autumn🍁</t>
  </si>
  <si>
    <t>mercedesbenzhalbmarathon</t>
  </si>
  <si>
    <t>1595759592158247132_5509071474</t>
  </si>
  <si>
    <t>Got to spend a night in VT for my friends birthday. Had to stop at a covered bridge on the way home. So beautiful. Next Time I'm going on a proper hike! I didn't eat the best and had a few drinks but no need to let it set me off the rails. Now it's time for a workout after waking up late from getting no sleep when I was away. Back to the grind. 
#weightloss #weightlossjourney #weightlossblog #weightlossfamily #weightlossjournal #weightlossstory #weightlosscommunity #weightlosssupport #vermont #camping #nevergiveup #keepongoing #wegotthis #yougotthis</t>
  </si>
  <si>
    <t>vermont</t>
  </si>
  <si>
    <t>mari_marry1126</t>
  </si>
  <si>
    <t>1595761303116737154_14569266</t>
  </si>
  <si>
    <t>0831***ずっっと楽しみにしてた
#ももまこlive
#吉祥寺ストリングス 🎹
。
まこさん 「ゆるかった？ 」って聞くけど
ゆるくない回に出くわしたことないです。笑
いつもリラックスして楽しめるから、
可愛くない声で笑っちゃうし、
ふたりの相手の話聞く時の適当感最高すぎて
真面目に話しててもにやにやしちゃうし、
ほんっとすき！！！楽しいなー。
ヤンフラ後でも元気で良きテンションで良かった😇💕
。
#女子の夏 ？ 旅？ のところ、
コーナー通してだけど、
特に #夏恋花火 が切なくて
心がきゅーっとした( ; _ ; )( ; _ ; )
この曲そんな切ないイメージなかったのに、一気にくるしかった💭
まこさんの選曲いつも隠れた名曲みたいなの引っ張ってくるのずるい。毎回終わったあとエンドレスで聞いちゃう。
。
#美女と野獣 を観てその日に耳コピした
話聞いた気がするんだけど、
いつか聞きたいです♡ってリプした記憶もあるんだけど、
Twitter探しても見つからなかったから
夢かもしれない。笑
でも未だによく聞く好きな曲だし
やっぱディズニーはキラキラの仕方が尋常じゃない。無敵。
。
#９月になったら  はもしかして
やってもらえたりするかなって
思ってた曲でして、聞けたの嬉しいんだけど、
切なさ推した曲にだいぶ心もってかれてつらい。すきだけど。
きらいだけどすき。どっちやねん。w
#if の始まりがいつもとちょっと違っておお？？って思うし、
まこさんちょくちょく変えてくるから
そのたんびに(*Ü*)！！！ってときめく。。
。
9月から年末に向けて頑張れるように組まれたぶち上げコーナー。笑
その言葉だけでも、
優しさでできてて
頑張れる気がするんだけど
#keepongoing も #spirit も
素晴らしくて強くて明るさもあって
とても背中押された。すきだーーー。
。
ヘクとパスカルの初ライブは
たぶん、ユメ がどんな曲か説明をしたのに、
結局最後とりあえず聞いて！  みたいになっちゃった記憶があって、喋んなきゃかわいい。って話になったの思い出した。ww
わたしは喋った方が好きだから
ももまこlive がとても好き(* ˘ ³˘)♡*
。
今日のまこさんレポ。
。
＊おだんご真似っこしたの褒めてくれる優しさ。(似合わなくなったらまりちゃんリボンとかもうきついよ、って教えてもらおう)
。
＊ママの作った衣装がお気に召さないお話３回目だったんだけど、何回見ても不機嫌なミニまこの真似が面白すぎるからまた聞きたい。笑
。
＊仕切りも頑張るまこさん(修行らしい)
段取りちゃんとして進めてくの、
話の内容は置いといても、笑
今までより脱線しないで、
進んでたので、文句ないよ！！！(文句しかないよねって言ってた)
。
今年もまだまだ会える予定のまこさん（＾_＾）
ヘクとパスカル もレコーディング中らしく、
来年お楽しみにって言ってたし、
楽しみいっぱい。♡
次のももまこは冬かな〜〜？？
秋にやってもらったことないから
秋でもいいな〜〜💕💕
待ち遠しく待ちましょ(*๓´˘`๓)らぶ！
#ももまこlive #桑原まこ #荒井桃子
#写真はいちご食べてるまこさん
#可愛くていっぱい撮った
#載せるね！って言わなかったから
#お顔あんまり写ってないやつ
#それでもかわいい
#長文なったから
#次に続く #まだ書くんかい</t>
  </si>
  <si>
    <t>女子の夏</t>
  </si>
  <si>
    <t>次に続く</t>
  </si>
  <si>
    <t>それでもかわいい</t>
  </si>
  <si>
    <t>写真はいちご食べてるまこさん</t>
  </si>
  <si>
    <t>夏恋花火</t>
  </si>
  <si>
    <t>1595763083572406453_5705167414</t>
  </si>
  <si>
    <t>I'm dying lmao😂😂😂, the internet has no chill (i know it's been like 2 years,  but imma post it anyway,  sorry for the bad quality pics)  #Dubnation
-
-
-
-
-
-
-
-
-
-
-
-
-
-
-
-
-
-
-
-
-
-
-
-
-
-
-
-
-
-
-
-
-
-
-
-
-
-
-
-
 #StephGonnaSteph #Mvp #SC30 #KT11 #DG23 #CURRYMVP #KEEPONGOING #NEVERGIVEUP #WCF #WEST #WESTERNCONFERENCEFINALS #CHAMPS #DUBSFORCHAMPS #DUBS #ALWAYSBELIEVEINGOD #STEPHENCURRY #EVEN #NBA #2016CHAMPS #CHAMPIONS #LOCKIN #STEPH #SPLASH #SPLASHBROS  #like4like #like4follow #follow4follow</t>
  </si>
  <si>
    <t>hua0814</t>
  </si>
  <si>
    <t>1595763792117411720_898541783</t>
  </si>
  <si>
    <t>Never too late for effort 💪
#lifetooshort #bepositive #youdidwhatyouwanted #keepongoing #nevergiveup</t>
  </si>
  <si>
    <t>lifetooshort</t>
  </si>
  <si>
    <t>youdidwhatyouwanted</t>
  </si>
  <si>
    <t>1595764707691956481_14569266</t>
  </si>
  <si>
    <t>桃ちゃんからハートもらってしまった( ; _ ; )嬉しすぎるよお。涙
ももまこlive 終わって、
早速嬉しいことがあって、
早く桃ちゃんに伝えたいな〜って
思ってるので、
またお手紙書きます*॰ॱ✍読んでもらえますようにっ
＊
0831***ももまこlive
。
もうだめだあ〜って思った時、
会いたいー。って言ったら、
桃ちゃんがお仕事頑張って会いに来て。って言ってくれて、
お仕事がんばったんです。
やっと会えた。 嬉しみ。。。
♡
桃ちゃんがお祭りマンボ超楽しそうにやるから、
わっしょいって言いかけた😂誰も言ってなかった😂
♡
５歳くらいの夢見る女の子の曲が
超可愛くて、癒された🌼💕
そうゆう可愛い曲ももまこにぴったりだと思うんだけど、
MCになるとあれあれ？おやおや？ってなるのやばい(褒めてる)
3曲の流れがあると 
#BigBird が出発の曲に聞こえる不思議。
朝昼夜問題、今日は明るい時間でした。
どんどん好きになる曲だなぁ。
♡
９月になったらの主人公に
if で希望が見える ももまこlive 
素敵すぎませんか。ねえねえ。
ここでしか味わえない生の感覚があるのも、それをみんなで共有できる空間なのも、超好き。
♡
30歳になる5分前まで渋ったまこさんと、
潔く早く30歳になりたい 桃ちゃん。ww
桃ちゃんがまりぐらいの時こうだったよ〜って言ってくれたことがあって、
すごく覚えてるんだけど、憧れの桃ちゃん先輩はやっぱり素敵でかっこいいっす。
♡
#keepongoing と #spirit のあと、
元気になった！っていう桃ちゃん
めっちゃ分かる！！！
ずっとぎゅーって夏が終わるなあって切なめだったけど、
#ぶち上げ花火 w  ここのコーナーで
まりも一気に元気になった〜〜♡
桃ちゃんの元気が伝染したかもしんない。むふ。うえーい♡♡
♡
弱みを見せない桃ちゃんは、
すごくかっこいいけど、
疲れたり、悲しかったり、
そうゆうのも少しずつ教えてくれたら、
まりは全力で笑かすし、ふざけるし、エールを送ります💞
はんぶんこ！！！！
♡
#虹色の風
#yourbackmylove
全体通して掛け合いのところとか、
ここは桃ちゃんで、ここはまこさん！ってなるところとか、
１人ずつメインになるところが
いつもよりはっきり聞こえた気がして、
交わった時の綺麗さが増してた☺️💓
好きすぎてくるしかった。。。
色んなものをもらったので、帰りは心が重たくて。笑
＊
桃ちゃん次は9/16 のソロライブ♡
定時で上がれますように、、、
帰り際にお仕事頑張って！って言ってくれる桃ちゃんのおかげで
明日からまた一週間がんばれそう🙌💕
。
#一個前のとセット #つづきね #思い溢れる #ももまこlive #荒井桃子 #桑原まこ #ヴァイオリン #ピアノ #ライブ #次はいつかな #9月になったよ #社会人1年生 #負けない心 #折れない心</t>
  </si>
  <si>
    <t>ももまこlive</t>
  </si>
  <si>
    <t>一個前のとセット</t>
  </si>
  <si>
    <t>ぶち上げ花火</t>
  </si>
  <si>
    <t>社会人1年生</t>
  </si>
  <si>
    <t>折れない心</t>
  </si>
  <si>
    <t>1595767325600314862_183785074</t>
  </si>
  <si>
    <t>New Livingroom 
#nature #odd #flora #green #inthecity #instagay #keepongoing</t>
  </si>
  <si>
    <t>flora</t>
  </si>
  <si>
    <t>odd</t>
  </si>
  <si>
    <t>ideriika</t>
  </si>
  <si>
    <t>1595779219378635991_1926250475</t>
  </si>
  <si>
    <t>Tänhetkinen mood kiitos koulun: 😴😵😆 #motivation #keepongoing #picoftheday</t>
  </si>
  <si>
    <t>primus13</t>
  </si>
  <si>
    <t>1595783841686434994_876017822</t>
  </si>
  <si>
    <t>Congrats from Israel #keepongoing #eurobasket2017 #kingsofeurobasket #goslovenia</t>
  </si>
  <si>
    <t>Menorah Mivtachim Arena, Tel Aviv</t>
  </si>
  <si>
    <t>eurobasket2017</t>
  </si>
  <si>
    <t>goslovenia</t>
  </si>
  <si>
    <t>kingsofeurobasket</t>
  </si>
  <si>
    <t>1595785108642687317_5705167414</t>
  </si>
  <si>
    <t>Soooo,  if you guys realised I made a new logo and i know it doesn't have a picture of Curry and it's only the text,  because tbh i don't know how to put the text and image together lmao (I'm still a beginner at edits and stuff!), I'll try to improve,  I promise,  but so far do you guys like it? #Dubnation
-
-
-
-
-
-
-
-
-
-
-
-
-
-
-
-
-
-
-
-
-
-
-
-
-
-
-
-
-
-
-
-
-
-
-
-
-
-
-
-
 #StephGonnaSteph #Mvp #SC30 #KT11 #DG23 #CURRYMVP #KEEPONGOING #NEVERGIVEUP #WCF #WEST #WESTERNCONFERENCEFINALS #CHAMPS #DUBSFORCHAMPS #DUBS #ALWAYSBELIEVEINGOD #STEPHENCURRY #EVEN #NBA #2016CHAMPS #CHAMPIONS #LOCKIN #STEPH #SPLASH #SPLASHBROS  #like4like #like4follow #follow4follow</t>
  </si>
  <si>
    <t>1595788940358888516_2317517565</t>
  </si>
  <si>
    <t>29 dage til racestart med 15km Trailrun i Silkeborg. Pga. min overbelastede læg valgte jeg, start august, at tage 3 uger uden løb. Det har virkelig betalt sig af og i dag kunne jeg 8 km meget kuperet løb på Stige Ø uden problemer💃🏋🏼‍♀️🏃🍾
•••
Indrømmet - jeg var aldrig kommet afsted, hvis det ikke var fordi jeg skulle stille til start i Silkeborg med Esben. Og så hjalp det også pænt meget at Mette tog ungerne med derud, så de kunne køre og heppe noget af turen på deres MTB🙏🙏
•••
Overraskende nok var jeg flyvende hele løbeturen igennem til trods for en hård cykeltræning i går. Altid rart når det er den vej rundt. •••
Jeg er pænt spændt på, hvordan det kommer til at gå om små 4 uger😅. •••
#mortentillitzdk  #whatwouldbeyoncedo #toldyouso #tropådet #personligtræner #personaltrainer #cycling #Cykling #styrketræning #løb #Svømning #Swim #running #stronger #personligtræner #mitodense #fitfam #ﬁtfamdk #actionequalsresults #handlingskabersucces #helkropstræning #fullbody #SunRiceClubbyMortenTillitzDK #mentalpause #blivved #keepongoing #styrketræning #painfree #smertefri #søvn #sleep #mitodense</t>
  </si>
  <si>
    <t>Stige Ø</t>
  </si>
  <si>
    <t>triathalli</t>
  </si>
  <si>
    <t>1595789569780064025_266514635</t>
  </si>
  <si>
    <t>Die Zeit is für den 10. Gesamtplatz ja nicht so berauschend, aber kann man mal mitnehmen😊
.
.
#koblenz #halbmarathon #lottohalbmarathon #run #running #instarun #runner #10overall #happy #fit #fitness #workout #motivation #keepongoing #like #love #follow #insta #tri #tria #triathlon</t>
  </si>
  <si>
    <t>lottohalbmarathon</t>
  </si>
  <si>
    <t>halbmarathon</t>
  </si>
  <si>
    <t>cherry_caramel</t>
  </si>
  <si>
    <t>1595789577515647040_22730558</t>
  </si>
  <si>
    <t>365/365 - [2017 day 246] is this the end? - 
è stato un anno intenso,ricco di cambiamenti, avvenimenti, scoperte. Non è stato sempre facile trovare qualcosa per cui essere grati ogni giorno,ci sono stati momenti stanchi, difficili,altri pieni di entusiasmo e ottimismo. In entrambi i casi  ho imparato qualcosa. Non credo sia un caso che l'ultima foto sia di settembre,mese di buone intenzioni e piu che mai ricco di progetti ambizioni e speranze. Andrò avanti,cercando come è mia natura di trovare il lato positivo di ogni cosa,anche la piu piccola. Ad maiora! Continuate a sorridere! - #365thanks
It's been an intende year,full of changing,circumstancies, revelations. It's not so easy to find something to be grateful for everyday,there have been times of tiredness, thoughs, others full of joy, enthusiasm and optimism. Either way I learn something. The "last" photo is at the beginning of september and I don't think this is a coincidence: this month is for its own nature about projects,hope, and good intention,so i'll keep on going, lookig for the bright side in everything,like I always did.
Ad maiora! And keep on smiling. .
.
.
.
#thoughts #september #optimistic #love #smile #smiling #learn #learning #goodvibes #quote #strong #keepongoing #motivation #happy #happiness #365grateful #summer #summertime #thanks #feliceadesso</t>
  </si>
  <si>
    <t>1595790222917272568_472849438</t>
  </si>
  <si>
    <t>Happy Sunday to All
Be Blessed
Stay safe!!
.
.. May today be beautiful to y'all!! #alexanderiadodson #happysunday #manyblessings #havehope #keepongoing #lovelife #chooselife #behappy😊 #smilemore #laughmore #livethefullest #behappywithyourself</t>
  </si>
  <si>
    <t>havehope</t>
  </si>
  <si>
    <t>1595793349325915250_5717527571</t>
  </si>
  <si>
    <t>#keepongoing #trapped #avalanche #cascateruzzo #monteprena #abruzzo #naturefacts #proportion 
Trapped avalanche.</t>
  </si>
  <si>
    <t>Isola del Gran Sasso d'Italia</t>
  </si>
  <si>
    <t>cascateruzzo</t>
  </si>
  <si>
    <t>monteprena</t>
  </si>
  <si>
    <t>abruzzo</t>
  </si>
  <si>
    <t>avalanche</t>
  </si>
  <si>
    <t>proportion</t>
  </si>
  <si>
    <t>vipgirl456</t>
  </si>
  <si>
    <t>1595796046164553222_511915973</t>
  </si>
  <si>
    <t>#華康愛情體 #愛情收 
不管幾點入睡總在四五點會醒來
更別提兩個月拜訪一次的阿月
希望這樣的生活能快點結束
#nothingtolose #letitgo 
傻人有傻福好像也傻太久夠了
#thanksgod #loveyouall #keepongoing #cheers #bebrave #betough #bestrong #needvacation #betterlife #lovemyjob</t>
  </si>
  <si>
    <t>愛情收</t>
  </si>
  <si>
    <t>betough</t>
  </si>
  <si>
    <t>liansbarnard</t>
  </si>
  <si>
    <t>1595803857458365807_2183313689</t>
  </si>
  <si>
    <t>My fitness journey so far. In school I used to weigh 66kg but when I went to varsity, it was as if there was an explosion of weight gain💥. In 2014 I weighed close to 80 kg and I continued gaining weight untill I finally weighed 85kg in April 2016😞🙈. I was miserable and depressed, I felt ugly and fat and cried myself to sleep often.  I always had an excuse to skip gym but then I made a life changing decision. I could not keep going on like this. I started training daily. Just resting Saturday's and Sunday's. I tore my ATFL in my ankle and went through another dip. I was on crutches and in a moonboot for 18weeks. But as soon as I got out of the boot I pucked up the pieces and started again. I began losing weight. I trained even harder and only took Wednesday's off. I lost a whopping 14kg since last year April. Life has its ups and downs, but we have to get back up and fight back. You are worth so much more. If you are feeling demotivated and looking for inspiration, find a role model and set goals daily, small ones at first. And then smash the SHIT out of them💪🏼. You are capable of doing great things and achieve great hights, just keep on going. Take a day off if you need one, but never give up on yourself. Exercise produces serotonin(aka the feel good hormone), there is no need to drink a shit load of medication if your body can produce it by itself. Find a trainer to help, if needed. I still have a lot of work to do and lose that cellulite in my legs, but I am not giving up just yet💪🏼🙌🏻. #keepongoing #setgoals #smashthem #fitlife #motivation #lifehasupsanddownswecallthemsquats #help #gymlife #rolemodels #youaremuchstrongerthanyouthink #needtolosethexcesswater #celluliteattack👊🏼💪🏼#firmup</t>
  </si>
  <si>
    <t>lifehasupsanddownswecallthemsquats</t>
  </si>
  <si>
    <t>needtolosethexcesswater</t>
  </si>
  <si>
    <t>firmup</t>
  </si>
  <si>
    <t>shanilea</t>
  </si>
  <si>
    <t>1595806812195925699_44901137</t>
  </si>
  <si>
    <t>Beautiful Hofit 💫💄
Makeup by me
.
.
.
#makeup #makeupbyme #makeupartist #mua #happy #fun #lovemyjob #keepongoing #doyourjob #beautiful #flawless #skincare #beauty #women #sunday #israel #telaviv #tattoo #lipstick #ofra</t>
  </si>
  <si>
    <t>doyourjob</t>
  </si>
  <si>
    <t>ramo_074</t>
  </si>
  <si>
    <t>1595807594121991357_302107035</t>
  </si>
  <si>
    <t>Golden! 21km...done! #proud#nevertired#keepongoing#strongman#</t>
  </si>
  <si>
    <t>nevertired</t>
  </si>
  <si>
    <t>1595807790667366678_2190333578</t>
  </si>
  <si>
    <t>SUNDAY IS Runday....
Los geht's, etwas entgiften vom Wochenende
😉😉😉😉😉 #headache #runningman #Motivation #runnershigh #running #instapic #instarunners #sport #fitness #nopainnogain #Disziplin #asics #runner #runday #abnehmen #kalorien #Läufer #runnerspic #epic #keepongoing #Kopfsache chic</t>
  </si>
  <si>
    <t>runningman</t>
  </si>
  <si>
    <t>lukastepancic7</t>
  </si>
  <si>
    <t>1595810778220207000_2228992877</t>
  </si>
  <si>
    <t>There are no secrets to success. It is the result of preparation, hard work, and learning from failure.. #keepongoing #teamwork</t>
  </si>
  <si>
    <t>1595815576570593480_2519500602</t>
  </si>
  <si>
    <t>don't cry over boys. do some squats and make them cry wishin they still had dat ass #squats #fitness #healty #quote #dontcare #dontcry #motivation #progress #butt #booty #body #strenght #power #disabilityrights #keepongoing #notthereyet #donthate #live #life #independed #like #love #prove #enjoy #selfie #mirror #trytobehealty</t>
  </si>
  <si>
    <t>dontcry</t>
  </si>
  <si>
    <t>independed</t>
  </si>
  <si>
    <t>1595816231989197071_283398080</t>
  </si>
  <si>
    <t>ELLA. #she #sometimesanstranger #keepongoing #sensefiltres #nofilter #sunkissed #love #lovelife #loveyourself #keeponsmiling #gratitude #❤️</t>
  </si>
  <si>
    <t>she</t>
  </si>
  <si>
    <t>sensefiltres</t>
  </si>
  <si>
    <t>tommaso_buffa_</t>
  </si>
  <si>
    <t>1595818191107673656_4569618460</t>
  </si>
  <si>
    <t>He is not worry about nothing.
He is just going with the flow... #usa #cali #california #sandiego #lajolla #surf #surfing #surftrip #surflife #riding #waves #wave #love #mylife #always #feeling #free #nevergiveup #dreaming #nowords #noworries #flying #high #keepongoing</t>
  </si>
  <si>
    <t>La Jolla, California</t>
  </si>
  <si>
    <t>lajolla</t>
  </si>
  <si>
    <t>noworries</t>
  </si>
  <si>
    <t>surflife</t>
  </si>
  <si>
    <t>asia_cybulska</t>
  </si>
  <si>
    <t>1595822800948755382_5614491506</t>
  </si>
  <si>
    <t>#training #valencaclassicalriding #dressage #horse #fantoche #keepongoing #instafollow #photo</t>
  </si>
  <si>
    <t>SKJ Bajardo</t>
  </si>
  <si>
    <t>instafollow</t>
  </si>
  <si>
    <t>fantoche</t>
  </si>
  <si>
    <t>1595825646129381545_2053552003</t>
  </si>
  <si>
    <t>What a horse 😍 🏅🏆 1e place (Z1)! And be sure to check my page tomorrow 🤗
.
.
.
.
.
#dressage #dressagehorse #dressagerider #competing #competition #success #winner #winners #keepongoing #horses #yolo #sunnyweather #sun #sunday</t>
  </si>
  <si>
    <t>mentz_germishuis</t>
  </si>
  <si>
    <t>1595827345753761688_2310549047</t>
  </si>
  <si>
    <t>Little range work after a tough day.
Trust that the hard work will soon pay off.
#thegring #keepongoing #andagain #hardwork #pays #athelete #range #progolftour #poland #srixongolf #golfer #dedication</t>
  </si>
  <si>
    <t>Wroclaw, Poland</t>
  </si>
  <si>
    <t>range</t>
  </si>
  <si>
    <t>golfer</t>
  </si>
  <si>
    <t>little.black.riding.hood</t>
  </si>
  <si>
    <t>1595828747197834884_4372564052</t>
  </si>
  <si>
    <t>Today I went surfing again, well let's call it diving. The waves looked so easy, but that was an understatement. #nosediving #underwater #facingfear #keepongoing #coolsurfteacher #surf #morocco</t>
  </si>
  <si>
    <t>surf</t>
  </si>
  <si>
    <t>coolsurfteacher</t>
  </si>
  <si>
    <t>facingfear</t>
  </si>
  <si>
    <t>helliontoys</t>
  </si>
  <si>
    <t>1595829675044452864_5495968733</t>
  </si>
  <si>
    <t>Getting bits neatened up ready for construction #prototype #prototyping #startup #startuplife #exciting #excitingtimes #keepongoing #designersoninstagram #sundayafternoon #motivateyourself #neverstop #flow #creating #creatingmemories #learning #learnsomethingneweveryday #instagood</t>
  </si>
  <si>
    <t>excitingtimes</t>
  </si>
  <si>
    <t>prototyping</t>
  </si>
  <si>
    <t>sundayafternoon</t>
  </si>
  <si>
    <t>krusty604</t>
  </si>
  <si>
    <t>1595833155504268220_360298686</t>
  </si>
  <si>
    <t>Had a nice date with Ms. Bee! Thank you for the advice and the encouragements! #latergram #dontgiveup #keepongoing #nuba</t>
  </si>
  <si>
    <t>Nuba in Yaletown</t>
  </si>
  <si>
    <t>nuba</t>
  </si>
  <si>
    <t>manilynestrellatorres</t>
  </si>
  <si>
    <t>1595833918171143143_5575965666</t>
  </si>
  <si>
    <t>Every story has an END.
But in life, every ENDING has a NEW BEGINNING... #don'tgiveup
#patienceisavirtue 
#keepongoing</t>
  </si>
  <si>
    <t>patienceisavirtue</t>
  </si>
  <si>
    <t>liselotte_fitmom</t>
  </si>
  <si>
    <t>1595834394735842275_4160626699</t>
  </si>
  <si>
    <t>20kg verschil! Of het er nu beter op geworden is weet ik niet🤣, lijk ineens een paar jaar ouder, oeps Haha, maar goed daar hoeft het ook niet om te gaan. Gezonde levensstijl wel🤘🏻Mijn zoon ziet mama zonder en met bril zo kun je het ook zien.
De lieverd. Nou we gaan maar even lekker relaxen vanavond en morgen weer knallen bij de bodypump💪🏻💪🏻een fijne avond allemaal🤗
.
.
#fitnesslife #loseweigt #transformation #bodytransformation #motivated #keepongoing #nopainnogain #happyhealthy</t>
  </si>
  <si>
    <t>happyhealthy</t>
  </si>
  <si>
    <t>loseweigt</t>
  </si>
  <si>
    <t>1595835785634124017_5455677963</t>
  </si>
  <si>
    <t>dreamer2436</t>
  </si>
  <si>
    <t>1595836339096626824_323300513</t>
  </si>
  <si>
    <t>Some  inspiration  to keep the Hustle going for today💕😊</t>
  </si>
  <si>
    <t>nonegativity</t>
  </si>
  <si>
    <t>moneygrind</t>
  </si>
  <si>
    <t>ericdennis92</t>
  </si>
  <si>
    <t>1595836664993909890_1493905004</t>
  </si>
  <si>
    <t>Perfect representation of my life! #thestruggleisreal #hardthenitlooks #keepongoing</t>
  </si>
  <si>
    <t>hardthenitlooks</t>
  </si>
  <si>
    <t>1595837161775785205_17284663</t>
  </si>
  <si>
    <t>Running#sunday #healthy #lovethis #keepfit #keeprunning #keepongoing #nevergiveup</t>
  </si>
  <si>
    <t>1595840273395555866_5705167414</t>
  </si>
  <si>
    <t>Shoutout to @n.b.a_edit (first one) and @sportslogosforyou (second one) for making these edits, they're pretty dope 🔥🔥🔥, should i make it my pp? 60 likes in 1 day and comment which one I should use, then I'll make it my pp  #Dubnation
-
-
-
-
-
-
-
-
-
-
-
-
-
-
-
-
-
-
-
-
-
-
-
-
-
-
-
-
-
-
-
-
-
-
-
-
-
-
-
-
 #StephGonnaSteph #Mvp #SC30 #KT11 #DG23 #CURRYMVP #KEEPONGOING #NEVERGIVEUP #WCF #WEST #WESTERNCONFERENCEFINALS #CHAMPS #DUBSFORCHAMPS #DUBS #ALWAYSBELIEVEINGOD #STEPHENCURRY #EVEN #NBA #2016CHAMPS #CHAMPIONS #LOCKIN #STEPH #SPLASH #SPLASHBROS  #like4like #like4follow #follow4follow</t>
  </si>
  <si>
    <t>chevonnemarshall</t>
  </si>
  <si>
    <t>1595842678477963246_175232130</t>
  </si>
  <si>
    <t>Tats, tea and cigarettes. 🙈🙉🙊
#homeiswheretheheartis #relax #taketimeforyourself #meditate #lovelife #becreative #majestic #behappy #wunderlust #wandermore #capturethemoment #cleancapture #believeinbig #dontgiveup #keepongoing #pursuitofhappiness #pursueyourpassion #nikonphotography #dreambig #pursuewhatyoulove #practicemakesperfect #followyourdreams #investinhobbies #mynikonjourney #geometrictattoo #geometric #fox #orangepekoe #tea #canadianclassics</t>
  </si>
  <si>
    <t>meditate</t>
  </si>
  <si>
    <t>cleancapture</t>
  </si>
  <si>
    <t>homeiswheretheheartis</t>
  </si>
  <si>
    <t>investinhobbies</t>
  </si>
  <si>
    <t>majestic</t>
  </si>
  <si>
    <t>1595844097620784852_429036895</t>
  </si>
  <si>
    <t>Diner is served... I love cooking healthy but it has to be delicious too. Today I made filled eggplant with fresh vegtables topped with cottage cheese,  bell peper, avocado and tomato. Served with some oven baked fries and beef.
#cooking #healthyfood #foodislife  #daretoshare #bodylove #selflove #foodlover  #fitnessjourney #progress #fitness #fitdutchie #weightlifting #girlwholifts #fitfam #fitnessaddict #curves #weightgaining #bodyandmind #gymlife #recovering #bootygrow #dedication #hardwork #keepongoing #strenght #grow #girlonamission #effort #girlpower #healthylifestyle</t>
  </si>
  <si>
    <t>foodislife</t>
  </si>
  <si>
    <t>fit.fox.mommy</t>
  </si>
  <si>
    <t>1595846761826351937_284618563</t>
  </si>
  <si>
    <t>Just keep moving forward... #constantprogress #movingforward #keepongoing #dontgiveup #beyourbest</t>
  </si>
  <si>
    <t>constantprogress</t>
  </si>
  <si>
    <t>1595849609985141192_50373203</t>
  </si>
  <si>
    <t>《 DOORMEAL 》 
Na het trainen een @door_meal mee voor onderweg in de trein naar huis. Smullen! Alleen daarvoor moet je al gaan trainen in de Hub 😉🏋😉 -
#sunday #weekend #doormeal #smullen #sunshine #goodfood #foodlover #instafood #trainingday #changinglife #hub #pbp #personalbodyplan #ditismijnpbp #soremuscles #nopainnogain #stronger #dontgiveup #stayfocused #keepongoing #trein #ns #relax #niceviews #bye💋</t>
  </si>
  <si>
    <t>DoorMeal</t>
  </si>
  <si>
    <t>ns</t>
  </si>
  <si>
    <t>doormeal</t>
  </si>
  <si>
    <t>bye💋</t>
  </si>
  <si>
    <t>ste_roberto_gordon_giannozzi</t>
  </si>
  <si>
    <t>1595855433046513614_222681819</t>
  </si>
  <si>
    <t>#bff #jesolobeach #upswing😎 #keepongoing #friendship #friends</t>
  </si>
  <si>
    <t>Lido di Jesolo</t>
  </si>
  <si>
    <t>upswing😎</t>
  </si>
  <si>
    <t>blssd2bjpsmom</t>
  </si>
  <si>
    <t>1595855993405512869_288184450</t>
  </si>
  <si>
    <t>"Trust in the LORD with all your heart and lean not on your own understanding; 
in all your ways submit to him, and he will make your paths straight" Proverbs 3:5&amp;6 #keepongoing
#trustgod #alwaysblessed</t>
  </si>
  <si>
    <t>alwaysblessed</t>
  </si>
  <si>
    <t>1595856258996794410_3491891264</t>
  </si>
  <si>
    <t>Keep going the story must go on , if you stop the book will be closed !
#keeponfighting #keepongoing #keepstrong #keeppushing #keepitreal</t>
  </si>
  <si>
    <t>1595856888862717811_2065144435</t>
  </si>
  <si>
    <t>Banana Spider with a golden tinged web. No banana for scale but this was about as big as my hand and hanging out with the baby iguanas.
#belize</t>
  </si>
  <si>
    <t>Iguana Sanctuary, San Ignacio, Belize</t>
  </si>
  <si>
    <t>belize</t>
  </si>
  <si>
    <t>1595860431958781036_12198462</t>
  </si>
  <si>
    <t>Second birth. - 11 months postpartum - on a mission to get shredded 🙊🔛💪🏻🏋🏻‍♀️🙏 #shredding #bodyrepair #nopainnogain #momlife #hardworkanddedication #lifewontwait #deadlift #fulltimejob #glutes #biceps #triceps #benchpress #fit #fitness #bodybuilding #bodyreconstruction #postpartum #keepongoing #feelgood #eatright #trainhard #seeresults #32years</t>
  </si>
  <si>
    <t>fulltimejob</t>
  </si>
  <si>
    <t>bodyreconstruction</t>
  </si>
  <si>
    <t>zaida_nomad</t>
  </si>
  <si>
    <t>1595863729344459839_2064574268</t>
  </si>
  <si>
    <t>#acropolisview #parthenon #greece #travel #keepongoing #wanderlust #aroundtheworld #athens 
#hacemuchocalor☀️ y #muchagente 
#girltraveler</t>
  </si>
  <si>
    <t>muchagente</t>
  </si>
  <si>
    <t>hacemuchocalor☀️</t>
  </si>
  <si>
    <t>girltraveler</t>
  </si>
  <si>
    <t>chrossi5792</t>
  </si>
  <si>
    <t>1595865166154889908_220944607</t>
  </si>
  <si>
    <t>🚶#keepongoing #lookingback</t>
  </si>
  <si>
    <t>Zoo Osnabrück</t>
  </si>
  <si>
    <t>1595866073240236083_1229634619</t>
  </si>
  <si>
    <t>After 10 days of vacation and a wedding, I'm back running. And I also get an improvement! 
#running #run #tbt #workhard #nevergiveup #keepongoing #music #workout #tbh</t>
  </si>
  <si>
    <t>1595866345994644100_40619315</t>
  </si>
  <si>
    <t>Ich bin froh, dass ich mich noch mal aufgerappelt habe heute... lief viel, viel besser als gestern und das ist doch ne viel schönere Motivation für die kommende Woche 😃 heute auch nur ne kleines Abschlussrunde... aber hey, ich bin mal wieder von Anfang bis Ende durchgelaufen 💪🏼 ich habe jedoch beschlossen, mich erstmal mehr auf die kurzen Strecken zu konzentrieren nach dem 10 km Lauf am kommenden Samstag... ich denke, ich mute mir noch zu viel zu und sollte das Augenmerk erstmal auf die Verbesserung der Kondition, Schnelligkeit und Fitness der Kurzstrecke legen 🤗 #keepongoing #nevergivingup
.
.
.
#natur #naturliebe #laufen #laufenmachtglücklich #happiness #germering #abnehmen2017 #weightlossjourney #running #runninggirl #laufenfürdieseele #fitfam #runtastic #runtasticpro #runtasticgirl #fürmehrrealitätaufinstagram #motivation #afterrunselfie</t>
  </si>
  <si>
    <t>alexandru__ba</t>
  </si>
  <si>
    <t>1595866368971721053_239254824</t>
  </si>
  <si>
    <t>#keepongoing (I miss #summer)</t>
  </si>
  <si>
    <t>jssportandconsulting</t>
  </si>
  <si>
    <t>1595870003327292193_1657148199</t>
  </si>
  <si>
    <t>#vktielrode #winners #belgie #6op6 #keeperstrainer #goalkeepingcoach #jartazi #awaywin #keepongoing #newseason</t>
  </si>
  <si>
    <t>Hoogeinde, Oost-Vlaanderen, Belgium</t>
  </si>
  <si>
    <t>goalkeepingcoach</t>
  </si>
  <si>
    <t>belgie</t>
  </si>
  <si>
    <t>awaywin</t>
  </si>
  <si>
    <t>1595870146831103674_2190333578</t>
  </si>
  <si>
    <t>A slow mile is also a mile....
Ein Sunday Hangover Run....
🐌🐌🐌🐌🐌🐌🐌🐌
#slow  #headache #runningman #Motivation #runnershigh #running #instapic #instarunners #sport #fitness #nopainnogain #Disziplin #asics #runner #runday #abnehmen #kalorien #Läufer #runnerspic #epic #keepongoing #Kopfsache</t>
  </si>
  <si>
    <t>1595870153584063953_313231351</t>
  </si>
  <si>
    <t>Metti una domenica a Chioggia...
#domenica #sunday #chioggia #scorci #landscapes #sunset #igersitalia #igersveneto #italy #veneto #italianlandscapes #importantdays #persempre #promessepersempre #friends #discoveryitaly #keepongoing #keeponwalking</t>
  </si>
  <si>
    <t>veneto</t>
  </si>
  <si>
    <t>jenniferdrewstylist</t>
  </si>
  <si>
    <t>1595872165735198463_178307016</t>
  </si>
  <si>
    <t>#truth #dailyquotes #dailymotivation #keepongoing #yourareamazing</t>
  </si>
  <si>
    <t>yourareamazing</t>
  </si>
  <si>
    <t>regular.thoughts</t>
  </si>
  <si>
    <t>1595877564391844577_5986110500</t>
  </si>
  <si>
    <t>relatible? 🌿🌬 ----- comment your thoughts for a shoutout ----- c@?? ------------------------------------------------------------------------------------------------------------/////--/-----------//--------------------------------------------/--------------------------------------------------------------------------------------------------------------------------------------------------------------------/////--/-----------//----------------------------------------------------------------------------------------------------------------------------------------------------------------------------------------------------------------------------------------------------------------------/////--/-----------//-----------------------------------------------/////--/-----------//--------------------------------------------------------------------------------/////--/-----------//---------------------------------------- #thoughts #deep #deepthoughts #thinking #feed #goals #feedgoals #makeup #tutorial #behappy #livelovelife #keepongoing #lyrics #keepitreal #keepfit #love #loveit #makeuptutorial #makeupgeek</t>
  </si>
  <si>
    <t>nerihoop</t>
  </si>
  <si>
    <t>1595878864080312848_180256762</t>
  </si>
  <si>
    <t>My flow from last week in #mitzpealumot.
Song ID: Diabolico by cloZee
❤
#goodtime #hoopflow #stopdropandspin #hooper #dance #keepongoing #flowart #hoopla #hooping #sacredcircle #movement</t>
  </si>
  <si>
    <t>flowart</t>
  </si>
  <si>
    <t>mitzpealumot</t>
  </si>
  <si>
    <t>stopdropandspin</t>
  </si>
  <si>
    <t>goodtime</t>
  </si>
  <si>
    <t>maxinfernoink</t>
  </si>
  <si>
    <t>1595883059776028124_212508018</t>
  </si>
  <si>
    <t>Back to back on clain court#worthit#keepongoing</t>
  </si>
  <si>
    <t>nickgeffenauthor</t>
  </si>
  <si>
    <t>1595884371905333360_5451634217</t>
  </si>
  <si>
    <t>When the pain arrives to hijack your day, remind ot that you already have other plans. #pain #depression #selflove #selfcare #nevergiveup #keepongoing #chronicpain #syndrome #beast</t>
  </si>
  <si>
    <t>Kelvin</t>
  </si>
  <si>
    <t>syndrome</t>
  </si>
  <si>
    <t>1595886310529269961_1822236485</t>
  </si>
  <si>
    <t>Follow @adventurouskiwi for top travel content. Jordan, Petra.
📷: @theplanetd
.
.
.
.
.
.
.
.
#meditative #offthebeatenpath #traveltogether #livetotravel #lifechoices #forbestravelguide #earthdiscoveries #yogastyle #paycationtravel #safetravels #inspiredaily #beachlovers #roadlesstraveled #choosejoy #life4life #therisingtidesociety #sunset #lifeissweet #keepongoing #neverstoplearning #cocoatravelersintl #beachbod #instatravelhub #familypet #earthspirit</t>
  </si>
  <si>
    <t>earthspirit</t>
  </si>
  <si>
    <t>roadlesstraveled</t>
  </si>
  <si>
    <t>arttfc</t>
  </si>
  <si>
    <t>1595887192566350802_2090166861</t>
  </si>
  <si>
    <t>- Tuto trott'-hip hop dance : deuxième partie : dispo sur Youtube (lien dans la bio) !
@nagaskills
#trotinette #scooter #dancing #dance #hiphop #hiphopdance #locking #sweating #keepongoing #dreaming 
#youtube --&gt; #rideaunaturel #ran #video #montage #concept #greatpic #madmax #drive</t>
  </si>
  <si>
    <t>locking</t>
  </si>
  <si>
    <t>scooter</t>
  </si>
  <si>
    <t>1595888298009547876_281323380</t>
  </si>
  <si>
    <t>- 'Life is about moments...'
ou dito de um outro jeito - 'somos instantes' 
#yesweare #lifeisaboutmoments #besimple #setembro2017 #september2017 #photographyislife #detailscount #detalhesquefazemadiferenca #ig_photography #onmyway #iphone7plus #life #vida #photographer #glassess #candle #light  #mustgoon #keepongoing #goahead #beyounomatterwhat</t>
  </si>
  <si>
    <t>Restaurante Toscano</t>
  </si>
  <si>
    <t>detailscount</t>
  </si>
  <si>
    <t>goahead</t>
  </si>
  <si>
    <t>setembro2017</t>
  </si>
  <si>
    <t>detalhesquefazemadiferenca</t>
  </si>
  <si>
    <t>1595888556755541216_1434834201</t>
  </si>
  <si>
    <t>❤️🇪🇸#mood #keepongoing #spain</t>
  </si>
  <si>
    <t>mariistella</t>
  </si>
  <si>
    <t>1595893019436198001_237127756</t>
  </si>
  <si>
    <t>— Tris! Sssh. 🌊🌊🌊
#set #tris #sssh #silence #keepongoing #seaside #sea #worldplaces #september #summer #summervibes #goodmorning #morning #newday #welcome #sun #sunny #clouds #cloudy #photography #photographer #sicily #italy #love #passion #goodvibes #weather #waves</t>
  </si>
  <si>
    <t>Campofelice Roccella, Sicilia, Italy</t>
  </si>
  <si>
    <t>sssh</t>
  </si>
  <si>
    <t>1595894767816055815_5986110500</t>
  </si>
  <si>
    <t>i'll try to fix you 🌑 ----- comment your thoughts for a shoutout ----- c@??------------------------------------------------------------------------------------------------------------/////--/-----------//--------------------------------------------/--------------------------------------------------------------------------------------------------------------------------------------------------------------------/////--/-----------//----------------------------------------------------------------------------------------------------------------------------------------------------------------------------------------------------------------------------------------------------------------------/////--/-----------//-----------------------------------------------/////--/-----------//--------------------------------------------------------------------------------/////--/-----------//---------------------------------------- #thoughts #deep #deepthoughts #thinking #feed #goals #feedgoals #makeup #tutorial #behappy #livelovelife #keepongoing #lyrics #keepitreal #keepfit #love #loveit #makeuptutorial #makeupgeek</t>
  </si>
  <si>
    <t>essz25</t>
  </si>
  <si>
    <t>1595895542277558878_2291334451</t>
  </si>
  <si>
    <t>#lifequotes#keepongoing#thingshappen</t>
  </si>
  <si>
    <t>thingshappen</t>
  </si>
  <si>
    <t>1595896645111242366_5986110500</t>
  </si>
  <si>
    <t>they're aren't all real 🗝 ----- comment your thoughts for a shoutout ----- c@?? ------------------------------------------------------------------------------------------------------------/////--/-----------//--------------------------------------------/--------------------------------------------------------------------------------------------------------------------------------------------------------------------/////--/-----------//----------------------------------------------------------------------------------------------------------------------------------------------------------------------------------------------------------------------------------------------------------------------/////--/-----------//-----------------------------------------------/////--/-----------//--------------------------------------------------------------------------------/////--/-----------//---------------------------------------- #thoughts #deep #deepthoughts #thinking #feed #goals #feedgoals #makeup #tutorial #behappy #livelovelife #keepongoing #lyrics #keepitreal #keepfit #love #loveit #makeuptutorial #makeupgeek</t>
  </si>
  <si>
    <t>tarainspirations</t>
  </si>
  <si>
    <t>1595896687549639783_4207684749</t>
  </si>
  <si>
    <t>This smulecollab with @jamesblunt Love everything about the song 👌
#sing #smule #jamesblunt #beautiful #singing #singer #singersongwriter #musician #feel #inspire #inspiring #hope #fight #keepongoing #smulesing #collab #duet #singing</t>
  </si>
  <si>
    <t>duet</t>
  </si>
  <si>
    <t>iamk.89</t>
  </si>
  <si>
    <t>1595902505450942176_344614616</t>
  </si>
  <si>
    <t>#fuckhaters #keepongoing #keeppushing #dontcare #happyinside #fuckpeople #fuckyou #nevergiveup #neverevergiveup #believeinyourself #doyourbest #bestrong #dontworrybehappy</t>
  </si>
  <si>
    <t>neverevergiveup</t>
  </si>
  <si>
    <t>fuckyou</t>
  </si>
  <si>
    <t>hermienpeters_</t>
  </si>
  <si>
    <t>1595903348875120328_2209095115</t>
  </si>
  <si>
    <t>Nationals done 7/7 ✅ it was nice to race in Belgium! Now let's go to South Africa! 😁💪 Thanks for being an awesome team 😁 @l_broekx @roosbroekx @ine_vierstraete #kayak #friends #nationals #keepongoing #sprint #marathon #fun</t>
  </si>
  <si>
    <t>Hazewinkel</t>
  </si>
  <si>
    <t>sprint</t>
  </si>
  <si>
    <t>nationals</t>
  </si>
  <si>
    <t>grind_motive</t>
  </si>
  <si>
    <t>1595903555755312939_5811613098</t>
  </si>
  <si>
    <t>Keep the grind on #grindonme #grin #grinder #motivationalquoteoftheday  #inspirate #inspire1 #inspir #legenda #legende #legendaryrides #luxurylifet #luxurylifey #luxurylifestyles #luxurylifestyleblogger  #hustled #hustler #hustles #hustledoo #hustlesmart #hustlesmarter #workharder #workharderthanme  #neverquite #neverquits #neverquitting  #nonstopgrindmode #neverstops #persistenceiskey #keepon #keepongoing</t>
  </si>
  <si>
    <t>neverquite</t>
  </si>
  <si>
    <t>luxurylifey</t>
  </si>
  <si>
    <t>inspire1</t>
  </si>
  <si>
    <t>hustlesmart</t>
  </si>
  <si>
    <t>neverstops</t>
  </si>
  <si>
    <t>lisa.sheppard.fitmom</t>
  </si>
  <si>
    <t>1595914903099824024_214300230</t>
  </si>
  <si>
    <t>Back to school ... means back to YOU !! Right Moms?? I love fall... time for routines and schedules which help me work towards my goals with a more focused mind! Here is me and my Littlest Squirt enjoying a BURNER on the bike today after my workout!! #workhard #run #chasingpbs #stronglikemom #keepongoing #fitmom #fitlife #fitfam #loveyourself #momtime #backtoschool #goalcrusher</t>
  </si>
  <si>
    <t>chasingpbs</t>
  </si>
  <si>
    <t>1595915370395357141_264198860</t>
  </si>
  <si>
    <t>Mine dage går ret hurtigt for tiden - og må nok give @astridlind ret i min vægt har fyldt alt for meget! Har virkelig fået ro i hoved efter jeg ikke selv vejer mig mere - fremover er det kun Astrid der har styr på det. Er så taknemmelig for at jeg har hende og den støtte hun giver ❤️. Weekenden er ovre, og det er lige gået op for mig jeg kun har 9 arbejdsdage tilbage inden den står på 🌞🌊. Uh 😍. #keepfighting #keepongoing #keepsmiling #justanotherday #myday #mylife #bestrong #weekend #workout #weightloss #weightlossjourney #vægttab #vægttab2017 #følgmitvægttab #bootybuilding #food #fit #fitness #myfight</t>
  </si>
  <si>
    <t>vægttab2017</t>
  </si>
  <si>
    <t>myfight</t>
  </si>
  <si>
    <t>bnilsen93</t>
  </si>
  <si>
    <t>1595915458301604921_2996298096</t>
  </si>
  <si>
    <t>Final stage, hard day in the front of the peloton with my teammates😧 We succeeded to defend the overall lead and yellow jersey with @kristofferwestgaard, 
so proud, everyone did their best💪🚲 #askerckelite #bikeshopno #gaviabikes #teamwork #blockwatne #unox #harmoniedoors #fuelledbyscience #shimanonorge #oakley #sportful #cycling #landevei #rideshimano #whyiride #beautyofcycling #igcycling #fromwhereiride #roadslikethese #fizik #kaskhelmets #power2max #cyclingphotos #keepongoing #unoxsykkelentusiast #liveyours #vismot #defeet #deda</t>
  </si>
  <si>
    <t>roadslikethese</t>
  </si>
  <si>
    <t>vismot</t>
  </si>
  <si>
    <t>sportful</t>
  </si>
  <si>
    <t>askerckelite</t>
  </si>
  <si>
    <t>power2max</t>
  </si>
  <si>
    <t>1595916020974321310_203325600</t>
  </si>
  <si>
    <t>Nr 6 van 2017 is ook binnen 🤘🥇🏃 BATTLE OF THOR ⚡️ #BattleOfThor #Stampycer #KeepOnGoing #StravaRunner #ObstacleRun #ObstacleRunner #Genk #Belgium #InstaRun #InstaRunner #Runstagram #Running #Race #SpartacusSeries #DiksmuideMoves #SportersBelevenMeer #OORAH #OCR #SvenRundust</t>
  </si>
  <si>
    <t>Thor Park</t>
  </si>
  <si>
    <t>obstaclerunner</t>
  </si>
  <si>
    <t>spartacusseries</t>
  </si>
  <si>
    <t>laviniaisabel</t>
  </si>
  <si>
    <t>1595917670293029851_419749613</t>
  </si>
  <si>
    <t>#longtimenoabs #abs #selfie #potd #belly #shape #notshredded #body #fitnessgirl #fitnessaddict #motivation #workout #love #keepongoing #dontgiveup</t>
  </si>
  <si>
    <t>belly</t>
  </si>
  <si>
    <t>prettyspeigelmirrors</t>
  </si>
  <si>
    <t>1595918482417935618_4332533501</t>
  </si>
  <si>
    <t>Printing new tags and care instructions because #sillyme changed up most of my information sooo...can't use the cards I ordered 😬 .
.
PS I realize the envelope is printed upside down 🤦🏼‍♀️ #duh .
.
.
.
#smallbusinesslife #diy #makeithappen #printityourself #thistookmeforever #workingoutthekinks #timetogotothepark #sundayworkandplay #supporthandmade #buyart #spiegel #speigelmeansmirror #annapolis #makerslife #keepongoing #gettingthere #shoplocal #shopsmall #supportartisans</t>
  </si>
  <si>
    <t>Annapolis, Maryland</t>
  </si>
  <si>
    <t>makerslife</t>
  </si>
  <si>
    <t>thistookmeforever</t>
  </si>
  <si>
    <t>annapolis</t>
  </si>
  <si>
    <t>printityourself</t>
  </si>
  <si>
    <t>1595920508310572498_3176267654</t>
  </si>
  <si>
    <t>Word! 😼
#lpfboutique #nailbar #prettynails #igdaily #motivation #newweekgoals #nailstagram #passion #nailsofinstagram #nailpolish #naildesign #nails2inspire #nailitdaily #nailsofig #nailboutique #lpfnails #followme #motivationalquotes #instabeauty #instanails #ig #igoftheday #keepongoing #keeponworking #dontsettleforless</t>
  </si>
  <si>
    <t>instanails</t>
  </si>
  <si>
    <t>1595922208580853268_540765515</t>
  </si>
  <si>
    <t>Un entro con muchísima powa! Fue brutal sinceramente. Con @aleixanimals y cámara y edicion: @david_animals.
#parkour #cerdanyola #freerunning #tricking #quincepies #powa #animals #pk #animalspk #trainingday #sueñodelongi #increibledia #bjj #jiujitsu #nogi #keepongoing</t>
  </si>
  <si>
    <t>bjj</t>
  </si>
  <si>
    <t>freyja25</t>
  </si>
  <si>
    <t>1595925746014925252_239872566</t>
  </si>
  <si>
    <t>Just saying..😏 #tiredaf #dontplaygames #tiredofallthebullshit #fearless #keepongoing #noexpectations 
Picture from @soulbraille</t>
  </si>
  <si>
    <t>dontplaygames</t>
  </si>
  <si>
    <t>noexpectations</t>
  </si>
  <si>
    <t>angelvandijkborger</t>
  </si>
  <si>
    <t>1595926895915276542_5760320582</t>
  </si>
  <si>
    <t>Mijn avondhapje...lekker gebakken appeltjes met honing en kaneel uit de oven❤ mmm love my lifestyle
#unstoppable #UG4ever #CoachAngelique #fitenslank #dag2detox #healthy4ever #keepongoing #dontdreamjustdoitnow</t>
  </si>
  <si>
    <t>dag2detox</t>
  </si>
  <si>
    <t>fitenslank</t>
  </si>
  <si>
    <t>coachangelique</t>
  </si>
  <si>
    <t>kiradecabooter</t>
  </si>
  <si>
    <t>1595928404379980429_358216018</t>
  </si>
  <si>
    <t>Everything hurts.
I'm dying.
But I'm not stopping.
#keepongoing #ABM #running #runner #runninggirl #loveforthesport #athletics #neverstop #keeppushing #keeppushingforward</t>
  </si>
  <si>
    <t>Marke, West-Vlaanderen, Belgium</t>
  </si>
  <si>
    <t>abm</t>
  </si>
  <si>
    <t>alexiaa_thomet</t>
  </si>
  <si>
    <t>1595933224366024194_3051470074</t>
  </si>
  <si>
    <t>"Oublies ceux qui parlent dans ton dos, ils critiquent ta vie pour éviter de régler la leur" #quotes #quoteoftheday #quoteformyself #takecare #beyourself #confidence #selfconfidence #beyourself #believeinyou #nothingtoprove #nothingtoadd #keepongoing #behindyourback</t>
  </si>
  <si>
    <t>behindyourback</t>
  </si>
  <si>
    <t>fitnesstheory_pt</t>
  </si>
  <si>
    <t>1595933853503384616_11617675</t>
  </si>
  <si>
    <t>Consistency always wins.  It's the same old adage of the tortoise and the hare. Don't quit, don't get fancy, don't be extreme. Just keep on keeping on.  And if you haven't started yet, give Fitness Theory a call today! 410-457-9205. 
#fitnesstheorycoaching #fitnessmotivation  #consistency #keepongoing #dontgiveup #personaltrainer #goals</t>
  </si>
  <si>
    <t>Fitness Theory Personal Training</t>
  </si>
  <si>
    <t>fitnesstheorycoaching</t>
  </si>
  <si>
    <t>1595934929198369973_5945182384</t>
  </si>
  <si>
    <t>#quotes #quotesoftheday #quotestags #dailyquotes #mindset #mindsetiskey #believeinyourself #motivationalquotes #motivation #keepongoing</t>
  </si>
  <si>
    <t>quotestags</t>
  </si>
  <si>
    <t>mariemiajosefsson</t>
  </si>
  <si>
    <t>1595936570490161636_333550162</t>
  </si>
  <si>
    <t>Ibland finns det låtar som bara ger den där rätta känslan!!! Ligger &amp; klurar lite inför veckan &amp; känner att framtiden är oviss. Allt kan hända, det kan går käpprätt åt skogs men också helt över alla förväntningar/förhoppningar. Ända sättet att få veta är att fortsätta uppåt &amp; framåt 🍀📈🍀 #gottamove #keepongoing #thefastback  #musicislife #duorkarMia #motnyamål #tacksamhetärlycka #lifeisarollercoaster #justrideit #lovelife #personligutveckling</t>
  </si>
  <si>
    <t>Örebro, Sweden</t>
  </si>
  <si>
    <t>gottamove</t>
  </si>
  <si>
    <t>duorkarmia</t>
  </si>
  <si>
    <t>personligutveckling</t>
  </si>
  <si>
    <t>motnyamål</t>
  </si>
  <si>
    <t>samantha_arcane_iacobello</t>
  </si>
  <si>
    <t>1595938044685599106_5427106732</t>
  </si>
  <si>
    <t>Don't Step on the Mome Raths... #pathways #journey #road #keepongoing #wevegottogetoutofthisplace</t>
  </si>
  <si>
    <t>wevegottogetoutofthisplace</t>
  </si>
  <si>
    <t>pathways</t>
  </si>
  <si>
    <t>this.time.next.year</t>
  </si>
  <si>
    <t>1595939356001048627_4298140515</t>
  </si>
  <si>
    <t>#todaysquote #quote #bestrong #bebrave #keepongoing #breathedeeply</t>
  </si>
  <si>
    <t>breathedeeply</t>
  </si>
  <si>
    <t>awakenedsoulheartmind</t>
  </si>
  <si>
    <t>1595948428852416518_5891508141</t>
  </si>
  <si>
    <t>🌴 if one is spiritually happy they naturally want others to be happy. spirituality is the gift of love. you can't help but help and if heart leads more and more into the hearts of others, then #keepongoing don't stop don't fear don't doubt #bevulnerable #beauthentic #keepongoing 💫 #goodnight #costarica 
#travel #traveling  #awakening #instatravel #instago #instagood #trip  #photooftheday  #instapassport #instatraveling #mytravelgram #travelgram #travelingram #igtravel #elizabethlesser #twinflame #divinefeminine</t>
  </si>
  <si>
    <t>Montezuma, Costa Rica</t>
  </si>
  <si>
    <t>elizabethlesser</t>
  </si>
  <si>
    <t>osmarytaini</t>
  </si>
  <si>
    <t>1595951332518109030_1521434086</t>
  </si>
  <si>
    <t>Poco a poco... #nevergiveup #strongerthanyesterday #warrior #keepongoing</t>
  </si>
  <si>
    <t>strongerthanyesterday</t>
  </si>
  <si>
    <t>ninis74.lchf</t>
  </si>
  <si>
    <t>1595952669503841464_3979632232</t>
  </si>
  <si>
    <t>🖤🖤🖤 Together we can make it 👊🏻🖤🖤🖤.
.
.
.
.
#lchf#lchfklubben#cleaneating#utmattningssyndrom #lchfsverige
#viktminskning#ninis74lchf#lowcarb#weightloss#viktresa#serier#lchfkost#lchfliv#enkellchf 
#lesscarbs#ketos#lchflife#lchflivet #nerivikt#foodlover#ketos#paleo #viktminskning#looseweigth#keto#ketogenic#lavkarbo#lavkarboklubben#dontstop#justdoit#keepongoing#ninis74texter</t>
  </si>
  <si>
    <t>lchflivet</t>
  </si>
  <si>
    <t>ketos</t>
  </si>
  <si>
    <t>samiam1112</t>
  </si>
  <si>
    <t>1595955831604898643_10074026</t>
  </si>
  <si>
    <t>#keepongoing #workhardforwhatyouwant</t>
  </si>
  <si>
    <t>UCM Union Bowling Center</t>
  </si>
  <si>
    <t>workhardforwhatyouwant</t>
  </si>
  <si>
    <t>swiss4syria</t>
  </si>
  <si>
    <t>1595959542271724616_2885889175</t>
  </si>
  <si>
    <t>We do not forget!
#help #keepongoing #syrianrefugees #swiss4syria #lebanon #ngo</t>
  </si>
  <si>
    <t>ngo</t>
  </si>
  <si>
    <t>syrianrefugees</t>
  </si>
  <si>
    <t>sampinky72</t>
  </si>
  <si>
    <t>1595968730852928938_192231767</t>
  </si>
  <si>
    <t>Keep going....💪🏼👍😁 #balance  #coreworkout #fitness #fitmom #gymnastics #gym #handstand #keepongoing #life #lifestyle #mum #mummy #nike #progress #running #runningmum #sam #weighttraining #training #weights</t>
  </si>
  <si>
    <t>sam</t>
  </si>
  <si>
    <t>artgeorge1982</t>
  </si>
  <si>
    <t>1595972282008958407_3649990489</t>
  </si>
  <si>
    <t>De uns anos atrás. Tiraçao de onda básica na batera do meu irmão super baterista @doug.batera #baterista #drummer #drummerslife #barulho #drums #chillintime #ilovemusic #nofx #keepongoing  #jahbless</t>
  </si>
  <si>
    <t>nofx</t>
  </si>
  <si>
    <t>ilovemusic</t>
  </si>
  <si>
    <t>grandmasterboshgram</t>
  </si>
  <si>
    <t>1595973822401249134_264429422</t>
  </si>
  <si>
    <t>Pick yourself up, dust yourself off and keep going! 👍🏼 #chinup #keepongoing #acalmseanevermadeaskilledsailor #hurdles #staypositive #lifequotes</t>
  </si>
  <si>
    <t>acalmseanevermadeaskilledsailor</t>
  </si>
  <si>
    <t>hurdles</t>
  </si>
  <si>
    <t>vamosbycr</t>
  </si>
  <si>
    <t>1595975688958134940_5568508032</t>
  </si>
  <si>
    <t>It's Monday morning and after a relaxing weekend, I am not ready to face this week 😳. Today at some point after a little retail therapy or just some me time, I will refocus my thoughts and plans to get back on track. It's okay to feel unmotivated at times, what matters is what you do to get out of that funk......time for me to get cracking. #butfirstcoffee 📷 @pani_kas_kas</t>
  </si>
  <si>
    <t>businessmum</t>
  </si>
  <si>
    <t>lifestylebusiness</t>
  </si>
  <si>
    <t>kat_v_henry</t>
  </si>
  <si>
    <t>1595985759902234483_351716142</t>
  </si>
  <si>
    <t>Day 3 of the @pageantgirluk #pageantgirlphotochallenge and the category is... #Motivation
In this industry there will be setbacks, disappointment and tears but what defines you is how you handle defeat. Turn those things into the fuel that drives you to be better. Never let anyone or anything dull your sparkle 👑
#pageantgirluk #beautifullyinspiring #itsapageantgirlthing #Motivationalquote #keepongoing #pageantgirl #pageantpositivity #pageantaccess #pageantplanet #Queen</t>
  </si>
  <si>
    <t>beautifullyinspiring</t>
  </si>
  <si>
    <t>pageantpositivity</t>
  </si>
  <si>
    <t>pageantgirl</t>
  </si>
  <si>
    <t>romualdaaa</t>
  </si>
  <si>
    <t>1595999746539688307_308174383</t>
  </si>
  <si>
    <t>"No one has the power to shatter your dreams unless you give it to them". -M. Greyson ❤️ That quote has been on my mind for the last couple of days... Everytime God puts a dream in your heart there will be people who will rise up and will try to bring negativity and doubt into your life. But keep on fighting and don't lose focus! 
Trust me, YOU are going to do GREAT THINGS in life if you are determined and if you put God first. Do not lose hope. 💎🙏🏾 #fighton #happysunday</t>
  </si>
  <si>
    <t>happysunday</t>
  </si>
  <si>
    <t>1596002489218755187_1509923943</t>
  </si>
  <si>
    <t>So TRUE. This past year life has made this very clear to me. 
#staystrong #keepongoing #prettyisrisky #friends #truefamily #truefriends #chronicpain #chronicillness #rheumatoiddisease #rheumatoiddiseasesucks #rheumatoidarthritiswarrior #ra #rawarriors #onelife #nobullshit #nothingisordinary #behappy #bebrave #embraceyourcrazy #embracethejourney</t>
  </si>
  <si>
    <t>rheumatoidarthritiswarrior</t>
  </si>
  <si>
    <t>nothingisordinary</t>
  </si>
  <si>
    <t>rawarriors</t>
  </si>
  <si>
    <t>chicka705</t>
  </si>
  <si>
    <t>1596009658626374688_1457946587</t>
  </si>
  <si>
    <t>So much truth right here! #ConsistencyIsKey #CantStopWontStop #KeepOnGoing #NoStoppingNow</t>
  </si>
  <si>
    <t>nostoppingnow</t>
  </si>
  <si>
    <t>danishoes21</t>
  </si>
  <si>
    <t>1596016304308677778_396755516</t>
  </si>
  <si>
    <t>Kakabeka Falls. Thunder Bay, ON.- #kakabekafalls #natureiscalling #canadianlandscape #thewestcoastadventure #chillin #noflexzone #keepongoing</t>
  </si>
  <si>
    <t>Kakabeka Falls Provincial Park</t>
  </si>
  <si>
    <t>canadianlandscape</t>
  </si>
  <si>
    <t>natureiscalling</t>
  </si>
  <si>
    <t>thewestcoastadventure</t>
  </si>
  <si>
    <t>dannu91</t>
  </si>
  <si>
    <t>1596017723443706899_230856208</t>
  </si>
  <si>
    <t>Life is tough, my darling, but so are you! #keepongoing #fortsätta #growingup #september #tattoo #newtattoowanted</t>
  </si>
  <si>
    <t>Pragser Wildsee</t>
  </si>
  <si>
    <t>newtattoowanted</t>
  </si>
  <si>
    <t>fortsätta</t>
  </si>
  <si>
    <t>you_quote.me_quote</t>
  </si>
  <si>
    <t>1596026261813926275_4628334360</t>
  </si>
  <si>
    <t>#inspirationalquotes #quotes #infinity #infinities #nolimits #gobig #dontstop #beyou #keepongoing #bookquotes #books #johngreen #thefaultinourstars</t>
  </si>
  <si>
    <t>johngreen</t>
  </si>
  <si>
    <t>1596028136615615971_5705167414</t>
  </si>
  <si>
    <t>How many assists will Steph have this season? I say 6.5 apg 👀  #Dubnation
-
-
-
-
-
-
-
-
-
-
-
-
-
-
-
-
-
-
-
-
-
-
-
-
-
-
-
-
-
-
-
-
-
-
-
-
-
-
-
-
 #StephGonnaSteph #Mvp #SC30 #KT11 #DG23 #CURRYMVP #KEEPONGOING #NEVERGIVEUP #WCF #WEST #WESTERNCONFERENCEFINALS #CHAMPS #DUBSFORCHAMPS #DUBS #ALWAYSBELIEVEINGOD #STEPHENCURRY #EVEN #NBA #2016CHAMPS #CHAMPIONS #LOCKIN #STEPH #SPLASH #SPLASHBROS  #like4like #like4follow #follow4follow</t>
  </si>
  <si>
    <t>1596031695962703213_216089260</t>
  </si>
  <si>
    <t>Happy Sunday..
What will you focus on this week? .
#divineorder #empoweringwomen #goals #growth #happy #inspiration #jamaicanlifecoach #lifecoach #lovemyjob #mindset #morethanenough #nofear #nicolewright #purpose #success #survivor #universe #nevertoolatetostartover #nevertoolatetobegin #standuptocancer #nevergiveup #keepongoing #believeinyourself #happy #lovemylife  #anthropologie #naturalhair #jamaicanlifecoach</t>
  </si>
  <si>
    <t>kayanne92</t>
  </si>
  <si>
    <t>1596033505771247102_44429698</t>
  </si>
  <si>
    <t>KEEP ON GOING💛💛
Happy Monday everyone, its a new week- lets go smash those goals! .
.
.
.
#mondaymotivation #keepongoing #youcandoit #littlebylittle #youwillgetthere #motivation</t>
  </si>
  <si>
    <t>youwillgetthere</t>
  </si>
  <si>
    <t>littlebylittle</t>
  </si>
  <si>
    <t>__miu_____miu__</t>
  </si>
  <si>
    <t>1596043370983442407_445969736</t>
  </si>
  <si>
    <t>Keep on moving little girl me 💋 Your journey have not just begun 🌸
#fighting #keepongoing #staystrong #staypositive</t>
  </si>
  <si>
    <t>1596044005849085721_40740215</t>
  </si>
  <si>
    <t>Don't let the holiday weekend derail you! It's ok to indulge in sweets or something not on your nutrition plan but don't let it be an all weekend affair! I'm all about the 80/20 way of life but you can't expect results if you completely derail. You got this!!</t>
  </si>
  <si>
    <t>whitley.rhonda</t>
  </si>
  <si>
    <t>1596045689679080860_4836223618</t>
  </si>
  <si>
    <t>#mydailyapron for #september32017 in #hamont available @knackeredmamas  #feelingthebreeze</t>
  </si>
  <si>
    <t>Hamilton, Ontario</t>
  </si>
  <si>
    <t>september32017</t>
  </si>
  <si>
    <t>feelingthebreeze</t>
  </si>
  <si>
    <t>hamont</t>
  </si>
  <si>
    <t>lettyideas</t>
  </si>
  <si>
    <t>1596047235504965210_2290173974</t>
  </si>
  <si>
    <t>Every storm comes to an end! Cada tormenta tiene su final! #storm #end #beginning #fears #outofcomfortzone #keepongoing #keepontrack #persevere #persistant</t>
  </si>
  <si>
    <t>Everglades-Alligator Alley</t>
  </si>
  <si>
    <t>ajamonet26</t>
  </si>
  <si>
    <t>1596073519060605410_5986766785</t>
  </si>
  <si>
    <t>#youareenough #beyourself #itsallgood #peace #keepongoing</t>
  </si>
  <si>
    <t>itsallgood</t>
  </si>
  <si>
    <t>spikeslady7</t>
  </si>
  <si>
    <t>1596077534326652063_305757231</t>
  </si>
  <si>
    <t>Can't believe that was almost 3 years ago now seeing @jamesmarstersof for the second time ever! #life #definingmoments #nevergiveup #keepongoing</t>
  </si>
  <si>
    <t>definingmoments</t>
  </si>
  <si>
    <t>dimekelz</t>
  </si>
  <si>
    <t>1596077700353651838_418603207</t>
  </si>
  <si>
    <t>Someone was trying to stop me while I wanted to get my 🔆day selfie!😀Who makes u feel happy?
#thinkingoutloud #positivequotes #positivevibes #edmlifestyle #vocalhouse #vocalhousemusic #ilovemusic #iloveelectronicmusic #songwriter #music #housemusic #justperfect #sexycolombiana #blondiesdoitbetter #keepongoing #iloveelectronicmusic #electronic #pop</t>
  </si>
  <si>
    <t>blondiesdoitbetter</t>
  </si>
  <si>
    <t>housemusic</t>
  </si>
  <si>
    <t>edmlifestyle</t>
  </si>
  <si>
    <t>mikejohncosmo</t>
  </si>
  <si>
    <t>1596088246511937093_1660763324</t>
  </si>
  <si>
    <t>#idk #neverwearhats #stillslayin #Chanel #skincare #keepsmeyoung #blessed #godisgood #keepongoing #keepongrowing #makeup #nomakeup</t>
  </si>
  <si>
    <t>neverwearhats</t>
  </si>
  <si>
    <t>stillslayin</t>
  </si>
  <si>
    <t>goliath.valeron</t>
  </si>
  <si>
    <t>1596089292571511575_4582525102</t>
  </si>
  <si>
    <t>after training session
#keepongoing #morning #mondayfunday #brooksrunning</t>
  </si>
  <si>
    <t>brooksrunning</t>
  </si>
  <si>
    <t>mondayfunday</t>
  </si>
  <si>
    <t>inversionjunkie</t>
  </si>
  <si>
    <t>1596101497123412652_208739034</t>
  </si>
  <si>
    <t>So hard to stay up when you've spent your energy trying to press. 
#keepongoing #questforpress
-
-
-
-
-
-
-
-
-
-
-
-
-
-
-
-
-
-
#handstandpress#puppypress#presshandstand#handstands#handstand#inversionjunkie#inversions#yogaflow#yoga#yogachallenge#yogagurl#yogapractice#yogaflows</t>
  </si>
  <si>
    <t>handstandpress</t>
  </si>
  <si>
    <t>inversions</t>
  </si>
  <si>
    <t>questforpress</t>
  </si>
  <si>
    <t>handstands</t>
  </si>
  <si>
    <t>makeupbylucyofficial</t>
  </si>
  <si>
    <t>1596111826478567114_403987578</t>
  </si>
  <si>
    <t>A bit of Monday inspo #makeupbylucyofficial #melbournemakeupartist #inspirationalquotes #mondayinspo #goals #liveyourdreams #keepongoing #keeponkeepingon</t>
  </si>
  <si>
    <t>mondayinspo</t>
  </si>
  <si>
    <t>melbournemakeupartist</t>
  </si>
  <si>
    <t>thesquatchallenge_meggs</t>
  </si>
  <si>
    <t>1596120882089061240_3997408524</t>
  </si>
  <si>
    <t>Sep 1- took a while to post this one... stretch marks have been apart of me since I was in fourth grade. On my breasts hips thighs. I was shown at a young age that stretch marks weren't beautiful it meant too fat or too big. I played basketball volleyball and other sports since the third grade up until high school. Im not guna lie I struggled with running up and down the court. I was definitely towards the back of the group rather than the front when it came to sprints. I blame it on my love for food haha. BUT now that I am trying to stay active and healthy I've realized that stretch marks are gorgeous. These scars tell my story and show my strength to pass by the mean remarks and ugly faces that dare to judge me because of these stretch marks #thesquatchallenge #3ksquatchallenge #stretchmarks #keepongoing</t>
  </si>
  <si>
    <t>thesquatchallenge</t>
  </si>
  <si>
    <t>3ksquatchallenge</t>
  </si>
  <si>
    <t>stretchmarks</t>
  </si>
  <si>
    <t>1596121360961593850_1551000842</t>
  </si>
  <si>
    <t>Oil and Steel 
___________________________ 
#millionaireimage #doitforyourself #betterme #beyourown #keeponkeepingon #workforwhatyouwant  #marketingmoment #marketingsolutions #encourageyourself #bethechangeyouwanttosee #youvegotthis #oilfieldlife #millionairequotes #inspirationalthoughts #positivepeople #americanbusiness #quoteme  #strategize #seemslegit #youdoyou #inspirationalpost #businessownership #businessisbusiness #keepongoing #selfconfidence #bewhoyouare #bewhatyouwanttobe #socialinfluencers #socialize"</t>
  </si>
  <si>
    <t>1596124853366122362_5944730818</t>
  </si>
  <si>
    <t>Never doubt yourself , you're special and important. Remember that , guys ! 💕
#inspirationalquotes #inspiration #motivationalquotes #motivation #quotes #love #family #friendship  #loveyourself #chaseyourdreams #liveyourdream #dontgiveup #keepongoing #youcandoit</t>
  </si>
  <si>
    <t>1596131878432001658_462344435</t>
  </si>
  <si>
    <t>Be the one who decided to go for it!
.
.
.
Just continue moving forward! Go to the direction of your dreams.
.
.
.
Have a productive Monday!💪👌👍😊
.
.
.
#Bepositive #positivemindset #livelifetothefull #seethegood #seethegoodineverything #believeyoucan #befearless #keeponmoving #keeponlearning #keepondoing #keepongoing #keeponbelieving #believeinyou #goodhabits #achieve #achieveyourdreams #achieveyourgoals #believeinyourdream #believeinyourselfie #keepthefaith #neverstoplearning #positiveattitude #positivemindset #positivequotes #positivevibes #positiveminds #trustandbelieve #trustyourgut #yesyoucan #neverstoptrying</t>
  </si>
  <si>
    <t>_k_e_l_e_v_r_a_</t>
  </si>
  <si>
    <t>1596132498205869622_5890662775</t>
  </si>
  <si>
    <t>#ithitme #oops #75mph #impact #1100mileslater #glasseverywhere #coveredinglass #nostopping #drivingatnight #toyota #fj #fjcruiser #itcouldalwaysbeworse #keepongoing</t>
  </si>
  <si>
    <t>itcouldalwaysbeworse</t>
  </si>
  <si>
    <t>fjcruiser</t>
  </si>
  <si>
    <t>75mph</t>
  </si>
  <si>
    <t>drivingatnight</t>
  </si>
  <si>
    <t>nikki_bradford13</t>
  </si>
  <si>
    <t>1596138087075654723_3610014386</t>
  </si>
  <si>
    <t>"Truly I tell you, if anyone says to this mountain, 'Go throw yourself into the sea,' and does not doubt in their heart but believes what they say will happen, it will be done for them." Mark 11:23 #faith #faithtomovemountains #mark1123 #lifeisajourney #godisgood #thefutureisbright #trustingod #keepongoing</t>
  </si>
  <si>
    <t>Radnor Lake State Park</t>
  </si>
  <si>
    <t>mark1123</t>
  </si>
  <si>
    <t>korramea</t>
  </si>
  <si>
    <t>1596142310780767839_5763662566</t>
  </si>
  <si>
    <t>#longday #keepongoing #labordayweekend #pink</t>
  </si>
  <si>
    <t>labordayweekend</t>
  </si>
  <si>
    <t>longday</t>
  </si>
  <si>
    <t>lmhx.draws</t>
  </si>
  <si>
    <t>1596170877271455313_4111600137</t>
  </si>
  <si>
    <t>Drawing while travelling... And slowing everyone down #artistsproblems #keepongoing #keepondrawing</t>
  </si>
  <si>
    <t>artistsproblems</t>
  </si>
  <si>
    <t>keepondrawing</t>
  </si>
  <si>
    <t>lashwrap</t>
  </si>
  <si>
    <t>1596183251517330383_1591762191</t>
  </si>
  <si>
    <t>2 things in life you'll never regret: being kind + working hard 🙌🏼💪🏼🔥 #nomoresomedays #lashwrap #quoteoftheday #bossbabe #lashextensions #lashartist #lashlife #workhard</t>
  </si>
  <si>
    <t>lovelashes</t>
  </si>
  <si>
    <t>nomoresomedays</t>
  </si>
  <si>
    <t>longlashes</t>
  </si>
  <si>
    <t>1596190240584796963_2053552003</t>
  </si>
  <si>
    <t>During our warming-up yesterday. Exact one year ago Tuurke did his first competition ever. Now we're starting 4 levels higher and preparing ourselves to go up another level! So proud of this horse 😍
.
.
.
.
#dressage #dressagehorse #dressagerider #competing #competition #success #winner #winners #keepongoing #horses #warmingup #potd #horsesofinstagram</t>
  </si>
  <si>
    <t>idanlainen</t>
  </si>
  <si>
    <t>1596194007355207073_3268325466</t>
  </si>
  <si>
    <t>Ready or not here we go 💪🏻
.
.
#hihatylösjahommiin #lastyear #teatherstudent #taideakatemia #apua #jännähiki #feelinglikeafreshman #neverready #neverwillbe #heartopen #getstarted #keepongoing #stepbystep #fightthefears #monday #mood (C) @oonaronja</t>
  </si>
  <si>
    <t>Taideakatemian Köysiteatteri</t>
  </si>
  <si>
    <t>neverready</t>
  </si>
  <si>
    <t>getstarted</t>
  </si>
  <si>
    <t>lastyear</t>
  </si>
  <si>
    <t>teatherstudent</t>
  </si>
  <si>
    <t>jeffreyaerobics</t>
  </si>
  <si>
    <t>1596195386694662023_418746164</t>
  </si>
  <si>
    <t>A new day a new start. Work it bitch. #gym #gymboy #gymlife #gymmotivation #fit #fitboy #fitness #fitnesslifestyle #fitnessmotivation #quoteoftheday #workforit #work #quote #storyofmylife #mylife #myjourney #success #roadlife #hardwork #keepongoing #keepingupwithjeffrey #jeffreyaerobics ❤️</t>
  </si>
  <si>
    <t>dana_kvas</t>
  </si>
  <si>
    <t>1596198070159211833_2159262403</t>
  </si>
  <si>
    <t>После Бородинской битвы
Реконструкция, 2017
Soldier after Borodino, 2017
#watercolor#borodino#bitva#afterfight#art#bebrave#drawing#drawingpeople#magicbrush#keepongoing #keepon #gogogo#soldier#france#reconstruction#historical#historyrepeated#costume#grenadier</t>
  </si>
  <si>
    <t>soldier</t>
  </si>
  <si>
    <t>france</t>
  </si>
  <si>
    <t>drawingpeople</t>
  </si>
  <si>
    <t>magicbrush</t>
  </si>
  <si>
    <t>1596201561843602277_276147820</t>
  </si>
  <si>
    <t>Dun give up if you still got energy ##runfast#nolimitforrun#keeponrunning#justdoit#runrunrun#running #runner#run#runner#keepongoing#keeponactive#workoutbeforework</t>
  </si>
  <si>
    <t>nolimitforrun</t>
  </si>
  <si>
    <t>workoutbeforework</t>
  </si>
  <si>
    <t>1596203356577367725_5781397138</t>
  </si>
  <si>
    <t>On the Camino
Good morning - have a wonderful start into the week! I love all the fresh and healthy vegetables. .
. 
#camino #onthecamino #encamino #caminodesantiago #stjamesway #jakobsweg #galicia #pilgrim with #breastcancer #metastaticcancer under #chemotherapy #keepongoing #neverquit #lifeisbeautiful #keeponmoving #trustyourself</t>
  </si>
  <si>
    <t>1596205098966202539_429150387</t>
  </si>
  <si>
    <t>We serve a big God who wants to do big things in our lives. We are created to live blessed and fulfilled. It’s time to start seeing things change for the better. Despite what the circumstances around you are looking like, you first have to see God at work in the middle of it all and look to Him. It’s time to stop looking at the problem and start seeing yourself blessed. It’s time to stop dwelling on negative reports and start seeing yourself healed and start seeing yourself filled with love and joy that you can express to others. You will succeed. You will find victory in everything you do. This is your time, yes for such a time as this. Remember Jesus is not a truth among many, He is the truth and with Him there is always a way, don't you give up and don't you let the world mold you in the wrong way, you stay strong and stand in Jesus Name. May you have a Blessed, Victorious and Great week. God bless you much 🙏 #NewWeek #MondayMotivation #HappyMonday #SpeakLife #LookToJesus #DontGiveUp #KeepOnGoing #JesusIsTheWay #Truth #Love #Joy #Healing #Pray #InJesusName #Healing #Faith #Hope #Victory #YouAreVictorious #Blessed #Devotion #Encouragement #TrustGod #SeekTheLord #YouAreBlessed #Stand #StayStrong  #ItsAllAboutJesus #YouAreLoved #JesusLovesYou</t>
  </si>
  <si>
    <t>1596211221040628198_4241579037</t>
  </si>
  <si>
    <t>If you think you're done, think again... #nevergiveup #neverstop #keepongoing</t>
  </si>
  <si>
    <t>elainepaj.dyosa</t>
  </si>
  <si>
    <t>1596212797787494907_729477042</t>
  </si>
  <si>
    <t>Milestones👌🏻👏🏻💪🏻 #keepongoing #keeponfire #benumber1 #diretsolang #diretsopa🤣</t>
  </si>
  <si>
    <t>Shakeys MCU</t>
  </si>
  <si>
    <t>diretsopa🤣</t>
  </si>
  <si>
    <t>keeponfire</t>
  </si>
  <si>
    <t>diretsolang</t>
  </si>
  <si>
    <t>benumber1</t>
  </si>
  <si>
    <t>1596216739813405150_222467592</t>
  </si>
  <si>
    <t>When you feel like quitting, think about why you started.
#September #Keepongoing #Dontstop #Dontwait #Justdoitwhatwewant #Notimetowaste</t>
  </si>
  <si>
    <t>Fitlife Gym Desa Pandan</t>
  </si>
  <si>
    <t>justdoitwhatwewant</t>
  </si>
  <si>
    <t>dontwait</t>
  </si>
  <si>
    <t>vroni_muc</t>
  </si>
  <si>
    <t>1596216983711778821_198803368</t>
  </si>
  <si>
    <t>Neue Woche, neues Glück!
#newweek #newgoals #monday #mondaymotivation  #durchhalten #keepongoing #movielover #favourite</t>
  </si>
  <si>
    <t>favourite</t>
  </si>
  <si>
    <t>movielover</t>
  </si>
  <si>
    <t>chrisjordan2313</t>
  </si>
  <si>
    <t>1596222894240645593_264365247</t>
  </si>
  <si>
    <t>Keeping that flame on 💪🔥 #hardworkpaysoff #keepongoing</t>
  </si>
  <si>
    <t>konsequent_ambivalent</t>
  </si>
  <si>
    <t>1596231473369905345_5955788576</t>
  </si>
  <si>
    <t>#erkältungstee #prophylaxe
Guten Morgen!:)
Ich bin noch nicht erkältet, aber es könnte kommen, deswegen versuche ich vor zu sorgen. 😁 
Heute soll ein sonniger Tag werden. Eigentlich muss ich mal wieder spazieren gehen. Manchmal habe ich so Phasen, da gehe ich fast jeden Tag, dann wieder gar nicht. Aber es tut immer gut. Ich hoffe, ich kann das heute irgendwie reinquetschen in meinen Tag.
Muss gleich erstmal zum Hausarzt und will meinen Entlassungsbericht aus der Klinik  holen, dann hab ich Therapie, das Gespräch für die Tagesklinik, dann zum Zahnarzt (prof. Zahnreinigung) und dann zum Training.🥊 Ich hoffe, Training geht mit meinem Knie. Sonst krieg ich ne Krise...😑🙈 Ich war Donnerstag schon nicht. Dadurch werde ich noch unausgeglichener und die Anspannung ist auch höher als mit Sport. Also mal hoffen.🙏
Was schon positiv an dem Tag ist: ich habe gerade ein neues Buch bestellt. Gebunden und runtergesetzt auf 6,99€! 😍 Dabei handelt es sich um einen neuen Teil der Alex Rider Reihe von Anthony Horowitz (falls das jemand kennt). Altersempfehlung 12-15 Jahre.🙄😂 Ich habe die früher so geliebt, deswegen musste ich das haben!😍😁 Freue mich schon drauf! 
Habt einen guten Start in die Woche!:) #book #alexrider #anthonyhorowitz #thalia #borderline #depression #recovery #depressed #bpd #bps #bpdrecovery #mentalhealthmatters #mentalhealth #mentalillnessrecovery #mentalillness #dbt #skills #suicideawareness #staystrong #keepongoing #life</t>
  </si>
  <si>
    <t>bps</t>
  </si>
  <si>
    <t>mentalillnessrecovery</t>
  </si>
  <si>
    <t>mrthechef</t>
  </si>
  <si>
    <t>1596237161970436191_3777416744</t>
  </si>
  <si>
    <t>Well; it has been a great trail run, rough jungle terrain and 98% humidity, for an heavy weight like me even the smallest elevation is a great challenge, and these 15 km had  definitely some serious up and few downs. I added 9 minutes on last year time, overall OK....but I should have done better! #trail #trailrunning #trailrun #thanyapura #kom #sports #running #keepongoing #corsa #phuket #47 #swimbikerun #jungle</t>
  </si>
  <si>
    <t>Thanyapura</t>
  </si>
  <si>
    <t>thanyapura</t>
  </si>
  <si>
    <t>corsa</t>
  </si>
  <si>
    <t>47</t>
  </si>
  <si>
    <t>eliiasayoub</t>
  </si>
  <si>
    <t>1596241387966338127_199245358</t>
  </si>
  <si>
    <t>Inspiration 😍
Made by @tony.elkington
________________________________________________
#product #work #buissnes
#productive #productdesign #creative #photoshop #entrepreneursofinstagram #entrepreneur #productivity #working #hustle  #hustler  #dream #nevergiveup #workspace #create #keepongoing #dreams #inspiration #inspiringpeople #sverige #graphicdesign #art #design #designer  #work #workaholic  #nature</t>
  </si>
  <si>
    <t>inspiringpeople</t>
  </si>
  <si>
    <t>productdesign</t>
  </si>
  <si>
    <t>1596241858760163159_199245358</t>
  </si>
  <si>
    <t>Product development 😘👌 Made by @tony.elkington
________________________________________________
#product #work #buissnes
#productive #productdesign #creative #photoshop #entrepreneursofinstagram #entrepreneur #productivity #working #hustle  #hustler  #dream #nevergiveup #workspace #create #keepongoing #dreams #inspiration #inspiringpeople #sverige #graphicdesign #art #design #designer  #work #workaholic  #nature</t>
  </si>
  <si>
    <t>1596244591181387464_199245358</t>
  </si>
  <si>
    <t>👌 Made by @tony.elkington
________________________________________________
#product #work #buissnes
#productive #productdesign #creative #photoshop #entrepreneursofinstagram #entrepreneur #productivity #working #hustle  #hustler  #dream #nevergiveup #workspace #create #keepongoing #dreams #inspiration #inspiringpeople #sverige #graphicdesign #art #design #designer  #work #workaholic  #nature</t>
  </si>
  <si>
    <t>susann_ga</t>
  </si>
  <si>
    <t>1596244904135130623_237442790</t>
  </si>
  <si>
    <t>Bon dia! Buenos dias! A por el lunes! #barcelona #barcelonagram #rambles #ramblas #ramblasdebarcelona #mosaic #joanmiro #joanmiromosaic #vida #live #walking #keepongoing #keeponwalking #nonstop #travelgram #ig_myshot #ig_spain #ig_barcelona #igersbcn #igersspain #igerscatalunya #colorful #colors #instaplace #instacolor #ig_color #instaphoto #travel_europe #igerscatalunya #igersvalles #igersmaresme @salirporbarcelona</t>
  </si>
  <si>
    <t>Les Rambles De Barcelona</t>
  </si>
  <si>
    <t>ramblas</t>
  </si>
  <si>
    <t>ramblasdebarcelona</t>
  </si>
  <si>
    <t>travel_europe</t>
  </si>
  <si>
    <t>1596259487042731929_5382411204</t>
  </si>
  <si>
    <t>The slimming world diary so far... Saturday was a washout but I'm going to keep the syns down this week to make up for it.. weigh in day tomorrow so only time will tell ... lots of fruit veg and speed items this week 🥗😬🍅🍗🌽🍠🥒🍉🍎🍓🍊 #slimmingworld #nosyns #swinstagram #keepongoing #ontrack #weekendtreat #foodoptimising #focus #bodybuildingmotivation #bodymagic #slimmingworldinspiration #slimmingworlduk #slimmingworlddiary #slimmingworldmeals #bodymotivation #healthyfood #healthyliving #wecanalldoit</t>
  </si>
  <si>
    <t>foodoptimising</t>
  </si>
  <si>
    <t>nosyns</t>
  </si>
  <si>
    <t>1596268236513248471_267746472</t>
  </si>
  <si>
    <t>Tartare lovers  #foodie#foodism#foodporn#foodlover#healthy#igermilano#igersitalia#milano#foodblogger#bloggerlife#tagsta#picoftheday#webstagram#fashiongram#instagood#instadaily#like4like#likeback#love#homemade#michelinstar#restaurant#italianfood#instagood#keepongoing</t>
  </si>
  <si>
    <t>Marcellino Pane e Vino</t>
  </si>
  <si>
    <t>igermilano</t>
  </si>
  <si>
    <t>1596273054459942974_5586814877</t>
  </si>
  <si>
    <t>I haven't been all bad lately, but I haven't been as on it as I should be 😐 Re-focusing today, gonna post everything I eat over the next week to help get me back in the zone. I have 5lbs to go until I reach my first mini target to lose 2st and I'm just gonna focus on that for now as sometimes the bigger picture is overwhelming. Happy Monday all, hope it's a good one 😘
#fooddiary #slimmingworld #sw #slimmingworldfood #slimmingworldjourney #health #happiness #selfimprovement #bethebestyou #keepongoing #nomorestartingover</t>
  </si>
  <si>
    <t>maemjules</t>
  </si>
  <si>
    <t>1596273177654170907_5344367517</t>
  </si>
  <si>
    <t>#nichtshinzuzufügen #travel #travelblogger #travelasmuchasyoucan #traveling #travelgram #poesie #sprüche #theworldisyours #theworldisbig #muchtosee #sea #ozean #camping #wildernessculture #lovetravel #befree #beach #sand #together #keepongoing #keeponmoving #freedom #dontforgettolive #waves #love 
@chesnacoleman</t>
  </si>
  <si>
    <t>sprüche</t>
  </si>
  <si>
    <t>ozean</t>
  </si>
  <si>
    <t>travelasmuchasyoucan</t>
  </si>
  <si>
    <t>1596274095509475874_4249248273</t>
  </si>
  <si>
    <t>Happy Monday all! I think this picture aptly describes how I'm feeling right now, EDS messes with my sleep cycle and I've been fighting with it for about 2 weeks to get it back to a good routine with less and less success. Today, I will run on tea - no one take my tea - I will not be nice if anyone touches my tea 👀 don't enjoy being sleep-deprived but sometimes having your sleep go all wacky is what you need for your body to realise it needs it. At least, that's what I'm hoping! Meanwhile *makes tea* #mondaymotivation thanks @sunnylux for the shot. #ehlersdanlossyndrome #potssyndrome @ehlersdanlosuk #paraclimber #climber #climbing_is_my_passion #muslim #hijab #latergram #amputee #chronicillness #tealover #teaaddict #prosthetics #cafestagram #cancersurvivor #sleeplessnights #needsleep #sleepdeprived #mondaymorning #needmybed #believeinyourself #struggle #yesican #keepongoing #keepcalmdrinktea #thisgirlcan #thisgirlcanclimb</t>
  </si>
  <si>
    <t>prosthetics</t>
  </si>
  <si>
    <t>1596275138265344239_183785074</t>
  </si>
  <si>
    <t>There will be light in all darkness 
#hope #keepongoing #faiht #light #love #instagay #keepittogether #god #churches</t>
  </si>
  <si>
    <t>churches</t>
  </si>
  <si>
    <t>keepittogether</t>
  </si>
  <si>
    <t>faiht</t>
  </si>
  <si>
    <t>1596278258240663734_5439440820</t>
  </si>
  <si>
    <t>I went out my comfort zone this morning and went to my session alone for the very first time. I'm proud of myself but also feeling very low and muddled which I can't seem to shake. I'm hoping it will just pass with the days activities, just to keep myself occupied now. I'm kind of disappointed that I just seem to be going around in circles, but I'm also feeling positive that I'm actually doing this now after so long of running away from this mind of mine. Happy Monday everyone. #mentalillness #mentalhealthwarrior #mentalhealthblogger #mentalhealthawareness #mindfulness #recoveryquotes #anxiety #depression #borderlinepersonalitydisorder #endthestigma #speakup #happymonday #recovering #staystrong #dealingwithit #keepongoing #mentalhealthadvocate #feelinglow #justanotherday #thinkpositive #positivity</t>
  </si>
  <si>
    <t>speakup</t>
  </si>
  <si>
    <t>1596294137598218723_277780257</t>
  </si>
  <si>
    <t>After 3 days being home sick, it was time to start to lift again. Got new program Sunday and now its focused on heavy lifts.
I felt I had been sick but it was better then expected. But Im excited, this is what I love to do ❤️ Sundays max
Squat 117,5 kg
Bench 77,5
Deadlift 140
#coachedbyzebssons #icaniwill #deadlift #feelingstrong #powerlifting #followyourdreams #challengeyourself #keepongoing #benchpress #nevergiveup #motivation #girlswholift #allkindofgains #squat #motmintoppform #strength #lifestyle #fitlife #tattoo #workhardorgohome #lettevekter #flagom #getfitordietrying #noexcuses #styrkelyft #lifelookingood #lifting #everydayislegday #sbd</t>
  </si>
  <si>
    <t>sbd</t>
  </si>
  <si>
    <t>1596299498093570305_1516203357</t>
  </si>
  <si>
    <t>Empecemos la semana con un té que te de fuerzas y te desintoxique del fin de semana! Uno de mis favoritos: el de #jengibre con lima, albahaca y si lo quieres endulzar un poco, ponle miel a tu gusto! (La libélula no es comestible) #listosparadespegue #fly #youcan #pilot #aircraft #vamos #tupuedes #move #keepongoing #beyou #bepositive #staypositive #smile #enjoy #workout #nolimits #flyadicted #flyholic #takeoff #landing #workhard #beready #change #staycool #yourock #flawless #staycalm</t>
  </si>
  <si>
    <t>takeoff</t>
  </si>
  <si>
    <t>1596300437820845581_5586814877</t>
  </si>
  <si>
    <t>Overnight oats and a latte for breakfast ☺️ 40g oats for my B choice, frozen raspberries and a Danone Light and Free yogurt. 1/2 of my A choice milk and 1 syn for a tsp of sugar in my latte ☕️ #fooddiary #slimmingworld #sw #slimmingworldfood #slimmingworldjourney #health #happiness #selfimprovement #bethebestyou #keepongoing #nomorestartingover</t>
  </si>
  <si>
    <t>1596301636963134000_3623406174</t>
  </si>
  <si>
    <t>Lovely spot 🌷 Chamonix, France
Photo by @sennarelax
.
.
.
.
.
.
.
.
#yoga4growth #leaveonlyleaves #moodygrams #travelmagazin #paradisedynasty #travelvlog #mountaingirls #vscocam #cloudporn #keepongoing #bestoftheday #sunset_rv #travelwithme #allthewayup #earthspirit #seeingtheworld #worldtravelguide #travelrussia #travelnevda #leavenworth #ecotravel #thinkoutsidethebox #paradisecoast #creativehappylife #paradisegarage</t>
  </si>
  <si>
    <t>yoga4growth</t>
  </si>
  <si>
    <t>thinkoutsidethebox</t>
  </si>
  <si>
    <t>chawki_amine</t>
  </si>
  <si>
    <t>1596303706348677348_5440342560</t>
  </si>
  <si>
    <t>#friends #beach #fun #summervibes #sunnyday #instaphoto #waves #lalafatna #keepongoing #waves #goldensand #sand #swiming #sunglasses #bluesunglasses #instagram #lalafatnabeach #surf</t>
  </si>
  <si>
    <t>meldie1</t>
  </si>
  <si>
    <t>1596306857881688686_143635147</t>
  </si>
  <si>
    <t>🍁🍂fall is in the air 👌🍂🦉my#fallstash #fall #seasonschange#falldecor#fallair #believe #keepongoing #houstonstrong</t>
  </si>
  <si>
    <t>falldecor</t>
  </si>
  <si>
    <t>fallstash</t>
  </si>
  <si>
    <t>seasonschange</t>
  </si>
  <si>
    <t>dietrichsson</t>
  </si>
  <si>
    <t>1596307296346415462_5725131182</t>
  </si>
  <si>
    <t>Just a lifequot......
#difficult #roads #often #lead #to #beutiful #destinations#in #life #lifequotes #photo #travel #doyourthing #dontbeaffraid #goon #keepongoing #photographer #text #belive #fight #in #life #fightingspirit 💯💪👊♥👍</t>
  </si>
  <si>
    <t>destinations</t>
  </si>
  <si>
    <t>often</t>
  </si>
  <si>
    <t>fightingspirit</t>
  </si>
  <si>
    <t>difficult</t>
  </si>
  <si>
    <t>magicmomentum</t>
  </si>
  <si>
    <t>1596310877073376135_3255088711</t>
  </si>
  <si>
    <t>🌈🚚✨ #takemetoparadise#takemetogagaland#gagaland#rainbow#rainbowland#zen#zenfamily#travel#hippie#hippiestyle#ontheroad#soapbubble#love#smile#keepongoing#instalove#instagood#instadaily#picoftheday</t>
  </si>
  <si>
    <t>rainbowland</t>
  </si>
  <si>
    <t>gagaland</t>
  </si>
  <si>
    <t>_nicole.christine_</t>
  </si>
  <si>
    <t>1596311759050858768_1652638160</t>
  </si>
  <si>
    <t>Hello monday! Have almost reached my #pdironx with a big smile. It comes closer to meeeee! #progress
.
.
.
.
#streetworkout #calisthenic #streetpole #polefitness #poledance #humanflag #core #fitness #workout #bnw #motivation #fitspo #active #happygirl #polishgirl #germangirl #keepongoing #holidays #summer #traveling #wanderlust</t>
  </si>
  <si>
    <t>Baden-Württemberg, Germany</t>
  </si>
  <si>
    <t>streetworkout</t>
  </si>
  <si>
    <t>pdironx</t>
  </si>
  <si>
    <t>polishgirl</t>
  </si>
  <si>
    <t>1596313736138538284_297558307</t>
  </si>
  <si>
    <t>GM😁🌅"Do what you can, with what you've got where you are."- Theodore Roosevelt.  Sooo two months have past, summer almost gone and today I start my real vacations with my hubby and kiddos, 15 days of relaxing, enjoying to the fullest our little ones before school starts.  I'm very happy with my fitness routine I had, I worked with what I had available, resistance bands and a beautiful beach road to run every day.  I didn't miss the gym as bad as I thought and the benefits of running every day are truly amazing.  So I will keep encouraging moms out there to work out no matter what, it's a matter to find the time to do it! I will be OFFLINE in the fitness aspect but I will be back en 15 days energized and ready to rock the iron paradise!! Until then I will keep posting motivational stuff as I think sending good vibes to you all makes this world a little better! SEE YAAAAAAAA running shoes😢🤣😘! The body needs a little vacation as well😉! #free #fitmom #fitmama #fitgirl #fitness #fitnessaddict #runner #mamaenforma #mamacorriendo #keeptrying #keepmoving #keepstrong #keepongoing #myanchor #mypassion #myhappyplace #vacationtime #vacationmode</t>
  </si>
  <si>
    <t>vacationtime</t>
  </si>
  <si>
    <t>braqus</t>
  </si>
  <si>
    <t>1596319180638300890_347437977</t>
  </si>
  <si>
    <t>If we all focus on our dreams we will achieve them. If you are focused you get the things you want...so be #focused !
#Focus #hustle #workhard #idea #entrepreneur #keepongoing #strongmind #braqus #work</t>
  </si>
  <si>
    <t>1596322749948944398_183785074</t>
  </si>
  <si>
    <t>In every room 
#light #hope #love #keepittogether #instagay #keepongoing</t>
  </si>
  <si>
    <t>poprokkids</t>
  </si>
  <si>
    <t>1596330489665256892_5461557756</t>
  </si>
  <si>
    <t>New ideas, new songs 💥🔜
#comingsoon #newsongs #recordingmusic #PopRokKids #youngmusicians #musicschool #PopRokSkola #Liepāja #keepongoing #music</t>
  </si>
  <si>
    <t>Liepājas POP/ROK SKOLA</t>
  </si>
  <si>
    <t>liepāja</t>
  </si>
  <si>
    <t>newsongs</t>
  </si>
  <si>
    <t>1596346972238716499_234364940</t>
  </si>
  <si>
    <t>Huhu 🤗🤗 Hälfte vom 💩-Montag schon um 😁 heute Mittag gibt's mal Klassiker 😄 Tomate Mozzarella 😍😍 schönen Nachmittag euch allen 🐛🐛🙌🏼🙌🏼🐛.
.
.
.
.
#lunchtime #healthyfood #delicious #fitnesslifestyle #schmackofatz #caprese #lowfat #mozzarella #mittagspause #freshfood #foodporn #tomatomozzarella #leckerschmecker #lecker #abnehmen2017 #gettingfit #keepongoing #mittagessen #tastyfood #tomato #foodlove #simplefood #healthyeating #gesundessen #mondaymood #lowcarb #foodies #healthyliving #staymotivated #healthychoices</t>
  </si>
  <si>
    <t>zalkab_</t>
  </si>
  <si>
    <t>1596351965330652047_690145355</t>
  </si>
  <si>
    <t>I keep hearing 🎧 ▪️▪️▪️
"Every rose has its thorn, just like every night has its dawn, and... Just like every cowboy sings his sad, sad song.... 🤠 " ▪️▪️▪️
I think observing nature shows really well the contrasts and how all pluses have its minuses and all the beauty comes with a monstrosity too. The harsh underbrush of Cres, also produces a beautiful flower 🌸, so once again, it's all about the balance. In nature, life and business. Accepting and embracing the highs and lows, the ups and downs, the good, bad, ugly and loving, that's my real, unplugged version of life ▪️▪️▪️▪️🤞
#Monday #mondayfunday #mondaymotivation #morningstart #morningwalk #morningthoughts #life #lifehacks #lifespeaks #opposites #perception #mindsetmatters #mindshift #balance #keeponpushing #keepongoing #womeninbiz #femmepreneurs #LIFEworking #enjoylife #LiveLife 🤞</t>
  </si>
  <si>
    <t>opposites</t>
  </si>
  <si>
    <t>lifespeaks</t>
  </si>
  <si>
    <t>1596366445294272576_5439440820</t>
  </si>
  <si>
    <t>Cut out toxic people. #youarevalid #itsokaytonotbeokay #toxocpeople #positivity #positivevibes #positivequotes #endthestigma #borderlinepersonalitydisorder #recoveryquotes #mindfulness #anxiety #depression #stigmafighter #mentalhealthwarrior #mentalhealthblogger #mentalhealthawareness #mentalhealthadvocate #speakup #dontcarewhatpeoplethink #keepongoing</t>
  </si>
  <si>
    <t>skyroki</t>
  </si>
  <si>
    <t>1596370425032850094_1563828044</t>
  </si>
  <si>
    <t>Do what you love! #highlight #highlife #cyclinglife #cyclingpics #igslovenia #igposocje #wearebasso #polkadotjersey #bassobikes #iamspecialized #noshortcuts #nolimits #keepongoing #dream #trainforit #nevergiveup</t>
  </si>
  <si>
    <t>bassobikes</t>
  </si>
  <si>
    <t>igposocje</t>
  </si>
  <si>
    <t>highlight</t>
  </si>
  <si>
    <t>1596370873615164239_2129605436</t>
  </si>
  <si>
    <t>Gorgonzola fylld lax med färska fikon! Serveras med en tomat &amp; rödlökssallad i balsamvinäger #healthyfood #ulrikaskickstart #kickstart #kickstart2017 #livinghealthy #måbra #nukörvi #keepit💯#hälsosammat #instafood #foodinspo #keepongoing #keepitup #foodporn #wellness #hälsa #kostrådgivareulrikadavidsson #omega3 #lågkolhydratkost #lowcarb #lowcarbfood</t>
  </si>
  <si>
    <t>kostrådgivareulrikadavidsson</t>
  </si>
  <si>
    <t>keepit💯</t>
  </si>
  <si>
    <t>hälsa</t>
  </si>
  <si>
    <t>oezzys_artdream</t>
  </si>
  <si>
    <t>1596372467986649233_323432823</t>
  </si>
  <si>
    <t>New in🛍 Nike sports wear 😏just do it (don't mind my dirty mirror😂) #fitnessmotivation #lifestyle #keepongoing #weightlifting</t>
  </si>
  <si>
    <t>functional_ls</t>
  </si>
  <si>
    <t>1596372699419438664_1649004959</t>
  </si>
  <si>
    <t>Corporate fitness!
Do You want more energy? 
Fun, working On your posture, burn-out prevention and much more benefits?! Ask here for more info!
#corporatefitness#posture#fun#team#enterprise#bedrijfsfitness#bootcamp#lifestyle#personaltrainer#gethealthy#stayhealthy#core#grouptraining#functionaltraining#outdoor#goals#keepongoing#burnout#energy#wayoflife#move#movement#clients#sittingisthenewsmoking#balance</t>
  </si>
  <si>
    <t>Flemish Region</t>
  </si>
  <si>
    <t>functionaltraining</t>
  </si>
  <si>
    <t>posture</t>
  </si>
  <si>
    <t>grouptraining</t>
  </si>
  <si>
    <t>1596373261642259232_5586814877</t>
  </si>
  <si>
    <t>Snacking on a speedy nectarine ☺️ #fooddiary #slimmingworld #sw #slimmingworldfood #slimmingworldjourney #health #happiness #selfimprovement #bethebestyou #keepongoing #nomorestartingover</t>
  </si>
  <si>
    <t>1596374487385110575_4655478335</t>
  </si>
  <si>
    <t>Feel positive, make a wonderful appearance and good things will come to you 💝💓💞💗⚭
#loveyourselffirts #positivethinking #letnegativethoughtsgo #keepongoing</t>
  </si>
  <si>
    <t>letnegativethoughtsgo</t>
  </si>
  <si>
    <t>loveyourselffirts</t>
  </si>
  <si>
    <t>barbaragandolfi_andrea</t>
  </si>
  <si>
    <t>1596379422956969405_4800583413</t>
  </si>
  <si>
    <t>#europe #travel #starbucks #photo #oldbuilding #amazing #instagood #keepongoing #sun #city #friends #summer2017</t>
  </si>
  <si>
    <t>Europe</t>
  </si>
  <si>
    <t>starbucks</t>
  </si>
  <si>
    <t>oldbuilding</t>
  </si>
  <si>
    <t>becky.raw</t>
  </si>
  <si>
    <t>1596385161518719451_2050919242</t>
  </si>
  <si>
    <t>Bbq Birthday 
#goodtimes #keepongoing #stayingstrong #friends #bbq #birthday</t>
  </si>
  <si>
    <t>bbq</t>
  </si>
  <si>
    <t>girlwithoutthename</t>
  </si>
  <si>
    <t>1596385226842288682_5905803551</t>
  </si>
  <si>
    <t>"If you're walking down the right path and you're willing to keep walking, eventually you'll make progress" - Barack Obama</t>
  </si>
  <si>
    <t>weloveaustria</t>
  </si>
  <si>
    <t>happyholidays</t>
  </si>
  <si>
    <t>welovevienna</t>
  </si>
  <si>
    <t>loveaustria</t>
  </si>
  <si>
    <t>loevankanart</t>
  </si>
  <si>
    <t>1596388046328436520_5821260333</t>
  </si>
  <si>
    <t>Work in progress: Federico. Tango sketch, pencil on paper 34x32🖌️ #tangodancing #tangoart #pencilonpaper #keepongoing</t>
  </si>
  <si>
    <t>pencilonpaper</t>
  </si>
  <si>
    <t>tangodancing</t>
  </si>
  <si>
    <t>tangoart</t>
  </si>
  <si>
    <t>hope4urheartfailure</t>
  </si>
  <si>
    <t>1596390028379738832_4461968208</t>
  </si>
  <si>
    <t>September is #BCAM !! Myeloproliferative Neoplasm is a rare cancer... a form of chronic leukemia ... which means it lingers on for years ... unlike acute leukemia , a progressive form.  I am blessed that I have ET ... ( if you got to get cancer, I prefer this one 😊) .. slow type of rare cancer &amp; expect  to live a fairly "normal" life ... taking Hydroxyurea ( oral Chemo) to keep my lab counts as close to normal as possible!! 😊 Plavix helps to prevent blood clots ... which is a serious symptom of ET.  Sure, I get tired quickly ... is it part of ET yes &amp; part of the #heartfailure plus I am 67 ... 😊 !
When I get tired I rest ... but I do not quit!!! Life is good!! #chronicillness #maculardegeneration #bloodcancer #mpnwarrior #MPNVoice #hypertension #osteoarthritis #kneepain #keeponsmiling #symptomsarereal #lifeisgood #keepongoing ❤️</t>
  </si>
  <si>
    <t>symptomsarereal</t>
  </si>
  <si>
    <t>bcam</t>
  </si>
  <si>
    <t>mpnvoice</t>
  </si>
  <si>
    <t>kneepain</t>
  </si>
  <si>
    <t>1596393440520721018_1349565740</t>
  </si>
  <si>
    <t>My Morning Glory story..The Great Southeast Asia Torch Run 2017 Challenge has completed @ Macritchie Reservoir. 👍😎
#endurance #focus #motivation #fitness #fitnessjourney #beastmode #whyirace #bemorehuman #naturerun #runforlife #keepongoing #seagames2017 #2xu #asian #gopro #goprooftheday #samsung #singapore #com.sg</t>
  </si>
  <si>
    <t>MacRitchie Reservoir</t>
  </si>
  <si>
    <t>com</t>
  </si>
  <si>
    <t>1596394270147686109_188049176</t>
  </si>
  <si>
    <t>@'what a sunset to describe my feelings! #sunset #missingmoments #keepongoing #staypositive #letsworkfor2017</t>
  </si>
  <si>
    <t>Sultan Abdul Halim Muadzam Shah Bridge</t>
  </si>
  <si>
    <t>missingmoments</t>
  </si>
  <si>
    <t>pei_wen0302</t>
  </si>
  <si>
    <t>1596395860307111866_1115382551</t>
  </si>
  <si>
    <t>Sometimes,"later" becomes "never".
#xlater
#xquit 
#keepongoing</t>
  </si>
  <si>
    <t>xquit</t>
  </si>
  <si>
    <t>xlater</t>
  </si>
  <si>
    <t>rhinos_12</t>
  </si>
  <si>
    <t>1596396025126729285_1454633393</t>
  </si>
  <si>
    <t>#keepongoing #workout #nopainnogain #training #sagliklibeslen #vipsports #gym #gains #strenghttraining #motivation #teamwork #gymshark</t>
  </si>
  <si>
    <t>EFOR Fitness &amp; Wellness</t>
  </si>
  <si>
    <t>strenghttraining</t>
  </si>
  <si>
    <t>sagliklibeslen</t>
  </si>
  <si>
    <t>manswok</t>
  </si>
  <si>
    <t>1596402128787450712_5792506778</t>
  </si>
  <si>
    <t>Hope everyone had a great summer, and you're all ready and prepared for school it's gone so fast. But it's time to go back to school keep trying keep believing and keep learning
#youngminds #school #getready #highschool #manswok #summer #backtoschool #learn #meme #memes #keepongoing #enjoy #teacherspet #bye #funtimes #frasi #screen #make #fun #funny #road #good #nice #whoshappy #like4like #apples #resting #parents #uk #books</t>
  </si>
  <si>
    <t>Mans Wok Mossley</t>
  </si>
  <si>
    <t>1596403531219547991_1376527376</t>
  </si>
  <si>
    <t>One of my favorite picture from this trip! 🌍🌎🌏🌍🌎 #train #bolivia #southamerica #polishmafia #polishgirl #blondehair #victoriassecret #smile #expedition #explore #tinkerbell #skyporn #ontheroad #keepongoing #aroundtheworld</t>
  </si>
  <si>
    <t>Bolivia</t>
  </si>
  <si>
    <t>southamerica</t>
  </si>
  <si>
    <t>expedition</t>
  </si>
  <si>
    <t>bolivia</t>
  </si>
  <si>
    <t>1596405168500177254_5944730818</t>
  </si>
  <si>
    <t>Don't let anyone tell you what you can and can't do. You can do it , guys ! 💪
#inspirationalquotes #inspiration #motivationalquotes #motivation #quotes #love #family #friendship #loveyourself #beyourself #chaseyourdreams #liveyourdream #dontgiveup #keepongoing #youcandoit</t>
  </si>
  <si>
    <t>1596405689952050798_5705167414</t>
  </si>
  <si>
    <t>The only trophy that matters 🏆  #Dubnation
-
-
-
-
-
-
-
-
-
-
-
-
-
-
-
-
-
-
-
-
-
-
-
-
-
-
-
-
-
-
-
-
-
-
-
-
-
-
-
-
 #StephGonnaSteph #Mvp #SC30 #KT11 #DG23 #CURRYMVP #KEEPONGOING #NEVERGIVEUP #WCF #WEST #WESTERNCONFERENCEFINALS #CHAMPS #DUBSFORCHAMPS #DUBS #ALWAYSBELIEVEINGOD #STEPHENCURRY #EVEN #NBA #2016CHAMPS #CHAMPIONS #LOCKIN #STEPH #SPLASH #SPLASHBROS  #like4like #like4follow #follow4follow</t>
  </si>
  <si>
    <t>1596406947941379860_4249248273</t>
  </si>
  <si>
    <t>Well here's some motivation for you! Yesterday @bella_the_paraclimber and I decided to have a climbing session together and being crazy as we are, we decided to do a partner boulder - one small detail - we both used our little arms to boulder with and used our normal hands to holds hands with 😂😂 insane but lots of fun! Thankfully @thecastleclimbingcentre had some boulders we could do this insanity on 😁 love climbing and training there! 5 days to Round 1 of the Paraclimbing series - psyched to be once again climbing with and against someone who I see as a role model and friend. Thank you Bella for being you 🤗 @thisgirlcanuk @thisgirlcanclimbing @teambmc #paraclimber #paraclimbing #climber #climbing #climbing_is_my_passion #bouldering #training #competition #friends #inspiration #rolemodel #mondaymotivation #motivation #amputee #believeinyourself #muslim #hijab #ehlersdanlossyndrome #cancersurvivor #excited #yesican #keepongoing #progress #outofmycomfortzone #noboundaries #footwork #determination #dontgiveup</t>
  </si>
  <si>
    <t>nickilaborie</t>
  </si>
  <si>
    <t>1596411722118173729_3870994</t>
  </si>
  <si>
    <t>So lucky to call this man my dad and best friend. Taught me to work hard, play hard, dream big - and always go for it! 50yrs of hard work and he is now living life exactly the way he wants and I can't say I know someone more deserving. I've lived the ups and the downs growing up watching him build his company and it's truly an inspiration (nowadays) to see someone who worked so hard for so many decades, facing many challenges and hardships  now live life to the fullest and be truly happy. So well deserved and a great lesson to all - success doesn't happen overnight and it takes hard work and dedication! Looking good mr. @raylaborie_2015 !! #workhardplayhard #workethicspeaksforitself #achievements #entrepreneurlife #daddysgirl #inspiration #nevergiveup #noregrets #keepongoing #prouddaughter #myinspiration #mydad</t>
  </si>
  <si>
    <t>achievements</t>
  </si>
  <si>
    <t>myinspiration</t>
  </si>
  <si>
    <t>prouddaughter</t>
  </si>
  <si>
    <t>kispok98</t>
  </si>
  <si>
    <t>1596413125959571083_758590031</t>
  </si>
  <si>
    <t>European Championships 5th place. Such a great memory, but also a great experience. #firstyearU23 #atleastwemadeit #thankyou #team #dontgiveup #keepongoing #rowing #rudern #evezés  #végremegvananémetmez #kruswicza #eu23ch #2017</t>
  </si>
  <si>
    <t>rudern</t>
  </si>
  <si>
    <t>végremegvananémetmez</t>
  </si>
  <si>
    <t>firstyearu23</t>
  </si>
  <si>
    <t>1596415147069164348_5586814877</t>
  </si>
  <si>
    <t>Ham and boiled egg salad with freshly grilled corn 🌽 2 syns for a tbsp of Pizza Express house light salad dressing 👌🏻 #fooddiary #slimmingworld #sw #slimmingworldfood #slimmingworldjourney #health #happiness #selfimprovement #bethebestyou #keepongoing #nomorestartingover</t>
  </si>
  <si>
    <t>moneey_ahmed</t>
  </si>
  <si>
    <t>1596416273793601989_3178108295</t>
  </si>
  <si>
    <t>Throw back to the days of no beard and no moustache.. 4 years apart
#young #youngboy #motivation #bigdreams #university #softwareengineer #coder #nothingtoloose #programming #beard #nust #improveyourself #keepongoing #beardedmen #moustache #changeisgood</t>
  </si>
  <si>
    <t>youngboy</t>
  </si>
  <si>
    <t>moustache</t>
  </si>
  <si>
    <t>improveyourself</t>
  </si>
  <si>
    <t>falconiadri</t>
  </si>
  <si>
    <t>1596416912693244914_1207652230</t>
  </si>
  <si>
    <t>"Shoot for the moon. Even if you miss, you'll land among the stars." Brian Littrell. 📷 Credits: El Naniiii @danielelmimo
Lindo lunes a todos!! 😄
#lifequotes #believe #chaseyourdreams #sundayfunday #bluesky #sunnyday #moon #moonlover #shinelikethemoon #girlpower #smile #lookup and #keepongoing 😊💛🌼</t>
  </si>
  <si>
    <t>Parque Bicentenario</t>
  </si>
  <si>
    <t>lookup</t>
  </si>
  <si>
    <t>1596420486936547987_279512262</t>
  </si>
  <si>
    <t>Только ради кофе с этой женщиной я могла приделав домой и раздевшись, снова одеться и побежать в метро, теряя на пути старый студак, а вместе с ним карту и тройку😩 лечим мою грустную грусть кофе со вкусом арахиса (это воронка на Бразилии) и мороженной.
.
#loveinmoscow #coffee #coffeecup #coffeetime #coffeeplace #livy #lifeex #lifeex #livealittle #liveauthentic #livethelittlethings #keepcalm #keepongoing #keeponwalking #vsco #vibes #vscocam #daily</t>
  </si>
  <si>
    <t>Даблби на Сретенке 26/2</t>
  </si>
  <si>
    <t>melis_toni</t>
  </si>
  <si>
    <t>1596422222364217994_51949472</t>
  </si>
  <si>
    <t>Portuguese Chicken with Chilli Sauce and Fresh Garden Salad 😋 🌶🍗 #healthyeating #healthydinner #endodiet #goodbyeendometriosis #thanksmum #feelinggood #keepongoing #positivehealing</t>
  </si>
  <si>
    <t>endodiet</t>
  </si>
  <si>
    <t>positivehealing</t>
  </si>
  <si>
    <t>feelinggood</t>
  </si>
  <si>
    <t>goodbyeendometriosis</t>
  </si>
  <si>
    <t>kabuki_makeup_ritaamorim</t>
  </si>
  <si>
    <t>1596422570357798555_2406986215</t>
  </si>
  <si>
    <t>Dou por mim a pensar que Setembro é a minha passagem de ano! É neste mês que tudo recomeça: nova vaga de trabalho, ideias, novidades, projectos, pessoas, inspiração...
Nós por cá já vamos na 7a Temporada. 
7 é um número especial, certo? 
I love it &lt;3
#newsesaon #inspiração #keepongoing #newbeginnings</t>
  </si>
  <si>
    <t>inspiração</t>
  </si>
  <si>
    <t>newsesaon</t>
  </si>
  <si>
    <t>1596429474173636330_2317517565</t>
  </si>
  <si>
    <t>Jeg kan godt mærke mine ben i dag efter gårsdagens løbetræning på Stige Ø😅💃🏋🏼‍♀️🏃🏆 •••
#mortentillitzdk  #whatwouldbeyoncedo #toldyouso #tropådet #personligtræner #personaltrainer #cycling #Cykling #styrketræning #løb #Svømning #Swim #running #stronger #personligtræner #mitodense #fitfam #ﬁtfamdk #actionequalsresults #handlingskabersucces #helkropstræning #fullbody #SunRiceClubbyMortenTillitzDK #mentalpause #blivved #keepongoing #styrketræning #painfree #smertefri #søvn #sleep #mitodense</t>
  </si>
  <si>
    <t>sexybabe_0125</t>
  </si>
  <si>
    <t>1596432150458970496_4195735276</t>
  </si>
  <si>
    <t>If you only knew how much those little moments with you really mattered to me .
😁😁 😮🙁🙁😯😯😐😐😛😘😘😘😍 #TheWho?? #ImSorry #instaSmile #KeepOnGoing  #HappyKiddo #itaiNe #Friendship</t>
  </si>
  <si>
    <t>Central Command, Camp Lapulapu, Cebu City</t>
  </si>
  <si>
    <t>instasmile</t>
  </si>
  <si>
    <t>imsorry</t>
  </si>
  <si>
    <t>happykiddo</t>
  </si>
  <si>
    <t>thewho</t>
  </si>
  <si>
    <t>cafemontepeque</t>
  </si>
  <si>
    <t>1596439612476554631_1948639130</t>
  </si>
  <si>
    <t>Eine Tasche voll Glück. #kaffee #familybusiness #delivery #retail #crema #singleorigin #purearabica #guatemala #filtercoffee #clearroast #barista #baristalife #beans #kaffeezeit #slowfood #organic #startups #frischgeröstet #specialitycoffee #label #color #happymonday #work #keepongoing #coffeegram #coffeegoals #changemaker #fürdich #züri #zürich</t>
  </si>
  <si>
    <t>Stadt Zürich</t>
  </si>
  <si>
    <t>retail</t>
  </si>
  <si>
    <t>color</t>
  </si>
  <si>
    <t>purearabica</t>
  </si>
  <si>
    <t>clearroast</t>
  </si>
  <si>
    <t>coffeegoals</t>
  </si>
  <si>
    <t>danhilltravel</t>
  </si>
  <si>
    <t>1596441566024355273_4769469027</t>
  </si>
  <si>
    <t>Keep on climbing that mountain.. #keepongoing #mtpiper</t>
  </si>
  <si>
    <t>Mount Piper</t>
  </si>
  <si>
    <t>pumped</t>
  </si>
  <si>
    <t>mtpiper</t>
  </si>
  <si>
    <t>getoutthere</t>
  </si>
  <si>
    <t>a1exnekrasov</t>
  </si>
  <si>
    <t>1596443632817252701_2245485112</t>
  </si>
  <si>
    <t>Egal ob Asphalt oder Gelände, es bleibt ja die Lust immer am Ende! Mit @nick_vorotnik
#running #mywaytorest #keepongoing #2половинки #2halfs #runninggirl #laufen #halfmarathon #halbmarathon</t>
  </si>
  <si>
    <t>mywaytorest</t>
  </si>
  <si>
    <t>2половинки</t>
  </si>
  <si>
    <t>2halfs</t>
  </si>
  <si>
    <t>dreams2bdone</t>
  </si>
  <si>
    <t>1596447144691548813_286714525</t>
  </si>
  <si>
    <t>HI MONDAY✌ #wrongDate this wknd ? #keepongoing #TeamStrong #KeepUp #ChinUp #StandardsHigh</t>
  </si>
  <si>
    <t>wrongdate</t>
  </si>
  <si>
    <t>standardshigh</t>
  </si>
  <si>
    <t>annemarilalu</t>
  </si>
  <si>
    <t>1596449927503177191_504233789</t>
  </si>
  <si>
    <t>Shine! Have a great week! 😀🔆👍#shine #shineon #lifeisgood #keepongoing #keepon #newweek #newweeknewgoals #goals❤️ #greatweek #colours #instaflowers #pinkandblue #picoftheday #picofday</t>
  </si>
  <si>
    <t>shineon</t>
  </si>
  <si>
    <t>goals❤️</t>
  </si>
  <si>
    <t>1596450269356663085_540758905</t>
  </si>
  <si>
    <t>S L A Y ・・・
#rajujohalmusic #inwords #slay #pray #blessed #blessedwiththebest #dreamandbelieve #dreams #keepongoing #ontothenextone #allinthewords #mylife #music #yvr #hothotjalebis</t>
  </si>
  <si>
    <t>blessedwiththebest</t>
  </si>
  <si>
    <t>khaobowmeow</t>
  </si>
  <si>
    <t>1596452177564364047_199130562</t>
  </si>
  <si>
    <t>When you get that much needed head massage....❣️🐶
.
#dogsofinstagram #dogstagram #instadogs #dogslife #adoptdontshop #adopt #straysarecool #straysarethebest #munchikin #massage #keepongoing #dontstop</t>
  </si>
  <si>
    <t>massage</t>
  </si>
  <si>
    <t>instadogs</t>
  </si>
  <si>
    <t>straysarethebest</t>
  </si>
  <si>
    <t>ariel_princess11</t>
  </si>
  <si>
    <t>1596452490323596270_237424160</t>
  </si>
  <si>
    <t>Messages❤ #riseabove #everywhere #keepongoing #dontgiveup #study #university #stress #instabook #instamessages #always</t>
  </si>
  <si>
    <t>everywhere</t>
  </si>
  <si>
    <t>instamessages</t>
  </si>
  <si>
    <t>sweat_with_nyq</t>
  </si>
  <si>
    <t>1596458442594309193_5869461526</t>
  </si>
  <si>
    <t>Even though I've been feeling stuck for last two weeks and not seeing any progress, I'll keep on going 😎 #transformation #fitness #lifestyle #bbgcommunity #health #healthyeating #healthy #bbg #bbgprogress #kaylasarmy #fitspo #fitnessmotivation #keepongoing #goals #daisiesbody</t>
  </si>
  <si>
    <t>Pretoria, South Africa</t>
  </si>
  <si>
    <t>bbgprogress</t>
  </si>
  <si>
    <t>1596459251323279060_3115132128</t>
  </si>
  <si>
    <t>Boomerang Fun! Here are a couple of my Instagram Stories! First one was this morning 💪🏽 making a silly face 🙃 be proud of any progress you made so far! Keep on going 💪🏽 #7amgym
•
•
•
•
•
•
•
•
•
•
•
•
#labordayweekend #behappy #bomerang #instagood #instastories #beproud #progress #weightlossjourney #weightloss #buildingmuscles #gym #gymlife #healthygirl #healthylifestyle #goofygirls #makingthebest #oftoday #meetingnewpeople #fitnesspage #crossfit #bodybuildinglife #bodybuildingmotivation #positivevibes #keepongoing #transformation #trainingday #nomatterwhat #nowfamilytime</t>
  </si>
  <si>
    <t>meetingnewpeople</t>
  </si>
  <si>
    <t>instastories</t>
  </si>
  <si>
    <t>1596462661311052605_229875516</t>
  </si>
  <si>
    <t>The other morning when I did my morning jog but the app was not recording...happie to have completed 4K still...sometimes apps jus have with accountability. Hang in there n keep on pushing!! #throwback #healthy #lifestyle #living #liveitup #asics #nimbus18 #morning #jog #motivated #determined #keepongoing #sgig #casio #Gshock #gf8250cm #camo #frogman #froggie #frog #wristcheck #wristcandy #wristporn #watchporn #sweatitout #swagsg #resolute #keepongoing #watchanish #watchfam</t>
  </si>
  <si>
    <t>watchanish</t>
  </si>
  <si>
    <t>nimbus18</t>
  </si>
  <si>
    <t>java__joe</t>
  </si>
  <si>
    <t>1596464419955588440_1539874540</t>
  </si>
  <si>
    <t>Remember  #keepongoing #keepontrack #keepitreal #putonefootinfrontoftheother #getupwhenyoufall #moveon  #intherightdirection #nycrealestate #roadwarrior #poundthepavement  #goodadvice #goodshoes 👟👢👡👠 #livewhoyouare 🐩🐾</t>
  </si>
  <si>
    <t>putonefootinfrontoftheother</t>
  </si>
  <si>
    <t>livewhoyouare</t>
  </si>
  <si>
    <t>theflared</t>
  </si>
  <si>
    <t>1596471458493531732_2178941413</t>
  </si>
  <si>
    <t>La vita è una sfida continua e il futuro è un libro tutto da scrivere. Io ho capito che qualunque sia la direzione del #vento, non voglio perdermi nemmeno un cielo.🔝😎💙
.
Life is a big challenge every day and future is an open book we can write every single chapter. And I understood I don't care where the wind blows, but I don't want to miss one sky. 🔝😎💙
.
.
.
#theflared #me #copenhagen #denmark #unposted #monday #mondaymood #windmill #wind #mythoughts #backtowork #atwork #break #instadaily #instamood #instalife #instame #instatravel #life #lifelessons #dreams #positivevibes #avantitutta #staystrong #staypositive #keepongoing #mylife #reallife #bloggerlife</t>
  </si>
  <si>
    <t>break</t>
  </si>
  <si>
    <t>smittyjade</t>
  </si>
  <si>
    <t>1596471903912211361_47435414</t>
  </si>
  <si>
    <t>#befree like a bird, #itookthispicture in #westseattle @ #camplong #lifeisscary sure, but #likethisbird we are free, you may not think that right now as #timeisfleeting but what is #amazing is it #alwaysis this way, life and death are one/ and now is #thetime to not let go of #hope / #abird will #notstop #flyingfree .#seattle #smittyjade #jadesmith #keepongoing !! #hawk #bird #unknownbird #wings #giantwings #wingspan #thisisaninstallation #art #artinstallation</t>
  </si>
  <si>
    <t>seattle</t>
  </si>
  <si>
    <t>camplong</t>
  </si>
  <si>
    <t>giantwings</t>
  </si>
  <si>
    <t>wingspan</t>
  </si>
  <si>
    <t>1596474529319153104_40740215</t>
  </si>
  <si>
    <t>Rise and grind! Who's getting in their workout before all the Labor Day festivities?!</t>
  </si>
  <si>
    <t>1596481454023720389_1822123873</t>
  </si>
  <si>
    <t>Monkey Beach, Phi Phi Island
Would you swim with the monkeys? 😃
Follow @vibetraveldaily👈
📸: : @isabellasantoni ⠀
.
.
.
.
.
.
.
.
#mytraveldiary #followers #yogagirls #travelaccessories #cocoatravelersintl #eclectic_shotz #journeys #laptoplifestyle #travelpicsdaily #paradises #femaletravel #paradisepier #travelhappy #liveforthis #travelingcouple #slowtravel #travelgreece #ventureseeker adventurestream #travelportland #keepongoing #intentionalliving #yogastyle #travelrussia #vscocam #livefornow</t>
  </si>
  <si>
    <t>travelhappy</t>
  </si>
  <si>
    <t>savvi_sora</t>
  </si>
  <si>
    <t>1596494586172134502_5687179932</t>
  </si>
  <si>
    <t>Week three: 230lbz, 38.5" waist. Do you guys do #pilates ? #sometimesiwonder does this really work. But ima #keepongoing</t>
  </si>
  <si>
    <t>kartika_0208</t>
  </si>
  <si>
    <t>1596495808811757922_4469556</t>
  </si>
  <si>
    <t>Keep telling yourself that you can do it come what may...
Talk to your body...
It will respond accordingly...
A progress is still a progress no matter how small it is...
#patience 
#persistence 
#disciplined
#keepongoing
#gatherasmuchpositivevibes
#slowlybutsurely</t>
  </si>
  <si>
    <t>slowlybutsurely</t>
  </si>
  <si>
    <t>disciplined</t>
  </si>
  <si>
    <t>gatherasmuchpositivevibes</t>
  </si>
  <si>
    <t>1596505915916545578_5717527571</t>
  </si>
  <si>
    <t>#keepongoing #dolomiti #catinaccio #trentino #rocksandrocks #geology #waynorth #theskyisthelimit 
Strolling northward, 
Trentino Alto Adige, Gruppo del Catinaccio, Dolomiti.</t>
  </si>
  <si>
    <t>Rosengarten group</t>
  </si>
  <si>
    <t>waynorth</t>
  </si>
  <si>
    <t>geology</t>
  </si>
  <si>
    <t>catinaccio</t>
  </si>
  <si>
    <t>1596507555395233225_3255088711</t>
  </si>
  <si>
    <t>💃🏻✈️ #drama#baby#dramababy#takeoff#plane#airport#france#aeroplane#run#smile#keepongoing#keeponsmiling#onthego#windy#blackandwhite#blackandwhitephotography#vivelafrance#fastenseatbelt#travel#lifestyle#instalove#instatravel#picoftheday</t>
  </si>
  <si>
    <t>aeroplane</t>
  </si>
  <si>
    <t>instalove</t>
  </si>
  <si>
    <t>fastenseatbelt</t>
  </si>
  <si>
    <t>windy</t>
  </si>
  <si>
    <t>1596509248468528401_5841970645</t>
  </si>
  <si>
    <t>Wow, I found one of my creative writing projects from 2006! Cervantes is in the background, still a big soul cal fan. #instadaily #instagram #motivation #write #writing #practicemakesperfect #keepongoing #keeponwriting #domore #dontstop #art #artstagram #artist #sketch #drawn #drawing #photooftheday #photoeveryday #picoftheday #igers #illustrator #artwork #creative #instaart #artlovers #illusration #galleryart</t>
  </si>
  <si>
    <t>drawn</t>
  </si>
  <si>
    <t>1596514529573996293_1516203357</t>
  </si>
  <si>
    <t>A runway, a new beginning.
Usually, we take-off from runways with an average of 2700-3000 meters, and 45 meters width.
Every take-off is a new beginning, it doesn't matter if you are flying the same route every single day. The weather, the light at the crack of dawn or sunset,  or just the eyes reflecting the landscape picture might make the difference. I'm in love with my job...
Are you willing to look from a different perspective today?
Una pista, una nueva oportunidad.
Por lo general, despegamos de pistas con un promedio entre 2700 a 3000 metros de longitud, y 45 metros de ancho. Cada despegue es un nuevo inicio, volar la misma ruta cada día carece de importancia. El clima, la luz propia al alba o al atardecer, o quizás sean los ojos que perciben ese reflejo del paisaje los que marcan la diferencia. Enamorada de mi trabajo...
Y hoy, estás  dispuest@ a mirar desde una perspectiva distinta? 
#listosparadespegue #fly #youcan #pilot #aircraft #vamos #tupuedes #move #keepongoing #beyou #bepositive #staypositive #smile #enjoy #workout #nolimits #flyadicted #flyholic #takeoff #landing #workhard #beready #change #staycool #lifestyle_aviation</t>
  </si>
  <si>
    <t>escalante6306</t>
  </si>
  <si>
    <t>1596514852167686686_5723081696</t>
  </si>
  <si>
    <t>Not proud of today's time but I am posting to be vulnerable. I have been fighting a foot injury for over 3 years, I thought I had beat it until last week I learned I had stress fractured it again. I took nearly a week off feeling sorry for myself and pushed off about the situation. I have pushed so hard and overcome so much but my body fought back. This morning I put in some extra tape laced up my shoes and decided I was gonna give it my best. Today I learned success is not measured in beating a number but@pushing through when all you want to do is quit. I only lose ground if I give up. Not this time, I will continue tonight through. #nevergiveup #makeithappen #notthistime #keepongoing #goals #bettertodaythanyesterday #neversurrender</t>
  </si>
  <si>
    <t>bettertodaythanyesterday</t>
  </si>
  <si>
    <t>mteamfencing</t>
  </si>
  <si>
    <t>1596515641082533768_1516311324</t>
  </si>
  <si>
    <t>Ava got her first 🥇 at the Treasure Island RYC yesterday. Yassss! Congrats to her and coaches Karen, @jaa_davis, Kamilla and Darwin. #keepongoing</t>
  </si>
  <si>
    <t>fencinglife</t>
  </si>
  <si>
    <t>youthfencing</t>
  </si>
  <si>
    <t>957miami</t>
  </si>
  <si>
    <t>1596516282256585729_211613156</t>
  </si>
  <si>
    <t>Hoy lunes #labordayweekend estamos en #JungleIsland de 11am a 1pm en la 1111 Parrot Jungle Trail, Miami, FL 33132 junto a nuestros amigos @theoriginalgreek donde podrás comer la mejor comida griega e inscríbete en para ganar toallas de papel Scott por un año! Visita: www.ScottBrand.com para más información!!! #KeepOnGoing @scottProducts</t>
  </si>
  <si>
    <t>Jungle Island</t>
  </si>
  <si>
    <t>phylicia_rashadfanpage</t>
  </si>
  <si>
    <t>1596518483806166140_1413821426</t>
  </si>
  <si>
    <t>"Success for means being able to work. I don't look at so much at what I've done as much as I look to what I will do." Quote by Phylicia Rashad #mondaymotivation #motivationalquotes #motivationmonday #inspiration #inspirationalquotes #quote #queenquotes #phyliciarashad #quoteoftheday #laborday #hardwork #movingforward #work #success #staybooked #labordayweekend #happylaborday #nevergiveup #dontgetstuck #wisdom #wordsofwisdom #truth #growth #powerful #knowledge #boss #goddess #appreciation #keepongoing #workethic</t>
  </si>
  <si>
    <t>knowledge</t>
  </si>
  <si>
    <t>1596520590915478610_1456976711</t>
  </si>
  <si>
    <t>Blir bortskämd med mat hos mamma och pappa! 😍</t>
  </si>
  <si>
    <t>Sala, Sweden</t>
  </si>
  <si>
    <t>mums</t>
  </si>
  <si>
    <t>joggadå</t>
  </si>
  <si>
    <t>smartpoints</t>
  </si>
  <si>
    <t>vogeleeeee</t>
  </si>
  <si>
    <t>1596525463899369459_5565707248</t>
  </si>
  <si>
    <t>Always thinking to stay one step ahead of everyone else 💪 #cantstopwontstop #suspenders #selfie #selfies #selfiesunday #playthegame #keepongoing #keeponkeepingon #montana</t>
  </si>
  <si>
    <t>suspenders</t>
  </si>
  <si>
    <t>selfiesunday</t>
  </si>
  <si>
    <t>montana</t>
  </si>
  <si>
    <t>playthegame</t>
  </si>
  <si>
    <t>1596526115994985892_2053552003</t>
  </si>
  <si>
    <t>Gladiator Tuurke 💪
.
.
.
.
.
#dressage #dressagehorse #dressagerider #competing #competition #success #winner #winners #keepongoing #horses #mindset #fun #happy #happyathlete #happyrider #rider</t>
  </si>
  <si>
    <t>happyrider</t>
  </si>
  <si>
    <t>1596526367746152920_211599856</t>
  </si>
  <si>
    <t>1596527046073457558_1377135044</t>
  </si>
  <si>
    <t>Struggle is real 😂 #fitjourney#fitness#fitgirls#determined#keepongoing#dontquit#youvegotthis#this#followme#strongwoman#bossbabes#fitfam#slowprogressisbetterthannoprogress#bodysculpt#timetogetbackontrack#bestself#wellness#sunmerbodies#mondayshmonday#monslay#mood#loveyourself#selflove#love#laugh#live</t>
  </si>
  <si>
    <t>bodysculpt</t>
  </si>
  <si>
    <t>1596529243261297456_216089260</t>
  </si>
  <si>
    <t>Support yourself with kind thoughts, loving words, and self-empowering acts. Honor yourself by not criticizing, judging, or denying what you feel. Fortify yourself with lots of rest, healthy foods, quiet time, and don’t forget to play! 
When was the last time you laughed out loud?
#divineorder #empoweringwomen #goals #growth #happy #inspiration #jamaicanlifecoach #lifecoach #lovemyjob #mindset #morethanenough #nofear #nicolewright #purpose #success #survivor #universe #nevertoolatetostartover #nevertoolatetobegin #standuptocancer #nevergiveup #keepongoing #believeinyourself #happy #lovemylife  #anthropologie #naturalhair #jamaicanlifecoach</t>
  </si>
  <si>
    <t>dylannnnn96</t>
  </si>
  <si>
    <t>1596530285368595493_3567143543</t>
  </si>
  <si>
    <t>🤜🤛
#gymshark #gymfreak #gymmotivation #allithinkof #nevergiveup #keepongoing #dailystruggle #80kg #beastmode #traininsane #bodygoals</t>
  </si>
  <si>
    <t>allithinkof</t>
  </si>
  <si>
    <t>1596538915450652759_211613156</t>
  </si>
  <si>
    <t>Seguimos con nuestra gente desde #JungleIsland  en la 1111 Parrot Jungle Trail, Miami, FL 33132 junto a nuestros amigos @theoriginalgreek donde podrás comer la mejor comida griega e inscríbete en para ganar toallas de papel Scott por un año! Visita: www.ScottBrand.com para más información!!! #KeepOnGoing @scottProducts #dicapriosbs @nelsonleonardo</t>
  </si>
  <si>
    <t>dicapriosbs</t>
  </si>
  <si>
    <t>sevenivyhairdressing</t>
  </si>
  <si>
    <t>1596539400364173494_1975166069</t>
  </si>
  <si>
    <t>#keepongoing #hair #love #postivevibes #local #train #workhardplayhard #salisbury #teamwork</t>
  </si>
  <si>
    <t>Seven Ivy Hairdressing</t>
  </si>
  <si>
    <t>postivevibes</t>
  </si>
  <si>
    <t>1596541942311801969_2075039459</t>
  </si>
  <si>
    <t>mrslulu3</t>
  </si>
  <si>
    <t>1596545196296707257_199074029</t>
  </si>
  <si>
    <t>I 🍩care if it's a holiday, still gotta get my 💪🏼 in and then 💃🏻😆. If you saw my IG stories this morning, someone delivered 2 dozen 🍩s and oh boy! But hey, you can enjoy a donut or 2, but it really is about balance.  Starting week 35 today and it's LEG day 😫💦 @kayla_itsines really knows how to keep us motivated and start the week off strong 👍🏼😅 Get it girls!!! #motivation#bbg#bbgweek35#kaylaitsines#bbgmoms#bbgsisters#bbgcommunity#keepongoing#dontstop#dontgiveup#donuts#idonutcare#igstories#bombshellsportswear#adidas#lululemon#mystyle#slay#everydarnday#laborday#workoutfirst#holiday</t>
  </si>
  <si>
    <t>bbgcommunity</t>
  </si>
  <si>
    <t>bbgweek35</t>
  </si>
  <si>
    <t>wadestays</t>
  </si>
  <si>
    <t>1596547123579221293_943256156</t>
  </si>
  <si>
    <t>Мы это сделали💪 маршрут окончен😎
#граффити #осень #сентябрь #устали #купаемся #вечер #солнце #graffiti #colorful #colors #fit #keepongoing #autumn #september</t>
  </si>
  <si>
    <t>осень</t>
  </si>
  <si>
    <t>ediadz</t>
  </si>
  <si>
    <t>1596547234979457932_1541851537</t>
  </si>
  <si>
    <t>#mondaymood #happyme #instaselfie #instagood #instagram #selfie #selfieoftheday #fashionista #fashion #glamour #naturalblonde #longhair #lithuaniangirl #lady #beauty #smile #heart #sunglasses #posing #photooftheday #keepongoing</t>
  </si>
  <si>
    <t>naturalblonde</t>
  </si>
  <si>
    <t>lithuaniangirl</t>
  </si>
  <si>
    <t>glamour</t>
  </si>
  <si>
    <t>dorautiainen</t>
  </si>
  <si>
    <t>1596550304421489434_41459244</t>
  </si>
  <si>
    <t>My cat has a new slave... #moreplease #keepongoing #lazycat #catsofinstagram #goodlife</t>
  </si>
  <si>
    <t>lazycat</t>
  </si>
  <si>
    <t>moreplease</t>
  </si>
  <si>
    <t>juliasstyle_healthyliving_</t>
  </si>
  <si>
    <t>1596550705731216744_5971045578</t>
  </si>
  <si>
    <t>#spuntino odierno included... my love... #pompelmo 😍❤ #pampelmousse #fruits #break #natural #naturalcolors #healthyfood #eatclean #pink #grapefruit #juicy #healthy #delicious #dietdiary #day4 #followme #juliasstyle_healthyliving #italiangirl #fruittime #pompelmorosa #keepongoing #nevergiveup #motivation ...this was after my #dailywalk of course! 😎💪🤘</t>
  </si>
  <si>
    <t>pompelmo</t>
  </si>
  <si>
    <t>pampelmousse</t>
  </si>
  <si>
    <t>journaltherunproject</t>
  </si>
  <si>
    <t>1596550825285836694_5820779333</t>
  </si>
  <si>
    <t>Make a plan. Write it down. Win the day. Another #journaltherunproject from @pipersrun! 📝🙌
.
.
.
Last month I was inspired by @thepacinglife to finally start bullet journaling my runs better. I already wrote my runs/workouts in a book but this looks so much better. ✨ Jumping on the #journaltherunproject wagon and slowly getting into bullet journaling.</t>
  </si>
  <si>
    <t>everydaymotivation</t>
  </si>
  <si>
    <t>1596553643406300814_4842328140</t>
  </si>
  <si>
    <t>🇺🇸new week &gt; new day &gt; new monday = one life }KEEP ON GOING !!!!!! ------------------------------------ -------------🇩🇪neue Woche &gt; neuer Tag &gt; neuer Montag = ein Leben } AM BALL BLEIBEN !!!! ------------------------------------ ----- #️⃣#motivation #motiviert #powerful #kraftvoll #keepongoing #amballbleiben #ohnefilter #withoutfilters #fittogether #fitforfun #fitnotskinny #itsmylife #fitspiration #fitnessjourney #fitnessmotivation #girlshowlift #recovery #nevergiveup #gibniemalsauf #crazyface #crazyfit #zielstrebig #afterworkout #picoftheday #photooftheday #flex #allin #fitgirl #sportgirl #sportmotivation</t>
  </si>
  <si>
    <t>Fitness4You</t>
  </si>
  <si>
    <t>gibniemalsauf</t>
  </si>
  <si>
    <t>ohnefilter</t>
  </si>
  <si>
    <t>zielstrebig</t>
  </si>
  <si>
    <t>1596555406314085174_429036895</t>
  </si>
  <si>
    <t>Yesterday I was finally able to train legs again. It is my favorite workout routine, but it takes a lot of energy. I am still not as it as I used to be, but it's getting better. Today I am having a restday after my first day of work since I was ill.
#legday #neverskiplegs #daretoshare #bodylove #selflove #foodlover  #fitnessjourney #progress #fitness #fitdutchie #weightlifting #girlwholifts #fitfam #fitnessaddict #curves #weightgaining #bodyandmind #gymlife #recovering #bootygrow #dedication #hardwork #keepongoing #strenght #grow #girlonamission #effort #girlpower  #healthylifestyle</t>
  </si>
  <si>
    <t>neverskiplegs</t>
  </si>
  <si>
    <t>shufflekitty</t>
  </si>
  <si>
    <t>1596562426530562364_211827175</t>
  </si>
  <si>
    <t>Thank you p!nk for telling the world exactly what they needed too hear!! You are beautiful so believe in yourself, the rest will follow. Never change just take the gravel and the shell and create a pearl! You are bright so keep on shining, show the world your light! ✨🌎✨💎✨ #happygirlsareprettygirls #peaceloveunityrespect #keepongoing #lookingfowardtomyfuture #keeponsmilin #youarebeautiful #shinebrightlikeadiamond #wedontchangewegrow #wedontchangefornoone #memyselfandi #haveloveforeveryone #makethechangeyouwanttosee #believeinyourself #nobodyelsewill #lovingyourselfisthenewblack</t>
  </si>
  <si>
    <t>lovingyourselfisthenewblack</t>
  </si>
  <si>
    <t>lookingfowardtomyfuture</t>
  </si>
  <si>
    <t>wedontchangewegrow</t>
  </si>
  <si>
    <t>kolas99</t>
  </si>
  <si>
    <t>1596566106980507005_2295857007</t>
  </si>
  <si>
    <t>Vægten stiger stødt ( efter jeg nu slavisk tilbereder mine måltider i hverdagene ) hjælper mig meget 💪🏻 ‼️. #bulk #diæt #danmark #grækenland #fitness #fit #keepongoing #nopainnogain #eatclean #f4f #support #gym #træning #styrketræning #abs #absworkout #dailyinsta #instadaily #trustyourself #path #gymlife #everyday #workout #tattoo #inked #uk #goals #youcandoit 👆🏻😈💪🏻</t>
  </si>
  <si>
    <t>absworkout</t>
  </si>
  <si>
    <t>diæt</t>
  </si>
  <si>
    <t>hir_ths</t>
  </si>
  <si>
    <t>1596567982078067257_4549186000</t>
  </si>
  <si>
    <t>t's #wine o'clock 🍷🍴 Heut gab es bei mir #fish mit Zucchini 
Einfach #smacktastic 😍🕺 Schönen Abend euch 🤗
#dinner #food #foodporn #abgerechnetwirdamstrand #eatclean #healthyfood #healthy #yummy #boys #fitspo #fitness #noexcuses #bodybuilding #cleaneating #fitboy #love #lifestyle #fitnessaddict #weightloss #gymlife #abnehmen #motivation #fitnessjourney #nevergiveup #keepongoing
#beast #beastmode</t>
  </si>
  <si>
    <t>wine</t>
  </si>
  <si>
    <t>1596569169990274058_5586814877</t>
  </si>
  <si>
    <t>Started eating this before I took a pic! Oops ☺️ Sausage and aubergine pesto pasta 👌🏻 Made with SW sausages, pasta, onion, pepper, cherry tomtoes and 15g of Sacla aubergine pesto per portion for 2.5 syns 🍆 Swipe to see the jar ➡️ #auberginepesto #pasta #comfortfood #fooddiary #slimmingworld #sw #slimmingworldfood #slimmingworldjourney #health #happiness #selfimprovement #bethebestyou #keepongoing #nomorestartingover</t>
  </si>
  <si>
    <t>zeerylo</t>
  </si>
  <si>
    <t>1596572184048886564_29091660</t>
  </si>
  <si>
    <t>San BuenaVentura!
#lifeisbeautiful #ventura #venturacounty #venturacalifornia #california #zeerylo #vegan #govegan #beach #surf #52weeksofnature #vacationmode #dayoff #pictureoftheday #keepongoing #movement #september2017 #nothingisordinary #travelling #traveling #travel #hello</t>
  </si>
  <si>
    <t>Ventura Pier</t>
  </si>
  <si>
    <t>ventura</t>
  </si>
  <si>
    <t>vacationmode</t>
  </si>
  <si>
    <t>teedeeveemusic</t>
  </si>
  <si>
    <t>1596581846854336884_2887437529</t>
  </si>
  <si>
    <t>This one is for the real Gs out there...the real hustlers...Jah bless you all
#realshit #real #realg #hustlehard #hustler #keepitreal #keeponmoving #keepongoing #nonstop #worldwiredtour #africa #supportteedeeveemusic #believethehype</t>
  </si>
  <si>
    <t>Agodi Gardens Ibadan</t>
  </si>
  <si>
    <t>realg</t>
  </si>
  <si>
    <t>holm_helena</t>
  </si>
  <si>
    <t>1596581856038728406_406769676</t>
  </si>
  <si>
    <t>Kompost salat lavet af nogle af de dejlige unger i 7.C som jeg har været så heldig at være på lejrskole med. Trods navnet smagte det virkelig godt. #madlejr2017 #lejrturmedarbejdet #hygge #thankful #lovemylife #beautiful #pædagoglivet #awesomeplace #keepongoing #hardwork #goodrelation #lovemyjob ❤️</t>
  </si>
  <si>
    <t>Madlejr, Helnæs</t>
  </si>
  <si>
    <t>goodrelation</t>
  </si>
  <si>
    <t>madlejr2017</t>
  </si>
  <si>
    <t>lejrturmedarbejdet</t>
  </si>
  <si>
    <t>philipwindels</t>
  </si>
  <si>
    <t>1596583737947525871_493130299</t>
  </si>
  <si>
    <t>Just Me Myself &amp; I ..
•
•
•
#workout #workouttime #selfie #selfies #healthy #sport #justmemyselfandi #hardtimes #swet #humor #fun #funny #iphonephoto #fitness #fitnessmotivation #keepongoing #philipwindels</t>
  </si>
  <si>
    <t>swet</t>
  </si>
  <si>
    <t>justmemyselfandi</t>
  </si>
  <si>
    <t>osobnistyling</t>
  </si>
  <si>
    <t>1596589124348104010_4831029850</t>
  </si>
  <si>
    <t>#keepongoing #mbpfw #fashionshow #odivi</t>
  </si>
  <si>
    <t>Štvanice</t>
  </si>
  <si>
    <t>fashionshow</t>
  </si>
  <si>
    <t>mbpfw</t>
  </si>
  <si>
    <t>odivi</t>
  </si>
  <si>
    <t>1596595807645568168_277645992</t>
  </si>
  <si>
    <t>Try New things❤ #fitness #love #motivation #keepongoing 💪🏽💪🏽</t>
  </si>
  <si>
    <t>1596597958995198902_211613156</t>
  </si>
  <si>
    <t>sergey_bsplv</t>
  </si>
  <si>
    <t>1596598488056807915_4511249813</t>
  </si>
  <si>
    <t>33/50 in Nice and still just 19 #pullupchallenge #keepongoing</t>
  </si>
  <si>
    <t>pullupchallenge</t>
  </si>
  <si>
    <t>lukas_xiv</t>
  </si>
  <si>
    <t>1596598672807144698_1566830312</t>
  </si>
  <si>
    <t>piano session with new microphone &lt;.. #keepongoing #instagood #instadaily #boy #love #hashtag #german #love #my #piano</t>
  </si>
  <si>
    <t>1596599224954775321_2317517565</t>
  </si>
  <si>
    <t>Forlæns og baglæns accelerationsløb krydret med elastik modstand og en Burpee.  Kræver sååååå meget af din krop…😝
•••
Ren inspiration til din egen træning. God fornøjelse🏋🏼‍♀️🍾🏋🏼‍♀️🏃
•••
#mortentillitzdk  #whatwouldbeyoncedo #toldyouso #tropådet #personligtræner #personaltrainer #cycling #Cykling #styrketræning #løb #Svømning #Swim #running #stronger #personligtræner #mitodense #fitfam #ﬁtfamdk #actionequalsresults #handlingskabersucces #helkropstræning #fullbody #SunRiceClubbyMortenTillitzDK #mentalpause #blivved #keepongoing #styrketræning #painfree #smertefri #søvn #sleep #mitodense</t>
  </si>
  <si>
    <t>leviszasz</t>
  </si>
  <si>
    <t>1596600377506137280_416524280</t>
  </si>
  <si>
    <t>Walk to a more colourful future... #steps #future #walk #grey #colour #keepongoing #nevergiveup #followyourdreams #allwayslookup #neverstopdreaming #</t>
  </si>
  <si>
    <t>1596601230000201933_5586814877</t>
  </si>
  <si>
    <t>Melon 🍈 
#fooddiary #slimmingworld #sw #slimmingworldfood #slimmingworldjourney #health #happiness #selfimprovement #bethebestyou #keepongoing #nomorestartingover</t>
  </si>
  <si>
    <t>1596603310257179760_4230484970</t>
  </si>
  <si>
    <t>Peach city 🍑🤙🏽</t>
  </si>
  <si>
    <t>bc_harding</t>
  </si>
  <si>
    <t>1596603577023755706_414359808</t>
  </si>
  <si>
    <t>Top of Vernal Falls, photo cred @chuuster #yosemitenationalpark #mistfallstrail #keepongoing</t>
  </si>
  <si>
    <t>mistfallstrail</t>
  </si>
  <si>
    <t>yosemitenationalpark</t>
  </si>
  <si>
    <t>1596607699731044932_1571021823</t>
  </si>
  <si>
    <t>Jest tak paskudnie, że postanowiłam się sprężyć i wykorzystać aurę na bieg z narastającą prędkością. Byle szybciej pod koc. #runnergirl #running #keepongoing #fast #fastrunner #eveningrun #stormyweather #rainyday 💦☔️🏃‍♀️😏</t>
  </si>
  <si>
    <t>stormyweather</t>
  </si>
  <si>
    <t>eveningrun</t>
  </si>
  <si>
    <t>1596614128959622743_1822236485</t>
  </si>
  <si>
    <t>Follow @adventurouskiwi for top travel content. @adventurouskiwi at its breathtaking best 💙 Photo by @alanisko
.
.
.
.
.
.
.
.
#thinkoutsidethebox #natgeotravelphoto #earthpix #paradise🌴 #cloudporn #biketravel #travelfrance #paradisetour #sunsetcliffs #sunset_rv #sunsetting #cocoatravelersintl #adventureday datview #adventurers #liveforit #traveltime #ecotravel #keeppraying #yogastyle #beachbunny #energyhealing #beachdog #discoverearth #keepongoing #travelmagazin</t>
  </si>
  <si>
    <t>energyhealing</t>
  </si>
  <si>
    <t>kay_h_88</t>
  </si>
  <si>
    <t>1596614511078768588_953459994</t>
  </si>
  <si>
    <t>Well after three days rest I've been for another run. Feels a lot longer than three days that I haven't been out. Was a good wee run 😁 
#run #runner #keepongoing #keepfit #lovetorun #new #hobbby #newthings #fun #smile #goodforyou #goodday #nike #nikeplus #justdoit</t>
  </si>
  <si>
    <t>newthings</t>
  </si>
  <si>
    <t>nankasone</t>
  </si>
  <si>
    <t>1596620268247565650_4798349149</t>
  </si>
  <si>
    <t>... It doesn't matter the challenge #keepongoing</t>
  </si>
  <si>
    <t>mrsfbueno</t>
  </si>
  <si>
    <t>1596628048900142269_183506020</t>
  </si>
  <si>
    <t>She couldn't keep her colors inside the lines so she drew new lines! #farmgirl #countrygirl #emponderandomeninas #empoweringgirls #keepongoing</t>
  </si>
  <si>
    <t>Paraíba do Sul, Rio de Janeiro</t>
  </si>
  <si>
    <t>empoweringgirls</t>
  </si>
  <si>
    <t>farmgirl</t>
  </si>
  <si>
    <t>emponderandomeninas</t>
  </si>
  <si>
    <t>1596630828179091981_15887082</t>
  </si>
  <si>
    <t>Be better 🎉
📸 @marcusklepke 
#ironman #upcoming #mulitisport #tri365 #lovemylife #fitness #IMBarcelona #outofcomfortzone #trilabdk #triathlon #triatlete #invisibleguns #worldoffusion #IMHamburg #keepongoing #purepowerdk #smileplease #swimbikerun</t>
  </si>
  <si>
    <t>1596644110079418329_4203455377</t>
  </si>
  <si>
    <t>2 kids! @tammyhembrow mummy goals 💋😍</t>
  </si>
  <si>
    <t>squatsporation</t>
  </si>
  <si>
    <t>fitnesstips</t>
  </si>
  <si>
    <t>gymsharkfit</t>
  </si>
  <si>
    <t>squatforthatbooty</t>
  </si>
  <si>
    <t>fitblogger</t>
  </si>
  <si>
    <t>annamwinberg</t>
  </si>
  <si>
    <t>1596644995422821968_2611095580</t>
  </si>
  <si>
    <t>Keep on going my friends😊
One foot in front of the other☺️
We can achieve what we set our mind to!!!!! #keepmoving #forwardisforward #keepongoing #icandoit #iamacheivingwhatiamsettingmymindtoacheive #nothingisstoppingme</t>
  </si>
  <si>
    <t>iamacheivingwhatiamsettingmymindtoacheive</t>
  </si>
  <si>
    <t>forwardisforward</t>
  </si>
  <si>
    <t>lukaslamberechts</t>
  </si>
  <si>
    <t>1596645936833786656_2130177525</t>
  </si>
  <si>
    <t>Not my best race today. But I'll keep my head up! 🙋
---
#cycling #gohard #nevergiveup #betough #fromwhereiride #fromwhereistand #bikelife  #vsco  #vscocam #goals #igers #follow #keepongoing #fitnessmotivation #instapic #potd ---</t>
  </si>
  <si>
    <t>gohard</t>
  </si>
  <si>
    <t>fromwhereiride</t>
  </si>
  <si>
    <t>1596648301667337094_333093823</t>
  </si>
  <si>
    <t>The way I will save the world someday 🙌🏼💓 #medicine #medlife #keepongoing #nevergiveup #medstudent #lovemycareer</t>
  </si>
  <si>
    <t>medlife</t>
  </si>
  <si>
    <t>lovemycareer</t>
  </si>
  <si>
    <t>1596649652072296592_40740215</t>
  </si>
  <si>
    <t>These may look like ordinary cones but these cones have taken my workouts to a new level! The intensity on my cardio days is cray and all thanks to the help of these small orange cones! If you want to be challenged and see amazing results DM me and I can show you the way! 💪</t>
  </si>
  <si>
    <t>hardin4993</t>
  </si>
  <si>
    <t>1596652720130783588_3676428633</t>
  </si>
  <si>
    <t>#keepongoing #keeponkeepingon #life#lifequotes #nofailure #workingonmyself #workingonit #believeinyourself #believe #dontstop #wantstop #myself #everyday #self #motivationalquotes #motavation #100 #improvement #everyday</t>
  </si>
  <si>
    <t>wantstop</t>
  </si>
  <si>
    <t>dhurghamkhalid</t>
  </si>
  <si>
    <t>1596654435022186250_1579093809</t>
  </si>
  <si>
    <t>Тренируйся с теми, кто сильнее. Люби того, кого нельзя. Не сдавайся там, где сдаются другие. И победишь там, где победить нельзя. -Брюс Ли
#спортсменказань 
#33 
#футбол #вперед 
#football #thisismylife #kazan #russia #iraq #amazingday #keepongoing #like4like #livefortoday #soccer #футболмояжизнь</t>
  </si>
  <si>
    <t>Kazan, Tatarstan</t>
  </si>
  <si>
    <t>kazan</t>
  </si>
  <si>
    <t>футболмояжизнь</t>
  </si>
  <si>
    <t>вперед</t>
  </si>
  <si>
    <t>1596658632229235085_5916048423</t>
  </si>
  <si>
    <t>Would you jump from this high?  Yes or No?👇🏼
____________________________________
- Follow Me👉🏼 @lux.inspire 👈🏼
- Follow Me👉🏼 @lux.inspire 👈🏼
____________________________________
💡Turn on Notifications to See New Posts
💡Share with friends, family, and followers</t>
  </si>
  <si>
    <t>shintechiro</t>
  </si>
  <si>
    <t>1596659806642719610_28636362</t>
  </si>
  <si>
    <t>I know I can, tiwala lng
#motivation #keepongoing #keeponfighting #nevergiveup #stepbystep #hopeful</t>
  </si>
  <si>
    <t>1596661984979075679_429150387</t>
  </si>
  <si>
    <t>#London #LoveLondon #Londoner #LondonLife
Matthew: 5 vs 14 - 16.
#ShineYourLight #AriseAndShine #LookToJesus #Light #City #BelieveForTheBest #DontGiveUp #LondonTown #InstaLondon #London_Only #TheGloryOfGod #ReachLondon #KeepOnGoing #Faith #Hope #Joy #Pray #InJesusName</t>
  </si>
  <si>
    <t>shineyourlight</t>
  </si>
  <si>
    <t>indiafairellen</t>
  </si>
  <si>
    <t>1596663217526782797_39314981</t>
  </si>
  <si>
    <t>#MoveNourishBelieve #keepongoing #youcandoit .... omg I always get this #toneofvoice when I say stuff like "YouCanDoIt😏😝" ... I mean,  I genuinely do mean it and I believe it I just feel kind of silly saying it but that's why there's different people who have different kinds of profiles. Seriously  let's talk about the fact that there are only 1542 hashtags for "ToneOfVoice" . Did no one else grow up in a #Household #Family where they were constantly interrupted with An #Eyebrow And just the word #TONE with a #glare and silence that #paralyzed them?  Hmmmmm. I know that isn't so. I find it really interesting what are and are not #hastag #hastags  in the world of #mentalhealth #mentalhealthawareness #disability #Abuse etc. If #CBT and #DBT were taught in every classroom from the very beginning then everyone would have #CopingSkills in the world would be a very different place. #BetterPlace #integrativemedicine #HolisticHealth #mentalhealthawareness #ptsd #AlternativeMedicine #IndiaDwells #Begood</t>
  </si>
  <si>
    <t>hastags</t>
  </si>
  <si>
    <t>holistichealth</t>
  </si>
  <si>
    <t>dbt</t>
  </si>
  <si>
    <t>indiadwells</t>
  </si>
  <si>
    <t>1596667959002946692_5835011373</t>
  </si>
  <si>
    <t>#instapic #instadaily #gymsession #fitness #workout #shoulders #trizeps#transformation #workforit #work #hard #keepongoing #muscles #growing #fitnessgirlsmotivation #fitnessgirl #fitchick #gymtime #fitfam#underarmour #shoes #pink #black #leggings#tattoos</t>
  </si>
  <si>
    <t>trizeps</t>
  </si>
  <si>
    <t>anagjymshana</t>
  </si>
  <si>
    <t>1596672232101143015_1910578941</t>
  </si>
  <si>
    <t>No reason to stay? 
Good reason to go! 👣👣
#thb #walkingonsunshine #mothernature #durres #casual #sundayfunday #september #autumncolor #fall #keepongoing</t>
  </si>
  <si>
    <t>Durrës</t>
  </si>
  <si>
    <t>thb</t>
  </si>
  <si>
    <t>casual</t>
  </si>
  <si>
    <t>francescapaesano</t>
  </si>
  <si>
    <t>1596676713982377522_254232413</t>
  </si>
  <si>
    <t>curlsandsmoke</t>
  </si>
  <si>
    <t>1596687731680755459_444456121</t>
  </si>
  <si>
    <t>Always evolve #keepongoing #positivity #pma #evolution #rebuild #reset #backtotheoriginal #reconnectwithyourself</t>
  </si>
  <si>
    <t>reconnectwithyourself</t>
  </si>
  <si>
    <t>rebuild</t>
  </si>
  <si>
    <t>1596687748784379947_5971045578</t>
  </si>
  <si>
    <t>Day 4! #dinner with #salad again! INSALATONA IS THE NEW BLACK 😂😂😂😂😂😂 ahahahahh #keepongoing 💪 
#insalatona  with #avocado #shrimps #salad #onions #tomato #carrots ! It was #delicious ➡ try it out! 😄😊😉
#lochefconsiglia #healthyrecipe #eatclean #weightloss #weightlossjourney #dietdiary #italiangirl #day4 #followme #follow4follow #healthyfood #naturalcolors #colorful #natural #tasty #foodlover #healthylifestyle #juliasstyle_healthyliving #perdipesocongusto #cibosano</t>
  </si>
  <si>
    <t>Veneto, Veneto, Italy</t>
  </si>
  <si>
    <t>lochefconsiglia</t>
  </si>
  <si>
    <t>perdipesocongusto</t>
  </si>
  <si>
    <t>italiangirl</t>
  </si>
  <si>
    <t>namastemari</t>
  </si>
  <si>
    <t>1596688144609467640_196912843</t>
  </si>
  <si>
    <t>#realtalk time. For the past couple of days the binge monster paid a visit. I have been snacking on anything that I can get my hands on and honesty I felt like I didn't "deserve" to eat today. How sad is that? I've spent most of the morning "hung over" from the excess calories. Around 1 pm, I peeled myself off the couch and got moving. I used the extra calories as fuel and had an amazing workout. Now I'm enjoying homemade egg salad on whole wheat wrap and Parmesan crusted baked string beans. The main reason that I'm in this industry is because I personally know the struggles. It's not always as simple as calories in and calories out and heading to the gym. Sometimes it's much more than that and that's why I can connect with my clients. I want people to live a healthier lifestyle; physically, mentally, and spiritually. Namaste #myffmeal #sweatpink #acefitness #personaltrainer #healthcoach #yogateacher #namastemari #buildanddontstop #nomnomnom #nomnom #noms #progressnotperfection #fitfoodie #instafood #bingeeatingdisorder #keepongoing</t>
  </si>
  <si>
    <t>fitfoodie</t>
  </si>
  <si>
    <t>acefitness</t>
  </si>
  <si>
    <t>buildanddontstop</t>
  </si>
  <si>
    <t>noms</t>
  </si>
  <si>
    <t>silviasimbiosis</t>
  </si>
  <si>
    <t>1596688283819349404_178277205</t>
  </si>
  <si>
    <t>Let the sunshine in 🌞
.
.
.
.
.
#iamback #alive #goodenergy #greatful #strength #peaceofmind #withyou #stepbystep #positive #reflexive #live #love #forgive #feel #smile #wonderfulworld 
#beforesunset #magicaldays #keepongoing #alwaysforward #keeponwalking #hiseptember 
#arrosambfesolsitu ☀️</t>
  </si>
  <si>
    <t>iamback</t>
  </si>
  <si>
    <t>beforesunset</t>
  </si>
  <si>
    <t>alwaysforward</t>
  </si>
  <si>
    <t>1596689566310425046_1360876445</t>
  </si>
  <si>
    <t>100 days of inspiration 
Day 11- Daljeet Hindustani _x000D_Political campaign enthusiast, a poet and of course, a person with a golden heart; I met him on B.S.O. @bringyoursoulout and it wasn't difficult at all to gel with him. _x000D_Spending the two days with him, he made me realize that I should start writing in Hindi as well. (I write occasionally and in English)_x000D_
I aspire to write more and more in Hindi like you._x000D_Thank you @daljeethindustani for being in my life❤_x000D_
कुछ लोग आते हैं_x000D_आपको सब कुछ सिखा जाने के लिए।।
.
.
. . ._x000D_
#100daysofinspiration #DaljeetHindustani #dalhousieseaayadost #inspireeachother  #writedaily #writersofig #instadaily #writersofinstagram #poetsofinstagram #postthepeople #writerscommunity #keepwriting #letsdoit #keepongoing #inspiringstories</t>
  </si>
  <si>
    <t>writedaily</t>
  </si>
  <si>
    <t>keepwriting</t>
  </si>
  <si>
    <t>writersofig</t>
  </si>
  <si>
    <t>100daysofinspiration</t>
  </si>
  <si>
    <t>the_yummy_mummy_challenge</t>
  </si>
  <si>
    <t>1596690669807490676_5631063982</t>
  </si>
  <si>
    <t>Chicken and bacon salad... a few syns here for coleslaw, potato salad and dressing - but the past 5 days have been kind of off plan. Must get back on it! #slacking #backtoit #motivation #tothenextgoal #keepongoing #slimmingworldmotivation</t>
  </si>
  <si>
    <t>slimmingworldmotivation</t>
  </si>
  <si>
    <t>backtoit</t>
  </si>
  <si>
    <t>slacking</t>
  </si>
  <si>
    <t>ibelieveinthebatman.x</t>
  </si>
  <si>
    <t>1596692289563877692_228190861</t>
  </si>
  <si>
    <t>⠀⠀
⠀
⠀⠀⠀⠀ ⠀⠀⠀⠀⠀O4.O9.2O17
✌🏼back in business! Wurde auch mal wieder Zeit, dass was passiert.. 🤦🏼‍♀️Aber es war sogar garnicht so schlecht, wie ich anfangs gedacht hätte. Und wie jedes Mal hat man einfach wieder unendlich viel Motivation! Wenn man erstmal wieder anfängt, dann läuft's! 👆🏼
Die Investition in ein Mountainbike hat sich auf jeden Fall gelohnt (w/ bae ❥) Anschließend dann noch ein Workout von Sophia Thiel &amp; ich war wie neu. 
Es geht viel leichter, wenn man ein Ziel vor Augen hat.. ich habe einen einzigen Fehler in meinem Leben begangen, den ich bis heute zutiefst bereue - die Entscheidung gegen das Handballspielen. Bisher hat mich nichts so ausgleichen können, wie es dieser Sport jahrelang geschafft hat. Immer wieder merke ich, wie es mir fehlt sich einfach komplett auszupowern und das Mannschaftsgefühl zu genießen. Aber bevor es irgendwie wieder in diese Richtung gehen kann, muss man zuerst akzeptieren, dass es niemals so werden wird, wie es in einem Team war, mit dem man soviel erreicht und erlebt hat; mit dem man gewachsen ist. 🏆🥇(@meeierli 💋) ⠀⠀
Ich habe jetzt noch gut ein halbes Jahr Zeit, um mich einigermaßen vorzubereiten.. 😏 und dann werden mal die Vereine in Schleswig-holstein oder Hamburg inspiziert 🕵🏼‍♀️ wer weiß, vielleicht klappt es ja. 🤞🏼😶 Ich liege jetzt zufrieden und kaputt im Bett, bin froh, dass der Montag rum ist &amp; wir wieder einen Tag näher am Freitag sind 🎗@berufsretter ❤️&amp; versuche jetzt mal irgendwie zu schlafen. Gute Naacht :) ⠀⠀ ⠀⠀
⠀⠀ ⠀⠀ "i want to see what happens if i don't give up" ⠀⠀
⠀⠀
#sport #fitness #fitnessmotivation #whynot #try #mountainbike #white #workout #sophiathiel #sweatbabysweat #positivevibes #motivation #lvlpro #sports #done #proud #nevergiveup #keepongoing</t>
  </si>
  <si>
    <t>Löhne Obernbeck</t>
  </si>
  <si>
    <t>sophiathiel</t>
  </si>
  <si>
    <t>crosfitter.thirza</t>
  </si>
  <si>
    <t>1596702382358819477_462675501</t>
  </si>
  <si>
    <t>Crossfit Fundamentals completed✔️ #crossfitheerlen #mynewaddiction #letsdothis#workharder#keepongoing #believeinyourself #believeinyourdreams#crossfit #crossfitaddict#crossfitter#anytimefitnessheerlen ➖Dream➖Believe➖Achieve➖</t>
  </si>
  <si>
    <t>CrossFit Heerlen</t>
  </si>
  <si>
    <t>crossfitheerlen</t>
  </si>
  <si>
    <t>marinamarinera89</t>
  </si>
  <si>
    <t>1596717943965473682_3435917191</t>
  </si>
  <si>
    <t>Haz que no parezca amor.
Que es lo que se lleva ahora.
Duelen tantas tripas en nombre de la libertad.
Tú dices libre y yo digo cobarde.
Cobarde todo aquel que no es capaz de comprometerse con el instante.
Cobarde todo aquel que no esté presente cuando el otro está desnudo y vulnerable.
Cobarde todo aquel que puso un límite desde el principio.
Yo es que no quiero nada serio.
Como si no fuera lo suficientemente serio estar dentro físicamente de otro ser humano.
Yo es que no creo en las etiquetas.
Como si ponerle nombre a las cosas fuera algo malo.
Yo es que busco pasar el rato.
Como si la vida fuera para siempre.
Hay algo tan neurótico en nuestra manera actual de relacionarnos.
Tan irrespetuoso con la vida. Tan impaciente.
Y queremos más: más picante, más gorda, más grandes, más altos, más guapas, más fuertes, más delgadas.
Nos aburrimos porque no nos soportamos a nosotros mismos.
Porque no queremos que nadie nos conozca.
Porque es más sencillo empezar de nuevo cada poco vendiendo nuestra mejor cara.
Porque es mucho más sencillo follar que limpiar lo follado.
Porque tenemos miedo a que en el fondo seamos un auténtico fraude.
A que cuando el otro arañe un poco vea que no hay nada.
Nada serio.
Y aquí seguimos rascando, cambiando cromos repetidos, poniéndonos ropa interior cara para que otros se limpien los pies al entrar.
Haciendo del Amor una servidumbre de paso. ¿No sientes a veces que tú vales más que todo eso que haces?
Que tú eres un jodido milagro.
Con tus ojos que todavía pueden ver.
Con tu pies moviéndose para llevarte al lugar que quieras.
Con tu boca capaz de dar las gracias.
Con tu piel ocupando una plaza en el mundo. ¿No sientes a veces que tú te mereces más que lo poco que te dan?
Dos besos mal pegados.
Tres minutos entre las piernas.
Cinco embestidas.
Y un WhatsApp: No me agobies.
Lo más triste es que esta sociedad ha conseguido invertir los papeles.
Ahora si dices que sientes algo, estás loco.
Es muy pronto. Muy arriesgado. Poco inteligente.
Dime tú, cómo lo haces para no sentir algo cuando lo haces. ¿Cómo se finge la vida?
Cómo se hace para que nunca parezca amor.
Roy G.
#keepongoing #findyourway #letsfeel
 #nevergiveup #dontbeafraid #myself #beyou</t>
  </si>
  <si>
    <t>dontbeafraid</t>
  </si>
  <si>
    <t>findyourway</t>
  </si>
  <si>
    <t>letsfeel</t>
  </si>
  <si>
    <t>1596718274677332014_1551000842</t>
  </si>
  <si>
    <t>1596718608309149031_1551000842</t>
  </si>
  <si>
    <t>Love me time 
Oil and Steel 
___________________________ 
#millionaireimage #doitforyourself #betterme #beyourown #keeponkeepingon #workforwhatyouwant  #marketingmoment #marketingsolutions #encourageyourself #bethechangeyouwanttosee #youvegotthis #oilfieldlife #millionairequotes #inspirationalthoughts #positivepeople #americanbusiness #quoteme  #strategize #seemslegit #youdoyou #inspirationalpost #businessownership #businessisbusiness #keepongoing #selfconfidence #bewhoyouare #bewhatyouwanttobe #socialinfluencers #socialize"</t>
  </si>
  <si>
    <t>girls.gone.healthy</t>
  </si>
  <si>
    <t>1596722045843321380_792475734</t>
  </si>
  <si>
    <t>Try, try again 🎈 #gghgirls  #girlsgonehealthyus</t>
  </si>
  <si>
    <t>trytryagain</t>
  </si>
  <si>
    <t>quittingnotanoption</t>
  </si>
  <si>
    <t>1596729696129042405_3313126232</t>
  </si>
  <si>
    <t>Oh yes. 
#peptalks #daily #loveyourself #loveyourselffirst #motivation #keepongoing</t>
  </si>
  <si>
    <t>peptalks</t>
  </si>
  <si>
    <t>1596741635005562042_5468355632</t>
  </si>
  <si>
    <t>I made a studio ghibli account (anime) idk if I'm gonna keep it or not 🤔 we'll see -🐠
-
-
-
#josh #tyler #jenna #twentyonepilots #bands #frens #laugh #myidols 
#loveyou #bestmusic #keepongoing #ibelieve #theyrethebest #funny #smile #tøpmemes #tøp #stayalive #inspiring  #beautifulpeople</t>
  </si>
  <si>
    <t>lifeline_words</t>
  </si>
  <si>
    <t>1596744405318656482_4360742162</t>
  </si>
  <si>
    <t>#scroll #lifelinewords #hanginthere #keepongoing #nevergiveup #instaquote #words #letters #feelings #fbf #f4follow #f4f</t>
  </si>
  <si>
    <t>lifelinewords</t>
  </si>
  <si>
    <t>hanginthere</t>
  </si>
  <si>
    <t>f4follow</t>
  </si>
  <si>
    <t>fbf</t>
  </si>
  <si>
    <t>pa2uhnwi</t>
  </si>
  <si>
    <t>1596755869096550344_5750725737</t>
  </si>
  <si>
    <t>It takes courage to try again... #dontgiveup #nevergiveup #keepongoing #tryagaintomorrow #yougotthis</t>
  </si>
  <si>
    <t>tryagaintomorrow</t>
  </si>
  <si>
    <t>1596763999310355692_4773778225</t>
  </si>
  <si>
    <t>🦋🦋🦋#worldtravelbook #flashesofdelight #art #lake #rainbow #goodafternoonpost #keeponkeepingon #keepongoing #motivation #motivationeveryday #sunset #flowers #architecturephotography #architecture #tagsforlikes #bluesky #likesforlikes #follow #almosttheweekend #smile #happy #morningmotivation #flower #behappy #grateful @j</t>
  </si>
  <si>
    <t>Edwards Gardens</t>
  </si>
  <si>
    <t>1596764245206152103_4229046670</t>
  </si>
  <si>
    <t>sundayworkout</t>
  </si>
  <si>
    <t>instafitnes</t>
  </si>
  <si>
    <t>fitlyfe</t>
  </si>
  <si>
    <t>1596764849304446042_216089260</t>
  </si>
  <si>
    <t>Empowering our future leaders to dream big!  Vision boarding in our schools and communities..
.
.
.
#divineorder #empoweringwomen #goals #growth #happy #inspiration #jamaicanlifecoach #lifecoach #lovemyjob #mindset #morethanenough #nofear #nicolewright #purpose #success #survivor #universe #nevertoolatetostartover #nevertoolatetobegin #standuptocancer #nevergiveup #keepongoing #believeinyourself #happy #lovemylife  #anthropologie #naturalhair #jamaicanlifecoach</t>
  </si>
  <si>
    <t>naturalhair</t>
  </si>
  <si>
    <t>1596765715679725260_216089260</t>
  </si>
  <si>
    <t>Teen with Dreams!!
..
#divineorder #empoweringwomen #goals #growth #happy #inspiration #jamaicanlifecoach #lifecoach #lovemyjob #mindset #morethanenough #nofear #nicolewright #purpose #success #survivor #universe #nevertoolatetostartover #nevertoolatetobegin #standuptocancer #nevergiveup #keepongoing #believeinyourself #happy #lovemylife  #anthropologie #naturalhair #jamaicanlifecoach</t>
  </si>
  <si>
    <t>1596767257673609621_216089260</t>
  </si>
  <si>
    <t>Our leaders..
.
.
.
#divineorder #empoweringwomen #goals #growth #happy #inspiration #jamaicanlifecoach #lifecoach #lovemyjob #mindset #morethanenough #nofear #nicolewright #purpose #success #survivor #universe #nevertoolatetostartover #nevertoolatetobegin #standuptocancer #nevergiveup #keepongoing #believeinyourself #happy #lovemylife  #anthropologie #naturalhair #jamaicanlifecoach</t>
  </si>
  <si>
    <t>1596767881727339403_216089260</t>
  </si>
  <si>
    <t>Teens Vision Boarding.
..
.
.
#divineorder #empoweringwomen #goals #growth #happy #inspiration #jamaicanlifecoach #lifecoach #lovemyjob #mindset #morethanenough #nofear #nicolewright #purpose #success #survivor #universe #nevertoolatetostartover #nevertoolatetobegin #standuptocancer #nevergiveup #keepongoing #believeinyourself #happy #lovemylife  #anthropologie #naturalhair #jamaicanlifecoach</t>
  </si>
  <si>
    <t>1596775827239007164_5705167414</t>
  </si>
  <si>
    <t>Yo it's really hard to find shots like these, these photos are dope af 🔥🔥🔥, Missing : Draymond  #Dubnation
-
-
-
-
-
-
-
-
-
-
-
-
-
-
-
-
-
-
-
-
-
-
-
-
-
-
-
-
-
-
-
-
-
-
-
-
-
-
-
-
 #StephGonnaSteph #Mvp #SC30 #KT11 #DG23 #CURRYMVP #KEEPONGOING #NEVERGIVEUP #WCF #WEST #WESTERNCONFERENCEFINALS #CHAMPS #DUBSFORCHAMPS #DUBS #ALWAYSBELIEVEINGOD #STEPHENCURRY #EVEN #NBA #2016CHAMPS #CHAMPIONS #LOCKIN #STEPH #SPLASH #SPLASHBROS  #like4like #like4follow #follow4follow</t>
  </si>
  <si>
    <t>wholesomehope</t>
  </si>
  <si>
    <t>1596779032359562126_1433290169</t>
  </si>
  <si>
    <t>#bossbabe #workingmama #youcandoit #aimhigh #nevergiveup #nowhatifs #youareamazing #keepongoing #dreambig #dreambigger</t>
  </si>
  <si>
    <t>nowhatifs</t>
  </si>
  <si>
    <t>aimhigh</t>
  </si>
  <si>
    <t>workingmama</t>
  </si>
  <si>
    <t>1596779715702589139_5705167414</t>
  </si>
  <si>
    <t>The feeling when life actually gives you a break and doesn't give you any exams or hws for a day 😃  #Dubnation
-
-
-
-
-
-
-
-
-
-
-
-
-
-
-
-
-
-
-
-
-
-
-
-
-
-
-
-
-
-
-
-
-
-
-
-
-
-
-
-
 #StephGonnaSteph #Mvp #SC30 #KT11 #DG23 #CURRYMVP #KEEPONGOING #NEVERGIVEUP #WCF #WEST #WESTERNCONFERENCEFINALS #CHAMPS #DUBSFORCHAMPS #DUBS #ALWAYSBELIEVEINGOD #STEPHENCURRY #EVEN #NBA #2016CHAMPS #CHAMPIONS #LOCKIN #STEPH #SPLASH #SPLASHBROS  #like4like #like4follow #follow4follow</t>
  </si>
  <si>
    <t>1596787899613663109_216089260</t>
  </si>
  <si>
    <t>My purpose.. this is the reason I survived.
.
.#divineorder #empoweringwomen #goals #growth #happy #inspiration #jamaicanlifecoach #lifecoach #lovemyjob #mindset #morethanenough #nofear #nicolewright #purpose #success #survivor #universe #nevertoolatetostartover #nevertoolatetobegin #standuptocancer #nevergiveup #keepongoing #believeinyourself #happy #lovemylife  #anthropologie #naturalhair #jamaicanlifecoach</t>
  </si>
  <si>
    <t>1596788610674181389_216089260</t>
  </si>
  <si>
    <t>Meet my teen with Dreams.
.
.
.
.
#divineorder #empoweringwomen #goals #growth #happy #inspiration #jamaicanlifecoach #lifecoach #lovemyjob #mindset #morethanenough #nofear #nicolewright #purpose #success #survivor #universe #nevertoolatetostartover #nevertoolatetobegin #standuptocancer #nevergiveup #keepongoing #believeinyourself #happy #lovemylife  #anthropologie #naturalhair #jamaicanlifecoach</t>
  </si>
  <si>
    <t>1596789403909258491_216089260</t>
  </si>
  <si>
    <t>Our future leader .
.
#divineorder #empoweringwomen #goals #growth #happy #inspiration #jamaicanlifecoach #lifecoach #lovemyjob #mindset #morethanenough #nofear #nicolewright #purpose #success #survivor #universe #nevertoolatetostartover #nevertoolatetobegin #standuptocancer #nevergiveup #keepongoing #believeinyourself #happy #lovemylife  #anthropologie #naturalhair #jamaicanlifecoach</t>
  </si>
  <si>
    <t>bridgetb0mber</t>
  </si>
  <si>
    <t>1596793737244994861_179515559</t>
  </si>
  <si>
    <t>Hi September 😜 - So last Fall I looked more like the next photo [swipe right 👉🏻] and one day...or week straight rather...I was binge watching interviews with actors talking about how they transformed their bodies and completely dedicated themselves physically to their roles. (Yeah cause why the actual fuck did I find that relatable I don't know lmao but I digress.) And then in an interview with @prattprattpratt he said this thing that just kind of stuck with me. "Time is gonna go by just as fast whether you're doin' it or not so who do you want to be 8 months from now?" And so instead of over complicating everything I said okay, if it's as simple as calories in versus calories out than just do science. I still eat shit and have to remind myself that it's okay but not CONSISTENTLY. And so I'd like to think this will be my first #fitfall 💓</t>
  </si>
  <si>
    <t>vscomag</t>
  </si>
  <si>
    <t>alifealive</t>
  </si>
  <si>
    <t>moodyports</t>
  </si>
  <si>
    <t>1596795055505881580_1551000842</t>
  </si>
  <si>
    <t>unbound.travels</t>
  </si>
  <si>
    <t>1596797643116157197_5715914248</t>
  </si>
  <si>
    <t>This tree is real and It show how the world loves us❤ Share with your friends 👇
cc: @ unknow via @lovethisglobe
.
.
.
.
.
.
.
.
#travelvlog #creativeentrepreneur #goodstart #animals #paradisebay #awesomeglobe #crystalclearwaters #discoverearth #lifeisfun #travelfreak #skypainters #travelphotography #meditationtime #paradisefound #keepongoing #paycationtravel #paradisehotelse #travelinspired #openmyworld #beachboy #allthewayup #traveldiaries #lifechoices #vacationland #travelgermany</t>
  </si>
  <si>
    <t>crystalclearwaters</t>
  </si>
  <si>
    <t>travelinspired</t>
  </si>
  <si>
    <t>stoked.travels</t>
  </si>
  <si>
    <t>1596797731272076017_5798495348</t>
  </si>
  <si>
    <t>fengjiang_mine</t>
  </si>
  <si>
    <t>1596800216168677681_1530087054</t>
  </si>
  <si>
    <t>:
I actually don't know if it's a good idea to post this up here but who cares. Lol. Just saw someone online do the chorus with his real voice, instead of falsetto, so I thought maybe I can try. Ignore the face tho, I have ugly expression when I sing. Hahaha.
I really need to sing more. Just feel that there's so much to improve for my singing.
#radiohead #creep #cover #sing #singer #singer #江峰不是汪峰 #practice #kareoke #life #love #improve #keepongoing #keepgoing #music #lovemusic #lovesinging #artist</t>
  </si>
  <si>
    <t>kareoke</t>
  </si>
  <si>
    <t>radiohead</t>
  </si>
  <si>
    <t>cover</t>
  </si>
  <si>
    <t>江峰不是汪峰</t>
  </si>
  <si>
    <t>crossfit_tamiami</t>
  </si>
  <si>
    <t>1596800369261254310_1250450361</t>
  </si>
  <si>
    <t>Your Focus determines Your Reality #aimgain #grind 
Strength:
Every 90 Seconds For 5 Rounds 
5 Back Squats @ Same #
WOD 12 Min AMRAP 
8 Deadlifts @185#/135#
12 Box Jumps @24"/20"
#cftamiami #movement #miamifitness #nolimits #noexcuses #keepongoing #livelifefitter</t>
  </si>
  <si>
    <t>cftamiami</t>
  </si>
  <si>
    <t>miamifitness</t>
  </si>
  <si>
    <t>amillionairelife</t>
  </si>
  <si>
    <t>1596801046525267104_2585208931</t>
  </si>
  <si>
    <t>#dayofgiving 
TEXT TO DONATE: Text Harvey to 90999  #harvey2017 @americanredcross #hopeforhouston #quotelove #quoteme #socialmarketing  #makeitreal #goalgetter #oilfield  #thankfulness #seemslegit #millionaireimage #dailyinspirations #bemyownboss #realpeople #simplytrue #careergoals #millionaireimage  #goaldriven  #ceolife #socialinfluencer #oilfield  #getting  #goalsetting #quotes4you  #inspirationalpost  #positivepeople #keepongoing #marketingpro #marketingtools #inspirationalpeople</t>
  </si>
  <si>
    <t>socialinfluencer</t>
  </si>
  <si>
    <t>goaldriven</t>
  </si>
  <si>
    <t>1596801197528665686_1615759923</t>
  </si>
  <si>
    <t>1596801318792885976_1551000842</t>
  </si>
  <si>
    <t>1596801449874250409_3043392516</t>
  </si>
  <si>
    <t>1596802157529354548_3275305</t>
  </si>
  <si>
    <t>It is what it is. 
It was what it was. 
It will be what it will be.</t>
  </si>
  <si>
    <t>Sydney Opera House</t>
  </si>
  <si>
    <t>1596804879824104427_40740215</t>
  </si>
  <si>
    <t>Round 1 done and I'm feeling AMAZING! So here are my current stats: ▪️Down 4lbs
▪️Down 6.5 inches ▪️Up a TON of energy and self-confidence 
Want to know how you can get results like these too?! Drop your fav emoji below and I'll DM you all the details! 👇</t>
  </si>
  <si>
    <t>1596815123624602025_505362397</t>
  </si>
  <si>
    <t>#Morish2017
Beautiful couple 💯✔️
#Lovers #lovebirds #yorubawedding #nigerianwedding #Americawedding #vancouverwashington #keepongoing 📸 #xtiansimagery</t>
  </si>
  <si>
    <t>Vancouver, Washington</t>
  </si>
  <si>
    <t>morish2017</t>
  </si>
  <si>
    <t>americawedding</t>
  </si>
  <si>
    <t>vancouverwashington</t>
  </si>
  <si>
    <t>nayfurtado</t>
  </si>
  <si>
    <t>1596817280124237293_7599387</t>
  </si>
  <si>
    <t>A cara de felicidade/alívio de quem conseguiu fazer uma coisa que tava treinando a muito tempo! 😂👊🏼 🥊 
#boxechinês #keepongoing #fightlikeagirl #family #workhard #mondaymood</t>
  </si>
  <si>
    <t>Alta Energia Mangabeiras</t>
  </si>
  <si>
    <t>boxechinês</t>
  </si>
  <si>
    <t>fightlikeagirl</t>
  </si>
  <si>
    <t>breeanna_bee</t>
  </si>
  <si>
    <t>1596817428302469139_41739384</t>
  </si>
  <si>
    <t>put energy into positivity and watch the sun come out more often #positivevibesonly #keepongoing</t>
  </si>
  <si>
    <t>yoo_itsashley</t>
  </si>
  <si>
    <t>1596821313887855476_47081543</t>
  </si>
  <si>
    <t>"The sky is the limit, right?" - Keith🌩✨#keepongoing #roadtosuccess #staystrongbeautiful 💋 #driven</t>
  </si>
  <si>
    <t>driven</t>
  </si>
  <si>
    <t>staystrongbeautiful</t>
  </si>
  <si>
    <t>1596831859123606248_5468355632</t>
  </si>
  <si>
    <t>These are so cute 😍 -🐠
-
-
-
#josh #tyler #jenna #twentyonepilots #bands #frens #laugh #myidols 
#loveyou #bestmusic #keepongoing #ibelieve #theyrethebest #funny #smile #tøpmemes #tøp #stayalive #inspiring  #beautifulpeople</t>
  </si>
  <si>
    <t>1596832678321390519_5468355632</t>
  </si>
  <si>
    <t>Stole this 100% from @tylersdoggo -🐠
-
-
-
#josh #tyler #jenna #twentyonepilots #bands #frens #laugh #myidols 
#loveyou #bestmusic #keepongoing #ibelieve #theyrethebest #funny #smile #tøpmemes #tøp #stayalive #inspiring  #beautifulpeople</t>
  </si>
  <si>
    <t>1596833293063882070_5468355632</t>
  </si>
  <si>
    <t>Ahhh we are so close to 200!! -🐠
-
-
-
#josh #tyler #jenna #twentyonepilots #bands #frens #laugh #myidols 
#loveyou #bestmusic #keepongoing #ibelieve #theyrethebest #funny #smile #tøpmemes #tøp #stayalive #inspiring  #beautifulpeople</t>
  </si>
  <si>
    <t>motorbikemike13</t>
  </si>
  <si>
    <t>1596838416992699035_3010149924</t>
  </si>
  <si>
    <t>Open road, iPhone 6s Plus, snapseed. #openroad #openroads #whereareyougoing #wandering #sunlight #sunglares #sunglare #everydaybeauty #random #lifeisahighway #relaxingday #relaxingtime #keeponmovin #keepongoing #riding #motorcycle #iphonephoto #iphonephotography #iphonephotographer #iphonepic #iphonepics #iphonepicture #iphonepictures</t>
  </si>
  <si>
    <t>Alberta</t>
  </si>
  <si>
    <t>iphonepics</t>
  </si>
  <si>
    <t>motorcycle</t>
  </si>
  <si>
    <t>iphonepic</t>
  </si>
  <si>
    <t>relaxingtime</t>
  </si>
  <si>
    <t>juhjuh_ferreira</t>
  </si>
  <si>
    <t>1596839012658595016_973608940</t>
  </si>
  <si>
    <t>💁
#boanoite 
#goodnight 
#bonssonhos 
#sweetdreams 
#keepcalm 
#keepongoing 
#keepcrazy 
#cabelocurto 
#❤</t>
  </si>
  <si>
    <t>keepcrazy</t>
  </si>
  <si>
    <t>nicki_marie_b</t>
  </si>
  <si>
    <t>1596839595307499453_1861218</t>
  </si>
  <si>
    <t>#inspiration #boom #confidenceoverdoubt #movingon #keepongoing #instagood #quotestoliveby #dontlookback #behappy #futurelooksbright</t>
  </si>
  <si>
    <t>futurelooksbright</t>
  </si>
  <si>
    <t>1596841150379202006_5468355632</t>
  </si>
  <si>
    <t>HAPPY FALL 
Artist: @t.earinmyart { also I know shoutouts are super super super annoying and I'm sorrryyyyy but if you like anime and superheroes follow these two accounts 💕 swipe 👉) -🐠
-
-
-
#josh #tyler #jenna #twentyonepilots #bands #frens #laugh #myidols 
#loveyou #bestmusic #keepongoing #ibelieve #theyrethebest #funny #smile #tøpmemes #tøp #stayalive #inspiring  #beautifulpeople</t>
  </si>
  <si>
    <t>mssoldyaj</t>
  </si>
  <si>
    <t>1596842708713186846_190950255</t>
  </si>
  <si>
    <t>Before I go to sleep, thinking about tomorrow's plan
#vision #work #determined #plan #dream #abstract #whatido #selfie #goodnight #keepongoing #nostopping #justme</t>
  </si>
  <si>
    <t>abstract</t>
  </si>
  <si>
    <t>whatido</t>
  </si>
  <si>
    <t>pxleire</t>
  </si>
  <si>
    <t>1596846043789995441_5453030062</t>
  </si>
  <si>
    <t>Only 9500 to go!
#wise #slowlygettingthere #cantsleep #needcoffee #caketime #rainynight #inspirationalquotes #motivation #nevergiveup #keepongoing #makeitfun #enjoyphotography #learningbydoing</t>
  </si>
  <si>
    <t>slowlygettingthere</t>
  </si>
  <si>
    <t>needcoffee</t>
  </si>
  <si>
    <t>makeitfun</t>
  </si>
  <si>
    <t>mcus04</t>
  </si>
  <si>
    <t>1596849014286939020_197434094</t>
  </si>
  <si>
    <t>I was talking to my gf and my buddy about the journey that is me getting back into shape and I realized I've come further than I thought. This is a very slow 2 year gap, but I'm proud of where I am. I hope this pic continues to fuel my drive to always be improving as well as give the motivation to those that need it to keep it up with their goals!
.
.
.
.
#motivationmonday #wip
#biggerleanerstronger #keepongoing #weirdfaces</t>
  </si>
  <si>
    <t>Tucson, Arizona</t>
  </si>
  <si>
    <t>biggerleanerstronger</t>
  </si>
  <si>
    <t>weirdfaces</t>
  </si>
  <si>
    <t>1596856056483178814_4230196596</t>
  </si>
  <si>
    <t>Check out @diazdilya 😉</t>
  </si>
  <si>
    <t>1596857141171813928_4230484970</t>
  </si>
  <si>
    <t>@clara_lindblom 🍑💟</t>
  </si>
  <si>
    <t>1596858139943284853_3115132128</t>
  </si>
  <si>
    <t>Here y'all go! Here are pictures from my latest bulking transformation. First three pictures were a week before my first bodybuilding competition in May. The last three are from June and the last picture was from three weeks ago. I'm still in the process of building more muscle with staying a lean mass. I plan to still to do it for a couple of more months until I know I'm ready to start cutting. I've noticed a big difference and I am happy to see more changes. I'm so proud of all my hard work 💪🏽 #strongisthenewskinny •
•
•
•
•
•
•
•
•
•
•
•
•
•
•
•
•
#healthygirl #heavyweight #healthylifestyle #gymlife #trainhard #getresults #transformation #bulking #buildingmuscles #strongisthenewskinny #strongereveryday #girlswithcurves #girlswholift #gym@#goals #summer #summertransformation #keepongoing #nevergiveup #cutting #probably #inacouplemonths #takestime #gymlife</t>
  </si>
  <si>
    <t>girlswithcurves</t>
  </si>
  <si>
    <t>bulking</t>
  </si>
  <si>
    <t>1596860452004269186_5468355632</t>
  </si>
  <si>
    <t>This is an old picture but it's sooo pretty 🐠
-
-
-
#josh #tyler #jenna #twentyonepilots #bands #frens #laugh #myidols 
#loveyou #bestmusic #keepongoing #ibelieve #theyrethebest #funny #smile #tøpmemes #tøp #stayalive #inspiring  #beautifulpeople</t>
  </si>
  <si>
    <t>1596860643885211242_5468355632</t>
  </si>
  <si>
    <t>I nail it every time.
🐠
-
-
-
#josh #tyler #jenna #twentyonepilots #bands #frens #laugh #myidols 
#loveyou #bestmusic #keepongoing #ibelieve #theyrethebest #funny #smile #tøpmemes #tøp #stayalive #inspiring  #beautifulpeople</t>
  </si>
  <si>
    <t>cynthia.labelle</t>
  </si>
  <si>
    <t>1596864492117711549_270368107</t>
  </si>
  <si>
    <t>Those night at the gym . 💚______________________________________________________________________________________________#latenightworkout#dontgiveup#achieveyourdreams#achieveyourgoals#keepongoing#selfie#monday#workout #newpassion#gym#fitness</t>
  </si>
  <si>
    <t>latenightworkout</t>
  </si>
  <si>
    <t>1596870514130137833_1551000842</t>
  </si>
  <si>
    <t>RepostBy @texasquotes : . 
___________________________ 
#millionaireimage #doitforyourself #betteringmyself #beyourown #keeponkeepingon #workforwhatyouwant  #marketingtip #marketingsolutions #encourageyourself #bethechangeyouwanttosee #youvegotthis  #millionairedreams #inspirationalthoughts #positivepeople #americanbusiness #quoteme  #strategize #seemslegit #youdoyou #inspirationalpost #businessownership #businessisbusiness #keepongoing #quotes4you #bewhoyouare #goalsaf #bewhatyouwanttobe #socialinfluencers #socialize"</t>
  </si>
  <si>
    <t>goalsaf</t>
  </si>
  <si>
    <t>1596871296134647912_1615759923</t>
  </si>
  <si>
    <t>Bad vibes... the power...fades
RepostBy @millionaireimage: . 
___________________________ 
#millionaireimage #doitforyourself #betteringmyself #beyourown #keeponkeepingon #workforwhatyouwant  #marketingtip #marketingsolutions #encourageyourself #bethechangeyouwanttosee #youvegotthis  #millionairedreams #inspirationalthoughts #positivepeople #americanbusiness #quoteme  #strategize #seemslegit #youdoyou #inspirationalpost #businessownership #businessisbusiness #keepongoing #quotes4you #bewhoyouare #goalsaf #bewhatyouwanttobe #socialinfluencers #socialize"</t>
  </si>
  <si>
    <t>1596879311390306849_180917512</t>
  </si>
  <si>
    <t>I can hardly believe the transformation/progress of my body after 6weeks💪
Thanks to my amazing coach @jacoventer1 for your guidence and motivation and also for the best quality supps @tnt_hardcore @ciccone_pharma! Thanks to my family for your support❤.Still 8weeks to go and I cannot wait to see the end result😆
#fitmom #instafit #gym #aesthetic #tnt #keepongoing #motivated #dedication #weights #cardio #eatclean #getlean #muscle #supplements #nutristore #traininsane #transformationtuesday</t>
  </si>
  <si>
    <t>getlean</t>
  </si>
  <si>
    <t>1596892099622242261_50373203</t>
  </si>
  <si>
    <t>《 GYMTIME 》
Afgelopen zondag getraind bij de Hub, dan mag een kleedkamerselfie niet ontbreken natuurlijk 😉
Nu weer lekker op tijd mijn bedje uit gestapt.Onderweg naar mijn eigen gym voor traning 1/4 van deze week. 💪 🏋🔥 -
#pbp #personalbodyplan #hub #hubbahubbahub #trainingday #workout #goals #keepongoing #dontgiveup #keepsmiling #enjoytheride #amsterdam #deventer #fitness #gettingfit #gettinghealthy #stronger #fitjourney #progress #instafit #goodmorning #riseandshine #earlybird #getyourhappyon #underarmour #bye💋</t>
  </si>
  <si>
    <t>Changing Life</t>
  </si>
  <si>
    <t>championstallion</t>
  </si>
  <si>
    <t>1596894064618467870_3122111630</t>
  </si>
  <si>
    <t>"Art enables us to find ourselves and lose ourselves at the same time"-unknown 😎💪
-
-
#art #artistsoninstagram #igart #express #bodybuilding #classicphysique #npc #offseason #practicemakesperfect #longwaytogo #nolookingback #pushing #keepongoing #happylaborday #lastdayofsummer #creative #splitscomingsoon #camouflage #readyforwar #classics #imaclassicman #goldenaesthetics</t>
  </si>
  <si>
    <t>24 Hour Fitness - Palmdale West, CA</t>
  </si>
  <si>
    <t>lastdayofsummer</t>
  </si>
  <si>
    <t>igart</t>
  </si>
  <si>
    <t>nutristore123</t>
  </si>
  <si>
    <t>1596903191365125608_3974433698</t>
  </si>
  <si>
    <t>@Regrann from @rachelda1vn -  I can hardly believe the transformation/progress of my body after 6weeks💪
Thanks to my amazing coach @jacoventer1 for your guidence and motivation and also for the best quality supps @tnt_hardcore @ciccone_pharma! Thanks to my family for your support❤.Still 8weeks to go and I cannot wait to see the end result😆
#fitmom #instafit #gym #aesthetic #tnt #keepongoing #motivated #dedication #weights #cardio #eatclean #getlean #muscle #supplements #nutristore #traininsane #transformationtuesday 
Team Nutristore for life!!</t>
  </si>
  <si>
    <t>james.cummings.18</t>
  </si>
  <si>
    <t>1596904154068411532_1475266429</t>
  </si>
  <si>
    <t>Bright and early start #baggyeyes #wornout #keepongoing</t>
  </si>
  <si>
    <t>wornout</t>
  </si>
  <si>
    <t>baggyeyes</t>
  </si>
  <si>
    <t>1596904727354263543_922492249</t>
  </si>
  <si>
    <t>4/9/17 #fooddiary total #syns  11.5  #fruits#couscous #mince #veggies #rice #chicken #onions #passata #nutellabeready #apple #breakfast #lunch #babybel 
#metcalfespopcorn #slimit 
#dinner #snacks #freefood #hexa #hexb #speedfood #slimmingworld #slimmingworlduk #foodoptimising #keepontrack #keepongoing</t>
  </si>
  <si>
    <t>nutellabeready</t>
  </si>
  <si>
    <t>veggies</t>
  </si>
  <si>
    <t>couscous</t>
  </si>
  <si>
    <t>ghost_clint</t>
  </si>
  <si>
    <t>1596906325828673781_1977260813</t>
  </si>
  <si>
    <t>I'm sure many suffer with depression, or psychological disorders. One of those nights, people often don't understand how difficult it is. Just try to keep on going. I suffer from borderline personality disorder, often I get made fun of it from other #gayguys ... why? I don't know. It sucks being #alone but I always say that it's what I'm meant to be dealing with .... so keep going. I'm much more than pictures ... #keepongoing #try #depression #clown #bipolar #borderlinepersonalitydisorder #sad #happy #moodswings #mood #dontgiveup #emotionalproblems #struggles #gay</t>
  </si>
  <si>
    <t>emotionalproblems</t>
  </si>
  <si>
    <t>gay</t>
  </si>
  <si>
    <t>kat_cruzzz</t>
  </si>
  <si>
    <t>1596909967137760281_3541738735</t>
  </si>
  <si>
    <t>We keep this love in a photograph
We made these memories for ourselves
Where our eyes are never closing
Hearts are never broken
And time's forever frozen still.
.
.
.
#photography #photo #pictures #photograph #love #pain #strength #keepongoing #illbeokay #everythingisgonnabeallright #smile #swag</t>
  </si>
  <si>
    <t>1596914870212902332_5781397138</t>
  </si>
  <si>
    <t>On the Camino
Thank you for the flowers and a glass of fresh water. .
. 
#camino #onthecamino #encamino #caminodesantiago #stjamesway #jakobsweg #galicia #pilgrim with #breastcancer #metastaticcancer under #chemotherapy #keepongoing #neverquit #lifeisbeautiful #gratefulheart #keeponmoving #trustyourself</t>
  </si>
  <si>
    <t>1596918215606548898_5468355632</t>
  </si>
  <si>
    <t>When someone says they love josh Tyler
Or when someone's says tyler sings like a girl.
Or when someone says they love josh Tyler. Goodbye. 
Also posted this on my main cuz it's GOLDEN
🐠
-
-
-
#josh #tyler #jenna #twentyonepilots #bands #frens #laugh #myidols 
#loveyou #bestmusic #keepongoing #ibelieve #theyrethebest #funny #smile #tøpmemes #tøp #stayalive #inspiring  #beautifulpeople</t>
  </si>
  <si>
    <t>1596920017604565079_292993861</t>
  </si>
  <si>
    <t>"In everyone's life, at some time, our inner fire goes out. It is then burst into flame by an encounter with another human being. We should all be thankful for those people who rekindle the inner spirit."- Albert Schweitzer •As always #life #chill #keepongoing #summer #fire #campfire #goodvibes #yougotthis #itstartsnow #success #enjoylife #thoughts #vibes</t>
  </si>
  <si>
    <t>itstartsnow</t>
  </si>
  <si>
    <t>1596922642945552144_429150387</t>
  </si>
  <si>
    <t>Always remember that, "God is fighting for us, pushing back the darkness, lighting up the kingdom, that cannot be shaken!" God is on your side! Jesus came that you might have life and life more abundantly, He has a hope and a future for you, keep looking to Him and don't give up 🙏 #TuesdayMotivation #HappyTuesday #Tuesday #TrustGod #Faith #Believe #SpeakLife #DontGiveUp #KeepOnGoing #LookToJesus #ItIsWell #AllThingsWorkTogether #Discernment #Bible #Truth #Love #Joy #EnjoyLife #Devotion #Encouragement #Confidence #Strength #GodsTiming #YouAreVictorious #JesusIsTheWay #Victory #AriseAndShine #ShineYourLight #YouAreLoved #JesusLovesYou</t>
  </si>
  <si>
    <t>1596928297068833694_418746164</t>
  </si>
  <si>
    <t>Morning bitches . I expect to See you all in gym today. Vacation is over . #gym #gymboy #gymlife #gymmotivation #getfit #fit #fitboy #fitness #fitnesslifestyle #fitnessmotivation #training #trainingday #weightloss #weightlossmotivation #workout #sport #weightlifting #keepongoing #nevergiveup #mylove #mylife #myjourney #keepingupwithjeffrey #jeffreyaerobics #thebrickantwerp 👊🏻</t>
  </si>
  <si>
    <t>The Brick Antwerp</t>
  </si>
  <si>
    <t>pohaikealoha__</t>
  </si>
  <si>
    <t>1596933659898070091_3415342726</t>
  </si>
  <si>
    <t>👎🏽If you say you can't, you won't.
.
👍🏽If you say you can, you will.
.
I was 🔒stuck in the I can't, I won't, and no need mindset for a while now.
.
My 🥀inspiration seemed to be slipping out of my grip and I was 💔falling further and further behind my goals.
.
Today I woke up and said 💥ENOUGH.💥
.
Even if it was as little as me making a 🍌🍓healthy smoothie for breakfast, it was more than I was doing.
.
🍃It doesn't matter how many times you fall down, but how many times you get back up.🌱
.
🌟Here's some evening Motivational Monday vibes for ya.🌟
.
#alwaysgrowing #motivationalmonday #mindset #getup #keepongoing #turnyouricantintoican #itsokaytofall #healthjourney</t>
  </si>
  <si>
    <t>itsokaytofall</t>
  </si>
  <si>
    <t>healthjourney</t>
  </si>
  <si>
    <t>turnyouricantintoican</t>
  </si>
  <si>
    <t>1596937907704656099_5499936257</t>
  </si>
  <si>
    <t>THIS morning I woke up on the wrong side of the bed - everything seemed either too much or too hard 😿 👿👎🏼👋🏼 We all have these days; I got myself up at 5AM and went and did a hearty leg workout which was the last thing I wanted to do but I'm glad I did, then went to job 1 and am currently at job 2 for the day - and as per usually for a bad day, nothing seemed to go my way 💀 gotta be positive however ✨😍
•
•
•
•
Nothing unusual about a bad day! Cheers to HUMP day on the horizon 😈😎🐐✌🏼😍🔥💕✨ •
•
•
•
•
•
#badday #ohwell #pushthrough #happydays #workworkwork #buildbetterdays #fit #fitnessmotivation #fitnessgirl #fitfam #buildabooty #letsgetit #go #gymmotivation #gymgirl #gym #legday #sleep #wrongsideofthebed #keepongoing #healthy #health #healthyeating #healthylifestyle #yougotthis #nearlyhumpday #happytuesday</t>
  </si>
  <si>
    <t>buildbetterdays</t>
  </si>
  <si>
    <t>buildabooty</t>
  </si>
  <si>
    <t>1596941985490260039_3176267654</t>
  </si>
  <si>
    <t>It's always summer somewhere. 
#lpfboutique #nailbar #prettynails #igdaily #hawaii #honeymoon #vacay #summernails #summerlook #beach #beautygram #instabeauty #instanails #naturalnails #nails2inspire #nailstagram #nailsofinstagram #instanailstyle #dailypic #lpfnails #travellingnails #keeponworking #keepongoing #dontsettleforless</t>
  </si>
  <si>
    <t>dailypic</t>
  </si>
  <si>
    <t>kyrabuil</t>
  </si>
  <si>
    <t>1596946969062239270_1273292380</t>
  </si>
  <si>
    <t>#dreaming #thinking #about #goals #wakeup #goodmorning #goodmorningworld #nevergiveup #yourdreams #happy #justdoit #goforit #goggleface #ready #startmyday #keepongoing #ready #to #work #raftguide #river #austria #tirol #kössen</t>
  </si>
  <si>
    <t>wakeup</t>
  </si>
  <si>
    <t>raftguide</t>
  </si>
  <si>
    <t>kössen</t>
  </si>
  <si>
    <t>1596947641726493814_2064574268</t>
  </si>
  <si>
    <t>#mykonos #nofilter #wanderlust #traveling #love #amazingviews #girltravels #keepongoing #aroundtheworld</t>
  </si>
  <si>
    <t>amazingviews</t>
  </si>
  <si>
    <t>1596951700312515251_5468355632</t>
  </si>
  <si>
    <t>OMG I MADE THIS IM SO PROUD I actually made two 😁👈
🐠
-
-
-
#josh #tyler #jenna #twentyonepilots #bands #frens #laugh #myidols 
#loveyou #bestmusic #keepongoing #ibelieve #theyrethebest #funny #smile #tøpmemes #tøp #stayalive #inspiring  #beautifulpeople</t>
  </si>
  <si>
    <t>1596952174084379917_5468355632</t>
  </si>
  <si>
    <t>I'm about to cry not even kidding, I should go to bed... BUT OH MY CR*P THIS IS GORGEOUS
🐠
-
-
-
#josh #tyler #jenna #twentyonepilots #bands #frens #laugh #myidols 
#loveyou #bestmusic #keepongoing #ibelieve #theyrethebest #funny #smile #tøpmemes #tøp #stayalive #inspiring  #beautifulpeople</t>
  </si>
  <si>
    <t>1596953095673503221_5468355632</t>
  </si>
  <si>
    <t>I've been drowned, don't try to save me
🐠
-
-
-
#josh #tyler #jenna #twentyonepilots #bands #frens #laugh #myidols 
#loveyou #bestmusic #keepongoing #ibelieve #theyrethebest #funny #smile #tøpmemes #tøp #stayalive #inspiring  #beautifulpeople</t>
  </si>
  <si>
    <t>eatgoodbefitnl</t>
  </si>
  <si>
    <t>1596956443414844409_3318860556</t>
  </si>
  <si>
    <t>One of the greatest moments in life is realizing that two weeks ago, your body couldn't do what you just did #keepongoing #youcandoit #fitnessmotivation #getyourassoutside #youcandomorethanyouthink #jumpbox #training #running #hitt #gaervoor #fitfoodhealth #fitfood #fitdutchies #fitnl #gettingfit #gethealthy #gezondleven #gezondevoeding #gezondeleefstijl #healthylife #healthyeating #healthylifestyle #eatgoodbefit #eatgoodbefitnl</t>
  </si>
  <si>
    <t>gezondleven</t>
  </si>
  <si>
    <t>fitnl</t>
  </si>
  <si>
    <t>youcandomorethanyouthink</t>
  </si>
  <si>
    <t>getyourassoutside</t>
  </si>
  <si>
    <t>sophie_pittam</t>
  </si>
  <si>
    <t>1596959828479440821_30010980</t>
  </si>
  <si>
    <t>💥💥💥💥💥💥💥💥💥💥💥💥💥💥💥💥
🥊SMASHING THIS WEIGHTLOSS THING! 🥊
💥💥💥💥💥💥💥💥💥💥💥💥💥💥💥💥 So I have been using DETOX TE ☕️ and SLEEP N LOSE 😴🌛 As you can see I've weighed myself from Sunday today and I've lost a total of just under 3lbs in 3 days!!! 😵🎉😍 I cannot believe it!! Get on and message me NOW for a deal on the DETOX TE I have 18 teas for you LUCKY PEOPLE who want to lose weight!!! 🎉😁 join me and let's lose together 💥🎉🥊🥊🥊🎉💥 #refreshyourlife #weightloss #watchmewinorwinwithme #droppingthepounds #2stonedown #keepongoing #letsdothis #imontopoftheworld #feelingood #youvedoubtedyourselfbeforeyouevenstartedevenstarted 
#wecanbeateam #loveyourself #yourbodyyourrules #doitthevidaway #sophvidaloca #sophiepittam #myway 💥🥊💥🥊💥🥊</t>
  </si>
  <si>
    <t>sophvidaloca</t>
  </si>
  <si>
    <t>refreshyourlife</t>
  </si>
  <si>
    <t>doitthevidaway</t>
  </si>
  <si>
    <t>1596960656215538692_4249248273</t>
  </si>
  <si>
    <t>Wahay! We are officially at the 7000 mark!
That's another 1808metres until I summit Everest. I'll be making my attempt to complete my @smashitforshine challenge to raise money for @shinecancersupport in exactly 1 month! #dontgiveup #determination #celebration #yay #yesican #believeinyourself #fundraising #cancersurvivor #cancersucks #amputee #paraclimber #ehlersdanlossyndrome #muslim #hijab #everest #summit #metaphor #training #keeptrying #keepongoing</t>
  </si>
  <si>
    <t>verena.maybe</t>
  </si>
  <si>
    <t>1596965316850831658_2273483756</t>
  </si>
  <si>
    <t>every champion was once a contender who refused to give up ⚓
#nevergiveup #keepongoing #backtothetop</t>
  </si>
  <si>
    <t>backtothetop</t>
  </si>
  <si>
    <t>alletidersjulemand.dk</t>
  </si>
  <si>
    <t>1596966701693401364_2041484917</t>
  </si>
  <si>
    <t>#sundmad #pastalover #egglover #healthyfood #weightloss #water #stayfit #betterbody #vedholdenhed #staystrong #keepongoing #bikefood #energyfood #changeyourlife #🇩🇰 #nåditmål #alletidersjulemand.dk</t>
  </si>
  <si>
    <t>betterbody</t>
  </si>
  <si>
    <t>energyfood</t>
  </si>
  <si>
    <t>1596967874738925719_656144651</t>
  </si>
  <si>
    <t>I hope following my path in life is easier than finding the campus entrence sign #uwstout 💙 #transferStudent #moveinday #exhausted #excited #stout #wisconsin #lookingToTheFuture #keepongoing #loveyourself #beyourself #chaseyourdreams #theStruggleIsReal #loveLife #hashtag #lovely</t>
  </si>
  <si>
    <t>transferstudent</t>
  </si>
  <si>
    <t>moveinday</t>
  </si>
  <si>
    <t>1596971720244483575_187591998</t>
  </si>
  <si>
    <t>"De cada fin nace un principio necesario." #vida #keepongoing #staypositive #moments #grateful  #soukram</t>
  </si>
  <si>
    <t>soukram</t>
  </si>
  <si>
    <t>we_travel_the_world.co</t>
  </si>
  <si>
    <t>1596991512737470995_2894273224</t>
  </si>
  <si>
    <t>Keep on walking through your storm, your rainbow is waiting on the other side. ❤ 🌈 #rainbow #storm #keepongoing #ilovebrno</t>
  </si>
  <si>
    <t>Brno, Czech Republic</t>
  </si>
  <si>
    <t>storm</t>
  </si>
  <si>
    <t>ilovebrno</t>
  </si>
  <si>
    <t>1596992043938730865_3275305</t>
  </si>
  <si>
    <t>No, don't say you're sorry and trying to tell me you love me. 
Don't get emotional, I already let you go.
Cause you cut me too deep.
And I ain't losing sleep anymore!</t>
  </si>
  <si>
    <t>1596992267595069002_229265971</t>
  </si>
  <si>
    <t>Shoulders workout💪🚗😁
#shouldersexercises #shouldersworkout #boomerang #shoulders #workout #workoutmotivation #motivation #healthylifestyle #nopainnogain #keepongoing #dontquit 
@yali_sanda</t>
  </si>
  <si>
    <t>shouldersworkout</t>
  </si>
  <si>
    <t>1596995306267630159_257202554</t>
  </si>
  <si>
    <t>#keepongoing #almostinshape #training #sonosecco #breadstick #icanmakeit #dream</t>
  </si>
  <si>
    <t>icanmakeit</t>
  </si>
  <si>
    <t>almostinshape</t>
  </si>
  <si>
    <t>sonosecco</t>
  </si>
  <si>
    <t>1597007734544026420_5944730818</t>
  </si>
  <si>
    <t>Believe in yourself , guys ! Be confident , be kind , be unique and lastly be yourself 😌
#inspirationalquotes #inspiration #motivationalquotes #motivation #love  #family #friendship #loveyourself #chaseyourdreams #liveyourdream #dontgiveup #keepongoing #youcandoit #beyourself</t>
  </si>
  <si>
    <t>1597009160792554936_2317517565</t>
  </si>
  <si>
    <t>Har du brug for en god øvelse til at få kroppen godt i gang fra morgenstunden eller inden træning, så kør denne rutine her. 
Vi rammer rygmobilitet, skuldestyrke og skyldermobilitet og så synes din krop, at du er mega sød ved den.
Sænk dig langsomt ned, kør op i cobra og hold den i 5 sek. Hold hoften i gulvet. Kør derefter numsen tilbage til hælene og pres brystkassen mod jorden. Det mærkes i skulderen. •••
Gentag 5- 10 gange i samme tempo som @linetrans 🏐
•••
God fornøjelse 🏋🏼‍♀️🍾
•••
#mortentillitzdk  #whatwouldbeyoncedo #toldyouso #tropådet #personligtræner #personaltrainer #cycling #Cykling #styrketræning #løb #Svømning #Swim #running #stronger #personligtræner #mitodense #fitfam #ﬁtfamdk #actionequalsresults #handlingskabersucces #helkropstræning #fullbody #SunRiceClubbyMortenTillitzDK #mentalpause #blivved #keepongoing #styrketræning #painfree #smertefri #søvn #sleep #mitodense</t>
  </si>
  <si>
    <t>1597019165483324415_39914438</t>
  </si>
  <si>
    <t>Doubt kills more Dreams than failure ever will.
--
#vsco #vscocam #rugby #fitness #gym #boy #failure #learning #win #winning #weightloss #success #keepongoing #picoftheday #instagood #instalike
--
The Grind Never Stops</t>
  </si>
  <si>
    <t>1597020429502868282_5495249433</t>
  </si>
  <si>
    <t>Keep on trying each and everyday ✌</t>
  </si>
  <si>
    <t>doctorgetsfit</t>
  </si>
  <si>
    <t>1597023732247927402_1973569773</t>
  </si>
  <si>
    <t>4 miles done today 😊Now going to see my big sister for all things dress design! #run #10ktraining #jog #keepongoing #training #exercise #onelife #onelife2live</t>
  </si>
  <si>
    <t>10ktraining</t>
  </si>
  <si>
    <t>1597024488675315103_277780257</t>
  </si>
  <si>
    <t>2nd day on the new program. My body still feel a bit sore from being down this weekend.
But managed a sloooow squat today and bench and deadlift felt good.
Monday session
1*120 - Squat
2*2+1*80 - Frontsquat
1*78 - Bench
2*2+1*73 - TnG bench
1*130 - Deadlift
2*2+1*115 - Defecit deadlift
#coachedbyzebssons #icaniwill #deadlift #feelingstrong #powerlifting #followyourdreams #challengeyourself #keepongoing #benchpress #nevergiveup #motivation #girlswholift #allkindofgains #squat #motmintoppform #strength #lifestyle #fitlife #tattoo #workhardorgohome #lettevekter #flagom #getfitordietrying #noexcuses #styrkelyft #lifelookingood #lifting #everydayislegday #sbd</t>
  </si>
  <si>
    <t>motmintoppform</t>
  </si>
  <si>
    <t>squat</t>
  </si>
  <si>
    <t>byronyouth</t>
  </si>
  <si>
    <t>1597028454229337234_3634559047</t>
  </si>
  <si>
    <t>KEEP on KEEPIN' on ⚡️🌈⚡️#tuesday #motivation 🎥 (@meganmadden) #stilllife#love#neon#nightlife</t>
  </si>
  <si>
    <t>stilllife</t>
  </si>
  <si>
    <t>1597040647280470639_279512262</t>
  </si>
  <si>
    <t>За окном холодно и дождливо, оттого, наверное, и спалось так сладко почти до 11 часов. На повестке дня досмотреть Твин Пикс, выпить ещё кофе, убрать летние вещи на самые дальние полки (многие с них так и не выбирались), дождаться Мила и слушать его впечатления о новом "сезоне" эконометрики) и про себя с облегчением выдыхать, что я про это только слушаю)
Первая неделя в РГГУ у меня какая-то странная, скорее организационная, нежели учебная, поэтому суета вечерних пар ещё не наступила. Остаётся только лёгкое волнение от временной неопределённости.
.
#photooftheday #loveinmoscow #patriki #daily #dreamers #abmlife #authentic #abmhappylife #abmlifeissweet #abmlifeiscolorful #autumn #citylife #vsco #vibes #vscocam #vscogood #vscodaily #keepcalm #keepongoing #madrussians #moscowcity</t>
  </si>
  <si>
    <t>patriki</t>
  </si>
  <si>
    <t>1597045797459120839_254227172</t>
  </si>
  <si>
    <t>Abs routine: 3 exercises, back to back, 5 reps each, 15 second rest x 4 sets. 
A good medium intensity and quick workout for the abdominal muscles💪🏾
#motivation  #fitnesslife #keepongoing #motivated #instafollowme  #personaltrainer #lifeisgood #instagood #instadaily #igers #instalike #bestoftheday #followme #fun #instamood #workhard #abs #absworkout #beachbody #absblast #fitnessmotivation</t>
  </si>
  <si>
    <t>Miami, Doral</t>
  </si>
  <si>
    <t>1597049596390119310_1516203357</t>
  </si>
  <si>
    <t>Ya puedes escuchar la pildorita XVII completa en mi fanpage! Esta vez, va dedicada a Louise L. Hay que tristemente falleció hace poco. Una escritora que sin duda deja huella y no te deja indiferente.
https://www.facebook.com/listosparadespegue/videos/1752859821423344/
#listosparadespegue #fly #youcan #pilot #aircraft #vamos #tupuedes #move #keepongoing #beyou #bepositive #staypositive #smile #enjoy #workout #nolimits #flyadicted #flyholic #takeoff #landing #workhard #beready #change #staycool #livelife</t>
  </si>
  <si>
    <t>1597051704237685661_1551000842</t>
  </si>
  <si>
    <t>1597055491183091219_185195397</t>
  </si>
  <si>
    <t>BREATHE and step into the world connected your boundless energy today! ⭐️❤️ Happy Tuesday!
.
.
.
#breatheinbreatheout #bepresent #createpositiveenergy #boundlessenergy #rundaily #runhappy #appreciatelife #charlestonsc #clarity #cakidiehl #highvibes #highenergy #positivemindset #youareloved #youareenough #youareworthit #worththeeffort #kindnessmatters #compassionmatters #joyfullife #choosejoy #chooselove #keepongoing #persevere #selfinquiry #sparklewater #amazingsky #connect #bemindful  #abundantlife</t>
  </si>
  <si>
    <t>boundlessenergy</t>
  </si>
  <si>
    <t>1597075287962548050_1684424176</t>
  </si>
  <si>
    <t>Live on. 
__________________________ 
#millionaireimage #doitforyourself #betterme #beyourown #keeponkeepingon #workforwhatyouwant  #marketingmoment #marketingsolutions #encourageyourself #bethechangeyouwanttosee #youvegotthis #oilfieldlife #millionairequotes #inspirationalthoughts #positivepeople #americanbusiness #quoteme  #strategize #seemslegit #youdoyou #inspirationalpost #businessownership #businessisbusiness #keepongoing #selfconfidence #bewhoyouare #bewhatyouwanttobe #socialinfluencers #socialize</t>
  </si>
  <si>
    <t>thisvioletlife</t>
  </si>
  <si>
    <t>1597075503993345023_506964584</t>
  </si>
  <si>
    <t>Astronaut Peggy Whitson has just returned after 665 days in space - a world record for a female astronaut. So I think I can handle this rainy September back to school day 😬
.
.
Tuesday inspiration .
.
.
.
#inspire #thisgirlcan #peggywhitson #achievement #determination #justdoit #keepongoing #womenwhoinspire #stem #tuesdayinspo</t>
  </si>
  <si>
    <t>womenwhoinspire</t>
  </si>
  <si>
    <t>tuesdayinspo</t>
  </si>
  <si>
    <t>stem</t>
  </si>
  <si>
    <t>mokkeltje85</t>
  </si>
  <si>
    <t>1597079746709377634_1397079082</t>
  </si>
  <si>
    <t>Gym time... trying to get back on track, after doing nothing for a couple of months 🙈🙈 #gym #workout #gettingbackintoit #womenlift #womenworkout #weightlossinprogress #weightlifting #startworkingout #girlswholifts #girlslift #lovingit #muscleforwomen #keepworkingout #keepongoing #xxlnutritionleggings #bodyengineers #athenatanktop</t>
  </si>
  <si>
    <t>xxlnutritionleggings</t>
  </si>
  <si>
    <t>womenlift</t>
  </si>
  <si>
    <t>lovingit</t>
  </si>
  <si>
    <t>armin_goroohiii</t>
  </si>
  <si>
    <t>1597079931485409024_1564381860</t>
  </si>
  <si>
    <t>___
I'm not where I'm soppused to be ,
I'm not what I want to be ,
But I'm not what I used to be . 
I haven't learned how to arrive ;
I've just learned how to keep on going . 
#tryhard #keepongoing #nevergiveup</t>
  </si>
  <si>
    <t>bjorkiss</t>
  </si>
  <si>
    <t>1597082837341175412_418092967</t>
  </si>
  <si>
    <t>Ate some ricecakes and got some hardness😂💪 ass plyo and cardio done for the day.. i'm tired.. 🙈 but i'll keep on figthing for my dreams 💪 going offshore friday, want moore time home first😂🙈💩 #plyo #workout #abs #cardio #tiredmind #tiredbody #fitness #bodyfitness #keepongoing #goals #dreams #eatclean #aktivhverdag</t>
  </si>
  <si>
    <t>tiredbody</t>
  </si>
  <si>
    <t>katarina_blizniuk</t>
  </si>
  <si>
    <t>1597085642599170761_1423059878</t>
  </si>
  <si>
    <t>"Happines is all the little things that make life awesome" 🙌
A cup of coffee is exactly one of them! 👆
(and if it's Italian coffee - a double measure of happiness) 😄
#enjoythelittlethings #coffeegram #topbesthot #keepgoing #keepongoing</t>
  </si>
  <si>
    <t>coffeegram</t>
  </si>
  <si>
    <t>topbesthot</t>
  </si>
  <si>
    <t>zelliedplessis</t>
  </si>
  <si>
    <t>1597091530858591786_355681673</t>
  </si>
  <si>
    <t>My condition the night before I got Hospitalized and 2 days before SA Championships!!!
I lost all together 17 kg was at my lowest weight ever I was so proud of of myself and my hard work ,but everything happens for a reason  #rishapeangels #rishapefitness #keepongoing #nevergiveup#motivated#loveingtheprogress #everythingwasworthit</t>
  </si>
  <si>
    <t>everythingwasworthit</t>
  </si>
  <si>
    <t>loveingtheprogress</t>
  </si>
  <si>
    <t>rishapeangels</t>
  </si>
  <si>
    <t>1597097660036513118_4160626699</t>
  </si>
  <si>
    <t>'Zo dat moet genoeg spinazie zijn voor in mijn shake', dacht ik. Is ook genoeg alleen draaide mijn blender niet meer rond🙈 #achja #danmaarmetstukjes smakelijk allemaal ! .
.
#spinazie #fitnesslife #blender #fitgirl #fitdutchie #lowcarb #koolhydraatarm #keepongoing #moustache</t>
  </si>
  <si>
    <t>spinazie</t>
  </si>
  <si>
    <t>1597101313895645412_1684424176</t>
  </si>
  <si>
    <t>Done. #❤️you 
__________________________ 
#millionaireimage #doitforyourself #betterme #beyourown #keeponkeepingon #workforwhatyouwant  #marketingmoment #marketingsolutions #encourageyourself #bethechangeyouwanttosee #youvegotthis #oilfieldlife #millionairequotes #inspirationalthoughts #positivepeople #americanbusiness #quoteme  #strategize #seemslegit #youdoyou #inspirationalpost #businessownership #businessisbusiness #keepongoing #selfconfidence #bewhoyouare #bewhatyouwanttobe #socialinfluencers #socialize</t>
  </si>
  <si>
    <t>1597102110720389095_5723903318</t>
  </si>
  <si>
    <t>Day #4 : portrait of Sara
#workinprogress #lightandshadow #art #painting #keepongoing</t>
  </si>
  <si>
    <t>lightandshadow</t>
  </si>
  <si>
    <t>4</t>
  </si>
  <si>
    <t>jennywilmer</t>
  </si>
  <si>
    <t>1597107124508222469_37391794</t>
  </si>
  <si>
    <t>Animals of the wood! #keepongoing #crochet #crochetaddict #yarnlover #sneakpeak #loveit #hakeniship #haken #diy #handmade #crochetaddictnl#dutchcrochettalent #häklen</t>
  </si>
  <si>
    <t>owl</t>
  </si>
  <si>
    <t>mouse</t>
  </si>
  <si>
    <t>crochetaddict</t>
  </si>
  <si>
    <t>crochet</t>
  </si>
  <si>
    <t>barb_sousa</t>
  </si>
  <si>
    <t>1597107405610539485_473320152</t>
  </si>
  <si>
    <t>Head Up! #fight #womansrights #woman #headuphigh #bestrong #keepongoing #fighting #nomanisbetterthanyou #girls #girl🎀 #power #keepyourheartstrong</t>
  </si>
  <si>
    <t>nomanisbetterthanyou</t>
  </si>
  <si>
    <t>1597108856193081355_1551000842</t>
  </si>
  <si>
    <t>1597109792665431835_1245752970</t>
  </si>
  <si>
    <t>#mood #keeponsmiling #holidayfuntimes #summerfun #summervibes #vacationmood #travelgram #travel #trav3rl #summer #ocean #see #seashore #beach #beachball #greece #samos #smile #smileyface  #keepongoing #visualsoflive #visualjoke</t>
  </si>
  <si>
    <t>holidayfuntimes</t>
  </si>
  <si>
    <t>trav3rl</t>
  </si>
  <si>
    <t>1597109851971907876_5744148801</t>
  </si>
  <si>
    <t>Love the details! 
Design Team: Scott McManigal, Matt McRae, and Cory Worth
#product #work #buissnes
#productive #productdesign #creative #photoshop #entrepreneursofinstagram #entrepreneur #productivity #working #hustle  #hustler  #dream #nevergiveup #workspace #create #keepongoing #dreams #inspiration #inspiringpeople #sverige #graphicdesign #art #design #designer  #work #workaholic  #nature</t>
  </si>
  <si>
    <t>buissnes</t>
  </si>
  <si>
    <t>littlebeautymelts</t>
  </si>
  <si>
    <t>1597111257406935952_5826841826</t>
  </si>
  <si>
    <t>Melts, melts and more melts. Ready to be sent for display in a local gift shop. Now onto the Christmas range. #keepongoing #waxaddiction #littlebeautymelts #ambition #waxmeltsuk #etsyselleruk #soywaxmelt #handmadewaxmelts #smallbusinesslove #shopunique</t>
  </si>
  <si>
    <t>waxmeltsuk</t>
  </si>
  <si>
    <t>etsyselleruk</t>
  </si>
  <si>
    <t>soywaxmelt</t>
  </si>
  <si>
    <t>lulugibbo</t>
  </si>
  <si>
    <t>1597111696291166162_1989500489</t>
  </si>
  <si>
    <t>On the #schoolrun this morning and I #snapped this beautiful #rainbow there is always something to #brightinup the worst #days #keepongoing #rainydays #alwayslookonthebrightsideoflife</t>
  </si>
  <si>
    <t>Coldwood, Galway, Ireland</t>
  </si>
  <si>
    <t>schoolrun</t>
  </si>
  <si>
    <t>alwayslookonthebrightsideoflife</t>
  </si>
  <si>
    <t>brightinup</t>
  </si>
  <si>
    <t>days</t>
  </si>
  <si>
    <t>1597121377206255233_1655347240</t>
  </si>
  <si>
    <t>RepostBy @oil.and.steel: "RepostBy @millionaireimage: . 
_____________________
#millionaireimage #doitforyourself #betteringmyself #beyourown #keeponkeepingon #workforwhatyouwant  #marketingtip #marketingsolutions #encourageyourself #bethechangeyouwanttosee #youvegotthis  #millionairedreams #inspirationalthoughts #positivepeople #americanbusiness #quoteme  #strategize #seemslegit #youdoyou #inspirationalpost #businessownership #businessisbusiness #keepongoing #quotes4you #bewhoyouare #goalsaf #bewhatyouwanttobe #socialinfluencers #socialize""</t>
  </si>
  <si>
    <t>1597124271956021693_5715259229</t>
  </si>
  <si>
    <t>The outfit of the day was chosen with my Diet Model  and I was NIKE. Why we choose is because we believe in the tagline said JUST DO IT!
•
Day by day we remind ourself by doing it and not having many excuses in moving forward to a higher level in the fitness and wellness lifestyle.
•
Shout out to the girls and boys out there, what are you waiting for??? I will say JUST DO IT!! #nike #coolfit #babyblue #black #fitness #fitboy #fitgirl #fitbody #fitnessmotivation #fitnesslifestyle #selfmotivation #gymmotivation #lifestyle #personaltrainer #persistence #focus #mindset #future #nodrama #keepongoing #bodybuilding #physique #gym #gymer #gymlife #gymselfie #gymlifestyle</t>
  </si>
  <si>
    <t>Lean Fitness &amp; Gym</t>
  </si>
  <si>
    <t>gymlifestyle</t>
  </si>
  <si>
    <t>ozzi_thoughts</t>
  </si>
  <si>
    <t>1597129759790285850_3590161118</t>
  </si>
  <si>
    <t>I årsskiftet skrev jag en "goalboard" med mål som låg mig nära HJÄRTAT- saker som BETYDER mycket för mig. Självklart skall man ibland stämma av en "checklista" ✅-även de med en existentiell karaktär..... Shit- det är MYCKET "arbete" kvar trots allt! 😰😳....... Synd att saker och ting ska gå så LÅNGSAMT 🐢🐢...... #goalboard #dreams #innerwishes #goalsoflife #keepongoing</t>
  </si>
  <si>
    <t>goalboard</t>
  </si>
  <si>
    <t>innerwishes</t>
  </si>
  <si>
    <t>goalsoflife</t>
  </si>
  <si>
    <t>1597130070546380591_5751309200</t>
  </si>
  <si>
    <t>Upgrading the weights I lifting every new week.. I love strength training combine with HIIT in tabata style.. I am more focus on building muscles &amp; strength this past 6 months.. For I'm more aware that having more muscles you can burn more calories and the beauty of strength training and HIIT is the after burn effect and the next day sore effect 😄😄.. Massive sore reminds me that I'm alive and getting stronger 👊💪😀.. That's the reason why I love this kind of training.. #fitspo #fitspirational #instafitness #instadaily #stronger #leanmuscle #musclebuilding #nevergiveup #noexcuses #lifting #weightloss #nopainnogain #gainmuscle #workout #hiitworkout #keepongoing #keeponmoving #fit #fitnessmotivation #fitfam #fattofit #workoutmotivation #strengthtraining #obesetobeast #weightlossjourney #myjourney</t>
  </si>
  <si>
    <t>instafitness</t>
  </si>
  <si>
    <t>1597136114379280060_286714525</t>
  </si>
  <si>
    <t>That's the #Spirit #keeponGoing #NotMeantToBe #Bullshit #OneLife #EnjoyTheRide #NoTimeForShit #TrowSomeGlitter #OraBanana 🍌 @lermin1 😉😂💖🌸💕✌</t>
  </si>
  <si>
    <t>orabanana</t>
  </si>
  <si>
    <t>trowsomeglitter</t>
  </si>
  <si>
    <t>notmeanttobe</t>
  </si>
  <si>
    <t>_thelittlebigthings</t>
  </si>
  <si>
    <t>1597137271177864546_2074749796</t>
  </si>
  <si>
    <t>"Gotta keep on going, looking straight out on the road
Can't worry 'bout what's behind you or what's coming for you further up the road"
#firstaidkit #thesilverlining #music #keepmoving #keepongoing #timeisdancing</t>
  </si>
  <si>
    <t>Novigrad Cittanova Istria</t>
  </si>
  <si>
    <t>firstaidkit</t>
  </si>
  <si>
    <t>thesilverlining</t>
  </si>
  <si>
    <t>timeisdancing</t>
  </si>
  <si>
    <t>koenolmer</t>
  </si>
  <si>
    <t>1597140379551299260_242424446</t>
  </si>
  <si>
    <t>Training for the next race👊 
#riselikeaphoenix #musclebeach #ironman #cascais #ironman703cascais #ironmancascais #triathlonlife #surfing #surfinglife #kleurtjepakken #swimbikerun #beach #nevergiveup #keepongoing #upsanddowns</t>
  </si>
  <si>
    <t>Oeiras, Portugal</t>
  </si>
  <si>
    <t>ironmancascais</t>
  </si>
  <si>
    <t>cascais</t>
  </si>
  <si>
    <t>kleurtjepakken</t>
  </si>
  <si>
    <t>standplus.be</t>
  </si>
  <si>
    <t>1597143148857187457_5914915894</t>
  </si>
  <si>
    <t>Building up at Maison&amp;Objet! #standplus#dewittelietaer#paris#design#standbuilding#instabuild #maisonetobjet #keepongoing#💪🏻💪🏻💪🏻</t>
  </si>
  <si>
    <t>dewittelietaer</t>
  </si>
  <si>
    <t>instabuild</t>
  </si>
  <si>
    <t>standbuilding</t>
  </si>
  <si>
    <t>nutriwell.md</t>
  </si>
  <si>
    <t>1597144618372344717_5974797818</t>
  </si>
  <si>
    <t>Feliz martes! 
#nutrition #healthyhabits #relax #keepongoing #chile #goodmorning #goodday #nutritionalwellbeingmd #nutriwellmd</t>
  </si>
  <si>
    <t>nutriwellmd</t>
  </si>
  <si>
    <t>kimberleyvg92</t>
  </si>
  <si>
    <t>1597149899420430072_41992386</t>
  </si>
  <si>
    <t>Gym! Alle schouderoefeningen voor lange termijn geschrapt... gelukkig nog buik en beenspieren kunnen trainen! 💪😭 #fitgirl #notsofitgirl #keepongoing</t>
  </si>
  <si>
    <t>notsofitgirl</t>
  </si>
  <si>
    <t>bikerlilly</t>
  </si>
  <si>
    <t>1597152169193577609_2200974299</t>
  </si>
  <si>
    <t>#nevergiveup #keepongoing #bestrong #workhardplayhard #dreambig #goalgetter #nextwave #newwave #bringiton #UnstoppableGeneration</t>
  </si>
  <si>
    <t>nextwave</t>
  </si>
  <si>
    <t>newwave</t>
  </si>
  <si>
    <t>1597155798750913981_5971045578</t>
  </si>
  <si>
    <t>Welcome to my #dayoff !!! No, non parlo del pasto libero dalla dieta... parlo del giorno libero dal lavoro!!! E invece di andare al mare mi tocca studiare 😭😭😭😭 Quindi, scorte di acqua e spuntino pronto con barretta ai cereali! In assenza di frutta fresca (che preferisco), è una buona opzione per uno spuntino!!! Comunque forse stasera #sushi all you can eat!!! Quindi forse pasto libero 😍 Comunque più tardi mi aspetta la mia camminata giornaliera! E voi? Come passate il vostro dai off??? 😄
#giornolibero #biblioteca #studentslife #universitylife #studentessauniversitaria #studentsfood #break #barrettacereali #barrettafitness #nutrition #weightloss #dietdiary #day5 #water #hydratation #energy #concentration #keepongoing #followme #italiangirl #healthylife #keepongoing #nevergiveup 💪</t>
  </si>
  <si>
    <t>Biblioteca Civica di Caorle</t>
  </si>
  <si>
    <t>dietdiary</t>
  </si>
  <si>
    <t>hydratation</t>
  </si>
  <si>
    <t>day5</t>
  </si>
  <si>
    <t>studentessauniversitaria</t>
  </si>
  <si>
    <t>sushi</t>
  </si>
  <si>
    <t>simon.v.stigt</t>
  </si>
  <si>
    <t>1597155840159090586_2010182580</t>
  </si>
  <si>
    <t>Checking out new faces! #homeoffice #modelscout #newfaces #models #keepongoing #dayoff #stillworking #amsterdam #interior</t>
  </si>
  <si>
    <t>Czaar Peterbuurt</t>
  </si>
  <si>
    <t>newfaces</t>
  </si>
  <si>
    <t>stillworking</t>
  </si>
  <si>
    <t>aroharmonii</t>
  </si>
  <si>
    <t>1597159319508638881_4270448992</t>
  </si>
  <si>
    <t>Man.., when I overthink I overthink 😅😅😅 for those who don't know, I've had a massive issue with overthinking everything.., courtesy of my diagnosed anxiety disorder. It is okay to overthink sometimes, but never let it consume you. Ever. #mentalhealth #itsokay #dontgiveup #dontputyourselfdown #keepongoing</t>
  </si>
  <si>
    <t>dontputyourselfdown</t>
  </si>
  <si>
    <t>itsokay</t>
  </si>
  <si>
    <t>1597167457414506746_5705167414</t>
  </si>
  <si>
    <t>The golden boy 😃🏆 #Dubnation
-
-
-
-
-
-
-
-
-
-
-
-
-
-
-
-
-
-
-
-
-
-
-
-
-
-
-
-
-
-
-
-
-
-
-
-
-
-
-
-
 #StephGonnaSteph #Mvp #SC30 #KT11 #DG23 #CURRYMVP #KEEPONGOING #NEVERGIVEUP #WCF #WEST #WESTERNCONFERENCEFINALS #CHAMPS #DUBSFORCHAMPS #DUBS #ALWAYSBELIEVEINGOD #STEPHENCURRY #EVEN #NBA #2016CHAMPS #CHAMPIONS #LOCKIN #STEPH #SPLASH #SPLASHBROS  #like4like #like4follow #follow4follow</t>
  </si>
  <si>
    <t>1597167876039713536_5705167414</t>
  </si>
  <si>
    <t>Sorry for the late post, I had school and a pretty long bball training 😴  #Dubnation
-
-
-
-
-
-
-
-
-
-
-
-
-
-
-
-
-
-
-
-
-
-
-
-
-
-
-
-
-
-
-
-
-
-
-
-
-
-
-
-
 #StephGonnaSteph #Mvp #SC30 #KT11 #DG23 #CURRYMVP #KEEPONGOING #NEVERGIVEUP #WCF #WEST #WESTERNCONFERENCEFINALS #CHAMPS #DUBSFORCHAMPS #DUBS #ALWAYSBELIEVEINGOD #STEPHENCURRY #EVEN #NBA #2016CHAMPS #CHAMPIONS #LOCKIN #STEPH #SPLASH #SPLASHBROS  #like4like #like4follow #follow4follow</t>
  </si>
  <si>
    <t>ilungaj</t>
  </si>
  <si>
    <t>1597168001761116892_253952515</t>
  </si>
  <si>
    <t>Je kan de dag slechter beginnen: breakfast with my bestie and an afterbreakfast run to compensate 😊#breakfast #girltime #rooftop #girltalk #friends #morning #instafood #run #runninggirl #workout #training #running #instarun #keepongoing #runhappy #metime #clearmymind</t>
  </si>
  <si>
    <t>clearmymind</t>
  </si>
  <si>
    <t>girltalk</t>
  </si>
  <si>
    <t>athenadesai</t>
  </si>
  <si>
    <t>1597168855636043704_239721502</t>
  </si>
  <si>
    <t>Never like to see you in the rear view, Summer. But learning how to welcome what comes next with grace, a wink and whatever Aurora and I have going on here 💋
-
-
-
#keepongoing #firstdayofschool #dontlookback #divinetiming #seasonschange #shapeshifter #instagood #instafun #havefaith #onelove #neverstopneverstopping #grace #source #now</t>
  </si>
  <si>
    <t>neverstopneverstopping</t>
  </si>
  <si>
    <t>divinetiming</t>
  </si>
  <si>
    <t>nuta_yurkova</t>
  </si>
  <si>
    <t>1597171817653907769_1803272732</t>
  </si>
  <si>
    <t>В свободе, в любви и в креативности прожить жизнь и подавно этот день🙌🏻
#naturelover #loveflowers #moscow #keepongoing</t>
  </si>
  <si>
    <t>loveflowers</t>
  </si>
  <si>
    <t>amelfun</t>
  </si>
  <si>
    <t>1597174966193154877_557746545</t>
  </si>
  <si>
    <t>Words! #quotes #motivationalquotes  #keepongoing #moveforward #spirit 💪💪💪</t>
  </si>
  <si>
    <t>1597176626592089245_5468355632</t>
  </si>
  <si>
    <t>Hehe I did this, 
It's okay Tyler you have millions of fans willing to protect you from the bananas 🍌💕
🐠
-
-
-
#josh #tyler #jenna #twentyonepilots #bands #frens #laugh #myidols 
#loveyou #bestmusic #keepongoing #ibelieve #theyrethebest #funny #smile #tøpmemes #tøp #stayalive #inspiring  #beautifulpeople</t>
  </si>
  <si>
    <t>1597177685486212815_5468355632</t>
  </si>
  <si>
    <t>This is so well done and realistic this is amazing 😍💙
🐠
-
-
-
#josh #tyler #jenna #twentyonepilots #bands #frens #laugh #myidols 
#loveyou #bestmusic #keepongoing #ibelieve #theyrethebest #funny #smile #tøpmemes #tøp #stayalive #inspiring  #beautifulpeople</t>
  </si>
  <si>
    <t>venture_daily</t>
  </si>
  <si>
    <t>1597179047341830695_5865564115</t>
  </si>
  <si>
    <t>When you begin to realise that the sun never rises or sets, you open your mind to a whole new way of thinking where possibilities are endless. The same hoziron from a different perspective can reveal something completely new to your life, all you need is perspective. 🌅☉🌍 #sunrise #sunset #perspective #earlybird #chasethehorizon #changeyourview #getoutthere #dreamchaser #liveyourlife #bringthesun #followthesun #bethechange #keepongoing #followyourheart #pursueyourhappiness</t>
  </si>
  <si>
    <t>pursueyourhappiness</t>
  </si>
  <si>
    <t>changeyourview</t>
  </si>
  <si>
    <t>1597183344172644639_5468355632</t>
  </si>
  <si>
    <t>I don't think I've ever seen this 🌸💕
🐠
-
-
-
#josh #tyler #jenna #twentyonepilots #bands #frens #laugh #myidols 
#loveyou #bestmusic #keepongoing #ibelieve #theyrethebest #funny #smile #tøpmemes #tøp #stayalive #inspiring  #beautifulpeople</t>
  </si>
  <si>
    <t>kurus_sihat_cantik</t>
  </si>
  <si>
    <t>1597183862604979569_2243790885</t>
  </si>
  <si>
    <t>If success is a destination
Then this world full with quitters
Night 😊
#night #journey #keepongoing 
#terapiinstagram #ajimaura</t>
  </si>
  <si>
    <t>terapiinstagram</t>
  </si>
  <si>
    <t>ajimaura</t>
  </si>
  <si>
    <t>rafflesfmw</t>
  </si>
  <si>
    <t>1597184354805783759_4459065293</t>
  </si>
  <si>
    <t>What an #amazingday 😇! Accidently bumped into #miumiu #popup 💕 met few #rafflesfmw #students 🙂🙃🙂 #whatagoodcareerstart #BRAVO 👏 #keepongoing #nevergiveup #believe</t>
  </si>
  <si>
    <t>Pavilion Shopping centre, Jalan Bukit Bintang, Kuala Lumpur.</t>
  </si>
  <si>
    <t>students</t>
  </si>
  <si>
    <t>popup</t>
  </si>
  <si>
    <t>bravo</t>
  </si>
  <si>
    <t>whatagoodcareerstart</t>
  </si>
  <si>
    <t>minonka.s</t>
  </si>
  <si>
    <t>1597184763215342705_1452088974</t>
  </si>
  <si>
    <t>Yeah, the reason why not to give up....😁🤸🏻‍♀️💪🏻 #yogaeveryday #yoga #yogainspiration #yogaeverydamnday #yogini #nevergiveup #keepongoing #yogainjury #nevermind #bestrong</t>
  </si>
  <si>
    <t>nevermind</t>
  </si>
  <si>
    <t>yogini</t>
  </si>
  <si>
    <t>1597184911886163035_5468355632</t>
  </si>
  <si>
    <t>It's sad that I've actually done this before
🐠
-
-
-
#josh #tyler #jenna #twentyonepilots #bands #frens #laugh #myidols 
#loveyou #bestmusic #keepongoing #ibelieve #theyrethebest #funny #smile #tøpmemes #tøp #stayalive #inspiring  #beautifulpeople</t>
  </si>
  <si>
    <t>1597185548169961076_1684424176</t>
  </si>
  <si>
    <t>@millionaireimage 
It's all good 
__________________________ 
#millionaireimage #doitforyourself #betterme #beyourown #keeponkeepingon #workforwhatyouwant  #marketingmoment #marketingsolutions #encourageyourself #bethechangeyouwanttosee #youvegotthis #oilfieldlife #millionairequotes #inspirationalthoughts #positivepeople #americanbusiness #quoteme  #strategize #seemslegit #youdoyou #inspirationalpost #businessownership #businessisbusiness #keepongoing #selfconfidence #bewhoyouare #bewhatyouwanttobe #socialinfluencers #socialize</t>
  </si>
  <si>
    <t>1597188985738222752_5468355632</t>
  </si>
  <si>
    <t>When someone says anything insulting about Josh and Tyler
#meonahighlevel
🐠
-
-
-
#josh #tyler #jenna #twentyonepilots #bands #frens #laugh #myidols 
#loveyou #bestmusic #keepongoing #ibelieve #theyrethebest #funny #smile #tøpmemes #tøp #stayalive #inspiring  #beautifulpeople</t>
  </si>
  <si>
    <t>1597189312038293257_5468355632</t>
  </si>
  <si>
    <t>Woops just posted josh three times in a row 👽
🐠
-
-
-
#josh #tyler #jenna #twentyonepilots #bands #frens #laugh #myidols 
#loveyou #bestmusic #keepongoing #ibelieve #theyrethebest #funny #smile #tøpmemes #tøp #stayalive #inspiring  #beautifulpeople</t>
  </si>
  <si>
    <t>1597192211888183844_3168477195</t>
  </si>
  <si>
    <t>¡Se acaban las vacaciones! Ya estamos listos para nuevos retos, nuevos proyectos y nuevas ilusiones 😆 @amlararte @claudiia.pardo @itzi.pitxi</t>
  </si>
  <si>
    <t>oficina</t>
  </si>
  <si>
    <t>cooloffice</t>
  </si>
  <si>
    <t>calijnmuller</t>
  </si>
  <si>
    <t>1597196546046683886_1419387834</t>
  </si>
  <si>
    <t>All day everyday #lifestyle #fitness #instructorlife #backtraining #motivation #keepongoing #fitgirl #intension</t>
  </si>
  <si>
    <t>InTension Health Club Scheveningen</t>
  </si>
  <si>
    <t>intension</t>
  </si>
  <si>
    <t>instructorlife</t>
  </si>
  <si>
    <t>backtraining</t>
  </si>
  <si>
    <t>losingit4ever</t>
  </si>
  <si>
    <t>1597215967561392826_2370802</t>
  </si>
  <si>
    <t>No matter how hard your journey is. No matter how many times you struggle. Keep moving. The view from the top is amazing.
#aintnomountainhighenough
#keepongoing 
#nopainnogain
#believe
#3milehike</t>
  </si>
  <si>
    <t>aintnomountainhighenough</t>
  </si>
  <si>
    <t>3milehike</t>
  </si>
  <si>
    <t>1597216803654196340_5139866557</t>
  </si>
  <si>
    <t>We only have TODAY to create our TOMORROW 👣💪🏽</t>
  </si>
  <si>
    <t>changes</t>
  </si>
  <si>
    <t>1597219006359363596_5944730818</t>
  </si>
  <si>
    <t>Jessie J - Masterpiece 😍 . This song motivate me to keep on moving 💪
#jessiej #masterpiece #songs #songquotes #quotes #inspirationalquotes #inspiration #motivationalquotes #motivation #love #family #friendship #loveyourself #chaseyourdreams #liveyourdream #dontgiveup #keepongoing #beyourself #youcandoit</t>
  </si>
  <si>
    <t>masterpiece</t>
  </si>
  <si>
    <t>songquotes</t>
  </si>
  <si>
    <t>viviansouroujon</t>
  </si>
  <si>
    <t>1597219847192479433_1620758157</t>
  </si>
  <si>
    <t>#helloseptember As we reflect on the start of a new season, I want to take a moment to press the pause button and reflect on my #sevenyearsstrong in #torontorealestate This September marks seven years when I joined the industry after moving to Toronto from New York City. From the wisdom and knowledge of midtown Manhattan .... to the streets of Soho and the vibe of the Upper East, I arrived to the #toronto scene with a wealth of information and know-how yet humble and open to learn. Scroll ↔️ to see a few of my thoughts!</t>
  </si>
  <si>
    <t>agentsoftoronto</t>
  </si>
  <si>
    <t>7yearsstrong</t>
  </si>
  <si>
    <t>workanniversary</t>
  </si>
  <si>
    <t>1597221339986317141_701747868</t>
  </si>
  <si>
    <t>"Sir Kya aap sirf Urban/ hip hop /street styles kartey ho ??"
On the Teachers Day I would like to say this to all my students, that I like to learn new things and forms be it any field. From Ballet to Workshops of Bharatnatyam, Jazz to  Workshops of Kathak, Hip Hip classes to Chhau and Contemporary to Urban or Funk/ Street Jazz as well. Keep on learning guys, you will find and figure out what you wanna do for longer in the process only, but first gain as much knowledge as you can. That's what I have done and I still do. 
Happy Teachers Day 🤗
.
#keepongoing #respect #alldance #forms #happyteachersday 😊</t>
  </si>
  <si>
    <t>happyteachersday</t>
  </si>
  <si>
    <t>forms</t>
  </si>
  <si>
    <t>alldance</t>
  </si>
  <si>
    <t>miko.andmomo</t>
  </si>
  <si>
    <t>1597221496735295554_177584583</t>
  </si>
  <si>
    <t>Day 3 #keepongoing 
#thighworkout 
#thigh 
#thighhighs 
#waisttraining 
#fourworkouts 
#小紅第二天 
#haritts</t>
  </si>
  <si>
    <t>haritts</t>
  </si>
  <si>
    <t>thigh</t>
  </si>
  <si>
    <t>waisttraining</t>
  </si>
  <si>
    <t>fourworkouts</t>
  </si>
  <si>
    <t>thighworkout</t>
  </si>
  <si>
    <t>1597225109179956561_5532723709</t>
  </si>
  <si>
    <t>Great boxing  session today guys keep up the hard work 😓🥊#fitnessmotivation #fitnesstrainer #boxing #boxingtraining #coach #gym #workout #excercise #gymshark #gymmotivation #gymgirls #bracknell #boxing #boxer #trainingday #makeyourchange #personaltrainer #trx #bagwork #keepongoing #hardwork #hardworkpaysoff #onfire</t>
  </si>
  <si>
    <t>boxer</t>
  </si>
  <si>
    <t>1597228557603934536_4230484970</t>
  </si>
  <si>
    <t>Fire 🔥🌶🔥🌶
@romanova.anastacia</t>
  </si>
  <si>
    <t>kayyamore</t>
  </si>
  <si>
    <t>1597229488419169175_43717523</t>
  </si>
  <si>
    <t>💯 #wakeupcalls #keepongoing</t>
  </si>
  <si>
    <t>wakeupcalls</t>
  </si>
  <si>
    <t>1597230614255688281_2129605436</t>
  </si>
  <si>
    <t>Rostade rötter, nötter och lite lax! Supergott och busenkelt att laga. Perfekt matlåda #lågkolhydrat #lågkolhydratskost #lowcarbdiet #lowcarb #lowcarbfood #instafood #instainspo #instahealth #healthyfood #healthylifestyle #foodstyling #foodporn #livinghealthy #hälsa #måbra #nukörvi #happybody #keepit💯 #keepitup #keepongoing #kickstart #ulrikaskickstart #kostrådgivareulrikadavidsson #onlinecoach #follow4follow</t>
  </si>
  <si>
    <t>instahealth</t>
  </si>
  <si>
    <t>happybody</t>
  </si>
  <si>
    <t>annika_rie</t>
  </si>
  <si>
    <t>1597231249743127394_1504069881</t>
  </si>
  <si>
    <t>Ushuaia Ibiza 
#ushuaiaibiza #ushuaia #ushuaiahotel #ww #lostfrequencies #steveaoki  #bestdj #music #bass #spirit #melody #party #partyallnight #ibizanights #cocktails #dontstop #keepongoing</t>
  </si>
  <si>
    <t>Ushuaïa Ibiza Beach Hotel (Official)</t>
  </si>
  <si>
    <t>steveaoki</t>
  </si>
  <si>
    <t>bestdj</t>
  </si>
  <si>
    <t>1597231457881694649_273508132</t>
  </si>
  <si>
    <t>"Non voglio fare gli esercizi da uomo perché divento troppo muscolosa".. il pensiero della ragazza media sulla palestra. Ma sapete che tutte le ore che passate sul tapis roulant o sulla cyclette non vi aiutano come credete a dimagrire? Se avete voglia di cambiare davvero il vostro fisico, dovete cambiare il modo di vedere gli allenamenti in palestra.. è appena capirete che i pesi vi aiutano a dimagrire, e non il contrario, sarà tutto in discesa 💪🏻</t>
  </si>
  <si>
    <t>mealprep</t>
  </si>
  <si>
    <t>1597233443278869825_4249248273</t>
  </si>
  <si>
    <t>One of the lovely things about EDS is that when the season is in transition, I have a really rough time. It's like a flare that sets off another flare and things that are normally under control become less so. I have to go into firefighting mode, taking care of each issue as it arises and hoping that as each one occurs, I can tackle it before it impacts my baseline too much. Once the baseline is impacted enough, we are in POTS territory. On come the sleep cycle issues, dizziness and my body feeling like an old motor that just won't start. I can't control the season changing, I can't control that I will be impacted severely each and every time around. I can't even control when or how. I can prepare though, I can learn and so hopefully I can then learn to mitigate the effects and impact of each season change with more and more success. Season changes used to make me angry, an ugly reminder at how delicate these conditions are to balance and how susceptible I am. With acceptance, I am now diverting my energy constructively. Also, in a way, being impacted by a season change is now my new normal so I guess that's worth being grateful for? @ehlersdanlosuk #ehlersdanlossyndrome #potssyndrome #transformationtuesday #motivation #amputee #cancersurvivor #muslim #hijab #paraclimber #paraclimbing #climber #climbing #climbing_is_my_passion #climbing_pictures_of_instagram #chronicillness #acceptance #pain #insomnia #thisgirlcan #thisgirlcanclimb #adapt #keepongoing #dontgiveup #determination #yesican #believeinyourself #grit #resilience #learning</t>
  </si>
  <si>
    <t>1597235731984925672_4134483115</t>
  </si>
  <si>
    <t>Words of wisdom!
#catalinristea#fitness#healthylifestyle#motivation#strenght#positivevibes#gym#neverbackdown#nevergiveup#instafit#instaquote#inklife#instagood#keepongoing#wordsofwisdom#live#love#holdontowhatyoulove#makeeachmomentcount</t>
  </si>
  <si>
    <t>catalinristea</t>
  </si>
  <si>
    <t>1597237803476631186_1542990897</t>
  </si>
  <si>
    <t>#gym #grind #believeinyourself #cicconepharmaloyal #ciccone #inked #keepongoing #dedication</t>
  </si>
  <si>
    <t>vcillustrated</t>
  </si>
  <si>
    <t>1597239545529641558_3952381083</t>
  </si>
  <si>
    <t>🎶Zip a dee doo dah🎶
.
.
.
.
.
.
.
#zipadeedoodah #sketch #rough and awful but #quicksketch #sketchandmusic #virginiacolao #vcillustrated #draw #doodle #ink #blackandwhite #designer #illustrator #lover #fighter #girls #women #rtw #faith #keepongoing</t>
  </si>
  <si>
    <t>rough</t>
  </si>
  <si>
    <t>sketchandmusic</t>
  </si>
  <si>
    <t>annie_shulekina</t>
  </si>
  <si>
    <t>1597239679453810099_2027372019</t>
  </si>
  <si>
    <t>Can't believe it's here again...🌂🌻🌾🍁🍂🌦</t>
  </si>
  <si>
    <t>sweaterweather</t>
  </si>
  <si>
    <t>fallisnear</t>
  </si>
  <si>
    <t>onmyway</t>
  </si>
  <si>
    <t>autumnleaves</t>
  </si>
  <si>
    <t>fallishere</t>
  </si>
  <si>
    <t>1597239697138905599_4203348813</t>
  </si>
  <si>
    <t>@paigehathaway omg 😍😍</t>
  </si>
  <si>
    <t>atlmodels</t>
  </si>
  <si>
    <t>totalbodyworkout</t>
  </si>
  <si>
    <t>stronglady</t>
  </si>
  <si>
    <t>1597245946532482411_3952381083</t>
  </si>
  <si>
    <t>rtw</t>
  </si>
  <si>
    <t>mvimperial559</t>
  </si>
  <si>
    <t>1597246280986733594_636868081</t>
  </si>
  <si>
    <t>Failure is the mother of all success 
#Keepongoing #CountYourBlessings</t>
  </si>
  <si>
    <t>countyourblessings</t>
  </si>
  <si>
    <t>purabmehta</t>
  </si>
  <si>
    <t>1597246775663361150_33082534</t>
  </si>
  <si>
    <t>You burn to keep the light going.
#potd #photooftheday #picoftheday #instapic #light #orange #black #burning #keepongoing #motivation #instagood #photography #photographer #evening #night</t>
  </si>
  <si>
    <t>BRIEFKASE</t>
  </si>
  <si>
    <t>evening</t>
  </si>
  <si>
    <t>1597247006955159547_4230196596</t>
  </si>
  <si>
    <t>That physique 💞</t>
  </si>
  <si>
    <t>nancyboo25</t>
  </si>
  <si>
    <t>1597251018604948738_25762041</t>
  </si>
  <si>
    <t>We must row in whatever boat we find ourselves in... ☀️</t>
  </si>
  <si>
    <t>relaxed</t>
  </si>
  <si>
    <t>nowork</t>
  </si>
  <si>
    <t>peaceful</t>
  </si>
  <si>
    <t>1597254846745356586_265349290</t>
  </si>
  <si>
    <t>A vida não eh um carrossel, é uma montanha russa.
___________________ 😎________________
Life ain't a merry go round, it's a roller coaster.
I've seen the end of the world sometimes, but on the next day everything was fine.
#resilence #resilientes #resiliencia #whenthegoinggetstough #thetoughgetgoing #lifeisaroad #lifeisworthliving #living #viver #vaivalerapena #valeapena #tudovaibem #justme #me #myself #heyholetsgo #keepongoing #continue #igothedistance</t>
  </si>
  <si>
    <t>resilientes</t>
  </si>
  <si>
    <t>lifeisaroad</t>
  </si>
  <si>
    <t>senzodb</t>
  </si>
  <si>
    <t>1597257040015110690_4348648323</t>
  </si>
  <si>
    <t>#pt #physicaltherapy #recovery #shoulder #nevergiveup #keepongoing #smile #pain #suckitup #recoveryphysicaltherapy</t>
  </si>
  <si>
    <t>suckitup</t>
  </si>
  <si>
    <t>pt</t>
  </si>
  <si>
    <t>1597262277567014231_279512262</t>
  </si>
  <si>
    <t>Самую холодную дождливую погоду спасёт чёрное пальто, большой зонт и компания любимого человека🖤
.
#photooftheday #loveinmoscow #seemymoscow #moscowcity #moscow #rainyday #picoftheday #keepongoing #keepcalm #autumn🍁 #livy #lifeex #livethedream #livealittle #abmlife #authentic #abmhappylife</t>
  </si>
  <si>
    <t>Парк у Новодевичьего Монастыря</t>
  </si>
  <si>
    <t>valerynebaez</t>
  </si>
  <si>
    <t>1597263298074659259_227049435</t>
  </si>
  <si>
    <t>•|Dale a cada dia 🌅la posibilidad de ser el mejor dia de tu vida☀️|• Siempre mirando hacia la meta✔️ Feliz Martes‼️✨ #positivevibes #keepongoing #tacotuesday #keepmovingforward #livelifehappy #nyc #Godisgood #lifeisbeautiful</t>
  </si>
  <si>
    <t>tacotuesday</t>
  </si>
  <si>
    <t>livelifehappy</t>
  </si>
  <si>
    <t>1597267112701906272_279512262</t>
  </si>
  <si>
    <t>Посмотрели на воду, попугали уток. Говорили о разном, чувствую себя как на первом свидании🙈 
Теперь греемся кофе в wake up cafe. А я радуюсь осени.
.
#photooftheday #loveinmoscow #daily #dreamers #abmlife #authentic #abmhappylife #abmcolorcontest #seemymoscow #livy #keepongoing #lifeex #keepcalm #keeponwalking #livefolk #livealittle #liveauthentic</t>
  </si>
  <si>
    <t>akmomshenanigans</t>
  </si>
  <si>
    <t>1597268417735766473_31782924</t>
  </si>
  <si>
    <t>Life can be tough sometimes #alaska #kids #almostalamson #snowgear #faceplant #keepongoing</t>
  </si>
  <si>
    <t>snowgear</t>
  </si>
  <si>
    <t>alaska</t>
  </si>
  <si>
    <t>faceplant</t>
  </si>
  <si>
    <t>gr8vybes.sj</t>
  </si>
  <si>
    <t>1597269998617899008_186604143</t>
  </si>
  <si>
    <t>I'm turning into a winker 😉.. #stronghumans #keepongoing #nevergiveup</t>
  </si>
  <si>
    <t>stronghumans</t>
  </si>
  <si>
    <t>emilie.amoro</t>
  </si>
  <si>
    <t>1597271157807300192_5820853219</t>
  </si>
  <si>
    <t>🙌🏼🙌🏼 - 10kg 😍💯 June 2017 - September 2017 #eathealthy #niketraining #nike #justdoit #healthylifestyle #becauseican #keepongoing #yesican #motivation #transformation #nevergiveup #trainhard #nikesportswear #nikesport #asics #gym #gymlife#NTC #niketrainingclub</t>
  </si>
  <si>
    <t>eathealthy</t>
  </si>
  <si>
    <t>1597271327692987478_224929186</t>
  </si>
  <si>
    <t>Little bit of bad news for everyone following me here on Instagram in the moto community. My head blew. ☹️ No seating for my cams and wore out my valves. Doing everything I can to get a new engine in this thing. Still gotta thank my mechanic Kyle from Howard Automotive for dedicating so much time to fixing this thing. I’ll be back soon!
/
/
/
#love #life #happy #art #quote #strength #music #inspirational #god #inspiration #inspired #smile #keepongoing #standup #fight #live #faith #photography #metal #rock #motivation #technology #mx #motocross #kawasaki #braap #monsterenergy #gopro #ride365 #365mx</t>
  </si>
  <si>
    <t>1597272427481322071_647207825</t>
  </si>
  <si>
    <t>Legday workout done ✔🏋️‍♂️🏋️‍♂️💪💪 #legday #fitness #fitnessmotivation #justdoit #workout #gymshark #gymaholic #motivation #gymtime #squadgoals #lifestyle #progress #pumpitup #keepongoing #noexcuse</t>
  </si>
  <si>
    <t>squadgoals</t>
  </si>
  <si>
    <t>wweiping</t>
  </si>
  <si>
    <t>1597272634748181277_23323936</t>
  </si>
  <si>
    <t>-
First time being as the group and project manager, many many thanks to everyone! I have enjoyed my time here working with all of u. Truly grateful for all the trusts and respects in these months, especially salute to my boss! Thank u for trusting me and offered the job at the first place; however, as accepting the new position, I guess this is where I would say goodbye. Farewell, u all will be missed❤️
#tillnexttime #2months #tothenextstep #keepongoing #manyloves #marketingoperations</t>
  </si>
  <si>
    <t>manyloves</t>
  </si>
  <si>
    <t>2months</t>
  </si>
  <si>
    <t>tothenextstep</t>
  </si>
  <si>
    <t>marketingoperations</t>
  </si>
  <si>
    <t>jay962</t>
  </si>
  <si>
    <t>1597273205022608308_312179331</t>
  </si>
  <si>
    <t>Can you guess where I am? #keepongoing #bodyofagod</t>
  </si>
  <si>
    <t>bodyofagod</t>
  </si>
  <si>
    <t>1597275325451170490_1584949428</t>
  </si>
  <si>
    <t>Ну все.. on my way home... это было самое невероятное празднование #30 :))) thanks God, I am alive #ревизорромитрофанова #адвокатмитрофанова #адвокат#keepongoing</t>
  </si>
  <si>
    <t>30</t>
  </si>
  <si>
    <t>heidydelacruz</t>
  </si>
  <si>
    <t>1597275521527815867_308857634</t>
  </si>
  <si>
    <t>#dontquit #keepongoing</t>
  </si>
  <si>
    <t>1597275959999203009_4549186000</t>
  </si>
  <si>
    <t>t's #pizza time🍷🍴👀 Man muss sich auch mal was gönnen
Himmel schaut die gut aus 
Bin dann mal weg 😂😂
Schönen Abend 🤗
#dinner #food #foodporn #abgerechnetwirdamstrand #eatclean #healthyfood #healthy #yummy #boys #fitspo #fitness #noexcuses #bodybuilding #cleaneating #fitboy #love #lifestyle #fitnessaddict #weightloss #gymlife #abnehmen #motivation #fitnessjourney #nevergiveup #keepongoing
#beast #beastmode</t>
  </si>
  <si>
    <t>pizza</t>
  </si>
  <si>
    <t>1597277963467090398_5717527571</t>
  </si>
  <si>
    <t>#keepongoing #dolomiti #latemar #volcano #rock #geology #imagination #theskyisthelimit
Nobody owns a mountain.</t>
  </si>
  <si>
    <t>Latemar</t>
  </si>
  <si>
    <t>volcano</t>
  </si>
  <si>
    <t>drbenavidesg</t>
  </si>
  <si>
    <t>1597281114572912164_1684492969</t>
  </si>
  <si>
    <t>It's not always that easy to distinguish between the good guys and the bad guys. Sinners can surprise you. And the same is true for saints. Why do we try to define people as simply good or simply evil? Because no one wants to admit that compassion and cruelty can exist side-by-side in one heart. And that anyone is capable of anything. #tusday #messageoftheday #learnsomethingneweveryday #keepongoing</t>
  </si>
  <si>
    <t>tusday</t>
  </si>
  <si>
    <t>messageoftheday</t>
  </si>
  <si>
    <t>thelittlewhitebowco</t>
  </si>
  <si>
    <t>1597283684482199249_4267726317</t>
  </si>
  <si>
    <t>♡ We all make them...🍃♡ .
.
.
Running a small business with three little people at home, while trying to get your first born ready and set for school, as well as being a partner, running a house and still trying to have some sort of social meets, it's hard. We all make mistakes, but that's just living proof we are trying our best! Don't stop doing what you love because of one little mistake, keep at it, tomorrow's a new day and  that mistake really won't seem much in the grand scheme of things. .
.
Errors are made, things go wrong, one things for sure...you gotta carry on!!! .
.
#tlwbc #thelittlewhitebowco #mummingit #mistakeshappen #postageproblems #imworkingonit #keepongoing</t>
  </si>
  <si>
    <t>mummingit</t>
  </si>
  <si>
    <t>tlwbc</t>
  </si>
  <si>
    <t>mistakeshappen</t>
  </si>
  <si>
    <t>spiritofsunshine_n</t>
  </si>
  <si>
    <t>1597284741295719438_5916532082</t>
  </si>
  <si>
    <t>#blogger #lifestyleblogger #motivation #enjoylife #tryingsomethingdifferent #enjoyyourlife #adventuretime #learnsomethingneweverytime #traveler #neverendingsummer #spiritofsunshine #sos #motivation #entrepreneur #hustler #dreamer #fighter #learner #motivationalquotes #rockbottom #trying #keepongoing</t>
  </si>
  <si>
    <t>lifestyleblogger</t>
  </si>
  <si>
    <t>neverendingsummer</t>
  </si>
  <si>
    <t>trying</t>
  </si>
  <si>
    <t>aliia_haris</t>
  </si>
  <si>
    <t>1597286253207068630_538172495</t>
  </si>
  <si>
    <t>i remember so many details about important events and miss them all. I'm such a nostalgic person #lovelife #startdoing #dontstay #keepongoing</t>
  </si>
  <si>
    <t>dontstay</t>
  </si>
  <si>
    <t>startdoing</t>
  </si>
  <si>
    <t>ritaonozo</t>
  </si>
  <si>
    <t>1597289733104729782_4464355008</t>
  </si>
  <si>
    <t>#thanks #education #nevergiveup #learning #workhard #loveit #keepongoing</t>
  </si>
  <si>
    <t>WellaTalent Academy</t>
  </si>
  <si>
    <t>thanks</t>
  </si>
  <si>
    <t>skyttersonja</t>
  </si>
  <si>
    <t>1597289827760844555_1714353234</t>
  </si>
  <si>
    <t>Todays quote😎 #keepongoing #doyourbest #findtheopportunities #facethetoughtimes #beexcitedforthegoodtimed #hanginthere #livelife #goodfiends #grateful #keepaming #wonderwhereiland #lifeisanadventure #</t>
  </si>
  <si>
    <t>facethetoughtimes</t>
  </si>
  <si>
    <t>keepaming</t>
  </si>
  <si>
    <t>findtheopportunities</t>
  </si>
  <si>
    <t>beexcitedforthegoodtimed</t>
  </si>
  <si>
    <t>nellsyasung</t>
  </si>
  <si>
    <t>1597290772520416110_1609171041</t>
  </si>
  <si>
    <t>#fallintoanopenheart 1-10sep
.
🍁Hosts🍁
@yogi_alli
@elliegriffinyoga 
@lsopher
@kittyfhloe
.
🌲Sponsors🌲
@upcircleseven
@niyama_sports
@cuttingedgedesigncompany
@zenzle
.
🌞
.
🎈Poses🎈
Day 1: #Wheel ✅
Day 2: Bridge Pose 
Day 3: Bow 
Day 4: Camel 
Day 5: King Pigeon 
Day 6: Kapotasana
Day 7: Cobra Pose 
Day 8: Standing Backbend 
Day 9:  Forearm wheel
Day 10: Scorpion Inversion 
#yoga #yogachallenge #yogadamneveryday #keeppractice #practiceandalliscoming #iloveyoga #yogamom #yogaposes #yogainspiration #yogainsitubondo #keepongoing #positivevibes #positivethoughts #goodliving #namasteॐ</t>
  </si>
  <si>
    <t>iloveyoga</t>
  </si>
  <si>
    <t>yogainsitubondo</t>
  </si>
  <si>
    <t>yogadamneveryday</t>
  </si>
  <si>
    <t>boost4talents</t>
  </si>
  <si>
    <t>1597293273559295338_4685860630</t>
  </si>
  <si>
    <t>@_filipe_moreno vs Sporting Lisbon great performance
#boost4talents#Fitness#footballer#action#justdoit#strength#football#match#game#talent#keepongoing</t>
  </si>
  <si>
    <t>talent</t>
  </si>
  <si>
    <t>action</t>
  </si>
  <si>
    <t>1597294717321970891_1609171041</t>
  </si>
  <si>
    <t>#fallintoanopenheart 1-10sep
.
🍁Hosts🍁
@yogi_alli
@elliegriffinyoga 
@lsopher
@kittyfhloe
.
🌲Sponsors🌲
@upcircleseven
@niyama_sports
@cuttingedgedesigncompany
@zenzle
.
🌞
.
🎈Poses🎈
Day 1: Wheel ✅
Day 2: #BridgePose ✅
Day 3: Bow 
Day 4: Camel 
Day 5: King Pigeon 
Day 6: Kapotasana
Day 7: Cobra Pose 
Day 8: Standing Backbend 
Day 9:  Forearm wheel
Day 10: Scorpion Inversion 
#yoga #yogachallenge #yogadamneveryday #keeppractice #practiceandalliscoming #iloveyoga #yogamom #yogaposes #yogainspiration #yogainsitubondo #keepongoing #positivevibes #positivethoughts #goodliving #namasteॐ</t>
  </si>
  <si>
    <t>cpotter10</t>
  </si>
  <si>
    <t>1597296437808665880_3999597230</t>
  </si>
  <si>
    <t>Dreams. 
Don't stop Dreaming, 
Don't stop believing. 
#followyourdreams #keepongoing #believe #makeithappen #motivation</t>
  </si>
  <si>
    <t>linesyoga</t>
  </si>
  <si>
    <t>1597297169529783515_3164010410</t>
  </si>
  <si>
    <t>Day 5 #yogagirlchallenge #yogaeverydamnday @yoga_girl nice to be inside when the rain is pouring down outside 🌧 #yogalife #yogagirl #yogalove #yogaaddict #myyogalife #myyogajourney #iyengaryoga #keepongoing</t>
  </si>
  <si>
    <t>iyengaryoga</t>
  </si>
  <si>
    <t>myyogajourney</t>
  </si>
  <si>
    <t>beatrice_seguiti</t>
  </si>
  <si>
    <t>1597302097182615584_180051490</t>
  </si>
  <si>
    <t>Zizzi'sLove 2.0 #love #me #smile #heart #happy #cute #friends #selfie #amazing #party #fun #vscocam #beautiful #tbt #picoftheday #photooftheday #nofilter #girl #instagood #instadaily #nature #style #fashion #clown #after #keepongoing</t>
  </si>
  <si>
    <t>Can Jordi</t>
  </si>
  <si>
    <t>after</t>
  </si>
  <si>
    <t>1597304417504709318_2190333578</t>
  </si>
  <si>
    <t>Nimm das Leben nicht zu erst....muss gerade ich sagen...🙄
Eigentlich wollte ich heute Abend laufen...aber erstens kommt es anders und zweitens....blablabla 
Also bin ich einige Bahnen geschwommen und habe derbe gegen meine Bahn Nachbarin abgelooooosed...freundliche Grüße übrigens! 😂😂😂😂
Do not take life first ... I just have to say ... 🙄
Actually I wanted to run this evening ... but firstly it comes differently and secondly .... blablabla
So I've swum a few lanes, and have thrown against my railroad neighbor ablooooosed ... friendly greetings, by the way!
#pushpress #100% #beastmode  #nopainnogain #Disziplin #runner #discipline #Gym #GYMDAY #Training #Sport #fitness #studio #joyfitness #doit #results #workout #benefit #doitforyou #pain #workharder #keepongoing #today #deadlift #cardio #sweat</t>
  </si>
  <si>
    <t>HolstenTherme GmbH</t>
  </si>
  <si>
    <t>1597310989282729018_1454633393</t>
  </si>
  <si>
    <t>#keepongoing #workout #nopainnogain #training #sagliklibeslen #vipsports #gym #gains #strenghttraining #motivation #teamwork #gymshark #eforfitness</t>
  </si>
  <si>
    <t>1597311009726766491_2317517565</t>
  </si>
  <si>
    <t>Jeg spiser stort alt, hvad jeg lyster. Jeg er samtidig bevidst om, at jeg ikke behøver at spise en liter is for at tilfredstille mine cravings. En halv liter er rigeligt😅. ••• Jeg forsøger at spise varieret og det indebærer også Hansens Flødeis. Jeg får mine proteiner, fedt og kulhydrater gennem forskellige kilder. Jeg kan ikke liste dem op, for jeg kan ikke huske mere end et par dage tilbage, når det gælder mine måltider.  Jeg synes  600 gram grøntsager om dagen er meget. Jeg ligger nok på 200-400 gram og nogle dage 0 gram. Jeg syntes, i  starten, at 100 gram var meget. Heldigvis er jeg gift med Mette, som er pænt god til det med salater. Jeg forsøger at gøre det simpelt.  Det behøver ikke ligne noget fra Femina. ••• Ofte bliver jeg mæt af én portion aftensmad, og hvis ungerne larmer så meget om bordet, at jeg nærmest ikke kan mærke mætheden, så  gemmer jeg noget mad til senere, som så bliver glemt i børnetrummerummet.  Jeg bruger det i stedet til madpakke dagen efter, da jeg blev mæt af den første portion. ••• Jeg gør mit bedste, og hvis du gør dit bedste, så er det godt nok. Det er også ok kun at gøre sit næstbedste en gang i mellem. Hvor tit ved jeg faktisk ikke. Nogle gange er dagsformen bare ikke til mere. •••
#mortentillitzdk  #whatwouldbeyoncedo #toldyouso #tropådet #personligtræner #personaltrainer #cycling #Cykling #styrketræning #løb #Svømning #Swim #running #stronger #personligtræner #mitodense #fitfam #ﬁtfamdk #actionequalsresults #handlingskabersucces #helkropstræning #fullbody #SunRiceClubbyMortenTillitzDK #mentalpause #blivved #keepongoing #styrketræning #painfree #smertefri #søvn #sleep #mitodense</t>
  </si>
  <si>
    <t>backyardmommy</t>
  </si>
  <si>
    <t>1597317132026433703_17717646</t>
  </si>
  <si>
    <t>Much of our early years my husband &amp; I worked opposite shifts/days and even with our first child we never had opportunities for family days. I'm so grateful for the time I've had off recently to focus on our family. It's so easy to get sucked into the grind of life and forget to take advantage of any moments with those you love.  For all you hardworking mamas out there, I know your tired, I know you don't have enough time in the day and you feel overwhelmed at times. But making time for silly moments like smelling plants at a park make for amazing memories for your children and will give you a moment of relief from your endless list of responsibilities. .
.
.
.
.
.
.
.
.
 #momlife #momswithcameras #familytime #silly #momsofinstagram #toddler #motherhood #qualitytime #mamasboy #moments #momentslikethese #mommylife #keepongoing #keepgoing #keepitup</t>
  </si>
  <si>
    <t>momsofinstagram</t>
  </si>
  <si>
    <t>mommylife</t>
  </si>
  <si>
    <t>cassandrafoxdance</t>
  </si>
  <si>
    <t>1597319470821350905_453506597</t>
  </si>
  <si>
    <t>So many of my decisions have been based around developing my career and art, regardless of what others might say or think, or what judgements they have expressed. I have been so fortunate to have support from my friends, my family, and my cats 😂😻. I have lived precariously because I believe in what I do and can't imagine not doing it. 
When I started, I never let what I didn't have or didn't have access to stop me from doing the best with what I did have. I moved the kitchen table and practiced my dancing in the kitchen. You can see a lot of my old practice videos on my YouTube channel are in an old  kitchen, some are in studio space I had access to in University. I did all of my sewing in my bedroom. I cut out fabric on my grandma's kitchen table. 
Eventually I found a big piece of mirror someone was trying to get rid of on facebook and I dropped everything and scrambled to find a truck to get it that day. I saved for wood flooring, and eventually over time a small in home studio space was born for practicing and teaching. It is my happy place. 
Instead of going on vacation I invested in a sewing machine more suited for the fine and stretchy fabrics that I regularly work with. I relentlessly checked kijiji waiting for a good deal on a second hand serger. I currently have a sewing room instead of a living room and rely on my one sewing machine, one serger, two hands, and imagination. 
Pics in order, 
My first mirror selfie in my current dance space. Such a happy day!!
Screencap from a kitchen practice video, back in the day.
My sewing machine jammed in a small space in my old bedroom. 
My sewing machine now (on my Grandma's former kitchen table, and now my sewing table) featuring my sewing companion, Butters❤
Two of my biggest supporters, my Mom and Grandma. 
My cats (Butters and Bunny Muffins) modelling various fabric, giving me inspiration, and above all else tolerating me 😂 
Thank you for taking the time to read and learn about my story so far. This has actually been fun and emotional for me. It has given me great perspective and appreciation.  #createmorefund @creemoresprings #dance #dancelife #sewing #creating #ittakestime #keepongoing</t>
  </si>
  <si>
    <t>dancelife</t>
  </si>
  <si>
    <t>creating</t>
  </si>
  <si>
    <t>ittakestime</t>
  </si>
  <si>
    <t>prisflot</t>
  </si>
  <si>
    <t>1597321577928600015_691694201</t>
  </si>
  <si>
    <t>Medio desnuda ó medió vestida, todo depende del cristal con que se mira. 💕💓🤷🏻‍♀️
.
.
.
.
#visualeffect #light #shadows #girl #eyes #free #strongwoman #hardcorelady #powergirl #keepongoing #cool #happy #photography #instapic #instagood #instafun #like4like #follow4follow #naked #dress #colors #dontcare #mexico #workinghard #love #me 💥💥💥🙌🏻💪🏻👀💋</t>
  </si>
  <si>
    <t>Distrito Federal, Mexico</t>
  </si>
  <si>
    <t>hardcorelady</t>
  </si>
  <si>
    <t>esmeederoo</t>
  </si>
  <si>
    <t>1597322187881081399_212063749</t>
  </si>
  <si>
    <t>Heerlijk buiten-sport-weer 🙃😅 #yeah #zweten #sweat #sports #keepongoing</t>
  </si>
  <si>
    <t>yeah</t>
  </si>
  <si>
    <t>zweten</t>
  </si>
  <si>
    <t>jweigum</t>
  </si>
  <si>
    <t>1597325633208469483_174167062</t>
  </si>
  <si>
    <t>#treedown #lodilake #natiretheraphy #workoutmotivation #horticulturelife #hoodlife #keepongoing 😎🌺</t>
  </si>
  <si>
    <t>horticulturelife</t>
  </si>
  <si>
    <t>hoodlife</t>
  </si>
  <si>
    <t>treedown</t>
  </si>
  <si>
    <t>lodilake</t>
  </si>
  <si>
    <t>natiretheraphy</t>
  </si>
  <si>
    <t>1597327396285723572_4203348813</t>
  </si>
  <si>
    <t>Loving this booty 👌</t>
  </si>
  <si>
    <t>kinsombi_hl</t>
  </si>
  <si>
    <t>1597328803926816733_224684879</t>
  </si>
  <si>
    <t>A walk to Remember 👣👣 #marbella#spain#andalusien#vacanze#travel#keepongoing#awalktoremember#wanderlust#travel#road#like#followme#like4like#f4f#germany#african#instatravel#instawalk#instagood#instadaily</t>
  </si>
  <si>
    <t>Marbella!!</t>
  </si>
  <si>
    <t>marbella</t>
  </si>
  <si>
    <t>andalusien</t>
  </si>
  <si>
    <t>p.o.m.a.n.k.s</t>
  </si>
  <si>
    <t>1597330079296386392_4678264587</t>
  </si>
  <si>
    <t>First PB for this training, but it needs to be improved..! 💪🏻
#Freeletics #bodyweight #freeleticsangers #freeleticsecouflant #hippodrome #angers #ecouflant #freeathlete #freeleticslifestyle #fit #fitness #fitnessmotivation #stayinshape #betterversionofyourself #keepongoing #trainingday #workout #noexcuses</t>
  </si>
  <si>
    <t>Écouflant, Pays De La Loire, France</t>
  </si>
  <si>
    <t>1597332596518282474_2301215576</t>
  </si>
  <si>
    <t>Follow @freedom.preneur for top travel inspiration! Shasta-Trinity National Forest, Northern California. 🇺🇸
Photo by @prevailz
.
.
.
.
.
.
.
.
#beachbod #paradisepoint #liveforyou #paradisebeach #lifeisart #addictedtotravel #sunset_ig #instagood #travelwithme #paradisepark #lifeisagift #traveladventures #getoutstayout #travelportland #destinationearth #lifechoices #earthy #travelgermany #keepongoing #keepgrowing #foodandtravel #discoverearth #travelcouple #yoga4growth #travelwell</t>
  </si>
  <si>
    <t>jankruml</t>
  </si>
  <si>
    <t>1597334352637794971_899498249</t>
  </si>
  <si>
    <t>Left or right? #krkonose #trail #mountains #beautifultrails #keepongoing #czechrepublic</t>
  </si>
  <si>
    <t>krkonose</t>
  </si>
  <si>
    <t>czechrepublic</t>
  </si>
  <si>
    <t>beautifultrails</t>
  </si>
  <si>
    <t>mrs_ale_ferri</t>
  </si>
  <si>
    <t>1597334639412185995_8408530</t>
  </si>
  <si>
    <t>Wherever you go / go with all your heart ❤️/ #confucious #pondering #life #mypointofview #desert #love #wonderseeker #wildheart #freespirit #rebelwithacause #keepongoing</t>
  </si>
  <si>
    <t>mypointofview</t>
  </si>
  <si>
    <t>wildheart</t>
  </si>
  <si>
    <t>pondering</t>
  </si>
  <si>
    <t>1597338501936992522_221837215</t>
  </si>
  <si>
    <t>Where there is Hope, there is Faith! Where there is Faith, Miracles Happen!💚
Ощущение Сказки... Атмосфера напоминает, что чудеса там, где в них верят, и чем больше верят, тем чаще они случаются!
:
:
:
#vsco #nature #scenery #instaview #hiking #mountains #lake #inspiration #keepongoing #lifeisbeautiful #godisgood #travelgram #instatravel #bestdestinations #adventuretime #outdoors #haze #природа #горы #озеро #вид #вдохновение #сказка</t>
  </si>
  <si>
    <t>Tipsoo Lake, Mt Rainier</t>
  </si>
  <si>
    <t>озеро</t>
  </si>
  <si>
    <t>1597339381205589344_396521172</t>
  </si>
  <si>
    <t>Peaceful @untilifindhome at Mt.Fuji, Japan 🇯🇵 Photo by @annamcnaughty
.
.
.
.
.
.
.
.
#beachbod #spiritualawakening #familyaffair #keepongoing #awesome_hotel #onmygrind #addictedtotravel #lifeisajoke #travelmalaysia #luxurytraveler #paradiseweekend #livethelife #yogaforlife #moodygrams #travelvideo #slowtravel #awesomeglobe #lifeabroad #paradisetour #lifeofadventure #travelpictures #paradisebay #travelmorocco #travelnevda #travelbreak</t>
  </si>
  <si>
    <t>1597341214403188724_429036895</t>
  </si>
  <si>
    <t>So in love with this shirt (and still in love with this legging). Sometimes you need to tried yourself with new gym wear. 😁😁 #gymwear #gymlover #daretoshare #bodylove #selflove #foodlover  #fitnessjourney #progress #fitness #fitdutchie #weightlifting #girlwholifts #fitfam #fitnessaddict #curves #weightgaining #bodyandmind #gymlife #recovering #bootygrow #dedication #hardwork #keepongoing #strenght #grow #girlonamission #effort #girlpower #healthylifestyle</t>
  </si>
  <si>
    <t>1597341853749136725_4869035138</t>
  </si>
  <si>
    <t>P-R-O-T-E-C-T 💯❌
Do follow us here @100xsuccess 🔥
•
📷 @shaazjungphotography</t>
  </si>
  <si>
    <t>davide_campari</t>
  </si>
  <si>
    <t>1597343020997819715_178631136</t>
  </si>
  <si>
    <t>Thank you for everything you brought to the playa in the last 10 years.. Could not be more proud of being part of this..
WE ARE DISCO KNIGHTS!
#cafecalm #burningman #DiscoKnights #10years #thankyou #goodbye #personalheaven #inspire #keepongoing</t>
  </si>
  <si>
    <t>Black Rock City</t>
  </si>
  <si>
    <t>goodbye</t>
  </si>
  <si>
    <t>10years</t>
  </si>
  <si>
    <t>fabianraffeiner</t>
  </si>
  <si>
    <t>1597349789045794539_25306921</t>
  </si>
  <si>
    <t>#tomatillos #stefanbrunner #organic #farmtotable #somenewstuff #keepongoing #meridianobern #meridiano #kursaal #kursaalbern @brunnereichhof.ch</t>
  </si>
  <si>
    <t>Restaurant Meridiano</t>
  </si>
  <si>
    <t>meridianobern</t>
  </si>
  <si>
    <t>kursaalbern</t>
  </si>
  <si>
    <t>kursaal</t>
  </si>
  <si>
    <t>vsgeee.wizz</t>
  </si>
  <si>
    <t>1597354033369907488_5924747825</t>
  </si>
  <si>
    <t>#weirdpost time! As part of #transformationtuesday there are many little things I've noticed since losing these first 20 lbs. but the weirdest and maybe most surprising to me at least, is being able to see the veins and tendons move in my hands again!
🤓
You guys, I know this is a small thing and so insignificant, but when a person is fat, they're fat everywhere! I'm starting to see my collarbones again, and be able to cross my legs without having to pull my leg up. It's the #smallthings that you don't notice you couldn't do before. To feel trapped in your own body is such a nightmare but it's amazing what humans can get used to.
🤓
I have already received compliments on how my face looks slimmer, which makes me feel great! I know this surgery was the best decision I could have made for myself and well being.
.
.
#vsgcommunity #vsg #vsgjourney #vsgisonlyatool #bariatricsurgery #bariatricsleeve #bariatricbabes #bariatriclife #wlstransformation #20lbsdown #keepongoing</t>
  </si>
  <si>
    <t>vsg</t>
  </si>
  <si>
    <t>wlstransformation</t>
  </si>
  <si>
    <t>bariatricbabes</t>
  </si>
  <si>
    <t>1597357073008308941_3154771617</t>
  </si>
  <si>
    <t>Zum Ausklang des Tages gab es Rücken serviert mit einer kleinen Portion Trizeps und und am Rand dekoriert mit einem Hauch von Rumgeblödel. 😂😜💪 danke @norropro für das Video und du hast recht ... echt ekelig 😂😂😂😂
#fitfam #McFit #gymwarrior #austria #bb #gymjunky #fitnessaddicted #carinthia #dontstop #enjoylife #focus #gymlove #fitnesslife #girlswholift #justdoit #nike #keepongoing #loveyourself #fitnessmotivation #gym #staymotivated #proudtobemcfit #staystrong #pumpdeinleben #vienna #workoutdone #bodybuilding #fitnessgirl</t>
  </si>
  <si>
    <t>gymwarrior</t>
  </si>
  <si>
    <t>1597363180744827011_280219721</t>
  </si>
  <si>
    <t>Como with my travel buddy 🌸
#Como #lakeComo #boat #bucketlist #bucketlisters #wanderlust #travellernottourist #traveladdict #travelgirl #worldwonders #lifeisworthliving #keepongoing #Iamatraveler #travelbuddy #exploreeurope #bestdestinations #travelphoto #travelphotography</t>
  </si>
  <si>
    <t>iamatraveler</t>
  </si>
  <si>
    <t>boat</t>
  </si>
  <si>
    <t>como</t>
  </si>
  <si>
    <t>natsucookie</t>
  </si>
  <si>
    <t>1597365332547245476_145499192</t>
  </si>
  <si>
    <t>#keepongoing #brewerytour</t>
  </si>
  <si>
    <t>Parkside Brewery</t>
  </si>
  <si>
    <t>brewerytour</t>
  </si>
  <si>
    <t>1597367048513877258_277780257</t>
  </si>
  <si>
    <t>Today was a GOOD day 😇 always have good days when my lifts feel good.
Did an easy on 80 in bench and a pretty easy on 150 in deadlift, (my PB 8 weeks ago) nice to see technique and speed has improved a bit. *happy*
Unfortunately I dont feel the same love for squats at the moment, had to stop on 115 today 😠
But after being sick and at the moment on very low kcal intake I blame it on that. So I only hope that the weights increase when I start to eat more normal again. But have 3, 5 kg more to loose to competition weight so have to stick it out a little bit longer. But lowest weight today since last competition (gained a bit this summer 😂😱)
1*115 - Squat
2*2+1*100 - Highbar
1*80 - Bench 
3*2*70 - Pinpress 
1*150 - Deadlift 
2*120 - Short deadlift
. 
#coachedbyzebssons #deadlift #powerlifting #followyourdreams #challengeyourself #keepongoing #benchpress #nevergiveup #motivation #girlswholift #allkindofgains #squat #motmintoppform #strength #lifestyle #fitlife #tattoo #workhardorgohome #lettevekter #flagom #getfitordietrying #noexcuses #styrkelyft #lifelookingood #sbd</t>
  </si>
  <si>
    <t>flagom</t>
  </si>
  <si>
    <t>1597367471458184158_4773778225</t>
  </si>
  <si>
    <t>sandybraaap</t>
  </si>
  <si>
    <t>1597367505423464671_214687041</t>
  </si>
  <si>
    <t>När man ger sig fan på att ta sig därifrån 💪👀 #jagvilljagkan #stucked #keepongoing</t>
  </si>
  <si>
    <t>jagvilljagkan</t>
  </si>
  <si>
    <t>stucked</t>
  </si>
  <si>
    <t>bmiisbullshit_cwp</t>
  </si>
  <si>
    <t>1597367540412086744_5857374319</t>
  </si>
  <si>
    <t>My consultant really isn't sure how this happened as I was 💯 on plan but I'm ok with it. After last weeks big loss I really didn't think I would manage anything this week but did hope for 1lb to give me my stone. But I'm not letting it put me off and upset me. Got a wedding on Friday and I'm drinking so have to have 400kcal meal tomorrow and Thursday in preparation #cwp #cwpfamily #cwplife #lovecwp #bmiisbullshit #gettingivfready #teamme #teamcwp #onplan #maintain #thisgirlcan #thisisworthit #icandothis #keepongoing #day23 #weighday #willpower #dedication #determined #workingonmygoals #notgoingtostopme #infertilitysucks</t>
  </si>
  <si>
    <t>infertilitysucks</t>
  </si>
  <si>
    <t>day23</t>
  </si>
  <si>
    <t>teamme</t>
  </si>
  <si>
    <t>workingonmygoals</t>
  </si>
  <si>
    <t>lillth54</t>
  </si>
  <si>
    <t>1597370231813455814_461584403</t>
  </si>
  <si>
    <t>#letthemburntheirbridges #notetoself #keepfightingthegoodfight #keepongoing</t>
  </si>
  <si>
    <t>letthemburntheirbridges</t>
  </si>
  <si>
    <t>notetoself</t>
  </si>
  <si>
    <t>keepfightingthegoodfight</t>
  </si>
  <si>
    <t>1597376910739005969_1979470355</t>
  </si>
  <si>
    <t>Even pain is no excuse 😕💪 #kaylaitsines #sweatwithkayla #bbg #liss #fitmom #fitness #fitforlife #sweatnowshinelater #fightforit #keepongoing #poweron #latenightsession #nevertooold #nevertoolate #nevergiveup #nothingcanstopme #nopainnogain #noexcuses #slowprogress #betterthannoprogress #derwegistdasziel</t>
  </si>
  <si>
    <t>nothingcanstopme</t>
  </si>
  <si>
    <t>nadi_226</t>
  </si>
  <si>
    <t>1597380149849258225_3875832635</t>
  </si>
  <si>
    <t>“YOU NEVER KNOW WHAT’S AROUND THE CORNER. IT COULD BE EVERYTHING OR IT COULD BE NOTHING. YOU KEEP PUTTING ONE FOOT IN FRONT OF THE OTHER. AND THEN ONE DAY YOU LOOK BACK AND YOU’VE CLIMBED A MOUNTAIN.”
Tom Hiddelston 
#motivationalquotes #motivation #steps #stepforward #scalinata #calampiso #sicilia #keepongoing #tomhiddelston</t>
  </si>
  <si>
    <t>tomhiddelston</t>
  </si>
  <si>
    <t>scalinata</t>
  </si>
  <si>
    <t>1597381388965628545_3154771617</t>
  </si>
  <si>
    <t>1597383072685178346_5835011373</t>
  </si>
  <si>
    <t>Auf geht's... 💪
#training #rücken #aufbau #gymsession#bodytransformation #workout#backday #keepongoing #loveit#girlswholift #fitnessaddicted #fitgirl #fitchick #muscles #gymtime #fitfam #workforit #transformation#black #batman #leggings #brownhair #tattoos</t>
  </si>
  <si>
    <t>brownhair</t>
  </si>
  <si>
    <t>purrheaven</t>
  </si>
  <si>
    <t>1597384982568637278_3960232355</t>
  </si>
  <si>
    <t>Let life surprise you. 
#keepongoing #walktheunbeatenpath  #raysofsunshine #natureatitsbest 
#toulouse #francetrip #enjoythejourney #beautifulsurprise #lifehappens #stopworrying #keepanopenmind #gowiththeflow #choosetobehappy 
#bekind #keepitsimple  #tawakkul #grateful #hakunamatata #travelphotography #myphotomyheart #cestlavie</t>
  </si>
  <si>
    <t>Toulouse, France</t>
  </si>
  <si>
    <t>keepanopenmind</t>
  </si>
  <si>
    <t>gowiththeflow</t>
  </si>
  <si>
    <t>choosetobehappy</t>
  </si>
  <si>
    <t>francetrip</t>
  </si>
  <si>
    <t>stopworrying</t>
  </si>
  <si>
    <t>1597385132566108893_669865665</t>
  </si>
  <si>
    <t>Never give up what you belive in. Do what you love and be happy. But never quit,  keep fighting 💪🏻
🤘🏻🤘🏻🤘🏻🤘🏻🤘🏻🤘🏻🤘🏻🤘🏻🤘🏻🤘🏻🤘🏻🤘🏻🤘🏻🤘🏻🤘🏻
#nevergiveup #fight #dowhatyoulove #dontworrybehappy #runnermom #traning #healthy #livlong #trustyourself #feelingood #happines #fitness #keepongoing #neverquit #awsome</t>
  </si>
  <si>
    <t>traning</t>
  </si>
  <si>
    <t>1597385549832692336_5869287963</t>
  </si>
  <si>
    <t>Vamos a por la cena!
ensalada de barritas de pescado y una lata de ventresca. Más fácil imposible!
Mañana va a ser un gran día, buenas noches familia.
#fitness #fitfam #fitness #eatclean #fresh #salad #ensalada #rico #fit #bodybuilding #comeon #sportman #staymotivated #keepongoing #strong #fitfood #fitnessmotivation #goodnight</t>
  </si>
  <si>
    <t>sportman</t>
  </si>
  <si>
    <t>goonter_wallis</t>
  </si>
  <si>
    <t>1597386239584210782_4276688278</t>
  </si>
  <si>
    <t>Ha! And they said you could never do it! If anyone wants to learn how to do these ask me! 
#Strength #stamana #Keepongoing
#dowhatyoudobest #livetostrive
#FitnessFun
So keep trying and do what you wanna do! Bye</t>
  </si>
  <si>
    <t>stamana</t>
  </si>
  <si>
    <t>fitnessfun</t>
  </si>
  <si>
    <t>livetostrive</t>
  </si>
  <si>
    <t>dowhatyoudobest</t>
  </si>
  <si>
    <t>tawnyjsmith</t>
  </si>
  <si>
    <t>1597393616427184729_35249565</t>
  </si>
  <si>
    <t>Surround yourself with those who push you to be and do better! Don't stop because you are tired! Stop because you are FINISHED! #keepongoing #crossfit #mywayoflife #strong #goodvibes #momswholift #bebetterthanyouwereyesterday</t>
  </si>
  <si>
    <t>mywayoflife</t>
  </si>
  <si>
    <t>sheseekssunflowers</t>
  </si>
  <si>
    <t>1597396475070730407_3402017098</t>
  </si>
  <si>
    <t>Seem to have been on this for so long now and still no destination in sight.
Too many confusing signs and dead ends but I have to continue my journey - find the end of the road and the enlightenment I need - wish me luck🌻
#overwhelming #findaway #seekthelight #makeprogress #keepongoing #mentalhealth #highmileage #onefortheroad #talkingheads #longandwindingroad #thebeatles #navigation #plentyofbreaks #drivewithcare #hazardahead #slowdown #giveway #proceedwithcaution #illgetthere</t>
  </si>
  <si>
    <t>Farnborough, Hampshire</t>
  </si>
  <si>
    <t>findaway</t>
  </si>
  <si>
    <t>highmileage</t>
  </si>
  <si>
    <t>slowdown</t>
  </si>
  <si>
    <t>hazardahead</t>
  </si>
  <si>
    <t>plentyofbreaks</t>
  </si>
  <si>
    <t>1597396944438619491_5773560131</t>
  </si>
  <si>
    <t>The light festival is just 😍😍😍</t>
  </si>
  <si>
    <t>responsible</t>
  </si>
  <si>
    <t>dublin</t>
  </si>
  <si>
    <t>1597398154562868837_4230484970</t>
  </si>
  <si>
    <t>@_cassiebrown_ 👙💟</t>
  </si>
  <si>
    <t>carrie_mybestself</t>
  </si>
  <si>
    <t>1597402141851486308_1494059412</t>
  </si>
  <si>
    <t>True story.
#refocus #keto #ketodiet #timetogetmotivated #keepongoing</t>
  </si>
  <si>
    <t>timetogetmotivated</t>
  </si>
  <si>
    <t>refocus</t>
  </si>
  <si>
    <t>arty_kitkat</t>
  </si>
  <si>
    <t>1597405342826904861_3242708967</t>
  </si>
  <si>
    <t>I'm alive I swear-- #showerhair getting ready for work. The past couple months have been pretty bad ^^; I had bronchitis, and still have a lingering cough, and I found out why my hip hurts. 
Turns out the vertebrae that connects to my tail bone is twisted to the left and crushing the disk between- plus, my body has been trying to compensate by twisting my pelvis |D Thanks body, that really helped-- so now they have to twist and stretch that all back to normal. Pluuuus, plus, I'm looking for a new job. It's too hard on my body nowadays... hence problem above--- SO that's an update. Hope you guys had a good labor day weekend~
-_-_-_-_-_-_-_-_-_-_-_-_-_-_-_-_-_-_-_-_-_-_-
#showerhead #busy #busygirl #busylife #busylady #work #hardlife #keepongoing #keeponmoving</t>
  </si>
  <si>
    <t>busylady</t>
  </si>
  <si>
    <t>zach.health.fitness</t>
  </si>
  <si>
    <t>1597410758638118942_5895391755</t>
  </si>
  <si>
    <t>Giving up will only cause you to regret would could have been. .
#lowcarb #fitness #workout #workoutmotivation #strength #keto #ketogenic #ketodiet #nevergiveup #dontquit #dontstop #tranformationtuesday #healthy #inspiration #motivation #inspirationalquotes #motivationalquotes #neverquit #heavy #keepongoing #diet #nutrition #healthyeating</t>
  </si>
  <si>
    <t>1597413098440279329_5468355632</t>
  </si>
  <si>
    <t>Today is such a relaxing beautiful day 💕
🐠
-
-
-
#josh #tyler #jenna #twentyonepilots #bands #frens #laugh #myidols 
#loveyou #bestmusic #keepongoing #ibelieve #theyrethebest #funny #smile #tøpmemes #tøp #stayalive #inspiring  #beautifulpeople</t>
  </si>
  <si>
    <t>troublefitness</t>
  </si>
  <si>
    <t>1597414111732769814_3861169190</t>
  </si>
  <si>
    <t>That's the beauty of life, you can keep #learning , #listening , #growing and #experimenting . So keep on. Only stop, when you stop. #focus #education #opportunity #keepongoing #explore #takechances #learnthatloveit #theresalwaysasolution</t>
  </si>
  <si>
    <t>opportunity</t>
  </si>
  <si>
    <t>tennentwright_</t>
  </si>
  <si>
    <t>1597418600518704117_208776283</t>
  </si>
  <si>
    <t>I need to keep reminding myself of this when I feel frustrated at my capabilities. After so long not being in any form of academia it's actually bloody hard and I have doubted myself and how I can do it!! Managing my notes, making sure I'm doing things correctly but still making my work authentically me is proving a bit of a struggle, but it's absolutely one I want to overcome and continue my new wee journey as a student. Feeling grateful for having a second chance at missed opportunities and believing I can do it is paramount and the love and support I have from my people, my boyfriend ♥️ and my new friends and fellow student girls is helping me immeasurably 😄 this just seemed like such an apt wee quote for how I'm feeling about my life as a whole. Life is for living and everyone deserves happiness #positivevibesonly #promotepositive #beafriend #supporter #keepongoing</t>
  </si>
  <si>
    <t>beafriend</t>
  </si>
  <si>
    <t>promotepositive</t>
  </si>
  <si>
    <t>supporter</t>
  </si>
  <si>
    <t>thejoyfulone93</t>
  </si>
  <si>
    <t>1597422584302036159_510954600</t>
  </si>
  <si>
    <t>My little love, I live for you. Our journey may be tough, but continues to be worth it 💕💋 #sheownsmyheart #perfectgirl #cosleeping #mylittlelove #mylife #keepongoing #worthwhile #buildingourfuture #strongmumma</t>
  </si>
  <si>
    <t>buildingourfuture</t>
  </si>
  <si>
    <t>strongmumma</t>
  </si>
  <si>
    <t>cosleeping</t>
  </si>
  <si>
    <t>mario_grabinski</t>
  </si>
  <si>
    <t>1597426071800400598_2025577158</t>
  </si>
  <si>
    <t>I  never would have thought that some  sport could take control of my life. Climbing is more than just a hobby it's a passion which became a lifestyle 😊 Great session with @samelyod 🙏
📷 @momentalnie .
.
.
#passion #hobby #lifestyle #active #stayfit #trainhard #climbhard #climbing #climbinglife #indoor #bouldering #gym #psyched #wantmore #dowhatyoulove #dowhatmakesyouhappy #keepongoing #good #session #instasport #extremesports #happy #motivation #picoftheday #climbing_pictures_of_instagram #pictureoftheday #polish #polishboy #hangar</t>
  </si>
  <si>
    <t>The Climbing Hangar Liverpool</t>
  </si>
  <si>
    <t>climbinglife</t>
  </si>
  <si>
    <t>climbhard</t>
  </si>
  <si>
    <t>francoisluc5005</t>
  </si>
  <si>
    <t>1597438400612537546_4779380096</t>
  </si>
  <si>
    <t>Not my own design, but this is one of my quick sketches.
#sketching #architecturalsketching #architecture #hb #pencil #keepongoing #keeponpracticing</t>
  </si>
  <si>
    <t>architecturalsketching</t>
  </si>
  <si>
    <t>keeponpracticing</t>
  </si>
  <si>
    <t>kimberly_turnbow</t>
  </si>
  <si>
    <t>1597442774189647392_213335904</t>
  </si>
  <si>
    <t>You are brave, you are courageous and you have shown us you aren't afraid to be open to TRY something out of your comfort zone.  Through good or bad that being a mother isn't easy yet you share with us the world you and my grand baby journey, from nursing her in public to helping her dreams become a reality with acting, singing, modeling plus more...I want to say to you that I applaud you for putting it all on the line for her and you are a great mother! No matter the detours life may throw your way I know you will push through and Iah will have these memories of lifetime and you are showing her early in life what it takes to be whatever it is she puts her mind too. Keep sharing with us as I see you as a inspiration to many. 
I love you- your mother❣️ This serves a reminder to me of my "why" and I'm thankful for my mom sharing her thoughts with me.  #iamher #beincouraged #keepongoing #dreambig #believe #receive #momanddaughter #love #givethanks #inspiration #life</t>
  </si>
  <si>
    <t>momanddaughter</t>
  </si>
  <si>
    <t>iamher</t>
  </si>
  <si>
    <t>1597443211729612965_5717527571</t>
  </si>
  <si>
    <t>#keepongoing #dolomiti #latemar #dyke #volcanic #theskyisthelimit #geology #keeponlearning #newpointofview #satisfying #crows
Dicchi ed altre lunghe storie a 2688m slm.</t>
  </si>
  <si>
    <t>Rifugio Torre Di Pisa</t>
  </si>
  <si>
    <t>satisfying</t>
  </si>
  <si>
    <t>dyke</t>
  </si>
  <si>
    <t>crows</t>
  </si>
  <si>
    <t>assetrecruitment</t>
  </si>
  <si>
    <t>1597445999844357900_3088865993</t>
  </si>
  <si>
    <t>👊🏼 A wee reminder for you!
#assetrecruitment #keepongoing #productivity #worklife #gettingitdone</t>
  </si>
  <si>
    <t>dbmemoirs</t>
  </si>
  <si>
    <t>1597463057592169043_5667366782</t>
  </si>
  <si>
    <t>#life #lifequotes #keepongoing #nevergiveup #fatherhood #numberone #instalife #beingyourownboss #protect #child #parenting #parenthood #parents #inspire #inspired #willsmith #bestfilm #lifelessons #leadtheway #standout #neversaynever #candoattitude #rolemodel #london #uk #hardlife #succeed #thinkpositive #bepositive #leadbyexample</t>
  </si>
  <si>
    <t>protect</t>
  </si>
  <si>
    <t>izab311</t>
  </si>
  <si>
    <t>1597464692631442393_461458803</t>
  </si>
  <si>
    <t>#stronger#whoiamnow#Godisgood#allthetime#lessonlearned#keepongoing#whatdoesntkillyoumakesyoustronger#😊#👐</t>
  </si>
  <si>
    <t>whoiamnow</t>
  </si>
  <si>
    <t>allthetime</t>
  </si>
  <si>
    <t>1597472853631093762_3952381083</t>
  </si>
  <si>
    <t>🖌 car scribbles with random pen/paper/poses .....
poses..... paper roses 🌹....roses....just a thought.....</t>
  </si>
  <si>
    <t>virginiacolao</t>
  </si>
  <si>
    <t>frauleinanna</t>
  </si>
  <si>
    <t>1597477287916453940_405290250</t>
  </si>
  <si>
    <t>ハイク</t>
  </si>
  <si>
    <t>Miyajima</t>
  </si>
  <si>
    <t>maverickeffect</t>
  </si>
  <si>
    <t>1597486890960164410_5889783571</t>
  </si>
  <si>
    <t>After Tuesday, even the calendar goes W T F 😂😂😂
.
#humpdayhumor #happyhumpday #badhairday #keepongoing #youvegotthis</t>
  </si>
  <si>
    <t>humpdayhumor</t>
  </si>
  <si>
    <t>happyhumpday</t>
  </si>
  <si>
    <t>1597488149638340916_3275305</t>
  </si>
  <si>
    <t>I'm too honest with myself, to love in pieces.
My love overflows, it cannot be fragmented.
When I love, I love with everything I have.</t>
  </si>
  <si>
    <t>1597488867384286924_3220292885</t>
  </si>
  <si>
    <t>September. Vacation is over but memories will remain. The tan will stay for a while!!!! Getting back to my rhythm and weekly routine BUT keeping in mind to enjoy every moment. The packing of lunches; the cooking, the homework with the kids; the exciting stories that the kids tell us after school, the making of those many TO DO lists!!! The emails at work and meetings and contributing to our society our own way with what we do for living; each interaction and honest &amp; dedicated work we put counts towards an idea, making someone else's life better even if the result may not be immediate. Vacation is over and for me means also being back to my own place; my "zone"; the place where I feel connected with my strong and daring being; time for pushing myself even more; for me it's all about @olympia_performance ! For me that time is about getting into a bike, putting my music on and later pushing that sled even if I'm dreading to do it because the aftermath result is ADRENALINE and a sense of wellbeing. Do u have your own "zone". If not GET one!!!!! #familytime #backtoroutine #joyofexercise #nevergiveup #keeponmoving #keepongoing #learning #joyoflife #routine #workouts #sleds</t>
  </si>
  <si>
    <t>backtoroutine</t>
  </si>
  <si>
    <t>yourrealtorbrenda</t>
  </si>
  <si>
    <t>1597493887512282382_10852580</t>
  </si>
  <si>
    <t>Took time to meet up with my babygirl @evee_21 before she's off to her first class in college #gorgeousgirl #keepongoing #collegestudent #futurenurse</t>
  </si>
  <si>
    <t>collegestudent</t>
  </si>
  <si>
    <t>futurenurse</t>
  </si>
  <si>
    <t>mimixoxolove</t>
  </si>
  <si>
    <t>1597494963235285671_236920075</t>
  </si>
  <si>
    <t>Yoga is not for the flexible.
Yoga is for the willing.
Be willing to push yourself and feel uncomfortable.. Pain and discomfort are different. Pain is a red flag. Stop. Breathe. Move on. Discomfort comes with growth. Learn the difference and keep on growing ✨✨✨
.
.
.
@yoga @apana_yoga
#yoga #yogi #stretching #meditate #tulsayogi #calvinklein #asana #selfimprovement #growth #ibendsoidontbreak #namaste #keepongoing #yogaeverydamnday #sideplank #extendedpose #uttanasana #yogalovers #girlswithtattoos #fitgirls #personalgoals</t>
  </si>
  <si>
    <t>1597499748709273741_1609171041</t>
  </si>
  <si>
    <t>#fallintoanopenheart 1-10sep
.
🍁Hosts🍁
@yogi_alli
@elliegriffinyoga 
@lsopher
@kittyfhloe
.
🌲Sponsors🌲
@upcircleseven
@niyama_sports
@cuttingedgedesigncompany
@zenzle
.
🌞
.
🎈Poses🎈
Day 1: Wheel ✅
Day 2: BridgePose ✅
Day 3: #Bowpose ✅
Day 4: Camel 
Day 5: King Pigeon 
Day 6: Kapotasana
Day 7: Cobra Pose 
Day 8: Standing Backbend 
Day 9:  Forearm wheel
Day 10: Scorpion Inversion 
#yoga #yogachallenge #yogadamneveryday #keeppractice #practiceandalliscoming #iloveyoga #yogamom #yogaposes #yogainspiration #yogainsitubondo #keepongoing #positivevibes #positivethoughts #goodliving #namasteॐ</t>
  </si>
  <si>
    <t>keeppractice</t>
  </si>
  <si>
    <t>practiceandalliscoming</t>
  </si>
  <si>
    <t>yogachallenge</t>
  </si>
  <si>
    <t>dimafromaustin</t>
  </si>
  <si>
    <t>1597505010512839986_1451054055</t>
  </si>
  <si>
    <t>#redbone #childishgambino #pride #theshit #austin #keepongoing #selfie  #keepingitweird #austin #youcandoit #slide #frankocean</t>
  </si>
  <si>
    <t>theshit</t>
  </si>
  <si>
    <t>redbone</t>
  </si>
  <si>
    <t>pride</t>
  </si>
  <si>
    <t>_j3ss_ica_m</t>
  </si>
  <si>
    <t>1597505161373414785_404502721</t>
  </si>
  <si>
    <t>Learning so many lessons this year
#learningthehardway 
#donteatliesjustcauseyourheartishungry
#noteveryonemeanswhattheysay no matter how bad you want to believe them 
#keepongoing</t>
  </si>
  <si>
    <t>donteatliesjustcauseyourheartishungry</t>
  </si>
  <si>
    <t>learningthehardway</t>
  </si>
  <si>
    <t>noteveryonemeanswhattheysay</t>
  </si>
  <si>
    <t>chamomileheath</t>
  </si>
  <si>
    <t>1597511724134559239_515411047</t>
  </si>
  <si>
    <t>Smile today
Laugh today 
But most of all love today #smilesfordayz #happygirlsaretheprettiest #positivevibes #keepongoing</t>
  </si>
  <si>
    <t>happygirlsaretheprettiest</t>
  </si>
  <si>
    <t>smilesfordayz</t>
  </si>
  <si>
    <t>hudsonvalleypeakperformance</t>
  </si>
  <si>
    <t>1597513454990568102_3028788337</t>
  </si>
  <si>
    <t>Such an amazing hike today!!! So worth getting up before 6am 🌅
#sunrise #hike #twinpeaks #utah #convention2017 #doterralife #doterra #breathedeep #deepblue #workout #view #whataview #beauty #beautiful #beautifulplace #happylife #happiness #wellness #wellnessadvocate #progress #onefootinfrontoftheother #keepon #keepongoing #love #lovelife #amazing #amazingday</t>
  </si>
  <si>
    <t>Twin Peaks (Utah)</t>
  </si>
  <si>
    <t>doterralife</t>
  </si>
  <si>
    <t>1597521055462665138_289173543</t>
  </si>
  <si>
    <t>A little progress each day adds up.. #ThankGod #dayonetonow #down30 #stillworkingonit #justkeepwatching #braggingmoment #fightingforme #weightlossjourney #keepongoing #curvywomen #curvesareohkay #thankyallforthelove</t>
  </si>
  <si>
    <t>curvesareohkay</t>
  </si>
  <si>
    <t>down30</t>
  </si>
  <si>
    <t>dayonetonow</t>
  </si>
  <si>
    <t>stillworkingonit</t>
  </si>
  <si>
    <t>1597529147936491185_5468355632</t>
  </si>
  <si>
    <t>Just somethin I made real quick lolz -🐯
#josh #tyler #jenna #twentyonepilots #bands #frens #laugh #myidols #loveyou #bestmusic #keepongoing #ibelieve #theyrethebest #funny  #smile #tøpmemes #tøp #stayalive #inspiring #beautifulpeople</t>
  </si>
  <si>
    <t>alyssacarianitherapy</t>
  </si>
  <si>
    <t>1597537615714978826_4821372906</t>
  </si>
  <si>
    <t>Remember - when days are tough, there are always Yoga and puns to keep you moving forward. 🐻 •
•
•
#bendnotbreakyogaproject #keepongoing #keeponkeepingon #selflove #selfcare #humor #puns #yogajokes #yogahumor #letgoletgod #yogawithanimals #letgoandletyoga #punfun #puns #animalpuns #support #breath #prana #pranayama #warrior #warrior2 #namaste #njtherapist #odaat #mentalhealth</t>
  </si>
  <si>
    <t>punfun</t>
  </si>
  <si>
    <t>warrior2</t>
  </si>
  <si>
    <t>prana</t>
  </si>
  <si>
    <t>dameion2</t>
  </si>
  <si>
    <t>1597547781030395601_43312778</t>
  </si>
  <si>
    <t>Soooo.. i had a moment , In reflecting today i had a strong pull to pray for all worship leaders and musicians as we also go through our personal trials we still have to lead! My friends Keep on fasting keep praying Keep Trying stay POSITIVE ,BE AWESOME ,BE GRATEFUL , BECOME BETTER keep pushing keep on growing  because though trials may come on every hand TELL YOUR SELF I feel like going on.#forward #singers #musician #praying #nextlevel #fasting #grateful #gifted #awesome #positive #music #faith #hope #love #try #better #process #promise #keepongoing</t>
  </si>
  <si>
    <t>1597552644771346884_5468355632</t>
  </si>
  <si>
    <t>Ahhh I'm just so happy and excited
🐠
-
-
-
#josh #tyler #jenna #twentyonepilots #bands #frens #laugh #myidols 
#loveyou #bestmusic #keepongoing #ibelieve #theyrethebest #funny #smile #tøpmemes #tøp #stayalive #inspiring  #beautifulpeople</t>
  </si>
  <si>
    <t>1597554455703086083_3628886642</t>
  </si>
  <si>
    <t>Speed doesn't matter. Keep on going! #KeepOnGoing #DontStop #OrangeAndBlue #Illini #UIUC #CollegeLife #Student #Motivation #Encouragement</t>
  </si>
  <si>
    <t>illini</t>
  </si>
  <si>
    <t>akubat_13</t>
  </si>
  <si>
    <t>1597564247541113280_1549177406</t>
  </si>
  <si>
    <t>#birdsdontjustflytheyfalldownandgetup #keepongoing #dontbeafraidtofall #youmightjustfly</t>
  </si>
  <si>
    <t>birdsdontjustflytheyfalldownandgetup</t>
  </si>
  <si>
    <t>youmightjustfly</t>
  </si>
  <si>
    <t>dontbeafraidtofall</t>
  </si>
  <si>
    <t>thelittlehouseonthehill</t>
  </si>
  <si>
    <t>1597565949959865664_1681341247</t>
  </si>
  <si>
    <t>The greatest rewards are not received over night. They are not handed to us. They are the rewards we've worked long, hard hours for. The rewards that cause us to sacrifice something so that our gain can be even greater. The harvest we reap today was not planted last night, but a long time ago. In the moment when you feel like giving up and dusting off your hands, THAT is often the moment you finally see the harvest before you. 
#growthroughwhatyougothrough #harvesttime #freshveggies #mygarden #homegrown #keepongoing #reapwhatyousow #countrygirl #farmtotable</t>
  </si>
  <si>
    <t>harvesttime</t>
  </si>
  <si>
    <t>reapwhatyousow</t>
  </si>
  <si>
    <t>growthroughwhatyougothrough</t>
  </si>
  <si>
    <t>eva_latifa</t>
  </si>
  <si>
    <t>1597572735202347694_36065296</t>
  </si>
  <si>
    <t>Damn right! Pick up where you left off, tomorrow's another day #cantstopwontstop #goodvibes #itsoutthere #dreambig #keepongoing #goodnight</t>
  </si>
  <si>
    <t>itsoutthere</t>
  </si>
  <si>
    <t>1597574231561319025_4773778225</t>
  </si>
  <si>
    <t>Secret adventures 🤗#worldtravelbook #flashesofdelight #art #lake #rainbow #goodafternoonpost #keeponkeepingon #keepongoing #motivation #motivationeveryday #sunset #flowers #architecturephotography #architecture #tagsforlikes #bluesky #likesforlikes #follow #almosttheweekend #smile #happy #morningmotivation #flower #behappy #grateful</t>
  </si>
  <si>
    <t>alma_alexandra</t>
  </si>
  <si>
    <t>1597578449478878620_13286684</t>
  </si>
  <si>
    <t>Don't ever let anyone kill your vibe.💯99% percent of the time I'm either dancing or on my hands. 🤷🏻‍♀️💃🏻🤸🏽‍♀️😂 #doyou #handstand #flexibility #core #endurance #challengeyourbody #keepongoing #dontkillmyvibe #bedifferent</t>
  </si>
  <si>
    <t>dontkillmyvibe</t>
  </si>
  <si>
    <t>sweet_n_sexxxy</t>
  </si>
  <si>
    <t>1597589802503377168_17625806</t>
  </si>
  <si>
    <t>I don't know about you, but this totally works for me🤗💪🏻❤️ my stomach area is getting smaller from using this while I work out 6x/week and it's been amazing when I do cardio and sweating it out in the sauna.
.
.
.
.
.
#sweetsweat #determination #dedication #motivated #smallertummyhereicome #sexycore #livingproof #keepongoing #feelingpinktoday #loveyourbody #love #sexy #cuteworkoutclothes #vssportstank #cutebootyshorts #lovingeverymoment #fitfam #fitness #fitnessmotivation #fitspo #fitnessjourney #fitnesslifestyle #fitnation #squatsallday #bigbootyhereicome</t>
  </si>
  <si>
    <t>cuteworkoutclothes</t>
  </si>
  <si>
    <t>bayouberrybird</t>
  </si>
  <si>
    <t>1597592982986318179_1717107070</t>
  </si>
  <si>
    <t>first day back doing #crockfit #homefit 1 since the biopsy. I simply put on my most ridiculously supportive sports bra and went to it! Today was day 2 of week 3 of cycle 3 - circuit training. It was supposed to be 45 seconds on and 15 seconds rest - but when I got half of the circuits completed I felt like quitting - so instead of quitting I did the last two circuits at a 30 sec on 30 rest split - and I did it!
💪 I decided to get back to #crockfitting today bc I now have less than 2 weeks until I'll have finished all of homefit 1!!! 🎉 (and the second opinion on the biopsy came back today saying that even though it's benign, they recommend surgery to remove it as it has grown...... and I want to have completed homefit 1 before then if I go the surgery route.) 🎈
#babysteps #justdoit #onelife #getfit #gethealthy  #circuittraining #keepongoing #consistency #igotthis #power #muscles #strength #health #fitness  #fitmama #warriormama</t>
  </si>
  <si>
    <t>homefit</t>
  </si>
  <si>
    <t>laserthischeryl</t>
  </si>
  <si>
    <t>1597593557789659398_4058091943</t>
  </si>
  <si>
    <t>#motivationalquotes #winstonchurchill #keepongoing</t>
  </si>
  <si>
    <t>winstonchurchill</t>
  </si>
  <si>
    <t>wildfield.wellness</t>
  </si>
  <si>
    <t>1597597887100680245_3645371934</t>
  </si>
  <si>
    <t>I took a two week hiatus from working out. Just got bored &amp; unmotivated. I've heard that accountability is the key to sticking with it. And seriously, never thought I'd be one of those girls preaching the Beachbody train BUT I think they have figured something out. •
I got Beachbody On Demand in May for $99 for the whole year. That's like $8 a MONTH. I can do it at home whenever I want, wearing whatever I want. This is SO nice &amp; I never thought I would enjoy home workouts but I do. They provide with you accountability &amp; sooo many workouts to choose from. And btw, I get nothing from saying this. Just sharing my personal experience with a good program that originally gave me bad vibes. 🤞🏼</t>
  </si>
  <si>
    <t>changeyourmindset</t>
  </si>
  <si>
    <t>workouts</t>
  </si>
  <si>
    <t>beachbodyworkouts</t>
  </si>
  <si>
    <t>elenapark.s</t>
  </si>
  <si>
    <t>1597600635586336004_1112494584</t>
  </si>
  <si>
    <t>God🙏, I know this year might be hard for some people, but as long us we enjoy ourselves, and our life, everything will be fine. This year might be the last year of high school for some people, so for them ... I wish  they will enjoy their last year, and not to forget to work hard 🤘🏻😊, and I also wish them to find themselves this year. For some it's just the beginning... for all the grade 10 /11 , I wish only the best, and continuing on doing great as always 🤘🏻🙏😊❤️. Good luck everyone 🤘🏻👍🏻❤️. P.s sorry if I didn't tag everyone 🙁  #photography #school #goodluckeverybody #enjoylife #friends #calgaryrodeo #keepongoing #relax #workhard</t>
  </si>
  <si>
    <t>aida_carpediem_laila</t>
  </si>
  <si>
    <t>1597611364170712189_3053063826</t>
  </si>
  <si>
    <t>Lets move some ass 💪🏼💪🏼🏋🏼‍♀️🎶 #6amworkout #losingweight #ketogenicdiet #ketosis #lchf #keepongoing #thehardestbattle</t>
  </si>
  <si>
    <t>Guntramsdorf</t>
  </si>
  <si>
    <t>ketogenicdiet</t>
  </si>
  <si>
    <t>lchf</t>
  </si>
  <si>
    <t>thehardestbattle</t>
  </si>
  <si>
    <t>elisa_jewel2014</t>
  </si>
  <si>
    <t>1597612716280752410_2099543745</t>
  </si>
  <si>
    <t>Lovely Sunkissed balayage!!! 🌞🌞🌞 by @elisa_jewel Simply beautiful:)) #behindthechair #redken #colorist #balayage #love #beautiful #picoftheday #hairpainting #gorgeous #shiny #citiesbesthairartists #keepongoing</t>
  </si>
  <si>
    <t>balayage</t>
  </si>
  <si>
    <t>hairpainting</t>
  </si>
  <si>
    <t>pillsburydo_boy</t>
  </si>
  <si>
    <t>1597615777401798264_1514221475</t>
  </si>
  <si>
    <t>Until the day God gives up on me (which is never!) I won't give up! Got in some gym time after tackling school and my commute today 💪🏽 #glorytogod #godisgood #godkeepsmestrong #faithlife #faithandstrength #blessed #gymlife #militarymuscle #fitlife #fitfam #studentlife #nerdstrength #24hourfitness #chestday #pullupchallenge #staystrong #staypositive #keepongoing #believeinyourself #stressrelief #gymismygetaway #bettereachday</t>
  </si>
  <si>
    <t>Sacramento, California</t>
  </si>
  <si>
    <t>glorytogod</t>
  </si>
  <si>
    <t>freeleticste</t>
  </si>
  <si>
    <t>1597620229722449576_3202236804</t>
  </si>
  <si>
    <t>#74weeks #freeleticstransformation
#absaremadeinthekitchen
#notinmykitchen
#nutritioniskey
#keepongoing!👣👣
#givingupisnotanoption
#6packjourney☳ #transformationtuesday
#transformationfriday #fitfam #freeleticscomo  #freeleticslombardia #freeleticsitalia #freeletics #freeleticstransformation #freeleticsgym #freeleticbodyweight #freeleticsrunning #freeathlete #flexed #bodytransformation #motivation #training #workout #bodyweightworkout #friday #nopainnogain #noexcuses #dedication</t>
  </si>
  <si>
    <t>transformationfriday</t>
  </si>
  <si>
    <t>notinmykitchen</t>
  </si>
  <si>
    <t>1597621230272568747_206226910</t>
  </si>
  <si>
    <t>Try it, it works wonders! 😁
#Smile #laugh #Strength #Wisdom and the #Power #KeepOnGoing #Warrior #lawofattraction #wealth #mind #abundance #consciousness #positive #knowledge #power #spiritual #love #karma #prosperity #energy #universe #universe #staypositive #believe #higherlearning #goodtimes #loa #manifest #Affirmations #quantumphysics #love #Life</t>
  </si>
  <si>
    <t>johannamattsson84</t>
  </si>
  <si>
    <t>1597626645353732717_251716924</t>
  </si>
  <si>
    <t>💭🔗
Life is 10% of what happens to us and 90% of how we react to it... #life #quote #thinkingcup #lajvet #lifeis #react  #travel #key #sunglasses #keepongoing</t>
  </si>
  <si>
    <t>lifeis</t>
  </si>
  <si>
    <t>key</t>
  </si>
  <si>
    <t>katiejacqui</t>
  </si>
  <si>
    <t>1597639415433637842_29952713</t>
  </si>
  <si>
    <t>💪🏽💪🏽</t>
  </si>
  <si>
    <t>strengthquote</t>
  </si>
  <si>
    <t>powerful</t>
  </si>
  <si>
    <t>darlinnfox</t>
  </si>
  <si>
    <t>1597647697925736154_29873555</t>
  </si>
  <si>
    <t>🗻 #emeraldlake #keepongoing #perfectday</t>
  </si>
  <si>
    <t>Emerald Lake</t>
  </si>
  <si>
    <t>emeraldlake</t>
  </si>
  <si>
    <t>1597650111545767485_429150387</t>
  </si>
  <si>
    <t>There's nothing more courageous than a person who chooses to live a positive life regardless of what’s going on. Stay strong and trust God always, keep a positive attitude and watch how your life will keep going up and no matter what comes your way it will not get you down. "Have I not commanded you? Be strong and of good courage; do not be afraid, nor be dismayed, for the Lord your God is with you wherever you go.”
Joshua: 1 vs 9. Have a blessed day everyone and enjoy life always 👍😊 #WednesdayMotivation #Wednesday #HappyWednesday #Courage #Strength #DontGiveUp #TrustGod #KeepOnGoing #Joy #Hope #Love #Attitude #EnjoyLife #AbundantLife #Favor #Grace #Devotion #Encouragement #PositiveAttitude #Bible #Discernment #Pray #Love #Champion #JesusIsTheWay #ChooseLife #Blessed #TrustInTheLord #YouAreLoved #JesusLovesYou</t>
  </si>
  <si>
    <t>1597654764548412894_462344435</t>
  </si>
  <si>
    <t>"Keep moving forward"- Walt  Disney
.
.
. "Keep moving forward, opening new doors, and doing new things"
.
.
.
#Bepositive #positivemindset #livelifetothefull #seethegood #seethegoodineverything #believeyoucan #befearless #keeponmoving #keeponlearning #keepondoing #keepongoing #keeponbelieving #believeinyou #goodhabits #achieve #achieveyourdreams #achieveyourgoals #believeinyourdream #believeinyourselfie #keepthefaith #neverstoplearning #positiveattitude #positivemindset #positivequotes #positiveminds #trustandbelieve #trustyourgut #neverstoptrying #neverstopdoing #youcandoit</t>
  </si>
  <si>
    <t>1597660134699950672_5986110500</t>
  </si>
  <si>
    <t>I know 🤦🏼‍♀️----- comment your thoughts for a shoutout ----- c@?? ------------------------------------------------------------------------------------------------------------/////--/-----------//--------------------------------------------/--------------------------------------------------------------------------------------------------------------------------------------------------------------------/////--/-----------//----------------------------------------------------------------------------------------------------------------------------------------------------------------------------------------------------------------------------------------------------------------------/////--/-----------//-----------------------------------------------/////--/-----------//--------------------------------------------------------------------------------/////--/-----------//---------------------------------------- #thoughts #deep #deepthoughts #thinking #feed #goals #feedgoals #makeup #tutorial #behappy #livelovelife #keepongoing #lyrics #keepitreal #keepfit #love #loveit #makeuptutorial #makeupgeek</t>
  </si>
  <si>
    <t>feed</t>
  </si>
  <si>
    <t>livelovelife</t>
  </si>
  <si>
    <t>1597670623612935634_276193852</t>
  </si>
  <si>
    <t>Autumn, a time of awareness and change
#nevegiveup #believeinyourdreams #keepongoing #yourenotafailure #staypositive #bodypositive #recoveryed #trayingnottohatemyself</t>
  </si>
  <si>
    <t>trayingnottohatemyself</t>
  </si>
  <si>
    <t>licxie</t>
  </si>
  <si>
    <t>1597671249000154994_186244518</t>
  </si>
  <si>
    <t>Today we got bad news, but we will fight for justice,  #heretostay #isupportdaca #daca #sisepuede #nojusticenopeace #keepongoing #wewillnotbedefeated #togetherforever #880000 #Lucha #segimosenlalucha #unidosjamasvencidos #dacamented</t>
  </si>
  <si>
    <t>wewillnotbedefeated</t>
  </si>
  <si>
    <t>880000</t>
  </si>
  <si>
    <t>daca</t>
  </si>
  <si>
    <t>nad_tothe_4thpower</t>
  </si>
  <si>
    <t>1597672384919017524_186377478</t>
  </si>
  <si>
    <t>My son says, "Mom do you think I can make it in the xgames when I'm bigger?.." My boy, you're gonna make far in anything. 🤙
#enjoythesemoments #letthemlive #pursueyourpassion #rideout #keepongoing #bmxlife #bethecoolkid</t>
  </si>
  <si>
    <t>enjoythesemoments</t>
  </si>
  <si>
    <t>bethecoolkid</t>
  </si>
  <si>
    <t>rideout</t>
  </si>
  <si>
    <t>letthemlive</t>
  </si>
  <si>
    <t>mara.june.go</t>
  </si>
  <si>
    <t>1597673705647326887_4018518591</t>
  </si>
  <si>
    <t>Always - FRESH Breeze</t>
  </si>
  <si>
    <t>welovehh</t>
  </si>
  <si>
    <t>rückenwind</t>
  </si>
  <si>
    <t>hamburgmeineperle</t>
  </si>
  <si>
    <t>miloubraspenning</t>
  </si>
  <si>
    <t>1597674879270935753_52380614</t>
  </si>
  <si>
    <t>Succes is determined by how you handle setbacks #keepongoing</t>
  </si>
  <si>
    <t>1597675489527321745_5862860057</t>
  </si>
  <si>
    <t>Running in the dark this morning #backtoschool #autumnterm #herecomeswinter runnersofinstagram #runningcommunity #runninggirl #mentalhealth #eatingdisorder #strongwoman #runninguk #thismumruns #commitment #roadtorecovery #needmotivation #keepongoing #wifeofafirefighter</t>
  </si>
  <si>
    <t>olimp.timo</t>
  </si>
  <si>
    <t>1597675706389523922_214645226</t>
  </si>
  <si>
    <t>Moin Moin aus Hessen,
nach meinem gestrigen Meeting im Headquarter von @olimp_germany geht's nach einem morgendlichen Beintraining wieder mit Schwung zurück nach Hamburg.
Drückt mir die Daumen, dass die Straßen nicht sooo voll sind und ich gut durch komme.
Ich wünsche euch ein schönes Bergfest.
Sportliche Grüße 
Euer Timo von #Team Pommi.
#olimpsportnutrition #happyhumpday #squat #legday #fitnessmotivation #motivation #swole #fitnessgoals #keepongoing #muscle #goforit</t>
  </si>
  <si>
    <t>Arcadia Hotel Hanau</t>
  </si>
  <si>
    <t>olimpsportnutrition</t>
  </si>
  <si>
    <t>swole</t>
  </si>
  <si>
    <t>airali21</t>
  </si>
  <si>
    <t>1597691855540890515_173716256</t>
  </si>
  <si>
    <t>«Si può essere tutto ciò che si vuole, basta trasformarsi in tutto ciò che si pensa di poter essere» F.M. #questions #thoughts #megliosaperedinonsapereononsapereaffatto #sanfrancisco #twinpeaks #view #free #instagood #travel #usa #igers #keepongoing</t>
  </si>
  <si>
    <t>Twin Peaks (San Francisco)</t>
  </si>
  <si>
    <t>sanfrancisco</t>
  </si>
  <si>
    <t>gilmo.1</t>
  </si>
  <si>
    <t>1597695397002003784_39591349</t>
  </si>
  <si>
    <t>"When life throws challenges at you always look for the beauty within them"👀⛰
.
And Remember ... Stay Positive! 😀🖒
.
#quote #quoteoftheday #motivation #keepongoing #staypositive #positivethoughts #lookforthebeauty #forthegoodthings #goodtimes #thatview #alps #Germany #mountains #worththehike #photography #appreciation #candoit</t>
  </si>
  <si>
    <t>1597701510928635405_5717527571</t>
  </si>
  <si>
    <t>#keepongoing #dolomiti #rifugiotorredipisa #latemar #volcanicdyke #trentino #theskyisnotthelimit #peak 
When imagination is not needed.</t>
  </si>
  <si>
    <t>theskyisnotthelimit</t>
  </si>
  <si>
    <t>trentino</t>
  </si>
  <si>
    <t>volcanicdyke</t>
  </si>
  <si>
    <t>1597706045760510653_15887082</t>
  </si>
  <si>
    <t>This is me. Running. Counting down the days. Do what I really love. Be better. 
@marcusklepke 📸
#ironman #upcoming #mulitisport #tri365 #lovemylife #fitness #IMBarcelona #outofcomfortzone #trilabdk #triathlon #triatlete #invisibleguns #worldoffusion #IMHamburg #keepongoing #purepowerdk #smileplease #swimbikerun</t>
  </si>
  <si>
    <t>1597708710712925668_429036895</t>
  </si>
  <si>
    <t>I had a great morning workout. Sometimes I like to sport in the early morning (even it was a long time ago), because with long days at work it's is often hard to have enough time in the evening to train without feeling hurried. 
Today I trained shoulders, abs and I finished with an interval cardio session.
Now I have  time for a few episodes of Netflix tonight 😁😌 #morningworkout #earlybird #daretoshare #bodylove #selflove #foodlover  #fitnessjourney #progress #fitness #fitdutchie #weightlifting #girlwholifts #fitfam #fitnessaddict #curves #weightgaining #bodyandmind #gymlife #recovering #bootygrow #dedication #hardwork #keepongoing #strenght #grow #girlonamission #effort #girlpower  #healthylifestyle</t>
  </si>
  <si>
    <t>1597712314734216227_279512262</t>
  </si>
  <si>
    <t>Несмотря на весь тот дзен, о котором я так много вчера писала, я всю ночь проворочалась и естественно не выспалась. Ночью читала каталог к выставке Ансельма Кифера, получая почти такое же удовольствие, как от самой выставки.
Саша, спасибо! (Если ты читаешь мои подписи😂)
Надеюсь, я достаточно взбодрюсь и дойду сегодня до йоги.
Хорошего вам дня. .
#citylife #vsco #vibes #vscocam #catherineinmoscow #madrussians #livestory #keepcalm #keepongoing #dreamers #daily #seemymoscow #abmlife #abmhappylife #authentic #beautyinnature</t>
  </si>
  <si>
    <t>1597716060474417362_1516203357</t>
  </si>
  <si>
    <t>Las tripulaciones de vuelo pasamos mucho tiempo en aeropuertos, son nuestra segunda casa. Sin duda conocemos los mejores rincones y donde sirven los mejores cafés. Si el ser humano es animal de costumbres, en este sillón paso casi tantas horas como en el sofá de casa. Sabes en qué aeropuerto está? / Flight crews spend so much time waiting at the airport, it feels like home. Without doubt we know about the best spots and where the best coffee is served. Considering the human being a creature of habits, I spend as many hours sitting on this couch as I do laying down on my living's room couch. Do you know the name of the airport where you would find it?
#listosparadespegue #fly #youcan #pilot #crew #aircraft #vamos #tupuedes #move #keepongoing #beyou #bepositive #staypositive #smile #enjoy #workout #nolimits #flyadicted #flyholic #takeoff #landing #workhard #beready #change #staycool #livelife</t>
  </si>
  <si>
    <t>crew</t>
  </si>
  <si>
    <t>flyadicted</t>
  </si>
  <si>
    <t>750pine</t>
  </si>
  <si>
    <t>1597724621343576969_5770336550</t>
  </si>
  <si>
    <t>There are more roads which lead to Shanghai..... #shanghailife #roads #china #asia #traffic #750pine #keepongoing #beyourown</t>
  </si>
  <si>
    <t>roads</t>
  </si>
  <si>
    <t>traffic</t>
  </si>
  <si>
    <t>shanghailife</t>
  </si>
  <si>
    <t>asia</t>
  </si>
  <si>
    <t>1597738417406453021_5971045578</t>
  </si>
  <si>
    <t>E dopo la pizza di ieri è giunta l'ora di... #smaltire !!! 😎🔝💪
E per voi qual'è il modo migliore di iniziare la giornata?
#moringwalk #bluesky #nofilters #naturalcolors #nuvoletta #cloud #dietdiary #keepongoing #fitwalking #camminare #walkinginthenature #italiangirl #septum #septumpiercing #goodhabits #goodmorning #healthylifestyle #juliasstyle_healthyliving</t>
  </si>
  <si>
    <t>La Salute Di Livenza, Veneto, Italy</t>
  </si>
  <si>
    <t>septum</t>
  </si>
  <si>
    <t>septumpiercing</t>
  </si>
  <si>
    <t>camminare</t>
  </si>
  <si>
    <t>naturalcolors</t>
  </si>
  <si>
    <t>1597746834604222033_2317517565</t>
  </si>
  <si>
    <t>I aften skal jeg holde foredrag i Tryde Andres i forbindelse med et arrangement om den perfekt sports BH…Jeg ved ikke noget om BH’er, så jeg regner med at suge en masse viden til mig😅. •••
Til gengæld ved jeg en masse om, at skabe overskud i hverdagen, så vi når hvad er vigtigst for os. Det glæder jeg mig meget til at fortælle om🏋🏼‍♀️💃🍾.
•••
#mortentillitzdk  #whatwouldbeyoncedo #toldyouso #tropådet #personligtræner #personaltrainer #cycling #Cykling #styrketræning #løb #Svømning #Swim #running #stronger #personligtræner #mitodense #fitfam #ﬁtfamdk #actionequalsresults #handlingskabersucces #helkropstræning #fullbody #SunRiceClubbyMortenTillitzDK #mentalpause #blivved #keepongoing #styrketræning #painfree #smertefri #søvn #sleep #mitodense</t>
  </si>
  <si>
    <t>Nelle's Overgade</t>
  </si>
  <si>
    <t>claudio_biscotti</t>
  </si>
  <si>
    <t>1597750256483877016_414328860</t>
  </si>
  <si>
    <t>Check this out 🙂🙂 3 weeks and this yang #pasticcera already with the #pipingbag  on her #hands . Few more months and I can retire 😬😬. Go Yan go 🙌🙌🏎🏎🏎🏎!
•
•
•
•
•
•
•
•
#claudio_biscotti  #apprentice #amazing #pastrychef #baker #vision #yeschef #sorrychef #passion #dedication #nevergiveup #keepongoing #cmon #littlechinagirl #smile #cowaramup #margaretrivertafe #brava #tentatori #chocolatemeringue #cookyes #foodporn #classe</t>
  </si>
  <si>
    <t>apprentice</t>
  </si>
  <si>
    <t>pasticcera</t>
  </si>
  <si>
    <t>chocolatemeringue</t>
  </si>
  <si>
    <t>dhurghamkhaload</t>
  </si>
  <si>
    <t>1597754065827470907_575438938</t>
  </si>
  <si>
    <t>спортсменказань</t>
  </si>
  <si>
    <t>iraq</t>
  </si>
  <si>
    <t>33</t>
  </si>
  <si>
    <t>thisismylife</t>
  </si>
  <si>
    <t>футбол</t>
  </si>
  <si>
    <t>mad_nord_lifts</t>
  </si>
  <si>
    <t>1597755604642592168_5998516572</t>
  </si>
  <si>
    <t>I've come so far from my 154kg down and out self. As my journey of self betterment has gone on, i've learnt so much from so many people. The most valuable lesson i've learnt though, is patience and discipline. The ability to stick to your guns and push through the hardest times. Im not a professional, im not a model, im not a trainer or bodybuilder. I'm just a regular guy who wants to show everyone that being better, is very possible. I hope to inspire you all as im sure you will all inspire me. So chuck me a follow and join me on my journey, so maybe i can help inspire you on yours. 
Use code: DUKINO39FF10
at Fire &amp; Fury Apparel for discounts on all items. Link in my description. Thank you
#fitspo #fitfam #beards #training #lifting #protein #vikings #nordic #gains #neverstop #gym #fitness #strength #endurance #dumbells #bloodsweatandtears #nopainnogain #keepongoing #bench #fireandfuryapparel</t>
  </si>
  <si>
    <t>dumbells</t>
  </si>
  <si>
    <t>mywellnessprogress</t>
  </si>
  <si>
    <t>1597756677024018550_2360537608</t>
  </si>
  <si>
    <t>HAPPINESS IS HARD WORK. I did not grow up with "positive" parents. They discouraged laughter, play, movement - anything that wasn't studying, basically. 🙄 Yet, here I am, putting in the mental work and energy into trying to live a happier, more positive life, and let me tell you, it is HARD. There are so many times when I want to isolate myself, push people away, and just protect my heart by putting up walls. Resisting the urge and fighting through the rationale has been one of the hardest things I've ever had to do in my life. This week especially has been HARD. It's only Wednesday and so far, I've had two panic attacks/sleepless nights and have really struggled not to let negativity consume me. I have tried to give love, even when I feel unloved myself. If you are putting in the work to change your mind, you are NOT ALONE. Happiness is a choice, and we are better able to choose it when we practice gratitude, vulnerability, and authenticity not just daily, but every MOMENT of our beings. 💖 Praying for better days to come and more peace of mind. I give myself to Him to guide me during this trying time. 🙏🏽 #choosehappiness #fathercanyouhearme #positivevibes</t>
  </si>
  <si>
    <t>fathercanyouhearme</t>
  </si>
  <si>
    <t>1597757296583035667_5998516572</t>
  </si>
  <si>
    <t>Nothing like that after workout pump to boost your ego and show you that you are actually getting results from your hard work. 
Use code: DUKINO39FF10
at Fire &amp; Fury Apparel for discounts on all items. Link in my description. Thank you
#fitspo #fitfam #beards #training #lifting #protein #vikings #nordic #gains #neverstop #gym #gainz #fitness #strength #endurance #dumbells #bloodsweatandtears #nopainnogain #keepongoing #bench #fireandfuryapparel #biceps #pump #massgainer</t>
  </si>
  <si>
    <t>massgainer</t>
  </si>
  <si>
    <t>taydumontxx</t>
  </si>
  <si>
    <t>1597757335908722562_1178314666</t>
  </si>
  <si>
    <t>💪🏻👊🏻💥 very happy with my progress ! Still a way to go ! 💥👊🏻💪🏻 #girl#progress#goals#body#fitness#health#keepongoing</t>
  </si>
  <si>
    <t>dominika.dec</t>
  </si>
  <si>
    <t>1597757965791092126_4001098858</t>
  </si>
  <si>
    <t>#mountainstrip #tatry #purenature #mountainsview #hiking #sarniaskała #keepongoing #darkforest</t>
  </si>
  <si>
    <t>mountainstrip</t>
  </si>
  <si>
    <t>mountainsview</t>
  </si>
  <si>
    <t>sarniaskała</t>
  </si>
  <si>
    <t>jellesoetersphysicaltraining</t>
  </si>
  <si>
    <t>1597760414979028448_215474805</t>
  </si>
  <si>
    <t>Fullbody workout met @nicole.jansen Iedere week boeken we een mooie progressie! Op naar die 20% bodyfat 💪🏼💪🏼💪🏼#keepongoing#hardworkpaysoff#motivatedminds#jellesoetersphysicaltraining#ckactive</t>
  </si>
  <si>
    <t>ckactive</t>
  </si>
  <si>
    <t>motivatedminds</t>
  </si>
  <si>
    <t>mr_mase75</t>
  </si>
  <si>
    <t>1597760931752824413_2243047503</t>
  </si>
  <si>
    <t>Seafood delights!! #seafood #healthyfood #richmond #ilovedumplings #asian #dumplings #happy #live #love #life #sucess #holiday #melbourne #tourist #spring #winter #stop #nevergiveup #mydreamjob #dreambig #keepongoing #lifeinstyle #gobombers #goparra #parrabombersdouble2017premiers</t>
  </si>
  <si>
    <t>Richmond, Victoria, Australia</t>
  </si>
  <si>
    <t>ilovedumplings</t>
  </si>
  <si>
    <t>seafood</t>
  </si>
  <si>
    <t>1597764232584466452_5409757454</t>
  </si>
  <si>
    <t>You never know how strong you are until being strong is the only choice you have.
.
.
.
Keep it up!💪💪💪
.
.
.
#Bepositive #positivemindset #livelifetothefull #seethegood #seethegoodineverything #believeyoucan #befearless #keeponmoving #keeponlearning #keepondoing #keepongoing #keeponbelieving #believeinyou #goodhabits  #achieveyourgoals #believeinyourdream #believeinyourselfie #keepthefaith #neverstoplearning #positiveattitude #positivemindset #positivequotes #positivevibes #positiveminds #trustandbelieve #trustyourgut #yesyoucan #neverstoptrying #neverstopdoing #youcandoit</t>
  </si>
  <si>
    <t>1597765034251343391_1609171041</t>
  </si>
  <si>
    <t>#fallintoanopenheart 1-10sep
.
🍁Hosts🍁
@yogi_alli
@elliegriffinyoga 
@lsopher
@kittyfhloe
.
🌲Sponsors🌲
@upcircleseven
@niyama_sports
@cuttingedgedesigncompany
@zenzle
.
🌞
.
🎈Poses🎈
Day 1: Wheel ✅
Day 2: BridgePose ✅
Day 3: Bowpose ✅
Day 4: #Camel ✅
Day 5: King Pigeon 
Day 6: Kapotasana
Day 7: Cobra Pose 
Day 8: Standing Backbend 
Day 9:  Forearm wheel
Day 10: Scorpion Inversion 
#yoga #yogachallenge #yogadamneveryday #keeppractice #practiceandalliscoming #iloveyoga #yogamom #yogaposes #yogainspiration #yogainsitubondo #keepongoing #positivevibes #positivethoughts #goodliving #namasteॐ</t>
  </si>
  <si>
    <t>camel</t>
  </si>
  <si>
    <t>fallintoanopenheart</t>
  </si>
  <si>
    <t>1597765114998625989_5705167414</t>
  </si>
  <si>
    <t>Why did people create school 💀  #Dubnation
-
-
-
-
-
-
-
-
-
-
-
-
-
-
-
-
-
-
-
-
-
-
-
-
-
-
-
-
-
-
-
-
-
-
-
-
-
-
-
-
 #StephGonnaSteph #Mvp #SC30 #KT11 #DG23 #CURRYMVP #KEEPONGOING #NEVERGIVEUP #WCF #WEST #WESTERNCONFERENCEFINALS #CHAMPS #DUBSFORCHAMPS #DUBS #ALWAYSBELIEVEINGOD #STEPHENCURRY #EVEN #NBA #2016CHAMPS #CHAMPIONS #LOCKIN #STEPH #SPLASH #SPLASHBROS  #like4like #like4follow #follow4follow</t>
  </si>
  <si>
    <t>ryanrijnen</t>
  </si>
  <si>
    <t>1597766447329567802_1089907560</t>
  </si>
  <si>
    <t>Deze week weer de trainingen opgepakt💪🏻🏋🏻.. en vandaag alweer training 2/4 erop zitten!! Lets do this!! #personalbodyplan #pbp #besteversievanjezelf #teammaart #teamdannypbp #backontrack #believe #believeinyourself #personalgrowth #transformation #train #trainingen #workhard #goals #doelen #dreams #mindset #positivity #power #keepongoing #gymlover #fit💪 #fitguys #fitnesslover #weightlifting #weightlosstransformation</t>
  </si>
  <si>
    <t>_india.c</t>
  </si>
  <si>
    <t>1597767260939603766_1503409541</t>
  </si>
  <si>
    <t>Every cloud has a silver lining ⛅
#silverlining #clouds #keepongoing #sea #myquietmoment #mymoments #seaside #theartofslowliving #sunlight #sunlight</t>
  </si>
  <si>
    <t>myquietmoment</t>
  </si>
  <si>
    <t>femkemanger</t>
  </si>
  <si>
    <t>1597768889805113405_1813046588</t>
  </si>
  <si>
    <t>When you follow your bliss doors will open✨</t>
  </si>
  <si>
    <t>kindofmind</t>
  </si>
  <si>
    <t>sofievssofie</t>
  </si>
  <si>
    <t>1597770253466450348_229249430</t>
  </si>
  <si>
    <t>T I R E D  A S  F *C K 😥#onthejob#sick#tired#workselfie#carselfie#traffic#belgium#ontheroadagain#keepongoing#makeuponpoint</t>
  </si>
  <si>
    <t>File E313</t>
  </si>
  <si>
    <t>onthejob</t>
  </si>
  <si>
    <t>tabularasa_forever</t>
  </si>
  <si>
    <t>1597777897383385176_3816968982</t>
  </si>
  <si>
    <t>When I am having a day when I feel like doing nothing, I look at these 2 faces and they push me on. Love my children 💜💙#babygirl #babyboy #myworld #keepongoing #stayingfocused #brotherandsister #justthethreeofus #daughter #son</t>
  </si>
  <si>
    <t>son</t>
  </si>
  <si>
    <t>stayingfocused</t>
  </si>
  <si>
    <t>deisterfit</t>
  </si>
  <si>
    <t>1597785465955000740_2911653604</t>
  </si>
  <si>
    <t>Always focus on the color in life ✊
.
.
.
.
.
#nevergiveup #keepongoing  #alwayskeepfighting</t>
  </si>
  <si>
    <t>alwayskeepfighting</t>
  </si>
  <si>
    <t>greenbylouise</t>
  </si>
  <si>
    <t>1597785982743182255_410761038</t>
  </si>
  <si>
    <t>💕When life gives you lemons, take them and drink their juice with lukewarm water every morning when you wake up. 🍋Take your hardship and let it turn you into a better person, a healthier person, a stronger person. 💪🏻 Someone who keeps on going even though times are tough. Life is tough my darling, but so are you 😘✨💕 #motivation #insights #personaldevelopment #rockwhatyougot #powerup #healthylifestyle #healthychoices #inspiration #yougotthis #believe #keepongoing #keeponbelieving #loveyourbody #loveyoursoul #grateful🙏 #selfie #newhaircut💇 #warriormode🔥#stephaniebennetthenryquotes</t>
  </si>
  <si>
    <t>stephaniebennetthenryquotes</t>
  </si>
  <si>
    <t>powerup</t>
  </si>
  <si>
    <t>vanwielenathalie</t>
  </si>
  <si>
    <t>1597789033109792719_264794868</t>
  </si>
  <si>
    <t>Almost there... The long road to recovery... Sometimes the bad things that happen in our lives put us directly on the path to the best things that will ever happen to us!! #recoveryisabitch #motivationalquotes #keepongoing #theendisnear #thankful #forthesupport #ofmylovedones</t>
  </si>
  <si>
    <t>recoveryisabitch</t>
  </si>
  <si>
    <t>theendisnear</t>
  </si>
  <si>
    <t>lisemarie_fourie</t>
  </si>
  <si>
    <t>1597791421481783279_1550944706</t>
  </si>
  <si>
    <t>It's time👏 || Mood = Ecstatic || You know that feeling inside you that wants you to explode!! Yes, thats me right now... ‼️ This is my dream, my reality... I have been working on this for months and ToDAY it's finally happening! ~~ Thank you for all the support and 💗, it means the world to me, and when the tough were going, each and everyone of you helped me to #keepongoing! ||
I T 'S T I M E ~~
Join me: link is in the bio!
#LAunch #itstime #livelovelead #newjourney #newbeginning #lisemariefourie</t>
  </si>
  <si>
    <t>The Silo Hotel</t>
  </si>
  <si>
    <t>itstime</t>
  </si>
  <si>
    <t>launch</t>
  </si>
  <si>
    <t>livelovelead</t>
  </si>
  <si>
    <t>alice_eilbianconiglio</t>
  </si>
  <si>
    <t>1597795780008127931_6288808</t>
  </si>
  <si>
    <t>{ Is gonna be A L L R I G H T } 
#keepongoing #coffeeplace #lovedit</t>
  </si>
  <si>
    <t>Piccino</t>
  </si>
  <si>
    <t>lovedit</t>
  </si>
  <si>
    <t>nadiaeliss</t>
  </si>
  <si>
    <t>1597811600017812718_4838308024</t>
  </si>
  <si>
    <t>Once we accept our limits, we go beyond them ~ Albert Einstein👊
#determination #strong #woman #ceo #entrepreneur #wealth #health #goals #boss #lifestyle #motivation #love #inspiration #creatingconfidence #business #money #hustle #grind #leader #struggle #success #work #millionaire #luxury #life #power #keepongoing #womenworking #livnhi</t>
  </si>
  <si>
    <t>ceo</t>
  </si>
  <si>
    <t>wealth</t>
  </si>
  <si>
    <t>huttenlaura</t>
  </si>
  <si>
    <t>1597815169839446602_4042590636</t>
  </si>
  <si>
    <t>Soms dan ben je zo fucking onzeker...onzeker of mensen wel om je geven. Of je wel het juiste hebt gedaan. Doet. Maar hey ik laat mn dag er niet door onderuit knallen. Keep on going. Inclusief mn snotneus. #onzeker#vriendschap#keepongoing#mensen#hetjuistedoen</t>
  </si>
  <si>
    <t>vriendschap</t>
  </si>
  <si>
    <t>mensen</t>
  </si>
  <si>
    <t>onzeker</t>
  </si>
  <si>
    <t>hetjuistedoen</t>
  </si>
  <si>
    <t>___aniket</t>
  </si>
  <si>
    <t>1597817511897645980_1702343936</t>
  </si>
  <si>
    <t>Work in process😎
.
.
.
#process #180degrees #id #ideation #idstudent #idsketches #sketch #sketches #sketching #doodle #illustration #product #productdesigner #productdesign #industrialdesign #skribble #airpods #wip #wonderwoman #galgadot #warrior #goddess #artist #acrylic #wood #artpart #keepongoing #sculpture #timelapse #zapagapglue</t>
  </si>
  <si>
    <t>industrialdesign</t>
  </si>
  <si>
    <t>galgadot</t>
  </si>
  <si>
    <t>180degrees</t>
  </si>
  <si>
    <t>1597820549816295659_229875516</t>
  </si>
  <si>
    <t>Morning Run on Monday...enjoying the lovely weather with the Black Gold King! Slowly building up my stamina and hopefully it will back to pre-cough days...hang in there and keep on going!!! #healthy #lifestyle #living #liveitup #asics #nimbus18 #morning #jog #motivated #determined #keepongoing #sgig #casio #Gshock #gx56gb #gold #black #king #wristcheck #wristcandy #wristporn #watchporn #sweatitout #swagsg #resolute #keepongoing #watchanish #watchfam #throwback</t>
  </si>
  <si>
    <t>casio</t>
  </si>
  <si>
    <t>1597822110365833081_188049176</t>
  </si>
  <si>
    <t>@ never give up, just face it bravely! #nevergiveup #bebrave #bestrong #keepongoing #iknowican #selfloveagnes #letsworkfor2017</t>
  </si>
  <si>
    <t>annarockandmotorbike</t>
  </si>
  <si>
    <t>1597824975602048634_1688797697</t>
  </si>
  <si>
    <t>#winner #sogni #dreamon #keepongoing #takeittothelimit #life #tears #sorriso #smile #believe #abbraccio #hug #onest #vogliotrovareunsenso #aquestavita</t>
  </si>
  <si>
    <t>Sutro</t>
  </si>
  <si>
    <t>dreamon</t>
  </si>
  <si>
    <t>sogni</t>
  </si>
  <si>
    <t>vogliotrovareunsenso</t>
  </si>
  <si>
    <t>fra.ziska</t>
  </si>
  <si>
    <t>1597827861442683216_2903074952</t>
  </si>
  <si>
    <t>🌺🍀
.
.
.
.
#friends #friendshipgoals #friendship #myfriend #tatoogirls #tatoo #blondie #brunette #instagirls #girls #italiangirl #walking #sundayselfie #smiling #keepongoing #keeponsmile #moment #instamoments #instadaily #instagood #summervibes #summerend #lovelyseptember #swag #igers @quando_i_miei_occhi_brillano</t>
  </si>
  <si>
    <t>Genova Quinto al Mare</t>
  </si>
  <si>
    <t>keeponsmile</t>
  </si>
  <si>
    <t>1597832837472691472_5971045578</t>
  </si>
  <si>
    <t>My lunch today! Whole rice with scampi, zucchini, carrots,onions, ginger and curry! And a spray of lemon juice 🍋 Delicious 😍 Try it out yourself! 😉 It's also good if you make some more of it and save it for the following days. Follow me for more healthy ideas for your meals 🖒
#wholerice #risointegrale #scampi #zucchini #carrots #carote #cipollotti #springonions #curry #ginger #zenzero #healthyfood #healthyrecipe #foodporn #delicious #rice #dietdiary #italiangirl #motivation #keepongoing #healthylifestyle #eatclean #ricettedietetiche #diarioalimentare #nevergiveup #juliasstyle_healthyliving #tasty #foodlover #cookingram</t>
  </si>
  <si>
    <t>Bibione, Veneto, Italy</t>
  </si>
  <si>
    <t>cookingram</t>
  </si>
  <si>
    <t>scampi</t>
  </si>
  <si>
    <t>carrots</t>
  </si>
  <si>
    <t>zucchini</t>
  </si>
  <si>
    <t>healthyrecipe</t>
  </si>
  <si>
    <t>1597836486593967113_922492249</t>
  </si>
  <si>
    <t>Improvements!!! 3stone 9.5lbs gone so far. I never usually take full body pictures but I love seeing how far i have come. I loose small amounts each week but it has kept coming off! I have just over another 2 stone to go and some toning to do if I can do it so can you!!
#determined #motivation #over3stonegone #over50lbsgone #keepontrack #keepongoing #nevergiveup #slimmingworlduk #slimmingworld #foodoptimising #betterversionofme #gettingfitter #sw #swuk</t>
  </si>
  <si>
    <t>1597838073910442461_1454633393</t>
  </si>
  <si>
    <t>eforfitness</t>
  </si>
  <si>
    <t>yumecostumeartist</t>
  </si>
  <si>
    <t>1597838266470998502_234861216</t>
  </si>
  <si>
    <t>Gonna join The Hype 😁😂 here Is my First Cosplay VS my latest creations ❤️ what was your First Cosplay? 
Solas &amp; Lavellan photo by 📸 @eosandy_ #myfirstcosplay #nowandthen #throwback #sakuraharuno #sakuraharunocosplay #narutocosplay #lavellan #lavellancosplay #solascosplay #dragonagecosplay #solavellan #everybodystartssomewhere #everybodystartssmall #beproudofyourself #keepongoing #cosplayprogress</t>
  </si>
  <si>
    <t>solascosplay</t>
  </si>
  <si>
    <t>lavellancosplay</t>
  </si>
  <si>
    <t>dragonagecosplay</t>
  </si>
  <si>
    <t>cosplayprogress</t>
  </si>
  <si>
    <t>mel.manson</t>
  </si>
  <si>
    <t>1597848136339919994_1523159490</t>
  </si>
  <si>
    <t>We are attacking the unemployment rate one person at a time here at D&amp;R Group 3 more down today and another 15,487 067 to go! #keepongoing #muchlove #drgroup #drgrouprecruitment ❤</t>
  </si>
  <si>
    <t>drgroup</t>
  </si>
  <si>
    <t>drgrouprecruitment</t>
  </si>
  <si>
    <t>muchlove</t>
  </si>
  <si>
    <t>1597851302728934326_5944730818</t>
  </si>
  <si>
    <t>From , Barbie Starlight Adventure - Shooting Star. And yes , i got the inspiration to name my ig based on the story. Check it out , guys ! 😄
#barbie #starlightadventure #songquotes #songs #inspirationalquotes #inspiration #motivationalquotes #motivation #love #family #friendship #loveyourself #chaseyourdreams #liveyourdream #youcandoit #keepongoing #dontgiveup #dontjudge</t>
  </si>
  <si>
    <t>andreas_muehlburger</t>
  </si>
  <si>
    <t>1597852586245309679_2375665907</t>
  </si>
  <si>
    <t>Triceps pose with an inspiring man @saif_fitnes everything is possible 💪💪 just do it. #muscles #fitness #inspiring #keepongoing #arms #atmday #innsbruck #speedfitinnsbruck #austria #noexcuses #physique #inspiring #bodyengineers #instafit #picoftheday #fitnesslife #healthylifestyle #natty #justdoit #follow4follow #followme #model #fitnessmodel #ontheroad</t>
  </si>
  <si>
    <t>natty</t>
  </si>
  <si>
    <t>bodyengineers</t>
  </si>
  <si>
    <t>food_4_thought_fitness_</t>
  </si>
  <si>
    <t>1597856118746761156_2902291063</t>
  </si>
  <si>
    <t>Day off...... so what do we do! We lie in, We eat well and we run because a day without a workout is like a day without sunshine. Set yourself goals, set your mind to the mindset you desire ....... take that goal and that mindset and go kick some ass..... because there's  only you to blame! No excuses, no buts or because..... you control your own destiny, go be who you want to be 💪💦💃 FIRST 5k OF MY SEPTEMBER RUNNING CHALLENGE @nicola_claire_kirkman  LETS DO THIS 💪💪💪💪💪💪💪💪💪💪
#running #runner #runners #desire #goals #mindset #determined #health #onlyyoucandoit #keepongoing #workout #cardio #life #youonlyhaveyourselftoblame #cardio #runningchallenge #friends #fitness #gym #offroad #trailrunning #windy #puddles #wednesday #mind</t>
  </si>
  <si>
    <t>puddles</t>
  </si>
  <si>
    <t>youonlyhaveyourselftoblame</t>
  </si>
  <si>
    <t>onlyyoucandoit</t>
  </si>
  <si>
    <t>1597858571064459499_267746472</t>
  </si>
  <si>
    <t>Viviamo tutti sotto lo stesso cielo, ma non tutti abbiamo il medesimo orizzonte. 
lovequotes#lovemylife#summervibes#italy#malta#likeback#like4like#tagsta#TagsForLikes#love#fashiongram#webstagram#instadaily#instanature#couplegoals#italianboy#bloggerlife#travelblogger#instapassport#bloggerstyle#f4f#whyinitaly#tagsta#keepongoing#instadaily#picoftheday#igers</t>
  </si>
  <si>
    <t>Valletta, Malta</t>
  </si>
  <si>
    <t>leonidamartin</t>
  </si>
  <si>
    <t>1597859886640652984_1110886986</t>
  </si>
  <si>
    <t>Room with a view 😉😜 .
.
#beachlife #roomwithaview #afternoonbreak #morefuninthephilippines #wanderlust #letsgo #keepongoing #spot #spotph</t>
  </si>
  <si>
    <t>morefuninthephilippines</t>
  </si>
  <si>
    <t>spot</t>
  </si>
  <si>
    <t>1597861345015898981_5971045578</t>
  </si>
  <si>
    <t>My pre-meal! Una parte integrante della mia dieta è di mangiare SEMPRE una porzione di verdura prima del piatto principale! Questo aiuta a fornirmi un senso di sazietà, evitando di abbuffarmi dopo. Una buonissima abitudine da prendere! Oggi ho scelto il cavolo cappuccio, ricco di vitamine, antiossidanti e fibre!!! Tutta salute. 😄🔝 #diet #dietdiary #prepasto #cavolo #cavolocappuccio #krauti #vegetable #healthyfood #healthylifestyle #healthytips #followme #italiangirl #venetiangirl #curvygirl #keepongoing #cibosano #dietasana #dietaequilibrata #tuttasalute #detox #detoxfood #delicious #diarioalimentare #nevergiveup</t>
  </si>
  <si>
    <t>healthytips</t>
  </si>
  <si>
    <t>vegetable</t>
  </si>
  <si>
    <t>1597864185928041448_473320152</t>
  </si>
  <si>
    <t>Keep on going #pinkroses #piklipstik #cute😍 #redhead #redhairdontcare #missingyou #tryyourbest #keepongoing</t>
  </si>
  <si>
    <t>piklipstik</t>
  </si>
  <si>
    <t>redhairdontcare</t>
  </si>
  <si>
    <t>cute😍</t>
  </si>
  <si>
    <t>tryyourbest</t>
  </si>
  <si>
    <t>1597865336207996899_3939963205</t>
  </si>
  <si>
    <t>Once you admit substance abuse has thrown your life into chaos then the first step to finding your way to calmer waters. Seek Peace!</t>
  </si>
  <si>
    <t>dontletbaddaystakeover</t>
  </si>
  <si>
    <t>dailymotivationalquote</t>
  </si>
  <si>
    <t>1597869043116954265_5841970645</t>
  </si>
  <si>
    <t>More '06 nostalgia #instadaily #picoftheday #drawing #digitalartist #lovedrawing #artistsoninstagram #art #creative #instaart #artist #sketch #drawn #anime #practicemakesperfect #keepongoing #igers #illustrator #artwork #illustration #lookingback</t>
  </si>
  <si>
    <t>1597877280092586200_1377135044</t>
  </si>
  <si>
    <t>The secret of happiness, you see, is not found in seeking more, but in developing the capacity to enjoy less 🤗 #justbreathe#secret#happiness#develop#enjoy#lifejourney#followme#strongwoman#bossbabes#timetogetbackontrack#bestself#wellness#keepongoing#dontquit#youvegotthis#this#qotd#selflove#blessed#love#laugh#live#smile#happyhumpday#wednesdaywisdom</t>
  </si>
  <si>
    <t>myskinnyseasons</t>
  </si>
  <si>
    <t>1597881580502923500_715085770</t>
  </si>
  <si>
    <t>The first step towards success is failure #keepongoing</t>
  </si>
  <si>
    <t>Amman, Jordan</t>
  </si>
  <si>
    <t>selfhappiness</t>
  </si>
  <si>
    <t>agnesanddorabywlfryke</t>
  </si>
  <si>
    <t>1597883447505033084_3491722</t>
  </si>
  <si>
    <t>My attempt at contouring!!! Haha... but last night was rough! The sleep fairy eludes me these days. But these bones will walk their way through this day!</t>
  </si>
  <si>
    <t>insonmia</t>
  </si>
  <si>
    <t>whitewalkers</t>
  </si>
  <si>
    <t>thembones</t>
  </si>
  <si>
    <t>illsleepwhenimdead</t>
  </si>
  <si>
    <t>kittykatboombat</t>
  </si>
  <si>
    <t>1597884020363787729_256367964</t>
  </si>
  <si>
    <t>Life is like open water...
No one knows what the day will bring.
It can change in a snap. so fast.
Sometimes... you just gotta sit back and enjoy the process.
Sometimes you push
Sometimes you resist
Always you grow 💗
.
.
.
#montanamoment #glaciermt #love406 #love #canoe #lake #bowman #bowmanlake #bestdayever #love #lovelife @smartwool #getout #goplay #neverstop #now #peaceful #serene #glass #morning #dawn #greenkat #sostuff #keepongoing</t>
  </si>
  <si>
    <t>serene</t>
  </si>
  <si>
    <t>sostuff</t>
  </si>
  <si>
    <t>goplay</t>
  </si>
  <si>
    <t>glaciermt</t>
  </si>
  <si>
    <t>love406</t>
  </si>
  <si>
    <t>lion.jump</t>
  </si>
  <si>
    <t>1597884902064537093_5826248136</t>
  </si>
  <si>
    <t>Diversas músicas do Lion vc encontra no YouTube; Siga em Frente é uma das mais acessadas. Aperte o play 🔥🌋🔥👆
.
👉👆link na bio.
.
#sigaemfrente #lionjump #reggaemusic #newroots #rootsrockreggae #rap #freestyle #leao #lionofjudah #rasta #music #reggaebrasil #capixaba #vibration #positive #energy #goodvibes #keepongoing #fyah #roots #power #brasil #jah #mc #afrika #africapixaba #resistencia #instamusic #instalike</t>
  </si>
  <si>
    <t>reggaemusic</t>
  </si>
  <si>
    <t>resistencia</t>
  </si>
  <si>
    <t>capixaba</t>
  </si>
  <si>
    <t>roots</t>
  </si>
  <si>
    <t>brasil</t>
  </si>
  <si>
    <t>1597885256944828130_1750702308</t>
  </si>
  <si>
    <t>Follow @onaonewayticket for awesome travel images. 📍Maldives 💚 Tag who you'd be with! 🌴
Photo by @maldives
.
.
.
.
.
.
.
.
#keepworking #travelclub #wanderluster #liveyourpassion #liveforthis #travelvideo #beaching #lifeisagift #keepshining #traveligram #traveljunkie #vacationland #earthy #yogaofcolor #mybudgettravel #statravel #traveltogether #keepongoing #energyboost #yogaposes #roadlesstraveled #travelfreak #travelwithme #travelwithfriends #beachbag</t>
  </si>
  <si>
    <t>yogaofcolor</t>
  </si>
  <si>
    <t>mybudgettravel</t>
  </si>
  <si>
    <t>1597885447458051293_2793189067</t>
  </si>
  <si>
    <t>@millionaireimage become. 
__________________________ 
#millionaireimage #doitforyourself #betterme #beyourown #keeponkeepingon #workforwhatyouwant  #marketingmoment #marketingsolutions #encourageyourself #bethechangeyouwanttosee #youvegotthis #oilfieldlife #millionairequotes #inspirationalthoughts #positivepeople #americanbusiness #quoteme  #strategize #seemslegit #youdoyou #inspirationalpost #businessownership #businessisbusiness #keepongoing #selfconfidence #bewhoyouare #bewhatyouwanttobe #socialinfluencers #socialize</t>
  </si>
  <si>
    <t>1597887679550998888_1615759923</t>
  </si>
  <si>
    <t>RepostBy @oil.and.steel: "RepostBy @millionaireimage: . 
___________________________ 
#millionaireimage #doitforyourself #betteringmyself #beyourown #keeponkeepingon #workforwhatyouwant  #marketingtip #marketingsolutions #encourageyourself #bethechangeyouwanttosee #youvegotthis  #millionairedreams #inspirationalthoughts #positivepeople #americanbusiness #quoteme  #strategize #seemslegit #youdoyou #inspirationalpost #businessownership #businessisbusiness #keepongoing #quotes4you #bewhoyouare #goalsaf #bewhatyouwanttobe #socialinfluencers #socialize""</t>
  </si>
  <si>
    <t>marketingtip</t>
  </si>
  <si>
    <t>1597887998266053998_2075039459</t>
  </si>
  <si>
    <t>eliasmanda</t>
  </si>
  <si>
    <t>1597890717510654422_1444598060</t>
  </si>
  <si>
    <t>Ouch⏳
Font:
Yaquote script personal use
#lifeisgood #lifeisbeautiful #lifequotes #trying #basic #3d #font #life #youcandoit #typography #graphicdesigner #typogram #keepongoing #design #cute #choosewisely #aintnomountainhighenough</t>
  </si>
  <si>
    <t>choosewisely</t>
  </si>
  <si>
    <t>font</t>
  </si>
  <si>
    <t>typogram</t>
  </si>
  <si>
    <t>fyza_s</t>
  </si>
  <si>
    <t>1597891138559108096_179477165</t>
  </si>
  <si>
    <t>You are not late.
You are not early.
You are just on time. 
#hasbunallahwanikmalwakil #Allahwithme #allahknowsbest #notfeelingwell #keepongoing #janjiallahitupasti #sabarituindah #mogadalamjagaanallah</t>
  </si>
  <si>
    <t>Putrajaya, Wilayah Persekutuan, Malaysia</t>
  </si>
  <si>
    <t>notfeelingwell</t>
  </si>
  <si>
    <t>hasbunallahwanikmalwakil</t>
  </si>
  <si>
    <t>allahwithme</t>
  </si>
  <si>
    <t>allahknowsbest</t>
  </si>
  <si>
    <t>peggy.e.mackenzie</t>
  </si>
  <si>
    <t>1597894609538107402_4184283508</t>
  </si>
  <si>
    <t>Katelynn ready to take on the first day of 5th grade this year at Evergreen Elementary! Love ❤️ that she is always so happy and ready to go even after a night full of seizures! #seizures #katelynnmackenziesmiraclerecoveryupdates #braindamagesurvivor #braininjuryrecovery #keepongoing #firstdayofschool</t>
  </si>
  <si>
    <t>braininjuryrecovery</t>
  </si>
  <si>
    <t>braindamagesurvivor</t>
  </si>
  <si>
    <t>katelynnmackenziesmiraclerecoveryupdates</t>
  </si>
  <si>
    <t>seizures</t>
  </si>
  <si>
    <t>firstdayofschool</t>
  </si>
  <si>
    <t>1597896926060271871_279512262</t>
  </si>
  <si>
    <t>Продолжаю гулять в режиме "вижу незнакомую улицу, иду". Скоро в центре Москвы уже не останется незнакомых мне улиц, но а пока я каждый раз радуюсь, натыкаясь на такую. И с радостью вношу ее в собственную карту, выходя к знакомым местам. .
#photooftheday #catherineinmoscow #seemymoscow #madrussians #keepongoing #keepcalm #keeponwalking #picoftheday #lifeex #liveauthentic #streetadventure #abmlife #abmhappylife #authentic #moscowlife</t>
  </si>
  <si>
    <t>Сад "Эрмитаж"</t>
  </si>
  <si>
    <t>1597900212045755689_3491722</t>
  </si>
  <si>
    <t>Is it Chaos Leads To Madness or Greatness??? I can't remember... So I pick Chaos leads to Madness &amp; Greatness! #hustlehard</t>
  </si>
  <si>
    <t>buldinganempire</t>
  </si>
  <si>
    <t>thisiswhathustlelookslike</t>
  </si>
  <si>
    <t>dontbugmeimworking</t>
  </si>
  <si>
    <t>traceydjackson</t>
  </si>
  <si>
    <t>1597900623106015374_10441392</t>
  </si>
  <si>
    <t>Moving ahead.  #keepongoing #gettingahead #dontstopthinkingabouttomorrow</t>
  </si>
  <si>
    <t>dontstopthinkingabouttomorrow</t>
  </si>
  <si>
    <t>gettingahead</t>
  </si>
  <si>
    <t>katmkn</t>
  </si>
  <si>
    <t>1597901735753783431_267997683</t>
  </si>
  <si>
    <t>Life is full of happiness and tears; be strong and have faith. #staystrong 💪🏽 #keepongoing ❣️</t>
  </si>
  <si>
    <t>1597902340428505024_5705167414</t>
  </si>
  <si>
    <t>I'm gonna try to start a series, maybe I'll start tomorrow or announce it tomorrow, either way I'll keep y'all in touch 💪  #Dubnation
-
-
-
-
-
-
-
-
-
-
-
-
-
-
-
-
-
-
-
-
-
-
-
-
-
-
-
-
-
-
-
-
-
-
-
-
-
-
-
-
 #StephGonnaSteph #Mvp #SC30 #KT11 #DG23 #CURRYMVP #KEEPONGOING #NEVERGIVEUP #WCF #WEST #WESTERNCONFERENCEFINALS #CHAMPS #DUBSFORCHAMPS #DUBS #ALWAYSBELIEVEINGOD #STEPHENCURRY #EVEN #NBA #2016CHAMPS #CHAMPIONS #LOCKIN #STEPH #SPLASH #SPLASHBROS  #like4like #like4follow #follow4follow</t>
  </si>
  <si>
    <t>cheyennemtnarms</t>
  </si>
  <si>
    <t>1597908886824156311_2887909525</t>
  </si>
  <si>
    <t>Seem to be in the minority these days! 
#cheyennemtnarms #smallbusiness #veteranownedsmallbusiness #keepongoing #neverquit</t>
  </si>
  <si>
    <t>veteranownedsmallbusiness</t>
  </si>
  <si>
    <t>the_real_youngenjonze77</t>
  </si>
  <si>
    <t>1597913350208135355_5900419531</t>
  </si>
  <si>
    <t>As I look up at the sky think of how I feel and what I do is it wrong or is it life just stay happy head up in my zone my lane is my brain gone insane there helping me move to what's needed for me in my life that's why I see so much in these clouds and in my face that ain't no one can see what I can #yj95 #duncanmang #hanginthere #impnmywaysoon #nevergiveup #keepongoing #2017</t>
  </si>
  <si>
    <t>duncanmang</t>
  </si>
  <si>
    <t>yj95</t>
  </si>
  <si>
    <t>leixbula</t>
  </si>
  <si>
    <t>1597914674551332434_298380703</t>
  </si>
  <si>
    <t>I keep on going shinin like a gold mine with a gold mind, its bigger than me that's just the day one ambition in me #keepongoing #godgottharest</t>
  </si>
  <si>
    <t>godgottharest</t>
  </si>
  <si>
    <t>stay_strong_no_matter_what</t>
  </si>
  <si>
    <t>1597920165717337988_1551615288</t>
  </si>
  <si>
    <t>#mistakeshappen #learnfrommistakes #learnfromit #keepongoing #nevergiveup #putyoyrselffirst</t>
  </si>
  <si>
    <t>learnfromit</t>
  </si>
  <si>
    <t>learnfrommistakes</t>
  </si>
  <si>
    <t>putyoyrselffirst</t>
  </si>
  <si>
    <t>kima.goes.green</t>
  </si>
  <si>
    <t>1597921113169880679_12382544</t>
  </si>
  <si>
    <t>All I see is her! @bonnybluegalstaun 👀
"Her soul is fierce, her heart is brave, her mind is strong"
•
•
•
•
•
#shemakesmehappy #alliseeisyou #billionaireclub #bag #bonnyblue #fff #brunette  #indo  #plussize #f4f  #love #positive #positivevibes #amsterdam #amsterdamcity #sunglasses #sunglass #sunnys #summer #fashion #kyliejenner #kylielipkit #lipstick #lips #gold #hair #wind #strong #motivation #keepongoing</t>
  </si>
  <si>
    <t>shemakesmehappy</t>
  </si>
  <si>
    <t>lipstick</t>
  </si>
  <si>
    <t>1597923198594510274_2108943652</t>
  </si>
  <si>
    <t>#instructor #personaltrainer #greekgirl #driving #towork #instructorlife #3classes #tonight #lovemyjob #lovemybody #muscles #tabata #hit #proteins #summer2017 #keepongoing #shaped 💪</t>
  </si>
  <si>
    <t>lovemybody</t>
  </si>
  <si>
    <t>greekgirl</t>
  </si>
  <si>
    <t>shaped</t>
  </si>
  <si>
    <t>towork</t>
  </si>
  <si>
    <t>luvie2006</t>
  </si>
  <si>
    <t>1597923262951055226_343223307</t>
  </si>
  <si>
    <t>#justbecause #selfie #stillheretho #keepongoing #smilebecauseyoucan #smilebecauseithappened</t>
  </si>
  <si>
    <t>smilebecauseithappened</t>
  </si>
  <si>
    <t>justbecause</t>
  </si>
  <si>
    <t>smilebecauseyoucan</t>
  </si>
  <si>
    <t>stillheretho</t>
  </si>
  <si>
    <t>thequartzfish</t>
  </si>
  <si>
    <t>1597926489319066754_4247467909</t>
  </si>
  <si>
    <t>Life takes you on many crazy journeys and paths . Gotta keep on pushing because if you don't someone else will !!! #keepongoing #proudofmycollection #headyporn #ease #ellwynnglass #gradeaglassworx #longislandglass #flattopbangers #710 #420 #functionalglassart #glassforsale</t>
  </si>
  <si>
    <t>glassforsale</t>
  </si>
  <si>
    <t>proudofmycollection</t>
  </si>
  <si>
    <t>ellwynnglass</t>
  </si>
  <si>
    <t>ease</t>
  </si>
  <si>
    <t>taylorgoyettemusic</t>
  </si>
  <si>
    <t>1597935859361182217_354722405</t>
  </si>
  <si>
    <t>A little morning read for all my songwriting friends. The words of @joshosbornesongwriter thanks man!</t>
  </si>
  <si>
    <t>kittyloveslou</t>
  </si>
  <si>
    <t>1597938516678820842_230657956</t>
  </si>
  <si>
    <t>...but practice makes perfect or close to perfect 😉 Have a wonderful hump day y'all!  #true #creativity #maker #art #artistsunite #humpday #keepongoing #practice #practicemakesperfect #workit</t>
  </si>
  <si>
    <t>workit</t>
  </si>
  <si>
    <t>maker</t>
  </si>
  <si>
    <t>atmajayasubur</t>
  </si>
  <si>
    <t>1597938885837399315_3158387163</t>
  </si>
  <si>
    <t>Just a simple reminder when you lose yourself on the process. .
#workoutmotivation #qotd #mindset #keepongoing</t>
  </si>
  <si>
    <t>treebeegetsfit</t>
  </si>
  <si>
    <t>1597942477175970400_5975629809</t>
  </si>
  <si>
    <t>I wanted to write a post about the amazing walk I had, but the truth is, I struggled today. Made it to the park, my half way point (about 5.5k), and my knee started aching and it didn't stop. 
I made it through and thankfully hit my #StepBet goal for the day, so I'm going to rest up, and take it easy for today.
#weightwatchers #weightlossjourney #treebeegetsfit #walking #walk #fitnessjourney #fitness #fitnessmotivation #healthylifestyle #healthandfitness #wwcanada #ivegotgoals #ivegotthis #keepongoing #keepontrekking</t>
  </si>
  <si>
    <t>keepontrekking</t>
  </si>
  <si>
    <t>ivegotgoals</t>
  </si>
  <si>
    <t>nale_randale</t>
  </si>
  <si>
    <t>1597944033261635062_209203332</t>
  </si>
  <si>
    <t>Wer immer Ziele hat, bleibt nie stehen 💯
#keepongoing #quoteoftheday #mehrauszeitwagen #zielestecken #lebenundlebenlassen #newrules</t>
  </si>
  <si>
    <t>zielestecken</t>
  </si>
  <si>
    <t>mehrauszeitwagen</t>
  </si>
  <si>
    <t>newrules</t>
  </si>
  <si>
    <t>lucycurling</t>
  </si>
  <si>
    <t>1597947012107410893_1320584900</t>
  </si>
  <si>
    <t>Love this and very true! #keepongoing #perserverance #teamwork</t>
  </si>
  <si>
    <t>noeldegooijer</t>
  </si>
  <si>
    <t>1597947557409360898_1948751930</t>
  </si>
  <si>
    <t>So i started a 30days drawing challenge a week ago. Already 2 days behind haha #fail #keepongoing #not30daysinarow 
This was one of them &amp; my cat #catwithseparationanxiety .
.
.
#30daysdrawingchallenge #drawing
#ecoline #ink #watercolor #sketch #sketchbook #sketchbookart #cat #catsofinstagram #lovecats #lyrics #blackwhite #blackwhiteyellow #aliceinwonderland #madhatter #scattered #draw #artjournal #artist #illustration</t>
  </si>
  <si>
    <t>Utrecht (province)</t>
  </si>
  <si>
    <t>not30daysinarow</t>
  </si>
  <si>
    <t>1597947727638255586_192231767</t>
  </si>
  <si>
    <t>Started off with the gym this morning followed with a little tootle round the roads 🏃🏼‍♀️ #coreworkout #fitness #fitmum #fit #gym #happy #instafit #keepfit #keepongoing #lunges #legs #mummy #mum #nike #nikerunning #roadrunner #running #run #runningmum #strongereveryday #strongwoman #stronger #strongnotskinny</t>
  </si>
  <si>
    <t>mummy</t>
  </si>
  <si>
    <t>fitmum</t>
  </si>
  <si>
    <t>nikerunning</t>
  </si>
  <si>
    <t>mumspb</t>
  </si>
  <si>
    <t>1597948430821749457_194517956</t>
  </si>
  <si>
    <t>Je peux pas, j'ai travail 😂 @shad225 @jessie_bokilo 
#png #huaweip9 #diktalife #dikta #mavieendikta #workinprogress #entrepreneure #girlboss #fashionshop #mac #fashionbusiness #blackgirlrock #dvfinspired #teatime #inspiration #jepeuxpasjaitravail #womenempowerment #entrepreneurship #blogger #fashionblogger #keepongoing #notgivingup #blackwomen #businesswoman #business</t>
  </si>
  <si>
    <t>Marseille, France</t>
  </si>
  <si>
    <t>blackgirlrock</t>
  </si>
  <si>
    <t>huaweip9</t>
  </si>
  <si>
    <t>diktalife</t>
  </si>
  <si>
    <t>1597949081861248327_5705167414</t>
  </si>
  <si>
    <t>So I made a new logo, this time I have a picture of Steph with my username, dope or nope (still learning so don't roast me), hope you guys like it, if there's something wrong let me know, I need to improve in as many ways as I can!!!💪💪💪 #Dubnation
-
-
-
-
-
-
-
-
-
-
-
-
-
-
-
-
-
-
-
-
-
-
-
-
-
-
-
-
-
-
-
-
-
-
-
-
-
-
-
-
 #StephGonnaSteph #Mvp #SC30 #KT11 #DG23 #CURRYMVP #KEEPONGOING #NEVERGIVEUP #WCF #WEST #WESTERNCONFERENCEFINALS #CHAMPS #DUBSFORCHAMPS #DUBS #ALWAYSBELIEVEINGOD #STEPHENCURRY #EVEN #NBA #2016CHAMPS #CHAMPIONS #LOCKIN #STEPH #SPLASH #SPLASHBROS  #like4like #like4follow #follow4follow</t>
  </si>
  <si>
    <t>1597951706313562581_15887082</t>
  </si>
  <si>
    <t>3 timer i 💦💦 ellers tak! 3 timer indedøre med film lyder bedre 🙈😂 (vi har også fået my hometrainer) 
#ironman #upcoming #mulitisport #tri365 #lovemylife #fitness #IMBarcelona #outofcomfortzone #trilabdk #triathlon #triatlete #invisibleguns #worldoffusion #IMHamburg #keepongoing #purepowerdk #smileplease #swimbikerun. @purepowerdk</t>
  </si>
  <si>
    <t>imbarcelona</t>
  </si>
  <si>
    <t>blueeyed_beauty28</t>
  </si>
  <si>
    <t>1597958589769833110_2132493494</t>
  </si>
  <si>
    <t>#empaths #strength #youcanttouchthis I #grow #growth #moveon #peoplehurtingpeople #hurtpeoplehurtpeople #beingattacked #staystrong #staywoke #dogood #begood #strongpeople #godisgood #keepongoing #keeponkeepingon never put yourself down or let someone's actions or made up words belittle you , when you have worked so hard on you! Bc #you are what matters! Let them fall... 👊🏻👌🏻💜🦋🙌🏻</t>
  </si>
  <si>
    <t>staywoke</t>
  </si>
  <si>
    <t>empaths</t>
  </si>
  <si>
    <t>youcanttouchthis</t>
  </si>
  <si>
    <t>ziad_altaghlibi</t>
  </si>
  <si>
    <t>1597959210124403036_1143763350</t>
  </si>
  <si>
    <t>#neverstoplearning #onpoint #goodreads #nextstep #language #lifeofatranslator #legalassistant #legal #youarewhatyouread #bookstagram #keepongoing</t>
  </si>
  <si>
    <t>legalassistant</t>
  </si>
  <si>
    <t>youarewhatyouread</t>
  </si>
  <si>
    <t>legal</t>
  </si>
  <si>
    <t>lurobinson24</t>
  </si>
  <si>
    <t>1597960697525258565_225983866</t>
  </si>
  <si>
    <t>Those days you wish there were two of you! 🙈🙆😃 #gymlife #fit40s #busymom #gym  #instafit #mirrorselfie #wednesdayworkout #fitnessmotivation #fitness #gymtime #fitmom #toned #keepongoing #legs #strongwomen #workouts #biceps #metime #muscle #training #instafit #gymmotivation</t>
  </si>
  <si>
    <t>1597963591242683450_32420495</t>
  </si>
  <si>
    <t>Look Good To Feel Good🤘🏼</t>
  </si>
  <si>
    <t>Troutdale, Oregon</t>
  </si>
  <si>
    <t>jpb33instant</t>
  </si>
  <si>
    <t>1597964942504840653_46827567</t>
  </si>
  <si>
    <t>Loving life. 
#lovelife #outdoors #hike #dam #water #wind #adventurer #keepongoing #neverstopexploring</t>
  </si>
  <si>
    <t>dam</t>
  </si>
  <si>
    <t>1597965031626853998_50373203</t>
  </si>
  <si>
    <t>《 MOTIVATION 》
Yes..... let's do this! Training 2/4 🏋💪🔥 Weer even een goed uurtje knallen en zweten vanuit het werk. Op naar de spierpijn haha 🤗
#pbp #personalbodyplan #trainingday #workout #goals #keepongoing #dontgiveup #keepsmiling #enjoytheride #workinprogress #weightlifting #doyoursquats #burnburnburn #letsdothis #heppiedepeppie #sweat #nike #nikewomen #drifit #nopainnogain #bye💋</t>
  </si>
  <si>
    <t>eddievandongendrums</t>
  </si>
  <si>
    <t>1597965394952829775_4351299513</t>
  </si>
  <si>
    <t>Kick snare floor and hats #study #creative #lessismore</t>
  </si>
  <si>
    <t>The Hague, Netherlands</t>
  </si>
  <si>
    <t>drumlife</t>
  </si>
  <si>
    <t>1597969546181070028_492941863</t>
  </si>
  <si>
    <t>"Set a Goal so big that you can't achieve it until you grow into the person who can."
#styrkeøkt #slitengubbe #progresjon #fremgang #keepongoing #keepongrowing #treningsglede #skins #kvalitetstid #settgoals #worktowardsthem #strongr #gymgrossisten #proteinfabrikken #x_life</t>
  </si>
  <si>
    <t>proteinfabrikken</t>
  </si>
  <si>
    <t>gymgrossisten</t>
  </si>
  <si>
    <t>fremgang</t>
  </si>
  <si>
    <t>progresjon</t>
  </si>
  <si>
    <t>1597975116671056427_203325600</t>
  </si>
  <si>
    <t>Weekly run! #StravaRunner #Strava #Stravarun #Forerunner235 #Garmin #Asics #Running #KeepOnGoing #MoveYourAss #Runstagram #Instarun #InstaRunner #Batman #UnderArmour #DiksmuideMoves #SvenRundust #SportersBelevenMeer #Diksmuide</t>
  </si>
  <si>
    <t>svenrundust</t>
  </si>
  <si>
    <t>moveyourass</t>
  </si>
  <si>
    <t>jennamayefitness</t>
  </si>
  <si>
    <t>1597979637526097851_1245776771</t>
  </si>
  <si>
    <t>If you find yourself in the midst of a storm choose to shine. This too will pass. #keepongoing #smile #sunshine#fitstagram</t>
  </si>
  <si>
    <t>JennaMaye</t>
  </si>
  <si>
    <t>vancouverlife</t>
  </si>
  <si>
    <t>stabilityballworkouts</t>
  </si>
  <si>
    <t>betterforit</t>
  </si>
  <si>
    <t>gammage_brandon</t>
  </si>
  <si>
    <t>1597979899887839819_2276007240</t>
  </si>
  <si>
    <t>Gym be like meh😏 #gym #gymlife #meh #mood #ups #downs #hardwork #keeponmovin #keepongoing #legday #workout #healthylifestyle #health #nopainnogain #wendsday #doneanddone</t>
  </si>
  <si>
    <t>Planet Fitness Hennopsview</t>
  </si>
  <si>
    <t>meh</t>
  </si>
  <si>
    <t>doneanddone</t>
  </si>
  <si>
    <t>twistedspur</t>
  </si>
  <si>
    <t>1597983659158937423_1455156187</t>
  </si>
  <si>
    <t>The simple start to a little boys belt! ❤️ #KeepItTwisted #TwistedSpur #kidsfashion #BuyYourBabiesBeadwork #CrazyBeadLady #keepongoing</t>
  </si>
  <si>
    <t>buyyourbabiesbeadwork</t>
  </si>
  <si>
    <t>keepittwisted</t>
  </si>
  <si>
    <t>kidsfashion</t>
  </si>
  <si>
    <t>frkdivafriis</t>
  </si>
  <si>
    <t>1597985303686935407_7878288</t>
  </si>
  <si>
    <t>"She was too quiet, or she was too loud. She took things too seriously, or not seriously at all. She was too sensitive, or too cold-hearted. She hated with every fibre of her being, or loved with every piece of her heart. There was no in-between for her. It was either all or nothing. She wanted everything, but settled for nothing." #thinking #rainyday #greyday #grey #darkside #themonstersinmyhead #girl #overthinking #sætprispådesmåtingilivet #undren #staystrong #pokerface #putyourgamefaceon #piercing #makeup #blond #putonyourbestsmile #putonyourbestface #family #love #mindfuck #iamafighter #keepongoing #elskmensdukan #kæmpfordetdutrorpå #❤️</t>
  </si>
  <si>
    <t>elskmensdukan</t>
  </si>
  <si>
    <t>blond</t>
  </si>
  <si>
    <t>themonstersinmyhead</t>
  </si>
  <si>
    <t>grey</t>
  </si>
  <si>
    <t>fitriyanasantoso</t>
  </si>
  <si>
    <t>1597986429849065845_3292846624</t>
  </si>
  <si>
    <t>24 y.o 😪 #wednesday#birthdaygirl #september #virgo #growup #keepongoing #keeponmoving #stayhealthy #staybeauty</t>
  </si>
  <si>
    <t>staybeauty</t>
  </si>
  <si>
    <t>virgo</t>
  </si>
  <si>
    <t>1597986579233426943_224929186</t>
  </si>
  <si>
    <t>Probably one of my favorite pictures of the bike. Need to get a new engine so I can get this beauty back on the track. /
/
#love #life #happy #art #quote #strength #music #inspirational #god #inspiration #inspired #smile #keepongoing #standup #fight #live #faith #photography #metal #rock #motivation #technology #mx #motocross #kawasaki #braap #monsterenergy #gopro #ride365 #365mx</t>
  </si>
  <si>
    <t>mywifenmomlife</t>
  </si>
  <si>
    <t>1597987100476500175_10822442</t>
  </si>
  <si>
    <t>#keepongoing #fakeit</t>
  </si>
  <si>
    <t>fakeit</t>
  </si>
  <si>
    <t>carlijnannehogeboom</t>
  </si>
  <si>
    <t>1597988112334936294_4713715429</t>
  </si>
  <si>
    <t>Today it's already day 3, time flies. It's beautiful and it's absolutely not easy. Because of the amount of rain there is mud everywhere and the place changed to a boggy paradise. But, I saw the sun today! 🌦 #lakedistrict #england #backpacking #mountainwalking #bogseverywhere #mud #wetfeet #atleastsomesun #keepongoing</t>
  </si>
  <si>
    <t>bogseverywhere</t>
  </si>
  <si>
    <t>wetfeet</t>
  </si>
  <si>
    <t>atleastsomesun</t>
  </si>
  <si>
    <t>backpacking</t>
  </si>
  <si>
    <t>1597989882993675119_4249248273</t>
  </si>
  <si>
    <t>#wednesdaywisdom - tonight is my last night training before heading off for the first round of the para climbing competitions. These 7 months have been incredible - literally hard to believe. From climbing to speaking, public figure work, awards and learning to be friends with my body, health and all...none of this would have happened if I hadn't persistently, stubbornly and almost insanely told myself that I wanted to come into this season as healthy as I could be. I have pushed, reached, chased and pondered on how I could chase my dreams. I have strived and kept reaching, no matter what - I just kept going. I promised myself that I would, I have kept that promise. For any of you working on making a change in your lives, on a goal, on something new - keep chasing, keep reaching, only you can be the driver behind your own change 🤗 #womancrushwednesday #amputee #cancersurvivor #ehlersdanlossyndrome #potssyndrome #muslim #hijab #thisgirlcan #thisgirlcanclimb #paraclimber #paraclimbing #climber #climbing #climbing_is_my_passion #climbing_pictures_of_instagram #training #competition #determination #livingmydream #chaseyourdreams #goals  #keepongoing #resilience #believeinyourself #yesican #milestone #dontgiveup #journey @thecastleclimbingcentre @teambmc @thisgirlcanclimbing @thisgirlcanuk @ehlersdanlosuk @awaawardsuk @spofldn @gritandrock @eica_ratho</t>
  </si>
  <si>
    <t>designerpalooza</t>
  </si>
  <si>
    <t>1597990899484471582_326442389</t>
  </si>
  <si>
    <t>#time is an #illusion if you do #whatyoulove ~ #passion
.
.
.
Because you forget time by doing #yourstuff #yourhobby and #yourlove like #music #drawing #art #mediadesign or even #sports #work and #family - #dontgiveup and #keepongoing</t>
  </si>
  <si>
    <t>Munich, Germany</t>
  </si>
  <si>
    <t>yourhobby</t>
  </si>
  <si>
    <t>colombianoalex111</t>
  </si>
  <si>
    <t>1597999562088343943_5816087094</t>
  </si>
  <si>
    <t>#love#to#model#follow#yourgoals#keepongoing#great#photographer#thankful#underwear#fitness#fit . ☺☺thabks again to my photographer for shooting ☺</t>
  </si>
  <si>
    <t>yourgoals</t>
  </si>
  <si>
    <t>1598000782774715776_23643327</t>
  </si>
  <si>
    <t>Trainingday#Basvelden#Runningday#Gettinginshape#Clearingmyhead#Nikegearon#Motivationmusic#Keepongoing#Doit#🏃💪</t>
  </si>
  <si>
    <t>basvelden</t>
  </si>
  <si>
    <t>runningday</t>
  </si>
  <si>
    <t>🏃💪</t>
  </si>
  <si>
    <t>something.unespected</t>
  </si>
  <si>
    <t>1598001343494362496_5992880921</t>
  </si>
  <si>
    <t>"Breath. You're going to be okay. Breath and remember that you've been in this place before. You've been this uncomfortable and anxious and scared, and you've survived. Breath and know that you can survive this too. These feelings can't break you.  They're painful and debilitating, but you can sit with them and eventually they will pass. Maybe not immediately, but sometime soon, they are going to fade and when they do, you'll look back at this moment and laugh for having doubted your resilience. I know it feels unbearable right now, but keep breathing, again and again. This will pass, I promise it will." *
*
*
*
*
#edits #sadedits #love #keepongoing #blackandwhite #breathe #sadgirl #sad #fuckoffdepression #depression #romance #mentalhealth #loveyou</t>
  </si>
  <si>
    <t>sadgirl</t>
  </si>
  <si>
    <t>sadedits</t>
  </si>
  <si>
    <t>arbekoglts</t>
  </si>
  <si>
    <t>1598001544249566846_232829594</t>
  </si>
  <si>
    <t>#ARBE "Stick to your guns 🔫"
#arbekoglts #RB #ARBES #RBES #KeepingOthersGuessing #LettersTakingShape #HandsOfDoom #sketchbook #patience #draweveryday #keepongoing #sketch #drawing #practice #therapy #LetTerS</t>
  </si>
  <si>
    <t>letters</t>
  </si>
  <si>
    <t>arbe</t>
  </si>
  <si>
    <t>draweveryday</t>
  </si>
  <si>
    <t>1598001638302342607_5751309200</t>
  </si>
  <si>
    <t>Never under estimate the power of mind.. Talk to your mind.. Empowering your mind every single day to stay commit to reach your goals.. The body will follow.. I've been in this journey for 62 weeks.. I know the struggles.. It's not getting easier.. Today I almost quit in the middle of my workout because i twisted my right wrist.. Bad wrist form while i did the bench dips.. But I continued and I made it to the end with a fine wrist.. No bad injured.. Just a little twisted 😀😄.. It's a warning to listen more to my body and pay more attention to a good and right form..💪👍👊 #fit #fitfam #fitpic #strengthtraining #stronger #hardwork #nogym #nosupplements #nomagicpill #noextremediet #healthyeating #eatrealfood #eatcleantraindirty</t>
  </si>
  <si>
    <t>just_henning</t>
  </si>
  <si>
    <t>1598004898058166894_3768528608</t>
  </si>
  <si>
    <t>#henning #sport #laufen #running #runnersofinstagram #slowly #langsam #kneeinjury #hateit #keepongoing #strength #comeback  #neversurrender #nopainnogain #outdoor #haard #happiness #insta #sportbalancehaltern #runninglovers  #nexttimefaster #nikeshoes #friendship #fun #instarunners #fitness #nature #frischeluft</t>
  </si>
  <si>
    <t>kneeinjury</t>
  </si>
  <si>
    <t>nexttimefaster</t>
  </si>
  <si>
    <t>1598005126697379181_425877607</t>
  </si>
  <si>
    <t>Look up &amp; keep your head up, buddy! You will #grow, you'll #learntofly. You got this! 💪👍 #growup #growingup #learnnewstuff #learning #yougotthis #workinprogress #learninglesson #nevergiveup #neverstoplearning #littlebird #lifelonglearning #lookup #keepyourheadup #stayhumble #discover #explore #getshitdone #gettingthere #gettingbetter #keepongoing #keepmovingforward #keepmoving #keepmovingon #keepupthegoodwork</t>
  </si>
  <si>
    <t>St Stephen's Green</t>
  </si>
  <si>
    <t>keepupthegoodwork</t>
  </si>
  <si>
    <t>growup</t>
  </si>
  <si>
    <t>discover</t>
  </si>
  <si>
    <t>jchams13</t>
  </si>
  <si>
    <t>1598006521630628187_387738236</t>
  </si>
  <si>
    <t>You are my reason. #love #motherhood #singlemom #daughter #motherdaughter #smiles #tongue #myreason #myreasontosmile #myreasonforeverything #livelaughlove #keepongoing #mylight #mylife #mylove #myfavoriteperson #loveofmylife #septum #girlswithpiercings #momswithtattoos #momswithpiercings</t>
  </si>
  <si>
    <t>mylight</t>
  </si>
  <si>
    <t>yasminseptember</t>
  </si>
  <si>
    <t>1598017056354355583_5989653883</t>
  </si>
  <si>
    <t>Todays running #run #running #whyirun #stayhealthy #stayfocused #stayfit #fitness #fit #lifting #work #workout #motivation #staymotivated #focus #nevergiveup #nike #justdoit #quoteoftheday #quotestagram #today #tomorrow #keepongoing #keepsmiling #training #beastmode #mealprep #getlean #leanlegs</t>
  </si>
  <si>
    <t>leanlegs</t>
  </si>
  <si>
    <t>kathago</t>
  </si>
  <si>
    <t>1598021818442971800_205423004</t>
  </si>
  <si>
    <t>Tag 19/94 von #sizezero 🍕🍴😍
&amp; es gibt zum Abendessen lowcarb #pizza 🤤. Aktuell fällt es mir im Krankenstand einfach unheimlich schwer mich an meinen Plan zu halten. Das Antibiotika lässt mich einfach aufschwemmen und an Sport ist gar nicht zu denken 😏. Wer mich mittlerweile kennt weiß auch , dass ich genau an solchen Tagen Schokolade &amp; Co liebe ❤️ Daher musste heut Abend etwas geiles, jedoch gesundes her halten. 
Für alles gibt es irgendeine Alternative und da werd ich mich jetzt wieder durchprobieren 🙌
Denn Dank euren lieben Nachrichten, eurem Zuspruch und Genesungswünschen, weiß ich immer wieder aufs neue warum ich es mache und es schaffen werde ❤️ Habt noch einen tollen Abend - für mich geht der Disney Marathon weiter 💞💋 #dinner #eatingwithoutcheating #food #foodporn #abgerechnetwirdamstrand #eatclean #healthyfood #healthy #yummy #girlswholift #fitspo #fitness #noexcuses #bodybuilding #cleaneating #fitgirl #love #lifestyle #fitnessaddict #weightloss #gymlife #abnehmen #motivation #fitfamgermany #fitnessjourney #nevergiveup #keepongoing #lowcarb</t>
  </si>
  <si>
    <t>fitfamgermany</t>
  </si>
  <si>
    <t>1598024114807007591_429036895</t>
  </si>
  <si>
    <t>The reason why I often love to have my workout in the morning... time in the evening for Netflix and comfi clothes❤❤ Have a nice evening I am watching a LARGE AMOUNT OF EPISODES😁😁😁 #netflixevening #relaxing #rest #daretoshare #bodylove #selflove #foodlover  #fitnessjourney #progress #fitness #fitdutchie #weightlifting #girlwholifts #fitfam #fitnessaddict #curves #weightgaining #bodyandmind #gymlife #recovering #bootygrow #dedication #hardwork #keepongoing #strenght #grow #girlonamission #effort #girlpower  #healthylifestyle</t>
  </si>
  <si>
    <t>netflixevening</t>
  </si>
  <si>
    <t>1598028694450803655_2954517408</t>
  </si>
  <si>
    <t>Come and watch us on stage @spicehotelbelek 9-12oct. With lots of seminars-shows-sun-beach😍✨🎉🇹🇷
#hairdresserslife #creative #keepongoing #cutandcolor #hairdresserslife #freelance 
See you guys soon in Turkey💖</t>
  </si>
  <si>
    <t>freelance</t>
  </si>
  <si>
    <t>cutandcolor</t>
  </si>
  <si>
    <t>1598029026109440870_3171662</t>
  </si>
  <si>
    <t>Glitterliner and easy eye. #keepongoing #makeuptime #makeuplife #sminkedukke #sminke #makeup #norge #norway🇳🇴 #ktown #kristiansand #september #falllook #fallweather #nyx #loreal #anastasiabeverlyhills #clarins #maccosmetics #contour #charlottetilbury #ysl #practicemakesperfect #mua #wannabemua</t>
  </si>
  <si>
    <t>charlottetilbury</t>
  </si>
  <si>
    <t>ktown</t>
  </si>
  <si>
    <t>roseactmod1official</t>
  </si>
  <si>
    <t>1598030772937987203_2248017904</t>
  </si>
  <si>
    <t>In Chicago for the next couple of days. Such a beautiful sky!! 👍🙏😊 Happy #Wednesday!
*
*
*
#traveling #audition #chicago #funtimes #actress #bookingvibes #thankfulforopportunities #lovemyagent #bnbchicago #casting #imdb #episodic #tv #nevergiveup #keepongoing #dreamsdocometrue #bestisyettocome #smile 😊😊😊</t>
  </si>
  <si>
    <t>imdb</t>
  </si>
  <si>
    <t>runningtoeatbiscuits</t>
  </si>
  <si>
    <t>1598031103348523356_4431342223</t>
  </si>
  <si>
    <t>Need to get my 7km back under 40mins!! Grrr #timetoworkharder #runninggoals #runner #runningmum #guildfordrunners #weekendrunning #runningtoeatbiscuits #thisgirlcan #watchmerun #keepongoing</t>
  </si>
  <si>
    <t>weekendrunning</t>
  </si>
  <si>
    <t>runningmum</t>
  </si>
  <si>
    <t>guildfordrunners</t>
  </si>
  <si>
    <t>1598031411846140484_5705167414</t>
  </si>
  <si>
    <t>So I finished my edit, I think it looks pretty dope🔥, this took me like an hour, so please let me know what you guys think about the edit, also tell me what I can improve, cause I personally want to be good at editing, and we're so close to hitting 300, just a few more!!!! #Dubnation
-
-
-
-
-
-
-
-
-
-
-
-
-
-
-
-
-
-
-
-
-
-
-
-
-
-
-
-
-
-
-
-
-
-
-
-
-
-
-
-
 #StephGonnaSteph #Mvp #SC30 #KT11 #DG23 #CURRYMVP #KEEPONGOING #NEVERGIVEUP #WCF #WEST #WESTERNCONFERENCEFINALS #CHAMPS #DUBSFORCHAMPS #DUBS #ALWAYSBELIEVEINGOD #STEPHENCURRY #EVEN #NBA #2016CHAMPS #CHAMPIONS #LOCKIN #STEPH #SPLASH #SPLASHBROS  #like4like #like4follow #follow4follow</t>
  </si>
  <si>
    <t>happy_feetzzz</t>
  </si>
  <si>
    <t>1598036133274384414_1614185540</t>
  </si>
  <si>
    <t>Goodevening! When You Feel Realy Good--DubbleTraining--WhyNot 🙃
WOD 8R +3CJ @85lbs to save my shoulder... #crossfit #crossfitbrugge #crossfitbelgium #crossfitbox #crossfitfam #crossfitlife #crossfitlove #crossfitlover #crossfitgirls #crossfitbabes #crossfitchicks #crossfitaddiction #crossfitcommunity #keepongoing #happy #almoststrong #lightweight</t>
  </si>
  <si>
    <t>CrossFit Brugge</t>
  </si>
  <si>
    <t>crossfitgirls</t>
  </si>
  <si>
    <t>crossfitaddiction</t>
  </si>
  <si>
    <t>crossfitfam</t>
  </si>
  <si>
    <t>morestacerae</t>
  </si>
  <si>
    <t>1598044892114464615_5795109012</t>
  </si>
  <si>
    <t>SO much to be #grateful for! #strength #strengthquotes #fortitude #justdoit #keepongoing #keeponmovin #wisdom #inspired #inspiration #nevergiveup #stacerae #morestacerae</t>
  </si>
  <si>
    <t>annemarthemyhre</t>
  </si>
  <si>
    <t>1598045107869069161_5380036527</t>
  </si>
  <si>
    <t>Never stop chasing your goals. You only fail when you stop trying💫
#tennis #serve #keepongoing #youcandoit #onemoretry #nailedit 🙌👏</t>
  </si>
  <si>
    <t>nailedit</t>
  </si>
  <si>
    <t>onemoretry</t>
  </si>
  <si>
    <t>1598049272888312622_277645992</t>
  </si>
  <si>
    <t>Yesterday i went to the gym twice 💪🏽 so here are the videos from yesterday and today💪🏽❤❤ #fitness #love #keepongoing #motivation❤💪🏽💪🏽</t>
  </si>
  <si>
    <t>pomanks.freeathlete</t>
  </si>
  <si>
    <t>1598056901948722922_4678264587</t>
  </si>
  <si>
    <t>- 03:11 vs PB !!
I'm under 06:30 for this!! 💪🏻😜
Next goal ? Being under 07:30 for the full one!! (I'll have 1 more minute to rest, can't substract that! 😅)
That would leave me 03:30 to do the exercises.. 🤔 #nothingisimpossible !
▪️
#Freeletics #bodyweight #freeleticsangers #freeleticsecouflant #hippodrome #angers #ecouflant #freeathlete #freeleticslifestyle #fit #fitness #fitnessmotivation #stayinshape #betterversionofyourself #keepongoing #trainingday #workout #noexcuses</t>
  </si>
  <si>
    <t>1598058780191697214_5620542121</t>
  </si>
  <si>
    <t>Arm workout heute war Bombe 💪 vicious von #bloodlion hat ware Wunder gewirkt heute. Bei dem Wetter und Tag heute war ich echt durch, aber 2 scoops und Zähne zusammenbeißen und dann ab dafür. Gewichte ein wenig gesteigert und jetzt echt fertig. Jetzt gibt es Burger und dann Licht aus. 😍 💯 👌 💪 ⚫today's arm workout was quiet awesome. Vicious booster from #bloodlion helped allot. Weather like shit and tired as f... Took 2 scoops and went to the gym. Now a bit tired and I am done for today. Now some self made burger and after that off to bed. 😍 💯 👌 💪 👕Kooperationspartner @loyalfitness 10% mit Joro10
#loyalfitness #bloodlion #zkonzept #gym #gymder #fitness #fit #asthetics #armworkout #gymlife #dreambig #stayhungry #goforit #smallgainz #gainzcomingsoon #focus #beliveinyou #bodyunderconstruction #pump #vains #bodybuilding #motivation #keepongoing #trytogetbig</t>
  </si>
  <si>
    <t>asthetics</t>
  </si>
  <si>
    <t>straightathletesquad_eli</t>
  </si>
  <si>
    <t>1598059679435340743_2214165080</t>
  </si>
  <si>
    <t>Eating clean pays off!
#shred #cleaneating #fitness #fitfamaustria #abs #shredded #results #lowfat #neverquit #naturalathlete #straightathletesquad #straightathlete #fitnesslifestyle #cuts #keepongoing @fitfam_austria</t>
  </si>
  <si>
    <t>Salzburg, Austria</t>
  </si>
  <si>
    <t>straightathlete</t>
  </si>
  <si>
    <t>naturalathlete</t>
  </si>
  <si>
    <t>dustinsawyermusic</t>
  </si>
  <si>
    <t>1598061824468995888_242379665</t>
  </si>
  <si>
    <t>New merch ideas! 
#dustinsawyermusic #bradymullins #designsfordays #keepongoing #liquorbottle #stayfresh</t>
  </si>
  <si>
    <t>bradymullins</t>
  </si>
  <si>
    <t>stayfresh</t>
  </si>
  <si>
    <t>designsfordays</t>
  </si>
  <si>
    <t>1598067795673491896_1364516995</t>
  </si>
  <si>
    <t>❌ Some will LOVE it ❤️ some will HATE it 💔 but at the end it's MY body MY decisions ❌ life is just too short 👯
#keepongoing #inked #tattoo #car #inkedgirl #history #supergirl #gelnails #lifestyle #cargram #bimmer #bimmer_girld #bmw #e46 #germancar  #heart #carchicks #insta #instapic #instamood #instafamous #heartbeat #photooftheday#followme #snapchat #supergirl #qotd #ootd #fashionblogger</t>
  </si>
  <si>
    <t>heartbeat</t>
  </si>
  <si>
    <t>1598069598863074016_277780257</t>
  </si>
  <si>
    <t>Todays session, max rep.
Squat 120 - bit short on depth. But working on my confidence in squat.
Bench 80 today again, bit heavier then yesterday.
Deadlift 140. Felt good an easy.
.
#coachedbyzebssons #deadlift #powerlifting #followyourdreams #challengeyourself #keepongoing #benchpress #nevergiveup #motivation #girlswholift #allkindofgains #squat #motmintoppform #strength #lifestyle #fitlife #tattoo #workhardorgohome #lettevekter #flagom #getfitordietrying #noexcuses #styrkelyft #lifelookingood #sbd</t>
  </si>
  <si>
    <t>paramite_sgh</t>
  </si>
  <si>
    <t>1598073493986923498_4127966908</t>
  </si>
  <si>
    <t>I work 60-80 hours a week, and tonight I start school, full time, for my third degree. Oh, and I'm sick as a dog #keepongoing #hopefulsuicidegirls #piercings #girlswithtattoos #suicidegirls #freckles #freckleface</t>
  </si>
  <si>
    <t>suicidegirls</t>
  </si>
  <si>
    <t>hopefulsuicidegirls</t>
  </si>
  <si>
    <t>piercings</t>
  </si>
  <si>
    <t>1598076110008388768_4160626699</t>
  </si>
  <si>
    <t>Ow My... vandaag is niet mijn dag.🙈 net bij de #bodyvive les kreeg ik mijn balans niet goed te pakken dus viel steeds om. Maar zo makkelijk laat ik me niet uit het veld slaan, we gaan thuis gewoon even door. Nu weer helemaal zen💆🏻 fijne avond allemaal 🤗
.
.
#zen #lunges #homeworkout #fitlife #fitmom #workit #keepongoing #balance #keepsgettingbetter</t>
  </si>
  <si>
    <t>bodyvive</t>
  </si>
  <si>
    <t>lunges</t>
  </si>
  <si>
    <t>peoniesandmilk</t>
  </si>
  <si>
    <t>1598076955177324591_2937724972</t>
  </si>
  <si>
    <t>If you were wondering what we've been up to, here's a peek! #olivegreen with #bronze wax! It's a little cramped in the one car garage by we are pressing on! #vintagestyle #keepongoing #fallishere</t>
  </si>
  <si>
    <t>bronze</t>
  </si>
  <si>
    <t>olivegreen</t>
  </si>
  <si>
    <t>vintagestyle</t>
  </si>
  <si>
    <t>ellesjonker</t>
  </si>
  <si>
    <t>1598077347637025104_4195552308</t>
  </si>
  <si>
    <t>#keepongoing#redbutsatisfied#burnbaby#freshenergy#enjoylifetothefullest#letshaveashower</t>
  </si>
  <si>
    <t>burnbaby</t>
  </si>
  <si>
    <t>freshenergy</t>
  </si>
  <si>
    <t>enjoylifetothefullest</t>
  </si>
  <si>
    <t>letshaveashower</t>
  </si>
  <si>
    <t>1598077577461219081_1611690820</t>
  </si>
  <si>
    <t>2D drawing for my lates project!
Soon you will the product in the market!
#product #work #buissnes
#productive #productdesign #creative #savetime #entrepreneursofinstagram #entrepreneur #productivity #working #hustle  #hustler  #dream #nevergiveup #workspace #create #keepongoing #dreams #inspiration #inspiringpeople #sverige #graphicdesign #art #design #designer #filament #3dprint #3dprinting #workshop</t>
  </si>
  <si>
    <t>sverige</t>
  </si>
  <si>
    <t>meike.maurer</t>
  </si>
  <si>
    <t>1598078541974394082_3433038585</t>
  </si>
  <si>
    <t>Laufen mit tiefgefrorenen Füssen ist nicht witzig. Aber wenn's im Wettkampf richtig hart wird, sag ich mir oft, dass Triathlon zu machen, ein großartiges Privileg ist und dass ich mich glücklichschätzen kann gesund und fit zu sein... und dann geht es meist gleich wieder leichter!
Wie macht ihr euch Mut im Rennen, wenn es mal nicht nach Plan läuft?
#tristar #rorschach #bodensee #toughconditions</t>
  </si>
  <si>
    <t>rorschach</t>
  </si>
  <si>
    <t>bodensee</t>
  </si>
  <si>
    <t>studio24one</t>
  </si>
  <si>
    <t>1598080057175175270_5542125827</t>
  </si>
  <si>
    <t>HOPE...there is always hope, no matter where you have been, where you are now...never lose hope and always keep believing for a better tomorrow! 😊- - - #Studio24One #Studio241 #shinealight #bealight #believe #wellness #selfcare #keepongoing #dowhatmattersmost #eatrealfood #melissaglynnphoto</t>
  </si>
  <si>
    <t>Atlanta, Georgia</t>
  </si>
  <si>
    <t>dowhatmattersmost</t>
  </si>
  <si>
    <t>eatrealfood</t>
  </si>
  <si>
    <t>studio241</t>
  </si>
  <si>
    <t>shinealight</t>
  </si>
  <si>
    <t>1598080448578310144_5744148801</t>
  </si>
  <si>
    <t>Soon we will release the product! Super excited!!!! #product #work #buissnes
#productive #productdesign #creative #savetime #entrepreneursofinstagram #entrepreneur #productivity #working #hustle  #hustler  #dream #nevergiveup #workspace #create #keepongoing #dreams #inspiration #inspiringpeople #sverige #graphicdesign #art #design #designer #artist #3dprint #sneakers #workshop</t>
  </si>
  <si>
    <t>l1velovelaughyoga</t>
  </si>
  <si>
    <t>1598082174476580261_1930185833</t>
  </si>
  <si>
    <t>Look @ my amazing friend he's the best!!! So kind and caring I am so glad I found your page &amp; get to be your Instagram friend💜💜💜! I look up to you &amp; you are one amazing inspiration to me❤️ if you need inspiration FOLLOW MY FRIEND!!!
.
.ps I feel special because he posts his pull up video for me!❤️❤️❤️🙏.
.
.
.
.
.
#gym #gymrat #gymlife #gymflow #gymtime #gymflow #fit #fitfam #fitspo #fitness #fitlife #fitnessjourney #fitgirl #fitgirls #strong #muscle #pullups #doyouevenlift #keepongoing #nevergiveup #neverquit #neverstopexploring #love #loveyourself #workout #workhard #hardwork #justdoit #motivation #inspiration</t>
  </si>
  <si>
    <t>antonioaaguilar</t>
  </si>
  <si>
    <t>1598083655241921463_331429648</t>
  </si>
  <si>
    <t>Smile like everything is awesome and you will see that great things will happen #smile #keepongoing</t>
  </si>
  <si>
    <t>1598084942766789140_4203455377</t>
  </si>
  <si>
    <t>So adorable 🙉</t>
  </si>
  <si>
    <t>1598092787509593326_540765515</t>
  </si>
  <si>
    <t>Vuela alto desde tus inicios, pero sin olvidarte nunca de tus principios.
📷:@yomarhe 
#bdn #badalona #playa #boya #chutado #gainer #concp #y #neo #kasta #taining #day #tricks #parkour #freerunning #tricking #animals #pk #animalspk #buendia #goodday #foton #bjj #jiujitsu #nogi #keepongoing</t>
  </si>
  <si>
    <t>chutado</t>
  </si>
  <si>
    <t>buendia</t>
  </si>
  <si>
    <t>parkour</t>
  </si>
  <si>
    <t>gainer</t>
  </si>
  <si>
    <t>1598092964433157997_3170179944</t>
  </si>
  <si>
    <t>🌟On Sale on Etsy🌟 http://etsy.me/2eGrt7B 
Stylized Hand Painted Anime Eye Catches!
Give the gift of anime for yourself or someone you love! Each is drawn and hand painted on study canvas board which lasts! Check out the link for more info and other wares!
#etsy #etsyshop #etsyseller  #anime❤ #anime #paintings #paint #paintmyself #stylized #draw #drawing #keepontrying #keepongoing #sketch #grind</t>
  </si>
  <si>
    <t>paintings</t>
  </si>
  <si>
    <t>1598093763623204467_1575365573</t>
  </si>
  <si>
    <t>erikasydneydoeshair</t>
  </si>
  <si>
    <t>1598099962453286829_3237347450</t>
  </si>
  <si>
    <t>#makeitcount #makeachange #itstartswithyou #believeinyourself #neverstop #nevergiveup #beautiful #keepongoing</t>
  </si>
  <si>
    <t>makeitcount</t>
  </si>
  <si>
    <t>_fuckeries_</t>
  </si>
  <si>
    <t>1598103781173974936_3684709554</t>
  </si>
  <si>
    <t>#quotes #happyquotes #bepositive #quotestoliveby #dontlookback #keepongoing #walkthewalk</t>
  </si>
  <si>
    <t>happyquotes</t>
  </si>
  <si>
    <t>loveislifell</t>
  </si>
  <si>
    <t>1598104913265881907_5841072820</t>
  </si>
  <si>
    <t>Today is a PERFECT DAY to START living your DREAMS! 
Yes it is! YOU CAN DO THIS .. KEEP ON GOING YOUR BLESSING IS COMING.. !  #motivationalquotes#motivationalphotographer#motivationalphotography#goals#dream#todayistheperfectdaytostartlivingyourdreams#qoute#motivationqoutes#keepongoing#youareontherightpath#believeinyourself#believeinyourdreams#creativity#bebold#befears#beyou#bepostive#speakoblygoodwords#loveyourselffirstalways❤️#youcandothis#inpiration#dreamer#homedecorations#blessingiscoming#patience#displine</t>
  </si>
  <si>
    <t>befears</t>
  </si>
  <si>
    <t>inpiration</t>
  </si>
  <si>
    <t>blessingiscoming</t>
  </si>
  <si>
    <t>todayistheperfectdaytostartlivingyourdreams</t>
  </si>
  <si>
    <t>black_rabbit_k08</t>
  </si>
  <si>
    <t>1598105277071933798_2986957306</t>
  </si>
  <si>
    <t>Whenever you're down keep on going on! (: Don't look back, because the past is the past and the future will be your life.
#moveforward #keepongoing #life #quote #letter #espanol #k08</t>
  </si>
  <si>
    <t>espanol</t>
  </si>
  <si>
    <t>letter</t>
  </si>
  <si>
    <t>1598105339064308142_183785074</t>
  </si>
  <si>
    <t>Cycle 
#cycling #keepongoing #orange #architecture #instagay #lines</t>
  </si>
  <si>
    <t>lines</t>
  </si>
  <si>
    <t>jwgatita</t>
  </si>
  <si>
    <t>1598108890422096708_2260826366</t>
  </si>
  <si>
    <t>Hello my beautiful darlings👋
How are you all doing? I hope with Jehovah's help that you all are doing well. Please keep on going. Don't give up! 
Love you all🌹🐈💖💋
.
Hola mi banda bella👋
¿Cómo están? Espero que con la ayuda de Jehová estén bien. Por favor sigan adelante. ¡No se rindan! Los quiero mucho mis amores 🌹🐈💖💋
.
#dontgiveup #keepongoing #keepfighting #staystrong #staypositive #nomatterwhat #imwithyou #youarenotalone #illness #sickness #problems #jehovah #brothersandsisters #love #jwfriends #jwamigos #jwme #jwyou #jwus #jwusa #jwlife #jwtestigosdejehova #jwbrotherhoodworldwide #beautiful #nature #beauty #longhair #latina #mexicangirl #singh</t>
  </si>
  <si>
    <t>latina</t>
  </si>
  <si>
    <t>illness</t>
  </si>
  <si>
    <t>brothersandsisters</t>
  </si>
  <si>
    <t>jwyou</t>
  </si>
  <si>
    <t>1598109247509781919_5139866557</t>
  </si>
  <si>
    <t>Lunch today: Tuna cubes marinated in mango and wakame 🤗</t>
  </si>
  <si>
    <t>beccabakes2</t>
  </si>
  <si>
    <t>1598111135526022947_48739897</t>
  </si>
  <si>
    <t>Put simply, you rock 🤗 #parscaeli #parscaeliwords @parscaeli #motivationalquotes #quote #words #affirmation #positiveaffirmation #graphicdesign #font #typeface #rainbowwords #rainbow #simplepleasures #keepongoing #tryingmybest #beabetteryou #empoweringwomen #empowerment</t>
  </si>
  <si>
    <t>affirmation</t>
  </si>
  <si>
    <t>parscaeliwords</t>
  </si>
  <si>
    <t>beabetteryou</t>
  </si>
  <si>
    <t>ann.vanacker.988</t>
  </si>
  <si>
    <t>1598116316405674092_1418686023</t>
  </si>
  <si>
    <t>#smile#sometimeslifeishard#keepthefaith#keepsmiling#keepongoing#keeponmoving#believeingoodandpositivethings ✌🏻🌻🌝</t>
  </si>
  <si>
    <t>sometimeslifeishard</t>
  </si>
  <si>
    <t>ann.fp</t>
  </si>
  <si>
    <t>1598117622233406618_4479171355</t>
  </si>
  <si>
    <t>"When everything seems to be going against you, remember that the airplane takes off against the wind, not with it" - Henry Ford💫
#quenotecortenlasalas #nevergiveup #putyourheartandsoulintoit #crossfit #crossfitgirls #strongisthenewsexy #staystrong #crossfitsantmarti #bebettereveryday #fuckeds #weliftheavybro #neverliftalone #barmuscleups #strongmindset #slowprogressisstillprogress #keepongoing</t>
  </si>
  <si>
    <t>putyourheartandsoulintoit</t>
  </si>
  <si>
    <t>bebettereveryday</t>
  </si>
  <si>
    <t>crossfitsantmarti</t>
  </si>
  <si>
    <t>flaviadg1</t>
  </si>
  <si>
    <t>1598118582947218502_329210652</t>
  </si>
  <si>
    <t>Little progress each day adds up to big results 🌼 .
.
.
.
.
.
.
.
.
#potd #selfie #girl #strongwomen #strongnotskinny #stronger #strength #força #foco #motivation #healthylifestyle #healthyliving #postwod #workoutmotivation #fitness #fitnessmotivation #fitgirl #muscles #latina #crossfitgirls #keepongoing #transformation #vidasaudavel #postreino #nomakeup</t>
  </si>
  <si>
    <t>padilmon123</t>
  </si>
  <si>
    <t>1598118789441161436_345940382</t>
  </si>
  <si>
    <t>The body achieves what the kind believes 💪
#anytimefitness #findyourself #fitnessmotivation #fitness #fitgirl #notstopping #notgivingup #notstopping #gymrat #goingforit #myworld❤️ #mypassion #keepongoing</t>
  </si>
  <si>
    <t>findyourself</t>
  </si>
  <si>
    <t>carohaefele</t>
  </si>
  <si>
    <t>1598125644604310804_274139512</t>
  </si>
  <si>
    <t>Only two workdays left 🔜🇬🇷 #keepongoing #greeceiscalling</t>
  </si>
  <si>
    <t>greeceiscalling</t>
  </si>
  <si>
    <t>1598125698944566858_4860693220</t>
  </si>
  <si>
    <t>Just look, and you'll see it 😊👀 #look #positivetalk #positiveselftalk #positivevibes #vibes #positivity #positivethinking #positive #hapiness #happy #lifequotes #quotes #day #hardtofind #justlook #antihate #youwill #try #truth #me #antibully #keepongoing #donthate #today #power #continue</t>
  </si>
  <si>
    <t>youwill</t>
  </si>
  <si>
    <t>starborn_hits</t>
  </si>
  <si>
    <t>1598128569838237276_178634531</t>
  </si>
  <si>
    <t>Mood 🤘Fingers 🤙🤔
Be A Leader Not A Follower 💯🤡
#snapback #adios #leader #clowns #fakefriends #smile #success #keepongoing #elevate #ha #jokes #industry</t>
  </si>
  <si>
    <t>adios</t>
  </si>
  <si>
    <t>ha</t>
  </si>
  <si>
    <t>leader</t>
  </si>
  <si>
    <t>lbn_uk</t>
  </si>
  <si>
    <t>1598129897267326732_5978370330</t>
  </si>
  <si>
    <t>Even a #postwork Stella becomes a special treat in a #timeless #iconic #location @hardrockcafe #keepongoing #rockisnotdead #location #interior #filmset  #alwaysgo #lovemyjob #bw</t>
  </si>
  <si>
    <t>Hard Rock Cafe London</t>
  </si>
  <si>
    <t>bw</t>
  </si>
  <si>
    <t>filmset</t>
  </si>
  <si>
    <t>timeless</t>
  </si>
  <si>
    <t>iconic</t>
  </si>
  <si>
    <t>location</t>
  </si>
  <si>
    <t>hello.besties</t>
  </si>
  <si>
    <t>1598134633080428224_1836214495</t>
  </si>
  <si>
    <t>You guys!!!!! We hit 900 subs today!!!!
#youtubevideos #youtuber #youtubefamily #youtube #yay #thankyou #keepongoing #subscribe #subscribers</t>
  </si>
  <si>
    <t>subscribers</t>
  </si>
  <si>
    <t>1598141197235217832_4203348813</t>
  </si>
  <si>
    <t>@anllela_sagra 😄</t>
  </si>
  <si>
    <t>1598141221578758411_4230196596</t>
  </si>
  <si>
    <t>Check out this fit babe @sarahstage 🙏</t>
  </si>
  <si>
    <t>fitnotskinny</t>
  </si>
  <si>
    <t>musclebuilding</t>
  </si>
  <si>
    <t>slimthick</t>
  </si>
  <si>
    <t>verosixtos</t>
  </si>
  <si>
    <t>1598148536174920664_417717983</t>
  </si>
  <si>
    <t>Don't stop doing what you love. When you finally decide to dedicate yourself to your dreams life becomes a whole lot more fulfilling. It's not easy, but it's so worth it. Take the leap.  Big thank you to @thisisshoemaker for making me such a beautiful sign. #music #musicianslife #actress #actorslife #passion #artist #love #musician #venicebeach #singersongwriter  #followyourdreams #selflove #personaldevelopment #balance #keepongoing</t>
  </si>
  <si>
    <t>Venice Beach</t>
  </si>
  <si>
    <t>yclin9383</t>
  </si>
  <si>
    <t>1598154945869403061_309369520</t>
  </si>
  <si>
    <t>Put your best face to the worse days #instapic @instaphoto #photooftheday #dailypic #picofheday #selfie #asian #taiwanese #asiangirl #taiwanesegirl #redlips #makeuponpoint #positivevibes #smile #keepongoing</t>
  </si>
  <si>
    <t>Maryland</t>
  </si>
  <si>
    <t>picofheday</t>
  </si>
  <si>
    <t>taiwanese</t>
  </si>
  <si>
    <t>analee_eileen</t>
  </si>
  <si>
    <t>1598155565618663915_5997986725</t>
  </si>
  <si>
    <t>#handstand #handstands #handstandseveryday #handstandlover #handstanddaily #handstandsfordays #handstandeverywhere #handstandeveryday #handstandeverydamnday #dailyhandstand #austria #austrianalps #worldtraveller #nature #outdoors #outdoorfitness #fitness #fitnessmodel #fit #fitgirl #exercise #keepyourheadup #keepongoing #keeponsweating #workout #beautiful #loveyourself #lovemylife #shouldermuscles #nofilter</t>
  </si>
  <si>
    <t>Bad Kleinkirchheim</t>
  </si>
  <si>
    <t>handstandeverywhere</t>
  </si>
  <si>
    <t>handstandsfordays</t>
  </si>
  <si>
    <t>lifebykeila</t>
  </si>
  <si>
    <t>1598167426046110216_263985109</t>
  </si>
  <si>
    <t>- Y U M 🍇 
#whatsonmyplate #snacktime #organic #hummus #obsessed #keepongoing #projetovidatoda  #healthy #nogmo #lanchedatarde #cheeselover #stayfocused #workinghardforthebody #snack #instafood</t>
  </si>
  <si>
    <t>whatsonmyplate</t>
  </si>
  <si>
    <t>projetovidatoda</t>
  </si>
  <si>
    <t>tessamccorkell__</t>
  </si>
  <si>
    <t>1598173526745278849_260364789</t>
  </si>
  <si>
    <t>So the other day I had a post up about how I am feeling like a failure as Ayla hasn't slept well since about 4 months old and I was worried she wasn't going to get into routine! That arvo I had this massive brain wave (I know right like me have a brain wave?) and I have put Aylas bassinet in her own room in her inside of her cot and ever since then she has been sleeping a lot better, I set a routine and she is getting used to it, I can't wait till I can take her out of the bassinet as she is big for it but whatever works for our little girl!
Today I am not feeling sluggish and tired like I have been, I am able to get out of the house today (hoping weather stays sunny) - some people don't understand why I post big things like this, I guess social media has changed over the years and my blog site doesn't work well 😂 I hate when people talk about me writing things behind my back also, everyone goes through life with a newborn differently and I guess it is taking me a bit to get used to! Doesn't matter if you have 10 kids or 2, it is still a massive change especially when Bubba's are getting the sleep they need 😀 super grateful for the mothers that are there for me to talk to and the friends that want to catch up with me ❤ #gratefulheart #newmama #weallstrugglesometimes #keepongoing</t>
  </si>
  <si>
    <t>newmama</t>
  </si>
  <si>
    <t>weallstrugglesometimes</t>
  </si>
  <si>
    <t>the.real.jules</t>
  </si>
  <si>
    <t>1598181738268332942_346425102</t>
  </si>
  <si>
    <t>😼😼😼 #keepongoing #me #blondie #walking #hdr #hdriphoneographer m #hdrspotters #hdrstyles_gf #hdri #hdroftheday #hdriphonegraphy #hdrepublic #hdr_lovers #awesome_hdr #instagood #hdrphotography #photooftheday #hdrimage #hdr_gallery #hdr_love #hdrfreak #hdrama #hdrart #hdrphoto #hdrfusion #hdrmania #hdrstyles #ihdr #str8hdr</t>
  </si>
  <si>
    <t>La Spezia, Italy</t>
  </si>
  <si>
    <t>hdrart</t>
  </si>
  <si>
    <t>hdrfreak</t>
  </si>
  <si>
    <t>hdr_lovers</t>
  </si>
  <si>
    <t>hdrepublic</t>
  </si>
  <si>
    <t>awesome_hdr</t>
  </si>
  <si>
    <t>pippa.g87</t>
  </si>
  <si>
    <t>1598182838133848773_50475660</t>
  </si>
  <si>
    <t>Sometimes a picture can say all I needed to hear. 
Too hard on myself.  #reminder #motivation #keepongoing #8years #cleaneating #crossfit #spin #canseethebiggerpicture #excusethepun #crossfit888</t>
  </si>
  <si>
    <t>excusethepun</t>
  </si>
  <si>
    <t>canseethebiggerpicture</t>
  </si>
  <si>
    <t>crossfit888</t>
  </si>
  <si>
    <t>sara_bejuststrong</t>
  </si>
  <si>
    <t>1598197091921158735_4276432573</t>
  </si>
  <si>
    <t>It's more than just lifting weights.
-It's a reaction to negative thoughts I had about myself, it's a battle against the anxiety due to the society's rules, it's the struggle between my mind and me.
-The commitment, the dedication, the consistency. It challenges me every single day and lets me become the best version of myself.
-And it doesn't matter what anybody things, I don't expect people to understand, I'm doing it for myself. 😳
•
🔸@bejuststrong🔸
⭐➖ use code BTBS10 to get 10% off anything on the website ➡ juststrongclothing.com 😃😎 (link in bio) worldwide shipping 📦🌎 the best quality for strong women!💪😉 ➖⭐
•
#inspiration #motivational #motivation #inspirational #doitforyourself #keepongoing #struggles #goodvibes #nevergiveup #nonegativevibes #lifestyle #attitude #skill #strenght #stronger #painistheweaknessleavingthebody #anxiety #anxietyawareness #anxietyrecovery #nomorerules #societyrulessuck #peopledontunderstand #healthier #menssanaincorporesano #bestversionofyou</t>
  </si>
  <si>
    <t>skill</t>
  </si>
  <si>
    <t>bestversionofyou</t>
  </si>
  <si>
    <t>mama_runforc</t>
  </si>
  <si>
    <t>1598200833516772826_5979171911</t>
  </si>
  <si>
    <t>Long run complete! ✔️ The best part about getting a new watch (@garminfitness #forerunner235) is that it resets all your records, which is perfect for #postpartum to help minimize any previous comparisons. New journey, and new goals. Today's run was the longest so far postpartum, and legs felt pretty good - even after yesterday's gym session! (Also thankful for friends who work shift work and can do mid-day, mid-week long runs to keep me company! 🏃🏽‍♀️) #garmin #milestonepod #postpartumfitness #postpartumcomeback #womensfitness #womenrunning #womensrunningcommunity #motherrunner #fitfluential #keepongoing #newdaynewme #newrecord #runnersofig #instarunners #runner #runnergirl #runnerscommunity</t>
  </si>
  <si>
    <t>womensrunningcommunity</t>
  </si>
  <si>
    <t>runnersofig</t>
  </si>
  <si>
    <t>newdaynewme</t>
  </si>
  <si>
    <t>postpartumcomeback</t>
  </si>
  <si>
    <t>motherrunner</t>
  </si>
  <si>
    <t>lpacchini</t>
  </si>
  <si>
    <t>1598210556224221117_341736491</t>
  </si>
  <si>
    <t>#repost @vivianjohnsonphoto and s/o to @etiennefang for including me in her #havingitall project last year. I cannot express the honor it was for her to include me as I consider her and the other women in this project as extraordinary and movers and shakers in their fields and communities. Hope to not disappoint! #keepongoing #neverstopexploring #painteachday #gratefulforyouall #sanfranciscoartist #kindnessmatters #shineeachandeveryday</t>
  </si>
  <si>
    <t>Laura Pacchini // a r t i s t</t>
  </si>
  <si>
    <t>gratefulforyouall</t>
  </si>
  <si>
    <t>havingitall</t>
  </si>
  <si>
    <t>1598213455487105999_4229046670</t>
  </si>
  <si>
    <t>fitgirlsrule</t>
  </si>
  <si>
    <t>lysiane_model</t>
  </si>
  <si>
    <t>1598213830315653230_4469498508</t>
  </si>
  <si>
    <t>Discipline is the bridge between goals &amp; accomplishment. 🤞
#dreams #keepongoing #bridge #ontario #picturebyme #bigideacomeplease</t>
  </si>
  <si>
    <t>Belleville, Ontario</t>
  </si>
  <si>
    <t>bigideacomeplease</t>
  </si>
  <si>
    <t>bridge</t>
  </si>
  <si>
    <t>ontario</t>
  </si>
  <si>
    <t>kynkitchenrules</t>
  </si>
  <si>
    <t>1598219636297231544_2183272235</t>
  </si>
  <si>
    <t>Assalamualaikum, Good Morning everyone 🕊
Everyday is a gift 💛
#seizetheday #morningquotes #keepongoing #blessday #thursdaythought</t>
  </si>
  <si>
    <t>morningquotes</t>
  </si>
  <si>
    <t>seizetheday</t>
  </si>
  <si>
    <t>thursdaythought</t>
  </si>
  <si>
    <t>blessday</t>
  </si>
  <si>
    <t>mps2nj</t>
  </si>
  <si>
    <t>1598220317502628025_2159114689</t>
  </si>
  <si>
    <t>#keepongoing #grit</t>
  </si>
  <si>
    <t>troywilliams40</t>
  </si>
  <si>
    <t>1598222686076343112_3530366641</t>
  </si>
  <si>
    <t>#chevy #silverado #200000kms #likearock #roadtrips #goodoletruck #2011chevy #keepongoing</t>
  </si>
  <si>
    <t>2011chevy</t>
  </si>
  <si>
    <t>silverado</t>
  </si>
  <si>
    <t>likearock</t>
  </si>
  <si>
    <t>200000kms</t>
  </si>
  <si>
    <t>chevy</t>
  </si>
  <si>
    <t>daniela_agfc</t>
  </si>
  <si>
    <t>1598230463365084413_25068414</t>
  </si>
  <si>
    <t>One reason people resist change is because they focus on what they have to give up, instead of what they can gain. #lifechangingquotes #keepongoing #elchistenoesllegaresmantenerse #mearregloparami #treintona</t>
  </si>
  <si>
    <t>lifechangingquotes</t>
  </si>
  <si>
    <t>treintona</t>
  </si>
  <si>
    <t>mearregloparami</t>
  </si>
  <si>
    <t>elchistenoesllegaresmantenerse</t>
  </si>
  <si>
    <t>mizz_martaa</t>
  </si>
  <si>
    <t>1598232433873030601_12985364</t>
  </si>
  <si>
    <t>When life knocks me down, I get up and straighten my crown #instapic #instaphoto #igdaily #brunette #brownhairdontcare #glasses #verawangglasses #greeneyes #chickswithtattoos #girlswithtattoos #keepongoing</t>
  </si>
  <si>
    <t>brownhairdontcare</t>
  </si>
  <si>
    <t>chickswithtattoos</t>
  </si>
  <si>
    <t>1598238097114812251_2065144435</t>
  </si>
  <si>
    <t>Disney princess achievement unlocked 👸🏼🦋
#panama #butterfly</t>
  </si>
  <si>
    <t>Metropolitan Park</t>
  </si>
  <si>
    <t>panama</t>
  </si>
  <si>
    <t>cdtwest</t>
  </si>
  <si>
    <t>1598238154618583697_631610481</t>
  </si>
  <si>
    <t>if it ain't one thing it's another 😅 #onpoint #keepongoing #adultingsucks #itiswhatitis #welcometoreality</t>
  </si>
  <si>
    <t>Quail Creek, Oklahoma City, Oklahoma</t>
  </si>
  <si>
    <t>adultingsucks</t>
  </si>
  <si>
    <t>welcometoreality</t>
  </si>
  <si>
    <t>stefh1997</t>
  </si>
  <si>
    <t>1598246602986913637_326859920</t>
  </si>
  <si>
    <t>"A SHIP IS ALWAYS SAFE AT SHORE BUT THAT IS NOT WHAT IT'S BUILT FOR..." 🌊💕⚓️ #keepongoing #mytypeofquote #positivevibes</t>
  </si>
  <si>
    <t>mytypeofquote</t>
  </si>
  <si>
    <t>1598253594388284611_3269476621</t>
  </si>
  <si>
    <t>Done with the gym 🌽
#gym #lifting #motivation #keepongoing #workingout #done #youcandoit #keeppushing #workout #loveyourself #weights #weightloss #weightlossjourney #weightlosstransformation #love #gymshark</t>
  </si>
  <si>
    <t>1598258535515082324_40740215</t>
  </si>
  <si>
    <t>Wanna try a good core exercise?! Spider climbers is one to try 🕷Be sure to keep you back straight and your hands under your shoulders. Now go burn out those abs 🔥</t>
  </si>
  <si>
    <t>1598259594944435371_3622431891</t>
  </si>
  <si>
    <t>🚁 Photo by @borsch
Follow @drone_feed for the best Drone Shots!
.
.
.
.
.
.
.
#travelnow #energyboost #earthpix #adventurebuddies #paradisecoast #forbestravelguide #liveforthis #travelfashion #paradiseonearth #slowtravel #onmygrind #stayinspired #tourtheplanet #keepongoing #backpackingpr #traveljunkie #laptoplife #travelstory #earthspirit #resourcetravel</t>
  </si>
  <si>
    <t>energyboost</t>
  </si>
  <si>
    <t>1598260234458449281_4773778225</t>
  </si>
  <si>
    <t>Thank you @jacnaor for sharing such a BEAUTIFUL MOMENT that you captured! Don't forget to send in your amazing pictures!#worldtravelbook #flashesofdelight #art #lake #rainbow #goodafternoonpost #keeponkeepingon #keepongoing #motivation #motivationeveryday #sunset #flowers #architecturephotography #architecture #tagsforlikes #bluesky #likesforlikes #follow #almosttheweekend #smile #happy #morningmotivation #flower #behappy #grateful</t>
  </si>
  <si>
    <t>gmbyphoto</t>
  </si>
  <si>
    <t>1598266661794198956_277212445</t>
  </si>
  <si>
    <t>Throwback to last week's @milehighrunclub track practice! I ran at a 6 min mile pace by the end of the night 💪 buuut paid for it on my weekend long run. Now I have inflammation in my knees 😭 Sometimes it feels like one step forward, two steps back, but I'm determined to be ready by Nov 5th
.
📸 @vinnie_mils 
#recovery #runner #running #trackpractice #track #speedwork #marathontraining #keepongoing #keeponkeepingon #getbackonthehorse #neverstoptrying #smallwins #motivation @nycmarathon #training #goals</t>
  </si>
  <si>
    <t>New York East River Park Track</t>
  </si>
  <si>
    <t>speedwork</t>
  </si>
  <si>
    <t>trackpractice</t>
  </si>
  <si>
    <t>1598268858022820749_2235956490</t>
  </si>
  <si>
    <t>About 2 years ago I told myself I was done. I wasn't celebrating any victories I was feeling negative about life and my journey. ☝️
Fast forward to now!
I found a new passion, running my own business &amp; Its been such an amazing journey for me and I just want to pay it forward to others who like me might now be feeling so amazing in their skin,  For me it's not about the weight on the scale its about how I feel in clothes and feeling strong and  empowered. 
I am my own boss and I am helping others. 
If this sounds good to you let me know, DM me.📞
I would love to chat.
#bikinirebel #keepongoing #keeponkeepingon #challengeme #iamworthit #iamstrong #iamworthy #iambeautiful #strongnotskinny #iamenough #iamenergy #icandohardthings</t>
  </si>
  <si>
    <t>iambeautiful</t>
  </si>
  <si>
    <t>iamworthit</t>
  </si>
  <si>
    <t>bikinirebel</t>
  </si>
  <si>
    <t>marionlilian</t>
  </si>
  <si>
    <t>1598269533130118075_25606461</t>
  </si>
  <si>
    <t>Fun night of Krav and Bjj. Right now the success for me lies in just finishing every Bjj class and hopefully taking a little something new from each one. So much to learn ! Feels like I have such a slow learning curve ..... persistence wins the game I guess !!! Back at it tomorrow 🙂 
#love4texas #bjj #bjjgirls #martialarts #persistence #training #keepongoing #kravmaga</t>
  </si>
  <si>
    <t>love4texas</t>
  </si>
  <si>
    <t>bjjgirls</t>
  </si>
  <si>
    <t>1598275657090348327_5932232918</t>
  </si>
  <si>
    <t>Don't let anyone stop you... #dontgiveup 
#dontstopbelieving 
#dontstopdreaming
#dontstop 
#keepongoing 
#motivationalquotes 
#faithquotes</t>
  </si>
  <si>
    <t>faithquotes</t>
  </si>
  <si>
    <t>ashattack83</t>
  </si>
  <si>
    <t>1598294907142604473_1924226270</t>
  </si>
  <si>
    <t>Sometimes I have to remind myself not to #worry about every little thing. Just take a deep breath and move on. #keepongoing #mantra #justbreathe</t>
  </si>
  <si>
    <t>worry</t>
  </si>
  <si>
    <t>1598299021788317518_5495249433</t>
  </si>
  <si>
    <t>💜💜</t>
  </si>
  <si>
    <t>1598299794068990320_4229046670</t>
  </si>
  <si>
    <t>neshia2010</t>
  </si>
  <si>
    <t>1598302885907721698_224972297</t>
  </si>
  <si>
    <t>#Indeed#keepongoing#gowiththeflow
 Good Night💗💗💯✔</t>
  </si>
  <si>
    <t>indeed</t>
  </si>
  <si>
    <t>beautywithpam</t>
  </si>
  <si>
    <t>1598305284194161695_990338216</t>
  </si>
  <si>
    <t>The thing is, people love you or hate you but they can't make you or break you 🙌 #writeyourowndestiny #dontletothersdefineyou #keepongoing #stoppeoplepleasing #dowhatisgoodforyoursoul</t>
  </si>
  <si>
    <t>dowhatisgoodforyoursoul</t>
  </si>
  <si>
    <t>writeyourowndestiny</t>
  </si>
  <si>
    <t>dontletothersdefineyou</t>
  </si>
  <si>
    <t>stoppeoplepleasing</t>
  </si>
  <si>
    <t>avidustherapy</t>
  </si>
  <si>
    <t>1598308749989316256_5947996365</t>
  </si>
  <si>
    <t>As small as we can feel sometimes, always know that someone out there needs you in their life. Chin up, and keep on.
.
.
.
#motivation #therapist #mentalhealth #mentalhealthawareness #needed #youareneeded #youareimportant #positive #positivity #selflove #keepongoing #feeling #positiveoutlook #fortunecookie #truth #staystrong #dontgiveup #relationship #therapy #littlerock #arkansas #counselor #avidustherapy</t>
  </si>
  <si>
    <t>arkansas</t>
  </si>
  <si>
    <t>sanfranciscoharmony</t>
  </si>
  <si>
    <t>1598309838746566074_1586685723</t>
  </si>
  <si>
    <t>Freddie Mercury, while very ill, supposedly said this before going in to record "The Show Must Go On" and nailing it. When I'm having an off day and feeling like throwing in the towel, I remember this story and think if Freddie could do it, so can I. #inspirational #inspirationalquotes #inspirationalquote #inspirationalwords #InspirationalPeople #inspirationalmusic #inspirationalmessage #inspirationalqoutes #inspirationalstory  #motivation  #motivational #motivationalquotes #motivationalquote #SelfMotivation #mymotivation #queen #theshowmustgoon #showmustgoon #keepongoing #keeponkeepingon #freddiemercury #freddielove #musicstories #findyourwhy #justdoit #youcandoit #reachforthestars #nobaddays #anythingispossible #igotthis</t>
  </si>
  <si>
    <t>queen</t>
  </si>
  <si>
    <t>inspirationalmessage</t>
  </si>
  <si>
    <t>freddiemercury</t>
  </si>
  <si>
    <t>1598316167699882057_5741748538</t>
  </si>
  <si>
    <t>Day 58: Reminding myself that the scale is just a number!!seeing results and feeling better about myself is what's important! Legs are def toning out and I'm way to excited about it! #scalessuck #weightloss #toning #weightlossjourney #seeingisbelieving #gettingfit #fattofit #keepongoing #dontstop #losingweight</t>
  </si>
  <si>
    <t>musclesbymarie</t>
  </si>
  <si>
    <t>1598320865479774323_3614103632</t>
  </si>
  <si>
    <t>Torsdagsfeeling 😊 hösten har börjat (enligt mig själv ) 😉 så nu gör jag kcalpåslag för att orka lyfta tyngre 🙌🏻. Välkommen du gråa mörka halvår 💪🏻 #eatclean#cleaneating#kcal#mmsports#godmorgon#torsdagsfeeling#keepongoing#jagkanjagvill#traineatsleeprepeat#trainhardworkhard#tränahårthållkäft#fitspo#mat#letsgo</t>
  </si>
  <si>
    <t>mmsports</t>
  </si>
  <si>
    <t>trainhardworkhard</t>
  </si>
  <si>
    <t>godmorgon</t>
  </si>
  <si>
    <t>traineatsleeprepeat</t>
  </si>
  <si>
    <t>sanman_pr_vlog_</t>
  </si>
  <si>
    <t>1598332127630623807_4953534733</t>
  </si>
  <si>
    <t>Commuting home after #humpday #cubicallife #workingclass #stressedout #21pilots #gottamakemoney #paydaytopayday #workingfortheman #keepongoing</t>
  </si>
  <si>
    <t>Grundy, Virginia</t>
  </si>
  <si>
    <t>gottamakemoney</t>
  </si>
  <si>
    <t>paydaytopayday</t>
  </si>
  <si>
    <t>cubicallife</t>
  </si>
  <si>
    <t>workingclass</t>
  </si>
  <si>
    <t>alinuha</t>
  </si>
  <si>
    <t>1598332158005965278_186110502</t>
  </si>
  <si>
    <t>What an unbelievable experience tonight was! It didn't go the way we wanted but so proud of @kaiakanepi for her incredible run at this years @usopen #welldone #coaching #tennis #comeon #travel #usopen2017 #arthurashestadium #primerime #keepongoing</t>
  </si>
  <si>
    <t>comeon</t>
  </si>
  <si>
    <t>primerime</t>
  </si>
  <si>
    <t>presley_cadynce_cheerkids</t>
  </si>
  <si>
    <t>1598332217046458710_3306184231</t>
  </si>
  <si>
    <t>"Perseverance is the hard work you do after you get tired of doing the hard work you already did."
--Newt Gingrich #futurecheerlebrity #goal #bloodsweatandtears #keepongoing #cheerkids #trainhard #goals #tumbletime #alterego #confidence #confidenceisbeautiful #beyou #VIP #cheerpassion🎀</t>
  </si>
  <si>
    <t>cheerkids</t>
  </si>
  <si>
    <t>futurecheerlebrity</t>
  </si>
  <si>
    <t>bloodsweatandtears</t>
  </si>
  <si>
    <t>cheerpassion🎀</t>
  </si>
  <si>
    <t>ctambz</t>
  </si>
  <si>
    <t>1598335154592544966_2294655512</t>
  </si>
  <si>
    <t>Belief from within. #ttgl #kamina #anime #motivation #quotes #animequotes #TengenToppaGurrenLagann #keepdigging #keepongoing #grind #believeinyourself #youcandoit #manga #mangaquotes #drillsthatpiercetheheavens #innerstrength #goals #getit #</t>
  </si>
  <si>
    <t>animequotes</t>
  </si>
  <si>
    <t>innerstrength</t>
  </si>
  <si>
    <t>kamina</t>
  </si>
  <si>
    <t>1598338366758426483_1822232190</t>
  </si>
  <si>
    <t>Indian Lake, New York
Photo by @puffinandbennie
.
.
.
.
.
.
.
.
#paradisepoint #travelingcouple #neverstoptravelling #travelcouple #meditatedaily #travellingourplanet #thinkoutsidethebox #adventureculture #earthpix #adventurers #travelnow #sunset_rv #travelog #vacancy #travelvideo #crystalclearwater #traveldiaries #paradisepier #choosejoy #keepongoing #sunset_ig #jomblotraveler #awesome_hotel #sunsetsky #meditationtime</t>
  </si>
  <si>
    <t>paradisepier</t>
  </si>
  <si>
    <t>vacancy</t>
  </si>
  <si>
    <t>traveldiaries</t>
  </si>
  <si>
    <t>shellshreds</t>
  </si>
  <si>
    <t>1598343449113985711_5676471815</t>
  </si>
  <si>
    <t>Late workout but I got all my steps in yesterday along with water and ate clean ✅ Feelin good 😊
#gym #getbackup #keepongoing</t>
  </si>
  <si>
    <t>1598345080565186347_5916048423</t>
  </si>
  <si>
    <t>Awesome yacht! 
____________________________________
- Follow Me👉🏼 @lux.inspire 👈🏼
- Follow Me👉🏼 @lux.inspire 👈🏼
____________________________________
💡Turn on Notifications to See New Posts
💡Share with friends, family, and followers</t>
  </si>
  <si>
    <t>1598345846202409589_5998516572</t>
  </si>
  <si>
    <t>When it always feels like the weight of the world is on my shoulders and things start to feel like to much to bare, i train back and shoulders. With the right mindset, anything can be used to drive your training and make you push harder. Just as training can be used to help change your mindset and help build your self esteem. 
Use code: DUKINO39FF10
at Fire &amp; Fury Apparel for discounts on all items. Link in my description. Thank you
#fitspo #fitfam #beards #training #lifting #protein #vikings #nordic #gains #neverstop #gym #back #fitness #strength #endurance #dumbells #bloodsweatandtears #nopainnogain #keepongoing #bench #fireandfuryapparel #onemorerep #mindset
#stress</t>
  </si>
  <si>
    <t>1598348149889942587_3194028285</t>
  </si>
  <si>
    <t>#salonlife #keepongoing #hustlegang #workhard #playhard #itwist #nightlifejunkies #keepitreal #stayhumble #headdown #hustleup</t>
  </si>
  <si>
    <t>hustlegang</t>
  </si>
  <si>
    <t>itwist</t>
  </si>
  <si>
    <t>blingablingofficial</t>
  </si>
  <si>
    <t>1598356028948581342_2882154863</t>
  </si>
  <si>
    <t>New song in the making
#KeepOnGoing
#BlingaBling</t>
  </si>
  <si>
    <t>blingabling</t>
  </si>
  <si>
    <t>nicolejas3</t>
  </si>
  <si>
    <t>1598360519505203394_480923498</t>
  </si>
  <si>
    <t>#work #keepsmiling #lovineveryday #staystrong #keepongoing</t>
  </si>
  <si>
    <t>lovineveryday</t>
  </si>
  <si>
    <t>1598361724174803794_5620542121</t>
  </si>
  <si>
    <t>Now take a shower, have a coffee. Off to school and after that gym time 😍💪
👕Kooperationspartner ↙
@loyalfitness Joro10 10% sparen
#gymquotes #startintheday #goforit #waytosuccess #neverquit #keepongoing #stayfocused</t>
  </si>
  <si>
    <t>gymquotes</t>
  </si>
  <si>
    <t>startintheday</t>
  </si>
  <si>
    <t>waytosuccess</t>
  </si>
  <si>
    <t>wandering.veggiee</t>
  </si>
  <si>
    <t>1598363518171427941_4103371457</t>
  </si>
  <si>
    <t>Behind every cloud, there is light 🌝
.
.
.
.
.
.
.
#moon #fullmoon #cloudynight #clouds #shinebright #qotd #moonlight #travelphotography #Toronto #Canada #life #skyporn #eveningwalk #wanderer #wanderingveggiee #keepongoing #exploretocreate #moonchild 🌚#the6ix</t>
  </si>
  <si>
    <t>cloudynight</t>
  </si>
  <si>
    <t>exploretocreate</t>
  </si>
  <si>
    <t>ambers.weightloss.journey</t>
  </si>
  <si>
    <t>1598363714054496273_5997395817</t>
  </si>
  <si>
    <t>#fitbitcharge2 #firstpost #FitLife #Fitness #KeepOnGoing #GoingToDoItThisTime</t>
  </si>
  <si>
    <t>fitbitcharge2</t>
  </si>
  <si>
    <t>goingtodoitthistime</t>
  </si>
  <si>
    <t>dukino39</t>
  </si>
  <si>
    <t>1598363952995030381_1296701662</t>
  </si>
  <si>
    <t>I would like to Officially announce that as of here on, i will be representing Fire and Fury apparel. To go with this, i have made a seperate instagram @mad_nord_lifts to post all my related pictures too. I hope you'll all consider taking a few seconds to head over and follow me. It would mean a lot to me. Let me inspire you as you all inspire me. 💙💪👍👌 Use code: DUKINO39FF10
at Fire &amp; Fury Apparel for discounts on all items. Link in my description. Thank you
#fitspo #fitfam #beards #training #lifting #protein #vikings #nordic #gains #neverstop #gym #fitness #strength #endurance #bloodsweatandtears #nopainnogain #keepongoing #fireandfuryapparel #inspiration #motivation</t>
  </si>
  <si>
    <t>fireandfuryapparel</t>
  </si>
  <si>
    <t>1598366407569840225_5350362639</t>
  </si>
  <si>
    <t>Wait for you 💪💪 ! SU SU SU SU SU SU SUPER BEIBI POPOR @popor_sapsiree 🙏🙏
.
.
.
Ni min mau infoin buat kalian yg nanya "Popor ikut Korea Open nggak min?" , untuk tahun ini P' absen dari Victor Korea Open 2017 dikarenakan cidera yg kemaren saat sea games , sekarang P' dalam masa pemulihan , cideranya itu tidak terlalu serius tapi juga nggak ringan,gimana yah ngomonginny 😆 pokonya lagi proses penyembuhan . kita doain aja ya guys sama2 semoga P' cepat sembuh dan bisa ikut pertandingan lagi 🙏 ... MISS SAPSIREE IN ACTION 💪💪 WAITING FOR IT 😎🙏 ... TEAM POPOR ALWAYS WISH FOR YOUR HEALTHY 🙏🙏🙏 @popor_sapsiree .
.
.
#TEAMPOPOR #MISS #WISHForPopor #susupopor #superbeibi #comebackstronger #believeinyourself #badmintonplayer #Thailand #scg #nevergiveup #keepongoing #follow #like</t>
  </si>
  <si>
    <t>superbeibi</t>
  </si>
  <si>
    <t>teampopor</t>
  </si>
  <si>
    <t>wishforpopor</t>
  </si>
  <si>
    <t>1598367218815443686_5998516572</t>
  </si>
  <si>
    <t>I would like to Officially announce that as of here on, i will be representing Fire and Fury apparel. I hope you'll all consider taking a few seconds to follow me. It would mean a lot to me. Let me inspire you as you all inspire me. 💙💪👍👌 Use code: DUKINO39FF10
at Fire &amp; Fury Apparel for discounts on all items. Link in my description. Thank you
#fitspo #fitfam #beards #training #lifting #protein #vikings #nordic #gains #neverstop #gym #fitness #strength #endurance #bloodsweatandtears #nopainnogain #keepongoing #fireandfuryapparel #inspiration #motivation</t>
  </si>
  <si>
    <t>luinjapan</t>
  </si>
  <si>
    <t>1598369296453723906_2092754377</t>
  </si>
  <si>
    <t>Memories of gran #missing pinky #drawing #memories #comingsoon #lovedrawing #illustratorsaustralia #illustration #art #books #kidlit #kiitart #keepongoing #surfcoast #surfcoastillustrator #victoriaillustrator #ipkidz</t>
  </si>
  <si>
    <t>illustratorsaustralia</t>
  </si>
  <si>
    <t>kiitart</t>
  </si>
  <si>
    <t>1598386298535862260_2129605436</t>
  </si>
  <si>
    <t>När hösten börjar smyga sig in i vårt avlånga land är en matnyttig paprika/tomat soppa värmande och mysig kvällsmat #souptime #lågkolhydrat #lågkolhydratskost #lowcarbdiet #lowcarb #lowcarbfood #instafood #instainspo #instahealth #healthyfood #healthylifestyle #foodstyling #foodporn #livinghealthy #hälsa #måbra #nukörvi #happybody #keepit💯 #keepitup #keepongoing #kickstart #ulrikaskickstart #kostrådgivareulrikadavidsson #onlinecoach #follow4follow</t>
  </si>
  <si>
    <t>lågkolhydratskost</t>
  </si>
  <si>
    <t>nukörvi</t>
  </si>
  <si>
    <t>instainspo</t>
  </si>
  <si>
    <t>onlinecoach</t>
  </si>
  <si>
    <t>1598400774774065392_5862860057</t>
  </si>
  <si>
    <t>Dark morning running attire 🤣🤣 at least I should be seen! #backtoschool #thismumruns #workingmummy #runnersofinstagram #runningcommunity #runninggirl #mentalhealth #eatingdisorder #strongwoman #runninguk #thismumruns #commitment #roadtorecovery #needmotivation #keepongoing #wifeofafirefighter</t>
  </si>
  <si>
    <t>wifeofafirefighter</t>
  </si>
  <si>
    <t>lucybowen</t>
  </si>
  <si>
    <t>1598403245049621645_3920533</t>
  </si>
  <si>
    <t>What shin splints 😬💁🏼#keepongoing #caminofrances #caminodesantiago #morningslikethese #buenosdias 🌾🌝</t>
  </si>
  <si>
    <t>Camino De Santiago</t>
  </si>
  <si>
    <t>1598409817148208831_5781397138</t>
  </si>
  <si>
    <t>On the Camino
Every corner opens the view to a new horizon .
. 
#camino #onthecamino #encamino #caminodesantiago #stjamesway #jakobsweg #galicia #pilgrim with #breastcancer #metastaticcancer under #chemotherapy #keepongoing #neverquit #lifeisbeautiful #keeponmoving #trustyourself #newhorizons</t>
  </si>
  <si>
    <t>slybrownfox</t>
  </si>
  <si>
    <t>1598412603472794731_1627466008</t>
  </si>
  <si>
    <t>I'm slowly but surely finding my way back to myself. #healthyliving #stressfree #happyhousewife #loveyourself #nevergiveup #keepongoing</t>
  </si>
  <si>
    <t>stressfree</t>
  </si>
  <si>
    <t>mullekejling</t>
  </si>
  <si>
    <t>1598412662008879744_198088518</t>
  </si>
  <si>
    <t>#workworkwork 😇🙏 #thursday #almostweekend #selfie #blonde #happy #chilled #outfit #life #love #mylife #myfriends #myfamily #mypets #great #niceday #keepfigting #keepongoing #workhard #makegoals #havedreams #realize #danish #wildchild ❤️</t>
  </si>
  <si>
    <t>almostweekend</t>
  </si>
  <si>
    <t>chilled</t>
  </si>
  <si>
    <t>realize</t>
  </si>
  <si>
    <t>wildchild</t>
  </si>
  <si>
    <t>herder_bas</t>
  </si>
  <si>
    <t>1598415014652731542_5962312275</t>
  </si>
  <si>
    <t>#schaapherder #shepherd #leren#keepongoing</t>
  </si>
  <si>
    <t>Helicon MBO Velp</t>
  </si>
  <si>
    <t>shepherd</t>
  </si>
  <si>
    <t>schaapherder</t>
  </si>
  <si>
    <t>leren</t>
  </si>
  <si>
    <t>lieserivers</t>
  </si>
  <si>
    <t>1598420353332111485_5963339680</t>
  </si>
  <si>
    <t>#progressionpic My aims are to 1. Get my chest on the floor, 2. Get my forehead on the floor, 3. Get my legs straight, and 4. Get my arms under my legs. It's good to have goals!
.
.
.
#yogaeverydamnday #yogajourney #progression #stretching #stretch #hamstrings #flexibility #sidesplits #widelegstretch #floorwork #fitness #over40andflexible #keepongoing #yogainspired #goals #ouch</t>
  </si>
  <si>
    <t>floorwork</t>
  </si>
  <si>
    <t>stretch</t>
  </si>
  <si>
    <t>progressionpic</t>
  </si>
  <si>
    <t>progression</t>
  </si>
  <si>
    <t>1598426978402695066_429036895</t>
  </si>
  <si>
    <t>It is not easy but every minute of fighting your goals is worth it. Some day's are harder than others but when you keep trying and keep working, some day you will succeed. 
Untill then, never quit and surrounding  yourself with people who support your goals and dreams. ❤
Never give up!
#gymmonkeys #daretoshare #bodylove #selflove #foodlover  #fitnessjourney #progress #fitness #fitdutchie #weightlifting #girlwholifts #fitfam #fitnessaddict #curves #weightgaining #bodyandmind #gymlife #recovering #bootygrow #dedication #hardwork #keepongoing #strenght #grow #girlonamission #effort #girlpower #healthylifestyle</t>
  </si>
  <si>
    <t>1598432009805157013_3255088711</t>
  </si>
  <si>
    <t>✨😇✨ #goodmorning#sunhasrisen#golden#glow#goldenglow#keykeyper#pondering#goldenlight#warm#kopfhoch#newday#keepongoing#live#life#love#instalove#bronze#art#instaart#picoftheday#haveagoodday</t>
  </si>
  <si>
    <t>kopfhoch</t>
  </si>
  <si>
    <t>1598433955560292271_2317517565</t>
  </si>
  <si>
    <t>Jeg havde en fantastisk aften hos Tryde Andres i aftens. Jeg fik underholdt med en masse guldkorn og sjove historier. Deltagerne var aktive og vi fik en god dialog om sundhed og fik taget om diverse myter. •••
Efterfølgende fik jeg mulighed for at snakke 1-1 med nogle af deltagerne og det rører mig altid, når jeg kan bidrage med de små ting, så folk har lyst til at skabe forandring til det bedre i deres hverdag. •••
Og så kan jeg se på mine billeder, at jeg virkelig gør noget ud af den non-verbale kommunikation 😂💃🍾👍. •••
#mortentillitzdk  #whatwouldbeyoncedo #toldyouso #tropådet #personligtræner #personaltrainer #cycling #Cykling #styrketræning #løb #Svømning #Swim #running #stronger #personligtræner #mitodense #fitfam #ﬁtfamdk #actionequalsresults #handlingskabersucces #helkropstræning #fullbody #SunRiceClubbyMortenTillitzDK #mentalpause #blivved #keepongoing #styrketræning #painfree #smertefri #søvn #sleep #mitodense</t>
  </si>
  <si>
    <t>flawless_faces_by_hilde_m</t>
  </si>
  <si>
    <t>1598435254232870341_1479120669</t>
  </si>
  <si>
    <t>KEEP ON! 😃😍
#mindset #stamina #dreamon #keeponpushing #keepongoing #</t>
  </si>
  <si>
    <t>1598437436864748965_5717527571</t>
  </si>
  <si>
    <t>#keepongoing #dolomiti #trentino #hiking #sancassiano #formation #geology #fossilshunting #onlap #triassic #longwaytogo #essentials #intheflesh 
In an interstellar burst.</t>
  </si>
  <si>
    <t>Ra Gusela 2595mt</t>
  </si>
  <si>
    <t>triassic</t>
  </si>
  <si>
    <t>sancassiano</t>
  </si>
  <si>
    <t>fossilshunting</t>
  </si>
  <si>
    <t>snapcur</t>
  </si>
  <si>
    <t>1598438224278938695_5988156513</t>
  </si>
  <si>
    <t>Clock
Time...
Banyak yang datang pun menghilang. Beberapa menjadi kenangan. Beberapa menjadi pelajaran. Namun hanya satu akan menjadi akhir perjalanan.
#vsco #vscocam #bwphoto #blackandwhitephoto
#godbless #time #clock #keepongoing #motivationalquotes #followforfollow #follow #like4like #likeforlike #like #shoutout #shout #bwphoto #blackandwhite #blackandwhitephoto #statemen #likeforlike #like4like #explorersofphotography #explore #dollar #creative #creatownstories #town #follow #followforfollow #shoutout #shoutouts #shout</t>
  </si>
  <si>
    <t>explorersofphotography</t>
  </si>
  <si>
    <t>jasmyne.moreno</t>
  </si>
  <si>
    <t>1598438788194009628_366524983</t>
  </si>
  <si>
    <t>Finally getting to my normal size. Now I just need to build muscle and tone! 115/116lbs! Whoop whoop
#116 #5weeks #postpartum #keepitcoming #keepongoing #givemeanothermonth #youllsee #basicsnapchatfilter #commondoggo</t>
  </si>
  <si>
    <t>givemeanothermonth</t>
  </si>
  <si>
    <t>basicsnapchatfilter</t>
  </si>
  <si>
    <t>5weeks</t>
  </si>
  <si>
    <t>lisaworner</t>
  </si>
  <si>
    <t>1598438973229819990_34983301</t>
  </si>
  <si>
    <t>Almost weekend! Excited! @tourofreykjavik
.
.
.
#roadtoreykjavik #tourofreykjavik #racingwithbrakes #touren #toeren 
#womensracing #ridelikeagirl #ridebikes #ridebikesbehappy #ridebikeseveryday #rollintotheweekend #keepongoing 🏁
📸@kwete67</t>
  </si>
  <si>
    <t>Mysteryland</t>
  </si>
  <si>
    <t>ridebikesbehappy</t>
  </si>
  <si>
    <t>tourofreykjavik</t>
  </si>
  <si>
    <t>ridelikeagirl</t>
  </si>
  <si>
    <t>racingwithbrakes</t>
  </si>
  <si>
    <t>touren</t>
  </si>
  <si>
    <t>shahin_thm</t>
  </si>
  <si>
    <t>1598442158057428729_1982913086</t>
  </si>
  <si>
    <t>SO
belive in your Dreams 
nd never announce your moves befor you make them! 
#aboutlife #life #keepongoing #dreams</t>
  </si>
  <si>
    <t>1598453258811926460_1570907128</t>
  </si>
  <si>
    <t>Yeah time is not enough ....have to play a lot of more roles of life. #coplife #fitnessmodel #indianathlete #worldpoliceandfiregames2017 #losangeles #california #goldmedal #overallchampion #bronze #menphysique #bodybuilding #gymxapparel #jeraiathlete #contestprep #mrolympia #2017 #keepongoing</t>
  </si>
  <si>
    <t>Chandigarh, India</t>
  </si>
  <si>
    <t>overallchampion</t>
  </si>
  <si>
    <t>indianathlete</t>
  </si>
  <si>
    <t>spaepje</t>
  </si>
  <si>
    <t>1598456290739405573_3042993382</t>
  </si>
  <si>
    <t>#beetjeziek 🤒 maar... #keepongoing #bijnaweekend 🙄 #tasje #kracht #koffie #bodyenfitshop #healthy #shake #lotsof #superfoods #vitamines #gettingbetter #coffeetime #butfirstcoffee #atwork</t>
  </si>
  <si>
    <t>gettingbetter</t>
  </si>
  <si>
    <t>shake</t>
  </si>
  <si>
    <t>vitamines</t>
  </si>
  <si>
    <t>lotsof</t>
  </si>
  <si>
    <t>1598457603103913871_1982913086</t>
  </si>
  <si>
    <t>aylinwernerofficial</t>
  </si>
  <si>
    <t>1598460898359841532_268147992</t>
  </si>
  <si>
    <t>believe. you can. 🙏🏼✨
#headshot #camera #smile #behindblueeyes #believe #believeinyourself #keepongoing #yougotthis #motivation #grateful #growth 
#goodmorning #gutenmorgen #günaydin #sobbekheir #buenosdias</t>
  </si>
  <si>
    <t>headshot</t>
  </si>
  <si>
    <t>aktris</t>
  </si>
  <si>
    <t>hopeandginger</t>
  </si>
  <si>
    <t>1598462720011922201_3985283825</t>
  </si>
  <si>
    <t>Guys, comparison can be a total killer! It can rob us of joy and can make what should be wonderful into something miserable. This morning I am reminding myself to run my own race, to stay in my own lane and not worry about what others are doing. Even better, I'm gonna cheer them on from where I am. 🙌 Let's do this!! 👊 #hopeandginger #peptalk #stayinyourlane #runtherace #yougotthis #keepgoing #keepongoing #handlettering #brushlettering #freestylecalligraphy #wahm #makersmovement #makersgonnamake #christiancreative #graceupongrace #wellwateredwomen #gracemakers #thatsdarling #pursuepretty #makermama #ourcreativeisle #walkbyfaith</t>
  </si>
  <si>
    <t>walkbyfaith</t>
  </si>
  <si>
    <t>ourcreativeisle</t>
  </si>
  <si>
    <t>gracemakers</t>
  </si>
  <si>
    <t>lozzyk87</t>
  </si>
  <si>
    <t>1598471963404015772_35028549</t>
  </si>
  <si>
    <t>Yes they do 👌🏻thanks @rachie_bear1 😊 #carryon #keepongoing</t>
  </si>
  <si>
    <t>1598478719234659124_279512262</t>
  </si>
  <si>
    <t>Вчера шла после йоги в каком-то эйфорическом чувстве, словно ноги летели сами по Дмитровке. Думала о том, что теперь понимаю, что йога — это не боль в мышцах, а возможность выплеснуть энергию и восполнить ее запасы вновь в довольно короткие сроки.
Шёл дождь, при этом я чувствовала себя максимально открытой миру и между тем глубоко в себе.
🍂
.
#photooftheday #loveinmoscow #seemymoscow #vsco #vibes #madrussians #catherineinmoscow #keepcalm #keepongoing #livy #lifeex #livelife #livefolk #livestory #daily #dreamers</t>
  </si>
  <si>
    <t>Театр Наций</t>
  </si>
  <si>
    <t>kimberley_chloe8</t>
  </si>
  <si>
    <t>1598487552934635513_12968703</t>
  </si>
  <si>
    <t>It's that day again! #haveaniceday #migrainessuck #keepongoing #iamstrongerthanpain 💪🏻</t>
  </si>
  <si>
    <t>iamstrongerthanpain</t>
  </si>
  <si>
    <t>migrainessuck</t>
  </si>
  <si>
    <t>rr.183</t>
  </si>
  <si>
    <t>1598498459449915192_43210621</t>
  </si>
  <si>
    <t>There's more to life than you know. #neversettle #keepongoing</t>
  </si>
  <si>
    <t>Preach</t>
  </si>
  <si>
    <t>1598498729688636057_5971045578</t>
  </si>
  <si>
    <t>Neanche il tempo incerto mi ha fermato stamattina! 😎🌤💪 Anche perché ne voglio aprofittare finché sono a #bibione a fare la stagione... qui c'è uno stupendo percorso pedonale/ciclabile che costeggia tutto il lungomare! È il 🔝 E poi ieri sera sono uscita con le mie colleghe/coinquiline e mangiato qualche schifezzina 😅 Quindi è giunta l'ora di #smaltire !!! 😜🏃 #morningwalk #walkingalongthebeach #lungomare #bibionebeach #summerisending #winteriscoming #italiangirl #curvygirl #dietdiary #nevergiveup #keepongoing #keeponmoving #camminatamattutina #fitwalking #keepfit #motivation #motivationalprofile #healthylifestyle #followme #followforfollow #goodhabits #goodmorning</t>
  </si>
  <si>
    <t>Bibione Beach</t>
  </si>
  <si>
    <t>bibione</t>
  </si>
  <si>
    <t>bibionebeach</t>
  </si>
  <si>
    <t>messinesed</t>
  </si>
  <si>
    <t>1598499165192565211_1234629932</t>
  </si>
  <si>
    <t>Thats for real</t>
  </si>
  <si>
    <t>instagallery</t>
  </si>
  <si>
    <t>leidiehabets</t>
  </si>
  <si>
    <t>1598502498960099175_236212908</t>
  </si>
  <si>
    <t>😉just a though girl #tough #girl #smile #keepongoing #😍 #justme #mirror #fashion #fashiongirl #singlemom #leather #💋 #redlips #makeup #love #life #nevergiveup #jeans #🌸 #bestoftheday #selfie #photooftheday #photo #happy #instagood #boots #blonde</t>
  </si>
  <si>
    <t>leather</t>
  </si>
  <si>
    <t>dintheresting</t>
  </si>
  <si>
    <t>1598507967745122498_5632926823</t>
  </si>
  <si>
    <t>Crazy FACS-day today! We have 3 stainings, with each 30 samples... So 90 samples!! The short video shows how we take out the tube, to do a backflush of the tubing system to clean it, before adding the new sample. This is so much easier because of the great teamwork, so respect and thanks to @leoni_hoogterp and @katholesek for facsing! I turned the machine on... So, yeah I'm spoiled with 2 great technicians who are always there to help! #Dintheresting #FACS #flow #flowcytometry #lab #experiment #toomany #samples #help #techniciansarethebest #technician #vumc #keepongoing #phd #phdlife #spoiled #cyan #cells #experiment #Immunology</t>
  </si>
  <si>
    <t>Labgebouw O2 VU Amsterdam</t>
  </si>
  <si>
    <t>toomany</t>
  </si>
  <si>
    <t>samples</t>
  </si>
  <si>
    <t>technician</t>
  </si>
  <si>
    <t>cells</t>
  </si>
  <si>
    <t>1598511226105982950_4198604834</t>
  </si>
  <si>
    <t>#dontstop #dontgiveup #keepongoing #selfbelief #selfempowerment #yesican #justdoit #workoutmotivation #fitnessmotivation #gymmotivation #successmindset #socialiser #networking #selfemployed #entrepreneur #entrepreneurmindset #entrepreneurship</t>
  </si>
  <si>
    <t>networking</t>
  </si>
  <si>
    <t>selfemployed</t>
  </si>
  <si>
    <t>kimgiling</t>
  </si>
  <si>
    <t>1598518953037205056_2245391748</t>
  </si>
  <si>
    <t>Its not about how many likes or followers, don't worry--&gt;keep on going!! Fire&amp;Inspire🔥🔥</t>
  </si>
  <si>
    <t>networkmarketing</t>
  </si>
  <si>
    <t>1598521234184778163_1539519457</t>
  </si>
  <si>
    <t>Nice Day at the Park #karlsruheschlossgarten  #karlsruhe #anxiety #depression #multiplepersonalitydisorder #keepongoing</t>
  </si>
  <si>
    <t>karlsruhe</t>
  </si>
  <si>
    <t>karlsruheschlossgarten</t>
  </si>
  <si>
    <t>exercise_your_faith</t>
  </si>
  <si>
    <t>1598527506373532960_2124260978</t>
  </si>
  <si>
    <t>Wanna know what my absolute least favorite exercise is? 
Squat press! I despise them. They are hard every time I do them. Honestly, I consider skipping them every time they come up. But, I realize, I am only cheating myself and that those crazy things make me stronger...inside and out.
Anyway, I may have over eaten some peanut butter last night, while meal prepping. Poor judgement I know. I regretted it immediately after. 😩
But, I cannot let that stumble be the end of my journey. I have to rise back up and overcome this. 
Don't write yourself off just because you haven't been successful in the past. We all stumble and have setbacks. What sets us apart is that we rise up and keep going! 
#exerciseyourfaith #growth #keepongoing #workout #workoutmotivation #thursdaymotivation</t>
  </si>
  <si>
    <t>exerciseyourfaith</t>
  </si>
  <si>
    <t>thursdaymotivation</t>
  </si>
  <si>
    <t>1598527642326337438_1973569773</t>
  </si>
  <si>
    <t>4.5 hilly miles today. A little more each day! #10ktraining #jogging #running #thisgirlcan #exercise #kew10k #endorphines #healthylifestyle #practicemakesprogress #practicewhatyoupost #slowrunner #keepongoing #runningdoctor #runningmedic #runningevent</t>
  </si>
  <si>
    <t>practicemakesprogress</t>
  </si>
  <si>
    <t>runningdoctor</t>
  </si>
  <si>
    <t>ft_magazin</t>
  </si>
  <si>
    <t>1598532100200385271_4474445067</t>
  </si>
  <si>
    <t>"Konzentration ist zielgerichtete Motivation." - Andreas Tenzer. 💪 #keepongoing #neverdone #trainmorefearless</t>
  </si>
  <si>
    <t>trainmorefearless</t>
  </si>
  <si>
    <t>neverdone</t>
  </si>
  <si>
    <t>1598533789951391256_4148799815</t>
  </si>
  <si>
    <t>Another way of putting this, is to "peel the apple that you have in your hand". Deal with today. Then do the same again tomorrow, and so on and so forth. 
#loreleismusings</t>
  </si>
  <si>
    <t>todayisyours</t>
  </si>
  <si>
    <t>foolsjourney</t>
  </si>
  <si>
    <t>1598549654513304113_3939963205</t>
  </si>
  <si>
    <t>What are you working on for your future self? Little things can add up to making the future better. Quit smoking, start putting money aside, use sunblock!</t>
  </si>
  <si>
    <t>1598550677242512439_4249248273</t>
  </si>
  <si>
    <t>What a journey, what a year, what a life. Here is what my climbing journey so far. Born with one arm, competitive swimming at 5, competitive martial arts as a teenager before Ehler Danlos Syndrome took me out of the game and then cancer. I never thought or even wanted to compete again but I had heard about the paraclimbing series and on a whim, decided to try training. Learning to work with my body has, frankly? Been a nightmare. However, without a doubt, it's been incredible and I wouldn't have it any other way. From learning to manage my post cancer symptoms, EDS symptoms, now POTS and stuff which we don't even have a name for. I never thought I would ever learn to appreciate and thank my body. I never thought I would be able to get healthy enough to handle a competitive sport. 2 days to go. Here's  a visual capture of my journey to date. Thanks @sunnylux @beach.buggy @skyhookadventure @lauraelysia @s.m.tenn @jessielphoto for the shots. @thecastleclimbingcentre @vauxwallclimbing @eica_ratho @manchester_climbing_centre @thisgirlcanclimbing @thisgirlcanuk @ehlersdanlosuk @shinecancersupport @smashitforshine @spofldn #amputee #muslim #hijab #ehlersdanlossyndrome #potssyndrome #cancersurvivor #training #competition #paraclimber #paraclimbing #throwbackthursday #thursdaythoughts #believeinyourself #keepongoing #determination #climber #climbing #climbing_is_my_passion #climbing_pictures_of_instagram @teambmc #dontgiveup #journey #justdoit #goals #grateful @awaawardsuk #thisgirlcan #thisgirlcanclimb #icandothis #lookingback #bringiton @londonladiesclimb @womenclimb</t>
  </si>
  <si>
    <t>potssyndrome</t>
  </si>
  <si>
    <t>1598550913014771726_1364516995</t>
  </si>
  <si>
    <t>Do what is right, not what is easy nor what is popular 👀
#inked #undiz #keepongoing #calvinklein #ck #boobs #dreamon #history #supergirl #longhair #lifestyle #freelancephotographer #fitspo #fitgirl #model #naturel #fashion  #fitnessmodel #carchicks #insta #instapic #instamood #instafamous #photooftheday#followme #snapchat #supergirl #qotd #fashionblogger</t>
  </si>
  <si>
    <t>1598555165652642875_429036895</t>
  </si>
  <si>
    <t>Dare to be you, follow your dreams, work on you goals. Be patient, stay focussed and don't let others demotivate you. Share motivation and support others!! ❤
Repost @boss.babe.digital 
#supporting #motivation #daretoshare #bodylove #selflove #foodlover  #fitnessjourney #progress #fitness #fitdutchie #weightlifting #girlwholifts #fitfam #fitnessaddict #curves #weightgaining #bodyandmind #gymlife #recovering #bootygrow #dedication #hardwork #keepongoing #strenght #grow #girlonamission #effort #girlpower  #healthylifestyle</t>
  </si>
  <si>
    <t>1598557889877587383_52407692</t>
  </si>
  <si>
    <t>CSA done!! Congratulations to Astred🙆🙆🙆 超西利丫你!! 終於唔洗再扮林鄭啦我😂 企到腳軟 仲要今日M come. 😂😂🙈🙈 不過最辛苦都係記者朋友們.💪💪💪
之後就係MA啦 加油丫@suenwingting 💪👐 #點解聽日唔係星期六架
#好累丫
#fighting
#goodpeople</t>
  </si>
  <si>
    <t>event</t>
  </si>
  <si>
    <t>goodcolleagues</t>
  </si>
  <si>
    <t>eventmanagment</t>
  </si>
  <si>
    <t>1598565592179629761_4773778225</t>
  </si>
  <si>
    <t>thfitnesspt</t>
  </si>
  <si>
    <t>1598566939198190390_357019215</t>
  </si>
  <si>
    <t>#throwbackthursday to meeting a guy I look up to @shaunstafford over 3 years ago.
There are many people I look up to but this guy was my first because of how successful he has been.
One day I will have a physique to compare to him
#shaunstafford #bodybuildingidol #onedayIwilllooklikehim #keepshowingup #tbt #gymmotivation #keepongoing #belikeTomHill #believeinyourself #backtothegrind</t>
  </si>
  <si>
    <t>bodybuildingidol</t>
  </si>
  <si>
    <t>keepshowingup</t>
  </si>
  <si>
    <t>joanna2588</t>
  </si>
  <si>
    <t>1598569758507354291_519477567</t>
  </si>
  <si>
    <t>Love this quote #change #positivity #strength #keepongoing</t>
  </si>
  <si>
    <t>eventteam_dt</t>
  </si>
  <si>
    <t>1598572912422585768_6003808846</t>
  </si>
  <si>
    <t>En we zijn weer  bezig!! What would this become.... #eventteam #gemotiveerd #Dt #keepOnGoing</t>
  </si>
  <si>
    <t>eventteam</t>
  </si>
  <si>
    <t>dt</t>
  </si>
  <si>
    <t>gemotiveerd</t>
  </si>
  <si>
    <t>scarletdrgon</t>
  </si>
  <si>
    <t>1598573391647238515_3273694316</t>
  </si>
  <si>
    <t>Hey guys! Sorry I have been so quiet I was off the grid for a while. Got the new note 8 so it helps me keep up with all my #fans by old phone was on it's last legs. Went #camping for a bit and it was a blast but I am back now and hopefully will be posting new videos soon! #scarletdrgon #youtube #mentalhealth #mentalillness #keepongoing</t>
  </si>
  <si>
    <t>fans</t>
  </si>
  <si>
    <t>johnnykobra001</t>
  </si>
  <si>
    <t>1598577876844132568_5637149166</t>
  </si>
  <si>
    <t>#hellopázmány #backtoschool #keepongoing</t>
  </si>
  <si>
    <t>hellopázmány</t>
  </si>
  <si>
    <t>chemkitten101</t>
  </si>
  <si>
    <t>1598587492636955224_5676538839</t>
  </si>
  <si>
    <t>Keep on going no matter what life throws at ya. # inspirationalquote #Pomeranian  #Puppy  #KeepOnGoing</t>
  </si>
  <si>
    <t>pomeranian</t>
  </si>
  <si>
    <t>insparatinalquote</t>
  </si>
  <si>
    <t>karacoxinteriors</t>
  </si>
  <si>
    <t>1598591465028973641_12416310</t>
  </si>
  <si>
    <t>Big dreams take a long time to become reality. All too often we want to see progress with the swipe of a finger or click of a button. But it takes real work, sacrifice and a lot of coffee for dreams to materialize. Keep pace for a marathon, not a sprint. Repost @ginghamcreative #workhard #playhard #creative #dreams #inspiration #quoteoftheday #keepongoing #dreambig #entrepreneur #reality #ineedmorecoffee</t>
  </si>
  <si>
    <t>Kara Cox Interiors</t>
  </si>
  <si>
    <t>ineedmorecoffee</t>
  </si>
  <si>
    <t>1598595365530969408_5944730818</t>
  </si>
  <si>
    <t>This is my opinion , what do you guys think ? 😄
#inspirationalquotes #inspiration #motivationalquotes #motivation #opinions #quotes #love #family #friendship #loveyourself #beyourself #chaseyourdreams #liveyourdream #dontgiveup #keepongoing #youcandoit #worldpeace</t>
  </si>
  <si>
    <t>opinions</t>
  </si>
  <si>
    <t>1598595922283950392_4463656651</t>
  </si>
  <si>
    <t>Angelina #Lodmare</t>
  </si>
  <si>
    <t>1598597197048604430_213008358</t>
  </si>
  <si>
    <t>No matter the size of the window, let your perspective flexible to broaden work-of-frames :) #stayfocused #beflexible #broadperspective #seebeyond #lookbeyond #searchbeyond #becurious #curiosity #befree #feelfree #freedom #criticalthinking #observe #learn #absorb #giveback #begenerous #moveon #stayonthemove #keepongoing #nevergiveup #dream #dreambig #makeyourdreamscometrue #helpothers #helpotherswin #share #engage #empower</t>
  </si>
  <si>
    <t>Planet Earth</t>
  </si>
  <si>
    <t>absorb</t>
  </si>
  <si>
    <t>begenerous</t>
  </si>
  <si>
    <t>observe</t>
  </si>
  <si>
    <t>1598597387135589791_4230484970</t>
  </si>
  <si>
    <t>@biancakmiec ❤😻
@lee_lhgfx 📸</t>
  </si>
  <si>
    <t>theproductiveclub</t>
  </si>
  <si>
    <t>1598599308554774421_5930497057</t>
  </si>
  <si>
    <t>Double tap to show the love...
Tell us in comments what you think.</t>
  </si>
  <si>
    <t>invest</t>
  </si>
  <si>
    <t>enterpreneur</t>
  </si>
  <si>
    <t>1598602551222000134_4836223618</t>
  </si>
  <si>
    <t>Breakfast time 🐟</t>
  </si>
  <si>
    <t>Lake Ontario @ Vineland</t>
  </si>
  <si>
    <t>soundsofsummer</t>
  </si>
  <si>
    <t>checkthisout</t>
  </si>
  <si>
    <t>odinsdatter</t>
  </si>
  <si>
    <t>1598603004441725639_426838988</t>
  </si>
  <si>
    <t>#NonbinaryGender #DontGetFlippedAround #KeepOnGoing #KeepOnFighting #NatureIsAmazing #HumansAreAMinority</t>
  </si>
  <si>
    <t>humansareaminority</t>
  </si>
  <si>
    <t>nonbinarygender</t>
  </si>
  <si>
    <t>dontgetflippedaround</t>
  </si>
  <si>
    <t>1598603141016113729_5930497057</t>
  </si>
  <si>
    <t>leonejessie</t>
  </si>
  <si>
    <t>1598603424038815765_1492892486</t>
  </si>
  <si>
    <t>Fatiguéééé comme jamais 🙈
@nike | @asics | @reebok
#keepongoing #sport #running #nike #reebok #asics #thursday #motivation #bordeaux</t>
  </si>
  <si>
    <t>Bordeaux, France</t>
  </si>
  <si>
    <t>botasdeviajante</t>
  </si>
  <si>
    <t>1598603884045287831_5676448602</t>
  </si>
  <si>
    <t>@Regrann from @travelling_tumor -  On the Camino
Every corner opens the view to a new horizon .
. 
#camino #onthecamino #encamino #caminodesantiago #stjamesway #jakobsweg #galicia #pilgrim with #breastcancer #metastaticcancer under #chemotherapy #keepongoing #neverquit #lifeisbeautiful #keeponmoving #trustyourself #newhorizons - #regrann</t>
  </si>
  <si>
    <t>thefashionpreacher</t>
  </si>
  <si>
    <t>1598607070222621986_9727272</t>
  </si>
  <si>
    <t>NEW STATUS: Schoolmom🎒👩‍👧‍👧..Men i'm already tired🙈 🏃🏾‍♀️💨... and this is only week 1 of Pre-school🤣 #schoolmom #mommylife #tired #keepongoing #thefashionpreacher #tbt</t>
  </si>
  <si>
    <t>schoolmom</t>
  </si>
  <si>
    <t>1598610207578241364_396521549</t>
  </si>
  <si>
    <t>Follow @conqueringwanderlust for Epic Travel Shots!
Ocean sun rising 🌅 🌊 Photo by @warrenkeelan
.
.
.
.
.
.
.
.
#way2ill #keepongoing #goodkarma #sunset #vacancy #travelrussia #livethelife #yogaofcolor #natgeotravelphoto #yogafitness #visualsoflife #paradisedynasty #spiritualgangster #familyaffair #oceanbreeze #laptoplifestyle #ilovetraveling #thinkoutsidethebox #familyset #likers #instavsco #crystalclearwater #travelinsta #instatravels #photooftheday</t>
  </si>
  <si>
    <t>emma_p_life</t>
  </si>
  <si>
    <t>1598611481631647780_5869709075</t>
  </si>
  <si>
    <t>Life's a climb 😑 #life #keepongoing #youcanmakeit #photography #theme #travelblogger #travellersheart #lifestyleblogger #travelgram #tangier #morocco #kindledspirits</t>
  </si>
  <si>
    <t>tangier</t>
  </si>
  <si>
    <t>1598611760745659192_5705167414</t>
  </si>
  <si>
    <t>1598613120832693017_5705167414</t>
  </si>
  <si>
    <t>Sorry for the late post, school was killing me as usual and i had another basketball practice, but I'll probably do an edit 👌  #Dubnation
-
-
-
-
-
-
-
-
-
-
-
-
-
-
-
-
-
-
-
-
-
-
-
-
-
-
-
-
-
-
-
-
-
-
-
-
-
-
-
-
 #StephGonnaSteph #Mvp #SC30 #KT11 #DG23 #CURRYMVP #KEEPONGOING #NEVERGIVEUP #WCF #WEST #WESTERNCONFERENCEFINALS #CHAMPS #DUBSFORCHAMPS #DUBS #ALWAYSBELIEVEINGOD #STEPHENCURRY #EVEN #NBA #2016CHAMPS #CHAMPIONS #LOCKIN #STEPH #SPLASH #SPLASHBROS  #like4like #like4follow #follow4follow</t>
  </si>
  <si>
    <t>1598615927762831915_5455677963</t>
  </si>
  <si>
    <t>#success #goalplanning #personaldevelopment #motivation #goalsetting #careercoaching #purposedriven #successcoach #lidercoach #focus #dontworry #motivacional #next #progress #progressive #keepgoing👉 #keepgoing #persevere #strong #alldayworking #life #process #daybyday #ambition #noexcuse #keepongoing #keepon #dontstop #dontstopnow #dontlookback</t>
  </si>
  <si>
    <t>goalplanning</t>
  </si>
  <si>
    <t>1598619867530068519_3623309738</t>
  </si>
  <si>
    <t>Fjord hangs in Norway.
Photo by @lennart
.
.
.
.
.
.
.
.
#travelcouple #instavsco #instatravelhub #awesome_naturepix #oceanvibes #vacaville #paradiseonearth #keepongoing #anewbreedoftraveller #waycoolshots #epictravels #travelingman #travelbook #airtravel #dontbelievemejustwatch #adventurepic #lifeisanadventure #inspiredaily #keepworking #animals #energyflow #ilovetraveling #lifeisfun #life4life #worldtravelbook</t>
  </si>
  <si>
    <t>happymar70</t>
  </si>
  <si>
    <t>1598623851431730953_361929281</t>
  </si>
  <si>
    <t>Fighting against fatigue is a non winning game. Giving in is the best way. But when you have to stay on track to live a worthy full social life. It's sometimes to hard to cope with. But I always manage it to get the best out of my day's #chronicfatigue #epsteinbarr #neglected #mybody #strongwoman #powergirl #keepongoing</t>
  </si>
  <si>
    <t>mybody</t>
  </si>
  <si>
    <t>epsteinbarr</t>
  </si>
  <si>
    <t>chronicfatigue</t>
  </si>
  <si>
    <t>powergirl</t>
  </si>
  <si>
    <t>alyabrooch</t>
  </si>
  <si>
    <t>1598626543091949456_178925386</t>
  </si>
  <si>
    <t>Мой морской ребенок! 💙#инстадети#instakids#summer#summertime#keepongoing</t>
  </si>
  <si>
    <t>Aktau, Mangghystaū, Kazakhstan</t>
  </si>
  <si>
    <t>instakids</t>
  </si>
  <si>
    <t>инстадети</t>
  </si>
  <si>
    <t>1598628744455932252_4991812217</t>
  </si>
  <si>
    <t>Prove yourself valuable and no one will care if you broke a few rules!
#inspirationalquotes #motivationalquotes #motivation #boss #entrepreneur #keepongoing #inspire #positivethinking #focus #positivity #share #success #believe #successquotes #hardwork #unstoppable</t>
  </si>
  <si>
    <t>sassy.niki</t>
  </si>
  <si>
    <t>1598629862489356794_12624124</t>
  </si>
  <si>
    <t>How are you F I V E already??! Do you know that in your five precious years on this earth you have taught me more than the past twenty-eight? Do you know that before you, I was a shadow of my true self, unsure about who I was and where I was meant to be?
You have shaped me.
Your soul and my soul, we are intertwined, constantly growing and learning and falling and rising, together.
You are an infinite gift. To me. And to this world.  Happy birthday babe💚  #denial#birthdayboy #toddlermom #myheart#myfirstborn #imnotready #thisis5#bittersweet #keepongoing #slowdown #slowtime #メイソン#誕生日#ハーフ</t>
  </si>
  <si>
    <t>birthdayboy</t>
  </si>
  <si>
    <t>slowtime</t>
  </si>
  <si>
    <t>myfirstborn</t>
  </si>
  <si>
    <t>myheart</t>
  </si>
  <si>
    <t>誕生日</t>
  </si>
  <si>
    <t>thomaselshof</t>
  </si>
  <si>
    <t>1598631431075473449_283128747</t>
  </si>
  <si>
    <t>Komt u maar! Tips hoor ik graag #bandontherun #keepongoing #hiring</t>
  </si>
  <si>
    <t>hiring</t>
  </si>
  <si>
    <t>bandontherun</t>
  </si>
  <si>
    <t>1598631775712962064_631587324</t>
  </si>
  <si>
    <t>Work in studio 2day for @tidningentara @ullpo @kostradgivareulrikadavidsson  #styling #foodstyling #lågkolhydrat #lågkolhydratskost #lowcarbdiet #lowcarb #lowcarbfood #instafood #instainspo #instahealth #healthyfood #healthylifestyle #foodstyling #foodporn #livinghealthy #hälsa #måbra #nukörvi #happybody #keepit💯 #keepitup #keepongoing #kickstart #ulrikaskickstart #kostrådgivareulrikadavidsson #onlinecoach #follow4follow #mellanmål #gröt #oatmeal #matlåda</t>
  </si>
  <si>
    <t>matlåda</t>
  </si>
  <si>
    <t>lågkolhydrat</t>
  </si>
  <si>
    <t>1598633205744240509_2190333578</t>
  </si>
  <si>
    <t>Today is Run Day! 
Heute ist Run Day, geplant sind wieder 10km....
Nun wieder diese Fragen, bleibt es trocken? Wird es kalt? Reicht kurz? Wann soll ich starten...
🙄🙄🙄🙄🙄🙄
Ich denke kurze Lauf Hose, längeres Oberteil....und starten... Wenn mein Garmin aufgeladen ist!
#vorfreude #fun #vorsichtig #nochnichtvollbelastbar  #headache #runningman #Motivation #runnershigh #running #instapic #instarunners #sport #fitness #nopainnogain #Disziplin #asics #runner #runday #abnehmen #kalorien #Läufer #runnerspic #epic #keepongoing #Kopfsache</t>
  </si>
  <si>
    <t>vkg_zoe</t>
  </si>
  <si>
    <t>1598633583391478967_32091591</t>
  </si>
  <si>
    <t>Getting to the heart of the matter... #behindthewaterfall</t>
  </si>
  <si>
    <t>Lehigh Gorge Glen Onoko Access</t>
  </si>
  <si>
    <t>glenonoko</t>
  </si>
  <si>
    <t>tinishacon</t>
  </si>
  <si>
    <t>1598637009065198144_371591282</t>
  </si>
  <si>
    <t>Stop now or later? #keeponthinking #keeponcounting #keeponhoping #keeponpraying #keepontrying #keepongoing #keeponmissing #keeponloving #keepondoing #juststopit #itsover #timesup #theend #missingbluemountain</t>
  </si>
  <si>
    <t>Katoomba, New South Wales</t>
  </si>
  <si>
    <t>keeponcounting</t>
  </si>
  <si>
    <t>timesup</t>
  </si>
  <si>
    <t>juststopit</t>
  </si>
  <si>
    <t>keeponhoping</t>
  </si>
  <si>
    <t>1598638379065566346_400817320</t>
  </si>
  <si>
    <t>每一次的尝试，都是一个突破，小小进步，经验一点一点的累积! 谢谢一直给予机会🙏 #4th #emcee #partner #committee #stepout #onstage #keepongoing #encouragement #opp #globalbusiness #Elken</t>
  </si>
  <si>
    <t>onstage</t>
  </si>
  <si>
    <t>stepout</t>
  </si>
  <si>
    <t>opp</t>
  </si>
  <si>
    <t>globalbusiness</t>
  </si>
  <si>
    <t>wendy_vitzthum</t>
  </si>
  <si>
    <t>1598651029480652769_1316317097</t>
  </si>
  <si>
    <t>Difficult roads often lead to beautiful destinations - Unknown
•
•
Well if that is the case then I must be headed to Utopia! 😂 But all jokes aside this is one of my all-time favorite quotes. Life is hard and sometimes downright sucky. However, it's how we decide to continue forward that matters most! There is always a lesson to be learned along the way. ☺️
_
_
_
_
_
_
_
#inspirationalquotes #instagood #onefootinfrontoftheother #coffeelover #justbreathe #keepongoing #autoimmunewarrior</t>
  </si>
  <si>
    <t>autoimmunewarrior</t>
  </si>
  <si>
    <t>linda_leeuw84</t>
  </si>
  <si>
    <t>1598659880519825628_3946302912</t>
  </si>
  <si>
    <t>Walking in the woods 😇 And look what I found 😜✨✨#abundance #manifestation #keepongoing 🌌</t>
  </si>
  <si>
    <t>belovedpinky</t>
  </si>
  <si>
    <t>1598670312643739708_2433573</t>
  </si>
  <si>
    <t>The only time you should look back is to see how far you've come. 💫
.
.
#keepongoing 🚶🏻‍♀️
#gloriousday 🌄 
#lettherebelight 💡
📸 : @hanabimi 👧🏻</t>
  </si>
  <si>
    <t>Arab Street</t>
  </si>
  <si>
    <t>gloriousday</t>
  </si>
  <si>
    <t>c_i_n_d_y_w_a_n_g_</t>
  </si>
  <si>
    <t>1598671181215545258_531151950</t>
  </si>
  <si>
    <t>Learning something new is always a challenge for me :) #new #somethingnew #photo #learn #learning #keepongoing #hashtag #chinese #language</t>
  </si>
  <si>
    <t>somethingnew</t>
  </si>
  <si>
    <t>chinese</t>
  </si>
  <si>
    <t>1598677507066116071_1635406027</t>
  </si>
  <si>
    <t>Training from the best #everlasting #brows #life #livelife #lifestyle #joyful #happy #keeponsmiling #keepongoing #beautiful #redcarpet #microbladingeyebrows</t>
  </si>
  <si>
    <t>1598690151448639237_5705167414</t>
  </si>
  <si>
    <t>Made another edit!!! Tbh I don't think this one's as good as the previous one but it's still pretty dope, so I'm pretty satisfied, also please comment what you guys think I need to improve, because I want to create content that people like 🔥🔥🔥 #Dubnation
-
-
-
-
-
-
-
-
-
-
-
-
-
-
-
-
-
-
-
-
-
-
-
-
-
-
-
-
-
-
-
-
-
-
-
-
-
-
-
-
 #StephGonnaSteph #Mvp #SC30 #KT11 #DG23 #CURRYMVP #KEEPONGOING #NEVERGIVEUP #WCF #WEST #WESTERNCONFERENCEFINALS #CHAMPS #DUBSFORCHAMPS #DUBS #ALWAYSBELIEVEINGOD #STEPHENCURRY #EVEN #NBA #2016CHAMPS #CHAMPIONS #LOCKIN #STEPH #SPLASH #SPLASHBROS  #like4like #like4follow #follow4follow</t>
  </si>
  <si>
    <t>ginoverberkt</t>
  </si>
  <si>
    <t>1598694957365930154_1310672952</t>
  </si>
  <si>
    <t>#work #army #neverquit #keepongoing #2000m #austria #germany #eaglesnest 🇦🇹🇩🇪</t>
  </si>
  <si>
    <t>Hitler's Eagles Nest</t>
  </si>
  <si>
    <t>eaglesnest</t>
  </si>
  <si>
    <t>iamapoorvsrivastava</t>
  </si>
  <si>
    <t>1598701957567977746_3035233711</t>
  </si>
  <si>
    <t>A lot of clicks, none of which seems perfect, but again, nothing is...#model #clicks #chandigarh #modelling #posing #smile #behappy #notperfect #like4like #likesforlikes #keepongoing</t>
  </si>
  <si>
    <t>IT Park</t>
  </si>
  <si>
    <t>posing</t>
  </si>
  <si>
    <t>notperfect</t>
  </si>
  <si>
    <t>chandigarh</t>
  </si>
  <si>
    <t>1598704620799063400_4249248273</t>
  </si>
  <si>
    <t>#throwbackthursday to my favourite route during the competition last year in Round 1 of the paraclimbing series. It was exhausting, I was exhausting, apparently it was a 7a? But I had never even tried a 6. Having also had my first EDS ankle sprain not 5 days before, this route was challenging. Can't wait to see what they give us this time. @teambmc @thisgirlcanclimbing @eica_ratho #thisgirlcan #thisgirlcanclimb #paraclimber #paraclimbing #climber #climbing #climbing_is_my_passion #cancersurvivor #ehlersdanlossyndrome #potssyndrome #chronicillness #training #tryhard #competition #amputee #believeinyourself #footwork #focus #exhausted #muslim #hijab #dontgiveup #determination #goals #grit #icandothis #precision #keepongoing #keeptrying</t>
  </si>
  <si>
    <t>precision</t>
  </si>
  <si>
    <t>rabital</t>
  </si>
  <si>
    <t>1598704824173429843_19467294</t>
  </si>
  <si>
    <t>Anywhere you go in the world, you can always count on #nespresso for the taste you know ☕️
.
.
.
#ayol #japantravel #tokyostyle #coffeeadict #gaycouple #travelasia #keepongoing #nonstoptravel</t>
  </si>
  <si>
    <t>Tokyo, Japan</t>
  </si>
  <si>
    <t>coffeeadict</t>
  </si>
  <si>
    <t>ayol</t>
  </si>
  <si>
    <t>tokyostyle</t>
  </si>
  <si>
    <t>nespresso</t>
  </si>
  <si>
    <t>gaycouple</t>
  </si>
  <si>
    <t>kelsie_chandler_</t>
  </si>
  <si>
    <t>1598712578241015023_239375003</t>
  </si>
  <si>
    <t>Picked up my suit today!!!!!!!!!!!!!!! So #happy right now... 16 days out, haven't cut carbs or salt or sugar or really anything yet. I'm excited to see what happens in the next 2 weeks. Not sucking in or flexing here either... had a full cup of hot tea this morning, some water, and a protein shake so I'm definitely not dehydrated. Can't wait to put everything together... 👙💙👱🏼‍♀️🏆 #fitness #bikini #keepongoing #waterbabies</t>
  </si>
  <si>
    <t>waterbabies</t>
  </si>
  <si>
    <t>sophia_thaeter</t>
  </si>
  <si>
    <t>1598715194505682481_3568336465</t>
  </si>
  <si>
    <t>TBT three years ago, I tried to climb this rock, boy it wasn't easy! I was having fun with the family at the #wowfactory. It looked so easy when you see y our kids climbing and as a parent, you keep on shouting, #dontgiveup #dontstop, but when It's your turn to climb, you realized that even adult can't go all the way up lol...
#keepongoing #keeppushing till you reach to the top. The moral to this is that to #nevergiveup #attackyourgoals
#fightforwhatyouwant #fightforyou
#fightforfit. As for #hurricane #irma, Go as far away from us. We don't want you here! 🤤🙁😞😟 Stay safe, and please pray for us #floridian and all the other states that might be getting #hurriane #irma too.
#asianbikini #npcbikinicompetitors #girlwithtatoo #girlswithmuscles #lovebodybuilding</t>
  </si>
  <si>
    <t>npcbikinicompetitors</t>
  </si>
  <si>
    <t>girlswithmuscles</t>
  </si>
  <si>
    <t>lovebodybuilding</t>
  </si>
  <si>
    <t>girlwithtatoo</t>
  </si>
  <si>
    <t>fightforyou</t>
  </si>
  <si>
    <t>karlokatigbak</t>
  </si>
  <si>
    <t>1598716163322797991_4847495093</t>
  </si>
  <si>
    <t>#keepongoing #doit #tiwalalang</t>
  </si>
  <si>
    <t>Valenzuela City</t>
  </si>
  <si>
    <t>tiwalalang</t>
  </si>
  <si>
    <t>jai_dance26</t>
  </si>
  <si>
    <t>1598716328762557344_4712121062</t>
  </si>
  <si>
    <t>Be everything you are is the way to live. Do not allow people to control your life. Let nature take it's course. #bdifferent #keepongoing #justbeyou #lifestyle</t>
  </si>
  <si>
    <t>bdifferent</t>
  </si>
  <si>
    <t>bearx2</t>
  </si>
  <si>
    <t>1598717289719582496_1119614</t>
  </si>
  <si>
    <t>Tonight's workout felt like torture💀, so sore from every part of my body. It's a love/hate kinda feel🙃 
#暴飲暴食左一段日子
#已經感覺到有危機感
#長時間都係六神合一
##################
#workoutmotivation #fitness #healthynotskinny #motivationalquotes #motivation #motivateyourself #bodybuilding #feelsogood #fitnesslifestyle #fitnessjourney #sundaymorning #exercises #picoftheday #sweatsession #keepongoing #strongnotskinny #neversaynever</t>
  </si>
  <si>
    <t>已經感覺到有危機感</t>
  </si>
  <si>
    <t>healthynotskinny</t>
  </si>
  <si>
    <t>exercises</t>
  </si>
  <si>
    <t>bici_boys</t>
  </si>
  <si>
    <t>1598721127792948620_256335692</t>
  </si>
  <si>
    <t>⛰
•
•
#alpiapuane #gooutandride #wahoo #tuscanyhills #sweatbabysweat #italianstyle
#cyclinglife #cyclinglove #keepongoing</t>
  </si>
  <si>
    <t>Campocecina</t>
  </si>
  <si>
    <t>alpiapuane</t>
  </si>
  <si>
    <t>wahoo</t>
  </si>
  <si>
    <t>gooutandride</t>
  </si>
  <si>
    <t>staciemejia</t>
  </si>
  <si>
    <t>1598721729307825146_53857588</t>
  </si>
  <si>
    <t>Thank you so much to all of my friends and family for all the love and support ❤️ Like I said I will be continuing my journey of Stacie Mejia 🤗 remember to always follow your dreams and if you fail one day get up the next and try it again!! Full video on my FB @staciemejia When one door closes 2 more open 🙏🏼 #inspire #plussizefashion #thesecurves #faceoftorrid2018 #followyourdreams #keepongoing #blessed #love #happiness #friends #family #first #whenonedoorcloses #anotheropens #keys #thickness #fierce #bold #thankyou #plussize #cantstopwontstop #myheartishappy #thisgirlisonfire</t>
  </si>
  <si>
    <t>keys</t>
  </si>
  <si>
    <t>thisgirlisonfire</t>
  </si>
  <si>
    <t>anotheropens</t>
  </si>
  <si>
    <t>1598727519257796920_11838829</t>
  </si>
  <si>
    <t>Tbt ...#vector#illustrator#diadelosmuertos #skull#dayofthedead #tattoo #lowrider#lowriders #pinstriping #kandypaint #art#illustration#tbt #keepongoing #westcoast #california #sanjose #sanjoseartist #alfarodesign #freddyalfaro</t>
  </si>
  <si>
    <t>alfarodesign</t>
  </si>
  <si>
    <t>lowrider</t>
  </si>
  <si>
    <t>kandypaint</t>
  </si>
  <si>
    <t>deepsgopro</t>
  </si>
  <si>
    <t>1598730645457881624_179242911</t>
  </si>
  <si>
    <t>Don't quit, Endure now and live the rest of your life as a CHAMPION! My milestone ride! 200k riding time 7 hrs 34 mins 59 secs avg. speed 26.4 km/h max speed 54.7 km/h #mylongestride #endurancetest #endurancegoals #fitnessgoals #200kride #kmpexpresssway #cyclinglife #cyclingdiaries #stravacycling #groupmotivation  #gopro #goprohero5 #goprophotography #gopro_epic #goprolife #goprolove #birdseyeview #goprowideangle #earlymornings #goodhabitsformyou #goprocycling #cyclingshots #goproeverything #awesomeness #fitnessgoals #pushyourlimits #youareonlyyourlimit #groupmotivation #personalgoals #cyclinglife #cyclingdiaries #felt #teamdelhicyclists #endurancetest #keepongoing</t>
  </si>
  <si>
    <t>goprohero5</t>
  </si>
  <si>
    <t>cyclingdiaries</t>
  </si>
  <si>
    <t>goodhabitsformyou</t>
  </si>
  <si>
    <t>teamdelhicyclists</t>
  </si>
  <si>
    <t>1598732706649029807_3168477195</t>
  </si>
  <si>
    <t>¡Empezamos con las pilas cargadas y muchas ganas! Dos dias en Puigcerdà generando ideas y preparándonos para nuevos retos #neverafraidtofail</t>
  </si>
  <si>
    <t>Campus Cerdanya</t>
  </si>
  <si>
    <t>openinnovation</t>
  </si>
  <si>
    <t>innovacion</t>
  </si>
  <si>
    <t>1598738837394226900_5717527571</t>
  </si>
  <si>
    <t>#keepongoing #dolomiti #montepuez #rifugiopuez #caibolzano #lake #klippen #dolomiaprincipale #triassico #onlyrock
Thrusts and other rocky lovestories.</t>
  </si>
  <si>
    <t>Puez-Geisler Nature Park</t>
  </si>
  <si>
    <t>montepuez</t>
  </si>
  <si>
    <t>dolomiaprincipale</t>
  </si>
  <si>
    <t>rifugiopuez</t>
  </si>
  <si>
    <t>klippen</t>
  </si>
  <si>
    <t>1598739254836905193_2190333578</t>
  </si>
  <si>
    <t>Return of the 12 !
Again the distance of 12km....
Great Run,  Great Track, Great Feeling....
🍀🍀🍀🍀🍀🍀🍀🍀 #headache #runningman #Motivation #runnershigh #running #instapic #instarunners #sport #fitness #nopainnogain #Disziplin #asics #runner #runday #abnehmen #kalorien #Läufer #runnerspic #epic #keepongoing #Kopfsache</t>
  </si>
  <si>
    <t>läufer</t>
  </si>
  <si>
    <t>1598740427111784732_5966045</t>
  </si>
  <si>
    <t>Lovely fence #diy #project #renovation #uk #bungalow #home #build #gotwood #fence #keepongoing #gettingthere #featheredge #wood #timber #cheap #nothard</t>
  </si>
  <si>
    <t>gotwood</t>
  </si>
  <si>
    <t>bungalow</t>
  </si>
  <si>
    <t>project</t>
  </si>
  <si>
    <t>charlotte.glk</t>
  </si>
  <si>
    <t>1598745504165850844_5529311659</t>
  </si>
  <si>
    <t>Sometimes you have to let life turn you upside down, so you can learn how to live, right side up. 💪🏼 #keepongoing #strong #fighter #hope #happiness #nothingwillstopme #explore #dream #discover</t>
  </si>
  <si>
    <t>Frankfurt Airport</t>
  </si>
  <si>
    <t>nothingwillstopme</t>
  </si>
  <si>
    <t>jw_janakay</t>
  </si>
  <si>
    <t>1598746749538948279_3492329957</t>
  </si>
  <si>
    <t>Faithful Footwear #elevenyearsstrong #keepongoing #cowgirlboots #downhome #countrylove #oldwestboots #redlove #kidsizedfeet #oldandperfect #nevergivethemup #cowgirlatheart #wearthem #oldfaithfuls #theantsgomarching #upthetree #seriouslytotheright #countrygirl</t>
  </si>
  <si>
    <t>countrylove</t>
  </si>
  <si>
    <t>downhome</t>
  </si>
  <si>
    <t>oldwestboots</t>
  </si>
  <si>
    <t>wearthem</t>
  </si>
  <si>
    <t>deekafura</t>
  </si>
  <si>
    <t>1598746951367632153_9930080</t>
  </si>
  <si>
    <t>It's ok to celebrate other people's success and happiness in life!! It's good for your soul!! You are your own competition, so no need to compare and count other people's blessings! No 2 people will have the same journey, don't compare yours to anyone else.  #behappyforothers #comparisonisthethiefofjoy🙌 #dontcompareyourself #yourjourneyyourway  #celebrateeveryonessuccess #yourock #keepongoing #yourlifeisnow #celebrateothers</t>
  </si>
  <si>
    <t>yourjourneyyourway</t>
  </si>
  <si>
    <t>yourlifeisnow</t>
  </si>
  <si>
    <t>dontcompareyourself</t>
  </si>
  <si>
    <t>celebrateeveryonessuccess</t>
  </si>
  <si>
    <t>yourock</t>
  </si>
  <si>
    <t>officialdsp</t>
  </si>
  <si>
    <t>1598747262627023690_1297787133</t>
  </si>
  <si>
    <t>No loud talk I'm just going on to keep working until my heart stops 🤙🏽 #eyeswideshut #hyperfocus #justkeepswimming</t>
  </si>
  <si>
    <t>hyperfocus</t>
  </si>
  <si>
    <t>1toughtushy</t>
  </si>
  <si>
    <t>1598748896494349000_3988547128</t>
  </si>
  <si>
    <t>Do it because your kids deserve a badass Momma to brag about 💕💗💞👑 #fitnation #fitchicks #fitgirls #fitspiration #bootyfordays #bootygains #dropitlikeasquat #empoweringwomen #inspire #girlswholift #girlswithmuscles #strongisthenewskinny #strongisbeautiful #adidas #victoriassecret #aspire #keepongoing #1toughtushy @adidaswomen @adidas @addidasshoes @victoriassecret</t>
  </si>
  <si>
    <t>Stratford, Connecticut</t>
  </si>
  <si>
    <t>muzzyc73</t>
  </si>
  <si>
    <t>1598753419261163814_1471772071</t>
  </si>
  <si>
    <t>#rumi #peace #keepongoing</t>
  </si>
  <si>
    <t>costadisaster</t>
  </si>
  <si>
    <t>rumi</t>
  </si>
  <si>
    <t>pakiprinicples</t>
  </si>
  <si>
    <t>1598755998305472068_1571021823</t>
  </si>
  <si>
    <t>Podbiegi. #upanddown #uptothetop #strongrunner #runnergirl #keepongoing #training #athlete #ja #biegaczka🏃‍♀️</t>
  </si>
  <si>
    <t>strongrunner</t>
  </si>
  <si>
    <t>ja</t>
  </si>
  <si>
    <t>upanddown</t>
  </si>
  <si>
    <t>laurallisonpo</t>
  </si>
  <si>
    <t>1598758365587963306_3419215</t>
  </si>
  <si>
    <t>My #throwbackthursday moment. 2015 was a good year for my body; pre-herniated disc, I had a lot of confidence (clearly) and held a lot of hope for my future. I still have hope but my confidence isn't what it used to be. Depression is a BITCH and there has been a lot of change in my life but I am in a better place with my career and have a ton of supportive people in my life. Looks fade, talent doesn't. Gotta keep on keeping on. #inspo4girls #bodypositive #keepongoing</t>
  </si>
  <si>
    <t>inspo4girls</t>
  </si>
  <si>
    <t>1598758406625646205_5930497057</t>
  </si>
  <si>
    <t>Double tap to show some love...
Comment what motivates you.</t>
  </si>
  <si>
    <t>luxuryliving</t>
  </si>
  <si>
    <t>changelives</t>
  </si>
  <si>
    <t>moneyflow</t>
  </si>
  <si>
    <t>1598760873656510466_5930497057</t>
  </si>
  <si>
    <t>1598761396518341049_5930497057</t>
  </si>
  <si>
    <t>juliadoulasd</t>
  </si>
  <si>
    <t>1598763997204858385_5754847570</t>
  </si>
  <si>
    <t>First time skipping the morning pump... it's probably gonna be a rough one, but the best things in life never come easy right? #keepongoing #yougotthismama #mamassupportingmamas #whiteroses #exclusivelypumping #momlife #almostfriday #thursdaymotivation #mommotivation</t>
  </si>
  <si>
    <t>whiteroses</t>
  </si>
  <si>
    <t>mamassupportingmamas</t>
  </si>
  <si>
    <t>almostfriday</t>
  </si>
  <si>
    <t>1598765313997069254_5735798037</t>
  </si>
  <si>
    <t>Be your own kind of beautiful 💞 model for the day thanks for coming 😘😘 #partymakeup #loveformakeup #passion #practicemakesperfect #workinghard #keepongoing #muchmoretogo #stilllearning #makeupbyme💄 #formore #amazing #work #followme💃</t>
  </si>
  <si>
    <t>formore</t>
  </si>
  <si>
    <t>makeupbyme💄</t>
  </si>
  <si>
    <t>fitcassafrass</t>
  </si>
  <si>
    <t>1598771601998290392_3008711436</t>
  </si>
  <si>
    <t>Today was the most difficult run I've done. Although it wasn't a long or fast run, I worked on powering though the hills and practicing safe running! Thankful for no shin splints! I also had amazing music to power me through just when I thought I wanted to quit. Shout out to #hamiltonbroadway for keeping me pumped! Had a nice view during this beautiful weather as well!Here's to future runs and a healthier me! #running #fitness #health #clearmind #stressrelief #keepongoing</t>
  </si>
  <si>
    <t>stressrelief</t>
  </si>
  <si>
    <t>greyharlowe</t>
  </si>
  <si>
    <t>1598773507655582510_4715223141</t>
  </si>
  <si>
    <t>📷: via Pinterest | note to self 🙍🏻</t>
  </si>
  <si>
    <t>thursdaywisdom</t>
  </si>
  <si>
    <t>that.mc</t>
  </si>
  <si>
    <t>1598786706642062716_2066243414</t>
  </si>
  <si>
    <t>Throw a pose like ‘Hold Up’ for all the kings and queens @wildkingdomfestival 👑</t>
  </si>
  <si>
    <t>host</t>
  </si>
  <si>
    <t>bestjob</t>
  </si>
  <si>
    <t>thatmc</t>
  </si>
  <si>
    <t>olgundrums</t>
  </si>
  <si>
    <t>1598792568904994476_259933278</t>
  </si>
  <si>
    <t>🐞
#drums #drumming #learning #drumsandlessons #grooving #justwanttoplay #nevergiveup #eacday #keepongoing #uniq #patience #truth</t>
  </si>
  <si>
    <t>drumming</t>
  </si>
  <si>
    <t>drumsandlessons</t>
  </si>
  <si>
    <t>hvatsker</t>
  </si>
  <si>
    <t>1598792713859741935_627366345</t>
  </si>
  <si>
    <t>Patience is the calm acceptance that things can happen in a different order than than the one you have in mind💕💕💕
#becalm#beopen#bepatience#allisgood💕#keepongoing#nothinglastforever</t>
  </si>
  <si>
    <t>allisgood💕</t>
  </si>
  <si>
    <t>beopen</t>
  </si>
  <si>
    <t>bepatience</t>
  </si>
  <si>
    <t>nothinglastforever</t>
  </si>
  <si>
    <t>aleexandraforslund</t>
  </si>
  <si>
    <t>1598803018686299760_1722100358</t>
  </si>
  <si>
    <t>Ibland känns det som att det 
börjar bli enklare, och ibland känns det som att det aldrig kmr bli det..
#keepsdancingalone .
.
.
.
.
.
. #flowers #pic #interior #memory #louder #inspo #design #fashion #focus #keepongoing</t>
  </si>
  <si>
    <t>keepsdancingalone</t>
  </si>
  <si>
    <t>_lexi_6462229</t>
  </si>
  <si>
    <t>1598803424829100326_3194448634</t>
  </si>
  <si>
    <t>"this too shall pass" only in the medical field lol 🌻 #keepongoing #thistooshallpass</t>
  </si>
  <si>
    <t>elanzabotha</t>
  </si>
  <si>
    <t>1598819323321538729_2859847255</t>
  </si>
  <si>
    <t>Mom and Me
#mam #funtimes #aerobics #fitofthefittest #healthy #80s #keepongoing</t>
  </si>
  <si>
    <t>fitofthefittest</t>
  </si>
  <si>
    <t>mam</t>
  </si>
  <si>
    <t>1598820370278773389_3154771617</t>
  </si>
  <si>
    <t>Wenn dir gesagt wird, dass man dir nicht auf die Brüste starrt weil du Brüste hast sondern weil du Brust hast - verstehst den Satz auch nur wenn er dir im Gym gesagt wird 😂 zumindest macht er in unserem Kopf wirklich Sinn. Und wer jetzt noch nicht völlig verwirrt ist und weiterliest ist entweder ein Genie oder hat etwas locker - es bleibt offen zu welcher Sorte der Kameramann @pumpingdolphin und ich gehören 😜 jedenfalls wünsche ich einen schönen Abend bzw eine gute Nacht
#austria #bb #gymwarrior #fitnessaddicted #carinthia #dontstop #gymjunky #fitnesslife #enjoylife #focus #gym #fitnessgirl #justdoit #nike #keepongoing #loveyourself #fitnessmotivation #gymlover #girlswholift #staymotivated #proudtobemcfit #staystrong #vienna #bodybuilding #workoutdone #fitnesslove</t>
  </si>
  <si>
    <t>_manuelmor</t>
  </si>
  <si>
    <t>1598820687510153298_4660342530</t>
  </si>
  <si>
    <t>#back#rücken#backworkout#fitness#fitnessmotivation#instagram#instagood#gym#gymtime#motivation#fitnessmotivation#instafit#fitspo#fitfam#fitx#hagen#iserlohn#inked#tattoo#esn#esnsupplementscom#keepongoing#betterandbetter#pull
Brust-/Rückenworkout am Donnerstagabend mit @orcodraggileedersiebte @xlena_91 ✌️💪</t>
  </si>
  <si>
    <t>hagen</t>
  </si>
  <si>
    <t>rücken</t>
  </si>
  <si>
    <t>pull</t>
  </si>
  <si>
    <t>imjusthereforthecookie</t>
  </si>
  <si>
    <t>1598823913878360559_271259235</t>
  </si>
  <si>
    <t>365 Days photo project: 
Day 250. . 
Light at the end of the tunnel. 
115 days to go "I CAN SEE THE LIGHT" to be honest some times I'm looking forward to this project ends, but on the other hand I'm also having a lot of fun doing this. Learning new stuff, and all that, but on a rainy days like this, my creativity, really goes down the drain. And I wish for this to end. But I just have to keep going "can't stop now" so see you again tomorrow and the next 115 days, and then I'm taking a break 😂
#365 #365project #365dayphotochallenge #denmark #photooftheday #viewoftheday #light #street #city #urban #aloneinthedark #streetview #streets #streetlight #keepongoing #justdoit #cantstopnow #lightpole #huawei #næstved #næver #næver4ever #naestved #4700 #mitnæstved #snapseed</t>
  </si>
  <si>
    <t>denmark</t>
  </si>
  <si>
    <t>365dayphotochallenge</t>
  </si>
  <si>
    <t>365project</t>
  </si>
  <si>
    <t>whysomom</t>
  </si>
  <si>
    <t>1598825457557752614_1465563338</t>
  </si>
  <si>
    <t>Feeling inspired 🌊
Gdy byłam małą-wielką dziewczynką, lat 8 poczułam silną potrzebę wybrania życiowego motta. W końcu trzeba było coś wpisywać w Złotych Myślach (pamięta ktoś?). Tak oto od lat towarzyszy mi: "
idź przez życie z dziarską minką i bądź zawsze zuch-dziewczynką!
"
Teraz gdy jestem już nieco większą panną, która mierzy się z dorosłością wybrałam sobie powyższy cytat.
Po polsku: ~jezeli chcesz latac zrezygnuj ze wszystkiego co ciągnie Cię w dół.
.
I tak skakałam niegdyś z łóżka wierząc że polecę. Czas uwierzyć w niemożliwe.
.
(Ja pikole jaka ja dziś motywejszyn mom jestem😂🙈).
.
Macie jakieś MOTTA?
___
#motivation
#motivationalquotes #motywacja #cytaty #cytatymotywacyjne #instamums #flyhigh #sky #heaven #dreams #dreamscometrue #dreaming #keepongoing #marzenia #niebo #mlodamama #instamatki #instaciocie #dobranoc #goodnight #nightynight #momsofig #couching #kołczing #motto #mottozyciowe</t>
  </si>
  <si>
    <t>kołczing</t>
  </si>
  <si>
    <t>marzenia</t>
  </si>
  <si>
    <t>mlodamama</t>
  </si>
  <si>
    <t>positivity_spreaders</t>
  </si>
  <si>
    <t>1598828148664000931_6006636347</t>
  </si>
  <si>
    <t>@x.Micah.xx You're such a great person to be around. You always manage to make someone happy when they aren't in the mood, plus you're stylish. There's never a dull moment with you. Keep spreading love and positivity. #keepongoing~A'Maia</t>
  </si>
  <si>
    <t>Fayetteville, North Carolina</t>
  </si>
  <si>
    <t>nennasuopanki</t>
  </si>
  <si>
    <t>1598829390924661651_208093599</t>
  </si>
  <si>
    <t>Dag 5 &amp; 6 av #yogaeverydamnday #yogagirlchallange fick bli ihopbakade här. Igår tog jag nämligen en sen Yinyogaklass vartefter jag var alldeles för trött för att posta något. Ville bara stanna kvar i mitt fluffiga yogamoln😇 Yinyoga är en lugn och passiv yogaform som min kropp (och knopp) svarar väldigt bra på. Gör det innan läggdags ibland och det är bästa sömnpillret verkligen😊 Så för er som sover dåligt, Google it up and DO IT- inget avancerat alls! 
Dagens dos blev ett stycke (sisådär 30min) hemmayoga/antigympa/självmassage + Bodybalance🙏
#yoga @yoga_girl #yogaroutine #yin #bodybalance #yogaismedicine #sleepingpills #keepongoing</t>
  </si>
  <si>
    <t>yogagirlchallange</t>
  </si>
  <si>
    <t>yogaismedicine</t>
  </si>
  <si>
    <t>journey_to_live29</t>
  </si>
  <si>
    <t>1598831190926873874_1709627044</t>
  </si>
  <si>
    <t>#truth 👌
Unfortunately it has been a life learning experience
At the end no experience is neither bad or good 
They're just life lessons 🙄
#quoteoftheday #noteveryone #life #keepongoing #positivity #mom #love #learn #silence #fitnessjourney #beneficial #experiences #lavida #davueltas #happy #nonegativity #allowed #fitness #fitnessmotivation #weightlossjourney #live #enjoylife</t>
  </si>
  <si>
    <t>maaikrophone</t>
  </si>
  <si>
    <t>1598833736425941749_1525217399</t>
  </si>
  <si>
    <t>My mom bought something online, gotta love cheap stuff. 
Keep on goning everyone! 😉 #keepongoning  #keepongoing #nenergireup! #funny #gevalletjehliversum #cofveve</t>
  </si>
  <si>
    <t>nenergireup</t>
  </si>
  <si>
    <t>gevalletjehliversum</t>
  </si>
  <si>
    <t>keepongoning</t>
  </si>
  <si>
    <t>patrycjawas</t>
  </si>
  <si>
    <t>1598833976557436439_1366584109</t>
  </si>
  <si>
    <t>🌲 #keepongoing #wildnature #tatramountains #hikingtime #bestteam</t>
  </si>
  <si>
    <t>tatramountains</t>
  </si>
  <si>
    <t>hikingtime</t>
  </si>
  <si>
    <t>wildnature</t>
  </si>
  <si>
    <t>bestteam</t>
  </si>
  <si>
    <t>theeffectualprayer</t>
  </si>
  <si>
    <t>1598835573035816295_1767475862</t>
  </si>
  <si>
    <t>Never forget the power of prayer. No matter what it looks like. Against all odds. There is nothing too big &amp; there is nothing too small. Prayer covers it all! Prayer still works. #dontstoppraying #prayerministry #intercession #prayer #prayerchangesthings #prayerwarrior #powerofprayer #nevergiveup #keepongoing</t>
  </si>
  <si>
    <t>prayerchangesthings</t>
  </si>
  <si>
    <t>prayer</t>
  </si>
  <si>
    <t>powerofprayer</t>
  </si>
  <si>
    <t>1598844680496487811_1250450361</t>
  </si>
  <si>
    <t>We are Open! If you're prepped and have decided to stay, come on by and Workout. Don't let the hurricane stress get you off the fitness path. Release areas, burn calories, save your water &amp; hurricane snack and get in a great sweat 💦. Today we have classes until 7:15pm (8/15pm is cancelled). Drop in and guests are welcomed! See profile link to reserve your spot ($20 regular, $10 kids). #open #smallbusiness #hurricanegoaway #livelifefitter #keepongoing #noexcuses #crossfittamiami</t>
  </si>
  <si>
    <t>open</t>
  </si>
  <si>
    <t>hurricanegoaway</t>
  </si>
  <si>
    <t>livelifefitter</t>
  </si>
  <si>
    <t>beautybymo_tutorials</t>
  </si>
  <si>
    <t>1598856487462924587_4971425107</t>
  </si>
  <si>
    <t>| L A Z E R ⚡️F O C U S E D | -
➡️Keep on moving, Keep on running the race, Keep on fighting, Keep your faith. [Inspired by 2 Timothy 4:7]. When adversities come, step over them with you head held high. In your weakness God is strong. Keep on keeping on. Slow and steady wins the race, not even God created the earth in one day. Pace it out in faith, your going to make it my love!♥️
-
➡️What are you lazer focused on today?
.
.
| D E E T S |
Eyeshadow: @tartecosmetics rainforest of the sea ll palette
Glitter: @nyxcosmetics liquid crystal liner (gold)
Black eyeliner: @thebalm_cosmetics "schwing" liquid eyeliner
Water line Eyeliner: @cargocosmetics swimmables pencil in beije
Lashes: @eylureofficial x @annlestyle #sofancy 
Contour/Bronzer: @thebalm_cosmetics bahama mama
Highlight: @thebalm_cosmetics  maryloumanizer
Brows: @anastasiabeverlyhills dip brow in taupe
Lippie: @kyliecosmetics Koko kollection "Khlo$
Concealer: @tartecosmetics shape tape
Foundation: @nyxcosmetics total control drop foundation in "natural"
.
.
.
.
.
.
.
#lazerfocus #lazerfocused #focused #focus #futureplans #keepthefaith #yourgoingtomakeit #keeponfighting #keepongoing #keeponkeepinon #shoutoutmuas #motivationalquotes #motivation #slowandsteady #mua #slowandsteadywinstherace #nyxcosmetics #tartecosmetics #TartePlease #tarterainforestofthesea #kyliecosmetics #thebalm #thebalmmaryloumanizer #thebalm</t>
  </si>
  <si>
    <t>thebalm</t>
  </si>
  <si>
    <t>sofancy</t>
  </si>
  <si>
    <t>1598858254540489020_2108943652</t>
  </si>
  <si>
    <t>#instructor #tunapizza #lowcarb #proteins #jummy #lovemybody #eatclean #greekgirl #keepongoing #summer2017 #isstill #here 👌</t>
  </si>
  <si>
    <t>tunapizza</t>
  </si>
  <si>
    <t>tatjanabelleville</t>
  </si>
  <si>
    <t>1598859539506985588_5546927751</t>
  </si>
  <si>
    <t>Sometimes solutions aren't so simple. Sometimes goodbye's the only way 🖤#somepathswemustwalkalone #keepongoing #saveyoursoul #beyourownhero #fightersneverquit #stayfocused #bepositive #redlips #paleface #blackhair #dark #rose #snowwhitelike #snowwhite #mirrorselfie #inkedandproud #inks #inklover #inkedup #tattoed #tatts #tattoogirl #girlswithtattoos #linkinpark #linkinparkquotes #letitgo #luxembourg #lxb</t>
  </si>
  <si>
    <t>inkedup</t>
  </si>
  <si>
    <t>blackhair</t>
  </si>
  <si>
    <t>snowwhite</t>
  </si>
  <si>
    <t>hernandezmarub</t>
  </si>
  <si>
    <t>1598864366160475234_5774723645</t>
  </si>
  <si>
    <t>You can't start reading the new chapter of your life if you keep reading the last one, keep moving 👊🏽👏🏾#keepongoing #youcandoit #motivation #fitnessmotivation #fitnessgirl #fitnessmodel #fitmom #fitgrandma #personaltrainer #bcn #go4it #photoshoot #photographer #photos by @alvarezalexs &amp; @errecarlos 🙌🏽👌🏽🙌🏽</t>
  </si>
  <si>
    <t>photos</t>
  </si>
  <si>
    <t>fitgrandma</t>
  </si>
  <si>
    <t>_missjewbooty</t>
  </si>
  <si>
    <t>1598865826516927877_719104787</t>
  </si>
  <si>
    <t>This couldn't be any more correct ... #selflove #dontcare #benice #behappy #keepongoing #goodperson</t>
  </si>
  <si>
    <t>goodperson</t>
  </si>
  <si>
    <t>1598869233466317398_429150387</t>
  </si>
  <si>
    <t>Such an awesome and joyful evening at Joe's southern with Julie, enjoyed lots of yummy food the American way and such a great evening catching up. It's indeed #Goodtimes and #Yummytimes 🐓😊🎶
#JoesSouthernKitchen #CoventGarden #Londoner #YummyFood #Dinner #AmericanStyle #TheAmericanWay #London #LondonTown #Joy #Fun #Love #Thankful #Blessed #FriedChicken #MashAndGravy #Corn #LotsOfFood #ThursdayNight #LondonLife #SouthernJoes #London_Only #Joyful #EnjoyLife #KeepOnGoing</t>
  </si>
  <si>
    <t>yummyfood</t>
  </si>
  <si>
    <t>lotsoffood</t>
  </si>
  <si>
    <t>americanstyle</t>
  </si>
  <si>
    <t>_bj_h</t>
  </si>
  <si>
    <t>1598869441645549299_1273434171</t>
  </si>
  <si>
    <t>#neverstop #keepongoing #improveyourlife</t>
  </si>
  <si>
    <t>improveyourlife</t>
  </si>
  <si>
    <t>des.tubio</t>
  </si>
  <si>
    <t>1598871484373585368_297283079</t>
  </si>
  <si>
    <t>I have moved almost halfway across the country. Survived through the summer in the Texas heat. Gone against my first hurricane but dammit, I still love it here! 💕 #HoustonStrong</t>
  </si>
  <si>
    <t>houstonstrong</t>
  </si>
  <si>
    <t>cnmussler</t>
  </si>
  <si>
    <t>1598873806650490798_2085726979</t>
  </si>
  <si>
    <t>Gosh dont you love when old clothes fit!!!#keepongoing</t>
  </si>
  <si>
    <t>1598875949779548891_4773778225</t>
  </si>
  <si>
    <t>1598882328041875361_2375665907</t>
  </si>
  <si>
    <t>Amazing day one in Mr Austria Camp with my Tyrolean friends 😃 thx Bodycult for the great T-shirts 💪💪 #bodycult #misteraustriacamp #mistercompany #vienna #austria #tyrol #mrtyrol #fitness #body #shredded #keepongoing #ontheroad #mister #physique #fitnesslife #muscles #gym #workout #johnharris #hotelzeitgeist #grapossoftdrinks #losteria</t>
  </si>
  <si>
    <t>losteria</t>
  </si>
  <si>
    <t>johnharris</t>
  </si>
  <si>
    <t>mister</t>
  </si>
  <si>
    <t>1598886098830759705_2025577158</t>
  </si>
  <si>
    <t>You are your only limit! 🤜🤛 📷 @momentalnie .
.
.
#nolimits #youareyouronlylimit #tryhard #tryharder #training #trainingday #session #plastic #staymotivated #motivation #keepongoing #tryinghard #overandover #bouldering #indoor #climbing #climbing_pictures_of_instagram #climbinglife #instasport #instagramers #dowhatyoulove #dowhatmakesyouhappy #dowhatyouwant #iphonephotography #picoftheday #instadaily #polishboy</t>
  </si>
  <si>
    <t>overandover</t>
  </si>
  <si>
    <t>positive.strength</t>
  </si>
  <si>
    <t>1598893293018541503_37759705</t>
  </si>
  <si>
    <t>🌊</t>
  </si>
  <si>
    <t>marwanejme</t>
  </si>
  <si>
    <t>1598894875729111358_505636256</t>
  </si>
  <si>
    <t>If you're reading this, I hope God opens incredible doors for your life this year. Greatness is upon you. You must believe it though.
Germany Kent #quote #poke @nourelhoudakissami #love #tbt #photo #picture #peaceful #philosophy #photografia #photooftheday #photographie #photography #blackandwhite #old #door #medina #rabat #morocco #maroc #moroccan #travel #travelgram #keepongoing</t>
  </si>
  <si>
    <t>maroc</t>
  </si>
  <si>
    <t>poke</t>
  </si>
  <si>
    <t>philosophy</t>
  </si>
  <si>
    <t>moroccan</t>
  </si>
  <si>
    <t>1598895837978872705_3275305</t>
  </si>
  <si>
    <t>Body sounds magnified greatly. 
Blood rushing sounded like a waterfall, 
my heartbeats sounded like.</t>
  </si>
  <si>
    <t>loving_parent_to_a_prince_</t>
  </si>
  <si>
    <t>1598900020252280067_6000018630</t>
  </si>
  <si>
    <t>I Dont Give A Fuck ... Moving On .... 🖕👋 #dontgiveafuck #nofucksgiven #bye #keepongoing #keeponmoving #instalike #inspirationalquotes #instagram #quotes #fuckoff #dontcare #iger #quotations #instadaily</t>
  </si>
  <si>
    <t>1598901179885064223_292091910</t>
  </si>
  <si>
    <t>💥 #Chonsview #more #life #Tdot #sunset #DAዊት #daily #original #lookup #givethanks #smile #keepongoing</t>
  </si>
  <si>
    <t>chonsview</t>
  </si>
  <si>
    <t>daዊት</t>
  </si>
  <si>
    <t>chrisc2cfan</t>
  </si>
  <si>
    <t>1598906034399711332_4924643807</t>
  </si>
  <si>
    <t>This 💜
(Thanks @baileymyown for sharing originally - your lyrics are that lighthouse for me, and I'm sure so many others too)
#shine #keepshining #keepongoing #lighthouse #support #friendship #scars #motivation</t>
  </si>
  <si>
    <t>passionately_ashley</t>
  </si>
  <si>
    <t>1598906858822154917_3994124</t>
  </si>
  <si>
    <t>Took just a few moments to enjoy the beauty that surrounds me. 🙏🏻 #Malibu
.
.
.
.
.
#california #LA #californiagirl #californiadreaming #californiacoast #californialove #peace #love #happy #smile #commute #commutingInLA #traffic #SantaMonica #lifeInaCar #keepOnGoing #LosAngeles</t>
  </si>
  <si>
    <t>Malibu, California</t>
  </si>
  <si>
    <t>commute</t>
  </si>
  <si>
    <t>californiagirl</t>
  </si>
  <si>
    <t>commutinginla</t>
  </si>
  <si>
    <t>1598908937569250867_5947996365</t>
  </si>
  <si>
    <t>The mind Sometimes needs quiet. Don't be afraid to embrace isolation. However, don't forget the life outside yourself. Everything in life has a balance. Seek this.
#avidustherapy .
.
.
#isolation #introvert #introvertproblems #extrovert #alonetime #reflect #motivation #therapist #balance #balancedlife #mentalhealth #mentalhealthawareness #needed #youareneeded #youareimportant #positive #positivity #selflove #keepongoing #feeling #positiveoutlook  #truth #staystrong #dontgiveup #relationship #therapy #littlerock #arkansas #counselor</t>
  </si>
  <si>
    <t>needed</t>
  </si>
  <si>
    <t>alenamelnyk_</t>
  </si>
  <si>
    <t>1598917844385383603_519596462</t>
  </si>
  <si>
    <t>Результат - твой самый крутой аргумент 🛤 #keepongoing</t>
  </si>
  <si>
    <t>sashazavista</t>
  </si>
  <si>
    <t>1598924526555854131_597914649</t>
  </si>
  <si>
    <t>Always great to end the day holding my guitar... Time to practice! 🎸Sempre bom terminar o dia com a guitarra na mão... Bora estudar! Foto by @luruzzarinbasso #practice #guitar #gibson #gnimusic #santoangelo #lespaul #guitarra #guitars #letsrock #guitarrista #music #guitarplayer #alwayslearning #keepongoing #guitarist</t>
  </si>
  <si>
    <t>gnimusic</t>
  </si>
  <si>
    <t>lespaul</t>
  </si>
  <si>
    <t>1598940595580237084_5705167414</t>
  </si>
  <si>
    <t>Can someone please shut down my school, I'm dying rn 💀  #Dubnation
-
-
-
-
-
-
-
-
-
-
-
-
-
-
-
-
-
-
-
-
-
-
-
-
-
-
-
-
-
-
-
-
-
-
-
-
-
-
-
-
 #StephGonnaSteph #Mvp #SC30 #KT11 #DG23 #CURRYMVP #KEEPONGOING #NEVERGIVEUP #WCF #WEST #WESTERNCONFERENCEFINALS #CHAMPS #DUBSFORCHAMPS #DUBS #ALWAYSBELIEVEINGOD #STEPHENCURRY #EVEN #NBA #2016CHAMPS #CHAMPIONS #LOCKIN #STEPH #SPLASH #SPLASHBROS  #like4like #like4follow #follow4follow</t>
  </si>
  <si>
    <t>1598955811148986839_5816698742</t>
  </si>
  <si>
    <t>Good days coming, new pictures to post and more updates yaaay 
#boop #boopmynose👆 #cutie #love  #vancouver  #persistence #yellowlab #lab #Vancouverlabs #burnaby #burnabylabs #labpup #labrador #sleepy #sleepylab #happy #learning #gettingthere #day25 #prettysun #loveyou #keepongoing #endofsummer #welcomeautumn</t>
  </si>
  <si>
    <t>day25</t>
  </si>
  <si>
    <t>burnaby</t>
  </si>
  <si>
    <t>cutie</t>
  </si>
  <si>
    <t>fitness.emilyg</t>
  </si>
  <si>
    <t>1598959045687735572_4644681772</t>
  </si>
  <si>
    <t>Another jaunt in the basement. No records set again, but I showed up and did it. I'm working on my new "me". It's a slow process, but giving up and quitting won't speed it up.  That much I DO know. I'm learning that "pushing" myself now is 180* different than it had been 6 months ago.  And that's ok. 
#truestory #healthy #keepongoing #beachbodycoach #eecoach</t>
  </si>
  <si>
    <t>beachbodycoach</t>
  </si>
  <si>
    <t>eecoach</t>
  </si>
  <si>
    <t>1598959277430880945_5816698742</t>
  </si>
  <si>
    <t>He makes me happy. 😁 always knows how to put a smile on my face anyday 
#love  #vancouver  #persistence #yellowlab #lab #Vancouverlabs #burnabylabs #labpup #labrador #sleepy #sleepylab #happy #learning #gettingthere #day25 #parkdays  #cheeseroll #prettysun #loveyou #keepongoing</t>
  </si>
  <si>
    <t>Burnaby, British Columbia</t>
  </si>
  <si>
    <t>1598959345771590465_2224047307</t>
  </si>
  <si>
    <t>COMMON SENSE IS NOT SO COMMON.
#iammrlookboy 
#keepongoing</t>
  </si>
  <si>
    <t>1598960882220545147_1774981442</t>
  </si>
  <si>
    <t>followfollowback</t>
  </si>
  <si>
    <t>1598961027697834749_40740215</t>
  </si>
  <si>
    <t>When life throws you curve balls you gotta hit that ish out of the park! -- Since my miscarriage in July I've been in the hospital and in and out of the doctors office more times then I can count and I just found out today i need surgery, tomorrow! I broke down and cried and had a why me moment but then I started to think about the things that I am so grateful for. It's hard and at times I wanna scream why me and just throw in the towel but I'm not! I am CHOOSING not to let this bring me down and I WILL come out stronger💕</t>
  </si>
  <si>
    <t>babytalk</t>
  </si>
  <si>
    <t>babyloss</t>
  </si>
  <si>
    <t>prince_of_dogs</t>
  </si>
  <si>
    <t>1598964835176037900_5803561147</t>
  </si>
  <si>
    <t>For those peoples ideas and hopes that are shot down 🦊🦊🦊#nevergiveup #keepongoing #keeponkeepinon #fighting</t>
  </si>
  <si>
    <t>grgblack</t>
  </si>
  <si>
    <t>1598974899854298890_2004922289</t>
  </si>
  <si>
    <t>My straitjacket's costumed made tho #jessiereyez #shutterisland #selfie #guysofinstagram #hazeleyes #glasshalffull #keepongoing #iamme</t>
  </si>
  <si>
    <t>Ottawa, Ontario</t>
  </si>
  <si>
    <t>jessiereyez</t>
  </si>
  <si>
    <t>shutterisland</t>
  </si>
  <si>
    <t>glasshalffull</t>
  </si>
  <si>
    <t>rainbowsitara</t>
  </si>
  <si>
    <t>1598981411058256962_175922587</t>
  </si>
  <si>
    <t>Rough day. Hasn't got any easier since I got home. But like the sun, I will shine on. 
#keepongoing #sunset #utahsunset #utah #utahskies #smokeyskies</t>
  </si>
  <si>
    <t>utahsunset</t>
  </si>
  <si>
    <t>smokeyskies</t>
  </si>
  <si>
    <t>utahskies</t>
  </si>
  <si>
    <t>utah</t>
  </si>
  <si>
    <t>junior.maus</t>
  </si>
  <si>
    <t>1598981941754269187_1557548330</t>
  </si>
  <si>
    <t>New York city, the place where you can find everything and everyone at anytime! It was amazing that time and will be amazing again I'm sure! #tbt #throwbackthursday #remember #memories #ny #newyork #atnight #thelightsofthecity #recordar  #lembranças #keepyourheadup #keepdreaming #keepongoing #goodthings #goodvibes #america #goodnight #motivation #happy</t>
  </si>
  <si>
    <t>Top Of The Rock NYC</t>
  </si>
  <si>
    <t>1598996439466558022_1250450361</t>
  </si>
  <si>
    <t>🎼Yo no se manana" (I don't what tomorrow will bring") So today, we prep and then WOD! 
8am Endurance 
9&amp;10am Crossfit 
Destress, take a mental break, do something healthy, then baton down the hatches. "Irma Be Gone"
Teams of 2
40 Clean &amp; Jerks @135#/95#
80 Cal Assault Bike
120 KB Swings @55#/35#
160 Cal Row
Also OUR coaches need YOUR help. If you have two extra pieces of plywood please bring to tomorrow's wod.
#hurricanegoaway #livelifefitter #keepongoing #noexcuses #hurricaneirma #crossfittamiami #cftamiami #community #nolimits #noexcuses</t>
  </si>
  <si>
    <t>crossfittamiami</t>
  </si>
  <si>
    <t>1599004627831212932_2323805666</t>
  </si>
  <si>
    <t>Trabaja duro hasta que tus sueños se conviertan en realidad!
Work hard till your dreams  come true!!
#keepongoing #discipline #goals #clarity #webos #action  #noalcohol #noexcuses #letsdoit #gymgoals #gym  #fitness</t>
  </si>
  <si>
    <t>gymgoals</t>
  </si>
  <si>
    <t>brucey_bee</t>
  </si>
  <si>
    <t>1599005627542428498_145236221</t>
  </si>
  <si>
    <t>"Come on, we better than that Bruce. Let that ride. Really Ariana?? Don't even engage. That's not for you boo"....I legit lose #count on how often I say this to myself on a #daily basis. Bruh THE absolute #hardest thing in the #world is telling myself no. 😞 Sis used to live for a good enough #distraction. Some #age and #maturity helped but it's unfortunately-fortunate that it also provided a great deal of #access and man-a little goes a long way. Constantly #reminding myself the path to #freedom is obedience-I can lead a #charmed, #spiritual #simple, #organized and #refined life. I just gotta keep #listening and tapping my own #hand "Girl if you don't leave that right there". 👀😒😩 master #selfcontrol shawty #freedom #obedience #balance #discipline #westraightonthedistractions even the #goodones I had my #fairshare of #regret I #promise #ionwantnomore #keepongoing chic #wegotthis 😋</t>
  </si>
  <si>
    <t>reminding</t>
  </si>
  <si>
    <t>count</t>
  </si>
  <si>
    <t>listening</t>
  </si>
  <si>
    <t>anshikkaushal</t>
  </si>
  <si>
    <t>1599026254744266058_2042340407</t>
  </si>
  <si>
    <t>This is Hope...Hope &amp; Believe
#hope #love #motivation #keepongoing #lifeisbeautiful</t>
  </si>
  <si>
    <t>yattvillagestories</t>
  </si>
  <si>
    <t>1599027981280326643_5714575651</t>
  </si>
  <si>
    <t>What Next??
Dumpling dah...cup cake dah...pie and tart..moon cake? ?
#yattkicthenvillage 
#menu
#thisideakeeponrunning
#keepongoing 
#brunchbox
#breakfastbox 
#lunchbox</t>
  </si>
  <si>
    <t>brunchbox</t>
  </si>
  <si>
    <t>lunchbox</t>
  </si>
  <si>
    <t>thisideakeeponrunning</t>
  </si>
  <si>
    <t>yattkicthenvillage</t>
  </si>
  <si>
    <t>breakfastbox</t>
  </si>
  <si>
    <t>1599035663062201701_5741748538</t>
  </si>
  <si>
    <t>Day 54: First time since for seeing myself in a dress.... digging the progress. #weightloss #weightlossjourney #gettingskinny #fattofit #keepongoing #targetforthewin #target</t>
  </si>
  <si>
    <t>target</t>
  </si>
  <si>
    <t>gettingskinny</t>
  </si>
  <si>
    <t>_gloromero</t>
  </si>
  <si>
    <t>1599042029924265699_2151207785</t>
  </si>
  <si>
    <t>No Attention Payed To Negativity. 🤷🏻‍♂️ #Focus #DoYou #fuckwhattheythink #dowhatmakesyouhappy #dowhatyougottado #keepongoing #Feelme #selflove #selfconfidence #moves #youropiniondoesntpaymybills #youropiniondontmatter</t>
  </si>
  <si>
    <t>dowhatyougottado</t>
  </si>
  <si>
    <t>1599043267706485670_3634101045</t>
  </si>
  <si>
    <t>Who cares if they don't understand you..... that should never stop you from smiling. Happy Thursday! Lots of Love! 💜✌🏼😀❤️😄🦉👊🏼😁😊
.
.
.
#realwomen #innerpeace #innerbeauty #thursday #smile #keepsmiling #loveyourself #beyou #inspiration #fitspiration #instagood #instafit #lovelife #alllove #women #nevergiveup #keepitreal #keepongoing #confidence #happiness #success #fitwomen #fitmom #prettyhair #mixed #letitgo #seekbalance #yinyang #beautiful #photography</t>
  </si>
  <si>
    <t>prettyhair</t>
  </si>
  <si>
    <t>grit_fit_austin</t>
  </si>
  <si>
    <t>1599048091138751544_4486018385</t>
  </si>
  <si>
    <t>@laurieseelig has been training really hard these past few weeks to hit her goals. She's so dedicated, she even came in on Labor Day! I'm so proud of how hard she keeps at it, no matter how discouraged she may feel at times. Not giving up is the most important thing. Only when you give up can you accept failure...and only then! 💪😊🎖🎗
#gritfitaustin #mobiletraineraustin #personaltraineraustin #goalsetting #nevergiveup #fightforyourgoals #strongwomen #yougotthis #keepongoing .
.
.
Contact info in bio</t>
  </si>
  <si>
    <t>gritfitaustin</t>
  </si>
  <si>
    <t>mobiletraineraustin</t>
  </si>
  <si>
    <t>1599048619478333057_179389652</t>
  </si>
  <si>
    <t>SENYUM 😉✨
#naszsally🎶 #keepongoing #dekatdihati💕 #smile😊 #positivevibes #nevermiss</t>
  </si>
  <si>
    <t>1599053451199129002_1609171041</t>
  </si>
  <si>
    <t>#fallintoanopenheart 1-10sep
.
🍁Hosts🍁
@yogi_alli
@elliegriffinyoga 
@lsopher
@kittyfhloe
.
🌲Sponsors🌲
@upcircleseven
@niyama_sports
@cuttingedgedesigncompany
@zenzle
.
🌞
.
🎈Poses🎈
Day 1: Wheel ✅
Day 2: BridgePose ✅
Day 3: Bowpose ✅
Day 4: Camel ✅
Day 5: #KingPigeon ✅
Day 6: Kapotasana
Day 7: Cobra Pose 
Day 8: Standing Backbend 
Day 9:  Forearm wheel
Day 10: Scorpion Inversion 
#yoga #yogachallenge #yogadamneveryday #keeppractice #practiceandalliscoming #iloveyoga #yogamom #yogaposes #yogainspiration #yogainsitubondo #keepongoing #positivevibes #positivethoughts #goodliving #namasteॐ</t>
  </si>
  <si>
    <t>savetheglitter</t>
  </si>
  <si>
    <t>1599055186223184817_1066957158</t>
  </si>
  <si>
    <t>"Note to self: every time you were convinced you couldn't go on, you did."
#keepongoing #itllbeokay #icanandiwill</t>
  </si>
  <si>
    <t>itllbeokay</t>
  </si>
  <si>
    <t>1599057627140881426_462344435</t>
  </si>
  <si>
    <t>This is my biggest why. The reason why I struggle to be better.  The reason why I do what I have to.  The time to be with my children's childhood has an expiration.  To be in their future, I need to be in their present. .
.
.
Double tap to fill the heart!
.
.
.
#mommygoals #workfromhomemom #timeisthebestgift #lovemykiddos #timeislove #qualitytimetogether #missingmyparents #familyislove #youcandothis 
#Bepositive #positivemindset #livelifetothefull #seethegood #seethegoodineverything #believeyoucan #befearless #keeponmoving #keeponlearning #keepondoing #keepongoing #keeponbelieving #believeinyou #goodhabits #achieve #achieveyourdreams #achieveyourgoals #believeinyourdream #believeinyourselfie #keepthefaith #neverstoplearning</t>
  </si>
  <si>
    <t>familyislove</t>
  </si>
  <si>
    <t>1599059287966753863_194433727</t>
  </si>
  <si>
    <t>deliberance</t>
  </si>
  <si>
    <t>kawaisplus</t>
  </si>
  <si>
    <t>1599066613394894838_29842290</t>
  </si>
  <si>
    <t>_
人生既路 比自己想像中既遼闊得多
_
Canon eos 750D
18-135 mm
_
#instagram#igphoto#hashtag#ighashtag#photohashtag#lifeisinfinite#widelife#keepongoing#japan#japansuburb#japantown#japantravel#travel#traveler#japanphotography#jp#jpn#photography</t>
  </si>
  <si>
    <t>Harajuku</t>
  </si>
  <si>
    <t>jp</t>
  </si>
  <si>
    <t>igphoto</t>
  </si>
  <si>
    <t>japantown</t>
  </si>
  <si>
    <t>japantravel</t>
  </si>
  <si>
    <t>1599084623342480732_5998516572</t>
  </si>
  <si>
    <t>When i was 17, i completely wrecked my left shoulder playing hockey. I was a goalie for years, and in my obsession to be the best, i destroyed my body. I dislocated my left shoulder multiple times in one season, causing a lot of damage. Due to my stupid ego and believing i was invincible i never saw a professional to get it fixed. As such, for years i had almost no muscle on my shoulder. Any tension on it would pop it out. It's taken me 3 years, and the support and guidance of @unpopularenigma to get it to the point it's at now. I have a long way to go before it's as good as it can be. I use it as a constant reminder of what obsession can cause. There is such a thing as pushing too hard. 
Use code: DUKINO39FF10
at Fire &amp; Fury Apparel for discounts on all items. Link in my description. Thank you
#fitspo #fitfam #beards #training #lifting #protein #vikings #nordic #gains #neverstop #gym #fitness #strength #endurance #dumbells #bloodsweatandtears #nopainnogain #keepongoing #motivation #inspiration #slowandsteady #injury #fireandfuryapparel</t>
  </si>
  <si>
    <t>1599089656816111291_1551000842</t>
  </si>
  <si>
    <t>creativ_converge</t>
  </si>
  <si>
    <t>1599091163839458430_3020600687</t>
  </si>
  <si>
    <t>Learn to light a candle in the darkest moments of someone’s life. Be the light that helps others see; it is what gives life its deepest significance.
#Life #Light #BeTheLight #Positivity #DuoPowered #Duo #TeamLutenants #Soca #SocaMusic #IslandSounds #keepongoing #makeithappen</t>
  </si>
  <si>
    <t>duopowered</t>
  </si>
  <si>
    <t>teamlutenants</t>
  </si>
  <si>
    <t>1599102245709745967_429150387</t>
  </si>
  <si>
    <t>“Fear not, for I am with you; Be not dismayed, for I am your God. I will strengthen you, Yes, I will help you, I will uphold you with My righteous right hand.”- Isaiah: 41 vs 10. Just because something's are hard that does not mean we are not suppose to do it, doing hard things is good for us it helps us to grow and get stronger. Stay in your lane, run your race, don't give up, remember God is always with us and He does give us strength. It's all going to work out well in Jesus Name 🙏. Have a great #Friday everyone, God bless. #FridayFeeling #Truth #Wisdom #Understanding #Discernment #Pray #DontGiveUp #HappyFriday #EnjoyLife #KeepOnGoing #LookToJesus #YouAreNotAlone #GodIsWithUs #AllThingsWorkTogether #Devotion #Encouragement #RunYourRace #StayInYourLane #Strength #Stand #Help #Understanding #TrustGod #ItIsWell #AllThingsArePossible #InJesusName #NoFear #GiveThanks #YouAreLoved #JesusLovesYou</t>
  </si>
  <si>
    <t>1599109170069304539_487167771</t>
  </si>
  <si>
    <t>#trying #tosing #together #🤣🤣🤣#endup #confusing #theduck #keepongoing #mysweetheart #8months #lovely #babyboy #lovehimtopieces #enjoying #himself #greatfriday #happyme #enjoyingthemoment #enjoying #themusical</t>
  </si>
  <si>
    <t>Asia/Singapore</t>
  </si>
  <si>
    <t>tosing</t>
  </si>
  <si>
    <t>themusical</t>
  </si>
  <si>
    <t>8months</t>
  </si>
  <si>
    <t>1599118924644027744_264198860</t>
  </si>
  <si>
    <t>Fredag = weekend! 😍. Trænger virkelig til at få slappet af, og selvom weekenden faktisk er fyldt med aftaler - så er det med helt fantastiske mennesker! ❤️. Om en lille uge står den på 🌞 så næste uge handler for mig om at smide et par kilo så jeg er helt klar 😅. @astridlind har lovet morgen cardio hvis jeg gjorde det godt denne uge, håber hendes bedømmelse er med mig 🙏💪🏻❤️. #weightlossjourney #weightloss #weightlosstransformation #vægttab #vægttab2017 #følgminkamp #følgmitvægttab #storyofmylife #myday #mylife #bestrong #booty🍑 #bootybuilding #keepongoing #keepsmiling #icaniwill</t>
  </si>
  <si>
    <t>tashafoschetti</t>
  </si>
  <si>
    <t>1599119012733918528_254344532</t>
  </si>
  <si>
    <t>#nevergiveup #patience #beautifulthingsarecoming #difficultroadsoftenleadtobeautifuldestinations #keepongoing #beautyliesinnewdestinations</t>
  </si>
  <si>
    <t>beautyliesinnewdestinations</t>
  </si>
  <si>
    <t>beautifulthingsarecoming</t>
  </si>
  <si>
    <t>1599127349333208415_5862860057</t>
  </si>
  <si>
    <t>Hurty legs this morning...think tiredness has kicked in! 😫#backtoschool #thismumruns #workingmummy #runnersofinstagram #runningcommunity #runninggirl #mentalhealth #eatingdisorder #strongwoman #runninguk #thismumruns #commitment #roadtorecovery #needmotivation #keepongoing #wifeofafirefighter</t>
  </si>
  <si>
    <t>workingmummy</t>
  </si>
  <si>
    <t>1599128008694577807_5781397138</t>
  </si>
  <si>
    <t>On the Camino
keep on walking and have a great day
.
. 
#camino #onthecamino #encamino #caminodesantiago #stjamesway #jakobsweg #galicia #pilgrim with #breastcancer #metastaticcancer under #chemotherapy #keepongoing #neverquit #lifeisbeautiful #keeponmoving #trustyourself</t>
  </si>
  <si>
    <t>stjamesway</t>
  </si>
  <si>
    <t>1599129849515739821_273508132</t>
  </si>
  <si>
    <t>You're ready to change only when your mind is. EVERYBODY CAN CHANGE, I proved it! from a situation of overweight and malnutrition to a situation where I like the mirror, write me on DM if you want to change from today 💪🏻✈️🌊</t>
  </si>
  <si>
    <t>pongkwanchodklay</t>
  </si>
  <si>
    <t>1599136734608593213_2131720464</t>
  </si>
  <si>
    <t>Danish written assignment. Still not done and kinder hard when the teacher doesn't really hav given you a model or a template. Oh well doing my best 😂 #school #fight #myworkingspace #dreambig #keepongoing ❤✌🤞</t>
  </si>
  <si>
    <t>myworkingspace</t>
  </si>
  <si>
    <t>1599146126862493509_429036895</t>
  </si>
  <si>
    <t>Gaining some booty. I was always insecure about this part of my body. Since I started with fitness and start adding weights to my routines. 
This summer my goal was to be happy, confident and enjoying life (with food). Next summer I will see how my body reacts on the training and the balanced food.🏋 #trainjunkie #daretoshare #bodylove #selflove #foodlover  #fitnessjourney #progress #fitness #fitdutchie #weightlifting #girlwholifts #fitfam #fitnessaddict #curves #weights #weightgaining #bodyandmind #gymlife #recovering #bootygrow #dedication #hardwork #keepongoing #strenght #grow #girlonamission #effort #girlpower  #healthylifestyle</t>
  </si>
  <si>
    <t>labelkitchen</t>
  </si>
  <si>
    <t>1599148361999416853_1104513393</t>
  </si>
  <si>
    <t>#händehochwochenende #almostweekend #goodvibes #labelkitchen #lovely #girl #fashiongirl #wildhair #dontcare #wildandfree #goyourownway #staystrong #keepongoing #sylt #inselliebe #kampen #westerland #bielefeld #fashion #fashionblogger #antoniazander #ftc #closed #lovefashion #picoftheday #labelkitchenlovesyou 
www.labelkitchen.de</t>
  </si>
  <si>
    <t>labelkitchenlovesyou</t>
  </si>
  <si>
    <t>antoniazander</t>
  </si>
  <si>
    <t>ighiw</t>
  </si>
  <si>
    <t>1599151147644820122_343048884</t>
  </si>
  <si>
    <t>one of beautiful writing journeys,
met the great and humble people...
sharing... caring.. and learning together with @gengsapulidi
.
.
.
.
.
.
#learning #gengnulissapulidi  #throwback #latepost #keepongoing #athor #creativewriting #bandung #neverstopexploring #pidibaiq</t>
  </si>
  <si>
    <t>latepost</t>
  </si>
  <si>
    <t>gengnulissapulidi</t>
  </si>
  <si>
    <t>pidibaiq</t>
  </si>
  <si>
    <t>bandung</t>
  </si>
  <si>
    <t>1599158264473283391_3879735363</t>
  </si>
  <si>
    <t>My favorite shirt at the moment. 💪 #vaakakapina #selfie #nevergiveup #motivation #healthierlife #nofilter #challengingmyself #vlcd #verylowcaloriediet #weightlosschallenge #justdoit #keepongoing #seeingresults #noexcusesjustresults #weightlosstransformation #weightlossjourney #jogging #weightedhulahoop #nutrilett #dieting #diet #weightlossspirit #weightlossmotivation #motivation #losingweight #tummyfat #seeyou2018 #kesäkuntoon2018 #fitby2018 #nowornever #finnishgirl</t>
  </si>
  <si>
    <t>weightedhulahoop</t>
  </si>
  <si>
    <t>seeingresults</t>
  </si>
  <si>
    <t>chrisnevpt</t>
  </si>
  <si>
    <t>1599159941330224055_480706186</t>
  </si>
  <si>
    <t>Just another rugby pic...... gutted I can't play Saturday due to work. I know the boys will do a great job anyway.
#rugby #me #notstopping #keepongoing #team #fun #sunshine #tryscorer #ogs</t>
  </si>
  <si>
    <t>notstopping</t>
  </si>
  <si>
    <t>ogs</t>
  </si>
  <si>
    <t>1599160953851851950_1516203357</t>
  </si>
  <si>
    <t>Querid@s amig@s! 
Acabo de colgar el post que acompaña la pildorita de esta semana dedicada a Louise L.Hay, escritora que falleció recientemente y a mí personalmente me encantaba. Espero que os guste! 
http://www.listosparadespegue.com/maestra-de-muchos-pildorita-xvii/
#listosparadespegue #fly #youcan #pilot #crew #aircraft #vamos #tupuedes #move #keepongoing #beyou #bepositive #staypositive #smile #enjoy #workout #nolimits #flyadicted #flyholic #takeoff #landing #workhard #beready #change #staycool #livelife</t>
  </si>
  <si>
    <t>1599163105371680912_1609171041</t>
  </si>
  <si>
    <t>#fallintoanopenheart 1-10sep
.
🍁Hosts🍁
@yogi_alli
@elliegriffinyoga 
@lsopher
@kittyfhloe
.
🌲Sponsors🌲
@upcircleseven
@niyama_sports
@cuttingedgedesigncompany
@zenzle
.
🌞
.
🎈Poses🎈
Day 1: Wheel ✅
Day 2: BridgePose ✅
Day 3: Bowpose ✅
Day 4: Camel ✅
Day 5: KingPigeon ✅
Day 6: #Kapotasana ✅
Day 7: Cobra Pose 
Day 8: Standing Backbend 
Day 9:  Forearm wheel
Day 10: Scorpion Inversion 
#yoga #yogachallenge #yogadamneveryday #keeppractice #practiceandalliscoming #iloveyoga #yogamom #yogaposes #yogainspiration #yogainsitubondo #keepongoing #positivevibes #positivethoughts #goodliving #namasteॐ</t>
  </si>
  <si>
    <t>namasteॐ</t>
  </si>
  <si>
    <t>yogamom</t>
  </si>
  <si>
    <t>livingbyandrea</t>
  </si>
  <si>
    <t>1599172229652207091_216170489</t>
  </si>
  <si>
    <t>You open that door and enjoy the beauty of life! Have a wonderful Friday friends! ☀️😊#opendoors #enjoyinglife #possiblities #beautyoflife #keepongoing @livingbyandrea</t>
  </si>
  <si>
    <t>Europe/Prague</t>
  </si>
  <si>
    <t>opendoors</t>
  </si>
  <si>
    <t>beautyoflife</t>
  </si>
  <si>
    <t>possiblities</t>
  </si>
  <si>
    <t>minaudi_manufacture</t>
  </si>
  <si>
    <t>1599172887753893867_4552843127</t>
  </si>
  <si>
    <t>positive thinking and acting is often lost in the everyday routine, although it is so important to keep our life sax ... all have a sunny weekend 💫 #positivevibes #positivity #goodmorning #goodtimes #goodlife #positivethinking #sun #keepongoing #life #liveyourdream #liveauthentic #allwillbegood #minaudimanufacture #❤️</t>
  </si>
  <si>
    <t>minaudimanufacture</t>
  </si>
  <si>
    <t>carlsen_estrategia</t>
  </si>
  <si>
    <t>1599173622151326859_3972205031</t>
  </si>
  <si>
    <t>#happyfriday #estrategiacarlsen #actitud #comunicación #comunicaciónestratégica #comunicacióncorporativa #agenciadecomunicación #siempreadelante #newproject #mallorca #keepongoing</t>
  </si>
  <si>
    <t>Carlsen Estrategia &amp; Comunicación</t>
  </si>
  <si>
    <t>comunicación</t>
  </si>
  <si>
    <t>newproject</t>
  </si>
  <si>
    <t>comunicacióncorporativa</t>
  </si>
  <si>
    <t>comunicaciónestratégica</t>
  </si>
  <si>
    <t>1599176319491858384_1475443178</t>
  </si>
  <si>
    <t>Sadly... I don't want to leave that magic island. Tomorrow last surf session. Monday back home. 🏝
.
.
.
🏄🏼 #bali #indonesia #holiday #travel #me #ocean #surfing #waves #throoxoriginal #goodgang #goodlife #keepongoing #wanderlust #greattimes #beach #thankful #workhardplayhard #islandlife #picoftheday</t>
  </si>
  <si>
    <t>1599178383938221396_3176267654</t>
  </si>
  <si>
    <t>But first...Coffee! 🍷 
#lpfboutique #nailbar #prettynails #igdaily #nailsofig #nailstagram #instanail #igoftheday #weekend #lpfnails #nailboutique #nails2inspire #pinterest #nailsofinstagram #purefolie #buchareststyle #coffeetime #followme #girlish #instabeauty #instanails #coffeetogo #rosé #fridayyay #winelover #citylifestyle #keepongoing #keeponworking #dontsettleforless</t>
  </si>
  <si>
    <t>buchareststyle</t>
  </si>
  <si>
    <t>coffeetogo</t>
  </si>
  <si>
    <t>nailsofig</t>
  </si>
  <si>
    <t>igoftheday</t>
  </si>
  <si>
    <t>meeklo_98</t>
  </si>
  <si>
    <t>1599183993349872063_1549568912</t>
  </si>
  <si>
    <t>time heals all wounds 💯 #lifesabitchandthenyoudie #keepongoing #livelifetothefullest #whatdoesntkillyoumakesyoustronger</t>
  </si>
  <si>
    <t>Campbell River, British Columbia</t>
  </si>
  <si>
    <t>lifesabitchandthenyoudie</t>
  </si>
  <si>
    <t>1599187367407040401_2375665907</t>
  </si>
  <si>
    <t>Just finished breakfast 😃  Ready for second day of Mr Austria 💪💪 #mistercompany #hotelzeitgeist #misteraustria #austria #johnharris #grawe #fitness #bodycult #nutrition #follow4follow #innsbruck #vienna #followme #keepongoing #ontheroad #muscles #physique</t>
  </si>
  <si>
    <t>mistercompany</t>
  </si>
  <si>
    <t>bodycult</t>
  </si>
  <si>
    <t>emykb97</t>
  </si>
  <si>
    <t>1599191263016714468_387694077</t>
  </si>
  <si>
    <t>Sometime you just gotta lay there crying, get mad at yourself for feeling this way and get on to doing things anyways. #anxiety #20 #life #decisions #fight #mad #cry #getup #keepongoing</t>
  </si>
  <si>
    <t>cry</t>
  </si>
  <si>
    <t>20</t>
  </si>
  <si>
    <t>1599195493374828442_2876589047</t>
  </si>
  <si>
    <t>#nothinglastsforever #dead #wilted #roses #itominie #keepongoing #theworldkeepsturning #lifegoeson #wszystkomijanawetnajdluzszazmija</t>
  </si>
  <si>
    <t>itominie</t>
  </si>
  <si>
    <t>roses</t>
  </si>
  <si>
    <t>theworldkeepsturning</t>
  </si>
  <si>
    <t>wilted</t>
  </si>
  <si>
    <t>princezzjea</t>
  </si>
  <si>
    <t>1599205962005103738_5915276573</t>
  </si>
  <si>
    <t>#work#alonetoday#keepongoing#alwaysimle😊 😎😎😇</t>
  </si>
  <si>
    <t>alwaysimle😊</t>
  </si>
  <si>
    <t>alonetoday</t>
  </si>
  <si>
    <t>angelawoff</t>
  </si>
  <si>
    <t>1599206234559681834_231604757</t>
  </si>
  <si>
    <t>Day dreaming about breakfast (chocolate green smoothie bowl with peanut butter granola and strawberries) 🤤
I heard some great advice around self motivating today: be a dream builder.
If you're constantly dreaming about what you want in life then you'll always have a reason to keep going.
I used to spend hours reading @homebeautiful @bhgaus and lost days on @pinterest dreaming about my future house. Now with a busy mum life I don't quite have the time to do that but at least I can dream about breakfast! 
Time to really start dreaming again. And now I have 3 more people to dream for 💝</t>
  </si>
  <si>
    <t>alldaybreakfast</t>
  </si>
  <si>
    <t>peanutbutterlover</t>
  </si>
  <si>
    <t>strawberrytopping</t>
  </si>
  <si>
    <t>chocolateforbreakfast</t>
  </si>
  <si>
    <t>granolabowl</t>
  </si>
  <si>
    <t>1599207838100541224_3249788376</t>
  </si>
  <si>
    <t>We'll get the heart-shaped bowl pls 🙋❤️ (📷 @greensmoothiegourmet)</t>
  </si>
  <si>
    <t>snomvula</t>
  </si>
  <si>
    <t>1599213382611208779_1554226884</t>
  </si>
  <si>
    <t>Flu or not, nothing will stop me💃🏾 #KeepOnGoing</t>
  </si>
  <si>
    <t>Sandton City Shopping Centre</t>
  </si>
  <si>
    <t>anna.orso17</t>
  </si>
  <si>
    <t>1599215303878225974_1792995964</t>
  </si>
  <si>
    <t>☀️
#positivevibes #positive #positivity #instaquote #quote #quotes #instaquotes #mood #keepongoing #morning #motivated #motivation #fff #f4l #l4f #l4l #likes #follow #followme #followher #follow4follow #followforfollow #blogger #picture #picoftheday #igers #tagsforlikes #tagsforlikes</t>
  </si>
  <si>
    <t>likes</t>
  </si>
  <si>
    <t>f4l</t>
  </si>
  <si>
    <t>mcdayum</t>
  </si>
  <si>
    <t>1599215694686675896_5873689938</t>
  </si>
  <si>
    <t>Goodmorning ❤ even tho the weather is terrible and the body akes im still gonna try and smile and make the best of it today, hope you have a Nice day 😙❤
#goodmorning #rainy #pain #smile #keepongoing #feelingsick #choosetobehappy #choosetoshine #love #hugs #and #kisses #support #always #be #humble #and #kind</t>
  </si>
  <si>
    <t>rainy</t>
  </si>
  <si>
    <t>1599218400767341288_2075039459</t>
  </si>
  <si>
    <t>annamariekolston</t>
  </si>
  <si>
    <t>1599225030964014941_1354086644</t>
  </si>
  <si>
    <t>How you react to challenges, hardships and joy in life will determine your own personal growth 💡💫#selfempowerment #keepongoing #keepongrowing #wordstoliveby</t>
  </si>
  <si>
    <t>selfempowerment</t>
  </si>
  <si>
    <t>1599226009974410351_1609171041</t>
  </si>
  <si>
    <t>#fallintoanopenheart 1-10sep
.
🍁Hosts🍁
@yogi_alli
@elliegriffinyoga 
@lsopher
@kittyfhloe
.
🌲Sponsors🌲
@upcircleseven
@niyama_sports
@cuttingedgedesigncompany
@zenzle
.
🌞
.
🎈Poses🎈
Day 1: Wheel ✅
Day 2: BridgePose ✅
Day 3: Bowpose ✅
Day 4: Camel ✅
Day 5: KingPigeon ✅
Day 6: Kapotasana ✅
Day 7: #Cobra Pose ✅
Day 8: Standing Backbend 
Day 9:  Forearm wheel
Day 10: Scorpion Inversion 
#yoga #yogachallenge #yogadamneveryday #keeppractice #practiceandalliscoming #iloveyoga #yogamom #yogaposes #yogainspiration #yogainsitubondo #keepongoing #positivevibes #positivethoughts #goodliving #namasteॐ</t>
  </si>
  <si>
    <t>xhelena.sofiex</t>
  </si>
  <si>
    <t>1599226247556076108_5448193911</t>
  </si>
  <si>
    <t>#keepongoing #still #smile #lifegoeson #dontlookback #goodtimes #starts #happy #me #memyselfandi #hello #nevergiveup #karl #karllagerfeld</t>
  </si>
  <si>
    <t>still</t>
  </si>
  <si>
    <t>starts</t>
  </si>
  <si>
    <t>1599233715563746483_279512262</t>
  </si>
  <si>
    <t>Я всегда безумно суечусь, когда предстоит ехать в аэропорт, проходить контроли и досмотры. Полет победой — это особое испытание. Но когда это уже позади, остаётся два часа у большого окна, за которым самолёты. В ушах музыка, в руках книга и особый вкус кофе путешественника. Это когда ждал, что будет хуже, но вроде бы даже удовольствие получаешь.
Я так соскучилась по этому всему. Не летала что-то около года. Конечно, путь лежит не на отдых, а на гуляния. Но ведь короткие поездки на выходные — это то, о чем мне так мечталось!
.
#photooftheday #airportlife #bookstagram #book #daily #abmlife #authentic #abmhappylife #citylife #vsco #vscocam #madrussians #keepcalm #keepongoing #lifeex #livealittle #experienceofalifetime #catherineinmoscow</t>
  </si>
  <si>
    <t>Vnukovo International Airport</t>
  </si>
  <si>
    <t>1599241129895616320_324894479</t>
  </si>
  <si>
    <t>Spotlight. #edits #keepongoing #stayclassy #nevergiveup #peceandlove #freeworld</t>
  </si>
  <si>
    <t>freeworld</t>
  </si>
  <si>
    <t>edits</t>
  </si>
  <si>
    <t>stayclassy</t>
  </si>
  <si>
    <t>edyxyx</t>
  </si>
  <si>
    <t>1599242091481606088_4558779430</t>
  </si>
  <si>
    <t>Stay focused! #nofilter #shredded #fitfam #fit #fitnessaddict #shred #fitnesslifestyle #fitnessmodel #fitness #fitnessmotivation #fitnessfreak #fitbody #fitnessbody #instafit #model #russianboy #picoftheday #instalike #instadaily #pforzeim #karlsruhe #karlsruhe #stuttgart #keepongoing #nopainnogain #trainhardorgohome</t>
  </si>
  <si>
    <t>1599242957435834147_2379767060</t>
  </si>
  <si>
    <t>Working the blockness monster BOOYAAA!! #kravmaga#southend#toughmudder2017#keepongoing#mudrun#blocknessmonster</t>
  </si>
  <si>
    <t>blocknessmonster</t>
  </si>
  <si>
    <t>1599245460606219340_2317517565</t>
  </si>
  <si>
    <t>Jeg griner ret meget. Jeg elsker det. Det betyder ufatteligt meget for mig, at jeg har en dag med masser af grin og smil. Jeg ville nødig leve uden. Heldigvis er jeg også ret sjov. Eller, min søster synes i hvert fald, at jeg er sjov. Måske er det vores fælles genmasse, som gør, at vi griner af de samme ting. Mine hustru og store børn er knap så begejstret for mine daglig små vittige bemærkninger.  Emma på 2 år synes heldigvis stadig jeg er en fest. Vi forstår hinanden🤡💙😅
•••
Jeg griner også meget med mine atleter. Nogle gange griner de med mig af høflighed. Andre gange lyder det mere oprigtigt. Uanset hvad der frembringer min latter, så elsker jeg den dopamin udløsning i hjernen og følelsen af lykke der medfølger🙏. •••
Grin mere. Du bliver så glad i låget af det😂🤣
•••
#mortentillitzdk  #whatwouldbeyoncedo #toldyouso #tropådet #personligtræner #personaltrainer #cycling #Cykling #styrketræning #løb #Svømning #Swim #running #stronger #personligtræner #mitodense #fitfam #ﬁtfamdk #actionequalsresults #handlingskabersucces #helkropstræning #fullbody #SunRiceClubbyMortenTillitzDK #mentalpause #blivved #keepongoing #styrketræning #painfree #smertefri #søvn #sleep #mitodense</t>
  </si>
  <si>
    <t>couto2222</t>
  </si>
  <si>
    <t>1599247629848598654_6007625589</t>
  </si>
  <si>
    <t>Poetry by Jess 
#imiss #keepongoing #kisses #poetrybyjess #myhappy #cheers #pittmanjess</t>
  </si>
  <si>
    <t>pittmanjess</t>
  </si>
  <si>
    <t>imiss</t>
  </si>
  <si>
    <t>myhappy</t>
  </si>
  <si>
    <t>poetrybyjess</t>
  </si>
  <si>
    <t>teacherforgood</t>
  </si>
  <si>
    <t>1599250316779593521_1553861286</t>
  </si>
  <si>
    <t>Easy to say, difficult to implement
#keepongoing 
#struggle</t>
  </si>
  <si>
    <t>1599253155124419776_5379075697</t>
  </si>
  <si>
    <t>#thinkanddo#keeponsmiling
#keepongoing #crazy #gymtime 
#fitnesslifestyle #braintraining 
#bodyforming #gifs#freemusic
#Google #Picturequotes 
#study#work#workout#focus
#loveyourself 💪 
Music Quelle: Google Free Music Downloads, thank you 😊🎶🎵🎼🎹🎸
Quelle; Thema Pictures Quotes: Google
Thank You Google 👍😊💯🌍🌎🌏 *Sorry for that little Text mistake 😇👆My Video Studio and  Thanks dir watching 😍😘</t>
  </si>
  <si>
    <t>freemusic</t>
  </si>
  <si>
    <t>thinkanddo</t>
  </si>
  <si>
    <t>braintraining</t>
  </si>
  <si>
    <t>lalli_salon</t>
  </si>
  <si>
    <t>1599257764278763681_2421678793</t>
  </si>
  <si>
    <t>My young client was confident she wanted this change after growing her hair for over 5 years.... never even had a trim in between..... but wanted this cut!  We cut off 24 inch of her hair! Her confidence was #inspiring
#motivating and showed nothing is going to stop her now.  #keepongoing  #movingon #dare #haircut #modernsalon #lifechanging #cutandstyle #lovemyjob #emotional #confidence #lovemyclients</t>
  </si>
  <si>
    <t>Lalli Salon</t>
  </si>
  <si>
    <t>haircut</t>
  </si>
  <si>
    <t>dare</t>
  </si>
  <si>
    <t>lovemyclients</t>
  </si>
  <si>
    <t>modernsalon</t>
  </si>
  <si>
    <t>keil_maria</t>
  </si>
  <si>
    <t>1599264302659888861_212469250</t>
  </si>
  <si>
    <t>Trust the process 💪🏽#keepongoing #fitnesslife</t>
  </si>
  <si>
    <t>1599265529595257711_3584681100</t>
  </si>
  <si>
    <t>We all have flaws and weaknesses but it's up to you to overcome that. Do you want your weaknesses to always take over or are you going to do something about it?.
-
Myself included i have loads of flaws and weaknesses but I'm always trying my best to move forward towards being a better person than I was the day before.
-
Take control of your flaws and make that change before they change you completely.
-
Your Friendly Neighbourhood PT.
-
#training #healthylifestyle #exercise #fridayvibes #friyay #personaltrainer #easygym #easygymbirmingham #gym #gymlife #f4f #followforfollow #fitness #fitnessmotivation #fitnessjourney #fitfam #fitspo #fitspiration #instagood #instalike #instadaily #instafit #motivation #keepongoing #challengeyourself</t>
  </si>
  <si>
    <t>easygymbirmingham</t>
  </si>
  <si>
    <t>1599267021198897409_5495249433</t>
  </si>
  <si>
    <t>Friday nights lamb &amp; veggies 🌒</t>
  </si>
  <si>
    <t>warrendersjewellers</t>
  </si>
  <si>
    <t>1599268295319902016_4182575048</t>
  </si>
  <si>
    <t>Warrenders' own John Kitchener and Simon Warrender caught up with @uknaj The Jeweller #magazine on our history, 70th #anniversary and moving with the times in this great article.</t>
  </si>
  <si>
    <t>dreamjewellery</t>
  </si>
  <si>
    <t>warrenders</t>
  </si>
  <si>
    <t>highstreet</t>
  </si>
  <si>
    <t>mhofenk</t>
  </si>
  <si>
    <t>1599274320596433073_1405974426</t>
  </si>
  <si>
    <t>Heavy rain today all day! 🙈☔️ So I went for a run on the treadmill 🏃🏻‍♀️#rain #indoortraining #running #runnersofinstagram #keepongoing #gasdrop #mindset #fitgirl #newyorkmarathon2017 #marathontraining #noexcuses #workhardtrainhard #chickonamission</t>
  </si>
  <si>
    <t>chickonamission</t>
  </si>
  <si>
    <t>remco_galeazzi</t>
  </si>
  <si>
    <t>1599277523618086478_824054144</t>
  </si>
  <si>
    <t>Had a great full body workout today with almost only isolation exercises... #basicfit #gettingfit #fitbody #killedit #healty #pumped #healtyfood #keepongoing #squat #legextensions #legcurl #pulldowns #standingcablerow #reversepecdeck #pecdeck #lowcablecrossover</t>
  </si>
  <si>
    <t>healtyfood</t>
  </si>
  <si>
    <t>lowcablecrossover</t>
  </si>
  <si>
    <t>killedit</t>
  </si>
  <si>
    <t>standingcablerow</t>
  </si>
  <si>
    <t>tinalakos</t>
  </si>
  <si>
    <t>1599279884810937746_173611332</t>
  </si>
  <si>
    <t>I won't... ➖➖➖➖➖➖➖➖➖➖➖➖ #nevegiveup #keepongoing #bemotivated #bestrong #momofboys #keepfighting #strongmom #singlemom #tiredmom</t>
  </si>
  <si>
    <t>strongmom</t>
  </si>
  <si>
    <t>bemotivated</t>
  </si>
  <si>
    <t>1599283974458826517_2375665907</t>
  </si>
  <si>
    <t>Having fun :) Love that shootings for @misteraustria #misteraustria #misteraustriacamp #model #modeling #fame #keepongoing #shooting #photography #photo #trueyou #fitnesslife #shredded</t>
  </si>
  <si>
    <t>modeling</t>
  </si>
  <si>
    <t>shooting</t>
  </si>
  <si>
    <t>misteraustriacamp</t>
  </si>
  <si>
    <t>1599285753665657188_429036895</t>
  </si>
  <si>
    <t>You only have one body! 
One thing I have learned the past few years.. It is all about balance, you do not have to live like a rabbit and eat only salat to be(come) Healthy. 
Eat fruit, vegtables, nuts and dairy and combine this with enjoying diners, sweets or some other guilty pleasure often. 
Working on your goals is fine but be nice for yourself and your body. If you can find your balance you will succeed without torture yourself. ❤❤ #daretoshare #bodylove #selflove #foodlover  #fitnessjourney #progress #fitness #fitdutchie #weightlifting #girlwholifts #fitfam #fitnessaddict #curves #weightgaining #inspire #bodyandmind #gymlife #recovering #bootygrow #dedication #hardwork #keepongoing #strenght #grow #girlonamission #effort #girlpower  #healthylifestyle #motivateothers</t>
  </si>
  <si>
    <t>eleonoraferrari20</t>
  </si>
  <si>
    <t>1599286178800786250_224652336</t>
  </si>
  <si>
    <t>🛤 #keepongoing</t>
  </si>
  <si>
    <t>Maui</t>
  </si>
  <si>
    <t>r.aella</t>
  </si>
  <si>
    <t>1599287913060510987_2917014504</t>
  </si>
  <si>
    <t>Don't worry about those who talk behind your back. They are behind you for a reason🏆🙌🏆
. . . 
#motivation #formcheck #friday</t>
  </si>
  <si>
    <t>formcheck</t>
  </si>
  <si>
    <t>snowbeach_paris</t>
  </si>
  <si>
    <t>1599294178620902972_1594076295</t>
  </si>
  <si>
    <t>C est annoncé, la prochaine part de Ben Aurelien qui devait sortir pour le 9 septembre, est retardée...un clip pour s en excuser...le temps de se remettre de ses blessures...TIME is still in progression...#videocomingsoon #nevertooold #toooldtodieyoung #fatherandson #eatshit #keepongoing @jartskateboards @aperockcafe @independenttruckcoeurope @diamondsupplyco @benaurelien @charlotte_hym @syd_aurelien</t>
  </si>
  <si>
    <t>toooldtodieyoung</t>
  </si>
  <si>
    <t>fatherandson</t>
  </si>
  <si>
    <t>videocomingsoon</t>
  </si>
  <si>
    <t>nevertooold</t>
  </si>
  <si>
    <t>mrcsongor</t>
  </si>
  <si>
    <t>1599294902936484168_1280797968</t>
  </si>
  <si>
    <t>Sok ideje most volt először egy pillanatnyi szusszanás, ami jó alkalmat adott átgondolni ezt az egész nyarat. Volt mit. 
Ha valaki megkérdezte volna január elsején, hogy "Csongor milyen lesz a nyarad?" biztos, hogy nem ezt/mást mondtam volna.
Kezdtünk egy indokolatlan Deja vu fesztivállal, aztán kiugrottunk Milánóba, utána megünnepeltük Máté szülinapját, hogy rá pár napra folytassuk az enyémmel. Lenyomtunk egy Soundot, aztán a kerti sütögetős móka, de hétvégén már Cinematinéztunk Pesten. Jött egy Márk szülinap, majd Szegedet is megnéztük a szezonban először, utána rögtön kezdődött KTN, de közben még becsempésztünk egy Rajmi szülinapot, következő hétvégén megint egy "chill" Dokk. Aztán leugrottunk Timmy Trumpetre Siófokra, hogy 3 nap múlva menjek vissza B my Lake-re és feltegyük arra a bizonyos í-re a pontot. Feltettük. De még mennyire! #memories
Biztos milliópluszegy dolgot kihagytam, mert a lista szerencsére #sohavégetnemérős! Megérte az összes pillanata és mázlista vagyok, hogy ezeket mind megtehettem. Köszönöm mindenkinek! #ölelés
Itt az ősz... Hogy folytatjuk? 🤷😉 #whoknows #keepongoing #keeponsmiling #summer #friends #festival #happiness #positivevibes #goodvibes</t>
  </si>
  <si>
    <t>ölelés</t>
  </si>
  <si>
    <t>sohavégetnemérős</t>
  </si>
  <si>
    <t>1599301033381343970_5998516572</t>
  </si>
  <si>
    <t>I have had this bar since i was 15.  I used some of my birthday money to go buy it from Kmart. Over the last 8 years, it has always served me well. Half the plates i own are from rubbish piles and people i know. Go out and have a look, search the web, ask around. You can find bars and plates everywhere extremely cheaply, if not for free. The end of someones fitness journey could be the start of yours. If you have the willpower, there will always be a way for you too train. 
Use code: DUKINO39FF10
at Fire &amp; Fury Apparel for discounts on all items. Link in my description. Thank you
#fitspo #fitfam #beards #training #lifting #protein #vikings #nordic #gains #neverstop #gym #fitness #strength #endurance #bloodsweatandtears #nopainnogain #keepongoing #motivation #inspiration  #fireandfuryapparel #curls #curlsgetthegirls #kmart #biceps #forearm</t>
  </si>
  <si>
    <t>forearm</t>
  </si>
  <si>
    <t>kmart</t>
  </si>
  <si>
    <t>chrissykernaghan</t>
  </si>
  <si>
    <t>1599306207523413532_207602724</t>
  </si>
  <si>
    <t>Good morning Physio Friday!! #physiotherapy #keepongoing #makeprogress #aclreconstruction #patellafemoralpain</t>
  </si>
  <si>
    <t>Fowler Kennedy Sport Medicine Clinic</t>
  </si>
  <si>
    <t>patellafemoralpain</t>
  </si>
  <si>
    <t>physiotherapy</t>
  </si>
  <si>
    <t>aclreconstruction</t>
  </si>
  <si>
    <t>makeprogress</t>
  </si>
  <si>
    <t>1599306922275598570_5944730818</t>
  </si>
  <si>
    <t>Seriously guys , no matter what form of the bullying , physical bully , cyber bully even the slut and body shamming thing, it's not cool ! Like stop it , it doesn't make you a better person and it's not make the life that you're bullying better. For the victims of bully , the world got your back and if they not , remember God have your back. Stay strong ! 💪
#antibullying #stopbodyshaming #stopslutshaming #stopbullying #stopcyberbullying #inspirationalquotes #inspiration #motivationalquotes #motivation #loveyourself #love #family #friendship #spreadthelove #chaseyourdreams #liveyourdream #youcandoit #keepongoing #dontgiveup</t>
  </si>
  <si>
    <t>1599308718813314165_5495249433</t>
  </si>
  <si>
    <t>airennee</t>
  </si>
  <si>
    <t>1599310337973536684_1153129982</t>
  </si>
  <si>
    <t>Being willing makes you able. 💪🔝 #gleitschirmfliegen #paragliding #parapente #merkurwald #badenbaden #fridaymood #instalike #instagramer #igersgermany #igersdeutschland #igersfrance #igerscatalonia #videooftheday #courage #willing #willingness #livethelifeyoulove #nonstop #nothingstopsme #lookingforsomething #keepongoing #keepcalmandcarryon #feelfree #quenadatedetenga #querestaturi #valor #valentia #brave #boncourage</t>
  </si>
  <si>
    <t>Merkurwald</t>
  </si>
  <si>
    <t>keepcalmandcarryon</t>
  </si>
  <si>
    <t>paragliding</t>
  </si>
  <si>
    <t>willing</t>
  </si>
  <si>
    <t>nothingstopsme</t>
  </si>
  <si>
    <t>rabbienchen</t>
  </si>
  <si>
    <t>1599311995176516692_605100389</t>
  </si>
  <si>
    <t>Can't get enough... #nature #lagunablanca #bolivia #uyuni #atacamadesert #beautiful #stunningnature #everydayanewlandscape #water #sky #blauweiß #reflextion #travellife #weltreise #keepongoing</t>
  </si>
  <si>
    <t>Laguna Blanca</t>
  </si>
  <si>
    <t>weltreise</t>
  </si>
  <si>
    <t>everydayanewlandscape</t>
  </si>
  <si>
    <t>uyuni</t>
  </si>
  <si>
    <t>1599312843962114443_5930497057</t>
  </si>
  <si>
    <t>ecojohanna</t>
  </si>
  <si>
    <t>1599313804885639906_537516717</t>
  </si>
  <si>
    <t>-10kg i år! Konstaterade jag nöjt i morse.10,1 från den 30/1 för att vara exakt. (Ca 19 totalt). Har också klarat av andra veckan med arbetsintegrerade studier och börjar få pejl på både jobb och plugg. Whop, whop nu tar jag helg! #viktresa #delmål #nyttskit #keepongoing #minus10kg</t>
  </si>
  <si>
    <t>delmål</t>
  </si>
  <si>
    <t>viktresa</t>
  </si>
  <si>
    <t>minus10kg</t>
  </si>
  <si>
    <t>nyttskit</t>
  </si>
  <si>
    <t>1599314341387474276_5930497057</t>
  </si>
  <si>
    <t>1599314811543667489_5930497057</t>
  </si>
  <si>
    <t>tommy2vito</t>
  </si>
  <si>
    <t>1599317180754445258_321901425</t>
  </si>
  <si>
    <t>Road of a lifetime. #keepongoing #stayonpath #neverstop</t>
  </si>
  <si>
    <t>stayonpath</t>
  </si>
  <si>
    <t>1599317370580299272_15887082</t>
  </si>
  <si>
    <t>Det her billede fortæller bare at det var koldt at løbe i shorts i dag 😬😬
#ironman #upcoming #mulitisport #tri365 #lovemylife #fitness #IMBarcelona #outofcomfortzone #trilabdk #triathlon #triatlete #invisibleguns #worldoffusion #IMHamburg #keepongoing #purepowerdk #smileplease #swimbikerun</t>
  </si>
  <si>
    <t>claire.ford.xx</t>
  </si>
  <si>
    <t>1599317436573474525_5785369135</t>
  </si>
  <si>
    <t>That's what I told myself each time I fell! 🖤👌☠️
#fall #pickyourselfup #keepongoing #strivehigh #youcandoit #ifyoufallgetbackup #followyourdreams #supportsmallbusiness #nevergiveup #believeinyourself #skatelife #goglowgreengirl #rollerskating</t>
  </si>
  <si>
    <t>strivehigh</t>
  </si>
  <si>
    <t>1599318596273970219_2375665907</t>
  </si>
  <si>
    <t>Being here with the whole team. Found friends for life ;) #misteraustria #mistercompany #syossstyling #mister #grawe #austria #vienna #modelling #keepongoing #bodycult #hotelzeitgeist</t>
  </si>
  <si>
    <t>Hotel Zeitgeist Vienna</t>
  </si>
  <si>
    <t>syossstyling</t>
  </si>
  <si>
    <t>modelling</t>
  </si>
  <si>
    <t>zing.lam</t>
  </si>
  <si>
    <t>1599318886007118541_1407673883</t>
  </si>
  <si>
    <t>#keepongoing#goal#lifeneverbeeneasy</t>
  </si>
  <si>
    <t>lifeneverbeeneasy</t>
  </si>
  <si>
    <t>jtbayley</t>
  </si>
  <si>
    <t>1599336938628142596_266478982</t>
  </si>
  <si>
    <t>Had this little critter on the car this morning! #bmw #x3 #bmwgram #mpower #carstagram #carsofinstagram #snailspace #keepongoing</t>
  </si>
  <si>
    <t>snailspace</t>
  </si>
  <si>
    <t>x3</t>
  </si>
  <si>
    <t>carstagram</t>
  </si>
  <si>
    <t>carsofinstagram</t>
  </si>
  <si>
    <t>bmwgram</t>
  </si>
  <si>
    <t>bfministries</t>
  </si>
  <si>
    <t>1599337736240817349_1476387196</t>
  </si>
  <si>
    <t>#RunYourRace #Speaklife 
#TheBFMTeam #Bible #GreatWords #Encouragement #KeepOnGoing</t>
  </si>
  <si>
    <t>speaklife</t>
  </si>
  <si>
    <t>runyourrace</t>
  </si>
  <si>
    <t>greatwords</t>
  </si>
  <si>
    <t>patrick_kimber_</t>
  </si>
  <si>
    <t>1599338767713285856_5638557964</t>
  </si>
  <si>
    <t>Getting ready to go back to Sussex 
#travel #isleofwight #westsussex #keepongoing</t>
  </si>
  <si>
    <t>isleofwight</t>
  </si>
  <si>
    <t>1599340083096386562_6003808846</t>
  </si>
  <si>
    <t>En nu maar bussen!!! #keepongoing #Flyers #FancyFair 👌🤗👌🤗</t>
  </si>
  <si>
    <t>Turnkring Deurnese Turners</t>
  </si>
  <si>
    <t>fancyfair</t>
  </si>
  <si>
    <t>flyers</t>
  </si>
  <si>
    <t>1599340860670018852_5705167414</t>
  </si>
  <si>
    <t>Basket 🏀  #Dubnation
-
-
-
-
-
-
-
-
-
-
-
-
-
-
-
-
-
-
-
-
-
-
-
-
-
-
-
-
-
-
-
-
-
-
-
-
-
-
-
-
 #StephGonnaSteph #Mvp #SC30 #KT11 #DG23 #CURRYMVP #KEEPONGOING #NEVERGIVEUP #WCF #WEST #WESTERNCONFERENCEFINALS #CHAMPS #DUBSFORCHAMPS #DUBS #ALWAYSBELIEVEINGOD #STEPHENCURRY #EVEN #NBA #2016CHAMPS #CHAMPIONS #LOCKIN #STEPH #SPLASH #SPLASHBROS  #like4like #like4follow #follow4follow</t>
  </si>
  <si>
    <t>1599360310992369219_773558810</t>
  </si>
  <si>
    <t>I have reached a point in life where I feel it is no longer necessary to try and impress anyone. If they like me the way I am, good and if they don’t, it’s their loss. Don’t be embarrassed by who you are. They’re going to judge you no matter what you do. Forget about what everyone else thinks and says. If it makes you happy, just do it.
#iam #bestrong #itsmylife #gemini #behappy #beyourself #sarcasm #idontcare #strongwoman #geminibaby #gemini♊ #keepongoing #nothingmatters</t>
  </si>
  <si>
    <t>badia.ze</t>
  </si>
  <si>
    <t>1599365503682513209_5115474275</t>
  </si>
  <si>
    <t>#Iceland#sunrise#beautyofthesky#keepongoing#adventure#meetingpeople</t>
  </si>
  <si>
    <t>Kirkjubæjarklaustur</t>
  </si>
  <si>
    <t>beautyofthesky</t>
  </si>
  <si>
    <t>meetingpeople</t>
  </si>
  <si>
    <t>iceland</t>
  </si>
  <si>
    <t>1599367299616258376_5115474275</t>
  </si>
  <si>
    <t>#Iceland#Northernlights#auroresboreales#impressive#beauty#lucky#keepongoing#appreciatethemoment</t>
  </si>
  <si>
    <t>Iceland</t>
  </si>
  <si>
    <t>northernlights</t>
  </si>
  <si>
    <t>takeapicturelastslonger</t>
  </si>
  <si>
    <t>1599370877282822424_1966325938</t>
  </si>
  <si>
    <t>✌✌😈😈 #deuces #keepongoing #hatersgonnahate</t>
  </si>
  <si>
    <t>deuces</t>
  </si>
  <si>
    <t>1599373319408569891_5930497057</t>
  </si>
  <si>
    <t>1599376441455583566_5930497057</t>
  </si>
  <si>
    <t>thinkbigger</t>
  </si>
  <si>
    <t>1599377352634552348_5930497057</t>
  </si>
  <si>
    <t>nikiwildt</t>
  </si>
  <si>
    <t>1599378863909869548_5684970417</t>
  </si>
  <si>
    <t>GirlPowerBitches 😂🤘🏻Linebacker body, more cardio, less Cake and for 🖕🏻sake!! No more in sports injuries!! 😂😂😂 #girlpower #girlpowa #linebackers #stronggirl #strong #gymtime #gymt #super #inktgirl #girlwhittattoo #happy #gymlove #gymrat #keepongoing #wildandfree #dontquit</t>
  </si>
  <si>
    <t>linebackers</t>
  </si>
  <si>
    <t>arora.jatin2407</t>
  </si>
  <si>
    <t>1599383322127409939_1429029887</t>
  </si>
  <si>
    <t>Taare zameen par.. Lol
The 30 second break between the sets  is the selfie break.. Baby hulk wants to comeback.
#breaks #babyhulk #comingback #selfie #nautanki #dramaking #lol #justdoit #keepongoing #stupidme #actors #actor #acting #actinglove #actorslife #dreamcalling #dreamchaser #dreamer</t>
  </si>
  <si>
    <t>nautanki</t>
  </si>
  <si>
    <t>dreamcalling</t>
  </si>
  <si>
    <t>actinglove</t>
  </si>
  <si>
    <t>iam_chelleybabe</t>
  </si>
  <si>
    <t>1599385004654641471_46464482</t>
  </si>
  <si>
    <t>Minsan bigla mo nalang masasabi nakakapagod n 😔😔 #keeponholding #keepongoing</t>
  </si>
  <si>
    <t>keeponholding</t>
  </si>
  <si>
    <t>1599396165873726360_3273694316</t>
  </si>
  <si>
    <t>Finally a day off! Being able to enjoy a #beautifulday is a wonderful thing. #dailygrind has been getting to me. But today is my day to #relax and treat myself! #scarletdrgon #keepongoing #dayoff</t>
  </si>
  <si>
    <t>dailygrind</t>
  </si>
  <si>
    <t>tobedans</t>
  </si>
  <si>
    <t>1599397047592963887_3000827551</t>
  </si>
  <si>
    <t>Deze b-boys oefenen de sixstep bij Christian. Nog best ingewikkeld! 
#keepongoing #breakdance #proeflesdagen</t>
  </si>
  <si>
    <t>Energiehuis</t>
  </si>
  <si>
    <t>proeflesdagen</t>
  </si>
  <si>
    <t>breakdance</t>
  </si>
  <si>
    <t>bodybeperfekt</t>
  </si>
  <si>
    <t>1599397474321558885_5948880650</t>
  </si>
  <si>
    <t>Viktig med sjølvpleie😊 Ny sveis. Gir ein ein eit boost og meir motivasjon til å fortsette med Slankekrigen. #newlook #befit #fitness #nysveis #motivasjon #weightloss #keepongoing #bodybeperfekt</t>
  </si>
  <si>
    <t>motivasjon</t>
  </si>
  <si>
    <t>katriinakivinen</t>
  </si>
  <si>
    <t>1599398345553415790_274129158</t>
  </si>
  <si>
    <t>#drawing #keepongoing #plants #feltpen #coloring</t>
  </si>
  <si>
    <t>feltpen</t>
  </si>
  <si>
    <t>coloring</t>
  </si>
  <si>
    <t>plants</t>
  </si>
  <si>
    <t>chiaretta.dw</t>
  </si>
  <si>
    <t>1599410175520052477_265474453</t>
  </si>
  <si>
    <t>Well.... 💁🏼 #cantgetenough 
_____________________
#makeuplove #makeup #makeupaddict #makeuptutorial #instamakeup #makeupaddiction #beauty #makeuptutorial #needmore #new #picoftheday #quotesoftheday #quotestoliveby #quote #pinterest #motivation #motivationalquotes #keepongoing #success #letyoursuccessmakethenoise #workinsilence #sorrynotsorry</t>
  </si>
  <si>
    <t>needmore</t>
  </si>
  <si>
    <t>sorrynotsorry</t>
  </si>
  <si>
    <t>1599425042777571523_5715914248</t>
  </si>
  <si>
    <t>Kawasan Falls, The Philippines.
Photo by @chelseakauai
.
.
.
.
.
.
.
.
#beachvibes #travelportland #paradisefalls #paradisepark #keepongoing #epictravels #yogagirls #travellife #travelrussia #waycoolshots #cloudporn #meditative #travelmagazine #bestoftheday #getoutdoors #sunsetyoga #travelpicsdaily #lifeofadventure #natgeotravelphoto #islandliving #traveltogether #webstagram #traveltheglobe #worldtravelbook #addictedtotravel</t>
  </si>
  <si>
    <t>islandliving</t>
  </si>
  <si>
    <t>1599425057809989718_5798495348</t>
  </si>
  <si>
    <t>1599425605619638496_3154771617</t>
  </si>
  <si>
    <t>Friday workout done!!💪💪💪 der Tag heute lief im Großen und Ganzen gut auch wenn der Start etwas holprig war😂🙈 morgens schon festgestellt dass mein Shampoo in der Trainingstasche ausgeronnen ist 💩dann eine kleine Uneinigkeit mit meinem Auto gehabt, anschließend am Parkplatz nicht nah genug am Knöpfchen für den Schranken stehen geblieben - so dass ich mit dem gesamten Oberkörper aus dem Fenster raus lehnen musste 😹 um an den blöden Knopf zu gelangen 😨😒 Kaffee habe ich mir dann präventiv selbst verboten weil ich eine weiße Bluse anhatte... als würde das nicht schon reichen habe ich nachmittags vor dem Fitnessstudio festgestellt dass ich meinen Shaker zu Hause vergessen habe 🙈🙈🙈🙈 schnell noch einen gekauft und dann ein richtig geiles Training hingelegt 💪😍 jetzt bin ich absolut reif fürs Wochenende😏😄🦄
#McFit #austria #fitfam #gymwarrior #bb #carinthia #dontstop #fitnessaddicted #gymjunky #enjoylife #focus #bodybuilding #fitnesslife #gymtime #girlswholift #justdoit #nike #keepongoing #loveyourself #fitnessmotivation #proudtobemcfit #stayhungry #vienna #workoutdone #fitnessgirl #staymotivated #gymlover</t>
  </si>
  <si>
    <t>workoutdone</t>
  </si>
  <si>
    <t>jenren0909</t>
  </si>
  <si>
    <t>1599426295841113527_51803162</t>
  </si>
  <si>
    <t>#YouAreBeautiful #LoveYourself #KeepOnGoing</t>
  </si>
  <si>
    <t>mariaenriquez.b</t>
  </si>
  <si>
    <t>1599427715513445131_16521534</t>
  </si>
  <si>
    <t>En caso de duda o cansancio: para, descansa, y pregúntate porque comenzaste?. Luego sigue. #keepongoing #unpasoalavez #unarespiracionalavez #simple #sinprisas #ashtangayoga #accionpoetica</t>
  </si>
  <si>
    <t>simple</t>
  </si>
  <si>
    <t>unarespiracionalavez</t>
  </si>
  <si>
    <t>unpasoalavez</t>
  </si>
  <si>
    <t>accionpoetica</t>
  </si>
  <si>
    <t>1599431402021975746_259933278</t>
  </si>
  <si>
    <t>do you love fast things? 
#drums #drummer #drumming #learning #drumsandlessons #grooving #justwanttoplay #nevergiveup #eacday #keepongoing #happiness #patience #truth</t>
  </si>
  <si>
    <t>justwanttoplay</t>
  </si>
  <si>
    <t>myztiquee</t>
  </si>
  <si>
    <t>1599433072980642077_35918605</t>
  </si>
  <si>
    <t>You were never created to live depressed. Defeated. Guilty. Condemned. Ashamed or Unworthy. You were created to be victorious. We all have a purpose in this life. •
•
Take a moment to yourself, sit in silence &amp; Pray. You will get the answers you'll seek. You just need to learn how to listen.</t>
  </si>
  <si>
    <t>teatime</t>
  </si>
  <si>
    <t>1599433427828860624_267746472</t>
  </si>
  <si>
    <t>Questa storia delle tartare deve finire ❤️ #everyday#foodie#foodism#foodporn#foodlover#healthy#igermilano#igersitalia#milano#foodblogger#bloggerlife#tagsta#picoftheday#webstagram#fashiongram#instagood#instadaily#like4like#likeback#love#homemade#michelinstar#restaurant#italianfood#instagood#keepongoing#asian#hot#sushi#japancusine</t>
  </si>
  <si>
    <t>Izakaya Sampei Sushi &amp; Traditional Cuisine</t>
  </si>
  <si>
    <t>italianfood</t>
  </si>
  <si>
    <t>jupitah12rising</t>
  </si>
  <si>
    <t>1599446700031541601_445921699</t>
  </si>
  <si>
    <t>While there is so much hurt and fear in the world at this time, I choose to remember that there's a light at the end of every tunnel. We get caught up in the pain that it's hard to imagine what is past that. "And then there will be light.
And then there will be love.
And then there will be freedom.
And then there will be strength. 
And then there will be unity.
And then there will be happiness.
And then there will be understanding. 
And then there will be support. 
And then...we will be together. " ~Jupitah ☀️Rising #remember #andthen #hope #faith #trust #keepongoing</t>
  </si>
  <si>
    <t>andthen</t>
  </si>
  <si>
    <t>1599452750096896032_224929186</t>
  </si>
  <si>
    <t>As much as I love dirt biking, I sure do love my video games, as well. And with a broken bike, video games it is; especially since Destiny 2 just dropped! Where’s that @365mx gear for my guardian?? I can’t find it anywhere!
/
/
#love #life #happy #art #quote #strength #music #inspirational #god #inspiration #inspired #smile #keepongoing #standup #fight #live #faith #photography #metal #rock #motivation #technology #mx #motocross #kawasaki #braap #monsterenergy #gopro #ride365 #365mx</t>
  </si>
  <si>
    <t>1599455815513420754_251747785</t>
  </si>
  <si>
    <t>Tag 39: Tag 9 auf dem Camino  Und wieder ein Tag rum, es tut nach wie vor alles weh, es ist nach wie vor anstrengend, aber ich liebe es nach wie vor 😍 Heute haben wir uns wieder mal verloren, zum Glück wieder gefunden, genießen den Luxus einer kleinen Pension und haben uns wie kleine Kinder über eine Waschmaschine gefreut 😍 ich bin grade so müde, dass ich nur noch auf das Pilgermenü warte und dann ins Bett gehe. Es ist anstrengend die ganzen Eindrücke und Erlebnisse zu verarbeiten, ich weiß abends meist nicht mehr wo ich morgen aufgewacht bin 🤦🏼‍♀️🤷🏼‍♀️🙈 aber egal, es macht glücklich, also #keepongoing  #peregrino #peregrina #pilgrim #buencamino #jakobsweg #caminofrances #caminodesantiago #spain #spanien #365tagefrei #einjahrurlaub #worldtraveler</t>
  </si>
  <si>
    <t>1599455898526251047_429150387</t>
  </si>
  <si>
    <t>Such a blessing to be here with Andrea as we stand and pray with the thousands for our nation in Jesus Name 🙏 🙌 🙏
#InJesusName #NationalDayOfPrayer #Londoner #London #ReachLondon #ReachTheNations #Pray #PrayerWorks #Government #Media #Law #Family #Youth #Church #MakeADifference #ChristianConcern #DontGiveUp #LookToJesus #JesusIsTheWay #KeepOnGoing #Friday #FridayNight #EmmanuelCentre #Westminster #WeWin #Victory #WeAreVictorious #YouAreLoved #JesusLovesYou 
https://youtu.be/GlGuh-zT84Q</t>
  </si>
  <si>
    <t>media</t>
  </si>
  <si>
    <t>emmanuelcentre</t>
  </si>
  <si>
    <t>youth</t>
  </si>
  <si>
    <t>karlacoaching</t>
  </si>
  <si>
    <t>1599466810158340502_49560118</t>
  </si>
  <si>
    <t>~Strength grows in the moments when you think you can't go on, but you keep on going anyway~ 🌾 #strength never apologize for being sensitive or emotional. Let it be a sign of the big heart you posses... Sometimes it's gonna hurt really bad, but others... Well, huge amounts of start dust, happiness and joy will come #bigheart #emotions #keepongoing</t>
  </si>
  <si>
    <t>bigheart</t>
  </si>
  <si>
    <t>emotions</t>
  </si>
  <si>
    <t>__dear__zindagi_</t>
  </si>
  <si>
    <t>1599467422694248364_5595647182</t>
  </si>
  <si>
    <t>#I Dont miss you.....
.
.
.
#love#quotes#status#shayari#friends#benefits#pretending#breakup#relationship#change#avoiddistractions#avoid#ignorance#change#anything#keepongoing#wanttosay#missing#lovingbadly#missingbadly😔#follow#followforlike#followformore#followme#dearzindagi</t>
  </si>
  <si>
    <t>relationship</t>
  </si>
  <si>
    <t>dearzindagi</t>
  </si>
  <si>
    <t>followformore</t>
  </si>
  <si>
    <t>1599468294481709864_5816698742</t>
  </si>
  <si>
    <t>It is pouring rain out today cant wait to get those epic pictures of central park in the rain! Will post later 
#love  #vancouver  #persistence #yellowlab #lab #Vancouverlabs #labpup #labrador #sleepy #sleepylab #happy #learning #gettingthere #day26 #cheeseroll #prettysun #adoptaversary #loveyou #keepongoing #rain #pouringrain #letsgo</t>
  </si>
  <si>
    <t>day26</t>
  </si>
  <si>
    <t>yellowlab</t>
  </si>
  <si>
    <t>benaurelien</t>
  </si>
  <si>
    <t>1599474263303043554_1787690691</t>
  </si>
  <si>
    <t>Too many bails, too many tries, too many wounds...I have to delay "...TIME...", which was suppose to come out tomorrow for my 38th bthday...I couldn't do certain tricks, I got hurt on some others...I don t feel satisfied enough of it to release it..."...TIME..."is almost done tho'...just a bit more patience...#almostready #comingsoon #eatshit #keepongoing #fatherandson #toooldtodieyoung @snowbeach_paris @jartskateboards @independenttruckcoeurope @aperockcafe @diamondsupplyco @charlotte_hym @syd_aurelien @keenone @repuhood @beskatemag @dammn_skateboarding @skatedashit @sugarskatemag @captainconso @thetrumanburbank</t>
  </si>
  <si>
    <t>eatshit</t>
  </si>
  <si>
    <t>almostready</t>
  </si>
  <si>
    <t>1599476752588177873_1688797697</t>
  </si>
  <si>
    <t>Always time for a good coffee.. #mamma #morningcoffee #mum #piccolecose #compagnia #caffe #barcentrale #sanmartinodicastrozza #rallye #ombre #lucespeciale #beforework #happy #keepongoing #wevegotoholdon #readyornot</t>
  </si>
  <si>
    <t>beforework</t>
  </si>
  <si>
    <t>piccolecose</t>
  </si>
  <si>
    <t>caffe</t>
  </si>
  <si>
    <t>kivenmarjabar</t>
  </si>
  <si>
    <t>1599477259370939605_359554145</t>
  </si>
  <si>
    <t>It's not always about biking. It's also about loads of other stuff. 😄 I was going thru my fotos and here's one tb to Vietnam 2014 after Nepal and Malaysia. Vietnam is such an interesting country! There are 195 independent countries to visit and almost 7000 languages to learn (correct me if I am wrong). #Traveling is learning. I love #learning. All kind of. That means I will #keepongoing 👉🏽</t>
  </si>
  <si>
    <t>sithqueenmother</t>
  </si>
  <si>
    <t>1599478626259361274_5479547646</t>
  </si>
  <si>
    <t>🖤🥀😶
#storyofmylife #imdone #imdrained #imdeadinside #fakeasmile #keepongoing</t>
  </si>
  <si>
    <t>imdone</t>
  </si>
  <si>
    <t>imdrained</t>
  </si>
  <si>
    <t>fakeasmile</t>
  </si>
  <si>
    <t>thedougholden</t>
  </si>
  <si>
    <t>1599480087245736155_9583399</t>
  </si>
  <si>
    <t>#keepongoing #dontstop #dontsettle</t>
  </si>
  <si>
    <t>Berkeley, California</t>
  </si>
  <si>
    <t>ferkelmichelle</t>
  </si>
  <si>
    <t>1599482199161558352_4118957030</t>
  </si>
  <si>
    <t>So often things are not as they appear whether in our minds or the world around us.. don't let your current perception hold you captive continue to push forward past the world of appearances.. I guarantee you will find the truth if you keep on keepin on.. I am a firm believer in the sayings "those who seek will find," &amp; "the key is to believe in yourself and all things good on earth and in heaven." #focusonthepositive #seektruth #believeinyourself #keepongoing #lovelife</t>
  </si>
  <si>
    <t>focusonthepositive</t>
  </si>
  <si>
    <t>seektruth</t>
  </si>
  <si>
    <t>1599485617394013430_327987721</t>
  </si>
  <si>
    <t>I m not broken, just bended
Happy weekend y'all ******* #weekend #mindsethight #facade #smile #keepongoing #nevergiveup #mywaymymotivation</t>
  </si>
  <si>
    <t>facade</t>
  </si>
  <si>
    <t>mindsethight</t>
  </si>
  <si>
    <t>obnproductions</t>
  </si>
  <si>
    <t>1599490507505944342_1557903873</t>
  </si>
  <si>
    <t>Painting I did of a town in "Jiquilpan Michoacan, Mexico"!! This painting was done for my friends father!! My painting is on the (Left), the original photo is on the (Right)!!This is the First scenery painting I do!! "Practice makes Perfect"!! @streetartglobe @artfido @_revoke_
#godfirst #blessed #amazing #beautiful #art #drawing #painting #artist #painter #tattooartist #mexican #yucateco #merida #losangeles #sgv #oc #california #michoacan #musicproducer #recordingengineer #songwriter #ontherise #onlythebest #liveitup #keepongoing #dreambig #neverquit #therevolutionwillnotbetelevised #vivalarevolucion</t>
  </si>
  <si>
    <t>therevolutionwillnotbetelevised</t>
  </si>
  <si>
    <t>yucateco</t>
  </si>
  <si>
    <t>onlythebest</t>
  </si>
  <si>
    <t>positivemydude</t>
  </si>
  <si>
    <t>1599496453200484727_5829427104</t>
  </si>
  <si>
    <t>#positivethinking #positivethoughts #positivevibes #positivequotes #positiveattitude #goodthoughts #goodvibesonly #keepongoing #dontgiveup #keepholdingon</t>
  </si>
  <si>
    <t>keepholdingon</t>
  </si>
  <si>
    <t>goodthoughts</t>
  </si>
  <si>
    <t>1599498242777131262_179389652</t>
  </si>
  <si>
    <t>Good night 🌹
#naszsally🎶 #keepongoing #whatdoesntkillyoumakesyoustronger #dekatdihati💕 #whatmakeshappy #caritenang #fallriseshine #yangtersirat</t>
  </si>
  <si>
    <t>_glendamitchell</t>
  </si>
  <si>
    <t>1599502441141087064_1523568804</t>
  </si>
  <si>
    <t>Pick up your sword and fight.
#keepongoing</t>
  </si>
  <si>
    <t>suicideladybug</t>
  </si>
  <si>
    <t>1599502965705973210_4648913775</t>
  </si>
  <si>
    <t>So I'll be at my moms for awhile.. Hurricane and tornado took mine.. Going to move to west Texas.. Hope everyone is also OK!  Prayers for everyone everywhere.. #hurricaneharvey #texasstrong #keepongoing</t>
  </si>
  <si>
    <t>texasstrong</t>
  </si>
  <si>
    <t>lenobendler</t>
  </si>
  <si>
    <t>1599506438286451062_3996761961</t>
  </si>
  <si>
    <t>Und sie fährt und fährt .... #lissabon #tram #oldiebutgoldie✨ #keepongoing</t>
  </si>
  <si>
    <t>lissabon</t>
  </si>
  <si>
    <t>oldiebutgoldie✨</t>
  </si>
  <si>
    <t>tram</t>
  </si>
  <si>
    <t>emrah.nl</t>
  </si>
  <si>
    <t>1599512259795961626_7210425</t>
  </si>
  <si>
    <t>Tired after three days of being at the hospital. Dear MS, you can't stop me. Yes, sometimes you slow me down, but that's all. I know, stress and emotional situations are very bad for me, so from now I will try to avoid these kind of situations. I have done it before and I will do it again. I will enjoy my life, as long as I can. I will live, I will laugh, I will love, I will travel and I will enjoy. So, FUCK YOU! You still don't know who you are dealing with. You can't kill my vibe and you can't kill my smile. Yes, I am realistic. Maybe things will get more worse later, but don't worry. I am strong enough to handle that too. We have a big family and pray for each other. Special thanks to all who have sent me messages and also visited me at the hospital @vumcamsterdam . With your support, I will keep on winning this fight.
.
.
.
.
#ms #mssucks #msfighter #fighter #warrior #mswarrior #fuckms #curems #multiplesklerose #multiplesclerosis #chronicillness #live #love #laugh #enjoy #killms #dontstop #keepongoing #keeponsmiling #gulumse #savas #dayan #hayat #life #vu #vumc #vumcamsterdam #hospital #like  #follow</t>
  </si>
  <si>
    <t>VUmc Amsterdam</t>
  </si>
  <si>
    <t>hospital</t>
  </si>
  <si>
    <t>killms</t>
  </si>
  <si>
    <t>fuckms</t>
  </si>
  <si>
    <t>gulumse</t>
  </si>
  <si>
    <t>progeny_of_gaia</t>
  </si>
  <si>
    <t>1599513601529181015_5915801519</t>
  </si>
  <si>
    <t>Never fear darkness, it cannot touch that which you bathe with light. Do not be afraid of those who live to destroy, they are the ones who will fall. Stand strong. Believe. Never give in. We are the warriors of the light. We stand with all of you. ❤️ #focus #light #darkness #dragon #power #positivevibes #positive #strength #believe #nevergiveup #motivation #strong #stand #oneworld #progenyofgaia #martialartist #martialarts #focus #fox #unite #warrior #love #neverfear #keepongoing</t>
  </si>
  <si>
    <t>dragon</t>
  </si>
  <si>
    <t>fox</t>
  </si>
  <si>
    <t>oneworld</t>
  </si>
  <si>
    <t>romyrika</t>
  </si>
  <si>
    <t>1599523942569880328_261426206</t>
  </si>
  <si>
    <t>So... that..😉 .
#workhard #nevergiveup #keepongoing</t>
  </si>
  <si>
    <t>1599529208123346386_5773560131</t>
  </si>
  <si>
    <t>A little lipstick never hurts! 👄</t>
  </si>
  <si>
    <t>begood</t>
  </si>
  <si>
    <t>1599529573840717998_227049435</t>
  </si>
  <si>
    <t>•| La posibilidad de realizar un sueño Es lo que hace que la vida sea interesante✨ RECUERDA siempre que tu situación actual, no Es tu destino final. "Lo mejor está por venir"✨|• 🌸T.G.I.F🌸 Feliz Viernes‼️ Comienzo del fin de semana, pasenla divino💕 📸Photo By: @jsibajaphotos 👄MUA by: @makeupby_jenn1 #tgif #God #positivevibes #keepongoing #love  #beyourself #photooftheday #instamood #girl #beautiful #instadaily #instagramhub #follow  #bestoftheday #happy  #sky #nofilter #fashion #followme #motivation #life #art #fashion #newyorkcity</t>
  </si>
  <si>
    <t>sphereofdinblog</t>
  </si>
  <si>
    <t>1599534135139272488_2229924934</t>
  </si>
  <si>
    <t>LYRICALLY A C C U R A T E | Not currently able to put this listening experience into words.. #justlisten #onrepeat #nowplaying #sphereofdinMUSIC</t>
  </si>
  <si>
    <t>christianblogger</t>
  </si>
  <si>
    <t>skyblue</t>
  </si>
  <si>
    <t>1599535901612346975_2108943652</t>
  </si>
  <si>
    <t>#instructor #greekgirls #friends #kovemylife #lovemyfriends #keepongoing #fridaynight #weekend #summer2017 #❤️</t>
  </si>
  <si>
    <t>greekgirls</t>
  </si>
  <si>
    <t>pia72aip</t>
  </si>
  <si>
    <t>1599549551864488738_843826830</t>
  </si>
  <si>
    <t>Beautiful piece of sky tonight. Beautiful beams of light, hope in the dark gray surroundings. A promise that everything will turn out great ✨Keep on going towards your dream, doing what You want to do, one step at a time and feeling lighter for each step taken... The light is there to remind You that universe is there supporting You, celebrating with you every step on the way... #loveandlight #alliswell #onestepatatime #besmsoflight #promisinglight #lovinglight #universeisholdingyourback #grateful #gratetude #gratefulness #lifepath #keepongoing</t>
  </si>
  <si>
    <t>gratetude</t>
  </si>
  <si>
    <t>promisinglight</t>
  </si>
  <si>
    <t>besmsoflight</t>
  </si>
  <si>
    <t>magicalsunflowerblacklovechild</t>
  </si>
  <si>
    <t>1599555378231600462_2979811102</t>
  </si>
  <si>
    <t>For those of us who are just barely holding on... #keepongoing  #theraceisgiventotheonewhoendures</t>
  </si>
  <si>
    <t>Lake Charles Park Cemetery &amp; Mausoleum</t>
  </si>
  <si>
    <t>theraceisgiventotheonewhoendures</t>
  </si>
  <si>
    <t>jrdeason2</t>
  </si>
  <si>
    <t>1599558987053715836_6241883</t>
  </si>
  <si>
    <t>Happy Friday!  If there is one thing I have learned it's that there is always going to be another obstacle to get through or hurdle to get over.  Lately, nothing has been easy.  It's been a month since I got into my wreck and my car was totaled.  It's been challenging in so many ways.  But I keep pushing through no matter how hard things get.  Thankfully, I have an amazing family that has helped me tremendously through so much over the last month.  The storm isn't over though. Far from it actually.  But what I have learned is that my attitude about every situation is what will make or break me.  It's not easy to remain positive with dark clouds surrounding me.  But it's necessary.  It's a must. Regardless of how much further I have to go, it is still important to remember how far I have come to get to where I am today.  #staypositive #positivethinking #positivevibes #beatdepression #staystrong #mindovermatter #howfarivecome #depressionawareness #depression #everythinghappensforareason #keepongoing #talkaboutwhatmatters #truth #realtalk #foodforthought #life #lifestough #friday #fridayfeeling #fridayvibes #fridayselfie #fridayfeels #TGIF #reality #hogwarts</t>
  </si>
  <si>
    <t>Pensacola, Florida</t>
  </si>
  <si>
    <t>beatdepression</t>
  </si>
  <si>
    <t>1599573784390491808_4203348813</t>
  </si>
  <si>
    <t>Look at them glutes 😍😍 FIRE</t>
  </si>
  <si>
    <t>travel_with_melinda</t>
  </si>
  <si>
    <t>1599574280633455763_5633401726</t>
  </si>
  <si>
    <t>The typical Italian markets.
•
•
•
•
#italy #compodifiori #rome #wanderlust #gypsysoul #exploretheworld #gypsy #travel #travels #travelbug #travelbug #travellife #fbf #markets #explore #explorer #europe #livinglifemyway #livinglife #worldtravel #worlderlust #wander #wonderlust #keepongoing #instatravel #ilovetravel ##happiness #travelgram #</t>
  </si>
  <si>
    <t>exploretheworld</t>
  </si>
  <si>
    <t>travels</t>
  </si>
  <si>
    <t>livinglifemyway</t>
  </si>
  <si>
    <t>1599582800724505002_5532723709</t>
  </si>
  <si>
    <t>After a serious workout 💪🏼😊#gymmotivation #gymshark #trainingday #keepongoing #fitnessmotivation #fitnesstrainer ##boxing #weightlifting #strength #strenghtraining #strenghandconditioning #excercise</t>
  </si>
  <si>
    <t>excercise</t>
  </si>
  <si>
    <t>fitnesstrainer</t>
  </si>
  <si>
    <t>arrigoni.pedro</t>
  </si>
  <si>
    <t>1599592132631524068_1513690305</t>
  </si>
  <si>
    <t>Irmãos que a vida me deu! #jiujitsulifestyle #oss #bjj #tmj #quemnaotajuntotacontra #jiujitsu #riodejaneiro #goodtimes #greattimesarecoming #keepongoing</t>
  </si>
  <si>
    <t>quemnaotajuntotacontra</t>
  </si>
  <si>
    <t>oss</t>
  </si>
  <si>
    <t>ricochameleo</t>
  </si>
  <si>
    <t>1599592871902763244_3663877311</t>
  </si>
  <si>
    <t>january vs september
Januar vs September
Janeiro vs Setembro 
DREAADS whats going on !? 😅😅❤
Soo happy 🙏☉❤
.
.
#dreads #dreadupdate #finally #dreadhead #headwithdreads #haircomparison #sexta #friday #happy #happyhappy #beyourself #loveyourself #smile #and #keepongoing 💪🙏
#LoveandPeace #boanoite</t>
  </si>
  <si>
    <t>happyhappy</t>
  </si>
  <si>
    <t>headwithdreads</t>
  </si>
  <si>
    <t>dreadupdate</t>
  </si>
  <si>
    <t>sexta</t>
  </si>
  <si>
    <t>0jaype0</t>
  </si>
  <si>
    <t>1599594931641718262_5838849722</t>
  </si>
  <si>
    <t>Day 8 of #yogaeverydamnday The last week has been quiet challenging. Instead of feeling really energized and happy I've been down most of the time and felt like crying a lot. But hey it's only the beginning and I haven't really practiced yoga a lot before so something started rolling and that's GOOD! That path that's right in front of us is a guide leading us the right direction and we only need to follow in good faith, right? Sooo today I started a bath-salts-purification. It kills all the bad bacteria in your body and helps you rebuild a natural healthy digestion system to find your inner balance. Let's see how this week is gonna feel. If anyone is interested in more information about bath-salts-purification I'm happy to link you to the practitioner ✌🏼 #yogagirlchallenge #yoga_girl #growing #strong #honesty #path #guide #nature #positivity #bathsalts #purification #practitioner #keepongoing #believe #community #followforfollow #friends #lovelife</t>
  </si>
  <si>
    <t>yoga_girl</t>
  </si>
  <si>
    <t>honesty</t>
  </si>
  <si>
    <t>1599596944615785718_40740215</t>
  </si>
  <si>
    <t>I've been a little MIA today but it was because this was my reality. You can tell I was extremely nervous (my hands and face say it all). But I'm home now and recovering on my comfy couch with my family. Thank you to everyone who has reached out to say they are thinking about me or for those keeping me in their prayers, I truly appreciate every single one of you💕</t>
  </si>
  <si>
    <t>juneontheroad</t>
  </si>
  <si>
    <t>1599597025438374279_1023580929</t>
  </si>
  <si>
    <t>That moment....When u got to response to ridiculousness! #beurself #nobs #staywise #wisdomfriday #donttakelifesoseriously #fightthegoodfight #staypositive #keepongoing #possitivity #possitivevibes #lifeisgood #laughatlife #keepon #lovelife #fresh #becool #instagood #selfietime #face #lifeportrait #igers #fun #instalove #igdaily</t>
  </si>
  <si>
    <t>wisdomfriday</t>
  </si>
  <si>
    <t>lifeportrait</t>
  </si>
  <si>
    <t>beurself</t>
  </si>
  <si>
    <t>possitivevibes</t>
  </si>
  <si>
    <t>nobs</t>
  </si>
  <si>
    <t>wherestarsgo</t>
  </si>
  <si>
    <t>1599602450711552682_3541320304</t>
  </si>
  <si>
    <t>Urgh. Just pushing through as I learn and try things for the first time. Frustrated with how long new things take. Nervous about how it's going to go. Moving forward anyway.
Wouldn't say no to some encouragement.
#trailblazingface #warriorphase #10phasesoftheunknown #definitelyintheunknown #keepongoing #pushthrough #makeitrain #ohwait #itisraining #ugh</t>
  </si>
  <si>
    <t>ohwait</t>
  </si>
  <si>
    <t>itisraining</t>
  </si>
  <si>
    <t>warriorphase</t>
  </si>
  <si>
    <t>definitelyintheunknown</t>
  </si>
  <si>
    <t>10phasesoftheunknown</t>
  </si>
  <si>
    <t>jeannerj87</t>
  </si>
  <si>
    <t>1599605382463661595_33423089</t>
  </si>
  <si>
    <t>When the sun is shining through the window at work when you are trying to do things.....you put on your shades 😎 and keep on!! #aintnobodygottimeforthat #sunneversetsonme #keepongoing</t>
  </si>
  <si>
    <t>sunneversetsonme</t>
  </si>
  <si>
    <t>aintnobodygottimeforthat</t>
  </si>
  <si>
    <t>1599613179095476336_189872296</t>
  </si>
  <si>
    <t>Trying to be happy these last few weeks despite everything that's happened. Just have to keep smiling to keep the demons at bay.
#behappy #smile #curlyhair #pogonophile #happiness #demons #roughweek #keepongoing #loveyourself</t>
  </si>
  <si>
    <t>k_isgettingfit</t>
  </si>
  <si>
    <t>1599616341736040629_1406965906</t>
  </si>
  <si>
    <t>Progress 👌🏻
Schönes Wochenende 😘
#fridaynight#chestnight#chestday#brusttraining#pump#pumpen#mcfit#chestpump#getinshape#progress#keepongoing#noexcuses #workforit#workout#fitness#fitnessstudio#muskeln#girlswithmuscle#heavylifting#lifting#fitgirl#gymlife#sport#bodybuilding#itsalifestyle#bodygoals#bethebestversionofyou</t>
  </si>
  <si>
    <t>1599618660028596519_4869035138</t>
  </si>
  <si>
    <t>Double tap 💯❌
Follow us here @100xsuccess 🔥
•
From @secrets2success</t>
  </si>
  <si>
    <t>1599621862597689840_2108943652</t>
  </si>
  <si>
    <t>#nstructor #friends #fridaynight #babys #lovefriends #keepongoing #summer2017 #instafriends 🙏</t>
  </si>
  <si>
    <t>babys</t>
  </si>
  <si>
    <t>instafriends</t>
  </si>
  <si>
    <t>mittenmedia</t>
  </si>
  <si>
    <t>1599624696301744272_34222811</t>
  </si>
  <si>
    <t>Chin up, it's Friday! 👌🏻🙌🏻
.
.
.
#MittenMedia #photooftheday #graphicdesign #graphic #quote #michigan #midmichigan #michigangirl #michigandesigner #michigander #quoteoftheday #chinup #keepongoing #thegoodlife #puremichigan #quotestoliveby #fail #jackson #jacksonmichigan #jacksonmi #instagood #instadaily #instalove #igersjax #igerslansing</t>
  </si>
  <si>
    <t>Michigan</t>
  </si>
  <si>
    <t>jackson</t>
  </si>
  <si>
    <t>midmichigan</t>
  </si>
  <si>
    <t>michigangirl</t>
  </si>
  <si>
    <t>lilybelsuk</t>
  </si>
  <si>
    <t>1599626882450353461_1941887039</t>
  </si>
  <si>
    <t>Always keep on 'keeping on'  #onefortheladies #motivational #keepongoing #keeponkeepingon #tomorrowisanewday #quoteoftheday #bestrong</t>
  </si>
  <si>
    <t>tomorrowisanewday</t>
  </si>
  <si>
    <t>1599631236641106024_216089260</t>
  </si>
  <si>
    <t>Help me choose - fix up Friday!
#divineorder #empoweringwomen #goals #growth #happy #inspiration #jamaicanlifecoach #lifecoach #lovemyjob #mindset #morethanenough #nofear #nicolewright #purpose #success #survivor #universe #nevertoolatetostartover #nevertoolatetobegin #standuptocancer #nevergiveup #keepongoing #believeinyourself #happy #lovemylife  #anthropologie #naturalhair #jamaicanlifecoach</t>
  </si>
  <si>
    <t>instructor_hoss</t>
  </si>
  <si>
    <t>1599656394419879751_5997759561</t>
  </si>
  <si>
    <t>5 hammer pulls, 3.68 sec. 10yd.  All in 8 or above. #keepongoing #notthereyet #1911 #springfield #justanotherday #guns #idpa and #uspsa here I come.</t>
  </si>
  <si>
    <t>idpa</t>
  </si>
  <si>
    <t>uspsa</t>
  </si>
  <si>
    <t>guns</t>
  </si>
  <si>
    <t>1599657998515183479_216089260</t>
  </si>
  <si>
    <t>Thank you for your mercy, God! Thank you for your love, God! Thank you for showing me and reminding me that you are the one who knows me, accepts me and loves me just as I am!!!
.
#divineorder #empoweringwomen #goals #growth #happy #inspiration #jamaicanlifecoach #lifecoach #lovemyjob #mindset #morethanenough #nofear #nicolewright #purpose #success #survivor #universe #nevertoolatetostartover #nevertoolatetobegin #standuptocancer #nevergiveup #keepongoing #believeinyourself #happy #lovemylife  #anthropologie #naturalhair #jamaicanlifecoach</t>
  </si>
  <si>
    <t>1599659710083818148_5495249433</t>
  </si>
  <si>
    <t>Perfect start to the day ☉ 
Coconut Yoghurt, blueberries &amp; cinnamon 🍇</t>
  </si>
  <si>
    <t>1599664845481709855_5816698742</t>
  </si>
  <si>
    <t>Just another beautiful day for a long walk through the park. Im so happy with how much he has been improving 💯
#love  #vancouver  #persistence #yellowlab #lab #Vancouverlabs #labpup #labrador #sleepy #sleepylab #happy #learning #gettingthere #day27 #loveyou #keepongoing #rainydays #trails #centralpark #quiet</t>
  </si>
  <si>
    <t>Central Park (Burnaby)</t>
  </si>
  <si>
    <t>1599666325012264544_5717527571</t>
  </si>
  <si>
    <t>#keepongoing #dolomiti #bletterbach #canyon #permianbasin #redrock #waterfall #unesco #geologicalheritage 
My rocky Bletterbach lungs.</t>
  </si>
  <si>
    <t>Bletterbach</t>
  </si>
  <si>
    <t>bletterbach</t>
  </si>
  <si>
    <t>redrock</t>
  </si>
  <si>
    <t>canyon</t>
  </si>
  <si>
    <t>1599679696663398703_2065144435</t>
  </si>
  <si>
    <t>Panama City: probably the only place where you can take a $5 Uber to the rainforest to see wild sloths and butterflies with a backdrop like this.
Been really enjoying a little refresher of city life here for the last few days.
#panamacity #panama</t>
  </si>
  <si>
    <t>Metropolitan Park Panamá</t>
  </si>
  <si>
    <t>liveoutdoors</t>
  </si>
  <si>
    <t>1599686954932159914_189021658</t>
  </si>
  <si>
    <t>Good workouts this week and Nutrition fuel the body right will make you go far  Strength &amp; Honor... Grand total as of now lost 108 pounds Lost #keeponfighting #keepongoing #nevergiveup #fitlife #fitnessjourney #flexfriday</t>
  </si>
  <si>
    <t>flexfriday</t>
  </si>
  <si>
    <t>1599697069513914391_5998516572</t>
  </si>
  <si>
    <t>It's easier than ever to sneak extra protein into your diet. I always buy a handful of protein bars whenever i see them cheap and put them in the fridge. They're fantatsic for if i'm running late and don't have time for a shake. Also, many bakeries sell protein filled, low carb bread now. This one has 10grams of protein in every 2 slices. Just be careful not to over do it. 
Use code: DUKINO39FF10
at Fire &amp; Fury Apparel for discounts on all items. Link in my description. Thank you
#fitspo #fitfam #beards #training #lifting #protein #vikings #nordic #gains #neverstop #gym #fitness #strength #endurance #bloodsweatandtears #nopainnogain #keepongoing #motivation #inspiration  #fireandfuryapparel #bread #healthfood #healthyfood #healthylifestyle #healthy #healthyliving</t>
  </si>
  <si>
    <t>nordic</t>
  </si>
  <si>
    <t>travelerzwallet</t>
  </si>
  <si>
    <t>1599698089736082338_4542206534</t>
  </si>
  <si>
    <t>Happiest travel buddy 😍🐶! What do you guys think?
--
Follow @travelerzwallet for more!
--
Photo credits to the respective owner.</t>
  </si>
  <si>
    <t>Indian Lake, New York</t>
  </si>
  <si>
    <t>yajaira_ruiz1</t>
  </si>
  <si>
    <t>1599701851975197985_789786099</t>
  </si>
  <si>
    <t>🍂🍂🍁 #workaholic #actorslife #auditions #callbacks #dontgiveup #tgif #keepongoing</t>
  </si>
  <si>
    <t>callbacks</t>
  </si>
  <si>
    <t>ryan.lallyyyyy</t>
  </si>
  <si>
    <t>1599709791155384866_3033350800</t>
  </si>
  <si>
    <t>Had a lot of fun at @musicauthorityinc  today!!! Seeing @_caroline.reilly_ @kaitlyn_lahr @blake.bassham 
Was a lot of fun. 
#keepongoing</t>
  </si>
  <si>
    <t>Music Authority</t>
  </si>
  <si>
    <t>trudypatt</t>
  </si>
  <si>
    <t>1599712229656569426_1608986150</t>
  </si>
  <si>
    <t>These hurricanes and floods have changed the lives of so many people in such drastic ways.  We all have "storms" in our lives.  May they make us stronger, smarter, and kinder.
#stormsoflife #stronger #smarter #kinder #keepongoing</t>
  </si>
  <si>
    <t>smarter</t>
  </si>
  <si>
    <t>kinder</t>
  </si>
  <si>
    <t>stormsoflife</t>
  </si>
  <si>
    <t>suellen_renfro2017</t>
  </si>
  <si>
    <t>1599724762992848802_4314848694</t>
  </si>
  <si>
    <t>. #keepongoing #pray #bestrong</t>
  </si>
  <si>
    <t>camerongerrie</t>
  </si>
  <si>
    <t>1599726927495752711_222886734</t>
  </si>
  <si>
    <t>Numbers are by no means the biggest thing because  it's a practice that you have to turn up to every new day , take what you have and give your best.
But  Gotta love a good milestone - 6 years and 1300 hours of Yoga with the @powerliving team . 
A huge thanks to Jacqui and all the team for my gift voucher which went straight to a second Jade mat for traveling 🙏🙏👏#yoga#powerliving#fitness#milestones#elevatedpotential#yogalife#powerlivingbondibeach#keepongoing#happydays</t>
  </si>
  <si>
    <t>elevatedpotential</t>
  </si>
  <si>
    <t>powerliving</t>
  </si>
  <si>
    <t>1599732019565487070_260442961</t>
  </si>
  <si>
    <t>You are not a drop in the ocean.. you are the entire ocean,in a drop..🦂</t>
  </si>
  <si>
    <t>summerstyle</t>
  </si>
  <si>
    <t>freedomthinkers</t>
  </si>
  <si>
    <t>1599732804178293829_4230484970</t>
  </si>
  <si>
    <t>@demirosemawby 👙💛</t>
  </si>
  <si>
    <t>goal.mine</t>
  </si>
  <si>
    <t>1599734602225998689_5536410044</t>
  </si>
  <si>
    <t>Failing will only make you stronger. #failure#goalmine#keepongoing</t>
  </si>
  <si>
    <t>goalmine</t>
  </si>
  <si>
    <t>1599735475445411485_12985364</t>
  </si>
  <si>
    <t>Know what I love?! Not wearing polyester to work, and having weekends off! Haha everything works out #instapic #instaphoto #igdaily #brunette #brownhairdontcare #glasses #verawangglasses #greeneyes #chickswithtattoos #girlswithtattoos #keepongoing #freefromretail</t>
  </si>
  <si>
    <t>freefromretail</t>
  </si>
  <si>
    <t>verawangglasses</t>
  </si>
  <si>
    <t>arshyab</t>
  </si>
  <si>
    <t>1599749045595727957_300331288</t>
  </si>
  <si>
    <t>I've been through do much, all I can do now is keep on going 😌
#365daychallenge #day243 #quote #igotthis #letsdothis #keepongoing #keepgoing #life #kaybye</t>
  </si>
  <si>
    <t>365daychallenge</t>
  </si>
  <si>
    <t>kaybye</t>
  </si>
  <si>
    <t>iamthephantomphoenix</t>
  </si>
  <si>
    <t>1599752688517909481_5886938064</t>
  </si>
  <si>
    <t>You ready for a long haul?  #KeepOnGoing 🛣</t>
  </si>
  <si>
    <t>katekriha</t>
  </si>
  <si>
    <t>1599756178185845224_234212835</t>
  </si>
  <si>
    <t>Always have hope. And always seek the silver linings! 🙌🏼✨💖 #positivity #godsgotthis #lookingonthebrightside #optimism #believe #hope #love #silverlinings #keepthefaith #keepongoing #livewithcompassion2017</t>
  </si>
  <si>
    <t>livewithcompassion2017</t>
  </si>
  <si>
    <t>optimism</t>
  </si>
  <si>
    <t>lookingonthebrightside</t>
  </si>
  <si>
    <t>lelianateng</t>
  </si>
  <si>
    <t>1599758922184840091_323198049</t>
  </si>
  <si>
    <t>: Ini baru namanya usaha. Gak ngaku2 paid promote ke bloggers, tp omdo alias omong doank. Berbekal "passion" ; promote akan datang sendirinya 💙
*yeah.. GOD is good all the times 🙏🏼
#passionmadepossible #asaladakemauanpastiadajalan #keepongoing #keeppositive</t>
  </si>
  <si>
    <t>asaladakemauanpastiadajalan</t>
  </si>
  <si>
    <t>keeppositive</t>
  </si>
  <si>
    <t>passionmadepossible</t>
  </si>
  <si>
    <t>bea_stylist</t>
  </si>
  <si>
    <t>1599786650853806986_360112462</t>
  </si>
  <si>
    <t>What I love to do most is to get Creative!! A few designs I've been meaning to post, I love this kind of art! Let me draw on your head lol 🙌🏼 hmu if you'd like to try something new! #design #designs #faded #fadedhair #fadeddesigns #undercut #woman #men #whoever #lol #designlines #edgers #smalltrimmers #mycanvas #whatilove #artwork #keepongoing #gettingbetter #daybyday #workinghard #alwayslearning #mypassion #stylesbybeaa</t>
  </si>
  <si>
    <t>MilagroSalons</t>
  </si>
  <si>
    <t>fadeddesigns</t>
  </si>
  <si>
    <t>faded</t>
  </si>
  <si>
    <t>smalltrimmers</t>
  </si>
  <si>
    <t>davidlinares2016</t>
  </si>
  <si>
    <t>1599792802933579651_2022139862</t>
  </si>
  <si>
    <t>Back to the gym 😅😈😋 #keepongoing</t>
  </si>
  <si>
    <t>maccarunz</t>
  </si>
  <si>
    <t>1599792893705636358_243176274</t>
  </si>
  <si>
    <t>Yes the pools are back open😁😁😁😁😁😁😁😁😁😁
#niceswim #endurance #cardio #goodtraining #slow #steady #slowlane #keepongoing #keepontraining #swimming #running #nofinishline #justkeepgoing 👍👊❤😁💨</t>
  </si>
  <si>
    <t>Ripples Leisure Centre Penrith</t>
  </si>
  <si>
    <t>goodtraining</t>
  </si>
  <si>
    <t>steady</t>
  </si>
  <si>
    <t>slowlane</t>
  </si>
  <si>
    <t>1599793424586837864_5705167414</t>
  </si>
  <si>
    <t>True love ❤  #Dubnation
-
-
-
-
-
-
-
-
-
-
-
-
-
-
-
-
-
-
-
-
-
-
-
-
-
-
-
-
-
-
-
-
-
-
-
-
-
-
-
-
 #StephGonnaSteph #Mvp #SC30 #KT11 #DG23 #CURRYMVP #KEEPONGOING #NEVERGIVEUP #WCF #WEST #WESTERNCONFERENCEFINALS #CHAMPS #DUBSFORCHAMPS #DUBS #ALWAYSBELIEVEINGOD #STEPHENCURRY #EVEN #NBA #2016CHAMPS #CHAMPIONS #LOCKIN #STEPH #SPLASH #SPLASHBROS  #like4like #like4follow #follow4follow</t>
  </si>
  <si>
    <t>dannyrheafisher</t>
  </si>
  <si>
    <t>1599795620833883886_197837105</t>
  </si>
  <si>
    <t>Top 1,2,3  #cbbfnationals2017 #lovemylife #figure #cbbf #symmetry #roundmusclebellies #aesthetics #girlswholift #ilovelifting #proof #hardworkpaysoff #patience #benweiderlegacycup2017 #keepongoing</t>
  </si>
  <si>
    <t>cbbf</t>
  </si>
  <si>
    <t>roundmusclebellies</t>
  </si>
  <si>
    <t>symmetry</t>
  </si>
  <si>
    <t>1599796046219977449_197837105</t>
  </si>
  <si>
    <t>cbbfnationals2017</t>
  </si>
  <si>
    <t>ilovelifting</t>
  </si>
  <si>
    <t>1599796743179161422_197837105</t>
  </si>
  <si>
    <t>maco7</t>
  </si>
  <si>
    <t>1599803563513439178_39588616</t>
  </si>
  <si>
    <t>Artist. Busy at work. #artist #gallery #art #oneday #hope #keepongoing #capecod #provincetown</t>
  </si>
  <si>
    <t>Provincetown, Cape Cod</t>
  </si>
  <si>
    <t>gallery</t>
  </si>
  <si>
    <t>provincetown</t>
  </si>
  <si>
    <t>capecod</t>
  </si>
  <si>
    <t>1599810761559796953_5998516572</t>
  </si>
  <si>
    <t>Nothing makes you feel bigger and more solid than a chest, back, shoulder and tricep session. It never ceases to give me a huge confidence boost. Ignore the mess on my bed. Midway through washing day. Haha
Use code: DUKINO39FF10
at Fire &amp; Fury Apparel for discounts on all items. Link in my description. Thank you
#fitspo #fitfam #beards #training #lifting #protein #vikings #nordic #gains #neverstop #gym #fitness #strength #endurance #bloodsweatandtears #nopainnogain #keepongoing #motivation #inspiration  #fireandfuryapparel #healthylifestyle #healthy #healthyliving #chest #tricep #confidence</t>
  </si>
  <si>
    <t>r.b_heavensent</t>
  </si>
  <si>
    <t>1599810826981547978_298878414</t>
  </si>
  <si>
    <t>Every next level of your life will demand a different version of you.
#keepongoing #unapologeticallyme</t>
  </si>
  <si>
    <t>unapologeticallyme</t>
  </si>
  <si>
    <t>tasuku0079</t>
  </si>
  <si>
    <t>1599818114919613846_264817019</t>
  </si>
  <si>
    <t>#やってみよう 
#keepongoing</t>
  </si>
  <si>
    <t>Ogasawara-mura, Tokyo, Japan</t>
  </si>
  <si>
    <t>やってみよう</t>
  </si>
  <si>
    <t>1599823808427154321_5705167414</t>
  </si>
  <si>
    <t>Made another edit!!! I put a quote this time, hope you guys like it!!!! 🔥  #Dubnation
-
-
-
-
-
-
-
-
-
-
-
-
-
-
-
-
-
-
-
-
-
-
-
-
-
-
-
-
-
-
-
-
-
-
-
-
-
-
-
-
 #StephGonnaSteph #Mvp #SC30 #KT11 #DG23 #CURRYMVP #KEEPONGOING #NEVERGIVEUP #WCF #WEST #WESTERNCONFERENCEFINALS #CHAMPS #DUBSFORCHAMPS #DUBS #ALWAYSBELIEVEINGOD #STEPHENCURRY #EVEN #NBA #2016CHAMPS #CHAMPIONS #LOCKIN #STEPH #SPLASH #SPLASHBROS  #like4like #like4follow #follow4follow</t>
  </si>
  <si>
    <t>1599826159999027756_5781397138</t>
  </si>
  <si>
    <t>On the Camino
Approaching Portomarín
.
After walking on stony and solid ground I was a little scared to cross the bridge, that seemed to swing a little bit. I was actually thinking about crossing the water directly 😂 
#camino #onthecamino #encamino #caminodesantiago #stjamesway #jakobsweg #galicia #pilgrim with #breastcancer #metastaticcancer under #chemotherapy #keepongoing #neverquit #lifeisbeautiful #keeponmoving #trustyourself</t>
  </si>
  <si>
    <t>joannedraper_slimmingworld</t>
  </si>
  <si>
    <t>1599838316592071861_5898690265</t>
  </si>
  <si>
    <t>So true. #keepongoing #wecandothis</t>
  </si>
  <si>
    <t>1599839818731367573_5741748538</t>
  </si>
  <si>
    <t>Day 55: Mental prep for the long day that is tomorrow... 5k some work and creating/transporting a cake to a wedding attending same wedding and prepping for another 5k on Sunday.... who says that weekends are for relaxing? 🤣#aintgottimeforthat #weightloss #weightlossjourney #busyweekends #gettingshitdone #fattofit #5k #rabc2017 #keepongoing #gogirlrunokc #gogirlrun2017</t>
  </si>
  <si>
    <t>gettingshitdone</t>
  </si>
  <si>
    <t>rabc2017</t>
  </si>
  <si>
    <t>gogirlrunokc</t>
  </si>
  <si>
    <t>5k</t>
  </si>
  <si>
    <t>nicolenmook</t>
  </si>
  <si>
    <t>1599840572615559285_3673029343</t>
  </si>
  <si>
    <t>#portrait #IsaaC .
.
Teacher asked us to find IsaaC's work but we couldn't find the one. So we asked him.
" IsaaC, you don't wear glasses~".
" No~, mom! They are my eyes!! " 🤣🤣🤣
Difference btw adulthood &amp; childhood.
We see what we see, 
Kids see what they want to see.
What can we do to make them not to loose their dream-eyes.. 🤔
.
Back to school 갔더니 이삭씨 그심 찾아보랬는데 따른 애들 것만 찍음. 죄~다 틀림. ㅠㅠ 
그래서 물어봤당.
" 이삭씨, 이삭이는 안경 안 쓰쟈나~. 응?".
" No~mom. They are my eyes~!!! " 
큰 눈이 부러웠나? 아님 자기 눈이 저렇게 생겼다고?.
🤣🤣🤣.
.
역쉬나, 우리들은 보이는 것만 보려하고..
아이들은 보고싶어 하는 것을 본다.
이렇게 꿈을 꾸며 사는 아이들에게 
우리가 무엇을 보여줘야 그 꿈을 잃지않을까...🤔
.
.
#daily #manythoughts #beatrueleader #children #thelight #keepongoing #dream #achieve #lakids #childrenofgod #livelovelaugh #momsdiary #lamom #calimom #데일리 #인스타키즈 #자화상 #이삭씨 #안경 #쌍거풀 #아들스타그램 #네꿈을펼쳐라 #엘에이맘 #육아일기 #소통 #포토그램 #엘에이일상</t>
  </si>
  <si>
    <t>안경</t>
  </si>
  <si>
    <t>네꿈을펼쳐라</t>
  </si>
  <si>
    <t>육아일기</t>
  </si>
  <si>
    <t>포토그램</t>
  </si>
  <si>
    <t>chrislovestogym</t>
  </si>
  <si>
    <t>1599841987171499189_6012380507</t>
  </si>
  <si>
    <t>Energizer  #gym #preworkout #keepongoing #fitness #monsterenergydrink #strongisthenewsexy</t>
  </si>
  <si>
    <t>strongisthenewsexy</t>
  </si>
  <si>
    <t>monsterenergydrink</t>
  </si>
  <si>
    <t>1599842871096044064_5339165643</t>
  </si>
  <si>
    <t>#becommitted #findaway #dontgiveup #keepongoing #entrepreneurlife #entrepreneurship #millionairemindset #life #changelife #lifechanging #onlinecoach #affiliates #affiliatemarketer #successful #success #sparkleoftheday</t>
  </si>
  <si>
    <t>changelife</t>
  </si>
  <si>
    <t>ejpvisions</t>
  </si>
  <si>
    <t>1599847721647582743_1337438395</t>
  </si>
  <si>
    <t>The magic of physical attraction  #close #attractions #keepon #keepongoing #lust #smile #onherchest #closetoyou #smiles #lovingsmile #smilesfordays #sexysmile #desire #keepinkeepingon #closeness #closetoyourheart #scentofawoman #underarms #wanting #desires #smell  #wanther #taste #closer #taste #modeling #lustforlife #feelup #sexycouplegoals #sexyphotoshoot #sexyphotography</t>
  </si>
  <si>
    <t>close</t>
  </si>
  <si>
    <t>feelup</t>
  </si>
  <si>
    <t>onherchest</t>
  </si>
  <si>
    <t>smell</t>
  </si>
  <si>
    <t>smilesfordays</t>
  </si>
  <si>
    <t>1599852675013064870_6012380507</t>
  </si>
  <si>
    <t>A walk down memory lane #throwbacksaturday #yearsago #keepongoing #diet #gym</t>
  </si>
  <si>
    <t>yearsago</t>
  </si>
  <si>
    <t>throwbacksaturday</t>
  </si>
  <si>
    <t>belov_kd</t>
  </si>
  <si>
    <t>1599860461955618201_410225255</t>
  </si>
  <si>
    <t>А у многих так? Уже вот пол года эти одинаковые циферки - когда бы ты не открыл телефон или бук))) и "отхватываете ли вы лещей в полнолуние от незнакомцев?" #4 #keepongoing #welcometomyworld</t>
  </si>
  <si>
    <t>Chalong, Mueang Phuket</t>
  </si>
  <si>
    <t>welcometomyworld</t>
  </si>
  <si>
    <t>tritupu</t>
  </si>
  <si>
    <t>1599862250464780818_2970196013</t>
  </si>
  <si>
    <t>Jos ei tällä tällä aamu lähde käyntiin, niin ei sitten millään 🙈 #afterswim #triathlete #breakfast #needsomefuel #glutenfree #healthyfood #keepongoing #fitfood</t>
  </si>
  <si>
    <t>afterswim</t>
  </si>
  <si>
    <t>barshih</t>
  </si>
  <si>
    <t>1599868787935288691_957837734</t>
  </si>
  <si>
    <t>Non stop new dishes #asianingredients #creativecooking #fridaynight #summerfood  #bestchef #creative #keepongoing #cookingneedspassion #stuffbamboofungi #fork-roastporkrib #rosewine #玫瑰露酒 beeffilletnoodles #birthdaygirl #thankyouchef🙆 @clee_benu #topchef #keeponcooking</t>
  </si>
  <si>
    <t>Benu Restaurant</t>
  </si>
  <si>
    <t>birthdaygirl</t>
  </si>
  <si>
    <t>asianingredients</t>
  </si>
  <si>
    <t>bestchef</t>
  </si>
  <si>
    <t>summerfood</t>
  </si>
  <si>
    <t>creativecooking</t>
  </si>
  <si>
    <t>nutella_junkie</t>
  </si>
  <si>
    <t>1599869955125087996_1446853863</t>
  </si>
  <si>
    <t>Hochkonzentriert richtung Lieblingsstadt... Freiburg wir kommen 😍😍 #ontheroadagain #instagood #instaselfie #selfie#selfienation #autoselfie #keepongoing #freiburg #ausflug</t>
  </si>
  <si>
    <t>ausflug</t>
  </si>
  <si>
    <t>instaselfie</t>
  </si>
  <si>
    <t>1599871027029099890_279512262</t>
  </si>
  <si>
    <t>От Владикавказа пока создалось странное впечатление. Это смесь невероятной природы: горных рек, гор, простора неба — и старины на грани ностальгии. Старый асфальт, старый мост с облупившейся краской, древние аттракционы с колесом и пластмассовые столы в парке. Я смотрю и вижу смесь прошлых впечатлений. Ночью тут из окна отеля видится Гренобль с его Альпами, с утра Смоленск и Банско. 
Красота и воздух кружат головы, а местные идут и ничего не замечают. Со всех сторон льётся в уши русский мат, я убеждаю себя, что это иностранный язык и слышу шумом.
.
#mountains #abmlife #authentic #abmhappylife #weekendvibes #madrussians #mood #picoftheday #beautyinnature #vsco #vibes #vscocam #daily #keepcalm #keepongoing #lifestyle #lifeex #livestory #livefolk</t>
  </si>
  <si>
    <t>Vladikavkaz</t>
  </si>
  <si>
    <t>biochemistrymemes</t>
  </si>
  <si>
    <t>1599883054162945847_5364184195</t>
  </si>
  <si>
    <t>It happens more than 90% of the time. It takes time to optimise a technique before it starts to work. It took me hundreds of PCR reactions before I could successfully complete a sub-cloning.
Who can relate to this? Let me know in the comments which experiment you needed to undertake repeatedly before it finally worked.
#lifeofascientist #lifeofaresearcher #experimentfail #keepongoing #bepatient #resultsareworthit #laboratorywork #womeninscience #biochemistrymemes #sciencememes</t>
  </si>
  <si>
    <t>resultsareworthit</t>
  </si>
  <si>
    <t>sciencememes</t>
  </si>
  <si>
    <t>womeninscience</t>
  </si>
  <si>
    <t>lifeofascientist</t>
  </si>
  <si>
    <t>lifeofaresearcher</t>
  </si>
  <si>
    <t>julie_julina</t>
  </si>
  <si>
    <t>1599884860860601336_1393999693</t>
  </si>
  <si>
    <t>Isaiah 40:31(AMP)
But those who wait for the Lord [who expect, look for, and hope in Him]
Will gain new strength and renew their power;
They will lift up their wings [and rise up close to God] like eagles [rising toward the sun];
They will run and not become weary,
They will walk and not grow tired.
#isaiah4031 #trust #newstrength #keepongoing #hisstrength #bibleverse #motivation</t>
  </si>
  <si>
    <t>newstrength</t>
  </si>
  <si>
    <t>hisstrength</t>
  </si>
  <si>
    <t>1599893232950430185_5734367270</t>
  </si>
  <si>
    <t>Stayed on plan all week, even made the SW chicken balti last night. #myslimmingworldjourney #slimmingworldideas #bakedoats #chocshot #apple #swuk #swinstas #swinstauk #porridge #breakfasttime #cooking #swspeed #keepongoing</t>
  </si>
  <si>
    <t>myslimmingworldjourney</t>
  </si>
  <si>
    <t>bakedoats</t>
  </si>
  <si>
    <t>swspeed</t>
  </si>
  <si>
    <t>swinstas</t>
  </si>
  <si>
    <t>1599893389146666964_4800583413</t>
  </si>
  <si>
    <t>✨❤️🐱Yessssss it's weekend )))) Enjoy the little things in life because someday you will look back and realize they were the big things. 
Happy Saturday to everyone. Enjoy the weekend! 🍀🍅🌸#chill #belgium #europe #happy #ambition #keepongoing #family #work #health #keepcalm #team</t>
  </si>
  <si>
    <t>darkdust_yudiel</t>
  </si>
  <si>
    <t>1599896874521083240_460157887</t>
  </si>
  <si>
    <t>Doing my facial and relaxing after a long day. My car got fuck up and my whole pay check is gone but I'm not complaining on life gotta love it. Ugly people can take care of themselves. #facial#gayboy#lovelife#positive#keepongoing#gay#</t>
  </si>
  <si>
    <t>facial</t>
  </si>
  <si>
    <t>1599912416613973980_42247272</t>
  </si>
  <si>
    <t>"Sometimes God will give you exactly want you wanted. Just to show you it's not at all what you needed."
.
#saturday #quote #qotd #lifequotes #struggle #lifeasitis #motivation #keepongoing #momlife #singlelife #workworkwork #balance #qualitytime #kids #everydaylife #life #quotes #igers #inspirationalquotes #inspiration #inspo #godbless #god #purpose #karma</t>
  </si>
  <si>
    <t>Denderleeuw</t>
  </si>
  <si>
    <t>callmesonni</t>
  </si>
  <si>
    <t>1599935579054112491_2503008770</t>
  </si>
  <si>
    <t>Laundry day 🎈
#sundown #colombia #ladrilleros #labarra #beachtime #palmtrees #wanderlust #travel #backpacking #globetrotter #ontheroad #keepongoing #exploring #remoteareas #westcoast #nofilterneeded</t>
  </si>
  <si>
    <t>Cabañas Vidamar - Juanchaco - Ladrilleros</t>
  </si>
  <si>
    <t>ladrilleros</t>
  </si>
  <si>
    <t>sundown</t>
  </si>
  <si>
    <t>ayssgld</t>
  </si>
  <si>
    <t>1599937983188118280_399271961</t>
  </si>
  <si>
    <t>#keepongoing 👣</t>
  </si>
  <si>
    <t>1599947543415632912_257202554</t>
  </si>
  <si>
    <t>#goodvibes #travelingaustralia #friends #keepongoing #smile #tattoos #enjoylife #betterthanitaly #dream #fuckthem #itsmylife</t>
  </si>
  <si>
    <t>Mildura, Victoria</t>
  </si>
  <si>
    <t>1599948453789324071_1456976711</t>
  </si>
  <si>
    <t>Startade morgonen med syrran @fruhugosson86 med en promenad och jogging vända! 👌🏻 Och tro det eller ej men vaderna gjorde inte ont alls idag! 👏🏻 2,5 km jogg och 4 km promenad! 🚶🏽‍♀️🏃🏽‍♀️</t>
  </si>
  <si>
    <t>unutmadansoylemeliyim</t>
  </si>
  <si>
    <t>1599952131270584450_4921957290</t>
  </si>
  <si>
    <t>Haftsonunun gelmesiyle hayata biraz daha tutunmus olsakta, hala mutsuzuz biliyorsun Altan! Yazının devamı www.unutmadansoylemeliyim.com  #holiday #new #article #happy #saturday #google #blogger #unutmadansöylemeliyim #keepongoing</t>
  </si>
  <si>
    <t>google</t>
  </si>
  <si>
    <t>1599954963030963053_203325600</t>
  </si>
  <si>
    <t>Eindelijk eens die run in het bos kunnen waarmaken 🏃🌧🌳🌲
Run in the woods and feel free like a deer! 🦌
#Running #StravaRun #Strava #StravaRunner #Woods #MorningRun #Rainy #KeepOnGoing #Brugge #DiksmuideMoves #SportersBelevenMeer  #Runstagram #InstaRun #InstaRunner #Asics #SvenRundust</t>
  </si>
  <si>
    <t>Provinciaal Domein Tillegembos</t>
  </si>
  <si>
    <t>1599968433323552556_429036895</t>
  </si>
  <si>
    <t>Today it was back day! 
Proud of the progress I made so far. I am enjoying my workouts and I love the way my body is changing. I make small steps but progress takes time! 
I currently train heavy, 4 sets of 6-8 reps. This way I enjoy my workouts more and I become stronger and my body responses well on it. 🏋
Photocredits @mitchel_db_fit 🙋
#backday #growingmuscles #daretoshare #bodylove #selflove #foodlover  #fitnessjourney #progress #fitness #fitdutchie #weightlifting #girlwholifts #fitfam #fitnessaddict #curves #weightgaining #bodyandmind #gymlife #recovering #bootygrow #dedication #hardwork #keepongoing #strenght #grow #girlonamission #effort #girlpower  #healthylifestyle</t>
  </si>
  <si>
    <t>one.canvas1</t>
  </si>
  <si>
    <t>1599972039468176078_5372901173</t>
  </si>
  <si>
    <t>#struggle #keepongoing #climbtheladder #painting #painteveryday #workinprogress #abstractart #art #artwork #sztuka #アート #アートワーク</t>
  </si>
  <si>
    <t>sztuka</t>
  </si>
  <si>
    <t>アートワーク</t>
  </si>
  <si>
    <t>ww.fanny</t>
  </si>
  <si>
    <t>1599984659633079594_234510863</t>
  </si>
  <si>
    <t>Shineeeeee 🌻🌼 ____________________
#shine #saturday #breakfast #coffee #snob #goodmorning #breakfast #reggeli #coffee #budapest #busyday #keepongoing #getready #work #working #workhard #instastyle #stylegram #mik #earlybird # #доброеутро #кофе #goaldigger #follow #inspire</t>
  </si>
  <si>
    <t>Liberté</t>
  </si>
  <si>
    <t>snob</t>
  </si>
  <si>
    <t>rajiv10</t>
  </si>
  <si>
    <t>1599985017475747156_1074697774</t>
  </si>
  <si>
    <t>success is #earned #hustlehard #keepongoing #jaguars #motivate #myjoy #drive #thatfeeling #workharder #noclubbing #mydreamcar #workhard #achievement #joy</t>
  </si>
  <si>
    <t>jaguars</t>
  </si>
  <si>
    <t>tepalehtio</t>
  </si>
  <si>
    <t>1599987231412564813_443681375</t>
  </si>
  <si>
    <t>Yeah, that's true...I CAN!!!👊👊💥💥💪💪 Always believe yourself ❤❤
.
#nevergiveup #fitness #bettercondition  #healthylifestyle #crossfit #gym #training #keepongoing #believeyourself #happy #morepower #showthem #ownchoices</t>
  </si>
  <si>
    <t>clara_lima_vargas</t>
  </si>
  <si>
    <t>1599990451103055470_144100491</t>
  </si>
  <si>
    <t>A good coffee ☕️ to start the day!! Happy Saturday! #coffee #cafe #saturday #work #keepongoing #arabicacoffee #goodcoffee #plaisir #merci</t>
  </si>
  <si>
    <t>plaisir</t>
  </si>
  <si>
    <t>arabicacoffee</t>
  </si>
  <si>
    <t>1599995412360503855_12198462</t>
  </si>
  <si>
    <t>One year postpartum - second birth 😈💪🏻 #shredding #bodyrepair #nopainnogain #mom #momlife #hardwork #feelgood #eatclean #hardworkanddedication #shredz #deadlift #benchpress #back #glutes #situps #fit #fitness #shoulder #biceps #triceps #keepongoing #lifewontwait #newgoals #bodyreconstruction #nevergiveup</t>
  </si>
  <si>
    <t>bodyrepair</t>
  </si>
  <si>
    <t>za_sax</t>
  </si>
  <si>
    <t>1600001858628523890_4645113409</t>
  </si>
  <si>
    <t>#bern #travel#switzerland #view #bridge #bridges #city #questitettimipiaccionouncasino😂😂😂😂😂 🇨🇭 #orso #bernsbears #instagram #instamood #letsgo #travel #keepongoing</t>
  </si>
  <si>
    <t>Old City of Bern</t>
  </si>
  <si>
    <t>orso</t>
  </si>
  <si>
    <t>questitettimipiaccionouncasino😂😂😂😂😂</t>
  </si>
  <si>
    <t>1600002044621769912_4160626699</t>
  </si>
  <si>
    <t>🤗Oeoew dit is een mooi vooruitzicht voor de lunch😍
.
.
#egg #healthyfood #lowcarbs #koolhydraatarm #fitnesslife #goals #fitnessgoals #fitgirl #beasting #keepongoing</t>
  </si>
  <si>
    <t>koolhydraatarm</t>
  </si>
  <si>
    <t>meganwaugh97</t>
  </si>
  <si>
    <t>1600002170147606899_579828110</t>
  </si>
  <si>
    <t>I'll be with you from dusk till dawn, Baby, I am right here, I'll hold you when things go wrong.... ❤️ #Zayn #Sia #dusktilldawn #Lyrics #Selfie #Makeup #browneyes #Tongue #Brunette #tongueout #like4like #eyebrows #Positive #likeforlike #keepongoing #weightloss #behappy #dogfilter #snapchat #Edinburgh</t>
  </si>
  <si>
    <t>Edinburgh, United Kingdom</t>
  </si>
  <si>
    <t>zayn</t>
  </si>
  <si>
    <t>browneyes</t>
  </si>
  <si>
    <t>dogfilter</t>
  </si>
  <si>
    <t>nina_barberis</t>
  </si>
  <si>
    <t>1600004619462224058_196476281</t>
  </si>
  <si>
    <t>E mentre si celebrava un bellissimo matrimonio in spiaggia... lui passava così... noncurante della cerimonia... #onthebeach #beachlife #sullaspiaggia #tramonto #sunset #sunsetonthebeach #tramontosulmare #walking #keepongoing #picoftheday #weddingday #weddingonthebeach #matrimoniosullaspiaggia #solelunabeach #albissolamarina #reading #readabook</t>
  </si>
  <si>
    <t>weddingday</t>
  </si>
  <si>
    <t>solelunabeach</t>
  </si>
  <si>
    <t>readabook</t>
  </si>
  <si>
    <t>fightkie</t>
  </si>
  <si>
    <t>1600004752253508281_6006922341</t>
  </si>
  <si>
    <t>Mein neues Sportoutfit von #fabletics ! Ich kann da wirklich nur Gutes drüber sagen. Mittlerweile habe ich 3 Hosen und ein Oberteil und bin total verliebt in die Klamotten! #fitness #getfitnotfat #fitstagram #sporty #myownchallenge #challengeyourself #day6 #sportisawesome #instafitness #bodychangechallenge #goyourway #dontstop #keepongoing ✌️</t>
  </si>
  <si>
    <t>day6</t>
  </si>
  <si>
    <t>getfitnotfat</t>
  </si>
  <si>
    <t>dannaydalina</t>
  </si>
  <si>
    <t>1600010786431245198_1128502129</t>
  </si>
  <si>
    <t>After the storm comes the calm, I only ask you: Sigh, smile and go ahead.
#keepongoing#calm#lifecontinue#bestrong.</t>
  </si>
  <si>
    <t>lifecontinue</t>
  </si>
  <si>
    <t>kaethe_ina</t>
  </si>
  <si>
    <t>1600016371592075699_336445057</t>
  </si>
  <si>
    <t>Es ist nicht mein Jahr. Aber dennoch versuche ich die Farben der schönen Tage aufzusaugen. Heute habe ich ein Date mit mir selbst und nehme den ganzen Tag nur Zeit für mich. Ich Wirbel in der Wohnung rum, höre Musik und heute Abend gönne ich mir nach langer Zeit mal wieder ein leckeres Glas Wein 🍷. Me Time. Machen wonach mir ist. Gut zu mir sein. 
Das sollten wir ab und an mal sein, gut zu uns selbst. 💕
Habt einen schönen Sonntag ihr Lieben!
#metime #date #saturday #begoodtoyou #leben #samstag #gutzumir #flowers #krafttanken #blog #blogger #bloggerlife #iger #instagood #words #quote #worte #behappy #goon #keepongoing</t>
  </si>
  <si>
    <t>date</t>
  </si>
  <si>
    <t>metime</t>
  </si>
  <si>
    <t>waniesaatariffinn</t>
  </si>
  <si>
    <t>1600022848487267925_2150255762</t>
  </si>
  <si>
    <t>Too many things to be done.
#keepongoing</t>
  </si>
  <si>
    <t>Mcd Nilai</t>
  </si>
  <si>
    <t>salome__jael</t>
  </si>
  <si>
    <t>1600023928101609021_364710571</t>
  </si>
  <si>
    <t>regewetterbeschäftigung: es tolls bild mitme tolle spruch finde und poste. ✨ #sotoll #keepongoing #lovealways</t>
  </si>
  <si>
    <t>sotoll</t>
  </si>
  <si>
    <t>lovealways</t>
  </si>
  <si>
    <t>1600025693348244285_4001098858</t>
  </si>
  <si>
    <t>#autumnleaves🍂 #mountainstrip #peacefull #mountainlandscape #dolinapieciustawow #tatry #keepongoing #purenature #valley</t>
  </si>
  <si>
    <t>Dolina Pięciu Stawów Polskich</t>
  </si>
  <si>
    <t>mountainlandscape</t>
  </si>
  <si>
    <t>peacefull</t>
  </si>
  <si>
    <t>tatry</t>
  </si>
  <si>
    <t>louqvisten</t>
  </si>
  <si>
    <t>1600032627136454501_45250379</t>
  </si>
  <si>
    <t>Today's weigh in resulted in -500gr from last week and I reached my next weight goal!! (I've now lost 5kg since start in August). Now I just need to figure out what book to buy. Lunch today is a Stina, egg &amp; noodle sallad. 👀💪🏻😁 #weightloss #weightlossjourney #weightlossmotivation #losingweight #lowfat #lowfatdiet #weightlossgoals #lowkcal #salad #tuna #egg #noodle #lunch #food #weekend #keepongoing #minresaräknas #10kgpå20veckor #brilliant</t>
  </si>
  <si>
    <t>lowfat</t>
  </si>
  <si>
    <t>pvargas0</t>
  </si>
  <si>
    <t>1600037332526103325_2021547231</t>
  </si>
  <si>
    <t>Woke up feeling great! My run felt great! Now it's time to head to Conway for some fútbol! #garminforerunner #fitbitcharge2 #nikepegasus #jaybirdx3 #dontstop #keepongoing #runningman</t>
  </si>
  <si>
    <t>nikepegasus</t>
  </si>
  <si>
    <t>jaybirdx3</t>
  </si>
  <si>
    <t>garminforerunner</t>
  </si>
  <si>
    <t>1600038212146231561_4001098858</t>
  </si>
  <si>
    <t>#tatry #droganazawrat #zawrat #highmountains #mountainstrip #mountainview #keepongoing #rocksroad #stone #dangerous #purenature #naturelovers #hiking</t>
  </si>
  <si>
    <t>Tatry</t>
  </si>
  <si>
    <t>dangerous</t>
  </si>
  <si>
    <t>droganazawrat</t>
  </si>
  <si>
    <t>jenninan__</t>
  </si>
  <si>
    <t>1600041486613901721_1914220764</t>
  </si>
  <si>
    <t>"Tää ei tuu poistuu täältä koskaan. Timantit on ikuisia. Ja mä lupaan pysyy aitona ja aina rokkaa koska #timantitonikuisia !" 💖💎💖💎 Kiitos @sannivirallinen huikeesta voimabiisistä. ❤ #koulukiusaaminensattuu #kuudenvuodenhelvetti #väkivaltaa #imgonnaheal❤ #keepongoing #kiusaaminenonperseestä #finnishwoman #redhead #bullyinghurts #againstbullying</t>
  </si>
  <si>
    <t>Vantaa, Finland</t>
  </si>
  <si>
    <t>kuudenvuodenhelvetti</t>
  </si>
  <si>
    <t>koulukiusaaminensattuu</t>
  </si>
  <si>
    <t>imgonnaheal</t>
  </si>
  <si>
    <t>jasmin_fit_shit</t>
  </si>
  <si>
    <t>1600045958372890340_5486586033</t>
  </si>
  <si>
    <t>Pinke Suppe die wach macht! Ich hab eigentlich zur Zeit wenig Motivation mich zum Sport zu schleppen, aber ich kann mich ja nicht ewig davor drücken. 🙄
Mal hat man so 'ne Phase umso besser wenn man dann doch zum Sport geht. 
Als kleines Trostpflaster habe ich mir einen Booster von @cobralabs angemixt um Vollgas geben zu können 💪
#booster #cobralabs #cobra #thecurse #dedicated #iamdedicated #bb #gym #fitness #fitnesslifestyle #fitnessmodel #potd #follow #motivation #stronggirls #passion #keepongoing #focus #fitshit #bikini #shape #fitshit #Fitnessgirls #shaker</t>
  </si>
  <si>
    <t>cobralabs</t>
  </si>
  <si>
    <t>1600046235455155507_6003808846</t>
  </si>
  <si>
    <t>En maar bussen ..... check die brievenbussen #blijvengaan #fancyfair #gaan #keepongoing</t>
  </si>
  <si>
    <t>blijvengaan</t>
  </si>
  <si>
    <t>gaan</t>
  </si>
  <si>
    <t>beating_average</t>
  </si>
  <si>
    <t>1600051959792322685_6003051692</t>
  </si>
  <si>
    <t>Just do it. #workinghardeveryday #quotes #dreams #menfashion #workinghard #menstyle #workinghard #everythingispossible #keepongoing</t>
  </si>
  <si>
    <t>menfashion</t>
  </si>
  <si>
    <t>1600059806898298736_1781113481</t>
  </si>
  <si>
    <t>🌲Hot spring in the Pacific North West.
Photo by @lostintheforrest
.
.
.
.
.
.
.
.
#radtravel #yogatherapy #adventureculture #vacaymode #keepongoing #wonderful_places #wayup #travelhappy #familypet #spiritualawakening #goodstart #beaching #exploreyourcity #earthporn #travelgear #awesome_hotel #paradisetour #travelingpost #hlobelletravels #offthebeatenpath #paradiseonearth #backpackingpr #earthdiscoveries #beachbar #lifeisaparty</t>
  </si>
  <si>
    <t>paradisetour</t>
  </si>
  <si>
    <t>healthy_traveller</t>
  </si>
  <si>
    <t>1600063763075893194_5713636660</t>
  </si>
  <si>
    <t>Something I have struggled with massively this week. Need to remember to control my mind not let my mind control me or my decisions 🙄
.
.
#reflection #positivity #mindset #saturdaythoughts #keepgoing #myjourney #fitness #healthy #quotes #healthy #mind #motivation #everything #journey #positivevibes #quoteoftheday #instaquote #dontgiveup #onedayatatime #achieve #positivemind #keepongoing #hardwork #dedication #nevergiveup</t>
  </si>
  <si>
    <t>reflection</t>
  </si>
  <si>
    <t>ariletmestyleu</t>
  </si>
  <si>
    <t>1600070068373044313_1509895195</t>
  </si>
  <si>
    <t>#omg #thankyou so so much for the 19k followers this is for you guys. #makeitviral #heartshape and remember to #loveyourhair love yourself smile and be kind #sundayfunday #style #fashion #lifeofahairstylist #hairmenstyle  #surfersparadise #blogger #americancrew #hairbyarim #lookwhatyoumademedo</t>
  </si>
  <si>
    <t>Gold Coast, Queensland</t>
  </si>
  <si>
    <t>hairmenstyle</t>
  </si>
  <si>
    <t>omg</t>
  </si>
  <si>
    <t>hairbyarim</t>
  </si>
  <si>
    <t>marc_kostelka</t>
  </si>
  <si>
    <t>1600074492273339757_4103007136</t>
  </si>
  <si>
    <t>Nog even doorbijten 👊
#rebuild #renovatie #veelwerk #mijnpapaisdebeste #thankyou #myhome #lucky #happy #thinkingtomuch 
#builder #4years #motivation #keepongoing #free</t>
  </si>
  <si>
    <t>semisara</t>
  </si>
  <si>
    <t>1600075125965038158_4008902</t>
  </si>
  <si>
    <t>One session to go😸長年続けているスリーブはあともう一回で完成</t>
  </si>
  <si>
    <t>idaviktoriaf</t>
  </si>
  <si>
    <t>1600076072376690549_192417922</t>
  </si>
  <si>
    <t>✨ #rise #thatfeeling #inthemoment #workout #timetoshine #fuckendometriosis #iwinyouloose #preworkout #letsdothis #keepongoing #youdontdoitformeanymore #stronger #adidas #mmsports #stayfit #growstronger #motivation #saturday #curlyhairdontcare #longwayahead #herewego #lifestylechange #successisachoice #neversettle #learnfromthepast #instamoments #fit #fitlife #myjourney #saturday #saturdayfun</t>
  </si>
  <si>
    <t>longwayahead</t>
  </si>
  <si>
    <t>growstronger</t>
  </si>
  <si>
    <t>successisachoice</t>
  </si>
  <si>
    <t>instamoments</t>
  </si>
  <si>
    <t>1600078877040102219_2317517565</t>
  </si>
  <si>
    <t>I dag var det hårdt arbejde uden det helt store smil på læben. Pligt og disciplin bar mig igennem dagens 9km løbetur. Sådan er det og det er ok. Erfaringen med, hvad det fører til, hjælper også i stor stil. Det er kun fordi jeg har mit 15km trailrun om 3 uger i Silkeborg, at jeg overhovedet kom afsted i dag😏🏃🍾
•••
#mortentillitzdk  #whatwouldbeyoncedo #toldyouso #tropådet #personligtræner #personaltrainer #cycling #Cykling #styrketræning #løb #Svømning #Swim #running #stronger #personligtræner #mitodense #fitfam #ﬁtfamdk #actionequalsresults #handlingskabersucces #helkropstræning #fullbody #SunRiceClubbyMortenTillitzDK #mentalpause #blivved #keepongoing #styrketræning #painfree #smertefri #søvn #sleep #mitodense</t>
  </si>
  <si>
    <t>1600083113411685797_3623309738</t>
  </si>
  <si>
    <t>Tag a @theviralmix lover! Photo by @williampatino_photography
.
.
.
.
.
.
.
.
#getoutdoors #ecotravel #traveligram #onmygrind #yogamen #lifeisworthliving #travelstoke #energyflow #worldtravelbook #lifeisagift #cocoatravelersintl #yogastyle #paradisefalls #lifeispeople #lovewhatyoudodowhatyoulove #doingwhatilove #keepongoing #mountaingirls #likers #energyboost #instatravelhub #allthewayup #yogaclass #energypro #discovertheroad</t>
  </si>
  <si>
    <t>yogastyle</t>
  </si>
  <si>
    <t>paradisefalls</t>
  </si>
  <si>
    <t>blurrytyjo_</t>
  </si>
  <si>
    <t>1600085685778654533_5675047997</t>
  </si>
  <si>
    <t>my new fav 😍
.
.
.
.
.
#jøshdun #jennajøseph #tylerjoseph #skeletønclique #nophunintended #follow #cliquemember  #joshuadun #okayimbored #josh #tyler #jenna #frens #laugh #myidols #loveyou #bestmusic #keepongoing  #theyrethebest #smile #stayalive #inspiring #beautifulpeople</t>
  </si>
  <si>
    <t>skeletønclique</t>
  </si>
  <si>
    <t>jennajøseph</t>
  </si>
  <si>
    <t>1600087819942312517_3512203302</t>
  </si>
  <si>
    <t>Tag a @wanderlusting.tv lover! Photo by @williampatino_photography
.
.
.
.
.
.
.
.
#choosejoy #paradises #vacancy #familyaffair #likers #paradiseofminimal #earthspirit #webstagram #meditatedaily #allthewayup #meditative #sunsetyoga #keepongoing #exploreyourcity #lifeissweet #welivetoexplore #sunset_rv #cloudporn #hijabtraveler #agameoftonesexploremore #feelinginspired #statravel #lifeispeople #paradiseofpetals #yogajournal</t>
  </si>
  <si>
    <t>feelinginspired</t>
  </si>
  <si>
    <t>paradiseofminimal</t>
  </si>
  <si>
    <t>yenhazianzul</t>
  </si>
  <si>
    <t>1600090592812327598_306109711</t>
  </si>
  <si>
    <t>My sisters in Mary Kay yg always be with me.. i never feel i am all alone.. sentiasa belajar and kemudian pass it on dgn ajar pd yg lain pula.. and bila banyak belajar lagi rasa banyak yg tak tahu.. owhhh how beautiful my Mary Kay journey.. i ❤️ you sisters! 😘
#beautyconsultant #personalcoaching #coachingsession #sisters #sisterhood #beautiful #journey #iheartyouall #keepongoing #passiton #continue #enrichingwomenslives</t>
  </si>
  <si>
    <t>personalcoaching</t>
  </si>
  <si>
    <t>coachingsession</t>
  </si>
  <si>
    <t>passiton</t>
  </si>
  <si>
    <t>ev.style</t>
  </si>
  <si>
    <t>1600091195543756406_2320290128</t>
  </si>
  <si>
    <t>#repost #amazingpic #model #youngmodel #strenght #beauty #futuristicoutfit #minimal #blackmood #perspective #loveit #keepongoing #improving #experimenting #style #stylingbyme  #photography #fashionphotography #fashionaddict #lovemyjob #breedmagazine #breedfix #jointhebreed ph by @samustri model @shannon_curley @surfacemodels MUA @elenanhememua hair @hairdonethrifty @liadani_ styling @ev.style styling assistant @sineadenning producer @gabrielmontagnani location @denbkstudios</t>
  </si>
  <si>
    <t>fashionaddict</t>
  </si>
  <si>
    <t>blackmood</t>
  </si>
  <si>
    <t>1600091660255890020_333093823</t>
  </si>
  <si>
    <t>"Estamos hechos de la misma materia que los sueños" Sigamos soñando y luchando día a día 💓🙌🏼⭐️ #quoteoftheday #happylife #blessed #keepongoing #trustyourself</t>
  </si>
  <si>
    <t>thisis_auau</t>
  </si>
  <si>
    <t>1600092449823561869_45441192</t>
  </si>
  <si>
    <t>Just beginning!!!
💪🏼💪🏼💪🏼 #keepongoing</t>
  </si>
  <si>
    <t>copenhagensalsaacademy</t>
  </si>
  <si>
    <t>1600093141624407424_3978078155</t>
  </si>
  <si>
    <t>#copenhagenproblems #wheredidsummergo 🌧😑☔️
.
.
.
#dance #dancing #salsa #bachata #københavn #keepcalm #danceintherain #raindance #inspiration #keepongoing #fall #danmark #denmark #boots #kid #splash</t>
  </si>
  <si>
    <t>danmark</t>
  </si>
  <si>
    <t>boots</t>
  </si>
  <si>
    <t>copenhagenproblems</t>
  </si>
  <si>
    <t>fatimaambilang</t>
  </si>
  <si>
    <t>1600094013065812632_4349663511</t>
  </si>
  <si>
    <t>1600096432583421744_2261482085</t>
  </si>
  <si>
    <t>Jeden Tag einen Schritt weiter! Die letzten fünf Wochen sind angelaufen. Die Ernährung wird wöchentlich angepasst, das Cardio wird erhöht, das Posing wird fleißig geübt. So langsam merkt man die Wettkampfvorbereitung - aber es geht immer noch gut und ich habe den Spaß nicht verloren. Das Bild ist heute beim Posing und Fomcheck entstanden. Jetzt heißt es Zähne zusammen beißen und weiter Gas geben! 
#fitnessmotivation #Bodybuilding #fitness #fitgirl #girlwithmuscles #posing #figurposing #competetionprep #wettkampfvorbereitung #5weeksout #newcomer #iwantit #fightforit #progress #keepongoing</t>
  </si>
  <si>
    <t>5weeksout</t>
  </si>
  <si>
    <t>newcomer</t>
  </si>
  <si>
    <t>1600097116095782903_306109711</t>
  </si>
  <si>
    <t>Perasaan yg tak dpt diungkapkan dgn kata2 bila berpeluang bergambar dgn our Senior NSD Malaysia/Singapore, Nafisah Omar few weeks ago.. Aura beliau bisa buat bulu roma meremang.. Insya' Allah jikalau mengikut apa yg di plan kan, i will be a Senior Sales Director next month.. DIQ @lynn_colin_hazlin will be a Sales Director next month.. and @_misznana will be a Senior Beauty Consultant.. Amin Amin Amin... doakan kami.. 💪🏼💪🏼💪🏼💪🏼 #beautyconsultant #senior #nsd #sd #diq #malaysia #singapore #aura #success #wecandoit #keepongoing #saynotogiveup</t>
  </si>
  <si>
    <t>Mary Kay Beauty Center Vsq PJ</t>
  </si>
  <si>
    <t>aura</t>
  </si>
  <si>
    <t>nsd</t>
  </si>
  <si>
    <t>senior</t>
  </si>
  <si>
    <t>1600104328227735570_1609171041</t>
  </si>
  <si>
    <t>#fallintoanopenheart 1-10sep
.
🍁Hosts🍁
@yogi_alli
@elliegriffinyoga 
@lsopher
@kittyfhloe
.
🌲Sponsors🌲
@upcircleseven
@niyama_sports
@cuttingedgedesigncompany
@zenzle
.
🌞
.
🎈Poses🎈
Day 1: Wheel ✅
Day 2: BridgePose ✅
Day 3: Bowpose ✅
Day 4: Camel ✅
Day 5: KingPigeon ✅
Day 6: Kapotasana ✅
Day 7: Cobra Pose ✅
Day 8: #StandingBackbend ✅
Day 9:  Forearm wheel
Day 10: Scorpion Inversion 
#yoga #yogachallenge #yogadamneveryday #keeppractice #practiceandalliscoming #iloveyoga #yogamom #yogaposes #yogainspiration #yogainsitubondo #keepongoing #positivevibes #positivethoughts #goodliving #namasteॐ</t>
  </si>
  <si>
    <t>rhonnever</t>
  </si>
  <si>
    <t>1600110698954928460_1228229166</t>
  </si>
  <si>
    <t>It's not about #hustle, it's really about #passion. #timemanagement is always a struggle for many of us. But when we're motivated, the #writer in us will #keepongoing. 💪👌Double tap if you agree. •
•
•
#thevafamilylife #thewahmlife #freelancingmom #freelancevirtualassistant #hireavirtualassistant #virtualassistantforcoaches #virtualcareers #shestheboss #lovemyjob #relationshipsmatter #lovecoaches #openforcollaborations #realitiesoflife</t>
  </si>
  <si>
    <t>freelancevirtualassistant</t>
  </si>
  <si>
    <t>openforcollaborations</t>
  </si>
  <si>
    <t>realitiesoflife</t>
  </si>
  <si>
    <t>lovecoaches</t>
  </si>
  <si>
    <t>pujarios</t>
  </si>
  <si>
    <t>1600111131824605583_640185759</t>
  </si>
  <si>
    <t>This one goes out to all my #WeekendWarriors... Hang in there &amp; just #KeepGoing!
.
.
.
#KarenSalmansohn #ShoutAboutPain #Fibromyalgia #ChronicPain #ChronicFatigueSyndrome #ChronicFatigue #ISpeakForPain #BetterYourself #HealthActivist #Ermergerd #AtLeastITried #StruggleIsReal #HelpMeImSore #StayFocused #ChronicPainCondition #TheStruggle #KeepOnGoing #YouCanDoThis #Spoonie #SpoonieLife #FibroAwareness #FibromyalgiaAwareness #YouCanDoIt #FibroWarrior #FibromyalgiaWarrior #ICryEverytime #SupportSystem #DontQuit</t>
  </si>
  <si>
    <t>fibromyalgia</t>
  </si>
  <si>
    <t>cantwin</t>
  </si>
  <si>
    <t>bryanfuhs_fit</t>
  </si>
  <si>
    <t>1600114982976887003_5681077719</t>
  </si>
  <si>
    <t>What better way to start a Saturday than to workout with my son Zach, my younger brother Greg and my baby sister Cindy! My siblings came all the way from Virginia to visit and celebrate my grandson Aiden's 1st birthday 😊❤️ Did HIIT cardio this morning with jog/run intervals on the treadmill. Had to have my Twenty One Pilots playlist going of course 😬 And the final song was fitting cause after my final run interval I was definitely a "goner" 😂 #gymselfie #cardioworkout #hiitworkout #fitfam #mysonrocks #mysonisawesome #siblings #siblingsforlife #siblingsrock #treadmillworkout #heartrateup #feelingood #beastmode #keepmovingforward #keepongoing #makefatcry</t>
  </si>
  <si>
    <t>Abersold Recreation Center</t>
  </si>
  <si>
    <t>siblings</t>
  </si>
  <si>
    <t>treadmillworkout</t>
  </si>
  <si>
    <t>makefatcry</t>
  </si>
  <si>
    <t>hiitworkout</t>
  </si>
  <si>
    <t>brilliant.detailing</t>
  </si>
  <si>
    <t>1600117251992737965_2010597880</t>
  </si>
  <si>
    <t>Deze week stond er een American Muscle Car op het programma! 
Deze #Ford #Mustang werd voorzien van een complete detail behandeling inclusief de BRILA Premium Glascoating! 
BRILA Premium Body Glass Coating is een in-organische Glass Coating op basis van pure silica die ervoor zorgt dat de auto op de best mogelijke manier beschermd wordt tegen UV-straling, industriële vervuiling, zure regen etc.
Deze glascoating bestaat uit 2 componenten die samen een sterke beschermlaag vormen. Deze beschermlaag geeft een mooie en diepe glans aan de lak van uw auto.
BRILA Premium body glass coating is de duurzaamste glass coating op de markt.
De voordelen van deze coating:
– Zeer diepe glans
– Water- en vuil afstotend
– Kraswerend
– UV-bestendig
en maar liefst 5 jaar garantie!
__ivm de drukte van afgelopen week hebben wij alleen enkele eindresultaat foto's kunnen maken__
Heeft u interesse in een van onze coatings, wilt u meer informatie of wilt u een afspraak maken? Neemt u dan geheel vrijblijvend contact met ons op.
______________________
🇪🇺Brilliant Detailing - Exclusive Car Detailing 💻 www.brilliantdetailing.eu
📫 info@brilliantdetailing.eu 📲 Facebook.com/brilliantdetailing.eu
📱 +31 6 15886324
🏢 Rijksstraatweg 27 5943 AA Lomm, NL
______________________
#detailing #detailersofinstagram #brila #keepongoing #glascoating #supercars #hypercars #brilliantdetailing #protectyourinvestment  #europe #premium 
#highperformancecars #clean #carporn #dreamcar #musclecar #paintprotection #inorganic #fordmustang #gt</t>
  </si>
  <si>
    <t>Brilliant Detailing - Exclusive Car Detailing</t>
  </si>
  <si>
    <t>musclecar</t>
  </si>
  <si>
    <t>premium</t>
  </si>
  <si>
    <t>detailersofinstagram</t>
  </si>
  <si>
    <t>paintprotection</t>
  </si>
  <si>
    <t>protectyourinvestment</t>
  </si>
  <si>
    <t>1600119976185603968_5773560131</t>
  </si>
  <si>
    <t>No caption needed.</t>
  </si>
  <si>
    <t>heikkilatuuli</t>
  </si>
  <si>
    <t>1600122875900444558_471078056</t>
  </si>
  <si>
    <t>It comes down to one guestion. How bad you want it? 
One day at a time closer to my goals 💪 #keepongoing #motivation #entrepreneurlifestyle #positivevibes #mindset</t>
  </si>
  <si>
    <t>Hanko, Finland</t>
  </si>
  <si>
    <t>1600126744526709689_259933278</t>
  </si>
  <si>
    <t>#drums #drumming #learning #drumsandlessons #grooving #justwanttoplay #nevergiveup #eacday #keepongoing #uniq #patience #truth</t>
  </si>
  <si>
    <t>eacday</t>
  </si>
  <si>
    <t>uniq</t>
  </si>
  <si>
    <t>1600132015724890120_5705167414</t>
  </si>
  <si>
    <t>I'm probably gonna make another edit, idk 😕  #Dubnation
-
-
-
-
-
-
-
-
-
-
-
-
-
-
-
-
-
-
-
-
-
-
-
-
-
-
-
-
-
-
-
-
-
-
-
-
-
-
-
-
 #StephGonnaSteph #Mvp #SC30 #KT11 #DG23 #CURRYMVP #KEEPONGOING #NEVERGIVEUP #WCF #WEST #WESTERNCONFERENCEFINALS #CHAMPS #DUBSFORCHAMPS #DUBS #ALWAYSBELIEVEINGOD #STEPHENCURRY #EVEN #NBA #2016CHAMPS #CHAMPIONS #LOCKIN #STEPH #SPLASH #SPLASHBROS  #like4like #like4follow #follow4follow</t>
  </si>
  <si>
    <t>juniorinthemix</t>
  </si>
  <si>
    <t>1600134185673190028_26840225</t>
  </si>
  <si>
    <t>Everyone at @klydewarrenpark getting healthy and I'm out trying to figure which food truck to try! Come see me with @1061kissfm  here til 12! You could win a year supply of #scottbrand paper towels! #keepongoing</t>
  </si>
  <si>
    <t>scottbrand</t>
  </si>
  <si>
    <t>kristijaros</t>
  </si>
  <si>
    <t>1600139713524515860_5534550351</t>
  </si>
  <si>
    <t>We have a FUN DAY ahead so I wanted to make sure to take care of myself first!
To start off- I lost this headband....then found it...then lost it again... and found it again this morning! YAY!!!!!!! It's my favorite!❤️ During my run this morning it was hard. I wanted to quit. I kept reminding myself that the kids we are supporting this month during childhood cancer awareness don't have a choice to quit when it gets hard. So I kept pushing. I will never take my health for granted again. I have this one body and I will do my best to take care of it! 
I challenge EACH OF YOU reading this to get out today and do something to take care of YOURSELF. Post it in the comments below!👇 Here at Be YOUtifully Fit I think there are many ways to take care of yourself! You don't have to run! (to all you anti- runners out there!😂)
#childhoodcancerawareness  #everythinglostisfound #keepongoing #healthymama #StJude5k #TeamBeYou</t>
  </si>
  <si>
    <t>everythinglostisfound</t>
  </si>
  <si>
    <t>stjude5k</t>
  </si>
  <si>
    <t>childhoodcancerawareness</t>
  </si>
  <si>
    <t>teambeyou</t>
  </si>
  <si>
    <t>1600143266024454451_4230196596</t>
  </si>
  <si>
    <t>@luisazissman 😘</t>
  </si>
  <si>
    <t>1600148621117843889_599863420</t>
  </si>
  <si>
    <t>@klydewarrenpark with @juniorinthemix and @txradiogeek enjoying food trucks and thank goodness for #Scottbrand towels, they took care of my BBQ sauce so I could #keepongoing! We are giving away a year supply of #scottbrand towels! We are here till Noon!</t>
  </si>
  <si>
    <t>uniquemaree</t>
  </si>
  <si>
    <t>1600149605385938173_1684505704</t>
  </si>
  <si>
    <t>This past week I finally started noticing a difference in my clothes. I slipped on a pair of jeans like butta 🙌🏼 IT. WAS. WORTH. EVERY. WORKOUT. #keepongoing #motivation #fitness #workout #workoutmotivation #goodmorning #butfirstjesus</t>
  </si>
  <si>
    <t>1600152714665391285_5744148801</t>
  </si>
  <si>
    <t>Soon we will release the product! 
Super excited!!!! #product #work #buissnes
#productive #productdesign #creative #savetime #entrepreneursofinstagram #entrepreneur #productivity #working #hustle  #hustler  #dream #nevergiveup #workspace #create #keepongoing #dreams #inspiration #inspiringpeople #sverige #graphicdesign #art #design #designer #artist #3dprint #sneakers #workshop</t>
  </si>
  <si>
    <t>fck_h8rs</t>
  </si>
  <si>
    <t>1600153954124149114_4676218589</t>
  </si>
  <si>
    <t>#queenofgettinthruit #lifequotes #keepongoing #justhowitis #lovethelifeyoulive</t>
  </si>
  <si>
    <t>lovethelifeyoulive</t>
  </si>
  <si>
    <t>queenofgettinthruit</t>
  </si>
  <si>
    <t>justhowitis</t>
  </si>
  <si>
    <t>1600155397560297480_5744148801</t>
  </si>
  <si>
    <t>Inspiration from Joongu Kim
#product #work #buissnes
#productive #productdesign #creative #photoshop #entrepreneursofinstagram #entrepreneur #productivity #working #hustle  #hustler  #dream #nevergiveup #workspace #create #keepongoing #dreams #inspiration #inspiringpeople #sverige #graphicdesign #art #design #designer  #work #workaholic  #nature</t>
  </si>
  <si>
    <t>1600155797688662693_5744148801</t>
  </si>
  <si>
    <t>1600155948574537953_5744148801</t>
  </si>
  <si>
    <t>1600157062053116331_199245358</t>
  </si>
  <si>
    <t>Inspiration!
Productdesign by Joongu Kim
#product #work #buissnes
#productive #productdesign #creative #photoshop #entrepreneursofinstagram #entrepreneur #productivity #working #hustle  #hustler  #dream #nevergiveup #workspace #create #keepongoing #dreams #inspiration #inspiringpeople #sverige #graphicdesign #art #design #designer  #work #workaholic  #nature</t>
  </si>
  <si>
    <t>1600157234666288910_599863420</t>
  </si>
  <si>
    <t>#keepongoing with #scottbrand and @juniorinthemix here at @klydewarrenpark and you could win a year supply of #scottbrand towels!</t>
  </si>
  <si>
    <t>katieleighrudman</t>
  </si>
  <si>
    <t>1600159012060570619_34635941</t>
  </si>
  <si>
    <t>I did do some exercise 😂😂👍 #gym  #keepongoing #legs #happy #bike #bodyevo</t>
  </si>
  <si>
    <t>bodyevo</t>
  </si>
  <si>
    <t>1600164177381414641_40740215</t>
  </si>
  <si>
    <t>Got my yoga in and feeling AMAZING! It's such a freeing thing for me and really allows me to loosen up my tense muscles and free my wondering mind. Who else loves incorporating yoga into their fitness?!</t>
  </si>
  <si>
    <t>1600164784816136139_599863420</t>
  </si>
  <si>
    <t>@juniorinthemix helping you #keepongoing with #scottbrand towels @klydewarrenpark and we are giving away a year supply so you don't want to miss out!</t>
  </si>
  <si>
    <t>1600166209452954550_4626705209</t>
  </si>
  <si>
    <t>Training this weekend, up to 8h 🏊💪✌.
-
-
-
#weekend #getfit #motivation #colitisfighter #colitisulcerosa #swimming
#sylt #list #ulcerativecolitis #ibd #swimmingfamily #swim #keepongoing #instagood #instamood #pictureoftheday #happylife</t>
  </si>
  <si>
    <t>List auf Sylt</t>
  </si>
  <si>
    <t>colitisfighter</t>
  </si>
  <si>
    <t>glowgetter17</t>
  </si>
  <si>
    <t>1600168070315584591_5757897117</t>
  </si>
  <si>
    <t>Sometimes I get super frustrated when the scale doesn't budge and then I remind myself how far I've come. The scale can kiss my sexy booty. I'm focusing on the non-scale victories! #beforeandafter #bodyinprogress #curvesfordays #curvygirl #weightloss #lowcal #nsv #80lbsgone #weightwatchers #myafter #loseweight #eathealthy #getfit #inspiration #motivation #lowcalories #keepongoing #healthy #honormycurves</t>
  </si>
  <si>
    <t>nsv</t>
  </si>
  <si>
    <t>honormycurves</t>
  </si>
  <si>
    <t>bodyinprogress</t>
  </si>
  <si>
    <t>1600168564940141674_2053552003</t>
  </si>
  <si>
    <t>The best way to success is just to enjoy the ride...
.
.
.
.
.
#dressage #dressagehorse #dressagerider #competing #competition #success #winner #winners #keepongoing #horses #mindset #yolo</t>
  </si>
  <si>
    <t>winners</t>
  </si>
  <si>
    <t>competing</t>
  </si>
  <si>
    <t>ann.kal</t>
  </si>
  <si>
    <t>1600170501258243822_4432649974</t>
  </si>
  <si>
    <t>Keep on going, step by step - and the chances are that you will stumble on something, perhaps when you are least expecting it! #letsgosomewhere #0711 #landscapelover #gardalake #traveller #viewpoint #seeview #mountain #lago #italy #keepongoing #stepbystep #sporty #fitnessaddict #lieblingsshirt #nikeshoes #blondie #rocks</t>
  </si>
  <si>
    <t>Desenzano del Garda, Italy</t>
  </si>
  <si>
    <t>letsgosomewhere</t>
  </si>
  <si>
    <t>lisaadrianaa</t>
  </si>
  <si>
    <t>1600181275711453517_487527012</t>
  </si>
  <si>
    <t>De rooie houd het goed vol! #roadtrip #norway #seat #seatleon #vacation #keepongoing</t>
  </si>
  <si>
    <t>norway</t>
  </si>
  <si>
    <t>seat</t>
  </si>
  <si>
    <t>seatleon</t>
  </si>
  <si>
    <t>skipro83</t>
  </si>
  <si>
    <t>1600189659580616691_567652600</t>
  </si>
  <si>
    <t>BoldRDash at Rocky Point happened today! Beautiful day..ran into old friends and new ones. Sixth race so far. Just doubled what I ran last year. 👍👊😀 @boldrdash #boldrdash #BeBold #FYBold #rockypoint #ocr #ocrracing #obstaclecourseracing #saturdayfunday #5k #sixth5k #6 #keepongoing #fitnessmotivation #exercise #race #raceday #run #running #instarun #instarunners #rhodeisland #run401 #goodtimes #nothingwillstopme #gohardorgohome</t>
  </si>
  <si>
    <t>Rocky Point Park Beach</t>
  </si>
  <si>
    <t>6</t>
  </si>
  <si>
    <t>saturdayfunday</t>
  </si>
  <si>
    <t>raceday</t>
  </si>
  <si>
    <t>supadupacoop</t>
  </si>
  <si>
    <t>1600193638465741968_230184213</t>
  </si>
  <si>
    <t>Really feeling the pressure from school and work this week when all i wanna do is go explore. Cant wait to graduate but for now the grind continues...
.
.
.
.
#goexplore #pnwonderland #travelfreedom #adventure #keepongoing</t>
  </si>
  <si>
    <t>goexplore</t>
  </si>
  <si>
    <t>travelfreedom</t>
  </si>
  <si>
    <t>angelabaumgarten</t>
  </si>
  <si>
    <t>1600194820722618405_5740306043</t>
  </si>
  <si>
    <t>Die besten Leute findet man offline #Stuttgart #happysaturday #motivation #keepongoing 📲🐯🌌</t>
  </si>
  <si>
    <t>Königstrasse, Stuttgart</t>
  </si>
  <si>
    <t>ninablomgren</t>
  </si>
  <si>
    <t>1600196465416997642_538995609</t>
  </si>
  <si>
    <t>Efter lørdagsvagt på arbejdet stod den på træning 🏃🏻‍♀️ det blev til 45 min inden ryggen sagde stop. Bedre end ingenting! 
#keepongoing#fitness#gym#workout#onasaturday#lørdag#weekend#karitraa#nike#justdoit#newline#fitnessforyou#træning#crosstrænerogløbebånd#runbitchrun#donefortoday#nowfoodplease#fyrdenaf#følg</t>
  </si>
  <si>
    <t>runbitchrun</t>
  </si>
  <si>
    <t>onasaturday</t>
  </si>
  <si>
    <t>fcal2390</t>
  </si>
  <si>
    <t>1600197742893106356_173934313</t>
  </si>
  <si>
    <t>Helllooooo Saturday Run with my favorite running buddy! as he slept the entire time over every bump on these sidewalks😴 Refuel eat up! #primaleating #saturdayrun #keepongoing</t>
  </si>
  <si>
    <t>saturdayrun</t>
  </si>
  <si>
    <t>primaleating</t>
  </si>
  <si>
    <t>_what_ever_for_ever</t>
  </si>
  <si>
    <t>1600198478716501496_6011886785</t>
  </si>
  <si>
    <t>⚫️Keep on moving no matter what you find on the way 🔝. #arrow  #keepongoing  #tumblr</t>
  </si>
  <si>
    <t>arrow</t>
  </si>
  <si>
    <t>tumblr</t>
  </si>
  <si>
    <t>1600198826039697766_2375665907</t>
  </si>
  <si>
    <t>Impression of another photoshooting for Mr Austria :) #misteraustria #mistercompany #mister #shooting #fotoshooting #model #keepongoing #austria #innsbruck #vienna #syossstyling #grawe #bodycult #hotelzeitgeist</t>
  </si>
  <si>
    <t>hotelzeitgeist</t>
  </si>
  <si>
    <t>fotoshooting</t>
  </si>
  <si>
    <t>rejuvenescentrachel</t>
  </si>
  <si>
    <t>1600201810698329309_1663379133</t>
  </si>
  <si>
    <t>A poem made by me ❤️ hope you all enjoy. •
•
• 
#RealTalk #Rachel #Whatsupbby #TalkthatTalk #KeeponGoing #YouMakeMeStronger #DepressionSurvivor #AnxietySurvivor #SuicideSurvivor #PositiveThoughts #JesusThoughts #Kingdom #Poem #Cmon #HopeYouLikeIt #Preacher #Teacher #Nerd #SmartMouth #Creative #Daretobedifferent #Expression #Rapper #Singer #Writer #Activist #Boldness #Lioness #Fire #Power</t>
  </si>
  <si>
    <t>youmakemestronger</t>
  </si>
  <si>
    <t>rachel</t>
  </si>
  <si>
    <t>preacher</t>
  </si>
  <si>
    <t>jesusthoughts</t>
  </si>
  <si>
    <t>1600203452514856299_4203455377</t>
  </si>
  <si>
    <t>Amazing @chrysti_ane 😍</t>
  </si>
  <si>
    <t>tommyvandenbossche</t>
  </si>
  <si>
    <t>1600204897042518732_4609475185</t>
  </si>
  <si>
    <t>Weereenstapverder#keepongoing</t>
  </si>
  <si>
    <t>fitness_forwardfitness</t>
  </si>
  <si>
    <t>1600209831272477772_4620233047</t>
  </si>
  <si>
    <t>Reviewing one of our members progress today - has made our day !! Take a look at his message "24th March - Weight 17st 8Ib and Body Fat 38% ..... Today, I weigh 14st 5Ib and my Body Fat is down to 23.1%. I'm certainly alot fitter than I started. I can remember struggling doing simple pressups, squats and star jumps left me fighting for breath within seconds.... now I actually enjoy doing them and can handle the dreaded burpees, I even managed a few sprints in my running - something I've never really done since school. I never would have thought, that I would be attending a gym in my late 40s and loving it. Only last year, I was thinking... oh well, I might as well get used to being unfit and just try not to put more weight on" #inspiration #lifechanging #lifestyle #noshortcuts #activelife #consistency #caloriedeficit #liftweights #strongnotskinny #everthinginmoderation #consciousdecisions #trusttheprocess #enjoyit #funfitness #fitnessjourney #fitnessmotivation #healthylifestyle #keepongoing good work Steve</t>
  </si>
  <si>
    <t>Forwardfitness North East</t>
  </si>
  <si>
    <t>everthinginmoderation</t>
  </si>
  <si>
    <t>enjoyit</t>
  </si>
  <si>
    <t>funfitness</t>
  </si>
  <si>
    <t>villarfrank</t>
  </si>
  <si>
    <t>1600210224822798025_5613721682</t>
  </si>
  <si>
    <t>#fearkillsgrowth #palante #keepongoing #dontbeafraid #echalebola #crece #sinmiedo</t>
  </si>
  <si>
    <t>crece</t>
  </si>
  <si>
    <t>echalebola</t>
  </si>
  <si>
    <t>palante</t>
  </si>
  <si>
    <t>sinmiedo</t>
  </si>
  <si>
    <t>emptysthemepark</t>
  </si>
  <si>
    <t>1600217689677618897_48550679</t>
  </si>
  <si>
    <t>Maybe some day... #hopeful #hangingin #hopelessromantic #wishful #keepongoing #happilyeverafter #positivevibes #love #hurt #chinup</t>
  </si>
  <si>
    <t>wishful</t>
  </si>
  <si>
    <t>hangingin</t>
  </si>
  <si>
    <t>kilianverduynlunel</t>
  </si>
  <si>
    <t>1600221507375945974_362913743</t>
  </si>
  <si>
    <t>En toen was ik opeens 25 kilo kwijt! 😍
#Skinny #InShape #LoseFat #LoseWaight #GettingThere #NeedToLoseFat #NeedToLoseWaight #Home #Mirror #MirrorSelfie #Awesome #Amazing #FeelsGreat #Iphone7 #KeepOnGoing #Strong #StrongerEveryday #LetsDoThis #Gay #GayLife #Stronger #AfAanHetVallen #AfVallen #YourForeverCoach #MyOwnClient #TakeCareOfYourBody #AloeVera #BeYourFavoriteSelf #YouNeedToTryThisProducts #Healthy</t>
  </si>
  <si>
    <t>Winkelcentrum 't Kalf Zaandam</t>
  </si>
  <si>
    <t>losewaight</t>
  </si>
  <si>
    <t>needtolosewaight</t>
  </si>
  <si>
    <t>skinny</t>
  </si>
  <si>
    <t>iphone7</t>
  </si>
  <si>
    <t>1600224177184779131_4230484970</t>
  </si>
  <si>
    <t>That booty tho 🍑😻</t>
  </si>
  <si>
    <t>1600224293785747886_922492249</t>
  </si>
  <si>
    <t>Sometimes I do loose track and with out realising go over syn which I have done a few times this week. Then i think what the heck But i got to remember that it does not take away the progress i have made and i just need to keep on going. 
My journey may not be happening as fast as i would have liked but progress has been made!
This quote also goes for a few other general goals i have in my life.
#progressisprogress
#sw #motivation #nevergiveup #myownpace #progress #goals #slimmingworld #lifeitself #lifequotes #quotes #keepontrack #keepongoing</t>
  </si>
  <si>
    <t>lifeitself</t>
  </si>
  <si>
    <t>1600236173496916141_3047703578</t>
  </si>
  <si>
    <t>Nobody ever said, keep on going will be an easy thing.
It hurts, it burns but I will make it to Santiago de compostela!
#hikingaddiction #caminofrance #pictureoftheday #cantstop #instagood #lovespain #lovetravel #hiking #disgusting #feet #jakobsweg #travel #traveltheworld #Spain #Spanien #openfeet #inspo #wound #travelaround #reiselust #keepongoing #wandern #selfdiscovery #dontstop #espana #instawalk #compeed #getlost #travelinspiration #wanderlust</t>
  </si>
  <si>
    <t>wound</t>
  </si>
  <si>
    <t>spanien</t>
  </si>
  <si>
    <t>openfeet</t>
  </si>
  <si>
    <t>1600253064369987381_4678264587</t>
  </si>
  <si>
    <t>ARTEMIS : + 03:57 vs PB
Couldn't make it this time guys.. didn't slept enough and that counts for sure! 
But you know why I'm proud anyway? Cause I didn't gave up, I did it and I finished it 💪🏻
NEVER give up, no matter what!! 👊🏻
#Freeletics #bodyweight #freeleticsangers #freeleticsecouflant #hippodrome #angers #ecouflant #freeathlete #freeleticslifestyle #fit #fitness #fitnessmotivation #stayinshape #betterversionofyourself #keepongoing #trainingday #workout #noexcuses</t>
  </si>
  <si>
    <t>1600253466806510190_40619315</t>
  </si>
  <si>
    <t>Ich habe es geschafft 💪🏼
Schmerzen waren heute weg, also konnte ich nach 1 Woche Pause die 10 km angehen und habe es übers Ziel geschafft 😁🎉 #keepongoing #nevergivingup
.
.
.
#natur #naturliebe #laufen #laufenmachtglücklich #happiness #germering #abnehmen2017 #weightlossjourney #running #runninggirl #laufenfürdieseele #fitfam #runtastic #runtasticpro #runtasticgirl #fürmehrrealitätaufinstagram #motivation #afterrunselfie #internationalerchemnitzercitylauf #chemnitz</t>
  </si>
  <si>
    <t>Chemnitz, Germany</t>
  </si>
  <si>
    <t>internationalerchemnitzercitylauf</t>
  </si>
  <si>
    <t>natur</t>
  </si>
  <si>
    <t>_easy_tiger</t>
  </si>
  <si>
    <t>1600260735510117851_4531083962</t>
  </si>
  <si>
    <t>Working my way back. #goals #lifting #girlswholift #nevergiveup  #keepongoing</t>
  </si>
  <si>
    <t>1600267513857687560_5455677963</t>
  </si>
  <si>
    <t>#focus #dontworry #motivacion #workoutmotivation #motivation #motivacional #next #progress #progressive #keepgoing👉 #keepgoing #persevere #strong #alldayworking #life #process #daybyday #ambition #noexcuse #keepongoing #keepon #dontstop #dontstopnow #dontlookback #motivationalpost</t>
  </si>
  <si>
    <t>brittneygetsfit_</t>
  </si>
  <si>
    <t>1600280294598716422_3078512728</t>
  </si>
  <si>
    <t>#NowAndThen #ProgressNotPerfection #ForeverFit #FitFam #Fitness #GymLife #GymTime #WorkInProgress #KeepOnGoing</t>
  </si>
  <si>
    <t>nowandthen</t>
  </si>
  <si>
    <t>1600285028833707801_5509071474</t>
  </si>
  <si>
    <t>Went to the gym this morning and had an awesome workout. On the way home I had a great opportunity to donate to the firefighters raising money for muscular dystrophy. Feeling the good vibes all around. 
#weightloss #weightlossjourney #weightlossblog #weightlossjournal #weightlossstory #weightlosssupport #weightlosscommunity #weightlosshelp #weightlossmotivation #weightlossdiary #weightlossprogress #gym #workout #donate #musculardystrophy #yougotthis #wegotthis #nevergiveup #keepongoing</t>
  </si>
  <si>
    <t>perrynchang</t>
  </si>
  <si>
    <t>1600290234948221471_5845072799</t>
  </si>
  <si>
    <t>Tag 2 people who need to see this.
#quotes #quote #inspirationalquotes #inspirationalquote #bestquotes #bestquote #inspiration #inspire #inspired #inspirational #positive #positivity #positivevibes #positivequotes #positivequote #believeinyourself #believe #fucknegativity #negativitysucks #goforit #dontgiveup #nevergiveup #keepbelieving #alwaysbelieve #win #number1 #gopositive #keepongoing</t>
  </si>
  <si>
    <t>bestquote</t>
  </si>
  <si>
    <t>xphotosx97</t>
  </si>
  <si>
    <t>1600297924986504575_4716587471</t>
  </si>
  <si>
    <t>#love #quotes #brokenheart #sad #loveisnotfair #hurt #justkeepfigthing #cryingallday #cryingallnight #keepongoing #quoteoftheday #sadness #broken #lovingsomeonehurts #whyme #justwanthertobehappy #imanidiot #lovehurts #ijustwanttobehappy #smile #lovemeforme #amiright #whogaveyoutherighttohurtme  #juststoppretending #stopignoringme #stopblamingme #justwalkaway</t>
  </si>
  <si>
    <t>stopignoringme</t>
  </si>
  <si>
    <t>ijustwanttobehappy</t>
  </si>
  <si>
    <t>broken</t>
  </si>
  <si>
    <t>cryingallday</t>
  </si>
  <si>
    <t>vasadiary</t>
  </si>
  <si>
    <t>1600305362157501289_2125179827</t>
  </si>
  <si>
    <t>Saturday selfie #saturdayselfie #selfie  #keepongoing #movingforward</t>
  </si>
  <si>
    <t>saturdayselfie</t>
  </si>
  <si>
    <t>1600306646101112700_4462013811</t>
  </si>
  <si>
    <t>Never forget where you're from, and why you started to fight. 
Stay focus... #focus #look #eyes #strength #trainhard #workhard #neverforget #fitgirl #fitness #fit #motivation #goals #keepongoing #sportlife #lifestyle #feelfreefeed #paris #france #frenchgirl</t>
  </si>
  <si>
    <t>frenchgirl</t>
  </si>
  <si>
    <t>feelfreefeed</t>
  </si>
  <si>
    <t>nevermore_dreams</t>
  </si>
  <si>
    <t>1600312489212213948_307616792</t>
  </si>
  <si>
    <t>"Life is to be lived, not controlled; and humanity is won by continuing to play in face of certain defeat." - Ralph Ellison
I'm ready to kick this week's ass!
#selfie #theinvisibleman #kickass #ready #loveyourself #igotthis #littleink #feelingmyself #keepongoing #notgoingtobreak</t>
  </si>
  <si>
    <t>notgoingtobreak</t>
  </si>
  <si>
    <t>kickass</t>
  </si>
  <si>
    <t>theinvisibleman</t>
  </si>
  <si>
    <t>bojana_1989</t>
  </si>
  <si>
    <t>1600314022640877644_2177874417</t>
  </si>
  <si>
    <t>🖒💪💯✔
#transformation #me #bodybuilding #facetime #weightloss #stayfit #fitness #fitnessmotivation #healthylifestyle #health #saturday #fit #fitfam #positive #gym #macros #smile #keepongoing #fatburn #fatloss #never #give #up #dance #zumba #hannover #germany #serbiangirl</t>
  </si>
  <si>
    <t>macros</t>
  </si>
  <si>
    <t>yaba_dab_a_girl710</t>
  </si>
  <si>
    <t>1600321719682459666_2290303135</t>
  </si>
  <si>
    <t>Some days are easier than others .. #keepongoing 
#lovemenowornever #summerdresses #happyshatterday #tattedlifestyle #chickswithink #tired #drained</t>
  </si>
  <si>
    <t>happyshatterday</t>
  </si>
  <si>
    <t>summerdresses</t>
  </si>
  <si>
    <t>lovemenowornever</t>
  </si>
  <si>
    <t>chickswithink</t>
  </si>
  <si>
    <t>1600323094685113905_203366243</t>
  </si>
  <si>
    <t>Wherever you go becomes a part of you somehow ⚓️⚡️ @thedscvrr #memories#qualitytime#tbt#italy#qoutes#goals#landscape#venezia#style#fashion#blondie#hair#ootd#collectmomentsnotthings#summer#potography#keepongoing#summer#hotdays#sun#travel#traveling#landscape#lifestyle#blogger#mood#girl#me#tagsforlikes#followme</t>
  </si>
  <si>
    <t>hotdays</t>
  </si>
  <si>
    <t>ivikiwi9</t>
  </si>
  <si>
    <t>1600324832778975194_2527472</t>
  </si>
  <si>
    <t>What kind of a mess! Deep in the mud 🐷☔️🌧
Never without my #starbucks stainless steel and ceramic tumbler! 
#readytorace #ktm #motocross #mx #dirtbike #gasolineaddicted #keepongoing #people #fun #deepinthemud #mud #rain #rainboots #boots #fox #roxy #hollister #gap #navyboot #vs #pandora #pandoraring #umbrella #mud #orange #birthdaygirl</t>
  </si>
  <si>
    <t>Andelfingen, Switzerland</t>
  </si>
  <si>
    <t>pandoraring</t>
  </si>
  <si>
    <t>gap</t>
  </si>
  <si>
    <t>hfwee98</t>
  </si>
  <si>
    <t>1600328368997248107_2553657560</t>
  </si>
  <si>
    <t>做出选择，别在乎别人怎么看你。
No regret, will not regret it
#hope #keepongoing #noregrets</t>
  </si>
  <si>
    <t>1600332258258777567_216089260</t>
  </si>
  <si>
    <t>My ride or die!
.
.
.
.
#divineorder #empoweringwomen #goals #growth #happy #inspiration #jamaicanlifecoach #lifecoach #lovemyjob #mindset #morethanenough #nofear #nicolewright #purpose #success #survivor #universe #nevertoolatetostartover #nevertoolatetobegin #standuptocancer #nevergiveup #keepongoing #believeinyourself #happy #lovemylife  #anthropologie #naturalhair #jamaicanlifecoach</t>
  </si>
  <si>
    <t>amandast500</t>
  </si>
  <si>
    <t>1600332760894174857_1905639021</t>
  </si>
  <si>
    <t>#drawing #draw #frozen #fever #frozenfever #artistsoninstagram #anna #elsa #disney #disneyart #prismacolor #colour #prisma #blend #hair #blonde #green #nevergiveup #keepongoing #keepingitsimple #letitgo #art #pencil #hashtag #artist #practice #disneyworld #disneyanimation #drawnbyme #notfinished</t>
  </si>
  <si>
    <t>prismacolor</t>
  </si>
  <si>
    <t>fever</t>
  </si>
  <si>
    <t>beowulfracing</t>
  </si>
  <si>
    <t>1600333946407609675_3110879685</t>
  </si>
  <si>
    <t>New Video Up on my YouTube channel. Link in the bio make sure to subscribe and comment!! #motivation #motivationalquotes #hellcat #staypositive #dodge #challengerhellcat #dodgechallenger #youtuber #vlog #beowulf #beowulfracing #keepongoing #nohandouts #nonegativity #positivethinking #positiveenergy #positivity #positivevibes</t>
  </si>
  <si>
    <t>hellcat</t>
  </si>
  <si>
    <t>dodge</t>
  </si>
  <si>
    <t>wilken_86</t>
  </si>
  <si>
    <t>1600337876611777068_396601775</t>
  </si>
  <si>
    <t>Slutter en meget inspirerende og motiverende dag til DM i bodybuilding af med et godt Chestpump💪🏼 #dbff #inspired #motivated #keepongoing #pump #chestpump #bodybuilding</t>
  </si>
  <si>
    <t>Lookfit Hobro</t>
  </si>
  <si>
    <t>buck_thegod</t>
  </si>
  <si>
    <t>1600339837080524596_2054537584</t>
  </si>
  <si>
    <t>It don't matter how you do it people still going talk shit #fucktgerest #keepongoing #strivetosuccess 💯💯💯</t>
  </si>
  <si>
    <t>strivetosuccess</t>
  </si>
  <si>
    <t>fucktgerest</t>
  </si>
  <si>
    <t>advicefor_the_sad_people</t>
  </si>
  <si>
    <t>1600350046283729943_6012309125</t>
  </si>
  <si>
    <t>#advice #fr #keepongoing</t>
  </si>
  <si>
    <t>fr</t>
  </si>
  <si>
    <t>advice</t>
  </si>
  <si>
    <t>dionne_bohoewe</t>
  </si>
  <si>
    <t>1600357338827584319_524260336</t>
  </si>
  <si>
    <t>New slouchy beret design. Now available in my Etsy shop 
#crochetersofinstagram #merino #opal #bohoewedesignsonetsy #forsale #imahooker #etsyshop # Etsyseller #slouchyhats #tam #toque #handmade #keepongoing</t>
  </si>
  <si>
    <t>slouchyhats</t>
  </si>
  <si>
    <t>bohoewedesignsonetsy</t>
  </si>
  <si>
    <t>merino</t>
  </si>
  <si>
    <t>crochetersofinstagram</t>
  </si>
  <si>
    <t>lora.rossi</t>
  </si>
  <si>
    <t>1600364055963830290_4024427673</t>
  </si>
  <si>
    <t>Don't I know it. #keepongoing</t>
  </si>
  <si>
    <t>mattimedia</t>
  </si>
  <si>
    <t>1600367362645667274_5648699161</t>
  </si>
  <si>
    <t>Eat.Sleep.Art.Repeat
.
.
#lifeofanartist #artist #art #eat #sleep #repeat #artistofinstagram #life #tired #keepongoing #nevergiveup #insperation #anotherday #anotherdollar</t>
  </si>
  <si>
    <t>artistofinstagram</t>
  </si>
  <si>
    <t>iamozmedia</t>
  </si>
  <si>
    <t>1600368354857954026_3985183590</t>
  </si>
  <si>
    <t>#blastfromthepast #showcase #headstrong #positivity #keepongoing #doubletap</t>
  </si>
  <si>
    <t>headstrong</t>
  </si>
  <si>
    <t>blastfromthepast</t>
  </si>
  <si>
    <t>showcase</t>
  </si>
  <si>
    <t>merakivisionn</t>
  </si>
  <si>
    <t>1600373414077778796_5537938869</t>
  </si>
  <si>
    <t>"Light thinks it travels faster than anything but it is wrong. No matter how fast light travels, it finds the darkness has always got there first, and is waiting for it."•••• -Terry Pratchett
#pictureoftheday#light#fire#smilemore#keepongoing#stars#life#colors#photography</t>
  </si>
  <si>
    <t>1600400788077430968_216089260</t>
  </si>
  <si>
    <t>When it hits I feel no pain... .
.
.
.
#divineorder #empoweringwomen #goals #growth #happy #inspiration #jamaicanlifecoach #lifecoach #lovemyjob #mindset #morethanenough #nofear #nicolewright #purpose #success #survivor #universe #nevertoolatetostartover #nevertoolatetobegin #standuptocancer #nevergiveup #keepongoing #believeinyourself #happy #lovemylife  #anthropologie #naturalhair #jamaicanlifecoach</t>
  </si>
  <si>
    <t>1600422264757562966_1774981442</t>
  </si>
  <si>
    <t>Keep on going!</t>
  </si>
  <si>
    <t>1600424043570431177_2117733552</t>
  </si>
  <si>
    <t>#livelifeincolor🎨  #jewlery #bracelets #thinkoutsideoftheboxx #nevergivinup #godtime #artjewelry #artjewellery #keepongoing #believeinyourself</t>
  </si>
  <si>
    <t>livelifeincolor🎨</t>
  </si>
  <si>
    <t>thinkoutsideoftheboxx</t>
  </si>
  <si>
    <t>bracelets</t>
  </si>
  <si>
    <t>1600424076338071637_229875516</t>
  </si>
  <si>
    <t>SON-Day Morning 5K earlier! One the best ways to start the day IMHO..wish everyone a Blessed Day ahead! Hang in there and keep on going!! #healthy #lifestyle #living #liveitup #asics #nimbus18 #morning #jog #motivated #determined #keepongoing #sgig #casio #Gshock #gf1000nv #custom #camo #frogman #froggie #frog #wristcheck #wristcandy #wristporn #watchporn #sweatitout #swagsg #resolute #keepongoing #watchanish #watchfam #sonday</t>
  </si>
  <si>
    <t>sonday</t>
  </si>
  <si>
    <t>lepetit_rebelle</t>
  </si>
  <si>
    <t>1600428734203323444_996722571</t>
  </si>
  <si>
    <t>Lost my soles(more like my soul) while training today. #solesforsoul #macritchiereservoir #trailrunning #trailrunner #nevergiveup #keepongoing</t>
  </si>
  <si>
    <t>macritchiereservoir</t>
  </si>
  <si>
    <t>trailrunner</t>
  </si>
  <si>
    <t>solesforsoul</t>
  </si>
  <si>
    <t>kays.poetry</t>
  </si>
  <si>
    <t>1600437019640931549_5866574366</t>
  </si>
  <si>
    <t>Day 29
✏✏✏
Do what makes you happy.
Be you. 
Shine brighter than the brightest star
Do whatever it takes to keep your pretty little brain.... Pretty. 
#100daysofpoetry #day29 #flower #drawing #poet #follow #poetry #behappy #poems #poets #writer #writing #poetryistherepy #keepongoing #dontletgo</t>
  </si>
  <si>
    <t>poems</t>
  </si>
  <si>
    <t>1600438625714061797_1822235880</t>
  </si>
  <si>
    <t>Follow @vision.book for top travel content. Surrounded by @vision.book in Bali, Indonesia.
Photo by @golden_heart
.
.
.
.
.
.
.
.
#travelingpost #wildernessculture #worktravel #theglobewanderer #travelgermany #adventureculture #earthpix #lifeabroad #choosejoy #beachboy #adventurebuddies #natgeotravelphoto #traveladventures #mindthemountain #seeingtheworld #travelhappy #exploremore #jj_forum #travelstory #likers #getoutstayout #lifejourney #addictedtotravel #keeptraveling #keepongoing</t>
  </si>
  <si>
    <t>1600447626472347484_5741748538</t>
  </si>
  <si>
    <t>Day 56: Haven't felt so good in my body in a long time. Feels so good to feel good lol! #wedding #fattofit #healthy #weightlossjourney #weightloss #feelgoodinmyskin #keepongoing #welookgood</t>
  </si>
  <si>
    <t>welookgood</t>
  </si>
  <si>
    <t>1600456349979036945_5675047997</t>
  </si>
  <si>
    <t>This is so cute ahh😍😍😍 OMG WE'RE  SO CLOSE TO 1K ✊✊
.
.
.
.
.
#jøshdun #jennajøseph #tylerjoseph #skeletønclique #nophunintended #follow #cliquemember  #joshuadun  #josh #tyler #jenna #frens #laugh #myidols #loveyou #bestmusic #keepongoing  #theyrethebest #smile #stayalive #inspiring #beautifulpeople</t>
  </si>
  <si>
    <t>nophunintended</t>
  </si>
  <si>
    <t>1600457940702205520_4203455377</t>
  </si>
  <si>
    <t>Beautiful bodies 😍</t>
  </si>
  <si>
    <t>fitnessathlete</t>
  </si>
  <si>
    <t>hotchick</t>
  </si>
  <si>
    <t>phoenixculture</t>
  </si>
  <si>
    <t>1600459214505795338_4648196157</t>
  </si>
  <si>
    <t>I think I'm ready now ✈️🇩🇴🏝✨🏊🏼‍♀️🚴🏼‍♀️🏃🏽‍♀️T minus 21 days #damntourists #slowingmedown #hudsongreenway #nyc #hoardsoftouristseverywhere #trainhard #bikehard #runrunrun #tri #trainer #daretotry #keepongoing #fitspiration</t>
  </si>
  <si>
    <t>daretotry</t>
  </si>
  <si>
    <t>damntourists</t>
  </si>
  <si>
    <t>hudsongreenway</t>
  </si>
  <si>
    <t>runrunrun</t>
  </si>
  <si>
    <t>paradise_lines</t>
  </si>
  <si>
    <t>1600460199209861725_4288254834</t>
  </si>
  <si>
    <t>Be so strong together that no wind and no water should keep the capacity to be a counter to the fire inside you. Given by @a_diviner .
PICTURE CREDITS: @akshit_thapar new member to the team #paradise_lines .
.
#strong #keepthatfireburning #bebold #dontbeafraid #keep #it #up #keepongoing #strongman #strongwoman #bestrong💪 #paradise_lines #newcollaboration #keepsupporting #upgrade #upgradeyou</t>
  </si>
  <si>
    <t>India - Asia</t>
  </si>
  <si>
    <t>upgrade</t>
  </si>
  <si>
    <t>newcollaboration</t>
  </si>
  <si>
    <t>keepthatfireburning</t>
  </si>
  <si>
    <t>1600462393326705489_216089260</t>
  </si>
  <si>
    <t>Learning from the best.. go Moms go! .
.
.
.
#divineorder #empoweringwomen #goals #growth #happy #inspiration #jamaicanlifecoach #lifecoach #lovemyjob #mindset #morethanenough #nofear #nicolewright #purpose #success #survivor #universe #nevertoolatetostartover #nevertoolatetobegin #standuptocancer #nevergiveup #keepongoing #believeinyourself #happy #lovemylife  #anthropologie #naturalhair #jamaicanlifecoach</t>
  </si>
  <si>
    <t>1600465042214224969_4203348813</t>
  </si>
  <si>
    <t>The perfect snapshot 😍😍</t>
  </si>
  <si>
    <t>richy.peeraya</t>
  </si>
  <si>
    <t>1600466966676563099_1749140910</t>
  </si>
  <si>
    <t>open or close 😆🌈☔️☀️
#keepongoing</t>
  </si>
  <si>
    <t>tamaraye</t>
  </si>
  <si>
    <t>1600484446036576800_890174967</t>
  </si>
  <si>
    <t>So my first week in LA is drawing to a close so thought I would stop and take it all in. Full of emotions and full of dreams.... what will next week bring???? #londontoLA #keepongoing #livelife #missingyou #newbeginnings</t>
  </si>
  <si>
    <t>Culver City, California</t>
  </si>
  <si>
    <t>londontola</t>
  </si>
  <si>
    <t>1600488054732029958_5944730818</t>
  </si>
  <si>
    <t>Why ? Cause if they really did , they should love you for who you are. And you shouldn't change for anyone unless that person is you. Love yourself,guys ! 💕
#inspirationalquotes #inspiration #motivationalquotes #morningmotivation #motivation #love #family #friendship #loveyourself #beyourself #chaseyourdreams #liveyourdream  #dontgiveup #keepongoing #youcandoit</t>
  </si>
  <si>
    <t>joyfuljoy1</t>
  </si>
  <si>
    <t>1600495544248370764_14912393</t>
  </si>
  <si>
    <t>💪🏻💪🏻💪🏻 Everyday Hustle! Deadpool and Max Muscle! Go in to Max muscle and see Chris for In Body analysis! Beastmode! 🏋️💪🏻😎 Days when you're in love of feeling alive. #beactive #bewhole #bestronger #keepongoing #imcheeringforyou</t>
  </si>
  <si>
    <t>bewhole</t>
  </si>
  <si>
    <t>imcheeringforyou</t>
  </si>
  <si>
    <t>beactive</t>
  </si>
  <si>
    <t>bestronger</t>
  </si>
  <si>
    <t>crossfit_m_works</t>
  </si>
  <si>
    <t>1600496390541198653_431489455</t>
  </si>
  <si>
    <t>#footloosefridays #alwayssmiling #neverstandstill #justlikethat #keepongoing #goodvibes #shananigans #judgelife #haveyoumet @mr.footloose ?! He's a #rockstar! Impressive how he keeps on going! #givingupisnotanoption 💪🏽</t>
  </si>
  <si>
    <t>Granite Games</t>
  </si>
  <si>
    <t>judgelife</t>
  </si>
  <si>
    <t>footloosefridays</t>
  </si>
  <si>
    <t>neverstandstill</t>
  </si>
  <si>
    <t>emiliaslamat</t>
  </si>
  <si>
    <t>1600501592694741744_1500667651</t>
  </si>
  <si>
    <t>You don't always get what you wish for,you get what you work for #workout #motivation #summerbody #summerbodygoals #keepongoing #fit #healthy #strong #pushyourself #impossibleisnothing #doctorslife #sundaymorning #exercise#</t>
  </si>
  <si>
    <t>doctorslife</t>
  </si>
  <si>
    <t>1600502641320990733_300331288</t>
  </si>
  <si>
    <t>People are pretty shitty 😌
#365daychallenge #day244 #blah #igotthis #letsdothis #keepongoing #quote #kaybye</t>
  </si>
  <si>
    <t>blah</t>
  </si>
  <si>
    <t>day244</t>
  </si>
  <si>
    <t>1600503915844284579_1500667651</t>
  </si>
  <si>
    <t>If you aren't willing to work for it,don't complain about not having it#workoutmotivation #workoutlover #abs #fit #abslover #absplease #comeout #bodygoals #wantitsobad #keepongoing ##nevergiveup #</t>
  </si>
  <si>
    <t>comeout</t>
  </si>
  <si>
    <t>absplease</t>
  </si>
  <si>
    <t>1600504182133311583_179389652</t>
  </si>
  <si>
    <t>Alhamdulillah ✨🌹
#naszsally🎶 #dekatdihati💕 #keepongoing #loveyourself #fallriseshine #10091986</t>
  </si>
  <si>
    <t>10091986</t>
  </si>
  <si>
    <t>#nevergiveup</t>
  </si>
  <si>
    <t>#motivation</t>
  </si>
  <si>
    <t>#fitness</t>
  </si>
  <si>
    <t>#love</t>
  </si>
  <si>
    <t>#smile</t>
  </si>
  <si>
    <t>#happy</t>
  </si>
  <si>
    <t>#workout</t>
  </si>
  <si>
    <t>#life</t>
  </si>
  <si>
    <t>#inspiration</t>
  </si>
  <si>
    <t>#running</t>
  </si>
  <si>
    <t>#gym</t>
  </si>
  <si>
    <t>#keeponkeepingon</t>
  </si>
  <si>
    <t>#fitfam</t>
  </si>
  <si>
    <t>#goals</t>
  </si>
  <si>
    <t>#dontgiveup</t>
  </si>
  <si>
    <t>#positivevibes</t>
  </si>
  <si>
    <t>#like4like</t>
  </si>
  <si>
    <t>#follow4follow</t>
  </si>
  <si>
    <t>#fitnessmotivation</t>
  </si>
  <si>
    <t>#fit</t>
  </si>
  <si>
    <t>#training</t>
  </si>
  <si>
    <t>#art</t>
  </si>
  <si>
    <t>#instagood</t>
  </si>
  <si>
    <t>#mvp</t>
  </si>
  <si>
    <t>#champions</t>
  </si>
  <si>
    <t>#splash</t>
  </si>
  <si>
    <t>#like4follow</t>
  </si>
  <si>
    <t>#like4like #like4follow</t>
  </si>
  <si>
    <t>#stephgonnasteph</t>
  </si>
  <si>
    <t>#sc30</t>
  </si>
  <si>
    <t>#kt11</t>
  </si>
  <si>
    <t>#dg23</t>
  </si>
  <si>
    <t>#currymvp</t>
  </si>
  <si>
    <t>#wcf</t>
  </si>
  <si>
    <t>#west</t>
  </si>
  <si>
    <t>#westernconferencefinals</t>
  </si>
  <si>
    <t>#champs</t>
  </si>
  <si>
    <t>#dubsforchamps</t>
  </si>
  <si>
    <t>#dubs</t>
  </si>
  <si>
    <t>#alwaysbelieveingod</t>
  </si>
  <si>
    <t>#stephencurry</t>
  </si>
  <si>
    <t>#nba</t>
  </si>
  <si>
    <t>#2016champs</t>
  </si>
  <si>
    <t>#lockin</t>
  </si>
  <si>
    <t>#steph</t>
  </si>
  <si>
    <t>#splashbros</t>
  </si>
</sst>
</file>

<file path=xl/styles.xml><?xml version="1.0" encoding="utf-8"?>
<styleSheet xmlns="http://schemas.openxmlformats.org/spreadsheetml/2006/main" xmlns:mc="http://schemas.openxmlformats.org/markup-compatibility/2006" xmlns:x14ac="http://schemas.microsoft.com/office/spreadsheetml/2009/9/ac" mc:Ignorable="x14ac">
  <numFmts count="13">
    <numFmt numFmtId="43" formatCode="_(* #,##0.00_);_(* \(#,##0.00\);_(* &quot;-&quot;??_);_(@_)"/>
    <numFmt numFmtId="164" formatCode="[$-409]m/d/yy\ h:mm\ AM/PM;@"/>
    <numFmt numFmtId="165" formatCode="[$-409]h:mm\ AM/PM;@"/>
    <numFmt numFmtId="166" formatCode="m/d/yy;@"/>
    <numFmt numFmtId="167" formatCode="[$-409]mmm\-yy;@"/>
    <numFmt numFmtId="168" formatCode="0.0000000"/>
    <numFmt numFmtId="169" formatCode="0.000000"/>
    <numFmt numFmtId="170" formatCode="#,##0.0"/>
    <numFmt numFmtId="171" formatCode="0.0%"/>
    <numFmt numFmtId="172" formatCode="0.0000"/>
    <numFmt numFmtId="173" formatCode="0.000"/>
    <numFmt numFmtId="174" formatCode="0.0"/>
    <numFmt numFmtId="175" formatCode="[$-409]mmmm\ d\,\ yyyy;@"/>
  </numFmts>
  <fonts count="60" x14ac:knownFonts="1">
    <font>
      <sz val="11"/>
      <color theme="1"/>
      <name val="Calibri"/>
      <family val="2"/>
      <scheme val="minor"/>
    </font>
    <font>
      <sz val="11"/>
      <color theme="1"/>
      <name val="Calibri"/>
      <family val="2"/>
      <scheme val="minor"/>
    </font>
    <font>
      <b/>
      <sz val="11"/>
      <color theme="0"/>
      <name val="Calibri"/>
      <family val="2"/>
      <scheme val="minor"/>
    </font>
    <font>
      <b/>
      <sz val="11"/>
      <color theme="1"/>
      <name val="Calibri"/>
      <family val="2"/>
      <scheme val="minor"/>
    </font>
    <font>
      <sz val="11"/>
      <color theme="0"/>
      <name val="Calibri"/>
      <family val="2"/>
      <scheme val="minor"/>
    </font>
    <font>
      <sz val="11"/>
      <color theme="6"/>
      <name val="Calibri"/>
      <family val="2"/>
      <scheme val="minor"/>
    </font>
    <font>
      <b/>
      <i/>
      <sz val="11"/>
      <color theme="1"/>
      <name val="Calibri"/>
      <family val="2"/>
      <scheme val="minor"/>
    </font>
    <font>
      <i/>
      <sz val="11"/>
      <color theme="1"/>
      <name val="Calibri"/>
      <family val="2"/>
      <scheme val="minor"/>
    </font>
    <font>
      <sz val="12"/>
      <color theme="1"/>
      <name val="Calibri"/>
      <family val="2"/>
      <scheme val="minor"/>
    </font>
    <font>
      <b/>
      <sz val="10"/>
      <color theme="0"/>
      <name val="Calibri"/>
      <family val="2"/>
      <scheme val="minor"/>
    </font>
    <font>
      <sz val="11"/>
      <color rgb="FFE8E8E8"/>
      <name val="Calibri"/>
      <family val="2"/>
      <scheme val="minor"/>
    </font>
    <font>
      <sz val="8"/>
      <color theme="0"/>
      <name val="Calibri"/>
      <family val="2"/>
      <scheme val="minor"/>
    </font>
    <font>
      <b/>
      <sz val="8"/>
      <color rgb="FF5F5F5F"/>
      <name val="Calibri"/>
      <family val="2"/>
      <scheme val="minor"/>
    </font>
    <font>
      <b/>
      <sz val="11"/>
      <color rgb="FF5F5F5F"/>
      <name val="Calibri"/>
      <family val="2"/>
      <scheme val="minor"/>
    </font>
    <font>
      <u/>
      <sz val="11"/>
      <color theme="10"/>
      <name val="Calibri"/>
      <family val="2"/>
      <scheme val="minor"/>
    </font>
    <font>
      <b/>
      <sz val="10"/>
      <color rgb="FFFFFFFF"/>
      <name val="Calibri"/>
      <family val="2"/>
      <scheme val="minor"/>
    </font>
    <font>
      <u/>
      <sz val="11"/>
      <color theme="1"/>
      <name val="Calibri"/>
      <family val="2"/>
      <scheme val="minor"/>
    </font>
    <font>
      <i/>
      <sz val="10"/>
      <color theme="0" tint="-0.499984740745262"/>
      <name val="Calibri"/>
      <family val="2"/>
      <scheme val="minor"/>
    </font>
    <font>
      <b/>
      <sz val="12"/>
      <color theme="1"/>
      <name val="Calibri"/>
      <family val="2"/>
      <scheme val="minor"/>
    </font>
    <font>
      <b/>
      <i/>
      <sz val="11"/>
      <color rgb="FFFFFFFF"/>
      <name val="Calibri"/>
      <family val="2"/>
      <scheme val="minor"/>
    </font>
    <font>
      <b/>
      <i/>
      <sz val="11"/>
      <color theme="5"/>
      <name val="Calibri"/>
      <family val="2"/>
      <scheme val="minor"/>
    </font>
    <font>
      <b/>
      <u/>
      <sz val="11"/>
      <color theme="1"/>
      <name val="Calibri"/>
      <family val="2"/>
      <scheme val="minor"/>
    </font>
    <font>
      <b/>
      <sz val="11"/>
      <color rgb="FFFFFFFF"/>
      <name val="Calibri"/>
      <family val="2"/>
      <scheme val="minor"/>
    </font>
    <font>
      <sz val="11"/>
      <color theme="2"/>
      <name val="Calibri"/>
      <family val="2"/>
      <scheme val="minor"/>
    </font>
    <font>
      <b/>
      <u/>
      <sz val="10"/>
      <color rgb="FF151515"/>
      <name val="Calibri"/>
      <family val="2"/>
      <scheme val="minor"/>
    </font>
    <font>
      <b/>
      <sz val="18"/>
      <color rgb="FFDCDCDC"/>
      <name val="Arial"/>
      <family val="2"/>
    </font>
    <font>
      <sz val="16"/>
      <color rgb="FFDCDCDC"/>
      <name val="Calibri"/>
      <family val="2"/>
      <scheme val="major"/>
    </font>
    <font>
      <sz val="10"/>
      <color rgb="FFDCDCDC"/>
      <name val="Calibri"/>
      <family val="2"/>
      <scheme val="major"/>
    </font>
    <font>
      <sz val="10"/>
      <color rgb="FFA1132E"/>
      <name val="Calibri"/>
      <family val="2"/>
      <scheme val="minor"/>
    </font>
    <font>
      <sz val="11"/>
      <color theme="1"/>
      <name val="Calibri"/>
      <family val="2"/>
    </font>
    <font>
      <b/>
      <sz val="10"/>
      <color rgb="FF151515"/>
      <name val="Calibri"/>
      <family val="2"/>
      <scheme val="minor"/>
    </font>
    <font>
      <sz val="11"/>
      <color rgb="FFFF0000"/>
      <name val="Calibri"/>
      <family val="2"/>
      <scheme val="minor"/>
    </font>
    <font>
      <sz val="11"/>
      <name val="Calibri"/>
      <family val="2"/>
      <scheme val="minor"/>
    </font>
    <font>
      <sz val="11"/>
      <color theme="3"/>
      <name val="Calibri"/>
      <family val="2"/>
      <scheme val="minor"/>
    </font>
    <font>
      <i/>
      <sz val="11"/>
      <color theme="1"/>
      <name val="Calibri"/>
      <family val="2"/>
    </font>
    <font>
      <sz val="11"/>
      <color rgb="FF224F85"/>
      <name val="Calibri"/>
      <family val="2"/>
      <scheme val="minor"/>
    </font>
    <font>
      <sz val="8"/>
      <color rgb="FFDCDCDC"/>
      <name val="Arial"/>
      <family val="2"/>
    </font>
    <font>
      <sz val="16"/>
      <color rgb="FFDDDDDD"/>
      <name val="Calibri"/>
      <family val="2"/>
      <scheme val="minor"/>
    </font>
    <font>
      <sz val="10"/>
      <color rgb="FFDDDDDD"/>
      <name val="Calibri"/>
      <family val="2"/>
      <scheme val="minor"/>
    </font>
    <font>
      <sz val="10"/>
      <color rgb="FFA0A0A0"/>
      <name val="Calibri"/>
      <family val="2"/>
      <scheme val="minor"/>
    </font>
    <font>
      <sz val="16"/>
      <color rgb="FFFFFFFF"/>
      <name val="Calibri"/>
      <family val="2"/>
      <scheme val="minor"/>
    </font>
    <font>
      <sz val="13"/>
      <color rgb="FFFFFFFF"/>
      <name val="Calibri"/>
      <family val="2"/>
      <scheme val="minor"/>
    </font>
    <font>
      <b/>
      <sz val="10"/>
      <color rgb="FF2C3855"/>
      <name val="Calibri"/>
      <family val="2"/>
      <scheme val="minor"/>
    </font>
    <font>
      <sz val="10"/>
      <color rgb="FF222222"/>
      <name val="Calibri"/>
      <family val="2"/>
      <scheme val="minor"/>
    </font>
    <font>
      <b/>
      <i/>
      <sz val="8"/>
      <color rgb="FF747474"/>
      <name val="Calibri"/>
      <family val="2"/>
      <scheme val="minor"/>
    </font>
    <font>
      <i/>
      <sz val="10"/>
      <color rgb="FF747474"/>
      <name val="Calibri"/>
      <family val="2"/>
      <scheme val="minor"/>
    </font>
    <font>
      <i/>
      <sz val="13"/>
      <color rgb="FFFFFFFF"/>
      <name val="Calibri"/>
      <family val="2"/>
      <scheme val="minor"/>
    </font>
    <font>
      <b/>
      <sz val="18"/>
      <color theme="3"/>
      <name val="Calibri"/>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i/>
      <sz val="11"/>
      <color rgb="FF7F7F7F"/>
      <name val="Calibri"/>
      <family val="2"/>
      <scheme val="minor"/>
    </font>
    <font>
      <u/>
      <sz val="11"/>
      <color rgb="FF0000FF"/>
      <name val="Calibri"/>
      <family val="2"/>
      <scheme val="minor"/>
    </font>
  </fonts>
  <fills count="68">
    <fill>
      <patternFill patternType="none"/>
    </fill>
    <fill>
      <patternFill patternType="gray125"/>
    </fill>
    <fill>
      <patternFill patternType="solid">
        <fgColor theme="0" tint="-0.89999084444715716"/>
        <bgColor indexed="64"/>
      </patternFill>
    </fill>
    <fill>
      <patternFill patternType="solid">
        <fgColor theme="6" tint="0.79998168889431442"/>
        <bgColor indexed="64"/>
      </patternFill>
    </fill>
    <fill>
      <patternFill patternType="solid">
        <fgColor theme="0" tint="-9.9978637043366805E-2"/>
        <bgColor indexed="64"/>
      </patternFill>
    </fill>
    <fill>
      <gradientFill degree="90">
        <stop position="0">
          <color rgb="FFF5F5F5"/>
        </stop>
        <stop position="1">
          <color rgb="FFEEEEEE"/>
        </stop>
      </gradientFill>
    </fill>
    <fill>
      <gradientFill degree="90">
        <stop position="0">
          <color rgb="FFEEEEEE"/>
        </stop>
        <stop position="1">
          <color rgb="FFE8E8E8"/>
        </stop>
      </gradientFill>
    </fill>
    <fill>
      <gradientFill degree="90">
        <stop position="0">
          <color theme="0"/>
        </stop>
        <stop position="1">
          <color rgb="FFDEDEDE"/>
        </stop>
      </gradientFill>
    </fill>
    <fill>
      <gradientFill degree="90">
        <stop position="0">
          <color rgb="FFF6E99C"/>
        </stop>
        <stop position="1">
          <color rgb="FFFFFFCC"/>
        </stop>
      </gradientFill>
    </fill>
    <fill>
      <gradientFill degree="90">
        <stop position="0">
          <color rgb="FF33CC33"/>
        </stop>
        <stop position="1">
          <color rgb="FF009900"/>
        </stop>
      </gradientFill>
    </fill>
    <fill>
      <gradientFill degree="90">
        <stop position="0">
          <color rgb="FF80C0EC"/>
        </stop>
        <stop position="1">
          <color rgb="FF3F8AD5"/>
        </stop>
      </gradientFill>
    </fill>
    <fill>
      <gradientFill degree="90">
        <stop position="0">
          <color rgb="FFDEDEDE"/>
        </stop>
        <stop position="1">
          <color rgb="FFDADADA"/>
        </stop>
      </gradientFill>
    </fill>
    <fill>
      <patternFill patternType="solid">
        <fgColor rgb="FF676767"/>
        <bgColor indexed="64"/>
      </patternFill>
    </fill>
    <fill>
      <patternFill patternType="solid">
        <fgColor theme="1" tint="0.34998626667073579"/>
        <bgColor indexed="64"/>
      </patternFill>
    </fill>
    <fill>
      <patternFill patternType="solid">
        <fgColor rgb="FFE8E8E8"/>
        <bgColor indexed="64"/>
      </patternFill>
    </fill>
    <fill>
      <patternFill patternType="solid">
        <fgColor rgb="FF262626"/>
        <bgColor indexed="64"/>
      </patternFill>
    </fill>
    <fill>
      <patternFill patternType="solid">
        <fgColor theme="1"/>
        <bgColor indexed="64"/>
      </patternFill>
    </fill>
    <fill>
      <patternFill patternType="solid">
        <fgColor theme="0"/>
        <bgColor indexed="64"/>
      </patternFill>
    </fill>
    <fill>
      <patternFill patternType="solid">
        <fgColor rgb="FFEAF0F7"/>
        <bgColor indexed="64"/>
      </patternFill>
    </fill>
    <fill>
      <gradientFill degree="90">
        <stop position="0">
          <color rgb="FFA4C6EE"/>
        </stop>
        <stop position="1">
          <color rgb="FF84B1E8"/>
        </stop>
      </gradientFill>
    </fill>
    <fill>
      <patternFill patternType="solid">
        <fgColor rgb="FFFFFFFF"/>
        <bgColor indexed="64"/>
      </patternFill>
    </fill>
    <fill>
      <patternFill patternType="solid">
        <fgColor rgb="FFCDFFE4"/>
        <bgColor indexed="64"/>
      </patternFill>
    </fill>
    <fill>
      <patternFill patternType="solid">
        <fgColor rgb="FFFF0000"/>
        <bgColor indexed="64"/>
      </patternFill>
    </fill>
    <fill>
      <patternFill patternType="solid">
        <fgColor theme="1" tint="0.89999084444715716"/>
        <bgColor indexed="64"/>
      </patternFill>
    </fill>
    <fill>
      <patternFill patternType="solid">
        <fgColor theme="0" tint="-0.249977111117893"/>
        <bgColor indexed="64"/>
      </patternFill>
    </fill>
    <fill>
      <patternFill patternType="solid">
        <fgColor rgb="FF676768"/>
        <bgColor indexed="64"/>
      </patternFill>
    </fill>
    <fill>
      <patternFill patternType="solid">
        <fgColor rgb="FF262726"/>
        <bgColor indexed="64"/>
      </patternFill>
    </fill>
    <fill>
      <patternFill patternType="solid">
        <fgColor rgb="FF92D050"/>
        <bgColor indexed="64"/>
      </patternFill>
    </fill>
    <fill>
      <patternFill patternType="solid">
        <fgColor theme="8" tint="0.79998168889431442"/>
        <bgColor indexed="64"/>
      </patternFill>
    </fill>
    <fill>
      <patternFill patternType="solid">
        <fgColor rgb="FF6184C3"/>
        <bgColor indexed="64"/>
      </patternFill>
    </fill>
    <fill>
      <patternFill patternType="solid">
        <fgColor rgb="FFC5CEE1"/>
        <bgColor indexed="64"/>
      </patternFill>
    </fill>
    <fill>
      <patternFill patternType="solid">
        <fgColor rgb="FF879FD7"/>
        <bgColor indexed="64"/>
      </patternFill>
    </fill>
    <fill>
      <patternFill patternType="solid">
        <fgColor rgb="FFFCFCFC"/>
        <bgColor indexed="64"/>
      </patternFill>
    </fill>
    <fill>
      <patternFill patternType="solid">
        <fgColor rgb="FFEDF0F7"/>
        <bgColor indexed="64"/>
      </patternFill>
    </fill>
    <fill>
      <patternFill patternType="solid">
        <fgColor rgb="FFC5CEE0"/>
        <bgColor indexed="64"/>
      </patternFill>
    </fill>
    <fill>
      <patternFill patternType="solid">
        <fgColor rgb="FFFFC199"/>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9"/>
        <bgColor indexed="64"/>
      </patternFill>
    </fill>
  </fills>
  <borders count="83">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theme="0"/>
      </left>
      <right style="thin">
        <color theme="0"/>
      </right>
      <top style="thin">
        <color theme="0"/>
      </top>
      <bottom style="thin">
        <color theme="0"/>
      </bottom>
      <diagonal/>
    </border>
    <border>
      <left style="thin">
        <color theme="0"/>
      </left>
      <right/>
      <top style="thin">
        <color theme="0"/>
      </top>
      <bottom/>
      <diagonal/>
    </border>
    <border>
      <left/>
      <right style="thin">
        <color theme="0"/>
      </right>
      <top style="thin">
        <color theme="0"/>
      </top>
      <bottom/>
      <diagonal/>
    </border>
    <border>
      <left style="medium">
        <color auto="1"/>
      </left>
      <right/>
      <top/>
      <bottom/>
      <diagonal/>
    </border>
    <border>
      <left style="thin">
        <color rgb="FF5F5F5F"/>
      </left>
      <right/>
      <top style="thin">
        <color rgb="FF5F5F5F"/>
      </top>
      <bottom style="thin">
        <color rgb="FF5F5F5F"/>
      </bottom>
      <diagonal/>
    </border>
    <border>
      <left/>
      <right style="thin">
        <color rgb="FF5F5F5F"/>
      </right>
      <top style="thin">
        <color rgb="FF5F5F5F"/>
      </top>
      <bottom style="thin">
        <color rgb="FF5F5F5F"/>
      </bottom>
      <diagonal/>
    </border>
    <border>
      <left style="thin">
        <color rgb="FF5F5F5F"/>
      </left>
      <right style="thin">
        <color rgb="FF5F5F5F"/>
      </right>
      <top style="thin">
        <color rgb="FF5F5F5F"/>
      </top>
      <bottom style="thin">
        <color rgb="FF5F5F5F"/>
      </bottom>
      <diagonal/>
    </border>
    <border>
      <left style="thin">
        <color rgb="FF33CC33"/>
      </left>
      <right/>
      <top style="thin">
        <color rgb="FF33CC33"/>
      </top>
      <bottom style="thin">
        <color rgb="FF33CC33"/>
      </bottom>
      <diagonal/>
    </border>
    <border>
      <left/>
      <right style="thin">
        <color rgb="FF33CC33"/>
      </right>
      <top style="thin">
        <color rgb="FF33CC33"/>
      </top>
      <bottom style="thin">
        <color rgb="FF33CC33"/>
      </bottom>
      <diagonal/>
    </border>
    <border>
      <left style="thin">
        <color rgb="FF5DADEA"/>
      </left>
      <right/>
      <top style="thin">
        <color rgb="FF5DADEA"/>
      </top>
      <bottom style="thin">
        <color rgb="FF5DADEA"/>
      </bottom>
      <diagonal/>
    </border>
    <border>
      <left/>
      <right style="thin">
        <color rgb="FF5DADEA"/>
      </right>
      <top style="thin">
        <color rgb="FF5DADEA"/>
      </top>
      <bottom style="thin">
        <color rgb="FF5DADEA"/>
      </bottom>
      <diagonal/>
    </border>
    <border>
      <left style="thin">
        <color rgb="FF151515"/>
      </left>
      <right/>
      <top/>
      <bottom/>
      <diagonal/>
    </border>
    <border>
      <left/>
      <right style="thin">
        <color rgb="FF151515"/>
      </right>
      <top/>
      <bottom/>
      <diagonal/>
    </border>
    <border>
      <left style="thin">
        <color rgb="FF151515"/>
      </left>
      <right/>
      <top/>
      <bottom style="thin">
        <color rgb="FF151515"/>
      </bottom>
      <diagonal/>
    </border>
    <border>
      <left/>
      <right/>
      <top/>
      <bottom style="thin">
        <color rgb="FF151515"/>
      </bottom>
      <diagonal/>
    </border>
    <border>
      <left/>
      <right style="thin">
        <color rgb="FF151515"/>
      </right>
      <top/>
      <bottom style="thin">
        <color rgb="FF151515"/>
      </bottom>
      <diagonal/>
    </border>
    <border>
      <left/>
      <right/>
      <top/>
      <bottom style="thin">
        <color indexed="64"/>
      </bottom>
      <diagonal/>
    </border>
    <border>
      <left/>
      <right/>
      <top/>
      <bottom style="thin">
        <color theme="1" tint="0.499984740745262"/>
      </bottom>
      <diagonal/>
    </border>
    <border>
      <left style="thin">
        <color indexed="64"/>
      </left>
      <right/>
      <top/>
      <bottom/>
      <diagonal/>
    </border>
    <border>
      <left style="thin">
        <color indexed="64"/>
      </left>
      <right style="thin">
        <color indexed="64"/>
      </right>
      <top/>
      <bottom/>
      <diagonal/>
    </border>
    <border>
      <left/>
      <right style="thin">
        <color indexed="64"/>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rgb="FF000000"/>
      </left>
      <right style="thin">
        <color rgb="FF000000"/>
      </right>
      <top style="thin">
        <color rgb="FF000000"/>
      </top>
      <bottom style="thin">
        <color rgb="FF000000"/>
      </bottom>
      <diagonal/>
    </border>
    <border>
      <left style="medium">
        <color rgb="FF151515"/>
      </left>
      <right/>
      <top style="medium">
        <color rgb="FF151515"/>
      </top>
      <bottom/>
      <diagonal/>
    </border>
    <border>
      <left/>
      <right/>
      <top style="medium">
        <color rgb="FF151515"/>
      </top>
      <bottom/>
      <diagonal/>
    </border>
    <border>
      <left/>
      <right style="medium">
        <color rgb="FF151515"/>
      </right>
      <top style="medium">
        <color rgb="FF151515"/>
      </top>
      <bottom/>
      <diagonal/>
    </border>
    <border>
      <left style="medium">
        <color rgb="FF151515"/>
      </left>
      <right/>
      <top/>
      <bottom/>
      <diagonal/>
    </border>
    <border>
      <left/>
      <right style="medium">
        <color rgb="FF151515"/>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right/>
      <top style="medium">
        <color rgb="FF151516"/>
      </top>
      <bottom/>
      <diagonal/>
    </border>
    <border>
      <left style="medium">
        <color rgb="FF151516"/>
      </left>
      <right/>
      <top style="medium">
        <color rgb="FF151516"/>
      </top>
      <bottom/>
      <diagonal/>
    </border>
    <border>
      <left/>
      <right style="medium">
        <color rgb="FF151516"/>
      </right>
      <top style="medium">
        <color rgb="FF151516"/>
      </top>
      <bottom/>
      <diagonal/>
    </border>
    <border>
      <left style="medium">
        <color rgb="FF151516"/>
      </left>
      <right/>
      <top/>
      <bottom/>
      <diagonal/>
    </border>
    <border>
      <left/>
      <right style="medium">
        <color rgb="FF151516"/>
      </right>
      <top/>
      <bottom/>
      <diagonal/>
    </border>
    <border>
      <left/>
      <right/>
      <top style="thin">
        <color rgb="FFD6E2EE"/>
      </top>
      <bottom style="thin">
        <color rgb="FF83A7CA"/>
      </bottom>
      <diagonal/>
    </border>
    <border>
      <left style="medium">
        <color rgb="FF151515"/>
      </left>
      <right/>
      <top style="thin">
        <color rgb="FFD6E2EE"/>
      </top>
      <bottom style="thin">
        <color rgb="FF83A7CA"/>
      </bottom>
      <diagonal/>
    </border>
    <border>
      <left/>
      <right style="medium">
        <color rgb="FF151515"/>
      </right>
      <top style="thin">
        <color rgb="FFD6E2EE"/>
      </top>
      <bottom style="thin">
        <color rgb="FF83A7CA"/>
      </bottom>
      <diagonal/>
    </border>
    <border>
      <left/>
      <right/>
      <top style="thin">
        <color rgb="FF83A7CA"/>
      </top>
      <bottom/>
      <diagonal/>
    </border>
    <border>
      <left style="medium">
        <color rgb="FF151515"/>
      </left>
      <right/>
      <top style="thin">
        <color rgb="FF83A7CA"/>
      </top>
      <bottom/>
      <diagonal/>
    </border>
    <border>
      <left/>
      <right/>
      <top style="thin">
        <color rgb="FFD8E3F0"/>
      </top>
      <bottom/>
      <diagonal/>
    </border>
    <border>
      <left/>
      <right/>
      <top style="thin">
        <color rgb="FFD8E3F0"/>
      </top>
      <bottom style="thin">
        <color rgb="FFD8E3F0"/>
      </bottom>
      <diagonal/>
    </border>
    <border>
      <left style="medium">
        <color rgb="FF151515"/>
      </left>
      <right/>
      <top style="thin">
        <color rgb="FFD8E3F0"/>
      </top>
      <bottom style="thin">
        <color rgb="FFD8E3F0"/>
      </bottom>
      <diagonal/>
    </border>
    <border>
      <left/>
      <right style="medium">
        <color rgb="FF151515"/>
      </right>
      <top style="thin">
        <color rgb="FFD8E3F0"/>
      </top>
      <bottom style="thin">
        <color rgb="FFD8E3F0"/>
      </bottom>
      <diagonal/>
    </border>
    <border>
      <left style="medium">
        <color rgb="FF151515"/>
      </left>
      <right/>
      <top style="thin">
        <color rgb="FFD8E3F0"/>
      </top>
      <bottom/>
      <diagonal/>
    </border>
    <border>
      <left/>
      <right/>
      <top style="thin">
        <color rgb="FFD8E3F0"/>
      </top>
      <bottom style="medium">
        <color rgb="FF151515"/>
      </bottom>
      <diagonal/>
    </border>
    <border>
      <left style="medium">
        <color rgb="FF151515"/>
      </left>
      <right/>
      <top style="thin">
        <color rgb="FFD8E3F0"/>
      </top>
      <bottom style="medium">
        <color rgb="FF151515"/>
      </bottom>
      <diagonal/>
    </border>
    <border>
      <left/>
      <right style="medium">
        <color rgb="FF151515"/>
      </right>
      <top style="thin">
        <color rgb="FFD8E3F0"/>
      </top>
      <bottom style="medium">
        <color rgb="FF151515"/>
      </bottom>
      <diagonal/>
    </border>
    <border>
      <left style="medium">
        <color rgb="FF151515"/>
      </left>
      <right/>
      <top/>
      <bottom style="medium">
        <color rgb="FF151515"/>
      </bottom>
      <diagonal/>
    </border>
    <border>
      <left/>
      <right/>
      <top/>
      <bottom style="medium">
        <color rgb="FF151515"/>
      </bottom>
      <diagonal/>
    </border>
    <border>
      <left/>
      <right style="medium">
        <color rgb="FF151515"/>
      </right>
      <top/>
      <bottom style="medium">
        <color rgb="FF151515"/>
      </bottom>
      <diagonal/>
    </border>
    <border>
      <left style="thin">
        <color rgb="FF000000"/>
      </left>
      <right style="medium">
        <color rgb="FF151515"/>
      </right>
      <top style="thin">
        <color rgb="FF000000"/>
      </top>
      <bottom style="thin">
        <color rgb="FF000000"/>
      </bottom>
      <diagonal/>
    </border>
    <border>
      <left/>
      <right/>
      <top/>
      <bottom style="thin">
        <color rgb="FF646464"/>
      </bottom>
      <diagonal/>
    </border>
    <border>
      <left/>
      <right/>
      <top style="thin">
        <color rgb="FF737D96"/>
      </top>
      <bottom/>
      <diagonal/>
    </border>
    <border>
      <left style="thin">
        <color rgb="FF737D96"/>
      </left>
      <right/>
      <top/>
      <bottom/>
      <diagonal/>
    </border>
    <border>
      <left/>
      <right/>
      <top/>
      <bottom style="thin">
        <color rgb="FF5779B7"/>
      </bottom>
      <diagonal/>
    </border>
    <border>
      <left/>
      <right/>
      <top style="thin">
        <color rgb="FFDBE1EF"/>
      </top>
      <bottom/>
      <diagonal/>
    </border>
    <border>
      <left/>
      <right/>
      <top style="thin">
        <color rgb="FFCBD5E7"/>
      </top>
      <bottom style="thin">
        <color rgb="FFDBE1EF"/>
      </bottom>
      <diagonal/>
    </border>
    <border>
      <left/>
      <right/>
      <top style="thin">
        <color rgb="FFDBE1EF"/>
      </top>
      <bottom style="thin">
        <color rgb="FFDBE1EF"/>
      </bottom>
      <diagonal/>
    </border>
    <border>
      <left/>
      <right/>
      <top/>
      <bottom style="thin">
        <color rgb="FFDBE1EF"/>
      </bottom>
      <diagonal/>
    </border>
    <border>
      <left/>
      <right/>
      <top style="thin">
        <color rgb="FF546789"/>
      </top>
      <bottom/>
      <diagonal/>
    </border>
    <border>
      <left/>
      <right/>
      <top style="thin">
        <color rgb="FF5779B7"/>
      </top>
      <bottom style="thin">
        <color rgb="FFCBD5E7"/>
      </bottom>
      <diagonal/>
    </border>
    <border>
      <left/>
      <right/>
      <top style="thin">
        <color rgb="FF5779B7"/>
      </top>
      <bottom/>
      <diagonal/>
    </border>
    <border>
      <left/>
      <right/>
      <top style="thin">
        <color rgb="FFDBE1EF"/>
      </top>
      <bottom style="thin">
        <color rgb="FF546789"/>
      </bottom>
      <diagonal/>
    </border>
    <border>
      <left/>
      <right style="thin">
        <color rgb="FF737D96"/>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6">
    <xf numFmtId="0" fontId="0" fillId="0" borderId="0"/>
    <xf numFmtId="0" fontId="8" fillId="0" borderId="0"/>
    <xf numFmtId="0" fontId="14" fillId="0" borderId="0" applyNumberForma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47" fillId="0" borderId="0" applyNumberFormat="0" applyFill="0" applyBorder="0" applyAlignment="0" applyProtection="0"/>
    <xf numFmtId="0" fontId="48" fillId="0" borderId="74" applyNumberFormat="0" applyFill="0" applyAlignment="0" applyProtection="0"/>
    <xf numFmtId="0" fontId="49" fillId="0" borderId="75" applyNumberFormat="0" applyFill="0" applyAlignment="0" applyProtection="0"/>
    <xf numFmtId="0" fontId="50" fillId="0" borderId="76" applyNumberFormat="0" applyFill="0" applyAlignment="0" applyProtection="0"/>
    <xf numFmtId="0" fontId="50" fillId="0" borderId="0" applyNumberFormat="0" applyFill="0" applyBorder="0" applyAlignment="0" applyProtection="0"/>
    <xf numFmtId="0" fontId="51" fillId="36" borderId="0" applyNumberFormat="0" applyBorder="0" applyAlignment="0" applyProtection="0"/>
    <xf numFmtId="0" fontId="52" fillId="37" borderId="0" applyNumberFormat="0" applyBorder="0" applyAlignment="0" applyProtection="0"/>
    <xf numFmtId="0" fontId="53" fillId="38" borderId="0" applyNumberFormat="0" applyBorder="0" applyAlignment="0" applyProtection="0"/>
    <xf numFmtId="0" fontId="54" fillId="39" borderId="77" applyNumberFormat="0" applyAlignment="0" applyProtection="0"/>
    <xf numFmtId="0" fontId="55" fillId="40" borderId="78" applyNumberFormat="0" applyAlignment="0" applyProtection="0"/>
    <xf numFmtId="0" fontId="56" fillId="40" borderId="77" applyNumberFormat="0" applyAlignment="0" applyProtection="0"/>
    <xf numFmtId="0" fontId="57" fillId="0" borderId="79" applyNumberFormat="0" applyFill="0" applyAlignment="0" applyProtection="0"/>
    <xf numFmtId="0" fontId="2" fillId="41" borderId="80" applyNumberFormat="0" applyAlignment="0" applyProtection="0"/>
    <xf numFmtId="0" fontId="31" fillId="0" borderId="0" applyNumberFormat="0" applyFill="0" applyBorder="0" applyAlignment="0" applyProtection="0"/>
    <xf numFmtId="0" fontId="1" fillId="42" borderId="81" applyNumberFormat="0" applyFont="0" applyAlignment="0" applyProtection="0"/>
    <xf numFmtId="0" fontId="58" fillId="0" borderId="0" applyNumberFormat="0" applyFill="0" applyBorder="0" applyAlignment="0" applyProtection="0"/>
    <xf numFmtId="0" fontId="3" fillId="0" borderId="82" applyNumberFormat="0" applyFill="0" applyAlignment="0" applyProtection="0"/>
    <xf numFmtId="0" fontId="4" fillId="43"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4" fillId="46" borderId="0" applyNumberFormat="0" applyBorder="0" applyAlignment="0" applyProtection="0"/>
    <xf numFmtId="0" fontId="4" fillId="47"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4" fillId="50" borderId="0" applyNumberFormat="0" applyBorder="0" applyAlignment="0" applyProtection="0"/>
    <xf numFmtId="0" fontId="4" fillId="51"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4" fillId="54" borderId="0" applyNumberFormat="0" applyBorder="0" applyAlignment="0" applyProtection="0"/>
    <xf numFmtId="0" fontId="4" fillId="55" borderId="0" applyNumberFormat="0" applyBorder="0" applyAlignment="0" applyProtection="0"/>
    <xf numFmtId="0" fontId="1" fillId="56" borderId="0" applyNumberFormat="0" applyBorder="0" applyAlignment="0" applyProtection="0"/>
    <xf numFmtId="0" fontId="1" fillId="57" borderId="0" applyNumberFormat="0" applyBorder="0" applyAlignment="0" applyProtection="0"/>
    <xf numFmtId="0" fontId="4" fillId="58" borderId="0" applyNumberFormat="0" applyBorder="0" applyAlignment="0" applyProtection="0"/>
    <xf numFmtId="0" fontId="4" fillId="59" borderId="0" applyNumberFormat="0" applyBorder="0" applyAlignment="0" applyProtection="0"/>
    <xf numFmtId="0" fontId="1" fillId="60" borderId="0" applyNumberFormat="0" applyBorder="0" applyAlignment="0" applyProtection="0"/>
    <xf numFmtId="0" fontId="1" fillId="61" borderId="0" applyNumberFormat="0" applyBorder="0" applyAlignment="0" applyProtection="0"/>
    <xf numFmtId="0" fontId="4" fillId="62" borderId="0" applyNumberFormat="0" applyBorder="0" applyAlignment="0" applyProtection="0"/>
    <xf numFmtId="0" fontId="4" fillId="63" borderId="0" applyNumberFormat="0" applyBorder="0" applyAlignment="0" applyProtection="0"/>
    <xf numFmtId="0" fontId="1" fillId="64" borderId="0" applyNumberFormat="0" applyBorder="0" applyAlignment="0" applyProtection="0"/>
    <xf numFmtId="0" fontId="1" fillId="65" borderId="0" applyNumberFormat="0" applyBorder="0" applyAlignment="0" applyProtection="0"/>
    <xf numFmtId="0" fontId="4" fillId="66" borderId="0" applyNumberFormat="0" applyBorder="0" applyAlignment="0" applyProtection="0"/>
  </cellStyleXfs>
  <cellXfs count="343">
    <xf numFmtId="0" fontId="0" fillId="0" borderId="0" xfId="0"/>
    <xf numFmtId="0" fontId="2" fillId="2" borderId="1" xfId="0" applyFont="1" applyFill="1" applyBorder="1"/>
    <xf numFmtId="0" fontId="2" fillId="2" borderId="2" xfId="0" applyFont="1" applyFill="1" applyBorder="1"/>
    <xf numFmtId="0" fontId="2" fillId="2" borderId="3" xfId="0" applyFont="1" applyFill="1" applyBorder="1"/>
    <xf numFmtId="0" fontId="0" fillId="0" borderId="0" xfId="0" applyFill="1" applyBorder="1"/>
    <xf numFmtId="1" fontId="5" fillId="3" borderId="0" xfId="0" applyNumberFormat="1" applyFont="1" applyFill="1" applyBorder="1"/>
    <xf numFmtId="1" fontId="5" fillId="3" borderId="0" xfId="0" applyNumberFormat="1" applyFont="1" applyFill="1" applyBorder="1" applyAlignment="1">
      <alignment horizontal="center"/>
    </xf>
    <xf numFmtId="0" fontId="6" fillId="4" borderId="0" xfId="0" applyFont="1" applyFill="1" applyBorder="1" applyAlignment="1">
      <alignment horizontal="center"/>
    </xf>
    <xf numFmtId="0" fontId="0" fillId="0" borderId="4" xfId="0" applyBorder="1"/>
    <xf numFmtId="14" fontId="0" fillId="0" borderId="4" xfId="0" applyNumberFormat="1" applyBorder="1"/>
    <xf numFmtId="164" fontId="0" fillId="0" borderId="4" xfId="0" applyNumberFormat="1" applyFill="1" applyBorder="1" applyAlignment="1">
      <alignment horizontal="center"/>
    </xf>
    <xf numFmtId="1" fontId="0" fillId="0" borderId="4" xfId="0" applyNumberFormat="1" applyFill="1" applyBorder="1"/>
    <xf numFmtId="0" fontId="0" fillId="0" borderId="4" xfId="0" applyFill="1" applyBorder="1"/>
    <xf numFmtId="0" fontId="5" fillId="3" borderId="0" xfId="0" applyNumberFormat="1" applyFont="1" applyFill="1" applyBorder="1" applyAlignment="1">
      <alignment horizontal="right"/>
    </xf>
    <xf numFmtId="1" fontId="5" fillId="3" borderId="0" xfId="0" applyNumberFormat="1" applyFont="1" applyFill="1" applyBorder="1" applyAlignment="1">
      <alignment horizontal="right"/>
    </xf>
    <xf numFmtId="0" fontId="0" fillId="0" borderId="0" xfId="0" applyBorder="1"/>
    <xf numFmtId="14" fontId="0" fillId="0" borderId="0" xfId="0" applyNumberFormat="1" applyFill="1" applyBorder="1"/>
    <xf numFmtId="0" fontId="0" fillId="0" borderId="4" xfId="0" applyBorder="1" applyAlignment="1">
      <alignment horizontal="center"/>
    </xf>
    <xf numFmtId="0" fontId="0" fillId="0" borderId="0" xfId="0" applyAlignment="1">
      <alignment horizontal="center"/>
    </xf>
    <xf numFmtId="0" fontId="7" fillId="0" borderId="0" xfId="0" applyFont="1" applyFill="1" applyBorder="1"/>
    <xf numFmtId="14" fontId="0" fillId="0" borderId="0" xfId="0" applyNumberFormat="1" applyFill="1" applyBorder="1" applyAlignment="1">
      <alignment horizontal="center"/>
    </xf>
    <xf numFmtId="0" fontId="0" fillId="0" borderId="0" xfId="0" applyFill="1"/>
    <xf numFmtId="0" fontId="0" fillId="0" borderId="0" xfId="0" applyFill="1" applyBorder="1" applyAlignment="1">
      <alignment wrapText="1"/>
    </xf>
    <xf numFmtId="0" fontId="0" fillId="5" borderId="0" xfId="0" applyFill="1"/>
    <xf numFmtId="0" fontId="10" fillId="6" borderId="0" xfId="0" applyFont="1" applyFill="1" applyBorder="1"/>
    <xf numFmtId="0" fontId="10" fillId="6" borderId="0" xfId="0" applyFont="1" applyFill="1" applyBorder="1" applyAlignment="1">
      <alignment horizontal="center"/>
    </xf>
    <xf numFmtId="0" fontId="11" fillId="6" borderId="0" xfId="0" applyFont="1" applyFill="1" applyBorder="1" applyAlignment="1">
      <alignment horizontal="center"/>
    </xf>
    <xf numFmtId="0" fontId="0" fillId="6" borderId="0" xfId="0" applyFill="1" applyBorder="1"/>
    <xf numFmtId="0" fontId="0" fillId="7" borderId="0" xfId="0" applyFill="1"/>
    <xf numFmtId="0" fontId="13" fillId="7" borderId="0" xfId="0" applyFont="1" applyFill="1" applyBorder="1" applyAlignment="1">
      <alignment horizontal="right" vertical="center"/>
    </xf>
    <xf numFmtId="14" fontId="13" fillId="7" borderId="0" xfId="0" applyNumberFormat="1" applyFont="1" applyFill="1" applyBorder="1" applyAlignment="1">
      <alignment horizontal="center" vertical="center"/>
    </xf>
    <xf numFmtId="164" fontId="5" fillId="8" borderId="10" xfId="0" applyNumberFormat="1" applyFont="1" applyFill="1" applyBorder="1" applyAlignment="1">
      <alignment horizontal="center" vertical="center"/>
    </xf>
    <xf numFmtId="0" fontId="4" fillId="7" borderId="0" xfId="0" applyNumberFormat="1" applyFont="1" applyFill="1" applyBorder="1" applyAlignment="1">
      <alignment horizontal="center" vertical="center"/>
    </xf>
    <xf numFmtId="0" fontId="0" fillId="11" borderId="0" xfId="0" applyFill="1"/>
    <xf numFmtId="0" fontId="0" fillId="12" borderId="0" xfId="0" applyFill="1"/>
    <xf numFmtId="0" fontId="0" fillId="13" borderId="0" xfId="0" applyFill="1"/>
    <xf numFmtId="0" fontId="3" fillId="14" borderId="15" xfId="0" applyFont="1" applyFill="1" applyBorder="1" applyAlignment="1">
      <alignment horizontal="left" indent="2"/>
    </xf>
    <xf numFmtId="0" fontId="16" fillId="14" borderId="0" xfId="0" applyFont="1" applyFill="1" applyBorder="1" applyAlignment="1">
      <alignment horizontal="center"/>
    </xf>
    <xf numFmtId="0" fontId="17" fillId="14" borderId="0" xfId="0" applyFont="1" applyFill="1" applyBorder="1" applyAlignment="1">
      <alignment horizontal="center"/>
    </xf>
    <xf numFmtId="0" fontId="0" fillId="14" borderId="0" xfId="0" applyFill="1" applyBorder="1"/>
    <xf numFmtId="0" fontId="0" fillId="14" borderId="16" xfId="0" applyFill="1" applyBorder="1"/>
    <xf numFmtId="0" fontId="18" fillId="14" borderId="0" xfId="0" applyFont="1" applyFill="1" applyBorder="1" applyAlignment="1">
      <alignment horizontal="right"/>
    </xf>
    <xf numFmtId="0" fontId="13" fillId="14" borderId="0" xfId="0" applyFont="1" applyFill="1" applyBorder="1" applyAlignment="1">
      <alignment horizontal="right" vertical="center" indent="1"/>
    </xf>
    <xf numFmtId="0" fontId="0" fillId="14" borderId="17" xfId="0" applyFill="1" applyBorder="1"/>
    <xf numFmtId="0" fontId="0" fillId="14" borderId="18" xfId="0" applyFill="1" applyBorder="1"/>
    <xf numFmtId="0" fontId="0" fillId="14" borderId="19" xfId="0" applyFill="1" applyBorder="1"/>
    <xf numFmtId="0" fontId="2" fillId="16" borderId="21" xfId="0" applyFont="1" applyFill="1" applyBorder="1" applyAlignment="1">
      <alignment vertical="center"/>
    </xf>
    <xf numFmtId="165" fontId="21" fillId="17" borderId="0" xfId="0" applyNumberFormat="1" applyFont="1" applyFill="1"/>
    <xf numFmtId="0" fontId="21" fillId="17" borderId="0" xfId="0" applyFont="1" applyFill="1"/>
    <xf numFmtId="166" fontId="21" fillId="17" borderId="0" xfId="0" applyNumberFormat="1" applyFont="1" applyFill="1"/>
    <xf numFmtId="0" fontId="21" fillId="0" borderId="0" xfId="0" applyFont="1"/>
    <xf numFmtId="167" fontId="0" fillId="0" borderId="0" xfId="0" applyNumberFormat="1" applyFill="1"/>
    <xf numFmtId="14" fontId="0" fillId="0" borderId="0" xfId="0" applyNumberFormat="1" applyFill="1"/>
    <xf numFmtId="166" fontId="0" fillId="0" borderId="0" xfId="0" applyNumberFormat="1" applyFill="1"/>
    <xf numFmtId="165" fontId="0" fillId="0" borderId="0" xfId="0" applyNumberFormat="1" applyFill="1"/>
    <xf numFmtId="0" fontId="0" fillId="0" borderId="0" xfId="0" quotePrefix="1" applyFill="1"/>
    <xf numFmtId="14" fontId="0" fillId="0" borderId="0" xfId="0" applyNumberFormat="1"/>
    <xf numFmtId="167" fontId="3" fillId="0" borderId="0" xfId="0" applyNumberFormat="1" applyFont="1" applyFill="1"/>
    <xf numFmtId="166" fontId="3" fillId="0" borderId="0" xfId="0" applyNumberFormat="1" applyFont="1" applyFill="1"/>
    <xf numFmtId="165" fontId="3" fillId="0" borderId="0" xfId="0" applyNumberFormat="1" applyFont="1" applyFill="1"/>
    <xf numFmtId="165" fontId="0" fillId="0" borderId="0" xfId="0" applyNumberFormat="1"/>
    <xf numFmtId="166" fontId="0" fillId="0" borderId="0" xfId="0" applyNumberFormat="1"/>
    <xf numFmtId="168" fontId="0" fillId="0" borderId="0" xfId="0" applyNumberFormat="1"/>
    <xf numFmtId="0" fontId="21" fillId="0" borderId="23" xfId="0" applyFont="1" applyBorder="1"/>
    <xf numFmtId="37" fontId="0" fillId="0" borderId="23" xfId="0" quotePrefix="1" applyNumberFormat="1" applyFill="1" applyBorder="1"/>
    <xf numFmtId="0" fontId="3" fillId="0" borderId="0" xfId="0" applyFont="1" applyBorder="1" applyAlignment="1">
      <alignment horizontal="centerContinuous" vertical="center"/>
    </xf>
    <xf numFmtId="0" fontId="22" fillId="16" borderId="0" xfId="0" applyFont="1" applyFill="1"/>
    <xf numFmtId="169" fontId="0" fillId="0" borderId="0" xfId="0" applyNumberFormat="1" applyFill="1" applyBorder="1"/>
    <xf numFmtId="0" fontId="7" fillId="4" borderId="0" xfId="0" applyFont="1" applyFill="1"/>
    <xf numFmtId="0" fontId="16" fillId="0" borderId="0" xfId="0" applyFont="1"/>
    <xf numFmtId="37" fontId="0" fillId="0" borderId="0" xfId="0" quotePrefix="1" applyNumberFormat="1" applyAlignment="1">
      <alignment horizontal="right"/>
    </xf>
    <xf numFmtId="3" fontId="0" fillId="0" borderId="0" xfId="0" applyNumberFormat="1"/>
    <xf numFmtId="0" fontId="0" fillId="0" borderId="0" xfId="0" applyAlignment="1">
      <alignment horizontal="left"/>
    </xf>
    <xf numFmtId="164" fontId="0" fillId="0" borderId="0" xfId="0" applyNumberFormat="1"/>
    <xf numFmtId="0" fontId="3" fillId="0" borderId="0" xfId="0" applyFont="1"/>
    <xf numFmtId="0" fontId="2" fillId="16" borderId="0" xfId="0" applyFont="1" applyFill="1"/>
    <xf numFmtId="0" fontId="0" fillId="0" borderId="0" xfId="0" applyAlignment="1">
      <alignment horizontal="left" indent="1"/>
    </xf>
    <xf numFmtId="0" fontId="23" fillId="0" borderId="0" xfId="0" applyFont="1"/>
    <xf numFmtId="0" fontId="25" fillId="15" borderId="0" xfId="0" applyFont="1" applyFill="1" applyBorder="1" applyAlignment="1">
      <alignment horizontal="left" vertical="center" indent="1"/>
    </xf>
    <xf numFmtId="0" fontId="0" fillId="4" borderId="0" xfId="0" applyFill="1"/>
    <xf numFmtId="0" fontId="3" fillId="4" borderId="0" xfId="0" applyFont="1" applyFill="1"/>
    <xf numFmtId="37" fontId="7" fillId="0" borderId="0" xfId="0" applyNumberFormat="1" applyFont="1"/>
    <xf numFmtId="0" fontId="0" fillId="4" borderId="20" xfId="0" applyFill="1" applyBorder="1"/>
    <xf numFmtId="0" fontId="0" fillId="4" borderId="0" xfId="0" applyFill="1" applyBorder="1"/>
    <xf numFmtId="3" fontId="0" fillId="0" borderId="0" xfId="0" applyNumberFormat="1" applyBorder="1"/>
    <xf numFmtId="170" fontId="0" fillId="0" borderId="0" xfId="0" applyNumberFormat="1" applyFill="1" applyAlignment="1">
      <alignment horizontal="left" indent="2"/>
    </xf>
    <xf numFmtId="3" fontId="0" fillId="0" borderId="0" xfId="0" applyNumberFormat="1" applyFill="1"/>
    <xf numFmtId="0" fontId="31" fillId="0" borderId="0" xfId="0" applyFont="1"/>
    <xf numFmtId="0" fontId="31" fillId="4" borderId="0" xfId="0" applyFont="1" applyFill="1"/>
    <xf numFmtId="3" fontId="31" fillId="0" borderId="0" xfId="0" applyNumberFormat="1" applyFont="1" applyAlignment="1">
      <alignment horizontal="right"/>
    </xf>
    <xf numFmtId="43" fontId="31" fillId="0" borderId="0" xfId="0" applyNumberFormat="1" applyFont="1"/>
    <xf numFmtId="0" fontId="3" fillId="0" borderId="0" xfId="0" applyFont="1" applyAlignment="1">
      <alignment horizontal="left"/>
    </xf>
    <xf numFmtId="0" fontId="32" fillId="0" borderId="0" xfId="0" applyFont="1" applyAlignment="1">
      <alignment horizontal="right"/>
    </xf>
    <xf numFmtId="171" fontId="32" fillId="0" borderId="0" xfId="3" applyNumberFormat="1" applyFont="1"/>
    <xf numFmtId="170" fontId="3" fillId="0" borderId="0" xfId="0" applyNumberFormat="1" applyFont="1" applyAlignment="1">
      <alignment horizontal="left" indent="2"/>
    </xf>
    <xf numFmtId="170" fontId="3" fillId="0" borderId="0" xfId="0" applyNumberFormat="1" applyFont="1" applyFill="1" applyAlignment="1">
      <alignment horizontal="left" indent="2"/>
    </xf>
    <xf numFmtId="37" fontId="0" fillId="21" borderId="22" xfId="0" quotePrefix="1" applyNumberFormat="1" applyFill="1" applyBorder="1"/>
    <xf numFmtId="37" fontId="0" fillId="21" borderId="0" xfId="0" quotePrefix="1" applyNumberFormat="1" applyFill="1" applyBorder="1"/>
    <xf numFmtId="37" fontId="0" fillId="21" borderId="24" xfId="0" quotePrefix="1" applyNumberFormat="1" applyFill="1" applyBorder="1"/>
    <xf numFmtId="37" fontId="0" fillId="21" borderId="23" xfId="0" quotePrefix="1" applyNumberFormat="1" applyFill="1" applyBorder="1"/>
    <xf numFmtId="0" fontId="0" fillId="21" borderId="0" xfId="0" applyFill="1"/>
    <xf numFmtId="0" fontId="3" fillId="21" borderId="0" xfId="0" applyFont="1" applyFill="1"/>
    <xf numFmtId="20" fontId="3" fillId="21" borderId="0" xfId="0" applyNumberFormat="1" applyFont="1" applyFill="1"/>
    <xf numFmtId="3" fontId="0" fillId="21" borderId="0" xfId="0" applyNumberFormat="1" applyFill="1"/>
    <xf numFmtId="3" fontId="3" fillId="21" borderId="0" xfId="0" applyNumberFormat="1" applyFont="1" applyFill="1"/>
    <xf numFmtId="171" fontId="3" fillId="21" borderId="0" xfId="0" applyNumberFormat="1" applyFont="1" applyFill="1"/>
    <xf numFmtId="0" fontId="3" fillId="0" borderId="25" xfId="0" applyFont="1" applyFill="1" applyBorder="1"/>
    <xf numFmtId="0" fontId="3" fillId="0" borderId="26" xfId="0" applyFont="1" applyFill="1" applyBorder="1"/>
    <xf numFmtId="0" fontId="3" fillId="0" borderId="27" xfId="0" applyFont="1" applyFill="1" applyBorder="1"/>
    <xf numFmtId="0" fontId="0" fillId="4" borderId="22" xfId="0" applyFill="1" applyBorder="1"/>
    <xf numFmtId="0" fontId="0" fillId="4" borderId="24" xfId="0" applyFill="1" applyBorder="1"/>
    <xf numFmtId="0" fontId="0" fillId="4" borderId="28" xfId="0" applyFill="1" applyBorder="1"/>
    <xf numFmtId="0" fontId="3" fillId="0" borderId="26" xfId="0" applyFont="1" applyFill="1" applyBorder="1" applyAlignment="1">
      <alignment horizontal="left"/>
    </xf>
    <xf numFmtId="0" fontId="0" fillId="0" borderId="0" xfId="0" quotePrefix="1"/>
    <xf numFmtId="171" fontId="0" fillId="21" borderId="0" xfId="0" quotePrefix="1" applyNumberFormat="1" applyFill="1"/>
    <xf numFmtId="9" fontId="0" fillId="21" borderId="0" xfId="0" quotePrefix="1" applyNumberFormat="1" applyFill="1"/>
    <xf numFmtId="166" fontId="0" fillId="21" borderId="0" xfId="0" applyNumberFormat="1" applyFill="1"/>
    <xf numFmtId="0" fontId="33" fillId="0" borderId="0" xfId="0" applyFont="1"/>
    <xf numFmtId="0" fontId="0" fillId="22" borderId="0" xfId="0" applyFill="1"/>
    <xf numFmtId="0" fontId="0" fillId="21" borderId="0" xfId="0" quotePrefix="1" applyFill="1"/>
    <xf numFmtId="0" fontId="0" fillId="21" borderId="0" xfId="0" applyFill="1" applyAlignment="1">
      <alignment horizontal="right"/>
    </xf>
    <xf numFmtId="0" fontId="16" fillId="0" borderId="0" xfId="0" applyFont="1" applyFill="1" applyBorder="1" applyAlignment="1">
      <alignment horizontal="right"/>
    </xf>
    <xf numFmtId="0" fontId="16" fillId="0" borderId="0" xfId="0" applyFont="1" applyAlignment="1">
      <alignment horizontal="right"/>
    </xf>
    <xf numFmtId="9" fontId="0" fillId="0" borderId="0" xfId="0" applyNumberFormat="1"/>
    <xf numFmtId="164" fontId="0" fillId="0" borderId="0" xfId="0" applyNumberFormat="1" applyFill="1" applyBorder="1"/>
    <xf numFmtId="0" fontId="0" fillId="0" borderId="0" xfId="0" applyFont="1" applyFill="1" applyBorder="1"/>
    <xf numFmtId="0" fontId="34" fillId="0" borderId="0" xfId="0" applyFont="1"/>
    <xf numFmtId="0" fontId="7" fillId="0" borderId="36" xfId="0" applyFont="1" applyBorder="1"/>
    <xf numFmtId="0" fontId="23" fillId="4" borderId="37" xfId="0" applyFont="1" applyFill="1" applyBorder="1"/>
    <xf numFmtId="0" fontId="0" fillId="0" borderId="29" xfId="0" applyBorder="1"/>
    <xf numFmtId="3" fontId="0" fillId="21" borderId="0" xfId="0" applyNumberFormat="1" applyFill="1" applyAlignment="1">
      <alignment horizontal="right"/>
    </xf>
    <xf numFmtId="0" fontId="0" fillId="0" borderId="0" xfId="0" applyAlignment="1">
      <alignment horizontal="right"/>
    </xf>
    <xf numFmtId="0" fontId="16" fillId="0" borderId="0" xfId="0" applyFont="1" applyAlignment="1">
      <alignment horizontal="left"/>
    </xf>
    <xf numFmtId="0" fontId="0" fillId="4" borderId="25" xfId="0" applyFill="1" applyBorder="1"/>
    <xf numFmtId="0" fontId="0" fillId="4" borderId="27" xfId="0" applyFill="1" applyBorder="1"/>
    <xf numFmtId="0" fontId="34" fillId="0" borderId="28" xfId="0" applyFont="1" applyBorder="1"/>
    <xf numFmtId="0" fontId="0" fillId="0" borderId="25" xfId="0" applyFill="1" applyBorder="1"/>
    <xf numFmtId="0" fontId="0" fillId="0" borderId="26" xfId="0" applyFill="1" applyBorder="1"/>
    <xf numFmtId="0" fontId="0" fillId="0" borderId="27" xfId="0" applyFill="1" applyBorder="1"/>
    <xf numFmtId="0" fontId="0" fillId="0" borderId="22" xfId="0" applyFill="1" applyBorder="1"/>
    <xf numFmtId="0" fontId="0" fillId="0" borderId="24" xfId="0" applyFill="1" applyBorder="1"/>
    <xf numFmtId="0" fontId="0" fillId="0" borderId="22" xfId="0" quotePrefix="1" applyFill="1" applyBorder="1"/>
    <xf numFmtId="0" fontId="0" fillId="0" borderId="20" xfId="0" applyFill="1" applyBorder="1"/>
    <xf numFmtId="0" fontId="0" fillId="0" borderId="29" xfId="0" applyFill="1" applyBorder="1"/>
    <xf numFmtId="0" fontId="0" fillId="0" borderId="28" xfId="0" quotePrefix="1" applyFill="1" applyBorder="1"/>
    <xf numFmtId="0" fontId="3" fillId="0" borderId="0" xfId="0" applyFont="1" applyAlignment="1">
      <alignment horizontal="right"/>
    </xf>
    <xf numFmtId="0" fontId="21" fillId="0" borderId="0" xfId="0" applyFont="1" applyAlignment="1">
      <alignment horizontal="right"/>
    </xf>
    <xf numFmtId="0" fontId="21" fillId="0" borderId="24" xfId="0" applyFont="1" applyBorder="1" applyAlignment="1">
      <alignment horizontal="right"/>
    </xf>
    <xf numFmtId="0" fontId="21" fillId="0" borderId="23" xfId="0" applyFont="1" applyBorder="1" applyAlignment="1">
      <alignment horizontal="right"/>
    </xf>
    <xf numFmtId="0" fontId="21" fillId="0" borderId="22" xfId="0" applyFont="1" applyBorder="1" applyAlignment="1">
      <alignment horizontal="right"/>
    </xf>
    <xf numFmtId="0" fontId="21" fillId="0" borderId="0" xfId="0" applyFont="1" applyBorder="1" applyAlignment="1">
      <alignment horizontal="right"/>
    </xf>
    <xf numFmtId="3" fontId="0" fillId="21" borderId="0" xfId="0" applyNumberFormat="1" applyFont="1" applyFill="1"/>
    <xf numFmtId="0" fontId="0" fillId="21" borderId="0" xfId="0" applyFill="1" applyAlignment="1">
      <alignment horizontal="left" indent="1"/>
    </xf>
    <xf numFmtId="0" fontId="16" fillId="21" borderId="0" xfId="0" applyFont="1" applyFill="1"/>
    <xf numFmtId="0" fontId="0" fillId="21" borderId="0" xfId="0" applyFill="1" applyAlignment="1">
      <alignment horizontal="left"/>
    </xf>
    <xf numFmtId="0" fontId="33" fillId="21" borderId="0" xfId="0" applyFont="1" applyFill="1"/>
    <xf numFmtId="3" fontId="0" fillId="4" borderId="0" xfId="0" applyNumberFormat="1" applyFill="1"/>
    <xf numFmtId="0" fontId="0" fillId="21" borderId="36" xfId="0" applyFill="1" applyBorder="1"/>
    <xf numFmtId="0" fontId="0" fillId="21" borderId="23" xfId="0" applyFill="1" applyBorder="1"/>
    <xf numFmtId="0" fontId="0" fillId="21" borderId="37" xfId="0" applyFill="1" applyBorder="1"/>
    <xf numFmtId="9" fontId="0" fillId="21" borderId="0" xfId="0" applyNumberFormat="1" applyFill="1"/>
    <xf numFmtId="0" fontId="16" fillId="4" borderId="0" xfId="0" applyFont="1" applyFill="1" applyAlignment="1">
      <alignment horizontal="right"/>
    </xf>
    <xf numFmtId="3" fontId="16" fillId="0" borderId="0" xfId="0" applyNumberFormat="1" applyFont="1" applyFill="1" applyAlignment="1">
      <alignment horizontal="right"/>
    </xf>
    <xf numFmtId="0" fontId="0" fillId="4" borderId="0" xfId="0" applyFill="1" applyAlignment="1">
      <alignment horizontal="right"/>
    </xf>
    <xf numFmtId="3" fontId="35" fillId="21" borderId="0" xfId="0" applyNumberFormat="1" applyFont="1" applyFill="1"/>
    <xf numFmtId="0" fontId="23" fillId="21" borderId="0" xfId="0" applyFont="1" applyFill="1"/>
    <xf numFmtId="0" fontId="0" fillId="0" borderId="0" xfId="0" applyBorder="1" applyAlignment="1">
      <alignment horizontal="left"/>
    </xf>
    <xf numFmtId="0" fontId="0" fillId="23" borderId="0" xfId="0" applyFill="1"/>
    <xf numFmtId="3" fontId="0" fillId="23" borderId="0" xfId="0" applyNumberFormat="1" applyFill="1"/>
    <xf numFmtId="0" fontId="0" fillId="0" borderId="0" xfId="0" applyFont="1"/>
    <xf numFmtId="0" fontId="0" fillId="4" borderId="0" xfId="0" applyFill="1" applyAlignment="1">
      <alignment wrapText="1"/>
    </xf>
    <xf numFmtId="0" fontId="7" fillId="0" borderId="0" xfId="0" applyFont="1" applyAlignment="1">
      <alignment vertical="center"/>
    </xf>
    <xf numFmtId="0" fontId="7" fillId="4" borderId="0" xfId="0" applyFont="1" applyFill="1" applyAlignment="1">
      <alignment vertical="center"/>
    </xf>
    <xf numFmtId="0" fontId="32" fillId="0" borderId="0" xfId="0" applyFont="1" applyFill="1"/>
    <xf numFmtId="0" fontId="32" fillId="4" borderId="0" xfId="0" applyFont="1" applyFill="1"/>
    <xf numFmtId="0" fontId="3" fillId="0" borderId="0" xfId="0" applyFont="1" applyBorder="1" applyAlignment="1">
      <alignment horizontal="right" vertical="center"/>
    </xf>
    <xf numFmtId="0" fontId="0" fillId="0" borderId="0" xfId="0" applyBorder="1" applyAlignment="1">
      <alignment horizontal="right" vertical="center"/>
    </xf>
    <xf numFmtId="0" fontId="0" fillId="0" borderId="0" xfId="0" applyFill="1" applyBorder="1" applyAlignment="1">
      <alignment horizontal="right" vertical="center"/>
    </xf>
    <xf numFmtId="0" fontId="7" fillId="4" borderId="0" xfId="0" applyFont="1" applyFill="1" applyBorder="1" applyAlignment="1">
      <alignment horizontal="right" vertical="center"/>
    </xf>
    <xf numFmtId="0" fontId="21" fillId="0" borderId="0" xfId="0" applyFont="1" applyBorder="1" applyAlignment="1">
      <alignment horizontal="centerContinuous" vertical="center"/>
    </xf>
    <xf numFmtId="0" fontId="29" fillId="0" borderId="0" xfId="0" applyFont="1"/>
    <xf numFmtId="0" fontId="7" fillId="4" borderId="0" xfId="0" applyFont="1" applyFill="1" applyBorder="1"/>
    <xf numFmtId="0" fontId="7" fillId="4" borderId="0" xfId="0" applyFont="1" applyFill="1" applyBorder="1" applyAlignment="1">
      <alignment horizontal="right"/>
    </xf>
    <xf numFmtId="3" fontId="7" fillId="4" borderId="0" xfId="0" applyNumberFormat="1" applyFont="1" applyFill="1" applyBorder="1"/>
    <xf numFmtId="0" fontId="3" fillId="21" borderId="38" xfId="0" applyFont="1" applyFill="1" applyBorder="1"/>
    <xf numFmtId="0" fontId="0" fillId="0" borderId="0" xfId="0" applyFont="1" applyFill="1"/>
    <xf numFmtId="0" fontId="0" fillId="4" borderId="0" xfId="0" applyFont="1" applyFill="1"/>
    <xf numFmtId="0" fontId="7" fillId="4" borderId="22" xfId="0" applyFont="1" applyFill="1" applyBorder="1"/>
    <xf numFmtId="0" fontId="34" fillId="4" borderId="22" xfId="0" applyFont="1" applyFill="1" applyBorder="1"/>
    <xf numFmtId="0" fontId="0" fillId="24" borderId="0" xfId="0" applyFont="1" applyFill="1"/>
    <xf numFmtId="3" fontId="16" fillId="0" borderId="0" xfId="0" applyNumberFormat="1" applyFont="1" applyFill="1"/>
    <xf numFmtId="0" fontId="0" fillId="21" borderId="0" xfId="0" applyFill="1" applyBorder="1"/>
    <xf numFmtId="3" fontId="0" fillId="21" borderId="0" xfId="0" applyNumberFormat="1" applyFill="1" applyBorder="1"/>
    <xf numFmtId="20" fontId="0" fillId="21" borderId="0" xfId="0" applyNumberFormat="1" applyFont="1" applyFill="1" applyBorder="1"/>
    <xf numFmtId="0" fontId="2" fillId="0" borderId="0" xfId="0" applyFont="1" applyFill="1"/>
    <xf numFmtId="0" fontId="7" fillId="0" borderId="0" xfId="0" applyFont="1" applyFill="1"/>
    <xf numFmtId="174" fontId="0" fillId="4" borderId="24" xfId="0" applyNumberFormat="1" applyFill="1" applyBorder="1"/>
    <xf numFmtId="173" fontId="0" fillId="4" borderId="24" xfId="0" applyNumberFormat="1" applyFill="1" applyBorder="1"/>
    <xf numFmtId="172" fontId="0" fillId="4" borderId="29" xfId="0" applyNumberFormat="1" applyFill="1" applyBorder="1"/>
    <xf numFmtId="3" fontId="32" fillId="0" borderId="0" xfId="0" applyNumberFormat="1" applyFont="1" applyFill="1"/>
    <xf numFmtId="170" fontId="32" fillId="0" borderId="0" xfId="0" applyNumberFormat="1" applyFont="1" applyFill="1"/>
    <xf numFmtId="0" fontId="32" fillId="21" borderId="0" xfId="0" applyFont="1" applyFill="1"/>
    <xf numFmtId="174" fontId="32" fillId="0" borderId="0" xfId="0" applyNumberFormat="1" applyFont="1" applyFill="1"/>
    <xf numFmtId="3" fontId="32" fillId="21" borderId="0" xfId="0" applyNumberFormat="1" applyFont="1" applyFill="1"/>
    <xf numFmtId="0" fontId="0" fillId="0" borderId="0" xfId="0" applyFont="1" applyAlignment="1">
      <alignment horizontal="left"/>
    </xf>
    <xf numFmtId="0" fontId="32" fillId="0" borderId="0" xfId="0" applyFont="1" applyFill="1" applyAlignment="1">
      <alignment horizontal="left" indent="1"/>
    </xf>
    <xf numFmtId="0" fontId="0" fillId="25" borderId="0" xfId="0" applyFill="1"/>
    <xf numFmtId="0" fontId="0" fillId="25" borderId="0" xfId="0" applyFill="1" applyAlignment="1">
      <alignment horizontal="center"/>
    </xf>
    <xf numFmtId="0" fontId="19" fillId="25" borderId="0" xfId="0" applyFont="1" applyFill="1"/>
    <xf numFmtId="0" fontId="20" fillId="25" borderId="0" xfId="0" applyFont="1" applyFill="1"/>
    <xf numFmtId="0" fontId="0" fillId="25" borderId="0" xfId="0" applyFill="1" applyBorder="1"/>
    <xf numFmtId="0" fontId="0" fillId="25" borderId="0" xfId="0" applyFill="1" applyAlignment="1">
      <alignment horizontal="left"/>
    </xf>
    <xf numFmtId="0" fontId="25" fillId="15" borderId="43" xfId="0" applyFont="1" applyFill="1" applyBorder="1" applyAlignment="1">
      <alignment horizontal="left" vertical="center" indent="1"/>
    </xf>
    <xf numFmtId="0" fontId="25" fillId="15" borderId="42" xfId="0" applyFont="1" applyFill="1" applyBorder="1" applyAlignment="1">
      <alignment horizontal="left" vertical="center" indent="1"/>
    </xf>
    <xf numFmtId="0" fontId="37" fillId="26" borderId="34" xfId="0" applyFont="1" applyFill="1" applyBorder="1"/>
    <xf numFmtId="0" fontId="37" fillId="26" borderId="0" xfId="0" applyFont="1" applyFill="1" applyBorder="1"/>
    <xf numFmtId="0" fontId="38" fillId="26" borderId="34" xfId="0" applyFont="1" applyFill="1" applyBorder="1"/>
    <xf numFmtId="0" fontId="38" fillId="26" borderId="0" xfId="0" applyFont="1" applyFill="1" applyBorder="1"/>
    <xf numFmtId="0" fontId="38" fillId="26" borderId="57" xfId="0" applyFont="1" applyFill="1" applyBorder="1"/>
    <xf numFmtId="0" fontId="38" fillId="26" borderId="58" xfId="0" applyFont="1" applyFill="1" applyBorder="1"/>
    <xf numFmtId="0" fontId="0" fillId="27" borderId="0" xfId="0" applyFill="1"/>
    <xf numFmtId="22" fontId="0" fillId="0" borderId="0" xfId="0" applyNumberFormat="1" applyFill="1"/>
    <xf numFmtId="0" fontId="0" fillId="0" borderId="0" xfId="0" applyFill="1" applyAlignment="1"/>
    <xf numFmtId="0" fontId="0" fillId="0" borderId="0" xfId="0" applyFill="1" applyAlignment="1">
      <alignment horizontal="right"/>
    </xf>
    <xf numFmtId="0" fontId="32" fillId="28" borderId="0" xfId="0" applyFont="1" applyFill="1"/>
    <xf numFmtId="3" fontId="0" fillId="28" borderId="0" xfId="0" applyNumberFormat="1" applyFont="1" applyFill="1" applyAlignment="1">
      <alignment horizontal="left"/>
    </xf>
    <xf numFmtId="0" fontId="0" fillId="0" borderId="0" xfId="0" applyNumberFormat="1"/>
    <xf numFmtId="3" fontId="32" fillId="28" borderId="0" xfId="0" applyNumberFormat="1" applyFont="1" applyFill="1"/>
    <xf numFmtId="0" fontId="3" fillId="0" borderId="0" xfId="0" applyFont="1" applyAlignment="1">
      <alignment horizontal="center"/>
    </xf>
    <xf numFmtId="14" fontId="3" fillId="0" borderId="0" xfId="0" applyNumberFormat="1" applyFont="1" applyAlignment="1">
      <alignment horizontal="center"/>
    </xf>
    <xf numFmtId="0" fontId="0" fillId="11" borderId="61" xfId="0" applyFill="1" applyBorder="1"/>
    <xf numFmtId="0" fontId="0" fillId="12" borderId="0" xfId="0" applyFill="1" applyBorder="1"/>
    <xf numFmtId="0" fontId="0" fillId="30" borderId="0" xfId="0" applyFill="1"/>
    <xf numFmtId="0" fontId="0" fillId="34" borderId="0" xfId="0" applyFill="1"/>
    <xf numFmtId="0" fontId="41" fillId="31" borderId="69" xfId="0" applyFont="1" applyFill="1" applyBorder="1" applyAlignment="1">
      <alignment horizontal="left" vertical="center" indent="2"/>
    </xf>
    <xf numFmtId="171" fontId="0" fillId="0" borderId="0" xfId="3" applyNumberFormat="1" applyFont="1"/>
    <xf numFmtId="0" fontId="41" fillId="31" borderId="0" xfId="0" applyFont="1" applyFill="1" applyBorder="1" applyAlignment="1">
      <alignment horizontal="left" vertical="center" indent="2"/>
    </xf>
    <xf numFmtId="0" fontId="0" fillId="12" borderId="62" xfId="0" applyFill="1" applyBorder="1"/>
    <xf numFmtId="0" fontId="0" fillId="12" borderId="63" xfId="0" applyFill="1" applyBorder="1"/>
    <xf numFmtId="0" fontId="0" fillId="29" borderId="62" xfId="0" applyFill="1" applyBorder="1"/>
    <xf numFmtId="0" fontId="0" fillId="12" borderId="73" xfId="0" applyFill="1" applyBorder="1"/>
    <xf numFmtId="0" fontId="0" fillId="35" borderId="0" xfId="0" applyFill="1"/>
    <xf numFmtId="0" fontId="0" fillId="4" borderId="0" xfId="0" applyFill="1" applyAlignment="1">
      <alignment horizontal="center"/>
    </xf>
    <xf numFmtId="175" fontId="0" fillId="0" borderId="0" xfId="0" applyNumberFormat="1" applyAlignment="1">
      <alignment horizontal="left"/>
    </xf>
    <xf numFmtId="0" fontId="0" fillId="0" borderId="0" xfId="4" applyNumberFormat="1" applyFont="1" applyAlignment="1">
      <alignment horizontal="left"/>
    </xf>
    <xf numFmtId="0" fontId="0" fillId="4" borderId="0" xfId="0" applyFill="1" applyAlignment="1">
      <alignment horizontal="left"/>
    </xf>
    <xf numFmtId="3" fontId="3" fillId="0" borderId="0" xfId="0" applyNumberFormat="1" applyFont="1"/>
    <xf numFmtId="3" fontId="3" fillId="0" borderId="0" xfId="0" applyNumberFormat="1" applyFont="1" applyFill="1"/>
    <xf numFmtId="0" fontId="3" fillId="4" borderId="0" xfId="0" applyFont="1" applyFill="1" applyAlignment="1">
      <alignment horizontal="center"/>
    </xf>
    <xf numFmtId="0" fontId="59" fillId="0" borderId="0" xfId="0" applyFont="1"/>
    <xf numFmtId="0" fontId="21" fillId="67" borderId="0" xfId="0" applyFont="1" applyFill="1" applyBorder="1" applyAlignment="1">
      <alignment horizontal="right"/>
    </xf>
    <xf numFmtId="37" fontId="0" fillId="67" borderId="0" xfId="0" quotePrefix="1" applyNumberFormat="1" applyFill="1" applyBorder="1"/>
    <xf numFmtId="3" fontId="0" fillId="0" borderId="0" xfId="0" applyNumberFormat="1" applyAlignment="1">
      <alignment horizontal="center"/>
    </xf>
    <xf numFmtId="9" fontId="38" fillId="26" borderId="0" xfId="0" applyNumberFormat="1" applyFont="1" applyFill="1" applyBorder="1" applyAlignment="1">
      <alignment horizontal="center"/>
    </xf>
    <xf numFmtId="9" fontId="38" fillId="26" borderId="35" xfId="0" applyNumberFormat="1" applyFont="1" applyFill="1" applyBorder="1" applyAlignment="1">
      <alignment horizontal="center"/>
    </xf>
    <xf numFmtId="0" fontId="38" fillId="26" borderId="34" xfId="0" applyFont="1" applyFill="1" applyBorder="1" applyAlignment="1">
      <alignment horizontal="center"/>
    </xf>
    <xf numFmtId="0" fontId="38" fillId="26" borderId="0" xfId="0" applyFont="1" applyFill="1" applyBorder="1" applyAlignment="1">
      <alignment horizontal="center"/>
    </xf>
    <xf numFmtId="3" fontId="39" fillId="26" borderId="0" xfId="0" applyNumberFormat="1" applyFont="1" applyFill="1" applyBorder="1" applyAlignment="1">
      <alignment horizontal="center"/>
    </xf>
    <xf numFmtId="0" fontId="9" fillId="5" borderId="0" xfId="0" applyFont="1" applyFill="1" applyBorder="1" applyAlignment="1">
      <alignment horizontal="center" vertical="center"/>
    </xf>
    <xf numFmtId="0" fontId="12" fillId="6" borderId="0" xfId="0" applyFont="1" applyFill="1" applyBorder="1" applyAlignment="1">
      <alignment horizontal="center"/>
    </xf>
    <xf numFmtId="164" fontId="5" fillId="8" borderId="8" xfId="0" applyNumberFormat="1" applyFont="1" applyFill="1" applyBorder="1" applyAlignment="1">
      <alignment horizontal="center" vertical="center"/>
    </xf>
    <xf numFmtId="164" fontId="5" fillId="8" borderId="9" xfId="0" applyNumberFormat="1" applyFont="1" applyFill="1" applyBorder="1" applyAlignment="1">
      <alignment horizontal="center" vertical="center"/>
    </xf>
    <xf numFmtId="0" fontId="15" fillId="9" borderId="11" xfId="2" applyFont="1" applyFill="1" applyBorder="1" applyAlignment="1">
      <alignment horizontal="center" vertical="center"/>
    </xf>
    <xf numFmtId="0" fontId="15" fillId="9" borderId="12" xfId="2" applyFont="1" applyFill="1" applyBorder="1" applyAlignment="1">
      <alignment horizontal="center" vertical="center"/>
    </xf>
    <xf numFmtId="0" fontId="15" fillId="10" borderId="13" xfId="2" applyFont="1" applyFill="1" applyBorder="1" applyAlignment="1">
      <alignment horizontal="center" vertical="center"/>
    </xf>
    <xf numFmtId="0" fontId="15" fillId="10" borderId="14" xfId="2" applyFont="1" applyFill="1" applyBorder="1" applyAlignment="1">
      <alignment horizontal="center" vertical="center"/>
    </xf>
    <xf numFmtId="0" fontId="37" fillId="26" borderId="31" xfId="0" applyFont="1" applyFill="1" applyBorder="1" applyAlignment="1">
      <alignment horizontal="left" indent="2"/>
    </xf>
    <xf numFmtId="0" fontId="37" fillId="26" borderId="32" xfId="0" applyFont="1" applyFill="1" applyBorder="1" applyAlignment="1">
      <alignment horizontal="left" indent="2"/>
    </xf>
    <xf numFmtId="0" fontId="37" fillId="26" borderId="33" xfId="0" applyFont="1" applyFill="1" applyBorder="1" applyAlignment="1">
      <alignment horizontal="left" indent="2"/>
    </xf>
    <xf numFmtId="0" fontId="37" fillId="26" borderId="34" xfId="0" applyFont="1" applyFill="1" applyBorder="1" applyAlignment="1">
      <alignment horizontal="left" indent="2"/>
    </xf>
    <xf numFmtId="0" fontId="37" fillId="26" borderId="0" xfId="0" applyFont="1" applyFill="1" applyBorder="1" applyAlignment="1">
      <alignment horizontal="left" indent="2"/>
    </xf>
    <xf numFmtId="0" fontId="37" fillId="26" borderId="35" xfId="0" applyFont="1" applyFill="1" applyBorder="1" applyAlignment="1">
      <alignment horizontal="left" indent="2"/>
    </xf>
    <xf numFmtId="0" fontId="28" fillId="8" borderId="30" xfId="0" applyNumberFormat="1" applyFont="1" applyFill="1" applyBorder="1" applyAlignment="1">
      <alignment horizontal="center" vertical="center"/>
    </xf>
    <xf numFmtId="9" fontId="38" fillId="26" borderId="58" xfId="0" applyNumberFormat="1" applyFont="1" applyFill="1" applyBorder="1" applyAlignment="1">
      <alignment horizontal="center"/>
    </xf>
    <xf numFmtId="9" fontId="38" fillId="26" borderId="59" xfId="0" applyNumberFormat="1" applyFont="1" applyFill="1" applyBorder="1" applyAlignment="1">
      <alignment horizontal="center"/>
    </xf>
    <xf numFmtId="3" fontId="39" fillId="26" borderId="35" xfId="0" applyNumberFormat="1" applyFont="1" applyFill="1" applyBorder="1" applyAlignment="1">
      <alignment horizontal="center"/>
    </xf>
    <xf numFmtId="0" fontId="28" fillId="8" borderId="60" xfId="0" applyNumberFormat="1" applyFont="1" applyFill="1" applyBorder="1" applyAlignment="1">
      <alignment horizontal="center" vertical="center"/>
    </xf>
    <xf numFmtId="0" fontId="43" fillId="33" borderId="65" xfId="0" applyFont="1" applyFill="1" applyBorder="1" applyAlignment="1">
      <alignment horizontal="left" vertical="center" wrapText="1" indent="2"/>
    </xf>
    <xf numFmtId="3" fontId="43" fillId="33" borderId="65" xfId="0" applyNumberFormat="1" applyFont="1" applyFill="1" applyBorder="1" applyAlignment="1">
      <alignment horizontal="right" vertical="center" wrapText="1"/>
    </xf>
    <xf numFmtId="171" fontId="45" fillId="33" borderId="65" xfId="3" applyNumberFormat="1" applyFont="1" applyFill="1" applyBorder="1" applyAlignment="1">
      <alignment horizontal="right" vertical="center" wrapText="1"/>
    </xf>
    <xf numFmtId="0" fontId="42" fillId="32" borderId="71" xfId="0" applyFont="1" applyFill="1" applyBorder="1" applyAlignment="1">
      <alignment horizontal="left" vertical="center" wrapText="1" indent="2"/>
    </xf>
    <xf numFmtId="14" fontId="42" fillId="32" borderId="70" xfId="0" applyNumberFormat="1" applyFont="1" applyFill="1" applyBorder="1" applyAlignment="1">
      <alignment horizontal="right" vertical="center" wrapText="1"/>
    </xf>
    <xf numFmtId="0" fontId="42" fillId="32" borderId="70" xfId="0" applyFont="1" applyFill="1" applyBorder="1" applyAlignment="1">
      <alignment horizontal="right" vertical="center" wrapText="1"/>
    </xf>
    <xf numFmtId="0" fontId="44" fillId="32" borderId="70" xfId="0" applyFont="1" applyFill="1" applyBorder="1" applyAlignment="1">
      <alignment horizontal="right" vertical="center" wrapText="1"/>
    </xf>
    <xf numFmtId="3" fontId="43" fillId="33" borderId="68" xfId="0" applyNumberFormat="1" applyFont="1" applyFill="1" applyBorder="1" applyAlignment="1">
      <alignment horizontal="right" vertical="center" wrapText="1"/>
    </xf>
    <xf numFmtId="0" fontId="43" fillId="33" borderId="66" xfId="0" applyFont="1" applyFill="1" applyBorder="1" applyAlignment="1">
      <alignment horizontal="left" vertical="center" wrapText="1" indent="2"/>
    </xf>
    <xf numFmtId="3" fontId="43" fillId="33" borderId="66" xfId="0" applyNumberFormat="1" applyFont="1" applyFill="1" applyBorder="1" applyAlignment="1">
      <alignment horizontal="right" vertical="center" wrapText="1"/>
    </xf>
    <xf numFmtId="171" fontId="45" fillId="33" borderId="68" xfId="3" applyNumberFormat="1" applyFont="1" applyFill="1" applyBorder="1" applyAlignment="1">
      <alignment horizontal="right" vertical="center" wrapText="1"/>
    </xf>
    <xf numFmtId="0" fontId="43" fillId="33" borderId="67" xfId="0" applyFont="1" applyFill="1" applyBorder="1" applyAlignment="1">
      <alignment horizontal="left" vertical="center" wrapText="1" indent="2"/>
    </xf>
    <xf numFmtId="3" fontId="43" fillId="33" borderId="67" xfId="0" applyNumberFormat="1" applyFont="1" applyFill="1" applyBorder="1" applyAlignment="1">
      <alignment horizontal="right" vertical="center" wrapText="1"/>
    </xf>
    <xf numFmtId="171" fontId="45" fillId="33" borderId="67" xfId="3" applyNumberFormat="1" applyFont="1" applyFill="1" applyBorder="1" applyAlignment="1">
      <alignment horizontal="right" vertical="center" wrapText="1"/>
    </xf>
    <xf numFmtId="0" fontId="40" fillId="29" borderId="0" xfId="0" applyFont="1" applyFill="1" applyBorder="1" applyAlignment="1">
      <alignment horizontal="left" indent="1"/>
    </xf>
    <xf numFmtId="0" fontId="41" fillId="31" borderId="0" xfId="0" applyFont="1" applyFill="1" applyBorder="1" applyAlignment="1">
      <alignment horizontal="left" vertical="center" indent="2"/>
    </xf>
    <xf numFmtId="0" fontId="41" fillId="31" borderId="0" xfId="0" applyFont="1" applyFill="1" applyBorder="1" applyAlignment="1">
      <alignment horizontal="right" vertical="center"/>
    </xf>
    <xf numFmtId="0" fontId="46" fillId="29" borderId="64" xfId="0" applyFont="1" applyFill="1" applyBorder="1" applyAlignment="1">
      <alignment horizontal="left" vertical="center" indent="1"/>
    </xf>
    <xf numFmtId="3" fontId="43" fillId="33" borderId="72" xfId="0" applyNumberFormat="1" applyFont="1" applyFill="1" applyBorder="1" applyAlignment="1">
      <alignment horizontal="right" vertical="center" wrapText="1"/>
    </xf>
    <xf numFmtId="0" fontId="41" fillId="31" borderId="69" xfId="0" applyFont="1" applyFill="1" applyBorder="1" applyAlignment="1">
      <alignment horizontal="left" vertical="center" indent="2"/>
    </xf>
    <xf numFmtId="0" fontId="41" fillId="31" borderId="69" xfId="0" applyFont="1" applyFill="1" applyBorder="1" applyAlignment="1">
      <alignment horizontal="right" vertical="center"/>
    </xf>
    <xf numFmtId="171" fontId="41" fillId="31" borderId="69" xfId="0" applyNumberFormat="1" applyFont="1" applyFill="1" applyBorder="1" applyAlignment="1">
      <alignment horizontal="right" vertical="center"/>
    </xf>
    <xf numFmtId="171" fontId="44" fillId="32" borderId="70" xfId="0" applyNumberFormat="1" applyFont="1" applyFill="1" applyBorder="1" applyAlignment="1">
      <alignment horizontal="right" vertical="center" wrapText="1"/>
    </xf>
    <xf numFmtId="0" fontId="26" fillId="15" borderId="40" xfId="0" applyFont="1" applyFill="1" applyBorder="1" applyAlignment="1">
      <alignment horizontal="left" vertical="center" indent="2"/>
    </xf>
    <xf numFmtId="0" fontId="26" fillId="15" borderId="39" xfId="0" applyFont="1" applyFill="1" applyBorder="1" applyAlignment="1">
      <alignment horizontal="left" vertical="center" indent="2"/>
    </xf>
    <xf numFmtId="0" fontId="26" fillId="15" borderId="41" xfId="0" applyFont="1" applyFill="1" applyBorder="1" applyAlignment="1">
      <alignment horizontal="left" vertical="center" indent="2"/>
    </xf>
    <xf numFmtId="0" fontId="27" fillId="15" borderId="42" xfId="0" applyFont="1" applyFill="1" applyBorder="1" applyAlignment="1">
      <alignment horizontal="left" vertical="center" indent="2"/>
    </xf>
    <xf numFmtId="0" fontId="27" fillId="15" borderId="0" xfId="0" applyFont="1" applyFill="1" applyBorder="1" applyAlignment="1">
      <alignment horizontal="left" vertical="center" indent="2"/>
    </xf>
    <xf numFmtId="164" fontId="28" fillId="8" borderId="30" xfId="0" applyNumberFormat="1" applyFont="1" applyFill="1" applyBorder="1" applyAlignment="1">
      <alignment horizontal="center" vertical="center"/>
    </xf>
    <xf numFmtId="0" fontId="36" fillId="15" borderId="0" xfId="0" applyFont="1" applyFill="1" applyBorder="1" applyAlignment="1">
      <alignment horizontal="left" vertical="center" indent="1"/>
    </xf>
    <xf numFmtId="0" fontId="36" fillId="15" borderId="43" xfId="0" applyFont="1" applyFill="1" applyBorder="1" applyAlignment="1">
      <alignment horizontal="left" vertical="center" indent="1"/>
    </xf>
    <xf numFmtId="0" fontId="30" fillId="19" borderId="45" xfId="0" applyFont="1" applyFill="1" applyBorder="1" applyAlignment="1">
      <alignment horizontal="left" vertical="center" indent="1"/>
    </xf>
    <xf numFmtId="0" fontId="30" fillId="19" borderId="44" xfId="0" applyFont="1" applyFill="1" applyBorder="1" applyAlignment="1">
      <alignment horizontal="left" vertical="center" indent="1"/>
    </xf>
    <xf numFmtId="0" fontId="30" fillId="19" borderId="44" xfId="0" applyFont="1" applyFill="1" applyBorder="1" applyAlignment="1">
      <alignment horizontal="left" vertical="center" wrapText="1"/>
    </xf>
    <xf numFmtId="0" fontId="30" fillId="19" borderId="44" xfId="0" applyFont="1" applyFill="1" applyBorder="1" applyAlignment="1">
      <alignment horizontal="left" vertical="center"/>
    </xf>
    <xf numFmtId="0" fontId="30" fillId="19" borderId="44" xfId="0" applyFont="1" applyFill="1" applyBorder="1" applyAlignment="1">
      <alignment horizontal="center" vertical="center"/>
    </xf>
    <xf numFmtId="0" fontId="30" fillId="19" borderId="44" xfId="0" applyFont="1" applyFill="1" applyBorder="1" applyAlignment="1">
      <alignment horizontal="center" vertical="center" wrapText="1"/>
    </xf>
    <xf numFmtId="0" fontId="30" fillId="19" borderId="46" xfId="0" applyFont="1" applyFill="1" applyBorder="1" applyAlignment="1">
      <alignment horizontal="center" vertical="center" wrapText="1"/>
    </xf>
    <xf numFmtId="3" fontId="30" fillId="20" borderId="0" xfId="2" applyNumberFormat="1" applyFont="1" applyFill="1" applyBorder="1" applyAlignment="1">
      <alignment horizontal="center" vertical="center" wrapText="1"/>
    </xf>
    <xf numFmtId="3" fontId="30" fillId="20" borderId="35" xfId="2" applyNumberFormat="1" applyFont="1" applyFill="1" applyBorder="1" applyAlignment="1">
      <alignment horizontal="center" vertical="center" wrapText="1"/>
    </xf>
    <xf numFmtId="14" fontId="30" fillId="18" borderId="51" xfId="2" applyNumberFormat="1" applyFont="1" applyFill="1" applyBorder="1" applyAlignment="1">
      <alignment horizontal="left" vertical="center" wrapText="1" indent="1"/>
    </xf>
    <xf numFmtId="14" fontId="30" fillId="18" borderId="50" xfId="2" applyNumberFormat="1" applyFont="1" applyFill="1" applyBorder="1" applyAlignment="1">
      <alignment horizontal="left" vertical="center" wrapText="1" indent="1"/>
    </xf>
    <xf numFmtId="3" fontId="30" fillId="18" borderId="50" xfId="2" applyNumberFormat="1" applyFont="1" applyFill="1" applyBorder="1" applyAlignment="1">
      <alignment horizontal="left" vertical="center" wrapText="1"/>
    </xf>
    <xf numFmtId="14" fontId="30" fillId="18" borderId="50" xfId="2" applyNumberFormat="1" applyFont="1" applyFill="1" applyBorder="1" applyAlignment="1">
      <alignment horizontal="center" vertical="center" wrapText="1"/>
    </xf>
    <xf numFmtId="0" fontId="24" fillId="18" borderId="50" xfId="2" applyFont="1" applyFill="1" applyBorder="1" applyAlignment="1">
      <alignment horizontal="left" vertical="center" wrapText="1"/>
    </xf>
    <xf numFmtId="3" fontId="30" fillId="18" borderId="50" xfId="2" applyNumberFormat="1" applyFont="1" applyFill="1" applyBorder="1" applyAlignment="1">
      <alignment horizontal="center" vertical="center" wrapText="1"/>
    </xf>
    <xf numFmtId="3" fontId="30" fillId="18" borderId="52" xfId="2" applyNumberFormat="1" applyFont="1" applyFill="1" applyBorder="1" applyAlignment="1">
      <alignment horizontal="center" vertical="center" wrapText="1"/>
    </xf>
    <xf numFmtId="14" fontId="30" fillId="20" borderId="48" xfId="2" applyNumberFormat="1" applyFont="1" applyFill="1" applyBorder="1" applyAlignment="1">
      <alignment horizontal="left" vertical="center" wrapText="1" indent="1"/>
    </xf>
    <xf numFmtId="14" fontId="30" fillId="20" borderId="47" xfId="2" applyNumberFormat="1" applyFont="1" applyFill="1" applyBorder="1" applyAlignment="1">
      <alignment horizontal="left" vertical="center" wrapText="1" indent="1"/>
    </xf>
    <xf numFmtId="3" fontId="30" fillId="20" borderId="0" xfId="2" applyNumberFormat="1" applyFont="1" applyFill="1" applyBorder="1" applyAlignment="1">
      <alignment horizontal="left" vertical="center" wrapText="1"/>
    </xf>
    <xf numFmtId="14" fontId="30" fillId="20" borderId="0" xfId="2" applyNumberFormat="1" applyFont="1" applyFill="1" applyBorder="1" applyAlignment="1">
      <alignment horizontal="center" vertical="center" wrapText="1"/>
    </xf>
    <xf numFmtId="0" fontId="24" fillId="20" borderId="0" xfId="2" applyFont="1" applyFill="1" applyBorder="1" applyAlignment="1">
      <alignment horizontal="left" vertical="center" wrapText="1"/>
    </xf>
    <xf numFmtId="14" fontId="30" fillId="20" borderId="53" xfId="2" applyNumberFormat="1" applyFont="1" applyFill="1" applyBorder="1" applyAlignment="1">
      <alignment horizontal="left" vertical="center" wrapText="1" indent="1"/>
    </xf>
    <xf numFmtId="14" fontId="30" fillId="20" borderId="49" xfId="2" applyNumberFormat="1" applyFont="1" applyFill="1" applyBorder="1" applyAlignment="1">
      <alignment horizontal="left" vertical="center" wrapText="1" indent="1"/>
    </xf>
    <xf numFmtId="14" fontId="30" fillId="18" borderId="55" xfId="2" applyNumberFormat="1" applyFont="1" applyFill="1" applyBorder="1" applyAlignment="1">
      <alignment horizontal="left" vertical="center" wrapText="1" indent="1"/>
    </xf>
    <xf numFmtId="14" fontId="30" fillId="18" borderId="54" xfId="2" applyNumberFormat="1" applyFont="1" applyFill="1" applyBorder="1" applyAlignment="1">
      <alignment horizontal="left" vertical="center" wrapText="1" indent="1"/>
    </xf>
    <xf numFmtId="3" fontId="30" fillId="18" borderId="54" xfId="2" applyNumberFormat="1" applyFont="1" applyFill="1" applyBorder="1" applyAlignment="1">
      <alignment horizontal="left" vertical="center" wrapText="1"/>
    </xf>
    <xf numFmtId="14" fontId="30" fillId="18" borderId="54" xfId="2" applyNumberFormat="1" applyFont="1" applyFill="1" applyBorder="1" applyAlignment="1">
      <alignment horizontal="center" vertical="center" wrapText="1"/>
    </xf>
    <xf numFmtId="0" fontId="24" fillId="18" borderId="54" xfId="2" applyFont="1" applyFill="1" applyBorder="1" applyAlignment="1">
      <alignment horizontal="left" vertical="center" wrapText="1"/>
    </xf>
    <xf numFmtId="3" fontId="30" fillId="18" borderId="54" xfId="2" applyNumberFormat="1" applyFont="1" applyFill="1" applyBorder="1" applyAlignment="1">
      <alignment horizontal="center" vertical="center" wrapText="1"/>
    </xf>
    <xf numFmtId="3" fontId="30" fillId="18" borderId="56" xfId="2" applyNumberFormat="1" applyFont="1" applyFill="1" applyBorder="1" applyAlignment="1">
      <alignment horizontal="center" vertical="center" wrapText="1"/>
    </xf>
    <xf numFmtId="0" fontId="0" fillId="0" borderId="5" xfId="0" applyBorder="1" applyAlignment="1">
      <alignment horizontal="right" indent="2"/>
    </xf>
    <xf numFmtId="0" fontId="0" fillId="0" borderId="6" xfId="0" applyBorder="1" applyAlignment="1">
      <alignment horizontal="right" indent="2"/>
    </xf>
    <xf numFmtId="0" fontId="7" fillId="0" borderId="0" xfId="0" applyFont="1" applyFill="1" applyBorder="1" applyAlignment="1">
      <alignment horizontal="center"/>
    </xf>
    <xf numFmtId="0" fontId="2" fillId="2" borderId="7" xfId="0" applyFont="1" applyFill="1" applyBorder="1" applyAlignment="1">
      <alignment horizontal="center"/>
    </xf>
    <xf numFmtId="0" fontId="2" fillId="2" borderId="0" xfId="0" applyFont="1" applyFill="1" applyBorder="1" applyAlignment="1">
      <alignment horizontal="center"/>
    </xf>
  </cellXfs>
  <cellStyles count="46">
    <cellStyle name="20% - Accent1" xfId="23" builtinId="30" customBuiltin="1"/>
    <cellStyle name="20% - Accent2" xfId="27" builtinId="34" customBuiltin="1"/>
    <cellStyle name="20% - Accent3" xfId="31" builtinId="38" customBuiltin="1"/>
    <cellStyle name="20% - Accent4" xfId="35" builtinId="42" customBuiltin="1"/>
    <cellStyle name="20% - Accent5" xfId="39" builtinId="46" customBuiltin="1"/>
    <cellStyle name="20% - Accent6" xfId="43" builtinId="50" customBuiltin="1"/>
    <cellStyle name="40% - Accent1" xfId="24" builtinId="31" customBuiltin="1"/>
    <cellStyle name="40% - Accent2" xfId="28" builtinId="35" customBuiltin="1"/>
    <cellStyle name="40% - Accent3" xfId="32" builtinId="39" customBuiltin="1"/>
    <cellStyle name="40% - Accent4" xfId="36" builtinId="43" customBuiltin="1"/>
    <cellStyle name="40% - Accent5" xfId="40" builtinId="47" customBuiltin="1"/>
    <cellStyle name="40% - Accent6" xfId="44" builtinId="51" customBuiltin="1"/>
    <cellStyle name="60% - Accent1" xfId="25" builtinId="32" customBuiltin="1"/>
    <cellStyle name="60% - Accent2" xfId="29" builtinId="36" customBuiltin="1"/>
    <cellStyle name="60% - Accent3" xfId="33" builtinId="40" customBuiltin="1"/>
    <cellStyle name="60% - Accent4" xfId="37" builtinId="44" customBuiltin="1"/>
    <cellStyle name="60% - Accent5" xfId="41" builtinId="48" customBuiltin="1"/>
    <cellStyle name="60% - Accent6" xfId="45" builtinId="52" customBuiltin="1"/>
    <cellStyle name="Accent1" xfId="22" builtinId="29" customBuiltin="1"/>
    <cellStyle name="Accent2" xfId="26" builtinId="33" customBuiltin="1"/>
    <cellStyle name="Accent3" xfId="30" builtinId="37" customBuiltin="1"/>
    <cellStyle name="Accent4" xfId="34" builtinId="41" customBuiltin="1"/>
    <cellStyle name="Accent5" xfId="38" builtinId="45" customBuiltin="1"/>
    <cellStyle name="Accent6" xfId="42" builtinId="49" customBuiltin="1"/>
    <cellStyle name="Bad" xfId="11" builtinId="27" customBuiltin="1"/>
    <cellStyle name="Calculation" xfId="15" builtinId="22" customBuiltin="1"/>
    <cellStyle name="Check Cell" xfId="17" builtinId="23" customBuiltin="1"/>
    <cellStyle name="Comma" xfId="4" builtinId="3"/>
    <cellStyle name="Explanatory Text" xfId="20" builtinId="53" customBuiltin="1"/>
    <cellStyle name="Good" xfId="10" builtinId="26" customBuiltin="1"/>
    <cellStyle name="Heading 1" xfId="6" builtinId="16" customBuiltin="1"/>
    <cellStyle name="Heading 2" xfId="7" builtinId="17" customBuiltin="1"/>
    <cellStyle name="Heading 3" xfId="8" builtinId="18" customBuiltin="1"/>
    <cellStyle name="Heading 4" xfId="9" builtinId="19" customBuiltin="1"/>
    <cellStyle name="Hyperlink" xfId="2" builtinId="8"/>
    <cellStyle name="Input" xfId="13" builtinId="20" customBuiltin="1"/>
    <cellStyle name="Linked Cell" xfId="16" builtinId="24" customBuiltin="1"/>
    <cellStyle name="Neutral" xfId="12" builtinId="28" customBuiltin="1"/>
    <cellStyle name="Normal" xfId="0" builtinId="0"/>
    <cellStyle name="Normal 2" xfId="1"/>
    <cellStyle name="Note" xfId="19" builtinId="10" customBuiltin="1"/>
    <cellStyle name="Output" xfId="14" builtinId="21" customBuiltin="1"/>
    <cellStyle name="Percent" xfId="3" builtinId="5"/>
    <cellStyle name="Title" xfId="5" builtinId="15" customBuiltin="1"/>
    <cellStyle name="Total" xfId="21" builtinId="25" customBuiltin="1"/>
    <cellStyle name="Warning Text" xfId="18" builtinId="11" customBuiltin="1"/>
  </cellStyles>
  <dxfs count="4">
    <dxf>
      <font>
        <color rgb="FFA1132E"/>
      </font>
      <fill>
        <gradientFill degree="90">
          <stop position="0">
            <color rgb="FFF6E99C"/>
          </stop>
          <stop position="1">
            <color rgb="FFFFFFCC"/>
          </stop>
        </gradientFill>
      </fill>
      <border>
        <left style="thin">
          <color rgb="FF5F5F5F"/>
        </left>
        <right style="thin">
          <color rgb="FF5F5F5F"/>
        </right>
        <top style="thin">
          <color rgb="FF5F5F5F"/>
        </top>
        <bottom style="thin">
          <color rgb="FF5F5F5F"/>
        </bottom>
        <vertical/>
        <horizontal/>
      </border>
    </dxf>
    <dxf>
      <font>
        <b/>
        <i val="0"/>
        <color rgb="FF5F5F5F"/>
      </font>
    </dxf>
    <dxf>
      <font>
        <color rgb="FFA1132E"/>
      </font>
      <fill>
        <gradientFill degree="90">
          <stop position="0">
            <color rgb="FFF6E99C"/>
          </stop>
          <stop position="1">
            <color rgb="FFFFFFCC"/>
          </stop>
        </gradientFill>
      </fill>
      <border>
        <left style="thin">
          <color rgb="FF5F5F5F"/>
        </left>
        <right style="thin">
          <color rgb="FF5F5F5F"/>
        </right>
        <top style="thin">
          <color rgb="FF5F5F5F"/>
        </top>
        <bottom style="thin">
          <color rgb="FF5F5F5F"/>
        </bottom>
        <vertical/>
        <horizontal/>
      </border>
    </dxf>
    <dxf>
      <font>
        <b/>
        <i val="0"/>
        <color rgb="FF5F5F5F"/>
      </font>
    </dxf>
  </dxfs>
  <tableStyles count="0" defaultTableStyle="TableStyleMedium2" defaultPivotStyle="PivotStyleLight16"/>
  <colors>
    <mruColors>
      <color rgb="FF262626"/>
      <color rgb="FF737D96"/>
      <color rgb="FFA0A0A0"/>
      <color rgb="FF151515"/>
      <color rgb="FF3E3E3E"/>
      <color rgb="FFD2D2D2"/>
      <color rgb="FFDDDDDD"/>
      <color rgb="FFDCDCDC"/>
      <color rgb="FF262726"/>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5.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6.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17.xml.rels><?xml version="1.0" encoding="UTF-8" standalone="yes"?>
<Relationships xmlns="http://schemas.openxmlformats.org/package/2006/relationships"><Relationship Id="rId1" Type="http://schemas.openxmlformats.org/officeDocument/2006/relationships/themeOverride" Target="../theme/themeOverride14.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c:style val="2"/>
  <c:clrMapOvr bg1="lt1" tx1="dk1" bg2="lt2" tx2="dk2" accent1="accent1" accent2="accent2" accent3="accent3" accent4="accent4" accent5="accent5" accent6="accent6" hlink="hlink" folHlink="folHlink"/>
  <c:chart>
    <c:title>
      <c:tx>
        <c:rich>
          <a:bodyPr/>
          <a:lstStyle/>
          <a:p>
            <a:pPr>
              <a:defRPr sz="1600" b="0" cap="none" baseline="0">
                <a:solidFill>
                  <a:srgbClr val="DCDCDC"/>
                </a:solidFill>
                <a:latin typeface="Calibri"/>
                <a:cs typeface="Arial" pitchFamily="34" charset="0"/>
              </a:defRPr>
            </a:pPr>
            <a:r>
              <a:rPr lang="en-US"/>
              <a:t>Most Active Users By # Posts</a:t>
            </a:r>
          </a:p>
        </c:rich>
      </c:tx>
      <c:layout>
        <c:manualLayout>
          <c:xMode val="edge"/>
          <c:yMode val="edge"/>
          <c:x val="5.9027777777777776E-2"/>
          <c:y val="2.7777837722355422E-2"/>
        </c:manualLayout>
      </c:layout>
      <c:overlay val="0"/>
    </c:title>
    <c:autoTitleDeleted val="0"/>
    <c:plotArea>
      <c:layout>
        <c:manualLayout>
          <c:layoutTarget val="inner"/>
          <c:xMode val="edge"/>
          <c:yMode val="edge"/>
          <c:x val="0.45023148148148145"/>
          <c:y val="0.22129448996635673"/>
          <c:w val="0.47337953849518816"/>
          <c:h val="0.65023328031834882"/>
        </c:manualLayout>
      </c:layout>
      <c:barChart>
        <c:barDir val="bar"/>
        <c:grouping val="stacked"/>
        <c:varyColors val="0"/>
        <c:ser>
          <c:idx val="0"/>
          <c:order val="0"/>
          <c:tx>
            <c:strRef>
              <c:f>Calculations!$D$172</c:f>
              <c:strCache>
                <c:ptCount val="1"/>
                <c:pt idx="0">
                  <c:v>Photos</c:v>
                </c:pt>
              </c:strCache>
            </c:strRef>
          </c:tx>
          <c:spPr>
            <a:gradFill flip="none" rotWithShape="1">
              <a:gsLst>
                <a:gs pos="0">
                  <a:srgbClr val="620014"/>
                </a:gs>
                <a:gs pos="100000">
                  <a:srgbClr val="AC082B"/>
                </a:gs>
                <a:gs pos="50000">
                  <a:srgbClr val="900522"/>
                </a:gs>
              </a:gsLst>
              <a:lin ang="16200000" scaled="1"/>
              <a:tileRect/>
            </a:gradFill>
            <a:ln w="9525">
              <a:solidFill>
                <a:srgbClr val="AC082B"/>
              </a:solidFill>
            </a:ln>
          </c:spPr>
          <c:invertIfNegative val="0"/>
          <c:cat>
            <c:strRef>
              <c:f>[0]!chart.top_users_by_posts.labels</c:f>
              <c:strCache>
                <c:ptCount val="10"/>
                <c:pt idx="0">
                  <c:v>stephcurried</c:v>
                </c:pt>
                <c:pt idx="1">
                  <c:v>jishwa.and.tylerr</c:v>
                </c:pt>
                <c:pt idx="2">
                  <c:v>millionaireimage</c:v>
                </c:pt>
                <c:pt idx="3">
                  <c:v>katrinlangsamen</c:v>
                </c:pt>
                <c:pt idx="4">
                  <c:v>motivationbyeli</c:v>
                </c:pt>
                <c:pt idx="5">
                  <c:v>the_world_laughs_in_flowers_</c:v>
                </c:pt>
                <c:pt idx="6">
                  <c:v>nieldeepnarain</c:v>
                </c:pt>
                <c:pt idx="7">
                  <c:v>mortentillitz.dk</c:v>
                </c:pt>
                <c:pt idx="8">
                  <c:v>wholefoodcheerleader</c:v>
                </c:pt>
                <c:pt idx="9">
                  <c:v>susannabanana246</c:v>
                </c:pt>
              </c:strCache>
            </c:strRef>
          </c:cat>
          <c:val>
            <c:numRef>
              <c:f>[0]!chart.top_users_by_posts.photos.values</c:f>
              <c:numCache>
                <c:formatCode>#,##0</c:formatCode>
                <c:ptCount val="10"/>
                <c:pt idx="0">
                  <c:v>102</c:v>
                </c:pt>
                <c:pt idx="1">
                  <c:v>76</c:v>
                </c:pt>
                <c:pt idx="2">
                  <c:v>71</c:v>
                </c:pt>
                <c:pt idx="3">
                  <c:v>48</c:v>
                </c:pt>
                <c:pt idx="4">
                  <c:v>43</c:v>
                </c:pt>
                <c:pt idx="5">
                  <c:v>39</c:v>
                </c:pt>
                <c:pt idx="6">
                  <c:v>37</c:v>
                </c:pt>
                <c:pt idx="7">
                  <c:v>13</c:v>
                </c:pt>
                <c:pt idx="8">
                  <c:v>35</c:v>
                </c:pt>
                <c:pt idx="9">
                  <c:v>30</c:v>
                </c:pt>
              </c:numCache>
            </c:numRef>
          </c:val>
          <c:extLst xmlns:prop="http://schemas.openxmlformats.org/officeDocument/2006/custom-properties" xmlns:xs="http://www.w3.org/2001/XMLSchema" xmlns:mc="http://schemas.openxmlformats.org/markup-compatibility/2006" xmlns:WX="http://schemas.microsoft.com/office/word/2003/auxHint" xmlns:properties="http://schemas.openxmlformats.org/officeDocument/2006/extended-properties" xmlns:dc="http://purl.org/dc/elements/1.1/" xmlns:ds="http://schemas.openxmlformats.org/officeDocument/2006/customXml" xmlns:cp="http://schemas.openxmlformats.org/package/2006/metadata/core-properties" xmlns:w15="http://schemas.microsoft.com/office/word/2012/wordml" xmlns:ns40="http://schemas.openxmlformats.org/spreadsheetml/2006/main" xmlns:p="http://schemas.openxmlformats.org/presentationml/2006/main" xmlns:dcterms="http://purl.org/dc/terms/" xmlns:rel="http://schemas.openxmlformats.org/package/2006/relationships" xmlns:pkg="http://schemas.microsoft.com/office/2006/xmlPackage" xmlns:vt="http://schemas.openxmlformats.org/officeDocument/2006/docPropsVTypes" xmlns:xf="http://www.w3.org/2002/xforms" xmlns:w14="http://schemas.microsoft.com/office/word/2010/wordml" xmlns:xsi="http://www.w3.org/2001/XMLSchema-instance" xmlns:aml="http://schemas.microsoft.com/aml/2001/core" xmlns:xe="http://www.w3.org/2001/xml-events" xmlns:ns29="http://schemas.openxmlformats.org/drawingml/2006/lockedCanvas" xmlns:ns28="http://schemas.openxmlformats.org/drawingml/2006/compatibility" xmlns:ns27="http://schemas.openxmlformats.org/officeDocument/2006/bibliography" xmlns:odgm="http://opendope.org/SmartArt/DataHierarchy" xmlns:odi="http://opendope.org/components" xmlns:oda="http://opendope.org/answers" xmlns:odq="http://opendope.org/questions" xmlns:odc="http://opendope.org/conditions" xmlns:odx="http://opendope.org/xpaths" xmlns:ns20="http://schemas.microsoft.com/office/2006/coverPageProps" xmlns:ns18="urn:schemas-microsoft-com:office:powerpoint" xmlns:w10="urn:schemas-microsoft-com:office:word" xmlns:v="urn:schemas-microsoft-com:vml" xmlns:o="urn:schemas-microsoft-com:office:office" xmlns:ns14="urn:schemas-microsoft-com:office:excel" xmlns:dsp="http://schemas.microsoft.com/office/drawing/2008/diagram" xmlns:xdr="http://schemas.openxmlformats.org/drawingml/2006/spreadsheetDrawing" xmlns:pic="http://schemas.openxmlformats.org/drawingml/2006/picture" xmlns:dgm="http://schemas.openxmlformats.org/drawingml/2006/diagram" xmlns:ns9="http://schemas.openxmlformats.org/drawingml/2006/chartDrawing" xmlns:wne="http://schemas.microsoft.com/office/word/2006/wordml" xmlns:ns6="http://schemas.openxmlformats.org/schemaLibrary/2006/main" xmlns:wp="http://schemas.openxmlformats.org/drawingml/2006/wordprocessingDrawing" xmlns:m="http://schemas.openxmlformats.org/officeDocument/2006/math" xmlns:w="http://schemas.openxmlformats.org/wordprocessingml/2006/main">
            <c:ext uri="{C3380CC4-5D6E-409C-BE32-E72D297353CC}">
              <c16:uniqueId xmlns:c16="http://schemas.microsoft.com/office/drawing/2014/chart" xmlns:c16r2="http://schemas.microsoft.com/office/drawing/2015/06/chart" val="{00000000-7BC8-4A20-836A-17DD8B35CA16}"/>
            </c:ext>
          </c:extLst>
        </c:ser>
        <c:ser>
          <c:idx val="1"/>
          <c:order val="1"/>
          <c:tx>
            <c:strRef>
              <c:f>Calculations!$E$172</c:f>
              <c:strCache>
                <c:ptCount val="1"/>
                <c:pt idx="0">
                  <c:v>Videos</c:v>
                </c:pt>
              </c:strCache>
            </c:strRef>
          </c:tx>
          <c:spPr>
            <a:gradFill flip="none" rotWithShape="1">
              <a:gsLst>
                <a:gs pos="0">
                  <a:srgbClr val="A03500"/>
                </a:gs>
                <a:gs pos="100000">
                  <a:srgbClr val="FF6200"/>
                </a:gs>
                <a:gs pos="50000">
                  <a:srgbClr val="E65100"/>
                </a:gs>
              </a:gsLst>
              <a:lin ang="16200000" scaled="1"/>
              <a:tileRect/>
            </a:gradFill>
            <a:ln w="9525">
              <a:solidFill>
                <a:srgbClr val="FF6200"/>
              </a:solidFill>
            </a:ln>
          </c:spPr>
          <c:invertIfNegative val="0"/>
          <c:cat>
            <c:strRef>
              <c:f>[0]!chart.top_users_by_posts.labels</c:f>
              <c:strCache>
                <c:ptCount val="10"/>
                <c:pt idx="0">
                  <c:v>stephcurried</c:v>
                </c:pt>
                <c:pt idx="1">
                  <c:v>jishwa.and.tylerr</c:v>
                </c:pt>
                <c:pt idx="2">
                  <c:v>millionaireimage</c:v>
                </c:pt>
                <c:pt idx="3">
                  <c:v>katrinlangsamen</c:v>
                </c:pt>
                <c:pt idx="4">
                  <c:v>motivationbyeli</c:v>
                </c:pt>
                <c:pt idx="5">
                  <c:v>the_world_laughs_in_flowers_</c:v>
                </c:pt>
                <c:pt idx="6">
                  <c:v>nieldeepnarain</c:v>
                </c:pt>
                <c:pt idx="7">
                  <c:v>mortentillitz.dk</c:v>
                </c:pt>
                <c:pt idx="8">
                  <c:v>wholefoodcheerleader</c:v>
                </c:pt>
                <c:pt idx="9">
                  <c:v>susannabanana246</c:v>
                </c:pt>
              </c:strCache>
            </c:strRef>
          </c:cat>
          <c:val>
            <c:numRef>
              <c:f>[0]!chart.top_users_by_posts.videos.values</c:f>
              <c:numCache>
                <c:formatCode>#,##0</c:formatCode>
                <c:ptCount val="10"/>
                <c:pt idx="0">
                  <c:v>0</c:v>
                </c:pt>
                <c:pt idx="1">
                  <c:v>2</c:v>
                </c:pt>
                <c:pt idx="2">
                  <c:v>0</c:v>
                </c:pt>
                <c:pt idx="3">
                  <c:v>0</c:v>
                </c:pt>
                <c:pt idx="4">
                  <c:v>0</c:v>
                </c:pt>
                <c:pt idx="5">
                  <c:v>1</c:v>
                </c:pt>
                <c:pt idx="6">
                  <c:v>1</c:v>
                </c:pt>
                <c:pt idx="7">
                  <c:v>20</c:v>
                </c:pt>
                <c:pt idx="8">
                  <c:v>0</c:v>
                </c:pt>
                <c:pt idx="9">
                  <c:v>0</c:v>
                </c:pt>
              </c:numCache>
            </c:numRef>
          </c:val>
          <c:extLst xmlns:prop="http://schemas.openxmlformats.org/officeDocument/2006/custom-properties" xmlns:xs="http://www.w3.org/2001/XMLSchema" xmlns:mc="http://schemas.openxmlformats.org/markup-compatibility/2006" xmlns:WX="http://schemas.microsoft.com/office/word/2003/auxHint" xmlns:properties="http://schemas.openxmlformats.org/officeDocument/2006/extended-properties" xmlns:dc="http://purl.org/dc/elements/1.1/" xmlns:ds="http://schemas.openxmlformats.org/officeDocument/2006/customXml" xmlns:cp="http://schemas.openxmlformats.org/package/2006/metadata/core-properties" xmlns:w15="http://schemas.microsoft.com/office/word/2012/wordml" xmlns:ns40="http://schemas.openxmlformats.org/spreadsheetml/2006/main" xmlns:p="http://schemas.openxmlformats.org/presentationml/2006/main" xmlns:dcterms="http://purl.org/dc/terms/" xmlns:rel="http://schemas.openxmlformats.org/package/2006/relationships" xmlns:pkg="http://schemas.microsoft.com/office/2006/xmlPackage" xmlns:vt="http://schemas.openxmlformats.org/officeDocument/2006/docPropsVTypes" xmlns:xf="http://www.w3.org/2002/xforms" xmlns:w14="http://schemas.microsoft.com/office/word/2010/wordml" xmlns:xsi="http://www.w3.org/2001/XMLSchema-instance" xmlns:aml="http://schemas.microsoft.com/aml/2001/core" xmlns:xe="http://www.w3.org/2001/xml-events" xmlns:ns29="http://schemas.openxmlformats.org/drawingml/2006/lockedCanvas" xmlns:ns28="http://schemas.openxmlformats.org/drawingml/2006/compatibility" xmlns:ns27="http://schemas.openxmlformats.org/officeDocument/2006/bibliography" xmlns:odgm="http://opendope.org/SmartArt/DataHierarchy" xmlns:odi="http://opendope.org/components" xmlns:oda="http://opendope.org/answers" xmlns:odq="http://opendope.org/questions" xmlns:odc="http://opendope.org/conditions" xmlns:odx="http://opendope.org/xpaths" xmlns:ns20="http://schemas.microsoft.com/office/2006/coverPageProps" xmlns:ns18="urn:schemas-microsoft-com:office:powerpoint" xmlns:w10="urn:schemas-microsoft-com:office:word" xmlns:v="urn:schemas-microsoft-com:vml" xmlns:o="urn:schemas-microsoft-com:office:office" xmlns:ns14="urn:schemas-microsoft-com:office:excel" xmlns:dsp="http://schemas.microsoft.com/office/drawing/2008/diagram" xmlns:xdr="http://schemas.openxmlformats.org/drawingml/2006/spreadsheetDrawing" xmlns:pic="http://schemas.openxmlformats.org/drawingml/2006/picture" xmlns:dgm="http://schemas.openxmlformats.org/drawingml/2006/diagram" xmlns:ns9="http://schemas.openxmlformats.org/drawingml/2006/chartDrawing" xmlns:wne="http://schemas.microsoft.com/office/word/2006/wordml" xmlns:ns6="http://schemas.openxmlformats.org/schemaLibrary/2006/main" xmlns:wp="http://schemas.openxmlformats.org/drawingml/2006/wordprocessingDrawing" xmlns:m="http://schemas.openxmlformats.org/officeDocument/2006/math" xmlns:w="http://schemas.openxmlformats.org/wordprocessingml/2006/main">
            <c:ext uri="{C3380CC4-5D6E-409C-BE32-E72D297353CC}">
              <c16:uniqueId xmlns:c16="http://schemas.microsoft.com/office/drawing/2014/chart" xmlns:c16r2="http://schemas.microsoft.com/office/drawing/2015/06/chart" val="{00000001-7BC8-4A20-836A-17DD8B35CA16}"/>
            </c:ext>
          </c:extLst>
        </c:ser>
        <c:ser>
          <c:idx val="2"/>
          <c:order val="2"/>
          <c:tx>
            <c:strRef>
              <c:f>Calculations!$F$172</c:f>
              <c:strCache>
                <c:ptCount val="1"/>
                <c:pt idx="0">
                  <c:v>Carousels</c:v>
                </c:pt>
              </c:strCache>
            </c:strRef>
          </c:tx>
          <c:spPr>
            <a:gradFill flip="none" rotWithShape="1">
              <a:gsLst>
                <a:gs pos="0">
                  <a:srgbClr val="3F1260"/>
                </a:gs>
                <a:gs pos="100000">
                  <a:srgbClr val="7128A8"/>
                </a:gs>
                <a:gs pos="50000">
                  <a:srgbClr val="5E1F8D"/>
                </a:gs>
              </a:gsLst>
              <a:lin ang="16200000" scaled="1"/>
              <a:tileRect/>
            </a:gradFill>
            <a:ln w="12700">
              <a:solidFill>
                <a:srgbClr val="7128A8"/>
              </a:solidFill>
            </a:ln>
          </c:spPr>
          <c:invertIfNegative val="0"/>
          <c:val>
            <c:numRef>
              <c:f>[0]!chart.top_users_by_posts.carousels.values</c:f>
              <c:numCache>
                <c:formatCode>#,##0</c:formatCode>
                <c:ptCount val="10"/>
                <c:pt idx="0">
                  <c:v>16</c:v>
                </c:pt>
                <c:pt idx="1">
                  <c:v>10</c:v>
                </c:pt>
                <c:pt idx="2">
                  <c:v>0</c:v>
                </c:pt>
                <c:pt idx="3">
                  <c:v>4</c:v>
                </c:pt>
                <c:pt idx="4">
                  <c:v>0</c:v>
                </c:pt>
                <c:pt idx="5">
                  <c:v>0</c:v>
                </c:pt>
                <c:pt idx="6">
                  <c:v>0</c:v>
                </c:pt>
                <c:pt idx="7">
                  <c:v>2</c:v>
                </c:pt>
                <c:pt idx="8">
                  <c:v>0</c:v>
                </c:pt>
                <c:pt idx="9">
                  <c:v>4</c:v>
                </c:pt>
              </c:numCache>
            </c:numRef>
          </c:val>
          <c:extLst xmlns:prop="http://schemas.openxmlformats.org/officeDocument/2006/custom-properties" xmlns:xs="http://www.w3.org/2001/XMLSchema" xmlns:mc="http://schemas.openxmlformats.org/markup-compatibility/2006" xmlns:WX="http://schemas.microsoft.com/office/word/2003/auxHint" xmlns:properties="http://schemas.openxmlformats.org/officeDocument/2006/extended-properties" xmlns:dc="http://purl.org/dc/elements/1.1/" xmlns:ds="http://schemas.openxmlformats.org/officeDocument/2006/customXml" xmlns:cp="http://schemas.openxmlformats.org/package/2006/metadata/core-properties" xmlns:w15="http://schemas.microsoft.com/office/word/2012/wordml" xmlns:ns40="http://schemas.openxmlformats.org/spreadsheetml/2006/main" xmlns:p="http://schemas.openxmlformats.org/presentationml/2006/main" xmlns:dcterms="http://purl.org/dc/terms/" xmlns:rel="http://schemas.openxmlformats.org/package/2006/relationships" xmlns:pkg="http://schemas.microsoft.com/office/2006/xmlPackage" xmlns:vt="http://schemas.openxmlformats.org/officeDocument/2006/docPropsVTypes" xmlns:xf="http://www.w3.org/2002/xforms" xmlns:w14="http://schemas.microsoft.com/office/word/2010/wordml" xmlns:xsi="http://www.w3.org/2001/XMLSchema-instance" xmlns:aml="http://schemas.microsoft.com/aml/2001/core" xmlns:xe="http://www.w3.org/2001/xml-events" xmlns:ns29="http://schemas.openxmlformats.org/drawingml/2006/lockedCanvas" xmlns:ns28="http://schemas.openxmlformats.org/drawingml/2006/compatibility" xmlns:ns27="http://schemas.openxmlformats.org/officeDocument/2006/bibliography" xmlns:odgm="http://opendope.org/SmartArt/DataHierarchy" xmlns:odi="http://opendope.org/components" xmlns:oda="http://opendope.org/answers" xmlns:odq="http://opendope.org/questions" xmlns:odc="http://opendope.org/conditions" xmlns:odx="http://opendope.org/xpaths" xmlns:ns20="http://schemas.microsoft.com/office/2006/coverPageProps" xmlns:ns18="urn:schemas-microsoft-com:office:powerpoint" xmlns:w10="urn:schemas-microsoft-com:office:word" xmlns:v="urn:schemas-microsoft-com:vml" xmlns:o="urn:schemas-microsoft-com:office:office" xmlns:ns14="urn:schemas-microsoft-com:office:excel" xmlns:dsp="http://schemas.microsoft.com/office/drawing/2008/diagram" xmlns:xdr="http://schemas.openxmlformats.org/drawingml/2006/spreadsheetDrawing" xmlns:pic="http://schemas.openxmlformats.org/drawingml/2006/picture" xmlns:dgm="http://schemas.openxmlformats.org/drawingml/2006/diagram" xmlns:ns9="http://schemas.openxmlformats.org/drawingml/2006/chartDrawing" xmlns:wne="http://schemas.microsoft.com/office/word/2006/wordml" xmlns:ns6="http://schemas.openxmlformats.org/schemaLibrary/2006/main" xmlns:wp="http://schemas.openxmlformats.org/drawingml/2006/wordprocessingDrawing" xmlns:m="http://schemas.openxmlformats.org/officeDocument/2006/math" xmlns:w="http://schemas.openxmlformats.org/wordprocessingml/2006/main">
            <c:ext uri="{C3380CC4-5D6E-409C-BE32-E72D297353CC}">
              <c16:uniqueId xmlns:c16="http://schemas.microsoft.com/office/drawing/2014/chart" xmlns:c16r2="http://schemas.microsoft.com/office/drawing/2015/06/chart" val="{00000002-7BC8-4A20-836A-17DD8B35CA16}"/>
            </c:ext>
          </c:extLst>
        </c:ser>
        <c:dLbls>
          <c:showLegendKey val="0"/>
          <c:showVal val="0"/>
          <c:showCatName val="0"/>
          <c:showSerName val="0"/>
          <c:showPercent val="0"/>
          <c:showBubbleSize val="0"/>
        </c:dLbls>
        <c:gapWidth val="100"/>
        <c:overlap val="100"/>
        <c:axId val="181935448"/>
        <c:axId val="335188504"/>
      </c:barChart>
      <c:catAx>
        <c:axId val="181935448"/>
        <c:scaling>
          <c:orientation val="maxMin"/>
        </c:scaling>
        <c:delete val="0"/>
        <c:axPos val="l"/>
        <c:numFmt formatCode="General" sourceLinked="1"/>
        <c:majorTickMark val="none"/>
        <c:minorTickMark val="none"/>
        <c:tickLblPos val="nextTo"/>
        <c:spPr>
          <a:ln>
            <a:solidFill>
              <a:srgbClr val="969696"/>
            </a:solidFill>
          </a:ln>
        </c:spPr>
        <c:txPr>
          <a:bodyPr rot="0" vert="horz"/>
          <a:lstStyle/>
          <a:p>
            <a:pPr>
              <a:defRPr sz="1000" b="0">
                <a:solidFill>
                  <a:srgbClr val="C8C8C8"/>
                </a:solidFill>
                <a:latin typeface="Calibri"/>
                <a:ea typeface="Calibri"/>
                <a:cs typeface="Calibri"/>
              </a:defRPr>
            </a:pPr>
            <a:endParaRPr lang="en-US"/>
          </a:p>
        </c:txPr>
        <c:crossAx val="335188504"/>
        <c:crosses val="autoZero"/>
        <c:auto val="1"/>
        <c:lblAlgn val="ctr"/>
        <c:lblOffset val="50"/>
        <c:noMultiLvlLbl val="0"/>
      </c:catAx>
      <c:valAx>
        <c:axId val="335188504"/>
        <c:scaling>
          <c:orientation val="minMax"/>
        </c:scaling>
        <c:delete val="0"/>
        <c:axPos val="b"/>
        <c:title>
          <c:tx>
            <c:rich>
              <a:bodyPr rot="0" vert="horz"/>
              <a:lstStyle/>
              <a:p>
                <a:pPr>
                  <a:defRPr sz="1000" b="0">
                    <a:solidFill>
                      <a:srgbClr val="B4B4B4"/>
                    </a:solidFill>
                    <a:latin typeface="Calibri"/>
                    <a:ea typeface="Calibri"/>
                    <a:cs typeface="Calibri"/>
                  </a:defRPr>
                </a:pPr>
                <a:r>
                  <a:rPr lang="en-US"/>
                  <a:t>Posts</a:t>
                </a:r>
              </a:p>
            </c:rich>
          </c:tx>
          <c:layout>
            <c:manualLayout>
              <c:xMode val="edge"/>
              <c:yMode val="edge"/>
              <c:x val="0.60600120297462812"/>
              <c:y val="0.91469730745741717"/>
            </c:manualLayout>
          </c:layout>
          <c:overlay val="0"/>
        </c:title>
        <c:numFmt formatCode="[&gt;=1000000].0,,&quot;M&quot;;[&gt;=1000].0,&quot;K&quot;;#,##0" sourceLinked="0"/>
        <c:majorTickMark val="out"/>
        <c:minorTickMark val="none"/>
        <c:tickLblPos val="nextTo"/>
        <c:spPr>
          <a:ln>
            <a:solidFill>
              <a:srgbClr val="969696"/>
            </a:solidFill>
          </a:ln>
        </c:spPr>
        <c:txPr>
          <a:bodyPr/>
          <a:lstStyle/>
          <a:p>
            <a:pPr>
              <a:defRPr sz="800" b="0">
                <a:solidFill>
                  <a:srgbClr val="A0A0A0"/>
                </a:solidFill>
                <a:latin typeface="Calibri"/>
                <a:ea typeface="Calibri"/>
                <a:cs typeface="Calibri"/>
              </a:defRPr>
            </a:pPr>
            <a:endParaRPr lang="en-US"/>
          </a:p>
        </c:txPr>
        <c:crossAx val="181935448"/>
        <c:crosses val="max"/>
        <c:crossBetween val="between"/>
      </c:valAx>
      <c:spPr>
        <a:gradFill flip="none" rotWithShape="1">
          <a:gsLst>
            <a:gs pos="0">
              <a:srgbClr val="262626"/>
            </a:gs>
            <a:gs pos="60000">
              <a:srgbClr val="151515"/>
            </a:gs>
          </a:gsLst>
          <a:lin ang="10800000" scaled="1"/>
          <a:tileRect/>
        </a:gradFill>
        <a:ln w="12700">
          <a:solidFill>
            <a:srgbClr val="262626"/>
          </a:solidFill>
        </a:ln>
      </c:spPr>
    </c:plotArea>
    <c:legend>
      <c:legendPos val="t"/>
      <c:layout>
        <c:manualLayout>
          <c:xMode val="edge"/>
          <c:yMode val="edge"/>
          <c:x val="0.41550935039370074"/>
          <c:y val="0.13541666666666666"/>
          <c:w val="0.55324064960629926"/>
          <c:h val="8.3333333333333329E-2"/>
        </c:manualLayout>
      </c:layout>
      <c:overlay val="0"/>
      <c:spPr>
        <a:gradFill flip="none" rotWithShape="1">
          <a:gsLst>
            <a:gs pos="0">
              <a:srgbClr val="151515"/>
            </a:gs>
            <a:gs pos="100000">
              <a:srgbClr val="404040"/>
            </a:gs>
            <a:gs pos="3000">
              <a:srgbClr val="151515"/>
            </a:gs>
            <a:gs pos="4000">
              <a:srgbClr val="404040"/>
            </a:gs>
            <a:gs pos="7000">
              <a:srgbClr val="404040"/>
            </a:gs>
            <a:gs pos="8000">
              <a:srgbClr val="262626"/>
            </a:gs>
            <a:gs pos="92000">
              <a:srgbClr val="262626"/>
            </a:gs>
            <a:gs pos="93000">
              <a:srgbClr val="151515"/>
            </a:gs>
            <a:gs pos="96000">
              <a:srgbClr val="151515"/>
            </a:gs>
            <a:gs pos="97000">
              <a:srgbClr val="404040"/>
            </a:gs>
          </a:gsLst>
          <a:lin ang="5400000" scaled="1"/>
          <a:tileRect/>
        </a:gradFill>
      </c:spPr>
      <c:txPr>
        <a:bodyPr/>
        <a:lstStyle/>
        <a:p>
          <a:pPr>
            <a:defRPr sz="1000" b="0">
              <a:solidFill>
                <a:srgbClr val="C8C8C8"/>
              </a:solidFill>
              <a:latin typeface="Calibri" panose="020F0502020204030204" pitchFamily="34" charset="0"/>
            </a:defRPr>
          </a:pPr>
          <a:endParaRPr lang="en-US"/>
        </a:p>
      </c:txPr>
    </c:legend>
    <c:plotVisOnly val="1"/>
    <c:dispBlanksAs val="gap"/>
    <c:showDLblsOverMax val="0"/>
  </c:chart>
  <c:spPr>
    <a:noFill/>
    <a:ln w="19050">
      <a:noFill/>
    </a:ln>
  </c:spPr>
  <c:txPr>
    <a:bodyPr/>
    <a:lstStyle/>
    <a:p>
      <a:pPr>
        <a:defRPr>
          <a:solidFill>
            <a:schemeClr val="bg1"/>
          </a:solidFill>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c:style val="2"/>
  <c:chart>
    <c:title>
      <c:tx>
        <c:rich>
          <a:bodyPr/>
          <a:lstStyle/>
          <a:p>
            <a:pPr>
              <a:defRPr sz="1600" b="0" cap="none">
                <a:solidFill>
                  <a:srgbClr val="DCDCDC"/>
                </a:solidFill>
                <a:latin typeface="Calibri"/>
              </a:defRPr>
            </a:pPr>
            <a:r>
              <a:rPr lang="en-US" sz="1600" b="0" cap="none">
                <a:solidFill>
                  <a:srgbClr val="DCDCDC"/>
                </a:solidFill>
                <a:latin typeface="Calibri"/>
              </a:rPr>
              <a:t>Top Keywords &amp; Frequency within Captions</a:t>
            </a:r>
          </a:p>
        </c:rich>
      </c:tx>
      <c:layout>
        <c:manualLayout>
          <c:xMode val="edge"/>
          <c:yMode val="edge"/>
          <c:x val="3.8834064327485381E-2"/>
          <c:y val="0"/>
        </c:manualLayout>
      </c:layout>
      <c:overlay val="1"/>
    </c:title>
    <c:autoTitleDeleted val="0"/>
    <c:plotArea>
      <c:layout>
        <c:manualLayout>
          <c:layoutTarget val="inner"/>
          <c:xMode val="edge"/>
          <c:yMode val="edge"/>
          <c:x val="8.4733999596204312E-2"/>
          <c:y val="0.19967479482059317"/>
          <c:w val="0.86884023652117137"/>
          <c:h val="0.46753388047841821"/>
        </c:manualLayout>
      </c:layout>
      <c:barChart>
        <c:barDir val="col"/>
        <c:grouping val="clustered"/>
        <c:varyColors val="0"/>
        <c:ser>
          <c:idx val="0"/>
          <c:order val="0"/>
          <c:tx>
            <c:strRef>
              <c:f>Calculations!$E$226</c:f>
              <c:strCache>
                <c:ptCount val="1"/>
                <c:pt idx="0">
                  <c:v>Count</c:v>
                </c:pt>
              </c:strCache>
            </c:strRef>
          </c:tx>
          <c:spPr>
            <a:gradFill flip="none" rotWithShape="1">
              <a:gsLst>
                <a:gs pos="0">
                  <a:srgbClr val="620014"/>
                </a:gs>
                <a:gs pos="100000">
                  <a:srgbClr val="AC082B"/>
                </a:gs>
                <a:gs pos="50000">
                  <a:srgbClr val="900522"/>
                </a:gs>
              </a:gsLst>
              <a:lin ang="0" scaled="1"/>
              <a:tileRect/>
            </a:gradFill>
            <a:ln w="9525">
              <a:solidFill>
                <a:srgbClr val="AC082B"/>
              </a:solidFill>
            </a:ln>
          </c:spPr>
          <c:invertIfNegative val="0"/>
          <c:dPt>
            <c:idx val="0"/>
            <c:invertIfNegative val="0"/>
            <c:bubble3D val="0"/>
            <c:spPr>
              <a:gradFill flip="none" rotWithShape="1">
                <a:gsLst>
                  <a:gs pos="0">
                    <a:srgbClr val="620014"/>
                  </a:gs>
                  <a:gs pos="100000">
                    <a:srgbClr val="AC082B"/>
                  </a:gs>
                  <a:gs pos="50000">
                    <a:srgbClr val="900522"/>
                  </a:gs>
                </a:gsLst>
                <a:lin ang="0" scaled="1"/>
                <a:tileRect/>
              </a:gradFill>
              <a:ln w="12700">
                <a:solidFill>
                  <a:srgbClr val="AC082B"/>
                </a:solidFill>
              </a:ln>
            </c:spPr>
            <c:extLst xmlns:prop="http://schemas.openxmlformats.org/officeDocument/2006/custom-properties" xmlns:xs="http://www.w3.org/2001/XMLSchema" xmlns:mc="http://schemas.openxmlformats.org/markup-compatibility/2006" xmlns:WX="http://schemas.microsoft.com/office/word/2003/auxHint" xmlns:properties="http://schemas.openxmlformats.org/officeDocument/2006/extended-properties" xmlns:dc="http://purl.org/dc/elements/1.1/" xmlns:ds="http://schemas.openxmlformats.org/officeDocument/2006/customXml" xmlns:cp="http://schemas.openxmlformats.org/package/2006/metadata/core-properties" xmlns:w15="http://schemas.microsoft.com/office/word/2012/wordml" xmlns:ns40="http://schemas.openxmlformats.org/spreadsheetml/2006/main" xmlns:p="http://schemas.openxmlformats.org/presentationml/2006/main" xmlns:dcterms="http://purl.org/dc/terms/" xmlns:rel="http://schemas.openxmlformats.org/package/2006/relationships" xmlns:pkg="http://schemas.microsoft.com/office/2006/xmlPackage" xmlns:vt="http://schemas.openxmlformats.org/officeDocument/2006/docPropsVTypes" xmlns:xf="http://www.w3.org/2002/xforms" xmlns:w14="http://schemas.microsoft.com/office/word/2010/wordml" xmlns:xsi="http://www.w3.org/2001/XMLSchema-instance" xmlns:aml="http://schemas.microsoft.com/aml/2001/core" xmlns:xe="http://www.w3.org/2001/xml-events" xmlns:ns29="http://schemas.openxmlformats.org/drawingml/2006/lockedCanvas" xmlns:ns28="http://schemas.openxmlformats.org/drawingml/2006/compatibility" xmlns:ns27="http://schemas.openxmlformats.org/officeDocument/2006/bibliography" xmlns:odgm="http://opendope.org/SmartArt/DataHierarchy" xmlns:odi="http://opendope.org/components" xmlns:oda="http://opendope.org/answers" xmlns:odq="http://opendope.org/questions" xmlns:odc="http://opendope.org/conditions" xmlns:odx="http://opendope.org/xpaths" xmlns:ns20="http://schemas.microsoft.com/office/2006/coverPageProps" xmlns:ns18="urn:schemas-microsoft-com:office:powerpoint" xmlns:w10="urn:schemas-microsoft-com:office:word" xmlns:v="urn:schemas-microsoft-com:vml" xmlns:o="urn:schemas-microsoft-com:office:office" xmlns:ns14="urn:schemas-microsoft-com:office:excel" xmlns:dsp="http://schemas.microsoft.com/office/drawing/2008/diagram" xmlns:xdr="http://schemas.openxmlformats.org/drawingml/2006/spreadsheetDrawing" xmlns:pic="http://schemas.openxmlformats.org/drawingml/2006/picture" xmlns:dgm="http://schemas.openxmlformats.org/drawingml/2006/diagram" xmlns:ns9="http://schemas.openxmlformats.org/drawingml/2006/chartDrawing" xmlns:wne="http://schemas.microsoft.com/office/word/2006/wordml" xmlns:ns6="http://schemas.openxmlformats.org/schemaLibrary/2006/main" xmlns:wp="http://schemas.openxmlformats.org/drawingml/2006/wordprocessingDrawing" xmlns:m="http://schemas.openxmlformats.org/officeDocument/2006/math" xmlns:w="http://schemas.openxmlformats.org/wordprocessingml/2006/main">
              <c:ext uri="{C3380CC4-5D6E-409C-BE32-E72D297353CC}">
                <c16:uniqueId xmlns:c16="http://schemas.microsoft.com/office/drawing/2014/chart" xmlns:c16r2="http://schemas.microsoft.com/office/drawing/2015/06/chart" val="{00000001-FB56-4960-BBA7-DFB1B82CFD2A}"/>
              </c:ext>
            </c:extLst>
          </c:dPt>
          <c:dPt>
            <c:idx val="1"/>
            <c:invertIfNegative val="0"/>
            <c:bubble3D val="0"/>
            <c:spPr>
              <a:gradFill flip="none" rotWithShape="1">
                <a:gsLst>
                  <a:gs pos="0">
                    <a:srgbClr val="A03500"/>
                  </a:gs>
                  <a:gs pos="100000">
                    <a:srgbClr val="FF6200"/>
                  </a:gs>
                  <a:gs pos="50000">
                    <a:srgbClr val="E65100"/>
                  </a:gs>
                </a:gsLst>
                <a:lin ang="0" scaled="1"/>
                <a:tileRect/>
              </a:gradFill>
              <a:ln w="12700">
                <a:solidFill>
                  <a:srgbClr val="FF6200"/>
                </a:solidFill>
              </a:ln>
            </c:spPr>
            <c:extLst xmlns:prop="http://schemas.openxmlformats.org/officeDocument/2006/custom-properties" xmlns:xs="http://www.w3.org/2001/XMLSchema" xmlns:mc="http://schemas.openxmlformats.org/markup-compatibility/2006" xmlns:WX="http://schemas.microsoft.com/office/word/2003/auxHint" xmlns:properties="http://schemas.openxmlformats.org/officeDocument/2006/extended-properties" xmlns:dc="http://purl.org/dc/elements/1.1/" xmlns:ds="http://schemas.openxmlformats.org/officeDocument/2006/customXml" xmlns:cp="http://schemas.openxmlformats.org/package/2006/metadata/core-properties" xmlns:w15="http://schemas.microsoft.com/office/word/2012/wordml" xmlns:ns40="http://schemas.openxmlformats.org/spreadsheetml/2006/main" xmlns:p="http://schemas.openxmlformats.org/presentationml/2006/main" xmlns:dcterms="http://purl.org/dc/terms/" xmlns:rel="http://schemas.openxmlformats.org/package/2006/relationships" xmlns:pkg="http://schemas.microsoft.com/office/2006/xmlPackage" xmlns:vt="http://schemas.openxmlformats.org/officeDocument/2006/docPropsVTypes" xmlns:xf="http://www.w3.org/2002/xforms" xmlns:w14="http://schemas.microsoft.com/office/word/2010/wordml" xmlns:xsi="http://www.w3.org/2001/XMLSchema-instance" xmlns:aml="http://schemas.microsoft.com/aml/2001/core" xmlns:xe="http://www.w3.org/2001/xml-events" xmlns:ns29="http://schemas.openxmlformats.org/drawingml/2006/lockedCanvas" xmlns:ns28="http://schemas.openxmlformats.org/drawingml/2006/compatibility" xmlns:ns27="http://schemas.openxmlformats.org/officeDocument/2006/bibliography" xmlns:odgm="http://opendope.org/SmartArt/DataHierarchy" xmlns:odi="http://opendope.org/components" xmlns:oda="http://opendope.org/answers" xmlns:odq="http://opendope.org/questions" xmlns:odc="http://opendope.org/conditions" xmlns:odx="http://opendope.org/xpaths" xmlns:ns20="http://schemas.microsoft.com/office/2006/coverPageProps" xmlns:ns18="urn:schemas-microsoft-com:office:powerpoint" xmlns:w10="urn:schemas-microsoft-com:office:word" xmlns:v="urn:schemas-microsoft-com:vml" xmlns:o="urn:schemas-microsoft-com:office:office" xmlns:ns14="urn:schemas-microsoft-com:office:excel" xmlns:dsp="http://schemas.microsoft.com/office/drawing/2008/diagram" xmlns:xdr="http://schemas.openxmlformats.org/drawingml/2006/spreadsheetDrawing" xmlns:pic="http://schemas.openxmlformats.org/drawingml/2006/picture" xmlns:dgm="http://schemas.openxmlformats.org/drawingml/2006/diagram" xmlns:ns9="http://schemas.openxmlformats.org/drawingml/2006/chartDrawing" xmlns:wne="http://schemas.microsoft.com/office/word/2006/wordml" xmlns:ns6="http://schemas.openxmlformats.org/schemaLibrary/2006/main" xmlns:wp="http://schemas.openxmlformats.org/drawingml/2006/wordprocessingDrawing" xmlns:m="http://schemas.openxmlformats.org/officeDocument/2006/math" xmlns:w="http://schemas.openxmlformats.org/wordprocessingml/2006/main">
              <c:ext uri="{C3380CC4-5D6E-409C-BE32-E72D297353CC}">
                <c16:uniqueId xmlns:c16="http://schemas.microsoft.com/office/drawing/2014/chart" xmlns:c16r2="http://schemas.microsoft.com/office/drawing/2015/06/chart" val="{00000003-FB56-4960-BBA7-DFB1B82CFD2A}"/>
              </c:ext>
            </c:extLst>
          </c:dPt>
          <c:dPt>
            <c:idx val="2"/>
            <c:invertIfNegative val="0"/>
            <c:bubble3D val="0"/>
            <c:spPr>
              <a:gradFill flip="none" rotWithShape="1">
                <a:gsLst>
                  <a:gs pos="0">
                    <a:srgbClr val="A0A000"/>
                  </a:gs>
                  <a:gs pos="100000">
                    <a:srgbClr val="FFFF00"/>
                  </a:gs>
                  <a:gs pos="50000">
                    <a:srgbClr val="E6E600"/>
                  </a:gs>
                </a:gsLst>
                <a:lin ang="0" scaled="1"/>
                <a:tileRect/>
              </a:gradFill>
              <a:ln w="12700">
                <a:solidFill>
                  <a:srgbClr val="FFFF00"/>
                </a:solidFill>
              </a:ln>
            </c:spPr>
            <c:extLst xmlns:prop="http://schemas.openxmlformats.org/officeDocument/2006/custom-properties" xmlns:xs="http://www.w3.org/2001/XMLSchema" xmlns:mc="http://schemas.openxmlformats.org/markup-compatibility/2006" xmlns:WX="http://schemas.microsoft.com/office/word/2003/auxHint" xmlns:properties="http://schemas.openxmlformats.org/officeDocument/2006/extended-properties" xmlns:dc="http://purl.org/dc/elements/1.1/" xmlns:ds="http://schemas.openxmlformats.org/officeDocument/2006/customXml" xmlns:cp="http://schemas.openxmlformats.org/package/2006/metadata/core-properties" xmlns:w15="http://schemas.microsoft.com/office/word/2012/wordml" xmlns:ns40="http://schemas.openxmlformats.org/spreadsheetml/2006/main" xmlns:p="http://schemas.openxmlformats.org/presentationml/2006/main" xmlns:dcterms="http://purl.org/dc/terms/" xmlns:rel="http://schemas.openxmlformats.org/package/2006/relationships" xmlns:pkg="http://schemas.microsoft.com/office/2006/xmlPackage" xmlns:vt="http://schemas.openxmlformats.org/officeDocument/2006/docPropsVTypes" xmlns:xf="http://www.w3.org/2002/xforms" xmlns:w14="http://schemas.microsoft.com/office/word/2010/wordml" xmlns:xsi="http://www.w3.org/2001/XMLSchema-instance" xmlns:aml="http://schemas.microsoft.com/aml/2001/core" xmlns:xe="http://www.w3.org/2001/xml-events" xmlns:ns29="http://schemas.openxmlformats.org/drawingml/2006/lockedCanvas" xmlns:ns28="http://schemas.openxmlformats.org/drawingml/2006/compatibility" xmlns:ns27="http://schemas.openxmlformats.org/officeDocument/2006/bibliography" xmlns:odgm="http://opendope.org/SmartArt/DataHierarchy" xmlns:odi="http://opendope.org/components" xmlns:oda="http://opendope.org/answers" xmlns:odq="http://opendope.org/questions" xmlns:odc="http://opendope.org/conditions" xmlns:odx="http://opendope.org/xpaths" xmlns:ns20="http://schemas.microsoft.com/office/2006/coverPageProps" xmlns:ns18="urn:schemas-microsoft-com:office:powerpoint" xmlns:w10="urn:schemas-microsoft-com:office:word" xmlns:v="urn:schemas-microsoft-com:vml" xmlns:o="urn:schemas-microsoft-com:office:office" xmlns:ns14="urn:schemas-microsoft-com:office:excel" xmlns:dsp="http://schemas.microsoft.com/office/drawing/2008/diagram" xmlns:xdr="http://schemas.openxmlformats.org/drawingml/2006/spreadsheetDrawing" xmlns:pic="http://schemas.openxmlformats.org/drawingml/2006/picture" xmlns:dgm="http://schemas.openxmlformats.org/drawingml/2006/diagram" xmlns:ns9="http://schemas.openxmlformats.org/drawingml/2006/chartDrawing" xmlns:wne="http://schemas.microsoft.com/office/word/2006/wordml" xmlns:ns6="http://schemas.openxmlformats.org/schemaLibrary/2006/main" xmlns:wp="http://schemas.openxmlformats.org/drawingml/2006/wordprocessingDrawing" xmlns:m="http://schemas.openxmlformats.org/officeDocument/2006/math" xmlns:w="http://schemas.openxmlformats.org/wordprocessingml/2006/main">
              <c:ext uri="{C3380CC4-5D6E-409C-BE32-E72D297353CC}">
                <c16:uniqueId xmlns:c16="http://schemas.microsoft.com/office/drawing/2014/chart" xmlns:c16r2="http://schemas.microsoft.com/office/drawing/2015/06/chart" val="{00000005-FB56-4960-BBA7-DFB1B82CFD2A}"/>
              </c:ext>
            </c:extLst>
          </c:dPt>
          <c:dPt>
            <c:idx val="3"/>
            <c:invertIfNegative val="0"/>
            <c:bubble3D val="0"/>
            <c:spPr>
              <a:gradFill flip="none" rotWithShape="1">
                <a:gsLst>
                  <a:gs pos="0">
                    <a:srgbClr val="238000"/>
                  </a:gs>
                  <a:gs pos="100000">
                    <a:srgbClr val="41D509"/>
                  </a:gs>
                  <a:gs pos="50000">
                    <a:srgbClr val="35B305"/>
                  </a:gs>
                </a:gsLst>
                <a:lin ang="0" scaled="1"/>
                <a:tileRect/>
              </a:gradFill>
              <a:ln w="12700">
                <a:solidFill>
                  <a:srgbClr val="41D509"/>
                </a:solidFill>
              </a:ln>
            </c:spPr>
            <c:extLst xmlns:prop="http://schemas.openxmlformats.org/officeDocument/2006/custom-properties" xmlns:xs="http://www.w3.org/2001/XMLSchema" xmlns:mc="http://schemas.openxmlformats.org/markup-compatibility/2006" xmlns:WX="http://schemas.microsoft.com/office/word/2003/auxHint" xmlns:properties="http://schemas.openxmlformats.org/officeDocument/2006/extended-properties" xmlns:dc="http://purl.org/dc/elements/1.1/" xmlns:ds="http://schemas.openxmlformats.org/officeDocument/2006/customXml" xmlns:cp="http://schemas.openxmlformats.org/package/2006/metadata/core-properties" xmlns:w15="http://schemas.microsoft.com/office/word/2012/wordml" xmlns:ns40="http://schemas.openxmlformats.org/spreadsheetml/2006/main" xmlns:p="http://schemas.openxmlformats.org/presentationml/2006/main" xmlns:dcterms="http://purl.org/dc/terms/" xmlns:rel="http://schemas.openxmlformats.org/package/2006/relationships" xmlns:pkg="http://schemas.microsoft.com/office/2006/xmlPackage" xmlns:vt="http://schemas.openxmlformats.org/officeDocument/2006/docPropsVTypes" xmlns:xf="http://www.w3.org/2002/xforms" xmlns:w14="http://schemas.microsoft.com/office/word/2010/wordml" xmlns:xsi="http://www.w3.org/2001/XMLSchema-instance" xmlns:aml="http://schemas.microsoft.com/aml/2001/core" xmlns:xe="http://www.w3.org/2001/xml-events" xmlns:ns29="http://schemas.openxmlformats.org/drawingml/2006/lockedCanvas" xmlns:ns28="http://schemas.openxmlformats.org/drawingml/2006/compatibility" xmlns:ns27="http://schemas.openxmlformats.org/officeDocument/2006/bibliography" xmlns:odgm="http://opendope.org/SmartArt/DataHierarchy" xmlns:odi="http://opendope.org/components" xmlns:oda="http://opendope.org/answers" xmlns:odq="http://opendope.org/questions" xmlns:odc="http://opendope.org/conditions" xmlns:odx="http://opendope.org/xpaths" xmlns:ns20="http://schemas.microsoft.com/office/2006/coverPageProps" xmlns:ns18="urn:schemas-microsoft-com:office:powerpoint" xmlns:w10="urn:schemas-microsoft-com:office:word" xmlns:v="urn:schemas-microsoft-com:vml" xmlns:o="urn:schemas-microsoft-com:office:office" xmlns:ns14="urn:schemas-microsoft-com:office:excel" xmlns:dsp="http://schemas.microsoft.com/office/drawing/2008/diagram" xmlns:xdr="http://schemas.openxmlformats.org/drawingml/2006/spreadsheetDrawing" xmlns:pic="http://schemas.openxmlformats.org/drawingml/2006/picture" xmlns:dgm="http://schemas.openxmlformats.org/drawingml/2006/diagram" xmlns:ns9="http://schemas.openxmlformats.org/drawingml/2006/chartDrawing" xmlns:wne="http://schemas.microsoft.com/office/word/2006/wordml" xmlns:ns6="http://schemas.openxmlformats.org/schemaLibrary/2006/main" xmlns:wp="http://schemas.openxmlformats.org/drawingml/2006/wordprocessingDrawing" xmlns:m="http://schemas.openxmlformats.org/officeDocument/2006/math" xmlns:w="http://schemas.openxmlformats.org/wordprocessingml/2006/main">
              <c:ext uri="{C3380CC4-5D6E-409C-BE32-E72D297353CC}">
                <c16:uniqueId xmlns:c16="http://schemas.microsoft.com/office/drawing/2014/chart" xmlns:c16r2="http://schemas.microsoft.com/office/drawing/2015/06/chart" val="{00000007-FB56-4960-BBA7-DFB1B82CFD2A}"/>
              </c:ext>
            </c:extLst>
          </c:dPt>
          <c:dPt>
            <c:idx val="4"/>
            <c:invertIfNegative val="0"/>
            <c:bubble3D val="0"/>
            <c:spPr>
              <a:gradFill flip="none" rotWithShape="1">
                <a:gsLst>
                  <a:gs pos="0">
                    <a:srgbClr val="356994"/>
                  </a:gs>
                  <a:gs pos="100000">
                    <a:srgbClr val="61B7FD"/>
                  </a:gs>
                  <a:gs pos="50000">
                    <a:srgbClr val="5099D5"/>
                  </a:gs>
                </a:gsLst>
                <a:lin ang="0" scaled="1"/>
                <a:tileRect/>
              </a:gradFill>
              <a:ln w="9525">
                <a:solidFill>
                  <a:srgbClr val="61B7FD"/>
                </a:solidFill>
              </a:ln>
            </c:spPr>
            <c:extLst xmlns:prop="http://schemas.openxmlformats.org/officeDocument/2006/custom-properties" xmlns:xs="http://www.w3.org/2001/XMLSchema" xmlns:mc="http://schemas.openxmlformats.org/markup-compatibility/2006" xmlns:WX="http://schemas.microsoft.com/office/word/2003/auxHint" xmlns:properties="http://schemas.openxmlformats.org/officeDocument/2006/extended-properties" xmlns:dc="http://purl.org/dc/elements/1.1/" xmlns:ds="http://schemas.openxmlformats.org/officeDocument/2006/customXml" xmlns:cp="http://schemas.openxmlformats.org/package/2006/metadata/core-properties" xmlns:w15="http://schemas.microsoft.com/office/word/2012/wordml" xmlns:ns40="http://schemas.openxmlformats.org/spreadsheetml/2006/main" xmlns:p="http://schemas.openxmlformats.org/presentationml/2006/main" xmlns:dcterms="http://purl.org/dc/terms/" xmlns:rel="http://schemas.openxmlformats.org/package/2006/relationships" xmlns:pkg="http://schemas.microsoft.com/office/2006/xmlPackage" xmlns:vt="http://schemas.openxmlformats.org/officeDocument/2006/docPropsVTypes" xmlns:xf="http://www.w3.org/2002/xforms" xmlns:w14="http://schemas.microsoft.com/office/word/2010/wordml" xmlns:xsi="http://www.w3.org/2001/XMLSchema-instance" xmlns:aml="http://schemas.microsoft.com/aml/2001/core" xmlns:xe="http://www.w3.org/2001/xml-events" xmlns:ns29="http://schemas.openxmlformats.org/drawingml/2006/lockedCanvas" xmlns:ns28="http://schemas.openxmlformats.org/drawingml/2006/compatibility" xmlns:ns27="http://schemas.openxmlformats.org/officeDocument/2006/bibliography" xmlns:odgm="http://opendope.org/SmartArt/DataHierarchy" xmlns:odi="http://opendope.org/components" xmlns:oda="http://opendope.org/answers" xmlns:odq="http://opendope.org/questions" xmlns:odc="http://opendope.org/conditions" xmlns:odx="http://opendope.org/xpaths" xmlns:ns20="http://schemas.microsoft.com/office/2006/coverPageProps" xmlns:ns18="urn:schemas-microsoft-com:office:powerpoint" xmlns:w10="urn:schemas-microsoft-com:office:word" xmlns:v="urn:schemas-microsoft-com:vml" xmlns:o="urn:schemas-microsoft-com:office:office" xmlns:ns14="urn:schemas-microsoft-com:office:excel" xmlns:dsp="http://schemas.microsoft.com/office/drawing/2008/diagram" xmlns:xdr="http://schemas.openxmlformats.org/drawingml/2006/spreadsheetDrawing" xmlns:pic="http://schemas.openxmlformats.org/drawingml/2006/picture" xmlns:dgm="http://schemas.openxmlformats.org/drawingml/2006/diagram" xmlns:ns9="http://schemas.openxmlformats.org/drawingml/2006/chartDrawing" xmlns:wne="http://schemas.microsoft.com/office/word/2006/wordml" xmlns:ns6="http://schemas.openxmlformats.org/schemaLibrary/2006/main" xmlns:wp="http://schemas.openxmlformats.org/drawingml/2006/wordprocessingDrawing" xmlns:m="http://schemas.openxmlformats.org/officeDocument/2006/math" xmlns:w="http://schemas.openxmlformats.org/wordprocessingml/2006/main">
              <c:ext uri="{C3380CC4-5D6E-409C-BE32-E72D297353CC}">
                <c16:uniqueId xmlns:c16="http://schemas.microsoft.com/office/drawing/2014/chart" xmlns:c16r2="http://schemas.microsoft.com/office/drawing/2015/06/chart" val="{00000009-FB56-4960-BBA7-DFB1B82CFD2A}"/>
              </c:ext>
            </c:extLst>
          </c:dPt>
          <c:dPt>
            <c:idx val="5"/>
            <c:invertIfNegative val="0"/>
            <c:bubble3D val="0"/>
            <c:spPr>
              <a:gradFill flip="none" rotWithShape="1">
                <a:gsLst>
                  <a:gs pos="0">
                    <a:srgbClr val="184479"/>
                  </a:gs>
                  <a:gs pos="100000">
                    <a:srgbClr val="3B7AC6"/>
                  </a:gs>
                  <a:gs pos="50000">
                    <a:srgbClr val="2765AF"/>
                  </a:gs>
                </a:gsLst>
                <a:lin ang="0" scaled="1"/>
                <a:tileRect/>
              </a:gradFill>
              <a:ln w="9525">
                <a:solidFill>
                  <a:srgbClr val="3B7AC6"/>
                </a:solidFill>
              </a:ln>
            </c:spPr>
            <c:extLst xmlns:prop="http://schemas.openxmlformats.org/officeDocument/2006/custom-properties" xmlns:xs="http://www.w3.org/2001/XMLSchema" xmlns:mc="http://schemas.openxmlformats.org/markup-compatibility/2006" xmlns:WX="http://schemas.microsoft.com/office/word/2003/auxHint" xmlns:properties="http://schemas.openxmlformats.org/officeDocument/2006/extended-properties" xmlns:dc="http://purl.org/dc/elements/1.1/" xmlns:ds="http://schemas.openxmlformats.org/officeDocument/2006/customXml" xmlns:cp="http://schemas.openxmlformats.org/package/2006/metadata/core-properties" xmlns:w15="http://schemas.microsoft.com/office/word/2012/wordml" xmlns:ns40="http://schemas.openxmlformats.org/spreadsheetml/2006/main" xmlns:p="http://schemas.openxmlformats.org/presentationml/2006/main" xmlns:dcterms="http://purl.org/dc/terms/" xmlns:rel="http://schemas.openxmlformats.org/package/2006/relationships" xmlns:pkg="http://schemas.microsoft.com/office/2006/xmlPackage" xmlns:vt="http://schemas.openxmlformats.org/officeDocument/2006/docPropsVTypes" xmlns:xf="http://www.w3.org/2002/xforms" xmlns:w14="http://schemas.microsoft.com/office/word/2010/wordml" xmlns:xsi="http://www.w3.org/2001/XMLSchema-instance" xmlns:aml="http://schemas.microsoft.com/aml/2001/core" xmlns:xe="http://www.w3.org/2001/xml-events" xmlns:ns29="http://schemas.openxmlformats.org/drawingml/2006/lockedCanvas" xmlns:ns28="http://schemas.openxmlformats.org/drawingml/2006/compatibility" xmlns:ns27="http://schemas.openxmlformats.org/officeDocument/2006/bibliography" xmlns:odgm="http://opendope.org/SmartArt/DataHierarchy" xmlns:odi="http://opendope.org/components" xmlns:oda="http://opendope.org/answers" xmlns:odq="http://opendope.org/questions" xmlns:odc="http://opendope.org/conditions" xmlns:odx="http://opendope.org/xpaths" xmlns:ns20="http://schemas.microsoft.com/office/2006/coverPageProps" xmlns:ns18="urn:schemas-microsoft-com:office:powerpoint" xmlns:w10="urn:schemas-microsoft-com:office:word" xmlns:v="urn:schemas-microsoft-com:vml" xmlns:o="urn:schemas-microsoft-com:office:office" xmlns:ns14="urn:schemas-microsoft-com:office:excel" xmlns:dsp="http://schemas.microsoft.com/office/drawing/2008/diagram" xmlns:xdr="http://schemas.openxmlformats.org/drawingml/2006/spreadsheetDrawing" xmlns:pic="http://schemas.openxmlformats.org/drawingml/2006/picture" xmlns:dgm="http://schemas.openxmlformats.org/drawingml/2006/diagram" xmlns:ns9="http://schemas.openxmlformats.org/drawingml/2006/chartDrawing" xmlns:wne="http://schemas.microsoft.com/office/word/2006/wordml" xmlns:ns6="http://schemas.openxmlformats.org/schemaLibrary/2006/main" xmlns:wp="http://schemas.openxmlformats.org/drawingml/2006/wordprocessingDrawing" xmlns:m="http://schemas.openxmlformats.org/officeDocument/2006/math" xmlns:w="http://schemas.openxmlformats.org/wordprocessingml/2006/main">
              <c:ext uri="{C3380CC4-5D6E-409C-BE32-E72D297353CC}">
                <c16:uniqueId xmlns:c16="http://schemas.microsoft.com/office/drawing/2014/chart" xmlns:c16r2="http://schemas.microsoft.com/office/drawing/2015/06/chart" val="{0000000B-FB56-4960-BBA7-DFB1B82CFD2A}"/>
              </c:ext>
            </c:extLst>
          </c:dPt>
          <c:dPt>
            <c:idx val="6"/>
            <c:invertIfNegative val="0"/>
            <c:bubble3D val="0"/>
            <c:spPr>
              <a:gradFill flip="none" rotWithShape="1">
                <a:gsLst>
                  <a:gs pos="0">
                    <a:srgbClr val="0B2A50"/>
                  </a:gs>
                  <a:gs pos="100000">
                    <a:srgbClr val="1B4E8C"/>
                  </a:gs>
                  <a:gs pos="50000">
                    <a:srgbClr val="144075"/>
                  </a:gs>
                </a:gsLst>
                <a:lin ang="0" scaled="1"/>
                <a:tileRect/>
              </a:gradFill>
              <a:ln w="12700">
                <a:solidFill>
                  <a:srgbClr val="1B4E8C"/>
                </a:solidFill>
              </a:ln>
            </c:spPr>
            <c:extLst xmlns:prop="http://schemas.openxmlformats.org/officeDocument/2006/custom-properties" xmlns:xs="http://www.w3.org/2001/XMLSchema" xmlns:mc="http://schemas.openxmlformats.org/markup-compatibility/2006" xmlns:WX="http://schemas.microsoft.com/office/word/2003/auxHint" xmlns:properties="http://schemas.openxmlformats.org/officeDocument/2006/extended-properties" xmlns:dc="http://purl.org/dc/elements/1.1/" xmlns:ds="http://schemas.openxmlformats.org/officeDocument/2006/customXml" xmlns:cp="http://schemas.openxmlformats.org/package/2006/metadata/core-properties" xmlns:w15="http://schemas.microsoft.com/office/word/2012/wordml" xmlns:ns40="http://schemas.openxmlformats.org/spreadsheetml/2006/main" xmlns:p="http://schemas.openxmlformats.org/presentationml/2006/main" xmlns:dcterms="http://purl.org/dc/terms/" xmlns:rel="http://schemas.openxmlformats.org/package/2006/relationships" xmlns:pkg="http://schemas.microsoft.com/office/2006/xmlPackage" xmlns:vt="http://schemas.openxmlformats.org/officeDocument/2006/docPropsVTypes" xmlns:xf="http://www.w3.org/2002/xforms" xmlns:w14="http://schemas.microsoft.com/office/word/2010/wordml" xmlns:xsi="http://www.w3.org/2001/XMLSchema-instance" xmlns:aml="http://schemas.microsoft.com/aml/2001/core" xmlns:xe="http://www.w3.org/2001/xml-events" xmlns:ns29="http://schemas.openxmlformats.org/drawingml/2006/lockedCanvas" xmlns:ns28="http://schemas.openxmlformats.org/drawingml/2006/compatibility" xmlns:ns27="http://schemas.openxmlformats.org/officeDocument/2006/bibliography" xmlns:odgm="http://opendope.org/SmartArt/DataHierarchy" xmlns:odi="http://opendope.org/components" xmlns:oda="http://opendope.org/answers" xmlns:odq="http://opendope.org/questions" xmlns:odc="http://opendope.org/conditions" xmlns:odx="http://opendope.org/xpaths" xmlns:ns20="http://schemas.microsoft.com/office/2006/coverPageProps" xmlns:ns18="urn:schemas-microsoft-com:office:powerpoint" xmlns:w10="urn:schemas-microsoft-com:office:word" xmlns:v="urn:schemas-microsoft-com:vml" xmlns:o="urn:schemas-microsoft-com:office:office" xmlns:ns14="urn:schemas-microsoft-com:office:excel" xmlns:dsp="http://schemas.microsoft.com/office/drawing/2008/diagram" xmlns:xdr="http://schemas.openxmlformats.org/drawingml/2006/spreadsheetDrawing" xmlns:pic="http://schemas.openxmlformats.org/drawingml/2006/picture" xmlns:dgm="http://schemas.openxmlformats.org/drawingml/2006/diagram" xmlns:ns9="http://schemas.openxmlformats.org/drawingml/2006/chartDrawing" xmlns:wne="http://schemas.microsoft.com/office/word/2006/wordml" xmlns:ns6="http://schemas.openxmlformats.org/schemaLibrary/2006/main" xmlns:wp="http://schemas.openxmlformats.org/drawingml/2006/wordprocessingDrawing" xmlns:m="http://schemas.openxmlformats.org/officeDocument/2006/math" xmlns:w="http://schemas.openxmlformats.org/wordprocessingml/2006/main">
              <c:ext uri="{C3380CC4-5D6E-409C-BE32-E72D297353CC}">
                <c16:uniqueId xmlns:c16="http://schemas.microsoft.com/office/drawing/2014/chart" xmlns:c16r2="http://schemas.microsoft.com/office/drawing/2015/06/chart" val="{0000000D-FB56-4960-BBA7-DFB1B82CFD2A}"/>
              </c:ext>
            </c:extLst>
          </c:dPt>
          <c:dPt>
            <c:idx val="7"/>
            <c:invertIfNegative val="0"/>
            <c:bubble3D val="0"/>
            <c:spPr>
              <a:gradFill flip="none" rotWithShape="1">
                <a:gsLst>
                  <a:gs pos="0">
                    <a:srgbClr val="3F1260"/>
                  </a:gs>
                  <a:gs pos="100000">
                    <a:srgbClr val="7128A8"/>
                  </a:gs>
                  <a:gs pos="50000">
                    <a:srgbClr val="5E1F8D"/>
                  </a:gs>
                </a:gsLst>
                <a:lin ang="0" scaled="1"/>
                <a:tileRect/>
              </a:gradFill>
              <a:ln w="12700">
                <a:solidFill>
                  <a:srgbClr val="7128A8"/>
                </a:solidFill>
              </a:ln>
            </c:spPr>
            <c:extLst xmlns:prop="http://schemas.openxmlformats.org/officeDocument/2006/custom-properties" xmlns:xs="http://www.w3.org/2001/XMLSchema" xmlns:mc="http://schemas.openxmlformats.org/markup-compatibility/2006" xmlns:WX="http://schemas.microsoft.com/office/word/2003/auxHint" xmlns:properties="http://schemas.openxmlformats.org/officeDocument/2006/extended-properties" xmlns:dc="http://purl.org/dc/elements/1.1/" xmlns:ds="http://schemas.openxmlformats.org/officeDocument/2006/customXml" xmlns:cp="http://schemas.openxmlformats.org/package/2006/metadata/core-properties" xmlns:w15="http://schemas.microsoft.com/office/word/2012/wordml" xmlns:ns40="http://schemas.openxmlformats.org/spreadsheetml/2006/main" xmlns:p="http://schemas.openxmlformats.org/presentationml/2006/main" xmlns:dcterms="http://purl.org/dc/terms/" xmlns:rel="http://schemas.openxmlformats.org/package/2006/relationships" xmlns:pkg="http://schemas.microsoft.com/office/2006/xmlPackage" xmlns:vt="http://schemas.openxmlformats.org/officeDocument/2006/docPropsVTypes" xmlns:xf="http://www.w3.org/2002/xforms" xmlns:w14="http://schemas.microsoft.com/office/word/2010/wordml" xmlns:xsi="http://www.w3.org/2001/XMLSchema-instance" xmlns:aml="http://schemas.microsoft.com/aml/2001/core" xmlns:xe="http://www.w3.org/2001/xml-events" xmlns:ns29="http://schemas.openxmlformats.org/drawingml/2006/lockedCanvas" xmlns:ns28="http://schemas.openxmlformats.org/drawingml/2006/compatibility" xmlns:ns27="http://schemas.openxmlformats.org/officeDocument/2006/bibliography" xmlns:odgm="http://opendope.org/SmartArt/DataHierarchy" xmlns:odi="http://opendope.org/components" xmlns:oda="http://opendope.org/answers" xmlns:odq="http://opendope.org/questions" xmlns:odc="http://opendope.org/conditions" xmlns:odx="http://opendope.org/xpaths" xmlns:ns20="http://schemas.microsoft.com/office/2006/coverPageProps" xmlns:ns18="urn:schemas-microsoft-com:office:powerpoint" xmlns:w10="urn:schemas-microsoft-com:office:word" xmlns:v="urn:schemas-microsoft-com:vml" xmlns:o="urn:schemas-microsoft-com:office:office" xmlns:ns14="urn:schemas-microsoft-com:office:excel" xmlns:dsp="http://schemas.microsoft.com/office/drawing/2008/diagram" xmlns:xdr="http://schemas.openxmlformats.org/drawingml/2006/spreadsheetDrawing" xmlns:pic="http://schemas.openxmlformats.org/drawingml/2006/picture" xmlns:dgm="http://schemas.openxmlformats.org/drawingml/2006/diagram" xmlns:ns9="http://schemas.openxmlformats.org/drawingml/2006/chartDrawing" xmlns:wne="http://schemas.microsoft.com/office/word/2006/wordml" xmlns:ns6="http://schemas.openxmlformats.org/schemaLibrary/2006/main" xmlns:wp="http://schemas.openxmlformats.org/drawingml/2006/wordprocessingDrawing" xmlns:m="http://schemas.openxmlformats.org/officeDocument/2006/math" xmlns:w="http://schemas.openxmlformats.org/wordprocessingml/2006/main">
              <c:ext uri="{C3380CC4-5D6E-409C-BE32-E72D297353CC}">
                <c16:uniqueId xmlns:c16="http://schemas.microsoft.com/office/drawing/2014/chart" xmlns:c16r2="http://schemas.microsoft.com/office/drawing/2015/06/chart" val="{0000000F-FB56-4960-BBA7-DFB1B82CFD2A}"/>
              </c:ext>
            </c:extLst>
          </c:dPt>
          <c:dLbls>
            <c:numFmt formatCode="#,##0" sourceLinked="0"/>
            <c:spPr>
              <a:noFill/>
              <a:ln>
                <a:noFill/>
              </a:ln>
              <a:effectLst/>
            </c:spPr>
            <c:txPr>
              <a:bodyPr/>
              <a:lstStyle/>
              <a:p>
                <a:pPr algn="ctr">
                  <a:defRPr lang="en-US" sz="800" b="1" i="0" u="none" strike="noStrike" kern="1200" baseline="0">
                    <a:solidFill>
                      <a:srgbClr val="B4B4B4"/>
                    </a:solidFill>
                    <a:latin typeface="Calibri"/>
                    <a:ea typeface="Calibri"/>
                    <a:cs typeface="Calibri"/>
                  </a:defRPr>
                </a:pPr>
                <a:endParaRPr lang="en-US"/>
              </a:p>
            </c:txPr>
            <c:showLegendKey val="0"/>
            <c:showVal val="1"/>
            <c:showCatName val="0"/>
            <c:showSerName val="0"/>
            <c:showPercent val="0"/>
            <c:showBubbleSize val="0"/>
            <c:showLeaderLines val="0"/>
            <c:extLst xmlns:prop="http://schemas.openxmlformats.org/officeDocument/2006/custom-properties" xmlns:xs="http://www.w3.org/2001/XMLSchema" xmlns:mc="http://schemas.openxmlformats.org/markup-compatibility/2006" xmlns:WX="http://schemas.microsoft.com/office/word/2003/auxHint" xmlns:properties="http://schemas.openxmlformats.org/officeDocument/2006/extended-properties" xmlns:dc="http://purl.org/dc/elements/1.1/" xmlns:ds="http://schemas.openxmlformats.org/officeDocument/2006/customXml" xmlns:cp="http://schemas.openxmlformats.org/package/2006/metadata/core-properties" xmlns:w15="http://schemas.microsoft.com/office/word/2012/wordml" xmlns:ns40="http://schemas.openxmlformats.org/spreadsheetml/2006/main" xmlns:p="http://schemas.openxmlformats.org/presentationml/2006/main" xmlns:dcterms="http://purl.org/dc/terms/" xmlns:rel="http://schemas.openxmlformats.org/package/2006/relationships" xmlns:pkg="http://schemas.microsoft.com/office/2006/xmlPackage" xmlns:vt="http://schemas.openxmlformats.org/officeDocument/2006/docPropsVTypes" xmlns:xf="http://www.w3.org/2002/xforms" xmlns:w14="http://schemas.microsoft.com/office/word/2010/wordml" xmlns:xsi="http://www.w3.org/2001/XMLSchema-instance" xmlns:aml="http://schemas.microsoft.com/aml/2001/core" xmlns:xe="http://www.w3.org/2001/xml-events" xmlns:ns29="http://schemas.openxmlformats.org/drawingml/2006/lockedCanvas" xmlns:ns28="http://schemas.openxmlformats.org/drawingml/2006/compatibility" xmlns:ns27="http://schemas.openxmlformats.org/officeDocument/2006/bibliography" xmlns:odgm="http://opendope.org/SmartArt/DataHierarchy" xmlns:odi="http://opendope.org/components" xmlns:oda="http://opendope.org/answers" xmlns:odq="http://opendope.org/questions" xmlns:odc="http://opendope.org/conditions" xmlns:odx="http://opendope.org/xpaths" xmlns:ns20="http://schemas.microsoft.com/office/2006/coverPageProps" xmlns:ns18="urn:schemas-microsoft-com:office:powerpoint" xmlns:w10="urn:schemas-microsoft-com:office:word" xmlns:v="urn:schemas-microsoft-com:vml" xmlns:o="urn:schemas-microsoft-com:office:office" xmlns:ns14="urn:schemas-microsoft-com:office:excel" xmlns:dsp="http://schemas.microsoft.com/office/drawing/2008/diagram" xmlns:xdr="http://schemas.openxmlformats.org/drawingml/2006/spreadsheetDrawing" xmlns:pic="http://schemas.openxmlformats.org/drawingml/2006/picture" xmlns:dgm="http://schemas.openxmlformats.org/drawingml/2006/diagram" xmlns:ns9="http://schemas.openxmlformats.org/drawingml/2006/chartDrawing" xmlns:wne="http://schemas.microsoft.com/office/word/2006/wordml" xmlns:ns6="http://schemas.openxmlformats.org/schemaLibrary/2006/main" xmlns:wp="http://schemas.openxmlformats.org/drawingml/2006/wordprocessingDrawing" xmlns:m="http://schemas.openxmlformats.org/officeDocument/2006/math" xmlns:w="http://schemas.openxmlformats.org/wordprocessingml/2006/main">
              <c:ext xmlns:c15="http://schemas.microsoft.com/office/drawing/2012/chart" uri="{CE6537A1-D6FC-4f65-9D91-7224C49458BB}">
                <c15:showLeaderLines val="0"/>
              </c:ext>
            </c:extLst>
          </c:dLbls>
          <c:cat>
            <c:strRef>
              <c:f>Calculations!$E$313:$E$320</c:f>
              <c:strCache>
                <c:ptCount val="8"/>
                <c:pt idx="0">
                  <c:v>#nevergiveup</c:v>
                </c:pt>
                <c:pt idx="1">
                  <c:v>#motivation</c:v>
                </c:pt>
                <c:pt idx="2">
                  <c:v>#fitness</c:v>
                </c:pt>
                <c:pt idx="3">
                  <c:v>life</c:v>
                </c:pt>
                <c:pt idx="4">
                  <c:v>#love</c:v>
                </c:pt>
                <c:pt idx="5">
                  <c:v>#smile</c:v>
                </c:pt>
                <c:pt idx="6">
                  <c:v>#happy</c:v>
                </c:pt>
                <c:pt idx="7">
                  <c:v>#workout</c:v>
                </c:pt>
              </c:strCache>
            </c:strRef>
          </c:cat>
          <c:val>
            <c:numRef>
              <c:f>Calculations!$F$313:$F$320</c:f>
              <c:numCache>
                <c:formatCode>General</c:formatCode>
                <c:ptCount val="8"/>
                <c:pt idx="0">
                  <c:v>566</c:v>
                </c:pt>
                <c:pt idx="1">
                  <c:v>478</c:v>
                </c:pt>
                <c:pt idx="2">
                  <c:v>374</c:v>
                </c:pt>
                <c:pt idx="3">
                  <c:v>334</c:v>
                </c:pt>
                <c:pt idx="4">
                  <c:v>295</c:v>
                </c:pt>
                <c:pt idx="5">
                  <c:v>266</c:v>
                </c:pt>
                <c:pt idx="6">
                  <c:v>215</c:v>
                </c:pt>
                <c:pt idx="7">
                  <c:v>194</c:v>
                </c:pt>
              </c:numCache>
            </c:numRef>
          </c:val>
          <c:extLst xmlns:prop="http://schemas.openxmlformats.org/officeDocument/2006/custom-properties" xmlns:xs="http://www.w3.org/2001/XMLSchema" xmlns:mc="http://schemas.openxmlformats.org/markup-compatibility/2006" xmlns:WX="http://schemas.microsoft.com/office/word/2003/auxHint" xmlns:properties="http://schemas.openxmlformats.org/officeDocument/2006/extended-properties" xmlns:dc="http://purl.org/dc/elements/1.1/" xmlns:ds="http://schemas.openxmlformats.org/officeDocument/2006/customXml" xmlns:cp="http://schemas.openxmlformats.org/package/2006/metadata/core-properties" xmlns:w15="http://schemas.microsoft.com/office/word/2012/wordml" xmlns:ns40="http://schemas.openxmlformats.org/spreadsheetml/2006/main" xmlns:p="http://schemas.openxmlformats.org/presentationml/2006/main" xmlns:dcterms="http://purl.org/dc/terms/" xmlns:rel="http://schemas.openxmlformats.org/package/2006/relationships" xmlns:pkg="http://schemas.microsoft.com/office/2006/xmlPackage" xmlns:vt="http://schemas.openxmlformats.org/officeDocument/2006/docPropsVTypes" xmlns:xf="http://www.w3.org/2002/xforms" xmlns:w14="http://schemas.microsoft.com/office/word/2010/wordml" xmlns:xsi="http://www.w3.org/2001/XMLSchema-instance" xmlns:aml="http://schemas.microsoft.com/aml/2001/core" xmlns:xe="http://www.w3.org/2001/xml-events" xmlns:ns29="http://schemas.openxmlformats.org/drawingml/2006/lockedCanvas" xmlns:ns28="http://schemas.openxmlformats.org/drawingml/2006/compatibility" xmlns:ns27="http://schemas.openxmlformats.org/officeDocument/2006/bibliography" xmlns:odgm="http://opendope.org/SmartArt/DataHierarchy" xmlns:odi="http://opendope.org/components" xmlns:oda="http://opendope.org/answers" xmlns:odq="http://opendope.org/questions" xmlns:odc="http://opendope.org/conditions" xmlns:odx="http://opendope.org/xpaths" xmlns:ns20="http://schemas.microsoft.com/office/2006/coverPageProps" xmlns:ns18="urn:schemas-microsoft-com:office:powerpoint" xmlns:w10="urn:schemas-microsoft-com:office:word" xmlns:v="urn:schemas-microsoft-com:vml" xmlns:o="urn:schemas-microsoft-com:office:office" xmlns:ns14="urn:schemas-microsoft-com:office:excel" xmlns:dsp="http://schemas.microsoft.com/office/drawing/2008/diagram" xmlns:xdr="http://schemas.openxmlformats.org/drawingml/2006/spreadsheetDrawing" xmlns:pic="http://schemas.openxmlformats.org/drawingml/2006/picture" xmlns:dgm="http://schemas.openxmlformats.org/drawingml/2006/diagram" xmlns:ns9="http://schemas.openxmlformats.org/drawingml/2006/chartDrawing" xmlns:wne="http://schemas.microsoft.com/office/word/2006/wordml" xmlns:ns6="http://schemas.openxmlformats.org/schemaLibrary/2006/main" xmlns:wp="http://schemas.openxmlformats.org/drawingml/2006/wordprocessingDrawing" xmlns:m="http://schemas.openxmlformats.org/officeDocument/2006/math" xmlns:w="http://schemas.openxmlformats.org/wordprocessingml/2006/main">
            <c:ext uri="{C3380CC4-5D6E-409C-BE32-E72D297353CC}">
              <c16:uniqueId xmlns:c16="http://schemas.microsoft.com/office/drawing/2014/chart" xmlns:c16r2="http://schemas.microsoft.com/office/drawing/2015/06/chart" val="{00000010-FB56-4960-BBA7-DFB1B82CFD2A}"/>
            </c:ext>
          </c:extLst>
        </c:ser>
        <c:dLbls>
          <c:showLegendKey val="0"/>
          <c:showVal val="0"/>
          <c:showCatName val="0"/>
          <c:showSerName val="0"/>
          <c:showPercent val="0"/>
          <c:showBubbleSize val="0"/>
        </c:dLbls>
        <c:gapWidth val="100"/>
        <c:axId val="336006192"/>
        <c:axId val="336005800"/>
      </c:barChart>
      <c:catAx>
        <c:axId val="336006192"/>
        <c:scaling>
          <c:orientation val="minMax"/>
        </c:scaling>
        <c:delete val="0"/>
        <c:axPos val="b"/>
        <c:numFmt formatCode="#,##0" sourceLinked="0"/>
        <c:majorTickMark val="none"/>
        <c:minorTickMark val="none"/>
        <c:tickLblPos val="nextTo"/>
        <c:spPr>
          <a:ln>
            <a:solidFill>
              <a:srgbClr val="969696"/>
            </a:solidFill>
          </a:ln>
        </c:spPr>
        <c:txPr>
          <a:bodyPr rot="-2820000" vert="horz"/>
          <a:lstStyle/>
          <a:p>
            <a:pPr>
              <a:defRPr sz="1000" b="0">
                <a:solidFill>
                  <a:srgbClr val="C8C8C8"/>
                </a:solidFill>
                <a:latin typeface="Calibri"/>
                <a:ea typeface="Calibri"/>
                <a:cs typeface="Calibri"/>
              </a:defRPr>
            </a:pPr>
            <a:endParaRPr lang="en-US"/>
          </a:p>
        </c:txPr>
        <c:crossAx val="336005800"/>
        <c:crosses val="autoZero"/>
        <c:auto val="1"/>
        <c:lblAlgn val="ctr"/>
        <c:lblOffset val="50"/>
        <c:noMultiLvlLbl val="0"/>
      </c:catAx>
      <c:valAx>
        <c:axId val="336005800"/>
        <c:scaling>
          <c:orientation val="minMax"/>
        </c:scaling>
        <c:delete val="0"/>
        <c:axPos val="l"/>
        <c:title>
          <c:tx>
            <c:rich>
              <a:bodyPr rot="-5400000" vert="horz"/>
              <a:lstStyle/>
              <a:p>
                <a:pPr>
                  <a:defRPr sz="1000" b="0">
                    <a:solidFill>
                      <a:srgbClr val="B4B4B4"/>
                    </a:solidFill>
                    <a:latin typeface="Calibri"/>
                    <a:ea typeface="Calibri"/>
                    <a:cs typeface="Calibri"/>
                  </a:defRPr>
                </a:pPr>
                <a:r>
                  <a:rPr lang="en-US"/>
                  <a:t>Frequency</a:t>
                </a:r>
              </a:p>
            </c:rich>
          </c:tx>
          <c:layout>
            <c:manualLayout>
              <c:xMode val="edge"/>
              <c:yMode val="edge"/>
              <c:x val="1.8196340280655709E-2"/>
              <c:y val="0.28747680658843172"/>
            </c:manualLayout>
          </c:layout>
          <c:overlay val="0"/>
        </c:title>
        <c:numFmt formatCode="[&gt;=1000000].0,,&quot;M&quot;;[&gt;=1000].0,&quot;K&quot;;#,##0" sourceLinked="0"/>
        <c:majorTickMark val="out"/>
        <c:minorTickMark val="none"/>
        <c:tickLblPos val="nextTo"/>
        <c:spPr>
          <a:ln>
            <a:solidFill>
              <a:srgbClr val="969696"/>
            </a:solidFill>
          </a:ln>
        </c:spPr>
        <c:txPr>
          <a:bodyPr/>
          <a:lstStyle/>
          <a:p>
            <a:pPr>
              <a:defRPr sz="800" b="0">
                <a:solidFill>
                  <a:srgbClr val="A0A0A0"/>
                </a:solidFill>
                <a:latin typeface="Calibri"/>
                <a:ea typeface="Calibri"/>
                <a:cs typeface="Calibri"/>
              </a:defRPr>
            </a:pPr>
            <a:endParaRPr lang="en-US"/>
          </a:p>
        </c:txPr>
        <c:crossAx val="336006192"/>
        <c:crosses val="autoZero"/>
        <c:crossBetween val="between"/>
      </c:valAx>
      <c:spPr>
        <a:gradFill flip="none" rotWithShape="1">
          <a:gsLst>
            <a:gs pos="0">
              <a:srgbClr val="262626"/>
            </a:gs>
            <a:gs pos="60000">
              <a:srgbClr val="151515"/>
            </a:gs>
          </a:gsLst>
          <a:lin ang="5400000" scaled="1"/>
          <a:tileRect/>
        </a:gradFill>
        <a:ln w="12700">
          <a:solidFill>
            <a:srgbClr val="262626"/>
          </a:solidFill>
        </a:ln>
      </c:spPr>
    </c:plotArea>
    <c:plotVisOnly val="1"/>
    <c:dispBlanksAs val="gap"/>
    <c:showDLblsOverMax val="0"/>
  </c:chart>
  <c:spPr>
    <a:solidFill>
      <a:srgbClr val="262626"/>
    </a:solidFill>
    <a:ln w="19050">
      <a:noFill/>
    </a:ln>
  </c:sp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c:style val="2"/>
  <c:clrMapOvr bg1="lt1" tx1="dk1" bg2="lt2" tx2="dk2" accent1="accent1" accent2="accent2" accent3="accent3" accent4="accent4" accent5="accent5" accent6="accent6" hlink="hlink" folHlink="folHlink"/>
  <c:chart>
    <c:title>
      <c:tx>
        <c:rich>
          <a:bodyPr/>
          <a:lstStyle/>
          <a:p>
            <a:pPr>
              <a:defRPr sz="1600" b="0" cap="none" baseline="0">
                <a:solidFill>
                  <a:srgbClr val="DCDCDC"/>
                </a:solidFill>
                <a:latin typeface="Calibri"/>
                <a:cs typeface="Arial" pitchFamily="34" charset="0"/>
              </a:defRPr>
            </a:pPr>
            <a:r>
              <a:rPr lang="en-US"/>
              <a:t>Top Other Tags By Number of Mentions</a:t>
            </a:r>
          </a:p>
        </c:rich>
      </c:tx>
      <c:layout>
        <c:manualLayout>
          <c:xMode val="edge"/>
          <c:yMode val="edge"/>
          <c:x val="7.2916666666666671E-2"/>
          <c:y val="2.7777837722355422E-2"/>
        </c:manualLayout>
      </c:layout>
      <c:overlay val="0"/>
    </c:title>
    <c:autoTitleDeleted val="0"/>
    <c:plotArea>
      <c:layout>
        <c:manualLayout>
          <c:layoutTarget val="inner"/>
          <c:xMode val="edge"/>
          <c:yMode val="edge"/>
          <c:x val="0.24166904879464329"/>
          <c:y val="0.15532234251968505"/>
          <c:w val="0.63839604104767433"/>
          <c:h val="0.71620543525809277"/>
        </c:manualLayout>
      </c:layout>
      <c:barChart>
        <c:barDir val="bar"/>
        <c:grouping val="clustered"/>
        <c:varyColors val="0"/>
        <c:ser>
          <c:idx val="0"/>
          <c:order val="0"/>
          <c:tx>
            <c:v>Mentions</c:v>
          </c:tx>
          <c:spPr>
            <a:gradFill flip="none" rotWithShape="1">
              <a:gsLst>
                <a:gs pos="0">
                  <a:srgbClr val="356994"/>
                </a:gs>
                <a:gs pos="100000">
                  <a:srgbClr val="61B7FD"/>
                </a:gs>
                <a:gs pos="50000">
                  <a:srgbClr val="5099D5"/>
                </a:gs>
              </a:gsLst>
              <a:lin ang="16200000" scaled="1"/>
              <a:tileRect/>
            </a:gradFill>
            <a:ln w="9525">
              <a:solidFill>
                <a:srgbClr val="61B7FD"/>
              </a:solidFill>
            </a:ln>
          </c:spPr>
          <c:invertIfNegative val="0"/>
          <c:dLbls>
            <c:numFmt formatCode="[&gt;=1000000].0,,&quot;M&quot;;[&gt;=10000].0,&quot;K&quot;;#,##0" sourceLinked="0"/>
            <c:spPr>
              <a:noFill/>
              <a:ln>
                <a:noFill/>
              </a:ln>
              <a:effectLst/>
            </c:spPr>
            <c:txPr>
              <a:bodyPr/>
              <a:lstStyle/>
              <a:p>
                <a:pPr>
                  <a:defRPr sz="800" b="0">
                    <a:solidFill>
                      <a:srgbClr val="B4B4B4"/>
                    </a:solidFill>
                    <a:latin typeface="Calibri"/>
                    <a:ea typeface="Calibri"/>
                    <a:cs typeface="Calibri"/>
                  </a:defRPr>
                </a:pPr>
                <a:endParaRPr lang="en-US"/>
              </a:p>
            </c:txPr>
            <c:dLblPos val="outEnd"/>
            <c:showLegendKey val="0"/>
            <c:showVal val="1"/>
            <c:showCatName val="0"/>
            <c:showSerName val="0"/>
            <c:showPercent val="0"/>
            <c:showBubbleSize val="0"/>
            <c:showLeaderLines val="0"/>
            <c:extLst xmlns:prop="http://schemas.openxmlformats.org/officeDocument/2006/custom-properties" xmlns:xs="http://www.w3.org/2001/XMLSchema" xmlns:mc="http://schemas.openxmlformats.org/markup-compatibility/2006" xmlns:WX="http://schemas.microsoft.com/office/word/2003/auxHint" xmlns:properties="http://schemas.openxmlformats.org/officeDocument/2006/extended-properties" xmlns:dc="http://purl.org/dc/elements/1.1/" xmlns:ds="http://schemas.openxmlformats.org/officeDocument/2006/customXml" xmlns:cp="http://schemas.openxmlformats.org/package/2006/metadata/core-properties" xmlns:w15="http://schemas.microsoft.com/office/word/2012/wordml" xmlns:ns40="http://schemas.openxmlformats.org/spreadsheetml/2006/main" xmlns:p="http://schemas.openxmlformats.org/presentationml/2006/main" xmlns:dcterms="http://purl.org/dc/terms/" xmlns:rel="http://schemas.openxmlformats.org/package/2006/relationships" xmlns:pkg="http://schemas.microsoft.com/office/2006/xmlPackage" xmlns:vt="http://schemas.openxmlformats.org/officeDocument/2006/docPropsVTypes" xmlns:xf="http://www.w3.org/2002/xforms" xmlns:w14="http://schemas.microsoft.com/office/word/2010/wordml" xmlns:xsi="http://www.w3.org/2001/XMLSchema-instance" xmlns:aml="http://schemas.microsoft.com/aml/2001/core" xmlns:xe="http://www.w3.org/2001/xml-events" xmlns:ns29="http://schemas.openxmlformats.org/drawingml/2006/lockedCanvas" xmlns:ns28="http://schemas.openxmlformats.org/drawingml/2006/compatibility" xmlns:ns27="http://schemas.openxmlformats.org/officeDocument/2006/bibliography" xmlns:odgm="http://opendope.org/SmartArt/DataHierarchy" xmlns:odi="http://opendope.org/components" xmlns:oda="http://opendope.org/answers" xmlns:odq="http://opendope.org/questions" xmlns:odc="http://opendope.org/conditions" xmlns:odx="http://opendope.org/xpaths" xmlns:ns20="http://schemas.microsoft.com/office/2006/coverPageProps" xmlns:ns18="urn:schemas-microsoft-com:office:powerpoint" xmlns:w10="urn:schemas-microsoft-com:office:word" xmlns:v="urn:schemas-microsoft-com:vml" xmlns:o="urn:schemas-microsoft-com:office:office" xmlns:ns14="urn:schemas-microsoft-com:office:excel" xmlns:dsp="http://schemas.microsoft.com/office/drawing/2008/diagram" xmlns:xdr="http://schemas.openxmlformats.org/drawingml/2006/spreadsheetDrawing" xmlns:pic="http://schemas.openxmlformats.org/drawingml/2006/picture" xmlns:dgm="http://schemas.openxmlformats.org/drawingml/2006/diagram" xmlns:ns9="http://schemas.openxmlformats.org/drawingml/2006/chartDrawing" xmlns:wne="http://schemas.microsoft.com/office/word/2006/wordml" xmlns:ns6="http://schemas.openxmlformats.org/schemaLibrary/2006/main" xmlns:wp="http://schemas.openxmlformats.org/drawingml/2006/wordprocessingDrawing" xmlns:m="http://schemas.openxmlformats.org/officeDocument/2006/math" xmlns:w="http://schemas.openxmlformats.org/wordprocessingml/2006/main">
              <c:ext xmlns:c15="http://schemas.microsoft.com/office/drawing/2012/chart" uri="{CE6537A1-D6FC-4f65-9D91-7224C49458BB}">
                <c15:showLeaderLines val="0"/>
              </c:ext>
            </c:extLst>
          </c:dLbls>
          <c:cat>
            <c:strRef>
              <c:f>[0]!chart.tags_by_mentions.labels</c:f>
              <c:strCache>
                <c:ptCount val="10"/>
                <c:pt idx="0">
                  <c:v>keepongoing</c:v>
                </c:pt>
                <c:pt idx="1">
                  <c:v>nevergiveup</c:v>
                </c:pt>
                <c:pt idx="2">
                  <c:v>motivation</c:v>
                </c:pt>
                <c:pt idx="3">
                  <c:v>fitness</c:v>
                </c:pt>
                <c:pt idx="4">
                  <c:v>love</c:v>
                </c:pt>
                <c:pt idx="5">
                  <c:v>smile</c:v>
                </c:pt>
                <c:pt idx="6">
                  <c:v>happy</c:v>
                </c:pt>
                <c:pt idx="7">
                  <c:v>life</c:v>
                </c:pt>
                <c:pt idx="8">
                  <c:v>workout</c:v>
                </c:pt>
                <c:pt idx="9">
                  <c:v>inspiration</c:v>
                </c:pt>
              </c:strCache>
            </c:strRef>
          </c:cat>
          <c:val>
            <c:numRef>
              <c:f>[0]!chart.tags_by_mentions.values</c:f>
              <c:numCache>
                <c:formatCode>#,##0</c:formatCode>
                <c:ptCount val="10"/>
                <c:pt idx="0">
                  <c:v>2478</c:v>
                </c:pt>
                <c:pt idx="1">
                  <c:v>212</c:v>
                </c:pt>
                <c:pt idx="2">
                  <c:v>184</c:v>
                </c:pt>
                <c:pt idx="3">
                  <c:v>131</c:v>
                </c:pt>
                <c:pt idx="4">
                  <c:v>123</c:v>
                </c:pt>
                <c:pt idx="5">
                  <c:v>88</c:v>
                </c:pt>
                <c:pt idx="6">
                  <c:v>86</c:v>
                </c:pt>
                <c:pt idx="7">
                  <c:v>80</c:v>
                </c:pt>
                <c:pt idx="8">
                  <c:v>71</c:v>
                </c:pt>
                <c:pt idx="9">
                  <c:v>70</c:v>
                </c:pt>
              </c:numCache>
            </c:numRef>
          </c:val>
          <c:extLst xmlns:prop="http://schemas.openxmlformats.org/officeDocument/2006/custom-properties" xmlns:xs="http://www.w3.org/2001/XMLSchema" xmlns:mc="http://schemas.openxmlformats.org/markup-compatibility/2006" xmlns:WX="http://schemas.microsoft.com/office/word/2003/auxHint" xmlns:properties="http://schemas.openxmlformats.org/officeDocument/2006/extended-properties" xmlns:dc="http://purl.org/dc/elements/1.1/" xmlns:ds="http://schemas.openxmlformats.org/officeDocument/2006/customXml" xmlns:cp="http://schemas.openxmlformats.org/package/2006/metadata/core-properties" xmlns:w15="http://schemas.microsoft.com/office/word/2012/wordml" xmlns:ns40="http://schemas.openxmlformats.org/spreadsheetml/2006/main" xmlns:p="http://schemas.openxmlformats.org/presentationml/2006/main" xmlns:dcterms="http://purl.org/dc/terms/" xmlns:rel="http://schemas.openxmlformats.org/package/2006/relationships" xmlns:pkg="http://schemas.microsoft.com/office/2006/xmlPackage" xmlns:vt="http://schemas.openxmlformats.org/officeDocument/2006/docPropsVTypes" xmlns:xf="http://www.w3.org/2002/xforms" xmlns:w14="http://schemas.microsoft.com/office/word/2010/wordml" xmlns:xsi="http://www.w3.org/2001/XMLSchema-instance" xmlns:aml="http://schemas.microsoft.com/aml/2001/core" xmlns:xe="http://www.w3.org/2001/xml-events" xmlns:ns29="http://schemas.openxmlformats.org/drawingml/2006/lockedCanvas" xmlns:ns28="http://schemas.openxmlformats.org/drawingml/2006/compatibility" xmlns:ns27="http://schemas.openxmlformats.org/officeDocument/2006/bibliography" xmlns:odgm="http://opendope.org/SmartArt/DataHierarchy" xmlns:odi="http://opendope.org/components" xmlns:oda="http://opendope.org/answers" xmlns:odq="http://opendope.org/questions" xmlns:odc="http://opendope.org/conditions" xmlns:odx="http://opendope.org/xpaths" xmlns:ns20="http://schemas.microsoft.com/office/2006/coverPageProps" xmlns:ns18="urn:schemas-microsoft-com:office:powerpoint" xmlns:w10="urn:schemas-microsoft-com:office:word" xmlns:v="urn:schemas-microsoft-com:vml" xmlns:o="urn:schemas-microsoft-com:office:office" xmlns:ns14="urn:schemas-microsoft-com:office:excel" xmlns:dsp="http://schemas.microsoft.com/office/drawing/2008/diagram" xmlns:xdr="http://schemas.openxmlformats.org/drawingml/2006/spreadsheetDrawing" xmlns:pic="http://schemas.openxmlformats.org/drawingml/2006/picture" xmlns:dgm="http://schemas.openxmlformats.org/drawingml/2006/diagram" xmlns:ns9="http://schemas.openxmlformats.org/drawingml/2006/chartDrawing" xmlns:wne="http://schemas.microsoft.com/office/word/2006/wordml" xmlns:ns6="http://schemas.openxmlformats.org/schemaLibrary/2006/main" xmlns:wp="http://schemas.openxmlformats.org/drawingml/2006/wordprocessingDrawing" xmlns:m="http://schemas.openxmlformats.org/officeDocument/2006/math" xmlns:w="http://schemas.openxmlformats.org/wordprocessingml/2006/main">
            <c:ext uri="{C3380CC4-5D6E-409C-BE32-E72D297353CC}">
              <c16:uniqueId xmlns:c16="http://schemas.microsoft.com/office/drawing/2014/chart" xmlns:c16r2="http://schemas.microsoft.com/office/drawing/2015/06/chart" val="{00000000-6E36-4E27-A32D-E6716CD61BE0}"/>
            </c:ext>
          </c:extLst>
        </c:ser>
        <c:dLbls>
          <c:showLegendKey val="0"/>
          <c:showVal val="0"/>
          <c:showCatName val="0"/>
          <c:showSerName val="0"/>
          <c:showPercent val="0"/>
          <c:showBubbleSize val="0"/>
        </c:dLbls>
        <c:gapWidth val="100"/>
        <c:axId val="336005016"/>
        <c:axId val="336004624"/>
      </c:barChart>
      <c:catAx>
        <c:axId val="336005016"/>
        <c:scaling>
          <c:orientation val="maxMin"/>
        </c:scaling>
        <c:delete val="0"/>
        <c:axPos val="l"/>
        <c:numFmt formatCode="General" sourceLinked="1"/>
        <c:majorTickMark val="none"/>
        <c:minorTickMark val="none"/>
        <c:tickLblPos val="nextTo"/>
        <c:spPr>
          <a:ln>
            <a:solidFill>
              <a:srgbClr val="969696"/>
            </a:solidFill>
          </a:ln>
        </c:spPr>
        <c:txPr>
          <a:bodyPr rot="0" vert="horz"/>
          <a:lstStyle/>
          <a:p>
            <a:pPr>
              <a:defRPr sz="1000" b="0">
                <a:solidFill>
                  <a:srgbClr val="C8C8C8"/>
                </a:solidFill>
                <a:latin typeface="Calibri"/>
                <a:ea typeface="Calibri"/>
                <a:cs typeface="Calibri"/>
              </a:defRPr>
            </a:pPr>
            <a:endParaRPr lang="en-US"/>
          </a:p>
        </c:txPr>
        <c:crossAx val="336004624"/>
        <c:crosses val="autoZero"/>
        <c:auto val="1"/>
        <c:lblAlgn val="ctr"/>
        <c:lblOffset val="50"/>
        <c:noMultiLvlLbl val="0"/>
      </c:catAx>
      <c:valAx>
        <c:axId val="336004624"/>
        <c:scaling>
          <c:orientation val="minMax"/>
        </c:scaling>
        <c:delete val="0"/>
        <c:axPos val="b"/>
        <c:title>
          <c:tx>
            <c:rich>
              <a:bodyPr rot="0" vert="horz"/>
              <a:lstStyle/>
              <a:p>
                <a:pPr>
                  <a:defRPr sz="1000" b="0">
                    <a:solidFill>
                      <a:srgbClr val="B4B4B4"/>
                    </a:solidFill>
                    <a:latin typeface="Calibri"/>
                    <a:ea typeface="Calibri"/>
                    <a:cs typeface="Calibri"/>
                  </a:defRPr>
                </a:pPr>
                <a:r>
                  <a:rPr lang="en-US"/>
                  <a:t>Mentions</a:t>
                </a:r>
              </a:p>
            </c:rich>
          </c:tx>
          <c:layout>
            <c:manualLayout>
              <c:xMode val="edge"/>
              <c:yMode val="edge"/>
              <c:x val="0.49369836918075011"/>
              <c:y val="0.89733623140857388"/>
            </c:manualLayout>
          </c:layout>
          <c:overlay val="0"/>
        </c:title>
        <c:numFmt formatCode="[&gt;=1000000].0,,&quot;M&quot;;[&gt;=1000].0,&quot;K&quot;;#,##0" sourceLinked="0"/>
        <c:majorTickMark val="none"/>
        <c:minorTickMark val="none"/>
        <c:tickLblPos val="none"/>
        <c:spPr>
          <a:ln>
            <a:solidFill>
              <a:srgbClr val="969696"/>
            </a:solidFill>
          </a:ln>
        </c:spPr>
        <c:txPr>
          <a:bodyPr/>
          <a:lstStyle/>
          <a:p>
            <a:pPr>
              <a:defRPr sz="800" b="0">
                <a:solidFill>
                  <a:srgbClr val="A0A0A0"/>
                </a:solidFill>
                <a:latin typeface="Calibri"/>
                <a:ea typeface="Calibri"/>
                <a:cs typeface="Calibri"/>
              </a:defRPr>
            </a:pPr>
            <a:endParaRPr lang="en-US"/>
          </a:p>
        </c:txPr>
        <c:crossAx val="336005016"/>
        <c:crosses val="max"/>
        <c:crossBetween val="between"/>
      </c:valAx>
      <c:spPr>
        <a:gradFill flip="none" rotWithShape="1">
          <a:gsLst>
            <a:gs pos="0">
              <a:srgbClr val="262626"/>
            </a:gs>
            <a:gs pos="60000">
              <a:srgbClr val="151515"/>
            </a:gs>
          </a:gsLst>
          <a:lin ang="10800000" scaled="1"/>
          <a:tileRect/>
        </a:gradFill>
        <a:ln w="12700">
          <a:solidFill>
            <a:srgbClr val="262626"/>
          </a:solidFill>
        </a:ln>
      </c:spPr>
    </c:plotArea>
    <c:plotVisOnly val="1"/>
    <c:dispBlanksAs val="gap"/>
    <c:showDLblsOverMax val="0"/>
  </c:chart>
  <c:spPr>
    <a:noFill/>
    <a:ln w="19050">
      <a:noFill/>
    </a:ln>
  </c:spPr>
  <c:txPr>
    <a:bodyPr/>
    <a:lstStyle/>
    <a:p>
      <a:pPr>
        <a:defRPr>
          <a:solidFill>
            <a:schemeClr val="bg1"/>
          </a:solidFill>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c:style val="2"/>
  <c:clrMapOvr bg1="lt1" tx1="dk1" bg2="lt2" tx2="dk2" accent1="accent1" accent2="accent2" accent3="accent3" accent4="accent4" accent5="accent5" accent6="accent6" hlink="hlink" folHlink="folHlink"/>
  <c:chart>
    <c:title>
      <c:tx>
        <c:rich>
          <a:bodyPr/>
          <a:lstStyle/>
          <a:p>
            <a:pPr>
              <a:defRPr sz="1600" b="0" cap="none" baseline="0">
                <a:solidFill>
                  <a:srgbClr val="DCDCDC"/>
                </a:solidFill>
                <a:latin typeface="Calibri"/>
                <a:cs typeface="Arial" pitchFamily="34" charset="0"/>
              </a:defRPr>
            </a:pPr>
            <a:r>
              <a:rPr lang="en-US" sz="1600" b="0" cap="none">
                <a:solidFill>
                  <a:srgbClr val="DCDCDC"/>
                </a:solidFill>
                <a:latin typeface="Calibri"/>
              </a:rPr>
              <a:t>Top Other Tags By Engagement Per Post</a:t>
            </a:r>
          </a:p>
        </c:rich>
      </c:tx>
      <c:layout>
        <c:manualLayout>
          <c:xMode val="edge"/>
          <c:yMode val="edge"/>
          <c:x val="7.7981651376146793E-2"/>
          <c:y val="2.7777777777777776E-2"/>
        </c:manualLayout>
      </c:layout>
      <c:overlay val="0"/>
    </c:title>
    <c:autoTitleDeleted val="0"/>
    <c:plotArea>
      <c:layout>
        <c:manualLayout>
          <c:layoutTarget val="inner"/>
          <c:xMode val="edge"/>
          <c:yMode val="edge"/>
          <c:x val="0.25458715596330272"/>
          <c:y val="0.15277777777777779"/>
          <c:w val="0.57339449541284404"/>
          <c:h val="0.71875"/>
        </c:manualLayout>
      </c:layout>
      <c:barChart>
        <c:barDir val="bar"/>
        <c:grouping val="clustered"/>
        <c:varyColors val="0"/>
        <c:ser>
          <c:idx val="0"/>
          <c:order val="0"/>
          <c:tx>
            <c:strRef>
              <c:f>Calculations!$G$326</c:f>
              <c:strCache>
                <c:ptCount val="1"/>
                <c:pt idx="0">
                  <c:v>Engagement Per Post</c:v>
                </c:pt>
              </c:strCache>
            </c:strRef>
          </c:tx>
          <c:spPr>
            <a:gradFill flip="none" rotWithShape="1">
              <a:gsLst>
                <a:gs pos="0">
                  <a:srgbClr val="A03500"/>
                </a:gs>
                <a:gs pos="100000">
                  <a:srgbClr val="FF6200"/>
                </a:gs>
                <a:gs pos="50000">
                  <a:srgbClr val="E65100"/>
                </a:gs>
              </a:gsLst>
              <a:lin ang="16200000" scaled="1"/>
              <a:tileRect/>
            </a:gradFill>
            <a:ln w="9525">
              <a:solidFill>
                <a:srgbClr val="FF6200"/>
              </a:solidFill>
            </a:ln>
          </c:spPr>
          <c:invertIfNegative val="0"/>
          <c:dLbls>
            <c:numFmt formatCode="[&gt;=1000000].0,,&quot;M&quot;;[&gt;=10000].0,&quot;K&quot;;#,##0" sourceLinked="0"/>
            <c:spPr>
              <a:noFill/>
              <a:ln>
                <a:noFill/>
              </a:ln>
              <a:effectLst/>
            </c:spPr>
            <c:txPr>
              <a:bodyPr/>
              <a:lstStyle/>
              <a:p>
                <a:pPr>
                  <a:defRPr sz="800" b="0">
                    <a:solidFill>
                      <a:srgbClr val="B4B4B4"/>
                    </a:solidFill>
                    <a:latin typeface="Calibri"/>
                    <a:ea typeface="Calibri"/>
                    <a:cs typeface="Calibri"/>
                  </a:defRPr>
                </a:pPr>
                <a:endParaRPr lang="en-US"/>
              </a:p>
            </c:txPr>
            <c:dLblPos val="outEnd"/>
            <c:showLegendKey val="0"/>
            <c:showVal val="1"/>
            <c:showCatName val="0"/>
            <c:showSerName val="0"/>
            <c:showPercent val="0"/>
            <c:showBubbleSize val="0"/>
            <c:showLeaderLines val="0"/>
            <c:extLst xmlns:prop="http://schemas.openxmlformats.org/officeDocument/2006/custom-properties" xmlns:xs="http://www.w3.org/2001/XMLSchema" xmlns:mc="http://schemas.openxmlformats.org/markup-compatibility/2006" xmlns:WX="http://schemas.microsoft.com/office/word/2003/auxHint" xmlns:properties="http://schemas.openxmlformats.org/officeDocument/2006/extended-properties" xmlns:dc="http://purl.org/dc/elements/1.1/" xmlns:ds="http://schemas.openxmlformats.org/officeDocument/2006/customXml" xmlns:cp="http://schemas.openxmlformats.org/package/2006/metadata/core-properties" xmlns:w15="http://schemas.microsoft.com/office/word/2012/wordml" xmlns:ns40="http://schemas.openxmlformats.org/spreadsheetml/2006/main" xmlns:p="http://schemas.openxmlformats.org/presentationml/2006/main" xmlns:dcterms="http://purl.org/dc/terms/" xmlns:rel="http://schemas.openxmlformats.org/package/2006/relationships" xmlns:pkg="http://schemas.microsoft.com/office/2006/xmlPackage" xmlns:vt="http://schemas.openxmlformats.org/officeDocument/2006/docPropsVTypes" xmlns:xf="http://www.w3.org/2002/xforms" xmlns:w14="http://schemas.microsoft.com/office/word/2010/wordml" xmlns:xsi="http://www.w3.org/2001/XMLSchema-instance" xmlns:aml="http://schemas.microsoft.com/aml/2001/core" xmlns:xe="http://www.w3.org/2001/xml-events" xmlns:ns29="http://schemas.openxmlformats.org/drawingml/2006/lockedCanvas" xmlns:ns28="http://schemas.openxmlformats.org/drawingml/2006/compatibility" xmlns:ns27="http://schemas.openxmlformats.org/officeDocument/2006/bibliography" xmlns:odgm="http://opendope.org/SmartArt/DataHierarchy" xmlns:odi="http://opendope.org/components" xmlns:oda="http://opendope.org/answers" xmlns:odq="http://opendope.org/questions" xmlns:odc="http://opendope.org/conditions" xmlns:odx="http://opendope.org/xpaths" xmlns:ns20="http://schemas.microsoft.com/office/2006/coverPageProps" xmlns:ns18="urn:schemas-microsoft-com:office:powerpoint" xmlns:w10="urn:schemas-microsoft-com:office:word" xmlns:v="urn:schemas-microsoft-com:vml" xmlns:o="urn:schemas-microsoft-com:office:office" xmlns:ns14="urn:schemas-microsoft-com:office:excel" xmlns:dsp="http://schemas.microsoft.com/office/drawing/2008/diagram" xmlns:xdr="http://schemas.openxmlformats.org/drawingml/2006/spreadsheetDrawing" xmlns:pic="http://schemas.openxmlformats.org/drawingml/2006/picture" xmlns:dgm="http://schemas.openxmlformats.org/drawingml/2006/diagram" xmlns:ns9="http://schemas.openxmlformats.org/drawingml/2006/chartDrawing" xmlns:wne="http://schemas.microsoft.com/office/word/2006/wordml" xmlns:ns6="http://schemas.openxmlformats.org/schemaLibrary/2006/main" xmlns:wp="http://schemas.openxmlformats.org/drawingml/2006/wordprocessingDrawing" xmlns:m="http://schemas.openxmlformats.org/officeDocument/2006/math" xmlns:w="http://schemas.openxmlformats.org/wordprocessingml/2006/main">
              <c:ext xmlns:c15="http://schemas.microsoft.com/office/drawing/2012/chart" uri="{CE6537A1-D6FC-4f65-9D91-7224C49458BB}">
                <c15:showLeaderLines val="0"/>
              </c:ext>
            </c:extLst>
          </c:dLbls>
          <c:cat>
            <c:strRef>
              <c:f>[0]!chart.tags_by_engagement.labels</c:f>
              <c:strCache>
                <c:ptCount val="10"/>
                <c:pt idx="0">
                  <c:v>dontletemfoolya</c:v>
                </c:pt>
                <c:pt idx="1">
                  <c:v>calilife</c:v>
                </c:pt>
                <c:pt idx="2">
                  <c:v>seeyouatthetop</c:v>
                </c:pt>
                <c:pt idx="3">
                  <c:v>palcopopstar</c:v>
                </c:pt>
                <c:pt idx="4">
                  <c:v>timethiagofragoso</c:v>
                </c:pt>
                <c:pt idx="5">
                  <c:v>top</c:v>
                </c:pt>
                <c:pt idx="6">
                  <c:v>popstar</c:v>
                </c:pt>
                <c:pt idx="7">
                  <c:v>snacks</c:v>
                </c:pt>
                <c:pt idx="8">
                  <c:v>scotttowels</c:v>
                </c:pt>
                <c:pt idx="9">
                  <c:v>hairmenstyle</c:v>
                </c:pt>
              </c:strCache>
            </c:strRef>
          </c:cat>
          <c:val>
            <c:numRef>
              <c:f>[0]!chart.tags_by_engagement.values</c:f>
              <c:numCache>
                <c:formatCode>#,##0</c:formatCode>
                <c:ptCount val="10"/>
                <c:pt idx="0">
                  <c:v>14848</c:v>
                </c:pt>
                <c:pt idx="1">
                  <c:v>13779</c:v>
                </c:pt>
                <c:pt idx="2">
                  <c:v>13779</c:v>
                </c:pt>
                <c:pt idx="3">
                  <c:v>12661</c:v>
                </c:pt>
                <c:pt idx="4">
                  <c:v>12661</c:v>
                </c:pt>
                <c:pt idx="5">
                  <c:v>6894.5</c:v>
                </c:pt>
                <c:pt idx="6">
                  <c:v>6338</c:v>
                </c:pt>
                <c:pt idx="7">
                  <c:v>5406</c:v>
                </c:pt>
                <c:pt idx="8">
                  <c:v>5406</c:v>
                </c:pt>
                <c:pt idx="9">
                  <c:v>4731</c:v>
                </c:pt>
              </c:numCache>
            </c:numRef>
          </c:val>
          <c:extLst xmlns:prop="http://schemas.openxmlformats.org/officeDocument/2006/custom-properties" xmlns:xs="http://www.w3.org/2001/XMLSchema" xmlns:mc="http://schemas.openxmlformats.org/markup-compatibility/2006" xmlns:WX="http://schemas.microsoft.com/office/word/2003/auxHint" xmlns:properties="http://schemas.openxmlformats.org/officeDocument/2006/extended-properties" xmlns:dc="http://purl.org/dc/elements/1.1/" xmlns:ds="http://schemas.openxmlformats.org/officeDocument/2006/customXml" xmlns:cp="http://schemas.openxmlformats.org/package/2006/metadata/core-properties" xmlns:w15="http://schemas.microsoft.com/office/word/2012/wordml" xmlns:ns40="http://schemas.openxmlformats.org/spreadsheetml/2006/main" xmlns:p="http://schemas.openxmlformats.org/presentationml/2006/main" xmlns:dcterms="http://purl.org/dc/terms/" xmlns:rel="http://schemas.openxmlformats.org/package/2006/relationships" xmlns:pkg="http://schemas.microsoft.com/office/2006/xmlPackage" xmlns:vt="http://schemas.openxmlformats.org/officeDocument/2006/docPropsVTypes" xmlns:xf="http://www.w3.org/2002/xforms" xmlns:w14="http://schemas.microsoft.com/office/word/2010/wordml" xmlns:xsi="http://www.w3.org/2001/XMLSchema-instance" xmlns:aml="http://schemas.microsoft.com/aml/2001/core" xmlns:xe="http://www.w3.org/2001/xml-events" xmlns:ns29="http://schemas.openxmlformats.org/drawingml/2006/lockedCanvas" xmlns:ns28="http://schemas.openxmlformats.org/drawingml/2006/compatibility" xmlns:ns27="http://schemas.openxmlformats.org/officeDocument/2006/bibliography" xmlns:odgm="http://opendope.org/SmartArt/DataHierarchy" xmlns:odi="http://opendope.org/components" xmlns:oda="http://opendope.org/answers" xmlns:odq="http://opendope.org/questions" xmlns:odc="http://opendope.org/conditions" xmlns:odx="http://opendope.org/xpaths" xmlns:ns20="http://schemas.microsoft.com/office/2006/coverPageProps" xmlns:ns18="urn:schemas-microsoft-com:office:powerpoint" xmlns:w10="urn:schemas-microsoft-com:office:word" xmlns:v="urn:schemas-microsoft-com:vml" xmlns:o="urn:schemas-microsoft-com:office:office" xmlns:ns14="urn:schemas-microsoft-com:office:excel" xmlns:dsp="http://schemas.microsoft.com/office/drawing/2008/diagram" xmlns:xdr="http://schemas.openxmlformats.org/drawingml/2006/spreadsheetDrawing" xmlns:pic="http://schemas.openxmlformats.org/drawingml/2006/picture" xmlns:dgm="http://schemas.openxmlformats.org/drawingml/2006/diagram" xmlns:ns9="http://schemas.openxmlformats.org/drawingml/2006/chartDrawing" xmlns:wne="http://schemas.microsoft.com/office/word/2006/wordml" xmlns:ns6="http://schemas.openxmlformats.org/schemaLibrary/2006/main" xmlns:wp="http://schemas.openxmlformats.org/drawingml/2006/wordprocessingDrawing" xmlns:m="http://schemas.openxmlformats.org/officeDocument/2006/math" xmlns:w="http://schemas.openxmlformats.org/wordprocessingml/2006/main">
            <c:ext uri="{C3380CC4-5D6E-409C-BE32-E72D297353CC}">
              <c16:uniqueId xmlns:c16="http://schemas.microsoft.com/office/drawing/2014/chart" xmlns:c16r2="http://schemas.microsoft.com/office/drawing/2015/06/chart" val="{00000000-FA79-45EB-9ADF-74C40A1A24DF}"/>
            </c:ext>
          </c:extLst>
        </c:ser>
        <c:dLbls>
          <c:showLegendKey val="0"/>
          <c:showVal val="0"/>
          <c:showCatName val="0"/>
          <c:showSerName val="0"/>
          <c:showPercent val="0"/>
          <c:showBubbleSize val="0"/>
        </c:dLbls>
        <c:gapWidth val="100"/>
        <c:axId val="336007760"/>
        <c:axId val="336372552"/>
      </c:barChart>
      <c:catAx>
        <c:axId val="336007760"/>
        <c:scaling>
          <c:orientation val="maxMin"/>
        </c:scaling>
        <c:delete val="0"/>
        <c:axPos val="l"/>
        <c:numFmt formatCode="General" sourceLinked="1"/>
        <c:majorTickMark val="none"/>
        <c:minorTickMark val="none"/>
        <c:tickLblPos val="nextTo"/>
        <c:spPr>
          <a:ln>
            <a:solidFill>
              <a:srgbClr val="969696"/>
            </a:solidFill>
          </a:ln>
        </c:spPr>
        <c:txPr>
          <a:bodyPr rot="0" vert="horz"/>
          <a:lstStyle/>
          <a:p>
            <a:pPr>
              <a:defRPr sz="1000" b="0">
                <a:solidFill>
                  <a:srgbClr val="C8C8C8"/>
                </a:solidFill>
                <a:latin typeface="Calibri"/>
                <a:ea typeface="Calibri"/>
                <a:cs typeface="Calibri"/>
              </a:defRPr>
            </a:pPr>
            <a:endParaRPr lang="en-US"/>
          </a:p>
        </c:txPr>
        <c:crossAx val="336372552"/>
        <c:crosses val="autoZero"/>
        <c:auto val="1"/>
        <c:lblAlgn val="ctr"/>
        <c:lblOffset val="50"/>
        <c:noMultiLvlLbl val="0"/>
      </c:catAx>
      <c:valAx>
        <c:axId val="336372552"/>
        <c:scaling>
          <c:orientation val="minMax"/>
        </c:scaling>
        <c:delete val="0"/>
        <c:axPos val="b"/>
        <c:title>
          <c:tx>
            <c:rich>
              <a:bodyPr rot="0" vert="horz"/>
              <a:lstStyle/>
              <a:p>
                <a:pPr>
                  <a:defRPr sz="1000" b="0">
                    <a:solidFill>
                      <a:srgbClr val="B4B4B4"/>
                    </a:solidFill>
                    <a:latin typeface="Calibri"/>
                    <a:ea typeface="Calibri"/>
                    <a:cs typeface="Calibri"/>
                  </a:defRPr>
                </a:pPr>
                <a:r>
                  <a:rPr lang="en-US"/>
                  <a:t>Engagement Per Post</a:t>
                </a:r>
              </a:p>
            </c:rich>
          </c:tx>
          <c:layout>
            <c:manualLayout>
              <c:xMode val="edge"/>
              <c:yMode val="edge"/>
              <c:x val="0.43434046088275663"/>
              <c:y val="0.92708333333333337"/>
            </c:manualLayout>
          </c:layout>
          <c:overlay val="0"/>
        </c:title>
        <c:numFmt formatCode="[&gt;=1000000].0,,&quot;M&quot;;[&gt;=1000].0,&quot;K&quot;;#,##0" sourceLinked="0"/>
        <c:majorTickMark val="none"/>
        <c:minorTickMark val="none"/>
        <c:tickLblPos val="none"/>
        <c:spPr>
          <a:ln>
            <a:solidFill>
              <a:srgbClr val="969696"/>
            </a:solidFill>
          </a:ln>
        </c:spPr>
        <c:txPr>
          <a:bodyPr/>
          <a:lstStyle/>
          <a:p>
            <a:pPr>
              <a:defRPr sz="800" b="0">
                <a:solidFill>
                  <a:srgbClr val="A0A0A0"/>
                </a:solidFill>
                <a:latin typeface="Calibri"/>
                <a:ea typeface="Calibri"/>
                <a:cs typeface="Calibri"/>
              </a:defRPr>
            </a:pPr>
            <a:endParaRPr lang="en-US"/>
          </a:p>
        </c:txPr>
        <c:crossAx val="336007760"/>
        <c:crosses val="max"/>
        <c:crossBetween val="between"/>
      </c:valAx>
      <c:spPr>
        <a:gradFill flip="none" rotWithShape="1">
          <a:gsLst>
            <a:gs pos="0">
              <a:srgbClr val="262626"/>
            </a:gs>
            <a:gs pos="60000">
              <a:srgbClr val="151515"/>
            </a:gs>
          </a:gsLst>
          <a:lin ang="10800000" scaled="1"/>
          <a:tileRect/>
        </a:gradFill>
        <a:ln w="12700">
          <a:solidFill>
            <a:srgbClr val="262626"/>
          </a:solidFill>
        </a:ln>
      </c:spPr>
    </c:plotArea>
    <c:plotVisOnly val="1"/>
    <c:dispBlanksAs val="gap"/>
    <c:showDLblsOverMax val="0"/>
  </c:chart>
  <c:spPr>
    <a:noFill/>
    <a:ln w="19050">
      <a:noFill/>
    </a:ln>
  </c:spPr>
  <c:txPr>
    <a:bodyPr/>
    <a:lstStyle/>
    <a:p>
      <a:pPr>
        <a:defRPr>
          <a:solidFill>
            <a:schemeClr val="bg1"/>
          </a:solidFill>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c:style val="2"/>
  <c:clrMapOvr bg1="lt1" tx1="dk1" bg2="lt2" tx2="dk2" accent1="accent1" accent2="accent2" accent3="accent3" accent4="accent4" accent5="accent5" accent6="accent6" hlink="hlink" folHlink="folHlink"/>
  <c:chart>
    <c:title>
      <c:tx>
        <c:rich>
          <a:bodyPr/>
          <a:lstStyle/>
          <a:p>
            <a:pPr>
              <a:defRPr sz="1600" b="0" cap="none" baseline="0">
                <a:solidFill>
                  <a:srgbClr val="DCDCDC"/>
                </a:solidFill>
                <a:latin typeface="Calibri"/>
              </a:defRPr>
            </a:pPr>
            <a:r>
              <a:rPr lang="en-US" sz="1600" b="0" cap="none" baseline="0">
                <a:solidFill>
                  <a:srgbClr val="DCDCDC"/>
                </a:solidFill>
                <a:latin typeface="Calibri"/>
              </a:rPr>
              <a:t>Potential Impressions</a:t>
            </a:r>
          </a:p>
        </c:rich>
      </c:tx>
      <c:layout>
        <c:manualLayout>
          <c:xMode val="edge"/>
          <c:yMode val="edge"/>
          <c:x val="5.8219178082191778E-2"/>
          <c:y val="2.7777777777777776E-2"/>
        </c:manualLayout>
      </c:layout>
      <c:overlay val="0"/>
    </c:title>
    <c:autoTitleDeleted val="0"/>
    <c:plotArea>
      <c:layout>
        <c:manualLayout>
          <c:layoutTarget val="inner"/>
          <c:xMode val="edge"/>
          <c:yMode val="edge"/>
          <c:x val="0.12328767123287671"/>
          <c:y val="0.2638888888888889"/>
          <c:w val="0.75342465753424659"/>
          <c:h val="0.5"/>
        </c:manualLayout>
      </c:layout>
      <c:areaChart>
        <c:grouping val="stacked"/>
        <c:varyColors val="0"/>
        <c:ser>
          <c:idx val="1"/>
          <c:order val="0"/>
          <c:tx>
            <c:strRef>
              <c:f>Tables!$S$2</c:f>
              <c:strCache>
                <c:ptCount val="1"/>
                <c:pt idx="0">
                  <c:v>Potential Impressions</c:v>
                </c:pt>
              </c:strCache>
            </c:strRef>
          </c:tx>
          <c:spPr>
            <a:gradFill flip="none" rotWithShape="1">
              <a:gsLst>
                <a:gs pos="0">
                  <a:srgbClr val="184479"/>
                </a:gs>
                <a:gs pos="100000">
                  <a:srgbClr val="3B7AC6"/>
                </a:gs>
                <a:gs pos="50000">
                  <a:srgbClr val="2765AF"/>
                </a:gs>
              </a:gsLst>
              <a:lin ang="16200000" scaled="1"/>
              <a:tileRect/>
            </a:gradFill>
            <a:ln w="9525">
              <a:solidFill>
                <a:srgbClr val="3B7AC6"/>
              </a:solidFill>
            </a:ln>
          </c:spPr>
          <c:cat>
            <c:numRef>
              <c:f>[0]!tables.times</c:f>
              <c:numCache>
                <c:formatCode>m/d/yy;@</c:formatCode>
                <c:ptCount val="30"/>
                <c:pt idx="0">
                  <c:v>42958</c:v>
                </c:pt>
                <c:pt idx="1">
                  <c:v>42959</c:v>
                </c:pt>
                <c:pt idx="2">
                  <c:v>42960</c:v>
                </c:pt>
                <c:pt idx="3">
                  <c:v>42961</c:v>
                </c:pt>
                <c:pt idx="4">
                  <c:v>42962</c:v>
                </c:pt>
                <c:pt idx="5">
                  <c:v>42963</c:v>
                </c:pt>
                <c:pt idx="6">
                  <c:v>42964</c:v>
                </c:pt>
                <c:pt idx="7">
                  <c:v>42965</c:v>
                </c:pt>
                <c:pt idx="8">
                  <c:v>42966</c:v>
                </c:pt>
                <c:pt idx="9">
                  <c:v>42967</c:v>
                </c:pt>
                <c:pt idx="10">
                  <c:v>42968</c:v>
                </c:pt>
                <c:pt idx="11">
                  <c:v>42969</c:v>
                </c:pt>
                <c:pt idx="12">
                  <c:v>42970</c:v>
                </c:pt>
                <c:pt idx="13">
                  <c:v>42971</c:v>
                </c:pt>
                <c:pt idx="14">
                  <c:v>42972</c:v>
                </c:pt>
                <c:pt idx="15">
                  <c:v>42973</c:v>
                </c:pt>
                <c:pt idx="16">
                  <c:v>42974</c:v>
                </c:pt>
                <c:pt idx="17">
                  <c:v>42975</c:v>
                </c:pt>
                <c:pt idx="18">
                  <c:v>42976</c:v>
                </c:pt>
                <c:pt idx="19">
                  <c:v>42977</c:v>
                </c:pt>
                <c:pt idx="20">
                  <c:v>42978</c:v>
                </c:pt>
                <c:pt idx="21">
                  <c:v>42979</c:v>
                </c:pt>
                <c:pt idx="22">
                  <c:v>42980</c:v>
                </c:pt>
                <c:pt idx="23">
                  <c:v>42981</c:v>
                </c:pt>
                <c:pt idx="24">
                  <c:v>42982</c:v>
                </c:pt>
                <c:pt idx="25">
                  <c:v>42983</c:v>
                </c:pt>
                <c:pt idx="26">
                  <c:v>42984</c:v>
                </c:pt>
                <c:pt idx="27">
                  <c:v>42985</c:v>
                </c:pt>
                <c:pt idx="28">
                  <c:v>42986</c:v>
                </c:pt>
                <c:pt idx="29">
                  <c:v>42987</c:v>
                </c:pt>
              </c:numCache>
            </c:numRef>
          </c:cat>
          <c:val>
            <c:numRef>
              <c:f>[0]!tables.impressions</c:f>
              <c:numCache>
                <c:formatCode>General</c:formatCode>
                <c:ptCount val="30"/>
                <c:pt idx="0">
                  <c:v>315904</c:v>
                </c:pt>
                <c:pt idx="1">
                  <c:v>1069002</c:v>
                </c:pt>
                <c:pt idx="2">
                  <c:v>3374890</c:v>
                </c:pt>
                <c:pt idx="3">
                  <c:v>1470221</c:v>
                </c:pt>
                <c:pt idx="4">
                  <c:v>1086037</c:v>
                </c:pt>
                <c:pt idx="5">
                  <c:v>1389510</c:v>
                </c:pt>
                <c:pt idx="6">
                  <c:v>996137</c:v>
                </c:pt>
                <c:pt idx="7">
                  <c:v>361192</c:v>
                </c:pt>
                <c:pt idx="8">
                  <c:v>464619</c:v>
                </c:pt>
                <c:pt idx="9">
                  <c:v>963975</c:v>
                </c:pt>
                <c:pt idx="10">
                  <c:v>455962</c:v>
                </c:pt>
                <c:pt idx="11">
                  <c:v>1021914</c:v>
                </c:pt>
                <c:pt idx="12">
                  <c:v>1515766</c:v>
                </c:pt>
                <c:pt idx="13">
                  <c:v>1400850</c:v>
                </c:pt>
                <c:pt idx="14">
                  <c:v>1092299</c:v>
                </c:pt>
                <c:pt idx="15">
                  <c:v>1628540</c:v>
                </c:pt>
                <c:pt idx="16">
                  <c:v>2076645</c:v>
                </c:pt>
                <c:pt idx="17">
                  <c:v>1742075</c:v>
                </c:pt>
                <c:pt idx="18">
                  <c:v>1842079</c:v>
                </c:pt>
                <c:pt idx="19">
                  <c:v>2152808</c:v>
                </c:pt>
                <c:pt idx="20">
                  <c:v>2461709</c:v>
                </c:pt>
                <c:pt idx="21">
                  <c:v>1627143</c:v>
                </c:pt>
                <c:pt idx="22">
                  <c:v>564556</c:v>
                </c:pt>
                <c:pt idx="23">
                  <c:v>317310</c:v>
                </c:pt>
                <c:pt idx="24">
                  <c:v>1093404</c:v>
                </c:pt>
                <c:pt idx="25">
                  <c:v>1497728</c:v>
                </c:pt>
                <c:pt idx="26">
                  <c:v>473744</c:v>
                </c:pt>
                <c:pt idx="27">
                  <c:v>610980</c:v>
                </c:pt>
                <c:pt idx="28">
                  <c:v>355178</c:v>
                </c:pt>
                <c:pt idx="29">
                  <c:v>592490</c:v>
                </c:pt>
              </c:numCache>
            </c:numRef>
          </c:val>
          <c:extLst xmlns:prop="http://schemas.openxmlformats.org/officeDocument/2006/custom-properties" xmlns:xs="http://www.w3.org/2001/XMLSchema" xmlns:mc="http://schemas.openxmlformats.org/markup-compatibility/2006" xmlns:WX="http://schemas.microsoft.com/office/word/2003/auxHint" xmlns:properties="http://schemas.openxmlformats.org/officeDocument/2006/extended-properties" xmlns:dc="http://purl.org/dc/elements/1.1/" xmlns:ds="http://schemas.openxmlformats.org/officeDocument/2006/customXml" xmlns:cp="http://schemas.openxmlformats.org/package/2006/metadata/core-properties" xmlns:w15="http://schemas.microsoft.com/office/word/2012/wordml" xmlns:ns40="http://schemas.openxmlformats.org/spreadsheetml/2006/main" xmlns:p="http://schemas.openxmlformats.org/presentationml/2006/main" xmlns:dcterms="http://purl.org/dc/terms/" xmlns:rel="http://schemas.openxmlformats.org/package/2006/relationships" xmlns:pkg="http://schemas.microsoft.com/office/2006/xmlPackage" xmlns:vt="http://schemas.openxmlformats.org/officeDocument/2006/docPropsVTypes" xmlns:xf="http://www.w3.org/2002/xforms" xmlns:w14="http://schemas.microsoft.com/office/word/2010/wordml" xmlns:xsi="http://www.w3.org/2001/XMLSchema-instance" xmlns:aml="http://schemas.microsoft.com/aml/2001/core" xmlns:xe="http://www.w3.org/2001/xml-events" xmlns:ns29="http://schemas.openxmlformats.org/drawingml/2006/lockedCanvas" xmlns:ns28="http://schemas.openxmlformats.org/drawingml/2006/compatibility" xmlns:ns27="http://schemas.openxmlformats.org/officeDocument/2006/bibliography" xmlns:odgm="http://opendope.org/SmartArt/DataHierarchy" xmlns:odi="http://opendope.org/components" xmlns:oda="http://opendope.org/answers" xmlns:odq="http://opendope.org/questions" xmlns:odc="http://opendope.org/conditions" xmlns:odx="http://opendope.org/xpaths" xmlns:ns20="http://schemas.microsoft.com/office/2006/coverPageProps" xmlns:ns18="urn:schemas-microsoft-com:office:powerpoint" xmlns:w10="urn:schemas-microsoft-com:office:word" xmlns:v="urn:schemas-microsoft-com:vml" xmlns:o="urn:schemas-microsoft-com:office:office" xmlns:ns14="urn:schemas-microsoft-com:office:excel" xmlns:dsp="http://schemas.microsoft.com/office/drawing/2008/diagram" xmlns:xdr="http://schemas.openxmlformats.org/drawingml/2006/spreadsheetDrawing" xmlns:pic="http://schemas.openxmlformats.org/drawingml/2006/picture" xmlns:dgm="http://schemas.openxmlformats.org/drawingml/2006/diagram" xmlns:ns9="http://schemas.openxmlformats.org/drawingml/2006/chartDrawing" xmlns:wne="http://schemas.microsoft.com/office/word/2006/wordml" xmlns:ns6="http://schemas.openxmlformats.org/schemaLibrary/2006/main" xmlns:wp="http://schemas.openxmlformats.org/drawingml/2006/wordprocessingDrawing" xmlns:m="http://schemas.openxmlformats.org/officeDocument/2006/math" xmlns:w="http://schemas.openxmlformats.org/wordprocessingml/2006/main">
            <c:ext uri="{C3380CC4-5D6E-409C-BE32-E72D297353CC}">
              <c16:uniqueId xmlns:c16="http://schemas.microsoft.com/office/drawing/2014/chart" xmlns:c16r2="http://schemas.microsoft.com/office/drawing/2015/06/chart" val="{00000000-7C22-4F16-B6F8-29DBA2ED57A3}"/>
            </c:ext>
          </c:extLst>
        </c:ser>
        <c:dLbls>
          <c:showLegendKey val="0"/>
          <c:showVal val="0"/>
          <c:showCatName val="0"/>
          <c:showSerName val="0"/>
          <c:showPercent val="0"/>
          <c:showBubbleSize val="0"/>
        </c:dLbls>
        <c:axId val="336371768"/>
        <c:axId val="336371376"/>
      </c:areaChart>
      <c:barChart>
        <c:barDir val="col"/>
        <c:grouping val="stacked"/>
        <c:varyColors val="0"/>
        <c:ser>
          <c:idx val="2"/>
          <c:order val="1"/>
          <c:tx>
            <c:strRef>
              <c:f>Tables!$I$2</c:f>
              <c:strCache>
                <c:ptCount val="1"/>
                <c:pt idx="0">
                  <c:v>Total Mentions</c:v>
                </c:pt>
              </c:strCache>
            </c:strRef>
          </c:tx>
          <c:spPr>
            <a:gradFill flip="none" rotWithShape="1">
              <a:gsLst>
                <a:gs pos="0">
                  <a:srgbClr val="414141">
                    <a:alpha val="40000"/>
                  </a:srgbClr>
                </a:gs>
                <a:gs pos="100000">
                  <a:srgbClr val="747474">
                    <a:alpha val="40000"/>
                  </a:srgbClr>
                </a:gs>
                <a:gs pos="50000">
                  <a:srgbClr val="606060">
                    <a:alpha val="40000"/>
                  </a:srgbClr>
                </a:gs>
              </a:gsLst>
              <a:lin ang="0" scaled="1"/>
              <a:tileRect/>
            </a:gradFill>
            <a:ln w="9525">
              <a:solidFill>
                <a:srgbClr val="747474"/>
              </a:solidFill>
            </a:ln>
          </c:spPr>
          <c:invertIfNegative val="0"/>
          <c:cat>
            <c:numRef>
              <c:f>[0]!tables.times</c:f>
              <c:numCache>
                <c:formatCode>m/d/yy;@</c:formatCode>
                <c:ptCount val="30"/>
                <c:pt idx="0">
                  <c:v>42958</c:v>
                </c:pt>
                <c:pt idx="1">
                  <c:v>42959</c:v>
                </c:pt>
                <c:pt idx="2">
                  <c:v>42960</c:v>
                </c:pt>
                <c:pt idx="3">
                  <c:v>42961</c:v>
                </c:pt>
                <c:pt idx="4">
                  <c:v>42962</c:v>
                </c:pt>
                <c:pt idx="5">
                  <c:v>42963</c:v>
                </c:pt>
                <c:pt idx="6">
                  <c:v>42964</c:v>
                </c:pt>
                <c:pt idx="7">
                  <c:v>42965</c:v>
                </c:pt>
                <c:pt idx="8">
                  <c:v>42966</c:v>
                </c:pt>
                <c:pt idx="9">
                  <c:v>42967</c:v>
                </c:pt>
                <c:pt idx="10">
                  <c:v>42968</c:v>
                </c:pt>
                <c:pt idx="11">
                  <c:v>42969</c:v>
                </c:pt>
                <c:pt idx="12">
                  <c:v>42970</c:v>
                </c:pt>
                <c:pt idx="13">
                  <c:v>42971</c:v>
                </c:pt>
                <c:pt idx="14">
                  <c:v>42972</c:v>
                </c:pt>
                <c:pt idx="15">
                  <c:v>42973</c:v>
                </c:pt>
                <c:pt idx="16">
                  <c:v>42974</c:v>
                </c:pt>
                <c:pt idx="17">
                  <c:v>42975</c:v>
                </c:pt>
                <c:pt idx="18">
                  <c:v>42976</c:v>
                </c:pt>
                <c:pt idx="19">
                  <c:v>42977</c:v>
                </c:pt>
                <c:pt idx="20">
                  <c:v>42978</c:v>
                </c:pt>
                <c:pt idx="21">
                  <c:v>42979</c:v>
                </c:pt>
                <c:pt idx="22">
                  <c:v>42980</c:v>
                </c:pt>
                <c:pt idx="23">
                  <c:v>42981</c:v>
                </c:pt>
                <c:pt idx="24">
                  <c:v>42982</c:v>
                </c:pt>
                <c:pt idx="25">
                  <c:v>42983</c:v>
                </c:pt>
                <c:pt idx="26">
                  <c:v>42984</c:v>
                </c:pt>
                <c:pt idx="27">
                  <c:v>42985</c:v>
                </c:pt>
                <c:pt idx="28">
                  <c:v>42986</c:v>
                </c:pt>
                <c:pt idx="29">
                  <c:v>42987</c:v>
                </c:pt>
              </c:numCache>
            </c:numRef>
          </c:cat>
          <c:val>
            <c:numRef>
              <c:f>[0]!tables.mentions</c:f>
              <c:numCache>
                <c:formatCode>#,##0_);\(#,##0\)</c:formatCode>
                <c:ptCount val="30"/>
                <c:pt idx="0">
                  <c:v>163</c:v>
                </c:pt>
                <c:pt idx="1">
                  <c:v>153</c:v>
                </c:pt>
                <c:pt idx="2">
                  <c:v>212</c:v>
                </c:pt>
                <c:pt idx="3">
                  <c:v>233</c:v>
                </c:pt>
                <c:pt idx="4">
                  <c:v>183</c:v>
                </c:pt>
                <c:pt idx="5">
                  <c:v>222</c:v>
                </c:pt>
                <c:pt idx="6">
                  <c:v>201</c:v>
                </c:pt>
                <c:pt idx="7">
                  <c:v>175</c:v>
                </c:pt>
                <c:pt idx="8">
                  <c:v>141</c:v>
                </c:pt>
                <c:pt idx="9">
                  <c:v>168</c:v>
                </c:pt>
                <c:pt idx="10">
                  <c:v>220</c:v>
                </c:pt>
                <c:pt idx="11">
                  <c:v>216</c:v>
                </c:pt>
                <c:pt idx="12">
                  <c:v>224</c:v>
                </c:pt>
                <c:pt idx="13">
                  <c:v>191</c:v>
                </c:pt>
                <c:pt idx="14">
                  <c:v>168</c:v>
                </c:pt>
                <c:pt idx="15">
                  <c:v>158</c:v>
                </c:pt>
                <c:pt idx="16">
                  <c:v>179</c:v>
                </c:pt>
                <c:pt idx="17">
                  <c:v>197</c:v>
                </c:pt>
                <c:pt idx="18">
                  <c:v>178</c:v>
                </c:pt>
                <c:pt idx="19">
                  <c:v>198</c:v>
                </c:pt>
                <c:pt idx="20">
                  <c:v>190</c:v>
                </c:pt>
                <c:pt idx="21">
                  <c:v>194</c:v>
                </c:pt>
                <c:pt idx="22">
                  <c:v>153</c:v>
                </c:pt>
                <c:pt idx="23">
                  <c:v>189</c:v>
                </c:pt>
                <c:pt idx="24">
                  <c:v>218</c:v>
                </c:pt>
                <c:pt idx="25">
                  <c:v>229</c:v>
                </c:pt>
                <c:pt idx="26">
                  <c:v>224</c:v>
                </c:pt>
                <c:pt idx="27">
                  <c:v>193</c:v>
                </c:pt>
                <c:pt idx="28">
                  <c:v>173</c:v>
                </c:pt>
                <c:pt idx="29">
                  <c:v>174</c:v>
                </c:pt>
              </c:numCache>
            </c:numRef>
          </c:val>
          <c:extLst xmlns:prop="http://schemas.openxmlformats.org/officeDocument/2006/custom-properties" xmlns:xs="http://www.w3.org/2001/XMLSchema" xmlns:mc="http://schemas.openxmlformats.org/markup-compatibility/2006" xmlns:WX="http://schemas.microsoft.com/office/word/2003/auxHint" xmlns:properties="http://schemas.openxmlformats.org/officeDocument/2006/extended-properties" xmlns:dc="http://purl.org/dc/elements/1.1/" xmlns:ds="http://schemas.openxmlformats.org/officeDocument/2006/customXml" xmlns:cp="http://schemas.openxmlformats.org/package/2006/metadata/core-properties" xmlns:w15="http://schemas.microsoft.com/office/word/2012/wordml" xmlns:ns40="http://schemas.openxmlformats.org/spreadsheetml/2006/main" xmlns:p="http://schemas.openxmlformats.org/presentationml/2006/main" xmlns:dcterms="http://purl.org/dc/terms/" xmlns:rel="http://schemas.openxmlformats.org/package/2006/relationships" xmlns:pkg="http://schemas.microsoft.com/office/2006/xmlPackage" xmlns:vt="http://schemas.openxmlformats.org/officeDocument/2006/docPropsVTypes" xmlns:xf="http://www.w3.org/2002/xforms" xmlns:w14="http://schemas.microsoft.com/office/word/2010/wordml" xmlns:xsi="http://www.w3.org/2001/XMLSchema-instance" xmlns:aml="http://schemas.microsoft.com/aml/2001/core" xmlns:xe="http://www.w3.org/2001/xml-events" xmlns:ns29="http://schemas.openxmlformats.org/drawingml/2006/lockedCanvas" xmlns:ns28="http://schemas.openxmlformats.org/drawingml/2006/compatibility" xmlns:ns27="http://schemas.openxmlformats.org/officeDocument/2006/bibliography" xmlns:odgm="http://opendope.org/SmartArt/DataHierarchy" xmlns:odi="http://opendope.org/components" xmlns:oda="http://opendope.org/answers" xmlns:odq="http://opendope.org/questions" xmlns:odc="http://opendope.org/conditions" xmlns:odx="http://opendope.org/xpaths" xmlns:ns20="http://schemas.microsoft.com/office/2006/coverPageProps" xmlns:ns18="urn:schemas-microsoft-com:office:powerpoint" xmlns:w10="urn:schemas-microsoft-com:office:word" xmlns:v="urn:schemas-microsoft-com:vml" xmlns:o="urn:schemas-microsoft-com:office:office" xmlns:ns14="urn:schemas-microsoft-com:office:excel" xmlns:dsp="http://schemas.microsoft.com/office/drawing/2008/diagram" xmlns:xdr="http://schemas.openxmlformats.org/drawingml/2006/spreadsheetDrawing" xmlns:pic="http://schemas.openxmlformats.org/drawingml/2006/picture" xmlns:dgm="http://schemas.openxmlformats.org/drawingml/2006/diagram" xmlns:ns9="http://schemas.openxmlformats.org/drawingml/2006/chartDrawing" xmlns:wne="http://schemas.microsoft.com/office/word/2006/wordml" xmlns:ns6="http://schemas.openxmlformats.org/schemaLibrary/2006/main" xmlns:wp="http://schemas.openxmlformats.org/drawingml/2006/wordprocessingDrawing" xmlns:m="http://schemas.openxmlformats.org/officeDocument/2006/math" xmlns:w="http://schemas.openxmlformats.org/wordprocessingml/2006/main">
            <c:ext uri="{C3380CC4-5D6E-409C-BE32-E72D297353CC}">
              <c16:uniqueId xmlns:c16="http://schemas.microsoft.com/office/drawing/2014/chart" xmlns:c16r2="http://schemas.microsoft.com/office/drawing/2015/06/chart" val="{00000001-7C22-4F16-B6F8-29DBA2ED57A3}"/>
            </c:ext>
          </c:extLst>
        </c:ser>
        <c:dLbls>
          <c:showLegendKey val="0"/>
          <c:showVal val="0"/>
          <c:showCatName val="0"/>
          <c:showSerName val="0"/>
          <c:showPercent val="0"/>
          <c:showBubbleSize val="0"/>
        </c:dLbls>
        <c:gapWidth val="500"/>
        <c:overlap val="100"/>
        <c:axId val="336369416"/>
        <c:axId val="336369024"/>
      </c:barChart>
      <c:lineChart>
        <c:grouping val="standard"/>
        <c:varyColors val="0"/>
        <c:ser>
          <c:idx val="0"/>
          <c:order val="2"/>
          <c:tx>
            <c:strRef>
              <c:f>Tables!$AE$2</c:f>
              <c:strCache>
                <c:ptCount val="1"/>
                <c:pt idx="0">
                  <c:v>Potential Impressions Peak</c:v>
                </c:pt>
              </c:strCache>
            </c:strRef>
          </c:tx>
          <c:spPr>
            <a:ln w="22225">
              <a:solidFill>
                <a:srgbClr val="FDA761"/>
              </a:solidFill>
            </a:ln>
            <a:effectLst/>
          </c:spPr>
          <c:marker>
            <c:symbol val="circle"/>
            <c:size val="20"/>
            <c:spPr>
              <a:noFill/>
              <a:ln w="22225">
                <a:solidFill>
                  <a:srgbClr val="FDA761"/>
                </a:solidFill>
              </a:ln>
              <a:effectLst/>
            </c:spPr>
          </c:marker>
          <c:cat>
            <c:numRef>
              <c:f>[0]!tables.times</c:f>
              <c:numCache>
                <c:formatCode>m/d/yy;@</c:formatCode>
                <c:ptCount val="30"/>
                <c:pt idx="0">
                  <c:v>42958</c:v>
                </c:pt>
                <c:pt idx="1">
                  <c:v>42959</c:v>
                </c:pt>
                <c:pt idx="2">
                  <c:v>42960</c:v>
                </c:pt>
                <c:pt idx="3">
                  <c:v>42961</c:v>
                </c:pt>
                <c:pt idx="4">
                  <c:v>42962</c:v>
                </c:pt>
                <c:pt idx="5">
                  <c:v>42963</c:v>
                </c:pt>
                <c:pt idx="6">
                  <c:v>42964</c:v>
                </c:pt>
                <c:pt idx="7">
                  <c:v>42965</c:v>
                </c:pt>
                <c:pt idx="8">
                  <c:v>42966</c:v>
                </c:pt>
                <c:pt idx="9">
                  <c:v>42967</c:v>
                </c:pt>
                <c:pt idx="10">
                  <c:v>42968</c:v>
                </c:pt>
                <c:pt idx="11">
                  <c:v>42969</c:v>
                </c:pt>
                <c:pt idx="12">
                  <c:v>42970</c:v>
                </c:pt>
                <c:pt idx="13">
                  <c:v>42971</c:v>
                </c:pt>
                <c:pt idx="14">
                  <c:v>42972</c:v>
                </c:pt>
                <c:pt idx="15">
                  <c:v>42973</c:v>
                </c:pt>
                <c:pt idx="16">
                  <c:v>42974</c:v>
                </c:pt>
                <c:pt idx="17">
                  <c:v>42975</c:v>
                </c:pt>
                <c:pt idx="18">
                  <c:v>42976</c:v>
                </c:pt>
                <c:pt idx="19">
                  <c:v>42977</c:v>
                </c:pt>
                <c:pt idx="20">
                  <c:v>42978</c:v>
                </c:pt>
                <c:pt idx="21">
                  <c:v>42979</c:v>
                </c:pt>
                <c:pt idx="22">
                  <c:v>42980</c:v>
                </c:pt>
                <c:pt idx="23">
                  <c:v>42981</c:v>
                </c:pt>
                <c:pt idx="24">
                  <c:v>42982</c:v>
                </c:pt>
                <c:pt idx="25">
                  <c:v>42983</c:v>
                </c:pt>
                <c:pt idx="26">
                  <c:v>42984</c:v>
                </c:pt>
                <c:pt idx="27">
                  <c:v>42985</c:v>
                </c:pt>
                <c:pt idx="28">
                  <c:v>42986</c:v>
                </c:pt>
                <c:pt idx="29">
                  <c:v>42987</c:v>
                </c:pt>
              </c:numCache>
            </c:numRef>
          </c:cat>
          <c:val>
            <c:numRef>
              <c:f>[0]!tables.impressions_peak</c:f>
              <c:numCache>
                <c:formatCode>#,##0</c:formatCode>
                <c:ptCount val="30"/>
                <c:pt idx="0">
                  <c:v>#N/A</c:v>
                </c:pt>
                <c:pt idx="1">
                  <c:v>#N/A</c:v>
                </c:pt>
                <c:pt idx="2">
                  <c:v>3374890</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numCache>
            </c:numRef>
          </c:val>
          <c:smooth val="0"/>
          <c:extLst xmlns:prop="http://schemas.openxmlformats.org/officeDocument/2006/custom-properties" xmlns:xs="http://www.w3.org/2001/XMLSchema" xmlns:mc="http://schemas.openxmlformats.org/markup-compatibility/2006" xmlns:WX="http://schemas.microsoft.com/office/word/2003/auxHint" xmlns:properties="http://schemas.openxmlformats.org/officeDocument/2006/extended-properties" xmlns:dc="http://purl.org/dc/elements/1.1/" xmlns:ds="http://schemas.openxmlformats.org/officeDocument/2006/customXml" xmlns:cp="http://schemas.openxmlformats.org/package/2006/metadata/core-properties" xmlns:w15="http://schemas.microsoft.com/office/word/2012/wordml" xmlns:ns40="http://schemas.openxmlformats.org/spreadsheetml/2006/main" xmlns:p="http://schemas.openxmlformats.org/presentationml/2006/main" xmlns:dcterms="http://purl.org/dc/terms/" xmlns:rel="http://schemas.openxmlformats.org/package/2006/relationships" xmlns:pkg="http://schemas.microsoft.com/office/2006/xmlPackage" xmlns:vt="http://schemas.openxmlformats.org/officeDocument/2006/docPropsVTypes" xmlns:xf="http://www.w3.org/2002/xforms" xmlns:w14="http://schemas.microsoft.com/office/word/2010/wordml" xmlns:xsi="http://www.w3.org/2001/XMLSchema-instance" xmlns:aml="http://schemas.microsoft.com/aml/2001/core" xmlns:xe="http://www.w3.org/2001/xml-events" xmlns:ns29="http://schemas.openxmlformats.org/drawingml/2006/lockedCanvas" xmlns:ns28="http://schemas.openxmlformats.org/drawingml/2006/compatibility" xmlns:ns27="http://schemas.openxmlformats.org/officeDocument/2006/bibliography" xmlns:odgm="http://opendope.org/SmartArt/DataHierarchy" xmlns:odi="http://opendope.org/components" xmlns:oda="http://opendope.org/answers" xmlns:odq="http://opendope.org/questions" xmlns:odc="http://opendope.org/conditions" xmlns:odx="http://opendope.org/xpaths" xmlns:ns20="http://schemas.microsoft.com/office/2006/coverPageProps" xmlns:ns18="urn:schemas-microsoft-com:office:powerpoint" xmlns:w10="urn:schemas-microsoft-com:office:word" xmlns:v="urn:schemas-microsoft-com:vml" xmlns:o="urn:schemas-microsoft-com:office:office" xmlns:ns14="urn:schemas-microsoft-com:office:excel" xmlns:dsp="http://schemas.microsoft.com/office/drawing/2008/diagram" xmlns:xdr="http://schemas.openxmlformats.org/drawingml/2006/spreadsheetDrawing" xmlns:pic="http://schemas.openxmlformats.org/drawingml/2006/picture" xmlns:dgm="http://schemas.openxmlformats.org/drawingml/2006/diagram" xmlns:ns9="http://schemas.openxmlformats.org/drawingml/2006/chartDrawing" xmlns:wne="http://schemas.microsoft.com/office/word/2006/wordml" xmlns:ns6="http://schemas.openxmlformats.org/schemaLibrary/2006/main" xmlns:wp="http://schemas.openxmlformats.org/drawingml/2006/wordprocessingDrawing" xmlns:m="http://schemas.openxmlformats.org/officeDocument/2006/math" xmlns:w="http://schemas.openxmlformats.org/wordprocessingml/2006/main">
            <c:ext uri="{C3380CC4-5D6E-409C-BE32-E72D297353CC}">
              <c16:uniqueId xmlns:c16="http://schemas.microsoft.com/office/drawing/2014/chart" xmlns:c16r2="http://schemas.microsoft.com/office/drawing/2015/06/chart" val="{00000002-7C22-4F16-B6F8-29DBA2ED57A3}"/>
            </c:ext>
          </c:extLst>
        </c:ser>
        <c:ser>
          <c:idx val="3"/>
          <c:order val="3"/>
          <c:tx>
            <c:strRef>
              <c:f>Tables!$AF$2</c:f>
              <c:strCache>
                <c:ptCount val="1"/>
                <c:pt idx="0">
                  <c:v>Buffer</c:v>
                </c:pt>
              </c:strCache>
            </c:strRef>
          </c:tx>
          <c:spPr>
            <a:ln w="28575">
              <a:noFill/>
            </a:ln>
          </c:spPr>
          <c:marker>
            <c:symbol val="none"/>
          </c:marker>
          <c:cat>
            <c:numRef>
              <c:f>[0]!tables.times</c:f>
              <c:numCache>
                <c:formatCode>m/d/yy;@</c:formatCode>
                <c:ptCount val="30"/>
                <c:pt idx="0">
                  <c:v>42958</c:v>
                </c:pt>
                <c:pt idx="1">
                  <c:v>42959</c:v>
                </c:pt>
                <c:pt idx="2">
                  <c:v>42960</c:v>
                </c:pt>
                <c:pt idx="3">
                  <c:v>42961</c:v>
                </c:pt>
                <c:pt idx="4">
                  <c:v>42962</c:v>
                </c:pt>
                <c:pt idx="5">
                  <c:v>42963</c:v>
                </c:pt>
                <c:pt idx="6">
                  <c:v>42964</c:v>
                </c:pt>
                <c:pt idx="7">
                  <c:v>42965</c:v>
                </c:pt>
                <c:pt idx="8">
                  <c:v>42966</c:v>
                </c:pt>
                <c:pt idx="9">
                  <c:v>42967</c:v>
                </c:pt>
                <c:pt idx="10">
                  <c:v>42968</c:v>
                </c:pt>
                <c:pt idx="11">
                  <c:v>42969</c:v>
                </c:pt>
                <c:pt idx="12">
                  <c:v>42970</c:v>
                </c:pt>
                <c:pt idx="13">
                  <c:v>42971</c:v>
                </c:pt>
                <c:pt idx="14">
                  <c:v>42972</c:v>
                </c:pt>
                <c:pt idx="15">
                  <c:v>42973</c:v>
                </c:pt>
                <c:pt idx="16">
                  <c:v>42974</c:v>
                </c:pt>
                <c:pt idx="17">
                  <c:v>42975</c:v>
                </c:pt>
                <c:pt idx="18">
                  <c:v>42976</c:v>
                </c:pt>
                <c:pt idx="19">
                  <c:v>42977</c:v>
                </c:pt>
                <c:pt idx="20">
                  <c:v>42978</c:v>
                </c:pt>
                <c:pt idx="21">
                  <c:v>42979</c:v>
                </c:pt>
                <c:pt idx="22">
                  <c:v>42980</c:v>
                </c:pt>
                <c:pt idx="23">
                  <c:v>42981</c:v>
                </c:pt>
                <c:pt idx="24">
                  <c:v>42982</c:v>
                </c:pt>
                <c:pt idx="25">
                  <c:v>42983</c:v>
                </c:pt>
                <c:pt idx="26">
                  <c:v>42984</c:v>
                </c:pt>
                <c:pt idx="27">
                  <c:v>42985</c:v>
                </c:pt>
                <c:pt idx="28">
                  <c:v>42986</c:v>
                </c:pt>
                <c:pt idx="29">
                  <c:v>42987</c:v>
                </c:pt>
              </c:numCache>
            </c:numRef>
          </c:cat>
          <c:val>
            <c:numRef>
              <c:f>[0]!tables.impressions_buffer</c:f>
              <c:numCache>
                <c:formatCode>#,##0</c:formatCode>
                <c:ptCount val="30"/>
                <c:pt idx="0">
                  <c:v>#N/A</c:v>
                </c:pt>
                <c:pt idx="1">
                  <c:v>#N/A</c:v>
                </c:pt>
                <c:pt idx="2">
                  <c:v>3712379.0000000005</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numCache>
            </c:numRef>
          </c:val>
          <c:smooth val="0"/>
          <c:extLst xmlns:prop="http://schemas.openxmlformats.org/officeDocument/2006/custom-properties" xmlns:xs="http://www.w3.org/2001/XMLSchema" xmlns:mc="http://schemas.openxmlformats.org/markup-compatibility/2006" xmlns:WX="http://schemas.microsoft.com/office/word/2003/auxHint" xmlns:properties="http://schemas.openxmlformats.org/officeDocument/2006/extended-properties" xmlns:dc="http://purl.org/dc/elements/1.1/" xmlns:ds="http://schemas.openxmlformats.org/officeDocument/2006/customXml" xmlns:cp="http://schemas.openxmlformats.org/package/2006/metadata/core-properties" xmlns:w15="http://schemas.microsoft.com/office/word/2012/wordml" xmlns:ns40="http://schemas.openxmlformats.org/spreadsheetml/2006/main" xmlns:p="http://schemas.openxmlformats.org/presentationml/2006/main" xmlns:dcterms="http://purl.org/dc/terms/" xmlns:rel="http://schemas.openxmlformats.org/package/2006/relationships" xmlns:pkg="http://schemas.microsoft.com/office/2006/xmlPackage" xmlns:vt="http://schemas.openxmlformats.org/officeDocument/2006/docPropsVTypes" xmlns:xf="http://www.w3.org/2002/xforms" xmlns:w14="http://schemas.microsoft.com/office/word/2010/wordml" xmlns:xsi="http://www.w3.org/2001/XMLSchema-instance" xmlns:aml="http://schemas.microsoft.com/aml/2001/core" xmlns:xe="http://www.w3.org/2001/xml-events" xmlns:ns29="http://schemas.openxmlformats.org/drawingml/2006/lockedCanvas" xmlns:ns28="http://schemas.openxmlformats.org/drawingml/2006/compatibility" xmlns:ns27="http://schemas.openxmlformats.org/officeDocument/2006/bibliography" xmlns:odgm="http://opendope.org/SmartArt/DataHierarchy" xmlns:odi="http://opendope.org/components" xmlns:oda="http://opendope.org/answers" xmlns:odq="http://opendope.org/questions" xmlns:odc="http://opendope.org/conditions" xmlns:odx="http://opendope.org/xpaths" xmlns:ns20="http://schemas.microsoft.com/office/2006/coverPageProps" xmlns:ns18="urn:schemas-microsoft-com:office:powerpoint" xmlns:w10="urn:schemas-microsoft-com:office:word" xmlns:v="urn:schemas-microsoft-com:vml" xmlns:o="urn:schemas-microsoft-com:office:office" xmlns:ns14="urn:schemas-microsoft-com:office:excel" xmlns:dsp="http://schemas.microsoft.com/office/drawing/2008/diagram" xmlns:xdr="http://schemas.openxmlformats.org/drawingml/2006/spreadsheetDrawing" xmlns:pic="http://schemas.openxmlformats.org/drawingml/2006/picture" xmlns:dgm="http://schemas.openxmlformats.org/drawingml/2006/diagram" xmlns:ns9="http://schemas.openxmlformats.org/drawingml/2006/chartDrawing" xmlns:wne="http://schemas.microsoft.com/office/word/2006/wordml" xmlns:ns6="http://schemas.openxmlformats.org/schemaLibrary/2006/main" xmlns:wp="http://schemas.openxmlformats.org/drawingml/2006/wordprocessingDrawing" xmlns:m="http://schemas.openxmlformats.org/officeDocument/2006/math" xmlns:w="http://schemas.openxmlformats.org/wordprocessingml/2006/main">
            <c:ext uri="{C3380CC4-5D6E-409C-BE32-E72D297353CC}">
              <c16:uniqueId xmlns:c16="http://schemas.microsoft.com/office/drawing/2014/chart" xmlns:c16r2="http://schemas.microsoft.com/office/drawing/2015/06/chart" val="{00000003-7C22-4F16-B6F8-29DBA2ED57A3}"/>
            </c:ext>
          </c:extLst>
        </c:ser>
        <c:dLbls>
          <c:showLegendKey val="0"/>
          <c:showVal val="0"/>
          <c:showCatName val="0"/>
          <c:showSerName val="0"/>
          <c:showPercent val="0"/>
          <c:showBubbleSize val="0"/>
        </c:dLbls>
        <c:marker val="1"/>
        <c:smooth val="0"/>
        <c:axId val="336371768"/>
        <c:axId val="336371376"/>
      </c:lineChart>
      <c:catAx>
        <c:axId val="336371768"/>
        <c:scaling>
          <c:orientation val="minMax"/>
        </c:scaling>
        <c:delete val="0"/>
        <c:axPos val="b"/>
        <c:numFmt formatCode="m/d/yy;@" sourceLinked="1"/>
        <c:majorTickMark val="none"/>
        <c:minorTickMark val="none"/>
        <c:tickLblPos val="nextTo"/>
        <c:spPr>
          <a:ln>
            <a:solidFill>
              <a:srgbClr val="969696"/>
            </a:solidFill>
          </a:ln>
        </c:spPr>
        <c:txPr>
          <a:bodyPr rot="-2820000" vert="horz"/>
          <a:lstStyle/>
          <a:p>
            <a:pPr>
              <a:defRPr sz="800" b="1">
                <a:solidFill>
                  <a:srgbClr val="C8C8C8"/>
                </a:solidFill>
                <a:latin typeface="Calibri"/>
                <a:ea typeface="Calibri"/>
                <a:cs typeface="Calibri"/>
              </a:defRPr>
            </a:pPr>
            <a:endParaRPr lang="en-US"/>
          </a:p>
        </c:txPr>
        <c:crossAx val="336371376"/>
        <c:crosses val="autoZero"/>
        <c:auto val="0"/>
        <c:lblAlgn val="ctr"/>
        <c:lblOffset val="50"/>
        <c:noMultiLvlLbl val="1"/>
      </c:catAx>
      <c:valAx>
        <c:axId val="336371376"/>
        <c:scaling>
          <c:orientation val="minMax"/>
        </c:scaling>
        <c:delete val="0"/>
        <c:axPos val="l"/>
        <c:title>
          <c:tx>
            <c:rich>
              <a:bodyPr rot="-5400000" vert="horz"/>
              <a:lstStyle/>
              <a:p>
                <a:pPr>
                  <a:defRPr sz="1000" b="0">
                    <a:solidFill>
                      <a:srgbClr val="B4B4B4"/>
                    </a:solidFill>
                    <a:latin typeface="Calibri"/>
                    <a:ea typeface="Calibri"/>
                    <a:cs typeface="Calibri"/>
                  </a:defRPr>
                </a:pPr>
                <a:r>
                  <a:rPr lang="en-US"/>
                  <a:t>Potential Impressions</a:t>
                </a:r>
              </a:p>
            </c:rich>
          </c:tx>
          <c:layout>
            <c:manualLayout>
              <c:xMode val="edge"/>
              <c:yMode val="edge"/>
              <c:x val="1.8835616438356163E-2"/>
              <c:y val="0.35105889107611549"/>
            </c:manualLayout>
          </c:layout>
          <c:overlay val="0"/>
        </c:title>
        <c:numFmt formatCode="[&gt;=1000000].0,,&quot;M&quot;;[&gt;=1000].0,&quot;K&quot;;#,##0" sourceLinked="0"/>
        <c:majorTickMark val="out"/>
        <c:minorTickMark val="none"/>
        <c:tickLblPos val="nextTo"/>
        <c:spPr>
          <a:ln>
            <a:solidFill>
              <a:srgbClr val="969696"/>
            </a:solidFill>
          </a:ln>
        </c:spPr>
        <c:txPr>
          <a:bodyPr/>
          <a:lstStyle/>
          <a:p>
            <a:pPr>
              <a:defRPr sz="800" b="0">
                <a:solidFill>
                  <a:srgbClr val="A0A0A0"/>
                </a:solidFill>
                <a:latin typeface="Calibri"/>
                <a:ea typeface="Calibri"/>
                <a:cs typeface="Calibri"/>
              </a:defRPr>
            </a:pPr>
            <a:endParaRPr lang="en-US"/>
          </a:p>
        </c:txPr>
        <c:crossAx val="336371768"/>
        <c:crosses val="autoZero"/>
        <c:crossBetween val="midCat"/>
      </c:valAx>
      <c:valAx>
        <c:axId val="336369024"/>
        <c:scaling>
          <c:orientation val="minMax"/>
        </c:scaling>
        <c:delete val="0"/>
        <c:axPos val="r"/>
        <c:title>
          <c:tx>
            <c:rich>
              <a:bodyPr rot="-5400000" vert="horz"/>
              <a:lstStyle/>
              <a:p>
                <a:pPr>
                  <a:defRPr sz="1000" b="0">
                    <a:solidFill>
                      <a:srgbClr val="B4B4B4"/>
                    </a:solidFill>
                    <a:latin typeface="Calibri"/>
                    <a:ea typeface="Calibri"/>
                    <a:cs typeface="Calibri"/>
                  </a:defRPr>
                </a:pPr>
                <a:r>
                  <a:rPr lang="en-US"/>
                  <a:t>Total Mentions</a:t>
                </a:r>
              </a:p>
            </c:rich>
          </c:tx>
          <c:layout>
            <c:manualLayout>
              <c:xMode val="edge"/>
              <c:yMode val="edge"/>
              <c:x val="0.95547945205479456"/>
              <c:y val="0.39633666885389324"/>
            </c:manualLayout>
          </c:layout>
          <c:overlay val="0"/>
        </c:title>
        <c:numFmt formatCode="[&gt;=1000000].0,,&quot;M&quot;;[&gt;=1000].0,&quot;K&quot;;#,##0" sourceLinked="0"/>
        <c:majorTickMark val="out"/>
        <c:minorTickMark val="none"/>
        <c:tickLblPos val="nextTo"/>
        <c:spPr>
          <a:ln>
            <a:solidFill>
              <a:srgbClr val="969696"/>
            </a:solidFill>
          </a:ln>
        </c:spPr>
        <c:txPr>
          <a:bodyPr/>
          <a:lstStyle/>
          <a:p>
            <a:pPr>
              <a:defRPr sz="800" b="0">
                <a:solidFill>
                  <a:srgbClr val="A0A0A0"/>
                </a:solidFill>
                <a:latin typeface="Calibri"/>
                <a:ea typeface="Calibri"/>
                <a:cs typeface="Calibri"/>
              </a:defRPr>
            </a:pPr>
            <a:endParaRPr lang="en-US"/>
          </a:p>
        </c:txPr>
        <c:crossAx val="336369416"/>
        <c:crosses val="max"/>
        <c:crossBetween val="between"/>
      </c:valAx>
      <c:dateAx>
        <c:axId val="336369416"/>
        <c:scaling>
          <c:orientation val="minMax"/>
        </c:scaling>
        <c:delete val="1"/>
        <c:axPos val="b"/>
        <c:numFmt formatCode="m/d/yy;@" sourceLinked="1"/>
        <c:majorTickMark val="out"/>
        <c:minorTickMark val="none"/>
        <c:tickLblPos val="nextTo"/>
        <c:crossAx val="336369024"/>
        <c:crosses val="autoZero"/>
        <c:auto val="1"/>
        <c:lblOffset val="100"/>
        <c:baseTimeUnit val="days"/>
      </c:dateAx>
      <c:spPr>
        <a:gradFill flip="none" rotWithShape="1">
          <a:gsLst>
            <a:gs pos="0">
              <a:srgbClr val="262626"/>
            </a:gs>
            <a:gs pos="60000">
              <a:srgbClr val="151515"/>
            </a:gs>
          </a:gsLst>
          <a:lin ang="5400000" scaled="1"/>
          <a:tileRect/>
        </a:gradFill>
        <a:ln w="12700">
          <a:solidFill>
            <a:srgbClr val="262626"/>
          </a:solidFill>
        </a:ln>
      </c:spPr>
    </c:plotArea>
    <c:legend>
      <c:legendPos val="t"/>
      <c:legendEntry>
        <c:idx val="2"/>
        <c:delete val="1"/>
      </c:legendEntry>
      <c:legendEntry>
        <c:idx val="3"/>
        <c:delete val="1"/>
      </c:legendEntry>
      <c:layout>
        <c:manualLayout>
          <c:xMode val="edge"/>
          <c:yMode val="edge"/>
          <c:x val="0.12328767123287671"/>
          <c:y val="0.13541666666666666"/>
          <c:w val="0.75342465753424659"/>
          <c:h val="8.3333333333333329E-2"/>
        </c:manualLayout>
      </c:layout>
      <c:overlay val="0"/>
      <c:spPr>
        <a:gradFill flip="none" rotWithShape="1">
          <a:gsLst>
            <a:gs pos="0">
              <a:srgbClr val="151515"/>
            </a:gs>
            <a:gs pos="100000">
              <a:srgbClr val="404040"/>
            </a:gs>
            <a:gs pos="3000">
              <a:srgbClr val="151515"/>
            </a:gs>
            <a:gs pos="4000">
              <a:srgbClr val="404040"/>
            </a:gs>
            <a:gs pos="7000">
              <a:srgbClr val="404040"/>
            </a:gs>
            <a:gs pos="8000">
              <a:srgbClr val="262626"/>
            </a:gs>
            <a:gs pos="92000">
              <a:srgbClr val="262626"/>
            </a:gs>
            <a:gs pos="93000">
              <a:srgbClr val="151515"/>
            </a:gs>
            <a:gs pos="96000">
              <a:srgbClr val="151515"/>
            </a:gs>
            <a:gs pos="97000">
              <a:srgbClr val="404040"/>
            </a:gs>
          </a:gsLst>
          <a:lin ang="5400000" scaled="1"/>
          <a:tileRect/>
        </a:gradFill>
      </c:spPr>
      <c:txPr>
        <a:bodyPr/>
        <a:lstStyle/>
        <a:p>
          <a:pPr>
            <a:defRPr sz="1000" b="0" baseline="0">
              <a:solidFill>
                <a:srgbClr val="C8C8C8"/>
              </a:solidFill>
              <a:latin typeface="Calibri"/>
            </a:defRPr>
          </a:pPr>
          <a:endParaRPr lang="en-US"/>
        </a:p>
      </c:txPr>
    </c:legend>
    <c:plotVisOnly val="1"/>
    <c:dispBlanksAs val="gap"/>
    <c:showDLblsOverMax val="0"/>
  </c:chart>
  <c:spPr>
    <a:noFill/>
    <a:ln w="19050">
      <a:noFill/>
    </a:ln>
  </c:spPr>
  <c:txPr>
    <a:bodyPr/>
    <a:lstStyle/>
    <a:p>
      <a:pPr>
        <a:defRPr>
          <a:solidFill>
            <a:srgbClr val="FFFFFF"/>
          </a:solidFill>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c:style val="2"/>
  <c:clrMapOvr bg1="lt1" tx1="dk1" bg2="lt2" tx2="dk2" accent1="accent1" accent2="accent2" accent3="accent3" accent4="accent4" accent5="accent5" accent6="accent6" hlink="hlink" folHlink="folHlink"/>
  <c:chart>
    <c:title>
      <c:tx>
        <c:rich>
          <a:bodyPr/>
          <a:lstStyle/>
          <a:p>
            <a:pPr algn="l">
              <a:defRPr sz="1600" b="0" cap="none" baseline="0">
                <a:solidFill>
                  <a:srgbClr val="DCDCDC"/>
                </a:solidFill>
                <a:latin typeface="Calibri"/>
                <a:cs typeface="Arial" pitchFamily="34" charset="0"/>
              </a:defRPr>
            </a:pPr>
            <a:r>
              <a:rPr lang="en-US" sz="1600" b="0" cap="none">
                <a:solidFill>
                  <a:srgbClr val="DCDCDC"/>
                </a:solidFill>
                <a:latin typeface="Calibri"/>
              </a:rPr>
              <a:t>Top Photo Filters (By Engagement)</a:t>
            </a:r>
          </a:p>
        </c:rich>
      </c:tx>
      <c:layout>
        <c:manualLayout>
          <c:xMode val="edge"/>
          <c:yMode val="edge"/>
          <c:x val="7.7981651376146793E-2"/>
          <c:y val="2.7777777777777776E-2"/>
        </c:manualLayout>
      </c:layout>
      <c:overlay val="0"/>
    </c:title>
    <c:autoTitleDeleted val="0"/>
    <c:plotArea>
      <c:layout>
        <c:manualLayout>
          <c:layoutTarget val="inner"/>
          <c:xMode val="edge"/>
          <c:yMode val="edge"/>
          <c:x val="0.16513761467889909"/>
          <c:y val="0.2638888888888889"/>
          <c:w val="0.66743119266055051"/>
          <c:h val="0.5"/>
        </c:manualLayout>
      </c:layout>
      <c:barChart>
        <c:barDir val="col"/>
        <c:grouping val="clustered"/>
        <c:varyColors val="0"/>
        <c:ser>
          <c:idx val="1"/>
          <c:order val="0"/>
          <c:tx>
            <c:strRef>
              <c:f>Calculations!$D$344</c:f>
              <c:strCache>
                <c:ptCount val="1"/>
                <c:pt idx="0">
                  <c:v>Engagement Per Photo</c:v>
                </c:pt>
              </c:strCache>
            </c:strRef>
          </c:tx>
          <c:spPr>
            <a:gradFill flip="none" rotWithShape="1">
              <a:gsLst>
                <a:gs pos="0">
                  <a:srgbClr val="620014"/>
                </a:gs>
                <a:gs pos="100000">
                  <a:srgbClr val="AC082B"/>
                </a:gs>
                <a:gs pos="50000">
                  <a:srgbClr val="900522"/>
                </a:gs>
              </a:gsLst>
              <a:lin ang="0" scaled="1"/>
              <a:tileRect/>
            </a:gradFill>
            <a:ln w="9525">
              <a:solidFill>
                <a:srgbClr val="AC082B"/>
              </a:solidFill>
            </a:ln>
          </c:spPr>
          <c:invertIfNegative val="0"/>
          <c:dLbls>
            <c:numFmt formatCode="[&gt;=1000000].0,,&quot;M&quot;;[&gt;=10000].0,&quot;K&quot;;#,##0" sourceLinked="0"/>
            <c:spPr>
              <a:noFill/>
              <a:ln>
                <a:noFill/>
              </a:ln>
              <a:effectLst/>
            </c:spPr>
            <c:txPr>
              <a:bodyPr rot="0" vert="horz"/>
              <a:lstStyle/>
              <a:p>
                <a:pPr>
                  <a:defRPr sz="800" b="0" baseline="0">
                    <a:solidFill>
                      <a:srgbClr val="B4B4B4"/>
                    </a:solidFill>
                    <a:latin typeface="Calibri"/>
                    <a:ea typeface="Calibri"/>
                    <a:cs typeface="Calibri"/>
                  </a:defRPr>
                </a:pPr>
                <a:endParaRPr lang="en-US"/>
              </a:p>
            </c:txPr>
            <c:dLblPos val="outEnd"/>
            <c:showLegendKey val="0"/>
            <c:showVal val="1"/>
            <c:showCatName val="0"/>
            <c:showSerName val="0"/>
            <c:showPercent val="0"/>
            <c:showBubbleSize val="0"/>
            <c:showLeaderLines val="0"/>
            <c:extLst xmlns:prop="http://schemas.openxmlformats.org/officeDocument/2006/custom-properties" xmlns:xs="http://www.w3.org/2001/XMLSchema" xmlns:mc="http://schemas.openxmlformats.org/markup-compatibility/2006" xmlns:WX="http://schemas.microsoft.com/office/word/2003/auxHint" xmlns:properties="http://schemas.openxmlformats.org/officeDocument/2006/extended-properties" xmlns:dc="http://purl.org/dc/elements/1.1/" xmlns:ds="http://schemas.openxmlformats.org/officeDocument/2006/customXml" xmlns:cp="http://schemas.openxmlformats.org/package/2006/metadata/core-properties" xmlns:w15="http://schemas.microsoft.com/office/word/2012/wordml" xmlns:ns40="http://schemas.openxmlformats.org/spreadsheetml/2006/main" xmlns:p="http://schemas.openxmlformats.org/presentationml/2006/main" xmlns:dcterms="http://purl.org/dc/terms/" xmlns:rel="http://schemas.openxmlformats.org/package/2006/relationships" xmlns:pkg="http://schemas.microsoft.com/office/2006/xmlPackage" xmlns:vt="http://schemas.openxmlformats.org/officeDocument/2006/docPropsVTypes" xmlns:xf="http://www.w3.org/2002/xforms" xmlns:w14="http://schemas.microsoft.com/office/word/2010/wordml" xmlns:xsi="http://www.w3.org/2001/XMLSchema-instance" xmlns:aml="http://schemas.microsoft.com/aml/2001/core" xmlns:xe="http://www.w3.org/2001/xml-events" xmlns:ns29="http://schemas.openxmlformats.org/drawingml/2006/lockedCanvas" xmlns:ns28="http://schemas.openxmlformats.org/drawingml/2006/compatibility" xmlns:ns27="http://schemas.openxmlformats.org/officeDocument/2006/bibliography" xmlns:odgm="http://opendope.org/SmartArt/DataHierarchy" xmlns:odi="http://opendope.org/components" xmlns:oda="http://opendope.org/answers" xmlns:odq="http://opendope.org/questions" xmlns:odc="http://opendope.org/conditions" xmlns:odx="http://opendope.org/xpaths" xmlns:ns20="http://schemas.microsoft.com/office/2006/coverPageProps" xmlns:ns18="urn:schemas-microsoft-com:office:powerpoint" xmlns:w10="urn:schemas-microsoft-com:office:word" xmlns:v="urn:schemas-microsoft-com:vml" xmlns:o="urn:schemas-microsoft-com:office:office" xmlns:ns14="urn:schemas-microsoft-com:office:excel" xmlns:dsp="http://schemas.microsoft.com/office/drawing/2008/diagram" xmlns:xdr="http://schemas.openxmlformats.org/drawingml/2006/spreadsheetDrawing" xmlns:pic="http://schemas.openxmlformats.org/drawingml/2006/picture" xmlns:dgm="http://schemas.openxmlformats.org/drawingml/2006/diagram" xmlns:ns9="http://schemas.openxmlformats.org/drawingml/2006/chartDrawing" xmlns:wne="http://schemas.microsoft.com/office/word/2006/wordml" xmlns:ns6="http://schemas.openxmlformats.org/schemaLibrary/2006/main" xmlns:wp="http://schemas.openxmlformats.org/drawingml/2006/wordprocessingDrawing" xmlns:m="http://schemas.openxmlformats.org/officeDocument/2006/math" xmlns:w="http://schemas.openxmlformats.org/wordprocessingml/2006/main">
              <c:ext xmlns:c15="http://schemas.microsoft.com/office/drawing/2012/chart" uri="{CE6537A1-D6FC-4f65-9D91-7224C49458BB}">
                <c15:showLeaderLines val="0"/>
              </c:ext>
            </c:extLst>
          </c:dLbls>
          <c:cat>
            <c:strRef>
              <c:f>[0]!filters_names_photos</c:f>
              <c:strCache>
                <c:ptCount val="5"/>
                <c:pt idx="0">
                  <c:v>Ashby</c:v>
                </c:pt>
                <c:pt idx="1">
                  <c:v>Helena</c:v>
                </c:pt>
                <c:pt idx="2">
                  <c:v>Lark</c:v>
                </c:pt>
                <c:pt idx="3">
                  <c:v>Normal</c:v>
                </c:pt>
                <c:pt idx="4">
                  <c:v>Mayfair</c:v>
                </c:pt>
              </c:strCache>
            </c:strRef>
          </c:cat>
          <c:val>
            <c:numRef>
              <c:f>[0]!filters_engagement_per_photo</c:f>
              <c:numCache>
                <c:formatCode>#,##0</c:formatCode>
                <c:ptCount val="5"/>
                <c:pt idx="0">
                  <c:v>301.5</c:v>
                </c:pt>
                <c:pt idx="1">
                  <c:v>238.4</c:v>
                </c:pt>
                <c:pt idx="2">
                  <c:v>177.49494949494951</c:v>
                </c:pt>
                <c:pt idx="3">
                  <c:v>158.74761602034329</c:v>
                </c:pt>
                <c:pt idx="4">
                  <c:v>148.66666666666666</c:v>
                </c:pt>
              </c:numCache>
            </c:numRef>
          </c:val>
          <c:extLst xmlns:prop="http://schemas.openxmlformats.org/officeDocument/2006/custom-properties" xmlns:xs="http://www.w3.org/2001/XMLSchema" xmlns:mc="http://schemas.openxmlformats.org/markup-compatibility/2006" xmlns:WX="http://schemas.microsoft.com/office/word/2003/auxHint" xmlns:properties="http://schemas.openxmlformats.org/officeDocument/2006/extended-properties" xmlns:dc="http://purl.org/dc/elements/1.1/" xmlns:ds="http://schemas.openxmlformats.org/officeDocument/2006/customXml" xmlns:cp="http://schemas.openxmlformats.org/package/2006/metadata/core-properties" xmlns:w15="http://schemas.microsoft.com/office/word/2012/wordml" xmlns:ns40="http://schemas.openxmlformats.org/spreadsheetml/2006/main" xmlns:p="http://schemas.openxmlformats.org/presentationml/2006/main" xmlns:dcterms="http://purl.org/dc/terms/" xmlns:rel="http://schemas.openxmlformats.org/package/2006/relationships" xmlns:pkg="http://schemas.microsoft.com/office/2006/xmlPackage" xmlns:vt="http://schemas.openxmlformats.org/officeDocument/2006/docPropsVTypes" xmlns:xf="http://www.w3.org/2002/xforms" xmlns:w14="http://schemas.microsoft.com/office/word/2010/wordml" xmlns:xsi="http://www.w3.org/2001/XMLSchema-instance" xmlns:aml="http://schemas.microsoft.com/aml/2001/core" xmlns:xe="http://www.w3.org/2001/xml-events" xmlns:ns29="http://schemas.openxmlformats.org/drawingml/2006/lockedCanvas" xmlns:ns28="http://schemas.openxmlformats.org/drawingml/2006/compatibility" xmlns:ns27="http://schemas.openxmlformats.org/officeDocument/2006/bibliography" xmlns:odgm="http://opendope.org/SmartArt/DataHierarchy" xmlns:odi="http://opendope.org/components" xmlns:oda="http://opendope.org/answers" xmlns:odq="http://opendope.org/questions" xmlns:odc="http://opendope.org/conditions" xmlns:odx="http://opendope.org/xpaths" xmlns:ns20="http://schemas.microsoft.com/office/2006/coverPageProps" xmlns:ns18="urn:schemas-microsoft-com:office:powerpoint" xmlns:w10="urn:schemas-microsoft-com:office:word" xmlns:v="urn:schemas-microsoft-com:vml" xmlns:o="urn:schemas-microsoft-com:office:office" xmlns:ns14="urn:schemas-microsoft-com:office:excel" xmlns:dsp="http://schemas.microsoft.com/office/drawing/2008/diagram" xmlns:xdr="http://schemas.openxmlformats.org/drawingml/2006/spreadsheetDrawing" xmlns:pic="http://schemas.openxmlformats.org/drawingml/2006/picture" xmlns:dgm="http://schemas.openxmlformats.org/drawingml/2006/diagram" xmlns:ns9="http://schemas.openxmlformats.org/drawingml/2006/chartDrawing" xmlns:wne="http://schemas.microsoft.com/office/word/2006/wordml" xmlns:ns6="http://schemas.openxmlformats.org/schemaLibrary/2006/main" xmlns:wp="http://schemas.openxmlformats.org/drawingml/2006/wordprocessingDrawing" xmlns:m="http://schemas.openxmlformats.org/officeDocument/2006/math" xmlns:w="http://schemas.openxmlformats.org/wordprocessingml/2006/main">
            <c:ext uri="{C3380CC4-5D6E-409C-BE32-E72D297353CC}">
              <c16:uniqueId xmlns:c16="http://schemas.microsoft.com/office/drawing/2014/chart" xmlns:c16r2="http://schemas.microsoft.com/office/drawing/2015/06/chart" val="{00000000-A6A2-4FED-B434-2C3C542BB0C6}"/>
            </c:ext>
          </c:extLst>
        </c:ser>
        <c:dLbls>
          <c:showLegendKey val="0"/>
          <c:showVal val="0"/>
          <c:showCatName val="0"/>
          <c:showSerName val="0"/>
          <c:showPercent val="0"/>
          <c:showBubbleSize val="0"/>
        </c:dLbls>
        <c:gapWidth val="100"/>
        <c:axId val="336859808"/>
        <c:axId val="336860200"/>
      </c:barChart>
      <c:barChart>
        <c:barDir val="col"/>
        <c:grouping val="clustered"/>
        <c:varyColors val="0"/>
        <c:ser>
          <c:idx val="2"/>
          <c:order val="1"/>
          <c:tx>
            <c:strRef>
              <c:f>Calculations!$G$340</c:f>
              <c:strCache>
                <c:ptCount val="1"/>
                <c:pt idx="0">
                  <c:v> </c:v>
                </c:pt>
              </c:strCache>
            </c:strRef>
          </c:tx>
          <c:spPr>
            <a:noFill/>
            <a:ln>
              <a:noFill/>
            </a:ln>
          </c:spPr>
          <c:invertIfNegative val="0"/>
          <c:cat>
            <c:strRef>
              <c:f>[0]!filters_names_photos</c:f>
              <c:strCache>
                <c:ptCount val="5"/>
                <c:pt idx="0">
                  <c:v>Ashby</c:v>
                </c:pt>
                <c:pt idx="1">
                  <c:v>Helena</c:v>
                </c:pt>
                <c:pt idx="2">
                  <c:v>Lark</c:v>
                </c:pt>
                <c:pt idx="3">
                  <c:v>Normal</c:v>
                </c:pt>
                <c:pt idx="4">
                  <c:v>Mayfair</c:v>
                </c:pt>
              </c:strCache>
            </c:strRef>
          </c:cat>
          <c:val>
            <c:numRef>
              <c:f>[0]!filters_dummy_photos</c:f>
              <c:numCache>
                <c:formatCode>General</c:formatCode>
                <c:ptCount val="5"/>
                <c:pt idx="0">
                  <c:v>0</c:v>
                </c:pt>
                <c:pt idx="1">
                  <c:v>0</c:v>
                </c:pt>
                <c:pt idx="2">
                  <c:v>0</c:v>
                </c:pt>
                <c:pt idx="3">
                  <c:v>0</c:v>
                </c:pt>
                <c:pt idx="4">
                  <c:v>0</c:v>
                </c:pt>
              </c:numCache>
            </c:numRef>
          </c:val>
          <c:extLst xmlns:prop="http://schemas.openxmlformats.org/officeDocument/2006/custom-properties" xmlns:xs="http://www.w3.org/2001/XMLSchema" xmlns:mc="http://schemas.openxmlformats.org/markup-compatibility/2006" xmlns:WX="http://schemas.microsoft.com/office/word/2003/auxHint" xmlns:properties="http://schemas.openxmlformats.org/officeDocument/2006/extended-properties" xmlns:dc="http://purl.org/dc/elements/1.1/" xmlns:ds="http://schemas.openxmlformats.org/officeDocument/2006/customXml" xmlns:cp="http://schemas.openxmlformats.org/package/2006/metadata/core-properties" xmlns:w15="http://schemas.microsoft.com/office/word/2012/wordml" xmlns:ns40="http://schemas.openxmlformats.org/spreadsheetml/2006/main" xmlns:p="http://schemas.openxmlformats.org/presentationml/2006/main" xmlns:dcterms="http://purl.org/dc/terms/" xmlns:rel="http://schemas.openxmlformats.org/package/2006/relationships" xmlns:pkg="http://schemas.microsoft.com/office/2006/xmlPackage" xmlns:vt="http://schemas.openxmlformats.org/officeDocument/2006/docPropsVTypes" xmlns:xf="http://www.w3.org/2002/xforms" xmlns:w14="http://schemas.microsoft.com/office/word/2010/wordml" xmlns:xsi="http://www.w3.org/2001/XMLSchema-instance" xmlns:aml="http://schemas.microsoft.com/aml/2001/core" xmlns:xe="http://www.w3.org/2001/xml-events" xmlns:ns29="http://schemas.openxmlformats.org/drawingml/2006/lockedCanvas" xmlns:ns28="http://schemas.openxmlformats.org/drawingml/2006/compatibility" xmlns:ns27="http://schemas.openxmlformats.org/officeDocument/2006/bibliography" xmlns:odgm="http://opendope.org/SmartArt/DataHierarchy" xmlns:odi="http://opendope.org/components" xmlns:oda="http://opendope.org/answers" xmlns:odq="http://opendope.org/questions" xmlns:odc="http://opendope.org/conditions" xmlns:odx="http://opendope.org/xpaths" xmlns:ns20="http://schemas.microsoft.com/office/2006/coverPageProps" xmlns:ns18="urn:schemas-microsoft-com:office:powerpoint" xmlns:w10="urn:schemas-microsoft-com:office:word" xmlns:v="urn:schemas-microsoft-com:vml" xmlns:o="urn:schemas-microsoft-com:office:office" xmlns:ns14="urn:schemas-microsoft-com:office:excel" xmlns:dsp="http://schemas.microsoft.com/office/drawing/2008/diagram" xmlns:xdr="http://schemas.openxmlformats.org/drawingml/2006/spreadsheetDrawing" xmlns:pic="http://schemas.openxmlformats.org/drawingml/2006/picture" xmlns:dgm="http://schemas.openxmlformats.org/drawingml/2006/diagram" xmlns:ns9="http://schemas.openxmlformats.org/drawingml/2006/chartDrawing" xmlns:wne="http://schemas.microsoft.com/office/word/2006/wordml" xmlns:ns6="http://schemas.openxmlformats.org/schemaLibrary/2006/main" xmlns:wp="http://schemas.openxmlformats.org/drawingml/2006/wordprocessingDrawing" xmlns:m="http://schemas.openxmlformats.org/officeDocument/2006/math" xmlns:w="http://schemas.openxmlformats.org/wordprocessingml/2006/main">
            <c:ext uri="{C3380CC4-5D6E-409C-BE32-E72D297353CC}">
              <c16:uniqueId xmlns:c16="http://schemas.microsoft.com/office/drawing/2014/chart" xmlns:c16r2="http://schemas.microsoft.com/office/drawing/2015/06/chart" val="{00000001-A6A2-4FED-B434-2C3C542BB0C6}"/>
            </c:ext>
          </c:extLst>
        </c:ser>
        <c:ser>
          <c:idx val="3"/>
          <c:order val="2"/>
          <c:tx>
            <c:strRef>
              <c:f>Calculations!$G$340</c:f>
              <c:strCache>
                <c:ptCount val="1"/>
                <c:pt idx="0">
                  <c:v> </c:v>
                </c:pt>
              </c:strCache>
            </c:strRef>
          </c:tx>
          <c:spPr>
            <a:noFill/>
            <a:ln>
              <a:noFill/>
            </a:ln>
          </c:spPr>
          <c:invertIfNegative val="0"/>
          <c:cat>
            <c:strRef>
              <c:f>[0]!filters_names_photos</c:f>
              <c:strCache>
                <c:ptCount val="5"/>
                <c:pt idx="0">
                  <c:v>Ashby</c:v>
                </c:pt>
                <c:pt idx="1">
                  <c:v>Helena</c:v>
                </c:pt>
                <c:pt idx="2">
                  <c:v>Lark</c:v>
                </c:pt>
                <c:pt idx="3">
                  <c:v>Normal</c:v>
                </c:pt>
                <c:pt idx="4">
                  <c:v>Mayfair</c:v>
                </c:pt>
              </c:strCache>
            </c:strRef>
          </c:cat>
          <c:val>
            <c:numRef>
              <c:f>[0]!filters_dummy_photos</c:f>
              <c:numCache>
                <c:formatCode>General</c:formatCode>
                <c:ptCount val="5"/>
                <c:pt idx="0">
                  <c:v>0</c:v>
                </c:pt>
                <c:pt idx="1">
                  <c:v>0</c:v>
                </c:pt>
                <c:pt idx="2">
                  <c:v>0</c:v>
                </c:pt>
                <c:pt idx="3">
                  <c:v>0</c:v>
                </c:pt>
                <c:pt idx="4">
                  <c:v>0</c:v>
                </c:pt>
              </c:numCache>
            </c:numRef>
          </c:val>
          <c:extLst xmlns:prop="http://schemas.openxmlformats.org/officeDocument/2006/custom-properties" xmlns:xs="http://www.w3.org/2001/XMLSchema" xmlns:mc="http://schemas.openxmlformats.org/markup-compatibility/2006" xmlns:WX="http://schemas.microsoft.com/office/word/2003/auxHint" xmlns:properties="http://schemas.openxmlformats.org/officeDocument/2006/extended-properties" xmlns:dc="http://purl.org/dc/elements/1.1/" xmlns:ds="http://schemas.openxmlformats.org/officeDocument/2006/customXml" xmlns:cp="http://schemas.openxmlformats.org/package/2006/metadata/core-properties" xmlns:w15="http://schemas.microsoft.com/office/word/2012/wordml" xmlns:ns40="http://schemas.openxmlformats.org/spreadsheetml/2006/main" xmlns:p="http://schemas.openxmlformats.org/presentationml/2006/main" xmlns:dcterms="http://purl.org/dc/terms/" xmlns:rel="http://schemas.openxmlformats.org/package/2006/relationships" xmlns:pkg="http://schemas.microsoft.com/office/2006/xmlPackage" xmlns:vt="http://schemas.openxmlformats.org/officeDocument/2006/docPropsVTypes" xmlns:xf="http://www.w3.org/2002/xforms" xmlns:w14="http://schemas.microsoft.com/office/word/2010/wordml" xmlns:xsi="http://www.w3.org/2001/XMLSchema-instance" xmlns:aml="http://schemas.microsoft.com/aml/2001/core" xmlns:xe="http://www.w3.org/2001/xml-events" xmlns:ns29="http://schemas.openxmlformats.org/drawingml/2006/lockedCanvas" xmlns:ns28="http://schemas.openxmlformats.org/drawingml/2006/compatibility" xmlns:ns27="http://schemas.openxmlformats.org/officeDocument/2006/bibliography" xmlns:odgm="http://opendope.org/SmartArt/DataHierarchy" xmlns:odi="http://opendope.org/components" xmlns:oda="http://opendope.org/answers" xmlns:odq="http://opendope.org/questions" xmlns:odc="http://opendope.org/conditions" xmlns:odx="http://opendope.org/xpaths" xmlns:ns20="http://schemas.microsoft.com/office/2006/coverPageProps" xmlns:ns18="urn:schemas-microsoft-com:office:powerpoint" xmlns:w10="urn:schemas-microsoft-com:office:word" xmlns:v="urn:schemas-microsoft-com:vml" xmlns:o="urn:schemas-microsoft-com:office:office" xmlns:ns14="urn:schemas-microsoft-com:office:excel" xmlns:dsp="http://schemas.microsoft.com/office/drawing/2008/diagram" xmlns:xdr="http://schemas.openxmlformats.org/drawingml/2006/spreadsheetDrawing" xmlns:pic="http://schemas.openxmlformats.org/drawingml/2006/picture" xmlns:dgm="http://schemas.openxmlformats.org/drawingml/2006/diagram" xmlns:ns9="http://schemas.openxmlformats.org/drawingml/2006/chartDrawing" xmlns:wne="http://schemas.microsoft.com/office/word/2006/wordml" xmlns:ns6="http://schemas.openxmlformats.org/schemaLibrary/2006/main" xmlns:wp="http://schemas.openxmlformats.org/drawingml/2006/wordprocessingDrawing" xmlns:m="http://schemas.openxmlformats.org/officeDocument/2006/math" xmlns:w="http://schemas.openxmlformats.org/wordprocessingml/2006/main">
            <c:ext uri="{C3380CC4-5D6E-409C-BE32-E72D297353CC}">
              <c16:uniqueId xmlns:c16="http://schemas.microsoft.com/office/drawing/2014/chart" xmlns:c16r2="http://schemas.microsoft.com/office/drawing/2015/06/chart" val="{00000002-A6A2-4FED-B434-2C3C542BB0C6}"/>
            </c:ext>
          </c:extLst>
        </c:ser>
        <c:ser>
          <c:idx val="0"/>
          <c:order val="3"/>
          <c:tx>
            <c:strRef>
              <c:f>Calculations!$C$344</c:f>
              <c:strCache>
                <c:ptCount val="1"/>
                <c:pt idx="0">
                  <c:v>Number of Photos</c:v>
                </c:pt>
              </c:strCache>
            </c:strRef>
          </c:tx>
          <c:spPr>
            <a:gradFill flip="none" rotWithShape="1">
              <a:gsLst>
                <a:gs pos="0">
                  <a:srgbClr val="414141"/>
                </a:gs>
                <a:gs pos="100000">
                  <a:srgbClr val="747474"/>
                </a:gs>
                <a:gs pos="50000">
                  <a:srgbClr val="606060"/>
                </a:gs>
              </a:gsLst>
              <a:lin ang="0" scaled="1"/>
              <a:tileRect/>
            </a:gradFill>
            <a:ln w="9525">
              <a:solidFill>
                <a:srgbClr val="747474"/>
              </a:solidFill>
            </a:ln>
          </c:spPr>
          <c:invertIfNegative val="0"/>
          <c:dLbls>
            <c:numFmt formatCode="[&gt;=1000000].0,,&quot;M&quot;;[&gt;=10000].0,&quot;K&quot;;#,##0" sourceLinked="0"/>
            <c:spPr>
              <a:noFill/>
              <a:ln>
                <a:noFill/>
              </a:ln>
              <a:effectLst/>
            </c:spPr>
            <c:txPr>
              <a:bodyPr rot="-5400000" vert="horz"/>
              <a:lstStyle/>
              <a:p>
                <a:pPr>
                  <a:defRPr sz="800" b="0">
                    <a:solidFill>
                      <a:srgbClr val="EBEBEB"/>
                    </a:solidFill>
                    <a:latin typeface="Calibri"/>
                    <a:ea typeface="Calibri"/>
                    <a:cs typeface="Calibri"/>
                  </a:defRPr>
                </a:pPr>
                <a:endParaRPr lang="en-US"/>
              </a:p>
            </c:txPr>
            <c:dLblPos val="outEnd"/>
            <c:showLegendKey val="0"/>
            <c:showVal val="1"/>
            <c:showCatName val="0"/>
            <c:showSerName val="0"/>
            <c:showPercent val="0"/>
            <c:showBubbleSize val="0"/>
            <c:showLeaderLines val="0"/>
            <c:extLst xmlns:prop="http://schemas.openxmlformats.org/officeDocument/2006/custom-properties" xmlns:xs="http://www.w3.org/2001/XMLSchema" xmlns:mc="http://schemas.openxmlformats.org/markup-compatibility/2006" xmlns:WX="http://schemas.microsoft.com/office/word/2003/auxHint" xmlns:properties="http://schemas.openxmlformats.org/officeDocument/2006/extended-properties" xmlns:dc="http://purl.org/dc/elements/1.1/" xmlns:ds="http://schemas.openxmlformats.org/officeDocument/2006/customXml" xmlns:cp="http://schemas.openxmlformats.org/package/2006/metadata/core-properties" xmlns:w15="http://schemas.microsoft.com/office/word/2012/wordml" xmlns:ns40="http://schemas.openxmlformats.org/spreadsheetml/2006/main" xmlns:p="http://schemas.openxmlformats.org/presentationml/2006/main" xmlns:dcterms="http://purl.org/dc/terms/" xmlns:rel="http://schemas.openxmlformats.org/package/2006/relationships" xmlns:pkg="http://schemas.microsoft.com/office/2006/xmlPackage" xmlns:vt="http://schemas.openxmlformats.org/officeDocument/2006/docPropsVTypes" xmlns:xf="http://www.w3.org/2002/xforms" xmlns:w14="http://schemas.microsoft.com/office/word/2010/wordml" xmlns:xsi="http://www.w3.org/2001/XMLSchema-instance" xmlns:aml="http://schemas.microsoft.com/aml/2001/core" xmlns:xe="http://www.w3.org/2001/xml-events" xmlns:ns29="http://schemas.openxmlformats.org/drawingml/2006/lockedCanvas" xmlns:ns28="http://schemas.openxmlformats.org/drawingml/2006/compatibility" xmlns:ns27="http://schemas.openxmlformats.org/officeDocument/2006/bibliography" xmlns:odgm="http://opendope.org/SmartArt/DataHierarchy" xmlns:odi="http://opendope.org/components" xmlns:oda="http://opendope.org/answers" xmlns:odq="http://opendope.org/questions" xmlns:odc="http://opendope.org/conditions" xmlns:odx="http://opendope.org/xpaths" xmlns:ns20="http://schemas.microsoft.com/office/2006/coverPageProps" xmlns:ns18="urn:schemas-microsoft-com:office:powerpoint" xmlns:w10="urn:schemas-microsoft-com:office:word" xmlns:v="urn:schemas-microsoft-com:vml" xmlns:o="urn:schemas-microsoft-com:office:office" xmlns:ns14="urn:schemas-microsoft-com:office:excel" xmlns:dsp="http://schemas.microsoft.com/office/drawing/2008/diagram" xmlns:xdr="http://schemas.openxmlformats.org/drawingml/2006/spreadsheetDrawing" xmlns:pic="http://schemas.openxmlformats.org/drawingml/2006/picture" xmlns:dgm="http://schemas.openxmlformats.org/drawingml/2006/diagram" xmlns:ns9="http://schemas.openxmlformats.org/drawingml/2006/chartDrawing" xmlns:wne="http://schemas.microsoft.com/office/word/2006/wordml" xmlns:ns6="http://schemas.openxmlformats.org/schemaLibrary/2006/main" xmlns:wp="http://schemas.openxmlformats.org/drawingml/2006/wordprocessingDrawing" xmlns:m="http://schemas.openxmlformats.org/officeDocument/2006/math" xmlns:w="http://schemas.openxmlformats.org/wordprocessingml/2006/main">
              <c:ext xmlns:c15="http://schemas.microsoft.com/office/drawing/2012/chart" uri="{CE6537A1-D6FC-4f65-9D91-7224C49458BB}">
                <c15:showLeaderLines val="0"/>
              </c:ext>
            </c:extLst>
          </c:dLbls>
          <c:cat>
            <c:strRef>
              <c:f>[0]!filters_names_photos</c:f>
              <c:strCache>
                <c:ptCount val="5"/>
                <c:pt idx="0">
                  <c:v>Ashby</c:v>
                </c:pt>
                <c:pt idx="1">
                  <c:v>Helena</c:v>
                </c:pt>
                <c:pt idx="2">
                  <c:v>Lark</c:v>
                </c:pt>
                <c:pt idx="3">
                  <c:v>Normal</c:v>
                </c:pt>
                <c:pt idx="4">
                  <c:v>Mayfair</c:v>
                </c:pt>
              </c:strCache>
            </c:strRef>
          </c:cat>
          <c:val>
            <c:numRef>
              <c:f>[0]!filters_count_photo</c:f>
              <c:numCache>
                <c:formatCode>General</c:formatCode>
                <c:ptCount val="5"/>
                <c:pt idx="0">
                  <c:v>4</c:v>
                </c:pt>
                <c:pt idx="1">
                  <c:v>5</c:v>
                </c:pt>
                <c:pt idx="2">
                  <c:v>99</c:v>
                </c:pt>
                <c:pt idx="3">
                  <c:v>3146</c:v>
                </c:pt>
                <c:pt idx="4">
                  <c:v>66</c:v>
                </c:pt>
              </c:numCache>
            </c:numRef>
          </c:val>
          <c:extLst xmlns:prop="http://schemas.openxmlformats.org/officeDocument/2006/custom-properties" xmlns:xs="http://www.w3.org/2001/XMLSchema" xmlns:mc="http://schemas.openxmlformats.org/markup-compatibility/2006" xmlns:WX="http://schemas.microsoft.com/office/word/2003/auxHint" xmlns:properties="http://schemas.openxmlformats.org/officeDocument/2006/extended-properties" xmlns:dc="http://purl.org/dc/elements/1.1/" xmlns:ds="http://schemas.openxmlformats.org/officeDocument/2006/customXml" xmlns:cp="http://schemas.openxmlformats.org/package/2006/metadata/core-properties" xmlns:w15="http://schemas.microsoft.com/office/word/2012/wordml" xmlns:ns40="http://schemas.openxmlformats.org/spreadsheetml/2006/main" xmlns:p="http://schemas.openxmlformats.org/presentationml/2006/main" xmlns:dcterms="http://purl.org/dc/terms/" xmlns:rel="http://schemas.openxmlformats.org/package/2006/relationships" xmlns:pkg="http://schemas.microsoft.com/office/2006/xmlPackage" xmlns:vt="http://schemas.openxmlformats.org/officeDocument/2006/docPropsVTypes" xmlns:xf="http://www.w3.org/2002/xforms" xmlns:w14="http://schemas.microsoft.com/office/word/2010/wordml" xmlns:xsi="http://www.w3.org/2001/XMLSchema-instance" xmlns:aml="http://schemas.microsoft.com/aml/2001/core" xmlns:xe="http://www.w3.org/2001/xml-events" xmlns:ns29="http://schemas.openxmlformats.org/drawingml/2006/lockedCanvas" xmlns:ns28="http://schemas.openxmlformats.org/drawingml/2006/compatibility" xmlns:ns27="http://schemas.openxmlformats.org/officeDocument/2006/bibliography" xmlns:odgm="http://opendope.org/SmartArt/DataHierarchy" xmlns:odi="http://opendope.org/components" xmlns:oda="http://opendope.org/answers" xmlns:odq="http://opendope.org/questions" xmlns:odc="http://opendope.org/conditions" xmlns:odx="http://opendope.org/xpaths" xmlns:ns20="http://schemas.microsoft.com/office/2006/coverPageProps" xmlns:ns18="urn:schemas-microsoft-com:office:powerpoint" xmlns:w10="urn:schemas-microsoft-com:office:word" xmlns:v="urn:schemas-microsoft-com:vml" xmlns:o="urn:schemas-microsoft-com:office:office" xmlns:ns14="urn:schemas-microsoft-com:office:excel" xmlns:dsp="http://schemas.microsoft.com/office/drawing/2008/diagram" xmlns:xdr="http://schemas.openxmlformats.org/drawingml/2006/spreadsheetDrawing" xmlns:pic="http://schemas.openxmlformats.org/drawingml/2006/picture" xmlns:dgm="http://schemas.openxmlformats.org/drawingml/2006/diagram" xmlns:ns9="http://schemas.openxmlformats.org/drawingml/2006/chartDrawing" xmlns:wne="http://schemas.microsoft.com/office/word/2006/wordml" xmlns:ns6="http://schemas.openxmlformats.org/schemaLibrary/2006/main" xmlns:wp="http://schemas.openxmlformats.org/drawingml/2006/wordprocessingDrawing" xmlns:m="http://schemas.openxmlformats.org/officeDocument/2006/math" xmlns:w="http://schemas.openxmlformats.org/wordprocessingml/2006/main">
            <c:ext uri="{C3380CC4-5D6E-409C-BE32-E72D297353CC}">
              <c16:uniqueId xmlns:c16="http://schemas.microsoft.com/office/drawing/2014/chart" xmlns:c16r2="http://schemas.microsoft.com/office/drawing/2015/06/chart" val="{00000003-A6A2-4FED-B434-2C3C542BB0C6}"/>
            </c:ext>
          </c:extLst>
        </c:ser>
        <c:dLbls>
          <c:showLegendKey val="0"/>
          <c:showVal val="0"/>
          <c:showCatName val="0"/>
          <c:showSerName val="0"/>
          <c:showPercent val="0"/>
          <c:showBubbleSize val="0"/>
        </c:dLbls>
        <c:gapWidth val="100"/>
        <c:axId val="336860984"/>
        <c:axId val="336860592"/>
      </c:barChart>
      <c:catAx>
        <c:axId val="336859808"/>
        <c:scaling>
          <c:orientation val="minMax"/>
        </c:scaling>
        <c:delete val="0"/>
        <c:axPos val="b"/>
        <c:numFmt formatCode="General" sourceLinked="1"/>
        <c:majorTickMark val="none"/>
        <c:minorTickMark val="none"/>
        <c:tickLblPos val="nextTo"/>
        <c:spPr>
          <a:ln>
            <a:solidFill>
              <a:srgbClr val="969696"/>
            </a:solidFill>
          </a:ln>
        </c:spPr>
        <c:txPr>
          <a:bodyPr rot="-2820000" vert="horz"/>
          <a:lstStyle/>
          <a:p>
            <a:pPr>
              <a:defRPr sz="1000" b="0">
                <a:solidFill>
                  <a:srgbClr val="C8C8C8"/>
                </a:solidFill>
                <a:latin typeface="Calibri"/>
                <a:ea typeface="Calibri"/>
                <a:cs typeface="Calibri"/>
              </a:defRPr>
            </a:pPr>
            <a:endParaRPr lang="en-US"/>
          </a:p>
        </c:txPr>
        <c:crossAx val="336860200"/>
        <c:crosses val="autoZero"/>
        <c:auto val="0"/>
        <c:lblAlgn val="ctr"/>
        <c:lblOffset val="50"/>
        <c:noMultiLvlLbl val="1"/>
      </c:catAx>
      <c:valAx>
        <c:axId val="336860200"/>
        <c:scaling>
          <c:orientation val="minMax"/>
        </c:scaling>
        <c:delete val="0"/>
        <c:axPos val="l"/>
        <c:title>
          <c:tx>
            <c:rich>
              <a:bodyPr rot="-5400000" vert="horz"/>
              <a:lstStyle/>
              <a:p>
                <a:pPr>
                  <a:defRPr sz="1000" b="0">
                    <a:solidFill>
                      <a:srgbClr val="B4B4B4"/>
                    </a:solidFill>
                    <a:latin typeface="Calibri"/>
                    <a:ea typeface="Calibri"/>
                    <a:cs typeface="Calibri"/>
                  </a:defRPr>
                </a:pPr>
                <a:r>
                  <a:rPr lang="en-US"/>
                  <a:t>Engagement per Photo</a:t>
                </a:r>
              </a:p>
            </c:rich>
          </c:tx>
          <c:layout>
            <c:manualLayout>
              <c:xMode val="edge"/>
              <c:yMode val="edge"/>
              <c:x val="2.5229357798165139E-2"/>
              <c:y val="0.35267361111111112"/>
            </c:manualLayout>
          </c:layout>
          <c:overlay val="0"/>
        </c:title>
        <c:numFmt formatCode="[&gt;=1000000].0,,&quot;M&quot;;[&gt;=1000].0,&quot;K&quot;;#,##0" sourceLinked="0"/>
        <c:majorTickMark val="out"/>
        <c:minorTickMark val="none"/>
        <c:tickLblPos val="nextTo"/>
        <c:spPr>
          <a:ln>
            <a:solidFill>
              <a:srgbClr val="969696"/>
            </a:solidFill>
          </a:ln>
        </c:spPr>
        <c:txPr>
          <a:bodyPr/>
          <a:lstStyle/>
          <a:p>
            <a:pPr>
              <a:defRPr sz="800" b="0">
                <a:solidFill>
                  <a:srgbClr val="A0A0A0"/>
                </a:solidFill>
                <a:latin typeface="Calibri"/>
                <a:ea typeface="Calibri"/>
                <a:cs typeface="Calibri"/>
              </a:defRPr>
            </a:pPr>
            <a:endParaRPr lang="en-US"/>
          </a:p>
        </c:txPr>
        <c:crossAx val="336859808"/>
        <c:crosses val="autoZero"/>
        <c:crossBetween val="between"/>
      </c:valAx>
      <c:valAx>
        <c:axId val="336860592"/>
        <c:scaling>
          <c:orientation val="minMax"/>
        </c:scaling>
        <c:delete val="0"/>
        <c:axPos val="r"/>
        <c:title>
          <c:tx>
            <c:rich>
              <a:bodyPr rot="-5400000" vert="horz"/>
              <a:lstStyle/>
              <a:p>
                <a:pPr>
                  <a:defRPr sz="1000" b="0">
                    <a:solidFill>
                      <a:srgbClr val="B4B4B4"/>
                    </a:solidFill>
                    <a:latin typeface="Calibri"/>
                    <a:ea typeface="Calibri"/>
                    <a:cs typeface="Calibri"/>
                  </a:defRPr>
                </a:pPr>
                <a:r>
                  <a:rPr lang="en-US"/>
                  <a:t>Times Used</a:t>
                </a:r>
              </a:p>
            </c:rich>
          </c:tx>
          <c:layout>
            <c:manualLayout>
              <c:xMode val="edge"/>
              <c:yMode val="edge"/>
              <c:x val="0.92660550458715596"/>
              <c:y val="0.4039061132983377"/>
            </c:manualLayout>
          </c:layout>
          <c:overlay val="0"/>
        </c:title>
        <c:numFmt formatCode="[&gt;=1000000].0,,&quot;M&quot;;[&gt;=1000].0,&quot;K&quot;;#,##0" sourceLinked="0"/>
        <c:majorTickMark val="out"/>
        <c:minorTickMark val="none"/>
        <c:tickLblPos val="nextTo"/>
        <c:spPr>
          <a:ln>
            <a:solidFill>
              <a:srgbClr val="969696"/>
            </a:solidFill>
          </a:ln>
        </c:spPr>
        <c:txPr>
          <a:bodyPr/>
          <a:lstStyle/>
          <a:p>
            <a:pPr>
              <a:defRPr sz="800" b="0">
                <a:solidFill>
                  <a:srgbClr val="A0A0A0"/>
                </a:solidFill>
                <a:latin typeface="Calibri"/>
                <a:ea typeface="Calibri"/>
                <a:cs typeface="Calibri"/>
              </a:defRPr>
            </a:pPr>
            <a:endParaRPr lang="en-US"/>
          </a:p>
        </c:txPr>
        <c:crossAx val="336860984"/>
        <c:crosses val="max"/>
        <c:crossBetween val="between"/>
      </c:valAx>
      <c:catAx>
        <c:axId val="336860984"/>
        <c:scaling>
          <c:orientation val="minMax"/>
        </c:scaling>
        <c:delete val="1"/>
        <c:axPos val="b"/>
        <c:numFmt formatCode="General" sourceLinked="1"/>
        <c:majorTickMark val="out"/>
        <c:minorTickMark val="none"/>
        <c:tickLblPos val="nextTo"/>
        <c:crossAx val="336860592"/>
        <c:crosses val="autoZero"/>
        <c:auto val="1"/>
        <c:lblAlgn val="ctr"/>
        <c:lblOffset val="100"/>
        <c:noMultiLvlLbl val="0"/>
      </c:catAx>
      <c:spPr>
        <a:gradFill flip="none" rotWithShape="1">
          <a:gsLst>
            <a:gs pos="0">
              <a:srgbClr val="262626"/>
            </a:gs>
            <a:gs pos="60000">
              <a:srgbClr val="151515"/>
            </a:gs>
          </a:gsLst>
          <a:lin ang="5400000" scaled="1"/>
          <a:tileRect/>
        </a:gradFill>
        <a:ln w="12700">
          <a:solidFill>
            <a:srgbClr val="262626"/>
          </a:solidFill>
        </a:ln>
      </c:spPr>
    </c:plotArea>
    <c:legend>
      <c:legendPos val="t"/>
      <c:layout>
        <c:manualLayout>
          <c:xMode val="edge"/>
          <c:yMode val="edge"/>
          <c:x val="0.16513761467889909"/>
          <c:y val="0.13541666666666666"/>
          <c:w val="0.66743119266055051"/>
          <c:h val="8.3333333333333329E-2"/>
        </c:manualLayout>
      </c:layout>
      <c:overlay val="0"/>
      <c:spPr>
        <a:gradFill flip="none" rotWithShape="1">
          <a:gsLst>
            <a:gs pos="0">
              <a:srgbClr val="151515"/>
            </a:gs>
            <a:gs pos="100000">
              <a:srgbClr val="404040"/>
            </a:gs>
            <a:gs pos="3000">
              <a:srgbClr val="151515"/>
            </a:gs>
            <a:gs pos="4000">
              <a:srgbClr val="404040"/>
            </a:gs>
            <a:gs pos="7000">
              <a:srgbClr val="404040"/>
            </a:gs>
            <a:gs pos="8000">
              <a:srgbClr val="262626"/>
            </a:gs>
            <a:gs pos="92000">
              <a:srgbClr val="262626"/>
            </a:gs>
            <a:gs pos="93000">
              <a:srgbClr val="151515"/>
            </a:gs>
            <a:gs pos="96000">
              <a:srgbClr val="151515"/>
            </a:gs>
            <a:gs pos="97000">
              <a:srgbClr val="404040"/>
            </a:gs>
          </a:gsLst>
          <a:lin ang="5400000" scaled="1"/>
          <a:tileRect/>
        </a:gradFill>
      </c:spPr>
      <c:txPr>
        <a:bodyPr/>
        <a:lstStyle/>
        <a:p>
          <a:pPr>
            <a:defRPr sz="1000" b="0" baseline="0">
              <a:solidFill>
                <a:srgbClr val="C8C8C8"/>
              </a:solidFill>
              <a:latin typeface="Calibri"/>
            </a:defRPr>
          </a:pPr>
          <a:endParaRPr lang="en-US"/>
        </a:p>
      </c:txPr>
    </c:legend>
    <c:plotVisOnly val="1"/>
    <c:dispBlanksAs val="gap"/>
    <c:showDLblsOverMax val="0"/>
  </c:chart>
  <c:spPr>
    <a:noFill/>
    <a:ln w="19050">
      <a:noFill/>
    </a:ln>
  </c:spPr>
  <c:txPr>
    <a:bodyPr/>
    <a:lstStyle/>
    <a:p>
      <a:pPr>
        <a:defRPr>
          <a:solidFill>
            <a:srgbClr val="FFFFFF"/>
          </a:solidFill>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c:style val="2"/>
  <c:clrMapOvr bg1="lt1" tx1="dk1" bg2="lt2" tx2="dk2" accent1="accent1" accent2="accent2" accent3="accent3" accent4="accent4" accent5="accent5" accent6="accent6" hlink="hlink" folHlink="folHlink"/>
  <c:chart>
    <c:title>
      <c:tx>
        <c:rich>
          <a:bodyPr/>
          <a:lstStyle/>
          <a:p>
            <a:pPr algn="l">
              <a:defRPr sz="1600" b="0" cap="none" baseline="0">
                <a:solidFill>
                  <a:srgbClr val="DCDCDC"/>
                </a:solidFill>
                <a:latin typeface="Calibri"/>
                <a:cs typeface="Arial" pitchFamily="34" charset="0"/>
              </a:defRPr>
            </a:pPr>
            <a:r>
              <a:rPr lang="en-US" sz="1600" b="0" cap="none">
                <a:solidFill>
                  <a:srgbClr val="DCDCDC"/>
                </a:solidFill>
                <a:latin typeface="Calibri"/>
              </a:rPr>
              <a:t>Top Video Filters (By Engagement)</a:t>
            </a:r>
          </a:p>
        </c:rich>
      </c:tx>
      <c:layout>
        <c:manualLayout>
          <c:xMode val="edge"/>
          <c:yMode val="edge"/>
          <c:x val="7.7981651376146793E-2"/>
          <c:y val="2.7777777777777776E-2"/>
        </c:manualLayout>
      </c:layout>
      <c:overlay val="0"/>
    </c:title>
    <c:autoTitleDeleted val="0"/>
    <c:plotArea>
      <c:layout>
        <c:manualLayout>
          <c:layoutTarget val="inner"/>
          <c:xMode val="edge"/>
          <c:yMode val="edge"/>
          <c:x val="0.16513761467889909"/>
          <c:y val="0.2638888888888889"/>
          <c:w val="0.66743119266055051"/>
          <c:h val="0.5"/>
        </c:manualLayout>
      </c:layout>
      <c:barChart>
        <c:barDir val="col"/>
        <c:grouping val="clustered"/>
        <c:varyColors val="0"/>
        <c:ser>
          <c:idx val="1"/>
          <c:order val="0"/>
          <c:tx>
            <c:strRef>
              <c:f>Calculations!$D$359</c:f>
              <c:strCache>
                <c:ptCount val="1"/>
                <c:pt idx="0">
                  <c:v>Engagement Per Video</c:v>
                </c:pt>
              </c:strCache>
            </c:strRef>
          </c:tx>
          <c:spPr>
            <a:gradFill flip="none" rotWithShape="1">
              <a:gsLst>
                <a:gs pos="0">
                  <a:srgbClr val="184479"/>
                </a:gs>
                <a:gs pos="100000">
                  <a:srgbClr val="3B7AC6"/>
                </a:gs>
                <a:gs pos="50000">
                  <a:srgbClr val="2765AF"/>
                </a:gs>
              </a:gsLst>
              <a:lin ang="0" scaled="1"/>
              <a:tileRect/>
            </a:gradFill>
            <a:ln w="12700">
              <a:solidFill>
                <a:srgbClr val="3B7AC6"/>
              </a:solidFill>
            </a:ln>
          </c:spPr>
          <c:invertIfNegative val="0"/>
          <c:dLbls>
            <c:numFmt formatCode="[&gt;=1000000].0,,&quot;M&quot;;[&gt;=10000].0,&quot;K&quot;;#,##0" sourceLinked="0"/>
            <c:spPr>
              <a:noFill/>
              <a:ln>
                <a:noFill/>
              </a:ln>
              <a:effectLst/>
            </c:spPr>
            <c:txPr>
              <a:bodyPr rot="0" vert="horz"/>
              <a:lstStyle/>
              <a:p>
                <a:pPr>
                  <a:defRPr sz="800" b="0" baseline="0">
                    <a:solidFill>
                      <a:srgbClr val="B4B4B4"/>
                    </a:solidFill>
                    <a:latin typeface="Calibri"/>
                    <a:ea typeface="Calibri"/>
                    <a:cs typeface="Calibri"/>
                  </a:defRPr>
                </a:pPr>
                <a:endParaRPr lang="en-US"/>
              </a:p>
            </c:txPr>
            <c:dLblPos val="outEnd"/>
            <c:showLegendKey val="0"/>
            <c:showVal val="1"/>
            <c:showCatName val="0"/>
            <c:showSerName val="0"/>
            <c:showPercent val="0"/>
            <c:showBubbleSize val="0"/>
            <c:showLeaderLines val="0"/>
            <c:extLst xmlns:prop="http://schemas.openxmlformats.org/officeDocument/2006/custom-properties" xmlns:xs="http://www.w3.org/2001/XMLSchema" xmlns:mc="http://schemas.openxmlformats.org/markup-compatibility/2006" xmlns:WX="http://schemas.microsoft.com/office/word/2003/auxHint" xmlns:properties="http://schemas.openxmlformats.org/officeDocument/2006/extended-properties" xmlns:dc="http://purl.org/dc/elements/1.1/" xmlns:ds="http://schemas.openxmlformats.org/officeDocument/2006/customXml" xmlns:cp="http://schemas.openxmlformats.org/package/2006/metadata/core-properties" xmlns:w15="http://schemas.microsoft.com/office/word/2012/wordml" xmlns:ns40="http://schemas.openxmlformats.org/spreadsheetml/2006/main" xmlns:p="http://schemas.openxmlformats.org/presentationml/2006/main" xmlns:dcterms="http://purl.org/dc/terms/" xmlns:rel="http://schemas.openxmlformats.org/package/2006/relationships" xmlns:pkg="http://schemas.microsoft.com/office/2006/xmlPackage" xmlns:vt="http://schemas.openxmlformats.org/officeDocument/2006/docPropsVTypes" xmlns:xf="http://www.w3.org/2002/xforms" xmlns:w14="http://schemas.microsoft.com/office/word/2010/wordml" xmlns:xsi="http://www.w3.org/2001/XMLSchema-instance" xmlns:aml="http://schemas.microsoft.com/aml/2001/core" xmlns:xe="http://www.w3.org/2001/xml-events" xmlns:ns29="http://schemas.openxmlformats.org/drawingml/2006/lockedCanvas" xmlns:ns28="http://schemas.openxmlformats.org/drawingml/2006/compatibility" xmlns:ns27="http://schemas.openxmlformats.org/officeDocument/2006/bibliography" xmlns:odgm="http://opendope.org/SmartArt/DataHierarchy" xmlns:odi="http://opendope.org/components" xmlns:oda="http://opendope.org/answers" xmlns:odq="http://opendope.org/questions" xmlns:odc="http://opendope.org/conditions" xmlns:odx="http://opendope.org/xpaths" xmlns:ns20="http://schemas.microsoft.com/office/2006/coverPageProps" xmlns:ns18="urn:schemas-microsoft-com:office:powerpoint" xmlns:w10="urn:schemas-microsoft-com:office:word" xmlns:v="urn:schemas-microsoft-com:vml" xmlns:o="urn:schemas-microsoft-com:office:office" xmlns:ns14="urn:schemas-microsoft-com:office:excel" xmlns:dsp="http://schemas.microsoft.com/office/drawing/2008/diagram" xmlns:xdr="http://schemas.openxmlformats.org/drawingml/2006/spreadsheetDrawing" xmlns:pic="http://schemas.openxmlformats.org/drawingml/2006/picture" xmlns:dgm="http://schemas.openxmlformats.org/drawingml/2006/diagram" xmlns:ns9="http://schemas.openxmlformats.org/drawingml/2006/chartDrawing" xmlns:wne="http://schemas.microsoft.com/office/word/2006/wordml" xmlns:ns6="http://schemas.openxmlformats.org/schemaLibrary/2006/main" xmlns:wp="http://schemas.openxmlformats.org/drawingml/2006/wordprocessingDrawing" xmlns:m="http://schemas.openxmlformats.org/officeDocument/2006/math" xmlns:w="http://schemas.openxmlformats.org/wordprocessingml/2006/main">
              <c:ext xmlns:c15="http://schemas.microsoft.com/office/drawing/2012/chart" uri="{CE6537A1-D6FC-4f65-9D91-7224C49458BB}">
                <c15:showLeaderLines val="0"/>
              </c:ext>
            </c:extLst>
          </c:dLbls>
          <c:cat>
            <c:strRef>
              <c:f>[0]!filters_names_videos</c:f>
              <c:strCache>
                <c:ptCount val="5"/>
                <c:pt idx="0">
                  <c:v>Hudson</c:v>
                </c:pt>
                <c:pt idx="1">
                  <c:v>Amaro</c:v>
                </c:pt>
                <c:pt idx="2">
                  <c:v>Rise</c:v>
                </c:pt>
                <c:pt idx="3">
                  <c:v>Willow</c:v>
                </c:pt>
                <c:pt idx="4">
                  <c:v>Skyline</c:v>
                </c:pt>
              </c:strCache>
            </c:strRef>
          </c:cat>
          <c:val>
            <c:numRef>
              <c:f>[0]!filters_engagement_per_video</c:f>
              <c:numCache>
                <c:formatCode>#,##0</c:formatCode>
                <c:ptCount val="5"/>
                <c:pt idx="0">
                  <c:v>470.33333333333331</c:v>
                </c:pt>
                <c:pt idx="1">
                  <c:v>101.66666666666667</c:v>
                </c:pt>
                <c:pt idx="2">
                  <c:v>73.5</c:v>
                </c:pt>
                <c:pt idx="3">
                  <c:v>73</c:v>
                </c:pt>
                <c:pt idx="4">
                  <c:v>70</c:v>
                </c:pt>
              </c:numCache>
            </c:numRef>
          </c:val>
          <c:extLst xmlns:prop="http://schemas.openxmlformats.org/officeDocument/2006/custom-properties" xmlns:xs="http://www.w3.org/2001/XMLSchema" xmlns:mc="http://schemas.openxmlformats.org/markup-compatibility/2006" xmlns:WX="http://schemas.microsoft.com/office/word/2003/auxHint" xmlns:properties="http://schemas.openxmlformats.org/officeDocument/2006/extended-properties" xmlns:dc="http://purl.org/dc/elements/1.1/" xmlns:ds="http://schemas.openxmlformats.org/officeDocument/2006/customXml" xmlns:cp="http://schemas.openxmlformats.org/package/2006/metadata/core-properties" xmlns:w15="http://schemas.microsoft.com/office/word/2012/wordml" xmlns:ns40="http://schemas.openxmlformats.org/spreadsheetml/2006/main" xmlns:p="http://schemas.openxmlformats.org/presentationml/2006/main" xmlns:dcterms="http://purl.org/dc/terms/" xmlns:rel="http://schemas.openxmlformats.org/package/2006/relationships" xmlns:pkg="http://schemas.microsoft.com/office/2006/xmlPackage" xmlns:vt="http://schemas.openxmlformats.org/officeDocument/2006/docPropsVTypes" xmlns:xf="http://www.w3.org/2002/xforms" xmlns:w14="http://schemas.microsoft.com/office/word/2010/wordml" xmlns:xsi="http://www.w3.org/2001/XMLSchema-instance" xmlns:aml="http://schemas.microsoft.com/aml/2001/core" xmlns:xe="http://www.w3.org/2001/xml-events" xmlns:ns29="http://schemas.openxmlformats.org/drawingml/2006/lockedCanvas" xmlns:ns28="http://schemas.openxmlformats.org/drawingml/2006/compatibility" xmlns:ns27="http://schemas.openxmlformats.org/officeDocument/2006/bibliography" xmlns:odgm="http://opendope.org/SmartArt/DataHierarchy" xmlns:odi="http://opendope.org/components" xmlns:oda="http://opendope.org/answers" xmlns:odq="http://opendope.org/questions" xmlns:odc="http://opendope.org/conditions" xmlns:odx="http://opendope.org/xpaths" xmlns:ns20="http://schemas.microsoft.com/office/2006/coverPageProps" xmlns:ns18="urn:schemas-microsoft-com:office:powerpoint" xmlns:w10="urn:schemas-microsoft-com:office:word" xmlns:v="urn:schemas-microsoft-com:vml" xmlns:o="urn:schemas-microsoft-com:office:office" xmlns:ns14="urn:schemas-microsoft-com:office:excel" xmlns:dsp="http://schemas.microsoft.com/office/drawing/2008/diagram" xmlns:xdr="http://schemas.openxmlformats.org/drawingml/2006/spreadsheetDrawing" xmlns:pic="http://schemas.openxmlformats.org/drawingml/2006/picture" xmlns:dgm="http://schemas.openxmlformats.org/drawingml/2006/diagram" xmlns:ns9="http://schemas.openxmlformats.org/drawingml/2006/chartDrawing" xmlns:wne="http://schemas.microsoft.com/office/word/2006/wordml" xmlns:ns6="http://schemas.openxmlformats.org/schemaLibrary/2006/main" xmlns:wp="http://schemas.openxmlformats.org/drawingml/2006/wordprocessingDrawing" xmlns:m="http://schemas.openxmlformats.org/officeDocument/2006/math" xmlns:w="http://schemas.openxmlformats.org/wordprocessingml/2006/main">
            <c:ext uri="{C3380CC4-5D6E-409C-BE32-E72D297353CC}">
              <c16:uniqueId xmlns:c16="http://schemas.microsoft.com/office/drawing/2014/chart" xmlns:c16r2="http://schemas.microsoft.com/office/drawing/2015/06/chart" val="{00000000-A7F4-4B33-9910-5DD8F887DC1F}"/>
            </c:ext>
          </c:extLst>
        </c:ser>
        <c:dLbls>
          <c:showLegendKey val="0"/>
          <c:showVal val="0"/>
          <c:showCatName val="0"/>
          <c:showSerName val="0"/>
          <c:showPercent val="0"/>
          <c:showBubbleSize val="0"/>
        </c:dLbls>
        <c:gapWidth val="100"/>
        <c:axId val="336861768"/>
        <c:axId val="336862160"/>
      </c:barChart>
      <c:barChart>
        <c:barDir val="col"/>
        <c:grouping val="clustered"/>
        <c:varyColors val="0"/>
        <c:ser>
          <c:idx val="2"/>
          <c:order val="1"/>
          <c:tx>
            <c:strRef>
              <c:f>Calculations!$G$340</c:f>
              <c:strCache>
                <c:ptCount val="1"/>
                <c:pt idx="0">
                  <c:v> </c:v>
                </c:pt>
              </c:strCache>
            </c:strRef>
          </c:tx>
          <c:spPr>
            <a:noFill/>
            <a:ln>
              <a:noFill/>
            </a:ln>
          </c:spPr>
          <c:invertIfNegative val="0"/>
          <c:cat>
            <c:strRef>
              <c:f>[0]!filters_names_videos</c:f>
              <c:strCache>
                <c:ptCount val="5"/>
                <c:pt idx="0">
                  <c:v>Hudson</c:v>
                </c:pt>
                <c:pt idx="1">
                  <c:v>Amaro</c:v>
                </c:pt>
                <c:pt idx="2">
                  <c:v>Rise</c:v>
                </c:pt>
                <c:pt idx="3">
                  <c:v>Willow</c:v>
                </c:pt>
                <c:pt idx="4">
                  <c:v>Skyline</c:v>
                </c:pt>
              </c:strCache>
            </c:strRef>
          </c:cat>
          <c:val>
            <c:numRef>
              <c:f>[0]!filters_dummy_videos</c:f>
              <c:numCache>
                <c:formatCode>General</c:formatCode>
                <c:ptCount val="5"/>
                <c:pt idx="0">
                  <c:v>0</c:v>
                </c:pt>
                <c:pt idx="1">
                  <c:v>0</c:v>
                </c:pt>
                <c:pt idx="2">
                  <c:v>0</c:v>
                </c:pt>
                <c:pt idx="3">
                  <c:v>0</c:v>
                </c:pt>
                <c:pt idx="4">
                  <c:v>0</c:v>
                </c:pt>
              </c:numCache>
            </c:numRef>
          </c:val>
          <c:extLst xmlns:prop="http://schemas.openxmlformats.org/officeDocument/2006/custom-properties" xmlns:xs="http://www.w3.org/2001/XMLSchema" xmlns:mc="http://schemas.openxmlformats.org/markup-compatibility/2006" xmlns:WX="http://schemas.microsoft.com/office/word/2003/auxHint" xmlns:properties="http://schemas.openxmlformats.org/officeDocument/2006/extended-properties" xmlns:dc="http://purl.org/dc/elements/1.1/" xmlns:ds="http://schemas.openxmlformats.org/officeDocument/2006/customXml" xmlns:cp="http://schemas.openxmlformats.org/package/2006/metadata/core-properties" xmlns:w15="http://schemas.microsoft.com/office/word/2012/wordml" xmlns:ns40="http://schemas.openxmlformats.org/spreadsheetml/2006/main" xmlns:p="http://schemas.openxmlformats.org/presentationml/2006/main" xmlns:dcterms="http://purl.org/dc/terms/" xmlns:rel="http://schemas.openxmlformats.org/package/2006/relationships" xmlns:pkg="http://schemas.microsoft.com/office/2006/xmlPackage" xmlns:vt="http://schemas.openxmlformats.org/officeDocument/2006/docPropsVTypes" xmlns:xf="http://www.w3.org/2002/xforms" xmlns:w14="http://schemas.microsoft.com/office/word/2010/wordml" xmlns:xsi="http://www.w3.org/2001/XMLSchema-instance" xmlns:aml="http://schemas.microsoft.com/aml/2001/core" xmlns:xe="http://www.w3.org/2001/xml-events" xmlns:ns29="http://schemas.openxmlformats.org/drawingml/2006/lockedCanvas" xmlns:ns28="http://schemas.openxmlformats.org/drawingml/2006/compatibility" xmlns:ns27="http://schemas.openxmlformats.org/officeDocument/2006/bibliography" xmlns:odgm="http://opendope.org/SmartArt/DataHierarchy" xmlns:odi="http://opendope.org/components" xmlns:oda="http://opendope.org/answers" xmlns:odq="http://opendope.org/questions" xmlns:odc="http://opendope.org/conditions" xmlns:odx="http://opendope.org/xpaths" xmlns:ns20="http://schemas.microsoft.com/office/2006/coverPageProps" xmlns:ns18="urn:schemas-microsoft-com:office:powerpoint" xmlns:w10="urn:schemas-microsoft-com:office:word" xmlns:v="urn:schemas-microsoft-com:vml" xmlns:o="urn:schemas-microsoft-com:office:office" xmlns:ns14="urn:schemas-microsoft-com:office:excel" xmlns:dsp="http://schemas.microsoft.com/office/drawing/2008/diagram" xmlns:xdr="http://schemas.openxmlformats.org/drawingml/2006/spreadsheetDrawing" xmlns:pic="http://schemas.openxmlformats.org/drawingml/2006/picture" xmlns:dgm="http://schemas.openxmlformats.org/drawingml/2006/diagram" xmlns:ns9="http://schemas.openxmlformats.org/drawingml/2006/chartDrawing" xmlns:wne="http://schemas.microsoft.com/office/word/2006/wordml" xmlns:ns6="http://schemas.openxmlformats.org/schemaLibrary/2006/main" xmlns:wp="http://schemas.openxmlformats.org/drawingml/2006/wordprocessingDrawing" xmlns:m="http://schemas.openxmlformats.org/officeDocument/2006/math" xmlns:w="http://schemas.openxmlformats.org/wordprocessingml/2006/main">
            <c:ext uri="{C3380CC4-5D6E-409C-BE32-E72D297353CC}">
              <c16:uniqueId xmlns:c16="http://schemas.microsoft.com/office/drawing/2014/chart" xmlns:c16r2="http://schemas.microsoft.com/office/drawing/2015/06/chart" val="{00000001-A7F4-4B33-9910-5DD8F887DC1F}"/>
            </c:ext>
          </c:extLst>
        </c:ser>
        <c:ser>
          <c:idx val="3"/>
          <c:order val="2"/>
          <c:tx>
            <c:strRef>
              <c:f>Calculations!$G$340</c:f>
              <c:strCache>
                <c:ptCount val="1"/>
                <c:pt idx="0">
                  <c:v> </c:v>
                </c:pt>
              </c:strCache>
            </c:strRef>
          </c:tx>
          <c:spPr>
            <a:noFill/>
            <a:ln>
              <a:noFill/>
            </a:ln>
          </c:spPr>
          <c:invertIfNegative val="0"/>
          <c:cat>
            <c:strRef>
              <c:f>[0]!filters_names_videos</c:f>
              <c:strCache>
                <c:ptCount val="5"/>
                <c:pt idx="0">
                  <c:v>Hudson</c:v>
                </c:pt>
                <c:pt idx="1">
                  <c:v>Amaro</c:v>
                </c:pt>
                <c:pt idx="2">
                  <c:v>Rise</c:v>
                </c:pt>
                <c:pt idx="3">
                  <c:v>Willow</c:v>
                </c:pt>
                <c:pt idx="4">
                  <c:v>Skyline</c:v>
                </c:pt>
              </c:strCache>
            </c:strRef>
          </c:cat>
          <c:val>
            <c:numRef>
              <c:f>[0]!filters_dummy_videos</c:f>
              <c:numCache>
                <c:formatCode>General</c:formatCode>
                <c:ptCount val="5"/>
                <c:pt idx="0">
                  <c:v>0</c:v>
                </c:pt>
                <c:pt idx="1">
                  <c:v>0</c:v>
                </c:pt>
                <c:pt idx="2">
                  <c:v>0</c:v>
                </c:pt>
                <c:pt idx="3">
                  <c:v>0</c:v>
                </c:pt>
                <c:pt idx="4">
                  <c:v>0</c:v>
                </c:pt>
              </c:numCache>
            </c:numRef>
          </c:val>
          <c:extLst xmlns:prop="http://schemas.openxmlformats.org/officeDocument/2006/custom-properties" xmlns:xs="http://www.w3.org/2001/XMLSchema" xmlns:mc="http://schemas.openxmlformats.org/markup-compatibility/2006" xmlns:WX="http://schemas.microsoft.com/office/word/2003/auxHint" xmlns:properties="http://schemas.openxmlformats.org/officeDocument/2006/extended-properties" xmlns:dc="http://purl.org/dc/elements/1.1/" xmlns:ds="http://schemas.openxmlformats.org/officeDocument/2006/customXml" xmlns:cp="http://schemas.openxmlformats.org/package/2006/metadata/core-properties" xmlns:w15="http://schemas.microsoft.com/office/word/2012/wordml" xmlns:ns40="http://schemas.openxmlformats.org/spreadsheetml/2006/main" xmlns:p="http://schemas.openxmlformats.org/presentationml/2006/main" xmlns:dcterms="http://purl.org/dc/terms/" xmlns:rel="http://schemas.openxmlformats.org/package/2006/relationships" xmlns:pkg="http://schemas.microsoft.com/office/2006/xmlPackage" xmlns:vt="http://schemas.openxmlformats.org/officeDocument/2006/docPropsVTypes" xmlns:xf="http://www.w3.org/2002/xforms" xmlns:w14="http://schemas.microsoft.com/office/word/2010/wordml" xmlns:xsi="http://www.w3.org/2001/XMLSchema-instance" xmlns:aml="http://schemas.microsoft.com/aml/2001/core" xmlns:xe="http://www.w3.org/2001/xml-events" xmlns:ns29="http://schemas.openxmlformats.org/drawingml/2006/lockedCanvas" xmlns:ns28="http://schemas.openxmlformats.org/drawingml/2006/compatibility" xmlns:ns27="http://schemas.openxmlformats.org/officeDocument/2006/bibliography" xmlns:odgm="http://opendope.org/SmartArt/DataHierarchy" xmlns:odi="http://opendope.org/components" xmlns:oda="http://opendope.org/answers" xmlns:odq="http://opendope.org/questions" xmlns:odc="http://opendope.org/conditions" xmlns:odx="http://opendope.org/xpaths" xmlns:ns20="http://schemas.microsoft.com/office/2006/coverPageProps" xmlns:ns18="urn:schemas-microsoft-com:office:powerpoint" xmlns:w10="urn:schemas-microsoft-com:office:word" xmlns:v="urn:schemas-microsoft-com:vml" xmlns:o="urn:schemas-microsoft-com:office:office" xmlns:ns14="urn:schemas-microsoft-com:office:excel" xmlns:dsp="http://schemas.microsoft.com/office/drawing/2008/diagram" xmlns:xdr="http://schemas.openxmlformats.org/drawingml/2006/spreadsheetDrawing" xmlns:pic="http://schemas.openxmlformats.org/drawingml/2006/picture" xmlns:dgm="http://schemas.openxmlformats.org/drawingml/2006/diagram" xmlns:ns9="http://schemas.openxmlformats.org/drawingml/2006/chartDrawing" xmlns:wne="http://schemas.microsoft.com/office/word/2006/wordml" xmlns:ns6="http://schemas.openxmlformats.org/schemaLibrary/2006/main" xmlns:wp="http://schemas.openxmlformats.org/drawingml/2006/wordprocessingDrawing" xmlns:m="http://schemas.openxmlformats.org/officeDocument/2006/math" xmlns:w="http://schemas.openxmlformats.org/wordprocessingml/2006/main">
            <c:ext uri="{C3380CC4-5D6E-409C-BE32-E72D297353CC}">
              <c16:uniqueId xmlns:c16="http://schemas.microsoft.com/office/drawing/2014/chart" xmlns:c16r2="http://schemas.microsoft.com/office/drawing/2015/06/chart" val="{00000002-A7F4-4B33-9910-5DD8F887DC1F}"/>
            </c:ext>
          </c:extLst>
        </c:ser>
        <c:ser>
          <c:idx val="0"/>
          <c:order val="3"/>
          <c:tx>
            <c:strRef>
              <c:f>Calculations!$C$359</c:f>
              <c:strCache>
                <c:ptCount val="1"/>
                <c:pt idx="0">
                  <c:v>Number of Videos</c:v>
                </c:pt>
              </c:strCache>
            </c:strRef>
          </c:tx>
          <c:spPr>
            <a:gradFill flip="none" rotWithShape="1">
              <a:gsLst>
                <a:gs pos="0">
                  <a:srgbClr val="414141"/>
                </a:gs>
                <a:gs pos="100000">
                  <a:srgbClr val="747474"/>
                </a:gs>
                <a:gs pos="50000">
                  <a:srgbClr val="606060"/>
                </a:gs>
              </a:gsLst>
              <a:lin ang="0" scaled="1"/>
              <a:tileRect/>
            </a:gradFill>
            <a:ln w="9525">
              <a:solidFill>
                <a:srgbClr val="747474"/>
              </a:solidFill>
            </a:ln>
          </c:spPr>
          <c:invertIfNegative val="0"/>
          <c:dLbls>
            <c:numFmt formatCode="[&gt;=1000000].0,,&quot;M&quot;;[&gt;=10000].0,&quot;K&quot;;#,##0" sourceLinked="0"/>
            <c:spPr>
              <a:noFill/>
              <a:ln>
                <a:noFill/>
              </a:ln>
              <a:effectLst/>
            </c:spPr>
            <c:txPr>
              <a:bodyPr rot="-5400000" vert="horz"/>
              <a:lstStyle/>
              <a:p>
                <a:pPr>
                  <a:defRPr sz="800" b="0">
                    <a:solidFill>
                      <a:srgbClr val="EBEBEB"/>
                    </a:solidFill>
                    <a:latin typeface="Calibri"/>
                    <a:ea typeface="Calibri"/>
                    <a:cs typeface="Calibri"/>
                  </a:defRPr>
                </a:pPr>
                <a:endParaRPr lang="en-US"/>
              </a:p>
            </c:txPr>
            <c:dLblPos val="outEnd"/>
            <c:showLegendKey val="0"/>
            <c:showVal val="1"/>
            <c:showCatName val="0"/>
            <c:showSerName val="0"/>
            <c:showPercent val="0"/>
            <c:showBubbleSize val="0"/>
            <c:showLeaderLines val="0"/>
            <c:extLst xmlns:prop="http://schemas.openxmlformats.org/officeDocument/2006/custom-properties" xmlns:xs="http://www.w3.org/2001/XMLSchema" xmlns:mc="http://schemas.openxmlformats.org/markup-compatibility/2006" xmlns:WX="http://schemas.microsoft.com/office/word/2003/auxHint" xmlns:properties="http://schemas.openxmlformats.org/officeDocument/2006/extended-properties" xmlns:dc="http://purl.org/dc/elements/1.1/" xmlns:ds="http://schemas.openxmlformats.org/officeDocument/2006/customXml" xmlns:cp="http://schemas.openxmlformats.org/package/2006/metadata/core-properties" xmlns:w15="http://schemas.microsoft.com/office/word/2012/wordml" xmlns:ns40="http://schemas.openxmlformats.org/spreadsheetml/2006/main" xmlns:p="http://schemas.openxmlformats.org/presentationml/2006/main" xmlns:dcterms="http://purl.org/dc/terms/" xmlns:rel="http://schemas.openxmlformats.org/package/2006/relationships" xmlns:pkg="http://schemas.microsoft.com/office/2006/xmlPackage" xmlns:vt="http://schemas.openxmlformats.org/officeDocument/2006/docPropsVTypes" xmlns:xf="http://www.w3.org/2002/xforms" xmlns:w14="http://schemas.microsoft.com/office/word/2010/wordml" xmlns:xsi="http://www.w3.org/2001/XMLSchema-instance" xmlns:aml="http://schemas.microsoft.com/aml/2001/core" xmlns:xe="http://www.w3.org/2001/xml-events" xmlns:ns29="http://schemas.openxmlformats.org/drawingml/2006/lockedCanvas" xmlns:ns28="http://schemas.openxmlformats.org/drawingml/2006/compatibility" xmlns:ns27="http://schemas.openxmlformats.org/officeDocument/2006/bibliography" xmlns:odgm="http://opendope.org/SmartArt/DataHierarchy" xmlns:odi="http://opendope.org/components" xmlns:oda="http://opendope.org/answers" xmlns:odq="http://opendope.org/questions" xmlns:odc="http://opendope.org/conditions" xmlns:odx="http://opendope.org/xpaths" xmlns:ns20="http://schemas.microsoft.com/office/2006/coverPageProps" xmlns:ns18="urn:schemas-microsoft-com:office:powerpoint" xmlns:w10="urn:schemas-microsoft-com:office:word" xmlns:v="urn:schemas-microsoft-com:vml" xmlns:o="urn:schemas-microsoft-com:office:office" xmlns:ns14="urn:schemas-microsoft-com:office:excel" xmlns:dsp="http://schemas.microsoft.com/office/drawing/2008/diagram" xmlns:xdr="http://schemas.openxmlformats.org/drawingml/2006/spreadsheetDrawing" xmlns:pic="http://schemas.openxmlformats.org/drawingml/2006/picture" xmlns:dgm="http://schemas.openxmlformats.org/drawingml/2006/diagram" xmlns:ns9="http://schemas.openxmlformats.org/drawingml/2006/chartDrawing" xmlns:wne="http://schemas.microsoft.com/office/word/2006/wordml" xmlns:ns6="http://schemas.openxmlformats.org/schemaLibrary/2006/main" xmlns:wp="http://schemas.openxmlformats.org/drawingml/2006/wordprocessingDrawing" xmlns:m="http://schemas.openxmlformats.org/officeDocument/2006/math" xmlns:w="http://schemas.openxmlformats.org/wordprocessingml/2006/main">
              <c:ext xmlns:c15="http://schemas.microsoft.com/office/drawing/2012/chart" uri="{CE6537A1-D6FC-4f65-9D91-7224C49458BB}">
                <c15:showLeaderLines val="0"/>
              </c:ext>
            </c:extLst>
          </c:dLbls>
          <c:cat>
            <c:strRef>
              <c:f>[0]!filters_names_videos</c:f>
              <c:strCache>
                <c:ptCount val="5"/>
                <c:pt idx="0">
                  <c:v>Hudson</c:v>
                </c:pt>
                <c:pt idx="1">
                  <c:v>Amaro</c:v>
                </c:pt>
                <c:pt idx="2">
                  <c:v>Rise</c:v>
                </c:pt>
                <c:pt idx="3">
                  <c:v>Willow</c:v>
                </c:pt>
                <c:pt idx="4">
                  <c:v>Skyline</c:v>
                </c:pt>
              </c:strCache>
            </c:strRef>
          </c:cat>
          <c:val>
            <c:numRef>
              <c:f>[0]!filters_count_video</c:f>
              <c:numCache>
                <c:formatCode>General</c:formatCode>
                <c:ptCount val="5"/>
                <c:pt idx="0">
                  <c:v>3</c:v>
                </c:pt>
                <c:pt idx="1">
                  <c:v>6</c:v>
                </c:pt>
                <c:pt idx="2">
                  <c:v>2</c:v>
                </c:pt>
                <c:pt idx="3">
                  <c:v>2</c:v>
                </c:pt>
                <c:pt idx="4">
                  <c:v>1</c:v>
                </c:pt>
              </c:numCache>
            </c:numRef>
          </c:val>
          <c:extLst xmlns:prop="http://schemas.openxmlformats.org/officeDocument/2006/custom-properties" xmlns:xs="http://www.w3.org/2001/XMLSchema" xmlns:mc="http://schemas.openxmlformats.org/markup-compatibility/2006" xmlns:WX="http://schemas.microsoft.com/office/word/2003/auxHint" xmlns:properties="http://schemas.openxmlformats.org/officeDocument/2006/extended-properties" xmlns:dc="http://purl.org/dc/elements/1.1/" xmlns:ds="http://schemas.openxmlformats.org/officeDocument/2006/customXml" xmlns:cp="http://schemas.openxmlformats.org/package/2006/metadata/core-properties" xmlns:w15="http://schemas.microsoft.com/office/word/2012/wordml" xmlns:ns40="http://schemas.openxmlformats.org/spreadsheetml/2006/main" xmlns:p="http://schemas.openxmlformats.org/presentationml/2006/main" xmlns:dcterms="http://purl.org/dc/terms/" xmlns:rel="http://schemas.openxmlformats.org/package/2006/relationships" xmlns:pkg="http://schemas.microsoft.com/office/2006/xmlPackage" xmlns:vt="http://schemas.openxmlformats.org/officeDocument/2006/docPropsVTypes" xmlns:xf="http://www.w3.org/2002/xforms" xmlns:w14="http://schemas.microsoft.com/office/word/2010/wordml" xmlns:xsi="http://www.w3.org/2001/XMLSchema-instance" xmlns:aml="http://schemas.microsoft.com/aml/2001/core" xmlns:xe="http://www.w3.org/2001/xml-events" xmlns:ns29="http://schemas.openxmlformats.org/drawingml/2006/lockedCanvas" xmlns:ns28="http://schemas.openxmlformats.org/drawingml/2006/compatibility" xmlns:ns27="http://schemas.openxmlformats.org/officeDocument/2006/bibliography" xmlns:odgm="http://opendope.org/SmartArt/DataHierarchy" xmlns:odi="http://opendope.org/components" xmlns:oda="http://opendope.org/answers" xmlns:odq="http://opendope.org/questions" xmlns:odc="http://opendope.org/conditions" xmlns:odx="http://opendope.org/xpaths" xmlns:ns20="http://schemas.microsoft.com/office/2006/coverPageProps" xmlns:ns18="urn:schemas-microsoft-com:office:powerpoint" xmlns:w10="urn:schemas-microsoft-com:office:word" xmlns:v="urn:schemas-microsoft-com:vml" xmlns:o="urn:schemas-microsoft-com:office:office" xmlns:ns14="urn:schemas-microsoft-com:office:excel" xmlns:dsp="http://schemas.microsoft.com/office/drawing/2008/diagram" xmlns:xdr="http://schemas.openxmlformats.org/drawingml/2006/spreadsheetDrawing" xmlns:pic="http://schemas.openxmlformats.org/drawingml/2006/picture" xmlns:dgm="http://schemas.openxmlformats.org/drawingml/2006/diagram" xmlns:ns9="http://schemas.openxmlformats.org/drawingml/2006/chartDrawing" xmlns:wne="http://schemas.microsoft.com/office/word/2006/wordml" xmlns:ns6="http://schemas.openxmlformats.org/schemaLibrary/2006/main" xmlns:wp="http://schemas.openxmlformats.org/drawingml/2006/wordprocessingDrawing" xmlns:m="http://schemas.openxmlformats.org/officeDocument/2006/math" xmlns:w="http://schemas.openxmlformats.org/wordprocessingml/2006/main">
            <c:ext uri="{C3380CC4-5D6E-409C-BE32-E72D297353CC}">
              <c16:uniqueId xmlns:c16="http://schemas.microsoft.com/office/drawing/2014/chart" xmlns:c16r2="http://schemas.microsoft.com/office/drawing/2015/06/chart" val="{00000003-A7F4-4B33-9910-5DD8F887DC1F}"/>
            </c:ext>
          </c:extLst>
        </c:ser>
        <c:dLbls>
          <c:showLegendKey val="0"/>
          <c:showVal val="0"/>
          <c:showCatName val="0"/>
          <c:showSerName val="0"/>
          <c:showPercent val="0"/>
          <c:showBubbleSize val="0"/>
        </c:dLbls>
        <c:gapWidth val="100"/>
        <c:axId val="336862944"/>
        <c:axId val="336862552"/>
      </c:barChart>
      <c:catAx>
        <c:axId val="336861768"/>
        <c:scaling>
          <c:orientation val="minMax"/>
        </c:scaling>
        <c:delete val="0"/>
        <c:axPos val="b"/>
        <c:numFmt formatCode="General" sourceLinked="1"/>
        <c:majorTickMark val="none"/>
        <c:minorTickMark val="none"/>
        <c:tickLblPos val="nextTo"/>
        <c:spPr>
          <a:ln>
            <a:solidFill>
              <a:srgbClr val="969696"/>
            </a:solidFill>
          </a:ln>
        </c:spPr>
        <c:txPr>
          <a:bodyPr rot="-2820000" vert="horz"/>
          <a:lstStyle/>
          <a:p>
            <a:pPr>
              <a:defRPr sz="1000" b="0">
                <a:solidFill>
                  <a:srgbClr val="C8C8C8"/>
                </a:solidFill>
                <a:latin typeface="Calibri"/>
                <a:ea typeface="Calibri"/>
                <a:cs typeface="Calibri"/>
              </a:defRPr>
            </a:pPr>
            <a:endParaRPr lang="en-US"/>
          </a:p>
        </c:txPr>
        <c:crossAx val="336862160"/>
        <c:crosses val="autoZero"/>
        <c:auto val="0"/>
        <c:lblAlgn val="ctr"/>
        <c:lblOffset val="50"/>
        <c:noMultiLvlLbl val="1"/>
      </c:catAx>
      <c:valAx>
        <c:axId val="336862160"/>
        <c:scaling>
          <c:orientation val="minMax"/>
        </c:scaling>
        <c:delete val="0"/>
        <c:axPos val="l"/>
        <c:title>
          <c:tx>
            <c:rich>
              <a:bodyPr rot="-5400000" vert="horz"/>
              <a:lstStyle/>
              <a:p>
                <a:pPr>
                  <a:defRPr sz="1000" b="0">
                    <a:solidFill>
                      <a:srgbClr val="B4B4B4"/>
                    </a:solidFill>
                    <a:latin typeface="Calibri"/>
                    <a:ea typeface="Calibri"/>
                    <a:cs typeface="Calibri"/>
                  </a:defRPr>
                </a:pPr>
                <a:r>
                  <a:rPr lang="en-US"/>
                  <a:t>Engagement per Video</a:t>
                </a:r>
              </a:p>
            </c:rich>
          </c:tx>
          <c:layout>
            <c:manualLayout>
              <c:xMode val="edge"/>
              <c:yMode val="edge"/>
              <c:x val="2.5229357798165139E-2"/>
              <c:y val="0.35267361111111112"/>
            </c:manualLayout>
          </c:layout>
          <c:overlay val="0"/>
        </c:title>
        <c:numFmt formatCode="[&gt;=1000000].0,,&quot;M&quot;;[&gt;=1000].0,&quot;K&quot;;#,##0" sourceLinked="0"/>
        <c:majorTickMark val="out"/>
        <c:minorTickMark val="none"/>
        <c:tickLblPos val="nextTo"/>
        <c:spPr>
          <a:ln>
            <a:solidFill>
              <a:srgbClr val="969696"/>
            </a:solidFill>
          </a:ln>
        </c:spPr>
        <c:txPr>
          <a:bodyPr/>
          <a:lstStyle/>
          <a:p>
            <a:pPr>
              <a:defRPr sz="800" b="0">
                <a:solidFill>
                  <a:srgbClr val="A0A0A0"/>
                </a:solidFill>
                <a:latin typeface="Calibri"/>
                <a:ea typeface="Calibri"/>
                <a:cs typeface="Calibri"/>
              </a:defRPr>
            </a:pPr>
            <a:endParaRPr lang="en-US"/>
          </a:p>
        </c:txPr>
        <c:crossAx val="336861768"/>
        <c:crosses val="autoZero"/>
        <c:crossBetween val="between"/>
      </c:valAx>
      <c:valAx>
        <c:axId val="336862552"/>
        <c:scaling>
          <c:orientation val="minMax"/>
        </c:scaling>
        <c:delete val="0"/>
        <c:axPos val="r"/>
        <c:title>
          <c:tx>
            <c:rich>
              <a:bodyPr rot="-5400000" vert="horz"/>
              <a:lstStyle/>
              <a:p>
                <a:pPr>
                  <a:defRPr sz="1000" b="0">
                    <a:solidFill>
                      <a:srgbClr val="B4B4B4"/>
                    </a:solidFill>
                    <a:latin typeface="Calibri"/>
                    <a:ea typeface="Calibri"/>
                    <a:cs typeface="Calibri"/>
                  </a:defRPr>
                </a:pPr>
                <a:r>
                  <a:rPr lang="en-US"/>
                  <a:t>Times Used</a:t>
                </a:r>
              </a:p>
            </c:rich>
          </c:tx>
          <c:layout>
            <c:manualLayout>
              <c:xMode val="edge"/>
              <c:yMode val="edge"/>
              <c:x val="0.92660550458715596"/>
              <c:y val="0.4039061132983377"/>
            </c:manualLayout>
          </c:layout>
          <c:overlay val="0"/>
        </c:title>
        <c:numFmt formatCode="[&gt;=1000000].0,,&quot;M&quot;;[&gt;=1000].0,&quot;K&quot;;#,##0" sourceLinked="0"/>
        <c:majorTickMark val="out"/>
        <c:minorTickMark val="none"/>
        <c:tickLblPos val="nextTo"/>
        <c:spPr>
          <a:ln>
            <a:solidFill>
              <a:srgbClr val="969696"/>
            </a:solidFill>
          </a:ln>
        </c:spPr>
        <c:txPr>
          <a:bodyPr/>
          <a:lstStyle/>
          <a:p>
            <a:pPr>
              <a:defRPr sz="800" b="0">
                <a:solidFill>
                  <a:srgbClr val="A0A0A0"/>
                </a:solidFill>
                <a:latin typeface="Calibri"/>
                <a:ea typeface="Calibri"/>
                <a:cs typeface="Calibri"/>
              </a:defRPr>
            </a:pPr>
            <a:endParaRPr lang="en-US"/>
          </a:p>
        </c:txPr>
        <c:crossAx val="336862944"/>
        <c:crosses val="max"/>
        <c:crossBetween val="between"/>
      </c:valAx>
      <c:catAx>
        <c:axId val="336862944"/>
        <c:scaling>
          <c:orientation val="minMax"/>
        </c:scaling>
        <c:delete val="1"/>
        <c:axPos val="b"/>
        <c:numFmt formatCode="General" sourceLinked="1"/>
        <c:majorTickMark val="out"/>
        <c:minorTickMark val="none"/>
        <c:tickLblPos val="nextTo"/>
        <c:crossAx val="336862552"/>
        <c:crosses val="autoZero"/>
        <c:auto val="1"/>
        <c:lblAlgn val="ctr"/>
        <c:lblOffset val="100"/>
        <c:noMultiLvlLbl val="0"/>
      </c:catAx>
      <c:spPr>
        <a:gradFill flip="none" rotWithShape="1">
          <a:gsLst>
            <a:gs pos="0">
              <a:srgbClr val="262626"/>
            </a:gs>
            <a:gs pos="60000">
              <a:srgbClr val="151515"/>
            </a:gs>
          </a:gsLst>
          <a:lin ang="5400000" scaled="1"/>
          <a:tileRect/>
        </a:gradFill>
        <a:ln w="12700">
          <a:solidFill>
            <a:srgbClr val="262626"/>
          </a:solidFill>
        </a:ln>
      </c:spPr>
    </c:plotArea>
    <c:legend>
      <c:legendPos val="t"/>
      <c:layout>
        <c:manualLayout>
          <c:xMode val="edge"/>
          <c:yMode val="edge"/>
          <c:x val="0.16513761467889909"/>
          <c:y val="0.13541666666666666"/>
          <c:w val="0.66743119266055051"/>
          <c:h val="8.3333333333333329E-2"/>
        </c:manualLayout>
      </c:layout>
      <c:overlay val="0"/>
      <c:spPr>
        <a:gradFill flip="none" rotWithShape="1">
          <a:gsLst>
            <a:gs pos="0">
              <a:srgbClr val="151515"/>
            </a:gs>
            <a:gs pos="100000">
              <a:srgbClr val="404040"/>
            </a:gs>
            <a:gs pos="3000">
              <a:srgbClr val="151515"/>
            </a:gs>
            <a:gs pos="4000">
              <a:srgbClr val="404040"/>
            </a:gs>
            <a:gs pos="7000">
              <a:srgbClr val="404040"/>
            </a:gs>
            <a:gs pos="8000">
              <a:srgbClr val="262626"/>
            </a:gs>
            <a:gs pos="92000">
              <a:srgbClr val="262626"/>
            </a:gs>
            <a:gs pos="93000">
              <a:srgbClr val="151515"/>
            </a:gs>
            <a:gs pos="96000">
              <a:srgbClr val="151515"/>
            </a:gs>
            <a:gs pos="97000">
              <a:srgbClr val="404040"/>
            </a:gs>
          </a:gsLst>
          <a:lin ang="5400000" scaled="1"/>
          <a:tileRect/>
        </a:gradFill>
      </c:spPr>
      <c:txPr>
        <a:bodyPr/>
        <a:lstStyle/>
        <a:p>
          <a:pPr>
            <a:defRPr sz="1000" b="0" baseline="0">
              <a:solidFill>
                <a:srgbClr val="C8C8C8"/>
              </a:solidFill>
              <a:latin typeface="Calibri"/>
            </a:defRPr>
          </a:pPr>
          <a:endParaRPr lang="en-US"/>
        </a:p>
      </c:txPr>
    </c:legend>
    <c:plotVisOnly val="1"/>
    <c:dispBlanksAs val="gap"/>
    <c:showDLblsOverMax val="0"/>
  </c:chart>
  <c:spPr>
    <a:noFill/>
    <a:ln w="19050">
      <a:noFill/>
    </a:ln>
  </c:spPr>
  <c:txPr>
    <a:bodyPr/>
    <a:lstStyle/>
    <a:p>
      <a:pPr>
        <a:defRPr>
          <a:solidFill>
            <a:srgbClr val="FFFFFF"/>
          </a:solidFill>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c:style val="2"/>
  <c:clrMapOvr bg1="lt1" tx1="dk1" bg2="lt2" tx2="dk2" accent1="accent1" accent2="accent2" accent3="accent3" accent4="accent4" accent5="accent5" accent6="accent6" hlink="hlink" folHlink="folHlink"/>
  <c:chart>
    <c:title>
      <c:tx>
        <c:rich>
          <a:bodyPr/>
          <a:lstStyle/>
          <a:p>
            <a:pPr>
              <a:defRPr sz="1600" b="0" cap="none" baseline="0">
                <a:solidFill>
                  <a:srgbClr val="DCDCDC"/>
                </a:solidFill>
                <a:latin typeface="Calibri"/>
              </a:defRPr>
            </a:pPr>
            <a:r>
              <a:rPr lang="en-US" sz="1600" b="0" cap="none" baseline="0">
                <a:solidFill>
                  <a:srgbClr val="DCDCDC"/>
                </a:solidFill>
                <a:latin typeface="Calibri"/>
              </a:rPr>
              <a:t>Hashtag Mentions</a:t>
            </a:r>
          </a:p>
        </c:rich>
      </c:tx>
      <c:layout>
        <c:manualLayout>
          <c:xMode val="edge"/>
          <c:yMode val="edge"/>
          <c:x val="5.8219178082191778E-2"/>
          <c:y val="2.7777777777777776E-2"/>
        </c:manualLayout>
      </c:layout>
      <c:overlay val="0"/>
    </c:title>
    <c:autoTitleDeleted val="0"/>
    <c:plotArea>
      <c:layout>
        <c:manualLayout>
          <c:layoutTarget val="inner"/>
          <c:xMode val="edge"/>
          <c:yMode val="edge"/>
          <c:x val="0.12328767123287671"/>
          <c:y val="0.2638888888888889"/>
          <c:w val="0.75342465753424659"/>
          <c:h val="0.5"/>
        </c:manualLayout>
      </c:layout>
      <c:barChart>
        <c:barDir val="col"/>
        <c:grouping val="stacked"/>
        <c:varyColors val="0"/>
        <c:ser>
          <c:idx val="1"/>
          <c:order val="0"/>
          <c:tx>
            <c:strRef>
              <c:f>Tables!$F$2</c:f>
              <c:strCache>
                <c:ptCount val="1"/>
                <c:pt idx="0">
                  <c:v>Photos</c:v>
                </c:pt>
              </c:strCache>
            </c:strRef>
          </c:tx>
          <c:spPr>
            <a:gradFill flip="none" rotWithShape="1">
              <a:gsLst>
                <a:gs pos="0">
                  <a:srgbClr val="184479"/>
                </a:gs>
                <a:gs pos="100000">
                  <a:srgbClr val="3B7AC6"/>
                </a:gs>
                <a:gs pos="50000">
                  <a:srgbClr val="2765AF"/>
                </a:gs>
              </a:gsLst>
              <a:lin ang="0" scaled="1"/>
              <a:tileRect/>
            </a:gradFill>
            <a:ln w="9525">
              <a:solidFill>
                <a:srgbClr val="3B7AC6"/>
              </a:solidFill>
            </a:ln>
          </c:spPr>
          <c:invertIfNegative val="0"/>
          <c:cat>
            <c:numRef>
              <c:f>[0]!tables.times</c:f>
              <c:numCache>
                <c:formatCode>m/d/yy;@</c:formatCode>
                <c:ptCount val="30"/>
                <c:pt idx="0">
                  <c:v>42958</c:v>
                </c:pt>
                <c:pt idx="1">
                  <c:v>42959</c:v>
                </c:pt>
                <c:pt idx="2">
                  <c:v>42960</c:v>
                </c:pt>
                <c:pt idx="3">
                  <c:v>42961</c:v>
                </c:pt>
                <c:pt idx="4">
                  <c:v>42962</c:v>
                </c:pt>
                <c:pt idx="5">
                  <c:v>42963</c:v>
                </c:pt>
                <c:pt idx="6">
                  <c:v>42964</c:v>
                </c:pt>
                <c:pt idx="7">
                  <c:v>42965</c:v>
                </c:pt>
                <c:pt idx="8">
                  <c:v>42966</c:v>
                </c:pt>
                <c:pt idx="9">
                  <c:v>42967</c:v>
                </c:pt>
                <c:pt idx="10">
                  <c:v>42968</c:v>
                </c:pt>
                <c:pt idx="11">
                  <c:v>42969</c:v>
                </c:pt>
                <c:pt idx="12">
                  <c:v>42970</c:v>
                </c:pt>
                <c:pt idx="13">
                  <c:v>42971</c:v>
                </c:pt>
                <c:pt idx="14">
                  <c:v>42972</c:v>
                </c:pt>
                <c:pt idx="15">
                  <c:v>42973</c:v>
                </c:pt>
                <c:pt idx="16">
                  <c:v>42974</c:v>
                </c:pt>
                <c:pt idx="17">
                  <c:v>42975</c:v>
                </c:pt>
                <c:pt idx="18">
                  <c:v>42976</c:v>
                </c:pt>
                <c:pt idx="19">
                  <c:v>42977</c:v>
                </c:pt>
                <c:pt idx="20">
                  <c:v>42978</c:v>
                </c:pt>
                <c:pt idx="21">
                  <c:v>42979</c:v>
                </c:pt>
                <c:pt idx="22">
                  <c:v>42980</c:v>
                </c:pt>
                <c:pt idx="23">
                  <c:v>42981</c:v>
                </c:pt>
                <c:pt idx="24">
                  <c:v>42982</c:v>
                </c:pt>
                <c:pt idx="25">
                  <c:v>42983</c:v>
                </c:pt>
                <c:pt idx="26">
                  <c:v>42984</c:v>
                </c:pt>
                <c:pt idx="27">
                  <c:v>42985</c:v>
                </c:pt>
                <c:pt idx="28">
                  <c:v>42986</c:v>
                </c:pt>
                <c:pt idx="29">
                  <c:v>42987</c:v>
                </c:pt>
              </c:numCache>
            </c:numRef>
          </c:cat>
          <c:val>
            <c:numRef>
              <c:f>[0]!tables.photo_mentions</c:f>
              <c:numCache>
                <c:formatCode>#,##0_);\(#,##0\)</c:formatCode>
                <c:ptCount val="30"/>
                <c:pt idx="0">
                  <c:v>146</c:v>
                </c:pt>
                <c:pt idx="1">
                  <c:v>135</c:v>
                </c:pt>
                <c:pt idx="2">
                  <c:v>173</c:v>
                </c:pt>
                <c:pt idx="3">
                  <c:v>195</c:v>
                </c:pt>
                <c:pt idx="4">
                  <c:v>164</c:v>
                </c:pt>
                <c:pt idx="5">
                  <c:v>192</c:v>
                </c:pt>
                <c:pt idx="6">
                  <c:v>178</c:v>
                </c:pt>
                <c:pt idx="7">
                  <c:v>153</c:v>
                </c:pt>
                <c:pt idx="8">
                  <c:v>125</c:v>
                </c:pt>
                <c:pt idx="9">
                  <c:v>156</c:v>
                </c:pt>
                <c:pt idx="10">
                  <c:v>194</c:v>
                </c:pt>
                <c:pt idx="11">
                  <c:v>185</c:v>
                </c:pt>
                <c:pt idx="12">
                  <c:v>205</c:v>
                </c:pt>
                <c:pt idx="13">
                  <c:v>169</c:v>
                </c:pt>
                <c:pt idx="14">
                  <c:v>153</c:v>
                </c:pt>
                <c:pt idx="15">
                  <c:v>146</c:v>
                </c:pt>
                <c:pt idx="16">
                  <c:v>150</c:v>
                </c:pt>
                <c:pt idx="17">
                  <c:v>181</c:v>
                </c:pt>
                <c:pt idx="18">
                  <c:v>153</c:v>
                </c:pt>
                <c:pt idx="19">
                  <c:v>168</c:v>
                </c:pt>
                <c:pt idx="20">
                  <c:v>170</c:v>
                </c:pt>
                <c:pt idx="21">
                  <c:v>168</c:v>
                </c:pt>
                <c:pt idx="22">
                  <c:v>137</c:v>
                </c:pt>
                <c:pt idx="23">
                  <c:v>162</c:v>
                </c:pt>
                <c:pt idx="24">
                  <c:v>184</c:v>
                </c:pt>
                <c:pt idx="25">
                  <c:v>195</c:v>
                </c:pt>
                <c:pt idx="26">
                  <c:v>202</c:v>
                </c:pt>
                <c:pt idx="27">
                  <c:v>176</c:v>
                </c:pt>
                <c:pt idx="28">
                  <c:v>157</c:v>
                </c:pt>
                <c:pt idx="29">
                  <c:v>145</c:v>
                </c:pt>
              </c:numCache>
            </c:numRef>
          </c:val>
          <c:extLst xmlns:prop="http://schemas.openxmlformats.org/officeDocument/2006/custom-properties" xmlns:xs="http://www.w3.org/2001/XMLSchema" xmlns:mc="http://schemas.openxmlformats.org/markup-compatibility/2006" xmlns:WX="http://schemas.microsoft.com/office/word/2003/auxHint" xmlns:properties="http://schemas.openxmlformats.org/officeDocument/2006/extended-properties" xmlns:dc="http://purl.org/dc/elements/1.1/" xmlns:ds="http://schemas.openxmlformats.org/officeDocument/2006/customXml" xmlns:cp="http://schemas.openxmlformats.org/package/2006/metadata/core-properties" xmlns:w15="http://schemas.microsoft.com/office/word/2012/wordml" xmlns:ns40="http://schemas.openxmlformats.org/spreadsheetml/2006/main" xmlns:p="http://schemas.openxmlformats.org/presentationml/2006/main" xmlns:dcterms="http://purl.org/dc/terms/" xmlns:rel="http://schemas.openxmlformats.org/package/2006/relationships" xmlns:pkg="http://schemas.microsoft.com/office/2006/xmlPackage" xmlns:vt="http://schemas.openxmlformats.org/officeDocument/2006/docPropsVTypes" xmlns:xf="http://www.w3.org/2002/xforms" xmlns:w14="http://schemas.microsoft.com/office/word/2010/wordml" xmlns:xsi="http://www.w3.org/2001/XMLSchema-instance" xmlns:aml="http://schemas.microsoft.com/aml/2001/core" xmlns:xe="http://www.w3.org/2001/xml-events" xmlns:ns29="http://schemas.openxmlformats.org/drawingml/2006/lockedCanvas" xmlns:ns28="http://schemas.openxmlformats.org/drawingml/2006/compatibility" xmlns:ns27="http://schemas.openxmlformats.org/officeDocument/2006/bibliography" xmlns:odgm="http://opendope.org/SmartArt/DataHierarchy" xmlns:odi="http://opendope.org/components" xmlns:oda="http://opendope.org/answers" xmlns:odq="http://opendope.org/questions" xmlns:odc="http://opendope.org/conditions" xmlns:odx="http://opendope.org/xpaths" xmlns:ns20="http://schemas.microsoft.com/office/2006/coverPageProps" xmlns:ns18="urn:schemas-microsoft-com:office:powerpoint" xmlns:w10="urn:schemas-microsoft-com:office:word" xmlns:v="urn:schemas-microsoft-com:vml" xmlns:o="urn:schemas-microsoft-com:office:office" xmlns:ns14="urn:schemas-microsoft-com:office:excel" xmlns:dsp="http://schemas.microsoft.com/office/drawing/2008/diagram" xmlns:xdr="http://schemas.openxmlformats.org/drawingml/2006/spreadsheetDrawing" xmlns:pic="http://schemas.openxmlformats.org/drawingml/2006/picture" xmlns:dgm="http://schemas.openxmlformats.org/drawingml/2006/diagram" xmlns:ns9="http://schemas.openxmlformats.org/drawingml/2006/chartDrawing" xmlns:wne="http://schemas.microsoft.com/office/word/2006/wordml" xmlns:ns6="http://schemas.openxmlformats.org/schemaLibrary/2006/main" xmlns:wp="http://schemas.openxmlformats.org/drawingml/2006/wordprocessingDrawing" xmlns:m="http://schemas.openxmlformats.org/officeDocument/2006/math" xmlns:w="http://schemas.openxmlformats.org/wordprocessingml/2006/main">
            <c:ext uri="{C3380CC4-5D6E-409C-BE32-E72D297353CC}">
              <c16:uniqueId xmlns:c16="http://schemas.microsoft.com/office/drawing/2014/chart" xmlns:c16r2="http://schemas.microsoft.com/office/drawing/2015/06/chart" val="{00000000-DE0D-46AD-AF61-FBAF60D944CA}"/>
            </c:ext>
          </c:extLst>
        </c:ser>
        <c:ser>
          <c:idx val="2"/>
          <c:order val="1"/>
          <c:tx>
            <c:strRef>
              <c:f>Tables!$G$2</c:f>
              <c:strCache>
                <c:ptCount val="1"/>
                <c:pt idx="0">
                  <c:v>Videos</c:v>
                </c:pt>
              </c:strCache>
            </c:strRef>
          </c:tx>
          <c:spPr>
            <a:gradFill flip="none" rotWithShape="1">
              <a:gsLst>
                <a:gs pos="0">
                  <a:srgbClr val="620014"/>
                </a:gs>
                <a:gs pos="100000">
                  <a:srgbClr val="AC082B"/>
                </a:gs>
                <a:gs pos="50000">
                  <a:srgbClr val="900522"/>
                </a:gs>
              </a:gsLst>
              <a:lin ang="0" scaled="1"/>
              <a:tileRect/>
            </a:gradFill>
            <a:ln w="9525">
              <a:solidFill>
                <a:srgbClr val="AC082B"/>
              </a:solidFill>
            </a:ln>
          </c:spPr>
          <c:invertIfNegative val="0"/>
          <c:cat>
            <c:numRef>
              <c:f>[0]!tables.times</c:f>
              <c:numCache>
                <c:formatCode>m/d/yy;@</c:formatCode>
                <c:ptCount val="30"/>
                <c:pt idx="0">
                  <c:v>42958</c:v>
                </c:pt>
                <c:pt idx="1">
                  <c:v>42959</c:v>
                </c:pt>
                <c:pt idx="2">
                  <c:v>42960</c:v>
                </c:pt>
                <c:pt idx="3">
                  <c:v>42961</c:v>
                </c:pt>
                <c:pt idx="4">
                  <c:v>42962</c:v>
                </c:pt>
                <c:pt idx="5">
                  <c:v>42963</c:v>
                </c:pt>
                <c:pt idx="6">
                  <c:v>42964</c:v>
                </c:pt>
                <c:pt idx="7">
                  <c:v>42965</c:v>
                </c:pt>
                <c:pt idx="8">
                  <c:v>42966</c:v>
                </c:pt>
                <c:pt idx="9">
                  <c:v>42967</c:v>
                </c:pt>
                <c:pt idx="10">
                  <c:v>42968</c:v>
                </c:pt>
                <c:pt idx="11">
                  <c:v>42969</c:v>
                </c:pt>
                <c:pt idx="12">
                  <c:v>42970</c:v>
                </c:pt>
                <c:pt idx="13">
                  <c:v>42971</c:v>
                </c:pt>
                <c:pt idx="14">
                  <c:v>42972</c:v>
                </c:pt>
                <c:pt idx="15">
                  <c:v>42973</c:v>
                </c:pt>
                <c:pt idx="16">
                  <c:v>42974</c:v>
                </c:pt>
                <c:pt idx="17">
                  <c:v>42975</c:v>
                </c:pt>
                <c:pt idx="18">
                  <c:v>42976</c:v>
                </c:pt>
                <c:pt idx="19">
                  <c:v>42977</c:v>
                </c:pt>
                <c:pt idx="20">
                  <c:v>42978</c:v>
                </c:pt>
                <c:pt idx="21">
                  <c:v>42979</c:v>
                </c:pt>
                <c:pt idx="22">
                  <c:v>42980</c:v>
                </c:pt>
                <c:pt idx="23">
                  <c:v>42981</c:v>
                </c:pt>
                <c:pt idx="24">
                  <c:v>42982</c:v>
                </c:pt>
                <c:pt idx="25">
                  <c:v>42983</c:v>
                </c:pt>
                <c:pt idx="26">
                  <c:v>42984</c:v>
                </c:pt>
                <c:pt idx="27">
                  <c:v>42985</c:v>
                </c:pt>
                <c:pt idx="28">
                  <c:v>42986</c:v>
                </c:pt>
                <c:pt idx="29">
                  <c:v>42987</c:v>
                </c:pt>
              </c:numCache>
            </c:numRef>
          </c:cat>
          <c:val>
            <c:numRef>
              <c:f>[0]!tables.video_mentions</c:f>
              <c:numCache>
                <c:formatCode>#,##0_);\(#,##0\)</c:formatCode>
                <c:ptCount val="30"/>
                <c:pt idx="0">
                  <c:v>7</c:v>
                </c:pt>
                <c:pt idx="1">
                  <c:v>12</c:v>
                </c:pt>
                <c:pt idx="2">
                  <c:v>28</c:v>
                </c:pt>
                <c:pt idx="3">
                  <c:v>21</c:v>
                </c:pt>
                <c:pt idx="4">
                  <c:v>13</c:v>
                </c:pt>
                <c:pt idx="5">
                  <c:v>18</c:v>
                </c:pt>
                <c:pt idx="6">
                  <c:v>14</c:v>
                </c:pt>
                <c:pt idx="7">
                  <c:v>15</c:v>
                </c:pt>
                <c:pt idx="8">
                  <c:v>6</c:v>
                </c:pt>
                <c:pt idx="9">
                  <c:v>8</c:v>
                </c:pt>
                <c:pt idx="10">
                  <c:v>14</c:v>
                </c:pt>
                <c:pt idx="11">
                  <c:v>21</c:v>
                </c:pt>
                <c:pt idx="12">
                  <c:v>11</c:v>
                </c:pt>
                <c:pt idx="13">
                  <c:v>15</c:v>
                </c:pt>
                <c:pt idx="14">
                  <c:v>9</c:v>
                </c:pt>
                <c:pt idx="15">
                  <c:v>7</c:v>
                </c:pt>
                <c:pt idx="16">
                  <c:v>11</c:v>
                </c:pt>
                <c:pt idx="17">
                  <c:v>8</c:v>
                </c:pt>
                <c:pt idx="18">
                  <c:v>13</c:v>
                </c:pt>
                <c:pt idx="19">
                  <c:v>14</c:v>
                </c:pt>
                <c:pt idx="20">
                  <c:v>11</c:v>
                </c:pt>
                <c:pt idx="21">
                  <c:v>15</c:v>
                </c:pt>
                <c:pt idx="22">
                  <c:v>12</c:v>
                </c:pt>
                <c:pt idx="23">
                  <c:v>16</c:v>
                </c:pt>
                <c:pt idx="24">
                  <c:v>17</c:v>
                </c:pt>
                <c:pt idx="25">
                  <c:v>17</c:v>
                </c:pt>
                <c:pt idx="26">
                  <c:v>16</c:v>
                </c:pt>
                <c:pt idx="27">
                  <c:v>11</c:v>
                </c:pt>
                <c:pt idx="28">
                  <c:v>11</c:v>
                </c:pt>
                <c:pt idx="29">
                  <c:v>10</c:v>
                </c:pt>
              </c:numCache>
            </c:numRef>
          </c:val>
          <c:extLst xmlns:prop="http://schemas.openxmlformats.org/officeDocument/2006/custom-properties" xmlns:xs="http://www.w3.org/2001/XMLSchema" xmlns:mc="http://schemas.openxmlformats.org/markup-compatibility/2006" xmlns:WX="http://schemas.microsoft.com/office/word/2003/auxHint" xmlns:properties="http://schemas.openxmlformats.org/officeDocument/2006/extended-properties" xmlns:dc="http://purl.org/dc/elements/1.1/" xmlns:ds="http://schemas.openxmlformats.org/officeDocument/2006/customXml" xmlns:cp="http://schemas.openxmlformats.org/package/2006/metadata/core-properties" xmlns:w15="http://schemas.microsoft.com/office/word/2012/wordml" xmlns:ns40="http://schemas.openxmlformats.org/spreadsheetml/2006/main" xmlns:p="http://schemas.openxmlformats.org/presentationml/2006/main" xmlns:dcterms="http://purl.org/dc/terms/" xmlns:rel="http://schemas.openxmlformats.org/package/2006/relationships" xmlns:pkg="http://schemas.microsoft.com/office/2006/xmlPackage" xmlns:vt="http://schemas.openxmlformats.org/officeDocument/2006/docPropsVTypes" xmlns:xf="http://www.w3.org/2002/xforms" xmlns:w14="http://schemas.microsoft.com/office/word/2010/wordml" xmlns:xsi="http://www.w3.org/2001/XMLSchema-instance" xmlns:aml="http://schemas.microsoft.com/aml/2001/core" xmlns:xe="http://www.w3.org/2001/xml-events" xmlns:ns29="http://schemas.openxmlformats.org/drawingml/2006/lockedCanvas" xmlns:ns28="http://schemas.openxmlformats.org/drawingml/2006/compatibility" xmlns:ns27="http://schemas.openxmlformats.org/officeDocument/2006/bibliography" xmlns:odgm="http://opendope.org/SmartArt/DataHierarchy" xmlns:odi="http://opendope.org/components" xmlns:oda="http://opendope.org/answers" xmlns:odq="http://opendope.org/questions" xmlns:odc="http://opendope.org/conditions" xmlns:odx="http://opendope.org/xpaths" xmlns:ns20="http://schemas.microsoft.com/office/2006/coverPageProps" xmlns:ns18="urn:schemas-microsoft-com:office:powerpoint" xmlns:w10="urn:schemas-microsoft-com:office:word" xmlns:v="urn:schemas-microsoft-com:vml" xmlns:o="urn:schemas-microsoft-com:office:office" xmlns:ns14="urn:schemas-microsoft-com:office:excel" xmlns:dsp="http://schemas.microsoft.com/office/drawing/2008/diagram" xmlns:xdr="http://schemas.openxmlformats.org/drawingml/2006/spreadsheetDrawing" xmlns:pic="http://schemas.openxmlformats.org/drawingml/2006/picture" xmlns:dgm="http://schemas.openxmlformats.org/drawingml/2006/diagram" xmlns:ns9="http://schemas.openxmlformats.org/drawingml/2006/chartDrawing" xmlns:wne="http://schemas.microsoft.com/office/word/2006/wordml" xmlns:ns6="http://schemas.openxmlformats.org/schemaLibrary/2006/main" xmlns:wp="http://schemas.openxmlformats.org/drawingml/2006/wordprocessingDrawing" xmlns:m="http://schemas.openxmlformats.org/officeDocument/2006/math" xmlns:w="http://schemas.openxmlformats.org/wordprocessingml/2006/main">
            <c:ext uri="{C3380CC4-5D6E-409C-BE32-E72D297353CC}">
              <c16:uniqueId xmlns:c16="http://schemas.microsoft.com/office/drawing/2014/chart" xmlns:c16r2="http://schemas.microsoft.com/office/drawing/2015/06/chart" val="{00000001-DE0D-46AD-AF61-FBAF60D944CA}"/>
            </c:ext>
          </c:extLst>
        </c:ser>
        <c:ser>
          <c:idx val="4"/>
          <c:order val="2"/>
          <c:tx>
            <c:strRef>
              <c:f>Tables!$H$2</c:f>
              <c:strCache>
                <c:ptCount val="1"/>
                <c:pt idx="0">
                  <c:v>Carousels</c:v>
                </c:pt>
              </c:strCache>
            </c:strRef>
          </c:tx>
          <c:spPr>
            <a:gradFill flip="none" rotWithShape="1">
              <a:gsLst>
                <a:gs pos="0">
                  <a:srgbClr val="3F1260"/>
                </a:gs>
                <a:gs pos="100000">
                  <a:srgbClr val="7128A8"/>
                </a:gs>
                <a:gs pos="50000">
                  <a:srgbClr val="5E1F8D"/>
                </a:gs>
              </a:gsLst>
              <a:lin ang="0" scaled="1"/>
              <a:tileRect/>
            </a:gradFill>
            <a:ln w="12700">
              <a:solidFill>
                <a:srgbClr val="7128A8"/>
              </a:solidFill>
            </a:ln>
          </c:spPr>
          <c:invertIfNegative val="0"/>
          <c:cat>
            <c:numRef>
              <c:f>[0]!tables.times</c:f>
              <c:numCache>
                <c:formatCode>m/d/yy;@</c:formatCode>
                <c:ptCount val="30"/>
                <c:pt idx="0">
                  <c:v>42958</c:v>
                </c:pt>
                <c:pt idx="1">
                  <c:v>42959</c:v>
                </c:pt>
                <c:pt idx="2">
                  <c:v>42960</c:v>
                </c:pt>
                <c:pt idx="3">
                  <c:v>42961</c:v>
                </c:pt>
                <c:pt idx="4">
                  <c:v>42962</c:v>
                </c:pt>
                <c:pt idx="5">
                  <c:v>42963</c:v>
                </c:pt>
                <c:pt idx="6">
                  <c:v>42964</c:v>
                </c:pt>
                <c:pt idx="7">
                  <c:v>42965</c:v>
                </c:pt>
                <c:pt idx="8">
                  <c:v>42966</c:v>
                </c:pt>
                <c:pt idx="9">
                  <c:v>42967</c:v>
                </c:pt>
                <c:pt idx="10">
                  <c:v>42968</c:v>
                </c:pt>
                <c:pt idx="11">
                  <c:v>42969</c:v>
                </c:pt>
                <c:pt idx="12">
                  <c:v>42970</c:v>
                </c:pt>
                <c:pt idx="13">
                  <c:v>42971</c:v>
                </c:pt>
                <c:pt idx="14">
                  <c:v>42972</c:v>
                </c:pt>
                <c:pt idx="15">
                  <c:v>42973</c:v>
                </c:pt>
                <c:pt idx="16">
                  <c:v>42974</c:v>
                </c:pt>
                <c:pt idx="17">
                  <c:v>42975</c:v>
                </c:pt>
                <c:pt idx="18">
                  <c:v>42976</c:v>
                </c:pt>
                <c:pt idx="19">
                  <c:v>42977</c:v>
                </c:pt>
                <c:pt idx="20">
                  <c:v>42978</c:v>
                </c:pt>
                <c:pt idx="21">
                  <c:v>42979</c:v>
                </c:pt>
                <c:pt idx="22">
                  <c:v>42980</c:v>
                </c:pt>
                <c:pt idx="23">
                  <c:v>42981</c:v>
                </c:pt>
                <c:pt idx="24">
                  <c:v>42982</c:v>
                </c:pt>
                <c:pt idx="25">
                  <c:v>42983</c:v>
                </c:pt>
                <c:pt idx="26">
                  <c:v>42984</c:v>
                </c:pt>
                <c:pt idx="27">
                  <c:v>42985</c:v>
                </c:pt>
                <c:pt idx="28">
                  <c:v>42986</c:v>
                </c:pt>
                <c:pt idx="29">
                  <c:v>42987</c:v>
                </c:pt>
              </c:numCache>
            </c:numRef>
          </c:cat>
          <c:val>
            <c:numRef>
              <c:f>[0]!tables.carousel_mentions</c:f>
              <c:numCache>
                <c:formatCode>#,##0_);\(#,##0\)</c:formatCode>
                <c:ptCount val="30"/>
                <c:pt idx="0">
                  <c:v>10</c:v>
                </c:pt>
                <c:pt idx="1">
                  <c:v>6</c:v>
                </c:pt>
                <c:pt idx="2">
                  <c:v>11</c:v>
                </c:pt>
                <c:pt idx="3">
                  <c:v>17</c:v>
                </c:pt>
                <c:pt idx="4">
                  <c:v>6</c:v>
                </c:pt>
                <c:pt idx="5">
                  <c:v>12</c:v>
                </c:pt>
                <c:pt idx="6">
                  <c:v>9</c:v>
                </c:pt>
                <c:pt idx="7">
                  <c:v>7</c:v>
                </c:pt>
                <c:pt idx="8">
                  <c:v>10</c:v>
                </c:pt>
                <c:pt idx="9">
                  <c:v>4</c:v>
                </c:pt>
                <c:pt idx="10">
                  <c:v>12</c:v>
                </c:pt>
                <c:pt idx="11">
                  <c:v>10</c:v>
                </c:pt>
                <c:pt idx="12">
                  <c:v>8</c:v>
                </c:pt>
                <c:pt idx="13">
                  <c:v>7</c:v>
                </c:pt>
                <c:pt idx="14">
                  <c:v>6</c:v>
                </c:pt>
                <c:pt idx="15">
                  <c:v>5</c:v>
                </c:pt>
                <c:pt idx="16">
                  <c:v>18</c:v>
                </c:pt>
                <c:pt idx="17">
                  <c:v>8</c:v>
                </c:pt>
                <c:pt idx="18">
                  <c:v>12</c:v>
                </c:pt>
                <c:pt idx="19">
                  <c:v>16</c:v>
                </c:pt>
                <c:pt idx="20">
                  <c:v>9</c:v>
                </c:pt>
                <c:pt idx="21">
                  <c:v>11</c:v>
                </c:pt>
                <c:pt idx="22">
                  <c:v>4</c:v>
                </c:pt>
                <c:pt idx="23">
                  <c:v>11</c:v>
                </c:pt>
                <c:pt idx="24">
                  <c:v>17</c:v>
                </c:pt>
                <c:pt idx="25">
                  <c:v>17</c:v>
                </c:pt>
                <c:pt idx="26">
                  <c:v>6</c:v>
                </c:pt>
                <c:pt idx="27">
                  <c:v>6</c:v>
                </c:pt>
                <c:pt idx="28">
                  <c:v>5</c:v>
                </c:pt>
                <c:pt idx="29">
                  <c:v>19</c:v>
                </c:pt>
              </c:numCache>
            </c:numRef>
          </c:val>
          <c:extLst xmlns:prop="http://schemas.openxmlformats.org/officeDocument/2006/custom-properties" xmlns:xs="http://www.w3.org/2001/XMLSchema" xmlns:mc="http://schemas.openxmlformats.org/markup-compatibility/2006" xmlns:WX="http://schemas.microsoft.com/office/word/2003/auxHint" xmlns:properties="http://schemas.openxmlformats.org/officeDocument/2006/extended-properties" xmlns:dc="http://purl.org/dc/elements/1.1/" xmlns:ds="http://schemas.openxmlformats.org/officeDocument/2006/customXml" xmlns:cp="http://schemas.openxmlformats.org/package/2006/metadata/core-properties" xmlns:w15="http://schemas.microsoft.com/office/word/2012/wordml" xmlns:ns40="http://schemas.openxmlformats.org/spreadsheetml/2006/main" xmlns:p="http://schemas.openxmlformats.org/presentationml/2006/main" xmlns:dcterms="http://purl.org/dc/terms/" xmlns:rel="http://schemas.openxmlformats.org/package/2006/relationships" xmlns:pkg="http://schemas.microsoft.com/office/2006/xmlPackage" xmlns:vt="http://schemas.openxmlformats.org/officeDocument/2006/docPropsVTypes" xmlns:xf="http://www.w3.org/2002/xforms" xmlns:w14="http://schemas.microsoft.com/office/word/2010/wordml" xmlns:xsi="http://www.w3.org/2001/XMLSchema-instance" xmlns:aml="http://schemas.microsoft.com/aml/2001/core" xmlns:xe="http://www.w3.org/2001/xml-events" xmlns:ns29="http://schemas.openxmlformats.org/drawingml/2006/lockedCanvas" xmlns:ns28="http://schemas.openxmlformats.org/drawingml/2006/compatibility" xmlns:ns27="http://schemas.openxmlformats.org/officeDocument/2006/bibliography" xmlns:odgm="http://opendope.org/SmartArt/DataHierarchy" xmlns:odi="http://opendope.org/components" xmlns:oda="http://opendope.org/answers" xmlns:odq="http://opendope.org/questions" xmlns:odc="http://opendope.org/conditions" xmlns:odx="http://opendope.org/xpaths" xmlns:ns20="http://schemas.microsoft.com/office/2006/coverPageProps" xmlns:ns18="urn:schemas-microsoft-com:office:powerpoint" xmlns:w10="urn:schemas-microsoft-com:office:word" xmlns:v="urn:schemas-microsoft-com:vml" xmlns:o="urn:schemas-microsoft-com:office:office" xmlns:ns14="urn:schemas-microsoft-com:office:excel" xmlns:dsp="http://schemas.microsoft.com/office/drawing/2008/diagram" xmlns:xdr="http://schemas.openxmlformats.org/drawingml/2006/spreadsheetDrawing" xmlns:pic="http://schemas.openxmlformats.org/drawingml/2006/picture" xmlns:dgm="http://schemas.openxmlformats.org/drawingml/2006/diagram" xmlns:ns9="http://schemas.openxmlformats.org/drawingml/2006/chartDrawing" xmlns:wne="http://schemas.microsoft.com/office/word/2006/wordml" xmlns:ns6="http://schemas.openxmlformats.org/schemaLibrary/2006/main" xmlns:wp="http://schemas.openxmlformats.org/drawingml/2006/wordprocessingDrawing" xmlns:m="http://schemas.openxmlformats.org/officeDocument/2006/math" xmlns:w="http://schemas.openxmlformats.org/wordprocessingml/2006/main">
            <c:ext uri="{C3380CC4-5D6E-409C-BE32-E72D297353CC}">
              <c16:uniqueId xmlns:c16="http://schemas.microsoft.com/office/drawing/2014/chart" xmlns:c16r2="http://schemas.microsoft.com/office/drawing/2015/06/chart" val="{00000006-DE0D-46AD-AF61-FBAF60D944CA}"/>
            </c:ext>
          </c:extLst>
        </c:ser>
        <c:dLbls>
          <c:showLegendKey val="0"/>
          <c:showVal val="0"/>
          <c:showCatName val="0"/>
          <c:showSerName val="0"/>
          <c:showPercent val="0"/>
          <c:showBubbleSize val="0"/>
        </c:dLbls>
        <c:gapWidth val="150"/>
        <c:overlap val="100"/>
        <c:axId val="338486616"/>
        <c:axId val="338487008"/>
      </c:barChart>
      <c:lineChart>
        <c:grouping val="standard"/>
        <c:varyColors val="0"/>
        <c:ser>
          <c:idx val="0"/>
          <c:order val="3"/>
          <c:tx>
            <c:strRef>
              <c:f>Tables!$W$2</c:f>
              <c:strCache>
                <c:ptCount val="1"/>
                <c:pt idx="0">
                  <c:v>Mentions Peak</c:v>
                </c:pt>
              </c:strCache>
            </c:strRef>
          </c:tx>
          <c:spPr>
            <a:ln w="22225">
              <a:solidFill>
                <a:srgbClr val="FDF561"/>
              </a:solidFill>
            </a:ln>
            <a:effectLst/>
          </c:spPr>
          <c:marker>
            <c:symbol val="circle"/>
            <c:size val="20"/>
            <c:spPr>
              <a:noFill/>
              <a:ln w="22225">
                <a:solidFill>
                  <a:srgbClr val="FDF561"/>
                </a:solidFill>
              </a:ln>
              <a:effectLst/>
            </c:spPr>
          </c:marker>
          <c:cat>
            <c:numRef>
              <c:f>[0]!tables.times</c:f>
              <c:numCache>
                <c:formatCode>m/d/yy;@</c:formatCode>
                <c:ptCount val="30"/>
                <c:pt idx="0">
                  <c:v>42958</c:v>
                </c:pt>
                <c:pt idx="1">
                  <c:v>42959</c:v>
                </c:pt>
                <c:pt idx="2">
                  <c:v>42960</c:v>
                </c:pt>
                <c:pt idx="3">
                  <c:v>42961</c:v>
                </c:pt>
                <c:pt idx="4">
                  <c:v>42962</c:v>
                </c:pt>
                <c:pt idx="5">
                  <c:v>42963</c:v>
                </c:pt>
                <c:pt idx="6">
                  <c:v>42964</c:v>
                </c:pt>
                <c:pt idx="7">
                  <c:v>42965</c:v>
                </c:pt>
                <c:pt idx="8">
                  <c:v>42966</c:v>
                </c:pt>
                <c:pt idx="9">
                  <c:v>42967</c:v>
                </c:pt>
                <c:pt idx="10">
                  <c:v>42968</c:v>
                </c:pt>
                <c:pt idx="11">
                  <c:v>42969</c:v>
                </c:pt>
                <c:pt idx="12">
                  <c:v>42970</c:v>
                </c:pt>
                <c:pt idx="13">
                  <c:v>42971</c:v>
                </c:pt>
                <c:pt idx="14">
                  <c:v>42972</c:v>
                </c:pt>
                <c:pt idx="15">
                  <c:v>42973</c:v>
                </c:pt>
                <c:pt idx="16">
                  <c:v>42974</c:v>
                </c:pt>
                <c:pt idx="17">
                  <c:v>42975</c:v>
                </c:pt>
                <c:pt idx="18">
                  <c:v>42976</c:v>
                </c:pt>
                <c:pt idx="19">
                  <c:v>42977</c:v>
                </c:pt>
                <c:pt idx="20">
                  <c:v>42978</c:v>
                </c:pt>
                <c:pt idx="21">
                  <c:v>42979</c:v>
                </c:pt>
                <c:pt idx="22">
                  <c:v>42980</c:v>
                </c:pt>
                <c:pt idx="23">
                  <c:v>42981</c:v>
                </c:pt>
                <c:pt idx="24">
                  <c:v>42982</c:v>
                </c:pt>
                <c:pt idx="25">
                  <c:v>42983</c:v>
                </c:pt>
                <c:pt idx="26">
                  <c:v>42984</c:v>
                </c:pt>
                <c:pt idx="27">
                  <c:v>42985</c:v>
                </c:pt>
                <c:pt idx="28">
                  <c:v>42986</c:v>
                </c:pt>
                <c:pt idx="29">
                  <c:v>42987</c:v>
                </c:pt>
              </c:numCache>
            </c:numRef>
          </c:cat>
          <c:val>
            <c:numRef>
              <c:f>[0]!tables.mentions_peak</c:f>
              <c:numCache>
                <c:formatCode>#,##0</c:formatCode>
                <c:ptCount val="30"/>
                <c:pt idx="0">
                  <c:v>#N/A</c:v>
                </c:pt>
                <c:pt idx="1">
                  <c:v>#N/A</c:v>
                </c:pt>
                <c:pt idx="2">
                  <c:v>#N/A</c:v>
                </c:pt>
                <c:pt idx="3">
                  <c:v>233</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numCache>
            </c:numRef>
          </c:val>
          <c:smooth val="0"/>
          <c:extLst xmlns:prop="http://schemas.openxmlformats.org/officeDocument/2006/custom-properties" xmlns:xs="http://www.w3.org/2001/XMLSchema" xmlns:mc="http://schemas.openxmlformats.org/markup-compatibility/2006" xmlns:WX="http://schemas.microsoft.com/office/word/2003/auxHint" xmlns:properties="http://schemas.openxmlformats.org/officeDocument/2006/extended-properties" xmlns:dc="http://purl.org/dc/elements/1.1/" xmlns:ds="http://schemas.openxmlformats.org/officeDocument/2006/customXml" xmlns:cp="http://schemas.openxmlformats.org/package/2006/metadata/core-properties" xmlns:w15="http://schemas.microsoft.com/office/word/2012/wordml" xmlns:ns40="http://schemas.openxmlformats.org/spreadsheetml/2006/main" xmlns:p="http://schemas.openxmlformats.org/presentationml/2006/main" xmlns:dcterms="http://purl.org/dc/terms/" xmlns:rel="http://schemas.openxmlformats.org/package/2006/relationships" xmlns:pkg="http://schemas.microsoft.com/office/2006/xmlPackage" xmlns:vt="http://schemas.openxmlformats.org/officeDocument/2006/docPropsVTypes" xmlns:xf="http://www.w3.org/2002/xforms" xmlns:w14="http://schemas.microsoft.com/office/word/2010/wordml" xmlns:xsi="http://www.w3.org/2001/XMLSchema-instance" xmlns:aml="http://schemas.microsoft.com/aml/2001/core" xmlns:xe="http://www.w3.org/2001/xml-events" xmlns:ns29="http://schemas.openxmlformats.org/drawingml/2006/lockedCanvas" xmlns:ns28="http://schemas.openxmlformats.org/drawingml/2006/compatibility" xmlns:ns27="http://schemas.openxmlformats.org/officeDocument/2006/bibliography" xmlns:odgm="http://opendope.org/SmartArt/DataHierarchy" xmlns:odi="http://opendope.org/components" xmlns:oda="http://opendope.org/answers" xmlns:odq="http://opendope.org/questions" xmlns:odc="http://opendope.org/conditions" xmlns:odx="http://opendope.org/xpaths" xmlns:ns20="http://schemas.microsoft.com/office/2006/coverPageProps" xmlns:ns18="urn:schemas-microsoft-com:office:powerpoint" xmlns:w10="urn:schemas-microsoft-com:office:word" xmlns:v="urn:schemas-microsoft-com:vml" xmlns:o="urn:schemas-microsoft-com:office:office" xmlns:ns14="urn:schemas-microsoft-com:office:excel" xmlns:dsp="http://schemas.microsoft.com/office/drawing/2008/diagram" xmlns:xdr="http://schemas.openxmlformats.org/drawingml/2006/spreadsheetDrawing" xmlns:pic="http://schemas.openxmlformats.org/drawingml/2006/picture" xmlns:dgm="http://schemas.openxmlformats.org/drawingml/2006/diagram" xmlns:ns9="http://schemas.openxmlformats.org/drawingml/2006/chartDrawing" xmlns:wne="http://schemas.microsoft.com/office/word/2006/wordml" xmlns:ns6="http://schemas.openxmlformats.org/schemaLibrary/2006/main" xmlns:wp="http://schemas.openxmlformats.org/drawingml/2006/wordprocessingDrawing" xmlns:m="http://schemas.openxmlformats.org/officeDocument/2006/math" xmlns:w="http://schemas.openxmlformats.org/wordprocessingml/2006/main">
            <c:ext uri="{C3380CC4-5D6E-409C-BE32-E72D297353CC}">
              <c16:uniqueId xmlns:c16="http://schemas.microsoft.com/office/drawing/2014/chart" xmlns:c16r2="http://schemas.microsoft.com/office/drawing/2015/06/chart" val="{00000002-DE0D-46AD-AF61-FBAF60D944CA}"/>
            </c:ext>
          </c:extLst>
        </c:ser>
        <c:ser>
          <c:idx val="3"/>
          <c:order val="4"/>
          <c:tx>
            <c:strRef>
              <c:f>Tables!$X$2</c:f>
              <c:strCache>
                <c:ptCount val="1"/>
                <c:pt idx="0">
                  <c:v>Buffer</c:v>
                </c:pt>
              </c:strCache>
            </c:strRef>
          </c:tx>
          <c:spPr>
            <a:ln w="28575">
              <a:noFill/>
            </a:ln>
          </c:spPr>
          <c:marker>
            <c:symbol val="none"/>
          </c:marker>
          <c:cat>
            <c:numRef>
              <c:f>[0]!tables.times</c:f>
              <c:numCache>
                <c:formatCode>m/d/yy;@</c:formatCode>
                <c:ptCount val="30"/>
                <c:pt idx="0">
                  <c:v>42958</c:v>
                </c:pt>
                <c:pt idx="1">
                  <c:v>42959</c:v>
                </c:pt>
                <c:pt idx="2">
                  <c:v>42960</c:v>
                </c:pt>
                <c:pt idx="3">
                  <c:v>42961</c:v>
                </c:pt>
                <c:pt idx="4">
                  <c:v>42962</c:v>
                </c:pt>
                <c:pt idx="5">
                  <c:v>42963</c:v>
                </c:pt>
                <c:pt idx="6">
                  <c:v>42964</c:v>
                </c:pt>
                <c:pt idx="7">
                  <c:v>42965</c:v>
                </c:pt>
                <c:pt idx="8">
                  <c:v>42966</c:v>
                </c:pt>
                <c:pt idx="9">
                  <c:v>42967</c:v>
                </c:pt>
                <c:pt idx="10">
                  <c:v>42968</c:v>
                </c:pt>
                <c:pt idx="11">
                  <c:v>42969</c:v>
                </c:pt>
                <c:pt idx="12">
                  <c:v>42970</c:v>
                </c:pt>
                <c:pt idx="13">
                  <c:v>42971</c:v>
                </c:pt>
                <c:pt idx="14">
                  <c:v>42972</c:v>
                </c:pt>
                <c:pt idx="15">
                  <c:v>42973</c:v>
                </c:pt>
                <c:pt idx="16">
                  <c:v>42974</c:v>
                </c:pt>
                <c:pt idx="17">
                  <c:v>42975</c:v>
                </c:pt>
                <c:pt idx="18">
                  <c:v>42976</c:v>
                </c:pt>
                <c:pt idx="19">
                  <c:v>42977</c:v>
                </c:pt>
                <c:pt idx="20">
                  <c:v>42978</c:v>
                </c:pt>
                <c:pt idx="21">
                  <c:v>42979</c:v>
                </c:pt>
                <c:pt idx="22">
                  <c:v>42980</c:v>
                </c:pt>
                <c:pt idx="23">
                  <c:v>42981</c:v>
                </c:pt>
                <c:pt idx="24">
                  <c:v>42982</c:v>
                </c:pt>
                <c:pt idx="25">
                  <c:v>42983</c:v>
                </c:pt>
                <c:pt idx="26">
                  <c:v>42984</c:v>
                </c:pt>
                <c:pt idx="27">
                  <c:v>42985</c:v>
                </c:pt>
                <c:pt idx="28">
                  <c:v>42986</c:v>
                </c:pt>
                <c:pt idx="29">
                  <c:v>42987</c:v>
                </c:pt>
              </c:numCache>
            </c:numRef>
          </c:cat>
          <c:val>
            <c:numRef>
              <c:f>[0]!tables.mentions_buffer</c:f>
              <c:numCache>
                <c:formatCode>#,##0</c:formatCode>
                <c:ptCount val="30"/>
                <c:pt idx="0">
                  <c:v>#N/A</c:v>
                </c:pt>
                <c:pt idx="1">
                  <c:v>#N/A</c:v>
                </c:pt>
                <c:pt idx="2">
                  <c:v>#N/A</c:v>
                </c:pt>
                <c:pt idx="3">
                  <c:v>256.3</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numCache>
            </c:numRef>
          </c:val>
          <c:smooth val="0"/>
          <c:extLst xmlns:prop="http://schemas.openxmlformats.org/officeDocument/2006/custom-properties" xmlns:xs="http://www.w3.org/2001/XMLSchema" xmlns:mc="http://schemas.openxmlformats.org/markup-compatibility/2006" xmlns:WX="http://schemas.microsoft.com/office/word/2003/auxHint" xmlns:properties="http://schemas.openxmlformats.org/officeDocument/2006/extended-properties" xmlns:dc="http://purl.org/dc/elements/1.1/" xmlns:ds="http://schemas.openxmlformats.org/officeDocument/2006/customXml" xmlns:cp="http://schemas.openxmlformats.org/package/2006/metadata/core-properties" xmlns:w15="http://schemas.microsoft.com/office/word/2012/wordml" xmlns:ns40="http://schemas.openxmlformats.org/spreadsheetml/2006/main" xmlns:p="http://schemas.openxmlformats.org/presentationml/2006/main" xmlns:dcterms="http://purl.org/dc/terms/" xmlns:rel="http://schemas.openxmlformats.org/package/2006/relationships" xmlns:pkg="http://schemas.microsoft.com/office/2006/xmlPackage" xmlns:vt="http://schemas.openxmlformats.org/officeDocument/2006/docPropsVTypes" xmlns:xf="http://www.w3.org/2002/xforms" xmlns:w14="http://schemas.microsoft.com/office/word/2010/wordml" xmlns:xsi="http://www.w3.org/2001/XMLSchema-instance" xmlns:aml="http://schemas.microsoft.com/aml/2001/core" xmlns:xe="http://www.w3.org/2001/xml-events" xmlns:ns29="http://schemas.openxmlformats.org/drawingml/2006/lockedCanvas" xmlns:ns28="http://schemas.openxmlformats.org/drawingml/2006/compatibility" xmlns:ns27="http://schemas.openxmlformats.org/officeDocument/2006/bibliography" xmlns:odgm="http://opendope.org/SmartArt/DataHierarchy" xmlns:odi="http://opendope.org/components" xmlns:oda="http://opendope.org/answers" xmlns:odq="http://opendope.org/questions" xmlns:odc="http://opendope.org/conditions" xmlns:odx="http://opendope.org/xpaths" xmlns:ns20="http://schemas.microsoft.com/office/2006/coverPageProps" xmlns:ns18="urn:schemas-microsoft-com:office:powerpoint" xmlns:w10="urn:schemas-microsoft-com:office:word" xmlns:v="urn:schemas-microsoft-com:vml" xmlns:o="urn:schemas-microsoft-com:office:office" xmlns:ns14="urn:schemas-microsoft-com:office:excel" xmlns:dsp="http://schemas.microsoft.com/office/drawing/2008/diagram" xmlns:xdr="http://schemas.openxmlformats.org/drawingml/2006/spreadsheetDrawing" xmlns:pic="http://schemas.openxmlformats.org/drawingml/2006/picture" xmlns:dgm="http://schemas.openxmlformats.org/drawingml/2006/diagram" xmlns:ns9="http://schemas.openxmlformats.org/drawingml/2006/chartDrawing" xmlns:wne="http://schemas.microsoft.com/office/word/2006/wordml" xmlns:ns6="http://schemas.openxmlformats.org/schemaLibrary/2006/main" xmlns:wp="http://schemas.openxmlformats.org/drawingml/2006/wordprocessingDrawing" xmlns:m="http://schemas.openxmlformats.org/officeDocument/2006/math" xmlns:w="http://schemas.openxmlformats.org/wordprocessingml/2006/main">
            <c:ext uri="{C3380CC4-5D6E-409C-BE32-E72D297353CC}">
              <c16:uniqueId xmlns:c16="http://schemas.microsoft.com/office/drawing/2014/chart" xmlns:c16r2="http://schemas.microsoft.com/office/drawing/2015/06/chart" val="{00000003-DE0D-46AD-AF61-FBAF60D944CA}"/>
            </c:ext>
          </c:extLst>
        </c:ser>
        <c:dLbls>
          <c:showLegendKey val="0"/>
          <c:showVal val="0"/>
          <c:showCatName val="0"/>
          <c:showSerName val="0"/>
          <c:showPercent val="0"/>
          <c:showBubbleSize val="0"/>
        </c:dLbls>
        <c:marker val="1"/>
        <c:smooth val="0"/>
        <c:axId val="338486616"/>
        <c:axId val="338487008"/>
      </c:lineChart>
      <c:catAx>
        <c:axId val="338486616"/>
        <c:scaling>
          <c:orientation val="minMax"/>
        </c:scaling>
        <c:delete val="0"/>
        <c:axPos val="b"/>
        <c:numFmt formatCode="m/d/yy;@" sourceLinked="1"/>
        <c:majorTickMark val="none"/>
        <c:minorTickMark val="none"/>
        <c:tickLblPos val="nextTo"/>
        <c:spPr>
          <a:ln>
            <a:solidFill>
              <a:srgbClr val="969696"/>
            </a:solidFill>
          </a:ln>
        </c:spPr>
        <c:txPr>
          <a:bodyPr rot="-2820000" vert="horz"/>
          <a:lstStyle/>
          <a:p>
            <a:pPr>
              <a:defRPr sz="800" b="1">
                <a:solidFill>
                  <a:srgbClr val="C8C8C8"/>
                </a:solidFill>
                <a:latin typeface="Calibri"/>
                <a:ea typeface="Calibri"/>
                <a:cs typeface="Calibri"/>
              </a:defRPr>
            </a:pPr>
            <a:endParaRPr lang="en-US"/>
          </a:p>
        </c:txPr>
        <c:crossAx val="338487008"/>
        <c:crosses val="autoZero"/>
        <c:auto val="0"/>
        <c:lblAlgn val="ctr"/>
        <c:lblOffset val="50"/>
        <c:noMultiLvlLbl val="1"/>
      </c:catAx>
      <c:valAx>
        <c:axId val="338487008"/>
        <c:scaling>
          <c:orientation val="minMax"/>
        </c:scaling>
        <c:delete val="0"/>
        <c:axPos val="l"/>
        <c:title>
          <c:tx>
            <c:rich>
              <a:bodyPr rot="-5400000" vert="horz"/>
              <a:lstStyle/>
              <a:p>
                <a:pPr>
                  <a:defRPr sz="1000" b="0">
                    <a:solidFill>
                      <a:srgbClr val="B4B4B4"/>
                    </a:solidFill>
                    <a:latin typeface="Calibri"/>
                    <a:ea typeface="Calibri"/>
                    <a:cs typeface="Calibri"/>
                  </a:defRPr>
                </a:pPr>
                <a:r>
                  <a:rPr lang="en-US"/>
                  <a:t>Mentions</a:t>
                </a:r>
              </a:p>
            </c:rich>
          </c:tx>
          <c:layout>
            <c:manualLayout>
              <c:xMode val="edge"/>
              <c:yMode val="edge"/>
              <c:x val="1.8835616438356163E-2"/>
              <c:y val="0.43599819553805774"/>
            </c:manualLayout>
          </c:layout>
          <c:overlay val="0"/>
        </c:title>
        <c:numFmt formatCode="[&gt;=1000000].0,,&quot;M&quot;;[&gt;=1000].0,&quot;K&quot;;#,##0" sourceLinked="0"/>
        <c:majorTickMark val="out"/>
        <c:minorTickMark val="none"/>
        <c:tickLblPos val="nextTo"/>
        <c:spPr>
          <a:ln>
            <a:solidFill>
              <a:srgbClr val="969696"/>
            </a:solidFill>
          </a:ln>
        </c:spPr>
        <c:txPr>
          <a:bodyPr/>
          <a:lstStyle/>
          <a:p>
            <a:pPr>
              <a:defRPr sz="800" b="0">
                <a:solidFill>
                  <a:srgbClr val="A0A0A0"/>
                </a:solidFill>
                <a:latin typeface="Calibri"/>
                <a:ea typeface="Calibri"/>
                <a:cs typeface="Calibri"/>
              </a:defRPr>
            </a:pPr>
            <a:endParaRPr lang="en-US"/>
          </a:p>
        </c:txPr>
        <c:crossAx val="338486616"/>
        <c:crosses val="autoZero"/>
        <c:crossBetween val="between"/>
      </c:valAx>
      <c:spPr>
        <a:gradFill flip="none" rotWithShape="1">
          <a:gsLst>
            <a:gs pos="0">
              <a:srgbClr val="262626"/>
            </a:gs>
            <a:gs pos="60000">
              <a:srgbClr val="151515"/>
            </a:gs>
          </a:gsLst>
          <a:lin ang="5400000" scaled="1"/>
          <a:tileRect/>
        </a:gradFill>
        <a:ln w="12700">
          <a:solidFill>
            <a:srgbClr val="262626"/>
          </a:solidFill>
        </a:ln>
      </c:spPr>
    </c:plotArea>
    <c:legend>
      <c:legendPos val="t"/>
      <c:legendEntry>
        <c:idx val="3"/>
        <c:delete val="1"/>
      </c:legendEntry>
      <c:legendEntry>
        <c:idx val="4"/>
        <c:delete val="1"/>
      </c:legendEntry>
      <c:layout>
        <c:manualLayout>
          <c:xMode val="edge"/>
          <c:yMode val="edge"/>
          <c:x val="0.12328767123287671"/>
          <c:y val="0.13541666666666666"/>
          <c:w val="0.75342465753424659"/>
          <c:h val="8.3333333333333329E-2"/>
        </c:manualLayout>
      </c:layout>
      <c:overlay val="0"/>
      <c:spPr>
        <a:gradFill flip="none" rotWithShape="1">
          <a:gsLst>
            <a:gs pos="0">
              <a:srgbClr val="151515"/>
            </a:gs>
            <a:gs pos="100000">
              <a:srgbClr val="404040"/>
            </a:gs>
            <a:gs pos="3000">
              <a:srgbClr val="151515"/>
            </a:gs>
            <a:gs pos="4000">
              <a:srgbClr val="404040"/>
            </a:gs>
            <a:gs pos="7000">
              <a:srgbClr val="404040"/>
            </a:gs>
            <a:gs pos="8000">
              <a:srgbClr val="262626"/>
            </a:gs>
            <a:gs pos="92000">
              <a:srgbClr val="262626"/>
            </a:gs>
            <a:gs pos="93000">
              <a:srgbClr val="151515"/>
            </a:gs>
            <a:gs pos="96000">
              <a:srgbClr val="151515"/>
            </a:gs>
            <a:gs pos="97000">
              <a:srgbClr val="404040"/>
            </a:gs>
          </a:gsLst>
          <a:lin ang="5400000" scaled="1"/>
          <a:tileRect/>
        </a:gradFill>
      </c:spPr>
      <c:txPr>
        <a:bodyPr/>
        <a:lstStyle/>
        <a:p>
          <a:pPr>
            <a:defRPr sz="1000" b="0" baseline="0">
              <a:solidFill>
                <a:srgbClr val="C8C8C8"/>
              </a:solidFill>
              <a:latin typeface="Calibri" panose="020F0502020204030204" pitchFamily="34" charset="0"/>
            </a:defRPr>
          </a:pPr>
          <a:endParaRPr lang="en-US"/>
        </a:p>
      </c:txPr>
    </c:legend>
    <c:plotVisOnly val="1"/>
    <c:dispBlanksAs val="gap"/>
    <c:showDLblsOverMax val="0"/>
  </c:chart>
  <c:spPr>
    <a:noFill/>
    <a:ln w="19050">
      <a:noFill/>
    </a:ln>
  </c:spPr>
  <c:txPr>
    <a:bodyPr/>
    <a:lstStyle/>
    <a:p>
      <a:pPr>
        <a:defRPr>
          <a:solidFill>
            <a:srgbClr val="FFFFFF"/>
          </a:solidFill>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c:style val="2"/>
  <c:clrMapOvr bg1="lt1" tx1="dk1" bg2="lt2" tx2="dk2" accent1="accent1" accent2="accent2" accent3="accent3" accent4="accent4" accent5="accent5" accent6="accent6" hlink="hlink" folHlink="folHlink"/>
  <c:chart>
    <c:title>
      <c:tx>
        <c:rich>
          <a:bodyPr/>
          <a:lstStyle/>
          <a:p>
            <a:pPr>
              <a:defRPr sz="1600" b="0" cap="none" baseline="0">
                <a:solidFill>
                  <a:srgbClr val="DCDCDC"/>
                </a:solidFill>
                <a:latin typeface="Calibri"/>
              </a:defRPr>
            </a:pPr>
            <a:r>
              <a:rPr lang="en-US" sz="1600" b="0" cap="none" baseline="0">
                <a:solidFill>
                  <a:srgbClr val="DCDCDC"/>
                </a:solidFill>
                <a:latin typeface="Calibri"/>
              </a:rPr>
              <a:t>Instagram Engagement</a:t>
            </a:r>
          </a:p>
        </c:rich>
      </c:tx>
      <c:layout>
        <c:manualLayout>
          <c:xMode val="edge"/>
          <c:yMode val="edge"/>
          <c:x val="5.8219178082191778E-2"/>
          <c:y val="2.7777777777777776E-2"/>
        </c:manualLayout>
      </c:layout>
      <c:overlay val="0"/>
    </c:title>
    <c:autoTitleDeleted val="0"/>
    <c:plotArea>
      <c:layout>
        <c:manualLayout>
          <c:layoutTarget val="inner"/>
          <c:xMode val="edge"/>
          <c:yMode val="edge"/>
          <c:x val="0.12328767123287671"/>
          <c:y val="0.2638888888888889"/>
          <c:w val="0.75342465753424659"/>
          <c:h val="0.5"/>
        </c:manualLayout>
      </c:layout>
      <c:areaChart>
        <c:grouping val="stacked"/>
        <c:varyColors val="0"/>
        <c:ser>
          <c:idx val="1"/>
          <c:order val="0"/>
          <c:tx>
            <c:strRef>
              <c:f>Tables!$K$2</c:f>
              <c:strCache>
                <c:ptCount val="1"/>
                <c:pt idx="0">
                  <c:v>Likes</c:v>
                </c:pt>
              </c:strCache>
            </c:strRef>
          </c:tx>
          <c:spPr>
            <a:gradFill flip="none" rotWithShape="1">
              <a:gsLst>
                <a:gs pos="0">
                  <a:srgbClr val="A03500"/>
                </a:gs>
                <a:gs pos="100000">
                  <a:srgbClr val="FF6200"/>
                </a:gs>
                <a:gs pos="50000">
                  <a:srgbClr val="E65100"/>
                </a:gs>
              </a:gsLst>
              <a:lin ang="16200000" scaled="1"/>
              <a:tileRect/>
            </a:gradFill>
            <a:ln w="12700">
              <a:solidFill>
                <a:srgbClr val="FF6200"/>
              </a:solidFill>
            </a:ln>
          </c:spPr>
          <c:cat>
            <c:numRef>
              <c:f>[0]!tables.times</c:f>
              <c:numCache>
                <c:formatCode>m/d/yy;@</c:formatCode>
                <c:ptCount val="30"/>
                <c:pt idx="0">
                  <c:v>42958</c:v>
                </c:pt>
                <c:pt idx="1">
                  <c:v>42959</c:v>
                </c:pt>
                <c:pt idx="2">
                  <c:v>42960</c:v>
                </c:pt>
                <c:pt idx="3">
                  <c:v>42961</c:v>
                </c:pt>
                <c:pt idx="4">
                  <c:v>42962</c:v>
                </c:pt>
                <c:pt idx="5">
                  <c:v>42963</c:v>
                </c:pt>
                <c:pt idx="6">
                  <c:v>42964</c:v>
                </c:pt>
                <c:pt idx="7">
                  <c:v>42965</c:v>
                </c:pt>
                <c:pt idx="8">
                  <c:v>42966</c:v>
                </c:pt>
                <c:pt idx="9">
                  <c:v>42967</c:v>
                </c:pt>
                <c:pt idx="10">
                  <c:v>42968</c:v>
                </c:pt>
                <c:pt idx="11">
                  <c:v>42969</c:v>
                </c:pt>
                <c:pt idx="12">
                  <c:v>42970</c:v>
                </c:pt>
                <c:pt idx="13">
                  <c:v>42971</c:v>
                </c:pt>
                <c:pt idx="14">
                  <c:v>42972</c:v>
                </c:pt>
                <c:pt idx="15">
                  <c:v>42973</c:v>
                </c:pt>
                <c:pt idx="16">
                  <c:v>42974</c:v>
                </c:pt>
                <c:pt idx="17">
                  <c:v>42975</c:v>
                </c:pt>
                <c:pt idx="18">
                  <c:v>42976</c:v>
                </c:pt>
                <c:pt idx="19">
                  <c:v>42977</c:v>
                </c:pt>
                <c:pt idx="20">
                  <c:v>42978</c:v>
                </c:pt>
                <c:pt idx="21">
                  <c:v>42979</c:v>
                </c:pt>
                <c:pt idx="22">
                  <c:v>42980</c:v>
                </c:pt>
                <c:pt idx="23">
                  <c:v>42981</c:v>
                </c:pt>
                <c:pt idx="24">
                  <c:v>42982</c:v>
                </c:pt>
                <c:pt idx="25">
                  <c:v>42983</c:v>
                </c:pt>
                <c:pt idx="26">
                  <c:v>42984</c:v>
                </c:pt>
                <c:pt idx="27">
                  <c:v>42985</c:v>
                </c:pt>
                <c:pt idx="28">
                  <c:v>42986</c:v>
                </c:pt>
                <c:pt idx="29">
                  <c:v>42987</c:v>
                </c:pt>
              </c:numCache>
            </c:numRef>
          </c:cat>
          <c:val>
            <c:numRef>
              <c:f>[0]!tables.IG_likes</c:f>
              <c:numCache>
                <c:formatCode>#,##0_);\(#,##0\)</c:formatCode>
                <c:ptCount val="30"/>
                <c:pt idx="0">
                  <c:v>9777</c:v>
                </c:pt>
                <c:pt idx="1">
                  <c:v>34131</c:v>
                </c:pt>
                <c:pt idx="2">
                  <c:v>23499</c:v>
                </c:pt>
                <c:pt idx="3">
                  <c:v>23833</c:v>
                </c:pt>
                <c:pt idx="4">
                  <c:v>27078</c:v>
                </c:pt>
                <c:pt idx="5">
                  <c:v>41776</c:v>
                </c:pt>
                <c:pt idx="6">
                  <c:v>39912</c:v>
                </c:pt>
                <c:pt idx="7">
                  <c:v>17360</c:v>
                </c:pt>
                <c:pt idx="8">
                  <c:v>11332</c:v>
                </c:pt>
                <c:pt idx="9">
                  <c:v>24565</c:v>
                </c:pt>
                <c:pt idx="10">
                  <c:v>14021</c:v>
                </c:pt>
                <c:pt idx="11">
                  <c:v>19222</c:v>
                </c:pt>
                <c:pt idx="12">
                  <c:v>23302</c:v>
                </c:pt>
                <c:pt idx="13">
                  <c:v>15566</c:v>
                </c:pt>
                <c:pt idx="14">
                  <c:v>21076</c:v>
                </c:pt>
                <c:pt idx="15">
                  <c:v>26653</c:v>
                </c:pt>
                <c:pt idx="16">
                  <c:v>14059</c:v>
                </c:pt>
                <c:pt idx="17">
                  <c:v>15006</c:v>
                </c:pt>
                <c:pt idx="18">
                  <c:v>21865</c:v>
                </c:pt>
                <c:pt idx="19">
                  <c:v>26528</c:v>
                </c:pt>
                <c:pt idx="20">
                  <c:v>21213</c:v>
                </c:pt>
                <c:pt idx="21">
                  <c:v>26999</c:v>
                </c:pt>
                <c:pt idx="22">
                  <c:v>11405</c:v>
                </c:pt>
                <c:pt idx="23">
                  <c:v>14283</c:v>
                </c:pt>
                <c:pt idx="24">
                  <c:v>21966</c:v>
                </c:pt>
                <c:pt idx="25">
                  <c:v>23134</c:v>
                </c:pt>
                <c:pt idx="26">
                  <c:v>18102</c:v>
                </c:pt>
                <c:pt idx="27">
                  <c:v>22647</c:v>
                </c:pt>
                <c:pt idx="28">
                  <c:v>15954</c:v>
                </c:pt>
                <c:pt idx="29">
                  <c:v>20656</c:v>
                </c:pt>
              </c:numCache>
            </c:numRef>
          </c:val>
          <c:extLst xmlns:prop="http://schemas.openxmlformats.org/officeDocument/2006/custom-properties" xmlns:xs="http://www.w3.org/2001/XMLSchema" xmlns:mc="http://schemas.openxmlformats.org/markup-compatibility/2006" xmlns:WX="http://schemas.microsoft.com/office/word/2003/auxHint" xmlns:properties="http://schemas.openxmlformats.org/officeDocument/2006/extended-properties" xmlns:dc="http://purl.org/dc/elements/1.1/" xmlns:ds="http://schemas.openxmlformats.org/officeDocument/2006/customXml" xmlns:cp="http://schemas.openxmlformats.org/package/2006/metadata/core-properties" xmlns:w15="http://schemas.microsoft.com/office/word/2012/wordml" xmlns:ns40="http://schemas.openxmlformats.org/spreadsheetml/2006/main" xmlns:p="http://schemas.openxmlformats.org/presentationml/2006/main" xmlns:dcterms="http://purl.org/dc/terms/" xmlns:rel="http://schemas.openxmlformats.org/package/2006/relationships" xmlns:pkg="http://schemas.microsoft.com/office/2006/xmlPackage" xmlns:vt="http://schemas.openxmlformats.org/officeDocument/2006/docPropsVTypes" xmlns:xf="http://www.w3.org/2002/xforms" xmlns:w14="http://schemas.microsoft.com/office/word/2010/wordml" xmlns:xsi="http://www.w3.org/2001/XMLSchema-instance" xmlns:aml="http://schemas.microsoft.com/aml/2001/core" xmlns:xe="http://www.w3.org/2001/xml-events" xmlns:ns29="http://schemas.openxmlformats.org/drawingml/2006/lockedCanvas" xmlns:ns28="http://schemas.openxmlformats.org/drawingml/2006/compatibility" xmlns:ns27="http://schemas.openxmlformats.org/officeDocument/2006/bibliography" xmlns:odgm="http://opendope.org/SmartArt/DataHierarchy" xmlns:odi="http://opendope.org/components" xmlns:oda="http://opendope.org/answers" xmlns:odq="http://opendope.org/questions" xmlns:odc="http://opendope.org/conditions" xmlns:odx="http://opendope.org/xpaths" xmlns:ns20="http://schemas.microsoft.com/office/2006/coverPageProps" xmlns:ns18="urn:schemas-microsoft-com:office:powerpoint" xmlns:w10="urn:schemas-microsoft-com:office:word" xmlns:v="urn:schemas-microsoft-com:vml" xmlns:o="urn:schemas-microsoft-com:office:office" xmlns:ns14="urn:schemas-microsoft-com:office:excel" xmlns:dsp="http://schemas.microsoft.com/office/drawing/2008/diagram" xmlns:xdr="http://schemas.openxmlformats.org/drawingml/2006/spreadsheetDrawing" xmlns:pic="http://schemas.openxmlformats.org/drawingml/2006/picture" xmlns:dgm="http://schemas.openxmlformats.org/drawingml/2006/diagram" xmlns:ns9="http://schemas.openxmlformats.org/drawingml/2006/chartDrawing" xmlns:wne="http://schemas.microsoft.com/office/word/2006/wordml" xmlns:ns6="http://schemas.openxmlformats.org/schemaLibrary/2006/main" xmlns:wp="http://schemas.openxmlformats.org/drawingml/2006/wordprocessingDrawing" xmlns:m="http://schemas.openxmlformats.org/officeDocument/2006/math" xmlns:w="http://schemas.openxmlformats.org/wordprocessingml/2006/main">
            <c:ext uri="{C3380CC4-5D6E-409C-BE32-E72D297353CC}">
              <c16:uniqueId xmlns:c16="http://schemas.microsoft.com/office/drawing/2014/chart" xmlns:c16r2="http://schemas.microsoft.com/office/drawing/2015/06/chart" val="{00000000-7AE3-487D-865C-66EDD75BEB31}"/>
            </c:ext>
          </c:extLst>
        </c:ser>
        <c:ser>
          <c:idx val="2"/>
          <c:order val="1"/>
          <c:tx>
            <c:strRef>
              <c:f>Tables!$L$2</c:f>
              <c:strCache>
                <c:ptCount val="1"/>
                <c:pt idx="0">
                  <c:v>Comments</c:v>
                </c:pt>
              </c:strCache>
            </c:strRef>
          </c:tx>
          <c:spPr>
            <a:gradFill flip="none" rotWithShape="1">
              <a:gsLst>
                <a:gs pos="0">
                  <a:srgbClr val="184479"/>
                </a:gs>
                <a:gs pos="100000">
                  <a:srgbClr val="3B7AC6"/>
                </a:gs>
                <a:gs pos="50000">
                  <a:srgbClr val="2765AF"/>
                </a:gs>
              </a:gsLst>
              <a:lin ang="16200000" scaled="1"/>
              <a:tileRect/>
            </a:gradFill>
            <a:ln w="12700">
              <a:solidFill>
                <a:srgbClr val="3B7AC6"/>
              </a:solidFill>
            </a:ln>
          </c:spPr>
          <c:cat>
            <c:numRef>
              <c:f>[0]!tables.times</c:f>
              <c:numCache>
                <c:formatCode>m/d/yy;@</c:formatCode>
                <c:ptCount val="30"/>
                <c:pt idx="0">
                  <c:v>42958</c:v>
                </c:pt>
                <c:pt idx="1">
                  <c:v>42959</c:v>
                </c:pt>
                <c:pt idx="2">
                  <c:v>42960</c:v>
                </c:pt>
                <c:pt idx="3">
                  <c:v>42961</c:v>
                </c:pt>
                <c:pt idx="4">
                  <c:v>42962</c:v>
                </c:pt>
                <c:pt idx="5">
                  <c:v>42963</c:v>
                </c:pt>
                <c:pt idx="6">
                  <c:v>42964</c:v>
                </c:pt>
                <c:pt idx="7">
                  <c:v>42965</c:v>
                </c:pt>
                <c:pt idx="8">
                  <c:v>42966</c:v>
                </c:pt>
                <c:pt idx="9">
                  <c:v>42967</c:v>
                </c:pt>
                <c:pt idx="10">
                  <c:v>42968</c:v>
                </c:pt>
                <c:pt idx="11">
                  <c:v>42969</c:v>
                </c:pt>
                <c:pt idx="12">
                  <c:v>42970</c:v>
                </c:pt>
                <c:pt idx="13">
                  <c:v>42971</c:v>
                </c:pt>
                <c:pt idx="14">
                  <c:v>42972</c:v>
                </c:pt>
                <c:pt idx="15">
                  <c:v>42973</c:v>
                </c:pt>
                <c:pt idx="16">
                  <c:v>42974</c:v>
                </c:pt>
                <c:pt idx="17">
                  <c:v>42975</c:v>
                </c:pt>
                <c:pt idx="18">
                  <c:v>42976</c:v>
                </c:pt>
                <c:pt idx="19">
                  <c:v>42977</c:v>
                </c:pt>
                <c:pt idx="20">
                  <c:v>42978</c:v>
                </c:pt>
                <c:pt idx="21">
                  <c:v>42979</c:v>
                </c:pt>
                <c:pt idx="22">
                  <c:v>42980</c:v>
                </c:pt>
                <c:pt idx="23">
                  <c:v>42981</c:v>
                </c:pt>
                <c:pt idx="24">
                  <c:v>42982</c:v>
                </c:pt>
                <c:pt idx="25">
                  <c:v>42983</c:v>
                </c:pt>
                <c:pt idx="26">
                  <c:v>42984</c:v>
                </c:pt>
                <c:pt idx="27">
                  <c:v>42985</c:v>
                </c:pt>
                <c:pt idx="28">
                  <c:v>42986</c:v>
                </c:pt>
                <c:pt idx="29">
                  <c:v>42987</c:v>
                </c:pt>
              </c:numCache>
            </c:numRef>
          </c:cat>
          <c:val>
            <c:numRef>
              <c:f>[0]!tables.IG_comments</c:f>
              <c:numCache>
                <c:formatCode>#,##0_);\(#,##0\)</c:formatCode>
                <c:ptCount val="30"/>
                <c:pt idx="0">
                  <c:v>382</c:v>
                </c:pt>
                <c:pt idx="1">
                  <c:v>868</c:v>
                </c:pt>
                <c:pt idx="2">
                  <c:v>670</c:v>
                </c:pt>
                <c:pt idx="3">
                  <c:v>755</c:v>
                </c:pt>
                <c:pt idx="4">
                  <c:v>663</c:v>
                </c:pt>
                <c:pt idx="5">
                  <c:v>988</c:v>
                </c:pt>
                <c:pt idx="6">
                  <c:v>828</c:v>
                </c:pt>
                <c:pt idx="7">
                  <c:v>398</c:v>
                </c:pt>
                <c:pt idx="8">
                  <c:v>428</c:v>
                </c:pt>
                <c:pt idx="9">
                  <c:v>512</c:v>
                </c:pt>
                <c:pt idx="10">
                  <c:v>524</c:v>
                </c:pt>
                <c:pt idx="11">
                  <c:v>621</c:v>
                </c:pt>
                <c:pt idx="12">
                  <c:v>645</c:v>
                </c:pt>
                <c:pt idx="13">
                  <c:v>479</c:v>
                </c:pt>
                <c:pt idx="14">
                  <c:v>686</c:v>
                </c:pt>
                <c:pt idx="15">
                  <c:v>438</c:v>
                </c:pt>
                <c:pt idx="16">
                  <c:v>381</c:v>
                </c:pt>
                <c:pt idx="17">
                  <c:v>572</c:v>
                </c:pt>
                <c:pt idx="18">
                  <c:v>640</c:v>
                </c:pt>
                <c:pt idx="19">
                  <c:v>572</c:v>
                </c:pt>
                <c:pt idx="20">
                  <c:v>577</c:v>
                </c:pt>
                <c:pt idx="21">
                  <c:v>624</c:v>
                </c:pt>
                <c:pt idx="22">
                  <c:v>352</c:v>
                </c:pt>
                <c:pt idx="23">
                  <c:v>418</c:v>
                </c:pt>
                <c:pt idx="24">
                  <c:v>559</c:v>
                </c:pt>
                <c:pt idx="25">
                  <c:v>685</c:v>
                </c:pt>
                <c:pt idx="26">
                  <c:v>827</c:v>
                </c:pt>
                <c:pt idx="27">
                  <c:v>772</c:v>
                </c:pt>
                <c:pt idx="28">
                  <c:v>636</c:v>
                </c:pt>
                <c:pt idx="29">
                  <c:v>489</c:v>
                </c:pt>
              </c:numCache>
            </c:numRef>
          </c:val>
          <c:extLst xmlns:prop="http://schemas.openxmlformats.org/officeDocument/2006/custom-properties" xmlns:xs="http://www.w3.org/2001/XMLSchema" xmlns:mc="http://schemas.openxmlformats.org/markup-compatibility/2006" xmlns:WX="http://schemas.microsoft.com/office/word/2003/auxHint" xmlns:properties="http://schemas.openxmlformats.org/officeDocument/2006/extended-properties" xmlns:dc="http://purl.org/dc/elements/1.1/" xmlns:ds="http://schemas.openxmlformats.org/officeDocument/2006/customXml" xmlns:cp="http://schemas.openxmlformats.org/package/2006/metadata/core-properties" xmlns:w15="http://schemas.microsoft.com/office/word/2012/wordml" xmlns:ns40="http://schemas.openxmlformats.org/spreadsheetml/2006/main" xmlns:p="http://schemas.openxmlformats.org/presentationml/2006/main" xmlns:dcterms="http://purl.org/dc/terms/" xmlns:rel="http://schemas.openxmlformats.org/package/2006/relationships" xmlns:pkg="http://schemas.microsoft.com/office/2006/xmlPackage" xmlns:vt="http://schemas.openxmlformats.org/officeDocument/2006/docPropsVTypes" xmlns:xf="http://www.w3.org/2002/xforms" xmlns:w14="http://schemas.microsoft.com/office/word/2010/wordml" xmlns:xsi="http://www.w3.org/2001/XMLSchema-instance" xmlns:aml="http://schemas.microsoft.com/aml/2001/core" xmlns:xe="http://www.w3.org/2001/xml-events" xmlns:ns29="http://schemas.openxmlformats.org/drawingml/2006/lockedCanvas" xmlns:ns28="http://schemas.openxmlformats.org/drawingml/2006/compatibility" xmlns:ns27="http://schemas.openxmlformats.org/officeDocument/2006/bibliography" xmlns:odgm="http://opendope.org/SmartArt/DataHierarchy" xmlns:odi="http://opendope.org/components" xmlns:oda="http://opendope.org/answers" xmlns:odq="http://opendope.org/questions" xmlns:odc="http://opendope.org/conditions" xmlns:odx="http://opendope.org/xpaths" xmlns:ns20="http://schemas.microsoft.com/office/2006/coverPageProps" xmlns:ns18="urn:schemas-microsoft-com:office:powerpoint" xmlns:w10="urn:schemas-microsoft-com:office:word" xmlns:v="urn:schemas-microsoft-com:vml" xmlns:o="urn:schemas-microsoft-com:office:office" xmlns:ns14="urn:schemas-microsoft-com:office:excel" xmlns:dsp="http://schemas.microsoft.com/office/drawing/2008/diagram" xmlns:xdr="http://schemas.openxmlformats.org/drawingml/2006/spreadsheetDrawing" xmlns:pic="http://schemas.openxmlformats.org/drawingml/2006/picture" xmlns:dgm="http://schemas.openxmlformats.org/drawingml/2006/diagram" xmlns:ns9="http://schemas.openxmlformats.org/drawingml/2006/chartDrawing" xmlns:wne="http://schemas.microsoft.com/office/word/2006/wordml" xmlns:ns6="http://schemas.openxmlformats.org/schemaLibrary/2006/main" xmlns:wp="http://schemas.openxmlformats.org/drawingml/2006/wordprocessingDrawing" xmlns:m="http://schemas.openxmlformats.org/officeDocument/2006/math" xmlns:w="http://schemas.openxmlformats.org/wordprocessingml/2006/main">
            <c:ext uri="{C3380CC4-5D6E-409C-BE32-E72D297353CC}">
              <c16:uniqueId xmlns:c16="http://schemas.microsoft.com/office/drawing/2014/chart" xmlns:c16r2="http://schemas.microsoft.com/office/drawing/2015/06/chart" val="{00000001-7AE3-487D-865C-66EDD75BEB31}"/>
            </c:ext>
          </c:extLst>
        </c:ser>
        <c:dLbls>
          <c:showLegendKey val="0"/>
          <c:showVal val="0"/>
          <c:showCatName val="0"/>
          <c:showSerName val="0"/>
          <c:showPercent val="0"/>
          <c:showBubbleSize val="0"/>
        </c:dLbls>
        <c:axId val="338487792"/>
        <c:axId val="338488184"/>
      </c:areaChart>
      <c:lineChart>
        <c:grouping val="standard"/>
        <c:varyColors val="0"/>
        <c:ser>
          <c:idx val="0"/>
          <c:order val="2"/>
          <c:tx>
            <c:strRef>
              <c:f>Tables!$Z$2</c:f>
              <c:strCache>
                <c:ptCount val="1"/>
                <c:pt idx="0">
                  <c:v>Engagment Peak 1</c:v>
                </c:pt>
              </c:strCache>
            </c:strRef>
          </c:tx>
          <c:spPr>
            <a:ln w="22225">
              <a:solidFill>
                <a:srgbClr val="FD6169"/>
              </a:solidFill>
            </a:ln>
          </c:spPr>
          <c:marker>
            <c:symbol val="circle"/>
            <c:size val="20"/>
            <c:spPr>
              <a:noFill/>
              <a:ln w="22225">
                <a:solidFill>
                  <a:srgbClr val="FD6169"/>
                </a:solidFill>
              </a:ln>
            </c:spPr>
          </c:marker>
          <c:cat>
            <c:numRef>
              <c:f>[0]!tables.times</c:f>
              <c:numCache>
                <c:formatCode>m/d/yy;@</c:formatCode>
                <c:ptCount val="30"/>
                <c:pt idx="0">
                  <c:v>42958</c:v>
                </c:pt>
                <c:pt idx="1">
                  <c:v>42959</c:v>
                </c:pt>
                <c:pt idx="2">
                  <c:v>42960</c:v>
                </c:pt>
                <c:pt idx="3">
                  <c:v>42961</c:v>
                </c:pt>
                <c:pt idx="4">
                  <c:v>42962</c:v>
                </c:pt>
                <c:pt idx="5">
                  <c:v>42963</c:v>
                </c:pt>
                <c:pt idx="6">
                  <c:v>42964</c:v>
                </c:pt>
                <c:pt idx="7">
                  <c:v>42965</c:v>
                </c:pt>
                <c:pt idx="8">
                  <c:v>42966</c:v>
                </c:pt>
                <c:pt idx="9">
                  <c:v>42967</c:v>
                </c:pt>
                <c:pt idx="10">
                  <c:v>42968</c:v>
                </c:pt>
                <c:pt idx="11">
                  <c:v>42969</c:v>
                </c:pt>
                <c:pt idx="12">
                  <c:v>42970</c:v>
                </c:pt>
                <c:pt idx="13">
                  <c:v>42971</c:v>
                </c:pt>
                <c:pt idx="14">
                  <c:v>42972</c:v>
                </c:pt>
                <c:pt idx="15">
                  <c:v>42973</c:v>
                </c:pt>
                <c:pt idx="16">
                  <c:v>42974</c:v>
                </c:pt>
                <c:pt idx="17">
                  <c:v>42975</c:v>
                </c:pt>
                <c:pt idx="18">
                  <c:v>42976</c:v>
                </c:pt>
                <c:pt idx="19">
                  <c:v>42977</c:v>
                </c:pt>
                <c:pt idx="20">
                  <c:v>42978</c:v>
                </c:pt>
                <c:pt idx="21">
                  <c:v>42979</c:v>
                </c:pt>
                <c:pt idx="22">
                  <c:v>42980</c:v>
                </c:pt>
                <c:pt idx="23">
                  <c:v>42981</c:v>
                </c:pt>
                <c:pt idx="24">
                  <c:v>42982</c:v>
                </c:pt>
                <c:pt idx="25">
                  <c:v>42983</c:v>
                </c:pt>
                <c:pt idx="26">
                  <c:v>42984</c:v>
                </c:pt>
                <c:pt idx="27">
                  <c:v>42985</c:v>
                </c:pt>
                <c:pt idx="28">
                  <c:v>42986</c:v>
                </c:pt>
                <c:pt idx="29">
                  <c:v>42987</c:v>
                </c:pt>
              </c:numCache>
            </c:numRef>
          </c:cat>
          <c:val>
            <c:numRef>
              <c:f>[0]!tables.engagement_peak_1</c:f>
              <c:numCache>
                <c:formatCode>#,##0</c:formatCode>
                <c:ptCount val="30"/>
                <c:pt idx="0">
                  <c:v>#N/A</c:v>
                </c:pt>
                <c:pt idx="1">
                  <c:v>#N/A</c:v>
                </c:pt>
                <c:pt idx="2">
                  <c:v>#N/A</c:v>
                </c:pt>
                <c:pt idx="3">
                  <c:v>#N/A</c:v>
                </c:pt>
                <c:pt idx="4">
                  <c:v>#N/A</c:v>
                </c:pt>
                <c:pt idx="5">
                  <c:v>42764</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numCache>
            </c:numRef>
          </c:val>
          <c:smooth val="0"/>
          <c:extLst xmlns:prop="http://schemas.openxmlformats.org/officeDocument/2006/custom-properties" xmlns:xs="http://www.w3.org/2001/XMLSchema" xmlns:mc="http://schemas.openxmlformats.org/markup-compatibility/2006" xmlns:WX="http://schemas.microsoft.com/office/word/2003/auxHint" xmlns:properties="http://schemas.openxmlformats.org/officeDocument/2006/extended-properties" xmlns:dc="http://purl.org/dc/elements/1.1/" xmlns:ds="http://schemas.openxmlformats.org/officeDocument/2006/customXml" xmlns:cp="http://schemas.openxmlformats.org/package/2006/metadata/core-properties" xmlns:w15="http://schemas.microsoft.com/office/word/2012/wordml" xmlns:ns40="http://schemas.openxmlformats.org/spreadsheetml/2006/main" xmlns:p="http://schemas.openxmlformats.org/presentationml/2006/main" xmlns:dcterms="http://purl.org/dc/terms/" xmlns:rel="http://schemas.openxmlformats.org/package/2006/relationships" xmlns:pkg="http://schemas.microsoft.com/office/2006/xmlPackage" xmlns:vt="http://schemas.openxmlformats.org/officeDocument/2006/docPropsVTypes" xmlns:xf="http://www.w3.org/2002/xforms" xmlns:w14="http://schemas.microsoft.com/office/word/2010/wordml" xmlns:xsi="http://www.w3.org/2001/XMLSchema-instance" xmlns:aml="http://schemas.microsoft.com/aml/2001/core" xmlns:xe="http://www.w3.org/2001/xml-events" xmlns:ns29="http://schemas.openxmlformats.org/drawingml/2006/lockedCanvas" xmlns:ns28="http://schemas.openxmlformats.org/drawingml/2006/compatibility" xmlns:ns27="http://schemas.openxmlformats.org/officeDocument/2006/bibliography" xmlns:odgm="http://opendope.org/SmartArt/DataHierarchy" xmlns:odi="http://opendope.org/components" xmlns:oda="http://opendope.org/answers" xmlns:odq="http://opendope.org/questions" xmlns:odc="http://opendope.org/conditions" xmlns:odx="http://opendope.org/xpaths" xmlns:ns20="http://schemas.microsoft.com/office/2006/coverPageProps" xmlns:ns18="urn:schemas-microsoft-com:office:powerpoint" xmlns:w10="urn:schemas-microsoft-com:office:word" xmlns:v="urn:schemas-microsoft-com:vml" xmlns:o="urn:schemas-microsoft-com:office:office" xmlns:ns14="urn:schemas-microsoft-com:office:excel" xmlns:dsp="http://schemas.microsoft.com/office/drawing/2008/diagram" xmlns:xdr="http://schemas.openxmlformats.org/drawingml/2006/spreadsheetDrawing" xmlns:pic="http://schemas.openxmlformats.org/drawingml/2006/picture" xmlns:dgm="http://schemas.openxmlformats.org/drawingml/2006/diagram" xmlns:ns9="http://schemas.openxmlformats.org/drawingml/2006/chartDrawing" xmlns:wne="http://schemas.microsoft.com/office/word/2006/wordml" xmlns:ns6="http://schemas.openxmlformats.org/schemaLibrary/2006/main" xmlns:wp="http://schemas.openxmlformats.org/drawingml/2006/wordprocessingDrawing" xmlns:m="http://schemas.openxmlformats.org/officeDocument/2006/math" xmlns:w="http://schemas.openxmlformats.org/wordprocessingml/2006/main">
            <c:ext uri="{C3380CC4-5D6E-409C-BE32-E72D297353CC}">
              <c16:uniqueId xmlns:c16="http://schemas.microsoft.com/office/drawing/2014/chart" xmlns:c16r2="http://schemas.microsoft.com/office/drawing/2015/06/chart" val="{00000002-7AE3-487D-865C-66EDD75BEB31}"/>
            </c:ext>
          </c:extLst>
        </c:ser>
        <c:ser>
          <c:idx val="3"/>
          <c:order val="3"/>
          <c:tx>
            <c:strRef>
              <c:f>Tables!$AA$2</c:f>
              <c:strCache>
                <c:ptCount val="1"/>
                <c:pt idx="0">
                  <c:v>Engagment Peak 2</c:v>
                </c:pt>
              </c:strCache>
            </c:strRef>
          </c:tx>
          <c:spPr>
            <a:ln w="22225">
              <a:solidFill>
                <a:srgbClr val="FDA761"/>
              </a:solidFill>
            </a:ln>
          </c:spPr>
          <c:marker>
            <c:symbol val="circle"/>
            <c:size val="20"/>
            <c:spPr>
              <a:noFill/>
              <a:ln w="22225">
                <a:solidFill>
                  <a:srgbClr val="FDA761"/>
                </a:solidFill>
              </a:ln>
            </c:spPr>
          </c:marker>
          <c:cat>
            <c:numRef>
              <c:f>[0]!tables.times</c:f>
              <c:numCache>
                <c:formatCode>m/d/yy;@</c:formatCode>
                <c:ptCount val="30"/>
                <c:pt idx="0">
                  <c:v>42958</c:v>
                </c:pt>
                <c:pt idx="1">
                  <c:v>42959</c:v>
                </c:pt>
                <c:pt idx="2">
                  <c:v>42960</c:v>
                </c:pt>
                <c:pt idx="3">
                  <c:v>42961</c:v>
                </c:pt>
                <c:pt idx="4">
                  <c:v>42962</c:v>
                </c:pt>
                <c:pt idx="5">
                  <c:v>42963</c:v>
                </c:pt>
                <c:pt idx="6">
                  <c:v>42964</c:v>
                </c:pt>
                <c:pt idx="7">
                  <c:v>42965</c:v>
                </c:pt>
                <c:pt idx="8">
                  <c:v>42966</c:v>
                </c:pt>
                <c:pt idx="9">
                  <c:v>42967</c:v>
                </c:pt>
                <c:pt idx="10">
                  <c:v>42968</c:v>
                </c:pt>
                <c:pt idx="11">
                  <c:v>42969</c:v>
                </c:pt>
                <c:pt idx="12">
                  <c:v>42970</c:v>
                </c:pt>
                <c:pt idx="13">
                  <c:v>42971</c:v>
                </c:pt>
                <c:pt idx="14">
                  <c:v>42972</c:v>
                </c:pt>
                <c:pt idx="15">
                  <c:v>42973</c:v>
                </c:pt>
                <c:pt idx="16">
                  <c:v>42974</c:v>
                </c:pt>
                <c:pt idx="17">
                  <c:v>42975</c:v>
                </c:pt>
                <c:pt idx="18">
                  <c:v>42976</c:v>
                </c:pt>
                <c:pt idx="19">
                  <c:v>42977</c:v>
                </c:pt>
                <c:pt idx="20">
                  <c:v>42978</c:v>
                </c:pt>
                <c:pt idx="21">
                  <c:v>42979</c:v>
                </c:pt>
                <c:pt idx="22">
                  <c:v>42980</c:v>
                </c:pt>
                <c:pt idx="23">
                  <c:v>42981</c:v>
                </c:pt>
                <c:pt idx="24">
                  <c:v>42982</c:v>
                </c:pt>
                <c:pt idx="25">
                  <c:v>42983</c:v>
                </c:pt>
                <c:pt idx="26">
                  <c:v>42984</c:v>
                </c:pt>
                <c:pt idx="27">
                  <c:v>42985</c:v>
                </c:pt>
                <c:pt idx="28">
                  <c:v>42986</c:v>
                </c:pt>
                <c:pt idx="29">
                  <c:v>42987</c:v>
                </c:pt>
              </c:numCache>
            </c:numRef>
          </c:cat>
          <c:val>
            <c:numRef>
              <c:f>[0]!tables.engagement_peak_2</c:f>
              <c:numCache>
                <c:formatCode>#,##0</c:formatCode>
                <c:ptCount val="30"/>
                <c:pt idx="0">
                  <c:v>#N/A</c:v>
                </c:pt>
                <c:pt idx="1">
                  <c:v>#N/A</c:v>
                </c:pt>
                <c:pt idx="2">
                  <c:v>#N/A</c:v>
                </c:pt>
                <c:pt idx="3">
                  <c:v>#N/A</c:v>
                </c:pt>
                <c:pt idx="4">
                  <c:v>#N/A</c:v>
                </c:pt>
                <c:pt idx="5">
                  <c:v>#N/A</c:v>
                </c:pt>
                <c:pt idx="6">
                  <c:v>40740</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numCache>
            </c:numRef>
          </c:val>
          <c:smooth val="0"/>
          <c:extLst xmlns:prop="http://schemas.openxmlformats.org/officeDocument/2006/custom-properties" xmlns:xs="http://www.w3.org/2001/XMLSchema" xmlns:mc="http://schemas.openxmlformats.org/markup-compatibility/2006" xmlns:WX="http://schemas.microsoft.com/office/word/2003/auxHint" xmlns:properties="http://schemas.openxmlformats.org/officeDocument/2006/extended-properties" xmlns:dc="http://purl.org/dc/elements/1.1/" xmlns:ds="http://schemas.openxmlformats.org/officeDocument/2006/customXml" xmlns:cp="http://schemas.openxmlformats.org/package/2006/metadata/core-properties" xmlns:w15="http://schemas.microsoft.com/office/word/2012/wordml" xmlns:ns40="http://schemas.openxmlformats.org/spreadsheetml/2006/main" xmlns:p="http://schemas.openxmlformats.org/presentationml/2006/main" xmlns:dcterms="http://purl.org/dc/terms/" xmlns:rel="http://schemas.openxmlformats.org/package/2006/relationships" xmlns:pkg="http://schemas.microsoft.com/office/2006/xmlPackage" xmlns:vt="http://schemas.openxmlformats.org/officeDocument/2006/docPropsVTypes" xmlns:xf="http://www.w3.org/2002/xforms" xmlns:w14="http://schemas.microsoft.com/office/word/2010/wordml" xmlns:xsi="http://www.w3.org/2001/XMLSchema-instance" xmlns:aml="http://schemas.microsoft.com/aml/2001/core" xmlns:xe="http://www.w3.org/2001/xml-events" xmlns:ns29="http://schemas.openxmlformats.org/drawingml/2006/lockedCanvas" xmlns:ns28="http://schemas.openxmlformats.org/drawingml/2006/compatibility" xmlns:ns27="http://schemas.openxmlformats.org/officeDocument/2006/bibliography" xmlns:odgm="http://opendope.org/SmartArt/DataHierarchy" xmlns:odi="http://opendope.org/components" xmlns:oda="http://opendope.org/answers" xmlns:odq="http://opendope.org/questions" xmlns:odc="http://opendope.org/conditions" xmlns:odx="http://opendope.org/xpaths" xmlns:ns20="http://schemas.microsoft.com/office/2006/coverPageProps" xmlns:ns18="urn:schemas-microsoft-com:office:powerpoint" xmlns:w10="urn:schemas-microsoft-com:office:word" xmlns:v="urn:schemas-microsoft-com:vml" xmlns:o="urn:schemas-microsoft-com:office:office" xmlns:ns14="urn:schemas-microsoft-com:office:excel" xmlns:dsp="http://schemas.microsoft.com/office/drawing/2008/diagram" xmlns:xdr="http://schemas.openxmlformats.org/drawingml/2006/spreadsheetDrawing" xmlns:pic="http://schemas.openxmlformats.org/drawingml/2006/picture" xmlns:dgm="http://schemas.openxmlformats.org/drawingml/2006/diagram" xmlns:ns9="http://schemas.openxmlformats.org/drawingml/2006/chartDrawing" xmlns:wne="http://schemas.microsoft.com/office/word/2006/wordml" xmlns:ns6="http://schemas.openxmlformats.org/schemaLibrary/2006/main" xmlns:wp="http://schemas.openxmlformats.org/drawingml/2006/wordprocessingDrawing" xmlns:m="http://schemas.openxmlformats.org/officeDocument/2006/math" xmlns:w="http://schemas.openxmlformats.org/wordprocessingml/2006/main">
            <c:ext uri="{C3380CC4-5D6E-409C-BE32-E72D297353CC}">
              <c16:uniqueId xmlns:c16="http://schemas.microsoft.com/office/drawing/2014/chart" xmlns:c16r2="http://schemas.microsoft.com/office/drawing/2015/06/chart" val="{00000003-7AE3-487D-865C-66EDD75BEB31}"/>
            </c:ext>
          </c:extLst>
        </c:ser>
        <c:ser>
          <c:idx val="4"/>
          <c:order val="4"/>
          <c:tx>
            <c:strRef>
              <c:f>Tables!$AB$2</c:f>
              <c:strCache>
                <c:ptCount val="1"/>
                <c:pt idx="0">
                  <c:v>Engagment Peak 3</c:v>
                </c:pt>
              </c:strCache>
            </c:strRef>
          </c:tx>
          <c:spPr>
            <a:ln w="22225">
              <a:solidFill>
                <a:srgbClr val="FDF561"/>
              </a:solidFill>
            </a:ln>
          </c:spPr>
          <c:marker>
            <c:symbol val="circle"/>
            <c:size val="20"/>
            <c:spPr>
              <a:noFill/>
              <a:ln w="22225">
                <a:solidFill>
                  <a:srgbClr val="FDF561"/>
                </a:solidFill>
              </a:ln>
            </c:spPr>
          </c:marker>
          <c:cat>
            <c:numRef>
              <c:f>[0]!tables.times</c:f>
              <c:numCache>
                <c:formatCode>m/d/yy;@</c:formatCode>
                <c:ptCount val="30"/>
                <c:pt idx="0">
                  <c:v>42958</c:v>
                </c:pt>
                <c:pt idx="1">
                  <c:v>42959</c:v>
                </c:pt>
                <c:pt idx="2">
                  <c:v>42960</c:v>
                </c:pt>
                <c:pt idx="3">
                  <c:v>42961</c:v>
                </c:pt>
                <c:pt idx="4">
                  <c:v>42962</c:v>
                </c:pt>
                <c:pt idx="5">
                  <c:v>42963</c:v>
                </c:pt>
                <c:pt idx="6">
                  <c:v>42964</c:v>
                </c:pt>
                <c:pt idx="7">
                  <c:v>42965</c:v>
                </c:pt>
                <c:pt idx="8">
                  <c:v>42966</c:v>
                </c:pt>
                <c:pt idx="9">
                  <c:v>42967</c:v>
                </c:pt>
                <c:pt idx="10">
                  <c:v>42968</c:v>
                </c:pt>
                <c:pt idx="11">
                  <c:v>42969</c:v>
                </c:pt>
                <c:pt idx="12">
                  <c:v>42970</c:v>
                </c:pt>
                <c:pt idx="13">
                  <c:v>42971</c:v>
                </c:pt>
                <c:pt idx="14">
                  <c:v>42972</c:v>
                </c:pt>
                <c:pt idx="15">
                  <c:v>42973</c:v>
                </c:pt>
                <c:pt idx="16">
                  <c:v>42974</c:v>
                </c:pt>
                <c:pt idx="17">
                  <c:v>42975</c:v>
                </c:pt>
                <c:pt idx="18">
                  <c:v>42976</c:v>
                </c:pt>
                <c:pt idx="19">
                  <c:v>42977</c:v>
                </c:pt>
                <c:pt idx="20">
                  <c:v>42978</c:v>
                </c:pt>
                <c:pt idx="21">
                  <c:v>42979</c:v>
                </c:pt>
                <c:pt idx="22">
                  <c:v>42980</c:v>
                </c:pt>
                <c:pt idx="23">
                  <c:v>42981</c:v>
                </c:pt>
                <c:pt idx="24">
                  <c:v>42982</c:v>
                </c:pt>
                <c:pt idx="25">
                  <c:v>42983</c:v>
                </c:pt>
                <c:pt idx="26">
                  <c:v>42984</c:v>
                </c:pt>
                <c:pt idx="27">
                  <c:v>42985</c:v>
                </c:pt>
                <c:pt idx="28">
                  <c:v>42986</c:v>
                </c:pt>
                <c:pt idx="29">
                  <c:v>42987</c:v>
                </c:pt>
              </c:numCache>
            </c:numRef>
          </c:cat>
          <c:val>
            <c:numRef>
              <c:f>[0]!tables.engagement_peak_3</c:f>
              <c:numCache>
                <c:formatCode>#,##0</c:formatCode>
                <c:ptCount val="30"/>
                <c:pt idx="0">
                  <c:v>#N/A</c:v>
                </c:pt>
                <c:pt idx="1">
                  <c:v>34999</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numCache>
            </c:numRef>
          </c:val>
          <c:smooth val="0"/>
          <c:extLst xmlns:prop="http://schemas.openxmlformats.org/officeDocument/2006/custom-properties" xmlns:xs="http://www.w3.org/2001/XMLSchema" xmlns:mc="http://schemas.openxmlformats.org/markup-compatibility/2006" xmlns:WX="http://schemas.microsoft.com/office/word/2003/auxHint" xmlns:properties="http://schemas.openxmlformats.org/officeDocument/2006/extended-properties" xmlns:dc="http://purl.org/dc/elements/1.1/" xmlns:ds="http://schemas.openxmlformats.org/officeDocument/2006/customXml" xmlns:cp="http://schemas.openxmlformats.org/package/2006/metadata/core-properties" xmlns:w15="http://schemas.microsoft.com/office/word/2012/wordml" xmlns:ns40="http://schemas.openxmlformats.org/spreadsheetml/2006/main" xmlns:p="http://schemas.openxmlformats.org/presentationml/2006/main" xmlns:dcterms="http://purl.org/dc/terms/" xmlns:rel="http://schemas.openxmlformats.org/package/2006/relationships" xmlns:pkg="http://schemas.microsoft.com/office/2006/xmlPackage" xmlns:vt="http://schemas.openxmlformats.org/officeDocument/2006/docPropsVTypes" xmlns:xf="http://www.w3.org/2002/xforms" xmlns:w14="http://schemas.microsoft.com/office/word/2010/wordml" xmlns:xsi="http://www.w3.org/2001/XMLSchema-instance" xmlns:aml="http://schemas.microsoft.com/aml/2001/core" xmlns:xe="http://www.w3.org/2001/xml-events" xmlns:ns29="http://schemas.openxmlformats.org/drawingml/2006/lockedCanvas" xmlns:ns28="http://schemas.openxmlformats.org/drawingml/2006/compatibility" xmlns:ns27="http://schemas.openxmlformats.org/officeDocument/2006/bibliography" xmlns:odgm="http://opendope.org/SmartArt/DataHierarchy" xmlns:odi="http://opendope.org/components" xmlns:oda="http://opendope.org/answers" xmlns:odq="http://opendope.org/questions" xmlns:odc="http://opendope.org/conditions" xmlns:odx="http://opendope.org/xpaths" xmlns:ns20="http://schemas.microsoft.com/office/2006/coverPageProps" xmlns:ns18="urn:schemas-microsoft-com:office:powerpoint" xmlns:w10="urn:schemas-microsoft-com:office:word" xmlns:v="urn:schemas-microsoft-com:vml" xmlns:o="urn:schemas-microsoft-com:office:office" xmlns:ns14="urn:schemas-microsoft-com:office:excel" xmlns:dsp="http://schemas.microsoft.com/office/drawing/2008/diagram" xmlns:xdr="http://schemas.openxmlformats.org/drawingml/2006/spreadsheetDrawing" xmlns:pic="http://schemas.openxmlformats.org/drawingml/2006/picture" xmlns:dgm="http://schemas.openxmlformats.org/drawingml/2006/diagram" xmlns:ns9="http://schemas.openxmlformats.org/drawingml/2006/chartDrawing" xmlns:wne="http://schemas.microsoft.com/office/word/2006/wordml" xmlns:ns6="http://schemas.openxmlformats.org/schemaLibrary/2006/main" xmlns:wp="http://schemas.openxmlformats.org/drawingml/2006/wordprocessingDrawing" xmlns:m="http://schemas.openxmlformats.org/officeDocument/2006/math" xmlns:w="http://schemas.openxmlformats.org/wordprocessingml/2006/main">
            <c:ext uri="{C3380CC4-5D6E-409C-BE32-E72D297353CC}">
              <c16:uniqueId xmlns:c16="http://schemas.microsoft.com/office/drawing/2014/chart" xmlns:c16r2="http://schemas.microsoft.com/office/drawing/2015/06/chart" val="{00000004-7AE3-487D-865C-66EDD75BEB31}"/>
            </c:ext>
          </c:extLst>
        </c:ser>
        <c:ser>
          <c:idx val="5"/>
          <c:order val="5"/>
          <c:tx>
            <c:strRef>
              <c:f>Tables!$AC$2</c:f>
              <c:strCache>
                <c:ptCount val="1"/>
                <c:pt idx="0">
                  <c:v>Buffer</c:v>
                </c:pt>
              </c:strCache>
            </c:strRef>
          </c:tx>
          <c:spPr>
            <a:ln>
              <a:noFill/>
            </a:ln>
          </c:spPr>
          <c:marker>
            <c:symbol val="none"/>
          </c:marker>
          <c:cat>
            <c:numRef>
              <c:f>[0]!tables.times</c:f>
              <c:numCache>
                <c:formatCode>m/d/yy;@</c:formatCode>
                <c:ptCount val="30"/>
                <c:pt idx="0">
                  <c:v>42958</c:v>
                </c:pt>
                <c:pt idx="1">
                  <c:v>42959</c:v>
                </c:pt>
                <c:pt idx="2">
                  <c:v>42960</c:v>
                </c:pt>
                <c:pt idx="3">
                  <c:v>42961</c:v>
                </c:pt>
                <c:pt idx="4">
                  <c:v>42962</c:v>
                </c:pt>
                <c:pt idx="5">
                  <c:v>42963</c:v>
                </c:pt>
                <c:pt idx="6">
                  <c:v>42964</c:v>
                </c:pt>
                <c:pt idx="7">
                  <c:v>42965</c:v>
                </c:pt>
                <c:pt idx="8">
                  <c:v>42966</c:v>
                </c:pt>
                <c:pt idx="9">
                  <c:v>42967</c:v>
                </c:pt>
                <c:pt idx="10">
                  <c:v>42968</c:v>
                </c:pt>
                <c:pt idx="11">
                  <c:v>42969</c:v>
                </c:pt>
                <c:pt idx="12">
                  <c:v>42970</c:v>
                </c:pt>
                <c:pt idx="13">
                  <c:v>42971</c:v>
                </c:pt>
                <c:pt idx="14">
                  <c:v>42972</c:v>
                </c:pt>
                <c:pt idx="15">
                  <c:v>42973</c:v>
                </c:pt>
                <c:pt idx="16">
                  <c:v>42974</c:v>
                </c:pt>
                <c:pt idx="17">
                  <c:v>42975</c:v>
                </c:pt>
                <c:pt idx="18">
                  <c:v>42976</c:v>
                </c:pt>
                <c:pt idx="19">
                  <c:v>42977</c:v>
                </c:pt>
                <c:pt idx="20">
                  <c:v>42978</c:v>
                </c:pt>
                <c:pt idx="21">
                  <c:v>42979</c:v>
                </c:pt>
                <c:pt idx="22">
                  <c:v>42980</c:v>
                </c:pt>
                <c:pt idx="23">
                  <c:v>42981</c:v>
                </c:pt>
                <c:pt idx="24">
                  <c:v>42982</c:v>
                </c:pt>
                <c:pt idx="25">
                  <c:v>42983</c:v>
                </c:pt>
                <c:pt idx="26">
                  <c:v>42984</c:v>
                </c:pt>
                <c:pt idx="27">
                  <c:v>42985</c:v>
                </c:pt>
                <c:pt idx="28">
                  <c:v>42986</c:v>
                </c:pt>
                <c:pt idx="29">
                  <c:v>42987</c:v>
                </c:pt>
              </c:numCache>
            </c:numRef>
          </c:cat>
          <c:val>
            <c:numRef>
              <c:f>[0]!tables.engagement_buffer</c:f>
              <c:numCache>
                <c:formatCode>#,##0</c:formatCode>
                <c:ptCount val="30"/>
                <c:pt idx="0">
                  <c:v>#N/A</c:v>
                </c:pt>
                <c:pt idx="1">
                  <c:v>#N/A</c:v>
                </c:pt>
                <c:pt idx="2">
                  <c:v>#N/A</c:v>
                </c:pt>
                <c:pt idx="3">
                  <c:v>#N/A</c:v>
                </c:pt>
                <c:pt idx="4">
                  <c:v>#N/A</c:v>
                </c:pt>
                <c:pt idx="5">
                  <c:v>47040.4</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numCache>
            </c:numRef>
          </c:val>
          <c:smooth val="0"/>
          <c:extLst xmlns:prop="http://schemas.openxmlformats.org/officeDocument/2006/custom-properties" xmlns:xs="http://www.w3.org/2001/XMLSchema" xmlns:mc="http://schemas.openxmlformats.org/markup-compatibility/2006" xmlns:WX="http://schemas.microsoft.com/office/word/2003/auxHint" xmlns:properties="http://schemas.openxmlformats.org/officeDocument/2006/extended-properties" xmlns:dc="http://purl.org/dc/elements/1.1/" xmlns:ds="http://schemas.openxmlformats.org/officeDocument/2006/customXml" xmlns:cp="http://schemas.openxmlformats.org/package/2006/metadata/core-properties" xmlns:w15="http://schemas.microsoft.com/office/word/2012/wordml" xmlns:ns40="http://schemas.openxmlformats.org/spreadsheetml/2006/main" xmlns:p="http://schemas.openxmlformats.org/presentationml/2006/main" xmlns:dcterms="http://purl.org/dc/terms/" xmlns:rel="http://schemas.openxmlformats.org/package/2006/relationships" xmlns:pkg="http://schemas.microsoft.com/office/2006/xmlPackage" xmlns:vt="http://schemas.openxmlformats.org/officeDocument/2006/docPropsVTypes" xmlns:xf="http://www.w3.org/2002/xforms" xmlns:w14="http://schemas.microsoft.com/office/word/2010/wordml" xmlns:xsi="http://www.w3.org/2001/XMLSchema-instance" xmlns:aml="http://schemas.microsoft.com/aml/2001/core" xmlns:xe="http://www.w3.org/2001/xml-events" xmlns:ns29="http://schemas.openxmlformats.org/drawingml/2006/lockedCanvas" xmlns:ns28="http://schemas.openxmlformats.org/drawingml/2006/compatibility" xmlns:ns27="http://schemas.openxmlformats.org/officeDocument/2006/bibliography" xmlns:odgm="http://opendope.org/SmartArt/DataHierarchy" xmlns:odi="http://opendope.org/components" xmlns:oda="http://opendope.org/answers" xmlns:odq="http://opendope.org/questions" xmlns:odc="http://opendope.org/conditions" xmlns:odx="http://opendope.org/xpaths" xmlns:ns20="http://schemas.microsoft.com/office/2006/coverPageProps" xmlns:ns18="urn:schemas-microsoft-com:office:powerpoint" xmlns:w10="urn:schemas-microsoft-com:office:word" xmlns:v="urn:schemas-microsoft-com:vml" xmlns:o="urn:schemas-microsoft-com:office:office" xmlns:ns14="urn:schemas-microsoft-com:office:excel" xmlns:dsp="http://schemas.microsoft.com/office/drawing/2008/diagram" xmlns:xdr="http://schemas.openxmlformats.org/drawingml/2006/spreadsheetDrawing" xmlns:pic="http://schemas.openxmlformats.org/drawingml/2006/picture" xmlns:dgm="http://schemas.openxmlformats.org/drawingml/2006/diagram" xmlns:ns9="http://schemas.openxmlformats.org/drawingml/2006/chartDrawing" xmlns:wne="http://schemas.microsoft.com/office/word/2006/wordml" xmlns:ns6="http://schemas.openxmlformats.org/schemaLibrary/2006/main" xmlns:wp="http://schemas.openxmlformats.org/drawingml/2006/wordprocessingDrawing" xmlns:m="http://schemas.openxmlformats.org/officeDocument/2006/math" xmlns:w="http://schemas.openxmlformats.org/wordprocessingml/2006/main">
            <c:ext uri="{C3380CC4-5D6E-409C-BE32-E72D297353CC}">
              <c16:uniqueId xmlns:c16="http://schemas.microsoft.com/office/drawing/2014/chart" xmlns:c16r2="http://schemas.microsoft.com/office/drawing/2015/06/chart" val="{00000005-7AE3-487D-865C-66EDD75BEB31}"/>
            </c:ext>
          </c:extLst>
        </c:ser>
        <c:dLbls>
          <c:showLegendKey val="0"/>
          <c:showVal val="0"/>
          <c:showCatName val="0"/>
          <c:showSerName val="0"/>
          <c:showPercent val="0"/>
          <c:showBubbleSize val="0"/>
        </c:dLbls>
        <c:marker val="1"/>
        <c:smooth val="0"/>
        <c:axId val="338487792"/>
        <c:axId val="338488184"/>
      </c:lineChart>
      <c:catAx>
        <c:axId val="338487792"/>
        <c:scaling>
          <c:orientation val="minMax"/>
        </c:scaling>
        <c:delete val="0"/>
        <c:axPos val="b"/>
        <c:numFmt formatCode="m/d/yy;@" sourceLinked="1"/>
        <c:majorTickMark val="none"/>
        <c:minorTickMark val="none"/>
        <c:tickLblPos val="nextTo"/>
        <c:spPr>
          <a:ln>
            <a:solidFill>
              <a:srgbClr val="969696"/>
            </a:solidFill>
          </a:ln>
        </c:spPr>
        <c:txPr>
          <a:bodyPr rot="-2820000" vert="horz"/>
          <a:lstStyle/>
          <a:p>
            <a:pPr>
              <a:defRPr sz="800" b="1">
                <a:solidFill>
                  <a:srgbClr val="C8C8C8"/>
                </a:solidFill>
                <a:latin typeface="Calibri"/>
                <a:ea typeface="Calibri"/>
                <a:cs typeface="Calibri"/>
              </a:defRPr>
            </a:pPr>
            <a:endParaRPr lang="en-US"/>
          </a:p>
        </c:txPr>
        <c:crossAx val="338488184"/>
        <c:crosses val="autoZero"/>
        <c:auto val="0"/>
        <c:lblAlgn val="ctr"/>
        <c:lblOffset val="50"/>
        <c:noMultiLvlLbl val="1"/>
      </c:catAx>
      <c:valAx>
        <c:axId val="338488184"/>
        <c:scaling>
          <c:orientation val="minMax"/>
        </c:scaling>
        <c:delete val="0"/>
        <c:axPos val="l"/>
        <c:title>
          <c:tx>
            <c:rich>
              <a:bodyPr rot="-5400000" vert="horz"/>
              <a:lstStyle/>
              <a:p>
                <a:pPr>
                  <a:defRPr sz="1000" b="0">
                    <a:solidFill>
                      <a:srgbClr val="B4B4B4"/>
                    </a:solidFill>
                    <a:latin typeface="Calibri"/>
                    <a:ea typeface="Calibri"/>
                    <a:cs typeface="Calibri"/>
                  </a:defRPr>
                </a:pPr>
                <a:r>
                  <a:rPr lang="en-US"/>
                  <a:t>Engagement</a:t>
                </a:r>
              </a:p>
            </c:rich>
          </c:tx>
          <c:layout>
            <c:manualLayout>
              <c:xMode val="edge"/>
              <c:yMode val="edge"/>
              <c:x val="1.8835616438356163E-2"/>
              <c:y val="0.4151301399825022"/>
            </c:manualLayout>
          </c:layout>
          <c:overlay val="0"/>
        </c:title>
        <c:numFmt formatCode="[&gt;=1000000].0,,&quot;M&quot;;[&gt;=1000].0,&quot;K&quot;;#,##0" sourceLinked="0"/>
        <c:majorTickMark val="out"/>
        <c:minorTickMark val="none"/>
        <c:tickLblPos val="nextTo"/>
        <c:spPr>
          <a:ln>
            <a:solidFill>
              <a:srgbClr val="969696"/>
            </a:solidFill>
          </a:ln>
        </c:spPr>
        <c:txPr>
          <a:bodyPr/>
          <a:lstStyle/>
          <a:p>
            <a:pPr>
              <a:defRPr sz="800" b="0">
                <a:solidFill>
                  <a:srgbClr val="A0A0A0"/>
                </a:solidFill>
                <a:latin typeface="Calibri"/>
                <a:ea typeface="Calibri"/>
                <a:cs typeface="Calibri"/>
              </a:defRPr>
            </a:pPr>
            <a:endParaRPr lang="en-US"/>
          </a:p>
        </c:txPr>
        <c:crossAx val="338487792"/>
        <c:crosses val="autoZero"/>
        <c:crossBetween val="midCat"/>
      </c:valAx>
      <c:spPr>
        <a:gradFill flip="none" rotWithShape="1">
          <a:gsLst>
            <a:gs pos="0">
              <a:srgbClr val="262626"/>
            </a:gs>
            <a:gs pos="60000">
              <a:srgbClr val="151515"/>
            </a:gs>
          </a:gsLst>
          <a:lin ang="5400000" scaled="1"/>
          <a:tileRect/>
        </a:gradFill>
        <a:ln w="12700">
          <a:solidFill>
            <a:srgbClr val="262626"/>
          </a:solidFill>
        </a:ln>
      </c:spPr>
    </c:plotArea>
    <c:legend>
      <c:legendPos val="t"/>
      <c:legendEntry>
        <c:idx val="2"/>
        <c:delete val="1"/>
      </c:legendEntry>
      <c:legendEntry>
        <c:idx val="3"/>
        <c:delete val="1"/>
      </c:legendEntry>
      <c:legendEntry>
        <c:idx val="4"/>
        <c:delete val="1"/>
      </c:legendEntry>
      <c:legendEntry>
        <c:idx val="5"/>
        <c:delete val="1"/>
      </c:legendEntry>
      <c:layout>
        <c:manualLayout>
          <c:xMode val="edge"/>
          <c:yMode val="edge"/>
          <c:x val="0.12328767123287671"/>
          <c:y val="0.13541666666666666"/>
          <c:w val="0.75342465753424659"/>
          <c:h val="8.3333333333333329E-2"/>
        </c:manualLayout>
      </c:layout>
      <c:overlay val="0"/>
      <c:spPr>
        <a:gradFill flip="none" rotWithShape="1">
          <a:gsLst>
            <a:gs pos="0">
              <a:srgbClr val="151515"/>
            </a:gs>
            <a:gs pos="100000">
              <a:srgbClr val="404040"/>
            </a:gs>
            <a:gs pos="3000">
              <a:srgbClr val="151515"/>
            </a:gs>
            <a:gs pos="4000">
              <a:srgbClr val="404040"/>
            </a:gs>
            <a:gs pos="7000">
              <a:srgbClr val="404040"/>
            </a:gs>
            <a:gs pos="8000">
              <a:srgbClr val="262626"/>
            </a:gs>
            <a:gs pos="92000">
              <a:srgbClr val="262626"/>
            </a:gs>
            <a:gs pos="93000">
              <a:srgbClr val="151515"/>
            </a:gs>
            <a:gs pos="96000">
              <a:srgbClr val="151515"/>
            </a:gs>
            <a:gs pos="97000">
              <a:srgbClr val="404040"/>
            </a:gs>
          </a:gsLst>
          <a:lin ang="5400000" scaled="1"/>
          <a:tileRect/>
        </a:gradFill>
      </c:spPr>
      <c:txPr>
        <a:bodyPr/>
        <a:lstStyle/>
        <a:p>
          <a:pPr>
            <a:defRPr sz="1000" b="0" baseline="0">
              <a:solidFill>
                <a:srgbClr val="C8C8C8"/>
              </a:solidFill>
              <a:latin typeface="Calibri"/>
            </a:defRPr>
          </a:pPr>
          <a:endParaRPr lang="en-US"/>
        </a:p>
      </c:txPr>
    </c:legend>
    <c:plotVisOnly val="1"/>
    <c:dispBlanksAs val="gap"/>
    <c:showDLblsOverMax val="0"/>
  </c:chart>
  <c:spPr>
    <a:noFill/>
    <a:ln w="19050">
      <a:noFill/>
    </a:ln>
  </c:spPr>
  <c:txPr>
    <a:bodyPr/>
    <a:lstStyle/>
    <a:p>
      <a:pPr>
        <a:defRPr>
          <a:solidFill>
            <a:srgbClr val="FFFFFF"/>
          </a:solidFill>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c:style val="2"/>
  <c:clrMapOvr bg1="lt1" tx1="dk1" bg2="lt2" tx2="dk2" accent1="accent1" accent2="accent2" accent3="accent3" accent4="accent4" accent5="accent5" accent6="accent6" hlink="hlink" folHlink="folHlink"/>
  <c:chart>
    <c:title>
      <c:tx>
        <c:rich>
          <a:bodyPr/>
          <a:lstStyle/>
          <a:p>
            <a:pPr>
              <a:defRPr sz="1600" b="0" cap="none" baseline="0">
                <a:solidFill>
                  <a:srgbClr val="DCDCDC"/>
                </a:solidFill>
                <a:latin typeface="Calibri"/>
                <a:cs typeface="Arial" pitchFamily="34" charset="0"/>
              </a:defRPr>
            </a:pPr>
            <a:r>
              <a:rPr lang="en-US"/>
              <a:t>Top Users By Engagement Per Post</a:t>
            </a:r>
          </a:p>
        </c:rich>
      </c:tx>
      <c:layout>
        <c:manualLayout>
          <c:xMode val="edge"/>
          <c:yMode val="edge"/>
          <c:x val="4.8611111111111112E-2"/>
          <c:y val="2.7777837722355422E-2"/>
        </c:manualLayout>
      </c:layout>
      <c:overlay val="0"/>
    </c:title>
    <c:autoTitleDeleted val="0"/>
    <c:plotArea>
      <c:layout>
        <c:manualLayout>
          <c:layoutTarget val="inner"/>
          <c:xMode val="edge"/>
          <c:yMode val="edge"/>
          <c:x val="0.45023148148148145"/>
          <c:y val="0.15532234251968505"/>
          <c:w val="0.47337953849518816"/>
          <c:h val="0.71620543525809277"/>
        </c:manualLayout>
      </c:layout>
      <c:barChart>
        <c:barDir val="bar"/>
        <c:grouping val="clustered"/>
        <c:varyColors val="0"/>
        <c:ser>
          <c:idx val="0"/>
          <c:order val="0"/>
          <c:tx>
            <c:strRef>
              <c:f>Calculations!$C$210</c:f>
              <c:strCache>
                <c:ptCount val="1"/>
                <c:pt idx="0">
                  <c:v>Engagement Per Post</c:v>
                </c:pt>
              </c:strCache>
            </c:strRef>
          </c:tx>
          <c:spPr>
            <a:gradFill flip="none" rotWithShape="1">
              <a:gsLst>
                <a:gs pos="0">
                  <a:srgbClr val="3F1260"/>
                </a:gs>
                <a:gs pos="100000">
                  <a:srgbClr val="7128A8"/>
                </a:gs>
                <a:gs pos="50000">
                  <a:srgbClr val="5E1F8D"/>
                </a:gs>
              </a:gsLst>
              <a:lin ang="16200000" scaled="1"/>
              <a:tileRect/>
            </a:gradFill>
            <a:ln w="9525">
              <a:solidFill>
                <a:srgbClr val="7128A8"/>
              </a:solidFill>
            </a:ln>
          </c:spPr>
          <c:invertIfNegative val="0"/>
          <c:dLbls>
            <c:numFmt formatCode="[&gt;=1000000].0,,&quot;M&quot;;[&gt;=10000].0,&quot;K&quot;;#,##0" sourceLinked="0"/>
            <c:spPr>
              <a:noFill/>
              <a:ln>
                <a:noFill/>
              </a:ln>
              <a:effectLst/>
            </c:spPr>
            <c:txPr>
              <a:bodyPr/>
              <a:lstStyle/>
              <a:p>
                <a:pPr>
                  <a:defRPr sz="800" b="0">
                    <a:solidFill>
                      <a:srgbClr val="B4B4B4"/>
                    </a:solidFill>
                    <a:latin typeface="Calibri"/>
                    <a:ea typeface="Calibri"/>
                    <a:cs typeface="Calibri"/>
                  </a:defRPr>
                </a:pPr>
                <a:endParaRPr lang="en-US"/>
              </a:p>
            </c:txPr>
            <c:dLblPos val="outEnd"/>
            <c:showLegendKey val="0"/>
            <c:showVal val="1"/>
            <c:showCatName val="0"/>
            <c:showSerName val="0"/>
            <c:showPercent val="0"/>
            <c:showBubbleSize val="0"/>
            <c:showLeaderLines val="0"/>
            <c:extLst xmlns:prop="http://schemas.openxmlformats.org/officeDocument/2006/custom-properties" xmlns:xs="http://www.w3.org/2001/XMLSchema" xmlns:mc="http://schemas.openxmlformats.org/markup-compatibility/2006" xmlns:WX="http://schemas.microsoft.com/office/word/2003/auxHint" xmlns:properties="http://schemas.openxmlformats.org/officeDocument/2006/extended-properties" xmlns:dc="http://purl.org/dc/elements/1.1/" xmlns:ds="http://schemas.openxmlformats.org/officeDocument/2006/customXml" xmlns:cp="http://schemas.openxmlformats.org/package/2006/metadata/core-properties" xmlns:w15="http://schemas.microsoft.com/office/word/2012/wordml" xmlns:ns40="http://schemas.openxmlformats.org/spreadsheetml/2006/main" xmlns:p="http://schemas.openxmlformats.org/presentationml/2006/main" xmlns:dcterms="http://purl.org/dc/terms/" xmlns:rel="http://schemas.openxmlformats.org/package/2006/relationships" xmlns:pkg="http://schemas.microsoft.com/office/2006/xmlPackage" xmlns:vt="http://schemas.openxmlformats.org/officeDocument/2006/docPropsVTypes" xmlns:xf="http://www.w3.org/2002/xforms" xmlns:w14="http://schemas.microsoft.com/office/word/2010/wordml" xmlns:xsi="http://www.w3.org/2001/XMLSchema-instance" xmlns:aml="http://schemas.microsoft.com/aml/2001/core" xmlns:xe="http://www.w3.org/2001/xml-events" xmlns:ns29="http://schemas.openxmlformats.org/drawingml/2006/lockedCanvas" xmlns:ns28="http://schemas.openxmlformats.org/drawingml/2006/compatibility" xmlns:ns27="http://schemas.openxmlformats.org/officeDocument/2006/bibliography" xmlns:odgm="http://opendope.org/SmartArt/DataHierarchy" xmlns:odi="http://opendope.org/components" xmlns:oda="http://opendope.org/answers" xmlns:odq="http://opendope.org/questions" xmlns:odc="http://opendope.org/conditions" xmlns:odx="http://opendope.org/xpaths" xmlns:ns20="http://schemas.microsoft.com/office/2006/coverPageProps" xmlns:ns18="urn:schemas-microsoft-com:office:powerpoint" xmlns:w10="urn:schemas-microsoft-com:office:word" xmlns:v="urn:schemas-microsoft-com:vml" xmlns:o="urn:schemas-microsoft-com:office:office" xmlns:ns14="urn:schemas-microsoft-com:office:excel" xmlns:dsp="http://schemas.microsoft.com/office/drawing/2008/diagram" xmlns:xdr="http://schemas.openxmlformats.org/drawingml/2006/spreadsheetDrawing" xmlns:pic="http://schemas.openxmlformats.org/drawingml/2006/picture" xmlns:dgm="http://schemas.openxmlformats.org/drawingml/2006/diagram" xmlns:ns9="http://schemas.openxmlformats.org/drawingml/2006/chartDrawing" xmlns:wne="http://schemas.microsoft.com/office/word/2006/wordml" xmlns:ns6="http://schemas.openxmlformats.org/schemaLibrary/2006/main" xmlns:wp="http://schemas.openxmlformats.org/drawingml/2006/wordprocessingDrawing" xmlns:m="http://schemas.openxmlformats.org/officeDocument/2006/math" xmlns:w="http://schemas.openxmlformats.org/wordprocessingml/2006/main">
              <c:ext xmlns:c15="http://schemas.microsoft.com/office/drawing/2012/chart" uri="{CE6537A1-D6FC-4f65-9D91-7224C49458BB}">
                <c15:showLeaderLines val="0"/>
              </c:ext>
            </c:extLst>
          </c:dLbls>
          <c:cat>
            <c:strRef>
              <c:f>[0]!chart.top_users_by_engagement_per_post.labels</c:f>
              <c:strCache>
                <c:ptCount val="10"/>
                <c:pt idx="0">
                  <c:v>annie_rose_cole</c:v>
                </c:pt>
                <c:pt idx="1">
                  <c:v>martacarriedo</c:v>
                </c:pt>
                <c:pt idx="2">
                  <c:v>thiagofragoso</c:v>
                </c:pt>
                <c:pt idx="3">
                  <c:v>ourfamilynest</c:v>
                </c:pt>
                <c:pt idx="4">
                  <c:v>ariletmestyleu</c:v>
                </c:pt>
                <c:pt idx="5">
                  <c:v>paulinamichaels</c:v>
                </c:pt>
                <c:pt idx="6">
                  <c:v>millionaire.dream</c:v>
                </c:pt>
                <c:pt idx="7">
                  <c:v>travellingpreneur</c:v>
                </c:pt>
                <c:pt idx="8">
                  <c:v>cassandrafoxdance</c:v>
                </c:pt>
                <c:pt idx="9">
                  <c:v>stoked.travels</c:v>
                </c:pt>
              </c:strCache>
            </c:strRef>
          </c:cat>
          <c:val>
            <c:numRef>
              <c:f>[0]!chart.top_users_by_engagement_per_post.values</c:f>
              <c:numCache>
                <c:formatCode>#,##0</c:formatCode>
                <c:ptCount val="10"/>
                <c:pt idx="0">
                  <c:v>14848</c:v>
                </c:pt>
                <c:pt idx="1">
                  <c:v>13779</c:v>
                </c:pt>
                <c:pt idx="2">
                  <c:v>12661</c:v>
                </c:pt>
                <c:pt idx="3">
                  <c:v>5406</c:v>
                </c:pt>
                <c:pt idx="4">
                  <c:v>4731</c:v>
                </c:pt>
                <c:pt idx="5">
                  <c:v>4555</c:v>
                </c:pt>
                <c:pt idx="6">
                  <c:v>4515.625</c:v>
                </c:pt>
                <c:pt idx="7">
                  <c:v>4439.333333333333</c:v>
                </c:pt>
                <c:pt idx="8">
                  <c:v>3574</c:v>
                </c:pt>
                <c:pt idx="9">
                  <c:v>3188.5</c:v>
                </c:pt>
              </c:numCache>
            </c:numRef>
          </c:val>
          <c:extLst xmlns:prop="http://schemas.openxmlformats.org/officeDocument/2006/custom-properties" xmlns:xs="http://www.w3.org/2001/XMLSchema" xmlns:mc="http://schemas.openxmlformats.org/markup-compatibility/2006" xmlns:WX="http://schemas.microsoft.com/office/word/2003/auxHint" xmlns:properties="http://schemas.openxmlformats.org/officeDocument/2006/extended-properties" xmlns:dc="http://purl.org/dc/elements/1.1/" xmlns:ds="http://schemas.openxmlformats.org/officeDocument/2006/customXml" xmlns:cp="http://schemas.openxmlformats.org/package/2006/metadata/core-properties" xmlns:w15="http://schemas.microsoft.com/office/word/2012/wordml" xmlns:ns40="http://schemas.openxmlformats.org/spreadsheetml/2006/main" xmlns:p="http://schemas.openxmlformats.org/presentationml/2006/main" xmlns:dcterms="http://purl.org/dc/terms/" xmlns:rel="http://schemas.openxmlformats.org/package/2006/relationships" xmlns:pkg="http://schemas.microsoft.com/office/2006/xmlPackage" xmlns:vt="http://schemas.openxmlformats.org/officeDocument/2006/docPropsVTypes" xmlns:xf="http://www.w3.org/2002/xforms" xmlns:w14="http://schemas.microsoft.com/office/word/2010/wordml" xmlns:xsi="http://www.w3.org/2001/XMLSchema-instance" xmlns:aml="http://schemas.microsoft.com/aml/2001/core" xmlns:xe="http://www.w3.org/2001/xml-events" xmlns:ns29="http://schemas.openxmlformats.org/drawingml/2006/lockedCanvas" xmlns:ns28="http://schemas.openxmlformats.org/drawingml/2006/compatibility" xmlns:ns27="http://schemas.openxmlformats.org/officeDocument/2006/bibliography" xmlns:odgm="http://opendope.org/SmartArt/DataHierarchy" xmlns:odi="http://opendope.org/components" xmlns:oda="http://opendope.org/answers" xmlns:odq="http://opendope.org/questions" xmlns:odc="http://opendope.org/conditions" xmlns:odx="http://opendope.org/xpaths" xmlns:ns20="http://schemas.microsoft.com/office/2006/coverPageProps" xmlns:ns18="urn:schemas-microsoft-com:office:powerpoint" xmlns:w10="urn:schemas-microsoft-com:office:word" xmlns:v="urn:schemas-microsoft-com:vml" xmlns:o="urn:schemas-microsoft-com:office:office" xmlns:ns14="urn:schemas-microsoft-com:office:excel" xmlns:dsp="http://schemas.microsoft.com/office/drawing/2008/diagram" xmlns:xdr="http://schemas.openxmlformats.org/drawingml/2006/spreadsheetDrawing" xmlns:pic="http://schemas.openxmlformats.org/drawingml/2006/picture" xmlns:dgm="http://schemas.openxmlformats.org/drawingml/2006/diagram" xmlns:ns9="http://schemas.openxmlformats.org/drawingml/2006/chartDrawing" xmlns:wne="http://schemas.microsoft.com/office/word/2006/wordml" xmlns:ns6="http://schemas.openxmlformats.org/schemaLibrary/2006/main" xmlns:wp="http://schemas.openxmlformats.org/drawingml/2006/wordprocessingDrawing" xmlns:m="http://schemas.openxmlformats.org/officeDocument/2006/math" xmlns:w="http://schemas.openxmlformats.org/wordprocessingml/2006/main">
            <c:ext uri="{C3380CC4-5D6E-409C-BE32-E72D297353CC}">
              <c16:uniqueId xmlns:c16="http://schemas.microsoft.com/office/drawing/2014/chart" xmlns:c16r2="http://schemas.microsoft.com/office/drawing/2015/06/chart" val="{00000000-5E51-44E1-8B3E-67B7B94A9EA2}"/>
            </c:ext>
          </c:extLst>
        </c:ser>
        <c:dLbls>
          <c:showLegendKey val="0"/>
          <c:showVal val="0"/>
          <c:showCatName val="0"/>
          <c:showSerName val="0"/>
          <c:showPercent val="0"/>
          <c:showBubbleSize val="0"/>
        </c:dLbls>
        <c:gapWidth val="100"/>
        <c:axId val="335189288"/>
        <c:axId val="335189680"/>
      </c:barChart>
      <c:catAx>
        <c:axId val="335189288"/>
        <c:scaling>
          <c:orientation val="maxMin"/>
        </c:scaling>
        <c:delete val="0"/>
        <c:axPos val="l"/>
        <c:numFmt formatCode="General" sourceLinked="1"/>
        <c:majorTickMark val="none"/>
        <c:minorTickMark val="none"/>
        <c:tickLblPos val="nextTo"/>
        <c:spPr>
          <a:ln>
            <a:solidFill>
              <a:srgbClr val="969696"/>
            </a:solidFill>
          </a:ln>
        </c:spPr>
        <c:txPr>
          <a:bodyPr rot="0" vert="horz"/>
          <a:lstStyle/>
          <a:p>
            <a:pPr>
              <a:defRPr sz="1000" b="0">
                <a:solidFill>
                  <a:srgbClr val="C8C8C8"/>
                </a:solidFill>
                <a:latin typeface="Calibri"/>
                <a:ea typeface="Calibri"/>
                <a:cs typeface="Calibri"/>
              </a:defRPr>
            </a:pPr>
            <a:endParaRPr lang="en-US"/>
          </a:p>
        </c:txPr>
        <c:crossAx val="335189680"/>
        <c:crosses val="autoZero"/>
        <c:auto val="1"/>
        <c:lblAlgn val="ctr"/>
        <c:lblOffset val="50"/>
        <c:noMultiLvlLbl val="0"/>
      </c:catAx>
      <c:valAx>
        <c:axId val="335189680"/>
        <c:scaling>
          <c:orientation val="minMax"/>
        </c:scaling>
        <c:delete val="0"/>
        <c:axPos val="b"/>
        <c:title>
          <c:tx>
            <c:rich>
              <a:bodyPr rot="0" vert="horz"/>
              <a:lstStyle/>
              <a:p>
                <a:pPr>
                  <a:defRPr sz="1000" b="0">
                    <a:solidFill>
                      <a:srgbClr val="B4B4B4"/>
                    </a:solidFill>
                    <a:latin typeface="Calibri"/>
                    <a:ea typeface="Calibri"/>
                    <a:cs typeface="Calibri"/>
                  </a:defRPr>
                </a:pPr>
                <a:r>
                  <a:rPr lang="en-US"/>
                  <a:t>Engagement Per Post</a:t>
                </a:r>
              </a:p>
            </c:rich>
          </c:tx>
          <c:layout>
            <c:manualLayout>
              <c:xMode val="edge"/>
              <c:yMode val="edge"/>
              <c:x val="0.54350120297462812"/>
              <c:y val="0.91469730745741717"/>
            </c:manualLayout>
          </c:layout>
          <c:overlay val="0"/>
        </c:title>
        <c:numFmt formatCode="[&gt;=1000000].0,,&quot;M&quot;;[&gt;=1000].0,&quot;K&quot;;#,##0" sourceLinked="0"/>
        <c:majorTickMark val="none"/>
        <c:minorTickMark val="none"/>
        <c:tickLblPos val="none"/>
        <c:spPr>
          <a:ln>
            <a:solidFill>
              <a:srgbClr val="969696"/>
            </a:solidFill>
          </a:ln>
        </c:spPr>
        <c:txPr>
          <a:bodyPr/>
          <a:lstStyle/>
          <a:p>
            <a:pPr>
              <a:defRPr sz="800" b="0">
                <a:solidFill>
                  <a:srgbClr val="A0A0A0"/>
                </a:solidFill>
                <a:latin typeface="Calibri"/>
                <a:ea typeface="Calibri"/>
                <a:cs typeface="Calibri"/>
              </a:defRPr>
            </a:pPr>
            <a:endParaRPr lang="en-US"/>
          </a:p>
        </c:txPr>
        <c:crossAx val="335189288"/>
        <c:crosses val="max"/>
        <c:crossBetween val="between"/>
      </c:valAx>
      <c:spPr>
        <a:gradFill flip="none" rotWithShape="1">
          <a:gsLst>
            <a:gs pos="0">
              <a:srgbClr val="262626"/>
            </a:gs>
            <a:gs pos="60000">
              <a:srgbClr val="151515"/>
            </a:gs>
          </a:gsLst>
          <a:lin ang="10800000" scaled="1"/>
          <a:tileRect/>
        </a:gradFill>
        <a:ln w="12700">
          <a:solidFill>
            <a:srgbClr val="262626"/>
          </a:solidFill>
        </a:ln>
      </c:spPr>
    </c:plotArea>
    <c:plotVisOnly val="1"/>
    <c:dispBlanksAs val="gap"/>
    <c:showDLblsOverMax val="0"/>
  </c:chart>
  <c:spPr>
    <a:noFill/>
    <a:ln w="19050">
      <a:noFill/>
    </a:ln>
  </c:spPr>
  <c:txPr>
    <a:bodyPr/>
    <a:lstStyle/>
    <a:p>
      <a:pPr>
        <a:defRPr>
          <a:solidFill>
            <a:schemeClr val="bg1"/>
          </a:solidFill>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c:style val="2"/>
  <c:clrMapOvr bg1="lt1" tx1="dk1" bg2="lt2" tx2="dk2" accent1="accent1" accent2="accent2" accent3="accent3" accent4="accent4" accent5="accent5" accent6="accent6" hlink="hlink" folHlink="folHlink"/>
  <c:chart>
    <c:title>
      <c:tx>
        <c:rich>
          <a:bodyPr/>
          <a:lstStyle/>
          <a:p>
            <a:pPr>
              <a:defRPr sz="1600" b="0" cap="none" baseline="0">
                <a:solidFill>
                  <a:srgbClr val="DCDCDC"/>
                </a:solidFill>
                <a:latin typeface="Calibri"/>
                <a:cs typeface="Arial" pitchFamily="34" charset="0"/>
              </a:defRPr>
            </a:pPr>
            <a:r>
              <a:rPr lang="en-US"/>
              <a:t>Top Users By Followers</a:t>
            </a:r>
          </a:p>
        </c:rich>
      </c:tx>
      <c:layout>
        <c:manualLayout>
          <c:xMode val="edge"/>
          <c:yMode val="edge"/>
          <c:x val="7.2916666666666671E-2"/>
          <c:y val="2.7777837722355422E-2"/>
        </c:manualLayout>
      </c:layout>
      <c:overlay val="0"/>
    </c:title>
    <c:autoTitleDeleted val="0"/>
    <c:plotArea>
      <c:layout>
        <c:manualLayout>
          <c:layoutTarget val="inner"/>
          <c:xMode val="edge"/>
          <c:yMode val="edge"/>
          <c:x val="0.45023148148148145"/>
          <c:y val="0.14250033988575522"/>
          <c:w val="0.47337953849518816"/>
          <c:h val="0.7359719488188976"/>
        </c:manualLayout>
      </c:layout>
      <c:barChart>
        <c:barDir val="bar"/>
        <c:grouping val="clustered"/>
        <c:varyColors val="0"/>
        <c:ser>
          <c:idx val="0"/>
          <c:order val="0"/>
          <c:tx>
            <c:strRef>
              <c:f>Calculations!$C$191</c:f>
              <c:strCache>
                <c:ptCount val="1"/>
                <c:pt idx="0">
                  <c:v>Followers</c:v>
                </c:pt>
              </c:strCache>
            </c:strRef>
          </c:tx>
          <c:spPr>
            <a:gradFill flip="none" rotWithShape="1">
              <a:gsLst>
                <a:gs pos="0">
                  <a:srgbClr val="356994"/>
                </a:gs>
                <a:gs pos="100000">
                  <a:srgbClr val="61B7FD"/>
                </a:gs>
                <a:gs pos="50000">
                  <a:srgbClr val="5099D5"/>
                </a:gs>
              </a:gsLst>
              <a:lin ang="16200000" scaled="1"/>
              <a:tileRect/>
            </a:gradFill>
            <a:ln w="9525">
              <a:solidFill>
                <a:srgbClr val="61B7FD"/>
              </a:solidFill>
            </a:ln>
          </c:spPr>
          <c:invertIfNegative val="0"/>
          <c:dLbls>
            <c:numFmt formatCode="[&gt;=1000000].0,,&quot;M&quot;;[&gt;=10000].0,&quot;K&quot;;#,##0" sourceLinked="0"/>
            <c:spPr>
              <a:noFill/>
              <a:ln>
                <a:noFill/>
              </a:ln>
              <a:effectLst/>
            </c:spPr>
            <c:txPr>
              <a:bodyPr/>
              <a:lstStyle/>
              <a:p>
                <a:pPr>
                  <a:defRPr sz="800" b="0">
                    <a:solidFill>
                      <a:srgbClr val="B4B4B4"/>
                    </a:solidFill>
                    <a:latin typeface="Calibri"/>
                    <a:ea typeface="Calibri"/>
                    <a:cs typeface="Calibri"/>
                  </a:defRPr>
                </a:pPr>
                <a:endParaRPr lang="en-US"/>
              </a:p>
            </c:txPr>
            <c:dLblPos val="outEnd"/>
            <c:showLegendKey val="0"/>
            <c:showVal val="1"/>
            <c:showCatName val="0"/>
            <c:showSerName val="0"/>
            <c:showPercent val="0"/>
            <c:showBubbleSize val="0"/>
            <c:showLeaderLines val="0"/>
            <c:extLst xmlns:prop="http://schemas.openxmlformats.org/officeDocument/2006/custom-properties" xmlns:xs="http://www.w3.org/2001/XMLSchema" xmlns:mc="http://schemas.openxmlformats.org/markup-compatibility/2006" xmlns:WX="http://schemas.microsoft.com/office/word/2003/auxHint" xmlns:properties="http://schemas.openxmlformats.org/officeDocument/2006/extended-properties" xmlns:dc="http://purl.org/dc/elements/1.1/" xmlns:ds="http://schemas.openxmlformats.org/officeDocument/2006/customXml" xmlns:cp="http://schemas.openxmlformats.org/package/2006/metadata/core-properties" xmlns:w15="http://schemas.microsoft.com/office/word/2012/wordml" xmlns:ns40="http://schemas.openxmlformats.org/spreadsheetml/2006/main" xmlns:p="http://schemas.openxmlformats.org/presentationml/2006/main" xmlns:dcterms="http://purl.org/dc/terms/" xmlns:rel="http://schemas.openxmlformats.org/package/2006/relationships" xmlns:pkg="http://schemas.microsoft.com/office/2006/xmlPackage" xmlns:vt="http://schemas.openxmlformats.org/officeDocument/2006/docPropsVTypes" xmlns:xf="http://www.w3.org/2002/xforms" xmlns:w14="http://schemas.microsoft.com/office/word/2010/wordml" xmlns:xsi="http://www.w3.org/2001/XMLSchema-instance" xmlns:aml="http://schemas.microsoft.com/aml/2001/core" xmlns:xe="http://www.w3.org/2001/xml-events" xmlns:ns29="http://schemas.openxmlformats.org/drawingml/2006/lockedCanvas" xmlns:ns28="http://schemas.openxmlformats.org/drawingml/2006/compatibility" xmlns:ns27="http://schemas.openxmlformats.org/officeDocument/2006/bibliography" xmlns:odgm="http://opendope.org/SmartArt/DataHierarchy" xmlns:odi="http://opendope.org/components" xmlns:oda="http://opendope.org/answers" xmlns:odq="http://opendope.org/questions" xmlns:odc="http://opendope.org/conditions" xmlns:odx="http://opendope.org/xpaths" xmlns:ns20="http://schemas.microsoft.com/office/2006/coverPageProps" xmlns:ns18="urn:schemas-microsoft-com:office:powerpoint" xmlns:w10="urn:schemas-microsoft-com:office:word" xmlns:v="urn:schemas-microsoft-com:vml" xmlns:o="urn:schemas-microsoft-com:office:office" xmlns:ns14="urn:schemas-microsoft-com:office:excel" xmlns:dsp="http://schemas.microsoft.com/office/drawing/2008/diagram" xmlns:xdr="http://schemas.openxmlformats.org/drawingml/2006/spreadsheetDrawing" xmlns:pic="http://schemas.openxmlformats.org/drawingml/2006/picture" xmlns:dgm="http://schemas.openxmlformats.org/drawingml/2006/diagram" xmlns:ns9="http://schemas.openxmlformats.org/drawingml/2006/chartDrawing" xmlns:wne="http://schemas.microsoft.com/office/word/2006/wordml" xmlns:ns6="http://schemas.openxmlformats.org/schemaLibrary/2006/main" xmlns:wp="http://schemas.openxmlformats.org/drawingml/2006/wordprocessingDrawing" xmlns:m="http://schemas.openxmlformats.org/officeDocument/2006/math" xmlns:w="http://schemas.openxmlformats.org/wordprocessingml/2006/main">
              <c:ext xmlns:c15="http://schemas.microsoft.com/office/drawing/2012/chart" uri="{CE6537A1-D6FC-4f65-9D91-7224C49458BB}">
                <c15:showLeaderLines val="0"/>
              </c:ext>
            </c:extLst>
          </c:dLbls>
          <c:cat>
            <c:strRef>
              <c:f>[0]!chart.top_users_by_followers.labels</c:f>
              <c:strCache>
                <c:ptCount val="10"/>
                <c:pt idx="0">
                  <c:v>thiagofragoso</c:v>
                </c:pt>
                <c:pt idx="1">
                  <c:v>martacarriedo</c:v>
                </c:pt>
                <c:pt idx="2">
                  <c:v>millionaire.dream</c:v>
                </c:pt>
                <c:pt idx="3">
                  <c:v>millionaireimage</c:v>
                </c:pt>
                <c:pt idx="4">
                  <c:v>cassandrafoxdance</c:v>
                </c:pt>
                <c:pt idx="5">
                  <c:v>ourfamilynest</c:v>
                </c:pt>
                <c:pt idx="6">
                  <c:v>lodmare</c:v>
                </c:pt>
                <c:pt idx="7">
                  <c:v>paulinamichaels</c:v>
                </c:pt>
                <c:pt idx="8">
                  <c:v>annie_rose_cole</c:v>
                </c:pt>
                <c:pt idx="9">
                  <c:v>100xsuccess</c:v>
                </c:pt>
              </c:strCache>
            </c:strRef>
          </c:cat>
          <c:val>
            <c:numRef>
              <c:f>[0]!chart.top_users_by_followers.values</c:f>
              <c:numCache>
                <c:formatCode>#,##0</c:formatCode>
                <c:ptCount val="10"/>
                <c:pt idx="0">
                  <c:v>775368</c:v>
                </c:pt>
                <c:pt idx="1">
                  <c:v>397867</c:v>
                </c:pt>
                <c:pt idx="2">
                  <c:v>391672</c:v>
                </c:pt>
                <c:pt idx="3">
                  <c:v>201020</c:v>
                </c:pt>
                <c:pt idx="4">
                  <c:v>195404</c:v>
                </c:pt>
                <c:pt idx="5">
                  <c:v>164684</c:v>
                </c:pt>
                <c:pt idx="6">
                  <c:v>151752</c:v>
                </c:pt>
                <c:pt idx="7">
                  <c:v>88754</c:v>
                </c:pt>
                <c:pt idx="8">
                  <c:v>83033</c:v>
                </c:pt>
                <c:pt idx="9">
                  <c:v>82535</c:v>
                </c:pt>
              </c:numCache>
            </c:numRef>
          </c:val>
          <c:extLst xmlns:prop="http://schemas.openxmlformats.org/officeDocument/2006/custom-properties" xmlns:xs="http://www.w3.org/2001/XMLSchema" xmlns:mc="http://schemas.openxmlformats.org/markup-compatibility/2006" xmlns:WX="http://schemas.microsoft.com/office/word/2003/auxHint" xmlns:properties="http://schemas.openxmlformats.org/officeDocument/2006/extended-properties" xmlns:dc="http://purl.org/dc/elements/1.1/" xmlns:ds="http://schemas.openxmlformats.org/officeDocument/2006/customXml" xmlns:cp="http://schemas.openxmlformats.org/package/2006/metadata/core-properties" xmlns:w15="http://schemas.microsoft.com/office/word/2012/wordml" xmlns:ns40="http://schemas.openxmlformats.org/spreadsheetml/2006/main" xmlns:p="http://schemas.openxmlformats.org/presentationml/2006/main" xmlns:dcterms="http://purl.org/dc/terms/" xmlns:rel="http://schemas.openxmlformats.org/package/2006/relationships" xmlns:pkg="http://schemas.microsoft.com/office/2006/xmlPackage" xmlns:vt="http://schemas.openxmlformats.org/officeDocument/2006/docPropsVTypes" xmlns:xf="http://www.w3.org/2002/xforms" xmlns:w14="http://schemas.microsoft.com/office/word/2010/wordml" xmlns:xsi="http://www.w3.org/2001/XMLSchema-instance" xmlns:aml="http://schemas.microsoft.com/aml/2001/core" xmlns:xe="http://www.w3.org/2001/xml-events" xmlns:ns29="http://schemas.openxmlformats.org/drawingml/2006/lockedCanvas" xmlns:ns28="http://schemas.openxmlformats.org/drawingml/2006/compatibility" xmlns:ns27="http://schemas.openxmlformats.org/officeDocument/2006/bibliography" xmlns:odgm="http://opendope.org/SmartArt/DataHierarchy" xmlns:odi="http://opendope.org/components" xmlns:oda="http://opendope.org/answers" xmlns:odq="http://opendope.org/questions" xmlns:odc="http://opendope.org/conditions" xmlns:odx="http://opendope.org/xpaths" xmlns:ns20="http://schemas.microsoft.com/office/2006/coverPageProps" xmlns:ns18="urn:schemas-microsoft-com:office:powerpoint" xmlns:w10="urn:schemas-microsoft-com:office:word" xmlns:v="urn:schemas-microsoft-com:vml" xmlns:o="urn:schemas-microsoft-com:office:office" xmlns:ns14="urn:schemas-microsoft-com:office:excel" xmlns:dsp="http://schemas.microsoft.com/office/drawing/2008/diagram" xmlns:xdr="http://schemas.openxmlformats.org/drawingml/2006/spreadsheetDrawing" xmlns:pic="http://schemas.openxmlformats.org/drawingml/2006/picture" xmlns:dgm="http://schemas.openxmlformats.org/drawingml/2006/diagram" xmlns:ns9="http://schemas.openxmlformats.org/drawingml/2006/chartDrawing" xmlns:wne="http://schemas.microsoft.com/office/word/2006/wordml" xmlns:ns6="http://schemas.openxmlformats.org/schemaLibrary/2006/main" xmlns:wp="http://schemas.openxmlformats.org/drawingml/2006/wordprocessingDrawing" xmlns:m="http://schemas.openxmlformats.org/officeDocument/2006/math" xmlns:w="http://schemas.openxmlformats.org/wordprocessingml/2006/main">
            <c:ext uri="{C3380CC4-5D6E-409C-BE32-E72D297353CC}">
              <c16:uniqueId xmlns:c16="http://schemas.microsoft.com/office/drawing/2014/chart" xmlns:c16r2="http://schemas.microsoft.com/office/drawing/2015/06/chart" val="{00000000-0862-4F49-9A86-ABEE811A5651}"/>
            </c:ext>
          </c:extLst>
        </c:ser>
        <c:dLbls>
          <c:showLegendKey val="0"/>
          <c:showVal val="0"/>
          <c:showCatName val="0"/>
          <c:showSerName val="0"/>
          <c:showPercent val="0"/>
          <c:showBubbleSize val="0"/>
        </c:dLbls>
        <c:gapWidth val="100"/>
        <c:axId val="335190464"/>
        <c:axId val="335190856"/>
      </c:barChart>
      <c:catAx>
        <c:axId val="335190464"/>
        <c:scaling>
          <c:orientation val="maxMin"/>
        </c:scaling>
        <c:delete val="0"/>
        <c:axPos val="l"/>
        <c:numFmt formatCode="General" sourceLinked="1"/>
        <c:majorTickMark val="none"/>
        <c:minorTickMark val="none"/>
        <c:tickLblPos val="nextTo"/>
        <c:spPr>
          <a:ln>
            <a:solidFill>
              <a:srgbClr val="969696"/>
            </a:solidFill>
          </a:ln>
        </c:spPr>
        <c:txPr>
          <a:bodyPr rot="0" vert="horz"/>
          <a:lstStyle/>
          <a:p>
            <a:pPr>
              <a:defRPr sz="1000" b="0">
                <a:solidFill>
                  <a:srgbClr val="C8C8C8"/>
                </a:solidFill>
                <a:latin typeface="Calibri"/>
                <a:ea typeface="Calibri"/>
                <a:cs typeface="Calibri"/>
              </a:defRPr>
            </a:pPr>
            <a:endParaRPr lang="en-US"/>
          </a:p>
        </c:txPr>
        <c:crossAx val="335190856"/>
        <c:crosses val="autoZero"/>
        <c:auto val="1"/>
        <c:lblAlgn val="ctr"/>
        <c:lblOffset val="50"/>
        <c:noMultiLvlLbl val="0"/>
      </c:catAx>
      <c:valAx>
        <c:axId val="335190856"/>
        <c:scaling>
          <c:orientation val="minMax"/>
        </c:scaling>
        <c:delete val="0"/>
        <c:axPos val="b"/>
        <c:title>
          <c:tx>
            <c:rich>
              <a:bodyPr rot="0" vert="horz"/>
              <a:lstStyle/>
              <a:p>
                <a:pPr>
                  <a:defRPr sz="1000" b="0">
                    <a:solidFill>
                      <a:srgbClr val="B4B4B4"/>
                    </a:solidFill>
                    <a:latin typeface="Calibri"/>
                    <a:ea typeface="Calibri"/>
                    <a:cs typeface="Calibri"/>
                  </a:defRPr>
                </a:pPr>
                <a:r>
                  <a:rPr lang="en-US"/>
                  <a:t>Followers</a:t>
                </a:r>
              </a:p>
            </c:rich>
          </c:tx>
          <c:layout>
            <c:manualLayout>
              <c:xMode val="edge"/>
              <c:yMode val="edge"/>
              <c:x val="0.60600120297462812"/>
              <c:y val="0.91469730745741717"/>
            </c:manualLayout>
          </c:layout>
          <c:overlay val="0"/>
        </c:title>
        <c:numFmt formatCode="[&gt;=1000000].0,,&quot;M&quot;;[&gt;=1000].0,&quot;K&quot;;#,##0" sourceLinked="0"/>
        <c:majorTickMark val="none"/>
        <c:minorTickMark val="none"/>
        <c:tickLblPos val="none"/>
        <c:spPr>
          <a:ln>
            <a:solidFill>
              <a:srgbClr val="969696"/>
            </a:solidFill>
          </a:ln>
        </c:spPr>
        <c:txPr>
          <a:bodyPr/>
          <a:lstStyle/>
          <a:p>
            <a:pPr>
              <a:defRPr sz="800" b="0">
                <a:solidFill>
                  <a:srgbClr val="A0A0A0"/>
                </a:solidFill>
                <a:latin typeface="Calibri"/>
                <a:ea typeface="Calibri"/>
                <a:cs typeface="Calibri"/>
              </a:defRPr>
            </a:pPr>
            <a:endParaRPr lang="en-US"/>
          </a:p>
        </c:txPr>
        <c:crossAx val="335190464"/>
        <c:crosses val="max"/>
        <c:crossBetween val="between"/>
      </c:valAx>
      <c:spPr>
        <a:gradFill flip="none" rotWithShape="1">
          <a:gsLst>
            <a:gs pos="0">
              <a:srgbClr val="262626"/>
            </a:gs>
            <a:gs pos="60000">
              <a:srgbClr val="151515"/>
            </a:gs>
          </a:gsLst>
          <a:lin ang="10800000" scaled="1"/>
          <a:tileRect/>
        </a:gradFill>
        <a:ln w="12700">
          <a:solidFill>
            <a:srgbClr val="262626"/>
          </a:solidFill>
        </a:ln>
      </c:spPr>
    </c:plotArea>
    <c:plotVisOnly val="1"/>
    <c:dispBlanksAs val="gap"/>
    <c:showDLblsOverMax val="0"/>
  </c:chart>
  <c:spPr>
    <a:noFill/>
    <a:ln w="19050">
      <a:noFill/>
    </a:ln>
  </c:spPr>
  <c:txPr>
    <a:bodyPr/>
    <a:lstStyle/>
    <a:p>
      <a:pPr>
        <a:defRPr>
          <a:solidFill>
            <a:schemeClr val="bg1"/>
          </a:solidFill>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c:style val="2"/>
  <c:chart>
    <c:title>
      <c:tx>
        <c:rich>
          <a:bodyPr/>
          <a:lstStyle/>
          <a:p>
            <a:pPr>
              <a:defRPr sz="1600" b="0" cap="none">
                <a:solidFill>
                  <a:srgbClr val="DCDCDC"/>
                </a:solidFill>
                <a:latin typeface="Calibri"/>
              </a:defRPr>
            </a:pPr>
            <a:r>
              <a:rPr lang="en-US" sz="1600" b="0" cap="none">
                <a:solidFill>
                  <a:srgbClr val="DCDCDC"/>
                </a:solidFill>
                <a:latin typeface="Calibri"/>
              </a:rPr>
              <a:t>Distribution of Users By Follower Count</a:t>
            </a:r>
          </a:p>
        </c:rich>
      </c:tx>
      <c:layout>
        <c:manualLayout>
          <c:xMode val="edge"/>
          <c:yMode val="edge"/>
          <c:x val="7.7981651376146793E-2"/>
          <c:y val="2.7777777777777776E-2"/>
        </c:manualLayout>
      </c:layout>
      <c:overlay val="0"/>
    </c:title>
    <c:autoTitleDeleted val="0"/>
    <c:plotArea>
      <c:layout>
        <c:manualLayout>
          <c:layoutTarget val="inner"/>
          <c:xMode val="edge"/>
          <c:yMode val="edge"/>
          <c:x val="0.13019683590875644"/>
          <c:y val="0.22760476739715493"/>
          <c:w val="0.73813465783664456"/>
          <c:h val="0.591118800461361"/>
        </c:manualLayout>
      </c:layout>
      <c:barChart>
        <c:barDir val="col"/>
        <c:grouping val="clustered"/>
        <c:varyColors val="0"/>
        <c:ser>
          <c:idx val="0"/>
          <c:order val="0"/>
          <c:tx>
            <c:strRef>
              <c:f>Calculations!$E$226</c:f>
              <c:strCache>
                <c:ptCount val="1"/>
                <c:pt idx="0">
                  <c:v>Count</c:v>
                </c:pt>
              </c:strCache>
            </c:strRef>
          </c:tx>
          <c:spPr>
            <a:gradFill flip="none" rotWithShape="1">
              <a:gsLst>
                <a:gs pos="0">
                  <a:srgbClr val="620014"/>
                </a:gs>
                <a:gs pos="100000">
                  <a:srgbClr val="AC082B"/>
                </a:gs>
                <a:gs pos="50000">
                  <a:srgbClr val="900522"/>
                </a:gs>
              </a:gsLst>
              <a:lin ang="0" scaled="1"/>
              <a:tileRect/>
            </a:gradFill>
            <a:ln w="9525">
              <a:solidFill>
                <a:srgbClr val="AC082B"/>
              </a:solidFill>
            </a:ln>
          </c:spPr>
          <c:invertIfNegative val="0"/>
          <c:dLbls>
            <c:numFmt formatCode="#,##0" sourceLinked="0"/>
            <c:spPr>
              <a:noFill/>
              <a:ln>
                <a:noFill/>
              </a:ln>
              <a:effectLst/>
            </c:spPr>
            <c:txPr>
              <a:bodyPr/>
              <a:lstStyle/>
              <a:p>
                <a:pPr algn="ctr">
                  <a:defRPr lang="en-US" sz="800" b="1" i="0" u="none" strike="noStrike" kern="1200" baseline="0">
                    <a:solidFill>
                      <a:srgbClr val="B4B4B4"/>
                    </a:solidFill>
                    <a:latin typeface="Calibri"/>
                    <a:ea typeface="Calibri"/>
                    <a:cs typeface="Calibri"/>
                  </a:defRPr>
                </a:pPr>
                <a:endParaRPr lang="en-US"/>
              </a:p>
            </c:txPr>
            <c:showLegendKey val="0"/>
            <c:showVal val="1"/>
            <c:showCatName val="0"/>
            <c:showSerName val="0"/>
            <c:showPercent val="0"/>
            <c:showBubbleSize val="0"/>
            <c:showLeaderLines val="0"/>
            <c:extLst xmlns:prop="http://schemas.openxmlformats.org/officeDocument/2006/custom-properties" xmlns:xs="http://www.w3.org/2001/XMLSchema" xmlns:mc="http://schemas.openxmlformats.org/markup-compatibility/2006" xmlns:WX="http://schemas.microsoft.com/office/word/2003/auxHint" xmlns:properties="http://schemas.openxmlformats.org/officeDocument/2006/extended-properties" xmlns:dc="http://purl.org/dc/elements/1.1/" xmlns:ds="http://schemas.openxmlformats.org/officeDocument/2006/customXml" xmlns:cp="http://schemas.openxmlformats.org/package/2006/metadata/core-properties" xmlns:w15="http://schemas.microsoft.com/office/word/2012/wordml" xmlns:ns40="http://schemas.openxmlformats.org/spreadsheetml/2006/main" xmlns:p="http://schemas.openxmlformats.org/presentationml/2006/main" xmlns:dcterms="http://purl.org/dc/terms/" xmlns:rel="http://schemas.openxmlformats.org/package/2006/relationships" xmlns:pkg="http://schemas.microsoft.com/office/2006/xmlPackage" xmlns:vt="http://schemas.openxmlformats.org/officeDocument/2006/docPropsVTypes" xmlns:xf="http://www.w3.org/2002/xforms" xmlns:w14="http://schemas.microsoft.com/office/word/2010/wordml" xmlns:xsi="http://www.w3.org/2001/XMLSchema-instance" xmlns:aml="http://schemas.microsoft.com/aml/2001/core" xmlns:xe="http://www.w3.org/2001/xml-events" xmlns:ns29="http://schemas.openxmlformats.org/drawingml/2006/lockedCanvas" xmlns:ns28="http://schemas.openxmlformats.org/drawingml/2006/compatibility" xmlns:ns27="http://schemas.openxmlformats.org/officeDocument/2006/bibliography" xmlns:odgm="http://opendope.org/SmartArt/DataHierarchy" xmlns:odi="http://opendope.org/components" xmlns:oda="http://opendope.org/answers" xmlns:odq="http://opendope.org/questions" xmlns:odc="http://opendope.org/conditions" xmlns:odx="http://opendope.org/xpaths" xmlns:ns20="http://schemas.microsoft.com/office/2006/coverPageProps" xmlns:ns18="urn:schemas-microsoft-com:office:powerpoint" xmlns:w10="urn:schemas-microsoft-com:office:word" xmlns:v="urn:schemas-microsoft-com:vml" xmlns:o="urn:schemas-microsoft-com:office:office" xmlns:ns14="urn:schemas-microsoft-com:office:excel" xmlns:dsp="http://schemas.microsoft.com/office/drawing/2008/diagram" xmlns:xdr="http://schemas.openxmlformats.org/drawingml/2006/spreadsheetDrawing" xmlns:pic="http://schemas.openxmlformats.org/drawingml/2006/picture" xmlns:dgm="http://schemas.openxmlformats.org/drawingml/2006/diagram" xmlns:ns9="http://schemas.openxmlformats.org/drawingml/2006/chartDrawing" xmlns:wne="http://schemas.microsoft.com/office/word/2006/wordml" xmlns:ns6="http://schemas.openxmlformats.org/schemaLibrary/2006/main" xmlns:wp="http://schemas.openxmlformats.org/drawingml/2006/wordprocessingDrawing" xmlns:m="http://schemas.openxmlformats.org/officeDocument/2006/math" xmlns:w="http://schemas.openxmlformats.org/wordprocessingml/2006/main">
              <c:ext xmlns:c15="http://schemas.microsoft.com/office/drawing/2012/chart" uri="{CE6537A1-D6FC-4f65-9D91-7224C49458BB}">
                <c15:showLeaderLines val="0"/>
              </c:ext>
            </c:extLst>
          </c:dLbls>
          <c:cat>
            <c:strRef>
              <c:f>Calculations!$D$227:$D$231</c:f>
              <c:strCache>
                <c:ptCount val="5"/>
                <c:pt idx="0">
                  <c:v>0 - 100</c:v>
                </c:pt>
                <c:pt idx="1">
                  <c:v>101 - 500</c:v>
                </c:pt>
                <c:pt idx="2">
                  <c:v>501 - 1000</c:v>
                </c:pt>
                <c:pt idx="3">
                  <c:v>1001 - 2500</c:v>
                </c:pt>
                <c:pt idx="4">
                  <c:v>&gt;2500</c:v>
                </c:pt>
              </c:strCache>
            </c:strRef>
          </c:cat>
          <c:val>
            <c:numRef>
              <c:f>Calculations!$E$227:$E$231</c:f>
              <c:numCache>
                <c:formatCode>General</c:formatCode>
                <c:ptCount val="5"/>
                <c:pt idx="0">
                  <c:v>537</c:v>
                </c:pt>
                <c:pt idx="1">
                  <c:v>1742</c:v>
                </c:pt>
                <c:pt idx="2">
                  <c:v>606</c:v>
                </c:pt>
                <c:pt idx="3">
                  <c:v>381</c:v>
                </c:pt>
                <c:pt idx="4">
                  <c:v>269</c:v>
                </c:pt>
              </c:numCache>
            </c:numRef>
          </c:val>
          <c:extLst xmlns:prop="http://schemas.openxmlformats.org/officeDocument/2006/custom-properties" xmlns:xs="http://www.w3.org/2001/XMLSchema" xmlns:mc="http://schemas.openxmlformats.org/markup-compatibility/2006" xmlns:WX="http://schemas.microsoft.com/office/word/2003/auxHint" xmlns:properties="http://schemas.openxmlformats.org/officeDocument/2006/extended-properties" xmlns:dc="http://purl.org/dc/elements/1.1/" xmlns:ds="http://schemas.openxmlformats.org/officeDocument/2006/customXml" xmlns:cp="http://schemas.openxmlformats.org/package/2006/metadata/core-properties" xmlns:w15="http://schemas.microsoft.com/office/word/2012/wordml" xmlns:ns40="http://schemas.openxmlformats.org/spreadsheetml/2006/main" xmlns:p="http://schemas.openxmlformats.org/presentationml/2006/main" xmlns:dcterms="http://purl.org/dc/terms/" xmlns:rel="http://schemas.openxmlformats.org/package/2006/relationships" xmlns:pkg="http://schemas.microsoft.com/office/2006/xmlPackage" xmlns:vt="http://schemas.openxmlformats.org/officeDocument/2006/docPropsVTypes" xmlns:xf="http://www.w3.org/2002/xforms" xmlns:w14="http://schemas.microsoft.com/office/word/2010/wordml" xmlns:xsi="http://www.w3.org/2001/XMLSchema-instance" xmlns:aml="http://schemas.microsoft.com/aml/2001/core" xmlns:xe="http://www.w3.org/2001/xml-events" xmlns:ns29="http://schemas.openxmlformats.org/drawingml/2006/lockedCanvas" xmlns:ns28="http://schemas.openxmlformats.org/drawingml/2006/compatibility" xmlns:ns27="http://schemas.openxmlformats.org/officeDocument/2006/bibliography" xmlns:odgm="http://opendope.org/SmartArt/DataHierarchy" xmlns:odi="http://opendope.org/components" xmlns:oda="http://opendope.org/answers" xmlns:odq="http://opendope.org/questions" xmlns:odc="http://opendope.org/conditions" xmlns:odx="http://opendope.org/xpaths" xmlns:ns20="http://schemas.microsoft.com/office/2006/coverPageProps" xmlns:ns18="urn:schemas-microsoft-com:office:powerpoint" xmlns:w10="urn:schemas-microsoft-com:office:word" xmlns:v="urn:schemas-microsoft-com:vml" xmlns:o="urn:schemas-microsoft-com:office:office" xmlns:ns14="urn:schemas-microsoft-com:office:excel" xmlns:dsp="http://schemas.microsoft.com/office/drawing/2008/diagram" xmlns:xdr="http://schemas.openxmlformats.org/drawingml/2006/spreadsheetDrawing" xmlns:pic="http://schemas.openxmlformats.org/drawingml/2006/picture" xmlns:dgm="http://schemas.openxmlformats.org/drawingml/2006/diagram" xmlns:ns9="http://schemas.openxmlformats.org/drawingml/2006/chartDrawing" xmlns:wne="http://schemas.microsoft.com/office/word/2006/wordml" xmlns:ns6="http://schemas.openxmlformats.org/schemaLibrary/2006/main" xmlns:wp="http://schemas.openxmlformats.org/drawingml/2006/wordprocessingDrawing" xmlns:m="http://schemas.openxmlformats.org/officeDocument/2006/math" xmlns:w="http://schemas.openxmlformats.org/wordprocessingml/2006/main">
            <c:ext uri="{C3380CC4-5D6E-409C-BE32-E72D297353CC}">
              <c16:uniqueId xmlns:c16="http://schemas.microsoft.com/office/drawing/2014/chart" xmlns:c16r2="http://schemas.microsoft.com/office/drawing/2015/06/chart" val="{00000000-717A-4F37-BBC6-698EB2008795}"/>
            </c:ext>
          </c:extLst>
        </c:ser>
        <c:dLbls>
          <c:showLegendKey val="0"/>
          <c:showVal val="0"/>
          <c:showCatName val="0"/>
          <c:showSerName val="0"/>
          <c:showPercent val="0"/>
          <c:showBubbleSize val="0"/>
        </c:dLbls>
        <c:gapWidth val="100"/>
        <c:axId val="335191640"/>
        <c:axId val="335192032"/>
      </c:barChart>
      <c:catAx>
        <c:axId val="335191640"/>
        <c:scaling>
          <c:orientation val="minMax"/>
        </c:scaling>
        <c:delete val="0"/>
        <c:axPos val="b"/>
        <c:title>
          <c:tx>
            <c:rich>
              <a:bodyPr/>
              <a:lstStyle/>
              <a:p>
                <a:pPr algn="ctr" rtl="0">
                  <a:defRPr lang="en-US" sz="1000" b="0" i="0" u="none" strike="noStrike" kern="1200" baseline="0">
                    <a:solidFill>
                      <a:srgbClr val="B4B4B4"/>
                    </a:solidFill>
                    <a:latin typeface="Calibri"/>
                    <a:ea typeface="Calibri"/>
                    <a:cs typeface="Calibri"/>
                  </a:defRPr>
                </a:pPr>
                <a:r>
                  <a:rPr lang="en-US" sz="1000" b="0" i="0" u="none" strike="noStrike" kern="1200" baseline="0">
                    <a:solidFill>
                      <a:srgbClr val="B4B4B4"/>
                    </a:solidFill>
                    <a:latin typeface="Calibri"/>
                    <a:ea typeface="Calibri"/>
                    <a:cs typeface="Calibri"/>
                  </a:rPr>
                  <a:t>Follower Count</a:t>
                </a:r>
              </a:p>
            </c:rich>
          </c:tx>
          <c:layout>
            <c:manualLayout>
              <c:xMode val="edge"/>
              <c:yMode val="edge"/>
              <c:x val="0.37501140689367468"/>
              <c:y val="0.89875599085406654"/>
            </c:manualLayout>
          </c:layout>
          <c:overlay val="0"/>
        </c:title>
        <c:numFmt formatCode="#,##0" sourceLinked="0"/>
        <c:majorTickMark val="none"/>
        <c:minorTickMark val="none"/>
        <c:tickLblPos val="nextTo"/>
        <c:spPr>
          <a:ln>
            <a:solidFill>
              <a:srgbClr val="969696"/>
            </a:solidFill>
          </a:ln>
        </c:spPr>
        <c:txPr>
          <a:bodyPr rot="0" vert="horz"/>
          <a:lstStyle/>
          <a:p>
            <a:pPr>
              <a:defRPr sz="1000" b="0">
                <a:solidFill>
                  <a:srgbClr val="B4B4B4"/>
                </a:solidFill>
                <a:latin typeface="Calibri"/>
                <a:ea typeface="Calibri"/>
                <a:cs typeface="Calibri"/>
              </a:defRPr>
            </a:pPr>
            <a:endParaRPr lang="en-US"/>
          </a:p>
        </c:txPr>
        <c:crossAx val="335192032"/>
        <c:crosses val="autoZero"/>
        <c:auto val="1"/>
        <c:lblAlgn val="ctr"/>
        <c:lblOffset val="50"/>
        <c:noMultiLvlLbl val="0"/>
      </c:catAx>
      <c:valAx>
        <c:axId val="335192032"/>
        <c:scaling>
          <c:orientation val="minMax"/>
        </c:scaling>
        <c:delete val="0"/>
        <c:axPos val="l"/>
        <c:title>
          <c:tx>
            <c:rich>
              <a:bodyPr rot="-5400000" vert="horz"/>
              <a:lstStyle/>
              <a:p>
                <a:pPr algn="ctr" rtl="0">
                  <a:defRPr lang="en-US" sz="1000" b="0" i="0" u="none" strike="noStrike" kern="1200" baseline="0">
                    <a:solidFill>
                      <a:srgbClr val="B4B4B4"/>
                    </a:solidFill>
                    <a:latin typeface="Calibri"/>
                    <a:ea typeface="Calibri"/>
                    <a:cs typeface="Calibri"/>
                  </a:defRPr>
                </a:pPr>
                <a:r>
                  <a:rPr lang="en-US" sz="1000" b="0" i="0" u="none" strike="noStrike" kern="1200" baseline="0">
                    <a:solidFill>
                      <a:srgbClr val="B4B4B4"/>
                    </a:solidFill>
                    <a:latin typeface="Calibri"/>
                    <a:ea typeface="Calibri"/>
                    <a:cs typeface="Calibri"/>
                  </a:rPr>
                  <a:t>Number of Users</a:t>
                </a:r>
              </a:p>
            </c:rich>
          </c:tx>
          <c:layout>
            <c:manualLayout>
              <c:xMode val="edge"/>
              <c:yMode val="edge"/>
              <c:x val="4.1940704758505518E-2"/>
              <c:y val="0.38722222222222225"/>
            </c:manualLayout>
          </c:layout>
          <c:overlay val="0"/>
        </c:title>
        <c:numFmt formatCode="[&gt;=1000000].0,,&quot;M&quot;;[&gt;=1000].0,&quot;K&quot;;#,##0" sourceLinked="0"/>
        <c:majorTickMark val="out"/>
        <c:minorTickMark val="none"/>
        <c:tickLblPos val="nextTo"/>
        <c:spPr>
          <a:ln>
            <a:solidFill>
              <a:srgbClr val="969696"/>
            </a:solidFill>
          </a:ln>
        </c:spPr>
        <c:txPr>
          <a:bodyPr/>
          <a:lstStyle/>
          <a:p>
            <a:pPr>
              <a:defRPr sz="800" b="0">
                <a:solidFill>
                  <a:srgbClr val="A0A0A0"/>
                </a:solidFill>
                <a:latin typeface="Calibri"/>
                <a:ea typeface="Calibri"/>
                <a:cs typeface="Calibri"/>
              </a:defRPr>
            </a:pPr>
            <a:endParaRPr lang="en-US"/>
          </a:p>
        </c:txPr>
        <c:crossAx val="335191640"/>
        <c:crosses val="autoZero"/>
        <c:crossBetween val="between"/>
      </c:valAx>
      <c:spPr>
        <a:gradFill flip="none" rotWithShape="1">
          <a:gsLst>
            <a:gs pos="0">
              <a:srgbClr val="262626"/>
            </a:gs>
            <a:gs pos="60000">
              <a:srgbClr val="151515"/>
            </a:gs>
          </a:gsLst>
          <a:lin ang="5400000" scaled="1"/>
          <a:tileRect/>
        </a:gradFill>
        <a:ln w="12700">
          <a:solidFill>
            <a:srgbClr val="262626"/>
          </a:solidFill>
        </a:ln>
      </c:spPr>
    </c:plotArea>
    <c:plotVisOnly val="1"/>
    <c:dispBlanksAs val="gap"/>
    <c:showDLblsOverMax val="0"/>
  </c:chart>
  <c:spPr>
    <a:solidFill>
      <a:srgbClr val="262626"/>
    </a:solidFill>
    <a:ln w="19050">
      <a:solidFill>
        <a:srgbClr val="151515"/>
      </a:solidFill>
    </a:ln>
  </c:sp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c:style val="2"/>
  <c:chart>
    <c:title>
      <c:tx>
        <c:rich>
          <a:bodyPr/>
          <a:lstStyle/>
          <a:p>
            <a:pPr>
              <a:defRPr sz="1600" b="0" cap="none">
                <a:solidFill>
                  <a:srgbClr val="DCDCDC"/>
                </a:solidFill>
                <a:latin typeface="Calibri"/>
              </a:defRPr>
            </a:pPr>
            <a:r>
              <a:rPr lang="en-US" sz="1600" b="0" cap="none">
                <a:solidFill>
                  <a:srgbClr val="DCDCDC"/>
                </a:solidFill>
                <a:latin typeface="Calibri"/>
              </a:rPr>
              <a:t>Distribution of Users By # Of</a:t>
            </a:r>
            <a:r>
              <a:rPr lang="en-US" sz="1600" b="0" cap="none" baseline="0">
                <a:solidFill>
                  <a:srgbClr val="DCDCDC"/>
                </a:solidFill>
                <a:latin typeface="Calibri"/>
              </a:rPr>
              <a:t> Mentions</a:t>
            </a:r>
            <a:endParaRPr lang="en-US" sz="1600" b="0" cap="none">
              <a:solidFill>
                <a:srgbClr val="DCDCDC"/>
              </a:solidFill>
              <a:latin typeface="Calibri"/>
            </a:endParaRPr>
          </a:p>
        </c:rich>
      </c:tx>
      <c:layout>
        <c:manualLayout>
          <c:xMode val="edge"/>
          <c:yMode val="edge"/>
          <c:x val="7.7981651376146793E-2"/>
          <c:y val="2.7777777777777776E-2"/>
        </c:manualLayout>
      </c:layout>
      <c:overlay val="0"/>
    </c:title>
    <c:autoTitleDeleted val="0"/>
    <c:plotArea>
      <c:layout>
        <c:manualLayout>
          <c:layoutTarget val="inner"/>
          <c:xMode val="edge"/>
          <c:yMode val="edge"/>
          <c:x val="0.13019683590875644"/>
          <c:y val="0.22760476739715493"/>
          <c:w val="0.73813465783664456"/>
          <c:h val="0.591118800461361"/>
        </c:manualLayout>
      </c:layout>
      <c:barChart>
        <c:barDir val="col"/>
        <c:grouping val="clustered"/>
        <c:varyColors val="0"/>
        <c:ser>
          <c:idx val="0"/>
          <c:order val="0"/>
          <c:tx>
            <c:strRef>
              <c:f>Calculations!$E$237</c:f>
              <c:strCache>
                <c:ptCount val="1"/>
                <c:pt idx="0">
                  <c:v>Count</c:v>
                </c:pt>
              </c:strCache>
            </c:strRef>
          </c:tx>
          <c:spPr>
            <a:gradFill flip="none" rotWithShape="1">
              <a:gsLst>
                <a:gs pos="0">
                  <a:srgbClr val="A03500"/>
                </a:gs>
                <a:gs pos="100000">
                  <a:srgbClr val="FF6200"/>
                </a:gs>
                <a:gs pos="50000">
                  <a:srgbClr val="E65100"/>
                </a:gs>
              </a:gsLst>
              <a:lin ang="0" scaled="1"/>
              <a:tileRect/>
            </a:gradFill>
            <a:ln w="9525">
              <a:solidFill>
                <a:srgbClr val="FF6200"/>
              </a:solidFill>
            </a:ln>
          </c:spPr>
          <c:invertIfNegative val="0"/>
          <c:dLbls>
            <c:numFmt formatCode="#,##0" sourceLinked="0"/>
            <c:spPr>
              <a:noFill/>
              <a:ln>
                <a:noFill/>
              </a:ln>
              <a:effectLst/>
            </c:spPr>
            <c:txPr>
              <a:bodyPr/>
              <a:lstStyle/>
              <a:p>
                <a:pPr algn="ctr">
                  <a:defRPr lang="en-US" sz="800" b="1" i="0" u="none" strike="noStrike" kern="1200" baseline="0">
                    <a:solidFill>
                      <a:srgbClr val="B4B4B4"/>
                    </a:solidFill>
                    <a:latin typeface="Calibri"/>
                    <a:ea typeface="Calibri"/>
                    <a:cs typeface="Calibri"/>
                  </a:defRPr>
                </a:pPr>
                <a:endParaRPr lang="en-US"/>
              </a:p>
            </c:txPr>
            <c:showLegendKey val="0"/>
            <c:showVal val="1"/>
            <c:showCatName val="0"/>
            <c:showSerName val="0"/>
            <c:showPercent val="0"/>
            <c:showBubbleSize val="0"/>
            <c:showLeaderLines val="0"/>
            <c:extLst xmlns:prop="http://schemas.openxmlformats.org/officeDocument/2006/custom-properties" xmlns:xs="http://www.w3.org/2001/XMLSchema" xmlns:mc="http://schemas.openxmlformats.org/markup-compatibility/2006" xmlns:WX="http://schemas.microsoft.com/office/word/2003/auxHint" xmlns:properties="http://schemas.openxmlformats.org/officeDocument/2006/extended-properties" xmlns:dc="http://purl.org/dc/elements/1.1/" xmlns:ds="http://schemas.openxmlformats.org/officeDocument/2006/customXml" xmlns:cp="http://schemas.openxmlformats.org/package/2006/metadata/core-properties" xmlns:w15="http://schemas.microsoft.com/office/word/2012/wordml" xmlns:ns40="http://schemas.openxmlformats.org/spreadsheetml/2006/main" xmlns:p="http://schemas.openxmlformats.org/presentationml/2006/main" xmlns:dcterms="http://purl.org/dc/terms/" xmlns:rel="http://schemas.openxmlformats.org/package/2006/relationships" xmlns:pkg="http://schemas.microsoft.com/office/2006/xmlPackage" xmlns:vt="http://schemas.openxmlformats.org/officeDocument/2006/docPropsVTypes" xmlns:xf="http://www.w3.org/2002/xforms" xmlns:w14="http://schemas.microsoft.com/office/word/2010/wordml" xmlns:xsi="http://www.w3.org/2001/XMLSchema-instance" xmlns:aml="http://schemas.microsoft.com/aml/2001/core" xmlns:xe="http://www.w3.org/2001/xml-events" xmlns:ns29="http://schemas.openxmlformats.org/drawingml/2006/lockedCanvas" xmlns:ns28="http://schemas.openxmlformats.org/drawingml/2006/compatibility" xmlns:ns27="http://schemas.openxmlformats.org/officeDocument/2006/bibliography" xmlns:odgm="http://opendope.org/SmartArt/DataHierarchy" xmlns:odi="http://opendope.org/components" xmlns:oda="http://opendope.org/answers" xmlns:odq="http://opendope.org/questions" xmlns:odc="http://opendope.org/conditions" xmlns:odx="http://opendope.org/xpaths" xmlns:ns20="http://schemas.microsoft.com/office/2006/coverPageProps" xmlns:ns18="urn:schemas-microsoft-com:office:powerpoint" xmlns:w10="urn:schemas-microsoft-com:office:word" xmlns:v="urn:schemas-microsoft-com:vml" xmlns:o="urn:schemas-microsoft-com:office:office" xmlns:ns14="urn:schemas-microsoft-com:office:excel" xmlns:dsp="http://schemas.microsoft.com/office/drawing/2008/diagram" xmlns:xdr="http://schemas.openxmlformats.org/drawingml/2006/spreadsheetDrawing" xmlns:pic="http://schemas.openxmlformats.org/drawingml/2006/picture" xmlns:dgm="http://schemas.openxmlformats.org/drawingml/2006/diagram" xmlns:ns9="http://schemas.openxmlformats.org/drawingml/2006/chartDrawing" xmlns:wne="http://schemas.microsoft.com/office/word/2006/wordml" xmlns:ns6="http://schemas.openxmlformats.org/schemaLibrary/2006/main" xmlns:wp="http://schemas.openxmlformats.org/drawingml/2006/wordprocessingDrawing" xmlns:m="http://schemas.openxmlformats.org/officeDocument/2006/math" xmlns:w="http://schemas.openxmlformats.org/wordprocessingml/2006/main">
              <c:ext xmlns:c15="http://schemas.microsoft.com/office/drawing/2012/chart" uri="{CE6537A1-D6FC-4f65-9D91-7224C49458BB}">
                <c15:showLeaderLines val="0"/>
              </c:ext>
            </c:extLst>
          </c:dLbls>
          <c:cat>
            <c:strRef>
              <c:f>Calculations!$D$238:$D$242</c:f>
              <c:strCache>
                <c:ptCount val="5"/>
                <c:pt idx="0">
                  <c:v>1</c:v>
                </c:pt>
                <c:pt idx="1">
                  <c:v>2 - 5</c:v>
                </c:pt>
                <c:pt idx="2">
                  <c:v>6 - 10</c:v>
                </c:pt>
                <c:pt idx="3">
                  <c:v>11 - 50</c:v>
                </c:pt>
                <c:pt idx="4">
                  <c:v>&gt;50</c:v>
                </c:pt>
              </c:strCache>
            </c:strRef>
          </c:cat>
          <c:val>
            <c:numRef>
              <c:f>Calculations!$E$238:$E$242</c:f>
              <c:numCache>
                <c:formatCode>General</c:formatCode>
                <c:ptCount val="5"/>
                <c:pt idx="0">
                  <c:v>3133</c:v>
                </c:pt>
                <c:pt idx="1">
                  <c:v>379</c:v>
                </c:pt>
                <c:pt idx="2">
                  <c:v>58</c:v>
                </c:pt>
                <c:pt idx="3">
                  <c:v>42</c:v>
                </c:pt>
                <c:pt idx="4">
                  <c:v>4</c:v>
                </c:pt>
              </c:numCache>
            </c:numRef>
          </c:val>
          <c:extLst xmlns:prop="http://schemas.openxmlformats.org/officeDocument/2006/custom-properties" xmlns:xs="http://www.w3.org/2001/XMLSchema" xmlns:mc="http://schemas.openxmlformats.org/markup-compatibility/2006" xmlns:WX="http://schemas.microsoft.com/office/word/2003/auxHint" xmlns:properties="http://schemas.openxmlformats.org/officeDocument/2006/extended-properties" xmlns:dc="http://purl.org/dc/elements/1.1/" xmlns:ds="http://schemas.openxmlformats.org/officeDocument/2006/customXml" xmlns:cp="http://schemas.openxmlformats.org/package/2006/metadata/core-properties" xmlns:w15="http://schemas.microsoft.com/office/word/2012/wordml" xmlns:ns40="http://schemas.openxmlformats.org/spreadsheetml/2006/main" xmlns:p="http://schemas.openxmlformats.org/presentationml/2006/main" xmlns:dcterms="http://purl.org/dc/terms/" xmlns:rel="http://schemas.openxmlformats.org/package/2006/relationships" xmlns:pkg="http://schemas.microsoft.com/office/2006/xmlPackage" xmlns:vt="http://schemas.openxmlformats.org/officeDocument/2006/docPropsVTypes" xmlns:xf="http://www.w3.org/2002/xforms" xmlns:w14="http://schemas.microsoft.com/office/word/2010/wordml" xmlns:xsi="http://www.w3.org/2001/XMLSchema-instance" xmlns:aml="http://schemas.microsoft.com/aml/2001/core" xmlns:xe="http://www.w3.org/2001/xml-events" xmlns:ns29="http://schemas.openxmlformats.org/drawingml/2006/lockedCanvas" xmlns:ns28="http://schemas.openxmlformats.org/drawingml/2006/compatibility" xmlns:ns27="http://schemas.openxmlformats.org/officeDocument/2006/bibliography" xmlns:odgm="http://opendope.org/SmartArt/DataHierarchy" xmlns:odi="http://opendope.org/components" xmlns:oda="http://opendope.org/answers" xmlns:odq="http://opendope.org/questions" xmlns:odc="http://opendope.org/conditions" xmlns:odx="http://opendope.org/xpaths" xmlns:ns20="http://schemas.microsoft.com/office/2006/coverPageProps" xmlns:ns18="urn:schemas-microsoft-com:office:powerpoint" xmlns:w10="urn:schemas-microsoft-com:office:word" xmlns:v="urn:schemas-microsoft-com:vml" xmlns:o="urn:schemas-microsoft-com:office:office" xmlns:ns14="urn:schemas-microsoft-com:office:excel" xmlns:dsp="http://schemas.microsoft.com/office/drawing/2008/diagram" xmlns:xdr="http://schemas.openxmlformats.org/drawingml/2006/spreadsheetDrawing" xmlns:pic="http://schemas.openxmlformats.org/drawingml/2006/picture" xmlns:dgm="http://schemas.openxmlformats.org/drawingml/2006/diagram" xmlns:ns9="http://schemas.openxmlformats.org/drawingml/2006/chartDrawing" xmlns:wne="http://schemas.microsoft.com/office/word/2006/wordml" xmlns:ns6="http://schemas.openxmlformats.org/schemaLibrary/2006/main" xmlns:wp="http://schemas.openxmlformats.org/drawingml/2006/wordprocessingDrawing" xmlns:m="http://schemas.openxmlformats.org/officeDocument/2006/math" xmlns:w="http://schemas.openxmlformats.org/wordprocessingml/2006/main">
            <c:ext uri="{C3380CC4-5D6E-409C-BE32-E72D297353CC}">
              <c16:uniqueId xmlns:c16="http://schemas.microsoft.com/office/drawing/2014/chart" xmlns:c16r2="http://schemas.microsoft.com/office/drawing/2015/06/chart" val="{00000000-0ADF-4AE8-A878-84F9F1F12BCB}"/>
            </c:ext>
          </c:extLst>
        </c:ser>
        <c:dLbls>
          <c:showLegendKey val="0"/>
          <c:showVal val="0"/>
          <c:showCatName val="0"/>
          <c:showSerName val="0"/>
          <c:showPercent val="0"/>
          <c:showBubbleSize val="0"/>
        </c:dLbls>
        <c:gapWidth val="100"/>
        <c:axId val="335760392"/>
        <c:axId val="335760784"/>
      </c:barChart>
      <c:catAx>
        <c:axId val="335760392"/>
        <c:scaling>
          <c:orientation val="minMax"/>
        </c:scaling>
        <c:delete val="0"/>
        <c:axPos val="b"/>
        <c:title>
          <c:tx>
            <c:rich>
              <a:bodyPr/>
              <a:lstStyle/>
              <a:p>
                <a:pPr algn="ctr" rtl="0">
                  <a:defRPr lang="en-US" sz="1000" b="0" i="0" u="none" strike="noStrike" kern="1200" baseline="0">
                    <a:solidFill>
                      <a:srgbClr val="B4B4B4"/>
                    </a:solidFill>
                    <a:latin typeface="Calibri"/>
                    <a:ea typeface="Calibri"/>
                    <a:cs typeface="Calibri"/>
                  </a:defRPr>
                </a:pPr>
                <a:r>
                  <a:rPr lang="en-US" sz="1000" b="0" i="0" u="none" strike="noStrike" kern="1200" baseline="0">
                    <a:solidFill>
                      <a:srgbClr val="B4B4B4"/>
                    </a:solidFill>
                    <a:latin typeface="Calibri"/>
                    <a:ea typeface="Calibri"/>
                    <a:cs typeface="Calibri"/>
                  </a:rPr>
                  <a:t>Mentions Per User</a:t>
                </a:r>
              </a:p>
            </c:rich>
          </c:tx>
          <c:layout>
            <c:manualLayout>
              <c:xMode val="edge"/>
              <c:yMode val="edge"/>
              <c:x val="0.42100110520125383"/>
              <c:y val="0.88865804073794019"/>
            </c:manualLayout>
          </c:layout>
          <c:overlay val="0"/>
        </c:title>
        <c:numFmt formatCode="#,##0" sourceLinked="0"/>
        <c:majorTickMark val="none"/>
        <c:minorTickMark val="none"/>
        <c:tickLblPos val="nextTo"/>
        <c:spPr>
          <a:ln>
            <a:solidFill>
              <a:srgbClr val="969696"/>
            </a:solidFill>
          </a:ln>
        </c:spPr>
        <c:txPr>
          <a:bodyPr rot="0" vert="horz"/>
          <a:lstStyle/>
          <a:p>
            <a:pPr>
              <a:defRPr sz="1000" b="0">
                <a:solidFill>
                  <a:srgbClr val="B4B4B4"/>
                </a:solidFill>
                <a:latin typeface="Calibri"/>
                <a:ea typeface="Calibri"/>
                <a:cs typeface="Calibri"/>
              </a:defRPr>
            </a:pPr>
            <a:endParaRPr lang="en-US"/>
          </a:p>
        </c:txPr>
        <c:crossAx val="335760784"/>
        <c:crosses val="autoZero"/>
        <c:auto val="1"/>
        <c:lblAlgn val="ctr"/>
        <c:lblOffset val="50"/>
        <c:noMultiLvlLbl val="0"/>
      </c:catAx>
      <c:valAx>
        <c:axId val="335760784"/>
        <c:scaling>
          <c:orientation val="minMax"/>
        </c:scaling>
        <c:delete val="0"/>
        <c:axPos val="l"/>
        <c:title>
          <c:tx>
            <c:rich>
              <a:bodyPr rot="-5400000" vert="horz"/>
              <a:lstStyle/>
              <a:p>
                <a:pPr algn="ctr" rtl="0">
                  <a:defRPr lang="en-US" sz="1000" b="0" i="0" u="none" strike="noStrike" kern="1200" baseline="0">
                    <a:solidFill>
                      <a:srgbClr val="B4B4B4"/>
                    </a:solidFill>
                    <a:latin typeface="Calibri"/>
                    <a:ea typeface="Calibri"/>
                    <a:cs typeface="Calibri"/>
                  </a:defRPr>
                </a:pPr>
                <a:r>
                  <a:rPr lang="en-US" sz="1000" b="0" i="0" u="none" strike="noStrike" kern="1200" baseline="0">
                    <a:solidFill>
                      <a:srgbClr val="B4B4B4"/>
                    </a:solidFill>
                    <a:latin typeface="Calibri"/>
                    <a:ea typeface="Calibri"/>
                    <a:cs typeface="Calibri"/>
                  </a:rPr>
                  <a:t>Number of Users</a:t>
                </a:r>
              </a:p>
            </c:rich>
          </c:tx>
          <c:layout>
            <c:manualLayout>
              <c:xMode val="edge"/>
              <c:yMode val="edge"/>
              <c:x val="4.1940704758505518E-2"/>
              <c:y val="0.38722222222222225"/>
            </c:manualLayout>
          </c:layout>
          <c:overlay val="0"/>
        </c:title>
        <c:numFmt formatCode="[&gt;=1000000].0,,&quot;M&quot;;[&gt;=1000].0,&quot;K&quot;;#,##0" sourceLinked="0"/>
        <c:majorTickMark val="out"/>
        <c:minorTickMark val="none"/>
        <c:tickLblPos val="nextTo"/>
        <c:spPr>
          <a:ln>
            <a:solidFill>
              <a:srgbClr val="969696"/>
            </a:solidFill>
          </a:ln>
        </c:spPr>
        <c:txPr>
          <a:bodyPr/>
          <a:lstStyle/>
          <a:p>
            <a:pPr>
              <a:defRPr sz="800" b="0">
                <a:solidFill>
                  <a:srgbClr val="A0A0A0"/>
                </a:solidFill>
                <a:latin typeface="Calibri"/>
                <a:ea typeface="Calibri"/>
                <a:cs typeface="Calibri"/>
              </a:defRPr>
            </a:pPr>
            <a:endParaRPr lang="en-US"/>
          </a:p>
        </c:txPr>
        <c:crossAx val="335760392"/>
        <c:crosses val="autoZero"/>
        <c:crossBetween val="between"/>
      </c:valAx>
      <c:spPr>
        <a:gradFill flip="none" rotWithShape="1">
          <a:gsLst>
            <a:gs pos="0">
              <a:srgbClr val="262626"/>
            </a:gs>
            <a:gs pos="60000">
              <a:srgbClr val="151515"/>
            </a:gs>
          </a:gsLst>
          <a:lin ang="5400000" scaled="1"/>
          <a:tileRect/>
        </a:gradFill>
        <a:ln w="12700">
          <a:solidFill>
            <a:srgbClr val="262626"/>
          </a:solidFill>
        </a:ln>
      </c:spPr>
    </c:plotArea>
    <c:plotVisOnly val="1"/>
    <c:dispBlanksAs val="gap"/>
    <c:showDLblsOverMax val="0"/>
  </c:chart>
  <c:spPr>
    <a:solidFill>
      <a:srgbClr val="262626"/>
    </a:solidFill>
    <a:ln w="19050">
      <a:solidFill>
        <a:srgbClr val="151515"/>
      </a:solidFill>
    </a:ln>
  </c:sp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c:style val="2"/>
  <c:clrMapOvr bg1="lt1" tx1="dk1" bg2="lt2" tx2="dk2" accent1="accent1" accent2="accent2" accent3="accent3" accent4="accent4" accent5="accent5" accent6="accent6" hlink="hlink" folHlink="folHlink"/>
  <c:chart>
    <c:title>
      <c:tx>
        <c:rich>
          <a:bodyPr/>
          <a:lstStyle/>
          <a:p>
            <a:pPr>
              <a:defRPr sz="1600" b="0" cap="none" baseline="0">
                <a:solidFill>
                  <a:srgbClr val="DCDCDC"/>
                </a:solidFill>
                <a:latin typeface="Calibri"/>
                <a:cs typeface="Arial" pitchFamily="34" charset="0"/>
              </a:defRPr>
            </a:pPr>
            <a:r>
              <a:rPr lang="en-US"/>
              <a:t>Mentions By Country</a:t>
            </a:r>
          </a:p>
        </c:rich>
      </c:tx>
      <c:layout>
        <c:manualLayout>
          <c:xMode val="edge"/>
          <c:yMode val="edge"/>
          <c:x val="0.11805555555555555"/>
          <c:y val="2.7777777777777776E-2"/>
        </c:manualLayout>
      </c:layout>
      <c:overlay val="1"/>
    </c:title>
    <c:autoTitleDeleted val="0"/>
    <c:plotArea>
      <c:layout>
        <c:manualLayout>
          <c:layoutTarget val="inner"/>
          <c:xMode val="edge"/>
          <c:yMode val="edge"/>
          <c:x val="0.24679024496937885"/>
          <c:y val="0.41319444444444442"/>
          <c:w val="0.5127854330708661"/>
          <c:h val="0.5127854330708661"/>
        </c:manualLayout>
      </c:layout>
      <c:pieChart>
        <c:varyColors val="1"/>
        <c:ser>
          <c:idx val="0"/>
          <c:order val="0"/>
          <c:spPr>
            <a:gradFill flip="none" rotWithShape="1">
              <a:gsLst>
                <a:gs pos="0">
                  <a:srgbClr val="620014"/>
                </a:gs>
                <a:gs pos="100000">
                  <a:srgbClr val="AC082B"/>
                </a:gs>
                <a:gs pos="50000">
                  <a:srgbClr val="900522"/>
                </a:gs>
              </a:gsLst>
              <a:lin ang="16200000" scaled="1"/>
              <a:tileRect/>
            </a:gradFill>
            <a:ln w="12700">
              <a:solidFill>
                <a:srgbClr val="AC082B"/>
              </a:solidFill>
            </a:ln>
          </c:spPr>
          <c:dPt>
            <c:idx val="0"/>
            <c:bubble3D val="0"/>
            <c:spPr>
              <a:gradFill flip="none" rotWithShape="1">
                <a:gsLst>
                  <a:gs pos="0">
                    <a:srgbClr val="0B2A50"/>
                  </a:gs>
                  <a:gs pos="100000">
                    <a:srgbClr val="1B4E8C"/>
                  </a:gs>
                  <a:gs pos="50000">
                    <a:srgbClr val="144075"/>
                  </a:gs>
                </a:gsLst>
                <a:lin ang="16200000" scaled="1"/>
                <a:tileRect/>
              </a:gradFill>
              <a:ln w="12700">
                <a:solidFill>
                  <a:srgbClr val="1B4E8C"/>
                </a:solidFill>
              </a:ln>
            </c:spPr>
            <c:extLst xmlns:prop="http://schemas.openxmlformats.org/officeDocument/2006/custom-properties" xmlns:xs="http://www.w3.org/2001/XMLSchema" xmlns:mc="http://schemas.openxmlformats.org/markup-compatibility/2006" xmlns:WX="http://schemas.microsoft.com/office/word/2003/auxHint" xmlns:properties="http://schemas.openxmlformats.org/officeDocument/2006/extended-properties" xmlns:dc="http://purl.org/dc/elements/1.1/" xmlns:ds="http://schemas.openxmlformats.org/officeDocument/2006/customXml" xmlns:cp="http://schemas.openxmlformats.org/package/2006/metadata/core-properties" xmlns:w15="http://schemas.microsoft.com/office/word/2012/wordml" xmlns:ns40="http://schemas.openxmlformats.org/spreadsheetml/2006/main" xmlns:p="http://schemas.openxmlformats.org/presentationml/2006/main" xmlns:dcterms="http://purl.org/dc/terms/" xmlns:rel="http://schemas.openxmlformats.org/package/2006/relationships" xmlns:pkg="http://schemas.microsoft.com/office/2006/xmlPackage" xmlns:vt="http://schemas.openxmlformats.org/officeDocument/2006/docPropsVTypes" xmlns:xf="http://www.w3.org/2002/xforms" xmlns:w14="http://schemas.microsoft.com/office/word/2010/wordml" xmlns:xsi="http://www.w3.org/2001/XMLSchema-instance" xmlns:aml="http://schemas.microsoft.com/aml/2001/core" xmlns:xe="http://www.w3.org/2001/xml-events" xmlns:ns29="http://schemas.openxmlformats.org/drawingml/2006/lockedCanvas" xmlns:ns28="http://schemas.openxmlformats.org/drawingml/2006/compatibility" xmlns:ns27="http://schemas.openxmlformats.org/officeDocument/2006/bibliography" xmlns:odgm="http://opendope.org/SmartArt/DataHierarchy" xmlns:odi="http://opendope.org/components" xmlns:oda="http://opendope.org/answers" xmlns:odq="http://opendope.org/questions" xmlns:odc="http://opendope.org/conditions" xmlns:odx="http://opendope.org/xpaths" xmlns:ns20="http://schemas.microsoft.com/office/2006/coverPageProps" xmlns:ns18="urn:schemas-microsoft-com:office:powerpoint" xmlns:w10="urn:schemas-microsoft-com:office:word" xmlns:v="urn:schemas-microsoft-com:vml" xmlns:o="urn:schemas-microsoft-com:office:office" xmlns:ns14="urn:schemas-microsoft-com:office:excel" xmlns:dsp="http://schemas.microsoft.com/office/drawing/2008/diagram" xmlns:xdr="http://schemas.openxmlformats.org/drawingml/2006/spreadsheetDrawing" xmlns:pic="http://schemas.openxmlformats.org/drawingml/2006/picture" xmlns:dgm="http://schemas.openxmlformats.org/drawingml/2006/diagram" xmlns:ns9="http://schemas.openxmlformats.org/drawingml/2006/chartDrawing" xmlns:wne="http://schemas.microsoft.com/office/word/2006/wordml" xmlns:ns6="http://schemas.openxmlformats.org/schemaLibrary/2006/main" xmlns:wp="http://schemas.openxmlformats.org/drawingml/2006/wordprocessingDrawing" xmlns:m="http://schemas.openxmlformats.org/officeDocument/2006/math" xmlns:w="http://schemas.openxmlformats.org/wordprocessingml/2006/main">
              <c:ext uri="{C3380CC4-5D6E-409C-BE32-E72D297353CC}">
                <c16:uniqueId xmlns:c16="http://schemas.microsoft.com/office/drawing/2014/chart" xmlns:c16r2="http://schemas.microsoft.com/office/drawing/2015/06/chart" val="{00000001-EF93-4CBC-9ADF-DB4AC29625D7}"/>
              </c:ext>
            </c:extLst>
          </c:dPt>
          <c:dPt>
            <c:idx val="2"/>
            <c:bubble3D val="0"/>
            <c:spPr>
              <a:gradFill flip="none" rotWithShape="1">
                <a:gsLst>
                  <a:gs pos="0">
                    <a:srgbClr val="3F1260"/>
                  </a:gs>
                  <a:gs pos="100000">
                    <a:srgbClr val="7128A8"/>
                  </a:gs>
                  <a:gs pos="50000">
                    <a:srgbClr val="5E1F8D"/>
                  </a:gs>
                </a:gsLst>
                <a:lin ang="16200000" scaled="1"/>
                <a:tileRect/>
              </a:gradFill>
              <a:ln w="12700">
                <a:solidFill>
                  <a:srgbClr val="7128A8"/>
                </a:solidFill>
              </a:ln>
            </c:spPr>
            <c:extLst xmlns:prop="http://schemas.openxmlformats.org/officeDocument/2006/custom-properties" xmlns:xs="http://www.w3.org/2001/XMLSchema" xmlns:mc="http://schemas.openxmlformats.org/markup-compatibility/2006" xmlns:WX="http://schemas.microsoft.com/office/word/2003/auxHint" xmlns:properties="http://schemas.openxmlformats.org/officeDocument/2006/extended-properties" xmlns:dc="http://purl.org/dc/elements/1.1/" xmlns:ds="http://schemas.openxmlformats.org/officeDocument/2006/customXml" xmlns:cp="http://schemas.openxmlformats.org/package/2006/metadata/core-properties" xmlns:w15="http://schemas.microsoft.com/office/word/2012/wordml" xmlns:ns40="http://schemas.openxmlformats.org/spreadsheetml/2006/main" xmlns:p="http://schemas.openxmlformats.org/presentationml/2006/main" xmlns:dcterms="http://purl.org/dc/terms/" xmlns:rel="http://schemas.openxmlformats.org/package/2006/relationships" xmlns:pkg="http://schemas.microsoft.com/office/2006/xmlPackage" xmlns:vt="http://schemas.openxmlformats.org/officeDocument/2006/docPropsVTypes" xmlns:xf="http://www.w3.org/2002/xforms" xmlns:w14="http://schemas.microsoft.com/office/word/2010/wordml" xmlns:xsi="http://www.w3.org/2001/XMLSchema-instance" xmlns:aml="http://schemas.microsoft.com/aml/2001/core" xmlns:xe="http://www.w3.org/2001/xml-events" xmlns:ns29="http://schemas.openxmlformats.org/drawingml/2006/lockedCanvas" xmlns:ns28="http://schemas.openxmlformats.org/drawingml/2006/compatibility" xmlns:ns27="http://schemas.openxmlformats.org/officeDocument/2006/bibliography" xmlns:odgm="http://opendope.org/SmartArt/DataHierarchy" xmlns:odi="http://opendope.org/components" xmlns:oda="http://opendope.org/answers" xmlns:odq="http://opendope.org/questions" xmlns:odc="http://opendope.org/conditions" xmlns:odx="http://opendope.org/xpaths" xmlns:ns20="http://schemas.microsoft.com/office/2006/coverPageProps" xmlns:ns18="urn:schemas-microsoft-com:office:powerpoint" xmlns:w10="urn:schemas-microsoft-com:office:word" xmlns:v="urn:schemas-microsoft-com:vml" xmlns:o="urn:schemas-microsoft-com:office:office" xmlns:ns14="urn:schemas-microsoft-com:office:excel" xmlns:dsp="http://schemas.microsoft.com/office/drawing/2008/diagram" xmlns:xdr="http://schemas.openxmlformats.org/drawingml/2006/spreadsheetDrawing" xmlns:pic="http://schemas.openxmlformats.org/drawingml/2006/picture" xmlns:dgm="http://schemas.openxmlformats.org/drawingml/2006/diagram" xmlns:ns9="http://schemas.openxmlformats.org/drawingml/2006/chartDrawing" xmlns:wne="http://schemas.microsoft.com/office/word/2006/wordml" xmlns:ns6="http://schemas.openxmlformats.org/schemaLibrary/2006/main" xmlns:wp="http://schemas.openxmlformats.org/drawingml/2006/wordprocessingDrawing" xmlns:m="http://schemas.openxmlformats.org/officeDocument/2006/math" xmlns:w="http://schemas.openxmlformats.org/wordprocessingml/2006/main">
              <c:ext uri="{C3380CC4-5D6E-409C-BE32-E72D297353CC}">
                <c16:uniqueId xmlns:c16="http://schemas.microsoft.com/office/drawing/2014/chart" xmlns:c16r2="http://schemas.microsoft.com/office/drawing/2015/06/chart" val="{00000003-EF93-4CBC-9ADF-DB4AC29625D7}"/>
              </c:ext>
            </c:extLst>
          </c:dPt>
          <c:dPt>
            <c:idx val="3"/>
            <c:bubble3D val="0"/>
            <c:spPr>
              <a:gradFill flip="none" rotWithShape="1">
                <a:gsLst>
                  <a:gs pos="0">
                    <a:srgbClr val="184479"/>
                  </a:gs>
                  <a:gs pos="100000">
                    <a:srgbClr val="3B7AC6"/>
                  </a:gs>
                  <a:gs pos="50000">
                    <a:srgbClr val="2765AF"/>
                  </a:gs>
                </a:gsLst>
                <a:lin ang="16200000" scaled="1"/>
                <a:tileRect/>
              </a:gradFill>
              <a:ln w="12700">
                <a:solidFill>
                  <a:srgbClr val="3B7AC6"/>
                </a:solidFill>
              </a:ln>
            </c:spPr>
            <c:extLst xmlns:prop="http://schemas.openxmlformats.org/officeDocument/2006/custom-properties" xmlns:xs="http://www.w3.org/2001/XMLSchema" xmlns:mc="http://schemas.openxmlformats.org/markup-compatibility/2006" xmlns:WX="http://schemas.microsoft.com/office/word/2003/auxHint" xmlns:properties="http://schemas.openxmlformats.org/officeDocument/2006/extended-properties" xmlns:dc="http://purl.org/dc/elements/1.1/" xmlns:ds="http://schemas.openxmlformats.org/officeDocument/2006/customXml" xmlns:cp="http://schemas.openxmlformats.org/package/2006/metadata/core-properties" xmlns:w15="http://schemas.microsoft.com/office/word/2012/wordml" xmlns:ns40="http://schemas.openxmlformats.org/spreadsheetml/2006/main" xmlns:p="http://schemas.openxmlformats.org/presentationml/2006/main" xmlns:dcterms="http://purl.org/dc/terms/" xmlns:rel="http://schemas.openxmlformats.org/package/2006/relationships" xmlns:pkg="http://schemas.microsoft.com/office/2006/xmlPackage" xmlns:vt="http://schemas.openxmlformats.org/officeDocument/2006/docPropsVTypes" xmlns:xf="http://www.w3.org/2002/xforms" xmlns:w14="http://schemas.microsoft.com/office/word/2010/wordml" xmlns:xsi="http://www.w3.org/2001/XMLSchema-instance" xmlns:aml="http://schemas.microsoft.com/aml/2001/core" xmlns:xe="http://www.w3.org/2001/xml-events" xmlns:ns29="http://schemas.openxmlformats.org/drawingml/2006/lockedCanvas" xmlns:ns28="http://schemas.openxmlformats.org/drawingml/2006/compatibility" xmlns:ns27="http://schemas.openxmlformats.org/officeDocument/2006/bibliography" xmlns:odgm="http://opendope.org/SmartArt/DataHierarchy" xmlns:odi="http://opendope.org/components" xmlns:oda="http://opendope.org/answers" xmlns:odq="http://opendope.org/questions" xmlns:odc="http://opendope.org/conditions" xmlns:odx="http://opendope.org/xpaths" xmlns:ns20="http://schemas.microsoft.com/office/2006/coverPageProps" xmlns:ns18="urn:schemas-microsoft-com:office:powerpoint" xmlns:w10="urn:schemas-microsoft-com:office:word" xmlns:v="urn:schemas-microsoft-com:vml" xmlns:o="urn:schemas-microsoft-com:office:office" xmlns:ns14="urn:schemas-microsoft-com:office:excel" xmlns:dsp="http://schemas.microsoft.com/office/drawing/2008/diagram" xmlns:xdr="http://schemas.openxmlformats.org/drawingml/2006/spreadsheetDrawing" xmlns:pic="http://schemas.openxmlformats.org/drawingml/2006/picture" xmlns:dgm="http://schemas.openxmlformats.org/drawingml/2006/diagram" xmlns:ns9="http://schemas.openxmlformats.org/drawingml/2006/chartDrawing" xmlns:wne="http://schemas.microsoft.com/office/word/2006/wordml" xmlns:ns6="http://schemas.openxmlformats.org/schemaLibrary/2006/main" xmlns:wp="http://schemas.openxmlformats.org/drawingml/2006/wordprocessingDrawing" xmlns:m="http://schemas.openxmlformats.org/officeDocument/2006/math" xmlns:w="http://schemas.openxmlformats.org/wordprocessingml/2006/main">
              <c:ext uri="{C3380CC4-5D6E-409C-BE32-E72D297353CC}">
                <c16:uniqueId xmlns:c16="http://schemas.microsoft.com/office/drawing/2014/chart" xmlns:c16r2="http://schemas.microsoft.com/office/drawing/2015/06/chart" val="{00000005-EF93-4CBC-9ADF-DB4AC29625D7}"/>
              </c:ext>
            </c:extLst>
          </c:dPt>
          <c:dPt>
            <c:idx val="4"/>
            <c:bubble3D val="0"/>
            <c:spPr>
              <a:gradFill flip="none" rotWithShape="1">
                <a:gsLst>
                  <a:gs pos="0">
                    <a:srgbClr val="A03500"/>
                  </a:gs>
                  <a:gs pos="100000">
                    <a:srgbClr val="FF6200"/>
                  </a:gs>
                  <a:gs pos="50000">
                    <a:srgbClr val="E65100"/>
                  </a:gs>
                </a:gsLst>
                <a:lin ang="16200000" scaled="1"/>
                <a:tileRect/>
              </a:gradFill>
              <a:ln w="12700">
                <a:solidFill>
                  <a:srgbClr val="FF6200"/>
                </a:solidFill>
              </a:ln>
            </c:spPr>
            <c:extLst xmlns:prop="http://schemas.openxmlformats.org/officeDocument/2006/custom-properties" xmlns:xs="http://www.w3.org/2001/XMLSchema" xmlns:mc="http://schemas.openxmlformats.org/markup-compatibility/2006" xmlns:WX="http://schemas.microsoft.com/office/word/2003/auxHint" xmlns:properties="http://schemas.openxmlformats.org/officeDocument/2006/extended-properties" xmlns:dc="http://purl.org/dc/elements/1.1/" xmlns:ds="http://schemas.openxmlformats.org/officeDocument/2006/customXml" xmlns:cp="http://schemas.openxmlformats.org/package/2006/metadata/core-properties" xmlns:w15="http://schemas.microsoft.com/office/word/2012/wordml" xmlns:ns40="http://schemas.openxmlformats.org/spreadsheetml/2006/main" xmlns:p="http://schemas.openxmlformats.org/presentationml/2006/main" xmlns:dcterms="http://purl.org/dc/terms/" xmlns:rel="http://schemas.openxmlformats.org/package/2006/relationships" xmlns:pkg="http://schemas.microsoft.com/office/2006/xmlPackage" xmlns:vt="http://schemas.openxmlformats.org/officeDocument/2006/docPropsVTypes" xmlns:xf="http://www.w3.org/2002/xforms" xmlns:w14="http://schemas.microsoft.com/office/word/2010/wordml" xmlns:xsi="http://www.w3.org/2001/XMLSchema-instance" xmlns:aml="http://schemas.microsoft.com/aml/2001/core" xmlns:xe="http://www.w3.org/2001/xml-events" xmlns:ns29="http://schemas.openxmlformats.org/drawingml/2006/lockedCanvas" xmlns:ns28="http://schemas.openxmlformats.org/drawingml/2006/compatibility" xmlns:ns27="http://schemas.openxmlformats.org/officeDocument/2006/bibliography" xmlns:odgm="http://opendope.org/SmartArt/DataHierarchy" xmlns:odi="http://opendope.org/components" xmlns:oda="http://opendope.org/answers" xmlns:odq="http://opendope.org/questions" xmlns:odc="http://opendope.org/conditions" xmlns:odx="http://opendope.org/xpaths" xmlns:ns20="http://schemas.microsoft.com/office/2006/coverPageProps" xmlns:ns18="urn:schemas-microsoft-com:office:powerpoint" xmlns:w10="urn:schemas-microsoft-com:office:word" xmlns:v="urn:schemas-microsoft-com:vml" xmlns:o="urn:schemas-microsoft-com:office:office" xmlns:ns14="urn:schemas-microsoft-com:office:excel" xmlns:dsp="http://schemas.microsoft.com/office/drawing/2008/diagram" xmlns:xdr="http://schemas.openxmlformats.org/drawingml/2006/spreadsheetDrawing" xmlns:pic="http://schemas.openxmlformats.org/drawingml/2006/picture" xmlns:dgm="http://schemas.openxmlformats.org/drawingml/2006/diagram" xmlns:ns9="http://schemas.openxmlformats.org/drawingml/2006/chartDrawing" xmlns:wne="http://schemas.microsoft.com/office/word/2006/wordml" xmlns:ns6="http://schemas.openxmlformats.org/schemaLibrary/2006/main" xmlns:wp="http://schemas.openxmlformats.org/drawingml/2006/wordprocessingDrawing" xmlns:m="http://schemas.openxmlformats.org/officeDocument/2006/math" xmlns:w="http://schemas.openxmlformats.org/wordprocessingml/2006/main">
              <c:ext uri="{C3380CC4-5D6E-409C-BE32-E72D297353CC}">
                <c16:uniqueId xmlns:c16="http://schemas.microsoft.com/office/drawing/2014/chart" xmlns:c16r2="http://schemas.microsoft.com/office/drawing/2015/06/chart" val="{00000007-EF93-4CBC-9ADF-DB4AC29625D7}"/>
              </c:ext>
            </c:extLst>
          </c:dPt>
          <c:dPt>
            <c:idx val="5"/>
            <c:bubble3D val="0"/>
            <c:spPr>
              <a:gradFill flip="none" rotWithShape="1">
                <a:gsLst>
                  <a:gs pos="0">
                    <a:srgbClr val="238000"/>
                  </a:gs>
                  <a:gs pos="100000">
                    <a:srgbClr val="41D509"/>
                  </a:gs>
                  <a:gs pos="50000">
                    <a:srgbClr val="35B305"/>
                  </a:gs>
                </a:gsLst>
                <a:lin ang="16200000" scaled="1"/>
                <a:tileRect/>
              </a:gradFill>
              <a:ln w="12700">
                <a:solidFill>
                  <a:srgbClr val="41D509"/>
                </a:solidFill>
              </a:ln>
            </c:spPr>
            <c:extLst xmlns:prop="http://schemas.openxmlformats.org/officeDocument/2006/custom-properties" xmlns:xs="http://www.w3.org/2001/XMLSchema" xmlns:mc="http://schemas.openxmlformats.org/markup-compatibility/2006" xmlns:WX="http://schemas.microsoft.com/office/word/2003/auxHint" xmlns:properties="http://schemas.openxmlformats.org/officeDocument/2006/extended-properties" xmlns:dc="http://purl.org/dc/elements/1.1/" xmlns:ds="http://schemas.openxmlformats.org/officeDocument/2006/customXml" xmlns:cp="http://schemas.openxmlformats.org/package/2006/metadata/core-properties" xmlns:w15="http://schemas.microsoft.com/office/word/2012/wordml" xmlns:ns40="http://schemas.openxmlformats.org/spreadsheetml/2006/main" xmlns:p="http://schemas.openxmlformats.org/presentationml/2006/main" xmlns:dcterms="http://purl.org/dc/terms/" xmlns:rel="http://schemas.openxmlformats.org/package/2006/relationships" xmlns:pkg="http://schemas.microsoft.com/office/2006/xmlPackage" xmlns:vt="http://schemas.openxmlformats.org/officeDocument/2006/docPropsVTypes" xmlns:xf="http://www.w3.org/2002/xforms" xmlns:w14="http://schemas.microsoft.com/office/word/2010/wordml" xmlns:xsi="http://www.w3.org/2001/XMLSchema-instance" xmlns:aml="http://schemas.microsoft.com/aml/2001/core" xmlns:xe="http://www.w3.org/2001/xml-events" xmlns:ns29="http://schemas.openxmlformats.org/drawingml/2006/lockedCanvas" xmlns:ns28="http://schemas.openxmlformats.org/drawingml/2006/compatibility" xmlns:ns27="http://schemas.openxmlformats.org/officeDocument/2006/bibliography" xmlns:odgm="http://opendope.org/SmartArt/DataHierarchy" xmlns:odi="http://opendope.org/components" xmlns:oda="http://opendope.org/answers" xmlns:odq="http://opendope.org/questions" xmlns:odc="http://opendope.org/conditions" xmlns:odx="http://opendope.org/xpaths" xmlns:ns20="http://schemas.microsoft.com/office/2006/coverPageProps" xmlns:ns18="urn:schemas-microsoft-com:office:powerpoint" xmlns:w10="urn:schemas-microsoft-com:office:word" xmlns:v="urn:schemas-microsoft-com:vml" xmlns:o="urn:schemas-microsoft-com:office:office" xmlns:ns14="urn:schemas-microsoft-com:office:excel" xmlns:dsp="http://schemas.microsoft.com/office/drawing/2008/diagram" xmlns:xdr="http://schemas.openxmlformats.org/drawingml/2006/spreadsheetDrawing" xmlns:pic="http://schemas.openxmlformats.org/drawingml/2006/picture" xmlns:dgm="http://schemas.openxmlformats.org/drawingml/2006/diagram" xmlns:ns9="http://schemas.openxmlformats.org/drawingml/2006/chartDrawing" xmlns:wne="http://schemas.microsoft.com/office/word/2006/wordml" xmlns:ns6="http://schemas.openxmlformats.org/schemaLibrary/2006/main" xmlns:wp="http://schemas.openxmlformats.org/drawingml/2006/wordprocessingDrawing" xmlns:m="http://schemas.openxmlformats.org/officeDocument/2006/math" xmlns:w="http://schemas.openxmlformats.org/wordprocessingml/2006/main">
              <c:ext uri="{C3380CC4-5D6E-409C-BE32-E72D297353CC}">
                <c16:uniqueId xmlns:c16="http://schemas.microsoft.com/office/drawing/2014/chart" xmlns:c16r2="http://schemas.microsoft.com/office/drawing/2015/06/chart" val="{00000009-EF93-4CBC-9ADF-DB4AC29625D7}"/>
              </c:ext>
            </c:extLst>
          </c:dPt>
          <c:dPt>
            <c:idx val="6"/>
            <c:bubble3D val="0"/>
            <c:spPr>
              <a:gradFill flip="none" rotWithShape="1">
                <a:gsLst>
                  <a:gs pos="0">
                    <a:srgbClr val="356994"/>
                  </a:gs>
                  <a:gs pos="100000">
                    <a:srgbClr val="61B7FD"/>
                  </a:gs>
                  <a:gs pos="50000">
                    <a:srgbClr val="5099D5"/>
                  </a:gs>
                </a:gsLst>
                <a:lin ang="16200000" scaled="1"/>
                <a:tileRect/>
              </a:gradFill>
              <a:ln w="12700">
                <a:solidFill>
                  <a:srgbClr val="61B7FD"/>
                </a:solidFill>
              </a:ln>
            </c:spPr>
            <c:extLst xmlns:prop="http://schemas.openxmlformats.org/officeDocument/2006/custom-properties" xmlns:xs="http://www.w3.org/2001/XMLSchema" xmlns:mc="http://schemas.openxmlformats.org/markup-compatibility/2006" xmlns:WX="http://schemas.microsoft.com/office/word/2003/auxHint" xmlns:properties="http://schemas.openxmlformats.org/officeDocument/2006/extended-properties" xmlns:dc="http://purl.org/dc/elements/1.1/" xmlns:ds="http://schemas.openxmlformats.org/officeDocument/2006/customXml" xmlns:cp="http://schemas.openxmlformats.org/package/2006/metadata/core-properties" xmlns:w15="http://schemas.microsoft.com/office/word/2012/wordml" xmlns:ns40="http://schemas.openxmlformats.org/spreadsheetml/2006/main" xmlns:p="http://schemas.openxmlformats.org/presentationml/2006/main" xmlns:dcterms="http://purl.org/dc/terms/" xmlns:rel="http://schemas.openxmlformats.org/package/2006/relationships" xmlns:pkg="http://schemas.microsoft.com/office/2006/xmlPackage" xmlns:vt="http://schemas.openxmlformats.org/officeDocument/2006/docPropsVTypes" xmlns:xf="http://www.w3.org/2002/xforms" xmlns:w14="http://schemas.microsoft.com/office/word/2010/wordml" xmlns:xsi="http://www.w3.org/2001/XMLSchema-instance" xmlns:aml="http://schemas.microsoft.com/aml/2001/core" xmlns:xe="http://www.w3.org/2001/xml-events" xmlns:ns29="http://schemas.openxmlformats.org/drawingml/2006/lockedCanvas" xmlns:ns28="http://schemas.openxmlformats.org/drawingml/2006/compatibility" xmlns:ns27="http://schemas.openxmlformats.org/officeDocument/2006/bibliography" xmlns:odgm="http://opendope.org/SmartArt/DataHierarchy" xmlns:odi="http://opendope.org/components" xmlns:oda="http://opendope.org/answers" xmlns:odq="http://opendope.org/questions" xmlns:odc="http://opendope.org/conditions" xmlns:odx="http://opendope.org/xpaths" xmlns:ns20="http://schemas.microsoft.com/office/2006/coverPageProps" xmlns:ns18="urn:schemas-microsoft-com:office:powerpoint" xmlns:w10="urn:schemas-microsoft-com:office:word" xmlns:v="urn:schemas-microsoft-com:vml" xmlns:o="urn:schemas-microsoft-com:office:office" xmlns:ns14="urn:schemas-microsoft-com:office:excel" xmlns:dsp="http://schemas.microsoft.com/office/drawing/2008/diagram" xmlns:xdr="http://schemas.openxmlformats.org/drawingml/2006/spreadsheetDrawing" xmlns:pic="http://schemas.openxmlformats.org/drawingml/2006/picture" xmlns:dgm="http://schemas.openxmlformats.org/drawingml/2006/diagram" xmlns:ns9="http://schemas.openxmlformats.org/drawingml/2006/chartDrawing" xmlns:wne="http://schemas.microsoft.com/office/word/2006/wordml" xmlns:ns6="http://schemas.openxmlformats.org/schemaLibrary/2006/main" xmlns:wp="http://schemas.openxmlformats.org/drawingml/2006/wordprocessingDrawing" xmlns:m="http://schemas.openxmlformats.org/officeDocument/2006/math" xmlns:w="http://schemas.openxmlformats.org/wordprocessingml/2006/main">
              <c:ext uri="{C3380CC4-5D6E-409C-BE32-E72D297353CC}">
                <c16:uniqueId xmlns:c16="http://schemas.microsoft.com/office/drawing/2014/chart" xmlns:c16r2="http://schemas.microsoft.com/office/drawing/2015/06/chart" val="{0000000B-EF93-4CBC-9ADF-DB4AC29625D7}"/>
              </c:ext>
            </c:extLst>
          </c:dPt>
          <c:dPt>
            <c:idx val="7"/>
            <c:bubble3D val="0"/>
            <c:spPr>
              <a:gradFill flip="none" rotWithShape="1">
                <a:gsLst>
                  <a:gs pos="0">
                    <a:srgbClr val="A0A000"/>
                  </a:gs>
                  <a:gs pos="100000">
                    <a:srgbClr val="FFFF00"/>
                  </a:gs>
                  <a:gs pos="50000">
                    <a:srgbClr val="E6E600"/>
                  </a:gs>
                </a:gsLst>
                <a:lin ang="16200000" scaled="1"/>
                <a:tileRect/>
              </a:gradFill>
              <a:ln w="12700">
                <a:solidFill>
                  <a:srgbClr val="FFFF00"/>
                </a:solidFill>
              </a:ln>
            </c:spPr>
            <c:extLst xmlns:prop="http://schemas.openxmlformats.org/officeDocument/2006/custom-properties" xmlns:xs="http://www.w3.org/2001/XMLSchema" xmlns:mc="http://schemas.openxmlformats.org/markup-compatibility/2006" xmlns:WX="http://schemas.microsoft.com/office/word/2003/auxHint" xmlns:properties="http://schemas.openxmlformats.org/officeDocument/2006/extended-properties" xmlns:dc="http://purl.org/dc/elements/1.1/" xmlns:ds="http://schemas.openxmlformats.org/officeDocument/2006/customXml" xmlns:cp="http://schemas.openxmlformats.org/package/2006/metadata/core-properties" xmlns:w15="http://schemas.microsoft.com/office/word/2012/wordml" xmlns:ns40="http://schemas.openxmlformats.org/spreadsheetml/2006/main" xmlns:p="http://schemas.openxmlformats.org/presentationml/2006/main" xmlns:dcterms="http://purl.org/dc/terms/" xmlns:rel="http://schemas.openxmlformats.org/package/2006/relationships" xmlns:pkg="http://schemas.microsoft.com/office/2006/xmlPackage" xmlns:vt="http://schemas.openxmlformats.org/officeDocument/2006/docPropsVTypes" xmlns:xf="http://www.w3.org/2002/xforms" xmlns:w14="http://schemas.microsoft.com/office/word/2010/wordml" xmlns:xsi="http://www.w3.org/2001/XMLSchema-instance" xmlns:aml="http://schemas.microsoft.com/aml/2001/core" xmlns:xe="http://www.w3.org/2001/xml-events" xmlns:ns29="http://schemas.openxmlformats.org/drawingml/2006/lockedCanvas" xmlns:ns28="http://schemas.openxmlformats.org/drawingml/2006/compatibility" xmlns:ns27="http://schemas.openxmlformats.org/officeDocument/2006/bibliography" xmlns:odgm="http://opendope.org/SmartArt/DataHierarchy" xmlns:odi="http://opendope.org/components" xmlns:oda="http://opendope.org/answers" xmlns:odq="http://opendope.org/questions" xmlns:odc="http://opendope.org/conditions" xmlns:odx="http://opendope.org/xpaths" xmlns:ns20="http://schemas.microsoft.com/office/2006/coverPageProps" xmlns:ns18="urn:schemas-microsoft-com:office:powerpoint" xmlns:w10="urn:schemas-microsoft-com:office:word" xmlns:v="urn:schemas-microsoft-com:vml" xmlns:o="urn:schemas-microsoft-com:office:office" xmlns:ns14="urn:schemas-microsoft-com:office:excel" xmlns:dsp="http://schemas.microsoft.com/office/drawing/2008/diagram" xmlns:xdr="http://schemas.openxmlformats.org/drawingml/2006/spreadsheetDrawing" xmlns:pic="http://schemas.openxmlformats.org/drawingml/2006/picture" xmlns:dgm="http://schemas.openxmlformats.org/drawingml/2006/diagram" xmlns:ns9="http://schemas.openxmlformats.org/drawingml/2006/chartDrawing" xmlns:wne="http://schemas.microsoft.com/office/word/2006/wordml" xmlns:ns6="http://schemas.openxmlformats.org/schemaLibrary/2006/main" xmlns:wp="http://schemas.openxmlformats.org/drawingml/2006/wordprocessingDrawing" xmlns:m="http://schemas.openxmlformats.org/officeDocument/2006/math" xmlns:w="http://schemas.openxmlformats.org/wordprocessingml/2006/main">
              <c:ext uri="{C3380CC4-5D6E-409C-BE32-E72D297353CC}">
                <c16:uniqueId xmlns:c16="http://schemas.microsoft.com/office/drawing/2014/chart" xmlns:c16r2="http://schemas.microsoft.com/office/drawing/2015/06/chart" val="{0000000D-EF93-4CBC-9ADF-DB4AC29625D7}"/>
              </c:ext>
            </c:extLst>
          </c:dPt>
          <c:dPt>
            <c:idx val="8"/>
            <c:bubble3D val="0"/>
            <c:spPr>
              <a:gradFill flip="none" rotWithShape="1">
                <a:gsLst>
                  <a:gs pos="0">
                    <a:srgbClr val="414141"/>
                  </a:gs>
                  <a:gs pos="100000">
                    <a:srgbClr val="747474"/>
                  </a:gs>
                  <a:gs pos="50000">
                    <a:srgbClr val="606060"/>
                  </a:gs>
                </a:gsLst>
                <a:lin ang="16200000" scaled="1"/>
                <a:tileRect/>
              </a:gradFill>
              <a:ln w="12700">
                <a:solidFill>
                  <a:srgbClr val="747474"/>
                </a:solidFill>
              </a:ln>
            </c:spPr>
            <c:extLst xmlns:prop="http://schemas.openxmlformats.org/officeDocument/2006/custom-properties" xmlns:xs="http://www.w3.org/2001/XMLSchema" xmlns:mc="http://schemas.openxmlformats.org/markup-compatibility/2006" xmlns:WX="http://schemas.microsoft.com/office/word/2003/auxHint" xmlns:properties="http://schemas.openxmlformats.org/officeDocument/2006/extended-properties" xmlns:dc="http://purl.org/dc/elements/1.1/" xmlns:ds="http://schemas.openxmlformats.org/officeDocument/2006/customXml" xmlns:cp="http://schemas.openxmlformats.org/package/2006/metadata/core-properties" xmlns:w15="http://schemas.microsoft.com/office/word/2012/wordml" xmlns:ns40="http://schemas.openxmlformats.org/spreadsheetml/2006/main" xmlns:p="http://schemas.openxmlformats.org/presentationml/2006/main" xmlns:dcterms="http://purl.org/dc/terms/" xmlns:rel="http://schemas.openxmlformats.org/package/2006/relationships" xmlns:pkg="http://schemas.microsoft.com/office/2006/xmlPackage" xmlns:vt="http://schemas.openxmlformats.org/officeDocument/2006/docPropsVTypes" xmlns:xf="http://www.w3.org/2002/xforms" xmlns:w14="http://schemas.microsoft.com/office/word/2010/wordml" xmlns:xsi="http://www.w3.org/2001/XMLSchema-instance" xmlns:aml="http://schemas.microsoft.com/aml/2001/core" xmlns:xe="http://www.w3.org/2001/xml-events" xmlns:ns29="http://schemas.openxmlformats.org/drawingml/2006/lockedCanvas" xmlns:ns28="http://schemas.openxmlformats.org/drawingml/2006/compatibility" xmlns:ns27="http://schemas.openxmlformats.org/officeDocument/2006/bibliography" xmlns:odgm="http://opendope.org/SmartArt/DataHierarchy" xmlns:odi="http://opendope.org/components" xmlns:oda="http://opendope.org/answers" xmlns:odq="http://opendope.org/questions" xmlns:odc="http://opendope.org/conditions" xmlns:odx="http://opendope.org/xpaths" xmlns:ns20="http://schemas.microsoft.com/office/2006/coverPageProps" xmlns:ns18="urn:schemas-microsoft-com:office:powerpoint" xmlns:w10="urn:schemas-microsoft-com:office:word" xmlns:v="urn:schemas-microsoft-com:vml" xmlns:o="urn:schemas-microsoft-com:office:office" xmlns:ns14="urn:schemas-microsoft-com:office:excel" xmlns:dsp="http://schemas.microsoft.com/office/drawing/2008/diagram" xmlns:xdr="http://schemas.openxmlformats.org/drawingml/2006/spreadsheetDrawing" xmlns:pic="http://schemas.openxmlformats.org/drawingml/2006/picture" xmlns:dgm="http://schemas.openxmlformats.org/drawingml/2006/diagram" xmlns:ns9="http://schemas.openxmlformats.org/drawingml/2006/chartDrawing" xmlns:wne="http://schemas.microsoft.com/office/word/2006/wordml" xmlns:ns6="http://schemas.openxmlformats.org/schemaLibrary/2006/main" xmlns:wp="http://schemas.openxmlformats.org/drawingml/2006/wordprocessingDrawing" xmlns:m="http://schemas.openxmlformats.org/officeDocument/2006/math" xmlns:w="http://schemas.openxmlformats.org/wordprocessingml/2006/main">
              <c:ext uri="{C3380CC4-5D6E-409C-BE32-E72D297353CC}">
                <c16:uniqueId xmlns:c16="http://schemas.microsoft.com/office/drawing/2014/chart" xmlns:c16r2="http://schemas.microsoft.com/office/drawing/2015/06/chart" val="{0000000F-EF93-4CBC-9ADF-DB4AC29625D7}"/>
              </c:ext>
            </c:extLst>
          </c:dPt>
          <c:dPt>
            <c:idx val="9"/>
            <c:bubble3D val="0"/>
            <c:spPr>
              <a:gradFill flip="none" rotWithShape="1">
                <a:gsLst>
                  <a:gs pos="0">
                    <a:srgbClr val="878787"/>
                  </a:gs>
                  <a:gs pos="100000">
                    <a:srgbClr val="E8E8E8"/>
                  </a:gs>
                  <a:gs pos="50000">
                    <a:srgbClr val="C3C3C3"/>
                  </a:gs>
                </a:gsLst>
                <a:lin ang="16200000" scaled="1"/>
                <a:tileRect/>
              </a:gradFill>
              <a:ln w="12700">
                <a:solidFill>
                  <a:srgbClr val="E8E8E8"/>
                </a:solidFill>
              </a:ln>
            </c:spPr>
            <c:extLst xmlns:prop="http://schemas.openxmlformats.org/officeDocument/2006/custom-properties" xmlns:xs="http://www.w3.org/2001/XMLSchema" xmlns:mc="http://schemas.openxmlformats.org/markup-compatibility/2006" xmlns:WX="http://schemas.microsoft.com/office/word/2003/auxHint" xmlns:properties="http://schemas.openxmlformats.org/officeDocument/2006/extended-properties" xmlns:dc="http://purl.org/dc/elements/1.1/" xmlns:ds="http://schemas.openxmlformats.org/officeDocument/2006/customXml" xmlns:cp="http://schemas.openxmlformats.org/package/2006/metadata/core-properties" xmlns:w15="http://schemas.microsoft.com/office/word/2012/wordml" xmlns:ns40="http://schemas.openxmlformats.org/spreadsheetml/2006/main" xmlns:p="http://schemas.openxmlformats.org/presentationml/2006/main" xmlns:dcterms="http://purl.org/dc/terms/" xmlns:rel="http://schemas.openxmlformats.org/package/2006/relationships" xmlns:pkg="http://schemas.microsoft.com/office/2006/xmlPackage" xmlns:vt="http://schemas.openxmlformats.org/officeDocument/2006/docPropsVTypes" xmlns:xf="http://www.w3.org/2002/xforms" xmlns:w14="http://schemas.microsoft.com/office/word/2010/wordml" xmlns:xsi="http://www.w3.org/2001/XMLSchema-instance" xmlns:aml="http://schemas.microsoft.com/aml/2001/core" xmlns:xe="http://www.w3.org/2001/xml-events" xmlns:ns29="http://schemas.openxmlformats.org/drawingml/2006/lockedCanvas" xmlns:ns28="http://schemas.openxmlformats.org/drawingml/2006/compatibility" xmlns:ns27="http://schemas.openxmlformats.org/officeDocument/2006/bibliography" xmlns:odgm="http://opendope.org/SmartArt/DataHierarchy" xmlns:odi="http://opendope.org/components" xmlns:oda="http://opendope.org/answers" xmlns:odq="http://opendope.org/questions" xmlns:odc="http://opendope.org/conditions" xmlns:odx="http://opendope.org/xpaths" xmlns:ns20="http://schemas.microsoft.com/office/2006/coverPageProps" xmlns:ns18="urn:schemas-microsoft-com:office:powerpoint" xmlns:w10="urn:schemas-microsoft-com:office:word" xmlns:v="urn:schemas-microsoft-com:vml" xmlns:o="urn:schemas-microsoft-com:office:office" xmlns:ns14="urn:schemas-microsoft-com:office:excel" xmlns:dsp="http://schemas.microsoft.com/office/drawing/2008/diagram" xmlns:xdr="http://schemas.openxmlformats.org/drawingml/2006/spreadsheetDrawing" xmlns:pic="http://schemas.openxmlformats.org/drawingml/2006/picture" xmlns:dgm="http://schemas.openxmlformats.org/drawingml/2006/diagram" xmlns:ns9="http://schemas.openxmlformats.org/drawingml/2006/chartDrawing" xmlns:wne="http://schemas.microsoft.com/office/word/2006/wordml" xmlns:ns6="http://schemas.openxmlformats.org/schemaLibrary/2006/main" xmlns:wp="http://schemas.openxmlformats.org/drawingml/2006/wordprocessingDrawing" xmlns:m="http://schemas.openxmlformats.org/officeDocument/2006/math" xmlns:w="http://schemas.openxmlformats.org/wordprocessingml/2006/main">
              <c:ext uri="{C3380CC4-5D6E-409C-BE32-E72D297353CC}">
                <c16:uniqueId xmlns:c16="http://schemas.microsoft.com/office/drawing/2014/chart" xmlns:c16r2="http://schemas.microsoft.com/office/drawing/2015/06/chart" val="{00000011-EF93-4CBC-9ADF-DB4AC29625D7}"/>
              </c:ext>
            </c:extLst>
          </c:dPt>
          <c:dLbls>
            <c:numFmt formatCode="[&lt;0.005]#;0%" sourceLinked="0"/>
            <c:spPr>
              <a:noFill/>
              <a:ln>
                <a:noFill/>
              </a:ln>
              <a:effectLst/>
            </c:spPr>
            <c:txPr>
              <a:bodyPr/>
              <a:lstStyle/>
              <a:p>
                <a:pPr>
                  <a:defRPr sz="1000" b="1">
                    <a:solidFill>
                      <a:srgbClr val="FFFFFF"/>
                    </a:solidFill>
                  </a:defRPr>
                </a:pPr>
                <a:endParaRPr lang="en-US"/>
              </a:p>
            </c:txPr>
            <c:dLblPos val="bestFit"/>
            <c:showLegendKey val="0"/>
            <c:showVal val="0"/>
            <c:showCatName val="0"/>
            <c:showSerName val="0"/>
            <c:showPercent val="1"/>
            <c:showBubbleSize val="0"/>
            <c:showLeaderLines val="0"/>
            <c:extLst xmlns:prop="http://schemas.openxmlformats.org/officeDocument/2006/custom-properties" xmlns:xs="http://www.w3.org/2001/XMLSchema" xmlns:mc="http://schemas.openxmlformats.org/markup-compatibility/2006" xmlns:WX="http://schemas.microsoft.com/office/word/2003/auxHint" xmlns:properties="http://schemas.openxmlformats.org/officeDocument/2006/extended-properties" xmlns:dc="http://purl.org/dc/elements/1.1/" xmlns:ds="http://schemas.openxmlformats.org/officeDocument/2006/customXml" xmlns:cp="http://schemas.openxmlformats.org/package/2006/metadata/core-properties" xmlns:w15="http://schemas.microsoft.com/office/word/2012/wordml" xmlns:ns40="http://schemas.openxmlformats.org/spreadsheetml/2006/main" xmlns:p="http://schemas.openxmlformats.org/presentationml/2006/main" xmlns:dcterms="http://purl.org/dc/terms/" xmlns:rel="http://schemas.openxmlformats.org/package/2006/relationships" xmlns:pkg="http://schemas.microsoft.com/office/2006/xmlPackage" xmlns:vt="http://schemas.openxmlformats.org/officeDocument/2006/docPropsVTypes" xmlns:xf="http://www.w3.org/2002/xforms" xmlns:w14="http://schemas.microsoft.com/office/word/2010/wordml" xmlns:xsi="http://www.w3.org/2001/XMLSchema-instance" xmlns:aml="http://schemas.microsoft.com/aml/2001/core" xmlns:xe="http://www.w3.org/2001/xml-events" xmlns:ns29="http://schemas.openxmlformats.org/drawingml/2006/lockedCanvas" xmlns:ns28="http://schemas.openxmlformats.org/drawingml/2006/compatibility" xmlns:ns27="http://schemas.openxmlformats.org/officeDocument/2006/bibliography" xmlns:odgm="http://opendope.org/SmartArt/DataHierarchy" xmlns:odi="http://opendope.org/components" xmlns:oda="http://opendope.org/answers" xmlns:odq="http://opendope.org/questions" xmlns:odc="http://opendope.org/conditions" xmlns:odx="http://opendope.org/xpaths" xmlns:ns20="http://schemas.microsoft.com/office/2006/coverPageProps" xmlns:ns18="urn:schemas-microsoft-com:office:powerpoint" xmlns:w10="urn:schemas-microsoft-com:office:word" xmlns:v="urn:schemas-microsoft-com:vml" xmlns:o="urn:schemas-microsoft-com:office:office" xmlns:ns14="urn:schemas-microsoft-com:office:excel" xmlns:dsp="http://schemas.microsoft.com/office/drawing/2008/diagram" xmlns:xdr="http://schemas.openxmlformats.org/drawingml/2006/spreadsheetDrawing" xmlns:pic="http://schemas.openxmlformats.org/drawingml/2006/picture" xmlns:dgm="http://schemas.openxmlformats.org/drawingml/2006/diagram" xmlns:ns9="http://schemas.openxmlformats.org/drawingml/2006/chartDrawing" xmlns:wne="http://schemas.microsoft.com/office/word/2006/wordml" xmlns:ns6="http://schemas.openxmlformats.org/schemaLibrary/2006/main" xmlns:wp="http://schemas.openxmlformats.org/drawingml/2006/wordprocessingDrawing" xmlns:m="http://schemas.openxmlformats.org/officeDocument/2006/math" xmlns:w="http://schemas.openxmlformats.org/wordprocessingml/2006/main">
              <c:ext xmlns:c15="http://schemas.microsoft.com/office/drawing/2012/chart" uri="{CE6537A1-D6FC-4f65-9D91-7224C49458BB}"/>
            </c:extLst>
          </c:dLbls>
          <c:cat>
            <c:strRef>
              <c:f>[0]!countries_names</c:f>
              <c:strCache>
                <c:ptCount val="10"/>
                <c:pt idx="0">
                  <c:v>UNITED STATES</c:v>
                </c:pt>
                <c:pt idx="1">
                  <c:v>GERMANY</c:v>
                </c:pt>
                <c:pt idx="2">
                  <c:v>SPAIN</c:v>
                </c:pt>
                <c:pt idx="3">
                  <c:v>ITALY</c:v>
                </c:pt>
                <c:pt idx="4">
                  <c:v>NETHERLANDS</c:v>
                </c:pt>
                <c:pt idx="5">
                  <c:v>RUSSIA</c:v>
                </c:pt>
                <c:pt idx="6">
                  <c:v>UNITED KINGDOM</c:v>
                </c:pt>
                <c:pt idx="7">
                  <c:v>CANADA</c:v>
                </c:pt>
                <c:pt idx="8">
                  <c:v>BELGIUM</c:v>
                </c:pt>
                <c:pt idx="9">
                  <c:v>Other</c:v>
                </c:pt>
              </c:strCache>
            </c:strRef>
          </c:cat>
          <c:val>
            <c:numRef>
              <c:f>[0]!countries_values</c:f>
              <c:numCache>
                <c:formatCode>#,##0</c:formatCode>
                <c:ptCount val="10"/>
                <c:pt idx="0">
                  <c:v>292</c:v>
                </c:pt>
                <c:pt idx="1">
                  <c:v>95</c:v>
                </c:pt>
                <c:pt idx="2">
                  <c:v>90</c:v>
                </c:pt>
                <c:pt idx="3">
                  <c:v>75</c:v>
                </c:pt>
                <c:pt idx="4">
                  <c:v>66</c:v>
                </c:pt>
                <c:pt idx="5">
                  <c:v>64</c:v>
                </c:pt>
                <c:pt idx="6">
                  <c:v>64</c:v>
                </c:pt>
                <c:pt idx="7">
                  <c:v>58</c:v>
                </c:pt>
                <c:pt idx="8">
                  <c:v>56</c:v>
                </c:pt>
                <c:pt idx="9">
                  <c:v>584</c:v>
                </c:pt>
              </c:numCache>
            </c:numRef>
          </c:val>
          <c:extLst xmlns:prop="http://schemas.openxmlformats.org/officeDocument/2006/custom-properties" xmlns:xs="http://www.w3.org/2001/XMLSchema" xmlns:mc="http://schemas.openxmlformats.org/markup-compatibility/2006" xmlns:WX="http://schemas.microsoft.com/office/word/2003/auxHint" xmlns:properties="http://schemas.openxmlformats.org/officeDocument/2006/extended-properties" xmlns:dc="http://purl.org/dc/elements/1.1/" xmlns:ds="http://schemas.openxmlformats.org/officeDocument/2006/customXml" xmlns:cp="http://schemas.openxmlformats.org/package/2006/metadata/core-properties" xmlns:w15="http://schemas.microsoft.com/office/word/2012/wordml" xmlns:ns40="http://schemas.openxmlformats.org/spreadsheetml/2006/main" xmlns:p="http://schemas.openxmlformats.org/presentationml/2006/main" xmlns:dcterms="http://purl.org/dc/terms/" xmlns:rel="http://schemas.openxmlformats.org/package/2006/relationships" xmlns:pkg="http://schemas.microsoft.com/office/2006/xmlPackage" xmlns:vt="http://schemas.openxmlformats.org/officeDocument/2006/docPropsVTypes" xmlns:xf="http://www.w3.org/2002/xforms" xmlns:w14="http://schemas.microsoft.com/office/word/2010/wordml" xmlns:xsi="http://www.w3.org/2001/XMLSchema-instance" xmlns:aml="http://schemas.microsoft.com/aml/2001/core" xmlns:xe="http://www.w3.org/2001/xml-events" xmlns:ns29="http://schemas.openxmlformats.org/drawingml/2006/lockedCanvas" xmlns:ns28="http://schemas.openxmlformats.org/drawingml/2006/compatibility" xmlns:ns27="http://schemas.openxmlformats.org/officeDocument/2006/bibliography" xmlns:odgm="http://opendope.org/SmartArt/DataHierarchy" xmlns:odi="http://opendope.org/components" xmlns:oda="http://opendope.org/answers" xmlns:odq="http://opendope.org/questions" xmlns:odc="http://opendope.org/conditions" xmlns:odx="http://opendope.org/xpaths" xmlns:ns20="http://schemas.microsoft.com/office/2006/coverPageProps" xmlns:ns18="urn:schemas-microsoft-com:office:powerpoint" xmlns:w10="urn:schemas-microsoft-com:office:word" xmlns:v="urn:schemas-microsoft-com:vml" xmlns:o="urn:schemas-microsoft-com:office:office" xmlns:ns14="urn:schemas-microsoft-com:office:excel" xmlns:dsp="http://schemas.microsoft.com/office/drawing/2008/diagram" xmlns:xdr="http://schemas.openxmlformats.org/drawingml/2006/spreadsheetDrawing" xmlns:pic="http://schemas.openxmlformats.org/drawingml/2006/picture" xmlns:dgm="http://schemas.openxmlformats.org/drawingml/2006/diagram" xmlns:ns9="http://schemas.openxmlformats.org/drawingml/2006/chartDrawing" xmlns:wne="http://schemas.microsoft.com/office/word/2006/wordml" xmlns:ns6="http://schemas.openxmlformats.org/schemaLibrary/2006/main" xmlns:wp="http://schemas.openxmlformats.org/drawingml/2006/wordprocessingDrawing" xmlns:m="http://schemas.openxmlformats.org/officeDocument/2006/math" xmlns:w="http://schemas.openxmlformats.org/wordprocessingml/2006/main">
            <c:ext uri="{C3380CC4-5D6E-409C-BE32-E72D297353CC}">
              <c16:uniqueId xmlns:c16="http://schemas.microsoft.com/office/drawing/2014/chart" xmlns:c16r2="http://schemas.microsoft.com/office/drawing/2015/06/chart" val="{00000012-EF93-4CBC-9ADF-DB4AC29625D7}"/>
            </c:ext>
          </c:extLst>
        </c:ser>
        <c:dLbls>
          <c:showLegendKey val="0"/>
          <c:showVal val="0"/>
          <c:showCatName val="0"/>
          <c:showSerName val="0"/>
          <c:showPercent val="0"/>
          <c:showBubbleSize val="0"/>
          <c:showLeaderLines val="0"/>
        </c:dLbls>
        <c:firstSliceAng val="0"/>
      </c:pieChart>
      <c:spPr>
        <a:noFill/>
      </c:spPr>
    </c:plotArea>
    <c:legend>
      <c:legendPos val="t"/>
      <c:layout>
        <c:manualLayout>
          <c:xMode val="edge"/>
          <c:yMode val="edge"/>
          <c:x val="3.0331654072208232E-2"/>
          <c:y val="0.12152777777777778"/>
          <c:w val="0.93902183039462628"/>
          <c:h val="0.16666666666666666"/>
        </c:manualLayout>
      </c:layout>
      <c:overlay val="0"/>
      <c:spPr>
        <a:gradFill flip="none" rotWithShape="1">
          <a:gsLst>
            <a:gs pos="0">
              <a:srgbClr val="151515"/>
            </a:gs>
            <a:gs pos="100000">
              <a:srgbClr val="404040"/>
            </a:gs>
            <a:gs pos="1000">
              <a:srgbClr val="151515"/>
            </a:gs>
            <a:gs pos="2000">
              <a:srgbClr val="404040"/>
            </a:gs>
            <a:gs pos="3000">
              <a:srgbClr val="404040"/>
            </a:gs>
            <a:gs pos="4000">
              <a:srgbClr val="262626"/>
            </a:gs>
            <a:gs pos="96000">
              <a:srgbClr val="262626"/>
            </a:gs>
            <a:gs pos="97000">
              <a:srgbClr val="151515"/>
            </a:gs>
            <a:gs pos="98000">
              <a:srgbClr val="151515"/>
            </a:gs>
            <a:gs pos="99000">
              <a:srgbClr val="404040"/>
            </a:gs>
          </a:gsLst>
          <a:lin ang="5400000" scaled="1"/>
          <a:tileRect/>
        </a:gradFill>
      </c:spPr>
      <c:txPr>
        <a:bodyPr/>
        <a:lstStyle/>
        <a:p>
          <a:pPr rtl="0">
            <a:defRPr sz="850" b="1">
              <a:solidFill>
                <a:srgbClr val="C8C8C8"/>
              </a:solidFill>
              <a:latin typeface="Calibri"/>
            </a:defRPr>
          </a:pPr>
          <a:endParaRPr lang="en-US"/>
        </a:p>
      </c:txPr>
    </c:legend>
    <c:plotVisOnly val="1"/>
    <c:dispBlanksAs val="zero"/>
    <c:showDLblsOverMax val="0"/>
  </c:chart>
  <c:spPr>
    <a:noFill/>
    <a:ln w="19050">
      <a:noFill/>
    </a:ln>
  </c:spPr>
  <c:txPr>
    <a:bodyPr/>
    <a:lstStyle/>
    <a:p>
      <a:pPr>
        <a:defRPr>
          <a:solidFill>
            <a:schemeClr val="bg1"/>
          </a:solidFill>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c:style val="2"/>
  <c:clrMapOvr bg1="lt1" tx1="dk1" bg2="lt2" tx2="dk2" accent1="accent1" accent2="accent2" accent3="accent3" accent4="accent4" accent5="accent5" accent6="accent6" hlink="hlink" folHlink="folHlink"/>
  <c:chart>
    <c:title>
      <c:tx>
        <c:rich>
          <a:bodyPr/>
          <a:lstStyle/>
          <a:p>
            <a:pPr>
              <a:defRPr sz="1600" b="0" cap="none" baseline="0">
                <a:solidFill>
                  <a:srgbClr val="DCDCDC"/>
                </a:solidFill>
                <a:latin typeface="Calibri"/>
                <a:cs typeface="Arial" pitchFamily="34" charset="0"/>
              </a:defRPr>
            </a:pPr>
            <a:r>
              <a:rPr lang="en-US" sz="1600" b="0" cap="none">
                <a:solidFill>
                  <a:srgbClr val="DCDCDC"/>
                </a:solidFill>
                <a:latin typeface="Calibri"/>
              </a:rPr>
              <a:t>Mentions</a:t>
            </a:r>
            <a:r>
              <a:rPr lang="en-US" sz="1600" b="0" cap="none" baseline="0">
                <a:solidFill>
                  <a:srgbClr val="DCDCDC"/>
                </a:solidFill>
                <a:latin typeface="Calibri"/>
              </a:rPr>
              <a:t> By US Metro Area</a:t>
            </a:r>
            <a:endParaRPr lang="en-US" sz="1600" b="0" cap="none">
              <a:solidFill>
                <a:srgbClr val="DCDCDC"/>
              </a:solidFill>
              <a:latin typeface="Calibri"/>
            </a:endParaRPr>
          </a:p>
        </c:rich>
      </c:tx>
      <c:layout>
        <c:manualLayout>
          <c:xMode val="edge"/>
          <c:yMode val="edge"/>
          <c:x val="5.8219178082191778E-2"/>
          <c:y val="2.7777777777777776E-2"/>
        </c:manualLayout>
      </c:layout>
      <c:overlay val="0"/>
    </c:title>
    <c:autoTitleDeleted val="0"/>
    <c:plotArea>
      <c:layout>
        <c:manualLayout>
          <c:layoutTarget val="inner"/>
          <c:xMode val="edge"/>
          <c:yMode val="edge"/>
          <c:x val="0.12328767123287671"/>
          <c:y val="0.2638888888888889"/>
          <c:w val="0.75342465753424659"/>
          <c:h val="0.5"/>
        </c:manualLayout>
      </c:layout>
      <c:barChart>
        <c:barDir val="col"/>
        <c:grouping val="clustered"/>
        <c:varyColors val="0"/>
        <c:ser>
          <c:idx val="1"/>
          <c:order val="0"/>
          <c:tx>
            <c:strRef>
              <c:f>Calculations!$C$251</c:f>
              <c:strCache>
                <c:ptCount val="1"/>
                <c:pt idx="0">
                  <c:v>Number of Posts</c:v>
                </c:pt>
              </c:strCache>
            </c:strRef>
          </c:tx>
          <c:spPr>
            <a:gradFill flip="none" rotWithShape="1">
              <a:gsLst>
                <a:gs pos="0">
                  <a:srgbClr val="3F1260"/>
                </a:gs>
                <a:gs pos="100000">
                  <a:srgbClr val="7128A8"/>
                </a:gs>
                <a:gs pos="50000">
                  <a:srgbClr val="5E1F8D"/>
                </a:gs>
              </a:gsLst>
              <a:lin ang="0" scaled="1"/>
              <a:tileRect/>
            </a:gradFill>
            <a:ln w="9525">
              <a:solidFill>
                <a:srgbClr val="7128A8"/>
              </a:solidFill>
            </a:ln>
          </c:spPr>
          <c:invertIfNegative val="0"/>
          <c:dLbls>
            <c:numFmt formatCode="[&gt;=1000000].0,,&quot;M&quot;;[&gt;=10000].0,&quot;K&quot;;#,##0" sourceLinked="0"/>
            <c:spPr>
              <a:noFill/>
              <a:ln>
                <a:noFill/>
              </a:ln>
              <a:effectLst/>
            </c:spPr>
            <c:txPr>
              <a:bodyPr rot="0" vert="horz"/>
              <a:lstStyle/>
              <a:p>
                <a:pPr>
                  <a:defRPr sz="800" b="0" baseline="0">
                    <a:solidFill>
                      <a:srgbClr val="B4B4B4"/>
                    </a:solidFill>
                    <a:latin typeface="Calibri"/>
                    <a:ea typeface="Calibri"/>
                    <a:cs typeface="Calibri"/>
                  </a:defRPr>
                </a:pPr>
                <a:endParaRPr lang="en-US"/>
              </a:p>
            </c:txPr>
            <c:dLblPos val="outEnd"/>
            <c:showLegendKey val="0"/>
            <c:showVal val="1"/>
            <c:showCatName val="0"/>
            <c:showSerName val="0"/>
            <c:showPercent val="0"/>
            <c:showBubbleSize val="0"/>
            <c:showLeaderLines val="0"/>
            <c:extLst xmlns:prop="http://schemas.openxmlformats.org/officeDocument/2006/custom-properties" xmlns:xs="http://www.w3.org/2001/XMLSchema" xmlns:mc="http://schemas.openxmlformats.org/markup-compatibility/2006" xmlns:WX="http://schemas.microsoft.com/office/word/2003/auxHint" xmlns:properties="http://schemas.openxmlformats.org/officeDocument/2006/extended-properties" xmlns:dc="http://purl.org/dc/elements/1.1/" xmlns:ds="http://schemas.openxmlformats.org/officeDocument/2006/customXml" xmlns:cp="http://schemas.openxmlformats.org/package/2006/metadata/core-properties" xmlns:w15="http://schemas.microsoft.com/office/word/2012/wordml" xmlns:ns40="http://schemas.openxmlformats.org/spreadsheetml/2006/main" xmlns:p="http://schemas.openxmlformats.org/presentationml/2006/main" xmlns:dcterms="http://purl.org/dc/terms/" xmlns:rel="http://schemas.openxmlformats.org/package/2006/relationships" xmlns:pkg="http://schemas.microsoft.com/office/2006/xmlPackage" xmlns:vt="http://schemas.openxmlformats.org/officeDocument/2006/docPropsVTypes" xmlns:xf="http://www.w3.org/2002/xforms" xmlns:w14="http://schemas.microsoft.com/office/word/2010/wordml" xmlns:xsi="http://www.w3.org/2001/XMLSchema-instance" xmlns:aml="http://schemas.microsoft.com/aml/2001/core" xmlns:xe="http://www.w3.org/2001/xml-events" xmlns:ns29="http://schemas.openxmlformats.org/drawingml/2006/lockedCanvas" xmlns:ns28="http://schemas.openxmlformats.org/drawingml/2006/compatibility" xmlns:ns27="http://schemas.openxmlformats.org/officeDocument/2006/bibliography" xmlns:odgm="http://opendope.org/SmartArt/DataHierarchy" xmlns:odi="http://opendope.org/components" xmlns:oda="http://opendope.org/answers" xmlns:odq="http://opendope.org/questions" xmlns:odc="http://opendope.org/conditions" xmlns:odx="http://opendope.org/xpaths" xmlns:ns20="http://schemas.microsoft.com/office/2006/coverPageProps" xmlns:ns18="urn:schemas-microsoft-com:office:powerpoint" xmlns:w10="urn:schemas-microsoft-com:office:word" xmlns:v="urn:schemas-microsoft-com:vml" xmlns:o="urn:schemas-microsoft-com:office:office" xmlns:ns14="urn:schemas-microsoft-com:office:excel" xmlns:dsp="http://schemas.microsoft.com/office/drawing/2008/diagram" xmlns:xdr="http://schemas.openxmlformats.org/drawingml/2006/spreadsheetDrawing" xmlns:pic="http://schemas.openxmlformats.org/drawingml/2006/picture" xmlns:dgm="http://schemas.openxmlformats.org/drawingml/2006/diagram" xmlns:ns9="http://schemas.openxmlformats.org/drawingml/2006/chartDrawing" xmlns:wne="http://schemas.microsoft.com/office/word/2006/wordml" xmlns:ns6="http://schemas.openxmlformats.org/schemaLibrary/2006/main" xmlns:wp="http://schemas.openxmlformats.org/drawingml/2006/wordprocessingDrawing" xmlns:m="http://schemas.openxmlformats.org/officeDocument/2006/math" xmlns:w="http://schemas.openxmlformats.org/wordprocessingml/2006/main">
              <c:ext xmlns:c15="http://schemas.microsoft.com/office/drawing/2012/chart" uri="{CE6537A1-D6FC-4f65-9D91-7224C49458BB}">
                <c15:showLeaderLines val="0"/>
              </c:ext>
            </c:extLst>
          </c:dLbls>
          <c:cat>
            <c:strRef>
              <c:f>[0]!cities_names</c:f>
              <c:strCache>
                <c:ptCount val="5"/>
                <c:pt idx="0">
                  <c:v>Miami, FL</c:v>
                </c:pt>
                <c:pt idx="1">
                  <c:v>Los Angeles, CA</c:v>
                </c:pt>
                <c:pt idx="2">
                  <c:v>New York, NY</c:v>
                </c:pt>
                <c:pt idx="3">
                  <c:v>Houston, TX</c:v>
                </c:pt>
                <c:pt idx="4">
                  <c:v>San Francisco, CA</c:v>
                </c:pt>
              </c:strCache>
            </c:strRef>
          </c:cat>
          <c:val>
            <c:numRef>
              <c:f>[0]!cities_count</c:f>
              <c:numCache>
                <c:formatCode>#,##0</c:formatCode>
                <c:ptCount val="5"/>
                <c:pt idx="0">
                  <c:v>29</c:v>
                </c:pt>
                <c:pt idx="1">
                  <c:v>26</c:v>
                </c:pt>
                <c:pt idx="2">
                  <c:v>20</c:v>
                </c:pt>
                <c:pt idx="3">
                  <c:v>12</c:v>
                </c:pt>
                <c:pt idx="4">
                  <c:v>10</c:v>
                </c:pt>
              </c:numCache>
            </c:numRef>
          </c:val>
          <c:extLst xmlns:prop="http://schemas.openxmlformats.org/officeDocument/2006/custom-properties" xmlns:xs="http://www.w3.org/2001/XMLSchema" xmlns:mc="http://schemas.openxmlformats.org/markup-compatibility/2006" xmlns:WX="http://schemas.microsoft.com/office/word/2003/auxHint" xmlns:properties="http://schemas.openxmlformats.org/officeDocument/2006/extended-properties" xmlns:dc="http://purl.org/dc/elements/1.1/" xmlns:ds="http://schemas.openxmlformats.org/officeDocument/2006/customXml" xmlns:cp="http://schemas.openxmlformats.org/package/2006/metadata/core-properties" xmlns:w15="http://schemas.microsoft.com/office/word/2012/wordml" xmlns:ns40="http://schemas.openxmlformats.org/spreadsheetml/2006/main" xmlns:p="http://schemas.openxmlformats.org/presentationml/2006/main" xmlns:dcterms="http://purl.org/dc/terms/" xmlns:rel="http://schemas.openxmlformats.org/package/2006/relationships" xmlns:pkg="http://schemas.microsoft.com/office/2006/xmlPackage" xmlns:vt="http://schemas.openxmlformats.org/officeDocument/2006/docPropsVTypes" xmlns:xf="http://www.w3.org/2002/xforms" xmlns:w14="http://schemas.microsoft.com/office/word/2010/wordml" xmlns:xsi="http://www.w3.org/2001/XMLSchema-instance" xmlns:aml="http://schemas.microsoft.com/aml/2001/core" xmlns:xe="http://www.w3.org/2001/xml-events" xmlns:ns29="http://schemas.openxmlformats.org/drawingml/2006/lockedCanvas" xmlns:ns28="http://schemas.openxmlformats.org/drawingml/2006/compatibility" xmlns:ns27="http://schemas.openxmlformats.org/officeDocument/2006/bibliography" xmlns:odgm="http://opendope.org/SmartArt/DataHierarchy" xmlns:odi="http://opendope.org/components" xmlns:oda="http://opendope.org/answers" xmlns:odq="http://opendope.org/questions" xmlns:odc="http://opendope.org/conditions" xmlns:odx="http://opendope.org/xpaths" xmlns:ns20="http://schemas.microsoft.com/office/2006/coverPageProps" xmlns:ns18="urn:schemas-microsoft-com:office:powerpoint" xmlns:w10="urn:schemas-microsoft-com:office:word" xmlns:v="urn:schemas-microsoft-com:vml" xmlns:o="urn:schemas-microsoft-com:office:office" xmlns:ns14="urn:schemas-microsoft-com:office:excel" xmlns:dsp="http://schemas.microsoft.com/office/drawing/2008/diagram" xmlns:xdr="http://schemas.openxmlformats.org/drawingml/2006/spreadsheetDrawing" xmlns:pic="http://schemas.openxmlformats.org/drawingml/2006/picture" xmlns:dgm="http://schemas.openxmlformats.org/drawingml/2006/diagram" xmlns:ns9="http://schemas.openxmlformats.org/drawingml/2006/chartDrawing" xmlns:wne="http://schemas.microsoft.com/office/word/2006/wordml" xmlns:ns6="http://schemas.openxmlformats.org/schemaLibrary/2006/main" xmlns:wp="http://schemas.openxmlformats.org/drawingml/2006/wordprocessingDrawing" xmlns:m="http://schemas.openxmlformats.org/officeDocument/2006/math" xmlns:w="http://schemas.openxmlformats.org/wordprocessingml/2006/main">
            <c:ext uri="{C3380CC4-5D6E-409C-BE32-E72D297353CC}">
              <c16:uniqueId xmlns:c16="http://schemas.microsoft.com/office/drawing/2014/chart" xmlns:c16r2="http://schemas.microsoft.com/office/drawing/2015/06/chart" val="{00000000-0189-42BF-9E29-CBD11AC563DC}"/>
            </c:ext>
          </c:extLst>
        </c:ser>
        <c:dLbls>
          <c:showLegendKey val="0"/>
          <c:showVal val="0"/>
          <c:showCatName val="0"/>
          <c:showSerName val="0"/>
          <c:showPercent val="0"/>
          <c:showBubbleSize val="0"/>
        </c:dLbls>
        <c:gapWidth val="100"/>
        <c:axId val="335761960"/>
        <c:axId val="335762352"/>
      </c:barChart>
      <c:barChart>
        <c:barDir val="col"/>
        <c:grouping val="clustered"/>
        <c:varyColors val="0"/>
        <c:ser>
          <c:idx val="2"/>
          <c:order val="1"/>
          <c:tx>
            <c:strRef>
              <c:f>Calculations!$G$247</c:f>
              <c:strCache>
                <c:ptCount val="1"/>
                <c:pt idx="0">
                  <c:v> </c:v>
                </c:pt>
              </c:strCache>
            </c:strRef>
          </c:tx>
          <c:spPr>
            <a:noFill/>
          </c:spPr>
          <c:invertIfNegative val="0"/>
          <c:cat>
            <c:strRef>
              <c:f>[0]!cities_names</c:f>
              <c:strCache>
                <c:ptCount val="5"/>
                <c:pt idx="0">
                  <c:v>Miami, FL</c:v>
                </c:pt>
                <c:pt idx="1">
                  <c:v>Los Angeles, CA</c:v>
                </c:pt>
                <c:pt idx="2">
                  <c:v>New York, NY</c:v>
                </c:pt>
                <c:pt idx="3">
                  <c:v>Houston, TX</c:v>
                </c:pt>
                <c:pt idx="4">
                  <c:v>San Francisco, CA</c:v>
                </c:pt>
              </c:strCache>
            </c:strRef>
          </c:cat>
          <c:val>
            <c:numRef>
              <c:f>[0]!cities_dummy</c:f>
              <c:numCache>
                <c:formatCode>General</c:formatCode>
                <c:ptCount val="5"/>
                <c:pt idx="0">
                  <c:v>0</c:v>
                </c:pt>
                <c:pt idx="1">
                  <c:v>0</c:v>
                </c:pt>
                <c:pt idx="2">
                  <c:v>0</c:v>
                </c:pt>
                <c:pt idx="3">
                  <c:v>0</c:v>
                </c:pt>
                <c:pt idx="4">
                  <c:v>0</c:v>
                </c:pt>
              </c:numCache>
            </c:numRef>
          </c:val>
          <c:extLst xmlns:prop="http://schemas.openxmlformats.org/officeDocument/2006/custom-properties" xmlns:xs="http://www.w3.org/2001/XMLSchema" xmlns:mc="http://schemas.openxmlformats.org/markup-compatibility/2006" xmlns:WX="http://schemas.microsoft.com/office/word/2003/auxHint" xmlns:properties="http://schemas.openxmlformats.org/officeDocument/2006/extended-properties" xmlns:dc="http://purl.org/dc/elements/1.1/" xmlns:ds="http://schemas.openxmlformats.org/officeDocument/2006/customXml" xmlns:cp="http://schemas.openxmlformats.org/package/2006/metadata/core-properties" xmlns:w15="http://schemas.microsoft.com/office/word/2012/wordml" xmlns:ns40="http://schemas.openxmlformats.org/spreadsheetml/2006/main" xmlns:p="http://schemas.openxmlformats.org/presentationml/2006/main" xmlns:dcterms="http://purl.org/dc/terms/" xmlns:rel="http://schemas.openxmlformats.org/package/2006/relationships" xmlns:pkg="http://schemas.microsoft.com/office/2006/xmlPackage" xmlns:vt="http://schemas.openxmlformats.org/officeDocument/2006/docPropsVTypes" xmlns:xf="http://www.w3.org/2002/xforms" xmlns:w14="http://schemas.microsoft.com/office/word/2010/wordml" xmlns:xsi="http://www.w3.org/2001/XMLSchema-instance" xmlns:aml="http://schemas.microsoft.com/aml/2001/core" xmlns:xe="http://www.w3.org/2001/xml-events" xmlns:ns29="http://schemas.openxmlformats.org/drawingml/2006/lockedCanvas" xmlns:ns28="http://schemas.openxmlformats.org/drawingml/2006/compatibility" xmlns:ns27="http://schemas.openxmlformats.org/officeDocument/2006/bibliography" xmlns:odgm="http://opendope.org/SmartArt/DataHierarchy" xmlns:odi="http://opendope.org/components" xmlns:oda="http://opendope.org/answers" xmlns:odq="http://opendope.org/questions" xmlns:odc="http://opendope.org/conditions" xmlns:odx="http://opendope.org/xpaths" xmlns:ns20="http://schemas.microsoft.com/office/2006/coverPageProps" xmlns:ns18="urn:schemas-microsoft-com:office:powerpoint" xmlns:w10="urn:schemas-microsoft-com:office:word" xmlns:v="urn:schemas-microsoft-com:vml" xmlns:o="urn:schemas-microsoft-com:office:office" xmlns:ns14="urn:schemas-microsoft-com:office:excel" xmlns:dsp="http://schemas.microsoft.com/office/drawing/2008/diagram" xmlns:xdr="http://schemas.openxmlformats.org/drawingml/2006/spreadsheetDrawing" xmlns:pic="http://schemas.openxmlformats.org/drawingml/2006/picture" xmlns:dgm="http://schemas.openxmlformats.org/drawingml/2006/diagram" xmlns:ns9="http://schemas.openxmlformats.org/drawingml/2006/chartDrawing" xmlns:wne="http://schemas.microsoft.com/office/word/2006/wordml" xmlns:ns6="http://schemas.openxmlformats.org/schemaLibrary/2006/main" xmlns:wp="http://schemas.openxmlformats.org/drawingml/2006/wordprocessingDrawing" xmlns:m="http://schemas.openxmlformats.org/officeDocument/2006/math" xmlns:w="http://schemas.openxmlformats.org/wordprocessingml/2006/main">
            <c:ext uri="{C3380CC4-5D6E-409C-BE32-E72D297353CC}">
              <c16:uniqueId xmlns:c16="http://schemas.microsoft.com/office/drawing/2014/chart" xmlns:c16r2="http://schemas.microsoft.com/office/drawing/2015/06/chart" val="{00000001-0189-42BF-9E29-CBD11AC563DC}"/>
            </c:ext>
          </c:extLst>
        </c:ser>
        <c:ser>
          <c:idx val="3"/>
          <c:order val="2"/>
          <c:tx>
            <c:strRef>
              <c:f>Calculations!$G$247</c:f>
              <c:strCache>
                <c:ptCount val="1"/>
                <c:pt idx="0">
                  <c:v> </c:v>
                </c:pt>
              </c:strCache>
            </c:strRef>
          </c:tx>
          <c:spPr>
            <a:noFill/>
          </c:spPr>
          <c:invertIfNegative val="0"/>
          <c:cat>
            <c:strRef>
              <c:f>[0]!cities_names</c:f>
              <c:strCache>
                <c:ptCount val="5"/>
                <c:pt idx="0">
                  <c:v>Miami, FL</c:v>
                </c:pt>
                <c:pt idx="1">
                  <c:v>Los Angeles, CA</c:v>
                </c:pt>
                <c:pt idx="2">
                  <c:v>New York, NY</c:v>
                </c:pt>
                <c:pt idx="3">
                  <c:v>Houston, TX</c:v>
                </c:pt>
                <c:pt idx="4">
                  <c:v>San Francisco, CA</c:v>
                </c:pt>
              </c:strCache>
            </c:strRef>
          </c:cat>
          <c:val>
            <c:numRef>
              <c:f>[0]!cities_dummy</c:f>
              <c:numCache>
                <c:formatCode>General</c:formatCode>
                <c:ptCount val="5"/>
                <c:pt idx="0">
                  <c:v>0</c:v>
                </c:pt>
                <c:pt idx="1">
                  <c:v>0</c:v>
                </c:pt>
                <c:pt idx="2">
                  <c:v>0</c:v>
                </c:pt>
                <c:pt idx="3">
                  <c:v>0</c:v>
                </c:pt>
                <c:pt idx="4">
                  <c:v>0</c:v>
                </c:pt>
              </c:numCache>
            </c:numRef>
          </c:val>
          <c:extLst xmlns:prop="http://schemas.openxmlformats.org/officeDocument/2006/custom-properties" xmlns:xs="http://www.w3.org/2001/XMLSchema" xmlns:mc="http://schemas.openxmlformats.org/markup-compatibility/2006" xmlns:WX="http://schemas.microsoft.com/office/word/2003/auxHint" xmlns:properties="http://schemas.openxmlformats.org/officeDocument/2006/extended-properties" xmlns:dc="http://purl.org/dc/elements/1.1/" xmlns:ds="http://schemas.openxmlformats.org/officeDocument/2006/customXml" xmlns:cp="http://schemas.openxmlformats.org/package/2006/metadata/core-properties" xmlns:w15="http://schemas.microsoft.com/office/word/2012/wordml" xmlns:ns40="http://schemas.openxmlformats.org/spreadsheetml/2006/main" xmlns:p="http://schemas.openxmlformats.org/presentationml/2006/main" xmlns:dcterms="http://purl.org/dc/terms/" xmlns:rel="http://schemas.openxmlformats.org/package/2006/relationships" xmlns:pkg="http://schemas.microsoft.com/office/2006/xmlPackage" xmlns:vt="http://schemas.openxmlformats.org/officeDocument/2006/docPropsVTypes" xmlns:xf="http://www.w3.org/2002/xforms" xmlns:w14="http://schemas.microsoft.com/office/word/2010/wordml" xmlns:xsi="http://www.w3.org/2001/XMLSchema-instance" xmlns:aml="http://schemas.microsoft.com/aml/2001/core" xmlns:xe="http://www.w3.org/2001/xml-events" xmlns:ns29="http://schemas.openxmlformats.org/drawingml/2006/lockedCanvas" xmlns:ns28="http://schemas.openxmlformats.org/drawingml/2006/compatibility" xmlns:ns27="http://schemas.openxmlformats.org/officeDocument/2006/bibliography" xmlns:odgm="http://opendope.org/SmartArt/DataHierarchy" xmlns:odi="http://opendope.org/components" xmlns:oda="http://opendope.org/answers" xmlns:odq="http://opendope.org/questions" xmlns:odc="http://opendope.org/conditions" xmlns:odx="http://opendope.org/xpaths" xmlns:ns20="http://schemas.microsoft.com/office/2006/coverPageProps" xmlns:ns18="urn:schemas-microsoft-com:office:powerpoint" xmlns:w10="urn:schemas-microsoft-com:office:word" xmlns:v="urn:schemas-microsoft-com:vml" xmlns:o="urn:schemas-microsoft-com:office:office" xmlns:ns14="urn:schemas-microsoft-com:office:excel" xmlns:dsp="http://schemas.microsoft.com/office/drawing/2008/diagram" xmlns:xdr="http://schemas.openxmlformats.org/drawingml/2006/spreadsheetDrawing" xmlns:pic="http://schemas.openxmlformats.org/drawingml/2006/picture" xmlns:dgm="http://schemas.openxmlformats.org/drawingml/2006/diagram" xmlns:ns9="http://schemas.openxmlformats.org/drawingml/2006/chartDrawing" xmlns:wne="http://schemas.microsoft.com/office/word/2006/wordml" xmlns:ns6="http://schemas.openxmlformats.org/schemaLibrary/2006/main" xmlns:wp="http://schemas.openxmlformats.org/drawingml/2006/wordprocessingDrawing" xmlns:m="http://schemas.openxmlformats.org/officeDocument/2006/math" xmlns:w="http://schemas.openxmlformats.org/wordprocessingml/2006/main">
            <c:ext uri="{C3380CC4-5D6E-409C-BE32-E72D297353CC}">
              <c16:uniqueId xmlns:c16="http://schemas.microsoft.com/office/drawing/2014/chart" xmlns:c16r2="http://schemas.microsoft.com/office/drawing/2015/06/chart" val="{00000002-0189-42BF-9E29-CBD11AC563DC}"/>
            </c:ext>
          </c:extLst>
        </c:ser>
        <c:ser>
          <c:idx val="0"/>
          <c:order val="3"/>
          <c:tx>
            <c:strRef>
              <c:f>Calculations!$D$251</c:f>
              <c:strCache>
                <c:ptCount val="1"/>
                <c:pt idx="0">
                  <c:v>Engagement Per Post</c:v>
                </c:pt>
              </c:strCache>
            </c:strRef>
          </c:tx>
          <c:spPr>
            <a:gradFill flip="none" rotWithShape="1">
              <a:gsLst>
                <a:gs pos="0">
                  <a:srgbClr val="414141"/>
                </a:gs>
                <a:gs pos="100000">
                  <a:srgbClr val="747474"/>
                </a:gs>
                <a:gs pos="50000">
                  <a:srgbClr val="606060"/>
                </a:gs>
              </a:gsLst>
              <a:lin ang="0" scaled="1"/>
              <a:tileRect/>
            </a:gradFill>
            <a:ln w="9525">
              <a:solidFill>
                <a:srgbClr val="747474"/>
              </a:solidFill>
            </a:ln>
          </c:spPr>
          <c:invertIfNegative val="0"/>
          <c:dLbls>
            <c:numFmt formatCode="#,##0" sourceLinked="0"/>
            <c:spPr>
              <a:noFill/>
              <a:ln>
                <a:noFill/>
              </a:ln>
              <a:effectLst/>
            </c:spPr>
            <c:txPr>
              <a:bodyPr rot="0" vert="horz"/>
              <a:lstStyle/>
              <a:p>
                <a:pPr>
                  <a:defRPr sz="800" b="0">
                    <a:solidFill>
                      <a:srgbClr val="B4B4B4"/>
                    </a:solidFill>
                    <a:latin typeface="Calibri"/>
                    <a:ea typeface="Calibri"/>
                    <a:cs typeface="Calibri"/>
                  </a:defRPr>
                </a:pPr>
                <a:endParaRPr lang="en-US"/>
              </a:p>
            </c:txPr>
            <c:dLblPos val="outEnd"/>
            <c:showLegendKey val="0"/>
            <c:showVal val="1"/>
            <c:showCatName val="0"/>
            <c:showSerName val="0"/>
            <c:showPercent val="0"/>
            <c:showBubbleSize val="0"/>
            <c:showLeaderLines val="0"/>
            <c:extLst xmlns:prop="http://schemas.openxmlformats.org/officeDocument/2006/custom-properties" xmlns:xs="http://www.w3.org/2001/XMLSchema" xmlns:mc="http://schemas.openxmlformats.org/markup-compatibility/2006" xmlns:WX="http://schemas.microsoft.com/office/word/2003/auxHint" xmlns:properties="http://schemas.openxmlformats.org/officeDocument/2006/extended-properties" xmlns:dc="http://purl.org/dc/elements/1.1/" xmlns:ds="http://schemas.openxmlformats.org/officeDocument/2006/customXml" xmlns:cp="http://schemas.openxmlformats.org/package/2006/metadata/core-properties" xmlns:w15="http://schemas.microsoft.com/office/word/2012/wordml" xmlns:ns40="http://schemas.openxmlformats.org/spreadsheetml/2006/main" xmlns:p="http://schemas.openxmlformats.org/presentationml/2006/main" xmlns:dcterms="http://purl.org/dc/terms/" xmlns:rel="http://schemas.openxmlformats.org/package/2006/relationships" xmlns:pkg="http://schemas.microsoft.com/office/2006/xmlPackage" xmlns:vt="http://schemas.openxmlformats.org/officeDocument/2006/docPropsVTypes" xmlns:xf="http://www.w3.org/2002/xforms" xmlns:w14="http://schemas.microsoft.com/office/word/2010/wordml" xmlns:xsi="http://www.w3.org/2001/XMLSchema-instance" xmlns:aml="http://schemas.microsoft.com/aml/2001/core" xmlns:xe="http://www.w3.org/2001/xml-events" xmlns:ns29="http://schemas.openxmlformats.org/drawingml/2006/lockedCanvas" xmlns:ns28="http://schemas.openxmlformats.org/drawingml/2006/compatibility" xmlns:ns27="http://schemas.openxmlformats.org/officeDocument/2006/bibliography" xmlns:odgm="http://opendope.org/SmartArt/DataHierarchy" xmlns:odi="http://opendope.org/components" xmlns:oda="http://opendope.org/answers" xmlns:odq="http://opendope.org/questions" xmlns:odc="http://opendope.org/conditions" xmlns:odx="http://opendope.org/xpaths" xmlns:ns20="http://schemas.microsoft.com/office/2006/coverPageProps" xmlns:ns18="urn:schemas-microsoft-com:office:powerpoint" xmlns:w10="urn:schemas-microsoft-com:office:word" xmlns:v="urn:schemas-microsoft-com:vml" xmlns:o="urn:schemas-microsoft-com:office:office" xmlns:ns14="urn:schemas-microsoft-com:office:excel" xmlns:dsp="http://schemas.microsoft.com/office/drawing/2008/diagram" xmlns:xdr="http://schemas.openxmlformats.org/drawingml/2006/spreadsheetDrawing" xmlns:pic="http://schemas.openxmlformats.org/drawingml/2006/picture" xmlns:dgm="http://schemas.openxmlformats.org/drawingml/2006/diagram" xmlns:ns9="http://schemas.openxmlformats.org/drawingml/2006/chartDrawing" xmlns:wne="http://schemas.microsoft.com/office/word/2006/wordml" xmlns:ns6="http://schemas.openxmlformats.org/schemaLibrary/2006/main" xmlns:wp="http://schemas.openxmlformats.org/drawingml/2006/wordprocessingDrawing" xmlns:m="http://schemas.openxmlformats.org/officeDocument/2006/math" xmlns:w="http://schemas.openxmlformats.org/wordprocessingml/2006/main">
              <c:ext xmlns:c15="http://schemas.microsoft.com/office/drawing/2012/chart" uri="{CE6537A1-D6FC-4f65-9D91-7224C49458BB}">
                <c15:showLeaderLines val="0"/>
              </c:ext>
            </c:extLst>
          </c:dLbls>
          <c:cat>
            <c:strRef>
              <c:f>[0]!cities_names</c:f>
              <c:strCache>
                <c:ptCount val="5"/>
                <c:pt idx="0">
                  <c:v>Miami, FL</c:v>
                </c:pt>
                <c:pt idx="1">
                  <c:v>Los Angeles, CA</c:v>
                </c:pt>
                <c:pt idx="2">
                  <c:v>New York, NY</c:v>
                </c:pt>
                <c:pt idx="3">
                  <c:v>Houston, TX</c:v>
                </c:pt>
                <c:pt idx="4">
                  <c:v>San Francisco, CA</c:v>
                </c:pt>
              </c:strCache>
            </c:strRef>
          </c:cat>
          <c:val>
            <c:numRef>
              <c:f>[0]!cities_engagement_per_photo</c:f>
              <c:numCache>
                <c:formatCode>#,##0</c:formatCode>
                <c:ptCount val="5"/>
                <c:pt idx="0">
                  <c:v>87.068965517241381</c:v>
                </c:pt>
                <c:pt idx="1">
                  <c:v>642.5</c:v>
                </c:pt>
                <c:pt idx="2">
                  <c:v>132.6</c:v>
                </c:pt>
                <c:pt idx="3">
                  <c:v>401.41666666666669</c:v>
                </c:pt>
                <c:pt idx="4">
                  <c:v>67.900000000000006</c:v>
                </c:pt>
              </c:numCache>
            </c:numRef>
          </c:val>
          <c:extLst xmlns:prop="http://schemas.openxmlformats.org/officeDocument/2006/custom-properties" xmlns:xs="http://www.w3.org/2001/XMLSchema" xmlns:mc="http://schemas.openxmlformats.org/markup-compatibility/2006" xmlns:WX="http://schemas.microsoft.com/office/word/2003/auxHint" xmlns:properties="http://schemas.openxmlformats.org/officeDocument/2006/extended-properties" xmlns:dc="http://purl.org/dc/elements/1.1/" xmlns:ds="http://schemas.openxmlformats.org/officeDocument/2006/customXml" xmlns:cp="http://schemas.openxmlformats.org/package/2006/metadata/core-properties" xmlns:w15="http://schemas.microsoft.com/office/word/2012/wordml" xmlns:ns40="http://schemas.openxmlformats.org/spreadsheetml/2006/main" xmlns:p="http://schemas.openxmlformats.org/presentationml/2006/main" xmlns:dcterms="http://purl.org/dc/terms/" xmlns:rel="http://schemas.openxmlformats.org/package/2006/relationships" xmlns:pkg="http://schemas.microsoft.com/office/2006/xmlPackage" xmlns:vt="http://schemas.openxmlformats.org/officeDocument/2006/docPropsVTypes" xmlns:xf="http://www.w3.org/2002/xforms" xmlns:w14="http://schemas.microsoft.com/office/word/2010/wordml" xmlns:xsi="http://www.w3.org/2001/XMLSchema-instance" xmlns:aml="http://schemas.microsoft.com/aml/2001/core" xmlns:xe="http://www.w3.org/2001/xml-events" xmlns:ns29="http://schemas.openxmlformats.org/drawingml/2006/lockedCanvas" xmlns:ns28="http://schemas.openxmlformats.org/drawingml/2006/compatibility" xmlns:ns27="http://schemas.openxmlformats.org/officeDocument/2006/bibliography" xmlns:odgm="http://opendope.org/SmartArt/DataHierarchy" xmlns:odi="http://opendope.org/components" xmlns:oda="http://opendope.org/answers" xmlns:odq="http://opendope.org/questions" xmlns:odc="http://opendope.org/conditions" xmlns:odx="http://opendope.org/xpaths" xmlns:ns20="http://schemas.microsoft.com/office/2006/coverPageProps" xmlns:ns18="urn:schemas-microsoft-com:office:powerpoint" xmlns:w10="urn:schemas-microsoft-com:office:word" xmlns:v="urn:schemas-microsoft-com:vml" xmlns:o="urn:schemas-microsoft-com:office:office" xmlns:ns14="urn:schemas-microsoft-com:office:excel" xmlns:dsp="http://schemas.microsoft.com/office/drawing/2008/diagram" xmlns:xdr="http://schemas.openxmlformats.org/drawingml/2006/spreadsheetDrawing" xmlns:pic="http://schemas.openxmlformats.org/drawingml/2006/picture" xmlns:dgm="http://schemas.openxmlformats.org/drawingml/2006/diagram" xmlns:ns9="http://schemas.openxmlformats.org/drawingml/2006/chartDrawing" xmlns:wne="http://schemas.microsoft.com/office/word/2006/wordml" xmlns:ns6="http://schemas.openxmlformats.org/schemaLibrary/2006/main" xmlns:wp="http://schemas.openxmlformats.org/drawingml/2006/wordprocessingDrawing" xmlns:m="http://schemas.openxmlformats.org/officeDocument/2006/math" xmlns:w="http://schemas.openxmlformats.org/wordprocessingml/2006/main">
            <c:ext uri="{C3380CC4-5D6E-409C-BE32-E72D297353CC}">
              <c16:uniqueId xmlns:c16="http://schemas.microsoft.com/office/drawing/2014/chart" xmlns:c16r2="http://schemas.microsoft.com/office/drawing/2015/06/chart" val="{00000003-0189-42BF-9E29-CBD11AC563DC}"/>
            </c:ext>
          </c:extLst>
        </c:ser>
        <c:dLbls>
          <c:showLegendKey val="0"/>
          <c:showVal val="0"/>
          <c:showCatName val="0"/>
          <c:showSerName val="0"/>
          <c:showPercent val="0"/>
          <c:showBubbleSize val="0"/>
        </c:dLbls>
        <c:gapWidth val="100"/>
        <c:axId val="335763136"/>
        <c:axId val="335762744"/>
      </c:barChart>
      <c:catAx>
        <c:axId val="335761960"/>
        <c:scaling>
          <c:orientation val="minMax"/>
        </c:scaling>
        <c:delete val="0"/>
        <c:axPos val="b"/>
        <c:numFmt formatCode="General" sourceLinked="1"/>
        <c:majorTickMark val="none"/>
        <c:minorTickMark val="none"/>
        <c:tickLblPos val="nextTo"/>
        <c:spPr>
          <a:ln>
            <a:solidFill>
              <a:srgbClr val="969696"/>
            </a:solidFill>
          </a:ln>
        </c:spPr>
        <c:txPr>
          <a:bodyPr rot="-2820000" vert="horz"/>
          <a:lstStyle/>
          <a:p>
            <a:pPr>
              <a:defRPr sz="1000" b="0">
                <a:solidFill>
                  <a:srgbClr val="B4B4B4"/>
                </a:solidFill>
                <a:latin typeface="Calibri"/>
                <a:ea typeface="Calibri"/>
                <a:cs typeface="Calibri"/>
              </a:defRPr>
            </a:pPr>
            <a:endParaRPr lang="en-US"/>
          </a:p>
        </c:txPr>
        <c:crossAx val="335762352"/>
        <c:crosses val="autoZero"/>
        <c:auto val="0"/>
        <c:lblAlgn val="ctr"/>
        <c:lblOffset val="50"/>
        <c:noMultiLvlLbl val="1"/>
      </c:catAx>
      <c:valAx>
        <c:axId val="335762352"/>
        <c:scaling>
          <c:orientation val="minMax"/>
        </c:scaling>
        <c:delete val="0"/>
        <c:axPos val="l"/>
        <c:title>
          <c:tx>
            <c:rich>
              <a:bodyPr rot="-5400000" vert="horz"/>
              <a:lstStyle/>
              <a:p>
                <a:pPr>
                  <a:defRPr sz="1000" b="0">
                    <a:solidFill>
                      <a:srgbClr val="B4B4B4"/>
                    </a:solidFill>
                    <a:latin typeface="Calibri"/>
                    <a:ea typeface="Calibri"/>
                    <a:cs typeface="Calibri"/>
                  </a:defRPr>
                </a:pPr>
                <a:r>
                  <a:rPr lang="en-US"/>
                  <a:t>Times Used</a:t>
                </a:r>
              </a:p>
            </c:rich>
          </c:tx>
          <c:layout>
            <c:manualLayout>
              <c:xMode val="edge"/>
              <c:yMode val="edge"/>
              <c:x val="1.8835616438356163E-2"/>
              <c:y val="0.42211805555555554"/>
            </c:manualLayout>
          </c:layout>
          <c:overlay val="0"/>
        </c:title>
        <c:numFmt formatCode="[&gt;=1000000].0,,&quot;M&quot;;[&gt;=1000].0,&quot;K&quot;;#,##0" sourceLinked="0"/>
        <c:majorTickMark val="out"/>
        <c:minorTickMark val="none"/>
        <c:tickLblPos val="nextTo"/>
        <c:spPr>
          <a:ln>
            <a:solidFill>
              <a:srgbClr val="969696"/>
            </a:solidFill>
          </a:ln>
        </c:spPr>
        <c:txPr>
          <a:bodyPr/>
          <a:lstStyle/>
          <a:p>
            <a:pPr>
              <a:defRPr sz="800" b="0">
                <a:solidFill>
                  <a:srgbClr val="A0A0A0"/>
                </a:solidFill>
                <a:latin typeface="Calibri"/>
                <a:ea typeface="Calibri"/>
                <a:cs typeface="Calibri"/>
              </a:defRPr>
            </a:pPr>
            <a:endParaRPr lang="en-US"/>
          </a:p>
        </c:txPr>
        <c:crossAx val="335761960"/>
        <c:crosses val="autoZero"/>
        <c:crossBetween val="between"/>
      </c:valAx>
      <c:valAx>
        <c:axId val="335762744"/>
        <c:scaling>
          <c:orientation val="minMax"/>
        </c:scaling>
        <c:delete val="0"/>
        <c:axPos val="r"/>
        <c:title>
          <c:tx>
            <c:rich>
              <a:bodyPr rot="-5400000" vert="horz"/>
              <a:lstStyle/>
              <a:p>
                <a:pPr>
                  <a:defRPr sz="1000" b="0">
                    <a:solidFill>
                      <a:srgbClr val="B4B4B4"/>
                    </a:solidFill>
                    <a:latin typeface="Calibri"/>
                    <a:ea typeface="Calibri"/>
                    <a:cs typeface="Calibri"/>
                  </a:defRPr>
                </a:pPr>
                <a:r>
                  <a:rPr lang="en-US"/>
                  <a:t>Engagement Per Post</a:t>
                </a:r>
              </a:p>
            </c:rich>
          </c:tx>
          <c:layout>
            <c:manualLayout>
              <c:xMode val="edge"/>
              <c:yMode val="edge"/>
              <c:x val="0.95547945205479456"/>
              <c:y val="0.3414061132983377"/>
            </c:manualLayout>
          </c:layout>
          <c:overlay val="0"/>
        </c:title>
        <c:numFmt formatCode="[&gt;=1000000].0,,&quot;M&quot;;[&gt;=1000].0,&quot;K&quot;;#,##0" sourceLinked="0"/>
        <c:majorTickMark val="out"/>
        <c:minorTickMark val="none"/>
        <c:tickLblPos val="nextTo"/>
        <c:spPr>
          <a:ln>
            <a:solidFill>
              <a:srgbClr val="969696"/>
            </a:solidFill>
          </a:ln>
        </c:spPr>
        <c:txPr>
          <a:bodyPr/>
          <a:lstStyle/>
          <a:p>
            <a:pPr>
              <a:defRPr sz="800" b="0">
                <a:solidFill>
                  <a:srgbClr val="A0A0A0"/>
                </a:solidFill>
                <a:latin typeface="Calibri"/>
                <a:ea typeface="Calibri"/>
                <a:cs typeface="Calibri"/>
              </a:defRPr>
            </a:pPr>
            <a:endParaRPr lang="en-US"/>
          </a:p>
        </c:txPr>
        <c:crossAx val="335763136"/>
        <c:crosses val="max"/>
        <c:crossBetween val="between"/>
      </c:valAx>
      <c:catAx>
        <c:axId val="335763136"/>
        <c:scaling>
          <c:orientation val="minMax"/>
        </c:scaling>
        <c:delete val="1"/>
        <c:axPos val="b"/>
        <c:numFmt formatCode="General" sourceLinked="1"/>
        <c:majorTickMark val="out"/>
        <c:minorTickMark val="none"/>
        <c:tickLblPos val="nextTo"/>
        <c:crossAx val="335762744"/>
        <c:crosses val="autoZero"/>
        <c:auto val="1"/>
        <c:lblAlgn val="ctr"/>
        <c:lblOffset val="100"/>
        <c:noMultiLvlLbl val="0"/>
      </c:catAx>
      <c:spPr>
        <a:gradFill flip="none" rotWithShape="1">
          <a:gsLst>
            <a:gs pos="0">
              <a:srgbClr val="262626"/>
            </a:gs>
            <a:gs pos="60000">
              <a:srgbClr val="151515"/>
            </a:gs>
          </a:gsLst>
          <a:lin ang="5400000" scaled="1"/>
          <a:tileRect/>
        </a:gradFill>
        <a:ln w="12700">
          <a:solidFill>
            <a:srgbClr val="262626"/>
          </a:solidFill>
        </a:ln>
      </c:spPr>
    </c:plotArea>
    <c:legend>
      <c:legendPos val="t"/>
      <c:layout>
        <c:manualLayout>
          <c:xMode val="edge"/>
          <c:yMode val="edge"/>
          <c:x val="0.12328767123287671"/>
          <c:y val="0.13541666666666666"/>
          <c:w val="0.75342465753424659"/>
          <c:h val="8.3333333333333329E-2"/>
        </c:manualLayout>
      </c:layout>
      <c:overlay val="0"/>
      <c:spPr>
        <a:gradFill flip="none" rotWithShape="1">
          <a:gsLst>
            <a:gs pos="0">
              <a:srgbClr val="151515"/>
            </a:gs>
            <a:gs pos="100000">
              <a:srgbClr val="404040"/>
            </a:gs>
            <a:gs pos="3000">
              <a:srgbClr val="151515"/>
            </a:gs>
            <a:gs pos="4000">
              <a:srgbClr val="404040"/>
            </a:gs>
            <a:gs pos="7000">
              <a:srgbClr val="404040"/>
            </a:gs>
            <a:gs pos="8000">
              <a:srgbClr val="262626"/>
            </a:gs>
            <a:gs pos="92000">
              <a:srgbClr val="262626"/>
            </a:gs>
            <a:gs pos="93000">
              <a:srgbClr val="151515"/>
            </a:gs>
            <a:gs pos="96000">
              <a:srgbClr val="151515"/>
            </a:gs>
            <a:gs pos="97000">
              <a:srgbClr val="404040"/>
            </a:gs>
          </a:gsLst>
          <a:lin ang="5400000" scaled="1"/>
          <a:tileRect/>
        </a:gradFill>
      </c:spPr>
      <c:txPr>
        <a:bodyPr/>
        <a:lstStyle/>
        <a:p>
          <a:pPr>
            <a:defRPr sz="1000" b="0">
              <a:solidFill>
                <a:srgbClr val="C8C8C8"/>
              </a:solidFill>
              <a:latin typeface="Calibri"/>
            </a:defRPr>
          </a:pPr>
          <a:endParaRPr lang="en-US"/>
        </a:p>
      </c:txPr>
    </c:legend>
    <c:plotVisOnly val="1"/>
    <c:dispBlanksAs val="gap"/>
    <c:showDLblsOverMax val="0"/>
  </c:chart>
  <c:spPr>
    <a:noFill/>
    <a:ln w="19050" cap="flat" cmpd="sng" algn="ctr">
      <a:noFill/>
      <a:prstDash val="solid"/>
      <a:round/>
    </a:ln>
    <a:effectLst/>
    <a:extLst>
      <a:ext uri="{909E8E84-426E-40DD-AFC4-6F175D3DCCD1}">
        <a14:hiddenFill xmlns:a14="http://schemas.microsoft.com/office/drawing/2010/main">
          <a:solidFill>
            <a:srgbClr val="262626"/>
          </a:solidFill>
        </a14:hiddenFill>
      </a:ext>
      <a:ext uri="{91240B29-F687-4F45-9708-019B960494DF}">
        <a14:hiddenLine xmlns:a14="http://schemas.microsoft.com/office/drawing/2010/main" w="19050" cap="flat" cmpd="sng" algn="ctr">
          <a:solidFill>
            <a:srgbClr val="151515"/>
          </a:solidFill>
          <a:prstDash val="solid"/>
          <a:round/>
        </a14:hiddenLine>
      </a:ext>
    </a:extLst>
  </c:spPr>
  <c:txPr>
    <a:bodyPr/>
    <a:lstStyle/>
    <a:p>
      <a:pPr>
        <a:defRPr>
          <a:solidFill>
            <a:srgbClr val="FFFFFF"/>
          </a:solidFill>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c:style val="2"/>
  <c:clrMapOvr bg1="lt1" tx1="dk1" bg2="lt2" tx2="dk2" accent1="accent1" accent2="accent2" accent3="accent3" accent4="accent4" accent5="accent5" accent6="accent6" hlink="hlink" folHlink="folHlink"/>
  <c:chart>
    <c:title>
      <c:tx>
        <c:rich>
          <a:bodyPr/>
          <a:lstStyle/>
          <a:p>
            <a:pPr>
              <a:defRPr sz="1600" b="0" cap="none" baseline="0">
                <a:solidFill>
                  <a:srgbClr val="DCDCDC"/>
                </a:solidFill>
                <a:latin typeface="Calibri"/>
                <a:cs typeface="Arial" pitchFamily="34" charset="0"/>
              </a:defRPr>
            </a:pPr>
            <a:r>
              <a:rPr lang="en-US" sz="1600" b="0" cap="none">
                <a:solidFill>
                  <a:srgbClr val="DCDCDC"/>
                </a:solidFill>
                <a:latin typeface="Calibri"/>
              </a:rPr>
              <a:t>Engagement</a:t>
            </a:r>
            <a:r>
              <a:rPr lang="en-US" sz="1600" b="0" cap="none" baseline="0">
                <a:solidFill>
                  <a:srgbClr val="DCDCDC"/>
                </a:solidFill>
                <a:latin typeface="Calibri"/>
              </a:rPr>
              <a:t> </a:t>
            </a:r>
            <a:r>
              <a:rPr lang="en-US" sz="1600" b="0" cap="none">
                <a:solidFill>
                  <a:srgbClr val="DCDCDC"/>
                </a:solidFill>
                <a:latin typeface="Calibri"/>
              </a:rPr>
              <a:t>and Posts by Day and Time</a:t>
            </a:r>
          </a:p>
        </c:rich>
      </c:tx>
      <c:layout>
        <c:manualLayout>
          <c:xMode val="edge"/>
          <c:yMode val="edge"/>
          <c:x val="5.8219178082191778E-2"/>
          <c:y val="2.7777777777777776E-2"/>
        </c:manualLayout>
      </c:layout>
      <c:overlay val="0"/>
    </c:title>
    <c:autoTitleDeleted val="0"/>
    <c:plotArea>
      <c:layout>
        <c:manualLayout>
          <c:layoutTarget val="inner"/>
          <c:xMode val="edge"/>
          <c:yMode val="edge"/>
          <c:x val="0.12328767123287671"/>
          <c:y val="0.39475850468718809"/>
          <c:w val="0.86083058658365386"/>
          <c:h val="0.5789031937441862"/>
        </c:manualLayout>
      </c:layout>
      <c:areaChart>
        <c:grouping val="stacked"/>
        <c:varyColors val="0"/>
        <c:ser>
          <c:idx val="0"/>
          <c:order val="0"/>
          <c:tx>
            <c:strRef>
              <c:f>Calculations!$B$281</c:f>
              <c:strCache>
                <c:ptCount val="1"/>
                <c:pt idx="0">
                  <c:v>Monday</c:v>
                </c:pt>
              </c:strCache>
            </c:strRef>
          </c:tx>
          <c:spPr>
            <a:gradFill flip="none" rotWithShape="1">
              <a:gsLst>
                <a:gs pos="0">
                  <a:srgbClr val="414141"/>
                </a:gs>
                <a:gs pos="100000">
                  <a:srgbClr val="747474"/>
                </a:gs>
                <a:gs pos="50000">
                  <a:srgbClr val="606060"/>
                </a:gs>
              </a:gsLst>
              <a:lin ang="16200000" scaled="1"/>
              <a:tileRect/>
            </a:gradFill>
            <a:ln w="12700">
              <a:solidFill>
                <a:srgbClr val="747474"/>
              </a:solidFill>
            </a:ln>
          </c:spPr>
          <c:cat>
            <c:numRef>
              <c:f>Calculations!$C$280:$Z$280</c:f>
              <c:numCache>
                <c:formatCode>h:mm</c:formatCode>
                <c:ptCount val="24"/>
                <c:pt idx="0">
                  <c:v>0</c:v>
                </c:pt>
                <c:pt idx="1">
                  <c:v>4.1666666666666664E-2</c:v>
                </c:pt>
                <c:pt idx="2">
                  <c:v>8.3333333333333329E-2</c:v>
                </c:pt>
                <c:pt idx="3">
                  <c:v>0.125</c:v>
                </c:pt>
                <c:pt idx="4">
                  <c:v>0.16666666666666666</c:v>
                </c:pt>
                <c:pt idx="5">
                  <c:v>0.20833333333333331</c:v>
                </c:pt>
                <c:pt idx="6">
                  <c:v>0.24999999999999997</c:v>
                </c:pt>
                <c:pt idx="7">
                  <c:v>0.29166666666666663</c:v>
                </c:pt>
                <c:pt idx="8">
                  <c:v>0.33333333333333331</c:v>
                </c:pt>
                <c:pt idx="9">
                  <c:v>0.375</c:v>
                </c:pt>
                <c:pt idx="10">
                  <c:v>0.41666666666666669</c:v>
                </c:pt>
                <c:pt idx="11">
                  <c:v>0.45833333333333337</c:v>
                </c:pt>
                <c:pt idx="12">
                  <c:v>0.5</c:v>
                </c:pt>
                <c:pt idx="13">
                  <c:v>0.54166666666666663</c:v>
                </c:pt>
                <c:pt idx="14">
                  <c:v>0.58333333333333326</c:v>
                </c:pt>
                <c:pt idx="15">
                  <c:v>0.62499999999999989</c:v>
                </c:pt>
                <c:pt idx="16">
                  <c:v>0.66666666666666652</c:v>
                </c:pt>
                <c:pt idx="17">
                  <c:v>0.70833333333333315</c:v>
                </c:pt>
                <c:pt idx="18">
                  <c:v>0.74999999999999978</c:v>
                </c:pt>
                <c:pt idx="19">
                  <c:v>0.79166666666666641</c:v>
                </c:pt>
                <c:pt idx="20">
                  <c:v>0.83333333333333304</c:v>
                </c:pt>
                <c:pt idx="21">
                  <c:v>0.87499999999999967</c:v>
                </c:pt>
                <c:pt idx="22">
                  <c:v>0.9166666666666663</c:v>
                </c:pt>
                <c:pt idx="23">
                  <c:v>0.95833333333333293</c:v>
                </c:pt>
              </c:numCache>
            </c:numRef>
          </c:cat>
          <c:val>
            <c:numRef>
              <c:f>Calculations!$C$281:$Z$281</c:f>
              <c:numCache>
                <c:formatCode>#,##0</c:formatCode>
                <c:ptCount val="24"/>
                <c:pt idx="0">
                  <c:v>1729</c:v>
                </c:pt>
                <c:pt idx="1">
                  <c:v>5204</c:v>
                </c:pt>
                <c:pt idx="2">
                  <c:v>1355</c:v>
                </c:pt>
                <c:pt idx="3">
                  <c:v>1475</c:v>
                </c:pt>
                <c:pt idx="4">
                  <c:v>3225</c:v>
                </c:pt>
                <c:pt idx="5">
                  <c:v>1557</c:v>
                </c:pt>
                <c:pt idx="6">
                  <c:v>3059</c:v>
                </c:pt>
                <c:pt idx="7">
                  <c:v>1850</c:v>
                </c:pt>
                <c:pt idx="8">
                  <c:v>2107</c:v>
                </c:pt>
                <c:pt idx="9">
                  <c:v>1892</c:v>
                </c:pt>
                <c:pt idx="10">
                  <c:v>1812</c:v>
                </c:pt>
                <c:pt idx="11">
                  <c:v>3711</c:v>
                </c:pt>
                <c:pt idx="12">
                  <c:v>3439</c:v>
                </c:pt>
                <c:pt idx="13">
                  <c:v>2735</c:v>
                </c:pt>
                <c:pt idx="14">
                  <c:v>13140</c:v>
                </c:pt>
                <c:pt idx="15">
                  <c:v>7357</c:v>
                </c:pt>
                <c:pt idx="16">
                  <c:v>1770</c:v>
                </c:pt>
                <c:pt idx="17">
                  <c:v>2007</c:v>
                </c:pt>
                <c:pt idx="18">
                  <c:v>1061</c:v>
                </c:pt>
                <c:pt idx="19">
                  <c:v>1479</c:v>
                </c:pt>
                <c:pt idx="20">
                  <c:v>8695</c:v>
                </c:pt>
                <c:pt idx="21">
                  <c:v>3047</c:v>
                </c:pt>
                <c:pt idx="22">
                  <c:v>2786</c:v>
                </c:pt>
                <c:pt idx="23">
                  <c:v>744</c:v>
                </c:pt>
              </c:numCache>
            </c:numRef>
          </c:val>
          <c:extLst xmlns:prop="http://schemas.openxmlformats.org/officeDocument/2006/custom-properties" xmlns:xs="http://www.w3.org/2001/XMLSchema" xmlns:mc="http://schemas.openxmlformats.org/markup-compatibility/2006" xmlns:WX="http://schemas.microsoft.com/office/word/2003/auxHint" xmlns:properties="http://schemas.openxmlformats.org/officeDocument/2006/extended-properties" xmlns:dc="http://purl.org/dc/elements/1.1/" xmlns:ds="http://schemas.openxmlformats.org/officeDocument/2006/customXml" xmlns:cp="http://schemas.openxmlformats.org/package/2006/metadata/core-properties" xmlns:w15="http://schemas.microsoft.com/office/word/2012/wordml" xmlns:ns40="http://schemas.openxmlformats.org/spreadsheetml/2006/main" xmlns:p="http://schemas.openxmlformats.org/presentationml/2006/main" xmlns:dcterms="http://purl.org/dc/terms/" xmlns:rel="http://schemas.openxmlformats.org/package/2006/relationships" xmlns:pkg="http://schemas.microsoft.com/office/2006/xmlPackage" xmlns:vt="http://schemas.openxmlformats.org/officeDocument/2006/docPropsVTypes" xmlns:xf="http://www.w3.org/2002/xforms" xmlns:w14="http://schemas.microsoft.com/office/word/2010/wordml" xmlns:xsi="http://www.w3.org/2001/XMLSchema-instance" xmlns:aml="http://schemas.microsoft.com/aml/2001/core" xmlns:xe="http://www.w3.org/2001/xml-events" xmlns:ns29="http://schemas.openxmlformats.org/drawingml/2006/lockedCanvas" xmlns:ns28="http://schemas.openxmlformats.org/drawingml/2006/compatibility" xmlns:ns27="http://schemas.openxmlformats.org/officeDocument/2006/bibliography" xmlns:odgm="http://opendope.org/SmartArt/DataHierarchy" xmlns:odi="http://opendope.org/components" xmlns:oda="http://opendope.org/answers" xmlns:odq="http://opendope.org/questions" xmlns:odc="http://opendope.org/conditions" xmlns:odx="http://opendope.org/xpaths" xmlns:ns20="http://schemas.microsoft.com/office/2006/coverPageProps" xmlns:ns18="urn:schemas-microsoft-com:office:powerpoint" xmlns:w10="urn:schemas-microsoft-com:office:word" xmlns:v="urn:schemas-microsoft-com:vml" xmlns:o="urn:schemas-microsoft-com:office:office" xmlns:ns14="urn:schemas-microsoft-com:office:excel" xmlns:dsp="http://schemas.microsoft.com/office/drawing/2008/diagram" xmlns:xdr="http://schemas.openxmlformats.org/drawingml/2006/spreadsheetDrawing" xmlns:pic="http://schemas.openxmlformats.org/drawingml/2006/picture" xmlns:dgm="http://schemas.openxmlformats.org/drawingml/2006/diagram" xmlns:ns9="http://schemas.openxmlformats.org/drawingml/2006/chartDrawing" xmlns:wne="http://schemas.microsoft.com/office/word/2006/wordml" xmlns:ns6="http://schemas.openxmlformats.org/schemaLibrary/2006/main" xmlns:wp="http://schemas.openxmlformats.org/drawingml/2006/wordprocessingDrawing" xmlns:m="http://schemas.openxmlformats.org/officeDocument/2006/math" xmlns:w="http://schemas.openxmlformats.org/wordprocessingml/2006/main">
            <c:ext uri="{C3380CC4-5D6E-409C-BE32-E72D297353CC}">
              <c16:uniqueId xmlns:c16="http://schemas.microsoft.com/office/drawing/2014/chart" xmlns:c16r2="http://schemas.microsoft.com/office/drawing/2015/06/chart" val="{00000000-4165-489A-9D1E-7BF956A81CA1}"/>
            </c:ext>
          </c:extLst>
        </c:ser>
        <c:ser>
          <c:idx val="1"/>
          <c:order val="1"/>
          <c:tx>
            <c:strRef>
              <c:f>Calculations!$B$282</c:f>
              <c:strCache>
                <c:ptCount val="1"/>
                <c:pt idx="0">
                  <c:v>Tuesday</c:v>
                </c:pt>
              </c:strCache>
            </c:strRef>
          </c:tx>
          <c:spPr>
            <a:gradFill flip="none" rotWithShape="1">
              <a:gsLst>
                <a:gs pos="0">
                  <a:srgbClr val="0B2A50"/>
                </a:gs>
                <a:gs pos="100000">
                  <a:srgbClr val="1B4E8C"/>
                </a:gs>
                <a:gs pos="50000">
                  <a:srgbClr val="144075"/>
                </a:gs>
              </a:gsLst>
              <a:lin ang="16200000" scaled="1"/>
              <a:tileRect/>
            </a:gradFill>
            <a:ln w="12700">
              <a:solidFill>
                <a:srgbClr val="1B4E8C"/>
              </a:solidFill>
            </a:ln>
          </c:spPr>
          <c:cat>
            <c:numRef>
              <c:f>Calculations!$C$280:$Z$280</c:f>
              <c:numCache>
                <c:formatCode>h:mm</c:formatCode>
                <c:ptCount val="24"/>
                <c:pt idx="0">
                  <c:v>0</c:v>
                </c:pt>
                <c:pt idx="1">
                  <c:v>4.1666666666666664E-2</c:v>
                </c:pt>
                <c:pt idx="2">
                  <c:v>8.3333333333333329E-2</c:v>
                </c:pt>
                <c:pt idx="3">
                  <c:v>0.125</c:v>
                </c:pt>
                <c:pt idx="4">
                  <c:v>0.16666666666666666</c:v>
                </c:pt>
                <c:pt idx="5">
                  <c:v>0.20833333333333331</c:v>
                </c:pt>
                <c:pt idx="6">
                  <c:v>0.24999999999999997</c:v>
                </c:pt>
                <c:pt idx="7">
                  <c:v>0.29166666666666663</c:v>
                </c:pt>
                <c:pt idx="8">
                  <c:v>0.33333333333333331</c:v>
                </c:pt>
                <c:pt idx="9">
                  <c:v>0.375</c:v>
                </c:pt>
                <c:pt idx="10">
                  <c:v>0.41666666666666669</c:v>
                </c:pt>
                <c:pt idx="11">
                  <c:v>0.45833333333333337</c:v>
                </c:pt>
                <c:pt idx="12">
                  <c:v>0.5</c:v>
                </c:pt>
                <c:pt idx="13">
                  <c:v>0.54166666666666663</c:v>
                </c:pt>
                <c:pt idx="14">
                  <c:v>0.58333333333333326</c:v>
                </c:pt>
                <c:pt idx="15">
                  <c:v>0.62499999999999989</c:v>
                </c:pt>
                <c:pt idx="16">
                  <c:v>0.66666666666666652</c:v>
                </c:pt>
                <c:pt idx="17">
                  <c:v>0.70833333333333315</c:v>
                </c:pt>
                <c:pt idx="18">
                  <c:v>0.74999999999999978</c:v>
                </c:pt>
                <c:pt idx="19">
                  <c:v>0.79166666666666641</c:v>
                </c:pt>
                <c:pt idx="20">
                  <c:v>0.83333333333333304</c:v>
                </c:pt>
                <c:pt idx="21">
                  <c:v>0.87499999999999967</c:v>
                </c:pt>
                <c:pt idx="22">
                  <c:v>0.9166666666666663</c:v>
                </c:pt>
                <c:pt idx="23">
                  <c:v>0.95833333333333293</c:v>
                </c:pt>
              </c:numCache>
            </c:numRef>
          </c:cat>
          <c:val>
            <c:numRef>
              <c:f>Calculations!$C$282:$Z$282</c:f>
              <c:numCache>
                <c:formatCode>#,##0</c:formatCode>
                <c:ptCount val="24"/>
                <c:pt idx="0">
                  <c:v>3666</c:v>
                </c:pt>
                <c:pt idx="1">
                  <c:v>3115</c:v>
                </c:pt>
                <c:pt idx="2">
                  <c:v>9327</c:v>
                </c:pt>
                <c:pt idx="3">
                  <c:v>1912</c:v>
                </c:pt>
                <c:pt idx="4">
                  <c:v>1702</c:v>
                </c:pt>
                <c:pt idx="5">
                  <c:v>1410</c:v>
                </c:pt>
                <c:pt idx="6">
                  <c:v>2256</c:v>
                </c:pt>
                <c:pt idx="7">
                  <c:v>2600</c:v>
                </c:pt>
                <c:pt idx="8">
                  <c:v>2943</c:v>
                </c:pt>
                <c:pt idx="9">
                  <c:v>2741</c:v>
                </c:pt>
                <c:pt idx="10">
                  <c:v>1588</c:v>
                </c:pt>
                <c:pt idx="11">
                  <c:v>8737</c:v>
                </c:pt>
                <c:pt idx="12">
                  <c:v>3881</c:v>
                </c:pt>
                <c:pt idx="13">
                  <c:v>2406</c:v>
                </c:pt>
                <c:pt idx="14">
                  <c:v>16970</c:v>
                </c:pt>
                <c:pt idx="15">
                  <c:v>8381</c:v>
                </c:pt>
                <c:pt idx="16">
                  <c:v>3227</c:v>
                </c:pt>
                <c:pt idx="17">
                  <c:v>1842</c:v>
                </c:pt>
                <c:pt idx="18">
                  <c:v>2199</c:v>
                </c:pt>
                <c:pt idx="19">
                  <c:v>3822</c:v>
                </c:pt>
                <c:pt idx="20">
                  <c:v>1239</c:v>
                </c:pt>
                <c:pt idx="21">
                  <c:v>1140</c:v>
                </c:pt>
                <c:pt idx="22">
                  <c:v>5432</c:v>
                </c:pt>
                <c:pt idx="23">
                  <c:v>1372</c:v>
                </c:pt>
              </c:numCache>
            </c:numRef>
          </c:val>
          <c:extLst xmlns:prop="http://schemas.openxmlformats.org/officeDocument/2006/custom-properties" xmlns:xs="http://www.w3.org/2001/XMLSchema" xmlns:mc="http://schemas.openxmlformats.org/markup-compatibility/2006" xmlns:WX="http://schemas.microsoft.com/office/word/2003/auxHint" xmlns:properties="http://schemas.openxmlformats.org/officeDocument/2006/extended-properties" xmlns:dc="http://purl.org/dc/elements/1.1/" xmlns:ds="http://schemas.openxmlformats.org/officeDocument/2006/customXml" xmlns:cp="http://schemas.openxmlformats.org/package/2006/metadata/core-properties" xmlns:w15="http://schemas.microsoft.com/office/word/2012/wordml" xmlns:ns40="http://schemas.openxmlformats.org/spreadsheetml/2006/main" xmlns:p="http://schemas.openxmlformats.org/presentationml/2006/main" xmlns:dcterms="http://purl.org/dc/terms/" xmlns:rel="http://schemas.openxmlformats.org/package/2006/relationships" xmlns:pkg="http://schemas.microsoft.com/office/2006/xmlPackage" xmlns:vt="http://schemas.openxmlformats.org/officeDocument/2006/docPropsVTypes" xmlns:xf="http://www.w3.org/2002/xforms" xmlns:w14="http://schemas.microsoft.com/office/word/2010/wordml" xmlns:xsi="http://www.w3.org/2001/XMLSchema-instance" xmlns:aml="http://schemas.microsoft.com/aml/2001/core" xmlns:xe="http://www.w3.org/2001/xml-events" xmlns:ns29="http://schemas.openxmlformats.org/drawingml/2006/lockedCanvas" xmlns:ns28="http://schemas.openxmlformats.org/drawingml/2006/compatibility" xmlns:ns27="http://schemas.openxmlformats.org/officeDocument/2006/bibliography" xmlns:odgm="http://opendope.org/SmartArt/DataHierarchy" xmlns:odi="http://opendope.org/components" xmlns:oda="http://opendope.org/answers" xmlns:odq="http://opendope.org/questions" xmlns:odc="http://opendope.org/conditions" xmlns:odx="http://opendope.org/xpaths" xmlns:ns20="http://schemas.microsoft.com/office/2006/coverPageProps" xmlns:ns18="urn:schemas-microsoft-com:office:powerpoint" xmlns:w10="urn:schemas-microsoft-com:office:word" xmlns:v="urn:schemas-microsoft-com:vml" xmlns:o="urn:schemas-microsoft-com:office:office" xmlns:ns14="urn:schemas-microsoft-com:office:excel" xmlns:dsp="http://schemas.microsoft.com/office/drawing/2008/diagram" xmlns:xdr="http://schemas.openxmlformats.org/drawingml/2006/spreadsheetDrawing" xmlns:pic="http://schemas.openxmlformats.org/drawingml/2006/picture" xmlns:dgm="http://schemas.openxmlformats.org/drawingml/2006/diagram" xmlns:ns9="http://schemas.openxmlformats.org/drawingml/2006/chartDrawing" xmlns:wne="http://schemas.microsoft.com/office/word/2006/wordml" xmlns:ns6="http://schemas.openxmlformats.org/schemaLibrary/2006/main" xmlns:wp="http://schemas.openxmlformats.org/drawingml/2006/wordprocessingDrawing" xmlns:m="http://schemas.openxmlformats.org/officeDocument/2006/math" xmlns:w="http://schemas.openxmlformats.org/wordprocessingml/2006/main">
            <c:ext uri="{C3380CC4-5D6E-409C-BE32-E72D297353CC}">
              <c16:uniqueId xmlns:c16="http://schemas.microsoft.com/office/drawing/2014/chart" xmlns:c16r2="http://schemas.microsoft.com/office/drawing/2015/06/chart" val="{00000001-4165-489A-9D1E-7BF956A81CA1}"/>
            </c:ext>
          </c:extLst>
        </c:ser>
        <c:ser>
          <c:idx val="2"/>
          <c:order val="2"/>
          <c:tx>
            <c:strRef>
              <c:f>Calculations!$B$283</c:f>
              <c:strCache>
                <c:ptCount val="1"/>
                <c:pt idx="0">
                  <c:v>Wednesday</c:v>
                </c:pt>
              </c:strCache>
            </c:strRef>
          </c:tx>
          <c:spPr>
            <a:gradFill flip="none" rotWithShape="1">
              <a:gsLst>
                <a:gs pos="0">
                  <a:srgbClr val="184479"/>
                </a:gs>
                <a:gs pos="100000">
                  <a:srgbClr val="3B7AC6"/>
                </a:gs>
                <a:gs pos="50000">
                  <a:srgbClr val="2765AF"/>
                </a:gs>
              </a:gsLst>
              <a:lin ang="16200000" scaled="1"/>
              <a:tileRect/>
            </a:gradFill>
            <a:ln w="12700">
              <a:solidFill>
                <a:srgbClr val="3B7AC6"/>
              </a:solidFill>
            </a:ln>
          </c:spPr>
          <c:cat>
            <c:numRef>
              <c:f>Calculations!$C$280:$Z$280</c:f>
              <c:numCache>
                <c:formatCode>h:mm</c:formatCode>
                <c:ptCount val="24"/>
                <c:pt idx="0">
                  <c:v>0</c:v>
                </c:pt>
                <c:pt idx="1">
                  <c:v>4.1666666666666664E-2</c:v>
                </c:pt>
                <c:pt idx="2">
                  <c:v>8.3333333333333329E-2</c:v>
                </c:pt>
                <c:pt idx="3">
                  <c:v>0.125</c:v>
                </c:pt>
                <c:pt idx="4">
                  <c:v>0.16666666666666666</c:v>
                </c:pt>
                <c:pt idx="5">
                  <c:v>0.20833333333333331</c:v>
                </c:pt>
                <c:pt idx="6">
                  <c:v>0.24999999999999997</c:v>
                </c:pt>
                <c:pt idx="7">
                  <c:v>0.29166666666666663</c:v>
                </c:pt>
                <c:pt idx="8">
                  <c:v>0.33333333333333331</c:v>
                </c:pt>
                <c:pt idx="9">
                  <c:v>0.375</c:v>
                </c:pt>
                <c:pt idx="10">
                  <c:v>0.41666666666666669</c:v>
                </c:pt>
                <c:pt idx="11">
                  <c:v>0.45833333333333337</c:v>
                </c:pt>
                <c:pt idx="12">
                  <c:v>0.5</c:v>
                </c:pt>
                <c:pt idx="13">
                  <c:v>0.54166666666666663</c:v>
                </c:pt>
                <c:pt idx="14">
                  <c:v>0.58333333333333326</c:v>
                </c:pt>
                <c:pt idx="15">
                  <c:v>0.62499999999999989</c:v>
                </c:pt>
                <c:pt idx="16">
                  <c:v>0.66666666666666652</c:v>
                </c:pt>
                <c:pt idx="17">
                  <c:v>0.70833333333333315</c:v>
                </c:pt>
                <c:pt idx="18">
                  <c:v>0.74999999999999978</c:v>
                </c:pt>
                <c:pt idx="19">
                  <c:v>0.79166666666666641</c:v>
                </c:pt>
                <c:pt idx="20">
                  <c:v>0.83333333333333304</c:v>
                </c:pt>
                <c:pt idx="21">
                  <c:v>0.87499999999999967</c:v>
                </c:pt>
                <c:pt idx="22">
                  <c:v>0.9166666666666663</c:v>
                </c:pt>
                <c:pt idx="23">
                  <c:v>0.95833333333333293</c:v>
                </c:pt>
              </c:numCache>
            </c:numRef>
          </c:cat>
          <c:val>
            <c:numRef>
              <c:f>Calculations!$C$283:$Z$283</c:f>
              <c:numCache>
                <c:formatCode>#,##0</c:formatCode>
                <c:ptCount val="24"/>
                <c:pt idx="0">
                  <c:v>1012</c:v>
                </c:pt>
                <c:pt idx="1">
                  <c:v>1234</c:v>
                </c:pt>
                <c:pt idx="2">
                  <c:v>2057</c:v>
                </c:pt>
                <c:pt idx="3">
                  <c:v>3057</c:v>
                </c:pt>
                <c:pt idx="4">
                  <c:v>2000</c:v>
                </c:pt>
                <c:pt idx="5">
                  <c:v>2058</c:v>
                </c:pt>
                <c:pt idx="6">
                  <c:v>2915</c:v>
                </c:pt>
                <c:pt idx="7">
                  <c:v>5318</c:v>
                </c:pt>
                <c:pt idx="8">
                  <c:v>6090</c:v>
                </c:pt>
                <c:pt idx="9">
                  <c:v>4063</c:v>
                </c:pt>
                <c:pt idx="10">
                  <c:v>5164</c:v>
                </c:pt>
                <c:pt idx="11">
                  <c:v>2924</c:v>
                </c:pt>
                <c:pt idx="12">
                  <c:v>3266</c:v>
                </c:pt>
                <c:pt idx="13">
                  <c:v>3116</c:v>
                </c:pt>
                <c:pt idx="14">
                  <c:v>8733</c:v>
                </c:pt>
                <c:pt idx="15">
                  <c:v>8985</c:v>
                </c:pt>
                <c:pt idx="16">
                  <c:v>16024</c:v>
                </c:pt>
                <c:pt idx="17">
                  <c:v>15748</c:v>
                </c:pt>
                <c:pt idx="18">
                  <c:v>2306</c:v>
                </c:pt>
                <c:pt idx="19">
                  <c:v>4439</c:v>
                </c:pt>
                <c:pt idx="20">
                  <c:v>2308</c:v>
                </c:pt>
                <c:pt idx="21">
                  <c:v>3812</c:v>
                </c:pt>
                <c:pt idx="22">
                  <c:v>1351</c:v>
                </c:pt>
                <c:pt idx="23">
                  <c:v>4760</c:v>
                </c:pt>
              </c:numCache>
            </c:numRef>
          </c:val>
          <c:extLst xmlns:prop="http://schemas.openxmlformats.org/officeDocument/2006/custom-properties" xmlns:xs="http://www.w3.org/2001/XMLSchema" xmlns:mc="http://schemas.openxmlformats.org/markup-compatibility/2006" xmlns:WX="http://schemas.microsoft.com/office/word/2003/auxHint" xmlns:properties="http://schemas.openxmlformats.org/officeDocument/2006/extended-properties" xmlns:dc="http://purl.org/dc/elements/1.1/" xmlns:ds="http://schemas.openxmlformats.org/officeDocument/2006/customXml" xmlns:cp="http://schemas.openxmlformats.org/package/2006/metadata/core-properties" xmlns:w15="http://schemas.microsoft.com/office/word/2012/wordml" xmlns:ns40="http://schemas.openxmlformats.org/spreadsheetml/2006/main" xmlns:p="http://schemas.openxmlformats.org/presentationml/2006/main" xmlns:dcterms="http://purl.org/dc/terms/" xmlns:rel="http://schemas.openxmlformats.org/package/2006/relationships" xmlns:pkg="http://schemas.microsoft.com/office/2006/xmlPackage" xmlns:vt="http://schemas.openxmlformats.org/officeDocument/2006/docPropsVTypes" xmlns:xf="http://www.w3.org/2002/xforms" xmlns:w14="http://schemas.microsoft.com/office/word/2010/wordml" xmlns:xsi="http://www.w3.org/2001/XMLSchema-instance" xmlns:aml="http://schemas.microsoft.com/aml/2001/core" xmlns:xe="http://www.w3.org/2001/xml-events" xmlns:ns29="http://schemas.openxmlformats.org/drawingml/2006/lockedCanvas" xmlns:ns28="http://schemas.openxmlformats.org/drawingml/2006/compatibility" xmlns:ns27="http://schemas.openxmlformats.org/officeDocument/2006/bibliography" xmlns:odgm="http://opendope.org/SmartArt/DataHierarchy" xmlns:odi="http://opendope.org/components" xmlns:oda="http://opendope.org/answers" xmlns:odq="http://opendope.org/questions" xmlns:odc="http://opendope.org/conditions" xmlns:odx="http://opendope.org/xpaths" xmlns:ns20="http://schemas.microsoft.com/office/2006/coverPageProps" xmlns:ns18="urn:schemas-microsoft-com:office:powerpoint" xmlns:w10="urn:schemas-microsoft-com:office:word" xmlns:v="urn:schemas-microsoft-com:vml" xmlns:o="urn:schemas-microsoft-com:office:office" xmlns:ns14="urn:schemas-microsoft-com:office:excel" xmlns:dsp="http://schemas.microsoft.com/office/drawing/2008/diagram" xmlns:xdr="http://schemas.openxmlformats.org/drawingml/2006/spreadsheetDrawing" xmlns:pic="http://schemas.openxmlformats.org/drawingml/2006/picture" xmlns:dgm="http://schemas.openxmlformats.org/drawingml/2006/diagram" xmlns:ns9="http://schemas.openxmlformats.org/drawingml/2006/chartDrawing" xmlns:wne="http://schemas.microsoft.com/office/word/2006/wordml" xmlns:ns6="http://schemas.openxmlformats.org/schemaLibrary/2006/main" xmlns:wp="http://schemas.openxmlformats.org/drawingml/2006/wordprocessingDrawing" xmlns:m="http://schemas.openxmlformats.org/officeDocument/2006/math" xmlns:w="http://schemas.openxmlformats.org/wordprocessingml/2006/main">
            <c:ext uri="{C3380CC4-5D6E-409C-BE32-E72D297353CC}">
              <c16:uniqueId xmlns:c16="http://schemas.microsoft.com/office/drawing/2014/chart" xmlns:c16r2="http://schemas.microsoft.com/office/drawing/2015/06/chart" val="{00000002-4165-489A-9D1E-7BF956A81CA1}"/>
            </c:ext>
          </c:extLst>
        </c:ser>
        <c:ser>
          <c:idx val="3"/>
          <c:order val="3"/>
          <c:tx>
            <c:strRef>
              <c:f>Calculations!$B$284</c:f>
              <c:strCache>
                <c:ptCount val="1"/>
                <c:pt idx="0">
                  <c:v>Thursday</c:v>
                </c:pt>
              </c:strCache>
            </c:strRef>
          </c:tx>
          <c:spPr>
            <a:gradFill flip="none" rotWithShape="1">
              <a:gsLst>
                <a:gs pos="0">
                  <a:srgbClr val="3F1260"/>
                </a:gs>
                <a:gs pos="100000">
                  <a:srgbClr val="7128A8"/>
                </a:gs>
                <a:gs pos="50000">
                  <a:srgbClr val="5E1F8D"/>
                </a:gs>
              </a:gsLst>
              <a:lin ang="16200000" scaled="1"/>
              <a:tileRect/>
            </a:gradFill>
            <a:ln w="12700">
              <a:solidFill>
                <a:srgbClr val="7128A8"/>
              </a:solidFill>
            </a:ln>
          </c:spPr>
          <c:cat>
            <c:numRef>
              <c:f>Calculations!$C$280:$Z$280</c:f>
              <c:numCache>
                <c:formatCode>h:mm</c:formatCode>
                <c:ptCount val="24"/>
                <c:pt idx="0">
                  <c:v>0</c:v>
                </c:pt>
                <c:pt idx="1">
                  <c:v>4.1666666666666664E-2</c:v>
                </c:pt>
                <c:pt idx="2">
                  <c:v>8.3333333333333329E-2</c:v>
                </c:pt>
                <c:pt idx="3">
                  <c:v>0.125</c:v>
                </c:pt>
                <c:pt idx="4">
                  <c:v>0.16666666666666666</c:v>
                </c:pt>
                <c:pt idx="5">
                  <c:v>0.20833333333333331</c:v>
                </c:pt>
                <c:pt idx="6">
                  <c:v>0.24999999999999997</c:v>
                </c:pt>
                <c:pt idx="7">
                  <c:v>0.29166666666666663</c:v>
                </c:pt>
                <c:pt idx="8">
                  <c:v>0.33333333333333331</c:v>
                </c:pt>
                <c:pt idx="9">
                  <c:v>0.375</c:v>
                </c:pt>
                <c:pt idx="10">
                  <c:v>0.41666666666666669</c:v>
                </c:pt>
                <c:pt idx="11">
                  <c:v>0.45833333333333337</c:v>
                </c:pt>
                <c:pt idx="12">
                  <c:v>0.5</c:v>
                </c:pt>
                <c:pt idx="13">
                  <c:v>0.54166666666666663</c:v>
                </c:pt>
                <c:pt idx="14">
                  <c:v>0.58333333333333326</c:v>
                </c:pt>
                <c:pt idx="15">
                  <c:v>0.62499999999999989</c:v>
                </c:pt>
                <c:pt idx="16">
                  <c:v>0.66666666666666652</c:v>
                </c:pt>
                <c:pt idx="17">
                  <c:v>0.70833333333333315</c:v>
                </c:pt>
                <c:pt idx="18">
                  <c:v>0.74999999999999978</c:v>
                </c:pt>
                <c:pt idx="19">
                  <c:v>0.79166666666666641</c:v>
                </c:pt>
                <c:pt idx="20">
                  <c:v>0.83333333333333304</c:v>
                </c:pt>
                <c:pt idx="21">
                  <c:v>0.87499999999999967</c:v>
                </c:pt>
                <c:pt idx="22">
                  <c:v>0.9166666666666663</c:v>
                </c:pt>
                <c:pt idx="23">
                  <c:v>0.95833333333333293</c:v>
                </c:pt>
              </c:numCache>
            </c:numRef>
          </c:cat>
          <c:val>
            <c:numRef>
              <c:f>Calculations!$C$284:$Z$284</c:f>
              <c:numCache>
                <c:formatCode>#,##0</c:formatCode>
                <c:ptCount val="24"/>
                <c:pt idx="0">
                  <c:v>5368</c:v>
                </c:pt>
                <c:pt idx="1">
                  <c:v>1234</c:v>
                </c:pt>
                <c:pt idx="2">
                  <c:v>16840</c:v>
                </c:pt>
                <c:pt idx="3">
                  <c:v>1788</c:v>
                </c:pt>
                <c:pt idx="4">
                  <c:v>1249</c:v>
                </c:pt>
                <c:pt idx="5">
                  <c:v>2174</c:v>
                </c:pt>
                <c:pt idx="6">
                  <c:v>2292</c:v>
                </c:pt>
                <c:pt idx="7">
                  <c:v>1638</c:v>
                </c:pt>
                <c:pt idx="8">
                  <c:v>7121</c:v>
                </c:pt>
                <c:pt idx="9">
                  <c:v>11896</c:v>
                </c:pt>
                <c:pt idx="10">
                  <c:v>2359</c:v>
                </c:pt>
                <c:pt idx="11">
                  <c:v>3091</c:v>
                </c:pt>
                <c:pt idx="12">
                  <c:v>4530</c:v>
                </c:pt>
                <c:pt idx="13">
                  <c:v>2280</c:v>
                </c:pt>
                <c:pt idx="14">
                  <c:v>8460</c:v>
                </c:pt>
                <c:pt idx="15">
                  <c:v>3752</c:v>
                </c:pt>
                <c:pt idx="16">
                  <c:v>4353</c:v>
                </c:pt>
                <c:pt idx="17">
                  <c:v>3758</c:v>
                </c:pt>
                <c:pt idx="18">
                  <c:v>5375</c:v>
                </c:pt>
                <c:pt idx="19">
                  <c:v>2010</c:v>
                </c:pt>
                <c:pt idx="20">
                  <c:v>2453</c:v>
                </c:pt>
                <c:pt idx="21">
                  <c:v>2706</c:v>
                </c:pt>
                <c:pt idx="22">
                  <c:v>1080</c:v>
                </c:pt>
                <c:pt idx="23">
                  <c:v>4187</c:v>
                </c:pt>
              </c:numCache>
            </c:numRef>
          </c:val>
          <c:extLst xmlns:prop="http://schemas.openxmlformats.org/officeDocument/2006/custom-properties" xmlns:xs="http://www.w3.org/2001/XMLSchema" xmlns:mc="http://schemas.openxmlformats.org/markup-compatibility/2006" xmlns:WX="http://schemas.microsoft.com/office/word/2003/auxHint" xmlns:properties="http://schemas.openxmlformats.org/officeDocument/2006/extended-properties" xmlns:dc="http://purl.org/dc/elements/1.1/" xmlns:ds="http://schemas.openxmlformats.org/officeDocument/2006/customXml" xmlns:cp="http://schemas.openxmlformats.org/package/2006/metadata/core-properties" xmlns:w15="http://schemas.microsoft.com/office/word/2012/wordml" xmlns:ns40="http://schemas.openxmlformats.org/spreadsheetml/2006/main" xmlns:p="http://schemas.openxmlformats.org/presentationml/2006/main" xmlns:dcterms="http://purl.org/dc/terms/" xmlns:rel="http://schemas.openxmlformats.org/package/2006/relationships" xmlns:pkg="http://schemas.microsoft.com/office/2006/xmlPackage" xmlns:vt="http://schemas.openxmlformats.org/officeDocument/2006/docPropsVTypes" xmlns:xf="http://www.w3.org/2002/xforms" xmlns:w14="http://schemas.microsoft.com/office/word/2010/wordml" xmlns:xsi="http://www.w3.org/2001/XMLSchema-instance" xmlns:aml="http://schemas.microsoft.com/aml/2001/core" xmlns:xe="http://www.w3.org/2001/xml-events" xmlns:ns29="http://schemas.openxmlformats.org/drawingml/2006/lockedCanvas" xmlns:ns28="http://schemas.openxmlformats.org/drawingml/2006/compatibility" xmlns:ns27="http://schemas.openxmlformats.org/officeDocument/2006/bibliography" xmlns:odgm="http://opendope.org/SmartArt/DataHierarchy" xmlns:odi="http://opendope.org/components" xmlns:oda="http://opendope.org/answers" xmlns:odq="http://opendope.org/questions" xmlns:odc="http://opendope.org/conditions" xmlns:odx="http://opendope.org/xpaths" xmlns:ns20="http://schemas.microsoft.com/office/2006/coverPageProps" xmlns:ns18="urn:schemas-microsoft-com:office:powerpoint" xmlns:w10="urn:schemas-microsoft-com:office:word" xmlns:v="urn:schemas-microsoft-com:vml" xmlns:o="urn:schemas-microsoft-com:office:office" xmlns:ns14="urn:schemas-microsoft-com:office:excel" xmlns:dsp="http://schemas.microsoft.com/office/drawing/2008/diagram" xmlns:xdr="http://schemas.openxmlformats.org/drawingml/2006/spreadsheetDrawing" xmlns:pic="http://schemas.openxmlformats.org/drawingml/2006/picture" xmlns:dgm="http://schemas.openxmlformats.org/drawingml/2006/diagram" xmlns:ns9="http://schemas.openxmlformats.org/drawingml/2006/chartDrawing" xmlns:wne="http://schemas.microsoft.com/office/word/2006/wordml" xmlns:ns6="http://schemas.openxmlformats.org/schemaLibrary/2006/main" xmlns:wp="http://schemas.openxmlformats.org/drawingml/2006/wordprocessingDrawing" xmlns:m="http://schemas.openxmlformats.org/officeDocument/2006/math" xmlns:w="http://schemas.openxmlformats.org/wordprocessingml/2006/main">
            <c:ext uri="{C3380CC4-5D6E-409C-BE32-E72D297353CC}">
              <c16:uniqueId xmlns:c16="http://schemas.microsoft.com/office/drawing/2014/chart" xmlns:c16r2="http://schemas.microsoft.com/office/drawing/2015/06/chart" val="{00000003-4165-489A-9D1E-7BF956A81CA1}"/>
            </c:ext>
          </c:extLst>
        </c:ser>
        <c:ser>
          <c:idx val="4"/>
          <c:order val="4"/>
          <c:tx>
            <c:strRef>
              <c:f>Calculations!$B$285</c:f>
              <c:strCache>
                <c:ptCount val="1"/>
                <c:pt idx="0">
                  <c:v>Friday</c:v>
                </c:pt>
              </c:strCache>
            </c:strRef>
          </c:tx>
          <c:spPr>
            <a:gradFill flip="none" rotWithShape="1">
              <a:gsLst>
                <a:gs pos="0">
                  <a:srgbClr val="A03500"/>
                </a:gs>
                <a:gs pos="100000">
                  <a:srgbClr val="FF6200"/>
                </a:gs>
                <a:gs pos="50000">
                  <a:srgbClr val="E65100"/>
                </a:gs>
              </a:gsLst>
              <a:lin ang="16200000" scaled="1"/>
              <a:tileRect/>
            </a:gradFill>
            <a:ln w="12700">
              <a:solidFill>
                <a:srgbClr val="FF6200"/>
              </a:solidFill>
            </a:ln>
          </c:spPr>
          <c:cat>
            <c:numRef>
              <c:f>Calculations!$C$280:$Z$280</c:f>
              <c:numCache>
                <c:formatCode>h:mm</c:formatCode>
                <c:ptCount val="24"/>
                <c:pt idx="0">
                  <c:v>0</c:v>
                </c:pt>
                <c:pt idx="1">
                  <c:v>4.1666666666666664E-2</c:v>
                </c:pt>
                <c:pt idx="2">
                  <c:v>8.3333333333333329E-2</c:v>
                </c:pt>
                <c:pt idx="3">
                  <c:v>0.125</c:v>
                </c:pt>
                <c:pt idx="4">
                  <c:v>0.16666666666666666</c:v>
                </c:pt>
                <c:pt idx="5">
                  <c:v>0.20833333333333331</c:v>
                </c:pt>
                <c:pt idx="6">
                  <c:v>0.24999999999999997</c:v>
                </c:pt>
                <c:pt idx="7">
                  <c:v>0.29166666666666663</c:v>
                </c:pt>
                <c:pt idx="8">
                  <c:v>0.33333333333333331</c:v>
                </c:pt>
                <c:pt idx="9">
                  <c:v>0.375</c:v>
                </c:pt>
                <c:pt idx="10">
                  <c:v>0.41666666666666669</c:v>
                </c:pt>
                <c:pt idx="11">
                  <c:v>0.45833333333333337</c:v>
                </c:pt>
                <c:pt idx="12">
                  <c:v>0.5</c:v>
                </c:pt>
                <c:pt idx="13">
                  <c:v>0.54166666666666663</c:v>
                </c:pt>
                <c:pt idx="14">
                  <c:v>0.58333333333333326</c:v>
                </c:pt>
                <c:pt idx="15">
                  <c:v>0.62499999999999989</c:v>
                </c:pt>
                <c:pt idx="16">
                  <c:v>0.66666666666666652</c:v>
                </c:pt>
                <c:pt idx="17">
                  <c:v>0.70833333333333315</c:v>
                </c:pt>
                <c:pt idx="18">
                  <c:v>0.74999999999999978</c:v>
                </c:pt>
                <c:pt idx="19">
                  <c:v>0.79166666666666641</c:v>
                </c:pt>
                <c:pt idx="20">
                  <c:v>0.83333333333333304</c:v>
                </c:pt>
                <c:pt idx="21">
                  <c:v>0.87499999999999967</c:v>
                </c:pt>
                <c:pt idx="22">
                  <c:v>0.9166666666666663</c:v>
                </c:pt>
                <c:pt idx="23">
                  <c:v>0.95833333333333293</c:v>
                </c:pt>
              </c:numCache>
            </c:numRef>
          </c:cat>
          <c:val>
            <c:numRef>
              <c:f>Calculations!$C$285:$Z$285</c:f>
              <c:numCache>
                <c:formatCode>#,##0</c:formatCode>
                <c:ptCount val="24"/>
                <c:pt idx="0">
                  <c:v>2434</c:v>
                </c:pt>
                <c:pt idx="1">
                  <c:v>1212</c:v>
                </c:pt>
                <c:pt idx="2">
                  <c:v>2503</c:v>
                </c:pt>
                <c:pt idx="3">
                  <c:v>1832</c:v>
                </c:pt>
                <c:pt idx="4">
                  <c:v>2775</c:v>
                </c:pt>
                <c:pt idx="5">
                  <c:v>2105</c:v>
                </c:pt>
                <c:pt idx="6">
                  <c:v>3650</c:v>
                </c:pt>
                <c:pt idx="7">
                  <c:v>10002</c:v>
                </c:pt>
                <c:pt idx="8">
                  <c:v>4074</c:v>
                </c:pt>
                <c:pt idx="9">
                  <c:v>2614</c:v>
                </c:pt>
                <c:pt idx="10">
                  <c:v>2650</c:v>
                </c:pt>
                <c:pt idx="11">
                  <c:v>7963</c:v>
                </c:pt>
                <c:pt idx="12">
                  <c:v>7363</c:v>
                </c:pt>
                <c:pt idx="13">
                  <c:v>5090</c:v>
                </c:pt>
                <c:pt idx="14">
                  <c:v>6837</c:v>
                </c:pt>
                <c:pt idx="15">
                  <c:v>4844</c:v>
                </c:pt>
                <c:pt idx="16">
                  <c:v>6555</c:v>
                </c:pt>
                <c:pt idx="17">
                  <c:v>1791</c:v>
                </c:pt>
                <c:pt idx="18">
                  <c:v>4495</c:v>
                </c:pt>
                <c:pt idx="19">
                  <c:v>2587</c:v>
                </c:pt>
                <c:pt idx="20">
                  <c:v>1965</c:v>
                </c:pt>
                <c:pt idx="21">
                  <c:v>2514</c:v>
                </c:pt>
                <c:pt idx="22">
                  <c:v>4901</c:v>
                </c:pt>
                <c:pt idx="23">
                  <c:v>1136</c:v>
                </c:pt>
              </c:numCache>
            </c:numRef>
          </c:val>
          <c:extLst xmlns:prop="http://schemas.openxmlformats.org/officeDocument/2006/custom-properties" xmlns:xs="http://www.w3.org/2001/XMLSchema" xmlns:mc="http://schemas.openxmlformats.org/markup-compatibility/2006" xmlns:WX="http://schemas.microsoft.com/office/word/2003/auxHint" xmlns:properties="http://schemas.openxmlformats.org/officeDocument/2006/extended-properties" xmlns:dc="http://purl.org/dc/elements/1.1/" xmlns:ds="http://schemas.openxmlformats.org/officeDocument/2006/customXml" xmlns:cp="http://schemas.openxmlformats.org/package/2006/metadata/core-properties" xmlns:w15="http://schemas.microsoft.com/office/word/2012/wordml" xmlns:ns40="http://schemas.openxmlformats.org/spreadsheetml/2006/main" xmlns:p="http://schemas.openxmlformats.org/presentationml/2006/main" xmlns:dcterms="http://purl.org/dc/terms/" xmlns:rel="http://schemas.openxmlformats.org/package/2006/relationships" xmlns:pkg="http://schemas.microsoft.com/office/2006/xmlPackage" xmlns:vt="http://schemas.openxmlformats.org/officeDocument/2006/docPropsVTypes" xmlns:xf="http://www.w3.org/2002/xforms" xmlns:w14="http://schemas.microsoft.com/office/word/2010/wordml" xmlns:xsi="http://www.w3.org/2001/XMLSchema-instance" xmlns:aml="http://schemas.microsoft.com/aml/2001/core" xmlns:xe="http://www.w3.org/2001/xml-events" xmlns:ns29="http://schemas.openxmlformats.org/drawingml/2006/lockedCanvas" xmlns:ns28="http://schemas.openxmlformats.org/drawingml/2006/compatibility" xmlns:ns27="http://schemas.openxmlformats.org/officeDocument/2006/bibliography" xmlns:odgm="http://opendope.org/SmartArt/DataHierarchy" xmlns:odi="http://opendope.org/components" xmlns:oda="http://opendope.org/answers" xmlns:odq="http://opendope.org/questions" xmlns:odc="http://opendope.org/conditions" xmlns:odx="http://opendope.org/xpaths" xmlns:ns20="http://schemas.microsoft.com/office/2006/coverPageProps" xmlns:ns18="urn:schemas-microsoft-com:office:powerpoint" xmlns:w10="urn:schemas-microsoft-com:office:word" xmlns:v="urn:schemas-microsoft-com:vml" xmlns:o="urn:schemas-microsoft-com:office:office" xmlns:ns14="urn:schemas-microsoft-com:office:excel" xmlns:dsp="http://schemas.microsoft.com/office/drawing/2008/diagram" xmlns:xdr="http://schemas.openxmlformats.org/drawingml/2006/spreadsheetDrawing" xmlns:pic="http://schemas.openxmlformats.org/drawingml/2006/picture" xmlns:dgm="http://schemas.openxmlformats.org/drawingml/2006/diagram" xmlns:ns9="http://schemas.openxmlformats.org/drawingml/2006/chartDrawing" xmlns:wne="http://schemas.microsoft.com/office/word/2006/wordml" xmlns:ns6="http://schemas.openxmlformats.org/schemaLibrary/2006/main" xmlns:wp="http://schemas.openxmlformats.org/drawingml/2006/wordprocessingDrawing" xmlns:m="http://schemas.openxmlformats.org/officeDocument/2006/math" xmlns:w="http://schemas.openxmlformats.org/wordprocessingml/2006/main">
            <c:ext uri="{C3380CC4-5D6E-409C-BE32-E72D297353CC}">
              <c16:uniqueId xmlns:c16="http://schemas.microsoft.com/office/drawing/2014/chart" xmlns:c16r2="http://schemas.microsoft.com/office/drawing/2015/06/chart" val="{00000004-4165-489A-9D1E-7BF956A81CA1}"/>
            </c:ext>
          </c:extLst>
        </c:ser>
        <c:ser>
          <c:idx val="5"/>
          <c:order val="5"/>
          <c:tx>
            <c:strRef>
              <c:f>Calculations!$B$286</c:f>
              <c:strCache>
                <c:ptCount val="1"/>
                <c:pt idx="0">
                  <c:v>Saturday</c:v>
                </c:pt>
              </c:strCache>
            </c:strRef>
          </c:tx>
          <c:spPr>
            <a:gradFill flip="none" rotWithShape="1">
              <a:gsLst>
                <a:gs pos="0">
                  <a:srgbClr val="620014"/>
                </a:gs>
                <a:gs pos="100000">
                  <a:srgbClr val="AC082B"/>
                </a:gs>
                <a:gs pos="50000">
                  <a:srgbClr val="900522"/>
                </a:gs>
              </a:gsLst>
              <a:lin ang="16200000" scaled="1"/>
              <a:tileRect/>
            </a:gradFill>
            <a:ln w="12700">
              <a:solidFill>
                <a:srgbClr val="AC082B"/>
              </a:solidFill>
            </a:ln>
          </c:spPr>
          <c:cat>
            <c:numRef>
              <c:f>Calculations!$C$280:$Z$280</c:f>
              <c:numCache>
                <c:formatCode>h:mm</c:formatCode>
                <c:ptCount val="24"/>
                <c:pt idx="0">
                  <c:v>0</c:v>
                </c:pt>
                <c:pt idx="1">
                  <c:v>4.1666666666666664E-2</c:v>
                </c:pt>
                <c:pt idx="2">
                  <c:v>8.3333333333333329E-2</c:v>
                </c:pt>
                <c:pt idx="3">
                  <c:v>0.125</c:v>
                </c:pt>
                <c:pt idx="4">
                  <c:v>0.16666666666666666</c:v>
                </c:pt>
                <c:pt idx="5">
                  <c:v>0.20833333333333331</c:v>
                </c:pt>
                <c:pt idx="6">
                  <c:v>0.24999999999999997</c:v>
                </c:pt>
                <c:pt idx="7">
                  <c:v>0.29166666666666663</c:v>
                </c:pt>
                <c:pt idx="8">
                  <c:v>0.33333333333333331</c:v>
                </c:pt>
                <c:pt idx="9">
                  <c:v>0.375</c:v>
                </c:pt>
                <c:pt idx="10">
                  <c:v>0.41666666666666669</c:v>
                </c:pt>
                <c:pt idx="11">
                  <c:v>0.45833333333333337</c:v>
                </c:pt>
                <c:pt idx="12">
                  <c:v>0.5</c:v>
                </c:pt>
                <c:pt idx="13">
                  <c:v>0.54166666666666663</c:v>
                </c:pt>
                <c:pt idx="14">
                  <c:v>0.58333333333333326</c:v>
                </c:pt>
                <c:pt idx="15">
                  <c:v>0.62499999999999989</c:v>
                </c:pt>
                <c:pt idx="16">
                  <c:v>0.66666666666666652</c:v>
                </c:pt>
                <c:pt idx="17">
                  <c:v>0.70833333333333315</c:v>
                </c:pt>
                <c:pt idx="18">
                  <c:v>0.74999999999999978</c:v>
                </c:pt>
                <c:pt idx="19">
                  <c:v>0.79166666666666641</c:v>
                </c:pt>
                <c:pt idx="20">
                  <c:v>0.83333333333333304</c:v>
                </c:pt>
                <c:pt idx="21">
                  <c:v>0.87499999999999967</c:v>
                </c:pt>
                <c:pt idx="22">
                  <c:v>0.9166666666666663</c:v>
                </c:pt>
                <c:pt idx="23">
                  <c:v>0.95833333333333293</c:v>
                </c:pt>
              </c:numCache>
            </c:numRef>
          </c:cat>
          <c:val>
            <c:numRef>
              <c:f>Calculations!$C$286:$Z$286</c:f>
              <c:numCache>
                <c:formatCode>#,##0</c:formatCode>
                <c:ptCount val="24"/>
                <c:pt idx="0">
                  <c:v>1314</c:v>
                </c:pt>
                <c:pt idx="1">
                  <c:v>1554</c:v>
                </c:pt>
                <c:pt idx="2">
                  <c:v>1041</c:v>
                </c:pt>
                <c:pt idx="3">
                  <c:v>3062</c:v>
                </c:pt>
                <c:pt idx="4">
                  <c:v>1158</c:v>
                </c:pt>
                <c:pt idx="5">
                  <c:v>6446</c:v>
                </c:pt>
                <c:pt idx="6">
                  <c:v>2152</c:v>
                </c:pt>
                <c:pt idx="7">
                  <c:v>9004</c:v>
                </c:pt>
                <c:pt idx="8">
                  <c:v>2740</c:v>
                </c:pt>
                <c:pt idx="9">
                  <c:v>11345</c:v>
                </c:pt>
                <c:pt idx="10">
                  <c:v>1819</c:v>
                </c:pt>
                <c:pt idx="11">
                  <c:v>19074</c:v>
                </c:pt>
                <c:pt idx="12">
                  <c:v>6128</c:v>
                </c:pt>
                <c:pt idx="13">
                  <c:v>2494</c:v>
                </c:pt>
                <c:pt idx="14">
                  <c:v>4285</c:v>
                </c:pt>
                <c:pt idx="15">
                  <c:v>1383</c:v>
                </c:pt>
                <c:pt idx="16">
                  <c:v>5086</c:v>
                </c:pt>
                <c:pt idx="17">
                  <c:v>5102</c:v>
                </c:pt>
                <c:pt idx="18">
                  <c:v>2622</c:v>
                </c:pt>
                <c:pt idx="19">
                  <c:v>1032</c:v>
                </c:pt>
                <c:pt idx="20">
                  <c:v>1088</c:v>
                </c:pt>
                <c:pt idx="21">
                  <c:v>2576</c:v>
                </c:pt>
                <c:pt idx="22">
                  <c:v>4972</c:v>
                </c:pt>
                <c:pt idx="23">
                  <c:v>9275</c:v>
                </c:pt>
              </c:numCache>
            </c:numRef>
          </c:val>
          <c:extLst xmlns:prop="http://schemas.openxmlformats.org/officeDocument/2006/custom-properties" xmlns:xs="http://www.w3.org/2001/XMLSchema" xmlns:mc="http://schemas.openxmlformats.org/markup-compatibility/2006" xmlns:WX="http://schemas.microsoft.com/office/word/2003/auxHint" xmlns:properties="http://schemas.openxmlformats.org/officeDocument/2006/extended-properties" xmlns:dc="http://purl.org/dc/elements/1.1/" xmlns:ds="http://schemas.openxmlformats.org/officeDocument/2006/customXml" xmlns:cp="http://schemas.openxmlformats.org/package/2006/metadata/core-properties" xmlns:w15="http://schemas.microsoft.com/office/word/2012/wordml" xmlns:ns40="http://schemas.openxmlformats.org/spreadsheetml/2006/main" xmlns:p="http://schemas.openxmlformats.org/presentationml/2006/main" xmlns:dcterms="http://purl.org/dc/terms/" xmlns:rel="http://schemas.openxmlformats.org/package/2006/relationships" xmlns:pkg="http://schemas.microsoft.com/office/2006/xmlPackage" xmlns:vt="http://schemas.openxmlformats.org/officeDocument/2006/docPropsVTypes" xmlns:xf="http://www.w3.org/2002/xforms" xmlns:w14="http://schemas.microsoft.com/office/word/2010/wordml" xmlns:xsi="http://www.w3.org/2001/XMLSchema-instance" xmlns:aml="http://schemas.microsoft.com/aml/2001/core" xmlns:xe="http://www.w3.org/2001/xml-events" xmlns:ns29="http://schemas.openxmlformats.org/drawingml/2006/lockedCanvas" xmlns:ns28="http://schemas.openxmlformats.org/drawingml/2006/compatibility" xmlns:ns27="http://schemas.openxmlformats.org/officeDocument/2006/bibliography" xmlns:odgm="http://opendope.org/SmartArt/DataHierarchy" xmlns:odi="http://opendope.org/components" xmlns:oda="http://opendope.org/answers" xmlns:odq="http://opendope.org/questions" xmlns:odc="http://opendope.org/conditions" xmlns:odx="http://opendope.org/xpaths" xmlns:ns20="http://schemas.microsoft.com/office/2006/coverPageProps" xmlns:ns18="urn:schemas-microsoft-com:office:powerpoint" xmlns:w10="urn:schemas-microsoft-com:office:word" xmlns:v="urn:schemas-microsoft-com:vml" xmlns:o="urn:schemas-microsoft-com:office:office" xmlns:ns14="urn:schemas-microsoft-com:office:excel" xmlns:dsp="http://schemas.microsoft.com/office/drawing/2008/diagram" xmlns:xdr="http://schemas.openxmlformats.org/drawingml/2006/spreadsheetDrawing" xmlns:pic="http://schemas.openxmlformats.org/drawingml/2006/picture" xmlns:dgm="http://schemas.openxmlformats.org/drawingml/2006/diagram" xmlns:ns9="http://schemas.openxmlformats.org/drawingml/2006/chartDrawing" xmlns:wne="http://schemas.microsoft.com/office/word/2006/wordml" xmlns:ns6="http://schemas.openxmlformats.org/schemaLibrary/2006/main" xmlns:wp="http://schemas.openxmlformats.org/drawingml/2006/wordprocessingDrawing" xmlns:m="http://schemas.openxmlformats.org/officeDocument/2006/math" xmlns:w="http://schemas.openxmlformats.org/wordprocessingml/2006/main">
            <c:ext uri="{C3380CC4-5D6E-409C-BE32-E72D297353CC}">
              <c16:uniqueId xmlns:c16="http://schemas.microsoft.com/office/drawing/2014/chart" xmlns:c16r2="http://schemas.microsoft.com/office/drawing/2015/06/chart" val="{00000005-4165-489A-9D1E-7BF956A81CA1}"/>
            </c:ext>
          </c:extLst>
        </c:ser>
        <c:ser>
          <c:idx val="6"/>
          <c:order val="6"/>
          <c:tx>
            <c:strRef>
              <c:f>Calculations!$B$287</c:f>
              <c:strCache>
                <c:ptCount val="1"/>
                <c:pt idx="0">
                  <c:v>Sunday</c:v>
                </c:pt>
              </c:strCache>
            </c:strRef>
          </c:tx>
          <c:spPr>
            <a:gradFill flip="none" rotWithShape="1">
              <a:gsLst>
                <a:gs pos="0">
                  <a:srgbClr val="356994"/>
                </a:gs>
                <a:gs pos="100000">
                  <a:srgbClr val="61B7FD"/>
                </a:gs>
                <a:gs pos="50000">
                  <a:srgbClr val="5099D5"/>
                </a:gs>
              </a:gsLst>
              <a:lin ang="16200000" scaled="1"/>
              <a:tileRect/>
            </a:gradFill>
            <a:ln w="12700">
              <a:solidFill>
                <a:srgbClr val="61B7FD"/>
              </a:solidFill>
            </a:ln>
          </c:spPr>
          <c:cat>
            <c:numRef>
              <c:f>Calculations!$C$280:$Z$280</c:f>
              <c:numCache>
                <c:formatCode>h:mm</c:formatCode>
                <c:ptCount val="24"/>
                <c:pt idx="0">
                  <c:v>0</c:v>
                </c:pt>
                <c:pt idx="1">
                  <c:v>4.1666666666666664E-2</c:v>
                </c:pt>
                <c:pt idx="2">
                  <c:v>8.3333333333333329E-2</c:v>
                </c:pt>
                <c:pt idx="3">
                  <c:v>0.125</c:v>
                </c:pt>
                <c:pt idx="4">
                  <c:v>0.16666666666666666</c:v>
                </c:pt>
                <c:pt idx="5">
                  <c:v>0.20833333333333331</c:v>
                </c:pt>
                <c:pt idx="6">
                  <c:v>0.24999999999999997</c:v>
                </c:pt>
                <c:pt idx="7">
                  <c:v>0.29166666666666663</c:v>
                </c:pt>
                <c:pt idx="8">
                  <c:v>0.33333333333333331</c:v>
                </c:pt>
                <c:pt idx="9">
                  <c:v>0.375</c:v>
                </c:pt>
                <c:pt idx="10">
                  <c:v>0.41666666666666669</c:v>
                </c:pt>
                <c:pt idx="11">
                  <c:v>0.45833333333333337</c:v>
                </c:pt>
                <c:pt idx="12">
                  <c:v>0.5</c:v>
                </c:pt>
                <c:pt idx="13">
                  <c:v>0.54166666666666663</c:v>
                </c:pt>
                <c:pt idx="14">
                  <c:v>0.58333333333333326</c:v>
                </c:pt>
                <c:pt idx="15">
                  <c:v>0.62499999999999989</c:v>
                </c:pt>
                <c:pt idx="16">
                  <c:v>0.66666666666666652</c:v>
                </c:pt>
                <c:pt idx="17">
                  <c:v>0.70833333333333315</c:v>
                </c:pt>
                <c:pt idx="18">
                  <c:v>0.74999999999999978</c:v>
                </c:pt>
                <c:pt idx="19">
                  <c:v>0.79166666666666641</c:v>
                </c:pt>
                <c:pt idx="20">
                  <c:v>0.83333333333333304</c:v>
                </c:pt>
                <c:pt idx="21">
                  <c:v>0.87499999999999967</c:v>
                </c:pt>
                <c:pt idx="22">
                  <c:v>0.9166666666666663</c:v>
                </c:pt>
                <c:pt idx="23">
                  <c:v>0.95833333333333293</c:v>
                </c:pt>
              </c:numCache>
            </c:numRef>
          </c:cat>
          <c:val>
            <c:numRef>
              <c:f>Calculations!$C$287:$Z$287</c:f>
              <c:numCache>
                <c:formatCode>#,##0</c:formatCode>
                <c:ptCount val="24"/>
                <c:pt idx="0">
                  <c:v>842</c:v>
                </c:pt>
                <c:pt idx="1">
                  <c:v>746</c:v>
                </c:pt>
                <c:pt idx="2">
                  <c:v>743</c:v>
                </c:pt>
                <c:pt idx="3">
                  <c:v>3122</c:v>
                </c:pt>
                <c:pt idx="4">
                  <c:v>4258</c:v>
                </c:pt>
                <c:pt idx="5">
                  <c:v>8825</c:v>
                </c:pt>
                <c:pt idx="6">
                  <c:v>1557</c:v>
                </c:pt>
                <c:pt idx="7">
                  <c:v>2493</c:v>
                </c:pt>
                <c:pt idx="8">
                  <c:v>4128</c:v>
                </c:pt>
                <c:pt idx="9">
                  <c:v>5453</c:v>
                </c:pt>
                <c:pt idx="10">
                  <c:v>2238</c:v>
                </c:pt>
                <c:pt idx="11">
                  <c:v>4944</c:v>
                </c:pt>
                <c:pt idx="12">
                  <c:v>5876</c:v>
                </c:pt>
                <c:pt idx="13">
                  <c:v>2400</c:v>
                </c:pt>
                <c:pt idx="14">
                  <c:v>4701</c:v>
                </c:pt>
                <c:pt idx="15">
                  <c:v>3906</c:v>
                </c:pt>
                <c:pt idx="16">
                  <c:v>2663</c:v>
                </c:pt>
                <c:pt idx="17">
                  <c:v>1731</c:v>
                </c:pt>
                <c:pt idx="18">
                  <c:v>1878</c:v>
                </c:pt>
                <c:pt idx="19">
                  <c:v>1291</c:v>
                </c:pt>
                <c:pt idx="20">
                  <c:v>2435</c:v>
                </c:pt>
                <c:pt idx="21">
                  <c:v>1410</c:v>
                </c:pt>
                <c:pt idx="22">
                  <c:v>3728</c:v>
                </c:pt>
                <c:pt idx="23">
                  <c:v>7019</c:v>
                </c:pt>
              </c:numCache>
            </c:numRef>
          </c:val>
          <c:extLst xmlns:prop="http://schemas.openxmlformats.org/officeDocument/2006/custom-properties" xmlns:xs="http://www.w3.org/2001/XMLSchema" xmlns:mc="http://schemas.openxmlformats.org/markup-compatibility/2006" xmlns:WX="http://schemas.microsoft.com/office/word/2003/auxHint" xmlns:properties="http://schemas.openxmlformats.org/officeDocument/2006/extended-properties" xmlns:dc="http://purl.org/dc/elements/1.1/" xmlns:ds="http://schemas.openxmlformats.org/officeDocument/2006/customXml" xmlns:cp="http://schemas.openxmlformats.org/package/2006/metadata/core-properties" xmlns:w15="http://schemas.microsoft.com/office/word/2012/wordml" xmlns:ns40="http://schemas.openxmlformats.org/spreadsheetml/2006/main" xmlns:p="http://schemas.openxmlformats.org/presentationml/2006/main" xmlns:dcterms="http://purl.org/dc/terms/" xmlns:rel="http://schemas.openxmlformats.org/package/2006/relationships" xmlns:pkg="http://schemas.microsoft.com/office/2006/xmlPackage" xmlns:vt="http://schemas.openxmlformats.org/officeDocument/2006/docPropsVTypes" xmlns:xf="http://www.w3.org/2002/xforms" xmlns:w14="http://schemas.microsoft.com/office/word/2010/wordml" xmlns:xsi="http://www.w3.org/2001/XMLSchema-instance" xmlns:aml="http://schemas.microsoft.com/aml/2001/core" xmlns:xe="http://www.w3.org/2001/xml-events" xmlns:ns29="http://schemas.openxmlformats.org/drawingml/2006/lockedCanvas" xmlns:ns28="http://schemas.openxmlformats.org/drawingml/2006/compatibility" xmlns:ns27="http://schemas.openxmlformats.org/officeDocument/2006/bibliography" xmlns:odgm="http://opendope.org/SmartArt/DataHierarchy" xmlns:odi="http://opendope.org/components" xmlns:oda="http://opendope.org/answers" xmlns:odq="http://opendope.org/questions" xmlns:odc="http://opendope.org/conditions" xmlns:odx="http://opendope.org/xpaths" xmlns:ns20="http://schemas.microsoft.com/office/2006/coverPageProps" xmlns:ns18="urn:schemas-microsoft-com:office:powerpoint" xmlns:w10="urn:schemas-microsoft-com:office:word" xmlns:v="urn:schemas-microsoft-com:vml" xmlns:o="urn:schemas-microsoft-com:office:office" xmlns:ns14="urn:schemas-microsoft-com:office:excel" xmlns:dsp="http://schemas.microsoft.com/office/drawing/2008/diagram" xmlns:xdr="http://schemas.openxmlformats.org/drawingml/2006/spreadsheetDrawing" xmlns:pic="http://schemas.openxmlformats.org/drawingml/2006/picture" xmlns:dgm="http://schemas.openxmlformats.org/drawingml/2006/diagram" xmlns:ns9="http://schemas.openxmlformats.org/drawingml/2006/chartDrawing" xmlns:wne="http://schemas.microsoft.com/office/word/2006/wordml" xmlns:ns6="http://schemas.openxmlformats.org/schemaLibrary/2006/main" xmlns:wp="http://schemas.openxmlformats.org/drawingml/2006/wordprocessingDrawing" xmlns:m="http://schemas.openxmlformats.org/officeDocument/2006/math" xmlns:w="http://schemas.openxmlformats.org/wordprocessingml/2006/main">
            <c:ext uri="{C3380CC4-5D6E-409C-BE32-E72D297353CC}">
              <c16:uniqueId xmlns:c16="http://schemas.microsoft.com/office/drawing/2014/chart" xmlns:c16r2="http://schemas.microsoft.com/office/drawing/2015/06/chart" val="{00000006-4165-489A-9D1E-7BF956A81CA1}"/>
            </c:ext>
          </c:extLst>
        </c:ser>
        <c:dLbls>
          <c:showLegendKey val="0"/>
          <c:showVal val="0"/>
          <c:showCatName val="0"/>
          <c:showSerName val="0"/>
          <c:showPercent val="0"/>
          <c:showBubbleSize val="0"/>
        </c:dLbls>
        <c:axId val="336370592"/>
        <c:axId val="336370984"/>
      </c:areaChart>
      <c:catAx>
        <c:axId val="336370592"/>
        <c:scaling>
          <c:orientation val="minMax"/>
        </c:scaling>
        <c:delete val="0"/>
        <c:axPos val="b"/>
        <c:numFmt formatCode="[$-409]h\ AM/PM;@" sourceLinked="0"/>
        <c:majorTickMark val="none"/>
        <c:minorTickMark val="none"/>
        <c:tickLblPos val="none"/>
        <c:spPr>
          <a:noFill/>
          <a:ln>
            <a:solidFill>
              <a:srgbClr val="969696"/>
            </a:solidFill>
          </a:ln>
        </c:spPr>
        <c:txPr>
          <a:bodyPr rot="0" vert="horz"/>
          <a:lstStyle/>
          <a:p>
            <a:pPr>
              <a:defRPr sz="1000" b="0">
                <a:solidFill>
                  <a:srgbClr val="B4B4B4"/>
                </a:solidFill>
                <a:latin typeface="Calibri"/>
                <a:ea typeface="Calibri"/>
                <a:cs typeface="Calibri"/>
              </a:defRPr>
            </a:pPr>
            <a:endParaRPr lang="en-US"/>
          </a:p>
        </c:txPr>
        <c:crossAx val="336370984"/>
        <c:crosses val="autoZero"/>
        <c:auto val="0"/>
        <c:lblAlgn val="ctr"/>
        <c:lblOffset val="50"/>
        <c:tickLblSkip val="3"/>
        <c:tickMarkSkip val="1"/>
        <c:noMultiLvlLbl val="1"/>
      </c:catAx>
      <c:valAx>
        <c:axId val="336370984"/>
        <c:scaling>
          <c:orientation val="minMax"/>
        </c:scaling>
        <c:delete val="0"/>
        <c:axPos val="l"/>
        <c:title>
          <c:tx>
            <c:rich>
              <a:bodyPr rot="-5400000" vert="horz"/>
              <a:lstStyle/>
              <a:p>
                <a:pPr>
                  <a:defRPr sz="1000" b="0">
                    <a:solidFill>
                      <a:srgbClr val="B4B4B4"/>
                    </a:solidFill>
                    <a:latin typeface="Calibri"/>
                    <a:ea typeface="Calibri"/>
                    <a:cs typeface="Calibri"/>
                  </a:defRPr>
                </a:pPr>
                <a:r>
                  <a:rPr lang="en-US"/>
                  <a:t>Engagement</a:t>
                </a:r>
              </a:p>
            </c:rich>
          </c:tx>
          <c:layout>
            <c:manualLayout>
              <c:xMode val="edge"/>
              <c:yMode val="edge"/>
              <c:x val="1.540617607984187E-2"/>
              <c:y val="0.49228939510425651"/>
            </c:manualLayout>
          </c:layout>
          <c:overlay val="0"/>
        </c:title>
        <c:numFmt formatCode="[&gt;=1000000].0,,&quot;M&quot;;[&gt;=1000].0,&quot;K&quot;;#,##0" sourceLinked="0"/>
        <c:majorTickMark val="out"/>
        <c:minorTickMark val="none"/>
        <c:tickLblPos val="nextTo"/>
        <c:spPr>
          <a:ln>
            <a:solidFill>
              <a:srgbClr val="969696"/>
            </a:solidFill>
          </a:ln>
        </c:spPr>
        <c:txPr>
          <a:bodyPr/>
          <a:lstStyle/>
          <a:p>
            <a:pPr>
              <a:defRPr sz="800" b="0">
                <a:solidFill>
                  <a:srgbClr val="A0A0A0"/>
                </a:solidFill>
                <a:latin typeface="Calibri"/>
                <a:ea typeface="Calibri"/>
                <a:cs typeface="Calibri"/>
              </a:defRPr>
            </a:pPr>
            <a:endParaRPr lang="en-US"/>
          </a:p>
        </c:txPr>
        <c:crossAx val="336370592"/>
        <c:crosses val="autoZero"/>
        <c:crossBetween val="midCat"/>
      </c:valAx>
      <c:spPr>
        <a:gradFill flip="none" rotWithShape="1">
          <a:gsLst>
            <a:gs pos="0">
              <a:srgbClr val="262626"/>
            </a:gs>
            <a:gs pos="60000">
              <a:srgbClr val="151515"/>
            </a:gs>
          </a:gsLst>
          <a:lin ang="5400000" scaled="1"/>
          <a:tileRect/>
        </a:gradFill>
        <a:ln w="12700">
          <a:solidFill>
            <a:srgbClr val="262626"/>
          </a:solidFill>
        </a:ln>
      </c:spPr>
    </c:plotArea>
    <c:legend>
      <c:legendPos val="t"/>
      <c:layout>
        <c:manualLayout>
          <c:xMode val="edge"/>
          <c:yMode val="edge"/>
          <c:x val="0.11844277096176932"/>
          <c:y val="0.1672266373301505"/>
          <c:w val="0.86567554782396394"/>
          <c:h val="0.12946578373947135"/>
        </c:manualLayout>
      </c:layout>
      <c:overlay val="0"/>
      <c:spPr>
        <a:gradFill flip="none" rotWithShape="1">
          <a:gsLst>
            <a:gs pos="0">
              <a:srgbClr val="151515"/>
            </a:gs>
            <a:gs pos="100000">
              <a:srgbClr val="404040"/>
            </a:gs>
            <a:gs pos="3000">
              <a:srgbClr val="151515"/>
            </a:gs>
            <a:gs pos="4000">
              <a:srgbClr val="404040"/>
            </a:gs>
            <a:gs pos="7000">
              <a:srgbClr val="404040"/>
            </a:gs>
            <a:gs pos="8000">
              <a:srgbClr val="262626"/>
            </a:gs>
            <a:gs pos="92000">
              <a:srgbClr val="262626"/>
            </a:gs>
            <a:gs pos="93000">
              <a:srgbClr val="151515"/>
            </a:gs>
            <a:gs pos="96000">
              <a:srgbClr val="151515"/>
            </a:gs>
            <a:gs pos="97000">
              <a:srgbClr val="404040"/>
            </a:gs>
          </a:gsLst>
          <a:lin ang="5400000" scaled="1"/>
          <a:tileRect/>
        </a:gradFill>
      </c:spPr>
      <c:txPr>
        <a:bodyPr/>
        <a:lstStyle/>
        <a:p>
          <a:pPr>
            <a:defRPr sz="1000" b="0">
              <a:solidFill>
                <a:srgbClr val="C8C8C8"/>
              </a:solidFill>
              <a:latin typeface="Calibri"/>
            </a:defRPr>
          </a:pPr>
          <a:endParaRPr lang="en-US"/>
        </a:p>
      </c:txPr>
    </c:legend>
    <c:plotVisOnly val="1"/>
    <c:dispBlanksAs val="gap"/>
    <c:showDLblsOverMax val="0"/>
  </c:chart>
  <c:spPr>
    <a:noFill/>
    <a:ln w="2540">
      <a:noFill/>
    </a:ln>
  </c:spPr>
  <c:txPr>
    <a:bodyPr/>
    <a:lstStyle/>
    <a:p>
      <a:pPr>
        <a:defRPr>
          <a:solidFill>
            <a:srgbClr val="FFFFFF"/>
          </a:solidFill>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c:style val="2"/>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2328767123287671"/>
          <c:y val="0.13191279661470887"/>
          <c:w val="0.86083058658365386"/>
          <c:h val="0.52448158265931044"/>
        </c:manualLayout>
      </c:layout>
      <c:barChart>
        <c:barDir val="col"/>
        <c:grouping val="stacked"/>
        <c:varyColors val="0"/>
        <c:ser>
          <c:idx val="0"/>
          <c:order val="0"/>
          <c:tx>
            <c:strRef>
              <c:f>Calculations!$B$296</c:f>
              <c:strCache>
                <c:ptCount val="1"/>
                <c:pt idx="0">
                  <c:v>Monday</c:v>
                </c:pt>
              </c:strCache>
            </c:strRef>
          </c:tx>
          <c:spPr>
            <a:gradFill flip="none" rotWithShape="1">
              <a:gsLst>
                <a:gs pos="0">
                  <a:srgbClr val="414141"/>
                </a:gs>
                <a:gs pos="100000">
                  <a:srgbClr val="747474"/>
                </a:gs>
                <a:gs pos="50000">
                  <a:srgbClr val="606060"/>
                </a:gs>
              </a:gsLst>
              <a:lin ang="0" scaled="1"/>
              <a:tileRect/>
            </a:gradFill>
            <a:ln w="12700">
              <a:solidFill>
                <a:srgbClr val="747474"/>
              </a:solidFill>
            </a:ln>
          </c:spPr>
          <c:invertIfNegative val="0"/>
          <c:cat>
            <c:numRef>
              <c:f>Calculations!$C$295:$Z$295</c:f>
              <c:numCache>
                <c:formatCode>h:mm</c:formatCode>
                <c:ptCount val="24"/>
                <c:pt idx="0">
                  <c:v>0</c:v>
                </c:pt>
                <c:pt idx="1">
                  <c:v>4.1666666666666664E-2</c:v>
                </c:pt>
                <c:pt idx="2">
                  <c:v>8.3333333333333329E-2</c:v>
                </c:pt>
                <c:pt idx="3">
                  <c:v>0.125</c:v>
                </c:pt>
                <c:pt idx="4">
                  <c:v>0.16666666666666666</c:v>
                </c:pt>
                <c:pt idx="5">
                  <c:v>0.20833333333333331</c:v>
                </c:pt>
                <c:pt idx="6">
                  <c:v>0.24999999999999997</c:v>
                </c:pt>
                <c:pt idx="7">
                  <c:v>0.29166666666666663</c:v>
                </c:pt>
                <c:pt idx="8">
                  <c:v>0.33333333333333331</c:v>
                </c:pt>
                <c:pt idx="9">
                  <c:v>0.375</c:v>
                </c:pt>
                <c:pt idx="10">
                  <c:v>0.41666666666666669</c:v>
                </c:pt>
                <c:pt idx="11">
                  <c:v>0.45833333333333337</c:v>
                </c:pt>
                <c:pt idx="12">
                  <c:v>0.5</c:v>
                </c:pt>
                <c:pt idx="13">
                  <c:v>0.54166666666666663</c:v>
                </c:pt>
                <c:pt idx="14">
                  <c:v>0.58333333333333326</c:v>
                </c:pt>
                <c:pt idx="15">
                  <c:v>0.62499999999999989</c:v>
                </c:pt>
                <c:pt idx="16">
                  <c:v>0.66666666666666652</c:v>
                </c:pt>
                <c:pt idx="17">
                  <c:v>0.70833333333333315</c:v>
                </c:pt>
                <c:pt idx="18">
                  <c:v>0.74999999999999978</c:v>
                </c:pt>
                <c:pt idx="19">
                  <c:v>0.79166666666666641</c:v>
                </c:pt>
                <c:pt idx="20">
                  <c:v>0.83333333333333304</c:v>
                </c:pt>
                <c:pt idx="21">
                  <c:v>0.87499999999999967</c:v>
                </c:pt>
                <c:pt idx="22">
                  <c:v>0.9166666666666663</c:v>
                </c:pt>
                <c:pt idx="23">
                  <c:v>0.95833333333333293</c:v>
                </c:pt>
              </c:numCache>
            </c:numRef>
          </c:cat>
          <c:val>
            <c:numRef>
              <c:f>Calculations!$C$296:$Z$296</c:f>
              <c:numCache>
                <c:formatCode>#,##0</c:formatCode>
                <c:ptCount val="24"/>
                <c:pt idx="0">
                  <c:v>25</c:v>
                </c:pt>
                <c:pt idx="1">
                  <c:v>50</c:v>
                </c:pt>
                <c:pt idx="2">
                  <c:v>27</c:v>
                </c:pt>
                <c:pt idx="3">
                  <c:v>30</c:v>
                </c:pt>
                <c:pt idx="4">
                  <c:v>43</c:v>
                </c:pt>
                <c:pt idx="5">
                  <c:v>19</c:v>
                </c:pt>
                <c:pt idx="6">
                  <c:v>37</c:v>
                </c:pt>
                <c:pt idx="7">
                  <c:v>33</c:v>
                </c:pt>
                <c:pt idx="8">
                  <c:v>45</c:v>
                </c:pt>
                <c:pt idx="9">
                  <c:v>41</c:v>
                </c:pt>
                <c:pt idx="10">
                  <c:v>28</c:v>
                </c:pt>
                <c:pt idx="11">
                  <c:v>43</c:v>
                </c:pt>
                <c:pt idx="12">
                  <c:v>48</c:v>
                </c:pt>
                <c:pt idx="13">
                  <c:v>37</c:v>
                </c:pt>
                <c:pt idx="14">
                  <c:v>59</c:v>
                </c:pt>
                <c:pt idx="15">
                  <c:v>45</c:v>
                </c:pt>
                <c:pt idx="16">
                  <c:v>39</c:v>
                </c:pt>
                <c:pt idx="17">
                  <c:v>34</c:v>
                </c:pt>
                <c:pt idx="18">
                  <c:v>27</c:v>
                </c:pt>
                <c:pt idx="19">
                  <c:v>30</c:v>
                </c:pt>
                <c:pt idx="20">
                  <c:v>35</c:v>
                </c:pt>
                <c:pt idx="21">
                  <c:v>42</c:v>
                </c:pt>
                <c:pt idx="22">
                  <c:v>31</c:v>
                </c:pt>
                <c:pt idx="23">
                  <c:v>20</c:v>
                </c:pt>
              </c:numCache>
            </c:numRef>
          </c:val>
          <c:extLst xmlns:prop="http://schemas.openxmlformats.org/officeDocument/2006/custom-properties" xmlns:xs="http://www.w3.org/2001/XMLSchema" xmlns:mc="http://schemas.openxmlformats.org/markup-compatibility/2006" xmlns:WX="http://schemas.microsoft.com/office/word/2003/auxHint" xmlns:properties="http://schemas.openxmlformats.org/officeDocument/2006/extended-properties" xmlns:dc="http://purl.org/dc/elements/1.1/" xmlns:ds="http://schemas.openxmlformats.org/officeDocument/2006/customXml" xmlns:cp="http://schemas.openxmlformats.org/package/2006/metadata/core-properties" xmlns:w15="http://schemas.microsoft.com/office/word/2012/wordml" xmlns:ns40="http://schemas.openxmlformats.org/spreadsheetml/2006/main" xmlns:p="http://schemas.openxmlformats.org/presentationml/2006/main" xmlns:dcterms="http://purl.org/dc/terms/" xmlns:rel="http://schemas.openxmlformats.org/package/2006/relationships" xmlns:pkg="http://schemas.microsoft.com/office/2006/xmlPackage" xmlns:vt="http://schemas.openxmlformats.org/officeDocument/2006/docPropsVTypes" xmlns:xf="http://www.w3.org/2002/xforms" xmlns:w14="http://schemas.microsoft.com/office/word/2010/wordml" xmlns:xsi="http://www.w3.org/2001/XMLSchema-instance" xmlns:aml="http://schemas.microsoft.com/aml/2001/core" xmlns:xe="http://www.w3.org/2001/xml-events" xmlns:ns29="http://schemas.openxmlformats.org/drawingml/2006/lockedCanvas" xmlns:ns28="http://schemas.openxmlformats.org/drawingml/2006/compatibility" xmlns:ns27="http://schemas.openxmlformats.org/officeDocument/2006/bibliography" xmlns:odgm="http://opendope.org/SmartArt/DataHierarchy" xmlns:odi="http://opendope.org/components" xmlns:oda="http://opendope.org/answers" xmlns:odq="http://opendope.org/questions" xmlns:odc="http://opendope.org/conditions" xmlns:odx="http://opendope.org/xpaths" xmlns:ns20="http://schemas.microsoft.com/office/2006/coverPageProps" xmlns:ns18="urn:schemas-microsoft-com:office:powerpoint" xmlns:w10="urn:schemas-microsoft-com:office:word" xmlns:v="urn:schemas-microsoft-com:vml" xmlns:o="urn:schemas-microsoft-com:office:office" xmlns:ns14="urn:schemas-microsoft-com:office:excel" xmlns:dsp="http://schemas.microsoft.com/office/drawing/2008/diagram" xmlns:xdr="http://schemas.openxmlformats.org/drawingml/2006/spreadsheetDrawing" xmlns:pic="http://schemas.openxmlformats.org/drawingml/2006/picture" xmlns:dgm="http://schemas.openxmlformats.org/drawingml/2006/diagram" xmlns:ns9="http://schemas.openxmlformats.org/drawingml/2006/chartDrawing" xmlns:wne="http://schemas.microsoft.com/office/word/2006/wordml" xmlns:ns6="http://schemas.openxmlformats.org/schemaLibrary/2006/main" xmlns:wp="http://schemas.openxmlformats.org/drawingml/2006/wordprocessingDrawing" xmlns:m="http://schemas.openxmlformats.org/officeDocument/2006/math" xmlns:w="http://schemas.openxmlformats.org/wordprocessingml/2006/main">
            <c:ext uri="{C3380CC4-5D6E-409C-BE32-E72D297353CC}">
              <c16:uniqueId xmlns:c16="http://schemas.microsoft.com/office/drawing/2014/chart" xmlns:c16r2="http://schemas.microsoft.com/office/drawing/2015/06/chart" val="{00000000-A51D-4B48-8DCD-53AD945545D5}"/>
            </c:ext>
          </c:extLst>
        </c:ser>
        <c:ser>
          <c:idx val="1"/>
          <c:order val="1"/>
          <c:tx>
            <c:strRef>
              <c:f>Calculations!$B$297</c:f>
              <c:strCache>
                <c:ptCount val="1"/>
                <c:pt idx="0">
                  <c:v>Tuesday</c:v>
                </c:pt>
              </c:strCache>
            </c:strRef>
          </c:tx>
          <c:spPr>
            <a:gradFill flip="none" rotWithShape="1">
              <a:gsLst>
                <a:gs pos="0">
                  <a:srgbClr val="0B2A50"/>
                </a:gs>
                <a:gs pos="100000">
                  <a:srgbClr val="1B4E8C"/>
                </a:gs>
                <a:gs pos="50000">
                  <a:srgbClr val="144075"/>
                </a:gs>
              </a:gsLst>
              <a:lin ang="0" scaled="1"/>
              <a:tileRect/>
            </a:gradFill>
            <a:ln w="12700">
              <a:solidFill>
                <a:srgbClr val="1B4E8C"/>
              </a:solidFill>
            </a:ln>
          </c:spPr>
          <c:invertIfNegative val="0"/>
          <c:cat>
            <c:numRef>
              <c:f>Calculations!$C$295:$Z$295</c:f>
              <c:numCache>
                <c:formatCode>h:mm</c:formatCode>
                <c:ptCount val="24"/>
                <c:pt idx="0">
                  <c:v>0</c:v>
                </c:pt>
                <c:pt idx="1">
                  <c:v>4.1666666666666664E-2</c:v>
                </c:pt>
                <c:pt idx="2">
                  <c:v>8.3333333333333329E-2</c:v>
                </c:pt>
                <c:pt idx="3">
                  <c:v>0.125</c:v>
                </c:pt>
                <c:pt idx="4">
                  <c:v>0.16666666666666666</c:v>
                </c:pt>
                <c:pt idx="5">
                  <c:v>0.20833333333333331</c:v>
                </c:pt>
                <c:pt idx="6">
                  <c:v>0.24999999999999997</c:v>
                </c:pt>
                <c:pt idx="7">
                  <c:v>0.29166666666666663</c:v>
                </c:pt>
                <c:pt idx="8">
                  <c:v>0.33333333333333331</c:v>
                </c:pt>
                <c:pt idx="9">
                  <c:v>0.375</c:v>
                </c:pt>
                <c:pt idx="10">
                  <c:v>0.41666666666666669</c:v>
                </c:pt>
                <c:pt idx="11">
                  <c:v>0.45833333333333337</c:v>
                </c:pt>
                <c:pt idx="12">
                  <c:v>0.5</c:v>
                </c:pt>
                <c:pt idx="13">
                  <c:v>0.54166666666666663</c:v>
                </c:pt>
                <c:pt idx="14">
                  <c:v>0.58333333333333326</c:v>
                </c:pt>
                <c:pt idx="15">
                  <c:v>0.62499999999999989</c:v>
                </c:pt>
                <c:pt idx="16">
                  <c:v>0.66666666666666652</c:v>
                </c:pt>
                <c:pt idx="17">
                  <c:v>0.70833333333333315</c:v>
                </c:pt>
                <c:pt idx="18">
                  <c:v>0.74999999999999978</c:v>
                </c:pt>
                <c:pt idx="19">
                  <c:v>0.79166666666666641</c:v>
                </c:pt>
                <c:pt idx="20">
                  <c:v>0.83333333333333304</c:v>
                </c:pt>
                <c:pt idx="21">
                  <c:v>0.87499999999999967</c:v>
                </c:pt>
                <c:pt idx="22">
                  <c:v>0.9166666666666663</c:v>
                </c:pt>
                <c:pt idx="23">
                  <c:v>0.95833333333333293</c:v>
                </c:pt>
              </c:numCache>
            </c:numRef>
          </c:cat>
          <c:val>
            <c:numRef>
              <c:f>Calculations!$C$297:$Z$297</c:f>
              <c:numCache>
                <c:formatCode>#,##0</c:formatCode>
                <c:ptCount val="24"/>
                <c:pt idx="0">
                  <c:v>25</c:v>
                </c:pt>
                <c:pt idx="1">
                  <c:v>23</c:v>
                </c:pt>
                <c:pt idx="2">
                  <c:v>30</c:v>
                </c:pt>
                <c:pt idx="3">
                  <c:v>22</c:v>
                </c:pt>
                <c:pt idx="4">
                  <c:v>27</c:v>
                </c:pt>
                <c:pt idx="5">
                  <c:v>24</c:v>
                </c:pt>
                <c:pt idx="6">
                  <c:v>30</c:v>
                </c:pt>
                <c:pt idx="7">
                  <c:v>39</c:v>
                </c:pt>
                <c:pt idx="8">
                  <c:v>35</c:v>
                </c:pt>
                <c:pt idx="9">
                  <c:v>40</c:v>
                </c:pt>
                <c:pt idx="10">
                  <c:v>26</c:v>
                </c:pt>
                <c:pt idx="11">
                  <c:v>55</c:v>
                </c:pt>
                <c:pt idx="12">
                  <c:v>54</c:v>
                </c:pt>
                <c:pt idx="13">
                  <c:v>49</c:v>
                </c:pt>
                <c:pt idx="14">
                  <c:v>50</c:v>
                </c:pt>
                <c:pt idx="15">
                  <c:v>41</c:v>
                </c:pt>
                <c:pt idx="16">
                  <c:v>43</c:v>
                </c:pt>
                <c:pt idx="17">
                  <c:v>26</c:v>
                </c:pt>
                <c:pt idx="18">
                  <c:v>28</c:v>
                </c:pt>
                <c:pt idx="19">
                  <c:v>34</c:v>
                </c:pt>
                <c:pt idx="20">
                  <c:v>30</c:v>
                </c:pt>
                <c:pt idx="21">
                  <c:v>25</c:v>
                </c:pt>
                <c:pt idx="22">
                  <c:v>25</c:v>
                </c:pt>
                <c:pt idx="23">
                  <c:v>25</c:v>
                </c:pt>
              </c:numCache>
            </c:numRef>
          </c:val>
          <c:extLst xmlns:prop="http://schemas.openxmlformats.org/officeDocument/2006/custom-properties" xmlns:xs="http://www.w3.org/2001/XMLSchema" xmlns:mc="http://schemas.openxmlformats.org/markup-compatibility/2006" xmlns:WX="http://schemas.microsoft.com/office/word/2003/auxHint" xmlns:properties="http://schemas.openxmlformats.org/officeDocument/2006/extended-properties" xmlns:dc="http://purl.org/dc/elements/1.1/" xmlns:ds="http://schemas.openxmlformats.org/officeDocument/2006/customXml" xmlns:cp="http://schemas.openxmlformats.org/package/2006/metadata/core-properties" xmlns:w15="http://schemas.microsoft.com/office/word/2012/wordml" xmlns:ns40="http://schemas.openxmlformats.org/spreadsheetml/2006/main" xmlns:p="http://schemas.openxmlformats.org/presentationml/2006/main" xmlns:dcterms="http://purl.org/dc/terms/" xmlns:rel="http://schemas.openxmlformats.org/package/2006/relationships" xmlns:pkg="http://schemas.microsoft.com/office/2006/xmlPackage" xmlns:vt="http://schemas.openxmlformats.org/officeDocument/2006/docPropsVTypes" xmlns:xf="http://www.w3.org/2002/xforms" xmlns:w14="http://schemas.microsoft.com/office/word/2010/wordml" xmlns:xsi="http://www.w3.org/2001/XMLSchema-instance" xmlns:aml="http://schemas.microsoft.com/aml/2001/core" xmlns:xe="http://www.w3.org/2001/xml-events" xmlns:ns29="http://schemas.openxmlformats.org/drawingml/2006/lockedCanvas" xmlns:ns28="http://schemas.openxmlformats.org/drawingml/2006/compatibility" xmlns:ns27="http://schemas.openxmlformats.org/officeDocument/2006/bibliography" xmlns:odgm="http://opendope.org/SmartArt/DataHierarchy" xmlns:odi="http://opendope.org/components" xmlns:oda="http://opendope.org/answers" xmlns:odq="http://opendope.org/questions" xmlns:odc="http://opendope.org/conditions" xmlns:odx="http://opendope.org/xpaths" xmlns:ns20="http://schemas.microsoft.com/office/2006/coverPageProps" xmlns:ns18="urn:schemas-microsoft-com:office:powerpoint" xmlns:w10="urn:schemas-microsoft-com:office:word" xmlns:v="urn:schemas-microsoft-com:vml" xmlns:o="urn:schemas-microsoft-com:office:office" xmlns:ns14="urn:schemas-microsoft-com:office:excel" xmlns:dsp="http://schemas.microsoft.com/office/drawing/2008/diagram" xmlns:xdr="http://schemas.openxmlformats.org/drawingml/2006/spreadsheetDrawing" xmlns:pic="http://schemas.openxmlformats.org/drawingml/2006/picture" xmlns:dgm="http://schemas.openxmlformats.org/drawingml/2006/diagram" xmlns:ns9="http://schemas.openxmlformats.org/drawingml/2006/chartDrawing" xmlns:wne="http://schemas.microsoft.com/office/word/2006/wordml" xmlns:ns6="http://schemas.openxmlformats.org/schemaLibrary/2006/main" xmlns:wp="http://schemas.openxmlformats.org/drawingml/2006/wordprocessingDrawing" xmlns:m="http://schemas.openxmlformats.org/officeDocument/2006/math" xmlns:w="http://schemas.openxmlformats.org/wordprocessingml/2006/main">
            <c:ext uri="{C3380CC4-5D6E-409C-BE32-E72D297353CC}">
              <c16:uniqueId xmlns:c16="http://schemas.microsoft.com/office/drawing/2014/chart" xmlns:c16r2="http://schemas.microsoft.com/office/drawing/2015/06/chart" val="{00000001-A51D-4B48-8DCD-53AD945545D5}"/>
            </c:ext>
          </c:extLst>
        </c:ser>
        <c:ser>
          <c:idx val="2"/>
          <c:order val="2"/>
          <c:tx>
            <c:strRef>
              <c:f>Calculations!$B$298</c:f>
              <c:strCache>
                <c:ptCount val="1"/>
                <c:pt idx="0">
                  <c:v>Wednesday</c:v>
                </c:pt>
              </c:strCache>
            </c:strRef>
          </c:tx>
          <c:spPr>
            <a:gradFill flip="none" rotWithShape="1">
              <a:gsLst>
                <a:gs pos="0">
                  <a:srgbClr val="184479"/>
                </a:gs>
                <a:gs pos="100000">
                  <a:srgbClr val="3B7AC6"/>
                </a:gs>
                <a:gs pos="50000">
                  <a:srgbClr val="2765AF"/>
                </a:gs>
              </a:gsLst>
              <a:lin ang="0" scaled="1"/>
              <a:tileRect/>
            </a:gradFill>
            <a:ln w="12700">
              <a:solidFill>
                <a:srgbClr val="3B7AC6"/>
              </a:solidFill>
            </a:ln>
          </c:spPr>
          <c:invertIfNegative val="0"/>
          <c:cat>
            <c:numRef>
              <c:f>Calculations!$C$295:$Z$295</c:f>
              <c:numCache>
                <c:formatCode>h:mm</c:formatCode>
                <c:ptCount val="24"/>
                <c:pt idx="0">
                  <c:v>0</c:v>
                </c:pt>
                <c:pt idx="1">
                  <c:v>4.1666666666666664E-2</c:v>
                </c:pt>
                <c:pt idx="2">
                  <c:v>8.3333333333333329E-2</c:v>
                </c:pt>
                <c:pt idx="3">
                  <c:v>0.125</c:v>
                </c:pt>
                <c:pt idx="4">
                  <c:v>0.16666666666666666</c:v>
                </c:pt>
                <c:pt idx="5">
                  <c:v>0.20833333333333331</c:v>
                </c:pt>
                <c:pt idx="6">
                  <c:v>0.24999999999999997</c:v>
                </c:pt>
                <c:pt idx="7">
                  <c:v>0.29166666666666663</c:v>
                </c:pt>
                <c:pt idx="8">
                  <c:v>0.33333333333333331</c:v>
                </c:pt>
                <c:pt idx="9">
                  <c:v>0.375</c:v>
                </c:pt>
                <c:pt idx="10">
                  <c:v>0.41666666666666669</c:v>
                </c:pt>
                <c:pt idx="11">
                  <c:v>0.45833333333333337</c:v>
                </c:pt>
                <c:pt idx="12">
                  <c:v>0.5</c:v>
                </c:pt>
                <c:pt idx="13">
                  <c:v>0.54166666666666663</c:v>
                </c:pt>
                <c:pt idx="14">
                  <c:v>0.58333333333333326</c:v>
                </c:pt>
                <c:pt idx="15">
                  <c:v>0.62499999999999989</c:v>
                </c:pt>
                <c:pt idx="16">
                  <c:v>0.66666666666666652</c:v>
                </c:pt>
                <c:pt idx="17">
                  <c:v>0.70833333333333315</c:v>
                </c:pt>
                <c:pt idx="18">
                  <c:v>0.74999999999999978</c:v>
                </c:pt>
                <c:pt idx="19">
                  <c:v>0.79166666666666641</c:v>
                </c:pt>
                <c:pt idx="20">
                  <c:v>0.83333333333333304</c:v>
                </c:pt>
                <c:pt idx="21">
                  <c:v>0.87499999999999967</c:v>
                </c:pt>
                <c:pt idx="22">
                  <c:v>0.9166666666666663</c:v>
                </c:pt>
                <c:pt idx="23">
                  <c:v>0.95833333333333293</c:v>
                </c:pt>
              </c:numCache>
            </c:numRef>
          </c:cat>
          <c:val>
            <c:numRef>
              <c:f>Calculations!$C$298:$Z$298</c:f>
              <c:numCache>
                <c:formatCode>#,##0</c:formatCode>
                <c:ptCount val="24"/>
                <c:pt idx="0">
                  <c:v>18</c:v>
                </c:pt>
                <c:pt idx="1">
                  <c:v>26</c:v>
                </c:pt>
                <c:pt idx="2">
                  <c:v>29</c:v>
                </c:pt>
                <c:pt idx="3">
                  <c:v>39</c:v>
                </c:pt>
                <c:pt idx="4">
                  <c:v>37</c:v>
                </c:pt>
                <c:pt idx="5">
                  <c:v>35</c:v>
                </c:pt>
                <c:pt idx="6">
                  <c:v>33</c:v>
                </c:pt>
                <c:pt idx="7">
                  <c:v>41</c:v>
                </c:pt>
                <c:pt idx="8">
                  <c:v>48</c:v>
                </c:pt>
                <c:pt idx="9">
                  <c:v>42</c:v>
                </c:pt>
                <c:pt idx="10">
                  <c:v>38</c:v>
                </c:pt>
                <c:pt idx="11">
                  <c:v>46</c:v>
                </c:pt>
                <c:pt idx="12">
                  <c:v>51</c:v>
                </c:pt>
                <c:pt idx="13">
                  <c:v>38</c:v>
                </c:pt>
                <c:pt idx="14">
                  <c:v>47</c:v>
                </c:pt>
                <c:pt idx="15">
                  <c:v>61</c:v>
                </c:pt>
                <c:pt idx="16">
                  <c:v>44</c:v>
                </c:pt>
                <c:pt idx="17">
                  <c:v>38</c:v>
                </c:pt>
                <c:pt idx="18">
                  <c:v>25</c:v>
                </c:pt>
                <c:pt idx="19">
                  <c:v>29</c:v>
                </c:pt>
                <c:pt idx="20">
                  <c:v>23</c:v>
                </c:pt>
                <c:pt idx="21">
                  <c:v>27</c:v>
                </c:pt>
                <c:pt idx="22">
                  <c:v>28</c:v>
                </c:pt>
                <c:pt idx="23">
                  <c:v>25</c:v>
                </c:pt>
              </c:numCache>
            </c:numRef>
          </c:val>
          <c:extLst xmlns:prop="http://schemas.openxmlformats.org/officeDocument/2006/custom-properties" xmlns:xs="http://www.w3.org/2001/XMLSchema" xmlns:mc="http://schemas.openxmlformats.org/markup-compatibility/2006" xmlns:WX="http://schemas.microsoft.com/office/word/2003/auxHint" xmlns:properties="http://schemas.openxmlformats.org/officeDocument/2006/extended-properties" xmlns:dc="http://purl.org/dc/elements/1.1/" xmlns:ds="http://schemas.openxmlformats.org/officeDocument/2006/customXml" xmlns:cp="http://schemas.openxmlformats.org/package/2006/metadata/core-properties" xmlns:w15="http://schemas.microsoft.com/office/word/2012/wordml" xmlns:ns40="http://schemas.openxmlformats.org/spreadsheetml/2006/main" xmlns:p="http://schemas.openxmlformats.org/presentationml/2006/main" xmlns:dcterms="http://purl.org/dc/terms/" xmlns:rel="http://schemas.openxmlformats.org/package/2006/relationships" xmlns:pkg="http://schemas.microsoft.com/office/2006/xmlPackage" xmlns:vt="http://schemas.openxmlformats.org/officeDocument/2006/docPropsVTypes" xmlns:xf="http://www.w3.org/2002/xforms" xmlns:w14="http://schemas.microsoft.com/office/word/2010/wordml" xmlns:xsi="http://www.w3.org/2001/XMLSchema-instance" xmlns:aml="http://schemas.microsoft.com/aml/2001/core" xmlns:xe="http://www.w3.org/2001/xml-events" xmlns:ns29="http://schemas.openxmlformats.org/drawingml/2006/lockedCanvas" xmlns:ns28="http://schemas.openxmlformats.org/drawingml/2006/compatibility" xmlns:ns27="http://schemas.openxmlformats.org/officeDocument/2006/bibliography" xmlns:odgm="http://opendope.org/SmartArt/DataHierarchy" xmlns:odi="http://opendope.org/components" xmlns:oda="http://opendope.org/answers" xmlns:odq="http://opendope.org/questions" xmlns:odc="http://opendope.org/conditions" xmlns:odx="http://opendope.org/xpaths" xmlns:ns20="http://schemas.microsoft.com/office/2006/coverPageProps" xmlns:ns18="urn:schemas-microsoft-com:office:powerpoint" xmlns:w10="urn:schemas-microsoft-com:office:word" xmlns:v="urn:schemas-microsoft-com:vml" xmlns:o="urn:schemas-microsoft-com:office:office" xmlns:ns14="urn:schemas-microsoft-com:office:excel" xmlns:dsp="http://schemas.microsoft.com/office/drawing/2008/diagram" xmlns:xdr="http://schemas.openxmlformats.org/drawingml/2006/spreadsheetDrawing" xmlns:pic="http://schemas.openxmlformats.org/drawingml/2006/picture" xmlns:dgm="http://schemas.openxmlformats.org/drawingml/2006/diagram" xmlns:ns9="http://schemas.openxmlformats.org/drawingml/2006/chartDrawing" xmlns:wne="http://schemas.microsoft.com/office/word/2006/wordml" xmlns:ns6="http://schemas.openxmlformats.org/schemaLibrary/2006/main" xmlns:wp="http://schemas.openxmlformats.org/drawingml/2006/wordprocessingDrawing" xmlns:m="http://schemas.openxmlformats.org/officeDocument/2006/math" xmlns:w="http://schemas.openxmlformats.org/wordprocessingml/2006/main">
            <c:ext uri="{C3380CC4-5D6E-409C-BE32-E72D297353CC}">
              <c16:uniqueId xmlns:c16="http://schemas.microsoft.com/office/drawing/2014/chart" xmlns:c16r2="http://schemas.microsoft.com/office/drawing/2015/06/chart" val="{00000002-A51D-4B48-8DCD-53AD945545D5}"/>
            </c:ext>
          </c:extLst>
        </c:ser>
        <c:ser>
          <c:idx val="3"/>
          <c:order val="3"/>
          <c:tx>
            <c:strRef>
              <c:f>Calculations!$B$299</c:f>
              <c:strCache>
                <c:ptCount val="1"/>
                <c:pt idx="0">
                  <c:v>Thursday</c:v>
                </c:pt>
              </c:strCache>
            </c:strRef>
          </c:tx>
          <c:spPr>
            <a:gradFill flip="none" rotWithShape="1">
              <a:gsLst>
                <a:gs pos="0">
                  <a:srgbClr val="3F1260"/>
                </a:gs>
                <a:gs pos="100000">
                  <a:srgbClr val="7128A8"/>
                </a:gs>
                <a:gs pos="50000">
                  <a:srgbClr val="5E1F8D"/>
                </a:gs>
              </a:gsLst>
              <a:lin ang="0" scaled="1"/>
              <a:tileRect/>
            </a:gradFill>
            <a:ln w="12700">
              <a:solidFill>
                <a:srgbClr val="7128A8"/>
              </a:solidFill>
            </a:ln>
          </c:spPr>
          <c:invertIfNegative val="0"/>
          <c:cat>
            <c:numRef>
              <c:f>Calculations!$C$295:$Z$295</c:f>
              <c:numCache>
                <c:formatCode>h:mm</c:formatCode>
                <c:ptCount val="24"/>
                <c:pt idx="0">
                  <c:v>0</c:v>
                </c:pt>
                <c:pt idx="1">
                  <c:v>4.1666666666666664E-2</c:v>
                </c:pt>
                <c:pt idx="2">
                  <c:v>8.3333333333333329E-2</c:v>
                </c:pt>
                <c:pt idx="3">
                  <c:v>0.125</c:v>
                </c:pt>
                <c:pt idx="4">
                  <c:v>0.16666666666666666</c:v>
                </c:pt>
                <c:pt idx="5">
                  <c:v>0.20833333333333331</c:v>
                </c:pt>
                <c:pt idx="6">
                  <c:v>0.24999999999999997</c:v>
                </c:pt>
                <c:pt idx="7">
                  <c:v>0.29166666666666663</c:v>
                </c:pt>
                <c:pt idx="8">
                  <c:v>0.33333333333333331</c:v>
                </c:pt>
                <c:pt idx="9">
                  <c:v>0.375</c:v>
                </c:pt>
                <c:pt idx="10">
                  <c:v>0.41666666666666669</c:v>
                </c:pt>
                <c:pt idx="11">
                  <c:v>0.45833333333333337</c:v>
                </c:pt>
                <c:pt idx="12">
                  <c:v>0.5</c:v>
                </c:pt>
                <c:pt idx="13">
                  <c:v>0.54166666666666663</c:v>
                </c:pt>
                <c:pt idx="14">
                  <c:v>0.58333333333333326</c:v>
                </c:pt>
                <c:pt idx="15">
                  <c:v>0.62499999999999989</c:v>
                </c:pt>
                <c:pt idx="16">
                  <c:v>0.66666666666666652</c:v>
                </c:pt>
                <c:pt idx="17">
                  <c:v>0.70833333333333315</c:v>
                </c:pt>
                <c:pt idx="18">
                  <c:v>0.74999999999999978</c:v>
                </c:pt>
                <c:pt idx="19">
                  <c:v>0.79166666666666641</c:v>
                </c:pt>
                <c:pt idx="20">
                  <c:v>0.83333333333333304</c:v>
                </c:pt>
                <c:pt idx="21">
                  <c:v>0.87499999999999967</c:v>
                </c:pt>
                <c:pt idx="22">
                  <c:v>0.9166666666666663</c:v>
                </c:pt>
                <c:pt idx="23">
                  <c:v>0.95833333333333293</c:v>
                </c:pt>
              </c:numCache>
            </c:numRef>
          </c:cat>
          <c:val>
            <c:numRef>
              <c:f>Calculations!$C$299:$Z$299</c:f>
              <c:numCache>
                <c:formatCode>#,##0</c:formatCode>
                <c:ptCount val="24"/>
                <c:pt idx="0">
                  <c:v>30</c:v>
                </c:pt>
                <c:pt idx="1">
                  <c:v>20</c:v>
                </c:pt>
                <c:pt idx="2">
                  <c:v>33</c:v>
                </c:pt>
                <c:pt idx="3">
                  <c:v>29</c:v>
                </c:pt>
                <c:pt idx="4">
                  <c:v>25</c:v>
                </c:pt>
                <c:pt idx="5">
                  <c:v>36</c:v>
                </c:pt>
                <c:pt idx="6">
                  <c:v>30</c:v>
                </c:pt>
                <c:pt idx="7">
                  <c:v>35</c:v>
                </c:pt>
                <c:pt idx="8">
                  <c:v>45</c:v>
                </c:pt>
                <c:pt idx="9">
                  <c:v>48</c:v>
                </c:pt>
                <c:pt idx="10">
                  <c:v>35</c:v>
                </c:pt>
                <c:pt idx="11">
                  <c:v>45</c:v>
                </c:pt>
                <c:pt idx="12">
                  <c:v>40</c:v>
                </c:pt>
                <c:pt idx="13">
                  <c:v>41</c:v>
                </c:pt>
                <c:pt idx="14">
                  <c:v>42</c:v>
                </c:pt>
                <c:pt idx="15">
                  <c:v>37</c:v>
                </c:pt>
                <c:pt idx="16">
                  <c:v>25</c:v>
                </c:pt>
                <c:pt idx="17">
                  <c:v>32</c:v>
                </c:pt>
                <c:pt idx="18">
                  <c:v>30</c:v>
                </c:pt>
                <c:pt idx="19">
                  <c:v>16</c:v>
                </c:pt>
                <c:pt idx="20">
                  <c:v>30</c:v>
                </c:pt>
                <c:pt idx="21">
                  <c:v>31</c:v>
                </c:pt>
                <c:pt idx="22">
                  <c:v>19</c:v>
                </c:pt>
                <c:pt idx="23">
                  <c:v>21</c:v>
                </c:pt>
              </c:numCache>
            </c:numRef>
          </c:val>
          <c:extLst xmlns:prop="http://schemas.openxmlformats.org/officeDocument/2006/custom-properties" xmlns:xs="http://www.w3.org/2001/XMLSchema" xmlns:mc="http://schemas.openxmlformats.org/markup-compatibility/2006" xmlns:WX="http://schemas.microsoft.com/office/word/2003/auxHint" xmlns:properties="http://schemas.openxmlformats.org/officeDocument/2006/extended-properties" xmlns:dc="http://purl.org/dc/elements/1.1/" xmlns:ds="http://schemas.openxmlformats.org/officeDocument/2006/customXml" xmlns:cp="http://schemas.openxmlformats.org/package/2006/metadata/core-properties" xmlns:w15="http://schemas.microsoft.com/office/word/2012/wordml" xmlns:ns40="http://schemas.openxmlformats.org/spreadsheetml/2006/main" xmlns:p="http://schemas.openxmlformats.org/presentationml/2006/main" xmlns:dcterms="http://purl.org/dc/terms/" xmlns:rel="http://schemas.openxmlformats.org/package/2006/relationships" xmlns:pkg="http://schemas.microsoft.com/office/2006/xmlPackage" xmlns:vt="http://schemas.openxmlformats.org/officeDocument/2006/docPropsVTypes" xmlns:xf="http://www.w3.org/2002/xforms" xmlns:w14="http://schemas.microsoft.com/office/word/2010/wordml" xmlns:xsi="http://www.w3.org/2001/XMLSchema-instance" xmlns:aml="http://schemas.microsoft.com/aml/2001/core" xmlns:xe="http://www.w3.org/2001/xml-events" xmlns:ns29="http://schemas.openxmlformats.org/drawingml/2006/lockedCanvas" xmlns:ns28="http://schemas.openxmlformats.org/drawingml/2006/compatibility" xmlns:ns27="http://schemas.openxmlformats.org/officeDocument/2006/bibliography" xmlns:odgm="http://opendope.org/SmartArt/DataHierarchy" xmlns:odi="http://opendope.org/components" xmlns:oda="http://opendope.org/answers" xmlns:odq="http://opendope.org/questions" xmlns:odc="http://opendope.org/conditions" xmlns:odx="http://opendope.org/xpaths" xmlns:ns20="http://schemas.microsoft.com/office/2006/coverPageProps" xmlns:ns18="urn:schemas-microsoft-com:office:powerpoint" xmlns:w10="urn:schemas-microsoft-com:office:word" xmlns:v="urn:schemas-microsoft-com:vml" xmlns:o="urn:schemas-microsoft-com:office:office" xmlns:ns14="urn:schemas-microsoft-com:office:excel" xmlns:dsp="http://schemas.microsoft.com/office/drawing/2008/diagram" xmlns:xdr="http://schemas.openxmlformats.org/drawingml/2006/spreadsheetDrawing" xmlns:pic="http://schemas.openxmlformats.org/drawingml/2006/picture" xmlns:dgm="http://schemas.openxmlformats.org/drawingml/2006/diagram" xmlns:ns9="http://schemas.openxmlformats.org/drawingml/2006/chartDrawing" xmlns:wne="http://schemas.microsoft.com/office/word/2006/wordml" xmlns:ns6="http://schemas.openxmlformats.org/schemaLibrary/2006/main" xmlns:wp="http://schemas.openxmlformats.org/drawingml/2006/wordprocessingDrawing" xmlns:m="http://schemas.openxmlformats.org/officeDocument/2006/math" xmlns:w="http://schemas.openxmlformats.org/wordprocessingml/2006/main">
            <c:ext uri="{C3380CC4-5D6E-409C-BE32-E72D297353CC}">
              <c16:uniqueId xmlns:c16="http://schemas.microsoft.com/office/drawing/2014/chart" xmlns:c16r2="http://schemas.microsoft.com/office/drawing/2015/06/chart" val="{00000003-A51D-4B48-8DCD-53AD945545D5}"/>
            </c:ext>
          </c:extLst>
        </c:ser>
        <c:ser>
          <c:idx val="4"/>
          <c:order val="4"/>
          <c:tx>
            <c:strRef>
              <c:f>Calculations!$B$300</c:f>
              <c:strCache>
                <c:ptCount val="1"/>
                <c:pt idx="0">
                  <c:v>Friday</c:v>
                </c:pt>
              </c:strCache>
            </c:strRef>
          </c:tx>
          <c:spPr>
            <a:gradFill flip="none" rotWithShape="1">
              <a:gsLst>
                <a:gs pos="0">
                  <a:srgbClr val="A03500"/>
                </a:gs>
                <a:gs pos="100000">
                  <a:srgbClr val="FF6200"/>
                </a:gs>
                <a:gs pos="50000">
                  <a:srgbClr val="E65100"/>
                </a:gs>
              </a:gsLst>
              <a:lin ang="0" scaled="1"/>
              <a:tileRect/>
            </a:gradFill>
            <a:ln w="12700">
              <a:solidFill>
                <a:srgbClr val="FF6200"/>
              </a:solidFill>
            </a:ln>
          </c:spPr>
          <c:invertIfNegative val="0"/>
          <c:cat>
            <c:numRef>
              <c:f>Calculations!$C$295:$Z$295</c:f>
              <c:numCache>
                <c:formatCode>h:mm</c:formatCode>
                <c:ptCount val="24"/>
                <c:pt idx="0">
                  <c:v>0</c:v>
                </c:pt>
                <c:pt idx="1">
                  <c:v>4.1666666666666664E-2</c:v>
                </c:pt>
                <c:pt idx="2">
                  <c:v>8.3333333333333329E-2</c:v>
                </c:pt>
                <c:pt idx="3">
                  <c:v>0.125</c:v>
                </c:pt>
                <c:pt idx="4">
                  <c:v>0.16666666666666666</c:v>
                </c:pt>
                <c:pt idx="5">
                  <c:v>0.20833333333333331</c:v>
                </c:pt>
                <c:pt idx="6">
                  <c:v>0.24999999999999997</c:v>
                </c:pt>
                <c:pt idx="7">
                  <c:v>0.29166666666666663</c:v>
                </c:pt>
                <c:pt idx="8">
                  <c:v>0.33333333333333331</c:v>
                </c:pt>
                <c:pt idx="9">
                  <c:v>0.375</c:v>
                </c:pt>
                <c:pt idx="10">
                  <c:v>0.41666666666666669</c:v>
                </c:pt>
                <c:pt idx="11">
                  <c:v>0.45833333333333337</c:v>
                </c:pt>
                <c:pt idx="12">
                  <c:v>0.5</c:v>
                </c:pt>
                <c:pt idx="13">
                  <c:v>0.54166666666666663</c:v>
                </c:pt>
                <c:pt idx="14">
                  <c:v>0.58333333333333326</c:v>
                </c:pt>
                <c:pt idx="15">
                  <c:v>0.62499999999999989</c:v>
                </c:pt>
                <c:pt idx="16">
                  <c:v>0.66666666666666652</c:v>
                </c:pt>
                <c:pt idx="17">
                  <c:v>0.70833333333333315</c:v>
                </c:pt>
                <c:pt idx="18">
                  <c:v>0.74999999999999978</c:v>
                </c:pt>
                <c:pt idx="19">
                  <c:v>0.79166666666666641</c:v>
                </c:pt>
                <c:pt idx="20">
                  <c:v>0.83333333333333304</c:v>
                </c:pt>
                <c:pt idx="21">
                  <c:v>0.87499999999999967</c:v>
                </c:pt>
                <c:pt idx="22">
                  <c:v>0.9166666666666663</c:v>
                </c:pt>
                <c:pt idx="23">
                  <c:v>0.95833333333333293</c:v>
                </c:pt>
              </c:numCache>
            </c:numRef>
          </c:cat>
          <c:val>
            <c:numRef>
              <c:f>Calculations!$C$300:$Z$300</c:f>
              <c:numCache>
                <c:formatCode>#,##0</c:formatCode>
                <c:ptCount val="24"/>
                <c:pt idx="0">
                  <c:v>19</c:v>
                </c:pt>
                <c:pt idx="1">
                  <c:v>26</c:v>
                </c:pt>
                <c:pt idx="2">
                  <c:v>23</c:v>
                </c:pt>
                <c:pt idx="3">
                  <c:v>35</c:v>
                </c:pt>
                <c:pt idx="4">
                  <c:v>33</c:v>
                </c:pt>
                <c:pt idx="5">
                  <c:v>49</c:v>
                </c:pt>
                <c:pt idx="6">
                  <c:v>43</c:v>
                </c:pt>
                <c:pt idx="7">
                  <c:v>35</c:v>
                </c:pt>
                <c:pt idx="8">
                  <c:v>57</c:v>
                </c:pt>
                <c:pt idx="9">
                  <c:v>39</c:v>
                </c:pt>
                <c:pt idx="10">
                  <c:v>38</c:v>
                </c:pt>
                <c:pt idx="11">
                  <c:v>43</c:v>
                </c:pt>
                <c:pt idx="12">
                  <c:v>58</c:v>
                </c:pt>
                <c:pt idx="13">
                  <c:v>55</c:v>
                </c:pt>
                <c:pt idx="14">
                  <c:v>60</c:v>
                </c:pt>
                <c:pt idx="15">
                  <c:v>36</c:v>
                </c:pt>
                <c:pt idx="16">
                  <c:v>47</c:v>
                </c:pt>
                <c:pt idx="17">
                  <c:v>28</c:v>
                </c:pt>
                <c:pt idx="18">
                  <c:v>25</c:v>
                </c:pt>
                <c:pt idx="19">
                  <c:v>22</c:v>
                </c:pt>
                <c:pt idx="20">
                  <c:v>23</c:v>
                </c:pt>
                <c:pt idx="21">
                  <c:v>27</c:v>
                </c:pt>
                <c:pt idx="22">
                  <c:v>30</c:v>
                </c:pt>
                <c:pt idx="23">
                  <c:v>22</c:v>
                </c:pt>
              </c:numCache>
            </c:numRef>
          </c:val>
          <c:extLst xmlns:prop="http://schemas.openxmlformats.org/officeDocument/2006/custom-properties" xmlns:xs="http://www.w3.org/2001/XMLSchema" xmlns:mc="http://schemas.openxmlformats.org/markup-compatibility/2006" xmlns:WX="http://schemas.microsoft.com/office/word/2003/auxHint" xmlns:properties="http://schemas.openxmlformats.org/officeDocument/2006/extended-properties" xmlns:dc="http://purl.org/dc/elements/1.1/" xmlns:ds="http://schemas.openxmlformats.org/officeDocument/2006/customXml" xmlns:cp="http://schemas.openxmlformats.org/package/2006/metadata/core-properties" xmlns:w15="http://schemas.microsoft.com/office/word/2012/wordml" xmlns:ns40="http://schemas.openxmlformats.org/spreadsheetml/2006/main" xmlns:p="http://schemas.openxmlformats.org/presentationml/2006/main" xmlns:dcterms="http://purl.org/dc/terms/" xmlns:rel="http://schemas.openxmlformats.org/package/2006/relationships" xmlns:pkg="http://schemas.microsoft.com/office/2006/xmlPackage" xmlns:vt="http://schemas.openxmlformats.org/officeDocument/2006/docPropsVTypes" xmlns:xf="http://www.w3.org/2002/xforms" xmlns:w14="http://schemas.microsoft.com/office/word/2010/wordml" xmlns:xsi="http://www.w3.org/2001/XMLSchema-instance" xmlns:aml="http://schemas.microsoft.com/aml/2001/core" xmlns:xe="http://www.w3.org/2001/xml-events" xmlns:ns29="http://schemas.openxmlformats.org/drawingml/2006/lockedCanvas" xmlns:ns28="http://schemas.openxmlformats.org/drawingml/2006/compatibility" xmlns:ns27="http://schemas.openxmlformats.org/officeDocument/2006/bibliography" xmlns:odgm="http://opendope.org/SmartArt/DataHierarchy" xmlns:odi="http://opendope.org/components" xmlns:oda="http://opendope.org/answers" xmlns:odq="http://opendope.org/questions" xmlns:odc="http://opendope.org/conditions" xmlns:odx="http://opendope.org/xpaths" xmlns:ns20="http://schemas.microsoft.com/office/2006/coverPageProps" xmlns:ns18="urn:schemas-microsoft-com:office:powerpoint" xmlns:w10="urn:schemas-microsoft-com:office:word" xmlns:v="urn:schemas-microsoft-com:vml" xmlns:o="urn:schemas-microsoft-com:office:office" xmlns:ns14="urn:schemas-microsoft-com:office:excel" xmlns:dsp="http://schemas.microsoft.com/office/drawing/2008/diagram" xmlns:xdr="http://schemas.openxmlformats.org/drawingml/2006/spreadsheetDrawing" xmlns:pic="http://schemas.openxmlformats.org/drawingml/2006/picture" xmlns:dgm="http://schemas.openxmlformats.org/drawingml/2006/diagram" xmlns:ns9="http://schemas.openxmlformats.org/drawingml/2006/chartDrawing" xmlns:wne="http://schemas.microsoft.com/office/word/2006/wordml" xmlns:ns6="http://schemas.openxmlformats.org/schemaLibrary/2006/main" xmlns:wp="http://schemas.openxmlformats.org/drawingml/2006/wordprocessingDrawing" xmlns:m="http://schemas.openxmlformats.org/officeDocument/2006/math" xmlns:w="http://schemas.openxmlformats.org/wordprocessingml/2006/main">
            <c:ext uri="{C3380CC4-5D6E-409C-BE32-E72D297353CC}">
              <c16:uniqueId xmlns:c16="http://schemas.microsoft.com/office/drawing/2014/chart" xmlns:c16r2="http://schemas.microsoft.com/office/drawing/2015/06/chart" val="{00000004-A51D-4B48-8DCD-53AD945545D5}"/>
            </c:ext>
          </c:extLst>
        </c:ser>
        <c:ser>
          <c:idx val="5"/>
          <c:order val="5"/>
          <c:tx>
            <c:strRef>
              <c:f>Calculations!$B$301</c:f>
              <c:strCache>
                <c:ptCount val="1"/>
                <c:pt idx="0">
                  <c:v>Saturday</c:v>
                </c:pt>
              </c:strCache>
            </c:strRef>
          </c:tx>
          <c:spPr>
            <a:gradFill flip="none" rotWithShape="1">
              <a:gsLst>
                <a:gs pos="0">
                  <a:srgbClr val="620014"/>
                </a:gs>
                <a:gs pos="100000">
                  <a:srgbClr val="AC082B"/>
                </a:gs>
                <a:gs pos="50000">
                  <a:srgbClr val="900522"/>
                </a:gs>
              </a:gsLst>
              <a:lin ang="0" scaled="1"/>
              <a:tileRect/>
            </a:gradFill>
            <a:ln w="12700">
              <a:solidFill>
                <a:srgbClr val="AC082B"/>
              </a:solidFill>
            </a:ln>
          </c:spPr>
          <c:invertIfNegative val="0"/>
          <c:cat>
            <c:numRef>
              <c:f>Calculations!$C$295:$Z$295</c:f>
              <c:numCache>
                <c:formatCode>h:mm</c:formatCode>
                <c:ptCount val="24"/>
                <c:pt idx="0">
                  <c:v>0</c:v>
                </c:pt>
                <c:pt idx="1">
                  <c:v>4.1666666666666664E-2</c:v>
                </c:pt>
                <c:pt idx="2">
                  <c:v>8.3333333333333329E-2</c:v>
                </c:pt>
                <c:pt idx="3">
                  <c:v>0.125</c:v>
                </c:pt>
                <c:pt idx="4">
                  <c:v>0.16666666666666666</c:v>
                </c:pt>
                <c:pt idx="5">
                  <c:v>0.20833333333333331</c:v>
                </c:pt>
                <c:pt idx="6">
                  <c:v>0.24999999999999997</c:v>
                </c:pt>
                <c:pt idx="7">
                  <c:v>0.29166666666666663</c:v>
                </c:pt>
                <c:pt idx="8">
                  <c:v>0.33333333333333331</c:v>
                </c:pt>
                <c:pt idx="9">
                  <c:v>0.375</c:v>
                </c:pt>
                <c:pt idx="10">
                  <c:v>0.41666666666666669</c:v>
                </c:pt>
                <c:pt idx="11">
                  <c:v>0.45833333333333337</c:v>
                </c:pt>
                <c:pt idx="12">
                  <c:v>0.5</c:v>
                </c:pt>
                <c:pt idx="13">
                  <c:v>0.54166666666666663</c:v>
                </c:pt>
                <c:pt idx="14">
                  <c:v>0.58333333333333326</c:v>
                </c:pt>
                <c:pt idx="15">
                  <c:v>0.62499999999999989</c:v>
                </c:pt>
                <c:pt idx="16">
                  <c:v>0.66666666666666652</c:v>
                </c:pt>
                <c:pt idx="17">
                  <c:v>0.70833333333333315</c:v>
                </c:pt>
                <c:pt idx="18">
                  <c:v>0.74999999999999978</c:v>
                </c:pt>
                <c:pt idx="19">
                  <c:v>0.79166666666666641</c:v>
                </c:pt>
                <c:pt idx="20">
                  <c:v>0.83333333333333304</c:v>
                </c:pt>
                <c:pt idx="21">
                  <c:v>0.87499999999999967</c:v>
                </c:pt>
                <c:pt idx="22">
                  <c:v>0.9166666666666663</c:v>
                </c:pt>
                <c:pt idx="23">
                  <c:v>0.95833333333333293</c:v>
                </c:pt>
              </c:numCache>
            </c:numRef>
          </c:cat>
          <c:val>
            <c:numRef>
              <c:f>Calculations!$C$301:$Z$301</c:f>
              <c:numCache>
                <c:formatCode>#,##0</c:formatCode>
                <c:ptCount val="24"/>
                <c:pt idx="0">
                  <c:v>21</c:v>
                </c:pt>
                <c:pt idx="1">
                  <c:v>30</c:v>
                </c:pt>
                <c:pt idx="2">
                  <c:v>24</c:v>
                </c:pt>
                <c:pt idx="3">
                  <c:v>30</c:v>
                </c:pt>
                <c:pt idx="4">
                  <c:v>24</c:v>
                </c:pt>
                <c:pt idx="5">
                  <c:v>28</c:v>
                </c:pt>
                <c:pt idx="6">
                  <c:v>42</c:v>
                </c:pt>
                <c:pt idx="7">
                  <c:v>46</c:v>
                </c:pt>
                <c:pt idx="8">
                  <c:v>39</c:v>
                </c:pt>
                <c:pt idx="9">
                  <c:v>39</c:v>
                </c:pt>
                <c:pt idx="10">
                  <c:v>32</c:v>
                </c:pt>
                <c:pt idx="11">
                  <c:v>40</c:v>
                </c:pt>
                <c:pt idx="12">
                  <c:v>58</c:v>
                </c:pt>
                <c:pt idx="13">
                  <c:v>46</c:v>
                </c:pt>
                <c:pt idx="14">
                  <c:v>35</c:v>
                </c:pt>
                <c:pt idx="15">
                  <c:v>31</c:v>
                </c:pt>
                <c:pt idx="16">
                  <c:v>29</c:v>
                </c:pt>
                <c:pt idx="17">
                  <c:v>26</c:v>
                </c:pt>
                <c:pt idx="18">
                  <c:v>40</c:v>
                </c:pt>
                <c:pt idx="19">
                  <c:v>25</c:v>
                </c:pt>
                <c:pt idx="20">
                  <c:v>10</c:v>
                </c:pt>
                <c:pt idx="21">
                  <c:v>13</c:v>
                </c:pt>
                <c:pt idx="22">
                  <c:v>29</c:v>
                </c:pt>
                <c:pt idx="23">
                  <c:v>42</c:v>
                </c:pt>
              </c:numCache>
            </c:numRef>
          </c:val>
          <c:extLst xmlns:prop="http://schemas.openxmlformats.org/officeDocument/2006/custom-properties" xmlns:xs="http://www.w3.org/2001/XMLSchema" xmlns:mc="http://schemas.openxmlformats.org/markup-compatibility/2006" xmlns:WX="http://schemas.microsoft.com/office/word/2003/auxHint" xmlns:properties="http://schemas.openxmlformats.org/officeDocument/2006/extended-properties" xmlns:dc="http://purl.org/dc/elements/1.1/" xmlns:ds="http://schemas.openxmlformats.org/officeDocument/2006/customXml" xmlns:cp="http://schemas.openxmlformats.org/package/2006/metadata/core-properties" xmlns:w15="http://schemas.microsoft.com/office/word/2012/wordml" xmlns:ns40="http://schemas.openxmlformats.org/spreadsheetml/2006/main" xmlns:p="http://schemas.openxmlformats.org/presentationml/2006/main" xmlns:dcterms="http://purl.org/dc/terms/" xmlns:rel="http://schemas.openxmlformats.org/package/2006/relationships" xmlns:pkg="http://schemas.microsoft.com/office/2006/xmlPackage" xmlns:vt="http://schemas.openxmlformats.org/officeDocument/2006/docPropsVTypes" xmlns:xf="http://www.w3.org/2002/xforms" xmlns:w14="http://schemas.microsoft.com/office/word/2010/wordml" xmlns:xsi="http://www.w3.org/2001/XMLSchema-instance" xmlns:aml="http://schemas.microsoft.com/aml/2001/core" xmlns:xe="http://www.w3.org/2001/xml-events" xmlns:ns29="http://schemas.openxmlformats.org/drawingml/2006/lockedCanvas" xmlns:ns28="http://schemas.openxmlformats.org/drawingml/2006/compatibility" xmlns:ns27="http://schemas.openxmlformats.org/officeDocument/2006/bibliography" xmlns:odgm="http://opendope.org/SmartArt/DataHierarchy" xmlns:odi="http://opendope.org/components" xmlns:oda="http://opendope.org/answers" xmlns:odq="http://opendope.org/questions" xmlns:odc="http://opendope.org/conditions" xmlns:odx="http://opendope.org/xpaths" xmlns:ns20="http://schemas.microsoft.com/office/2006/coverPageProps" xmlns:ns18="urn:schemas-microsoft-com:office:powerpoint" xmlns:w10="urn:schemas-microsoft-com:office:word" xmlns:v="urn:schemas-microsoft-com:vml" xmlns:o="urn:schemas-microsoft-com:office:office" xmlns:ns14="urn:schemas-microsoft-com:office:excel" xmlns:dsp="http://schemas.microsoft.com/office/drawing/2008/diagram" xmlns:xdr="http://schemas.openxmlformats.org/drawingml/2006/spreadsheetDrawing" xmlns:pic="http://schemas.openxmlformats.org/drawingml/2006/picture" xmlns:dgm="http://schemas.openxmlformats.org/drawingml/2006/diagram" xmlns:ns9="http://schemas.openxmlformats.org/drawingml/2006/chartDrawing" xmlns:wne="http://schemas.microsoft.com/office/word/2006/wordml" xmlns:ns6="http://schemas.openxmlformats.org/schemaLibrary/2006/main" xmlns:wp="http://schemas.openxmlformats.org/drawingml/2006/wordprocessingDrawing" xmlns:m="http://schemas.openxmlformats.org/officeDocument/2006/math" xmlns:w="http://schemas.openxmlformats.org/wordprocessingml/2006/main">
            <c:ext uri="{C3380CC4-5D6E-409C-BE32-E72D297353CC}">
              <c16:uniqueId xmlns:c16="http://schemas.microsoft.com/office/drawing/2014/chart" xmlns:c16r2="http://schemas.microsoft.com/office/drawing/2015/06/chart" val="{00000005-A51D-4B48-8DCD-53AD945545D5}"/>
            </c:ext>
          </c:extLst>
        </c:ser>
        <c:ser>
          <c:idx val="6"/>
          <c:order val="6"/>
          <c:tx>
            <c:strRef>
              <c:f>Calculations!$B$302</c:f>
              <c:strCache>
                <c:ptCount val="1"/>
                <c:pt idx="0">
                  <c:v>Sunday</c:v>
                </c:pt>
              </c:strCache>
            </c:strRef>
          </c:tx>
          <c:spPr>
            <a:gradFill flip="none" rotWithShape="1">
              <a:gsLst>
                <a:gs pos="0">
                  <a:srgbClr val="356994"/>
                </a:gs>
                <a:gs pos="100000">
                  <a:srgbClr val="61B7FD"/>
                </a:gs>
                <a:gs pos="50000">
                  <a:srgbClr val="5099D5"/>
                </a:gs>
              </a:gsLst>
              <a:lin ang="0" scaled="1"/>
              <a:tileRect/>
            </a:gradFill>
            <a:ln w="12700">
              <a:solidFill>
                <a:srgbClr val="61B7FD"/>
              </a:solidFill>
            </a:ln>
          </c:spPr>
          <c:invertIfNegative val="0"/>
          <c:cat>
            <c:numRef>
              <c:f>Calculations!$C$295:$Z$295</c:f>
              <c:numCache>
                <c:formatCode>h:mm</c:formatCode>
                <c:ptCount val="24"/>
                <c:pt idx="0">
                  <c:v>0</c:v>
                </c:pt>
                <c:pt idx="1">
                  <c:v>4.1666666666666664E-2</c:v>
                </c:pt>
                <c:pt idx="2">
                  <c:v>8.3333333333333329E-2</c:v>
                </c:pt>
                <c:pt idx="3">
                  <c:v>0.125</c:v>
                </c:pt>
                <c:pt idx="4">
                  <c:v>0.16666666666666666</c:v>
                </c:pt>
                <c:pt idx="5">
                  <c:v>0.20833333333333331</c:v>
                </c:pt>
                <c:pt idx="6">
                  <c:v>0.24999999999999997</c:v>
                </c:pt>
                <c:pt idx="7">
                  <c:v>0.29166666666666663</c:v>
                </c:pt>
                <c:pt idx="8">
                  <c:v>0.33333333333333331</c:v>
                </c:pt>
                <c:pt idx="9">
                  <c:v>0.375</c:v>
                </c:pt>
                <c:pt idx="10">
                  <c:v>0.41666666666666669</c:v>
                </c:pt>
                <c:pt idx="11">
                  <c:v>0.45833333333333337</c:v>
                </c:pt>
                <c:pt idx="12">
                  <c:v>0.5</c:v>
                </c:pt>
                <c:pt idx="13">
                  <c:v>0.54166666666666663</c:v>
                </c:pt>
                <c:pt idx="14">
                  <c:v>0.58333333333333326</c:v>
                </c:pt>
                <c:pt idx="15">
                  <c:v>0.62499999999999989</c:v>
                </c:pt>
                <c:pt idx="16">
                  <c:v>0.66666666666666652</c:v>
                </c:pt>
                <c:pt idx="17">
                  <c:v>0.70833333333333315</c:v>
                </c:pt>
                <c:pt idx="18">
                  <c:v>0.74999999999999978</c:v>
                </c:pt>
                <c:pt idx="19">
                  <c:v>0.79166666666666641</c:v>
                </c:pt>
                <c:pt idx="20">
                  <c:v>0.83333333333333304</c:v>
                </c:pt>
                <c:pt idx="21">
                  <c:v>0.87499999999999967</c:v>
                </c:pt>
                <c:pt idx="22">
                  <c:v>0.9166666666666663</c:v>
                </c:pt>
                <c:pt idx="23">
                  <c:v>0.95833333333333293</c:v>
                </c:pt>
              </c:numCache>
            </c:numRef>
          </c:cat>
          <c:val>
            <c:numRef>
              <c:f>Calculations!$C$302:$Z$302</c:f>
              <c:numCache>
                <c:formatCode>#,##0</c:formatCode>
                <c:ptCount val="24"/>
                <c:pt idx="0">
                  <c:v>20</c:v>
                </c:pt>
                <c:pt idx="1">
                  <c:v>16</c:v>
                </c:pt>
                <c:pt idx="2">
                  <c:v>17</c:v>
                </c:pt>
                <c:pt idx="3">
                  <c:v>23</c:v>
                </c:pt>
                <c:pt idx="4">
                  <c:v>30</c:v>
                </c:pt>
                <c:pt idx="5">
                  <c:v>29</c:v>
                </c:pt>
                <c:pt idx="6">
                  <c:v>29</c:v>
                </c:pt>
                <c:pt idx="7">
                  <c:v>31</c:v>
                </c:pt>
                <c:pt idx="8">
                  <c:v>29</c:v>
                </c:pt>
                <c:pt idx="9">
                  <c:v>34</c:v>
                </c:pt>
                <c:pt idx="10">
                  <c:v>40</c:v>
                </c:pt>
                <c:pt idx="11">
                  <c:v>45</c:v>
                </c:pt>
                <c:pt idx="12">
                  <c:v>43</c:v>
                </c:pt>
                <c:pt idx="13">
                  <c:v>51</c:v>
                </c:pt>
                <c:pt idx="14">
                  <c:v>48</c:v>
                </c:pt>
                <c:pt idx="15">
                  <c:v>56</c:v>
                </c:pt>
                <c:pt idx="16">
                  <c:v>39</c:v>
                </c:pt>
                <c:pt idx="17">
                  <c:v>22</c:v>
                </c:pt>
                <c:pt idx="18">
                  <c:v>30</c:v>
                </c:pt>
                <c:pt idx="19">
                  <c:v>26</c:v>
                </c:pt>
                <c:pt idx="20">
                  <c:v>20</c:v>
                </c:pt>
                <c:pt idx="21">
                  <c:v>20</c:v>
                </c:pt>
                <c:pt idx="22">
                  <c:v>30</c:v>
                </c:pt>
                <c:pt idx="23">
                  <c:v>20</c:v>
                </c:pt>
              </c:numCache>
            </c:numRef>
          </c:val>
          <c:extLst xmlns:prop="http://schemas.openxmlformats.org/officeDocument/2006/custom-properties" xmlns:xs="http://www.w3.org/2001/XMLSchema" xmlns:mc="http://schemas.openxmlformats.org/markup-compatibility/2006" xmlns:WX="http://schemas.microsoft.com/office/word/2003/auxHint" xmlns:properties="http://schemas.openxmlformats.org/officeDocument/2006/extended-properties" xmlns:dc="http://purl.org/dc/elements/1.1/" xmlns:ds="http://schemas.openxmlformats.org/officeDocument/2006/customXml" xmlns:cp="http://schemas.openxmlformats.org/package/2006/metadata/core-properties" xmlns:w15="http://schemas.microsoft.com/office/word/2012/wordml" xmlns:ns40="http://schemas.openxmlformats.org/spreadsheetml/2006/main" xmlns:p="http://schemas.openxmlformats.org/presentationml/2006/main" xmlns:dcterms="http://purl.org/dc/terms/" xmlns:rel="http://schemas.openxmlformats.org/package/2006/relationships" xmlns:pkg="http://schemas.microsoft.com/office/2006/xmlPackage" xmlns:vt="http://schemas.openxmlformats.org/officeDocument/2006/docPropsVTypes" xmlns:xf="http://www.w3.org/2002/xforms" xmlns:w14="http://schemas.microsoft.com/office/word/2010/wordml" xmlns:xsi="http://www.w3.org/2001/XMLSchema-instance" xmlns:aml="http://schemas.microsoft.com/aml/2001/core" xmlns:xe="http://www.w3.org/2001/xml-events" xmlns:ns29="http://schemas.openxmlformats.org/drawingml/2006/lockedCanvas" xmlns:ns28="http://schemas.openxmlformats.org/drawingml/2006/compatibility" xmlns:ns27="http://schemas.openxmlformats.org/officeDocument/2006/bibliography" xmlns:odgm="http://opendope.org/SmartArt/DataHierarchy" xmlns:odi="http://opendope.org/components" xmlns:oda="http://opendope.org/answers" xmlns:odq="http://opendope.org/questions" xmlns:odc="http://opendope.org/conditions" xmlns:odx="http://opendope.org/xpaths" xmlns:ns20="http://schemas.microsoft.com/office/2006/coverPageProps" xmlns:ns18="urn:schemas-microsoft-com:office:powerpoint" xmlns:w10="urn:schemas-microsoft-com:office:word" xmlns:v="urn:schemas-microsoft-com:vml" xmlns:o="urn:schemas-microsoft-com:office:office" xmlns:ns14="urn:schemas-microsoft-com:office:excel" xmlns:dsp="http://schemas.microsoft.com/office/drawing/2008/diagram" xmlns:xdr="http://schemas.openxmlformats.org/drawingml/2006/spreadsheetDrawing" xmlns:pic="http://schemas.openxmlformats.org/drawingml/2006/picture" xmlns:dgm="http://schemas.openxmlformats.org/drawingml/2006/diagram" xmlns:ns9="http://schemas.openxmlformats.org/drawingml/2006/chartDrawing" xmlns:wne="http://schemas.microsoft.com/office/word/2006/wordml" xmlns:ns6="http://schemas.openxmlformats.org/schemaLibrary/2006/main" xmlns:wp="http://schemas.openxmlformats.org/drawingml/2006/wordprocessingDrawing" xmlns:m="http://schemas.openxmlformats.org/officeDocument/2006/math" xmlns:w="http://schemas.openxmlformats.org/wordprocessingml/2006/main">
            <c:ext uri="{C3380CC4-5D6E-409C-BE32-E72D297353CC}">
              <c16:uniqueId xmlns:c16="http://schemas.microsoft.com/office/drawing/2014/chart" xmlns:c16r2="http://schemas.microsoft.com/office/drawing/2015/06/chart" val="{00000006-A51D-4B48-8DCD-53AD945545D5}"/>
            </c:ext>
          </c:extLst>
        </c:ser>
        <c:dLbls>
          <c:showLegendKey val="0"/>
          <c:showVal val="0"/>
          <c:showCatName val="0"/>
          <c:showSerName val="0"/>
          <c:showPercent val="0"/>
          <c:showBubbleSize val="0"/>
        </c:dLbls>
        <c:gapWidth val="500"/>
        <c:overlap val="100"/>
        <c:axId val="336006976"/>
        <c:axId val="336007368"/>
      </c:barChart>
      <c:catAx>
        <c:axId val="336006976"/>
        <c:scaling>
          <c:orientation val="minMax"/>
        </c:scaling>
        <c:delete val="0"/>
        <c:axPos val="b"/>
        <c:numFmt formatCode="[$-409]h\ AM/PM;@" sourceLinked="0"/>
        <c:majorTickMark val="none"/>
        <c:minorTickMark val="none"/>
        <c:tickLblPos val="nextTo"/>
        <c:spPr>
          <a:noFill/>
          <a:ln>
            <a:solidFill>
              <a:srgbClr val="969696"/>
            </a:solidFill>
          </a:ln>
        </c:spPr>
        <c:txPr>
          <a:bodyPr rot="0" vert="horz"/>
          <a:lstStyle/>
          <a:p>
            <a:pPr>
              <a:defRPr sz="800" b="1">
                <a:solidFill>
                  <a:srgbClr val="C8C8C8"/>
                </a:solidFill>
                <a:latin typeface="Calibri"/>
                <a:ea typeface="Calibri"/>
                <a:cs typeface="Calibri"/>
              </a:defRPr>
            </a:pPr>
            <a:endParaRPr lang="en-US"/>
          </a:p>
        </c:txPr>
        <c:crossAx val="336007368"/>
        <c:crosses val="autoZero"/>
        <c:auto val="0"/>
        <c:lblAlgn val="ctr"/>
        <c:lblOffset val="50"/>
        <c:tickLblSkip val="3"/>
        <c:noMultiLvlLbl val="1"/>
      </c:catAx>
      <c:valAx>
        <c:axId val="336007368"/>
        <c:scaling>
          <c:orientation val="minMax"/>
        </c:scaling>
        <c:delete val="0"/>
        <c:axPos val="l"/>
        <c:title>
          <c:tx>
            <c:rich>
              <a:bodyPr rot="-5400000" vert="horz"/>
              <a:lstStyle/>
              <a:p>
                <a:pPr>
                  <a:defRPr sz="1000" b="0">
                    <a:solidFill>
                      <a:srgbClr val="B4B4B4"/>
                    </a:solidFill>
                    <a:latin typeface="Calibri"/>
                    <a:ea typeface="Calibri"/>
                    <a:cs typeface="Calibri"/>
                  </a:defRPr>
                </a:pPr>
                <a:r>
                  <a:rPr lang="en-US"/>
                  <a:t>Posts</a:t>
                </a:r>
              </a:p>
            </c:rich>
          </c:tx>
          <c:layout>
            <c:manualLayout>
              <c:xMode val="edge"/>
              <c:yMode val="edge"/>
              <c:x val="1.886145404663923E-2"/>
              <c:y val="0.29614869569875196"/>
            </c:manualLayout>
          </c:layout>
          <c:overlay val="0"/>
        </c:title>
        <c:numFmt formatCode="[&gt;=1000000].0,,&quot;M&quot;;[&gt;=1000].0,&quot;K&quot;;#,##0" sourceLinked="0"/>
        <c:majorTickMark val="out"/>
        <c:minorTickMark val="none"/>
        <c:tickLblPos val="nextTo"/>
        <c:spPr>
          <a:ln>
            <a:solidFill>
              <a:srgbClr val="969696"/>
            </a:solidFill>
          </a:ln>
        </c:spPr>
        <c:txPr>
          <a:bodyPr/>
          <a:lstStyle/>
          <a:p>
            <a:pPr>
              <a:defRPr sz="800" b="0">
                <a:solidFill>
                  <a:srgbClr val="A0A0A0"/>
                </a:solidFill>
                <a:latin typeface="Calibri"/>
                <a:ea typeface="Calibri"/>
                <a:cs typeface="Calibri"/>
              </a:defRPr>
            </a:pPr>
            <a:endParaRPr lang="en-US"/>
          </a:p>
        </c:txPr>
        <c:crossAx val="336006976"/>
        <c:crosses val="autoZero"/>
        <c:crossBetween val="between"/>
      </c:valAx>
      <c:spPr>
        <a:gradFill flip="none" rotWithShape="1">
          <a:gsLst>
            <a:gs pos="0">
              <a:srgbClr val="262626"/>
            </a:gs>
            <a:gs pos="60000">
              <a:srgbClr val="151515"/>
            </a:gs>
          </a:gsLst>
          <a:lin ang="5400000" scaled="1"/>
          <a:tileRect/>
        </a:gradFill>
        <a:ln w="12700">
          <a:solidFill>
            <a:srgbClr val="262626"/>
          </a:solidFill>
        </a:ln>
      </c:spPr>
    </c:plotArea>
    <c:plotVisOnly val="1"/>
    <c:dispBlanksAs val="gap"/>
    <c:showDLblsOverMax val="0"/>
  </c:chart>
  <c:spPr>
    <a:noFill/>
    <a:ln w="2540">
      <a:noFill/>
    </a:ln>
  </c:spPr>
  <c:txPr>
    <a:bodyPr/>
    <a:lstStyle/>
    <a:p>
      <a:pPr>
        <a:defRPr>
          <a:solidFill>
            <a:srgbClr val="FFFFFF"/>
          </a:solidFill>
        </a:defRPr>
      </a:pPr>
      <a:endParaRPr lang="en-US"/>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3" Type="http://schemas.openxmlformats.org/officeDocument/2006/relationships/chart" Target="../charts/chart1.xml"/><Relationship Id="rId18" Type="http://schemas.openxmlformats.org/officeDocument/2006/relationships/chart" Target="../charts/chart6.xml"/><Relationship Id="rId26" Type="http://schemas.openxmlformats.org/officeDocument/2006/relationships/chart" Target="../charts/chart14.xml"/><Relationship Id="rId39" Type="http://schemas.openxmlformats.org/officeDocument/2006/relationships/hyperlink" Target="http://www.instagram.com/travellingpreneur" TargetMode="External"/><Relationship Id="rId21" Type="http://schemas.openxmlformats.org/officeDocument/2006/relationships/chart" Target="../charts/chart9.xml"/><Relationship Id="rId34" Type="http://schemas.openxmlformats.org/officeDocument/2006/relationships/hyperlink" Target="https://www.instagram.com/p/BYf2J6jgDsU/" TargetMode="External"/><Relationship Id="rId42" Type="http://schemas.openxmlformats.org/officeDocument/2006/relationships/hyperlink" Target="https://www.instagram.com/p/BYQZZk6AFhl/" TargetMode="External"/><Relationship Id="rId47" Type="http://schemas.openxmlformats.org/officeDocument/2006/relationships/image" Target="https://scontent.cdninstagram.com/t51.2885-15/e35/p320x320/21371995_472132196489809_4939476801471643648_n.jpg" TargetMode="External"/><Relationship Id="rId50" Type="http://schemas.openxmlformats.org/officeDocument/2006/relationships/image" Target="https://scontent.cdninstagram.com/t51.2885-19/s150x150/20393543_1934212136849681_3649587423995756544_a.jpg" TargetMode="External"/><Relationship Id="rId55" Type="http://schemas.openxmlformats.org/officeDocument/2006/relationships/image" Target="https://scontent.cdninstagram.com/t51.2885-15/s320x320/e35/c1.0.1077.1077/20904941_288521541628279_3496279695941435392_n.jpg" TargetMode="External"/><Relationship Id="rId7" Type="http://schemas.openxmlformats.org/officeDocument/2006/relationships/image" Target="http://report-assets.simplymeasured.com.s3.amazonaws.com/badges/badge_large_instagram.png" TargetMode="External"/><Relationship Id="rId12" Type="http://schemas.openxmlformats.org/officeDocument/2006/relationships/image" Target="../media/image1.png"/><Relationship Id="rId17" Type="http://schemas.openxmlformats.org/officeDocument/2006/relationships/chart" Target="../charts/chart5.xml"/><Relationship Id="rId25" Type="http://schemas.openxmlformats.org/officeDocument/2006/relationships/chart" Target="../charts/chart13.xml"/><Relationship Id="rId33" Type="http://schemas.openxmlformats.org/officeDocument/2006/relationships/image" Target="https://scontent.cdninstagram.com/t51.2885-15/s320x320/e35/21149556_1155721454528827_2265799628953747456_n.jpg" TargetMode="External"/><Relationship Id="rId38" Type="http://schemas.openxmlformats.org/officeDocument/2006/relationships/hyperlink" Target="https://www.instagram.com/p/BX3tvimFYQq/" TargetMode="External"/><Relationship Id="rId46" Type="http://schemas.openxmlformats.org/officeDocument/2006/relationships/image" Target="https://scontent.cdninstagram.com/t51.2885-19/10957245_455817094569962_2104117377_a.jpg" TargetMode="External"/><Relationship Id="rId59" Type="http://schemas.openxmlformats.org/officeDocument/2006/relationships/chart" Target="../charts/chart16.xml"/><Relationship Id="rId2" Type="http://schemas.openxmlformats.org/officeDocument/2006/relationships/image" Target="http://report-assets.simplymeasured.com.s3.amazonaws.com/badges/overlay.png" TargetMode="External"/><Relationship Id="rId16" Type="http://schemas.openxmlformats.org/officeDocument/2006/relationships/chart" Target="../charts/chart4.xml"/><Relationship Id="rId20" Type="http://schemas.openxmlformats.org/officeDocument/2006/relationships/chart" Target="../charts/chart8.xml"/><Relationship Id="rId29" Type="http://schemas.openxmlformats.org/officeDocument/2006/relationships/hyperlink" Target="https://www.instagram.com/p/BX3jXkDBw6e/" TargetMode="External"/><Relationship Id="rId41" Type="http://schemas.openxmlformats.org/officeDocument/2006/relationships/image" Target="https://scontent.cdninstagram.com/t51.2885-15/s320x320/e35/21042251_992942294181476_5982288044827344896_n.jpg" TargetMode="External"/><Relationship Id="rId54" Type="http://schemas.openxmlformats.org/officeDocument/2006/relationships/image" Target="https://scontent.cdninstagram.com/t51.2885-19/s150x150/20901883_335976760174841_3990104521555574784_a.jpg" TargetMode="External"/><Relationship Id="rId1" Type="http://schemas.openxmlformats.org/officeDocument/2006/relationships/image" Target="https://scontent.cdninstagram.com/t51.2885-15/s320x320/e35/c0.120.1080.1080/20766760_341336186298079_5231522281108275200_n.jpg" TargetMode="External"/><Relationship Id="rId6" Type="http://schemas.openxmlformats.org/officeDocument/2006/relationships/image" Target="https://scontent.cdninstagram.com/t51.2885-19/s150x150/20590169_479014342471076_6624097063841824768_n.jpg" TargetMode="External"/><Relationship Id="rId11" Type="http://schemas.openxmlformats.org/officeDocument/2006/relationships/image" Target="https://scontent.cdninstagram.com/t51.2885-19/s150x150/20686934_477338145979101_8222415331402973184_a.jpg" TargetMode="External"/><Relationship Id="rId24" Type="http://schemas.openxmlformats.org/officeDocument/2006/relationships/chart" Target="../charts/chart12.xml"/><Relationship Id="rId32" Type="http://schemas.openxmlformats.org/officeDocument/2006/relationships/image" Target="http://report-assets.simplymeasured.com.s3.amazonaws.com/badges/badge_small_instagram.png" TargetMode="External"/><Relationship Id="rId37" Type="http://schemas.openxmlformats.org/officeDocument/2006/relationships/image" Target="https://scontent.cdninstagram.com/t51.2885-15/s320x320/e35/20905093_1742238262746732_382224073272328192_n.jpg" TargetMode="External"/><Relationship Id="rId40" Type="http://schemas.openxmlformats.org/officeDocument/2006/relationships/image" Target="https://scontent.cdninstagram.com/t51.2885-19/s150x150/20067107_316195015491609_2119457770917855232_a.jpg" TargetMode="External"/><Relationship Id="rId45" Type="http://schemas.openxmlformats.org/officeDocument/2006/relationships/hyperlink" Target="http://www.instagram.com/ourfamilynest" TargetMode="External"/><Relationship Id="rId53" Type="http://schemas.openxmlformats.org/officeDocument/2006/relationships/hyperlink" Target="http://www.instagram.com/ariletmestyleu" TargetMode="External"/><Relationship Id="rId58" Type="http://schemas.openxmlformats.org/officeDocument/2006/relationships/image" Target="http://app.simplymeasured.com/viewer/pjt23idq7pu4gpj5y4ljml2r33lbsu/track?tab_name=Charts" TargetMode="External"/><Relationship Id="rId5" Type="http://schemas.openxmlformats.org/officeDocument/2006/relationships/hyperlink" Target="http://www.instagram.com/annie_rose_cole" TargetMode="External"/><Relationship Id="rId15" Type="http://schemas.openxmlformats.org/officeDocument/2006/relationships/chart" Target="../charts/chart3.xml"/><Relationship Id="rId23" Type="http://schemas.openxmlformats.org/officeDocument/2006/relationships/chart" Target="../charts/chart11.xml"/><Relationship Id="rId28" Type="http://schemas.openxmlformats.org/officeDocument/2006/relationships/image" Target="https://scontent.cdninstagram.com/t51.2885-15/s320x320/e35/c0.93.750.750/20905346_123990334900952_8245638434320809984_n.jpg" TargetMode="External"/><Relationship Id="rId36" Type="http://schemas.openxmlformats.org/officeDocument/2006/relationships/image" Target="https://scontent.cdninstagram.com/t51.2885-19/s150x150/12357356_524081691094860_312972369_a.jpg" TargetMode="External"/><Relationship Id="rId49" Type="http://schemas.openxmlformats.org/officeDocument/2006/relationships/hyperlink" Target="http://www.instagram.com/stoked.travels" TargetMode="External"/><Relationship Id="rId57" Type="http://schemas.openxmlformats.org/officeDocument/2006/relationships/hyperlink" Target="http://www.simplymeasured.com" TargetMode="External"/><Relationship Id="rId10" Type="http://schemas.openxmlformats.org/officeDocument/2006/relationships/hyperlink" Target="http://www.instagram.com/martacarriedo" TargetMode="External"/><Relationship Id="rId19" Type="http://schemas.openxmlformats.org/officeDocument/2006/relationships/chart" Target="../charts/chart7.xml"/><Relationship Id="rId31" Type="http://schemas.openxmlformats.org/officeDocument/2006/relationships/image" Target="https://scontent.cdninstagram.com/t51.2885-19/s150x150/20634925_1965969516973957_229508264725839872_a.jpg" TargetMode="External"/><Relationship Id="rId44" Type="http://schemas.openxmlformats.org/officeDocument/2006/relationships/hyperlink" Target="https://www.instagram.com/p/BYbuatpDfnB/" TargetMode="External"/><Relationship Id="rId52" Type="http://schemas.openxmlformats.org/officeDocument/2006/relationships/hyperlink" Target="https://www.instagram.com/p/BY0lz_pHDxZ/" TargetMode="External"/><Relationship Id="rId60" Type="http://schemas.openxmlformats.org/officeDocument/2006/relationships/chart" Target="../charts/chart17.xml"/><Relationship Id="rId4" Type="http://schemas.openxmlformats.org/officeDocument/2006/relationships/image" Target="http://report-assets.simplymeasured.com.s3.amazonaws.com/badges/transparent.gif" TargetMode="External"/><Relationship Id="rId9" Type="http://schemas.openxmlformats.org/officeDocument/2006/relationships/hyperlink" Target="https://www.instagram.com/p/BX4oRYqFb01/" TargetMode="External"/><Relationship Id="rId14" Type="http://schemas.openxmlformats.org/officeDocument/2006/relationships/chart" Target="../charts/chart2.xml"/><Relationship Id="rId22" Type="http://schemas.openxmlformats.org/officeDocument/2006/relationships/chart" Target="../charts/chart10.xml"/><Relationship Id="rId27" Type="http://schemas.openxmlformats.org/officeDocument/2006/relationships/chart" Target="../charts/chart15.xml"/><Relationship Id="rId30" Type="http://schemas.openxmlformats.org/officeDocument/2006/relationships/hyperlink" Target="http://www.instagram.com/thiagofragoso" TargetMode="External"/><Relationship Id="rId35" Type="http://schemas.openxmlformats.org/officeDocument/2006/relationships/hyperlink" Target="http://www.instagram.com/millionaire.dream" TargetMode="External"/><Relationship Id="rId43" Type="http://schemas.openxmlformats.org/officeDocument/2006/relationships/image" Target="https://scontent.cdninstagram.com/t51.2885-15/s320x320/e35/21149451_1198274676983386_389137475970269184_n.jpg" TargetMode="External"/><Relationship Id="rId48" Type="http://schemas.openxmlformats.org/officeDocument/2006/relationships/hyperlink" Target="https://www.instagram.com/p/BYo9xOOnyrx/" TargetMode="External"/><Relationship Id="rId56" Type="http://schemas.openxmlformats.org/officeDocument/2006/relationships/hyperlink" Target="https://www.instagram.com/p/BYAoSyvANc8/" TargetMode="External"/><Relationship Id="rId8" Type="http://schemas.openxmlformats.org/officeDocument/2006/relationships/image" Target="https://scontent.cdninstagram.com/t51.2885-15/s320x320/e35/c0.135.1080.1080/20905197_1932156630371948_281997687115481088_n.jpg" TargetMode="External"/><Relationship Id="rId51" Type="http://schemas.openxmlformats.org/officeDocument/2006/relationships/image" Target="https://scontent.cdninstagram.com/t51.2885-15/s320x320/e35/21479734_326603924417210_7126702318732443648_n.jpg" TargetMode="External"/><Relationship Id="rId3" Type="http://schemas.openxmlformats.org/officeDocument/2006/relationships/hyperlink" Target="https://www.instagram.com/p/BXswZ8PnM8g/" TargetMode="External"/></Relationships>
</file>

<file path=xl/drawings/_rels/drawing10.xml.rels><?xml version="1.0" encoding="UTF-8" standalone="yes"?>
<Relationships xmlns="http://schemas.openxmlformats.org/package/2006/relationships"><Relationship Id="rId2" Type="http://schemas.openxmlformats.org/officeDocument/2006/relationships/image" Target="http://app.simplymeasured.com/viewer/pjt23idq7pu4gpj5y4ljml2r33lbsu/track?tab_name=People" TargetMode="External"/><Relationship Id="rId1" Type="http://schemas.openxmlformats.org/officeDocument/2006/relationships/hyperlink" Target="http://www.simplymeasured.com" TargetMode="External"/></Relationships>
</file>

<file path=xl/drawings/_rels/drawing11.xml.rels><?xml version="1.0" encoding="UTF-8" standalone="yes"?>
<Relationships xmlns="http://schemas.openxmlformats.org/package/2006/relationships"><Relationship Id="rId2" Type="http://schemas.openxmlformats.org/officeDocument/2006/relationships/image" Target="http://app.simplymeasured.com/viewer/pjt23idq7pu4gpj5y4ljml2r33lbsu/track?tab_name=Filters" TargetMode="External"/><Relationship Id="rId1" Type="http://schemas.openxmlformats.org/officeDocument/2006/relationships/hyperlink" Target="http://www.simplymeasured.com" TargetMode="External"/></Relationships>
</file>

<file path=xl/drawings/_rels/drawing12.xml.rels><?xml version="1.0" encoding="UTF-8" standalone="yes"?>
<Relationships xmlns="http://schemas.openxmlformats.org/package/2006/relationships"><Relationship Id="rId2" Type="http://schemas.openxmlformats.org/officeDocument/2006/relationships/image" Target="NULL" TargetMode="External"/><Relationship Id="rId1" Type="http://schemas.openxmlformats.org/officeDocument/2006/relationships/hyperlink" Target="http://www.simplymeasured.com" TargetMode="External"/></Relationships>
</file>

<file path=xl/drawings/_rels/drawing13.xml.rels><?xml version="1.0" encoding="UTF-8" standalone="yes"?>
<Relationships xmlns="http://schemas.openxmlformats.org/package/2006/relationships"><Relationship Id="rId2" Type="http://schemas.openxmlformats.org/officeDocument/2006/relationships/image" Target="http://app.simplymeasured.com/viewer/pjt23idq7pu4gpj5y4ljml2r33lbsu/track?tab_name=Cities" TargetMode="External"/><Relationship Id="rId1" Type="http://schemas.openxmlformats.org/officeDocument/2006/relationships/hyperlink" Target="http://www.simplymeasured.com" TargetMode="External"/></Relationships>
</file>

<file path=xl/drawings/_rels/drawing14.xml.rels><?xml version="1.0" encoding="UTF-8" standalone="yes"?>
<Relationships xmlns="http://schemas.openxmlformats.org/package/2006/relationships"><Relationship Id="rId2" Type="http://schemas.openxmlformats.org/officeDocument/2006/relationships/image" Target="http://app.simplymeasured.com/viewer/pjt23idq7pu4gpj5y4ljml2r33lbsu/track?tab_name=Countries" TargetMode="External"/><Relationship Id="rId1" Type="http://schemas.openxmlformats.org/officeDocument/2006/relationships/hyperlink" Target="http://www.simplymeasured.com" TargetMode="External"/></Relationships>
</file>

<file path=xl/drawings/_rels/drawing15.xml.rels><?xml version="1.0" encoding="UTF-8" standalone="yes"?>
<Relationships xmlns="http://schemas.openxmlformats.org/package/2006/relationships"><Relationship Id="rId2" Type="http://schemas.openxmlformats.org/officeDocument/2006/relationships/image" Target="http://app.simplymeasured.com/viewer/pjt23idq7pu4gpj5y4ljml2r33lbsu/track?tab_name=Terms" TargetMode="External"/><Relationship Id="rId1" Type="http://schemas.openxmlformats.org/officeDocument/2006/relationships/hyperlink" Target="http://www.simplymeasured.com" TargetMode="External"/></Relationships>
</file>

<file path=xl/drawings/_rels/drawing16.xml.rels><?xml version="1.0" encoding="UTF-8" standalone="yes"?>
<Relationships xmlns="http://schemas.openxmlformats.org/package/2006/relationships"><Relationship Id="rId2" Type="http://schemas.openxmlformats.org/officeDocument/2006/relationships/image" Target="http://app.simplymeasured.com/viewer/pjt23idq7pu4gpj5y4ljml2r33lbsu/track?tab_name=PreviousPeople" TargetMode="External"/><Relationship Id="rId1" Type="http://schemas.openxmlformats.org/officeDocument/2006/relationships/hyperlink" Target="http://www.simplymeasured.com" TargetMode="External"/></Relationships>
</file>

<file path=xl/drawings/_rels/drawing17.xml.rels><?xml version="1.0" encoding="UTF-8" standalone="yes"?>
<Relationships xmlns="http://schemas.openxmlformats.org/package/2006/relationships"><Relationship Id="rId2" Type="http://schemas.openxmlformats.org/officeDocument/2006/relationships/image" Target="NULL" TargetMode="External"/><Relationship Id="rId1" Type="http://schemas.openxmlformats.org/officeDocument/2006/relationships/hyperlink" Target="http://www.simplymeasured.com" TargetMode="External"/></Relationships>
</file>

<file path=xl/drawings/_rels/drawing18.xml.rels><?xml version="1.0" encoding="UTF-8" standalone="yes"?>
<Relationships xmlns="http://schemas.openxmlformats.org/package/2006/relationships"><Relationship Id="rId2" Type="http://schemas.openxmlformats.org/officeDocument/2006/relationships/image" Target="http://app.simplymeasured.com/viewer/pjt23idq7pu4gpj5y4ljml2r33lbsu/track?tab_name=TopMedia" TargetMode="External"/><Relationship Id="rId1" Type="http://schemas.openxmlformats.org/officeDocument/2006/relationships/hyperlink" Target="http://www.simplymeasured.com" TargetMode="External"/></Relationships>
</file>

<file path=xl/drawings/_rels/drawing19.xml.rels><?xml version="1.0" encoding="UTF-8" standalone="yes"?>
<Relationships xmlns="http://schemas.openxmlformats.org/package/2006/relationships"><Relationship Id="rId2" Type="http://schemas.openxmlformats.org/officeDocument/2006/relationships/image" Target="http://app.simplymeasured.com/viewer/pjt23idq7pu4gpj5y4ljml2r33lbsu/track?tab_name=Definitions" TargetMode="External"/><Relationship Id="rId1" Type="http://schemas.openxmlformats.org/officeDocument/2006/relationships/hyperlink" Target="http://www.simplymeasured.com" TargetMode="External"/></Relationships>
</file>

<file path=xl/drawings/_rels/drawing2.xml.rels><?xml version="1.0" encoding="UTF-8" standalone="yes"?>
<Relationships xmlns="http://schemas.openxmlformats.org/package/2006/relationships"><Relationship Id="rId3" Type="http://schemas.openxmlformats.org/officeDocument/2006/relationships/image" Target="http://app.simplymeasured.com/viewer/pjt23idq7pu4gpj5y4ljml2r33lbsu/track?tab_name=Scorecard" TargetMode="External"/><Relationship Id="rId2" Type="http://schemas.openxmlformats.org/officeDocument/2006/relationships/hyperlink" Target="http://www.simplymeasured.com" TargetMode="External"/><Relationship Id="rId1" Type="http://schemas.openxmlformats.org/officeDocument/2006/relationships/image" Target="../media/image2.png"/><Relationship Id="rId4" Type="http://schemas.openxmlformats.org/officeDocument/2006/relationships/image" Target="http://report-assets.simplymeasured.com.s3.amazonaws.com/external_images/trackpixel.gif?1" TargetMode="External"/></Relationships>
</file>

<file path=xl/drawings/_rels/drawing3.xml.rels><?xml version="1.0" encoding="UTF-8" standalone="yes"?>
<Relationships xmlns="http://schemas.openxmlformats.org/package/2006/relationships"><Relationship Id="rId3" Type="http://schemas.openxmlformats.org/officeDocument/2006/relationships/image" Target="http://app.simplymeasured.com/viewer/pjt23idq7pu4gpj5y4ljml2r33lbsu/track?tab_name=Appendix" TargetMode="External"/><Relationship Id="rId2" Type="http://schemas.openxmlformats.org/officeDocument/2006/relationships/hyperlink" Target="http://www.simplymeasured.com" TargetMode="External"/><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http://app.simplymeasured.com/viewer/pjt23idq7pu4gpj5y4ljml2r33lbsu/track?tab_name=Tables" TargetMode="External"/><Relationship Id="rId1" Type="http://schemas.openxmlformats.org/officeDocument/2006/relationships/hyperlink" Target="http://www.simplymeasured.com" TargetMode="External"/></Relationships>
</file>

<file path=xl/drawings/_rels/drawing5.xml.rels><?xml version="1.0" encoding="UTF-8" standalone="yes"?>
<Relationships xmlns="http://schemas.openxmlformats.org/package/2006/relationships"><Relationship Id="rId2" Type="http://schemas.openxmlformats.org/officeDocument/2006/relationships/image" Target="http://app.simplymeasured.com/viewer/pjt23idq7pu4gpj5y4ljml2r33lbsu/track?tab_name=Controls" TargetMode="External"/><Relationship Id="rId1" Type="http://schemas.openxmlformats.org/officeDocument/2006/relationships/hyperlink" Target="http://www.simplymeasured.com" TargetMode="External"/></Relationships>
</file>

<file path=xl/drawings/_rels/drawing6.xml.rels><?xml version="1.0" encoding="UTF-8" standalone="yes"?>
<Relationships xmlns="http://schemas.openxmlformats.org/package/2006/relationships"><Relationship Id="rId2" Type="http://schemas.openxmlformats.org/officeDocument/2006/relationships/image" Target="http://app.simplymeasured.com/viewer/pjt23idq7pu4gpj5y4ljml2r33lbsu/track?tab_name=Calculations" TargetMode="External"/><Relationship Id="rId1" Type="http://schemas.openxmlformats.org/officeDocument/2006/relationships/hyperlink" Target="http://www.simplymeasured.com" TargetMode="External"/></Relationships>
</file>

<file path=xl/drawings/_rels/drawing7.xml.rels><?xml version="1.0" encoding="UTF-8" standalone="yes"?>
<Relationships xmlns="http://schemas.openxmlformats.org/package/2006/relationships"><Relationship Id="rId2" Type="http://schemas.openxmlformats.org/officeDocument/2006/relationships/image" Target="http://app.simplymeasured.com/viewer/pjt23idq7pu4gpj5y4ljml2r33lbsu/track?tab_name=Annotations" TargetMode="External"/><Relationship Id="rId1" Type="http://schemas.openxmlformats.org/officeDocument/2006/relationships/hyperlink" Target="http://www.simplymeasured.com" TargetMode="External"/></Relationships>
</file>

<file path=xl/drawings/_rels/drawing8.xml.rels><?xml version="1.0" encoding="UTF-8" standalone="yes"?>
<Relationships xmlns="http://schemas.openxmlformats.org/package/2006/relationships"><Relationship Id="rId2" Type="http://schemas.openxmlformats.org/officeDocument/2006/relationships/image" Target="http://app.simplymeasured.com/viewer/pjt23idq7pu4gpj5y4ljml2r33lbsu/track?tab_name=Media" TargetMode="External"/><Relationship Id="rId1" Type="http://schemas.openxmlformats.org/officeDocument/2006/relationships/hyperlink" Target="http://www.simplymeasured.com" TargetMode="External"/></Relationships>
</file>

<file path=xl/drawings/_rels/drawing9.xml.rels><?xml version="1.0" encoding="UTF-8" standalone="yes"?>
<Relationships xmlns="http://schemas.openxmlformats.org/package/2006/relationships"><Relationship Id="rId2" Type="http://schemas.openxmlformats.org/officeDocument/2006/relationships/image" Target="http://app.simplymeasured.com/viewer/pjt23idq7pu4gpj5y4ljml2r33lbsu/track?tab_name=Keywords" TargetMode="External"/><Relationship Id="rId1" Type="http://schemas.openxmlformats.org/officeDocument/2006/relationships/hyperlink" Target="http://www.simplymeasured.com" TargetMode="External"/></Relationships>
</file>

<file path=xl/drawings/drawing1.xml><?xml version="1.0" encoding="utf-8"?>
<xdr:wsDr xmlns:xdr="http://schemas.openxmlformats.org/drawingml/2006/spreadsheetDrawing" xmlns:a="http://schemas.openxmlformats.org/drawingml/2006/main">
  <xdr:twoCellAnchor>
    <xdr:from>
      <xdr:col>1</xdr:col>
      <xdr:colOff>0</xdr:colOff>
      <xdr:row>257</xdr:row>
      <xdr:rowOff>28574</xdr:rowOff>
    </xdr:from>
    <xdr:to>
      <xdr:col>24</xdr:col>
      <xdr:colOff>1143</xdr:colOff>
      <xdr:row>329</xdr:row>
      <xdr:rowOff>38100</xdr:rowOff>
    </xdr:to>
    <xdr:sp macro="" textlink="">
      <xdr:nvSpPr>
        <xdr:cNvPr id="429" name="Rectangle 428" descr="ppt_export=no"/>
        <xdr:cNvSpPr/>
      </xdr:nvSpPr>
      <xdr:spPr>
        <a:xfrm>
          <a:off x="247650" y="52339874"/>
          <a:ext cx="11173968" cy="13725526"/>
        </a:xfrm>
        <a:prstGeom prst="rect">
          <a:avLst/>
        </a:prstGeom>
        <a:solidFill>
          <a:srgbClr val="262626"/>
        </a:solidFill>
        <a:ln w="12700" cmpd="sng">
          <a:solidFill>
            <a:srgbClr val="151515"/>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b="0" i="0">
            <a:solidFill>
              <a:srgbClr val="E8E8E8"/>
            </a:solidFill>
            <a:latin typeface="Calibri"/>
          </a:endParaRPr>
        </a:p>
      </xdr:txBody>
    </xdr:sp>
    <xdr:clientData/>
  </xdr:twoCellAnchor>
  <xdr:twoCellAnchor>
    <xdr:from>
      <xdr:col>1</xdr:col>
      <xdr:colOff>18288</xdr:colOff>
      <xdr:row>257</xdr:row>
      <xdr:rowOff>95250</xdr:rowOff>
    </xdr:from>
    <xdr:to>
      <xdr:col>23</xdr:col>
      <xdr:colOff>573405</xdr:colOff>
      <xdr:row>280</xdr:row>
      <xdr:rowOff>104775</xdr:rowOff>
    </xdr:to>
    <xdr:grpSp>
      <xdr:nvGrpSpPr>
        <xdr:cNvPr id="25" name="Group 24"/>
        <xdr:cNvGrpSpPr/>
      </xdr:nvGrpSpPr>
      <xdr:grpSpPr>
        <a:xfrm>
          <a:off x="265938" y="48406050"/>
          <a:ext cx="11137392" cy="4391025"/>
          <a:chOff x="265938" y="52406550"/>
          <a:chExt cx="11137392" cy="4391025"/>
        </a:xfrm>
      </xdr:grpSpPr>
      <xdr:sp macro="" textlink="">
        <xdr:nvSpPr>
          <xdr:cNvPr id="826" name="Rectangle 825"/>
          <xdr:cNvSpPr/>
        </xdr:nvSpPr>
        <xdr:spPr>
          <a:xfrm>
            <a:off x="265938" y="52406550"/>
            <a:ext cx="11137392" cy="4391025"/>
          </a:xfrm>
          <a:prstGeom prst="rect">
            <a:avLst/>
          </a:prstGeom>
          <a:solidFill>
            <a:srgbClr val="262626"/>
          </a:solidFill>
          <a:ln w="12700" cmpd="sng">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b="0" i="0">
              <a:solidFill>
                <a:srgbClr val="E8E8E8"/>
              </a:solidFill>
              <a:latin typeface="Calibri"/>
            </a:endParaRPr>
          </a:p>
        </xdr:txBody>
      </xdr:sp>
      <xdr:grpSp>
        <xdr:nvGrpSpPr>
          <xdr:cNvPr id="9123" name="Group 9122"/>
          <xdr:cNvGrpSpPr/>
        </xdr:nvGrpSpPr>
        <xdr:grpSpPr>
          <a:xfrm>
            <a:off x="695325" y="53063775"/>
            <a:ext cx="5020057" cy="3343275"/>
            <a:chOff x="695325" y="53178075"/>
            <a:chExt cx="5020057" cy="3343275"/>
          </a:xfrm>
        </xdr:grpSpPr>
        <xdr:grpSp>
          <xdr:nvGrpSpPr>
            <xdr:cNvPr id="9111" name="Group 9110"/>
            <xdr:cNvGrpSpPr/>
          </xdr:nvGrpSpPr>
          <xdr:grpSpPr>
            <a:xfrm>
              <a:off x="695325" y="53311425"/>
              <a:ext cx="5020057" cy="3209925"/>
              <a:chOff x="695325" y="53311425"/>
              <a:chExt cx="5020057" cy="3209925"/>
            </a:xfrm>
          </xdr:grpSpPr>
          <xdr:grpSp>
            <xdr:nvGrpSpPr>
              <xdr:cNvPr id="9109" name="Group 9108"/>
              <xdr:cNvGrpSpPr/>
            </xdr:nvGrpSpPr>
            <xdr:grpSpPr>
              <a:xfrm>
                <a:off x="695325" y="53311425"/>
                <a:ext cx="5020057" cy="3209925"/>
                <a:chOff x="695325" y="53311425"/>
                <a:chExt cx="5020057" cy="3209925"/>
              </a:xfrm>
            </xdr:grpSpPr>
            <xdr:sp macro="" textlink="">
              <xdr:nvSpPr>
                <xdr:cNvPr id="1047" name="01_imgModule_Rounded_Rectangle_38"/>
                <xdr:cNvSpPr/>
              </xdr:nvSpPr>
              <xdr:spPr>
                <a:xfrm>
                  <a:off x="695326" y="53320950"/>
                  <a:ext cx="5020056" cy="3200400"/>
                </a:xfrm>
                <a:prstGeom prst="roundRect">
                  <a:avLst>
                    <a:gd name="adj" fmla="val 465"/>
                  </a:avLst>
                </a:prstGeom>
                <a:solidFill>
                  <a:srgbClr val="757575"/>
                </a:solidFill>
                <a:ln w="12700">
                  <a:solidFill>
                    <a:srgbClr val="1E1E1E"/>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l"/>
                  <a:endParaRPr lang="en-US" sz="1100"/>
                </a:p>
              </xdr:txBody>
            </xdr:sp>
            <xdr:sp macro="" textlink="">
              <xdr:nvSpPr>
                <xdr:cNvPr id="1048" name="01_imgModule_Rounded_Rectangle_39"/>
                <xdr:cNvSpPr/>
              </xdr:nvSpPr>
              <xdr:spPr>
                <a:xfrm>
                  <a:off x="695325" y="53311425"/>
                  <a:ext cx="5020056" cy="3200400"/>
                </a:xfrm>
                <a:prstGeom prst="roundRect">
                  <a:avLst>
                    <a:gd name="adj" fmla="val 465"/>
                  </a:avLst>
                </a:prstGeom>
                <a:solidFill>
                  <a:srgbClr val="757575"/>
                </a:solidFill>
                <a:ln w="12700">
                  <a:solidFill>
                    <a:srgbClr val="1A1A1A"/>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l"/>
                  <a:endParaRPr lang="en-US" sz="1100"/>
                </a:p>
              </xdr:txBody>
            </xdr:sp>
          </xdr:grpSp>
          <xdr:grpSp>
            <xdr:nvGrpSpPr>
              <xdr:cNvPr id="9110" name="Group 9109"/>
              <xdr:cNvGrpSpPr/>
            </xdr:nvGrpSpPr>
            <xdr:grpSpPr>
              <a:xfrm>
                <a:off x="781052" y="55778959"/>
                <a:ext cx="4768550" cy="612368"/>
                <a:chOff x="781052" y="55778959"/>
                <a:chExt cx="4768550" cy="612368"/>
              </a:xfrm>
            </xdr:grpSpPr>
            <xdr:sp macro="" textlink="Calculations!F419">
              <xdr:nvSpPr>
                <xdr:cNvPr id="1044" name="01_metric01_number"/>
                <xdr:cNvSpPr txBox="1"/>
              </xdr:nvSpPr>
              <xdr:spPr>
                <a:xfrm>
                  <a:off x="781052" y="55778959"/>
                  <a:ext cx="1057275" cy="37851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ctr"/>
                <a:lstStyle/>
                <a:p>
                  <a:pPr marL="0" indent="0" algn="r"/>
                  <a:fld id="{57E12A26-7F1F-42DB-8F31-5955C236853E}" type="TxLink">
                    <a:rPr lang="en-US" sz="2600" b="0" i="0" u="none" strike="noStrike">
                      <a:solidFill>
                        <a:srgbClr val="AFBFFF"/>
                      </a:solidFill>
                      <a:latin typeface="+mn-lt"/>
                      <a:ea typeface="+mn-ea"/>
                      <a:cs typeface="+mn-cs"/>
                    </a:rPr>
                    <a:pPr marL="0" indent="0" algn="r"/>
                    <a:t>14,848</a:t>
                  </a:fld>
                  <a:endParaRPr lang="en-US" sz="2600" b="0">
                    <a:solidFill>
                      <a:srgbClr val="AFBFFF"/>
                    </a:solidFill>
                    <a:latin typeface="+mn-lt"/>
                    <a:ea typeface="+mn-ea"/>
                    <a:cs typeface="+mn-cs"/>
                  </a:endParaRPr>
                </a:p>
              </xdr:txBody>
            </xdr:sp>
            <xdr:sp macro="" textlink="Calculations!G419">
              <xdr:nvSpPr>
                <xdr:cNvPr id="1045" name="01_metric01_label"/>
                <xdr:cNvSpPr txBox="1"/>
              </xdr:nvSpPr>
              <xdr:spPr>
                <a:xfrm>
                  <a:off x="1956010" y="55788484"/>
                  <a:ext cx="3383280" cy="37851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ctr"/>
                <a:lstStyle/>
                <a:p>
                  <a:pPr marL="0" indent="0" algn="l"/>
                  <a:fld id="{80C9ED46-34A8-4DD5-A545-0089BDA42A9A}" type="TxLink">
                    <a:rPr lang="en-US" sz="2200" b="0" i="0" u="none" strike="noStrike">
                      <a:solidFill>
                        <a:srgbClr val="AFBFFF"/>
                      </a:solidFill>
                      <a:latin typeface="+mn-lt"/>
                      <a:ea typeface="+mn-ea"/>
                      <a:cs typeface="+mn-cs"/>
                    </a:rPr>
                    <a:pPr marL="0" indent="0" algn="l"/>
                    <a:t>Instagram Engagements</a:t>
                  </a:fld>
                  <a:endParaRPr lang="en-US" sz="2200" b="0">
                    <a:solidFill>
                      <a:srgbClr val="AFBFFF"/>
                    </a:solidFill>
                    <a:latin typeface="+mn-lt"/>
                    <a:ea typeface="+mn-ea"/>
                    <a:cs typeface="+mn-cs"/>
                  </a:endParaRPr>
                </a:p>
              </xdr:txBody>
            </xdr:sp>
            <xdr:sp macro="" textlink="Calculations!H419">
              <xdr:nvSpPr>
                <xdr:cNvPr id="1046" name="01_metric01_context"/>
                <xdr:cNvSpPr txBox="1"/>
              </xdr:nvSpPr>
              <xdr:spPr>
                <a:xfrm>
                  <a:off x="1956010" y="56078505"/>
                  <a:ext cx="3593592" cy="31282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ctr"/>
                <a:lstStyle/>
                <a:p>
                  <a:pPr marL="0" indent="0" algn="l"/>
                  <a:fld id="{392DB324-2235-4FBE-9797-70AF690140DE}" type="TxLink">
                    <a:rPr lang="en-US" sz="1100" b="0" i="1" u="none" strike="noStrike">
                      <a:solidFill>
                        <a:srgbClr val="E0E0E0"/>
                      </a:solidFill>
                      <a:latin typeface="+mn-lt"/>
                      <a:ea typeface="+mn-ea"/>
                      <a:cs typeface="+mn-cs"/>
                    </a:rPr>
                    <a:pPr marL="0" indent="0" algn="l"/>
                    <a:t>2.2% of overall instagram engagement</a:t>
                  </a:fld>
                  <a:endParaRPr lang="en-US" sz="1100" b="0" i="1">
                    <a:solidFill>
                      <a:srgbClr val="E0E0E0"/>
                    </a:solidFill>
                    <a:latin typeface="+mn-lt"/>
                    <a:ea typeface="+mn-ea"/>
                    <a:cs typeface="+mn-cs"/>
                  </a:endParaRPr>
                </a:p>
              </xdr:txBody>
            </xdr:sp>
          </xdr:grpSp>
        </xdr:grpSp>
        <xdr:grpSp>
          <xdr:nvGrpSpPr>
            <xdr:cNvPr id="9122" name="Group 9121"/>
            <xdr:cNvGrpSpPr/>
          </xdr:nvGrpSpPr>
          <xdr:grpSpPr>
            <a:xfrm>
              <a:off x="809626" y="53197124"/>
              <a:ext cx="4793361" cy="2478405"/>
              <a:chOff x="809626" y="53197124"/>
              <a:chExt cx="4793361" cy="2478405"/>
            </a:xfrm>
          </xdr:grpSpPr>
          <xdr:grpSp>
            <xdr:nvGrpSpPr>
              <xdr:cNvPr id="9114" name="Group 9113"/>
              <xdr:cNvGrpSpPr/>
            </xdr:nvGrpSpPr>
            <xdr:grpSpPr>
              <a:xfrm>
                <a:off x="809626" y="53197124"/>
                <a:ext cx="4791456" cy="2478405"/>
                <a:chOff x="809626" y="53197124"/>
                <a:chExt cx="4791456" cy="2478405"/>
              </a:xfrm>
            </xdr:grpSpPr>
            <xdr:grpSp>
              <xdr:nvGrpSpPr>
                <xdr:cNvPr id="9112" name="Group 9111"/>
                <xdr:cNvGrpSpPr/>
              </xdr:nvGrpSpPr>
              <xdr:grpSpPr>
                <a:xfrm>
                  <a:off x="809626" y="53197124"/>
                  <a:ext cx="4791456" cy="2478405"/>
                  <a:chOff x="809626" y="53197124"/>
                  <a:chExt cx="4791456" cy="2478405"/>
                </a:xfrm>
              </xdr:grpSpPr>
              <xdr:sp macro="" textlink="">
                <xdr:nvSpPr>
                  <xdr:cNvPr id="1040" name="01_imgModule_Rounded_Rectangle_31"/>
                  <xdr:cNvSpPr/>
                </xdr:nvSpPr>
                <xdr:spPr>
                  <a:xfrm>
                    <a:off x="809626" y="53206649"/>
                    <a:ext cx="4791456" cy="2468880"/>
                  </a:xfrm>
                  <a:prstGeom prst="roundRect">
                    <a:avLst>
                      <a:gd name="adj" fmla="val 780"/>
                    </a:avLst>
                  </a:prstGeom>
                  <a:solidFill>
                    <a:srgbClr val="E0E0E0"/>
                  </a:solidFill>
                  <a:ln w="12700">
                    <a:solidFill>
                      <a:srgbClr val="646464"/>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l"/>
                    <a:endParaRPr lang="en-US" sz="1100"/>
                  </a:p>
                </xdr:txBody>
              </xdr:sp>
              <xdr:sp macro="" textlink="">
                <xdr:nvSpPr>
                  <xdr:cNvPr id="1041" name="01_imgModule_Rounded_Rectangle_32"/>
                  <xdr:cNvSpPr/>
                </xdr:nvSpPr>
                <xdr:spPr>
                  <a:xfrm>
                    <a:off x="809626" y="53197124"/>
                    <a:ext cx="4791456" cy="2468880"/>
                  </a:xfrm>
                  <a:prstGeom prst="roundRect">
                    <a:avLst>
                      <a:gd name="adj" fmla="val 780"/>
                    </a:avLst>
                  </a:prstGeom>
                  <a:solidFill>
                    <a:srgbClr val="E0E0E0"/>
                  </a:solidFill>
                  <a:ln w="12700">
                    <a:solidFill>
                      <a:srgbClr val="5E5E5E"/>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l"/>
                    <a:endParaRPr lang="en-US" sz="1100"/>
                  </a:p>
                </xdr:txBody>
              </xdr:sp>
            </xdr:grpSp>
            <xdr:grpSp>
              <xdr:nvGrpSpPr>
                <xdr:cNvPr id="9113" name="Group 9112"/>
                <xdr:cNvGrpSpPr/>
              </xdr:nvGrpSpPr>
              <xdr:grpSpPr>
                <a:xfrm>
                  <a:off x="3140964" y="53206649"/>
                  <a:ext cx="2459736" cy="2459736"/>
                  <a:chOff x="3140964" y="53206649"/>
                  <a:chExt cx="2459736" cy="2459736"/>
                </a:xfrm>
              </xdr:grpSpPr>
              <xdr:sp macro="" textlink="">
                <xdr:nvSpPr>
                  <xdr:cNvPr id="1038" name="01_imgModule_Rounded_Rectangle_434"/>
                  <xdr:cNvSpPr/>
                </xdr:nvSpPr>
                <xdr:spPr>
                  <a:xfrm>
                    <a:off x="3140964" y="53206649"/>
                    <a:ext cx="2459736" cy="2459736"/>
                  </a:xfrm>
                  <a:prstGeom prst="roundRect">
                    <a:avLst>
                      <a:gd name="adj" fmla="val 700"/>
                    </a:avLst>
                  </a:prstGeom>
                  <a:solidFill>
                    <a:srgbClr val="D7D7D7"/>
                  </a:solidFill>
                  <a:ln w="12700">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l"/>
                    <a:endParaRPr lang="en-US" sz="1100"/>
                  </a:p>
                </xdr:txBody>
              </xdr:sp>
              <xdr:sp macro="" textlink="">
                <xdr:nvSpPr>
                  <xdr:cNvPr id="1039" name="01_imgModule_Rectangle_330"/>
                  <xdr:cNvSpPr/>
                </xdr:nvSpPr>
                <xdr:spPr>
                  <a:xfrm>
                    <a:off x="3140964" y="53206649"/>
                    <a:ext cx="91440" cy="2459736"/>
                  </a:xfrm>
                  <a:prstGeom prst="rect">
                    <a:avLst/>
                  </a:prstGeom>
                  <a:solidFill>
                    <a:srgbClr val="D7D7D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grpSp>
          <xdr:grpSp>
            <xdr:nvGrpSpPr>
              <xdr:cNvPr id="9115" name="Group 9114"/>
              <xdr:cNvGrpSpPr/>
            </xdr:nvGrpSpPr>
            <xdr:grpSpPr>
              <a:xfrm>
                <a:off x="1048363" y="54959932"/>
                <a:ext cx="1961539" cy="541559"/>
                <a:chOff x="1048363" y="54959932"/>
                <a:chExt cx="1961539" cy="541559"/>
              </a:xfrm>
            </xdr:grpSpPr>
            <xdr:sp macro="" textlink="Calculations!D419">
              <xdr:nvSpPr>
                <xdr:cNvPr id="1034" name="01_profilename"/>
                <xdr:cNvSpPr txBox="1"/>
              </xdr:nvSpPr>
              <xdr:spPr>
                <a:xfrm>
                  <a:off x="1048363" y="55217107"/>
                  <a:ext cx="1952014" cy="28438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ctr"/>
                <a:lstStyle/>
                <a:p>
                  <a:pPr marL="0" indent="0" algn="l"/>
                  <a:fld id="{74BE425F-58A2-450B-B47A-F332FD720BB7}" type="TxLink">
                    <a:rPr lang="en-US" sz="1800" b="0" i="0" u="none" strike="noStrike">
                      <a:solidFill>
                        <a:srgbClr val="4D4D4D"/>
                      </a:solidFill>
                      <a:latin typeface="+mn-lt"/>
                      <a:ea typeface="+mn-ea"/>
                      <a:cs typeface="+mn-cs"/>
                    </a:rPr>
                    <a:pPr marL="0" indent="0" algn="l"/>
                    <a:t>annie_rose_cole</a:t>
                  </a:fld>
                  <a:endParaRPr lang="en-US" sz="1800" b="0">
                    <a:solidFill>
                      <a:srgbClr val="4D4D4D"/>
                    </a:solidFill>
                    <a:latin typeface="+mn-lt"/>
                    <a:ea typeface="+mn-ea"/>
                    <a:cs typeface="+mn-cs"/>
                  </a:endParaRPr>
                </a:p>
              </xdr:txBody>
            </xdr:sp>
            <xdr:sp macro="" textlink="Calculations!C419">
              <xdr:nvSpPr>
                <xdr:cNvPr id="1035" name="01_postdate"/>
                <xdr:cNvSpPr txBox="1"/>
              </xdr:nvSpPr>
              <xdr:spPr>
                <a:xfrm>
                  <a:off x="1057888" y="54959932"/>
                  <a:ext cx="1952014" cy="28438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ctr"/>
                <a:lstStyle/>
                <a:p>
                  <a:pPr marL="0" indent="0" algn="l"/>
                  <a:fld id="{EE3A9A32-4BC2-4630-A000-F99456C5615F}" type="TxLink">
                    <a:rPr lang="en-US" sz="1300" b="0" i="0" u="none" strike="noStrike">
                      <a:solidFill>
                        <a:srgbClr val="666666"/>
                      </a:solidFill>
                      <a:latin typeface="+mn-lt"/>
                      <a:ea typeface="+mn-ea"/>
                      <a:cs typeface="+mn-cs"/>
                    </a:rPr>
                    <a:pPr marL="0" indent="0" algn="l"/>
                    <a:t>August 12, 2017</a:t>
                  </a:fld>
                  <a:endParaRPr lang="en-US" sz="1300" b="0">
                    <a:solidFill>
                      <a:srgbClr val="666666"/>
                    </a:solidFill>
                    <a:latin typeface="+mn-lt"/>
                    <a:ea typeface="+mn-ea"/>
                    <a:cs typeface="+mn-cs"/>
                  </a:endParaRPr>
                </a:p>
              </xdr:txBody>
            </xdr:sp>
          </xdr:grpSp>
          <xdr:grpSp>
            <xdr:nvGrpSpPr>
              <xdr:cNvPr id="9119" name="Group 9118"/>
              <xdr:cNvGrpSpPr/>
            </xdr:nvGrpSpPr>
            <xdr:grpSpPr>
              <a:xfrm>
                <a:off x="3143251" y="53206649"/>
                <a:ext cx="2459736" cy="2459737"/>
                <a:chOff x="3143251" y="53206649"/>
                <a:chExt cx="2459736" cy="2459737"/>
              </a:xfrm>
            </xdr:grpSpPr>
            <xdr:grpSp>
              <xdr:nvGrpSpPr>
                <xdr:cNvPr id="9118" name="Group 9117"/>
                <xdr:cNvGrpSpPr/>
              </xdr:nvGrpSpPr>
              <xdr:grpSpPr>
                <a:xfrm>
                  <a:off x="3143251" y="53206649"/>
                  <a:ext cx="2459736" cy="2459737"/>
                  <a:chOff x="3143251" y="53206649"/>
                  <a:chExt cx="2459736" cy="2459737"/>
                </a:xfrm>
              </xdr:grpSpPr>
              <xdr:grpSp>
                <xdr:nvGrpSpPr>
                  <xdr:cNvPr id="9116" name="Group 9115"/>
                  <xdr:cNvGrpSpPr/>
                </xdr:nvGrpSpPr>
                <xdr:grpSpPr>
                  <a:xfrm>
                    <a:off x="3143251" y="53206650"/>
                    <a:ext cx="2459736" cy="2459736"/>
                    <a:chOff x="3143251" y="53206650"/>
                    <a:chExt cx="2459736" cy="2459736"/>
                  </a:xfrm>
                </xdr:grpSpPr>
                <xdr:pic>
                  <xdr:nvPicPr>
                    <xdr:cNvPr id="32" name="01_postimage" descr="profile:multi&#10;postSize:large"/>
                    <xdr:cNvPicPr>
                      <a:picLocks/>
                    </xdr:cNvPicPr>
                  </xdr:nvPicPr>
                  <xdr:blipFill>
                    <a:blip xmlns:r="http://schemas.openxmlformats.org/officeDocument/2006/relationships" r:link="rId1"/>
                    <a:stretch>
                      <a:fillRect/>
                    </a:stretch>
                  </xdr:blipFill>
                  <xdr:spPr>
                    <a:xfrm>
                      <a:off x="3143251" y="53206650"/>
                      <a:ext cx="2459736" cy="2459736"/>
                    </a:xfrm>
                    <a:prstGeom prst="rect">
                      <a:avLst/>
                    </a:prstGeom>
                  </xdr:spPr>
                </xdr:pic>
                <xdr:pic>
                  <xdr:nvPicPr>
                    <xdr:cNvPr id="302" name="01_overlayimage"/>
                    <xdr:cNvPicPr>
                      <a:picLocks/>
                    </xdr:cNvPicPr>
                  </xdr:nvPicPr>
                  <xdr:blipFill>
                    <a:blip xmlns:r="http://schemas.openxmlformats.org/officeDocument/2006/relationships" r:link="rId2"/>
                    <a:stretch>
                      <a:fillRect/>
                    </a:stretch>
                  </xdr:blipFill>
                  <xdr:spPr>
                    <a:xfrm>
                      <a:off x="3143251" y="54843425"/>
                      <a:ext cx="2459736" cy="822960"/>
                    </a:xfrm>
                    <a:prstGeom prst="rect">
                      <a:avLst/>
                    </a:prstGeom>
                  </xdr:spPr>
                </xdr:pic>
                <xdr:sp macro="" textlink="Calculations!O419">
                  <xdr:nvSpPr>
                    <xdr:cNvPr id="1033" name="01_overlaytext"/>
                    <xdr:cNvSpPr txBox="1"/>
                  </xdr:nvSpPr>
                  <xdr:spPr>
                    <a:xfrm>
                      <a:off x="3143251" y="54843425"/>
                      <a:ext cx="2459736" cy="8229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100584" tIns="73152" rIns="100584" bIns="54864" rtlCol="0" anchor="t"/>
                    <a:lstStyle/>
                    <a:p>
                      <a:pPr marL="0" indent="0" algn="l"/>
                      <a:fld id="{F8FA7AE2-F46A-4BC7-9B1F-5C8C51ED5CE1}" type="TxLink">
                        <a:rPr lang="en-US" sz="1100" b="0" i="1">
                          <a:solidFill>
                            <a:srgbClr val="EBEBEB"/>
                          </a:solidFill>
                          <a:latin typeface="Cambria" panose="02040503050406030204" pitchFamily="18" charset="0"/>
                          <a:ea typeface="+mn-ea"/>
                          <a:cs typeface="+mn-cs"/>
                        </a:rPr>
                        <a:pPr marL="0" indent="0" algn="l"/>
                        <a:t>"Haters gonna hate patatas gonna patate" - @colleen #keepongoing #dontletemfoolya</a:t>
                      </a:fld>
                      <a:endParaRPr lang="en-US" sz="1100" b="0" i="1">
                        <a:solidFill>
                          <a:srgbClr val="EBEBEB"/>
                        </a:solidFill>
                        <a:latin typeface="Cambria" panose="02040503050406030204" pitchFamily="18" charset="0"/>
                        <a:ea typeface="+mn-ea"/>
                        <a:cs typeface="+mn-cs"/>
                      </a:endParaRPr>
                    </a:p>
                  </xdr:txBody>
                </xdr:sp>
              </xdr:grpSp>
              <xdr:grpSp>
                <xdr:nvGrpSpPr>
                  <xdr:cNvPr id="9117" name="Group 9116"/>
                  <xdr:cNvGrpSpPr/>
                </xdr:nvGrpSpPr>
                <xdr:grpSpPr>
                  <a:xfrm>
                    <a:off x="3152776" y="53339998"/>
                    <a:ext cx="2314575" cy="2286001"/>
                    <a:chOff x="3152776" y="53339998"/>
                    <a:chExt cx="2314575" cy="2286001"/>
                  </a:xfrm>
                </xdr:grpSpPr>
                <xdr:sp macro="" textlink="">
                  <xdr:nvSpPr>
                    <xdr:cNvPr id="1029" name="01_posttext"/>
                    <xdr:cNvSpPr txBox="1"/>
                  </xdr:nvSpPr>
                  <xdr:spPr>
                    <a:xfrm>
                      <a:off x="3352801" y="53339998"/>
                      <a:ext cx="2114550" cy="22860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marL="0" indent="0" algn="l"/>
                      <a:r>
                        <a:rPr lang="en-US" sz="1800" b="0" i="1">
                          <a:solidFill>
                            <a:srgbClr val="4D4D4D"/>
                          </a:solidFill>
                          <a:latin typeface="Cambria" panose="02040503050406030204" pitchFamily="18" charset="0"/>
                          <a:ea typeface="+mn-ea"/>
                          <a:cs typeface="+mn-cs"/>
                        </a:rPr>
                        <a:t> </a:t>
                      </a:r>
                    </a:p>
                  </xdr:txBody>
                </xdr:sp>
                <xdr:sp macro="" textlink="">
                  <xdr:nvSpPr>
                    <xdr:cNvPr id="1030" name="01_leadparen"/>
                    <xdr:cNvSpPr txBox="1"/>
                  </xdr:nvSpPr>
                  <xdr:spPr>
                    <a:xfrm>
                      <a:off x="3152776" y="53339999"/>
                      <a:ext cx="274320" cy="2762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marL="0" indent="0" algn="ctr"/>
                      <a:r>
                        <a:rPr lang="en-US" sz="1800" b="0" i="1">
                          <a:solidFill>
                            <a:srgbClr val="4D4D4D"/>
                          </a:solidFill>
                          <a:latin typeface="Cambria" panose="02040503050406030204" pitchFamily="18" charset="0"/>
                          <a:ea typeface="+mn-ea"/>
                          <a:cs typeface="+mn-cs"/>
                        </a:rPr>
                        <a:t> </a:t>
                      </a:r>
                    </a:p>
                  </xdr:txBody>
                </xdr:sp>
              </xdr:grpSp>
              <xdr:sp macro="" textlink="">
                <xdr:nvSpPr>
                  <xdr:cNvPr id="1028" name="01_imgModule_Rectangle_15"/>
                  <xdr:cNvSpPr/>
                </xdr:nvSpPr>
                <xdr:spPr>
                  <a:xfrm>
                    <a:off x="3143251" y="53206649"/>
                    <a:ext cx="9144" cy="2457450"/>
                  </a:xfrm>
                  <a:prstGeom prst="rect">
                    <a:avLst/>
                  </a:prstGeom>
                  <a:solidFill>
                    <a:srgbClr val="000000">
                      <a:alpha val="16863"/>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pic>
              <xdr:nvPicPr>
                <xdr:cNvPr id="1165" name="01_postlinkimage">
                  <a:hlinkClick xmlns:r="http://schemas.openxmlformats.org/officeDocument/2006/relationships" r:id="rId3"/>
                </xdr:cNvPr>
                <xdr:cNvPicPr>
                  <a:picLocks/>
                </xdr:cNvPicPr>
              </xdr:nvPicPr>
              <xdr:blipFill>
                <a:blip xmlns:r="http://schemas.openxmlformats.org/officeDocument/2006/relationships" r:link="rId4"/>
                <a:stretch>
                  <a:fillRect/>
                </a:stretch>
              </xdr:blipFill>
              <xdr:spPr>
                <a:xfrm>
                  <a:off x="3143251" y="53206650"/>
                  <a:ext cx="2459736" cy="2459736"/>
                </a:xfrm>
                <a:prstGeom prst="rect">
                  <a:avLst/>
                </a:prstGeom>
              </xdr:spPr>
            </xdr:pic>
          </xdr:grpSp>
          <xdr:grpSp>
            <xdr:nvGrpSpPr>
              <xdr:cNvPr id="9121" name="Group 9120"/>
              <xdr:cNvGrpSpPr/>
            </xdr:nvGrpSpPr>
            <xdr:grpSpPr>
              <a:xfrm>
                <a:off x="923926" y="53334474"/>
                <a:ext cx="1344168" cy="1353312"/>
                <a:chOff x="923926" y="53334474"/>
                <a:chExt cx="1344168" cy="1353312"/>
              </a:xfrm>
            </xdr:grpSpPr>
            <xdr:grpSp>
              <xdr:nvGrpSpPr>
                <xdr:cNvPr id="9120" name="Group 9119"/>
                <xdr:cNvGrpSpPr/>
              </xdr:nvGrpSpPr>
              <xdr:grpSpPr>
                <a:xfrm>
                  <a:off x="1029082" y="53440011"/>
                  <a:ext cx="1133856" cy="1133856"/>
                  <a:chOff x="1029082" y="53440011"/>
                  <a:chExt cx="1133856" cy="1133856"/>
                </a:xfrm>
              </xdr:grpSpPr>
              <xdr:sp macro="" textlink="">
                <xdr:nvSpPr>
                  <xdr:cNvPr id="1021" name="01_imgModule_Oval_102"/>
                  <xdr:cNvSpPr/>
                </xdr:nvSpPr>
                <xdr:spPr>
                  <a:xfrm>
                    <a:off x="1029082" y="53440011"/>
                    <a:ext cx="1133856" cy="1133856"/>
                  </a:xfrm>
                  <a:prstGeom prst="ellipse">
                    <a:avLst/>
                  </a:prstGeom>
                  <a:solidFill>
                    <a:srgbClr val="9E9E9E"/>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022" name="01_imgModule_Oval_106"/>
                  <xdr:cNvSpPr/>
                </xdr:nvSpPr>
                <xdr:spPr>
                  <a:xfrm>
                    <a:off x="1056514" y="53467443"/>
                    <a:ext cx="1078992" cy="1078992"/>
                  </a:xfrm>
                  <a:prstGeom prst="ellipse">
                    <a:avLst/>
                  </a:prstGeom>
                  <a:solidFill>
                    <a:srgbClr val="D9D9D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023" name="01_imgModule_Freeform_12"/>
                  <xdr:cNvSpPr>
                    <a:spLocks/>
                  </xdr:cNvSpPr>
                </xdr:nvSpPr>
                <xdr:spPr bwMode="auto">
                  <a:xfrm>
                    <a:off x="1200789" y="53740620"/>
                    <a:ext cx="790442" cy="823341"/>
                  </a:xfrm>
                  <a:custGeom>
                    <a:avLst/>
                    <a:gdLst>
                      <a:gd name="T0" fmla="*/ 3049 w 3180"/>
                      <a:gd name="T1" fmla="*/ 2869 h 3760"/>
                      <a:gd name="T2" fmla="*/ 2848 w 3180"/>
                      <a:gd name="T3" fmla="*/ 2809 h 3760"/>
                      <a:gd name="T4" fmla="*/ 2677 w 3180"/>
                      <a:gd name="T5" fmla="*/ 2745 h 3760"/>
                      <a:gd name="T6" fmla="*/ 2325 w 3180"/>
                      <a:gd name="T7" fmla="*/ 2578 h 3760"/>
                      <a:gd name="T8" fmla="*/ 2187 w 3180"/>
                      <a:gd name="T9" fmla="*/ 2489 h 3760"/>
                      <a:gd name="T10" fmla="*/ 2077 w 3180"/>
                      <a:gd name="T11" fmla="*/ 2368 h 3760"/>
                      <a:gd name="T12" fmla="*/ 1996 w 3180"/>
                      <a:gd name="T13" fmla="*/ 2259 h 3760"/>
                      <a:gd name="T14" fmla="*/ 1975 w 3180"/>
                      <a:gd name="T15" fmla="*/ 2040 h 3760"/>
                      <a:gd name="T16" fmla="*/ 1986 w 3180"/>
                      <a:gd name="T17" fmla="*/ 2014 h 3760"/>
                      <a:gd name="T18" fmla="*/ 2114 w 3180"/>
                      <a:gd name="T19" fmla="*/ 1664 h 3760"/>
                      <a:gd name="T20" fmla="*/ 2148 w 3180"/>
                      <a:gd name="T21" fmla="*/ 1626 h 3760"/>
                      <a:gd name="T22" fmla="*/ 2201 w 3180"/>
                      <a:gd name="T23" fmla="*/ 1561 h 3760"/>
                      <a:gd name="T24" fmla="*/ 2240 w 3180"/>
                      <a:gd name="T25" fmla="*/ 1475 h 3760"/>
                      <a:gd name="T26" fmla="*/ 2269 w 3180"/>
                      <a:gd name="T27" fmla="*/ 1358 h 3760"/>
                      <a:gd name="T28" fmla="*/ 2292 w 3180"/>
                      <a:gd name="T29" fmla="*/ 1232 h 3760"/>
                      <a:gd name="T30" fmla="*/ 2291 w 3180"/>
                      <a:gd name="T31" fmla="*/ 1150 h 3760"/>
                      <a:gd name="T32" fmla="*/ 2278 w 3180"/>
                      <a:gd name="T33" fmla="*/ 1137 h 3760"/>
                      <a:gd name="T34" fmla="*/ 2270 w 3180"/>
                      <a:gd name="T35" fmla="*/ 886 h 3760"/>
                      <a:gd name="T36" fmla="*/ 2283 w 3180"/>
                      <a:gd name="T37" fmla="*/ 694 h 3760"/>
                      <a:gd name="T38" fmla="*/ 2262 w 3180"/>
                      <a:gd name="T39" fmla="*/ 595 h 3760"/>
                      <a:gd name="T40" fmla="*/ 2254 w 3180"/>
                      <a:gd name="T41" fmla="*/ 509 h 3760"/>
                      <a:gd name="T42" fmla="*/ 2183 w 3180"/>
                      <a:gd name="T43" fmla="*/ 416 h 3760"/>
                      <a:gd name="T44" fmla="*/ 1984 w 3180"/>
                      <a:gd name="T45" fmla="*/ 219 h 3760"/>
                      <a:gd name="T46" fmla="*/ 1833 w 3180"/>
                      <a:gd name="T47" fmla="*/ 65 h 3760"/>
                      <a:gd name="T48" fmla="*/ 1648 w 3180"/>
                      <a:gd name="T49" fmla="*/ 0 h 3760"/>
                      <a:gd name="T50" fmla="*/ 1474 w 3180"/>
                      <a:gd name="T51" fmla="*/ 35 h 3760"/>
                      <a:gd name="T52" fmla="*/ 1339 w 3180"/>
                      <a:gd name="T53" fmla="*/ 50 h 3760"/>
                      <a:gd name="T54" fmla="*/ 1188 w 3180"/>
                      <a:gd name="T55" fmla="*/ 157 h 3760"/>
                      <a:gd name="T56" fmla="*/ 944 w 3180"/>
                      <a:gd name="T57" fmla="*/ 333 h 3760"/>
                      <a:gd name="T58" fmla="*/ 905 w 3180"/>
                      <a:gd name="T59" fmla="*/ 551 h 3760"/>
                      <a:gd name="T60" fmla="*/ 908 w 3180"/>
                      <a:gd name="T61" fmla="*/ 716 h 3760"/>
                      <a:gd name="T62" fmla="*/ 913 w 3180"/>
                      <a:gd name="T63" fmla="*/ 1031 h 3760"/>
                      <a:gd name="T64" fmla="*/ 860 w 3180"/>
                      <a:gd name="T65" fmla="*/ 1071 h 3760"/>
                      <a:gd name="T66" fmla="*/ 849 w 3180"/>
                      <a:gd name="T67" fmla="*/ 1116 h 3760"/>
                      <a:gd name="T68" fmla="*/ 875 w 3180"/>
                      <a:gd name="T69" fmla="*/ 1385 h 3760"/>
                      <a:gd name="T70" fmla="*/ 889 w 3180"/>
                      <a:gd name="T71" fmla="*/ 1462 h 3760"/>
                      <a:gd name="T72" fmla="*/ 969 w 3180"/>
                      <a:gd name="T73" fmla="*/ 1562 h 3760"/>
                      <a:gd name="T74" fmla="*/ 1000 w 3180"/>
                      <a:gd name="T75" fmla="*/ 1600 h 3760"/>
                      <a:gd name="T76" fmla="*/ 1097 w 3180"/>
                      <a:gd name="T77" fmla="*/ 1970 h 3760"/>
                      <a:gd name="T78" fmla="*/ 1104 w 3180"/>
                      <a:gd name="T79" fmla="*/ 2220 h 3760"/>
                      <a:gd name="T80" fmla="*/ 809 w 3180"/>
                      <a:gd name="T81" fmla="*/ 2524 h 3760"/>
                      <a:gd name="T82" fmla="*/ 351 w 3180"/>
                      <a:gd name="T83" fmla="*/ 2804 h 3760"/>
                      <a:gd name="T84" fmla="*/ 131 w 3180"/>
                      <a:gd name="T85" fmla="*/ 2869 h 3760"/>
                      <a:gd name="T86" fmla="*/ 100 w 3180"/>
                      <a:gd name="T87" fmla="*/ 3123 h 3760"/>
                      <a:gd name="T88" fmla="*/ 449 w 3180"/>
                      <a:gd name="T89" fmla="*/ 3428 h 3760"/>
                      <a:gd name="T90" fmla="*/ 907 w 3180"/>
                      <a:gd name="T91" fmla="*/ 3640 h 3760"/>
                      <a:gd name="T92" fmla="*/ 1374 w 3180"/>
                      <a:gd name="T93" fmla="*/ 3748 h 3760"/>
                      <a:gd name="T94" fmla="*/ 1983 w 3180"/>
                      <a:gd name="T95" fmla="*/ 3702 h 3760"/>
                      <a:gd name="T96" fmla="*/ 2730 w 3180"/>
                      <a:gd name="T97" fmla="*/ 3410 h 3760"/>
                      <a:gd name="T98" fmla="*/ 3096 w 3180"/>
                      <a:gd name="T99" fmla="*/ 3110 h 3760"/>
                      <a:gd name="connsiteX0" fmla="*/ 10325 w 10325"/>
                      <a:gd name="connsiteY0" fmla="*/ 7962 h 10000"/>
                      <a:gd name="connsiteX1" fmla="*/ 9588 w 10325"/>
                      <a:gd name="connsiteY1" fmla="*/ 7630 h 10000"/>
                      <a:gd name="connsiteX2" fmla="*/ 9170 w 10325"/>
                      <a:gd name="connsiteY2" fmla="*/ 7519 h 10000"/>
                      <a:gd name="connsiteX3" fmla="*/ 8956 w 10325"/>
                      <a:gd name="connsiteY3" fmla="*/ 7471 h 10000"/>
                      <a:gd name="connsiteX4" fmla="*/ 8714 w 10325"/>
                      <a:gd name="connsiteY4" fmla="*/ 7410 h 10000"/>
                      <a:gd name="connsiteX5" fmla="*/ 8418 w 10325"/>
                      <a:gd name="connsiteY5" fmla="*/ 7301 h 10000"/>
                      <a:gd name="connsiteX6" fmla="*/ 7346 w 10325"/>
                      <a:gd name="connsiteY6" fmla="*/ 6867 h 10000"/>
                      <a:gd name="connsiteX7" fmla="*/ 7311 w 10325"/>
                      <a:gd name="connsiteY7" fmla="*/ 6856 h 10000"/>
                      <a:gd name="connsiteX8" fmla="*/ 7041 w 10325"/>
                      <a:gd name="connsiteY8" fmla="*/ 6739 h 10000"/>
                      <a:gd name="connsiteX9" fmla="*/ 6877 w 10325"/>
                      <a:gd name="connsiteY9" fmla="*/ 6620 h 10000"/>
                      <a:gd name="connsiteX10" fmla="*/ 6689 w 10325"/>
                      <a:gd name="connsiteY10" fmla="*/ 6428 h 10000"/>
                      <a:gd name="connsiteX11" fmla="*/ 6531 w 10325"/>
                      <a:gd name="connsiteY11" fmla="*/ 6298 h 10000"/>
                      <a:gd name="connsiteX12" fmla="*/ 6377 w 10325"/>
                      <a:gd name="connsiteY12" fmla="*/ 6165 h 10000"/>
                      <a:gd name="connsiteX13" fmla="*/ 6277 w 10325"/>
                      <a:gd name="connsiteY13" fmla="*/ 6008 h 10000"/>
                      <a:gd name="connsiteX14" fmla="*/ 6220 w 10325"/>
                      <a:gd name="connsiteY14" fmla="*/ 5649 h 10000"/>
                      <a:gd name="connsiteX15" fmla="*/ 6211 w 10325"/>
                      <a:gd name="connsiteY15" fmla="*/ 5426 h 10000"/>
                      <a:gd name="connsiteX16" fmla="*/ 6211 w 10325"/>
                      <a:gd name="connsiteY16" fmla="*/ 5383 h 10000"/>
                      <a:gd name="connsiteX17" fmla="*/ 6245 w 10325"/>
                      <a:gd name="connsiteY17" fmla="*/ 5356 h 10000"/>
                      <a:gd name="connsiteX18" fmla="*/ 6597 w 10325"/>
                      <a:gd name="connsiteY18" fmla="*/ 4763 h 10000"/>
                      <a:gd name="connsiteX19" fmla="*/ 6648 w 10325"/>
                      <a:gd name="connsiteY19" fmla="*/ 4426 h 10000"/>
                      <a:gd name="connsiteX20" fmla="*/ 6648 w 10325"/>
                      <a:gd name="connsiteY20" fmla="*/ 4332 h 10000"/>
                      <a:gd name="connsiteX21" fmla="*/ 6755 w 10325"/>
                      <a:gd name="connsiteY21" fmla="*/ 4324 h 10000"/>
                      <a:gd name="connsiteX22" fmla="*/ 6849 w 10325"/>
                      <a:gd name="connsiteY22" fmla="*/ 4290 h 10000"/>
                      <a:gd name="connsiteX23" fmla="*/ 6921 w 10325"/>
                      <a:gd name="connsiteY23" fmla="*/ 4152 h 10000"/>
                      <a:gd name="connsiteX24" fmla="*/ 6972 w 10325"/>
                      <a:gd name="connsiteY24" fmla="*/ 4043 h 10000"/>
                      <a:gd name="connsiteX25" fmla="*/ 7044 w 10325"/>
                      <a:gd name="connsiteY25" fmla="*/ 3923 h 10000"/>
                      <a:gd name="connsiteX26" fmla="*/ 7113 w 10325"/>
                      <a:gd name="connsiteY26" fmla="*/ 3769 h 10000"/>
                      <a:gd name="connsiteX27" fmla="*/ 7135 w 10325"/>
                      <a:gd name="connsiteY27" fmla="*/ 3612 h 10000"/>
                      <a:gd name="connsiteX28" fmla="*/ 7154 w 10325"/>
                      <a:gd name="connsiteY28" fmla="*/ 3455 h 10000"/>
                      <a:gd name="connsiteX29" fmla="*/ 7208 w 10325"/>
                      <a:gd name="connsiteY29" fmla="*/ 3277 h 10000"/>
                      <a:gd name="connsiteX30" fmla="*/ 7236 w 10325"/>
                      <a:gd name="connsiteY30" fmla="*/ 3133 h 10000"/>
                      <a:gd name="connsiteX31" fmla="*/ 7204 w 10325"/>
                      <a:gd name="connsiteY31" fmla="*/ 3059 h 10000"/>
                      <a:gd name="connsiteX32" fmla="*/ 7198 w 10325"/>
                      <a:gd name="connsiteY32" fmla="*/ 3059 h 10000"/>
                      <a:gd name="connsiteX33" fmla="*/ 7164 w 10325"/>
                      <a:gd name="connsiteY33" fmla="*/ 3024 h 10000"/>
                      <a:gd name="connsiteX34" fmla="*/ 7113 w 10325"/>
                      <a:gd name="connsiteY34" fmla="*/ 2896 h 10000"/>
                      <a:gd name="connsiteX35" fmla="*/ 7138 w 10325"/>
                      <a:gd name="connsiteY35" fmla="*/ 2356 h 10000"/>
                      <a:gd name="connsiteX36" fmla="*/ 7142 w 10325"/>
                      <a:gd name="connsiteY36" fmla="*/ 2314 h 10000"/>
                      <a:gd name="connsiteX37" fmla="*/ 7179 w 10325"/>
                      <a:gd name="connsiteY37" fmla="*/ 1846 h 10000"/>
                      <a:gd name="connsiteX38" fmla="*/ 7123 w 10325"/>
                      <a:gd name="connsiteY38" fmla="*/ 1609 h 10000"/>
                      <a:gd name="connsiteX39" fmla="*/ 7113 w 10325"/>
                      <a:gd name="connsiteY39" fmla="*/ 1582 h 10000"/>
                      <a:gd name="connsiteX40" fmla="*/ 7082 w 10325"/>
                      <a:gd name="connsiteY40" fmla="*/ 1447 h 10000"/>
                      <a:gd name="connsiteX41" fmla="*/ 7088 w 10325"/>
                      <a:gd name="connsiteY41" fmla="*/ 1354 h 10000"/>
                      <a:gd name="connsiteX42" fmla="*/ 7066 w 10325"/>
                      <a:gd name="connsiteY42" fmla="*/ 1271 h 10000"/>
                      <a:gd name="connsiteX43" fmla="*/ 6865 w 10325"/>
                      <a:gd name="connsiteY43" fmla="*/ 1106 h 10000"/>
                      <a:gd name="connsiteX44" fmla="*/ 6535 w 10325"/>
                      <a:gd name="connsiteY44" fmla="*/ 848 h 10000"/>
                      <a:gd name="connsiteX45" fmla="*/ 6239 w 10325"/>
                      <a:gd name="connsiteY45" fmla="*/ 582 h 10000"/>
                      <a:gd name="connsiteX46" fmla="*/ 6006 w 10325"/>
                      <a:gd name="connsiteY46" fmla="*/ 370 h 10000"/>
                      <a:gd name="connsiteX47" fmla="*/ 5764 w 10325"/>
                      <a:gd name="connsiteY47" fmla="*/ 173 h 10000"/>
                      <a:gd name="connsiteX48" fmla="*/ 5503 w 10325"/>
                      <a:gd name="connsiteY48" fmla="*/ 45 h 10000"/>
                      <a:gd name="connsiteX49" fmla="*/ 5182 w 10325"/>
                      <a:gd name="connsiteY49" fmla="*/ 0 h 10000"/>
                      <a:gd name="connsiteX50" fmla="*/ 4874 w 10325"/>
                      <a:gd name="connsiteY50" fmla="*/ 32 h 10000"/>
                      <a:gd name="connsiteX51" fmla="*/ 4635 w 10325"/>
                      <a:gd name="connsiteY51" fmla="*/ 93 h 10000"/>
                      <a:gd name="connsiteX52" fmla="*/ 4390 w 10325"/>
                      <a:gd name="connsiteY52" fmla="*/ 144 h 10000"/>
                      <a:gd name="connsiteX53" fmla="*/ 4211 w 10325"/>
                      <a:gd name="connsiteY53" fmla="*/ 133 h 10000"/>
                      <a:gd name="connsiteX54" fmla="*/ 4022 w 10325"/>
                      <a:gd name="connsiteY54" fmla="*/ 266 h 10000"/>
                      <a:gd name="connsiteX55" fmla="*/ 3736 w 10325"/>
                      <a:gd name="connsiteY55" fmla="*/ 418 h 10000"/>
                      <a:gd name="connsiteX56" fmla="*/ 3324 w 10325"/>
                      <a:gd name="connsiteY56" fmla="*/ 630 h 10000"/>
                      <a:gd name="connsiteX57" fmla="*/ 2969 w 10325"/>
                      <a:gd name="connsiteY57" fmla="*/ 886 h 10000"/>
                      <a:gd name="connsiteX58" fmla="*/ 2814 w 10325"/>
                      <a:gd name="connsiteY58" fmla="*/ 1173 h 10000"/>
                      <a:gd name="connsiteX59" fmla="*/ 2846 w 10325"/>
                      <a:gd name="connsiteY59" fmla="*/ 1465 h 10000"/>
                      <a:gd name="connsiteX60" fmla="*/ 2877 w 10325"/>
                      <a:gd name="connsiteY60" fmla="*/ 1678 h 10000"/>
                      <a:gd name="connsiteX61" fmla="*/ 2855 w 10325"/>
                      <a:gd name="connsiteY61" fmla="*/ 1904 h 10000"/>
                      <a:gd name="connsiteX62" fmla="*/ 2824 w 10325"/>
                      <a:gd name="connsiteY62" fmla="*/ 2436 h 10000"/>
                      <a:gd name="connsiteX63" fmla="*/ 2871 w 10325"/>
                      <a:gd name="connsiteY63" fmla="*/ 2742 h 10000"/>
                      <a:gd name="connsiteX64" fmla="*/ 2925 w 10325"/>
                      <a:gd name="connsiteY64" fmla="*/ 2973 h 10000"/>
                      <a:gd name="connsiteX65" fmla="*/ 2704 w 10325"/>
                      <a:gd name="connsiteY65" fmla="*/ 2848 h 10000"/>
                      <a:gd name="connsiteX66" fmla="*/ 2689 w 10325"/>
                      <a:gd name="connsiteY66" fmla="*/ 2878 h 10000"/>
                      <a:gd name="connsiteX67" fmla="*/ 2670 w 10325"/>
                      <a:gd name="connsiteY67" fmla="*/ 2968 h 10000"/>
                      <a:gd name="connsiteX68" fmla="*/ 2682 w 10325"/>
                      <a:gd name="connsiteY68" fmla="*/ 3314 h 10000"/>
                      <a:gd name="connsiteX69" fmla="*/ 2752 w 10325"/>
                      <a:gd name="connsiteY69" fmla="*/ 3684 h 10000"/>
                      <a:gd name="connsiteX70" fmla="*/ 2774 w 10325"/>
                      <a:gd name="connsiteY70" fmla="*/ 3785 h 10000"/>
                      <a:gd name="connsiteX71" fmla="*/ 2796 w 10325"/>
                      <a:gd name="connsiteY71" fmla="*/ 3888 h 10000"/>
                      <a:gd name="connsiteX72" fmla="*/ 2928 w 10325"/>
                      <a:gd name="connsiteY72" fmla="*/ 4109 h 10000"/>
                      <a:gd name="connsiteX73" fmla="*/ 3047 w 10325"/>
                      <a:gd name="connsiteY73" fmla="*/ 4154 h 10000"/>
                      <a:gd name="connsiteX74" fmla="*/ 3142 w 10325"/>
                      <a:gd name="connsiteY74" fmla="*/ 4168 h 10000"/>
                      <a:gd name="connsiteX75" fmla="*/ 3145 w 10325"/>
                      <a:gd name="connsiteY75" fmla="*/ 4255 h 10000"/>
                      <a:gd name="connsiteX76" fmla="*/ 3296 w 10325"/>
                      <a:gd name="connsiteY76" fmla="*/ 4976 h 10000"/>
                      <a:gd name="connsiteX77" fmla="*/ 3450 w 10325"/>
                      <a:gd name="connsiteY77" fmla="*/ 5239 h 10000"/>
                      <a:gd name="connsiteX78" fmla="*/ 3472 w 10325"/>
                      <a:gd name="connsiteY78" fmla="*/ 5266 h 10000"/>
                      <a:gd name="connsiteX79" fmla="*/ 3472 w 10325"/>
                      <a:gd name="connsiteY79" fmla="*/ 5904 h 10000"/>
                      <a:gd name="connsiteX80" fmla="*/ 3374 w 10325"/>
                      <a:gd name="connsiteY80" fmla="*/ 5995 h 10000"/>
                      <a:gd name="connsiteX81" fmla="*/ 2544 w 10325"/>
                      <a:gd name="connsiteY81" fmla="*/ 6713 h 10000"/>
                      <a:gd name="connsiteX82" fmla="*/ 1421 w 10325"/>
                      <a:gd name="connsiteY82" fmla="*/ 7370 h 10000"/>
                      <a:gd name="connsiteX83" fmla="*/ 1104 w 10325"/>
                      <a:gd name="connsiteY83" fmla="*/ 7457 h 10000"/>
                      <a:gd name="connsiteX84" fmla="*/ 833 w 10325"/>
                      <a:gd name="connsiteY84" fmla="*/ 7519 h 10000"/>
                      <a:gd name="connsiteX85" fmla="*/ 412 w 10325"/>
                      <a:gd name="connsiteY85" fmla="*/ 7630 h 10000"/>
                      <a:gd name="connsiteX86" fmla="*/ 0 w 10325"/>
                      <a:gd name="connsiteY86" fmla="*/ 7816 h 10000"/>
                      <a:gd name="connsiteX87" fmla="*/ 314 w 10325"/>
                      <a:gd name="connsiteY87" fmla="*/ 8306 h 10000"/>
                      <a:gd name="connsiteX88" fmla="*/ 799 w 10325"/>
                      <a:gd name="connsiteY88" fmla="*/ 8742 h 10000"/>
                      <a:gd name="connsiteX89" fmla="*/ 1412 w 10325"/>
                      <a:gd name="connsiteY89" fmla="*/ 9117 h 10000"/>
                      <a:gd name="connsiteX90" fmla="*/ 2107 w 10325"/>
                      <a:gd name="connsiteY90" fmla="*/ 9431 h 10000"/>
                      <a:gd name="connsiteX91" fmla="*/ 2852 w 10325"/>
                      <a:gd name="connsiteY91" fmla="*/ 9681 h 10000"/>
                      <a:gd name="connsiteX92" fmla="*/ 3604 w 10325"/>
                      <a:gd name="connsiteY92" fmla="*/ 9862 h 10000"/>
                      <a:gd name="connsiteX93" fmla="*/ 4321 w 10325"/>
                      <a:gd name="connsiteY93" fmla="*/ 9968 h 10000"/>
                      <a:gd name="connsiteX94" fmla="*/ 4965 w 10325"/>
                      <a:gd name="connsiteY94" fmla="*/ 10000 h 10000"/>
                      <a:gd name="connsiteX95" fmla="*/ 6236 w 10325"/>
                      <a:gd name="connsiteY95" fmla="*/ 9846 h 10000"/>
                      <a:gd name="connsiteX96" fmla="*/ 7824 w 10325"/>
                      <a:gd name="connsiteY96" fmla="*/ 9391 h 10000"/>
                      <a:gd name="connsiteX97" fmla="*/ 8585 w 10325"/>
                      <a:gd name="connsiteY97" fmla="*/ 9069 h 10000"/>
                      <a:gd name="connsiteX98" fmla="*/ 9245 w 10325"/>
                      <a:gd name="connsiteY98" fmla="*/ 8694 h 10000"/>
                      <a:gd name="connsiteX99" fmla="*/ 9736 w 10325"/>
                      <a:gd name="connsiteY99" fmla="*/ 8271 h 10000"/>
                      <a:gd name="connsiteX100" fmla="*/ 10325 w 10325"/>
                      <a:gd name="connsiteY100" fmla="*/ 7962 h 10000"/>
                      <a:gd name="connsiteX0" fmla="*/ 10650 w 10650"/>
                      <a:gd name="connsiteY0" fmla="*/ 7962 h 10000"/>
                      <a:gd name="connsiteX1" fmla="*/ 9913 w 10650"/>
                      <a:gd name="connsiteY1" fmla="*/ 7630 h 10000"/>
                      <a:gd name="connsiteX2" fmla="*/ 9495 w 10650"/>
                      <a:gd name="connsiteY2" fmla="*/ 7519 h 10000"/>
                      <a:gd name="connsiteX3" fmla="*/ 9281 w 10650"/>
                      <a:gd name="connsiteY3" fmla="*/ 7471 h 10000"/>
                      <a:gd name="connsiteX4" fmla="*/ 9039 w 10650"/>
                      <a:gd name="connsiteY4" fmla="*/ 7410 h 10000"/>
                      <a:gd name="connsiteX5" fmla="*/ 8743 w 10650"/>
                      <a:gd name="connsiteY5" fmla="*/ 7301 h 10000"/>
                      <a:gd name="connsiteX6" fmla="*/ 7671 w 10650"/>
                      <a:gd name="connsiteY6" fmla="*/ 6867 h 10000"/>
                      <a:gd name="connsiteX7" fmla="*/ 7636 w 10650"/>
                      <a:gd name="connsiteY7" fmla="*/ 6856 h 10000"/>
                      <a:gd name="connsiteX8" fmla="*/ 7366 w 10650"/>
                      <a:gd name="connsiteY8" fmla="*/ 6739 h 10000"/>
                      <a:gd name="connsiteX9" fmla="*/ 7202 w 10650"/>
                      <a:gd name="connsiteY9" fmla="*/ 6620 h 10000"/>
                      <a:gd name="connsiteX10" fmla="*/ 7014 w 10650"/>
                      <a:gd name="connsiteY10" fmla="*/ 6428 h 10000"/>
                      <a:gd name="connsiteX11" fmla="*/ 6856 w 10650"/>
                      <a:gd name="connsiteY11" fmla="*/ 6298 h 10000"/>
                      <a:gd name="connsiteX12" fmla="*/ 6702 w 10650"/>
                      <a:gd name="connsiteY12" fmla="*/ 6165 h 10000"/>
                      <a:gd name="connsiteX13" fmla="*/ 6602 w 10650"/>
                      <a:gd name="connsiteY13" fmla="*/ 6008 h 10000"/>
                      <a:gd name="connsiteX14" fmla="*/ 6545 w 10650"/>
                      <a:gd name="connsiteY14" fmla="*/ 5649 h 10000"/>
                      <a:gd name="connsiteX15" fmla="*/ 6536 w 10650"/>
                      <a:gd name="connsiteY15" fmla="*/ 5426 h 10000"/>
                      <a:gd name="connsiteX16" fmla="*/ 6536 w 10650"/>
                      <a:gd name="connsiteY16" fmla="*/ 5383 h 10000"/>
                      <a:gd name="connsiteX17" fmla="*/ 6570 w 10650"/>
                      <a:gd name="connsiteY17" fmla="*/ 5356 h 10000"/>
                      <a:gd name="connsiteX18" fmla="*/ 6922 w 10650"/>
                      <a:gd name="connsiteY18" fmla="*/ 4763 h 10000"/>
                      <a:gd name="connsiteX19" fmla="*/ 6973 w 10650"/>
                      <a:gd name="connsiteY19" fmla="*/ 4426 h 10000"/>
                      <a:gd name="connsiteX20" fmla="*/ 6973 w 10650"/>
                      <a:gd name="connsiteY20" fmla="*/ 4332 h 10000"/>
                      <a:gd name="connsiteX21" fmla="*/ 7080 w 10650"/>
                      <a:gd name="connsiteY21" fmla="*/ 4324 h 10000"/>
                      <a:gd name="connsiteX22" fmla="*/ 7174 w 10650"/>
                      <a:gd name="connsiteY22" fmla="*/ 4290 h 10000"/>
                      <a:gd name="connsiteX23" fmla="*/ 7246 w 10650"/>
                      <a:gd name="connsiteY23" fmla="*/ 4152 h 10000"/>
                      <a:gd name="connsiteX24" fmla="*/ 7297 w 10650"/>
                      <a:gd name="connsiteY24" fmla="*/ 4043 h 10000"/>
                      <a:gd name="connsiteX25" fmla="*/ 7369 w 10650"/>
                      <a:gd name="connsiteY25" fmla="*/ 3923 h 10000"/>
                      <a:gd name="connsiteX26" fmla="*/ 7438 w 10650"/>
                      <a:gd name="connsiteY26" fmla="*/ 3769 h 10000"/>
                      <a:gd name="connsiteX27" fmla="*/ 7460 w 10650"/>
                      <a:gd name="connsiteY27" fmla="*/ 3612 h 10000"/>
                      <a:gd name="connsiteX28" fmla="*/ 7479 w 10650"/>
                      <a:gd name="connsiteY28" fmla="*/ 3455 h 10000"/>
                      <a:gd name="connsiteX29" fmla="*/ 7533 w 10650"/>
                      <a:gd name="connsiteY29" fmla="*/ 3277 h 10000"/>
                      <a:gd name="connsiteX30" fmla="*/ 7561 w 10650"/>
                      <a:gd name="connsiteY30" fmla="*/ 3133 h 10000"/>
                      <a:gd name="connsiteX31" fmla="*/ 7529 w 10650"/>
                      <a:gd name="connsiteY31" fmla="*/ 3059 h 10000"/>
                      <a:gd name="connsiteX32" fmla="*/ 7523 w 10650"/>
                      <a:gd name="connsiteY32" fmla="*/ 3059 h 10000"/>
                      <a:gd name="connsiteX33" fmla="*/ 7489 w 10650"/>
                      <a:gd name="connsiteY33" fmla="*/ 3024 h 10000"/>
                      <a:gd name="connsiteX34" fmla="*/ 7438 w 10650"/>
                      <a:gd name="connsiteY34" fmla="*/ 2896 h 10000"/>
                      <a:gd name="connsiteX35" fmla="*/ 7463 w 10650"/>
                      <a:gd name="connsiteY35" fmla="*/ 2356 h 10000"/>
                      <a:gd name="connsiteX36" fmla="*/ 7467 w 10650"/>
                      <a:gd name="connsiteY36" fmla="*/ 2314 h 10000"/>
                      <a:gd name="connsiteX37" fmla="*/ 7504 w 10650"/>
                      <a:gd name="connsiteY37" fmla="*/ 1846 h 10000"/>
                      <a:gd name="connsiteX38" fmla="*/ 7448 w 10650"/>
                      <a:gd name="connsiteY38" fmla="*/ 1609 h 10000"/>
                      <a:gd name="connsiteX39" fmla="*/ 7438 w 10650"/>
                      <a:gd name="connsiteY39" fmla="*/ 1582 h 10000"/>
                      <a:gd name="connsiteX40" fmla="*/ 7407 w 10650"/>
                      <a:gd name="connsiteY40" fmla="*/ 1447 h 10000"/>
                      <a:gd name="connsiteX41" fmla="*/ 7413 w 10650"/>
                      <a:gd name="connsiteY41" fmla="*/ 1354 h 10000"/>
                      <a:gd name="connsiteX42" fmla="*/ 7391 w 10650"/>
                      <a:gd name="connsiteY42" fmla="*/ 1271 h 10000"/>
                      <a:gd name="connsiteX43" fmla="*/ 7190 w 10650"/>
                      <a:gd name="connsiteY43" fmla="*/ 1106 h 10000"/>
                      <a:gd name="connsiteX44" fmla="*/ 6860 w 10650"/>
                      <a:gd name="connsiteY44" fmla="*/ 848 h 10000"/>
                      <a:gd name="connsiteX45" fmla="*/ 6564 w 10650"/>
                      <a:gd name="connsiteY45" fmla="*/ 582 h 10000"/>
                      <a:gd name="connsiteX46" fmla="*/ 6331 w 10650"/>
                      <a:gd name="connsiteY46" fmla="*/ 370 h 10000"/>
                      <a:gd name="connsiteX47" fmla="*/ 6089 w 10650"/>
                      <a:gd name="connsiteY47" fmla="*/ 173 h 10000"/>
                      <a:gd name="connsiteX48" fmla="*/ 5828 w 10650"/>
                      <a:gd name="connsiteY48" fmla="*/ 45 h 10000"/>
                      <a:gd name="connsiteX49" fmla="*/ 5507 w 10650"/>
                      <a:gd name="connsiteY49" fmla="*/ 0 h 10000"/>
                      <a:gd name="connsiteX50" fmla="*/ 5199 w 10650"/>
                      <a:gd name="connsiteY50" fmla="*/ 32 h 10000"/>
                      <a:gd name="connsiteX51" fmla="*/ 4960 w 10650"/>
                      <a:gd name="connsiteY51" fmla="*/ 93 h 10000"/>
                      <a:gd name="connsiteX52" fmla="*/ 4715 w 10650"/>
                      <a:gd name="connsiteY52" fmla="*/ 144 h 10000"/>
                      <a:gd name="connsiteX53" fmla="*/ 4536 w 10650"/>
                      <a:gd name="connsiteY53" fmla="*/ 133 h 10000"/>
                      <a:gd name="connsiteX54" fmla="*/ 4347 w 10650"/>
                      <a:gd name="connsiteY54" fmla="*/ 266 h 10000"/>
                      <a:gd name="connsiteX55" fmla="*/ 4061 w 10650"/>
                      <a:gd name="connsiteY55" fmla="*/ 418 h 10000"/>
                      <a:gd name="connsiteX56" fmla="*/ 3649 w 10650"/>
                      <a:gd name="connsiteY56" fmla="*/ 630 h 10000"/>
                      <a:gd name="connsiteX57" fmla="*/ 3294 w 10650"/>
                      <a:gd name="connsiteY57" fmla="*/ 886 h 10000"/>
                      <a:gd name="connsiteX58" fmla="*/ 3139 w 10650"/>
                      <a:gd name="connsiteY58" fmla="*/ 1173 h 10000"/>
                      <a:gd name="connsiteX59" fmla="*/ 3171 w 10650"/>
                      <a:gd name="connsiteY59" fmla="*/ 1465 h 10000"/>
                      <a:gd name="connsiteX60" fmla="*/ 3202 w 10650"/>
                      <a:gd name="connsiteY60" fmla="*/ 1678 h 10000"/>
                      <a:gd name="connsiteX61" fmla="*/ 3180 w 10650"/>
                      <a:gd name="connsiteY61" fmla="*/ 1904 h 10000"/>
                      <a:gd name="connsiteX62" fmla="*/ 3149 w 10650"/>
                      <a:gd name="connsiteY62" fmla="*/ 2436 h 10000"/>
                      <a:gd name="connsiteX63" fmla="*/ 3196 w 10650"/>
                      <a:gd name="connsiteY63" fmla="*/ 2742 h 10000"/>
                      <a:gd name="connsiteX64" fmla="*/ 3250 w 10650"/>
                      <a:gd name="connsiteY64" fmla="*/ 2973 h 10000"/>
                      <a:gd name="connsiteX65" fmla="*/ 3029 w 10650"/>
                      <a:gd name="connsiteY65" fmla="*/ 2848 h 10000"/>
                      <a:gd name="connsiteX66" fmla="*/ 3014 w 10650"/>
                      <a:gd name="connsiteY66" fmla="*/ 2878 h 10000"/>
                      <a:gd name="connsiteX67" fmla="*/ 2995 w 10650"/>
                      <a:gd name="connsiteY67" fmla="*/ 2968 h 10000"/>
                      <a:gd name="connsiteX68" fmla="*/ 3007 w 10650"/>
                      <a:gd name="connsiteY68" fmla="*/ 3314 h 10000"/>
                      <a:gd name="connsiteX69" fmla="*/ 3077 w 10650"/>
                      <a:gd name="connsiteY69" fmla="*/ 3684 h 10000"/>
                      <a:gd name="connsiteX70" fmla="*/ 3099 w 10650"/>
                      <a:gd name="connsiteY70" fmla="*/ 3785 h 10000"/>
                      <a:gd name="connsiteX71" fmla="*/ 3121 w 10650"/>
                      <a:gd name="connsiteY71" fmla="*/ 3888 h 10000"/>
                      <a:gd name="connsiteX72" fmla="*/ 3253 w 10650"/>
                      <a:gd name="connsiteY72" fmla="*/ 4109 h 10000"/>
                      <a:gd name="connsiteX73" fmla="*/ 3372 w 10650"/>
                      <a:gd name="connsiteY73" fmla="*/ 4154 h 10000"/>
                      <a:gd name="connsiteX74" fmla="*/ 3467 w 10650"/>
                      <a:gd name="connsiteY74" fmla="*/ 4168 h 10000"/>
                      <a:gd name="connsiteX75" fmla="*/ 3470 w 10650"/>
                      <a:gd name="connsiteY75" fmla="*/ 4255 h 10000"/>
                      <a:gd name="connsiteX76" fmla="*/ 3621 w 10650"/>
                      <a:gd name="connsiteY76" fmla="*/ 4976 h 10000"/>
                      <a:gd name="connsiteX77" fmla="*/ 3775 w 10650"/>
                      <a:gd name="connsiteY77" fmla="*/ 5239 h 10000"/>
                      <a:gd name="connsiteX78" fmla="*/ 3797 w 10650"/>
                      <a:gd name="connsiteY78" fmla="*/ 5266 h 10000"/>
                      <a:gd name="connsiteX79" fmla="*/ 3797 w 10650"/>
                      <a:gd name="connsiteY79" fmla="*/ 5904 h 10000"/>
                      <a:gd name="connsiteX80" fmla="*/ 3699 w 10650"/>
                      <a:gd name="connsiteY80" fmla="*/ 5995 h 10000"/>
                      <a:gd name="connsiteX81" fmla="*/ 2869 w 10650"/>
                      <a:gd name="connsiteY81" fmla="*/ 6713 h 10000"/>
                      <a:gd name="connsiteX82" fmla="*/ 1746 w 10650"/>
                      <a:gd name="connsiteY82" fmla="*/ 7370 h 10000"/>
                      <a:gd name="connsiteX83" fmla="*/ 1429 w 10650"/>
                      <a:gd name="connsiteY83" fmla="*/ 7457 h 10000"/>
                      <a:gd name="connsiteX84" fmla="*/ 1158 w 10650"/>
                      <a:gd name="connsiteY84" fmla="*/ 7519 h 10000"/>
                      <a:gd name="connsiteX85" fmla="*/ 737 w 10650"/>
                      <a:gd name="connsiteY85" fmla="*/ 7630 h 10000"/>
                      <a:gd name="connsiteX86" fmla="*/ 0 w 10650"/>
                      <a:gd name="connsiteY86" fmla="*/ 8060 h 10000"/>
                      <a:gd name="connsiteX87" fmla="*/ 639 w 10650"/>
                      <a:gd name="connsiteY87" fmla="*/ 8306 h 10000"/>
                      <a:gd name="connsiteX88" fmla="*/ 1124 w 10650"/>
                      <a:gd name="connsiteY88" fmla="*/ 8742 h 10000"/>
                      <a:gd name="connsiteX89" fmla="*/ 1737 w 10650"/>
                      <a:gd name="connsiteY89" fmla="*/ 9117 h 10000"/>
                      <a:gd name="connsiteX90" fmla="*/ 2432 w 10650"/>
                      <a:gd name="connsiteY90" fmla="*/ 9431 h 10000"/>
                      <a:gd name="connsiteX91" fmla="*/ 3177 w 10650"/>
                      <a:gd name="connsiteY91" fmla="*/ 9681 h 10000"/>
                      <a:gd name="connsiteX92" fmla="*/ 3929 w 10650"/>
                      <a:gd name="connsiteY92" fmla="*/ 9862 h 10000"/>
                      <a:gd name="connsiteX93" fmla="*/ 4646 w 10650"/>
                      <a:gd name="connsiteY93" fmla="*/ 9968 h 10000"/>
                      <a:gd name="connsiteX94" fmla="*/ 5290 w 10650"/>
                      <a:gd name="connsiteY94" fmla="*/ 10000 h 10000"/>
                      <a:gd name="connsiteX95" fmla="*/ 6561 w 10650"/>
                      <a:gd name="connsiteY95" fmla="*/ 9846 h 10000"/>
                      <a:gd name="connsiteX96" fmla="*/ 8149 w 10650"/>
                      <a:gd name="connsiteY96" fmla="*/ 9391 h 10000"/>
                      <a:gd name="connsiteX97" fmla="*/ 8910 w 10650"/>
                      <a:gd name="connsiteY97" fmla="*/ 9069 h 10000"/>
                      <a:gd name="connsiteX98" fmla="*/ 9570 w 10650"/>
                      <a:gd name="connsiteY98" fmla="*/ 8694 h 10000"/>
                      <a:gd name="connsiteX99" fmla="*/ 10061 w 10650"/>
                      <a:gd name="connsiteY99" fmla="*/ 8271 h 10000"/>
                      <a:gd name="connsiteX100" fmla="*/ 10650 w 10650"/>
                      <a:gd name="connsiteY100" fmla="*/ 7962 h 10000"/>
                      <a:gd name="connsiteX0" fmla="*/ 10650 w 10650"/>
                      <a:gd name="connsiteY0" fmla="*/ 7962 h 10000"/>
                      <a:gd name="connsiteX1" fmla="*/ 9913 w 10650"/>
                      <a:gd name="connsiteY1" fmla="*/ 7630 h 10000"/>
                      <a:gd name="connsiteX2" fmla="*/ 9495 w 10650"/>
                      <a:gd name="connsiteY2" fmla="*/ 7519 h 10000"/>
                      <a:gd name="connsiteX3" fmla="*/ 9281 w 10650"/>
                      <a:gd name="connsiteY3" fmla="*/ 7471 h 10000"/>
                      <a:gd name="connsiteX4" fmla="*/ 9039 w 10650"/>
                      <a:gd name="connsiteY4" fmla="*/ 7410 h 10000"/>
                      <a:gd name="connsiteX5" fmla="*/ 8743 w 10650"/>
                      <a:gd name="connsiteY5" fmla="*/ 7301 h 10000"/>
                      <a:gd name="connsiteX6" fmla="*/ 7671 w 10650"/>
                      <a:gd name="connsiteY6" fmla="*/ 6867 h 10000"/>
                      <a:gd name="connsiteX7" fmla="*/ 7636 w 10650"/>
                      <a:gd name="connsiteY7" fmla="*/ 6856 h 10000"/>
                      <a:gd name="connsiteX8" fmla="*/ 7366 w 10650"/>
                      <a:gd name="connsiteY8" fmla="*/ 6739 h 10000"/>
                      <a:gd name="connsiteX9" fmla="*/ 7202 w 10650"/>
                      <a:gd name="connsiteY9" fmla="*/ 6620 h 10000"/>
                      <a:gd name="connsiteX10" fmla="*/ 7014 w 10650"/>
                      <a:gd name="connsiteY10" fmla="*/ 6428 h 10000"/>
                      <a:gd name="connsiteX11" fmla="*/ 6856 w 10650"/>
                      <a:gd name="connsiteY11" fmla="*/ 6298 h 10000"/>
                      <a:gd name="connsiteX12" fmla="*/ 6702 w 10650"/>
                      <a:gd name="connsiteY12" fmla="*/ 6165 h 10000"/>
                      <a:gd name="connsiteX13" fmla="*/ 6602 w 10650"/>
                      <a:gd name="connsiteY13" fmla="*/ 6008 h 10000"/>
                      <a:gd name="connsiteX14" fmla="*/ 6545 w 10650"/>
                      <a:gd name="connsiteY14" fmla="*/ 5649 h 10000"/>
                      <a:gd name="connsiteX15" fmla="*/ 6536 w 10650"/>
                      <a:gd name="connsiteY15" fmla="*/ 5426 h 10000"/>
                      <a:gd name="connsiteX16" fmla="*/ 6536 w 10650"/>
                      <a:gd name="connsiteY16" fmla="*/ 5383 h 10000"/>
                      <a:gd name="connsiteX17" fmla="*/ 6570 w 10650"/>
                      <a:gd name="connsiteY17" fmla="*/ 5356 h 10000"/>
                      <a:gd name="connsiteX18" fmla="*/ 6922 w 10650"/>
                      <a:gd name="connsiteY18" fmla="*/ 4763 h 10000"/>
                      <a:gd name="connsiteX19" fmla="*/ 6973 w 10650"/>
                      <a:gd name="connsiteY19" fmla="*/ 4426 h 10000"/>
                      <a:gd name="connsiteX20" fmla="*/ 6973 w 10650"/>
                      <a:gd name="connsiteY20" fmla="*/ 4332 h 10000"/>
                      <a:gd name="connsiteX21" fmla="*/ 7080 w 10650"/>
                      <a:gd name="connsiteY21" fmla="*/ 4324 h 10000"/>
                      <a:gd name="connsiteX22" fmla="*/ 7174 w 10650"/>
                      <a:gd name="connsiteY22" fmla="*/ 4290 h 10000"/>
                      <a:gd name="connsiteX23" fmla="*/ 7246 w 10650"/>
                      <a:gd name="connsiteY23" fmla="*/ 4152 h 10000"/>
                      <a:gd name="connsiteX24" fmla="*/ 7297 w 10650"/>
                      <a:gd name="connsiteY24" fmla="*/ 4043 h 10000"/>
                      <a:gd name="connsiteX25" fmla="*/ 7369 w 10650"/>
                      <a:gd name="connsiteY25" fmla="*/ 3923 h 10000"/>
                      <a:gd name="connsiteX26" fmla="*/ 7438 w 10650"/>
                      <a:gd name="connsiteY26" fmla="*/ 3769 h 10000"/>
                      <a:gd name="connsiteX27" fmla="*/ 7460 w 10650"/>
                      <a:gd name="connsiteY27" fmla="*/ 3612 h 10000"/>
                      <a:gd name="connsiteX28" fmla="*/ 7479 w 10650"/>
                      <a:gd name="connsiteY28" fmla="*/ 3455 h 10000"/>
                      <a:gd name="connsiteX29" fmla="*/ 7533 w 10650"/>
                      <a:gd name="connsiteY29" fmla="*/ 3277 h 10000"/>
                      <a:gd name="connsiteX30" fmla="*/ 7561 w 10650"/>
                      <a:gd name="connsiteY30" fmla="*/ 3133 h 10000"/>
                      <a:gd name="connsiteX31" fmla="*/ 7529 w 10650"/>
                      <a:gd name="connsiteY31" fmla="*/ 3059 h 10000"/>
                      <a:gd name="connsiteX32" fmla="*/ 7523 w 10650"/>
                      <a:gd name="connsiteY32" fmla="*/ 3059 h 10000"/>
                      <a:gd name="connsiteX33" fmla="*/ 7489 w 10650"/>
                      <a:gd name="connsiteY33" fmla="*/ 3024 h 10000"/>
                      <a:gd name="connsiteX34" fmla="*/ 7438 w 10650"/>
                      <a:gd name="connsiteY34" fmla="*/ 2896 h 10000"/>
                      <a:gd name="connsiteX35" fmla="*/ 7463 w 10650"/>
                      <a:gd name="connsiteY35" fmla="*/ 2356 h 10000"/>
                      <a:gd name="connsiteX36" fmla="*/ 7467 w 10650"/>
                      <a:gd name="connsiteY36" fmla="*/ 2314 h 10000"/>
                      <a:gd name="connsiteX37" fmla="*/ 7504 w 10650"/>
                      <a:gd name="connsiteY37" fmla="*/ 1846 h 10000"/>
                      <a:gd name="connsiteX38" fmla="*/ 7448 w 10650"/>
                      <a:gd name="connsiteY38" fmla="*/ 1609 h 10000"/>
                      <a:gd name="connsiteX39" fmla="*/ 7438 w 10650"/>
                      <a:gd name="connsiteY39" fmla="*/ 1582 h 10000"/>
                      <a:gd name="connsiteX40" fmla="*/ 7407 w 10650"/>
                      <a:gd name="connsiteY40" fmla="*/ 1447 h 10000"/>
                      <a:gd name="connsiteX41" fmla="*/ 7413 w 10650"/>
                      <a:gd name="connsiteY41" fmla="*/ 1354 h 10000"/>
                      <a:gd name="connsiteX42" fmla="*/ 7391 w 10650"/>
                      <a:gd name="connsiteY42" fmla="*/ 1271 h 10000"/>
                      <a:gd name="connsiteX43" fmla="*/ 7190 w 10650"/>
                      <a:gd name="connsiteY43" fmla="*/ 1106 h 10000"/>
                      <a:gd name="connsiteX44" fmla="*/ 6860 w 10650"/>
                      <a:gd name="connsiteY44" fmla="*/ 848 h 10000"/>
                      <a:gd name="connsiteX45" fmla="*/ 6564 w 10650"/>
                      <a:gd name="connsiteY45" fmla="*/ 582 h 10000"/>
                      <a:gd name="connsiteX46" fmla="*/ 6331 w 10650"/>
                      <a:gd name="connsiteY46" fmla="*/ 370 h 10000"/>
                      <a:gd name="connsiteX47" fmla="*/ 6089 w 10650"/>
                      <a:gd name="connsiteY47" fmla="*/ 173 h 10000"/>
                      <a:gd name="connsiteX48" fmla="*/ 5828 w 10650"/>
                      <a:gd name="connsiteY48" fmla="*/ 45 h 10000"/>
                      <a:gd name="connsiteX49" fmla="*/ 5507 w 10650"/>
                      <a:gd name="connsiteY49" fmla="*/ 0 h 10000"/>
                      <a:gd name="connsiteX50" fmla="*/ 5199 w 10650"/>
                      <a:gd name="connsiteY50" fmla="*/ 32 h 10000"/>
                      <a:gd name="connsiteX51" fmla="*/ 4960 w 10650"/>
                      <a:gd name="connsiteY51" fmla="*/ 93 h 10000"/>
                      <a:gd name="connsiteX52" fmla="*/ 4715 w 10650"/>
                      <a:gd name="connsiteY52" fmla="*/ 144 h 10000"/>
                      <a:gd name="connsiteX53" fmla="*/ 4536 w 10650"/>
                      <a:gd name="connsiteY53" fmla="*/ 133 h 10000"/>
                      <a:gd name="connsiteX54" fmla="*/ 4347 w 10650"/>
                      <a:gd name="connsiteY54" fmla="*/ 266 h 10000"/>
                      <a:gd name="connsiteX55" fmla="*/ 4061 w 10650"/>
                      <a:gd name="connsiteY55" fmla="*/ 418 h 10000"/>
                      <a:gd name="connsiteX56" fmla="*/ 3649 w 10650"/>
                      <a:gd name="connsiteY56" fmla="*/ 630 h 10000"/>
                      <a:gd name="connsiteX57" fmla="*/ 3294 w 10650"/>
                      <a:gd name="connsiteY57" fmla="*/ 886 h 10000"/>
                      <a:gd name="connsiteX58" fmla="*/ 3139 w 10650"/>
                      <a:gd name="connsiteY58" fmla="*/ 1173 h 10000"/>
                      <a:gd name="connsiteX59" fmla="*/ 3171 w 10650"/>
                      <a:gd name="connsiteY59" fmla="*/ 1465 h 10000"/>
                      <a:gd name="connsiteX60" fmla="*/ 3202 w 10650"/>
                      <a:gd name="connsiteY60" fmla="*/ 1678 h 10000"/>
                      <a:gd name="connsiteX61" fmla="*/ 3180 w 10650"/>
                      <a:gd name="connsiteY61" fmla="*/ 1904 h 10000"/>
                      <a:gd name="connsiteX62" fmla="*/ 3149 w 10650"/>
                      <a:gd name="connsiteY62" fmla="*/ 2436 h 10000"/>
                      <a:gd name="connsiteX63" fmla="*/ 3196 w 10650"/>
                      <a:gd name="connsiteY63" fmla="*/ 2742 h 10000"/>
                      <a:gd name="connsiteX64" fmla="*/ 3250 w 10650"/>
                      <a:gd name="connsiteY64" fmla="*/ 2973 h 10000"/>
                      <a:gd name="connsiteX65" fmla="*/ 3029 w 10650"/>
                      <a:gd name="connsiteY65" fmla="*/ 2848 h 10000"/>
                      <a:gd name="connsiteX66" fmla="*/ 3014 w 10650"/>
                      <a:gd name="connsiteY66" fmla="*/ 2878 h 10000"/>
                      <a:gd name="connsiteX67" fmla="*/ 2995 w 10650"/>
                      <a:gd name="connsiteY67" fmla="*/ 2968 h 10000"/>
                      <a:gd name="connsiteX68" fmla="*/ 3007 w 10650"/>
                      <a:gd name="connsiteY68" fmla="*/ 3314 h 10000"/>
                      <a:gd name="connsiteX69" fmla="*/ 3077 w 10650"/>
                      <a:gd name="connsiteY69" fmla="*/ 3684 h 10000"/>
                      <a:gd name="connsiteX70" fmla="*/ 3099 w 10650"/>
                      <a:gd name="connsiteY70" fmla="*/ 3785 h 10000"/>
                      <a:gd name="connsiteX71" fmla="*/ 3121 w 10650"/>
                      <a:gd name="connsiteY71" fmla="*/ 3888 h 10000"/>
                      <a:gd name="connsiteX72" fmla="*/ 3253 w 10650"/>
                      <a:gd name="connsiteY72" fmla="*/ 4109 h 10000"/>
                      <a:gd name="connsiteX73" fmla="*/ 3372 w 10650"/>
                      <a:gd name="connsiteY73" fmla="*/ 4154 h 10000"/>
                      <a:gd name="connsiteX74" fmla="*/ 3467 w 10650"/>
                      <a:gd name="connsiteY74" fmla="*/ 4168 h 10000"/>
                      <a:gd name="connsiteX75" fmla="*/ 3470 w 10650"/>
                      <a:gd name="connsiteY75" fmla="*/ 4255 h 10000"/>
                      <a:gd name="connsiteX76" fmla="*/ 3621 w 10650"/>
                      <a:gd name="connsiteY76" fmla="*/ 4976 h 10000"/>
                      <a:gd name="connsiteX77" fmla="*/ 3775 w 10650"/>
                      <a:gd name="connsiteY77" fmla="*/ 5239 h 10000"/>
                      <a:gd name="connsiteX78" fmla="*/ 3797 w 10650"/>
                      <a:gd name="connsiteY78" fmla="*/ 5266 h 10000"/>
                      <a:gd name="connsiteX79" fmla="*/ 3797 w 10650"/>
                      <a:gd name="connsiteY79" fmla="*/ 5904 h 10000"/>
                      <a:gd name="connsiteX80" fmla="*/ 3699 w 10650"/>
                      <a:gd name="connsiteY80" fmla="*/ 5995 h 10000"/>
                      <a:gd name="connsiteX81" fmla="*/ 2869 w 10650"/>
                      <a:gd name="connsiteY81" fmla="*/ 6713 h 10000"/>
                      <a:gd name="connsiteX82" fmla="*/ 1746 w 10650"/>
                      <a:gd name="connsiteY82" fmla="*/ 7370 h 10000"/>
                      <a:gd name="connsiteX83" fmla="*/ 1429 w 10650"/>
                      <a:gd name="connsiteY83" fmla="*/ 7457 h 10000"/>
                      <a:gd name="connsiteX84" fmla="*/ 1158 w 10650"/>
                      <a:gd name="connsiteY84" fmla="*/ 7519 h 10000"/>
                      <a:gd name="connsiteX85" fmla="*/ 737 w 10650"/>
                      <a:gd name="connsiteY85" fmla="*/ 7630 h 10000"/>
                      <a:gd name="connsiteX86" fmla="*/ 0 w 10650"/>
                      <a:gd name="connsiteY86" fmla="*/ 8060 h 10000"/>
                      <a:gd name="connsiteX87" fmla="*/ 639 w 10650"/>
                      <a:gd name="connsiteY87" fmla="*/ 8306 h 10000"/>
                      <a:gd name="connsiteX88" fmla="*/ 1124 w 10650"/>
                      <a:gd name="connsiteY88" fmla="*/ 8742 h 10000"/>
                      <a:gd name="connsiteX89" fmla="*/ 1737 w 10650"/>
                      <a:gd name="connsiteY89" fmla="*/ 9117 h 10000"/>
                      <a:gd name="connsiteX90" fmla="*/ 2432 w 10650"/>
                      <a:gd name="connsiteY90" fmla="*/ 9431 h 10000"/>
                      <a:gd name="connsiteX91" fmla="*/ 3177 w 10650"/>
                      <a:gd name="connsiteY91" fmla="*/ 9681 h 10000"/>
                      <a:gd name="connsiteX92" fmla="*/ 3929 w 10650"/>
                      <a:gd name="connsiteY92" fmla="*/ 9862 h 10000"/>
                      <a:gd name="connsiteX93" fmla="*/ 4646 w 10650"/>
                      <a:gd name="connsiteY93" fmla="*/ 9968 h 10000"/>
                      <a:gd name="connsiteX94" fmla="*/ 5290 w 10650"/>
                      <a:gd name="connsiteY94" fmla="*/ 10000 h 10000"/>
                      <a:gd name="connsiteX95" fmla="*/ 6561 w 10650"/>
                      <a:gd name="connsiteY95" fmla="*/ 9846 h 10000"/>
                      <a:gd name="connsiteX96" fmla="*/ 8149 w 10650"/>
                      <a:gd name="connsiteY96" fmla="*/ 9391 h 10000"/>
                      <a:gd name="connsiteX97" fmla="*/ 8910 w 10650"/>
                      <a:gd name="connsiteY97" fmla="*/ 9069 h 10000"/>
                      <a:gd name="connsiteX98" fmla="*/ 9570 w 10650"/>
                      <a:gd name="connsiteY98" fmla="*/ 8694 h 10000"/>
                      <a:gd name="connsiteX99" fmla="*/ 10332 w 10650"/>
                      <a:gd name="connsiteY99" fmla="*/ 8320 h 10000"/>
                      <a:gd name="connsiteX100" fmla="*/ 10650 w 10650"/>
                      <a:gd name="connsiteY100" fmla="*/ 7962 h 100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Lst>
                    <a:rect l="l" t="t" r="r" b="b"/>
                    <a:pathLst>
                      <a:path w="10650" h="10000">
                        <a:moveTo>
                          <a:pt x="10650" y="7962"/>
                        </a:moveTo>
                        <a:lnTo>
                          <a:pt x="9913" y="7630"/>
                        </a:lnTo>
                        <a:lnTo>
                          <a:pt x="9495" y="7519"/>
                        </a:lnTo>
                        <a:lnTo>
                          <a:pt x="9281" y="7471"/>
                        </a:lnTo>
                        <a:lnTo>
                          <a:pt x="9039" y="7410"/>
                        </a:lnTo>
                        <a:lnTo>
                          <a:pt x="8743" y="7301"/>
                        </a:lnTo>
                        <a:lnTo>
                          <a:pt x="7671" y="6867"/>
                        </a:lnTo>
                        <a:cubicBezTo>
                          <a:pt x="7659" y="6863"/>
                          <a:pt x="7648" y="6860"/>
                          <a:pt x="7636" y="6856"/>
                        </a:cubicBezTo>
                        <a:lnTo>
                          <a:pt x="7366" y="6739"/>
                        </a:lnTo>
                        <a:lnTo>
                          <a:pt x="7202" y="6620"/>
                        </a:lnTo>
                        <a:lnTo>
                          <a:pt x="7014" y="6428"/>
                        </a:lnTo>
                        <a:cubicBezTo>
                          <a:pt x="6961" y="6385"/>
                          <a:pt x="6909" y="6341"/>
                          <a:pt x="6856" y="6298"/>
                        </a:cubicBezTo>
                        <a:lnTo>
                          <a:pt x="6702" y="6165"/>
                        </a:lnTo>
                        <a:lnTo>
                          <a:pt x="6602" y="6008"/>
                        </a:lnTo>
                        <a:cubicBezTo>
                          <a:pt x="6583" y="5888"/>
                          <a:pt x="6564" y="5769"/>
                          <a:pt x="6545" y="5649"/>
                        </a:cubicBezTo>
                        <a:cubicBezTo>
                          <a:pt x="6542" y="5575"/>
                          <a:pt x="6539" y="5500"/>
                          <a:pt x="6536" y="5426"/>
                        </a:cubicBezTo>
                        <a:lnTo>
                          <a:pt x="6536" y="5383"/>
                        </a:lnTo>
                        <a:cubicBezTo>
                          <a:pt x="6547" y="5374"/>
                          <a:pt x="6559" y="5365"/>
                          <a:pt x="6570" y="5356"/>
                        </a:cubicBezTo>
                        <a:lnTo>
                          <a:pt x="6922" y="4763"/>
                        </a:lnTo>
                        <a:cubicBezTo>
                          <a:pt x="6939" y="4651"/>
                          <a:pt x="6956" y="4538"/>
                          <a:pt x="6973" y="4426"/>
                        </a:cubicBezTo>
                        <a:lnTo>
                          <a:pt x="6973" y="4332"/>
                        </a:lnTo>
                        <a:lnTo>
                          <a:pt x="7080" y="4324"/>
                        </a:lnTo>
                        <a:lnTo>
                          <a:pt x="7174" y="4290"/>
                        </a:lnTo>
                        <a:lnTo>
                          <a:pt x="7246" y="4152"/>
                        </a:lnTo>
                        <a:cubicBezTo>
                          <a:pt x="7263" y="4116"/>
                          <a:pt x="7280" y="4079"/>
                          <a:pt x="7297" y="4043"/>
                        </a:cubicBezTo>
                        <a:lnTo>
                          <a:pt x="7369" y="3923"/>
                        </a:lnTo>
                        <a:cubicBezTo>
                          <a:pt x="7392" y="3872"/>
                          <a:pt x="7415" y="3820"/>
                          <a:pt x="7438" y="3769"/>
                        </a:cubicBezTo>
                        <a:cubicBezTo>
                          <a:pt x="7445" y="3717"/>
                          <a:pt x="7453" y="3664"/>
                          <a:pt x="7460" y="3612"/>
                        </a:cubicBezTo>
                        <a:cubicBezTo>
                          <a:pt x="7466" y="3560"/>
                          <a:pt x="7473" y="3507"/>
                          <a:pt x="7479" y="3455"/>
                        </a:cubicBezTo>
                        <a:cubicBezTo>
                          <a:pt x="7497" y="3396"/>
                          <a:pt x="7515" y="3336"/>
                          <a:pt x="7533" y="3277"/>
                        </a:cubicBezTo>
                        <a:cubicBezTo>
                          <a:pt x="7542" y="3229"/>
                          <a:pt x="7552" y="3181"/>
                          <a:pt x="7561" y="3133"/>
                        </a:cubicBezTo>
                        <a:cubicBezTo>
                          <a:pt x="7550" y="3108"/>
                          <a:pt x="7540" y="3084"/>
                          <a:pt x="7529" y="3059"/>
                        </a:cubicBezTo>
                        <a:lnTo>
                          <a:pt x="7523" y="3059"/>
                        </a:lnTo>
                        <a:cubicBezTo>
                          <a:pt x="7512" y="3047"/>
                          <a:pt x="7500" y="3036"/>
                          <a:pt x="7489" y="3024"/>
                        </a:cubicBezTo>
                        <a:cubicBezTo>
                          <a:pt x="7472" y="2981"/>
                          <a:pt x="7455" y="2939"/>
                          <a:pt x="7438" y="2896"/>
                        </a:cubicBezTo>
                        <a:cubicBezTo>
                          <a:pt x="7446" y="2716"/>
                          <a:pt x="7455" y="2536"/>
                          <a:pt x="7463" y="2356"/>
                        </a:cubicBezTo>
                        <a:cubicBezTo>
                          <a:pt x="7464" y="2342"/>
                          <a:pt x="7466" y="2328"/>
                          <a:pt x="7467" y="2314"/>
                        </a:cubicBezTo>
                        <a:cubicBezTo>
                          <a:pt x="7479" y="2158"/>
                          <a:pt x="7492" y="2002"/>
                          <a:pt x="7504" y="1846"/>
                        </a:cubicBezTo>
                        <a:cubicBezTo>
                          <a:pt x="7485" y="1767"/>
                          <a:pt x="7467" y="1688"/>
                          <a:pt x="7448" y="1609"/>
                        </a:cubicBezTo>
                        <a:cubicBezTo>
                          <a:pt x="7445" y="1600"/>
                          <a:pt x="7441" y="1591"/>
                          <a:pt x="7438" y="1582"/>
                        </a:cubicBezTo>
                        <a:cubicBezTo>
                          <a:pt x="7428" y="1537"/>
                          <a:pt x="7417" y="1492"/>
                          <a:pt x="7407" y="1447"/>
                        </a:cubicBezTo>
                        <a:lnTo>
                          <a:pt x="7413" y="1354"/>
                        </a:lnTo>
                        <a:cubicBezTo>
                          <a:pt x="7406" y="1326"/>
                          <a:pt x="7398" y="1299"/>
                          <a:pt x="7391" y="1271"/>
                        </a:cubicBezTo>
                        <a:lnTo>
                          <a:pt x="7190" y="1106"/>
                        </a:lnTo>
                        <a:lnTo>
                          <a:pt x="6860" y="848"/>
                        </a:lnTo>
                        <a:lnTo>
                          <a:pt x="6564" y="582"/>
                        </a:lnTo>
                        <a:lnTo>
                          <a:pt x="6331" y="370"/>
                        </a:lnTo>
                        <a:lnTo>
                          <a:pt x="6089" y="173"/>
                        </a:lnTo>
                        <a:lnTo>
                          <a:pt x="5828" y="45"/>
                        </a:lnTo>
                        <a:lnTo>
                          <a:pt x="5507" y="0"/>
                        </a:lnTo>
                        <a:lnTo>
                          <a:pt x="5199" y="32"/>
                        </a:lnTo>
                        <a:lnTo>
                          <a:pt x="4960" y="93"/>
                        </a:lnTo>
                        <a:lnTo>
                          <a:pt x="4715" y="144"/>
                        </a:lnTo>
                        <a:lnTo>
                          <a:pt x="4536" y="133"/>
                        </a:lnTo>
                        <a:lnTo>
                          <a:pt x="4347" y="266"/>
                        </a:lnTo>
                        <a:lnTo>
                          <a:pt x="4061" y="418"/>
                        </a:lnTo>
                        <a:lnTo>
                          <a:pt x="3649" y="630"/>
                        </a:lnTo>
                        <a:lnTo>
                          <a:pt x="3294" y="886"/>
                        </a:lnTo>
                        <a:lnTo>
                          <a:pt x="3139" y="1173"/>
                        </a:lnTo>
                        <a:cubicBezTo>
                          <a:pt x="3150" y="1270"/>
                          <a:pt x="3160" y="1368"/>
                          <a:pt x="3171" y="1465"/>
                        </a:cubicBezTo>
                        <a:cubicBezTo>
                          <a:pt x="3181" y="1536"/>
                          <a:pt x="3192" y="1607"/>
                          <a:pt x="3202" y="1678"/>
                        </a:cubicBezTo>
                        <a:cubicBezTo>
                          <a:pt x="3195" y="1753"/>
                          <a:pt x="3187" y="1829"/>
                          <a:pt x="3180" y="1904"/>
                        </a:cubicBezTo>
                        <a:cubicBezTo>
                          <a:pt x="3170" y="2081"/>
                          <a:pt x="3159" y="2259"/>
                          <a:pt x="3149" y="2436"/>
                        </a:cubicBezTo>
                        <a:cubicBezTo>
                          <a:pt x="3165" y="2538"/>
                          <a:pt x="3180" y="2640"/>
                          <a:pt x="3196" y="2742"/>
                        </a:cubicBezTo>
                        <a:lnTo>
                          <a:pt x="3250" y="2973"/>
                        </a:lnTo>
                        <a:lnTo>
                          <a:pt x="3029" y="2848"/>
                        </a:lnTo>
                        <a:lnTo>
                          <a:pt x="3014" y="2878"/>
                        </a:lnTo>
                        <a:cubicBezTo>
                          <a:pt x="3008" y="2908"/>
                          <a:pt x="3001" y="2938"/>
                          <a:pt x="2995" y="2968"/>
                        </a:cubicBezTo>
                        <a:cubicBezTo>
                          <a:pt x="2999" y="3083"/>
                          <a:pt x="3003" y="3199"/>
                          <a:pt x="3007" y="3314"/>
                        </a:cubicBezTo>
                        <a:cubicBezTo>
                          <a:pt x="3030" y="3437"/>
                          <a:pt x="3054" y="3561"/>
                          <a:pt x="3077" y="3684"/>
                        </a:cubicBezTo>
                        <a:cubicBezTo>
                          <a:pt x="3084" y="3718"/>
                          <a:pt x="3092" y="3751"/>
                          <a:pt x="3099" y="3785"/>
                        </a:cubicBezTo>
                        <a:cubicBezTo>
                          <a:pt x="3106" y="3819"/>
                          <a:pt x="3114" y="3854"/>
                          <a:pt x="3121" y="3888"/>
                        </a:cubicBezTo>
                        <a:lnTo>
                          <a:pt x="3253" y="4109"/>
                        </a:lnTo>
                        <a:lnTo>
                          <a:pt x="3372" y="4154"/>
                        </a:lnTo>
                        <a:lnTo>
                          <a:pt x="3467" y="4168"/>
                        </a:lnTo>
                        <a:lnTo>
                          <a:pt x="3470" y="4255"/>
                        </a:lnTo>
                        <a:cubicBezTo>
                          <a:pt x="3520" y="4495"/>
                          <a:pt x="3571" y="4736"/>
                          <a:pt x="3621" y="4976"/>
                        </a:cubicBezTo>
                        <a:cubicBezTo>
                          <a:pt x="3672" y="5064"/>
                          <a:pt x="3724" y="5151"/>
                          <a:pt x="3775" y="5239"/>
                        </a:cubicBezTo>
                        <a:cubicBezTo>
                          <a:pt x="3782" y="5248"/>
                          <a:pt x="3790" y="5257"/>
                          <a:pt x="3797" y="5266"/>
                        </a:cubicBezTo>
                        <a:lnTo>
                          <a:pt x="3797" y="5904"/>
                        </a:lnTo>
                        <a:cubicBezTo>
                          <a:pt x="3764" y="5934"/>
                          <a:pt x="3732" y="5965"/>
                          <a:pt x="3699" y="5995"/>
                        </a:cubicBezTo>
                        <a:lnTo>
                          <a:pt x="2869" y="6713"/>
                        </a:lnTo>
                        <a:lnTo>
                          <a:pt x="1746" y="7370"/>
                        </a:lnTo>
                        <a:lnTo>
                          <a:pt x="1429" y="7457"/>
                        </a:lnTo>
                        <a:lnTo>
                          <a:pt x="1158" y="7519"/>
                        </a:lnTo>
                        <a:lnTo>
                          <a:pt x="737" y="7630"/>
                        </a:lnTo>
                        <a:lnTo>
                          <a:pt x="0" y="8060"/>
                        </a:lnTo>
                        <a:lnTo>
                          <a:pt x="639" y="8306"/>
                        </a:lnTo>
                        <a:lnTo>
                          <a:pt x="1124" y="8742"/>
                        </a:lnTo>
                        <a:lnTo>
                          <a:pt x="1737" y="9117"/>
                        </a:lnTo>
                        <a:lnTo>
                          <a:pt x="2432" y="9431"/>
                        </a:lnTo>
                        <a:lnTo>
                          <a:pt x="3177" y="9681"/>
                        </a:lnTo>
                        <a:lnTo>
                          <a:pt x="3929" y="9862"/>
                        </a:lnTo>
                        <a:lnTo>
                          <a:pt x="4646" y="9968"/>
                        </a:lnTo>
                        <a:lnTo>
                          <a:pt x="5290" y="10000"/>
                        </a:lnTo>
                        <a:lnTo>
                          <a:pt x="6561" y="9846"/>
                        </a:lnTo>
                        <a:lnTo>
                          <a:pt x="8149" y="9391"/>
                        </a:lnTo>
                        <a:lnTo>
                          <a:pt x="8910" y="9069"/>
                        </a:lnTo>
                        <a:lnTo>
                          <a:pt x="9570" y="8694"/>
                        </a:lnTo>
                        <a:lnTo>
                          <a:pt x="10332" y="8320"/>
                        </a:lnTo>
                        <a:lnTo>
                          <a:pt x="10650" y="7962"/>
                        </a:lnTo>
                        <a:close/>
                      </a:path>
                    </a:pathLst>
                  </a:custGeom>
                  <a:solidFill>
                    <a:srgbClr val="9E9E9E"/>
                  </a:solidFill>
                  <a:ln>
                    <a:noFill/>
                  </a:ln>
                </xdr:spPr>
              </xdr:sp>
            </xdr:grpSp>
            <xdr:pic>
              <xdr:nvPicPr>
                <xdr:cNvPr id="1334" name="01_profileimage">
                  <a:hlinkClick xmlns:r="http://schemas.openxmlformats.org/officeDocument/2006/relationships" r:id="rId5"/>
                </xdr:cNvPr>
                <xdr:cNvPicPr>
                  <a:picLocks/>
                </xdr:cNvPicPr>
              </xdr:nvPicPr>
              <xdr:blipFill>
                <a:blip xmlns:r="http://schemas.openxmlformats.org/officeDocument/2006/relationships" r:link="rId6"/>
                <a:stretch>
                  <a:fillRect/>
                </a:stretch>
              </xdr:blipFill>
              <xdr:spPr>
                <a:xfrm>
                  <a:off x="1033654" y="53444583"/>
                  <a:ext cx="1124712" cy="1124712"/>
                </a:xfrm>
                <a:prstGeom prst="rect">
                  <a:avLst/>
                </a:prstGeom>
              </xdr:spPr>
            </xdr:pic>
            <xdr:sp macro="" textlink="">
              <xdr:nvSpPr>
                <xdr:cNvPr id="1020" name="01_imgModule_Freeform_4"/>
                <xdr:cNvSpPr>
                  <a:spLocks noEditPoints="1"/>
                </xdr:cNvSpPr>
              </xdr:nvSpPr>
              <xdr:spPr bwMode="auto">
                <a:xfrm>
                  <a:off x="923926" y="53334474"/>
                  <a:ext cx="1344168" cy="1353312"/>
                </a:xfrm>
                <a:custGeom>
                  <a:avLst/>
                  <a:gdLst>
                    <a:gd name="T0" fmla="*/ 0 w 417"/>
                    <a:gd name="T1" fmla="*/ 417 h 417"/>
                    <a:gd name="T2" fmla="*/ 417 w 417"/>
                    <a:gd name="T3" fmla="*/ 0 h 417"/>
                    <a:gd name="T4" fmla="*/ 209 w 417"/>
                    <a:gd name="T5" fmla="*/ 385 h 417"/>
                    <a:gd name="T6" fmla="*/ 190 w 417"/>
                    <a:gd name="T7" fmla="*/ 384 h 417"/>
                    <a:gd name="T8" fmla="*/ 156 w 417"/>
                    <a:gd name="T9" fmla="*/ 377 h 417"/>
                    <a:gd name="T10" fmla="*/ 124 w 417"/>
                    <a:gd name="T11" fmla="*/ 364 h 417"/>
                    <a:gd name="T12" fmla="*/ 96 w 417"/>
                    <a:gd name="T13" fmla="*/ 345 h 417"/>
                    <a:gd name="T14" fmla="*/ 72 w 417"/>
                    <a:gd name="T15" fmla="*/ 321 h 417"/>
                    <a:gd name="T16" fmla="*/ 53 w 417"/>
                    <a:gd name="T17" fmla="*/ 293 h 417"/>
                    <a:gd name="T18" fmla="*/ 40 w 417"/>
                    <a:gd name="T19" fmla="*/ 261 h 417"/>
                    <a:gd name="T20" fmla="*/ 33 w 417"/>
                    <a:gd name="T21" fmla="*/ 227 h 417"/>
                    <a:gd name="T22" fmla="*/ 32 w 417"/>
                    <a:gd name="T23" fmla="*/ 209 h 417"/>
                    <a:gd name="T24" fmla="*/ 36 w 417"/>
                    <a:gd name="T25" fmla="*/ 173 h 417"/>
                    <a:gd name="T26" fmla="*/ 46 w 417"/>
                    <a:gd name="T27" fmla="*/ 139 h 417"/>
                    <a:gd name="T28" fmla="*/ 62 w 417"/>
                    <a:gd name="T29" fmla="*/ 110 h 417"/>
                    <a:gd name="T30" fmla="*/ 84 w 417"/>
                    <a:gd name="T31" fmla="*/ 84 h 417"/>
                    <a:gd name="T32" fmla="*/ 110 w 417"/>
                    <a:gd name="T33" fmla="*/ 62 h 417"/>
                    <a:gd name="T34" fmla="*/ 139 w 417"/>
                    <a:gd name="T35" fmla="*/ 46 h 417"/>
                    <a:gd name="T36" fmla="*/ 173 w 417"/>
                    <a:gd name="T37" fmla="*/ 36 h 417"/>
                    <a:gd name="T38" fmla="*/ 209 w 417"/>
                    <a:gd name="T39" fmla="*/ 32 h 417"/>
                    <a:gd name="T40" fmla="*/ 227 w 417"/>
                    <a:gd name="T41" fmla="*/ 33 h 417"/>
                    <a:gd name="T42" fmla="*/ 261 w 417"/>
                    <a:gd name="T43" fmla="*/ 40 h 417"/>
                    <a:gd name="T44" fmla="*/ 293 w 417"/>
                    <a:gd name="T45" fmla="*/ 53 h 417"/>
                    <a:gd name="T46" fmla="*/ 321 w 417"/>
                    <a:gd name="T47" fmla="*/ 72 h 417"/>
                    <a:gd name="T48" fmla="*/ 345 w 417"/>
                    <a:gd name="T49" fmla="*/ 96 h 417"/>
                    <a:gd name="T50" fmla="*/ 364 w 417"/>
                    <a:gd name="T51" fmla="*/ 124 h 417"/>
                    <a:gd name="T52" fmla="*/ 377 w 417"/>
                    <a:gd name="T53" fmla="*/ 156 h 417"/>
                    <a:gd name="T54" fmla="*/ 384 w 417"/>
                    <a:gd name="T55" fmla="*/ 190 h 417"/>
                    <a:gd name="T56" fmla="*/ 385 w 417"/>
                    <a:gd name="T57" fmla="*/ 209 h 417"/>
                    <a:gd name="T58" fmla="*/ 381 w 417"/>
                    <a:gd name="T59" fmla="*/ 244 h 417"/>
                    <a:gd name="T60" fmla="*/ 371 w 417"/>
                    <a:gd name="T61" fmla="*/ 278 h 417"/>
                    <a:gd name="T62" fmla="*/ 355 w 417"/>
                    <a:gd name="T63" fmla="*/ 307 h 417"/>
                    <a:gd name="T64" fmla="*/ 333 w 417"/>
                    <a:gd name="T65" fmla="*/ 333 h 417"/>
                    <a:gd name="T66" fmla="*/ 307 w 417"/>
                    <a:gd name="T67" fmla="*/ 355 h 417"/>
                    <a:gd name="T68" fmla="*/ 278 w 417"/>
                    <a:gd name="T69" fmla="*/ 371 h 417"/>
                    <a:gd name="T70" fmla="*/ 244 w 417"/>
                    <a:gd name="T71" fmla="*/ 381 h 417"/>
                    <a:gd name="T72" fmla="*/ 209 w 417"/>
                    <a:gd name="T73" fmla="*/ 385 h 41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Lst>
                  <a:rect l="0" t="0" r="r" b="b"/>
                  <a:pathLst>
                    <a:path w="417" h="417">
                      <a:moveTo>
                        <a:pt x="0" y="0"/>
                      </a:moveTo>
                      <a:lnTo>
                        <a:pt x="0" y="417"/>
                      </a:lnTo>
                      <a:lnTo>
                        <a:pt x="417" y="417"/>
                      </a:lnTo>
                      <a:lnTo>
                        <a:pt x="417" y="0"/>
                      </a:lnTo>
                      <a:lnTo>
                        <a:pt x="0" y="0"/>
                      </a:lnTo>
                      <a:close/>
                      <a:moveTo>
                        <a:pt x="209" y="385"/>
                      </a:moveTo>
                      <a:lnTo>
                        <a:pt x="209" y="385"/>
                      </a:lnTo>
                      <a:lnTo>
                        <a:pt x="190" y="384"/>
                      </a:lnTo>
                      <a:lnTo>
                        <a:pt x="173" y="381"/>
                      </a:lnTo>
                      <a:lnTo>
                        <a:pt x="156" y="377"/>
                      </a:lnTo>
                      <a:lnTo>
                        <a:pt x="139" y="371"/>
                      </a:lnTo>
                      <a:lnTo>
                        <a:pt x="124" y="364"/>
                      </a:lnTo>
                      <a:lnTo>
                        <a:pt x="110" y="355"/>
                      </a:lnTo>
                      <a:lnTo>
                        <a:pt x="96" y="345"/>
                      </a:lnTo>
                      <a:lnTo>
                        <a:pt x="84" y="333"/>
                      </a:lnTo>
                      <a:lnTo>
                        <a:pt x="72" y="321"/>
                      </a:lnTo>
                      <a:lnTo>
                        <a:pt x="62" y="307"/>
                      </a:lnTo>
                      <a:lnTo>
                        <a:pt x="53" y="293"/>
                      </a:lnTo>
                      <a:lnTo>
                        <a:pt x="46" y="278"/>
                      </a:lnTo>
                      <a:lnTo>
                        <a:pt x="40" y="261"/>
                      </a:lnTo>
                      <a:lnTo>
                        <a:pt x="36" y="244"/>
                      </a:lnTo>
                      <a:lnTo>
                        <a:pt x="33" y="227"/>
                      </a:lnTo>
                      <a:lnTo>
                        <a:pt x="32" y="209"/>
                      </a:lnTo>
                      <a:lnTo>
                        <a:pt x="32" y="209"/>
                      </a:lnTo>
                      <a:lnTo>
                        <a:pt x="33" y="190"/>
                      </a:lnTo>
                      <a:lnTo>
                        <a:pt x="36" y="173"/>
                      </a:lnTo>
                      <a:lnTo>
                        <a:pt x="40" y="156"/>
                      </a:lnTo>
                      <a:lnTo>
                        <a:pt x="46" y="139"/>
                      </a:lnTo>
                      <a:lnTo>
                        <a:pt x="53" y="124"/>
                      </a:lnTo>
                      <a:lnTo>
                        <a:pt x="62" y="110"/>
                      </a:lnTo>
                      <a:lnTo>
                        <a:pt x="72" y="96"/>
                      </a:lnTo>
                      <a:lnTo>
                        <a:pt x="84" y="84"/>
                      </a:lnTo>
                      <a:lnTo>
                        <a:pt x="96" y="72"/>
                      </a:lnTo>
                      <a:lnTo>
                        <a:pt x="110" y="62"/>
                      </a:lnTo>
                      <a:lnTo>
                        <a:pt x="124" y="53"/>
                      </a:lnTo>
                      <a:lnTo>
                        <a:pt x="139" y="46"/>
                      </a:lnTo>
                      <a:lnTo>
                        <a:pt x="156" y="40"/>
                      </a:lnTo>
                      <a:lnTo>
                        <a:pt x="173" y="36"/>
                      </a:lnTo>
                      <a:lnTo>
                        <a:pt x="190" y="33"/>
                      </a:lnTo>
                      <a:lnTo>
                        <a:pt x="209" y="32"/>
                      </a:lnTo>
                      <a:lnTo>
                        <a:pt x="209" y="32"/>
                      </a:lnTo>
                      <a:lnTo>
                        <a:pt x="227" y="33"/>
                      </a:lnTo>
                      <a:lnTo>
                        <a:pt x="244" y="36"/>
                      </a:lnTo>
                      <a:lnTo>
                        <a:pt x="261" y="40"/>
                      </a:lnTo>
                      <a:lnTo>
                        <a:pt x="278" y="46"/>
                      </a:lnTo>
                      <a:lnTo>
                        <a:pt x="293" y="53"/>
                      </a:lnTo>
                      <a:lnTo>
                        <a:pt x="307" y="62"/>
                      </a:lnTo>
                      <a:lnTo>
                        <a:pt x="321" y="72"/>
                      </a:lnTo>
                      <a:lnTo>
                        <a:pt x="333" y="84"/>
                      </a:lnTo>
                      <a:lnTo>
                        <a:pt x="345" y="96"/>
                      </a:lnTo>
                      <a:lnTo>
                        <a:pt x="355" y="110"/>
                      </a:lnTo>
                      <a:lnTo>
                        <a:pt x="364" y="124"/>
                      </a:lnTo>
                      <a:lnTo>
                        <a:pt x="371" y="139"/>
                      </a:lnTo>
                      <a:lnTo>
                        <a:pt x="377" y="156"/>
                      </a:lnTo>
                      <a:lnTo>
                        <a:pt x="381" y="173"/>
                      </a:lnTo>
                      <a:lnTo>
                        <a:pt x="384" y="190"/>
                      </a:lnTo>
                      <a:lnTo>
                        <a:pt x="385" y="209"/>
                      </a:lnTo>
                      <a:lnTo>
                        <a:pt x="385" y="209"/>
                      </a:lnTo>
                      <a:lnTo>
                        <a:pt x="384" y="227"/>
                      </a:lnTo>
                      <a:lnTo>
                        <a:pt x="381" y="244"/>
                      </a:lnTo>
                      <a:lnTo>
                        <a:pt x="377" y="261"/>
                      </a:lnTo>
                      <a:lnTo>
                        <a:pt x="371" y="278"/>
                      </a:lnTo>
                      <a:lnTo>
                        <a:pt x="364" y="293"/>
                      </a:lnTo>
                      <a:lnTo>
                        <a:pt x="355" y="307"/>
                      </a:lnTo>
                      <a:lnTo>
                        <a:pt x="345" y="321"/>
                      </a:lnTo>
                      <a:lnTo>
                        <a:pt x="333" y="333"/>
                      </a:lnTo>
                      <a:lnTo>
                        <a:pt x="321" y="345"/>
                      </a:lnTo>
                      <a:lnTo>
                        <a:pt x="307" y="355"/>
                      </a:lnTo>
                      <a:lnTo>
                        <a:pt x="293" y="364"/>
                      </a:lnTo>
                      <a:lnTo>
                        <a:pt x="278" y="371"/>
                      </a:lnTo>
                      <a:lnTo>
                        <a:pt x="261" y="377"/>
                      </a:lnTo>
                      <a:lnTo>
                        <a:pt x="244" y="381"/>
                      </a:lnTo>
                      <a:lnTo>
                        <a:pt x="227" y="384"/>
                      </a:lnTo>
                      <a:lnTo>
                        <a:pt x="209" y="385"/>
                      </a:lnTo>
                      <a:lnTo>
                        <a:pt x="209" y="385"/>
                      </a:lnTo>
                      <a:close/>
                    </a:path>
                  </a:pathLst>
                </a:custGeom>
                <a:solidFill>
                  <a:srgbClr val="E0E0E0"/>
                </a:solidFill>
                <a:ln>
                  <a:noFill/>
                </a:ln>
              </xdr:spPr>
            </xdr:sp>
          </xdr:grpSp>
        </xdr:grpSp>
        <xdr:pic>
          <xdr:nvPicPr>
            <xdr:cNvPr id="1503" name="01_channelimage"/>
            <xdr:cNvPicPr>
              <a:picLocks/>
            </xdr:cNvPicPr>
          </xdr:nvPicPr>
          <xdr:blipFill>
            <a:blip xmlns:r="http://schemas.openxmlformats.org/officeDocument/2006/relationships" r:link="rId7"/>
            <a:stretch>
              <a:fillRect/>
            </a:stretch>
          </xdr:blipFill>
          <xdr:spPr>
            <a:xfrm>
              <a:off x="800101" y="53178075"/>
              <a:ext cx="704088" cy="704088"/>
            </a:xfrm>
            <a:prstGeom prst="rect">
              <a:avLst/>
            </a:prstGeom>
          </xdr:spPr>
        </xdr:pic>
      </xdr:grpSp>
      <xdr:grpSp>
        <xdr:nvGrpSpPr>
          <xdr:cNvPr id="9138" name="Group 9137"/>
          <xdr:cNvGrpSpPr/>
        </xdr:nvGrpSpPr>
        <xdr:grpSpPr>
          <a:xfrm>
            <a:off x="5934075" y="53063775"/>
            <a:ext cx="5020057" cy="3343275"/>
            <a:chOff x="5934075" y="53178075"/>
            <a:chExt cx="5020057" cy="3343275"/>
          </a:xfrm>
        </xdr:grpSpPr>
        <xdr:grpSp>
          <xdr:nvGrpSpPr>
            <xdr:cNvPr id="9126" name="Group 9125"/>
            <xdr:cNvGrpSpPr/>
          </xdr:nvGrpSpPr>
          <xdr:grpSpPr>
            <a:xfrm>
              <a:off x="5934075" y="53311425"/>
              <a:ext cx="5020057" cy="3209925"/>
              <a:chOff x="5934075" y="53311425"/>
              <a:chExt cx="5020057" cy="3209925"/>
            </a:xfrm>
          </xdr:grpSpPr>
          <xdr:grpSp>
            <xdr:nvGrpSpPr>
              <xdr:cNvPr id="9124" name="Group 9123"/>
              <xdr:cNvGrpSpPr/>
            </xdr:nvGrpSpPr>
            <xdr:grpSpPr>
              <a:xfrm>
                <a:off x="5934075" y="53311425"/>
                <a:ext cx="5020057" cy="3209925"/>
                <a:chOff x="5934075" y="53311425"/>
                <a:chExt cx="5020057" cy="3209925"/>
              </a:xfrm>
            </xdr:grpSpPr>
            <xdr:sp macro="" textlink="">
              <xdr:nvSpPr>
                <xdr:cNvPr id="1009" name="02_imgModule_Rounded_Rectangle_38"/>
                <xdr:cNvSpPr/>
              </xdr:nvSpPr>
              <xdr:spPr>
                <a:xfrm>
                  <a:off x="5934076" y="53320950"/>
                  <a:ext cx="5020056" cy="3200400"/>
                </a:xfrm>
                <a:prstGeom prst="roundRect">
                  <a:avLst>
                    <a:gd name="adj" fmla="val 465"/>
                  </a:avLst>
                </a:prstGeom>
                <a:solidFill>
                  <a:srgbClr val="757575"/>
                </a:solidFill>
                <a:ln w="12700">
                  <a:solidFill>
                    <a:srgbClr val="1E1E1E"/>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l"/>
                  <a:endParaRPr lang="en-US" sz="1100"/>
                </a:p>
              </xdr:txBody>
            </xdr:sp>
            <xdr:sp macro="" textlink="">
              <xdr:nvSpPr>
                <xdr:cNvPr id="1010" name="02_imgModule_Rounded_Rectangle_39"/>
                <xdr:cNvSpPr/>
              </xdr:nvSpPr>
              <xdr:spPr>
                <a:xfrm>
                  <a:off x="5934075" y="53311425"/>
                  <a:ext cx="5020056" cy="3200400"/>
                </a:xfrm>
                <a:prstGeom prst="roundRect">
                  <a:avLst>
                    <a:gd name="adj" fmla="val 465"/>
                  </a:avLst>
                </a:prstGeom>
                <a:solidFill>
                  <a:srgbClr val="757575"/>
                </a:solidFill>
                <a:ln w="12700">
                  <a:solidFill>
                    <a:srgbClr val="1A1A1A"/>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l"/>
                  <a:endParaRPr lang="en-US" sz="1100"/>
                </a:p>
              </xdr:txBody>
            </xdr:sp>
          </xdr:grpSp>
          <xdr:grpSp>
            <xdr:nvGrpSpPr>
              <xdr:cNvPr id="9125" name="Group 9124"/>
              <xdr:cNvGrpSpPr/>
            </xdr:nvGrpSpPr>
            <xdr:grpSpPr>
              <a:xfrm>
                <a:off x="6019802" y="55778959"/>
                <a:ext cx="4814270" cy="612368"/>
                <a:chOff x="6019802" y="55778959"/>
                <a:chExt cx="4814270" cy="612368"/>
              </a:xfrm>
            </xdr:grpSpPr>
            <xdr:sp macro="" textlink="Calculations!F420">
              <xdr:nvSpPr>
                <xdr:cNvPr id="1006" name="02_metric01_number"/>
                <xdr:cNvSpPr txBox="1"/>
              </xdr:nvSpPr>
              <xdr:spPr>
                <a:xfrm>
                  <a:off x="6019802" y="55778959"/>
                  <a:ext cx="1057275" cy="37851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ctr"/>
                <a:lstStyle/>
                <a:p>
                  <a:pPr marL="0" indent="0" algn="r"/>
                  <a:fld id="{BDBFE7C2-312E-4F74-9D78-84222C162789}" type="TxLink">
                    <a:rPr lang="en-US" sz="2600" b="0" i="0" u="none" strike="noStrike">
                      <a:solidFill>
                        <a:srgbClr val="AFBFFF"/>
                      </a:solidFill>
                      <a:latin typeface="+mn-lt"/>
                      <a:ea typeface="+mn-ea"/>
                      <a:cs typeface="+mn-cs"/>
                    </a:rPr>
                    <a:pPr marL="0" indent="0" algn="r"/>
                    <a:t>13,779</a:t>
                  </a:fld>
                  <a:endParaRPr lang="en-US" sz="2600" b="0" i="0" u="none" strike="noStrike">
                    <a:solidFill>
                      <a:srgbClr val="AFBFFF"/>
                    </a:solidFill>
                    <a:latin typeface="+mn-lt"/>
                    <a:ea typeface="+mn-ea"/>
                    <a:cs typeface="+mn-cs"/>
                  </a:endParaRPr>
                </a:p>
              </xdr:txBody>
            </xdr:sp>
            <xdr:sp macro="" textlink="Calculations!G420">
              <xdr:nvSpPr>
                <xdr:cNvPr id="1007" name="02_metric01_label"/>
                <xdr:cNvSpPr txBox="1"/>
              </xdr:nvSpPr>
              <xdr:spPr>
                <a:xfrm>
                  <a:off x="7194760" y="55788484"/>
                  <a:ext cx="3383280" cy="37851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ctr"/>
                <a:lstStyle/>
                <a:p>
                  <a:pPr marL="0" indent="0" algn="l"/>
                  <a:fld id="{74F95F38-02EC-46CA-BE3A-7F97D255EC46}" type="TxLink">
                    <a:rPr lang="en-US" sz="2200" b="0" i="0" u="none" strike="noStrike">
                      <a:solidFill>
                        <a:srgbClr val="AFBFFF"/>
                      </a:solidFill>
                      <a:latin typeface="+mn-lt"/>
                      <a:ea typeface="+mn-ea"/>
                      <a:cs typeface="+mn-cs"/>
                    </a:rPr>
                    <a:pPr marL="0" indent="0" algn="l"/>
                    <a:t>Instagram Engagements</a:t>
                  </a:fld>
                  <a:endParaRPr lang="en-US" sz="2200" b="0" i="0" u="none" strike="noStrike">
                    <a:solidFill>
                      <a:srgbClr val="AFBFFF"/>
                    </a:solidFill>
                    <a:latin typeface="+mn-lt"/>
                    <a:ea typeface="+mn-ea"/>
                    <a:cs typeface="+mn-cs"/>
                  </a:endParaRPr>
                </a:p>
              </xdr:txBody>
            </xdr:sp>
            <xdr:sp macro="" textlink="Calculations!H420">
              <xdr:nvSpPr>
                <xdr:cNvPr id="1008" name="02_metric01_context"/>
                <xdr:cNvSpPr txBox="1"/>
              </xdr:nvSpPr>
              <xdr:spPr>
                <a:xfrm>
                  <a:off x="7194760" y="56078505"/>
                  <a:ext cx="3639312" cy="31282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ctr"/>
                <a:lstStyle/>
                <a:p>
                  <a:pPr marL="0" indent="0" algn="l"/>
                  <a:fld id="{8B69AA13-CFC6-4D96-A3A6-DE4D74D4F9B9}" type="TxLink">
                    <a:rPr lang="en-US" sz="1100" b="0" i="1" u="none" strike="noStrike">
                      <a:solidFill>
                        <a:srgbClr val="E0E0E0"/>
                      </a:solidFill>
                      <a:latin typeface="+mn-lt"/>
                      <a:ea typeface="+mn-ea"/>
                      <a:cs typeface="+mn-cs"/>
                    </a:rPr>
                    <a:pPr marL="0" indent="0" algn="l"/>
                    <a:t>2.1% of overall instagram engagement</a:t>
                  </a:fld>
                  <a:endParaRPr lang="en-US" sz="1100" b="0" i="1" u="none" strike="noStrike">
                    <a:solidFill>
                      <a:srgbClr val="E0E0E0"/>
                    </a:solidFill>
                    <a:latin typeface="+mn-lt"/>
                    <a:ea typeface="+mn-ea"/>
                    <a:cs typeface="+mn-cs"/>
                  </a:endParaRPr>
                </a:p>
              </xdr:txBody>
            </xdr:sp>
          </xdr:grpSp>
        </xdr:grpSp>
        <xdr:grpSp>
          <xdr:nvGrpSpPr>
            <xdr:cNvPr id="9137" name="Group 9136"/>
            <xdr:cNvGrpSpPr/>
          </xdr:nvGrpSpPr>
          <xdr:grpSpPr>
            <a:xfrm>
              <a:off x="6048376" y="53197124"/>
              <a:ext cx="4793361" cy="2478405"/>
              <a:chOff x="6048376" y="53197124"/>
              <a:chExt cx="4793361" cy="2478405"/>
            </a:xfrm>
          </xdr:grpSpPr>
          <xdr:grpSp>
            <xdr:nvGrpSpPr>
              <xdr:cNvPr id="9129" name="Group 9128"/>
              <xdr:cNvGrpSpPr/>
            </xdr:nvGrpSpPr>
            <xdr:grpSpPr>
              <a:xfrm>
                <a:off x="6048376" y="53197124"/>
                <a:ext cx="4791456" cy="2478405"/>
                <a:chOff x="6048376" y="53197124"/>
                <a:chExt cx="4791456" cy="2478405"/>
              </a:xfrm>
            </xdr:grpSpPr>
            <xdr:grpSp>
              <xdr:nvGrpSpPr>
                <xdr:cNvPr id="9127" name="Group 9126"/>
                <xdr:cNvGrpSpPr/>
              </xdr:nvGrpSpPr>
              <xdr:grpSpPr>
                <a:xfrm>
                  <a:off x="6048376" y="53197124"/>
                  <a:ext cx="4791456" cy="2478405"/>
                  <a:chOff x="6048376" y="53197124"/>
                  <a:chExt cx="4791456" cy="2478405"/>
                </a:xfrm>
              </xdr:grpSpPr>
              <xdr:sp macro="" textlink="">
                <xdr:nvSpPr>
                  <xdr:cNvPr id="1002" name="02_imgModule_Rounded_Rectangle_31"/>
                  <xdr:cNvSpPr/>
                </xdr:nvSpPr>
                <xdr:spPr>
                  <a:xfrm>
                    <a:off x="6048376" y="53206649"/>
                    <a:ext cx="4791456" cy="2468880"/>
                  </a:xfrm>
                  <a:prstGeom prst="roundRect">
                    <a:avLst>
                      <a:gd name="adj" fmla="val 780"/>
                    </a:avLst>
                  </a:prstGeom>
                  <a:solidFill>
                    <a:srgbClr val="E0E0E0"/>
                  </a:solidFill>
                  <a:ln w="12700">
                    <a:solidFill>
                      <a:srgbClr val="646464"/>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l"/>
                    <a:endParaRPr lang="en-US" sz="1100"/>
                  </a:p>
                </xdr:txBody>
              </xdr:sp>
              <xdr:sp macro="" textlink="">
                <xdr:nvSpPr>
                  <xdr:cNvPr id="1003" name="02_imgModule_Rounded_Rectangle_32"/>
                  <xdr:cNvSpPr/>
                </xdr:nvSpPr>
                <xdr:spPr>
                  <a:xfrm>
                    <a:off x="6048376" y="53197124"/>
                    <a:ext cx="4791456" cy="2468880"/>
                  </a:xfrm>
                  <a:prstGeom prst="roundRect">
                    <a:avLst>
                      <a:gd name="adj" fmla="val 780"/>
                    </a:avLst>
                  </a:prstGeom>
                  <a:solidFill>
                    <a:srgbClr val="E0E0E0"/>
                  </a:solidFill>
                  <a:ln w="12700">
                    <a:solidFill>
                      <a:srgbClr val="5E5E5E"/>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l"/>
                    <a:endParaRPr lang="en-US" sz="1100"/>
                  </a:p>
                </xdr:txBody>
              </xdr:sp>
            </xdr:grpSp>
            <xdr:grpSp>
              <xdr:nvGrpSpPr>
                <xdr:cNvPr id="9128" name="Group 9127"/>
                <xdr:cNvGrpSpPr/>
              </xdr:nvGrpSpPr>
              <xdr:grpSpPr>
                <a:xfrm>
                  <a:off x="8379714" y="53206649"/>
                  <a:ext cx="2459736" cy="2459736"/>
                  <a:chOff x="8379714" y="53206649"/>
                  <a:chExt cx="2459736" cy="2459736"/>
                </a:xfrm>
              </xdr:grpSpPr>
              <xdr:sp macro="" textlink="">
                <xdr:nvSpPr>
                  <xdr:cNvPr id="1000" name="02_imgModule_Rounded_Rectangle_434"/>
                  <xdr:cNvSpPr/>
                </xdr:nvSpPr>
                <xdr:spPr>
                  <a:xfrm>
                    <a:off x="8379714" y="53206649"/>
                    <a:ext cx="2459736" cy="2459736"/>
                  </a:xfrm>
                  <a:prstGeom prst="roundRect">
                    <a:avLst>
                      <a:gd name="adj" fmla="val 700"/>
                    </a:avLst>
                  </a:prstGeom>
                  <a:solidFill>
                    <a:srgbClr val="D7D7D7"/>
                  </a:solidFill>
                  <a:ln w="12700">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l"/>
                    <a:endParaRPr lang="en-US" sz="1100"/>
                  </a:p>
                </xdr:txBody>
              </xdr:sp>
              <xdr:sp macro="" textlink="">
                <xdr:nvSpPr>
                  <xdr:cNvPr id="1001" name="02_imgModule_Rectangle_330"/>
                  <xdr:cNvSpPr/>
                </xdr:nvSpPr>
                <xdr:spPr>
                  <a:xfrm>
                    <a:off x="8379714" y="53206649"/>
                    <a:ext cx="91440" cy="2459736"/>
                  </a:xfrm>
                  <a:prstGeom prst="rect">
                    <a:avLst/>
                  </a:prstGeom>
                  <a:solidFill>
                    <a:srgbClr val="D7D7D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grpSp>
          <xdr:grpSp>
            <xdr:nvGrpSpPr>
              <xdr:cNvPr id="9130" name="Group 9129"/>
              <xdr:cNvGrpSpPr/>
            </xdr:nvGrpSpPr>
            <xdr:grpSpPr>
              <a:xfrm>
                <a:off x="6287113" y="54959932"/>
                <a:ext cx="1961539" cy="541559"/>
                <a:chOff x="6287113" y="54959932"/>
                <a:chExt cx="1961539" cy="541559"/>
              </a:xfrm>
            </xdr:grpSpPr>
            <xdr:sp macro="" textlink="Calculations!D420">
              <xdr:nvSpPr>
                <xdr:cNvPr id="996" name="02_profilename"/>
                <xdr:cNvSpPr txBox="1"/>
              </xdr:nvSpPr>
              <xdr:spPr>
                <a:xfrm>
                  <a:off x="6287113" y="55217107"/>
                  <a:ext cx="1952014" cy="28438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ctr"/>
                <a:lstStyle/>
                <a:p>
                  <a:pPr marL="0" indent="0" algn="l"/>
                  <a:fld id="{836299CC-8652-4F68-A8A1-F90A667D9D05}" type="TxLink">
                    <a:rPr lang="en-US" sz="1800" b="0" i="0" u="none" strike="noStrike">
                      <a:solidFill>
                        <a:srgbClr val="4D4D4D"/>
                      </a:solidFill>
                      <a:latin typeface="+mn-lt"/>
                      <a:ea typeface="+mn-ea"/>
                      <a:cs typeface="+mn-cs"/>
                    </a:rPr>
                    <a:pPr marL="0" indent="0" algn="l"/>
                    <a:t>martacarriedo</a:t>
                  </a:fld>
                  <a:endParaRPr lang="en-US" sz="1800" b="0" i="0" u="none" strike="noStrike">
                    <a:solidFill>
                      <a:srgbClr val="4D4D4D"/>
                    </a:solidFill>
                    <a:latin typeface="+mn-lt"/>
                    <a:ea typeface="+mn-ea"/>
                    <a:cs typeface="+mn-cs"/>
                  </a:endParaRPr>
                </a:p>
              </xdr:txBody>
            </xdr:sp>
            <xdr:sp macro="" textlink="Calculations!C420">
              <xdr:nvSpPr>
                <xdr:cNvPr id="997" name="02_postdate"/>
                <xdr:cNvSpPr txBox="1"/>
              </xdr:nvSpPr>
              <xdr:spPr>
                <a:xfrm>
                  <a:off x="6296638" y="54959932"/>
                  <a:ext cx="1952014" cy="28438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ctr"/>
                <a:lstStyle/>
                <a:p>
                  <a:pPr marL="0" indent="0" algn="l"/>
                  <a:fld id="{4556A30B-DF70-4629-AFA7-9CA01ADD52FE}" type="TxLink">
                    <a:rPr lang="en-US" sz="1300" b="0" i="0" u="none" strike="noStrike">
                      <a:solidFill>
                        <a:srgbClr val="666666"/>
                      </a:solidFill>
                      <a:latin typeface="+mn-lt"/>
                      <a:ea typeface="+mn-ea"/>
                      <a:cs typeface="+mn-cs"/>
                    </a:rPr>
                    <a:pPr marL="0" indent="0" algn="l"/>
                    <a:t>August 17, 2017</a:t>
                  </a:fld>
                  <a:endParaRPr lang="en-US" sz="1300" b="0" i="0" u="none" strike="noStrike">
                    <a:solidFill>
                      <a:srgbClr val="666666"/>
                    </a:solidFill>
                    <a:latin typeface="+mn-lt"/>
                    <a:ea typeface="+mn-ea"/>
                    <a:cs typeface="+mn-cs"/>
                  </a:endParaRPr>
                </a:p>
              </xdr:txBody>
            </xdr:sp>
          </xdr:grpSp>
          <xdr:grpSp>
            <xdr:nvGrpSpPr>
              <xdr:cNvPr id="9134" name="Group 9133"/>
              <xdr:cNvGrpSpPr/>
            </xdr:nvGrpSpPr>
            <xdr:grpSpPr>
              <a:xfrm>
                <a:off x="8382001" y="53206649"/>
                <a:ext cx="2459736" cy="2459737"/>
                <a:chOff x="8382001" y="53206649"/>
                <a:chExt cx="2459736" cy="2459737"/>
              </a:xfrm>
            </xdr:grpSpPr>
            <xdr:grpSp>
              <xdr:nvGrpSpPr>
                <xdr:cNvPr id="9133" name="Group 9132"/>
                <xdr:cNvGrpSpPr/>
              </xdr:nvGrpSpPr>
              <xdr:grpSpPr>
                <a:xfrm>
                  <a:off x="8382001" y="53206649"/>
                  <a:ext cx="2459736" cy="2459737"/>
                  <a:chOff x="8382001" y="53206649"/>
                  <a:chExt cx="2459736" cy="2459737"/>
                </a:xfrm>
              </xdr:grpSpPr>
              <xdr:grpSp>
                <xdr:nvGrpSpPr>
                  <xdr:cNvPr id="9131" name="Group 9130"/>
                  <xdr:cNvGrpSpPr/>
                </xdr:nvGrpSpPr>
                <xdr:grpSpPr>
                  <a:xfrm>
                    <a:off x="8382001" y="53206650"/>
                    <a:ext cx="2459736" cy="2459736"/>
                    <a:chOff x="8382001" y="53206650"/>
                    <a:chExt cx="2459736" cy="2459736"/>
                  </a:xfrm>
                </xdr:grpSpPr>
                <xdr:pic>
                  <xdr:nvPicPr>
                    <xdr:cNvPr id="1672" name="02_postimage" descr="profile:multi&#10;postSize:large"/>
                    <xdr:cNvPicPr>
                      <a:picLocks/>
                    </xdr:cNvPicPr>
                  </xdr:nvPicPr>
                  <xdr:blipFill>
                    <a:blip xmlns:r="http://schemas.openxmlformats.org/officeDocument/2006/relationships" r:link="rId8"/>
                    <a:stretch>
                      <a:fillRect/>
                    </a:stretch>
                  </xdr:blipFill>
                  <xdr:spPr>
                    <a:xfrm>
                      <a:off x="8382001" y="53206650"/>
                      <a:ext cx="2459736" cy="2459736"/>
                    </a:xfrm>
                    <a:prstGeom prst="rect">
                      <a:avLst/>
                    </a:prstGeom>
                  </xdr:spPr>
                </xdr:pic>
                <xdr:pic>
                  <xdr:nvPicPr>
                    <xdr:cNvPr id="1841" name="02_overlayimage"/>
                    <xdr:cNvPicPr>
                      <a:picLocks/>
                    </xdr:cNvPicPr>
                  </xdr:nvPicPr>
                  <xdr:blipFill>
                    <a:blip xmlns:r="http://schemas.openxmlformats.org/officeDocument/2006/relationships" r:link="rId2"/>
                    <a:stretch>
                      <a:fillRect/>
                    </a:stretch>
                  </xdr:blipFill>
                  <xdr:spPr>
                    <a:xfrm>
                      <a:off x="8382001" y="54843425"/>
                      <a:ext cx="2459736" cy="822960"/>
                    </a:xfrm>
                    <a:prstGeom prst="rect">
                      <a:avLst/>
                    </a:prstGeom>
                  </xdr:spPr>
                </xdr:pic>
                <xdr:sp macro="" textlink="Calculations!O420">
                  <xdr:nvSpPr>
                    <xdr:cNvPr id="995" name="02_overlaytext"/>
                    <xdr:cNvSpPr txBox="1"/>
                  </xdr:nvSpPr>
                  <xdr:spPr>
                    <a:xfrm>
                      <a:off x="8382001" y="54843425"/>
                      <a:ext cx="2459736" cy="8229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100584" tIns="73152" rIns="100584" bIns="54864" rtlCol="0" anchor="t"/>
                    <a:lstStyle/>
                    <a:p>
                      <a:pPr marL="0" indent="0" algn="l"/>
                      <a:fld id="{C99284F8-23DE-4311-9FCD-BB1B8B7EDB35}" type="TxLink">
                        <a:rPr lang="en-US" altLang="ja-JP" sz="1100" b="0" i="1">
                          <a:solidFill>
                            <a:srgbClr val="EBEBEB"/>
                          </a:solidFill>
                          <a:latin typeface="Cambria" panose="02040503050406030204" pitchFamily="18" charset="0"/>
                          <a:ea typeface="+mn-ea"/>
                          <a:cs typeface="+mn-cs"/>
                        </a:rPr>
                        <a:pPr marL="0" indent="0" algn="l"/>
                        <a:t>The climb is tough but the view from the top is worth it✌🏽🌆 #top #LA #runyoncanyon #neve…</a:t>
                      </a:fld>
                      <a:endParaRPr lang="en-US" sz="1100" b="0" i="1">
                        <a:solidFill>
                          <a:srgbClr val="EBEBEB"/>
                        </a:solidFill>
                        <a:latin typeface="Cambria" panose="02040503050406030204" pitchFamily="18" charset="0"/>
                        <a:ea typeface="+mn-ea"/>
                        <a:cs typeface="+mn-cs"/>
                      </a:endParaRPr>
                    </a:p>
                  </xdr:txBody>
                </xdr:sp>
              </xdr:grpSp>
              <xdr:grpSp>
                <xdr:nvGrpSpPr>
                  <xdr:cNvPr id="9132" name="Group 9131"/>
                  <xdr:cNvGrpSpPr/>
                </xdr:nvGrpSpPr>
                <xdr:grpSpPr>
                  <a:xfrm>
                    <a:off x="8391526" y="53339998"/>
                    <a:ext cx="2314575" cy="2286001"/>
                    <a:chOff x="8391526" y="53339998"/>
                    <a:chExt cx="2314575" cy="2286001"/>
                  </a:xfrm>
                </xdr:grpSpPr>
                <xdr:sp macro="" textlink="">
                  <xdr:nvSpPr>
                    <xdr:cNvPr id="991" name="02_posttext"/>
                    <xdr:cNvSpPr txBox="1"/>
                  </xdr:nvSpPr>
                  <xdr:spPr>
                    <a:xfrm>
                      <a:off x="8591551" y="53339998"/>
                      <a:ext cx="2114550" cy="22860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marL="0" indent="0" algn="l"/>
                      <a:r>
                        <a:rPr lang="en-US" sz="1800" b="0" i="1">
                          <a:solidFill>
                            <a:srgbClr val="4D4D4D"/>
                          </a:solidFill>
                          <a:latin typeface="Cambria" panose="02040503050406030204" pitchFamily="18" charset="0"/>
                          <a:ea typeface="+mn-ea"/>
                          <a:cs typeface="+mn-cs"/>
                        </a:rPr>
                        <a:t> </a:t>
                      </a:r>
                    </a:p>
                  </xdr:txBody>
                </xdr:sp>
                <xdr:sp macro="" textlink="">
                  <xdr:nvSpPr>
                    <xdr:cNvPr id="992" name="02_leadparen"/>
                    <xdr:cNvSpPr txBox="1"/>
                  </xdr:nvSpPr>
                  <xdr:spPr>
                    <a:xfrm>
                      <a:off x="8391526" y="53339999"/>
                      <a:ext cx="274320" cy="2762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marL="0" indent="0" algn="ctr"/>
                      <a:r>
                        <a:rPr lang="en-US" sz="1800" b="0" i="1">
                          <a:solidFill>
                            <a:srgbClr val="4D4D4D"/>
                          </a:solidFill>
                          <a:latin typeface="Cambria" panose="02040503050406030204" pitchFamily="18" charset="0"/>
                          <a:ea typeface="+mn-ea"/>
                          <a:cs typeface="+mn-cs"/>
                        </a:rPr>
                        <a:t> </a:t>
                      </a:r>
                    </a:p>
                  </xdr:txBody>
                </xdr:sp>
              </xdr:grpSp>
              <xdr:sp macro="" textlink="">
                <xdr:nvSpPr>
                  <xdr:cNvPr id="990" name="02_imgModule_Rectangle_15"/>
                  <xdr:cNvSpPr/>
                </xdr:nvSpPr>
                <xdr:spPr>
                  <a:xfrm>
                    <a:off x="8382001" y="53206649"/>
                    <a:ext cx="9144" cy="2457450"/>
                  </a:xfrm>
                  <a:prstGeom prst="rect">
                    <a:avLst/>
                  </a:prstGeom>
                  <a:solidFill>
                    <a:srgbClr val="000000">
                      <a:alpha val="16863"/>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pic>
              <xdr:nvPicPr>
                <xdr:cNvPr id="2010" name="02_postlinkimage">
                  <a:hlinkClick xmlns:r="http://schemas.openxmlformats.org/officeDocument/2006/relationships" r:id="rId9"/>
                </xdr:cNvPr>
                <xdr:cNvPicPr>
                  <a:picLocks/>
                </xdr:cNvPicPr>
              </xdr:nvPicPr>
              <xdr:blipFill>
                <a:blip xmlns:r="http://schemas.openxmlformats.org/officeDocument/2006/relationships" r:link="rId4"/>
                <a:stretch>
                  <a:fillRect/>
                </a:stretch>
              </xdr:blipFill>
              <xdr:spPr>
                <a:xfrm>
                  <a:off x="8382001" y="53206650"/>
                  <a:ext cx="2459736" cy="2459736"/>
                </a:xfrm>
                <a:prstGeom prst="rect">
                  <a:avLst/>
                </a:prstGeom>
              </xdr:spPr>
            </xdr:pic>
          </xdr:grpSp>
          <xdr:grpSp>
            <xdr:nvGrpSpPr>
              <xdr:cNvPr id="9136" name="Group 9135"/>
              <xdr:cNvGrpSpPr/>
            </xdr:nvGrpSpPr>
            <xdr:grpSpPr>
              <a:xfrm>
                <a:off x="6162676" y="53334474"/>
                <a:ext cx="1344168" cy="1353312"/>
                <a:chOff x="6162676" y="53334474"/>
                <a:chExt cx="1344168" cy="1353312"/>
              </a:xfrm>
            </xdr:grpSpPr>
            <xdr:grpSp>
              <xdr:nvGrpSpPr>
                <xdr:cNvPr id="9135" name="Group 9134"/>
                <xdr:cNvGrpSpPr/>
              </xdr:nvGrpSpPr>
              <xdr:grpSpPr>
                <a:xfrm>
                  <a:off x="6267832" y="53440011"/>
                  <a:ext cx="1133856" cy="1133856"/>
                  <a:chOff x="6267832" y="53440011"/>
                  <a:chExt cx="1133856" cy="1133856"/>
                </a:xfrm>
              </xdr:grpSpPr>
              <xdr:sp macro="" textlink="">
                <xdr:nvSpPr>
                  <xdr:cNvPr id="983" name="02_imgModule_Oval_102"/>
                  <xdr:cNvSpPr/>
                </xdr:nvSpPr>
                <xdr:spPr>
                  <a:xfrm>
                    <a:off x="6267832" y="53440011"/>
                    <a:ext cx="1133856" cy="1133856"/>
                  </a:xfrm>
                  <a:prstGeom prst="ellipse">
                    <a:avLst/>
                  </a:prstGeom>
                  <a:solidFill>
                    <a:srgbClr val="9E9E9E"/>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984" name="02_imgModule_Oval_106"/>
                  <xdr:cNvSpPr/>
                </xdr:nvSpPr>
                <xdr:spPr>
                  <a:xfrm>
                    <a:off x="6295264" y="53467443"/>
                    <a:ext cx="1078992" cy="1078992"/>
                  </a:xfrm>
                  <a:prstGeom prst="ellipse">
                    <a:avLst/>
                  </a:prstGeom>
                  <a:solidFill>
                    <a:srgbClr val="D9D9D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985" name="02_imgModule_Freeform_12"/>
                  <xdr:cNvSpPr>
                    <a:spLocks/>
                  </xdr:cNvSpPr>
                </xdr:nvSpPr>
                <xdr:spPr bwMode="auto">
                  <a:xfrm>
                    <a:off x="6439539" y="53740620"/>
                    <a:ext cx="790442" cy="823341"/>
                  </a:xfrm>
                  <a:custGeom>
                    <a:avLst/>
                    <a:gdLst>
                      <a:gd name="T0" fmla="*/ 3049 w 3180"/>
                      <a:gd name="T1" fmla="*/ 2869 h 3760"/>
                      <a:gd name="T2" fmla="*/ 2848 w 3180"/>
                      <a:gd name="T3" fmla="*/ 2809 h 3760"/>
                      <a:gd name="T4" fmla="*/ 2677 w 3180"/>
                      <a:gd name="T5" fmla="*/ 2745 h 3760"/>
                      <a:gd name="T6" fmla="*/ 2325 w 3180"/>
                      <a:gd name="T7" fmla="*/ 2578 h 3760"/>
                      <a:gd name="T8" fmla="*/ 2187 w 3180"/>
                      <a:gd name="T9" fmla="*/ 2489 h 3760"/>
                      <a:gd name="T10" fmla="*/ 2077 w 3180"/>
                      <a:gd name="T11" fmla="*/ 2368 h 3760"/>
                      <a:gd name="T12" fmla="*/ 1996 w 3180"/>
                      <a:gd name="T13" fmla="*/ 2259 h 3760"/>
                      <a:gd name="T14" fmla="*/ 1975 w 3180"/>
                      <a:gd name="T15" fmla="*/ 2040 h 3760"/>
                      <a:gd name="T16" fmla="*/ 1986 w 3180"/>
                      <a:gd name="T17" fmla="*/ 2014 h 3760"/>
                      <a:gd name="T18" fmla="*/ 2114 w 3180"/>
                      <a:gd name="T19" fmla="*/ 1664 h 3760"/>
                      <a:gd name="T20" fmla="*/ 2148 w 3180"/>
                      <a:gd name="T21" fmla="*/ 1626 h 3760"/>
                      <a:gd name="T22" fmla="*/ 2201 w 3180"/>
                      <a:gd name="T23" fmla="*/ 1561 h 3760"/>
                      <a:gd name="T24" fmla="*/ 2240 w 3180"/>
                      <a:gd name="T25" fmla="*/ 1475 h 3760"/>
                      <a:gd name="T26" fmla="*/ 2269 w 3180"/>
                      <a:gd name="T27" fmla="*/ 1358 h 3760"/>
                      <a:gd name="T28" fmla="*/ 2292 w 3180"/>
                      <a:gd name="T29" fmla="*/ 1232 h 3760"/>
                      <a:gd name="T30" fmla="*/ 2291 w 3180"/>
                      <a:gd name="T31" fmla="*/ 1150 h 3760"/>
                      <a:gd name="T32" fmla="*/ 2278 w 3180"/>
                      <a:gd name="T33" fmla="*/ 1137 h 3760"/>
                      <a:gd name="T34" fmla="*/ 2270 w 3180"/>
                      <a:gd name="T35" fmla="*/ 886 h 3760"/>
                      <a:gd name="T36" fmla="*/ 2283 w 3180"/>
                      <a:gd name="T37" fmla="*/ 694 h 3760"/>
                      <a:gd name="T38" fmla="*/ 2262 w 3180"/>
                      <a:gd name="T39" fmla="*/ 595 h 3760"/>
                      <a:gd name="T40" fmla="*/ 2254 w 3180"/>
                      <a:gd name="T41" fmla="*/ 509 h 3760"/>
                      <a:gd name="T42" fmla="*/ 2183 w 3180"/>
                      <a:gd name="T43" fmla="*/ 416 h 3760"/>
                      <a:gd name="T44" fmla="*/ 1984 w 3180"/>
                      <a:gd name="T45" fmla="*/ 219 h 3760"/>
                      <a:gd name="T46" fmla="*/ 1833 w 3180"/>
                      <a:gd name="T47" fmla="*/ 65 h 3760"/>
                      <a:gd name="T48" fmla="*/ 1648 w 3180"/>
                      <a:gd name="T49" fmla="*/ 0 h 3760"/>
                      <a:gd name="T50" fmla="*/ 1474 w 3180"/>
                      <a:gd name="T51" fmla="*/ 35 h 3760"/>
                      <a:gd name="T52" fmla="*/ 1339 w 3180"/>
                      <a:gd name="T53" fmla="*/ 50 h 3760"/>
                      <a:gd name="T54" fmla="*/ 1188 w 3180"/>
                      <a:gd name="T55" fmla="*/ 157 h 3760"/>
                      <a:gd name="T56" fmla="*/ 944 w 3180"/>
                      <a:gd name="T57" fmla="*/ 333 h 3760"/>
                      <a:gd name="T58" fmla="*/ 905 w 3180"/>
                      <a:gd name="T59" fmla="*/ 551 h 3760"/>
                      <a:gd name="T60" fmla="*/ 908 w 3180"/>
                      <a:gd name="T61" fmla="*/ 716 h 3760"/>
                      <a:gd name="T62" fmla="*/ 913 w 3180"/>
                      <a:gd name="T63" fmla="*/ 1031 h 3760"/>
                      <a:gd name="T64" fmla="*/ 860 w 3180"/>
                      <a:gd name="T65" fmla="*/ 1071 h 3760"/>
                      <a:gd name="T66" fmla="*/ 849 w 3180"/>
                      <a:gd name="T67" fmla="*/ 1116 h 3760"/>
                      <a:gd name="T68" fmla="*/ 875 w 3180"/>
                      <a:gd name="T69" fmla="*/ 1385 h 3760"/>
                      <a:gd name="T70" fmla="*/ 889 w 3180"/>
                      <a:gd name="T71" fmla="*/ 1462 h 3760"/>
                      <a:gd name="T72" fmla="*/ 969 w 3180"/>
                      <a:gd name="T73" fmla="*/ 1562 h 3760"/>
                      <a:gd name="T74" fmla="*/ 1000 w 3180"/>
                      <a:gd name="T75" fmla="*/ 1600 h 3760"/>
                      <a:gd name="T76" fmla="*/ 1097 w 3180"/>
                      <a:gd name="T77" fmla="*/ 1970 h 3760"/>
                      <a:gd name="T78" fmla="*/ 1104 w 3180"/>
                      <a:gd name="T79" fmla="*/ 2220 h 3760"/>
                      <a:gd name="T80" fmla="*/ 809 w 3180"/>
                      <a:gd name="T81" fmla="*/ 2524 h 3760"/>
                      <a:gd name="T82" fmla="*/ 351 w 3180"/>
                      <a:gd name="T83" fmla="*/ 2804 h 3760"/>
                      <a:gd name="T84" fmla="*/ 131 w 3180"/>
                      <a:gd name="T85" fmla="*/ 2869 h 3760"/>
                      <a:gd name="T86" fmla="*/ 100 w 3180"/>
                      <a:gd name="T87" fmla="*/ 3123 h 3760"/>
                      <a:gd name="T88" fmla="*/ 449 w 3180"/>
                      <a:gd name="T89" fmla="*/ 3428 h 3760"/>
                      <a:gd name="T90" fmla="*/ 907 w 3180"/>
                      <a:gd name="T91" fmla="*/ 3640 h 3760"/>
                      <a:gd name="T92" fmla="*/ 1374 w 3180"/>
                      <a:gd name="T93" fmla="*/ 3748 h 3760"/>
                      <a:gd name="T94" fmla="*/ 1983 w 3180"/>
                      <a:gd name="T95" fmla="*/ 3702 h 3760"/>
                      <a:gd name="T96" fmla="*/ 2730 w 3180"/>
                      <a:gd name="T97" fmla="*/ 3410 h 3760"/>
                      <a:gd name="T98" fmla="*/ 3096 w 3180"/>
                      <a:gd name="T99" fmla="*/ 3110 h 3760"/>
                      <a:gd name="connsiteX0" fmla="*/ 10325 w 10325"/>
                      <a:gd name="connsiteY0" fmla="*/ 7962 h 10000"/>
                      <a:gd name="connsiteX1" fmla="*/ 9588 w 10325"/>
                      <a:gd name="connsiteY1" fmla="*/ 7630 h 10000"/>
                      <a:gd name="connsiteX2" fmla="*/ 9170 w 10325"/>
                      <a:gd name="connsiteY2" fmla="*/ 7519 h 10000"/>
                      <a:gd name="connsiteX3" fmla="*/ 8956 w 10325"/>
                      <a:gd name="connsiteY3" fmla="*/ 7471 h 10000"/>
                      <a:gd name="connsiteX4" fmla="*/ 8714 w 10325"/>
                      <a:gd name="connsiteY4" fmla="*/ 7410 h 10000"/>
                      <a:gd name="connsiteX5" fmla="*/ 8418 w 10325"/>
                      <a:gd name="connsiteY5" fmla="*/ 7301 h 10000"/>
                      <a:gd name="connsiteX6" fmla="*/ 7346 w 10325"/>
                      <a:gd name="connsiteY6" fmla="*/ 6867 h 10000"/>
                      <a:gd name="connsiteX7" fmla="*/ 7311 w 10325"/>
                      <a:gd name="connsiteY7" fmla="*/ 6856 h 10000"/>
                      <a:gd name="connsiteX8" fmla="*/ 7041 w 10325"/>
                      <a:gd name="connsiteY8" fmla="*/ 6739 h 10000"/>
                      <a:gd name="connsiteX9" fmla="*/ 6877 w 10325"/>
                      <a:gd name="connsiteY9" fmla="*/ 6620 h 10000"/>
                      <a:gd name="connsiteX10" fmla="*/ 6689 w 10325"/>
                      <a:gd name="connsiteY10" fmla="*/ 6428 h 10000"/>
                      <a:gd name="connsiteX11" fmla="*/ 6531 w 10325"/>
                      <a:gd name="connsiteY11" fmla="*/ 6298 h 10000"/>
                      <a:gd name="connsiteX12" fmla="*/ 6377 w 10325"/>
                      <a:gd name="connsiteY12" fmla="*/ 6165 h 10000"/>
                      <a:gd name="connsiteX13" fmla="*/ 6277 w 10325"/>
                      <a:gd name="connsiteY13" fmla="*/ 6008 h 10000"/>
                      <a:gd name="connsiteX14" fmla="*/ 6220 w 10325"/>
                      <a:gd name="connsiteY14" fmla="*/ 5649 h 10000"/>
                      <a:gd name="connsiteX15" fmla="*/ 6211 w 10325"/>
                      <a:gd name="connsiteY15" fmla="*/ 5426 h 10000"/>
                      <a:gd name="connsiteX16" fmla="*/ 6211 w 10325"/>
                      <a:gd name="connsiteY16" fmla="*/ 5383 h 10000"/>
                      <a:gd name="connsiteX17" fmla="*/ 6245 w 10325"/>
                      <a:gd name="connsiteY17" fmla="*/ 5356 h 10000"/>
                      <a:gd name="connsiteX18" fmla="*/ 6597 w 10325"/>
                      <a:gd name="connsiteY18" fmla="*/ 4763 h 10000"/>
                      <a:gd name="connsiteX19" fmla="*/ 6648 w 10325"/>
                      <a:gd name="connsiteY19" fmla="*/ 4426 h 10000"/>
                      <a:gd name="connsiteX20" fmla="*/ 6648 w 10325"/>
                      <a:gd name="connsiteY20" fmla="*/ 4332 h 10000"/>
                      <a:gd name="connsiteX21" fmla="*/ 6755 w 10325"/>
                      <a:gd name="connsiteY21" fmla="*/ 4324 h 10000"/>
                      <a:gd name="connsiteX22" fmla="*/ 6849 w 10325"/>
                      <a:gd name="connsiteY22" fmla="*/ 4290 h 10000"/>
                      <a:gd name="connsiteX23" fmla="*/ 6921 w 10325"/>
                      <a:gd name="connsiteY23" fmla="*/ 4152 h 10000"/>
                      <a:gd name="connsiteX24" fmla="*/ 6972 w 10325"/>
                      <a:gd name="connsiteY24" fmla="*/ 4043 h 10000"/>
                      <a:gd name="connsiteX25" fmla="*/ 7044 w 10325"/>
                      <a:gd name="connsiteY25" fmla="*/ 3923 h 10000"/>
                      <a:gd name="connsiteX26" fmla="*/ 7113 w 10325"/>
                      <a:gd name="connsiteY26" fmla="*/ 3769 h 10000"/>
                      <a:gd name="connsiteX27" fmla="*/ 7135 w 10325"/>
                      <a:gd name="connsiteY27" fmla="*/ 3612 h 10000"/>
                      <a:gd name="connsiteX28" fmla="*/ 7154 w 10325"/>
                      <a:gd name="connsiteY28" fmla="*/ 3455 h 10000"/>
                      <a:gd name="connsiteX29" fmla="*/ 7208 w 10325"/>
                      <a:gd name="connsiteY29" fmla="*/ 3277 h 10000"/>
                      <a:gd name="connsiteX30" fmla="*/ 7236 w 10325"/>
                      <a:gd name="connsiteY30" fmla="*/ 3133 h 10000"/>
                      <a:gd name="connsiteX31" fmla="*/ 7204 w 10325"/>
                      <a:gd name="connsiteY31" fmla="*/ 3059 h 10000"/>
                      <a:gd name="connsiteX32" fmla="*/ 7198 w 10325"/>
                      <a:gd name="connsiteY32" fmla="*/ 3059 h 10000"/>
                      <a:gd name="connsiteX33" fmla="*/ 7164 w 10325"/>
                      <a:gd name="connsiteY33" fmla="*/ 3024 h 10000"/>
                      <a:gd name="connsiteX34" fmla="*/ 7113 w 10325"/>
                      <a:gd name="connsiteY34" fmla="*/ 2896 h 10000"/>
                      <a:gd name="connsiteX35" fmla="*/ 7138 w 10325"/>
                      <a:gd name="connsiteY35" fmla="*/ 2356 h 10000"/>
                      <a:gd name="connsiteX36" fmla="*/ 7142 w 10325"/>
                      <a:gd name="connsiteY36" fmla="*/ 2314 h 10000"/>
                      <a:gd name="connsiteX37" fmla="*/ 7179 w 10325"/>
                      <a:gd name="connsiteY37" fmla="*/ 1846 h 10000"/>
                      <a:gd name="connsiteX38" fmla="*/ 7123 w 10325"/>
                      <a:gd name="connsiteY38" fmla="*/ 1609 h 10000"/>
                      <a:gd name="connsiteX39" fmla="*/ 7113 w 10325"/>
                      <a:gd name="connsiteY39" fmla="*/ 1582 h 10000"/>
                      <a:gd name="connsiteX40" fmla="*/ 7082 w 10325"/>
                      <a:gd name="connsiteY40" fmla="*/ 1447 h 10000"/>
                      <a:gd name="connsiteX41" fmla="*/ 7088 w 10325"/>
                      <a:gd name="connsiteY41" fmla="*/ 1354 h 10000"/>
                      <a:gd name="connsiteX42" fmla="*/ 7066 w 10325"/>
                      <a:gd name="connsiteY42" fmla="*/ 1271 h 10000"/>
                      <a:gd name="connsiteX43" fmla="*/ 6865 w 10325"/>
                      <a:gd name="connsiteY43" fmla="*/ 1106 h 10000"/>
                      <a:gd name="connsiteX44" fmla="*/ 6535 w 10325"/>
                      <a:gd name="connsiteY44" fmla="*/ 848 h 10000"/>
                      <a:gd name="connsiteX45" fmla="*/ 6239 w 10325"/>
                      <a:gd name="connsiteY45" fmla="*/ 582 h 10000"/>
                      <a:gd name="connsiteX46" fmla="*/ 6006 w 10325"/>
                      <a:gd name="connsiteY46" fmla="*/ 370 h 10000"/>
                      <a:gd name="connsiteX47" fmla="*/ 5764 w 10325"/>
                      <a:gd name="connsiteY47" fmla="*/ 173 h 10000"/>
                      <a:gd name="connsiteX48" fmla="*/ 5503 w 10325"/>
                      <a:gd name="connsiteY48" fmla="*/ 45 h 10000"/>
                      <a:gd name="connsiteX49" fmla="*/ 5182 w 10325"/>
                      <a:gd name="connsiteY49" fmla="*/ 0 h 10000"/>
                      <a:gd name="connsiteX50" fmla="*/ 4874 w 10325"/>
                      <a:gd name="connsiteY50" fmla="*/ 32 h 10000"/>
                      <a:gd name="connsiteX51" fmla="*/ 4635 w 10325"/>
                      <a:gd name="connsiteY51" fmla="*/ 93 h 10000"/>
                      <a:gd name="connsiteX52" fmla="*/ 4390 w 10325"/>
                      <a:gd name="connsiteY52" fmla="*/ 144 h 10000"/>
                      <a:gd name="connsiteX53" fmla="*/ 4211 w 10325"/>
                      <a:gd name="connsiteY53" fmla="*/ 133 h 10000"/>
                      <a:gd name="connsiteX54" fmla="*/ 4022 w 10325"/>
                      <a:gd name="connsiteY54" fmla="*/ 266 h 10000"/>
                      <a:gd name="connsiteX55" fmla="*/ 3736 w 10325"/>
                      <a:gd name="connsiteY55" fmla="*/ 418 h 10000"/>
                      <a:gd name="connsiteX56" fmla="*/ 3324 w 10325"/>
                      <a:gd name="connsiteY56" fmla="*/ 630 h 10000"/>
                      <a:gd name="connsiteX57" fmla="*/ 2969 w 10325"/>
                      <a:gd name="connsiteY57" fmla="*/ 886 h 10000"/>
                      <a:gd name="connsiteX58" fmla="*/ 2814 w 10325"/>
                      <a:gd name="connsiteY58" fmla="*/ 1173 h 10000"/>
                      <a:gd name="connsiteX59" fmla="*/ 2846 w 10325"/>
                      <a:gd name="connsiteY59" fmla="*/ 1465 h 10000"/>
                      <a:gd name="connsiteX60" fmla="*/ 2877 w 10325"/>
                      <a:gd name="connsiteY60" fmla="*/ 1678 h 10000"/>
                      <a:gd name="connsiteX61" fmla="*/ 2855 w 10325"/>
                      <a:gd name="connsiteY61" fmla="*/ 1904 h 10000"/>
                      <a:gd name="connsiteX62" fmla="*/ 2824 w 10325"/>
                      <a:gd name="connsiteY62" fmla="*/ 2436 h 10000"/>
                      <a:gd name="connsiteX63" fmla="*/ 2871 w 10325"/>
                      <a:gd name="connsiteY63" fmla="*/ 2742 h 10000"/>
                      <a:gd name="connsiteX64" fmla="*/ 2925 w 10325"/>
                      <a:gd name="connsiteY64" fmla="*/ 2973 h 10000"/>
                      <a:gd name="connsiteX65" fmla="*/ 2704 w 10325"/>
                      <a:gd name="connsiteY65" fmla="*/ 2848 h 10000"/>
                      <a:gd name="connsiteX66" fmla="*/ 2689 w 10325"/>
                      <a:gd name="connsiteY66" fmla="*/ 2878 h 10000"/>
                      <a:gd name="connsiteX67" fmla="*/ 2670 w 10325"/>
                      <a:gd name="connsiteY67" fmla="*/ 2968 h 10000"/>
                      <a:gd name="connsiteX68" fmla="*/ 2682 w 10325"/>
                      <a:gd name="connsiteY68" fmla="*/ 3314 h 10000"/>
                      <a:gd name="connsiteX69" fmla="*/ 2752 w 10325"/>
                      <a:gd name="connsiteY69" fmla="*/ 3684 h 10000"/>
                      <a:gd name="connsiteX70" fmla="*/ 2774 w 10325"/>
                      <a:gd name="connsiteY70" fmla="*/ 3785 h 10000"/>
                      <a:gd name="connsiteX71" fmla="*/ 2796 w 10325"/>
                      <a:gd name="connsiteY71" fmla="*/ 3888 h 10000"/>
                      <a:gd name="connsiteX72" fmla="*/ 2928 w 10325"/>
                      <a:gd name="connsiteY72" fmla="*/ 4109 h 10000"/>
                      <a:gd name="connsiteX73" fmla="*/ 3047 w 10325"/>
                      <a:gd name="connsiteY73" fmla="*/ 4154 h 10000"/>
                      <a:gd name="connsiteX74" fmla="*/ 3142 w 10325"/>
                      <a:gd name="connsiteY74" fmla="*/ 4168 h 10000"/>
                      <a:gd name="connsiteX75" fmla="*/ 3145 w 10325"/>
                      <a:gd name="connsiteY75" fmla="*/ 4255 h 10000"/>
                      <a:gd name="connsiteX76" fmla="*/ 3296 w 10325"/>
                      <a:gd name="connsiteY76" fmla="*/ 4976 h 10000"/>
                      <a:gd name="connsiteX77" fmla="*/ 3450 w 10325"/>
                      <a:gd name="connsiteY77" fmla="*/ 5239 h 10000"/>
                      <a:gd name="connsiteX78" fmla="*/ 3472 w 10325"/>
                      <a:gd name="connsiteY78" fmla="*/ 5266 h 10000"/>
                      <a:gd name="connsiteX79" fmla="*/ 3472 w 10325"/>
                      <a:gd name="connsiteY79" fmla="*/ 5904 h 10000"/>
                      <a:gd name="connsiteX80" fmla="*/ 3374 w 10325"/>
                      <a:gd name="connsiteY80" fmla="*/ 5995 h 10000"/>
                      <a:gd name="connsiteX81" fmla="*/ 2544 w 10325"/>
                      <a:gd name="connsiteY81" fmla="*/ 6713 h 10000"/>
                      <a:gd name="connsiteX82" fmla="*/ 1421 w 10325"/>
                      <a:gd name="connsiteY82" fmla="*/ 7370 h 10000"/>
                      <a:gd name="connsiteX83" fmla="*/ 1104 w 10325"/>
                      <a:gd name="connsiteY83" fmla="*/ 7457 h 10000"/>
                      <a:gd name="connsiteX84" fmla="*/ 833 w 10325"/>
                      <a:gd name="connsiteY84" fmla="*/ 7519 h 10000"/>
                      <a:gd name="connsiteX85" fmla="*/ 412 w 10325"/>
                      <a:gd name="connsiteY85" fmla="*/ 7630 h 10000"/>
                      <a:gd name="connsiteX86" fmla="*/ 0 w 10325"/>
                      <a:gd name="connsiteY86" fmla="*/ 7816 h 10000"/>
                      <a:gd name="connsiteX87" fmla="*/ 314 w 10325"/>
                      <a:gd name="connsiteY87" fmla="*/ 8306 h 10000"/>
                      <a:gd name="connsiteX88" fmla="*/ 799 w 10325"/>
                      <a:gd name="connsiteY88" fmla="*/ 8742 h 10000"/>
                      <a:gd name="connsiteX89" fmla="*/ 1412 w 10325"/>
                      <a:gd name="connsiteY89" fmla="*/ 9117 h 10000"/>
                      <a:gd name="connsiteX90" fmla="*/ 2107 w 10325"/>
                      <a:gd name="connsiteY90" fmla="*/ 9431 h 10000"/>
                      <a:gd name="connsiteX91" fmla="*/ 2852 w 10325"/>
                      <a:gd name="connsiteY91" fmla="*/ 9681 h 10000"/>
                      <a:gd name="connsiteX92" fmla="*/ 3604 w 10325"/>
                      <a:gd name="connsiteY92" fmla="*/ 9862 h 10000"/>
                      <a:gd name="connsiteX93" fmla="*/ 4321 w 10325"/>
                      <a:gd name="connsiteY93" fmla="*/ 9968 h 10000"/>
                      <a:gd name="connsiteX94" fmla="*/ 4965 w 10325"/>
                      <a:gd name="connsiteY94" fmla="*/ 10000 h 10000"/>
                      <a:gd name="connsiteX95" fmla="*/ 6236 w 10325"/>
                      <a:gd name="connsiteY95" fmla="*/ 9846 h 10000"/>
                      <a:gd name="connsiteX96" fmla="*/ 7824 w 10325"/>
                      <a:gd name="connsiteY96" fmla="*/ 9391 h 10000"/>
                      <a:gd name="connsiteX97" fmla="*/ 8585 w 10325"/>
                      <a:gd name="connsiteY97" fmla="*/ 9069 h 10000"/>
                      <a:gd name="connsiteX98" fmla="*/ 9245 w 10325"/>
                      <a:gd name="connsiteY98" fmla="*/ 8694 h 10000"/>
                      <a:gd name="connsiteX99" fmla="*/ 9736 w 10325"/>
                      <a:gd name="connsiteY99" fmla="*/ 8271 h 10000"/>
                      <a:gd name="connsiteX100" fmla="*/ 10325 w 10325"/>
                      <a:gd name="connsiteY100" fmla="*/ 7962 h 10000"/>
                      <a:gd name="connsiteX0" fmla="*/ 10650 w 10650"/>
                      <a:gd name="connsiteY0" fmla="*/ 7962 h 10000"/>
                      <a:gd name="connsiteX1" fmla="*/ 9913 w 10650"/>
                      <a:gd name="connsiteY1" fmla="*/ 7630 h 10000"/>
                      <a:gd name="connsiteX2" fmla="*/ 9495 w 10650"/>
                      <a:gd name="connsiteY2" fmla="*/ 7519 h 10000"/>
                      <a:gd name="connsiteX3" fmla="*/ 9281 w 10650"/>
                      <a:gd name="connsiteY3" fmla="*/ 7471 h 10000"/>
                      <a:gd name="connsiteX4" fmla="*/ 9039 w 10650"/>
                      <a:gd name="connsiteY4" fmla="*/ 7410 h 10000"/>
                      <a:gd name="connsiteX5" fmla="*/ 8743 w 10650"/>
                      <a:gd name="connsiteY5" fmla="*/ 7301 h 10000"/>
                      <a:gd name="connsiteX6" fmla="*/ 7671 w 10650"/>
                      <a:gd name="connsiteY6" fmla="*/ 6867 h 10000"/>
                      <a:gd name="connsiteX7" fmla="*/ 7636 w 10650"/>
                      <a:gd name="connsiteY7" fmla="*/ 6856 h 10000"/>
                      <a:gd name="connsiteX8" fmla="*/ 7366 w 10650"/>
                      <a:gd name="connsiteY8" fmla="*/ 6739 h 10000"/>
                      <a:gd name="connsiteX9" fmla="*/ 7202 w 10650"/>
                      <a:gd name="connsiteY9" fmla="*/ 6620 h 10000"/>
                      <a:gd name="connsiteX10" fmla="*/ 7014 w 10650"/>
                      <a:gd name="connsiteY10" fmla="*/ 6428 h 10000"/>
                      <a:gd name="connsiteX11" fmla="*/ 6856 w 10650"/>
                      <a:gd name="connsiteY11" fmla="*/ 6298 h 10000"/>
                      <a:gd name="connsiteX12" fmla="*/ 6702 w 10650"/>
                      <a:gd name="connsiteY12" fmla="*/ 6165 h 10000"/>
                      <a:gd name="connsiteX13" fmla="*/ 6602 w 10650"/>
                      <a:gd name="connsiteY13" fmla="*/ 6008 h 10000"/>
                      <a:gd name="connsiteX14" fmla="*/ 6545 w 10650"/>
                      <a:gd name="connsiteY14" fmla="*/ 5649 h 10000"/>
                      <a:gd name="connsiteX15" fmla="*/ 6536 w 10650"/>
                      <a:gd name="connsiteY15" fmla="*/ 5426 h 10000"/>
                      <a:gd name="connsiteX16" fmla="*/ 6536 w 10650"/>
                      <a:gd name="connsiteY16" fmla="*/ 5383 h 10000"/>
                      <a:gd name="connsiteX17" fmla="*/ 6570 w 10650"/>
                      <a:gd name="connsiteY17" fmla="*/ 5356 h 10000"/>
                      <a:gd name="connsiteX18" fmla="*/ 6922 w 10650"/>
                      <a:gd name="connsiteY18" fmla="*/ 4763 h 10000"/>
                      <a:gd name="connsiteX19" fmla="*/ 6973 w 10650"/>
                      <a:gd name="connsiteY19" fmla="*/ 4426 h 10000"/>
                      <a:gd name="connsiteX20" fmla="*/ 6973 w 10650"/>
                      <a:gd name="connsiteY20" fmla="*/ 4332 h 10000"/>
                      <a:gd name="connsiteX21" fmla="*/ 7080 w 10650"/>
                      <a:gd name="connsiteY21" fmla="*/ 4324 h 10000"/>
                      <a:gd name="connsiteX22" fmla="*/ 7174 w 10650"/>
                      <a:gd name="connsiteY22" fmla="*/ 4290 h 10000"/>
                      <a:gd name="connsiteX23" fmla="*/ 7246 w 10650"/>
                      <a:gd name="connsiteY23" fmla="*/ 4152 h 10000"/>
                      <a:gd name="connsiteX24" fmla="*/ 7297 w 10650"/>
                      <a:gd name="connsiteY24" fmla="*/ 4043 h 10000"/>
                      <a:gd name="connsiteX25" fmla="*/ 7369 w 10650"/>
                      <a:gd name="connsiteY25" fmla="*/ 3923 h 10000"/>
                      <a:gd name="connsiteX26" fmla="*/ 7438 w 10650"/>
                      <a:gd name="connsiteY26" fmla="*/ 3769 h 10000"/>
                      <a:gd name="connsiteX27" fmla="*/ 7460 w 10650"/>
                      <a:gd name="connsiteY27" fmla="*/ 3612 h 10000"/>
                      <a:gd name="connsiteX28" fmla="*/ 7479 w 10650"/>
                      <a:gd name="connsiteY28" fmla="*/ 3455 h 10000"/>
                      <a:gd name="connsiteX29" fmla="*/ 7533 w 10650"/>
                      <a:gd name="connsiteY29" fmla="*/ 3277 h 10000"/>
                      <a:gd name="connsiteX30" fmla="*/ 7561 w 10650"/>
                      <a:gd name="connsiteY30" fmla="*/ 3133 h 10000"/>
                      <a:gd name="connsiteX31" fmla="*/ 7529 w 10650"/>
                      <a:gd name="connsiteY31" fmla="*/ 3059 h 10000"/>
                      <a:gd name="connsiteX32" fmla="*/ 7523 w 10650"/>
                      <a:gd name="connsiteY32" fmla="*/ 3059 h 10000"/>
                      <a:gd name="connsiteX33" fmla="*/ 7489 w 10650"/>
                      <a:gd name="connsiteY33" fmla="*/ 3024 h 10000"/>
                      <a:gd name="connsiteX34" fmla="*/ 7438 w 10650"/>
                      <a:gd name="connsiteY34" fmla="*/ 2896 h 10000"/>
                      <a:gd name="connsiteX35" fmla="*/ 7463 w 10650"/>
                      <a:gd name="connsiteY35" fmla="*/ 2356 h 10000"/>
                      <a:gd name="connsiteX36" fmla="*/ 7467 w 10650"/>
                      <a:gd name="connsiteY36" fmla="*/ 2314 h 10000"/>
                      <a:gd name="connsiteX37" fmla="*/ 7504 w 10650"/>
                      <a:gd name="connsiteY37" fmla="*/ 1846 h 10000"/>
                      <a:gd name="connsiteX38" fmla="*/ 7448 w 10650"/>
                      <a:gd name="connsiteY38" fmla="*/ 1609 h 10000"/>
                      <a:gd name="connsiteX39" fmla="*/ 7438 w 10650"/>
                      <a:gd name="connsiteY39" fmla="*/ 1582 h 10000"/>
                      <a:gd name="connsiteX40" fmla="*/ 7407 w 10650"/>
                      <a:gd name="connsiteY40" fmla="*/ 1447 h 10000"/>
                      <a:gd name="connsiteX41" fmla="*/ 7413 w 10650"/>
                      <a:gd name="connsiteY41" fmla="*/ 1354 h 10000"/>
                      <a:gd name="connsiteX42" fmla="*/ 7391 w 10650"/>
                      <a:gd name="connsiteY42" fmla="*/ 1271 h 10000"/>
                      <a:gd name="connsiteX43" fmla="*/ 7190 w 10650"/>
                      <a:gd name="connsiteY43" fmla="*/ 1106 h 10000"/>
                      <a:gd name="connsiteX44" fmla="*/ 6860 w 10650"/>
                      <a:gd name="connsiteY44" fmla="*/ 848 h 10000"/>
                      <a:gd name="connsiteX45" fmla="*/ 6564 w 10650"/>
                      <a:gd name="connsiteY45" fmla="*/ 582 h 10000"/>
                      <a:gd name="connsiteX46" fmla="*/ 6331 w 10650"/>
                      <a:gd name="connsiteY46" fmla="*/ 370 h 10000"/>
                      <a:gd name="connsiteX47" fmla="*/ 6089 w 10650"/>
                      <a:gd name="connsiteY47" fmla="*/ 173 h 10000"/>
                      <a:gd name="connsiteX48" fmla="*/ 5828 w 10650"/>
                      <a:gd name="connsiteY48" fmla="*/ 45 h 10000"/>
                      <a:gd name="connsiteX49" fmla="*/ 5507 w 10650"/>
                      <a:gd name="connsiteY49" fmla="*/ 0 h 10000"/>
                      <a:gd name="connsiteX50" fmla="*/ 5199 w 10650"/>
                      <a:gd name="connsiteY50" fmla="*/ 32 h 10000"/>
                      <a:gd name="connsiteX51" fmla="*/ 4960 w 10650"/>
                      <a:gd name="connsiteY51" fmla="*/ 93 h 10000"/>
                      <a:gd name="connsiteX52" fmla="*/ 4715 w 10650"/>
                      <a:gd name="connsiteY52" fmla="*/ 144 h 10000"/>
                      <a:gd name="connsiteX53" fmla="*/ 4536 w 10650"/>
                      <a:gd name="connsiteY53" fmla="*/ 133 h 10000"/>
                      <a:gd name="connsiteX54" fmla="*/ 4347 w 10650"/>
                      <a:gd name="connsiteY54" fmla="*/ 266 h 10000"/>
                      <a:gd name="connsiteX55" fmla="*/ 4061 w 10650"/>
                      <a:gd name="connsiteY55" fmla="*/ 418 h 10000"/>
                      <a:gd name="connsiteX56" fmla="*/ 3649 w 10650"/>
                      <a:gd name="connsiteY56" fmla="*/ 630 h 10000"/>
                      <a:gd name="connsiteX57" fmla="*/ 3294 w 10650"/>
                      <a:gd name="connsiteY57" fmla="*/ 886 h 10000"/>
                      <a:gd name="connsiteX58" fmla="*/ 3139 w 10650"/>
                      <a:gd name="connsiteY58" fmla="*/ 1173 h 10000"/>
                      <a:gd name="connsiteX59" fmla="*/ 3171 w 10650"/>
                      <a:gd name="connsiteY59" fmla="*/ 1465 h 10000"/>
                      <a:gd name="connsiteX60" fmla="*/ 3202 w 10650"/>
                      <a:gd name="connsiteY60" fmla="*/ 1678 h 10000"/>
                      <a:gd name="connsiteX61" fmla="*/ 3180 w 10650"/>
                      <a:gd name="connsiteY61" fmla="*/ 1904 h 10000"/>
                      <a:gd name="connsiteX62" fmla="*/ 3149 w 10650"/>
                      <a:gd name="connsiteY62" fmla="*/ 2436 h 10000"/>
                      <a:gd name="connsiteX63" fmla="*/ 3196 w 10650"/>
                      <a:gd name="connsiteY63" fmla="*/ 2742 h 10000"/>
                      <a:gd name="connsiteX64" fmla="*/ 3250 w 10650"/>
                      <a:gd name="connsiteY64" fmla="*/ 2973 h 10000"/>
                      <a:gd name="connsiteX65" fmla="*/ 3029 w 10650"/>
                      <a:gd name="connsiteY65" fmla="*/ 2848 h 10000"/>
                      <a:gd name="connsiteX66" fmla="*/ 3014 w 10650"/>
                      <a:gd name="connsiteY66" fmla="*/ 2878 h 10000"/>
                      <a:gd name="connsiteX67" fmla="*/ 2995 w 10650"/>
                      <a:gd name="connsiteY67" fmla="*/ 2968 h 10000"/>
                      <a:gd name="connsiteX68" fmla="*/ 3007 w 10650"/>
                      <a:gd name="connsiteY68" fmla="*/ 3314 h 10000"/>
                      <a:gd name="connsiteX69" fmla="*/ 3077 w 10650"/>
                      <a:gd name="connsiteY69" fmla="*/ 3684 h 10000"/>
                      <a:gd name="connsiteX70" fmla="*/ 3099 w 10650"/>
                      <a:gd name="connsiteY70" fmla="*/ 3785 h 10000"/>
                      <a:gd name="connsiteX71" fmla="*/ 3121 w 10650"/>
                      <a:gd name="connsiteY71" fmla="*/ 3888 h 10000"/>
                      <a:gd name="connsiteX72" fmla="*/ 3253 w 10650"/>
                      <a:gd name="connsiteY72" fmla="*/ 4109 h 10000"/>
                      <a:gd name="connsiteX73" fmla="*/ 3372 w 10650"/>
                      <a:gd name="connsiteY73" fmla="*/ 4154 h 10000"/>
                      <a:gd name="connsiteX74" fmla="*/ 3467 w 10650"/>
                      <a:gd name="connsiteY74" fmla="*/ 4168 h 10000"/>
                      <a:gd name="connsiteX75" fmla="*/ 3470 w 10650"/>
                      <a:gd name="connsiteY75" fmla="*/ 4255 h 10000"/>
                      <a:gd name="connsiteX76" fmla="*/ 3621 w 10650"/>
                      <a:gd name="connsiteY76" fmla="*/ 4976 h 10000"/>
                      <a:gd name="connsiteX77" fmla="*/ 3775 w 10650"/>
                      <a:gd name="connsiteY77" fmla="*/ 5239 h 10000"/>
                      <a:gd name="connsiteX78" fmla="*/ 3797 w 10650"/>
                      <a:gd name="connsiteY78" fmla="*/ 5266 h 10000"/>
                      <a:gd name="connsiteX79" fmla="*/ 3797 w 10650"/>
                      <a:gd name="connsiteY79" fmla="*/ 5904 h 10000"/>
                      <a:gd name="connsiteX80" fmla="*/ 3699 w 10650"/>
                      <a:gd name="connsiteY80" fmla="*/ 5995 h 10000"/>
                      <a:gd name="connsiteX81" fmla="*/ 2869 w 10650"/>
                      <a:gd name="connsiteY81" fmla="*/ 6713 h 10000"/>
                      <a:gd name="connsiteX82" fmla="*/ 1746 w 10650"/>
                      <a:gd name="connsiteY82" fmla="*/ 7370 h 10000"/>
                      <a:gd name="connsiteX83" fmla="*/ 1429 w 10650"/>
                      <a:gd name="connsiteY83" fmla="*/ 7457 h 10000"/>
                      <a:gd name="connsiteX84" fmla="*/ 1158 w 10650"/>
                      <a:gd name="connsiteY84" fmla="*/ 7519 h 10000"/>
                      <a:gd name="connsiteX85" fmla="*/ 737 w 10650"/>
                      <a:gd name="connsiteY85" fmla="*/ 7630 h 10000"/>
                      <a:gd name="connsiteX86" fmla="*/ 0 w 10650"/>
                      <a:gd name="connsiteY86" fmla="*/ 8060 h 10000"/>
                      <a:gd name="connsiteX87" fmla="*/ 639 w 10650"/>
                      <a:gd name="connsiteY87" fmla="*/ 8306 h 10000"/>
                      <a:gd name="connsiteX88" fmla="*/ 1124 w 10650"/>
                      <a:gd name="connsiteY88" fmla="*/ 8742 h 10000"/>
                      <a:gd name="connsiteX89" fmla="*/ 1737 w 10650"/>
                      <a:gd name="connsiteY89" fmla="*/ 9117 h 10000"/>
                      <a:gd name="connsiteX90" fmla="*/ 2432 w 10650"/>
                      <a:gd name="connsiteY90" fmla="*/ 9431 h 10000"/>
                      <a:gd name="connsiteX91" fmla="*/ 3177 w 10650"/>
                      <a:gd name="connsiteY91" fmla="*/ 9681 h 10000"/>
                      <a:gd name="connsiteX92" fmla="*/ 3929 w 10650"/>
                      <a:gd name="connsiteY92" fmla="*/ 9862 h 10000"/>
                      <a:gd name="connsiteX93" fmla="*/ 4646 w 10650"/>
                      <a:gd name="connsiteY93" fmla="*/ 9968 h 10000"/>
                      <a:gd name="connsiteX94" fmla="*/ 5290 w 10650"/>
                      <a:gd name="connsiteY94" fmla="*/ 10000 h 10000"/>
                      <a:gd name="connsiteX95" fmla="*/ 6561 w 10650"/>
                      <a:gd name="connsiteY95" fmla="*/ 9846 h 10000"/>
                      <a:gd name="connsiteX96" fmla="*/ 8149 w 10650"/>
                      <a:gd name="connsiteY96" fmla="*/ 9391 h 10000"/>
                      <a:gd name="connsiteX97" fmla="*/ 8910 w 10650"/>
                      <a:gd name="connsiteY97" fmla="*/ 9069 h 10000"/>
                      <a:gd name="connsiteX98" fmla="*/ 9570 w 10650"/>
                      <a:gd name="connsiteY98" fmla="*/ 8694 h 10000"/>
                      <a:gd name="connsiteX99" fmla="*/ 10061 w 10650"/>
                      <a:gd name="connsiteY99" fmla="*/ 8271 h 10000"/>
                      <a:gd name="connsiteX100" fmla="*/ 10650 w 10650"/>
                      <a:gd name="connsiteY100" fmla="*/ 7962 h 10000"/>
                      <a:gd name="connsiteX0" fmla="*/ 10650 w 10650"/>
                      <a:gd name="connsiteY0" fmla="*/ 7962 h 10000"/>
                      <a:gd name="connsiteX1" fmla="*/ 9913 w 10650"/>
                      <a:gd name="connsiteY1" fmla="*/ 7630 h 10000"/>
                      <a:gd name="connsiteX2" fmla="*/ 9495 w 10650"/>
                      <a:gd name="connsiteY2" fmla="*/ 7519 h 10000"/>
                      <a:gd name="connsiteX3" fmla="*/ 9281 w 10650"/>
                      <a:gd name="connsiteY3" fmla="*/ 7471 h 10000"/>
                      <a:gd name="connsiteX4" fmla="*/ 9039 w 10650"/>
                      <a:gd name="connsiteY4" fmla="*/ 7410 h 10000"/>
                      <a:gd name="connsiteX5" fmla="*/ 8743 w 10650"/>
                      <a:gd name="connsiteY5" fmla="*/ 7301 h 10000"/>
                      <a:gd name="connsiteX6" fmla="*/ 7671 w 10650"/>
                      <a:gd name="connsiteY6" fmla="*/ 6867 h 10000"/>
                      <a:gd name="connsiteX7" fmla="*/ 7636 w 10650"/>
                      <a:gd name="connsiteY7" fmla="*/ 6856 h 10000"/>
                      <a:gd name="connsiteX8" fmla="*/ 7366 w 10650"/>
                      <a:gd name="connsiteY8" fmla="*/ 6739 h 10000"/>
                      <a:gd name="connsiteX9" fmla="*/ 7202 w 10650"/>
                      <a:gd name="connsiteY9" fmla="*/ 6620 h 10000"/>
                      <a:gd name="connsiteX10" fmla="*/ 7014 w 10650"/>
                      <a:gd name="connsiteY10" fmla="*/ 6428 h 10000"/>
                      <a:gd name="connsiteX11" fmla="*/ 6856 w 10650"/>
                      <a:gd name="connsiteY11" fmla="*/ 6298 h 10000"/>
                      <a:gd name="connsiteX12" fmla="*/ 6702 w 10650"/>
                      <a:gd name="connsiteY12" fmla="*/ 6165 h 10000"/>
                      <a:gd name="connsiteX13" fmla="*/ 6602 w 10650"/>
                      <a:gd name="connsiteY13" fmla="*/ 6008 h 10000"/>
                      <a:gd name="connsiteX14" fmla="*/ 6545 w 10650"/>
                      <a:gd name="connsiteY14" fmla="*/ 5649 h 10000"/>
                      <a:gd name="connsiteX15" fmla="*/ 6536 w 10650"/>
                      <a:gd name="connsiteY15" fmla="*/ 5426 h 10000"/>
                      <a:gd name="connsiteX16" fmla="*/ 6536 w 10650"/>
                      <a:gd name="connsiteY16" fmla="*/ 5383 h 10000"/>
                      <a:gd name="connsiteX17" fmla="*/ 6570 w 10650"/>
                      <a:gd name="connsiteY17" fmla="*/ 5356 h 10000"/>
                      <a:gd name="connsiteX18" fmla="*/ 6922 w 10650"/>
                      <a:gd name="connsiteY18" fmla="*/ 4763 h 10000"/>
                      <a:gd name="connsiteX19" fmla="*/ 6973 w 10650"/>
                      <a:gd name="connsiteY19" fmla="*/ 4426 h 10000"/>
                      <a:gd name="connsiteX20" fmla="*/ 6973 w 10650"/>
                      <a:gd name="connsiteY20" fmla="*/ 4332 h 10000"/>
                      <a:gd name="connsiteX21" fmla="*/ 7080 w 10650"/>
                      <a:gd name="connsiteY21" fmla="*/ 4324 h 10000"/>
                      <a:gd name="connsiteX22" fmla="*/ 7174 w 10650"/>
                      <a:gd name="connsiteY22" fmla="*/ 4290 h 10000"/>
                      <a:gd name="connsiteX23" fmla="*/ 7246 w 10650"/>
                      <a:gd name="connsiteY23" fmla="*/ 4152 h 10000"/>
                      <a:gd name="connsiteX24" fmla="*/ 7297 w 10650"/>
                      <a:gd name="connsiteY24" fmla="*/ 4043 h 10000"/>
                      <a:gd name="connsiteX25" fmla="*/ 7369 w 10650"/>
                      <a:gd name="connsiteY25" fmla="*/ 3923 h 10000"/>
                      <a:gd name="connsiteX26" fmla="*/ 7438 w 10650"/>
                      <a:gd name="connsiteY26" fmla="*/ 3769 h 10000"/>
                      <a:gd name="connsiteX27" fmla="*/ 7460 w 10650"/>
                      <a:gd name="connsiteY27" fmla="*/ 3612 h 10000"/>
                      <a:gd name="connsiteX28" fmla="*/ 7479 w 10650"/>
                      <a:gd name="connsiteY28" fmla="*/ 3455 h 10000"/>
                      <a:gd name="connsiteX29" fmla="*/ 7533 w 10650"/>
                      <a:gd name="connsiteY29" fmla="*/ 3277 h 10000"/>
                      <a:gd name="connsiteX30" fmla="*/ 7561 w 10650"/>
                      <a:gd name="connsiteY30" fmla="*/ 3133 h 10000"/>
                      <a:gd name="connsiteX31" fmla="*/ 7529 w 10650"/>
                      <a:gd name="connsiteY31" fmla="*/ 3059 h 10000"/>
                      <a:gd name="connsiteX32" fmla="*/ 7523 w 10650"/>
                      <a:gd name="connsiteY32" fmla="*/ 3059 h 10000"/>
                      <a:gd name="connsiteX33" fmla="*/ 7489 w 10650"/>
                      <a:gd name="connsiteY33" fmla="*/ 3024 h 10000"/>
                      <a:gd name="connsiteX34" fmla="*/ 7438 w 10650"/>
                      <a:gd name="connsiteY34" fmla="*/ 2896 h 10000"/>
                      <a:gd name="connsiteX35" fmla="*/ 7463 w 10650"/>
                      <a:gd name="connsiteY35" fmla="*/ 2356 h 10000"/>
                      <a:gd name="connsiteX36" fmla="*/ 7467 w 10650"/>
                      <a:gd name="connsiteY36" fmla="*/ 2314 h 10000"/>
                      <a:gd name="connsiteX37" fmla="*/ 7504 w 10650"/>
                      <a:gd name="connsiteY37" fmla="*/ 1846 h 10000"/>
                      <a:gd name="connsiteX38" fmla="*/ 7448 w 10650"/>
                      <a:gd name="connsiteY38" fmla="*/ 1609 h 10000"/>
                      <a:gd name="connsiteX39" fmla="*/ 7438 w 10650"/>
                      <a:gd name="connsiteY39" fmla="*/ 1582 h 10000"/>
                      <a:gd name="connsiteX40" fmla="*/ 7407 w 10650"/>
                      <a:gd name="connsiteY40" fmla="*/ 1447 h 10000"/>
                      <a:gd name="connsiteX41" fmla="*/ 7413 w 10650"/>
                      <a:gd name="connsiteY41" fmla="*/ 1354 h 10000"/>
                      <a:gd name="connsiteX42" fmla="*/ 7391 w 10650"/>
                      <a:gd name="connsiteY42" fmla="*/ 1271 h 10000"/>
                      <a:gd name="connsiteX43" fmla="*/ 7190 w 10650"/>
                      <a:gd name="connsiteY43" fmla="*/ 1106 h 10000"/>
                      <a:gd name="connsiteX44" fmla="*/ 6860 w 10650"/>
                      <a:gd name="connsiteY44" fmla="*/ 848 h 10000"/>
                      <a:gd name="connsiteX45" fmla="*/ 6564 w 10650"/>
                      <a:gd name="connsiteY45" fmla="*/ 582 h 10000"/>
                      <a:gd name="connsiteX46" fmla="*/ 6331 w 10650"/>
                      <a:gd name="connsiteY46" fmla="*/ 370 h 10000"/>
                      <a:gd name="connsiteX47" fmla="*/ 6089 w 10650"/>
                      <a:gd name="connsiteY47" fmla="*/ 173 h 10000"/>
                      <a:gd name="connsiteX48" fmla="*/ 5828 w 10650"/>
                      <a:gd name="connsiteY48" fmla="*/ 45 h 10000"/>
                      <a:gd name="connsiteX49" fmla="*/ 5507 w 10650"/>
                      <a:gd name="connsiteY49" fmla="*/ 0 h 10000"/>
                      <a:gd name="connsiteX50" fmla="*/ 5199 w 10650"/>
                      <a:gd name="connsiteY50" fmla="*/ 32 h 10000"/>
                      <a:gd name="connsiteX51" fmla="*/ 4960 w 10650"/>
                      <a:gd name="connsiteY51" fmla="*/ 93 h 10000"/>
                      <a:gd name="connsiteX52" fmla="*/ 4715 w 10650"/>
                      <a:gd name="connsiteY52" fmla="*/ 144 h 10000"/>
                      <a:gd name="connsiteX53" fmla="*/ 4536 w 10650"/>
                      <a:gd name="connsiteY53" fmla="*/ 133 h 10000"/>
                      <a:gd name="connsiteX54" fmla="*/ 4347 w 10650"/>
                      <a:gd name="connsiteY54" fmla="*/ 266 h 10000"/>
                      <a:gd name="connsiteX55" fmla="*/ 4061 w 10650"/>
                      <a:gd name="connsiteY55" fmla="*/ 418 h 10000"/>
                      <a:gd name="connsiteX56" fmla="*/ 3649 w 10650"/>
                      <a:gd name="connsiteY56" fmla="*/ 630 h 10000"/>
                      <a:gd name="connsiteX57" fmla="*/ 3294 w 10650"/>
                      <a:gd name="connsiteY57" fmla="*/ 886 h 10000"/>
                      <a:gd name="connsiteX58" fmla="*/ 3139 w 10650"/>
                      <a:gd name="connsiteY58" fmla="*/ 1173 h 10000"/>
                      <a:gd name="connsiteX59" fmla="*/ 3171 w 10650"/>
                      <a:gd name="connsiteY59" fmla="*/ 1465 h 10000"/>
                      <a:gd name="connsiteX60" fmla="*/ 3202 w 10650"/>
                      <a:gd name="connsiteY60" fmla="*/ 1678 h 10000"/>
                      <a:gd name="connsiteX61" fmla="*/ 3180 w 10650"/>
                      <a:gd name="connsiteY61" fmla="*/ 1904 h 10000"/>
                      <a:gd name="connsiteX62" fmla="*/ 3149 w 10650"/>
                      <a:gd name="connsiteY62" fmla="*/ 2436 h 10000"/>
                      <a:gd name="connsiteX63" fmla="*/ 3196 w 10650"/>
                      <a:gd name="connsiteY63" fmla="*/ 2742 h 10000"/>
                      <a:gd name="connsiteX64" fmla="*/ 3250 w 10650"/>
                      <a:gd name="connsiteY64" fmla="*/ 2973 h 10000"/>
                      <a:gd name="connsiteX65" fmla="*/ 3029 w 10650"/>
                      <a:gd name="connsiteY65" fmla="*/ 2848 h 10000"/>
                      <a:gd name="connsiteX66" fmla="*/ 3014 w 10650"/>
                      <a:gd name="connsiteY66" fmla="*/ 2878 h 10000"/>
                      <a:gd name="connsiteX67" fmla="*/ 2995 w 10650"/>
                      <a:gd name="connsiteY67" fmla="*/ 2968 h 10000"/>
                      <a:gd name="connsiteX68" fmla="*/ 3007 w 10650"/>
                      <a:gd name="connsiteY68" fmla="*/ 3314 h 10000"/>
                      <a:gd name="connsiteX69" fmla="*/ 3077 w 10650"/>
                      <a:gd name="connsiteY69" fmla="*/ 3684 h 10000"/>
                      <a:gd name="connsiteX70" fmla="*/ 3099 w 10650"/>
                      <a:gd name="connsiteY70" fmla="*/ 3785 h 10000"/>
                      <a:gd name="connsiteX71" fmla="*/ 3121 w 10650"/>
                      <a:gd name="connsiteY71" fmla="*/ 3888 h 10000"/>
                      <a:gd name="connsiteX72" fmla="*/ 3253 w 10650"/>
                      <a:gd name="connsiteY72" fmla="*/ 4109 h 10000"/>
                      <a:gd name="connsiteX73" fmla="*/ 3372 w 10650"/>
                      <a:gd name="connsiteY73" fmla="*/ 4154 h 10000"/>
                      <a:gd name="connsiteX74" fmla="*/ 3467 w 10650"/>
                      <a:gd name="connsiteY74" fmla="*/ 4168 h 10000"/>
                      <a:gd name="connsiteX75" fmla="*/ 3470 w 10650"/>
                      <a:gd name="connsiteY75" fmla="*/ 4255 h 10000"/>
                      <a:gd name="connsiteX76" fmla="*/ 3621 w 10650"/>
                      <a:gd name="connsiteY76" fmla="*/ 4976 h 10000"/>
                      <a:gd name="connsiteX77" fmla="*/ 3775 w 10650"/>
                      <a:gd name="connsiteY77" fmla="*/ 5239 h 10000"/>
                      <a:gd name="connsiteX78" fmla="*/ 3797 w 10650"/>
                      <a:gd name="connsiteY78" fmla="*/ 5266 h 10000"/>
                      <a:gd name="connsiteX79" fmla="*/ 3797 w 10650"/>
                      <a:gd name="connsiteY79" fmla="*/ 5904 h 10000"/>
                      <a:gd name="connsiteX80" fmla="*/ 3699 w 10650"/>
                      <a:gd name="connsiteY80" fmla="*/ 5995 h 10000"/>
                      <a:gd name="connsiteX81" fmla="*/ 2869 w 10650"/>
                      <a:gd name="connsiteY81" fmla="*/ 6713 h 10000"/>
                      <a:gd name="connsiteX82" fmla="*/ 1746 w 10650"/>
                      <a:gd name="connsiteY82" fmla="*/ 7370 h 10000"/>
                      <a:gd name="connsiteX83" fmla="*/ 1429 w 10650"/>
                      <a:gd name="connsiteY83" fmla="*/ 7457 h 10000"/>
                      <a:gd name="connsiteX84" fmla="*/ 1158 w 10650"/>
                      <a:gd name="connsiteY84" fmla="*/ 7519 h 10000"/>
                      <a:gd name="connsiteX85" fmla="*/ 737 w 10650"/>
                      <a:gd name="connsiteY85" fmla="*/ 7630 h 10000"/>
                      <a:gd name="connsiteX86" fmla="*/ 0 w 10650"/>
                      <a:gd name="connsiteY86" fmla="*/ 8060 h 10000"/>
                      <a:gd name="connsiteX87" fmla="*/ 639 w 10650"/>
                      <a:gd name="connsiteY87" fmla="*/ 8306 h 10000"/>
                      <a:gd name="connsiteX88" fmla="*/ 1124 w 10650"/>
                      <a:gd name="connsiteY88" fmla="*/ 8742 h 10000"/>
                      <a:gd name="connsiteX89" fmla="*/ 1737 w 10650"/>
                      <a:gd name="connsiteY89" fmla="*/ 9117 h 10000"/>
                      <a:gd name="connsiteX90" fmla="*/ 2432 w 10650"/>
                      <a:gd name="connsiteY90" fmla="*/ 9431 h 10000"/>
                      <a:gd name="connsiteX91" fmla="*/ 3177 w 10650"/>
                      <a:gd name="connsiteY91" fmla="*/ 9681 h 10000"/>
                      <a:gd name="connsiteX92" fmla="*/ 3929 w 10650"/>
                      <a:gd name="connsiteY92" fmla="*/ 9862 h 10000"/>
                      <a:gd name="connsiteX93" fmla="*/ 4646 w 10650"/>
                      <a:gd name="connsiteY93" fmla="*/ 9968 h 10000"/>
                      <a:gd name="connsiteX94" fmla="*/ 5290 w 10650"/>
                      <a:gd name="connsiteY94" fmla="*/ 10000 h 10000"/>
                      <a:gd name="connsiteX95" fmla="*/ 6561 w 10650"/>
                      <a:gd name="connsiteY95" fmla="*/ 9846 h 10000"/>
                      <a:gd name="connsiteX96" fmla="*/ 8149 w 10650"/>
                      <a:gd name="connsiteY96" fmla="*/ 9391 h 10000"/>
                      <a:gd name="connsiteX97" fmla="*/ 8910 w 10650"/>
                      <a:gd name="connsiteY97" fmla="*/ 9069 h 10000"/>
                      <a:gd name="connsiteX98" fmla="*/ 9570 w 10650"/>
                      <a:gd name="connsiteY98" fmla="*/ 8694 h 10000"/>
                      <a:gd name="connsiteX99" fmla="*/ 10332 w 10650"/>
                      <a:gd name="connsiteY99" fmla="*/ 8320 h 10000"/>
                      <a:gd name="connsiteX100" fmla="*/ 10650 w 10650"/>
                      <a:gd name="connsiteY100" fmla="*/ 7962 h 100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Lst>
                    <a:rect l="l" t="t" r="r" b="b"/>
                    <a:pathLst>
                      <a:path w="10650" h="10000">
                        <a:moveTo>
                          <a:pt x="10650" y="7962"/>
                        </a:moveTo>
                        <a:lnTo>
                          <a:pt x="9913" y="7630"/>
                        </a:lnTo>
                        <a:lnTo>
                          <a:pt x="9495" y="7519"/>
                        </a:lnTo>
                        <a:lnTo>
                          <a:pt x="9281" y="7471"/>
                        </a:lnTo>
                        <a:lnTo>
                          <a:pt x="9039" y="7410"/>
                        </a:lnTo>
                        <a:lnTo>
                          <a:pt x="8743" y="7301"/>
                        </a:lnTo>
                        <a:lnTo>
                          <a:pt x="7671" y="6867"/>
                        </a:lnTo>
                        <a:cubicBezTo>
                          <a:pt x="7659" y="6863"/>
                          <a:pt x="7648" y="6860"/>
                          <a:pt x="7636" y="6856"/>
                        </a:cubicBezTo>
                        <a:lnTo>
                          <a:pt x="7366" y="6739"/>
                        </a:lnTo>
                        <a:lnTo>
                          <a:pt x="7202" y="6620"/>
                        </a:lnTo>
                        <a:lnTo>
                          <a:pt x="7014" y="6428"/>
                        </a:lnTo>
                        <a:cubicBezTo>
                          <a:pt x="6961" y="6385"/>
                          <a:pt x="6909" y="6341"/>
                          <a:pt x="6856" y="6298"/>
                        </a:cubicBezTo>
                        <a:lnTo>
                          <a:pt x="6702" y="6165"/>
                        </a:lnTo>
                        <a:lnTo>
                          <a:pt x="6602" y="6008"/>
                        </a:lnTo>
                        <a:cubicBezTo>
                          <a:pt x="6583" y="5888"/>
                          <a:pt x="6564" y="5769"/>
                          <a:pt x="6545" y="5649"/>
                        </a:cubicBezTo>
                        <a:cubicBezTo>
                          <a:pt x="6542" y="5575"/>
                          <a:pt x="6539" y="5500"/>
                          <a:pt x="6536" y="5426"/>
                        </a:cubicBezTo>
                        <a:lnTo>
                          <a:pt x="6536" y="5383"/>
                        </a:lnTo>
                        <a:cubicBezTo>
                          <a:pt x="6547" y="5374"/>
                          <a:pt x="6559" y="5365"/>
                          <a:pt x="6570" y="5356"/>
                        </a:cubicBezTo>
                        <a:lnTo>
                          <a:pt x="6922" y="4763"/>
                        </a:lnTo>
                        <a:cubicBezTo>
                          <a:pt x="6939" y="4651"/>
                          <a:pt x="6956" y="4538"/>
                          <a:pt x="6973" y="4426"/>
                        </a:cubicBezTo>
                        <a:lnTo>
                          <a:pt x="6973" y="4332"/>
                        </a:lnTo>
                        <a:lnTo>
                          <a:pt x="7080" y="4324"/>
                        </a:lnTo>
                        <a:lnTo>
                          <a:pt x="7174" y="4290"/>
                        </a:lnTo>
                        <a:lnTo>
                          <a:pt x="7246" y="4152"/>
                        </a:lnTo>
                        <a:cubicBezTo>
                          <a:pt x="7263" y="4116"/>
                          <a:pt x="7280" y="4079"/>
                          <a:pt x="7297" y="4043"/>
                        </a:cubicBezTo>
                        <a:lnTo>
                          <a:pt x="7369" y="3923"/>
                        </a:lnTo>
                        <a:cubicBezTo>
                          <a:pt x="7392" y="3872"/>
                          <a:pt x="7415" y="3820"/>
                          <a:pt x="7438" y="3769"/>
                        </a:cubicBezTo>
                        <a:cubicBezTo>
                          <a:pt x="7445" y="3717"/>
                          <a:pt x="7453" y="3664"/>
                          <a:pt x="7460" y="3612"/>
                        </a:cubicBezTo>
                        <a:cubicBezTo>
                          <a:pt x="7466" y="3560"/>
                          <a:pt x="7473" y="3507"/>
                          <a:pt x="7479" y="3455"/>
                        </a:cubicBezTo>
                        <a:cubicBezTo>
                          <a:pt x="7497" y="3396"/>
                          <a:pt x="7515" y="3336"/>
                          <a:pt x="7533" y="3277"/>
                        </a:cubicBezTo>
                        <a:cubicBezTo>
                          <a:pt x="7542" y="3229"/>
                          <a:pt x="7552" y="3181"/>
                          <a:pt x="7561" y="3133"/>
                        </a:cubicBezTo>
                        <a:cubicBezTo>
                          <a:pt x="7550" y="3108"/>
                          <a:pt x="7540" y="3084"/>
                          <a:pt x="7529" y="3059"/>
                        </a:cubicBezTo>
                        <a:lnTo>
                          <a:pt x="7523" y="3059"/>
                        </a:lnTo>
                        <a:cubicBezTo>
                          <a:pt x="7512" y="3047"/>
                          <a:pt x="7500" y="3036"/>
                          <a:pt x="7489" y="3024"/>
                        </a:cubicBezTo>
                        <a:cubicBezTo>
                          <a:pt x="7472" y="2981"/>
                          <a:pt x="7455" y="2939"/>
                          <a:pt x="7438" y="2896"/>
                        </a:cubicBezTo>
                        <a:cubicBezTo>
                          <a:pt x="7446" y="2716"/>
                          <a:pt x="7455" y="2536"/>
                          <a:pt x="7463" y="2356"/>
                        </a:cubicBezTo>
                        <a:cubicBezTo>
                          <a:pt x="7464" y="2342"/>
                          <a:pt x="7466" y="2328"/>
                          <a:pt x="7467" y="2314"/>
                        </a:cubicBezTo>
                        <a:cubicBezTo>
                          <a:pt x="7479" y="2158"/>
                          <a:pt x="7492" y="2002"/>
                          <a:pt x="7504" y="1846"/>
                        </a:cubicBezTo>
                        <a:cubicBezTo>
                          <a:pt x="7485" y="1767"/>
                          <a:pt x="7467" y="1688"/>
                          <a:pt x="7448" y="1609"/>
                        </a:cubicBezTo>
                        <a:cubicBezTo>
                          <a:pt x="7445" y="1600"/>
                          <a:pt x="7441" y="1591"/>
                          <a:pt x="7438" y="1582"/>
                        </a:cubicBezTo>
                        <a:cubicBezTo>
                          <a:pt x="7428" y="1537"/>
                          <a:pt x="7417" y="1492"/>
                          <a:pt x="7407" y="1447"/>
                        </a:cubicBezTo>
                        <a:lnTo>
                          <a:pt x="7413" y="1354"/>
                        </a:lnTo>
                        <a:cubicBezTo>
                          <a:pt x="7406" y="1326"/>
                          <a:pt x="7398" y="1299"/>
                          <a:pt x="7391" y="1271"/>
                        </a:cubicBezTo>
                        <a:lnTo>
                          <a:pt x="7190" y="1106"/>
                        </a:lnTo>
                        <a:lnTo>
                          <a:pt x="6860" y="848"/>
                        </a:lnTo>
                        <a:lnTo>
                          <a:pt x="6564" y="582"/>
                        </a:lnTo>
                        <a:lnTo>
                          <a:pt x="6331" y="370"/>
                        </a:lnTo>
                        <a:lnTo>
                          <a:pt x="6089" y="173"/>
                        </a:lnTo>
                        <a:lnTo>
                          <a:pt x="5828" y="45"/>
                        </a:lnTo>
                        <a:lnTo>
                          <a:pt x="5507" y="0"/>
                        </a:lnTo>
                        <a:lnTo>
                          <a:pt x="5199" y="32"/>
                        </a:lnTo>
                        <a:lnTo>
                          <a:pt x="4960" y="93"/>
                        </a:lnTo>
                        <a:lnTo>
                          <a:pt x="4715" y="144"/>
                        </a:lnTo>
                        <a:lnTo>
                          <a:pt x="4536" y="133"/>
                        </a:lnTo>
                        <a:lnTo>
                          <a:pt x="4347" y="266"/>
                        </a:lnTo>
                        <a:lnTo>
                          <a:pt x="4061" y="418"/>
                        </a:lnTo>
                        <a:lnTo>
                          <a:pt x="3649" y="630"/>
                        </a:lnTo>
                        <a:lnTo>
                          <a:pt x="3294" y="886"/>
                        </a:lnTo>
                        <a:lnTo>
                          <a:pt x="3139" y="1173"/>
                        </a:lnTo>
                        <a:cubicBezTo>
                          <a:pt x="3150" y="1270"/>
                          <a:pt x="3160" y="1368"/>
                          <a:pt x="3171" y="1465"/>
                        </a:cubicBezTo>
                        <a:cubicBezTo>
                          <a:pt x="3181" y="1536"/>
                          <a:pt x="3192" y="1607"/>
                          <a:pt x="3202" y="1678"/>
                        </a:cubicBezTo>
                        <a:cubicBezTo>
                          <a:pt x="3195" y="1753"/>
                          <a:pt x="3187" y="1829"/>
                          <a:pt x="3180" y="1904"/>
                        </a:cubicBezTo>
                        <a:cubicBezTo>
                          <a:pt x="3170" y="2081"/>
                          <a:pt x="3159" y="2259"/>
                          <a:pt x="3149" y="2436"/>
                        </a:cubicBezTo>
                        <a:cubicBezTo>
                          <a:pt x="3165" y="2538"/>
                          <a:pt x="3180" y="2640"/>
                          <a:pt x="3196" y="2742"/>
                        </a:cubicBezTo>
                        <a:lnTo>
                          <a:pt x="3250" y="2973"/>
                        </a:lnTo>
                        <a:lnTo>
                          <a:pt x="3029" y="2848"/>
                        </a:lnTo>
                        <a:lnTo>
                          <a:pt x="3014" y="2878"/>
                        </a:lnTo>
                        <a:cubicBezTo>
                          <a:pt x="3008" y="2908"/>
                          <a:pt x="3001" y="2938"/>
                          <a:pt x="2995" y="2968"/>
                        </a:cubicBezTo>
                        <a:cubicBezTo>
                          <a:pt x="2999" y="3083"/>
                          <a:pt x="3003" y="3199"/>
                          <a:pt x="3007" y="3314"/>
                        </a:cubicBezTo>
                        <a:cubicBezTo>
                          <a:pt x="3030" y="3437"/>
                          <a:pt x="3054" y="3561"/>
                          <a:pt x="3077" y="3684"/>
                        </a:cubicBezTo>
                        <a:cubicBezTo>
                          <a:pt x="3084" y="3718"/>
                          <a:pt x="3092" y="3751"/>
                          <a:pt x="3099" y="3785"/>
                        </a:cubicBezTo>
                        <a:cubicBezTo>
                          <a:pt x="3106" y="3819"/>
                          <a:pt x="3114" y="3854"/>
                          <a:pt x="3121" y="3888"/>
                        </a:cubicBezTo>
                        <a:lnTo>
                          <a:pt x="3253" y="4109"/>
                        </a:lnTo>
                        <a:lnTo>
                          <a:pt x="3372" y="4154"/>
                        </a:lnTo>
                        <a:lnTo>
                          <a:pt x="3467" y="4168"/>
                        </a:lnTo>
                        <a:lnTo>
                          <a:pt x="3470" y="4255"/>
                        </a:lnTo>
                        <a:cubicBezTo>
                          <a:pt x="3520" y="4495"/>
                          <a:pt x="3571" y="4736"/>
                          <a:pt x="3621" y="4976"/>
                        </a:cubicBezTo>
                        <a:cubicBezTo>
                          <a:pt x="3672" y="5064"/>
                          <a:pt x="3724" y="5151"/>
                          <a:pt x="3775" y="5239"/>
                        </a:cubicBezTo>
                        <a:cubicBezTo>
                          <a:pt x="3782" y="5248"/>
                          <a:pt x="3790" y="5257"/>
                          <a:pt x="3797" y="5266"/>
                        </a:cubicBezTo>
                        <a:lnTo>
                          <a:pt x="3797" y="5904"/>
                        </a:lnTo>
                        <a:cubicBezTo>
                          <a:pt x="3764" y="5934"/>
                          <a:pt x="3732" y="5965"/>
                          <a:pt x="3699" y="5995"/>
                        </a:cubicBezTo>
                        <a:lnTo>
                          <a:pt x="2869" y="6713"/>
                        </a:lnTo>
                        <a:lnTo>
                          <a:pt x="1746" y="7370"/>
                        </a:lnTo>
                        <a:lnTo>
                          <a:pt x="1429" y="7457"/>
                        </a:lnTo>
                        <a:lnTo>
                          <a:pt x="1158" y="7519"/>
                        </a:lnTo>
                        <a:lnTo>
                          <a:pt x="737" y="7630"/>
                        </a:lnTo>
                        <a:lnTo>
                          <a:pt x="0" y="8060"/>
                        </a:lnTo>
                        <a:lnTo>
                          <a:pt x="639" y="8306"/>
                        </a:lnTo>
                        <a:lnTo>
                          <a:pt x="1124" y="8742"/>
                        </a:lnTo>
                        <a:lnTo>
                          <a:pt x="1737" y="9117"/>
                        </a:lnTo>
                        <a:lnTo>
                          <a:pt x="2432" y="9431"/>
                        </a:lnTo>
                        <a:lnTo>
                          <a:pt x="3177" y="9681"/>
                        </a:lnTo>
                        <a:lnTo>
                          <a:pt x="3929" y="9862"/>
                        </a:lnTo>
                        <a:lnTo>
                          <a:pt x="4646" y="9968"/>
                        </a:lnTo>
                        <a:lnTo>
                          <a:pt x="5290" y="10000"/>
                        </a:lnTo>
                        <a:lnTo>
                          <a:pt x="6561" y="9846"/>
                        </a:lnTo>
                        <a:lnTo>
                          <a:pt x="8149" y="9391"/>
                        </a:lnTo>
                        <a:lnTo>
                          <a:pt x="8910" y="9069"/>
                        </a:lnTo>
                        <a:lnTo>
                          <a:pt x="9570" y="8694"/>
                        </a:lnTo>
                        <a:lnTo>
                          <a:pt x="10332" y="8320"/>
                        </a:lnTo>
                        <a:lnTo>
                          <a:pt x="10650" y="7962"/>
                        </a:lnTo>
                        <a:close/>
                      </a:path>
                    </a:pathLst>
                  </a:custGeom>
                  <a:solidFill>
                    <a:srgbClr val="9E9E9E"/>
                  </a:solidFill>
                  <a:ln>
                    <a:noFill/>
                  </a:ln>
                </xdr:spPr>
              </xdr:sp>
            </xdr:grpSp>
            <xdr:pic>
              <xdr:nvPicPr>
                <xdr:cNvPr id="2179" name="02_profileimage">
                  <a:hlinkClick xmlns:r="http://schemas.openxmlformats.org/officeDocument/2006/relationships" r:id="rId10"/>
                </xdr:cNvPr>
                <xdr:cNvPicPr>
                  <a:picLocks/>
                </xdr:cNvPicPr>
              </xdr:nvPicPr>
              <xdr:blipFill>
                <a:blip xmlns:r="http://schemas.openxmlformats.org/officeDocument/2006/relationships" r:link="rId11"/>
                <a:stretch>
                  <a:fillRect/>
                </a:stretch>
              </xdr:blipFill>
              <xdr:spPr>
                <a:xfrm>
                  <a:off x="6272404" y="53444583"/>
                  <a:ext cx="1124712" cy="1124712"/>
                </a:xfrm>
                <a:prstGeom prst="rect">
                  <a:avLst/>
                </a:prstGeom>
              </xdr:spPr>
            </xdr:pic>
            <xdr:sp macro="" textlink="">
              <xdr:nvSpPr>
                <xdr:cNvPr id="982" name="02_imgModule_Freeform_4"/>
                <xdr:cNvSpPr>
                  <a:spLocks noEditPoints="1"/>
                </xdr:cNvSpPr>
              </xdr:nvSpPr>
              <xdr:spPr bwMode="auto">
                <a:xfrm>
                  <a:off x="6162676" y="53334474"/>
                  <a:ext cx="1344168" cy="1353312"/>
                </a:xfrm>
                <a:custGeom>
                  <a:avLst/>
                  <a:gdLst>
                    <a:gd name="T0" fmla="*/ 0 w 417"/>
                    <a:gd name="T1" fmla="*/ 417 h 417"/>
                    <a:gd name="T2" fmla="*/ 417 w 417"/>
                    <a:gd name="T3" fmla="*/ 0 h 417"/>
                    <a:gd name="T4" fmla="*/ 209 w 417"/>
                    <a:gd name="T5" fmla="*/ 385 h 417"/>
                    <a:gd name="T6" fmla="*/ 190 w 417"/>
                    <a:gd name="T7" fmla="*/ 384 h 417"/>
                    <a:gd name="T8" fmla="*/ 156 w 417"/>
                    <a:gd name="T9" fmla="*/ 377 h 417"/>
                    <a:gd name="T10" fmla="*/ 124 w 417"/>
                    <a:gd name="T11" fmla="*/ 364 h 417"/>
                    <a:gd name="T12" fmla="*/ 96 w 417"/>
                    <a:gd name="T13" fmla="*/ 345 h 417"/>
                    <a:gd name="T14" fmla="*/ 72 w 417"/>
                    <a:gd name="T15" fmla="*/ 321 h 417"/>
                    <a:gd name="T16" fmla="*/ 53 w 417"/>
                    <a:gd name="T17" fmla="*/ 293 h 417"/>
                    <a:gd name="T18" fmla="*/ 40 w 417"/>
                    <a:gd name="T19" fmla="*/ 261 h 417"/>
                    <a:gd name="T20" fmla="*/ 33 w 417"/>
                    <a:gd name="T21" fmla="*/ 227 h 417"/>
                    <a:gd name="T22" fmla="*/ 32 w 417"/>
                    <a:gd name="T23" fmla="*/ 209 h 417"/>
                    <a:gd name="T24" fmla="*/ 36 w 417"/>
                    <a:gd name="T25" fmla="*/ 173 h 417"/>
                    <a:gd name="T26" fmla="*/ 46 w 417"/>
                    <a:gd name="T27" fmla="*/ 139 h 417"/>
                    <a:gd name="T28" fmla="*/ 62 w 417"/>
                    <a:gd name="T29" fmla="*/ 110 h 417"/>
                    <a:gd name="T30" fmla="*/ 84 w 417"/>
                    <a:gd name="T31" fmla="*/ 84 h 417"/>
                    <a:gd name="T32" fmla="*/ 110 w 417"/>
                    <a:gd name="T33" fmla="*/ 62 h 417"/>
                    <a:gd name="T34" fmla="*/ 139 w 417"/>
                    <a:gd name="T35" fmla="*/ 46 h 417"/>
                    <a:gd name="T36" fmla="*/ 173 w 417"/>
                    <a:gd name="T37" fmla="*/ 36 h 417"/>
                    <a:gd name="T38" fmla="*/ 209 w 417"/>
                    <a:gd name="T39" fmla="*/ 32 h 417"/>
                    <a:gd name="T40" fmla="*/ 227 w 417"/>
                    <a:gd name="T41" fmla="*/ 33 h 417"/>
                    <a:gd name="T42" fmla="*/ 261 w 417"/>
                    <a:gd name="T43" fmla="*/ 40 h 417"/>
                    <a:gd name="T44" fmla="*/ 293 w 417"/>
                    <a:gd name="T45" fmla="*/ 53 h 417"/>
                    <a:gd name="T46" fmla="*/ 321 w 417"/>
                    <a:gd name="T47" fmla="*/ 72 h 417"/>
                    <a:gd name="T48" fmla="*/ 345 w 417"/>
                    <a:gd name="T49" fmla="*/ 96 h 417"/>
                    <a:gd name="T50" fmla="*/ 364 w 417"/>
                    <a:gd name="T51" fmla="*/ 124 h 417"/>
                    <a:gd name="T52" fmla="*/ 377 w 417"/>
                    <a:gd name="T53" fmla="*/ 156 h 417"/>
                    <a:gd name="T54" fmla="*/ 384 w 417"/>
                    <a:gd name="T55" fmla="*/ 190 h 417"/>
                    <a:gd name="T56" fmla="*/ 385 w 417"/>
                    <a:gd name="T57" fmla="*/ 209 h 417"/>
                    <a:gd name="T58" fmla="*/ 381 w 417"/>
                    <a:gd name="T59" fmla="*/ 244 h 417"/>
                    <a:gd name="T60" fmla="*/ 371 w 417"/>
                    <a:gd name="T61" fmla="*/ 278 h 417"/>
                    <a:gd name="T62" fmla="*/ 355 w 417"/>
                    <a:gd name="T63" fmla="*/ 307 h 417"/>
                    <a:gd name="T64" fmla="*/ 333 w 417"/>
                    <a:gd name="T65" fmla="*/ 333 h 417"/>
                    <a:gd name="T66" fmla="*/ 307 w 417"/>
                    <a:gd name="T67" fmla="*/ 355 h 417"/>
                    <a:gd name="T68" fmla="*/ 278 w 417"/>
                    <a:gd name="T69" fmla="*/ 371 h 417"/>
                    <a:gd name="T70" fmla="*/ 244 w 417"/>
                    <a:gd name="T71" fmla="*/ 381 h 417"/>
                    <a:gd name="T72" fmla="*/ 209 w 417"/>
                    <a:gd name="T73" fmla="*/ 385 h 41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Lst>
                  <a:rect l="0" t="0" r="r" b="b"/>
                  <a:pathLst>
                    <a:path w="417" h="417">
                      <a:moveTo>
                        <a:pt x="0" y="0"/>
                      </a:moveTo>
                      <a:lnTo>
                        <a:pt x="0" y="417"/>
                      </a:lnTo>
                      <a:lnTo>
                        <a:pt x="417" y="417"/>
                      </a:lnTo>
                      <a:lnTo>
                        <a:pt x="417" y="0"/>
                      </a:lnTo>
                      <a:lnTo>
                        <a:pt x="0" y="0"/>
                      </a:lnTo>
                      <a:close/>
                      <a:moveTo>
                        <a:pt x="209" y="385"/>
                      </a:moveTo>
                      <a:lnTo>
                        <a:pt x="209" y="385"/>
                      </a:lnTo>
                      <a:lnTo>
                        <a:pt x="190" y="384"/>
                      </a:lnTo>
                      <a:lnTo>
                        <a:pt x="173" y="381"/>
                      </a:lnTo>
                      <a:lnTo>
                        <a:pt x="156" y="377"/>
                      </a:lnTo>
                      <a:lnTo>
                        <a:pt x="139" y="371"/>
                      </a:lnTo>
                      <a:lnTo>
                        <a:pt x="124" y="364"/>
                      </a:lnTo>
                      <a:lnTo>
                        <a:pt x="110" y="355"/>
                      </a:lnTo>
                      <a:lnTo>
                        <a:pt x="96" y="345"/>
                      </a:lnTo>
                      <a:lnTo>
                        <a:pt x="84" y="333"/>
                      </a:lnTo>
                      <a:lnTo>
                        <a:pt x="72" y="321"/>
                      </a:lnTo>
                      <a:lnTo>
                        <a:pt x="62" y="307"/>
                      </a:lnTo>
                      <a:lnTo>
                        <a:pt x="53" y="293"/>
                      </a:lnTo>
                      <a:lnTo>
                        <a:pt x="46" y="278"/>
                      </a:lnTo>
                      <a:lnTo>
                        <a:pt x="40" y="261"/>
                      </a:lnTo>
                      <a:lnTo>
                        <a:pt x="36" y="244"/>
                      </a:lnTo>
                      <a:lnTo>
                        <a:pt x="33" y="227"/>
                      </a:lnTo>
                      <a:lnTo>
                        <a:pt x="32" y="209"/>
                      </a:lnTo>
                      <a:lnTo>
                        <a:pt x="32" y="209"/>
                      </a:lnTo>
                      <a:lnTo>
                        <a:pt x="33" y="190"/>
                      </a:lnTo>
                      <a:lnTo>
                        <a:pt x="36" y="173"/>
                      </a:lnTo>
                      <a:lnTo>
                        <a:pt x="40" y="156"/>
                      </a:lnTo>
                      <a:lnTo>
                        <a:pt x="46" y="139"/>
                      </a:lnTo>
                      <a:lnTo>
                        <a:pt x="53" y="124"/>
                      </a:lnTo>
                      <a:lnTo>
                        <a:pt x="62" y="110"/>
                      </a:lnTo>
                      <a:lnTo>
                        <a:pt x="72" y="96"/>
                      </a:lnTo>
                      <a:lnTo>
                        <a:pt x="84" y="84"/>
                      </a:lnTo>
                      <a:lnTo>
                        <a:pt x="96" y="72"/>
                      </a:lnTo>
                      <a:lnTo>
                        <a:pt x="110" y="62"/>
                      </a:lnTo>
                      <a:lnTo>
                        <a:pt x="124" y="53"/>
                      </a:lnTo>
                      <a:lnTo>
                        <a:pt x="139" y="46"/>
                      </a:lnTo>
                      <a:lnTo>
                        <a:pt x="156" y="40"/>
                      </a:lnTo>
                      <a:lnTo>
                        <a:pt x="173" y="36"/>
                      </a:lnTo>
                      <a:lnTo>
                        <a:pt x="190" y="33"/>
                      </a:lnTo>
                      <a:lnTo>
                        <a:pt x="209" y="32"/>
                      </a:lnTo>
                      <a:lnTo>
                        <a:pt x="209" y="32"/>
                      </a:lnTo>
                      <a:lnTo>
                        <a:pt x="227" y="33"/>
                      </a:lnTo>
                      <a:lnTo>
                        <a:pt x="244" y="36"/>
                      </a:lnTo>
                      <a:lnTo>
                        <a:pt x="261" y="40"/>
                      </a:lnTo>
                      <a:lnTo>
                        <a:pt x="278" y="46"/>
                      </a:lnTo>
                      <a:lnTo>
                        <a:pt x="293" y="53"/>
                      </a:lnTo>
                      <a:lnTo>
                        <a:pt x="307" y="62"/>
                      </a:lnTo>
                      <a:lnTo>
                        <a:pt x="321" y="72"/>
                      </a:lnTo>
                      <a:lnTo>
                        <a:pt x="333" y="84"/>
                      </a:lnTo>
                      <a:lnTo>
                        <a:pt x="345" y="96"/>
                      </a:lnTo>
                      <a:lnTo>
                        <a:pt x="355" y="110"/>
                      </a:lnTo>
                      <a:lnTo>
                        <a:pt x="364" y="124"/>
                      </a:lnTo>
                      <a:lnTo>
                        <a:pt x="371" y="139"/>
                      </a:lnTo>
                      <a:lnTo>
                        <a:pt x="377" y="156"/>
                      </a:lnTo>
                      <a:lnTo>
                        <a:pt x="381" y="173"/>
                      </a:lnTo>
                      <a:lnTo>
                        <a:pt x="384" y="190"/>
                      </a:lnTo>
                      <a:lnTo>
                        <a:pt x="385" y="209"/>
                      </a:lnTo>
                      <a:lnTo>
                        <a:pt x="385" y="209"/>
                      </a:lnTo>
                      <a:lnTo>
                        <a:pt x="384" y="227"/>
                      </a:lnTo>
                      <a:lnTo>
                        <a:pt x="381" y="244"/>
                      </a:lnTo>
                      <a:lnTo>
                        <a:pt x="377" y="261"/>
                      </a:lnTo>
                      <a:lnTo>
                        <a:pt x="371" y="278"/>
                      </a:lnTo>
                      <a:lnTo>
                        <a:pt x="364" y="293"/>
                      </a:lnTo>
                      <a:lnTo>
                        <a:pt x="355" y="307"/>
                      </a:lnTo>
                      <a:lnTo>
                        <a:pt x="345" y="321"/>
                      </a:lnTo>
                      <a:lnTo>
                        <a:pt x="333" y="333"/>
                      </a:lnTo>
                      <a:lnTo>
                        <a:pt x="321" y="345"/>
                      </a:lnTo>
                      <a:lnTo>
                        <a:pt x="307" y="355"/>
                      </a:lnTo>
                      <a:lnTo>
                        <a:pt x="293" y="364"/>
                      </a:lnTo>
                      <a:lnTo>
                        <a:pt x="278" y="371"/>
                      </a:lnTo>
                      <a:lnTo>
                        <a:pt x="261" y="377"/>
                      </a:lnTo>
                      <a:lnTo>
                        <a:pt x="244" y="381"/>
                      </a:lnTo>
                      <a:lnTo>
                        <a:pt x="227" y="384"/>
                      </a:lnTo>
                      <a:lnTo>
                        <a:pt x="209" y="385"/>
                      </a:lnTo>
                      <a:lnTo>
                        <a:pt x="209" y="385"/>
                      </a:lnTo>
                      <a:close/>
                    </a:path>
                  </a:pathLst>
                </a:custGeom>
                <a:solidFill>
                  <a:srgbClr val="E0E0E0"/>
                </a:solidFill>
                <a:ln>
                  <a:noFill/>
                </a:ln>
              </xdr:spPr>
            </xdr:sp>
          </xdr:grpSp>
        </xdr:grpSp>
        <xdr:pic>
          <xdr:nvPicPr>
            <xdr:cNvPr id="2348" name="02_channelimage"/>
            <xdr:cNvPicPr>
              <a:picLocks/>
            </xdr:cNvPicPr>
          </xdr:nvPicPr>
          <xdr:blipFill>
            <a:blip xmlns:r="http://schemas.openxmlformats.org/officeDocument/2006/relationships" r:link="rId7"/>
            <a:stretch>
              <a:fillRect/>
            </a:stretch>
          </xdr:blipFill>
          <xdr:spPr>
            <a:xfrm>
              <a:off x="6038851" y="53178075"/>
              <a:ext cx="704088" cy="704088"/>
            </a:xfrm>
            <a:prstGeom prst="rect">
              <a:avLst/>
            </a:prstGeom>
          </xdr:spPr>
        </xdr:pic>
      </xdr:grpSp>
      <xdr:sp macro="" textlink="">
        <xdr:nvSpPr>
          <xdr:cNvPr id="439" name="Rectangle 438"/>
          <xdr:cNvSpPr/>
        </xdr:nvSpPr>
        <xdr:spPr>
          <a:xfrm>
            <a:off x="723901" y="52473224"/>
            <a:ext cx="5581650" cy="384048"/>
          </a:xfrm>
          <a:prstGeom prst="rect">
            <a:avLst/>
          </a:prstGeom>
          <a:noFill/>
          <a:ln w="25400" cap="flat" cmpd="sng" algn="ctr">
            <a:noFill/>
            <a:prstDash val="soli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2540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l"/>
            <a:r>
              <a:rPr lang="en-US" sz="1600" b="0" i="0">
                <a:solidFill>
                  <a:srgbClr val="DCDCDC"/>
                </a:solidFill>
                <a:latin typeface="+mn-lt"/>
              </a:rPr>
              <a:t>Top 10 Posts by Instagram Engagement</a:t>
            </a:r>
            <a:endParaRPr lang="en-US" sz="1600" b="0" i="0">
              <a:solidFill>
                <a:srgbClr val="DCDCDC"/>
              </a:solidFill>
              <a:latin typeface="Calibri"/>
            </a:endParaRPr>
          </a:p>
        </xdr:txBody>
      </xdr:sp>
    </xdr:grpSp>
    <xdr:clientData/>
  </xdr:twoCellAnchor>
  <xdr:absoluteAnchor>
    <xdr:pos x="428625" y="200025"/>
    <xdr:ext cx="2075146" cy="409575"/>
    <xdr:pic>
      <xdr:nvPicPr>
        <xdr:cNvPr id="65" name="Picture 64" descr="SMLogo.png"/>
        <xdr:cNvPicPr>
          <a:picLocks noChangeAspect="1"/>
        </xdr:cNvPicPr>
      </xdr:nvPicPr>
      <xdr:blipFill rotWithShape="1">
        <a:blip xmlns:r="http://schemas.openxmlformats.org/officeDocument/2006/relationships" r:embed="rId12" cstate="print">
          <a:extLst>
            <a:ext uri="{28A0092B-C50C-407E-A947-70E740481C1C}">
              <a14:useLocalDpi xmlns:a14="http://schemas.microsoft.com/office/drawing/2010/main" val="0"/>
            </a:ext>
          </a:extLst>
        </a:blip>
        <a:srcRect t="6531"/>
        <a:stretch/>
      </xdr:blipFill>
      <xdr:spPr>
        <a:xfrm>
          <a:off x="428625" y="200025"/>
          <a:ext cx="2075146" cy="409575"/>
        </a:xfrm>
        <a:prstGeom prst="rect">
          <a:avLst/>
        </a:prstGeom>
      </xdr:spPr>
    </xdr:pic>
    <xdr:clientData/>
  </xdr:absoluteAnchor>
  <xdr:twoCellAnchor>
    <xdr:from>
      <xdr:col>1</xdr:col>
      <xdr:colOff>0</xdr:colOff>
      <xdr:row>113</xdr:row>
      <xdr:rowOff>152400</xdr:rowOff>
    </xdr:from>
    <xdr:to>
      <xdr:col>23</xdr:col>
      <xdr:colOff>587375</xdr:colOff>
      <xdr:row>133</xdr:row>
      <xdr:rowOff>0</xdr:rowOff>
    </xdr:to>
    <xdr:grpSp>
      <xdr:nvGrpSpPr>
        <xdr:cNvPr id="62" name="Group 61"/>
        <xdr:cNvGrpSpPr/>
      </xdr:nvGrpSpPr>
      <xdr:grpSpPr>
        <a:xfrm>
          <a:off x="247650" y="21031200"/>
          <a:ext cx="11169650" cy="3657600"/>
          <a:chOff x="247650" y="24879300"/>
          <a:chExt cx="11169650" cy="3657600"/>
        </a:xfrm>
      </xdr:grpSpPr>
      <xdr:grpSp>
        <xdr:nvGrpSpPr>
          <xdr:cNvPr id="61" name="Group 60"/>
          <xdr:cNvGrpSpPr/>
        </xdr:nvGrpSpPr>
        <xdr:grpSpPr>
          <a:xfrm>
            <a:off x="247650" y="24879300"/>
            <a:ext cx="3657600" cy="3657600"/>
            <a:chOff x="247650" y="24879300"/>
            <a:chExt cx="3657600" cy="3657600"/>
          </a:xfrm>
        </xdr:grpSpPr>
        <xdr:sp macro="" textlink="">
          <xdr:nvSpPr>
            <xdr:cNvPr id="321" name="Rectangle 320"/>
            <xdr:cNvSpPr/>
          </xdr:nvSpPr>
          <xdr:spPr>
            <a:xfrm>
              <a:off x="247650" y="24879300"/>
              <a:ext cx="3657600" cy="3657600"/>
            </a:xfrm>
            <a:prstGeom prst="rect">
              <a:avLst/>
            </a:prstGeom>
            <a:solidFill>
              <a:srgbClr val="262626"/>
            </a:solidFill>
            <a:ln w="19050" cap="flat" cmpd="sng" algn="ctr">
              <a:solidFill>
                <a:srgbClr val="151515"/>
              </a:solidFill>
              <a:prstDash val="solid"/>
            </a:ln>
            <a:effectLs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nvGrpSpPr>
            <xdr:cNvPr id="59" name="Group 58"/>
            <xdr:cNvGrpSpPr/>
          </xdr:nvGrpSpPr>
          <xdr:grpSpPr>
            <a:xfrm>
              <a:off x="413905" y="26304606"/>
              <a:ext cx="3325091" cy="856517"/>
              <a:chOff x="413905" y="26304606"/>
              <a:chExt cx="3325091" cy="856517"/>
            </a:xfrm>
          </xdr:grpSpPr>
          <xdr:sp macro="" textlink="Calculations!B169">
            <xdr:nvSpPr>
              <xdr:cNvPr id="329" name="Rectangle 328"/>
              <xdr:cNvSpPr/>
            </xdr:nvSpPr>
            <xdr:spPr>
              <a:xfrm>
                <a:off x="413905" y="26304606"/>
                <a:ext cx="3325091" cy="418367"/>
              </a:xfrm>
              <a:prstGeom prst="rect">
                <a:avLst/>
              </a:prstGeom>
              <a:noFill/>
              <a:ln>
                <a:noFill/>
              </a:ln>
              <a:effectLst>
                <a:outerShdw sx="1000" sy="1000" rotWithShape="0">
                  <a:srgbClr val="000000"/>
                </a:outerShdw>
              </a:effectLst>
            </xdr:spPr>
            <xdr:style>
              <a:lnRef idx="1">
                <a:schemeClr val="accent1"/>
              </a:lnRef>
              <a:fillRef idx="3">
                <a:schemeClr val="accent1"/>
              </a:fillRef>
              <a:effectRef idx="2">
                <a:schemeClr val="accent1"/>
              </a:effectRef>
              <a:fontRef idx="minor">
                <a:schemeClr val="lt1"/>
              </a:fontRef>
            </xdr:style>
            <xdr:txBody>
              <a:bodyPr vertOverflow="clip" horzOverflow="clip" lIns="0" tIns="0" rIns="0" bIns="0" rtlCol="0" anchor="ctr"/>
              <a:lstStyle/>
              <a:p>
                <a:pPr algn="ctr"/>
                <a:fld id="{33A84EC1-89BE-4B2D-8367-F8D69766CF01}" type="TxLink">
                  <a:rPr lang="en-US" sz="1600" b="1" cap="none" baseline="0">
                    <a:solidFill>
                      <a:srgbClr val="B4B4B4"/>
                    </a:solidFill>
                    <a:latin typeface="+mn-lt"/>
                  </a:rPr>
                  <a:pPr algn="ctr"/>
                  <a:t> </a:t>
                </a:fld>
                <a:endParaRPr lang="en-US" sz="1600" b="1" cap="none" baseline="0">
                  <a:solidFill>
                    <a:srgbClr val="B4B4B4"/>
                  </a:solidFill>
                  <a:latin typeface="+mn-lt"/>
                </a:endParaRPr>
              </a:p>
            </xdr:txBody>
          </xdr:sp>
          <xdr:sp macro="" textlink="Calculations!B170">
            <xdr:nvSpPr>
              <xdr:cNvPr id="330" name="Rectangle 329"/>
              <xdr:cNvSpPr/>
            </xdr:nvSpPr>
            <xdr:spPr>
              <a:xfrm>
                <a:off x="413905" y="26742756"/>
                <a:ext cx="3325091" cy="418367"/>
              </a:xfrm>
              <a:prstGeom prst="rect">
                <a:avLst/>
              </a:prstGeom>
              <a:noFill/>
              <a:ln>
                <a:noFill/>
              </a:ln>
              <a:effectLst>
                <a:outerShdw sx="1000" sy="1000" rotWithShape="0">
                  <a:srgbClr val="000000"/>
                </a:outerShdw>
              </a:effectLst>
            </xdr:spPr>
            <xdr:style>
              <a:lnRef idx="1">
                <a:schemeClr val="accent1"/>
              </a:lnRef>
              <a:fillRef idx="3">
                <a:schemeClr val="accent1"/>
              </a:fillRef>
              <a:effectRef idx="2">
                <a:schemeClr val="accent1"/>
              </a:effectRef>
              <a:fontRef idx="minor">
                <a:schemeClr val="lt1"/>
              </a:fontRef>
            </xdr:style>
            <xdr:txBody>
              <a:bodyPr vertOverflow="clip" horzOverflow="clip" lIns="0" tIns="0" rIns="0" bIns="0" rtlCol="0" anchor="ctr"/>
              <a:lstStyle/>
              <a:p>
                <a:pPr algn="ctr"/>
                <a:fld id="{4D6B7A70-74EA-41E0-B074-C1D572B8D111}" type="TxLink">
                  <a:rPr lang="en-US" sz="1600" b="1" cap="none" baseline="0">
                    <a:solidFill>
                      <a:srgbClr val="B4B4B4"/>
                    </a:solidFill>
                    <a:latin typeface="+mn-lt"/>
                  </a:rPr>
                  <a:pPr algn="ctr"/>
                  <a:t> </a:t>
                </a:fld>
                <a:endParaRPr lang="en-US" sz="1600" b="1" cap="none" baseline="0">
                  <a:solidFill>
                    <a:srgbClr val="B4B4B4"/>
                  </a:solidFill>
                  <a:latin typeface="+mn-lt"/>
                </a:endParaRPr>
              </a:p>
            </xdr:txBody>
          </xdr:sp>
        </xdr:grpSp>
        <xdr:graphicFrame macro="">
          <xdr:nvGraphicFramePr>
            <xdr:cNvPr id="322" name="Chart 321"/>
            <xdr:cNvGraphicFramePr>
              <a:graphicFrameLocks/>
            </xdr:cNvGraphicFramePr>
          </xdr:nvGraphicFramePr>
          <xdr:xfrm>
            <a:off x="247650" y="24879300"/>
            <a:ext cx="3657600" cy="3657600"/>
          </xdr:xfrm>
          <a:graphic>
            <a:graphicData uri="http://schemas.openxmlformats.org/drawingml/2006/chart">
              <c:chart xmlns:c="http://schemas.openxmlformats.org/drawingml/2006/chart" xmlns:r="http://schemas.openxmlformats.org/officeDocument/2006/relationships" r:id="rId13"/>
            </a:graphicData>
          </a:graphic>
        </xdr:graphicFrame>
      </xdr:grpSp>
      <xdr:grpSp>
        <xdr:nvGrpSpPr>
          <xdr:cNvPr id="56" name="Group 55"/>
          <xdr:cNvGrpSpPr/>
        </xdr:nvGrpSpPr>
        <xdr:grpSpPr>
          <a:xfrm>
            <a:off x="7759700" y="24879300"/>
            <a:ext cx="3657600" cy="3657600"/>
            <a:chOff x="7764018" y="24879300"/>
            <a:chExt cx="3657600" cy="3657600"/>
          </a:xfrm>
        </xdr:grpSpPr>
        <xdr:sp macro="" textlink="">
          <xdr:nvSpPr>
            <xdr:cNvPr id="327" name="Rectangle 326"/>
            <xdr:cNvSpPr/>
          </xdr:nvSpPr>
          <xdr:spPr>
            <a:xfrm>
              <a:off x="7764018" y="24879300"/>
              <a:ext cx="3657600" cy="3657600"/>
            </a:xfrm>
            <a:prstGeom prst="rect">
              <a:avLst/>
            </a:prstGeom>
            <a:solidFill>
              <a:srgbClr val="262626"/>
            </a:solidFill>
            <a:ln w="19050" cap="flat" cmpd="sng" algn="ctr">
              <a:solidFill>
                <a:srgbClr val="151515"/>
              </a:solidFill>
              <a:prstDash val="solid"/>
            </a:ln>
            <a:effectLs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Calculations!B207">
          <xdr:nvSpPr>
            <xdr:cNvPr id="334" name="Rectangle 333"/>
            <xdr:cNvSpPr/>
          </xdr:nvSpPr>
          <xdr:spPr>
            <a:xfrm>
              <a:off x="7930273" y="26304606"/>
              <a:ext cx="3325091" cy="418367"/>
            </a:xfrm>
            <a:prstGeom prst="rect">
              <a:avLst/>
            </a:prstGeom>
            <a:noFill/>
            <a:ln>
              <a:noFill/>
            </a:ln>
            <a:effectLst>
              <a:outerShdw sx="1000" sy="1000" rotWithShape="0">
                <a:srgbClr val="000000"/>
              </a:outerShdw>
            </a:effectLst>
          </xdr:spPr>
          <xdr:style>
            <a:lnRef idx="1">
              <a:schemeClr val="accent1"/>
            </a:lnRef>
            <a:fillRef idx="3">
              <a:schemeClr val="accent1"/>
            </a:fillRef>
            <a:effectRef idx="2">
              <a:schemeClr val="accent1"/>
            </a:effectRef>
            <a:fontRef idx="minor">
              <a:schemeClr val="lt1"/>
            </a:fontRef>
          </xdr:style>
          <xdr:txBody>
            <a:bodyPr vertOverflow="clip" horzOverflow="clip" lIns="0" tIns="0" rIns="0" bIns="0" rtlCol="0" anchor="ctr"/>
            <a:lstStyle/>
            <a:p>
              <a:pPr algn="ctr"/>
              <a:fld id="{08A41EF5-C76B-468D-BB7C-6676BF262DEE}" type="TxLink">
                <a:rPr lang="en-US" sz="1600" b="1" cap="none" baseline="0">
                  <a:solidFill>
                    <a:srgbClr val="B4B4B4"/>
                  </a:solidFill>
                  <a:latin typeface="+mn-lt"/>
                </a:rPr>
                <a:pPr algn="ctr"/>
                <a:t> </a:t>
              </a:fld>
              <a:endParaRPr lang="en-US" sz="1600" b="1" cap="none" baseline="0">
                <a:solidFill>
                  <a:srgbClr val="B4B4B4"/>
                </a:solidFill>
                <a:latin typeface="+mn-lt"/>
              </a:endParaRPr>
            </a:p>
          </xdr:txBody>
        </xdr:sp>
        <xdr:sp macro="" textlink="Calculations!B208">
          <xdr:nvSpPr>
            <xdr:cNvPr id="335" name="Rectangle 334"/>
            <xdr:cNvSpPr/>
          </xdr:nvSpPr>
          <xdr:spPr>
            <a:xfrm>
              <a:off x="7930273" y="26742756"/>
              <a:ext cx="3325091" cy="418367"/>
            </a:xfrm>
            <a:prstGeom prst="rect">
              <a:avLst/>
            </a:prstGeom>
            <a:noFill/>
            <a:ln>
              <a:noFill/>
            </a:ln>
            <a:effectLst>
              <a:outerShdw sx="1000" sy="1000" rotWithShape="0">
                <a:srgbClr val="000000"/>
              </a:outerShdw>
            </a:effectLst>
          </xdr:spPr>
          <xdr:style>
            <a:lnRef idx="1">
              <a:schemeClr val="accent1"/>
            </a:lnRef>
            <a:fillRef idx="3">
              <a:schemeClr val="accent1"/>
            </a:fillRef>
            <a:effectRef idx="2">
              <a:schemeClr val="accent1"/>
            </a:effectRef>
            <a:fontRef idx="minor">
              <a:schemeClr val="lt1"/>
            </a:fontRef>
          </xdr:style>
          <xdr:txBody>
            <a:bodyPr vertOverflow="clip" horzOverflow="clip" lIns="0" tIns="0" rIns="0" bIns="0" rtlCol="0" anchor="ctr"/>
            <a:lstStyle/>
            <a:p>
              <a:pPr algn="ctr"/>
              <a:fld id="{59B9F295-C288-41D3-A980-AA02CBBEB34D}" type="TxLink">
                <a:rPr lang="en-US" sz="1600" b="1" cap="none" baseline="0">
                  <a:solidFill>
                    <a:srgbClr val="B4B4B4"/>
                  </a:solidFill>
                  <a:latin typeface="+mn-lt"/>
                </a:rPr>
                <a:pPr algn="ctr"/>
                <a:t> </a:t>
              </a:fld>
              <a:endParaRPr lang="en-US" sz="1600" b="1" cap="none" baseline="0">
                <a:solidFill>
                  <a:srgbClr val="B4B4B4"/>
                </a:solidFill>
                <a:latin typeface="+mn-lt"/>
              </a:endParaRPr>
            </a:p>
          </xdr:txBody>
        </xdr:sp>
        <xdr:graphicFrame macro="">
          <xdr:nvGraphicFramePr>
            <xdr:cNvPr id="328" name="Chart 327"/>
            <xdr:cNvGraphicFramePr>
              <a:graphicFrameLocks/>
            </xdr:cNvGraphicFramePr>
          </xdr:nvGraphicFramePr>
          <xdr:xfrm>
            <a:off x="7764018" y="24879300"/>
            <a:ext cx="3657600" cy="3657600"/>
          </xdr:xfrm>
          <a:graphic>
            <a:graphicData uri="http://schemas.openxmlformats.org/drawingml/2006/chart">
              <c:chart xmlns:c="http://schemas.openxmlformats.org/drawingml/2006/chart" xmlns:r="http://schemas.openxmlformats.org/officeDocument/2006/relationships" r:id="rId14"/>
            </a:graphicData>
          </a:graphic>
        </xdr:graphicFrame>
      </xdr:grpSp>
      <xdr:grpSp>
        <xdr:nvGrpSpPr>
          <xdr:cNvPr id="58" name="Group 57"/>
          <xdr:cNvGrpSpPr/>
        </xdr:nvGrpSpPr>
        <xdr:grpSpPr>
          <a:xfrm>
            <a:off x="4003675" y="24879300"/>
            <a:ext cx="3657600" cy="3657600"/>
            <a:chOff x="4005834" y="24879300"/>
            <a:chExt cx="3657600" cy="3657600"/>
          </a:xfrm>
        </xdr:grpSpPr>
        <xdr:sp macro="" textlink="">
          <xdr:nvSpPr>
            <xdr:cNvPr id="324" name="Rectangle 323"/>
            <xdr:cNvSpPr/>
          </xdr:nvSpPr>
          <xdr:spPr>
            <a:xfrm>
              <a:off x="4005834" y="24879300"/>
              <a:ext cx="3657600" cy="3657600"/>
            </a:xfrm>
            <a:prstGeom prst="rect">
              <a:avLst/>
            </a:prstGeom>
            <a:solidFill>
              <a:srgbClr val="262626"/>
            </a:solidFill>
            <a:ln w="19050" cap="flat" cmpd="sng" algn="ctr">
              <a:solidFill>
                <a:srgbClr val="151515"/>
              </a:solidFill>
              <a:prstDash val="solid"/>
            </a:ln>
            <a:effectLs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aphicFrame macro="">
          <xdr:nvGraphicFramePr>
            <xdr:cNvPr id="325" name="Chart 324"/>
            <xdr:cNvGraphicFramePr>
              <a:graphicFrameLocks/>
            </xdr:cNvGraphicFramePr>
          </xdr:nvGraphicFramePr>
          <xdr:xfrm>
            <a:off x="4005834" y="24879300"/>
            <a:ext cx="3657600" cy="3657600"/>
          </xdr:xfrm>
          <a:graphic>
            <a:graphicData uri="http://schemas.openxmlformats.org/drawingml/2006/chart">
              <c:chart xmlns:c="http://schemas.openxmlformats.org/drawingml/2006/chart" xmlns:r="http://schemas.openxmlformats.org/officeDocument/2006/relationships" r:id="rId15"/>
            </a:graphicData>
          </a:graphic>
        </xdr:graphicFrame>
        <xdr:grpSp>
          <xdr:nvGrpSpPr>
            <xdr:cNvPr id="57" name="Group 56"/>
            <xdr:cNvGrpSpPr/>
          </xdr:nvGrpSpPr>
          <xdr:grpSpPr>
            <a:xfrm>
              <a:off x="4172089" y="26304606"/>
              <a:ext cx="3325091" cy="856517"/>
              <a:chOff x="4172089" y="26304606"/>
              <a:chExt cx="3325091" cy="856517"/>
            </a:xfrm>
          </xdr:grpSpPr>
          <xdr:sp macro="" textlink="Calculations!B188">
            <xdr:nvSpPr>
              <xdr:cNvPr id="331" name="Rectangle 330"/>
              <xdr:cNvSpPr/>
            </xdr:nvSpPr>
            <xdr:spPr>
              <a:xfrm>
                <a:off x="4172089" y="26304606"/>
                <a:ext cx="3325091" cy="418367"/>
              </a:xfrm>
              <a:prstGeom prst="rect">
                <a:avLst/>
              </a:prstGeom>
              <a:noFill/>
              <a:ln>
                <a:noFill/>
              </a:ln>
              <a:effectLst>
                <a:outerShdw sx="1000" sy="1000" rotWithShape="0">
                  <a:srgbClr val="000000"/>
                </a:outerShdw>
              </a:effectLst>
            </xdr:spPr>
            <xdr:style>
              <a:lnRef idx="1">
                <a:schemeClr val="accent1"/>
              </a:lnRef>
              <a:fillRef idx="3">
                <a:schemeClr val="accent1"/>
              </a:fillRef>
              <a:effectRef idx="2">
                <a:schemeClr val="accent1"/>
              </a:effectRef>
              <a:fontRef idx="minor">
                <a:schemeClr val="lt1"/>
              </a:fontRef>
            </xdr:style>
            <xdr:txBody>
              <a:bodyPr vertOverflow="clip" horzOverflow="clip" lIns="0" tIns="0" rIns="0" bIns="0" rtlCol="0" anchor="ctr"/>
              <a:lstStyle/>
              <a:p>
                <a:pPr algn="ctr"/>
                <a:fld id="{9337A025-52A8-4123-A089-E7414573DFC1}" type="TxLink">
                  <a:rPr lang="en-US" sz="1600" b="1" cap="none" baseline="0">
                    <a:solidFill>
                      <a:srgbClr val="B4B4B4"/>
                    </a:solidFill>
                    <a:latin typeface="+mn-lt"/>
                  </a:rPr>
                  <a:pPr algn="ctr"/>
                  <a:t> </a:t>
                </a:fld>
                <a:endParaRPr lang="en-US" sz="1600" b="1" cap="none" baseline="0">
                  <a:solidFill>
                    <a:srgbClr val="B4B4B4"/>
                  </a:solidFill>
                  <a:latin typeface="+mn-lt"/>
                </a:endParaRPr>
              </a:p>
            </xdr:txBody>
          </xdr:sp>
          <xdr:sp macro="" textlink="Calculations!B189">
            <xdr:nvSpPr>
              <xdr:cNvPr id="332" name="Rectangle 331"/>
              <xdr:cNvSpPr/>
            </xdr:nvSpPr>
            <xdr:spPr>
              <a:xfrm>
                <a:off x="4172089" y="26742756"/>
                <a:ext cx="3325091" cy="418367"/>
              </a:xfrm>
              <a:prstGeom prst="rect">
                <a:avLst/>
              </a:prstGeom>
              <a:noFill/>
              <a:ln>
                <a:noFill/>
              </a:ln>
              <a:effectLst>
                <a:outerShdw sx="1000" sy="1000" rotWithShape="0">
                  <a:srgbClr val="000000"/>
                </a:outerShdw>
              </a:effectLst>
            </xdr:spPr>
            <xdr:style>
              <a:lnRef idx="1">
                <a:schemeClr val="accent1"/>
              </a:lnRef>
              <a:fillRef idx="3">
                <a:schemeClr val="accent1"/>
              </a:fillRef>
              <a:effectRef idx="2">
                <a:schemeClr val="accent1"/>
              </a:effectRef>
              <a:fontRef idx="minor">
                <a:schemeClr val="lt1"/>
              </a:fontRef>
            </xdr:style>
            <xdr:txBody>
              <a:bodyPr vertOverflow="clip" horzOverflow="clip" lIns="0" tIns="0" rIns="0" bIns="0" rtlCol="0" anchor="ctr"/>
              <a:lstStyle/>
              <a:p>
                <a:pPr algn="ctr"/>
                <a:fld id="{8CF4985F-0D4F-4A01-8464-D8CD13EEF94D}" type="TxLink">
                  <a:rPr lang="en-US" sz="1600" b="1" cap="none" baseline="0">
                    <a:solidFill>
                      <a:srgbClr val="B4B4B4"/>
                    </a:solidFill>
                    <a:latin typeface="+mn-lt"/>
                  </a:rPr>
                  <a:pPr algn="ctr"/>
                  <a:t> </a:t>
                </a:fld>
                <a:endParaRPr lang="en-US" sz="1600" b="1" cap="none" baseline="0">
                  <a:solidFill>
                    <a:srgbClr val="B4B4B4"/>
                  </a:solidFill>
                  <a:latin typeface="+mn-lt"/>
                </a:endParaRPr>
              </a:p>
            </xdr:txBody>
          </xdr:sp>
        </xdr:grpSp>
      </xdr:grpSp>
    </xdr:grpSp>
    <xdr:clientData/>
  </xdr:twoCellAnchor>
  <xdr:twoCellAnchor>
    <xdr:from>
      <xdr:col>1</xdr:col>
      <xdr:colOff>0</xdr:colOff>
      <xdr:row>133</xdr:row>
      <xdr:rowOff>95250</xdr:rowOff>
    </xdr:from>
    <xdr:to>
      <xdr:col>23</xdr:col>
      <xdr:colOff>587375</xdr:colOff>
      <xdr:row>152</xdr:row>
      <xdr:rowOff>133350</xdr:rowOff>
    </xdr:to>
    <xdr:grpSp>
      <xdr:nvGrpSpPr>
        <xdr:cNvPr id="54" name="Group 53"/>
        <xdr:cNvGrpSpPr/>
      </xdr:nvGrpSpPr>
      <xdr:grpSpPr>
        <a:xfrm>
          <a:off x="247650" y="24784050"/>
          <a:ext cx="11169650" cy="3657600"/>
          <a:chOff x="247650" y="28813125"/>
          <a:chExt cx="11169650" cy="3657600"/>
        </a:xfrm>
      </xdr:grpSpPr>
      <xdr:graphicFrame macro="">
        <xdr:nvGraphicFramePr>
          <xdr:cNvPr id="336" name="Chart 335"/>
          <xdr:cNvGraphicFramePr>
            <a:graphicFrameLocks/>
          </xdr:cNvGraphicFramePr>
        </xdr:nvGraphicFramePr>
        <xdr:xfrm>
          <a:off x="247650" y="28813125"/>
          <a:ext cx="5541264" cy="3657600"/>
        </xdr:xfrm>
        <a:graphic>
          <a:graphicData uri="http://schemas.openxmlformats.org/drawingml/2006/chart">
            <c:chart xmlns:c="http://schemas.openxmlformats.org/drawingml/2006/chart" xmlns:r="http://schemas.openxmlformats.org/officeDocument/2006/relationships" r:id="rId16"/>
          </a:graphicData>
        </a:graphic>
      </xdr:graphicFrame>
      <xdr:graphicFrame macro="">
        <xdr:nvGraphicFramePr>
          <xdr:cNvPr id="337" name="Chart 336"/>
          <xdr:cNvGraphicFramePr>
            <a:graphicFrameLocks/>
          </xdr:cNvGraphicFramePr>
        </xdr:nvGraphicFramePr>
        <xdr:xfrm>
          <a:off x="5876036" y="28813125"/>
          <a:ext cx="5541264" cy="3657600"/>
        </xdr:xfrm>
        <a:graphic>
          <a:graphicData uri="http://schemas.openxmlformats.org/drawingml/2006/chart">
            <c:chart xmlns:c="http://schemas.openxmlformats.org/drawingml/2006/chart" xmlns:r="http://schemas.openxmlformats.org/officeDocument/2006/relationships" r:id="rId17"/>
          </a:graphicData>
        </a:graphic>
      </xdr:graphicFrame>
    </xdr:grpSp>
    <xdr:clientData/>
  </xdr:twoCellAnchor>
  <xdr:twoCellAnchor>
    <xdr:from>
      <xdr:col>1</xdr:col>
      <xdr:colOff>0</xdr:colOff>
      <xdr:row>153</xdr:row>
      <xdr:rowOff>28578</xdr:rowOff>
    </xdr:from>
    <xdr:to>
      <xdr:col>23</xdr:col>
      <xdr:colOff>587375</xdr:colOff>
      <xdr:row>172</xdr:row>
      <xdr:rowOff>66678</xdr:rowOff>
    </xdr:to>
    <xdr:grpSp>
      <xdr:nvGrpSpPr>
        <xdr:cNvPr id="22" name="Group 21"/>
        <xdr:cNvGrpSpPr/>
      </xdr:nvGrpSpPr>
      <xdr:grpSpPr>
        <a:xfrm>
          <a:off x="247650" y="28527378"/>
          <a:ext cx="11169650" cy="3657600"/>
          <a:chOff x="247650" y="32527878"/>
          <a:chExt cx="11169650" cy="3657600"/>
        </a:xfrm>
      </xdr:grpSpPr>
      <xdr:grpSp>
        <xdr:nvGrpSpPr>
          <xdr:cNvPr id="5" name="Group 4"/>
          <xdr:cNvGrpSpPr/>
        </xdr:nvGrpSpPr>
        <xdr:grpSpPr>
          <a:xfrm>
            <a:off x="7759700" y="32527878"/>
            <a:ext cx="3657600" cy="3657600"/>
            <a:chOff x="7759700" y="32527878"/>
            <a:chExt cx="3657600" cy="3657600"/>
          </a:xfrm>
        </xdr:grpSpPr>
        <xdr:sp macro="" textlink="">
          <xdr:nvSpPr>
            <xdr:cNvPr id="4" name="Chart 371_fbBack"/>
            <xdr:cNvSpPr/>
          </xdr:nvSpPr>
          <xdr:spPr>
            <a:xfrm>
              <a:off x="7759700" y="32527878"/>
              <a:ext cx="3657600" cy="3657600"/>
            </a:xfrm>
            <a:prstGeom prst="rect">
              <a:avLst/>
            </a:prstGeom>
            <a:solidFill>
              <a:srgbClr val="262626"/>
            </a:solidFill>
            <a:ln w="19050">
              <a:solidFill>
                <a:srgbClr val="15151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Calculations!$B$263">
          <xdr:nvSpPr>
            <xdr:cNvPr id="3" name="Chart 371_fbText2"/>
            <xdr:cNvSpPr txBox="1"/>
          </xdr:nvSpPr>
          <xdr:spPr>
            <a:xfrm>
              <a:off x="8125460" y="34356678"/>
              <a:ext cx="2926080" cy="5080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lIns="0" tIns="0" rIns="0" bIns="0" rtlCol="0" anchor="ctr"/>
            <a:lstStyle/>
            <a:p>
              <a:pPr algn="ctr"/>
              <a:fld id="{9CE92E9B-14F1-4BF2-9676-B99EB464E3D3}" type="TxLink">
                <a:rPr lang="en-US" sz="1600" b="1" i="0" u="none" strike="noStrike">
                  <a:solidFill>
                    <a:srgbClr val="B4B4B4"/>
                  </a:solidFill>
                  <a:latin typeface="Calibri"/>
                </a:rPr>
                <a:pPr algn="ctr"/>
                <a:t> </a:t>
              </a:fld>
              <a:endParaRPr lang="en-US" sz="1600" b="1">
                <a:solidFill>
                  <a:srgbClr val="B4B4B4"/>
                </a:solidFill>
              </a:endParaRPr>
            </a:p>
          </xdr:txBody>
        </xdr:sp>
        <xdr:sp macro="" textlink="Calculations!$B$262">
          <xdr:nvSpPr>
            <xdr:cNvPr id="2" name="Chart 371_fbText1"/>
            <xdr:cNvSpPr txBox="1"/>
          </xdr:nvSpPr>
          <xdr:spPr>
            <a:xfrm>
              <a:off x="8125460" y="33848678"/>
              <a:ext cx="2926080" cy="5080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lIns="0" tIns="0" rIns="0" bIns="0" rtlCol="0" anchor="ctr"/>
            <a:lstStyle/>
            <a:p>
              <a:pPr algn="ctr"/>
              <a:fld id="{A7605AE1-6151-48D0-8B84-2C796FE92906}" type="TxLink">
                <a:rPr lang="en-US" sz="1600" b="1" i="0" u="none" strike="noStrike">
                  <a:solidFill>
                    <a:srgbClr val="B4B4B4"/>
                  </a:solidFill>
                  <a:latin typeface="Calibri"/>
                </a:rPr>
                <a:pPr algn="ctr"/>
                <a:t> </a:t>
              </a:fld>
              <a:endParaRPr lang="en-US" sz="1600" b="1">
                <a:solidFill>
                  <a:srgbClr val="B4B4B4"/>
                </a:solidFill>
              </a:endParaRPr>
            </a:p>
          </xdr:txBody>
        </xdr:sp>
        <xdr:graphicFrame macro="">
          <xdr:nvGraphicFramePr>
            <xdr:cNvPr id="372" name="Chart 371"/>
            <xdr:cNvGraphicFramePr>
              <a:graphicFrameLocks/>
            </xdr:cNvGraphicFramePr>
          </xdr:nvGraphicFramePr>
          <xdr:xfrm>
            <a:off x="7759700" y="32527878"/>
            <a:ext cx="3657600" cy="3657600"/>
          </xdr:xfrm>
          <a:graphic>
            <a:graphicData uri="http://schemas.openxmlformats.org/drawingml/2006/chart">
              <c:chart xmlns:c="http://schemas.openxmlformats.org/drawingml/2006/chart" xmlns:r="http://schemas.openxmlformats.org/officeDocument/2006/relationships" r:id="rId18"/>
            </a:graphicData>
          </a:graphic>
        </xdr:graphicFrame>
      </xdr:grpSp>
      <xdr:grpSp>
        <xdr:nvGrpSpPr>
          <xdr:cNvPr id="18" name="Group 17"/>
          <xdr:cNvGrpSpPr/>
        </xdr:nvGrpSpPr>
        <xdr:grpSpPr>
          <a:xfrm>
            <a:off x="247650" y="32527878"/>
            <a:ext cx="7416800" cy="3657600"/>
            <a:chOff x="247650" y="32527878"/>
            <a:chExt cx="7416800" cy="3657600"/>
          </a:xfrm>
        </xdr:grpSpPr>
        <xdr:sp macro="" textlink="">
          <xdr:nvSpPr>
            <xdr:cNvPr id="16" name="Chart 368_fbBack"/>
            <xdr:cNvSpPr/>
          </xdr:nvSpPr>
          <xdr:spPr>
            <a:xfrm>
              <a:off x="247650" y="32527878"/>
              <a:ext cx="7416800" cy="3657600"/>
            </a:xfrm>
            <a:prstGeom prst="rect">
              <a:avLst/>
            </a:prstGeom>
            <a:solidFill>
              <a:srgbClr val="262626"/>
            </a:solidFill>
            <a:ln w="19050">
              <a:solidFill>
                <a:srgbClr val="15151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Calculations!$B$249">
          <xdr:nvSpPr>
            <xdr:cNvPr id="13" name="Chart 368_fbText2"/>
            <xdr:cNvSpPr txBox="1"/>
          </xdr:nvSpPr>
          <xdr:spPr>
            <a:xfrm>
              <a:off x="989330" y="34356678"/>
              <a:ext cx="5933440" cy="5080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lIns="0" tIns="0" rIns="0" bIns="0" rtlCol="0" anchor="ctr"/>
            <a:lstStyle/>
            <a:p>
              <a:pPr algn="ctr"/>
              <a:fld id="{D0975005-3FA2-497B-A8F7-F4551DFFCB4E}" type="TxLink">
                <a:rPr lang="en-US" sz="1600" b="1" i="0" u="none" strike="noStrike">
                  <a:solidFill>
                    <a:srgbClr val="B4B4B4"/>
                  </a:solidFill>
                  <a:latin typeface="Calibri"/>
                </a:rPr>
                <a:pPr algn="ctr"/>
                <a:t> </a:t>
              </a:fld>
              <a:endParaRPr lang="en-US" sz="1600" b="1">
                <a:solidFill>
                  <a:srgbClr val="B4B4B4"/>
                </a:solidFill>
              </a:endParaRPr>
            </a:p>
          </xdr:txBody>
        </xdr:sp>
        <xdr:sp macro="" textlink="Calculations!$B$248">
          <xdr:nvSpPr>
            <xdr:cNvPr id="11" name="Chart 368_fbText1"/>
            <xdr:cNvSpPr txBox="1"/>
          </xdr:nvSpPr>
          <xdr:spPr>
            <a:xfrm>
              <a:off x="989330" y="33848678"/>
              <a:ext cx="5933440" cy="508000"/>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lIns="0" tIns="0" rIns="0" bIns="0" rtlCol="0" anchor="ctr"/>
            <a:lstStyle/>
            <a:p>
              <a:pPr algn="ctr"/>
              <a:fld id="{A2851C70-584E-43BA-9751-C82A37395E27}" type="TxLink">
                <a:rPr lang="en-US" sz="1600" b="1" i="0" u="none" strike="noStrike">
                  <a:solidFill>
                    <a:srgbClr val="B4B4B4"/>
                  </a:solidFill>
                  <a:latin typeface="Calibri"/>
                </a:rPr>
                <a:pPr algn="ctr"/>
                <a:t> </a:t>
              </a:fld>
              <a:endParaRPr lang="en-US" sz="1600" b="1">
                <a:solidFill>
                  <a:srgbClr val="B4B4B4"/>
                </a:solidFill>
              </a:endParaRPr>
            </a:p>
          </xdr:txBody>
        </xdr:sp>
        <xdr:graphicFrame macro="">
          <xdr:nvGraphicFramePr>
            <xdr:cNvPr id="369" name="Chart 368"/>
            <xdr:cNvGraphicFramePr>
              <a:graphicFrameLocks/>
            </xdr:cNvGraphicFramePr>
          </xdr:nvGraphicFramePr>
          <xdr:xfrm>
            <a:off x="247650" y="32527878"/>
            <a:ext cx="7416800" cy="3657600"/>
          </xdr:xfrm>
          <a:graphic>
            <a:graphicData uri="http://schemas.openxmlformats.org/drawingml/2006/chart">
              <c:chart xmlns:c="http://schemas.openxmlformats.org/drawingml/2006/chart" xmlns:r="http://schemas.openxmlformats.org/officeDocument/2006/relationships" r:id="rId19"/>
            </a:graphicData>
          </a:graphic>
        </xdr:graphicFrame>
      </xdr:grpSp>
    </xdr:grpSp>
    <xdr:clientData/>
  </xdr:twoCellAnchor>
  <xdr:twoCellAnchor>
    <xdr:from>
      <xdr:col>1</xdr:col>
      <xdr:colOff>0</xdr:colOff>
      <xdr:row>39</xdr:row>
      <xdr:rowOff>95250</xdr:rowOff>
    </xdr:from>
    <xdr:to>
      <xdr:col>24</xdr:col>
      <xdr:colOff>1143</xdr:colOff>
      <xdr:row>41</xdr:row>
      <xdr:rowOff>80010</xdr:rowOff>
    </xdr:to>
    <xdr:grpSp>
      <xdr:nvGrpSpPr>
        <xdr:cNvPr id="8" name="Group 7" descr="ppt_export=no"/>
        <xdr:cNvGrpSpPr/>
      </xdr:nvGrpSpPr>
      <xdr:grpSpPr>
        <a:xfrm>
          <a:off x="247650" y="6877050"/>
          <a:ext cx="11173968" cy="365760"/>
          <a:chOff x="247650" y="6324600"/>
          <a:chExt cx="11173968" cy="365760"/>
        </a:xfrm>
      </xdr:grpSpPr>
      <xdr:sp macro="" textlink="">
        <xdr:nvSpPr>
          <xdr:cNvPr id="375" name="Rectangle 374"/>
          <xdr:cNvSpPr/>
        </xdr:nvSpPr>
        <xdr:spPr>
          <a:xfrm>
            <a:off x="247650" y="6324600"/>
            <a:ext cx="11173968" cy="365760"/>
          </a:xfrm>
          <a:prstGeom prst="rect">
            <a:avLst/>
          </a:prstGeom>
          <a:gradFill flip="none" rotWithShape="1">
            <a:gsLst>
              <a:gs pos="0">
                <a:srgbClr val="AEAEAE"/>
              </a:gs>
              <a:gs pos="100000">
                <a:srgbClr val="E8E8E8"/>
              </a:gs>
            </a:gsLst>
            <a:lin ang="16200000" scaled="1"/>
            <a:tileRect/>
          </a:gradFill>
          <a:ln>
            <a:solidFill>
              <a:srgbClr val="515151"/>
            </a:solidFill>
          </a:ln>
          <a:effectLst/>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en-US" sz="1100"/>
          </a:p>
        </xdr:txBody>
      </xdr:sp>
      <xdr:sp macro="" textlink="">
        <xdr:nvSpPr>
          <xdr:cNvPr id="376" name="Rectangle 375"/>
          <xdr:cNvSpPr/>
        </xdr:nvSpPr>
        <xdr:spPr>
          <a:xfrm>
            <a:off x="710405" y="6324600"/>
            <a:ext cx="2796099" cy="365760"/>
          </a:xfrm>
          <a:prstGeom prst="rect">
            <a:avLst/>
          </a:prstGeom>
          <a:gradFill>
            <a:gsLst>
              <a:gs pos="94000">
                <a:srgbClr val="515151"/>
              </a:gs>
              <a:gs pos="0">
                <a:srgbClr val="8A8A8A"/>
              </a:gs>
              <a:gs pos="100000">
                <a:srgbClr val="3F3F3F"/>
              </a:gs>
            </a:gsLst>
            <a:lin ang="16200000" scaled="0"/>
          </a:gradFill>
          <a:ln>
            <a:solidFill>
              <a:srgbClr val="3B3B3B"/>
            </a:solidFill>
          </a:ln>
          <a:effectLst/>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en-US" sz="1200" b="0">
                <a:solidFill>
                  <a:srgbClr val="FFFFFF"/>
                </a:solidFill>
                <a:effectLst/>
              </a:rPr>
              <a:t>Volume</a:t>
            </a:r>
            <a:r>
              <a:rPr lang="en-US" sz="1200" b="0" baseline="0">
                <a:solidFill>
                  <a:srgbClr val="FFFFFF"/>
                </a:solidFill>
                <a:effectLst/>
              </a:rPr>
              <a:t> and</a:t>
            </a:r>
            <a:r>
              <a:rPr lang="en-US" sz="1200" b="0">
                <a:solidFill>
                  <a:srgbClr val="FFFFFF"/>
                </a:solidFill>
                <a:effectLst/>
              </a:rPr>
              <a:t> Engagement</a:t>
            </a:r>
          </a:p>
        </xdr:txBody>
      </xdr:sp>
      <xdr:sp macro="" textlink="">
        <xdr:nvSpPr>
          <xdr:cNvPr id="377" name="Rectangle 376"/>
          <xdr:cNvSpPr/>
        </xdr:nvSpPr>
        <xdr:spPr>
          <a:xfrm>
            <a:off x="4447232" y="6324600"/>
            <a:ext cx="2798389" cy="365760"/>
          </a:xfrm>
          <a:prstGeom prst="rect">
            <a:avLst/>
          </a:prstGeom>
          <a:noFill/>
          <a:ln>
            <a:noFill/>
          </a:ln>
          <a:effectLst/>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en-US" sz="1200" b="0" u="sng">
                <a:solidFill>
                  <a:srgbClr val="1F5AA1"/>
                </a:solidFill>
                <a:effectLst/>
              </a:rPr>
              <a:t>Reach and Audience </a:t>
            </a:r>
          </a:p>
        </xdr:txBody>
      </xdr:sp>
      <xdr:sp macro="" textlink="">
        <xdr:nvSpPr>
          <xdr:cNvPr id="378" name="Rectangle 377"/>
          <xdr:cNvSpPr/>
        </xdr:nvSpPr>
        <xdr:spPr>
          <a:xfrm>
            <a:off x="8160096" y="6324600"/>
            <a:ext cx="2798389" cy="365760"/>
          </a:xfrm>
          <a:prstGeom prst="rect">
            <a:avLst/>
          </a:prstGeom>
          <a:noFill/>
          <a:ln>
            <a:noFill/>
          </a:ln>
          <a:effectLst/>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en-US" sz="1200" b="0" u="sng">
                <a:solidFill>
                  <a:srgbClr val="1F5AA1"/>
                </a:solidFill>
                <a:effectLst/>
              </a:rPr>
              <a:t>Optimization</a:t>
            </a:r>
          </a:p>
        </xdr:txBody>
      </xdr:sp>
    </xdr:grpSp>
    <xdr:clientData/>
  </xdr:twoCellAnchor>
  <xdr:twoCellAnchor>
    <xdr:from>
      <xdr:col>1</xdr:col>
      <xdr:colOff>0</xdr:colOff>
      <xdr:row>174</xdr:row>
      <xdr:rowOff>57150</xdr:rowOff>
    </xdr:from>
    <xdr:to>
      <xdr:col>24</xdr:col>
      <xdr:colOff>1143</xdr:colOff>
      <xdr:row>176</xdr:row>
      <xdr:rowOff>41910</xdr:rowOff>
    </xdr:to>
    <xdr:grpSp>
      <xdr:nvGrpSpPr>
        <xdr:cNvPr id="10" name="Group 9" descr="ppt_export=no"/>
        <xdr:cNvGrpSpPr/>
      </xdr:nvGrpSpPr>
      <xdr:grpSpPr>
        <a:xfrm>
          <a:off x="247650" y="32556450"/>
          <a:ext cx="11173968" cy="365760"/>
          <a:chOff x="247650" y="36528375"/>
          <a:chExt cx="11173968" cy="365760"/>
        </a:xfrm>
      </xdr:grpSpPr>
      <xdr:sp macro="" textlink="">
        <xdr:nvSpPr>
          <xdr:cNvPr id="390" name="Rectangle 389"/>
          <xdr:cNvSpPr/>
        </xdr:nvSpPr>
        <xdr:spPr>
          <a:xfrm>
            <a:off x="247650" y="36528375"/>
            <a:ext cx="11173968" cy="365760"/>
          </a:xfrm>
          <a:prstGeom prst="rect">
            <a:avLst/>
          </a:prstGeom>
          <a:gradFill flip="none" rotWithShape="1">
            <a:gsLst>
              <a:gs pos="0">
                <a:srgbClr val="AEAEAE"/>
              </a:gs>
              <a:gs pos="100000">
                <a:srgbClr val="E8E8E8"/>
              </a:gs>
            </a:gsLst>
            <a:lin ang="16200000" scaled="1"/>
            <a:tileRect/>
          </a:gradFill>
          <a:ln>
            <a:solidFill>
              <a:srgbClr val="515151"/>
            </a:solidFill>
          </a:ln>
          <a:effectLst/>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en-US" sz="1100"/>
          </a:p>
        </xdr:txBody>
      </xdr:sp>
      <xdr:sp macro="" textlink="">
        <xdr:nvSpPr>
          <xdr:cNvPr id="391" name="Rectangle 390"/>
          <xdr:cNvSpPr/>
        </xdr:nvSpPr>
        <xdr:spPr>
          <a:xfrm>
            <a:off x="8162765" y="36528375"/>
            <a:ext cx="2796099" cy="365760"/>
          </a:xfrm>
          <a:prstGeom prst="rect">
            <a:avLst/>
          </a:prstGeom>
          <a:gradFill>
            <a:gsLst>
              <a:gs pos="94000">
                <a:srgbClr val="515151"/>
              </a:gs>
              <a:gs pos="0">
                <a:srgbClr val="8A8A8A"/>
              </a:gs>
              <a:gs pos="100000">
                <a:srgbClr val="3F3F3F"/>
              </a:gs>
            </a:gsLst>
            <a:lin ang="16200000" scaled="0"/>
          </a:gradFill>
          <a:ln>
            <a:solidFill>
              <a:srgbClr val="3B3B3B"/>
            </a:solidFill>
          </a:ln>
          <a:effectLst/>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en-US" sz="1200" b="0">
                <a:solidFill>
                  <a:srgbClr val="FFFFFF"/>
                </a:solidFill>
                <a:effectLst/>
              </a:rPr>
              <a:t>Optimization</a:t>
            </a:r>
          </a:p>
        </xdr:txBody>
      </xdr:sp>
      <xdr:sp macro="" textlink="">
        <xdr:nvSpPr>
          <xdr:cNvPr id="392" name="Rectangle 391"/>
          <xdr:cNvSpPr/>
        </xdr:nvSpPr>
        <xdr:spPr>
          <a:xfrm>
            <a:off x="710784" y="36528375"/>
            <a:ext cx="2798389" cy="365760"/>
          </a:xfrm>
          <a:prstGeom prst="rect">
            <a:avLst/>
          </a:prstGeom>
          <a:noFill/>
          <a:ln>
            <a:noFill/>
          </a:ln>
          <a:effectLst/>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en-US" sz="1200" b="0" u="sng">
                <a:solidFill>
                  <a:srgbClr val="1F5AA1"/>
                </a:solidFill>
                <a:effectLst/>
              </a:rPr>
              <a:t>Volume and Engagement</a:t>
            </a:r>
          </a:p>
        </xdr:txBody>
      </xdr:sp>
      <xdr:sp macro="" textlink="">
        <xdr:nvSpPr>
          <xdr:cNvPr id="393" name="Rectangle 392"/>
          <xdr:cNvSpPr/>
        </xdr:nvSpPr>
        <xdr:spPr>
          <a:xfrm>
            <a:off x="4436964" y="36528375"/>
            <a:ext cx="2798389" cy="365760"/>
          </a:xfrm>
          <a:prstGeom prst="rect">
            <a:avLst/>
          </a:prstGeom>
          <a:noFill/>
          <a:ln>
            <a:noFill/>
          </a:ln>
          <a:effectLst/>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en-US" sz="1200" b="0" u="sng">
                <a:solidFill>
                  <a:srgbClr val="1F5AA1"/>
                </a:solidFill>
                <a:effectLst/>
              </a:rPr>
              <a:t>Reach and Audience</a:t>
            </a:r>
          </a:p>
        </xdr:txBody>
      </xdr:sp>
    </xdr:grpSp>
    <xdr:clientData/>
  </xdr:twoCellAnchor>
  <xdr:twoCellAnchor>
    <xdr:from>
      <xdr:col>1</xdr:col>
      <xdr:colOff>0</xdr:colOff>
      <xdr:row>176</xdr:row>
      <xdr:rowOff>142875</xdr:rowOff>
    </xdr:from>
    <xdr:to>
      <xdr:col>24</xdr:col>
      <xdr:colOff>1143</xdr:colOff>
      <xdr:row>196</xdr:row>
      <xdr:rowOff>154015</xdr:rowOff>
    </xdr:to>
    <xdr:grpSp>
      <xdr:nvGrpSpPr>
        <xdr:cNvPr id="49" name="Group 48"/>
        <xdr:cNvGrpSpPr/>
      </xdr:nvGrpSpPr>
      <xdr:grpSpPr>
        <a:xfrm>
          <a:off x="247650" y="33023175"/>
          <a:ext cx="11173968" cy="3821140"/>
          <a:chOff x="247650" y="37071300"/>
          <a:chExt cx="11173968" cy="3821140"/>
        </a:xfrm>
      </xdr:grpSpPr>
      <xdr:sp macro="" textlink="">
        <xdr:nvSpPr>
          <xdr:cNvPr id="395" name="Rounded Rectangle 394"/>
          <xdr:cNvSpPr/>
        </xdr:nvSpPr>
        <xdr:spPr>
          <a:xfrm>
            <a:off x="247650" y="37071300"/>
            <a:ext cx="11173968" cy="3821140"/>
          </a:xfrm>
          <a:prstGeom prst="roundRect">
            <a:avLst>
              <a:gd name="adj" fmla="val 0"/>
            </a:avLst>
          </a:prstGeom>
          <a:solidFill>
            <a:srgbClr val="262626"/>
          </a:solidFill>
          <a:ln w="19050">
            <a:solidFill>
              <a:srgbClr val="15151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aphicFrame macro="">
        <xdr:nvGraphicFramePr>
          <xdr:cNvPr id="396" name="Chart 395"/>
          <xdr:cNvGraphicFramePr>
            <a:graphicFrameLocks/>
          </xdr:cNvGraphicFramePr>
        </xdr:nvGraphicFramePr>
        <xdr:xfrm>
          <a:off x="247650" y="37071300"/>
          <a:ext cx="7406640" cy="2354290"/>
        </xdr:xfrm>
        <a:graphic>
          <a:graphicData uri="http://schemas.openxmlformats.org/drawingml/2006/chart">
            <c:chart xmlns:c="http://schemas.openxmlformats.org/drawingml/2006/chart" xmlns:r="http://schemas.openxmlformats.org/officeDocument/2006/relationships" r:id="rId20"/>
          </a:graphicData>
        </a:graphic>
      </xdr:graphicFrame>
      <xdr:grpSp>
        <xdr:nvGrpSpPr>
          <xdr:cNvPr id="48" name="Group 47"/>
          <xdr:cNvGrpSpPr/>
        </xdr:nvGrpSpPr>
        <xdr:grpSpPr>
          <a:xfrm>
            <a:off x="7896226" y="37508849"/>
            <a:ext cx="3236976" cy="1293347"/>
            <a:chOff x="7896226" y="37556474"/>
            <a:chExt cx="3236976" cy="1293347"/>
          </a:xfrm>
        </xdr:grpSpPr>
        <xdr:grpSp>
          <xdr:nvGrpSpPr>
            <xdr:cNvPr id="398" name="Group 397"/>
            <xdr:cNvGrpSpPr/>
          </xdr:nvGrpSpPr>
          <xdr:grpSpPr>
            <a:xfrm>
              <a:off x="7896226" y="37556474"/>
              <a:ext cx="3236976" cy="1293347"/>
              <a:chOff x="7896226" y="20965122"/>
              <a:chExt cx="3236976" cy="1296556"/>
            </a:xfrm>
          </xdr:grpSpPr>
          <xdr:sp macro="" textlink="">
            <xdr:nvSpPr>
              <xdr:cNvPr id="412" name="Rounded Rectangle 411"/>
              <xdr:cNvSpPr/>
            </xdr:nvSpPr>
            <xdr:spPr>
              <a:xfrm>
                <a:off x="7896226" y="21237550"/>
                <a:ext cx="3236976" cy="1024128"/>
              </a:xfrm>
              <a:prstGeom prst="roundRect">
                <a:avLst>
                  <a:gd name="adj" fmla="val 0"/>
                </a:avLst>
              </a:prstGeom>
              <a:solidFill>
                <a:srgbClr val="3E3E3E"/>
              </a:solidFill>
              <a:ln>
                <a:noFill/>
              </a:ln>
              <a:effectLst/>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en-US" sz="1100"/>
              </a:p>
            </xdr:txBody>
          </xdr:sp>
          <xdr:sp macro="" textlink="">
            <xdr:nvSpPr>
              <xdr:cNvPr id="413" name="Rounded Rectangle 412"/>
              <xdr:cNvSpPr/>
            </xdr:nvSpPr>
            <xdr:spPr>
              <a:xfrm>
                <a:off x="7896226" y="21218500"/>
                <a:ext cx="3236976" cy="1024128"/>
              </a:xfrm>
              <a:prstGeom prst="roundRect">
                <a:avLst>
                  <a:gd name="adj" fmla="val 0"/>
                </a:avLst>
              </a:prstGeom>
              <a:solidFill>
                <a:srgbClr val="151515"/>
              </a:solidFill>
              <a:ln w="12700">
                <a:solidFill>
                  <a:srgbClr val="0F0F0F"/>
                </a:solidFill>
              </a:ln>
              <a:effectLst/>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marL="0" indent="0" algn="l"/>
                <a:endParaRPr lang="en-US" sz="1100">
                  <a:solidFill>
                    <a:schemeClr val="lt1"/>
                  </a:solidFill>
                  <a:latin typeface="+mn-lt"/>
                  <a:ea typeface="+mn-ea"/>
                  <a:cs typeface="+mn-cs"/>
                </a:endParaRPr>
              </a:p>
            </xdr:txBody>
          </xdr:sp>
          <xdr:grpSp>
            <xdr:nvGrpSpPr>
              <xdr:cNvPr id="414" name="Group 413"/>
              <xdr:cNvGrpSpPr/>
            </xdr:nvGrpSpPr>
            <xdr:grpSpPr>
              <a:xfrm>
                <a:off x="7896226" y="20965122"/>
                <a:ext cx="3236976" cy="280073"/>
                <a:chOff x="7953376" y="15456497"/>
                <a:chExt cx="3236976" cy="280073"/>
              </a:xfrm>
            </xdr:grpSpPr>
            <xdr:sp macro="" textlink="">
              <xdr:nvSpPr>
                <xdr:cNvPr id="415" name="TextBox 414"/>
                <xdr:cNvSpPr txBox="1"/>
              </xdr:nvSpPr>
              <xdr:spPr>
                <a:xfrm>
                  <a:off x="7953376" y="15462250"/>
                  <a:ext cx="3236976" cy="274320"/>
                </a:xfrm>
                <a:prstGeom prst="rect">
                  <a:avLst/>
                </a:prstGeom>
                <a:gradFill flip="none" rotWithShape="1">
                  <a:gsLst>
                    <a:gs pos="100000">
                      <a:srgbClr val="32323C"/>
                    </a:gs>
                    <a:gs pos="0">
                      <a:srgbClr val="41414B"/>
                    </a:gs>
                  </a:gsLst>
                  <a:lin ang="5400000" scaled="1"/>
                  <a:tileRect/>
                </a:gradFill>
                <a:ln w="12700" cmpd="sng">
                  <a:gradFill>
                    <a:gsLst>
                      <a:gs pos="0">
                        <a:srgbClr val="4B4B5E"/>
                      </a:gs>
                      <a:gs pos="100000">
                        <a:srgbClr val="373741"/>
                      </a:gs>
                    </a:gsLst>
                    <a:lin ang="5400000" scaled="0"/>
                  </a:gradFill>
                </a:ln>
                <a:effectLst/>
                <a:extLst/>
              </xdr:spPr>
              <xdr:style>
                <a:lnRef idx="0">
                  <a:scrgbClr r="0" g="0" b="0"/>
                </a:lnRef>
                <a:fillRef idx="0">
                  <a:scrgbClr r="0" g="0" b="0"/>
                </a:fillRef>
                <a:effectRef idx="0">
                  <a:scrgbClr r="0" g="0" b="0"/>
                </a:effectRef>
                <a:fontRef idx="minor">
                  <a:schemeClr val="dk1"/>
                </a:fontRef>
              </xdr:style>
              <xdr:txBody>
                <a:bodyPr vertOverflow="clip" horzOverflow="clip" vert="horz" lIns="182880" tIns="0" rIns="0" bIns="0" rtlCol="0" anchor="ctr"/>
                <a:lstStyle/>
                <a:p>
                  <a:pPr marL="0" indent="0" algn="l"/>
                  <a:r>
                    <a:rPr lang="en-US" sz="1200" b="1" baseline="0">
                      <a:solidFill>
                        <a:srgbClr val="151515"/>
                      </a:solidFill>
                      <a:latin typeface="Calibri"/>
                      <a:ea typeface="+mn-ea"/>
                      <a:cs typeface="+mn-cs"/>
                    </a:rPr>
                    <a:t>TOP DAY FOR ENGAGEMENT</a:t>
                  </a:r>
                </a:p>
              </xdr:txBody>
            </xdr:sp>
            <xdr:sp macro="" textlink="">
              <xdr:nvSpPr>
                <xdr:cNvPr id="416" name="TextBox 415"/>
                <xdr:cNvSpPr txBox="1"/>
              </xdr:nvSpPr>
              <xdr:spPr>
                <a:xfrm>
                  <a:off x="7953376" y="15456497"/>
                  <a:ext cx="2343150" cy="274320"/>
                </a:xfrm>
                <a:prstGeom prst="rect">
                  <a:avLst/>
                </a:prstGeom>
                <a:noFill/>
                <a:ln w="9525" cmpd="sng">
                  <a:noFill/>
                </a:ln>
                <a:effectLst/>
                <a:extLst/>
              </xdr:spPr>
              <xdr:style>
                <a:lnRef idx="0">
                  <a:scrgbClr r="0" g="0" b="0"/>
                </a:lnRef>
                <a:fillRef idx="0">
                  <a:scrgbClr r="0" g="0" b="0"/>
                </a:fillRef>
                <a:effectRef idx="0">
                  <a:scrgbClr r="0" g="0" b="0"/>
                </a:effectRef>
                <a:fontRef idx="minor">
                  <a:schemeClr val="dk1"/>
                </a:fontRef>
              </xdr:style>
              <xdr:txBody>
                <a:bodyPr vertOverflow="clip" horzOverflow="clip" vert="horz" lIns="182880" tIns="0" rIns="0" bIns="0" rtlCol="0" anchor="ctr"/>
                <a:lstStyle/>
                <a:p>
                  <a:pPr algn="l"/>
                  <a:r>
                    <a:rPr lang="en-US" sz="1200" b="1">
                      <a:solidFill>
                        <a:srgbClr val="D2D2D2"/>
                      </a:solidFill>
                      <a:latin typeface="Calibri"/>
                    </a:rPr>
                    <a:t>TOP DAY FOR ENGAGEMENT</a:t>
                  </a:r>
                </a:p>
              </xdr:txBody>
            </xdr:sp>
          </xdr:grpSp>
        </xdr:grpSp>
        <xdr:grpSp>
          <xdr:nvGrpSpPr>
            <xdr:cNvPr id="45" name="Group 44"/>
            <xdr:cNvGrpSpPr/>
          </xdr:nvGrpSpPr>
          <xdr:grpSpPr>
            <a:xfrm>
              <a:off x="7913751" y="37935932"/>
              <a:ext cx="3200400" cy="843750"/>
              <a:chOff x="7913751" y="37935932"/>
              <a:chExt cx="3200400" cy="843750"/>
            </a:xfrm>
          </xdr:grpSpPr>
          <xdr:sp macro="" textlink="Calculations!F290">
            <xdr:nvSpPr>
              <xdr:cNvPr id="401" name="TextBox 400"/>
              <xdr:cNvSpPr txBox="1"/>
            </xdr:nvSpPr>
            <xdr:spPr>
              <a:xfrm>
                <a:off x="7913751" y="37935932"/>
                <a:ext cx="3200400" cy="501675"/>
              </a:xfrm>
              <a:prstGeom prst="rect">
                <a:avLst/>
              </a:prstGeom>
              <a:noFill/>
              <a:ln>
                <a:noFill/>
              </a:ln>
              <a:effectLst>
                <a:outerShdw sx="1000" sy="1000" rotWithShape="0">
                  <a:srgbClr val="000000"/>
                </a:outerShdw>
              </a:effectLst>
            </xdr:spPr>
            <xdr:style>
              <a:lnRef idx="1">
                <a:schemeClr val="accent1"/>
              </a:lnRef>
              <a:fillRef idx="3">
                <a:schemeClr val="accent1"/>
              </a:fillRef>
              <a:effectRef idx="2">
                <a:schemeClr val="accent1"/>
              </a:effectRef>
              <a:fontRef idx="minor">
                <a:schemeClr val="lt1"/>
              </a:fontRef>
            </xdr:style>
            <xdr:txBody>
              <a:bodyPr vertOverflow="clip" horzOverflow="clip" lIns="0" tIns="0" rIns="0" bIns="0" rtlCol="0" anchor="ctr"/>
              <a:lstStyle/>
              <a:p>
                <a:pPr marL="0" indent="0" algn="ctr"/>
                <a:fld id="{658E2DF2-9A68-4234-A24E-80FFBA102423}" type="TxLink">
                  <a:rPr lang="en-US" sz="2600" b="0" baseline="0">
                    <a:solidFill>
                      <a:srgbClr val="92B7E3"/>
                    </a:solidFill>
                    <a:latin typeface="+mn-lt"/>
                    <a:ea typeface="+mn-ea"/>
                    <a:cs typeface="+mn-cs"/>
                  </a:rPr>
                  <a:pPr marL="0" indent="0" algn="ctr"/>
                  <a:t>Wednesday</a:t>
                </a:fld>
                <a:endParaRPr lang="en-US" sz="2600" b="0" baseline="0">
                  <a:solidFill>
                    <a:srgbClr val="92B7E3"/>
                  </a:solidFill>
                  <a:latin typeface="+mn-lt"/>
                  <a:ea typeface="+mn-ea"/>
                  <a:cs typeface="+mn-cs"/>
                </a:endParaRPr>
              </a:p>
            </xdr:txBody>
          </xdr:sp>
          <xdr:sp macro="" textlink="Calculations!G290">
            <xdr:nvSpPr>
              <xdr:cNvPr id="402" name="Rectangle 401"/>
              <xdr:cNvSpPr/>
            </xdr:nvSpPr>
            <xdr:spPr>
              <a:xfrm>
                <a:off x="9237726" y="38506041"/>
                <a:ext cx="1506474" cy="273641"/>
              </a:xfrm>
              <a:prstGeom prst="rect">
                <a:avLst/>
              </a:prstGeom>
              <a:noFill/>
              <a:ln>
                <a:noFill/>
              </a:ln>
              <a:effectLst>
                <a:outerShdw sx="1000" sy="1000" rotWithShape="0">
                  <a:srgbClr val="000000"/>
                </a:outerShdw>
              </a:effectLst>
            </xdr:spPr>
            <xdr:style>
              <a:lnRef idx="1">
                <a:schemeClr val="accent1"/>
              </a:lnRef>
              <a:fillRef idx="3">
                <a:schemeClr val="accent1"/>
              </a:fillRef>
              <a:effectRef idx="2">
                <a:schemeClr val="accent1"/>
              </a:effectRef>
              <a:fontRef idx="minor">
                <a:schemeClr val="lt1"/>
              </a:fontRef>
            </xdr:style>
            <xdr:txBody>
              <a:bodyPr vertOverflow="clip" horzOverflow="clip" lIns="0" tIns="0" rIns="0" bIns="0" rtlCol="0" anchor="ctr"/>
              <a:lstStyle/>
              <a:p>
                <a:pPr algn="l"/>
                <a:fld id="{E507988D-07CB-4187-858F-92BA5DAD8AEE}" type="TxLink">
                  <a:rPr lang="en-US" sz="1200" b="0" i="0" cap="none" baseline="0">
                    <a:solidFill>
                      <a:srgbClr val="668BB7"/>
                    </a:solidFill>
                    <a:latin typeface="+mn-lt"/>
                  </a:rPr>
                  <a:pPr algn="l"/>
                  <a:t>  of total engagements</a:t>
                </a:fld>
                <a:endParaRPr lang="en-US" sz="1200" b="0" i="0" cap="none" baseline="0">
                  <a:solidFill>
                    <a:srgbClr val="668BB7"/>
                  </a:solidFill>
                  <a:latin typeface="+mn-lt"/>
                </a:endParaRPr>
              </a:p>
            </xdr:txBody>
          </xdr:sp>
          <xdr:sp macro="" textlink="Calculations!E290">
            <xdr:nvSpPr>
              <xdr:cNvPr id="403" name="Rectangle 402"/>
              <xdr:cNvSpPr/>
            </xdr:nvSpPr>
            <xdr:spPr>
              <a:xfrm>
                <a:off x="8753475" y="38487015"/>
                <a:ext cx="628650" cy="273641"/>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lIns="0" tIns="0" rIns="0" bIns="0" rtlCol="0" anchor="ctr"/>
              <a:lstStyle/>
              <a:p>
                <a:pPr marL="0" indent="0" algn="l"/>
                <a:fld id="{1B12F15F-FCB8-4574-930C-5A275FE30442}" type="TxLink">
                  <a:rPr lang="en-US" sz="1600" b="0" i="0">
                    <a:solidFill>
                      <a:srgbClr val="668BB7"/>
                    </a:solidFill>
                    <a:latin typeface="Calibri"/>
                    <a:ea typeface="+mn-ea"/>
                    <a:cs typeface="+mn-cs"/>
                  </a:rPr>
                  <a:pPr marL="0" indent="0" algn="l"/>
                  <a:t>17.0%</a:t>
                </a:fld>
                <a:endParaRPr lang="en-US" sz="1600" b="0" i="0">
                  <a:solidFill>
                    <a:srgbClr val="668BB7"/>
                  </a:solidFill>
                  <a:latin typeface="Calibri"/>
                  <a:ea typeface="+mn-ea"/>
                  <a:cs typeface="+mn-cs"/>
                </a:endParaRPr>
              </a:p>
            </xdr:txBody>
          </xdr:sp>
        </xdr:grpSp>
      </xdr:grpSp>
      <xdr:grpSp>
        <xdr:nvGrpSpPr>
          <xdr:cNvPr id="47" name="Group 46"/>
          <xdr:cNvGrpSpPr/>
        </xdr:nvGrpSpPr>
        <xdr:grpSpPr>
          <a:xfrm>
            <a:off x="7896226" y="39124209"/>
            <a:ext cx="3236976" cy="1293347"/>
            <a:chOff x="7896226" y="39124209"/>
            <a:chExt cx="3236976" cy="1293347"/>
          </a:xfrm>
        </xdr:grpSpPr>
        <xdr:grpSp>
          <xdr:nvGrpSpPr>
            <xdr:cNvPr id="399" name="Group 398"/>
            <xdr:cNvGrpSpPr/>
          </xdr:nvGrpSpPr>
          <xdr:grpSpPr>
            <a:xfrm>
              <a:off x="7896226" y="39124209"/>
              <a:ext cx="3236976" cy="1293347"/>
              <a:chOff x="7896226" y="22536747"/>
              <a:chExt cx="3236976" cy="1296556"/>
            </a:xfrm>
          </xdr:grpSpPr>
          <xdr:sp macro="" textlink="">
            <xdr:nvSpPr>
              <xdr:cNvPr id="407" name="Rounded Rectangle 406"/>
              <xdr:cNvSpPr/>
            </xdr:nvSpPr>
            <xdr:spPr>
              <a:xfrm>
                <a:off x="7896226" y="22809175"/>
                <a:ext cx="3236976" cy="1024128"/>
              </a:xfrm>
              <a:prstGeom prst="roundRect">
                <a:avLst>
                  <a:gd name="adj" fmla="val 0"/>
                </a:avLst>
              </a:prstGeom>
              <a:solidFill>
                <a:srgbClr val="3E3E3E"/>
              </a:solidFill>
              <a:ln>
                <a:noFill/>
              </a:ln>
              <a:effectLst/>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en-US" sz="1100"/>
              </a:p>
            </xdr:txBody>
          </xdr:sp>
          <xdr:sp macro="" textlink="">
            <xdr:nvSpPr>
              <xdr:cNvPr id="408" name="Rounded Rectangle 407"/>
              <xdr:cNvSpPr/>
            </xdr:nvSpPr>
            <xdr:spPr>
              <a:xfrm>
                <a:off x="7896226" y="22790125"/>
                <a:ext cx="3236976" cy="1024128"/>
              </a:xfrm>
              <a:prstGeom prst="roundRect">
                <a:avLst>
                  <a:gd name="adj" fmla="val 0"/>
                </a:avLst>
              </a:prstGeom>
              <a:solidFill>
                <a:srgbClr val="151515"/>
              </a:solidFill>
              <a:ln w="12700">
                <a:solidFill>
                  <a:srgbClr val="0F0F0F"/>
                </a:solidFill>
              </a:ln>
              <a:effectLst/>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marL="0" indent="0" algn="l"/>
                <a:endParaRPr lang="en-US" sz="1100">
                  <a:solidFill>
                    <a:schemeClr val="lt1"/>
                  </a:solidFill>
                  <a:latin typeface="+mn-lt"/>
                  <a:ea typeface="+mn-ea"/>
                  <a:cs typeface="+mn-cs"/>
                </a:endParaRPr>
              </a:p>
            </xdr:txBody>
          </xdr:sp>
          <xdr:grpSp>
            <xdr:nvGrpSpPr>
              <xdr:cNvPr id="409" name="Group 408"/>
              <xdr:cNvGrpSpPr/>
            </xdr:nvGrpSpPr>
            <xdr:grpSpPr>
              <a:xfrm>
                <a:off x="7896226" y="22536747"/>
                <a:ext cx="3236976" cy="280073"/>
                <a:chOff x="7953376" y="15456497"/>
                <a:chExt cx="3236976" cy="280073"/>
              </a:xfrm>
            </xdr:grpSpPr>
            <xdr:sp macro="" textlink="">
              <xdr:nvSpPr>
                <xdr:cNvPr id="410" name="TextBox 409"/>
                <xdr:cNvSpPr txBox="1"/>
              </xdr:nvSpPr>
              <xdr:spPr>
                <a:xfrm>
                  <a:off x="7953376" y="15462250"/>
                  <a:ext cx="3236976" cy="274320"/>
                </a:xfrm>
                <a:prstGeom prst="rect">
                  <a:avLst/>
                </a:prstGeom>
                <a:gradFill flip="none" rotWithShape="1">
                  <a:gsLst>
                    <a:gs pos="100000">
                      <a:srgbClr val="32323C"/>
                    </a:gs>
                    <a:gs pos="0">
                      <a:srgbClr val="41414B"/>
                    </a:gs>
                  </a:gsLst>
                  <a:lin ang="5400000" scaled="1"/>
                  <a:tileRect/>
                </a:gradFill>
                <a:ln w="12700" cmpd="sng">
                  <a:gradFill>
                    <a:gsLst>
                      <a:gs pos="0">
                        <a:srgbClr val="4B4B5E"/>
                      </a:gs>
                      <a:gs pos="100000">
                        <a:srgbClr val="373741"/>
                      </a:gs>
                    </a:gsLst>
                    <a:lin ang="5400000" scaled="0"/>
                  </a:gradFill>
                </a:ln>
                <a:effectLst/>
                <a:extLst/>
              </xdr:spPr>
              <xdr:style>
                <a:lnRef idx="0">
                  <a:scrgbClr r="0" g="0" b="0"/>
                </a:lnRef>
                <a:fillRef idx="0">
                  <a:scrgbClr r="0" g="0" b="0"/>
                </a:fillRef>
                <a:effectRef idx="0">
                  <a:scrgbClr r="0" g="0" b="0"/>
                </a:effectRef>
                <a:fontRef idx="minor">
                  <a:schemeClr val="dk1"/>
                </a:fontRef>
              </xdr:style>
              <xdr:txBody>
                <a:bodyPr vertOverflow="clip" horzOverflow="clip" vert="horz" lIns="182880" tIns="0" rIns="0" bIns="0" rtlCol="0" anchor="ctr"/>
                <a:lstStyle/>
                <a:p>
                  <a:pPr marL="0" indent="0" algn="l"/>
                  <a:r>
                    <a:rPr lang="en-US" sz="1200" b="1" baseline="0">
                      <a:solidFill>
                        <a:srgbClr val="151515"/>
                      </a:solidFill>
                      <a:latin typeface="Calibri"/>
                      <a:ea typeface="+mn-ea"/>
                      <a:cs typeface="+mn-cs"/>
                    </a:rPr>
                    <a:t>TOP TIME FOR ENGAGEMENT</a:t>
                  </a:r>
                </a:p>
              </xdr:txBody>
            </xdr:sp>
            <xdr:sp macro="" textlink="">
              <xdr:nvSpPr>
                <xdr:cNvPr id="411" name="TextBox 410"/>
                <xdr:cNvSpPr txBox="1"/>
              </xdr:nvSpPr>
              <xdr:spPr>
                <a:xfrm>
                  <a:off x="7953376" y="15456497"/>
                  <a:ext cx="2343150" cy="274320"/>
                </a:xfrm>
                <a:prstGeom prst="rect">
                  <a:avLst/>
                </a:prstGeom>
                <a:noFill/>
                <a:ln w="9525" cmpd="sng">
                  <a:noFill/>
                </a:ln>
                <a:effectLst/>
                <a:extLst/>
              </xdr:spPr>
              <xdr:style>
                <a:lnRef idx="0">
                  <a:scrgbClr r="0" g="0" b="0"/>
                </a:lnRef>
                <a:fillRef idx="0">
                  <a:scrgbClr r="0" g="0" b="0"/>
                </a:fillRef>
                <a:effectRef idx="0">
                  <a:scrgbClr r="0" g="0" b="0"/>
                </a:effectRef>
                <a:fontRef idx="minor">
                  <a:schemeClr val="dk1"/>
                </a:fontRef>
              </xdr:style>
              <xdr:txBody>
                <a:bodyPr vertOverflow="clip" horzOverflow="clip" vert="horz" lIns="182880" tIns="0" rIns="0" bIns="0" rtlCol="0" anchor="ctr"/>
                <a:lstStyle/>
                <a:p>
                  <a:pPr algn="l"/>
                  <a:r>
                    <a:rPr lang="en-US" sz="1200" b="1">
                      <a:solidFill>
                        <a:srgbClr val="D2D2D2"/>
                      </a:solidFill>
                      <a:latin typeface="Calibri"/>
                    </a:rPr>
                    <a:t>TOP TIME FOR ENGAGEMENT</a:t>
                  </a:r>
                </a:p>
              </xdr:txBody>
            </xdr:sp>
          </xdr:grpSp>
        </xdr:grpSp>
        <xdr:grpSp>
          <xdr:nvGrpSpPr>
            <xdr:cNvPr id="46" name="Group 45"/>
            <xdr:cNvGrpSpPr/>
          </xdr:nvGrpSpPr>
          <xdr:grpSpPr>
            <a:xfrm>
              <a:off x="7913751" y="39494165"/>
              <a:ext cx="3200400" cy="821533"/>
              <a:chOff x="7913751" y="39494165"/>
              <a:chExt cx="3200400" cy="821533"/>
            </a:xfrm>
          </xdr:grpSpPr>
          <xdr:sp macro="" textlink="Calculations!E291">
            <xdr:nvSpPr>
              <xdr:cNvPr id="404" name="Rectangle 403"/>
              <xdr:cNvSpPr/>
            </xdr:nvSpPr>
            <xdr:spPr>
              <a:xfrm>
                <a:off x="8753475" y="40032580"/>
                <a:ext cx="629657" cy="273641"/>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lIns="0" tIns="0" rIns="0" bIns="0" rtlCol="0" anchor="ctr"/>
              <a:lstStyle/>
              <a:p>
                <a:pPr marL="0" indent="0" algn="l"/>
                <a:fld id="{8FDD2466-4ABF-4C69-A6AF-E50064DC5E40}" type="TxLink">
                  <a:rPr lang="en-US" sz="1600" b="0" i="0">
                    <a:solidFill>
                      <a:srgbClr val="668BB7"/>
                    </a:solidFill>
                    <a:latin typeface="Calibri"/>
                    <a:ea typeface="+mn-ea"/>
                    <a:cs typeface="+mn-cs"/>
                  </a:rPr>
                  <a:pPr marL="0" indent="0" algn="l"/>
                  <a:t>9.5%</a:t>
                </a:fld>
                <a:endParaRPr lang="en-US" sz="1600" b="0" i="0">
                  <a:solidFill>
                    <a:srgbClr val="668BB7"/>
                  </a:solidFill>
                  <a:latin typeface="Calibri"/>
                  <a:ea typeface="+mn-ea"/>
                  <a:cs typeface="+mn-cs"/>
                </a:endParaRPr>
              </a:p>
            </xdr:txBody>
          </xdr:sp>
          <xdr:sp macro="" textlink="Calculations!F291">
            <xdr:nvSpPr>
              <xdr:cNvPr id="405" name="TextBox 404"/>
              <xdr:cNvSpPr txBox="1"/>
            </xdr:nvSpPr>
            <xdr:spPr>
              <a:xfrm>
                <a:off x="7913751" y="39494165"/>
                <a:ext cx="3200400" cy="501675"/>
              </a:xfrm>
              <a:prstGeom prst="rect">
                <a:avLst/>
              </a:prstGeom>
              <a:noFill/>
              <a:ln>
                <a:noFill/>
              </a:ln>
              <a:effectLst>
                <a:outerShdw sx="1000" sy="1000" rotWithShape="0">
                  <a:srgbClr val="000000"/>
                </a:outerShdw>
              </a:effectLst>
            </xdr:spPr>
            <xdr:style>
              <a:lnRef idx="1">
                <a:schemeClr val="accent1"/>
              </a:lnRef>
              <a:fillRef idx="3">
                <a:schemeClr val="accent1"/>
              </a:fillRef>
              <a:effectRef idx="2">
                <a:schemeClr val="accent1"/>
              </a:effectRef>
              <a:fontRef idx="minor">
                <a:schemeClr val="lt1"/>
              </a:fontRef>
            </xdr:style>
            <xdr:txBody>
              <a:bodyPr vertOverflow="clip" horzOverflow="clip" lIns="0" tIns="0" rIns="0" bIns="0" rtlCol="0" anchor="ctr"/>
              <a:lstStyle/>
              <a:p>
                <a:pPr marL="0" indent="0" algn="ctr"/>
                <a:fld id="{ABAAC9B0-3752-4B70-AEF0-E8248A8965EC}" type="TxLink">
                  <a:rPr lang="en-US" sz="2600" b="0" baseline="0">
                    <a:solidFill>
                      <a:srgbClr val="92B7E3"/>
                    </a:solidFill>
                    <a:latin typeface="+mn-lt"/>
                    <a:ea typeface="+mn-ea"/>
                    <a:cs typeface="+mn-cs"/>
                  </a:rPr>
                  <a:pPr marL="0" indent="0" algn="ctr"/>
                  <a:t>2:00 PM – 3:00 PM</a:t>
                </a:fld>
                <a:endParaRPr lang="en-US" sz="2600" b="0" baseline="0">
                  <a:solidFill>
                    <a:srgbClr val="92B7E3"/>
                  </a:solidFill>
                  <a:latin typeface="+mn-lt"/>
                  <a:ea typeface="+mn-ea"/>
                  <a:cs typeface="+mn-cs"/>
                </a:endParaRPr>
              </a:p>
            </xdr:txBody>
          </xdr:sp>
          <xdr:sp macro="" textlink="Calculations!G291">
            <xdr:nvSpPr>
              <xdr:cNvPr id="406" name="Rectangle 405"/>
              <xdr:cNvSpPr/>
            </xdr:nvSpPr>
            <xdr:spPr>
              <a:xfrm>
                <a:off x="9237726" y="40042057"/>
                <a:ext cx="1506474" cy="273641"/>
              </a:xfrm>
              <a:prstGeom prst="rect">
                <a:avLst/>
              </a:prstGeom>
              <a:noFill/>
              <a:ln>
                <a:noFill/>
              </a:ln>
              <a:effectLst>
                <a:outerShdw sx="1000" sy="1000" rotWithShape="0">
                  <a:srgbClr val="000000"/>
                </a:outerShdw>
              </a:effectLst>
            </xdr:spPr>
            <xdr:style>
              <a:lnRef idx="1">
                <a:schemeClr val="accent1"/>
              </a:lnRef>
              <a:fillRef idx="3">
                <a:schemeClr val="accent1"/>
              </a:fillRef>
              <a:effectRef idx="2">
                <a:schemeClr val="accent1"/>
              </a:effectRef>
              <a:fontRef idx="minor">
                <a:schemeClr val="lt1"/>
              </a:fontRef>
            </xdr:style>
            <xdr:txBody>
              <a:bodyPr vertOverflow="clip" horzOverflow="clip" lIns="0" tIns="0" rIns="0" bIns="0" rtlCol="0" anchor="ctr"/>
              <a:lstStyle/>
              <a:p>
                <a:pPr algn="l"/>
                <a:fld id="{04F02778-4FEF-4388-B1B0-1F006A8C3070}" type="TxLink">
                  <a:rPr lang="en-US" sz="1200" b="0" i="0" cap="none" baseline="0">
                    <a:solidFill>
                      <a:srgbClr val="668BB7"/>
                    </a:solidFill>
                    <a:latin typeface="+mn-lt"/>
                  </a:rPr>
                  <a:pPr algn="l"/>
                  <a:t>of total engagements</a:t>
                </a:fld>
                <a:endParaRPr lang="en-US" sz="1200" b="0" i="0" cap="none" baseline="0">
                  <a:solidFill>
                    <a:srgbClr val="668BB7"/>
                  </a:solidFill>
                  <a:latin typeface="+mn-lt"/>
                </a:endParaRPr>
              </a:p>
            </xdr:txBody>
          </xdr:sp>
        </xdr:grpSp>
      </xdr:grpSp>
      <xdr:graphicFrame macro="">
        <xdr:nvGraphicFramePr>
          <xdr:cNvPr id="417" name="Chart 416"/>
          <xdr:cNvGraphicFramePr>
            <a:graphicFrameLocks/>
          </xdr:cNvGraphicFramePr>
        </xdr:nvGraphicFramePr>
        <xdr:xfrm>
          <a:off x="247650" y="39492265"/>
          <a:ext cx="7406640" cy="1400175"/>
        </xdr:xfrm>
        <a:graphic>
          <a:graphicData uri="http://schemas.openxmlformats.org/drawingml/2006/chart">
            <c:chart xmlns:c="http://schemas.openxmlformats.org/drawingml/2006/chart" xmlns:r="http://schemas.openxmlformats.org/officeDocument/2006/relationships" r:id="rId21"/>
          </a:graphicData>
        </a:graphic>
      </xdr:graphicFrame>
    </xdr:grpSp>
    <xdr:clientData/>
  </xdr:twoCellAnchor>
  <xdr:twoCellAnchor>
    <xdr:from>
      <xdr:col>1</xdr:col>
      <xdr:colOff>27432</xdr:colOff>
      <xdr:row>204</xdr:row>
      <xdr:rowOff>133350</xdr:rowOff>
    </xdr:from>
    <xdr:to>
      <xdr:col>23</xdr:col>
      <xdr:colOff>564261</xdr:colOff>
      <xdr:row>217</xdr:row>
      <xdr:rowOff>19051</xdr:rowOff>
    </xdr:to>
    <xdr:graphicFrame macro="">
      <xdr:nvGraphicFramePr>
        <xdr:cNvPr id="419" name="Chart 4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xdr:col>
      <xdr:colOff>0</xdr:colOff>
      <xdr:row>217</xdr:row>
      <xdr:rowOff>123825</xdr:rowOff>
    </xdr:from>
    <xdr:to>
      <xdr:col>24</xdr:col>
      <xdr:colOff>1143</xdr:colOff>
      <xdr:row>236</xdr:row>
      <xdr:rowOff>161925</xdr:rowOff>
    </xdr:to>
    <xdr:grpSp>
      <xdr:nvGrpSpPr>
        <xdr:cNvPr id="23" name="Group 22"/>
        <xdr:cNvGrpSpPr/>
      </xdr:nvGrpSpPr>
      <xdr:grpSpPr>
        <a:xfrm>
          <a:off x="247650" y="40814625"/>
          <a:ext cx="11173968" cy="3657600"/>
          <a:chOff x="247650" y="44815125"/>
          <a:chExt cx="11173968" cy="3657600"/>
        </a:xfrm>
      </xdr:grpSpPr>
      <xdr:grpSp>
        <xdr:nvGrpSpPr>
          <xdr:cNvPr id="37" name="Group 36"/>
          <xdr:cNvGrpSpPr/>
        </xdr:nvGrpSpPr>
        <xdr:grpSpPr>
          <a:xfrm>
            <a:off x="247650" y="44815125"/>
            <a:ext cx="5541264" cy="3657600"/>
            <a:chOff x="247650" y="45072300"/>
            <a:chExt cx="5541264" cy="3657600"/>
          </a:xfrm>
        </xdr:grpSpPr>
        <xdr:sp macro="" textlink="">
          <xdr:nvSpPr>
            <xdr:cNvPr id="421" name="Rectangle 420"/>
            <xdr:cNvSpPr/>
          </xdr:nvSpPr>
          <xdr:spPr>
            <a:xfrm>
              <a:off x="247650" y="45072300"/>
              <a:ext cx="5541264" cy="3653843"/>
            </a:xfrm>
            <a:prstGeom prst="rect">
              <a:avLst/>
            </a:prstGeom>
            <a:solidFill>
              <a:srgbClr val="262626"/>
            </a:solidFill>
            <a:ln w="19050" cap="flat" cmpd="sng" algn="ctr">
              <a:solidFill>
                <a:srgbClr val="151515"/>
              </a:solidFill>
              <a:prstDash val="solid"/>
            </a:ln>
            <a:effectLs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Calculations!B323">
          <xdr:nvSpPr>
            <xdr:cNvPr id="424" name="Rectangle 423"/>
            <xdr:cNvSpPr/>
          </xdr:nvSpPr>
          <xdr:spPr>
            <a:xfrm>
              <a:off x="499526" y="46478563"/>
              <a:ext cx="5037513" cy="412778"/>
            </a:xfrm>
            <a:prstGeom prst="rect">
              <a:avLst/>
            </a:prstGeom>
            <a:noFill/>
            <a:ln>
              <a:noFill/>
            </a:ln>
            <a:effectLst>
              <a:outerShdw sx="1000" sy="1000" rotWithShape="0">
                <a:srgbClr val="000000"/>
              </a:outerShdw>
            </a:effectLst>
          </xdr:spPr>
          <xdr:style>
            <a:lnRef idx="1">
              <a:schemeClr val="accent1"/>
            </a:lnRef>
            <a:fillRef idx="3">
              <a:schemeClr val="accent1"/>
            </a:fillRef>
            <a:effectRef idx="2">
              <a:schemeClr val="accent1"/>
            </a:effectRef>
            <a:fontRef idx="minor">
              <a:schemeClr val="lt1"/>
            </a:fontRef>
          </xdr:style>
          <xdr:txBody>
            <a:bodyPr vertOverflow="clip" horzOverflow="clip" lIns="0" tIns="0" rIns="0" bIns="0" rtlCol="0" anchor="ctr"/>
            <a:lstStyle/>
            <a:p>
              <a:pPr algn="ctr"/>
              <a:fld id="{C458BE3C-E4D3-4D18-822F-A9F6615090B6}" type="TxLink">
                <a:rPr lang="en-US" sz="1600" b="1" cap="none" baseline="0">
                  <a:solidFill>
                    <a:srgbClr val="B4B4B4"/>
                  </a:solidFill>
                  <a:latin typeface="+mn-lt"/>
                </a:rPr>
                <a:pPr algn="ctr"/>
                <a:t> </a:t>
              </a:fld>
              <a:endParaRPr lang="en-US" sz="1600" b="1" cap="none" baseline="0">
                <a:solidFill>
                  <a:srgbClr val="B4B4B4"/>
                </a:solidFill>
                <a:latin typeface="+mn-lt"/>
              </a:endParaRPr>
            </a:p>
          </xdr:txBody>
        </xdr:sp>
        <xdr:sp macro="" textlink="Calculations!B324">
          <xdr:nvSpPr>
            <xdr:cNvPr id="425" name="Rectangle 424"/>
            <xdr:cNvSpPr/>
          </xdr:nvSpPr>
          <xdr:spPr>
            <a:xfrm>
              <a:off x="499526" y="46910860"/>
              <a:ext cx="5037513" cy="412778"/>
            </a:xfrm>
            <a:prstGeom prst="rect">
              <a:avLst/>
            </a:prstGeom>
            <a:noFill/>
            <a:ln>
              <a:noFill/>
            </a:ln>
            <a:effectLst>
              <a:outerShdw sx="1000" sy="1000" rotWithShape="0">
                <a:srgbClr val="000000"/>
              </a:outerShdw>
            </a:effectLst>
          </xdr:spPr>
          <xdr:style>
            <a:lnRef idx="1">
              <a:schemeClr val="accent1"/>
            </a:lnRef>
            <a:fillRef idx="3">
              <a:schemeClr val="accent1"/>
            </a:fillRef>
            <a:effectRef idx="2">
              <a:schemeClr val="accent1"/>
            </a:effectRef>
            <a:fontRef idx="minor">
              <a:schemeClr val="lt1"/>
            </a:fontRef>
          </xdr:style>
          <xdr:txBody>
            <a:bodyPr vertOverflow="clip" horzOverflow="clip" lIns="0" tIns="0" rIns="0" bIns="0" rtlCol="0" anchor="ctr"/>
            <a:lstStyle/>
            <a:p>
              <a:pPr algn="ctr"/>
              <a:fld id="{A3EF60F6-03D5-4C9C-8ED5-782D02715322}" type="TxLink">
                <a:rPr lang="en-US" sz="1600" b="1" cap="none" baseline="0">
                  <a:solidFill>
                    <a:srgbClr val="B4B4B4"/>
                  </a:solidFill>
                  <a:latin typeface="+mn-lt"/>
                </a:rPr>
                <a:pPr algn="ctr"/>
                <a:t> </a:t>
              </a:fld>
              <a:endParaRPr lang="en-US" sz="1600" b="1" cap="none" baseline="0">
                <a:solidFill>
                  <a:srgbClr val="B4B4B4"/>
                </a:solidFill>
                <a:latin typeface="+mn-lt"/>
              </a:endParaRPr>
            </a:p>
          </xdr:txBody>
        </xdr:sp>
        <xdr:graphicFrame macro="">
          <xdr:nvGraphicFramePr>
            <xdr:cNvPr id="422" name="Chart 421"/>
            <xdr:cNvGraphicFramePr>
              <a:graphicFrameLocks/>
            </xdr:cNvGraphicFramePr>
          </xdr:nvGraphicFramePr>
          <xdr:xfrm>
            <a:off x="247650" y="45072300"/>
            <a:ext cx="5541264" cy="3657600"/>
          </xdr:xfrm>
          <a:graphic>
            <a:graphicData uri="http://schemas.openxmlformats.org/drawingml/2006/chart">
              <c:chart xmlns:c="http://schemas.openxmlformats.org/drawingml/2006/chart" xmlns:r="http://schemas.openxmlformats.org/officeDocument/2006/relationships" r:id="rId23"/>
            </a:graphicData>
          </a:graphic>
        </xdr:graphicFrame>
      </xdr:grpSp>
      <xdr:grpSp>
        <xdr:nvGrpSpPr>
          <xdr:cNvPr id="39" name="Group 38"/>
          <xdr:cNvGrpSpPr/>
        </xdr:nvGrpSpPr>
        <xdr:grpSpPr>
          <a:xfrm>
            <a:off x="5880354" y="44815125"/>
            <a:ext cx="5541264" cy="3657600"/>
            <a:chOff x="7485761" y="45072300"/>
            <a:chExt cx="5541264" cy="3657600"/>
          </a:xfrm>
        </xdr:grpSpPr>
        <xdr:sp macro="" textlink="">
          <xdr:nvSpPr>
            <xdr:cNvPr id="427" name="Rectangle 426"/>
            <xdr:cNvSpPr/>
          </xdr:nvSpPr>
          <xdr:spPr>
            <a:xfrm>
              <a:off x="7485761" y="45072300"/>
              <a:ext cx="5541264" cy="3657600"/>
            </a:xfrm>
            <a:prstGeom prst="rect">
              <a:avLst/>
            </a:prstGeom>
            <a:solidFill>
              <a:srgbClr val="262626"/>
            </a:solidFill>
            <a:ln w="19050" cap="flat" cmpd="sng" algn="ctr">
              <a:solidFill>
                <a:srgbClr val="151515"/>
              </a:solidFill>
              <a:prstDash val="solid"/>
            </a:ln>
            <a:effectLs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aphicFrame macro="">
          <xdr:nvGraphicFramePr>
            <xdr:cNvPr id="428" name="Chart 427"/>
            <xdr:cNvGraphicFramePr>
              <a:graphicFrameLocks/>
            </xdr:cNvGraphicFramePr>
          </xdr:nvGraphicFramePr>
          <xdr:xfrm>
            <a:off x="7485761" y="45072300"/>
            <a:ext cx="5537200" cy="3657600"/>
          </xdr:xfrm>
          <a:graphic>
            <a:graphicData uri="http://schemas.openxmlformats.org/drawingml/2006/chart">
              <c:chart xmlns:c="http://schemas.openxmlformats.org/drawingml/2006/chart" xmlns:r="http://schemas.openxmlformats.org/officeDocument/2006/relationships" r:id="rId24"/>
            </a:graphicData>
          </a:graphic>
        </xdr:graphicFrame>
        <xdr:sp macro="" textlink="Calculations!F323">
          <xdr:nvSpPr>
            <xdr:cNvPr id="430" name="Rectangle 429"/>
            <xdr:cNvSpPr/>
          </xdr:nvSpPr>
          <xdr:spPr>
            <a:xfrm>
              <a:off x="7741701" y="46497606"/>
              <a:ext cx="5037513" cy="418367"/>
            </a:xfrm>
            <a:prstGeom prst="rect">
              <a:avLst/>
            </a:prstGeom>
            <a:noFill/>
            <a:ln>
              <a:noFill/>
            </a:ln>
            <a:effectLst>
              <a:outerShdw sx="1000" sy="1000" rotWithShape="0">
                <a:srgbClr val="000000"/>
              </a:outerShdw>
            </a:effectLst>
          </xdr:spPr>
          <xdr:style>
            <a:lnRef idx="1">
              <a:schemeClr val="accent1"/>
            </a:lnRef>
            <a:fillRef idx="3">
              <a:schemeClr val="accent1"/>
            </a:fillRef>
            <a:effectRef idx="2">
              <a:schemeClr val="accent1"/>
            </a:effectRef>
            <a:fontRef idx="minor">
              <a:schemeClr val="lt1"/>
            </a:fontRef>
          </xdr:style>
          <xdr:txBody>
            <a:bodyPr vertOverflow="clip" horzOverflow="clip" lIns="0" tIns="0" rIns="0" bIns="0" rtlCol="0" anchor="ctr"/>
            <a:lstStyle/>
            <a:p>
              <a:pPr algn="ctr"/>
              <a:fld id="{CBC1DB2E-40F6-4006-B7E7-A8265465C5D1}" type="TxLink">
                <a:rPr lang="en-US" sz="1600" b="1" cap="none" baseline="0">
                  <a:solidFill>
                    <a:srgbClr val="B4B4B4"/>
                  </a:solidFill>
                  <a:latin typeface="+mn-lt"/>
                </a:rPr>
                <a:pPr algn="ctr"/>
                <a:t> </a:t>
              </a:fld>
              <a:endParaRPr lang="en-US" sz="1600" b="1" cap="none" baseline="0">
                <a:solidFill>
                  <a:srgbClr val="B4B4B4"/>
                </a:solidFill>
                <a:latin typeface="+mn-lt"/>
              </a:endParaRPr>
            </a:p>
          </xdr:txBody>
        </xdr:sp>
        <xdr:sp macro="" textlink="Calculations!F324">
          <xdr:nvSpPr>
            <xdr:cNvPr id="431" name="Rectangle 430"/>
            <xdr:cNvSpPr/>
          </xdr:nvSpPr>
          <xdr:spPr>
            <a:xfrm>
              <a:off x="7741701" y="46935756"/>
              <a:ext cx="5037513" cy="418367"/>
            </a:xfrm>
            <a:prstGeom prst="rect">
              <a:avLst/>
            </a:prstGeom>
            <a:noFill/>
            <a:ln>
              <a:noFill/>
            </a:ln>
            <a:effectLst>
              <a:outerShdw sx="1000" sy="1000" rotWithShape="0">
                <a:srgbClr val="000000"/>
              </a:outerShdw>
            </a:effectLst>
          </xdr:spPr>
          <xdr:style>
            <a:lnRef idx="1">
              <a:schemeClr val="accent1"/>
            </a:lnRef>
            <a:fillRef idx="3">
              <a:schemeClr val="accent1"/>
            </a:fillRef>
            <a:effectRef idx="2">
              <a:schemeClr val="accent1"/>
            </a:effectRef>
            <a:fontRef idx="minor">
              <a:schemeClr val="lt1"/>
            </a:fontRef>
          </xdr:style>
          <xdr:txBody>
            <a:bodyPr vertOverflow="clip" horzOverflow="clip" lIns="0" tIns="0" rIns="0" bIns="0" rtlCol="0" anchor="ctr"/>
            <a:lstStyle/>
            <a:p>
              <a:pPr algn="ctr"/>
              <a:fld id="{7F8BC17F-F075-41E5-AD38-2AFB1C6D6305}" type="TxLink">
                <a:rPr lang="en-US" sz="1600" b="1" cap="none" baseline="0">
                  <a:solidFill>
                    <a:srgbClr val="B4B4B4"/>
                  </a:solidFill>
                  <a:latin typeface="+mn-lt"/>
                </a:rPr>
                <a:pPr algn="ctr"/>
                <a:t> </a:t>
              </a:fld>
              <a:endParaRPr lang="en-US" sz="1600" b="1" cap="none" baseline="0">
                <a:solidFill>
                  <a:srgbClr val="B4B4B4"/>
                </a:solidFill>
                <a:latin typeface="+mn-lt"/>
              </a:endParaRPr>
            </a:p>
          </xdr:txBody>
        </xdr:sp>
      </xdr:grpSp>
    </xdr:grpSp>
    <xdr:clientData/>
  </xdr:twoCellAnchor>
  <xdr:twoCellAnchor>
    <xdr:from>
      <xdr:col>1</xdr:col>
      <xdr:colOff>0</xdr:colOff>
      <xdr:row>91</xdr:row>
      <xdr:rowOff>133350</xdr:rowOff>
    </xdr:from>
    <xdr:to>
      <xdr:col>24</xdr:col>
      <xdr:colOff>1143</xdr:colOff>
      <xdr:row>93</xdr:row>
      <xdr:rowOff>118110</xdr:rowOff>
    </xdr:to>
    <xdr:grpSp>
      <xdr:nvGrpSpPr>
        <xdr:cNvPr id="9" name="Group 8" descr="ppt_export=no"/>
        <xdr:cNvGrpSpPr/>
      </xdr:nvGrpSpPr>
      <xdr:grpSpPr>
        <a:xfrm>
          <a:off x="247650" y="16821150"/>
          <a:ext cx="11173968" cy="365760"/>
          <a:chOff x="247650" y="20497800"/>
          <a:chExt cx="11173968" cy="365760"/>
        </a:xfrm>
      </xdr:grpSpPr>
      <xdr:sp macro="" textlink="">
        <xdr:nvSpPr>
          <xdr:cNvPr id="385" name="Rectangle 384"/>
          <xdr:cNvSpPr/>
        </xdr:nvSpPr>
        <xdr:spPr>
          <a:xfrm>
            <a:off x="247650" y="20497800"/>
            <a:ext cx="11173968" cy="365760"/>
          </a:xfrm>
          <a:prstGeom prst="rect">
            <a:avLst/>
          </a:prstGeom>
          <a:gradFill flip="none" rotWithShape="1">
            <a:gsLst>
              <a:gs pos="0">
                <a:srgbClr val="AEAEAE"/>
              </a:gs>
              <a:gs pos="100000">
                <a:srgbClr val="E8E8E8"/>
              </a:gs>
            </a:gsLst>
            <a:lin ang="16200000" scaled="1"/>
            <a:tileRect/>
          </a:gradFill>
          <a:ln>
            <a:solidFill>
              <a:srgbClr val="515151"/>
            </a:solidFill>
          </a:ln>
          <a:effectLst/>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en-US" sz="1100"/>
          </a:p>
        </xdr:txBody>
      </xdr:sp>
      <xdr:sp macro="" textlink="">
        <xdr:nvSpPr>
          <xdr:cNvPr id="386" name="Rectangle 385"/>
          <xdr:cNvSpPr/>
        </xdr:nvSpPr>
        <xdr:spPr>
          <a:xfrm>
            <a:off x="4436585" y="20497800"/>
            <a:ext cx="2796099" cy="365760"/>
          </a:xfrm>
          <a:prstGeom prst="rect">
            <a:avLst/>
          </a:prstGeom>
          <a:gradFill>
            <a:gsLst>
              <a:gs pos="94000">
                <a:srgbClr val="515151"/>
              </a:gs>
              <a:gs pos="0">
                <a:srgbClr val="8A8A8A"/>
              </a:gs>
              <a:gs pos="100000">
                <a:srgbClr val="3F3F3F"/>
              </a:gs>
            </a:gsLst>
            <a:lin ang="16200000" scaled="0"/>
          </a:gradFill>
          <a:ln>
            <a:solidFill>
              <a:srgbClr val="3B3B3B"/>
            </a:solidFill>
          </a:ln>
          <a:effectLst/>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en-US" sz="1200" b="0">
                <a:solidFill>
                  <a:srgbClr val="FFFFFF"/>
                </a:solidFill>
                <a:effectLst/>
              </a:rPr>
              <a:t>Reach and Audience</a:t>
            </a:r>
          </a:p>
        </xdr:txBody>
      </xdr:sp>
      <xdr:sp macro="" textlink="">
        <xdr:nvSpPr>
          <xdr:cNvPr id="387" name="Rectangle 386"/>
          <xdr:cNvSpPr/>
        </xdr:nvSpPr>
        <xdr:spPr>
          <a:xfrm>
            <a:off x="710784" y="20497800"/>
            <a:ext cx="2798389" cy="365760"/>
          </a:xfrm>
          <a:prstGeom prst="rect">
            <a:avLst/>
          </a:prstGeom>
          <a:noFill/>
          <a:ln>
            <a:noFill/>
          </a:ln>
          <a:effectLst/>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en-US" sz="1200" b="0" u="sng">
                <a:solidFill>
                  <a:srgbClr val="1F5AA1"/>
                </a:solidFill>
                <a:effectLst/>
              </a:rPr>
              <a:t>Volume and Engagement</a:t>
            </a:r>
          </a:p>
        </xdr:txBody>
      </xdr:sp>
      <xdr:sp macro="" textlink="">
        <xdr:nvSpPr>
          <xdr:cNvPr id="388" name="Rectangle 387"/>
          <xdr:cNvSpPr/>
        </xdr:nvSpPr>
        <xdr:spPr>
          <a:xfrm>
            <a:off x="8160096" y="20497800"/>
            <a:ext cx="2798389" cy="365760"/>
          </a:xfrm>
          <a:prstGeom prst="rect">
            <a:avLst/>
          </a:prstGeom>
          <a:noFill/>
          <a:ln>
            <a:noFill/>
          </a:ln>
          <a:effectLst/>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en-US" sz="1200" b="0" u="sng">
                <a:solidFill>
                  <a:srgbClr val="1F5AA1"/>
                </a:solidFill>
                <a:effectLst/>
              </a:rPr>
              <a:t>Optimization</a:t>
            </a:r>
          </a:p>
        </xdr:txBody>
      </xdr:sp>
    </xdr:grpSp>
    <xdr:clientData/>
  </xdr:twoCellAnchor>
  <xdr:twoCellAnchor>
    <xdr:from>
      <xdr:col>1</xdr:col>
      <xdr:colOff>0</xdr:colOff>
      <xdr:row>94</xdr:row>
      <xdr:rowOff>19050</xdr:rowOff>
    </xdr:from>
    <xdr:to>
      <xdr:col>24</xdr:col>
      <xdr:colOff>1143</xdr:colOff>
      <xdr:row>113</xdr:row>
      <xdr:rowOff>57150</xdr:rowOff>
    </xdr:to>
    <xdr:grpSp>
      <xdr:nvGrpSpPr>
        <xdr:cNvPr id="93" name="Group 92"/>
        <xdr:cNvGrpSpPr/>
      </xdr:nvGrpSpPr>
      <xdr:grpSpPr>
        <a:xfrm>
          <a:off x="247650" y="17278350"/>
          <a:ext cx="11173968" cy="3657600"/>
          <a:chOff x="247650" y="21069300"/>
          <a:chExt cx="11173968" cy="3657600"/>
        </a:xfrm>
      </xdr:grpSpPr>
      <xdr:sp macro="" textlink="">
        <xdr:nvSpPr>
          <xdr:cNvPr id="288" name="Rounded Rectangle 287"/>
          <xdr:cNvSpPr/>
        </xdr:nvSpPr>
        <xdr:spPr>
          <a:xfrm>
            <a:off x="247650" y="21069300"/>
            <a:ext cx="11173968" cy="3657600"/>
          </a:xfrm>
          <a:prstGeom prst="roundRect">
            <a:avLst>
              <a:gd name="adj" fmla="val 0"/>
            </a:avLst>
          </a:prstGeom>
          <a:solidFill>
            <a:srgbClr val="262626"/>
          </a:solidFill>
          <a:ln w="19050">
            <a:solidFill>
              <a:srgbClr val="15151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aphicFrame macro="">
        <xdr:nvGraphicFramePr>
          <xdr:cNvPr id="287" name="Chart 286"/>
          <xdr:cNvGraphicFramePr>
            <a:graphicFrameLocks/>
          </xdr:cNvGraphicFramePr>
        </xdr:nvGraphicFramePr>
        <xdr:xfrm>
          <a:off x="247650" y="21069300"/>
          <a:ext cx="7416800" cy="3657600"/>
        </xdr:xfrm>
        <a:graphic>
          <a:graphicData uri="http://schemas.openxmlformats.org/drawingml/2006/chart">
            <c:chart xmlns:c="http://schemas.openxmlformats.org/drawingml/2006/chart" xmlns:r="http://schemas.openxmlformats.org/officeDocument/2006/relationships" r:id="rId25"/>
          </a:graphicData>
        </a:graphic>
      </xdr:graphicFrame>
      <xdr:grpSp>
        <xdr:nvGrpSpPr>
          <xdr:cNvPr id="71" name="Group 70"/>
          <xdr:cNvGrpSpPr/>
        </xdr:nvGrpSpPr>
        <xdr:grpSpPr>
          <a:xfrm>
            <a:off x="7829550" y="21345525"/>
            <a:ext cx="3246501" cy="3114294"/>
            <a:chOff x="7829550" y="21174075"/>
            <a:chExt cx="3246501" cy="3114294"/>
          </a:xfrm>
        </xdr:grpSpPr>
        <xdr:grpSp>
          <xdr:nvGrpSpPr>
            <xdr:cNvPr id="66" name="Group 65"/>
            <xdr:cNvGrpSpPr/>
          </xdr:nvGrpSpPr>
          <xdr:grpSpPr>
            <a:xfrm>
              <a:off x="7829550" y="21174075"/>
              <a:ext cx="3246501" cy="3114294"/>
              <a:chOff x="7829550" y="21174075"/>
              <a:chExt cx="3246501" cy="3114294"/>
            </a:xfrm>
          </xdr:grpSpPr>
          <xdr:sp macro="" textlink="">
            <xdr:nvSpPr>
              <xdr:cNvPr id="559" name="Rounded Rectangle 558"/>
              <xdr:cNvSpPr/>
            </xdr:nvSpPr>
            <xdr:spPr>
              <a:xfrm>
                <a:off x="7829550" y="21450296"/>
                <a:ext cx="3236976" cy="2816352"/>
              </a:xfrm>
              <a:prstGeom prst="roundRect">
                <a:avLst>
                  <a:gd name="adj" fmla="val 0"/>
                </a:avLst>
              </a:prstGeom>
              <a:solidFill>
                <a:srgbClr val="151515"/>
              </a:solidFill>
              <a:ln w="12700">
                <a:solidFill>
                  <a:srgbClr val="0F0F0F"/>
                </a:solidFill>
              </a:ln>
              <a:effectLst/>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marL="0" indent="0" algn="l"/>
                <a:endParaRPr lang="en-US" sz="1100">
                  <a:solidFill>
                    <a:schemeClr val="lt1"/>
                  </a:solidFill>
                  <a:latin typeface="+mn-lt"/>
                  <a:ea typeface="+mn-ea"/>
                  <a:cs typeface="+mn-cs"/>
                </a:endParaRPr>
              </a:p>
            </xdr:txBody>
          </xdr:sp>
          <xdr:sp macro="" textlink="">
            <xdr:nvSpPr>
              <xdr:cNvPr id="567" name="TextBox 566"/>
              <xdr:cNvSpPr txBox="1"/>
            </xdr:nvSpPr>
            <xdr:spPr>
              <a:xfrm>
                <a:off x="7829550" y="21174075"/>
                <a:ext cx="3236976" cy="274320"/>
              </a:xfrm>
              <a:prstGeom prst="rect">
                <a:avLst/>
              </a:prstGeom>
              <a:gradFill flip="none" rotWithShape="1">
                <a:gsLst>
                  <a:gs pos="0">
                    <a:srgbClr val="32323C"/>
                  </a:gs>
                  <a:gs pos="100000">
                    <a:srgbClr val="41414B"/>
                  </a:gs>
                </a:gsLst>
                <a:lin ang="16200000" scaled="0"/>
                <a:tileRect/>
              </a:gradFill>
              <a:ln w="12700" cmpd="sng">
                <a:gradFill>
                  <a:gsLst>
                    <a:gs pos="0">
                      <a:srgbClr val="4E4E61"/>
                    </a:gs>
                    <a:gs pos="100000">
                      <a:srgbClr val="373741"/>
                    </a:gs>
                  </a:gsLst>
                  <a:lin ang="5400000" scaled="0"/>
                </a:gradFill>
              </a:ln>
              <a:effectLst/>
              <a:extLst/>
            </xdr:spPr>
            <xdr:style>
              <a:lnRef idx="0">
                <a:scrgbClr r="0" g="0" b="0"/>
              </a:lnRef>
              <a:fillRef idx="0">
                <a:scrgbClr r="0" g="0" b="0"/>
              </a:fillRef>
              <a:effectRef idx="0">
                <a:scrgbClr r="0" g="0" b="0"/>
              </a:effectRef>
              <a:fontRef idx="minor">
                <a:schemeClr val="dk1"/>
              </a:fontRef>
            </xdr:style>
            <xdr:txBody>
              <a:bodyPr vertOverflow="clip" horzOverflow="clip" vert="horz" lIns="182880" tIns="0" rIns="0" bIns="0" rtlCol="0" anchor="ctr"/>
              <a:lstStyle/>
              <a:p>
                <a:pPr algn="l"/>
                <a:r>
                  <a:rPr lang="en-US" sz="1200" b="1" baseline="0">
                    <a:solidFill>
                      <a:srgbClr val="151515"/>
                    </a:solidFill>
                    <a:latin typeface="Calibri"/>
                  </a:rPr>
                  <a:t>MENTIONS SUMMARY</a:t>
                </a:r>
                <a:endParaRPr lang="en-US" sz="1200" b="1">
                  <a:solidFill>
                    <a:srgbClr val="151515"/>
                  </a:solidFill>
                  <a:latin typeface="Calibri"/>
                </a:endParaRPr>
              </a:p>
            </xdr:txBody>
          </xdr:sp>
          <xdr:sp macro="" textlink="">
            <xdr:nvSpPr>
              <xdr:cNvPr id="568" name="TextBox 567"/>
              <xdr:cNvSpPr txBox="1"/>
            </xdr:nvSpPr>
            <xdr:spPr>
              <a:xfrm>
                <a:off x="7829550" y="21183600"/>
                <a:ext cx="2343150" cy="274320"/>
              </a:xfrm>
              <a:prstGeom prst="rect">
                <a:avLst/>
              </a:prstGeom>
              <a:noFill/>
              <a:ln w="9525" cmpd="sng">
                <a:noFill/>
              </a:ln>
              <a:effectLst/>
              <a:extLst/>
            </xdr:spPr>
            <xdr:style>
              <a:lnRef idx="0">
                <a:scrgbClr r="0" g="0" b="0"/>
              </a:lnRef>
              <a:fillRef idx="0">
                <a:scrgbClr r="0" g="0" b="0"/>
              </a:fillRef>
              <a:effectRef idx="0">
                <a:scrgbClr r="0" g="0" b="0"/>
              </a:effectRef>
              <a:fontRef idx="minor">
                <a:schemeClr val="dk1"/>
              </a:fontRef>
            </xdr:style>
            <xdr:txBody>
              <a:bodyPr vertOverflow="clip" horzOverflow="clip" vert="horz" lIns="182880" tIns="0" rIns="0" bIns="0" rtlCol="0" anchor="ctr"/>
              <a:lstStyle/>
              <a:p>
                <a:pPr algn="l"/>
                <a:r>
                  <a:rPr lang="en-US" sz="1200" b="1">
                    <a:solidFill>
                      <a:srgbClr val="D2D2D2"/>
                    </a:solidFill>
                    <a:latin typeface="Calibri"/>
                  </a:rPr>
                  <a:t>MENTIONS SUMMARY</a:t>
                </a:r>
              </a:p>
            </xdr:txBody>
          </xdr:sp>
          <xdr:sp macro="" textlink="">
            <xdr:nvSpPr>
              <xdr:cNvPr id="569" name="Rounded Rectangle 568"/>
              <xdr:cNvSpPr/>
            </xdr:nvSpPr>
            <xdr:spPr>
              <a:xfrm>
                <a:off x="7839075" y="24279225"/>
                <a:ext cx="3236976" cy="9144"/>
              </a:xfrm>
              <a:prstGeom prst="roundRect">
                <a:avLst>
                  <a:gd name="adj" fmla="val 0"/>
                </a:avLst>
              </a:prstGeom>
              <a:solidFill>
                <a:srgbClr val="3E3E3E"/>
              </a:solidFill>
              <a:ln>
                <a:noFill/>
              </a:ln>
              <a:effectLst/>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en-US" sz="1100"/>
              </a:p>
            </xdr:txBody>
          </xdr:sp>
        </xdr:grpSp>
        <xdr:grpSp>
          <xdr:nvGrpSpPr>
            <xdr:cNvPr id="70" name="Group 69"/>
            <xdr:cNvGrpSpPr/>
          </xdr:nvGrpSpPr>
          <xdr:grpSpPr>
            <a:xfrm>
              <a:off x="7893558" y="21576411"/>
              <a:ext cx="3108960" cy="2648361"/>
              <a:chOff x="7893558" y="21576411"/>
              <a:chExt cx="3108960" cy="2648361"/>
            </a:xfrm>
          </xdr:grpSpPr>
          <xdr:cxnSp macro="">
            <xdr:nvCxnSpPr>
              <xdr:cNvPr id="565" name="Straight Connector 564"/>
              <xdr:cNvCxnSpPr/>
            </xdr:nvCxnSpPr>
            <xdr:spPr>
              <a:xfrm>
                <a:off x="8016621" y="22404229"/>
                <a:ext cx="2880360" cy="0"/>
              </a:xfrm>
              <a:prstGeom prst="line">
                <a:avLst/>
              </a:prstGeom>
              <a:ln w="12700">
                <a:solidFill>
                  <a:srgbClr val="3E3E3E"/>
                </a:solidFill>
              </a:ln>
              <a:effectLst/>
            </xdr:spPr>
            <xdr:style>
              <a:lnRef idx="2">
                <a:schemeClr val="accent1"/>
              </a:lnRef>
              <a:fillRef idx="0">
                <a:schemeClr val="accent1"/>
              </a:fillRef>
              <a:effectRef idx="1">
                <a:schemeClr val="accent1"/>
              </a:effectRef>
              <a:fontRef idx="minor">
                <a:schemeClr val="tx1"/>
              </a:fontRef>
            </xdr:style>
          </xdr:cxnSp>
          <xdr:cxnSp macro="">
            <xdr:nvCxnSpPr>
              <xdr:cNvPr id="563" name="Straight Connector 562"/>
              <xdr:cNvCxnSpPr/>
            </xdr:nvCxnSpPr>
            <xdr:spPr>
              <a:xfrm>
                <a:off x="8016621" y="23351966"/>
                <a:ext cx="2880360" cy="0"/>
              </a:xfrm>
              <a:prstGeom prst="line">
                <a:avLst/>
              </a:prstGeom>
              <a:ln w="12700">
                <a:solidFill>
                  <a:srgbClr val="3E3E3E"/>
                </a:solidFill>
              </a:ln>
              <a:effectLst/>
            </xdr:spPr>
            <xdr:style>
              <a:lnRef idx="2">
                <a:schemeClr val="accent1"/>
              </a:lnRef>
              <a:fillRef idx="0">
                <a:schemeClr val="accent1"/>
              </a:fillRef>
              <a:effectRef idx="1">
                <a:schemeClr val="accent1"/>
              </a:effectRef>
              <a:fontRef idx="minor">
                <a:schemeClr val="tx1"/>
              </a:fontRef>
            </xdr:style>
          </xdr:cxnSp>
          <xdr:grpSp>
            <xdr:nvGrpSpPr>
              <xdr:cNvPr id="63" name="Group 62"/>
              <xdr:cNvGrpSpPr/>
            </xdr:nvGrpSpPr>
            <xdr:grpSpPr>
              <a:xfrm>
                <a:off x="8025762" y="21576411"/>
                <a:ext cx="2856740" cy="784226"/>
                <a:chOff x="8025762" y="21557361"/>
                <a:chExt cx="2856740" cy="784226"/>
              </a:xfrm>
            </xdr:grpSpPr>
            <xdr:sp macro="" textlink="Calculations!D134">
              <xdr:nvSpPr>
                <xdr:cNvPr id="298" name="TextBox 297"/>
                <xdr:cNvSpPr txBox="1"/>
              </xdr:nvSpPr>
              <xdr:spPr>
                <a:xfrm>
                  <a:off x="8025762" y="21557361"/>
                  <a:ext cx="781051" cy="2834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fld id="{01DF9AE6-93B8-403F-8D56-A9607EDD0664}" type="TxLink">
                    <a:rPr lang="en-US" sz="1700" b="1" baseline="0">
                      <a:solidFill>
                        <a:srgbClr val="668BB7"/>
                      </a:solidFill>
                    </a:rPr>
                    <a:pPr algn="r"/>
                    <a:t>36.0M</a:t>
                  </a:fld>
                  <a:endParaRPr lang="en-US" sz="1700" b="1" baseline="0">
                    <a:solidFill>
                      <a:srgbClr val="668BB7"/>
                    </a:solidFill>
                  </a:endParaRPr>
                </a:p>
              </xdr:txBody>
            </xdr:sp>
            <xdr:sp macro="" textlink="">
              <xdr:nvSpPr>
                <xdr:cNvPr id="299" name="Rectangle 298"/>
                <xdr:cNvSpPr/>
              </xdr:nvSpPr>
              <xdr:spPr>
                <a:xfrm>
                  <a:off x="8943974" y="21557361"/>
                  <a:ext cx="1938528" cy="285750"/>
                </a:xfrm>
                <a:prstGeom prst="rect">
                  <a:avLst/>
                </a:prstGeom>
                <a:noFill/>
                <a:ln>
                  <a:noFill/>
                </a:ln>
                <a:effectLst>
                  <a:outerShdw sx="1000" sy="1000" rotWithShape="0">
                    <a:srgbClr val="000000"/>
                  </a:outerShdw>
                </a:effectLst>
              </xdr:spPr>
              <xdr:style>
                <a:lnRef idx="1">
                  <a:schemeClr val="accent1"/>
                </a:lnRef>
                <a:fillRef idx="3">
                  <a:schemeClr val="accent1"/>
                </a:fillRef>
                <a:effectRef idx="2">
                  <a:schemeClr val="accent1"/>
                </a:effectRef>
                <a:fontRef idx="minor">
                  <a:schemeClr val="lt1"/>
                </a:fontRef>
              </xdr:style>
              <xdr:txBody>
                <a:bodyPr vertOverflow="clip" horzOverflow="clip" lIns="0" tIns="0" rIns="0" bIns="0" rtlCol="0" anchor="ctr"/>
                <a:lstStyle/>
                <a:p>
                  <a:pPr algn="l"/>
                  <a:r>
                    <a:rPr lang="en-US" sz="1400" b="1" cap="none" baseline="0">
                      <a:solidFill>
                        <a:srgbClr val="B4B4B4"/>
                      </a:solidFill>
                      <a:latin typeface="+mn-lt"/>
                    </a:rPr>
                    <a:t>Potential Impressions</a:t>
                  </a:r>
                </a:p>
              </xdr:txBody>
            </xdr:sp>
            <xdr:sp macro="" textlink="Calculations!D135">
              <xdr:nvSpPr>
                <xdr:cNvPr id="300" name="TextBox 299"/>
                <xdr:cNvSpPr txBox="1"/>
              </xdr:nvSpPr>
              <xdr:spPr>
                <a:xfrm>
                  <a:off x="8029573" y="21806599"/>
                  <a:ext cx="777240" cy="2834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fld id="{E6162981-60CF-42C0-BA84-015EBBA4FBED}" type="TxLink">
                    <a:rPr lang="en-US" sz="1400" b="1" baseline="0">
                      <a:solidFill>
                        <a:srgbClr val="668BB7"/>
                      </a:solidFill>
                    </a:rPr>
                    <a:pPr algn="r"/>
                    <a:t>6,300</a:t>
                  </a:fld>
                  <a:endParaRPr lang="en-US" sz="1400" b="1" baseline="0">
                    <a:solidFill>
                      <a:srgbClr val="668BB7"/>
                    </a:solidFill>
                  </a:endParaRPr>
                </a:p>
              </xdr:txBody>
            </xdr:sp>
            <xdr:sp macro="" textlink="">
              <xdr:nvSpPr>
                <xdr:cNvPr id="301" name="Rectangle 300"/>
                <xdr:cNvSpPr/>
              </xdr:nvSpPr>
              <xdr:spPr>
                <a:xfrm>
                  <a:off x="8943974" y="21816124"/>
                  <a:ext cx="1938528" cy="285750"/>
                </a:xfrm>
                <a:prstGeom prst="rect">
                  <a:avLst/>
                </a:prstGeom>
                <a:noFill/>
                <a:ln>
                  <a:noFill/>
                </a:ln>
                <a:effectLst>
                  <a:outerShdw sx="1000" sy="1000" rotWithShape="0">
                    <a:srgbClr val="000000"/>
                  </a:outerShdw>
                </a:effectLst>
              </xdr:spPr>
              <xdr:style>
                <a:lnRef idx="1">
                  <a:schemeClr val="accent1"/>
                </a:lnRef>
                <a:fillRef idx="3">
                  <a:schemeClr val="accent1"/>
                </a:fillRef>
                <a:effectRef idx="2">
                  <a:schemeClr val="accent1"/>
                </a:effectRef>
                <a:fontRef idx="minor">
                  <a:schemeClr val="lt1"/>
                </a:fontRef>
              </xdr:style>
              <xdr:txBody>
                <a:bodyPr vertOverflow="clip" horzOverflow="clip" lIns="0" tIns="0" rIns="0" bIns="0" rtlCol="0" anchor="ctr"/>
                <a:lstStyle/>
                <a:p>
                  <a:pPr algn="l"/>
                  <a:r>
                    <a:rPr lang="en-US" sz="1100" b="1" cap="none" baseline="0">
                      <a:solidFill>
                        <a:srgbClr val="B4B4B4"/>
                      </a:solidFill>
                      <a:latin typeface="+mn-lt"/>
                    </a:rPr>
                    <a:t>Potential Impressions Per Post</a:t>
                  </a:r>
                </a:p>
              </xdr:txBody>
            </xdr:sp>
            <xdr:sp macro="" textlink="Calculations!D136">
              <xdr:nvSpPr>
                <xdr:cNvPr id="307" name="TextBox 306"/>
                <xdr:cNvSpPr txBox="1"/>
              </xdr:nvSpPr>
              <xdr:spPr>
                <a:xfrm>
                  <a:off x="8029573" y="22046312"/>
                  <a:ext cx="777240" cy="2834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fld id="{30FC978E-95B9-4EB4-9E33-48FE4C9486E0}" type="TxLink">
                    <a:rPr lang="en-US" sz="1400" b="1" baseline="0">
                      <a:solidFill>
                        <a:srgbClr val="668BB7"/>
                      </a:solidFill>
                    </a:rPr>
                    <a:pPr algn="r"/>
                    <a:t>7.5M</a:t>
                  </a:fld>
                  <a:endParaRPr lang="en-US" sz="1400" b="1" baseline="0">
                    <a:solidFill>
                      <a:srgbClr val="668BB7"/>
                    </a:solidFill>
                  </a:endParaRPr>
                </a:p>
              </xdr:txBody>
            </xdr:sp>
            <xdr:sp macro="" textlink="">
              <xdr:nvSpPr>
                <xdr:cNvPr id="308" name="Rectangle 307"/>
                <xdr:cNvSpPr/>
              </xdr:nvSpPr>
              <xdr:spPr>
                <a:xfrm>
                  <a:off x="8943974" y="22055837"/>
                  <a:ext cx="1938528" cy="285750"/>
                </a:xfrm>
                <a:prstGeom prst="rect">
                  <a:avLst/>
                </a:prstGeom>
                <a:noFill/>
                <a:ln>
                  <a:noFill/>
                </a:ln>
                <a:effectLst>
                  <a:outerShdw sx="1000" sy="1000" rotWithShape="0">
                    <a:srgbClr val="000000"/>
                  </a:outerShdw>
                </a:effectLst>
              </xdr:spPr>
              <xdr:style>
                <a:lnRef idx="1">
                  <a:schemeClr val="accent1"/>
                </a:lnRef>
                <a:fillRef idx="3">
                  <a:schemeClr val="accent1"/>
                </a:fillRef>
                <a:effectRef idx="2">
                  <a:schemeClr val="accent1"/>
                </a:effectRef>
                <a:fontRef idx="minor">
                  <a:schemeClr val="lt1"/>
                </a:fontRef>
              </xdr:style>
              <xdr:txBody>
                <a:bodyPr vertOverflow="clip" horzOverflow="clip" lIns="0" tIns="0" rIns="0" bIns="0" rtlCol="0" anchor="ctr"/>
                <a:lstStyle/>
                <a:p>
                  <a:pPr algn="l"/>
                  <a:r>
                    <a:rPr lang="en-US" sz="1100" b="1" cap="none" baseline="0">
                      <a:solidFill>
                        <a:srgbClr val="B4B4B4"/>
                      </a:solidFill>
                      <a:latin typeface="+mn-lt"/>
                    </a:rPr>
                    <a:t>Potential Reach</a:t>
                  </a:r>
                </a:p>
              </xdr:txBody>
            </xdr:sp>
          </xdr:grpSp>
          <xdr:grpSp>
            <xdr:nvGrpSpPr>
              <xdr:cNvPr id="64" name="Group 63"/>
              <xdr:cNvGrpSpPr/>
            </xdr:nvGrpSpPr>
            <xdr:grpSpPr>
              <a:xfrm>
                <a:off x="7893558" y="22444774"/>
                <a:ext cx="3108960" cy="876300"/>
                <a:chOff x="7893558" y="22444774"/>
                <a:chExt cx="3108960" cy="876300"/>
              </a:xfrm>
            </xdr:grpSpPr>
            <xdr:sp macro="" textlink="Calculations!B160">
              <xdr:nvSpPr>
                <xdr:cNvPr id="309" name="Rectangle 308"/>
                <xdr:cNvSpPr/>
              </xdr:nvSpPr>
              <xdr:spPr>
                <a:xfrm>
                  <a:off x="7893558" y="22444774"/>
                  <a:ext cx="3108960" cy="285750"/>
                </a:xfrm>
                <a:prstGeom prst="rect">
                  <a:avLst/>
                </a:prstGeom>
                <a:noFill/>
                <a:ln>
                  <a:noFill/>
                </a:ln>
                <a:effectLst>
                  <a:outerShdw sx="1000" sy="1000" rotWithShape="0">
                    <a:srgbClr val="000000"/>
                  </a:outerShdw>
                </a:effectLst>
              </xdr:spPr>
              <xdr:style>
                <a:lnRef idx="1">
                  <a:schemeClr val="accent1"/>
                </a:lnRef>
                <a:fillRef idx="3">
                  <a:schemeClr val="accent1"/>
                </a:fillRef>
                <a:effectRef idx="2">
                  <a:schemeClr val="accent1"/>
                </a:effectRef>
                <a:fontRef idx="minor">
                  <a:schemeClr val="lt1"/>
                </a:fontRef>
              </xdr:style>
              <xdr:txBody>
                <a:bodyPr vertOverflow="clip" horzOverflow="clip" lIns="0" tIns="0" rIns="0" bIns="0" rtlCol="0" anchor="ctr"/>
                <a:lstStyle/>
                <a:p>
                  <a:pPr algn="ctr"/>
                  <a:fld id="{9A63CA15-373A-4EFB-8AC1-E501168EA2D2}" type="TxLink">
                    <a:rPr lang="en-US" sz="1200" b="0" cap="none" baseline="0">
                      <a:solidFill>
                        <a:srgbClr val="C8C8C8"/>
                      </a:solidFill>
                      <a:latin typeface="+mn-lt"/>
                    </a:rPr>
                    <a:pPr algn="ctr"/>
                    <a:t>Top Impressions Driver From Report Period</a:t>
                  </a:fld>
                  <a:endParaRPr lang="en-US" sz="1200" b="0" cap="none" baseline="0">
                    <a:solidFill>
                      <a:srgbClr val="C8C8C8"/>
                    </a:solidFill>
                    <a:latin typeface="+mn-lt"/>
                  </a:endParaRPr>
                </a:p>
              </xdr:txBody>
            </xdr:sp>
            <xdr:sp macro="" textlink="Calculations!B161">
              <xdr:nvSpPr>
                <xdr:cNvPr id="310" name="Rectangle 309"/>
                <xdr:cNvSpPr/>
              </xdr:nvSpPr>
              <xdr:spPr>
                <a:xfrm>
                  <a:off x="8034875" y="22702282"/>
                  <a:ext cx="2826327" cy="380334"/>
                </a:xfrm>
                <a:prstGeom prst="rect">
                  <a:avLst/>
                </a:prstGeom>
                <a:noFill/>
                <a:ln>
                  <a:noFill/>
                </a:ln>
                <a:effectLst>
                  <a:outerShdw sx="1000" sy="1000" rotWithShape="0">
                    <a:srgbClr val="000000"/>
                  </a:outerShdw>
                </a:effectLst>
              </xdr:spPr>
              <xdr:style>
                <a:lnRef idx="1">
                  <a:schemeClr val="accent1"/>
                </a:lnRef>
                <a:fillRef idx="3">
                  <a:schemeClr val="accent1"/>
                </a:fillRef>
                <a:effectRef idx="2">
                  <a:schemeClr val="accent1"/>
                </a:effectRef>
                <a:fontRef idx="minor">
                  <a:schemeClr val="lt1"/>
                </a:fontRef>
              </xdr:style>
              <xdr:txBody>
                <a:bodyPr vertOverflow="clip" horzOverflow="clip" lIns="0" tIns="0" rIns="0" bIns="0" rtlCol="0" anchor="ctr"/>
                <a:lstStyle/>
                <a:p>
                  <a:pPr algn="ctr"/>
                  <a:fld id="{54BFF45A-CDF8-4B63-8765-6FE19FAD5DF4}" type="TxLink">
                    <a:rPr lang="en-US" sz="1400" b="1" cap="none" baseline="0">
                      <a:solidFill>
                        <a:srgbClr val="92B7E3"/>
                      </a:solidFill>
                      <a:latin typeface="+mn-lt"/>
                    </a:rPr>
                    <a:pPr algn="ctr"/>
                    <a:t>millionaireimage</a:t>
                  </a:fld>
                  <a:endParaRPr lang="en-US" sz="1400" b="1" cap="none" baseline="0">
                    <a:solidFill>
                      <a:srgbClr val="92B7E3"/>
                    </a:solidFill>
                    <a:latin typeface="+mn-lt"/>
                  </a:endParaRPr>
                </a:p>
              </xdr:txBody>
            </xdr:sp>
            <xdr:sp macro="" textlink="Calculations!H163">
              <xdr:nvSpPr>
                <xdr:cNvPr id="316" name="Rectangle 315"/>
                <xdr:cNvSpPr/>
              </xdr:nvSpPr>
              <xdr:spPr>
                <a:xfrm>
                  <a:off x="7893558" y="23035324"/>
                  <a:ext cx="3108960" cy="285750"/>
                </a:xfrm>
                <a:prstGeom prst="rect">
                  <a:avLst/>
                </a:prstGeom>
                <a:noFill/>
                <a:ln>
                  <a:noFill/>
                </a:ln>
                <a:effectLst>
                  <a:outerShdw sx="1000" sy="1000" rotWithShape="0">
                    <a:srgbClr val="000000"/>
                  </a:outerShdw>
                </a:effectLst>
              </xdr:spPr>
              <xdr:style>
                <a:lnRef idx="1">
                  <a:schemeClr val="accent1"/>
                </a:lnRef>
                <a:fillRef idx="3">
                  <a:schemeClr val="accent1"/>
                </a:fillRef>
                <a:effectRef idx="2">
                  <a:schemeClr val="accent1"/>
                </a:effectRef>
                <a:fontRef idx="minor">
                  <a:schemeClr val="lt1"/>
                </a:fontRef>
              </xdr:style>
              <xdr:txBody>
                <a:bodyPr vertOverflow="clip" horzOverflow="clip" lIns="182880" tIns="0" rIns="0" bIns="0" rtlCol="0" anchor="ctr"/>
                <a:lstStyle/>
                <a:p>
                  <a:pPr algn="l"/>
                  <a:fld id="{AD80DBD4-374B-4399-8609-A9696290B4A0}" type="TxLink">
                    <a:rPr lang="en-US" sz="1000" b="0" cap="none" baseline="0">
                      <a:solidFill>
                        <a:srgbClr val="668BB7"/>
                      </a:solidFill>
                      <a:latin typeface="+mn-lt"/>
                    </a:rPr>
                    <a:pPr algn="l"/>
                    <a:t>71 Posts  –  14.3M Potential Impressions (40%of total)</a:t>
                  </a:fld>
                  <a:endParaRPr lang="en-US" sz="1000" b="0" cap="none" baseline="0">
                    <a:solidFill>
                      <a:srgbClr val="668BB7"/>
                    </a:solidFill>
                    <a:latin typeface="+mn-lt"/>
                  </a:endParaRPr>
                </a:p>
              </xdr:txBody>
            </xdr:sp>
          </xdr:grpSp>
          <xdr:grpSp>
            <xdr:nvGrpSpPr>
              <xdr:cNvPr id="523" name="Group 522"/>
              <xdr:cNvGrpSpPr/>
            </xdr:nvGrpSpPr>
            <xdr:grpSpPr>
              <a:xfrm>
                <a:off x="8076438" y="23431500"/>
                <a:ext cx="2743200" cy="793272"/>
                <a:chOff x="8000238" y="8848725"/>
                <a:chExt cx="2743200" cy="793272"/>
              </a:xfrm>
            </xdr:grpSpPr>
            <xdr:sp macro="" textlink="Calculations!B158">
              <xdr:nvSpPr>
                <xdr:cNvPr id="524" name="Rectangle 523"/>
                <xdr:cNvSpPr/>
              </xdr:nvSpPr>
              <xdr:spPr>
                <a:xfrm>
                  <a:off x="8000238" y="9379428"/>
                  <a:ext cx="2743200" cy="262569"/>
                </a:xfrm>
                <a:prstGeom prst="rect">
                  <a:avLst/>
                </a:prstGeom>
                <a:noFill/>
                <a:ln>
                  <a:noFill/>
                </a:ln>
                <a:effectLst>
                  <a:outerShdw sx="1000" sy="1000" rotWithShape="0">
                    <a:srgbClr val="000000"/>
                  </a:outerShdw>
                </a:effectLst>
              </xdr:spPr>
              <xdr:style>
                <a:lnRef idx="1">
                  <a:schemeClr val="accent1"/>
                </a:lnRef>
                <a:fillRef idx="3">
                  <a:schemeClr val="accent1"/>
                </a:fillRef>
                <a:effectRef idx="2">
                  <a:schemeClr val="accent1"/>
                </a:effectRef>
                <a:fontRef idx="minor">
                  <a:schemeClr val="lt1"/>
                </a:fontRef>
              </xdr:style>
              <xdr:txBody>
                <a:bodyPr vertOverflow="clip" horzOverflow="clip" lIns="0" tIns="0" rIns="0" bIns="0" rtlCol="0" anchor="ctr"/>
                <a:lstStyle/>
                <a:p>
                  <a:pPr algn="ctr"/>
                  <a:fld id="{B402CB70-B627-4C27-BC97-A1CA251DC2C2}" type="TxLink">
                    <a:rPr lang="en-US" sz="1000" b="0" i="0" cap="none" baseline="0">
                      <a:solidFill>
                        <a:srgbClr val="668BB7"/>
                      </a:solidFill>
                      <a:latin typeface="+mn-lt"/>
                    </a:rPr>
                    <a:pPr algn="ctr"/>
                    <a:t>3.4M Total Potential Impressions</a:t>
                  </a:fld>
                  <a:endParaRPr lang="en-US" sz="1000" b="0" i="0" cap="none" baseline="0">
                    <a:solidFill>
                      <a:srgbClr val="668BB7"/>
                    </a:solidFill>
                    <a:latin typeface="+mn-lt"/>
                  </a:endParaRPr>
                </a:p>
              </xdr:txBody>
            </xdr:sp>
            <xdr:sp macro="" textlink="Calculations!B156">
              <xdr:nvSpPr>
                <xdr:cNvPr id="525" name="TextBox 524"/>
                <xdr:cNvSpPr txBox="1"/>
              </xdr:nvSpPr>
              <xdr:spPr>
                <a:xfrm>
                  <a:off x="8438388" y="9139604"/>
                  <a:ext cx="1866900" cy="293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marL="0" indent="0" algn="ctr"/>
                  <a:fld id="{A7271DD0-290F-48D8-8DF0-77F0AE92F09C}" type="TxLink">
                    <a:rPr lang="en-US" sz="1200" b="0" baseline="0">
                      <a:solidFill>
                        <a:srgbClr val="C8C8C8"/>
                      </a:solidFill>
                      <a:latin typeface="+mn-lt"/>
                      <a:ea typeface="+mn-ea"/>
                      <a:cs typeface="+mn-cs"/>
                    </a:rPr>
                    <a:pPr marL="0" indent="0" algn="ctr"/>
                    <a:t>IMPRESSIONS PEAK DAY</a:t>
                  </a:fld>
                  <a:endParaRPr lang="en-US" sz="1200" b="0" baseline="0">
                    <a:solidFill>
                      <a:srgbClr val="C8C8C8"/>
                    </a:solidFill>
                    <a:latin typeface="+mn-lt"/>
                    <a:ea typeface="+mn-ea"/>
                    <a:cs typeface="+mn-cs"/>
                  </a:endParaRPr>
                </a:p>
              </xdr:txBody>
            </xdr:sp>
            <xdr:sp macro="" textlink="Calculations!B157">
              <xdr:nvSpPr>
                <xdr:cNvPr id="526" name="TextBox 525"/>
                <xdr:cNvSpPr txBox="1"/>
              </xdr:nvSpPr>
              <xdr:spPr>
                <a:xfrm>
                  <a:off x="8294228" y="8848725"/>
                  <a:ext cx="2155220" cy="3200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marL="0" indent="0" algn="ctr"/>
                  <a:fld id="{097F0C52-FAC5-4A23-91D4-57D8E1D572BB}" type="TxLink">
                    <a:rPr lang="en-US" sz="1800" b="0" i="0" baseline="0">
                      <a:solidFill>
                        <a:srgbClr val="92B7E3"/>
                      </a:solidFill>
                      <a:latin typeface="+mn-lt"/>
                      <a:ea typeface="+mn-ea"/>
                      <a:cs typeface="+mn-cs"/>
                    </a:rPr>
                    <a:pPr marL="0" indent="0" algn="ctr"/>
                    <a:t>8/13/17</a:t>
                  </a:fld>
                  <a:endParaRPr lang="en-US" sz="1800" b="0" i="0" baseline="0">
                    <a:solidFill>
                      <a:srgbClr val="92B7E3"/>
                    </a:solidFill>
                    <a:latin typeface="+mn-lt"/>
                    <a:ea typeface="+mn-ea"/>
                    <a:cs typeface="+mn-cs"/>
                  </a:endParaRPr>
                </a:p>
              </xdr:txBody>
            </xdr:sp>
            <xdr:sp macro="" textlink="">
              <xdr:nvSpPr>
                <xdr:cNvPr id="527" name="Oval 526"/>
                <xdr:cNvSpPr/>
              </xdr:nvSpPr>
              <xdr:spPr>
                <a:xfrm>
                  <a:off x="8220075" y="8924925"/>
                  <a:ext cx="182880" cy="181550"/>
                </a:xfrm>
                <a:prstGeom prst="ellipse">
                  <a:avLst/>
                </a:prstGeom>
                <a:noFill/>
                <a:ln w="19050">
                  <a:solidFill>
                    <a:srgbClr val="FDA76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grpSp>
      </xdr:grpSp>
    </xdr:grpSp>
    <xdr:clientData/>
  </xdr:twoCellAnchor>
  <xdr:twoCellAnchor>
    <xdr:from>
      <xdr:col>1</xdr:col>
      <xdr:colOff>0</xdr:colOff>
      <xdr:row>8</xdr:row>
      <xdr:rowOff>104775</xdr:rowOff>
    </xdr:from>
    <xdr:to>
      <xdr:col>24</xdr:col>
      <xdr:colOff>1143</xdr:colOff>
      <xdr:row>37</xdr:row>
      <xdr:rowOff>104774</xdr:rowOff>
    </xdr:to>
    <xdr:grpSp>
      <xdr:nvGrpSpPr>
        <xdr:cNvPr id="7" name="Group 6"/>
        <xdr:cNvGrpSpPr/>
      </xdr:nvGrpSpPr>
      <xdr:grpSpPr>
        <a:xfrm>
          <a:off x="247650" y="981075"/>
          <a:ext cx="11173968" cy="5524499"/>
          <a:chOff x="247650" y="981075"/>
          <a:chExt cx="11173968" cy="5524499"/>
        </a:xfrm>
      </xdr:grpSpPr>
      <xdr:sp macro="" textlink="">
        <xdr:nvSpPr>
          <xdr:cNvPr id="364" name="Rounded Rectangle 363"/>
          <xdr:cNvSpPr/>
        </xdr:nvSpPr>
        <xdr:spPr>
          <a:xfrm>
            <a:off x="247650" y="981075"/>
            <a:ext cx="11173968" cy="5524499"/>
          </a:xfrm>
          <a:prstGeom prst="roundRect">
            <a:avLst>
              <a:gd name="adj" fmla="val 0"/>
            </a:avLst>
          </a:prstGeom>
          <a:solidFill>
            <a:srgbClr val="262626"/>
          </a:solidFill>
          <a:ln w="19050">
            <a:solidFill>
              <a:srgbClr val="15151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nvGrpSpPr>
          <xdr:cNvPr id="365" name="Group 364"/>
          <xdr:cNvGrpSpPr/>
        </xdr:nvGrpSpPr>
        <xdr:grpSpPr>
          <a:xfrm>
            <a:off x="629222" y="5184653"/>
            <a:ext cx="10410825" cy="948530"/>
            <a:chOff x="1105471" y="12914801"/>
            <a:chExt cx="10410825" cy="883114"/>
          </a:xfrm>
        </xdr:grpSpPr>
        <xdr:grpSp>
          <xdr:nvGrpSpPr>
            <xdr:cNvPr id="675" name="Group 674"/>
            <xdr:cNvGrpSpPr/>
          </xdr:nvGrpSpPr>
          <xdr:grpSpPr>
            <a:xfrm>
              <a:off x="1105471" y="12914801"/>
              <a:ext cx="2496312" cy="883114"/>
              <a:chOff x="1105471" y="12876701"/>
              <a:chExt cx="2496312" cy="883114"/>
            </a:xfrm>
          </xdr:grpSpPr>
          <xdr:sp macro="" textlink="">
            <xdr:nvSpPr>
              <xdr:cNvPr id="691" name="Rectangle 690"/>
              <xdr:cNvSpPr/>
            </xdr:nvSpPr>
            <xdr:spPr>
              <a:xfrm>
                <a:off x="1105471" y="12982575"/>
                <a:ext cx="2496312" cy="777240"/>
              </a:xfrm>
              <a:prstGeom prst="rect">
                <a:avLst/>
              </a:prstGeom>
              <a:solidFill>
                <a:srgbClr val="0F0F0F"/>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92" name="Rectangle 691"/>
              <xdr:cNvSpPr/>
            </xdr:nvSpPr>
            <xdr:spPr>
              <a:xfrm rot="2700000">
                <a:off x="2250611" y="12876701"/>
                <a:ext cx="206032" cy="206032"/>
              </a:xfrm>
              <a:prstGeom prst="rect">
                <a:avLst/>
              </a:prstGeom>
              <a:solidFill>
                <a:srgbClr val="0F0F0F"/>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Calculations!C30">
            <xdr:nvSpPr>
              <xdr:cNvPr id="693" name="TextBox 692"/>
              <xdr:cNvSpPr txBox="1"/>
            </xdr:nvSpPr>
            <xdr:spPr>
              <a:xfrm>
                <a:off x="1186815" y="13054871"/>
                <a:ext cx="2333625" cy="3792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fld id="{607463F9-BDE3-4534-B800-2533D2CB780E}" type="TxLink">
                  <a:rPr lang="en-US" sz="2200">
                    <a:solidFill>
                      <a:srgbClr val="668BB7"/>
                    </a:solidFill>
                  </a:rPr>
                  <a:pPr algn="ctr"/>
                  <a:t>1.6</a:t>
                </a:fld>
                <a:endParaRPr lang="en-US" sz="2200">
                  <a:solidFill>
                    <a:srgbClr val="668BB7"/>
                  </a:solidFill>
                </a:endParaRPr>
              </a:p>
            </xdr:txBody>
          </xdr:sp>
          <xdr:sp macro="" textlink="">
            <xdr:nvSpPr>
              <xdr:cNvPr id="694" name="TextBox 693"/>
              <xdr:cNvSpPr txBox="1"/>
            </xdr:nvSpPr>
            <xdr:spPr>
              <a:xfrm>
                <a:off x="1186815" y="13392584"/>
                <a:ext cx="2333625" cy="3134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50" b="0" i="1">
                    <a:solidFill>
                      <a:srgbClr val="B4B4B4"/>
                    </a:solidFill>
                    <a:effectLst/>
                    <a:latin typeface="+mn-lt"/>
                    <a:ea typeface="+mn-ea"/>
                    <a:cs typeface="+mn-cs"/>
                  </a:rPr>
                  <a:t>Posts per Person</a:t>
                </a:r>
                <a:endParaRPr lang="en-US" sz="1050" i="1">
                  <a:solidFill>
                    <a:srgbClr val="B4B4B4"/>
                  </a:solidFill>
                </a:endParaRPr>
              </a:p>
            </xdr:txBody>
          </xdr:sp>
        </xdr:grpSp>
        <xdr:grpSp>
          <xdr:nvGrpSpPr>
            <xdr:cNvPr id="676" name="Group 675"/>
            <xdr:cNvGrpSpPr/>
          </xdr:nvGrpSpPr>
          <xdr:grpSpPr>
            <a:xfrm>
              <a:off x="9019984" y="12914801"/>
              <a:ext cx="2496312" cy="883114"/>
              <a:chOff x="1105471" y="12876701"/>
              <a:chExt cx="2496312" cy="883114"/>
            </a:xfrm>
          </xdr:grpSpPr>
          <xdr:sp macro="" textlink="">
            <xdr:nvSpPr>
              <xdr:cNvPr id="687" name="Rectangle 686"/>
              <xdr:cNvSpPr/>
            </xdr:nvSpPr>
            <xdr:spPr>
              <a:xfrm>
                <a:off x="1105471" y="12982575"/>
                <a:ext cx="2496312" cy="777240"/>
              </a:xfrm>
              <a:prstGeom prst="rect">
                <a:avLst/>
              </a:prstGeom>
              <a:solidFill>
                <a:srgbClr val="0F0F0F"/>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88" name="Rectangle 687"/>
              <xdr:cNvSpPr/>
            </xdr:nvSpPr>
            <xdr:spPr>
              <a:xfrm rot="2700000">
                <a:off x="2250611" y="12876701"/>
                <a:ext cx="206032" cy="206032"/>
              </a:xfrm>
              <a:prstGeom prst="rect">
                <a:avLst/>
              </a:prstGeom>
              <a:solidFill>
                <a:srgbClr val="0F0F0F"/>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Calculations!C33">
            <xdr:nvSpPr>
              <xdr:cNvPr id="689" name="TextBox 688"/>
              <xdr:cNvSpPr txBox="1"/>
            </xdr:nvSpPr>
            <xdr:spPr>
              <a:xfrm>
                <a:off x="1186815" y="13054871"/>
                <a:ext cx="2333625" cy="3792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fld id="{5663ED61-0B3F-461D-ADE8-0697864DBE10}" type="TxLink">
                  <a:rPr lang="en-US" sz="2200">
                    <a:solidFill>
                      <a:srgbClr val="668BB7"/>
                    </a:solidFill>
                  </a:rPr>
                  <a:pPr algn="ctr"/>
                  <a:t>116.3</a:t>
                </a:fld>
                <a:endParaRPr lang="en-US" sz="2200">
                  <a:solidFill>
                    <a:srgbClr val="668BB7"/>
                  </a:solidFill>
                </a:endParaRPr>
              </a:p>
            </xdr:txBody>
          </xdr:sp>
          <xdr:sp macro="" textlink="">
            <xdr:nvSpPr>
              <xdr:cNvPr id="690" name="TextBox 689"/>
              <xdr:cNvSpPr txBox="1"/>
            </xdr:nvSpPr>
            <xdr:spPr>
              <a:xfrm>
                <a:off x="1186815" y="13392584"/>
                <a:ext cx="2333625" cy="3134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50" b="0" i="1">
                    <a:solidFill>
                      <a:srgbClr val="B4B4B4"/>
                    </a:solidFill>
                    <a:effectLst/>
                    <a:latin typeface="+mn-lt"/>
                    <a:ea typeface="+mn-ea"/>
                    <a:cs typeface="+mn-cs"/>
                  </a:rPr>
                  <a:t>Average</a:t>
                </a:r>
                <a:r>
                  <a:rPr lang="en-US" sz="1050" b="0" i="1" baseline="0">
                    <a:solidFill>
                      <a:srgbClr val="B4B4B4"/>
                    </a:solidFill>
                    <a:effectLst/>
                    <a:latin typeface="+mn-lt"/>
                    <a:ea typeface="+mn-ea"/>
                    <a:cs typeface="+mn-cs"/>
                  </a:rPr>
                  <a:t> Instagram Engagements Per Post</a:t>
                </a:r>
                <a:endParaRPr lang="en-US" sz="1050" i="1">
                  <a:solidFill>
                    <a:srgbClr val="B4B4B4"/>
                  </a:solidFill>
                </a:endParaRPr>
              </a:p>
            </xdr:txBody>
          </xdr:sp>
        </xdr:grpSp>
        <xdr:grpSp>
          <xdr:nvGrpSpPr>
            <xdr:cNvPr id="677" name="Group 676"/>
            <xdr:cNvGrpSpPr/>
          </xdr:nvGrpSpPr>
          <xdr:grpSpPr>
            <a:xfrm>
              <a:off x="3743642" y="12914801"/>
              <a:ext cx="2496312" cy="883114"/>
              <a:chOff x="1105471" y="12876701"/>
              <a:chExt cx="2496312" cy="883114"/>
            </a:xfrm>
          </xdr:grpSpPr>
          <xdr:sp macro="" textlink="">
            <xdr:nvSpPr>
              <xdr:cNvPr id="683" name="Rectangle 682"/>
              <xdr:cNvSpPr/>
            </xdr:nvSpPr>
            <xdr:spPr>
              <a:xfrm>
                <a:off x="1105471" y="12982575"/>
                <a:ext cx="2496312" cy="777240"/>
              </a:xfrm>
              <a:prstGeom prst="rect">
                <a:avLst/>
              </a:prstGeom>
              <a:solidFill>
                <a:srgbClr val="0F0F0F"/>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84" name="Rectangle 683"/>
              <xdr:cNvSpPr/>
            </xdr:nvSpPr>
            <xdr:spPr>
              <a:xfrm rot="2700000">
                <a:off x="2250611" y="12876701"/>
                <a:ext cx="206032" cy="206032"/>
              </a:xfrm>
              <a:prstGeom prst="rect">
                <a:avLst/>
              </a:prstGeom>
              <a:solidFill>
                <a:srgbClr val="0F0F0F"/>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Calculations!C31">
            <xdr:nvSpPr>
              <xdr:cNvPr id="685" name="TextBox 684"/>
              <xdr:cNvSpPr txBox="1"/>
            </xdr:nvSpPr>
            <xdr:spPr>
              <a:xfrm>
                <a:off x="1186815" y="13054871"/>
                <a:ext cx="2333625" cy="3792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fld id="{F627E9D1-9A62-4CB3-A21C-6B4D642345D2}" type="TxLink">
                  <a:rPr lang="en-US" sz="2200">
                    <a:solidFill>
                      <a:srgbClr val="668BB7"/>
                    </a:solidFill>
                  </a:rPr>
                  <a:pPr algn="ctr"/>
                  <a:t>1,317.5</a:t>
                </a:fld>
                <a:endParaRPr lang="en-US" sz="2200">
                  <a:solidFill>
                    <a:srgbClr val="668BB7"/>
                  </a:solidFill>
                </a:endParaRPr>
              </a:p>
            </xdr:txBody>
          </xdr:sp>
          <xdr:sp macro="" textlink="">
            <xdr:nvSpPr>
              <xdr:cNvPr id="686" name="TextBox 685"/>
              <xdr:cNvSpPr txBox="1"/>
            </xdr:nvSpPr>
            <xdr:spPr>
              <a:xfrm>
                <a:off x="1186815" y="13392584"/>
                <a:ext cx="2333625" cy="3134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50" b="0" i="1">
                    <a:solidFill>
                      <a:srgbClr val="B4B4B4"/>
                    </a:solidFill>
                    <a:effectLst/>
                    <a:latin typeface="+mn-lt"/>
                    <a:ea typeface="+mn-ea"/>
                    <a:cs typeface="+mn-cs"/>
                  </a:rPr>
                  <a:t>Average Reach Per Post</a:t>
                </a:r>
                <a:endParaRPr lang="en-US" sz="1050" i="1">
                  <a:solidFill>
                    <a:srgbClr val="B4B4B4"/>
                  </a:solidFill>
                </a:endParaRPr>
              </a:p>
            </xdr:txBody>
          </xdr:sp>
        </xdr:grpSp>
        <xdr:grpSp>
          <xdr:nvGrpSpPr>
            <xdr:cNvPr id="678" name="Group 677"/>
            <xdr:cNvGrpSpPr/>
          </xdr:nvGrpSpPr>
          <xdr:grpSpPr>
            <a:xfrm>
              <a:off x="6381813" y="12914801"/>
              <a:ext cx="2496312" cy="883114"/>
              <a:chOff x="1105471" y="12876701"/>
              <a:chExt cx="2496312" cy="883114"/>
            </a:xfrm>
          </xdr:grpSpPr>
          <xdr:sp macro="" textlink="">
            <xdr:nvSpPr>
              <xdr:cNvPr id="679" name="Rectangle 678"/>
              <xdr:cNvSpPr/>
            </xdr:nvSpPr>
            <xdr:spPr>
              <a:xfrm>
                <a:off x="1105471" y="12982575"/>
                <a:ext cx="2496312" cy="777240"/>
              </a:xfrm>
              <a:prstGeom prst="rect">
                <a:avLst/>
              </a:prstGeom>
              <a:solidFill>
                <a:srgbClr val="0F0F0F"/>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80" name="Rectangle 679"/>
              <xdr:cNvSpPr/>
            </xdr:nvSpPr>
            <xdr:spPr>
              <a:xfrm rot="2700000">
                <a:off x="2250611" y="12876701"/>
                <a:ext cx="206032" cy="206032"/>
              </a:xfrm>
              <a:prstGeom prst="rect">
                <a:avLst/>
              </a:prstGeom>
              <a:solidFill>
                <a:srgbClr val="0F0F0F"/>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Calculations!C32">
            <xdr:nvSpPr>
              <xdr:cNvPr id="681" name="TextBox 680"/>
              <xdr:cNvSpPr txBox="1"/>
            </xdr:nvSpPr>
            <xdr:spPr>
              <a:xfrm>
                <a:off x="1186815" y="13054871"/>
                <a:ext cx="2333625" cy="3792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fld id="{E6434DC7-6CA4-42DF-B452-07D9093AA4CE}" type="TxLink">
                  <a:rPr lang="en-US" sz="2200">
                    <a:solidFill>
                      <a:srgbClr val="668BB7"/>
                    </a:solidFill>
                  </a:rPr>
                  <a:pPr algn="ctr"/>
                  <a:t>4.8</a:t>
                </a:fld>
                <a:endParaRPr lang="en-US" sz="2200">
                  <a:solidFill>
                    <a:srgbClr val="668BB7"/>
                  </a:solidFill>
                </a:endParaRPr>
              </a:p>
            </xdr:txBody>
          </xdr:sp>
          <xdr:sp macro="" textlink="">
            <xdr:nvSpPr>
              <xdr:cNvPr id="682" name="TextBox 681"/>
              <xdr:cNvSpPr txBox="1"/>
            </xdr:nvSpPr>
            <xdr:spPr>
              <a:xfrm>
                <a:off x="1186815" y="13392584"/>
                <a:ext cx="2333625" cy="3134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50" b="0" i="1">
                    <a:solidFill>
                      <a:srgbClr val="B4B4B4"/>
                    </a:solidFill>
                    <a:effectLst/>
                    <a:latin typeface="+mn-lt"/>
                    <a:ea typeface="+mn-ea"/>
                    <a:cs typeface="+mn-cs"/>
                  </a:rPr>
                  <a:t>Potential</a:t>
                </a:r>
                <a:r>
                  <a:rPr lang="en-US" sz="1050" b="0" i="1" baseline="0">
                    <a:solidFill>
                      <a:srgbClr val="B4B4B4"/>
                    </a:solidFill>
                    <a:effectLst/>
                    <a:latin typeface="+mn-lt"/>
                    <a:ea typeface="+mn-ea"/>
                    <a:cs typeface="+mn-cs"/>
                  </a:rPr>
                  <a:t> Impressions Per Person Reached</a:t>
                </a:r>
                <a:endParaRPr lang="en-US" sz="1050" i="1">
                  <a:solidFill>
                    <a:srgbClr val="B4B4B4"/>
                  </a:solidFill>
                </a:endParaRPr>
              </a:p>
            </xdr:txBody>
          </xdr:sp>
        </xdr:grpSp>
      </xdr:grpSp>
      <xdr:grpSp>
        <xdr:nvGrpSpPr>
          <xdr:cNvPr id="6" name="Group 5"/>
          <xdr:cNvGrpSpPr/>
        </xdr:nvGrpSpPr>
        <xdr:grpSpPr>
          <a:xfrm>
            <a:off x="629222" y="2645791"/>
            <a:ext cx="10410825" cy="2240280"/>
            <a:chOff x="629222" y="2645791"/>
            <a:chExt cx="10410825" cy="2240280"/>
          </a:xfrm>
        </xdr:grpSpPr>
        <xdr:grpSp>
          <xdr:nvGrpSpPr>
            <xdr:cNvPr id="510" name="Group 509"/>
            <xdr:cNvGrpSpPr/>
          </xdr:nvGrpSpPr>
          <xdr:grpSpPr>
            <a:xfrm>
              <a:off x="629222" y="2645791"/>
              <a:ext cx="10410825" cy="2240280"/>
              <a:chOff x="629222" y="2588133"/>
              <a:chExt cx="10410825" cy="2240280"/>
            </a:xfrm>
          </xdr:grpSpPr>
          <xdr:sp macro="" textlink="">
            <xdr:nvSpPr>
              <xdr:cNvPr id="662" name="Rounded Rectangle 661"/>
              <xdr:cNvSpPr/>
            </xdr:nvSpPr>
            <xdr:spPr>
              <a:xfrm>
                <a:off x="629222" y="3070310"/>
                <a:ext cx="10410825" cy="1277484"/>
              </a:xfrm>
              <a:prstGeom prst="roundRect">
                <a:avLst>
                  <a:gd name="adj" fmla="val 0"/>
                </a:avLst>
              </a:prstGeom>
              <a:gradFill flip="none" rotWithShape="1">
                <a:gsLst>
                  <a:gs pos="0">
                    <a:srgbClr val="E9AB17"/>
                  </a:gs>
                  <a:gs pos="100000">
                    <a:srgbClr val="E14B26"/>
                  </a:gs>
                </a:gsLst>
                <a:lin ang="0" scaled="1"/>
                <a:tileRect/>
              </a:gradFill>
              <a:ln w="1905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63" name="Rounded Rectangle 662"/>
              <xdr:cNvSpPr/>
            </xdr:nvSpPr>
            <xdr:spPr>
              <a:xfrm>
                <a:off x="3688270" y="2680356"/>
                <a:ext cx="4312731" cy="2057410"/>
              </a:xfrm>
              <a:prstGeom prst="roundRect">
                <a:avLst>
                  <a:gd name="adj" fmla="val 0"/>
                </a:avLst>
              </a:prstGeom>
              <a:solidFill>
                <a:srgbClr val="262626"/>
              </a:solidFill>
              <a:ln w="1905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nvGrpSpPr>
              <xdr:cNvPr id="664" name="Group 663"/>
              <xdr:cNvGrpSpPr/>
            </xdr:nvGrpSpPr>
            <xdr:grpSpPr>
              <a:xfrm>
                <a:off x="4805934" y="2680335"/>
                <a:ext cx="2057400" cy="2057400"/>
                <a:chOff x="5282183" y="10643235"/>
                <a:chExt cx="2057400" cy="2057400"/>
              </a:xfrm>
            </xdr:grpSpPr>
            <xdr:sp macro="" textlink="">
              <xdr:nvSpPr>
                <xdr:cNvPr id="673" name="Oval 672"/>
                <xdr:cNvSpPr/>
              </xdr:nvSpPr>
              <xdr:spPr>
                <a:xfrm>
                  <a:off x="5282183" y="10643235"/>
                  <a:ext cx="2057400" cy="2057400"/>
                </a:xfrm>
                <a:prstGeom prst="ellipse">
                  <a:avLst/>
                </a:prstGeom>
                <a:gradFill>
                  <a:gsLst>
                    <a:gs pos="0">
                      <a:srgbClr val="E6931E"/>
                    </a:gs>
                    <a:gs pos="100000">
                      <a:srgbClr val="E47722"/>
                    </a:gs>
                  </a:gsLst>
                  <a:lin ang="0" scaled="1"/>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74" name="Oval 673"/>
                <xdr:cNvSpPr/>
              </xdr:nvSpPr>
              <xdr:spPr>
                <a:xfrm>
                  <a:off x="5355335" y="10716387"/>
                  <a:ext cx="1911096" cy="1911096"/>
                </a:xfrm>
                <a:prstGeom prst="ellipse">
                  <a:avLst/>
                </a:prstGeom>
                <a:solidFill>
                  <a:srgbClr val="26262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grpSp>
            <xdr:nvGrpSpPr>
              <xdr:cNvPr id="665" name="Group 664"/>
              <xdr:cNvGrpSpPr/>
            </xdr:nvGrpSpPr>
            <xdr:grpSpPr>
              <a:xfrm>
                <a:off x="6877621" y="2588133"/>
                <a:ext cx="2240280" cy="2240280"/>
                <a:chOff x="8258745" y="10700385"/>
                <a:chExt cx="2240280" cy="2240280"/>
              </a:xfrm>
            </xdr:grpSpPr>
            <xdr:sp macro="" textlink="">
              <xdr:nvSpPr>
                <xdr:cNvPr id="670" name="Oval 669"/>
                <xdr:cNvSpPr/>
              </xdr:nvSpPr>
              <xdr:spPr>
                <a:xfrm>
                  <a:off x="8258745" y="10700385"/>
                  <a:ext cx="2240280" cy="2240280"/>
                </a:xfrm>
                <a:prstGeom prst="ellipse">
                  <a:avLst/>
                </a:prstGeom>
                <a:solidFill>
                  <a:srgbClr val="26262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71" name="Oval 670"/>
                <xdr:cNvSpPr/>
              </xdr:nvSpPr>
              <xdr:spPr>
                <a:xfrm>
                  <a:off x="8350947" y="10792587"/>
                  <a:ext cx="2057400" cy="2057400"/>
                </a:xfrm>
                <a:prstGeom prst="ellipse">
                  <a:avLst/>
                </a:prstGeom>
                <a:gradFill>
                  <a:gsLst>
                    <a:gs pos="0">
                      <a:srgbClr val="E47522"/>
                    </a:gs>
                    <a:gs pos="100000">
                      <a:srgbClr val="E25925"/>
                    </a:gs>
                  </a:gsLst>
                  <a:lin ang="0" scaled="1"/>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72" name="Oval 671"/>
                <xdr:cNvSpPr/>
              </xdr:nvSpPr>
              <xdr:spPr>
                <a:xfrm>
                  <a:off x="8424099" y="10865739"/>
                  <a:ext cx="1911096" cy="1911096"/>
                </a:xfrm>
                <a:prstGeom prst="ellipse">
                  <a:avLst/>
                </a:prstGeom>
                <a:solidFill>
                  <a:srgbClr val="26262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grpSp>
            <xdr:nvGrpSpPr>
              <xdr:cNvPr id="666" name="Group 665"/>
              <xdr:cNvGrpSpPr/>
            </xdr:nvGrpSpPr>
            <xdr:grpSpPr>
              <a:xfrm>
                <a:off x="2562796" y="2588133"/>
                <a:ext cx="2240280" cy="2240280"/>
                <a:chOff x="8258745" y="10700385"/>
                <a:chExt cx="2240280" cy="2240280"/>
              </a:xfrm>
            </xdr:grpSpPr>
            <xdr:sp macro="" textlink="">
              <xdr:nvSpPr>
                <xdr:cNvPr id="667" name="Oval 666"/>
                <xdr:cNvSpPr/>
              </xdr:nvSpPr>
              <xdr:spPr>
                <a:xfrm>
                  <a:off x="8258745" y="10700385"/>
                  <a:ext cx="2240280" cy="2240280"/>
                </a:xfrm>
                <a:prstGeom prst="ellipse">
                  <a:avLst/>
                </a:prstGeom>
                <a:solidFill>
                  <a:srgbClr val="26262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68" name="Oval 667"/>
                <xdr:cNvSpPr/>
              </xdr:nvSpPr>
              <xdr:spPr>
                <a:xfrm>
                  <a:off x="8350947" y="10792587"/>
                  <a:ext cx="2057400" cy="2057400"/>
                </a:xfrm>
                <a:prstGeom prst="ellipse">
                  <a:avLst/>
                </a:prstGeom>
                <a:gradFill>
                  <a:gsLst>
                    <a:gs pos="0">
                      <a:srgbClr val="E8A519"/>
                    </a:gs>
                    <a:gs pos="100000">
                      <a:srgbClr val="E6941D"/>
                    </a:gs>
                  </a:gsLst>
                  <a:lin ang="0" scaled="1"/>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69" name="Oval 668"/>
                <xdr:cNvSpPr/>
              </xdr:nvSpPr>
              <xdr:spPr>
                <a:xfrm>
                  <a:off x="8424099" y="10865739"/>
                  <a:ext cx="1911096" cy="1911096"/>
                </a:xfrm>
                <a:prstGeom prst="ellipse">
                  <a:avLst/>
                </a:prstGeom>
                <a:solidFill>
                  <a:srgbClr val="26262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grpSp>
        <xdr:grpSp>
          <xdr:nvGrpSpPr>
            <xdr:cNvPr id="511" name="Group 510"/>
            <xdr:cNvGrpSpPr/>
          </xdr:nvGrpSpPr>
          <xdr:grpSpPr>
            <a:xfrm>
              <a:off x="733997" y="3105658"/>
              <a:ext cx="10219753" cy="1552575"/>
              <a:chOff x="1210246" y="11010900"/>
              <a:chExt cx="10219753" cy="1552575"/>
            </a:xfrm>
          </xdr:grpSpPr>
          <xdr:grpSp>
            <xdr:nvGrpSpPr>
              <xdr:cNvPr id="512" name="Group 511"/>
              <xdr:cNvGrpSpPr/>
            </xdr:nvGrpSpPr>
            <xdr:grpSpPr>
              <a:xfrm>
                <a:off x="9526732" y="11268075"/>
                <a:ext cx="1903267" cy="769457"/>
                <a:chOff x="9526732" y="11268075"/>
                <a:chExt cx="1903267" cy="769457"/>
              </a:xfrm>
            </xdr:grpSpPr>
            <xdr:sp macro="" textlink="Calculations!D24">
              <xdr:nvSpPr>
                <xdr:cNvPr id="660" name="TextBox 659"/>
                <xdr:cNvSpPr txBox="1"/>
              </xdr:nvSpPr>
              <xdr:spPr>
                <a:xfrm>
                  <a:off x="9526733" y="11268075"/>
                  <a:ext cx="1901952" cy="476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fld id="{EC9D5B74-507A-4F6E-923B-4646EAEE6E7E}" type="TxLink">
                    <a:rPr lang="en-US" sz="2600" b="0">
                      <a:solidFill>
                        <a:srgbClr val="FFFFFF"/>
                      </a:solidFill>
                    </a:rPr>
                    <a:pPr algn="ctr"/>
                    <a:t>665k</a:t>
                  </a:fld>
                  <a:endParaRPr lang="en-US" sz="2600" b="0">
                    <a:solidFill>
                      <a:srgbClr val="FFFFFF"/>
                    </a:solidFill>
                  </a:endParaRPr>
                </a:p>
              </xdr:txBody>
            </xdr:sp>
            <xdr:sp macro="" textlink="">
              <xdr:nvSpPr>
                <xdr:cNvPr id="661" name="TextBox 660"/>
                <xdr:cNvSpPr txBox="1"/>
              </xdr:nvSpPr>
              <xdr:spPr>
                <a:xfrm>
                  <a:off x="9526732" y="11679718"/>
                  <a:ext cx="1903267" cy="35781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300" b="1">
                      <a:solidFill>
                        <a:srgbClr val="FFFFFF"/>
                      </a:solidFill>
                    </a:rPr>
                    <a:t>Instagram Engagement</a:t>
                  </a:r>
                </a:p>
              </xdr:txBody>
            </xdr:sp>
          </xdr:grpSp>
          <xdr:grpSp>
            <xdr:nvGrpSpPr>
              <xdr:cNvPr id="513" name="Group 512"/>
              <xdr:cNvGrpSpPr/>
            </xdr:nvGrpSpPr>
            <xdr:grpSpPr>
              <a:xfrm>
                <a:off x="1210246" y="11268075"/>
                <a:ext cx="1903267" cy="769457"/>
                <a:chOff x="1210246" y="11268075"/>
                <a:chExt cx="1903267" cy="769457"/>
              </a:xfrm>
            </xdr:grpSpPr>
            <xdr:sp macro="" textlink="Calculations!D12">
              <xdr:nvSpPr>
                <xdr:cNvPr id="658" name="TextBox 657"/>
                <xdr:cNvSpPr txBox="1"/>
              </xdr:nvSpPr>
              <xdr:spPr>
                <a:xfrm>
                  <a:off x="1210246" y="11268075"/>
                  <a:ext cx="1901952" cy="476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fld id="{18135F99-0B5F-4394-BC00-D519564B221F}" type="TxLink">
                    <a:rPr lang="en-US" sz="2600" b="0">
                      <a:solidFill>
                        <a:srgbClr val="FFFFFF"/>
                      </a:solidFill>
                    </a:rPr>
                    <a:pPr algn="ctr"/>
                    <a:t>3,616</a:t>
                  </a:fld>
                  <a:endParaRPr lang="en-US" sz="2600" b="0">
                    <a:solidFill>
                      <a:srgbClr val="FFFFFF"/>
                    </a:solidFill>
                  </a:endParaRPr>
                </a:p>
              </xdr:txBody>
            </xdr:sp>
            <xdr:sp macro="" textlink="">
              <xdr:nvSpPr>
                <xdr:cNvPr id="659" name="TextBox 658"/>
                <xdr:cNvSpPr txBox="1"/>
              </xdr:nvSpPr>
              <xdr:spPr>
                <a:xfrm>
                  <a:off x="1210246" y="11679718"/>
                  <a:ext cx="1903267" cy="35781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300" b="1">
                      <a:solidFill>
                        <a:srgbClr val="FFFFFF"/>
                      </a:solidFill>
                    </a:rPr>
                    <a:t>Unique People</a:t>
                  </a:r>
                </a:p>
              </xdr:txBody>
            </xdr:sp>
          </xdr:grpSp>
          <xdr:grpSp>
            <xdr:nvGrpSpPr>
              <xdr:cNvPr id="514" name="Group 513"/>
              <xdr:cNvGrpSpPr/>
            </xdr:nvGrpSpPr>
            <xdr:grpSpPr>
              <a:xfrm>
                <a:off x="3207552" y="11010900"/>
                <a:ext cx="1903267" cy="1552575"/>
                <a:chOff x="3207552" y="11029950"/>
                <a:chExt cx="1903267" cy="1552575"/>
              </a:xfrm>
            </xdr:grpSpPr>
            <xdr:sp macro="" textlink="Calculations!D15">
              <xdr:nvSpPr>
                <xdr:cNvPr id="655" name="TextBox 654"/>
                <xdr:cNvSpPr txBox="1"/>
              </xdr:nvSpPr>
              <xdr:spPr>
                <a:xfrm>
                  <a:off x="3208209" y="11029950"/>
                  <a:ext cx="1901952" cy="476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fld id="{FAA3EF80-97EE-48CC-946D-4E5278808C97}" type="TxLink">
                    <a:rPr lang="en-US" sz="2600" b="0">
                      <a:solidFill>
                        <a:srgbClr val="FFFFFF"/>
                      </a:solidFill>
                    </a:rPr>
                    <a:pPr algn="ctr"/>
                    <a:t>5,717</a:t>
                  </a:fld>
                  <a:endParaRPr lang="en-US" sz="2600" b="0">
                    <a:solidFill>
                      <a:srgbClr val="FFFFFF"/>
                    </a:solidFill>
                  </a:endParaRPr>
                </a:p>
              </xdr:txBody>
            </xdr:sp>
            <xdr:sp macro="" textlink="">
              <xdr:nvSpPr>
                <xdr:cNvPr id="656" name="TextBox 655"/>
                <xdr:cNvSpPr txBox="1"/>
              </xdr:nvSpPr>
              <xdr:spPr>
                <a:xfrm>
                  <a:off x="3207552" y="11365393"/>
                  <a:ext cx="1903267" cy="35781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400" b="0">
                      <a:solidFill>
                        <a:srgbClr val="FFFFFF"/>
                      </a:solidFill>
                    </a:rPr>
                    <a:t>Hashtag Volume</a:t>
                  </a:r>
                </a:p>
              </xdr:txBody>
            </xdr:sp>
            <xdr:sp macro="" textlink="">
              <xdr:nvSpPr>
                <xdr:cNvPr id="657" name="TextBox 656"/>
                <xdr:cNvSpPr txBox="1"/>
              </xdr:nvSpPr>
              <xdr:spPr>
                <a:xfrm>
                  <a:off x="3372711" y="11765443"/>
                  <a:ext cx="1572948" cy="8170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en-US" sz="1000" b="0">
                      <a:solidFill>
                        <a:srgbClr val="C8C8C8"/>
                      </a:solidFill>
                    </a:rPr>
                    <a:t>Total</a:t>
                  </a:r>
                  <a:r>
                    <a:rPr lang="en-US" sz="1000" b="0" baseline="0">
                      <a:solidFill>
                        <a:srgbClr val="C8C8C8"/>
                      </a:solidFill>
                    </a:rPr>
                    <a:t> number of photos &amp; videos that included the hashtag(s) being tracked</a:t>
                  </a:r>
                  <a:endParaRPr lang="en-US" sz="1000" b="0">
                    <a:solidFill>
                      <a:srgbClr val="C8C8C8"/>
                    </a:solidFill>
                  </a:endParaRPr>
                </a:p>
              </xdr:txBody>
            </xdr:sp>
          </xdr:grpSp>
          <xdr:grpSp>
            <xdr:nvGrpSpPr>
              <xdr:cNvPr id="515" name="Group 514"/>
              <xdr:cNvGrpSpPr/>
            </xdr:nvGrpSpPr>
            <xdr:grpSpPr>
              <a:xfrm>
                <a:off x="5359250" y="11010900"/>
                <a:ext cx="1903267" cy="1552575"/>
                <a:chOff x="3207552" y="11029950"/>
                <a:chExt cx="1903267" cy="1552575"/>
              </a:xfrm>
            </xdr:grpSpPr>
            <xdr:sp macro="" textlink="Calculations!D18">
              <xdr:nvSpPr>
                <xdr:cNvPr id="652" name="TextBox 651"/>
                <xdr:cNvSpPr txBox="1"/>
              </xdr:nvSpPr>
              <xdr:spPr>
                <a:xfrm>
                  <a:off x="3208209" y="11029950"/>
                  <a:ext cx="1901952" cy="476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fld id="{085EF595-1EE9-4C19-943C-EFCE0FBC899E}" type="TxLink">
                    <a:rPr lang="en-US" sz="2600" b="0">
                      <a:solidFill>
                        <a:srgbClr val="FFFFFF"/>
                      </a:solidFill>
                    </a:rPr>
                    <a:pPr algn="ctr"/>
                    <a:t>7.5M</a:t>
                  </a:fld>
                  <a:endParaRPr lang="en-US" sz="2600" b="0">
                    <a:solidFill>
                      <a:srgbClr val="FFFFFF"/>
                    </a:solidFill>
                  </a:endParaRPr>
                </a:p>
              </xdr:txBody>
            </xdr:sp>
            <xdr:sp macro="" textlink="">
              <xdr:nvSpPr>
                <xdr:cNvPr id="653" name="TextBox 652"/>
                <xdr:cNvSpPr txBox="1"/>
              </xdr:nvSpPr>
              <xdr:spPr>
                <a:xfrm>
                  <a:off x="3207552" y="11365393"/>
                  <a:ext cx="1903267" cy="35781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400" b="0">
                      <a:solidFill>
                        <a:srgbClr val="FFFFFF"/>
                      </a:solidFill>
                    </a:rPr>
                    <a:t>Potential Reach</a:t>
                  </a:r>
                </a:p>
              </xdr:txBody>
            </xdr:sp>
            <xdr:sp macro="" textlink="">
              <xdr:nvSpPr>
                <xdr:cNvPr id="654" name="TextBox 653"/>
                <xdr:cNvSpPr txBox="1"/>
              </xdr:nvSpPr>
              <xdr:spPr>
                <a:xfrm>
                  <a:off x="3372711" y="11765443"/>
                  <a:ext cx="1572948" cy="8170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en-US" sz="1000" b="0">
                      <a:solidFill>
                        <a:srgbClr val="C8C8C8"/>
                      </a:solidFill>
                    </a:rPr>
                    <a:t>The</a:t>
                  </a:r>
                  <a:r>
                    <a:rPr lang="en-US" sz="1000" b="0" baseline="0">
                      <a:solidFill>
                        <a:srgbClr val="C8C8C8"/>
                      </a:solidFill>
                    </a:rPr>
                    <a:t> </a:t>
                  </a:r>
                  <a:r>
                    <a:rPr lang="en-US" sz="1000" b="0">
                      <a:solidFill>
                        <a:srgbClr val="C8C8C8"/>
                      </a:solidFill>
                    </a:rPr>
                    <a:t>number of unique people that were potentially reached </a:t>
                  </a:r>
                </a:p>
              </xdr:txBody>
            </xdr:sp>
          </xdr:grpSp>
          <xdr:grpSp>
            <xdr:nvGrpSpPr>
              <xdr:cNvPr id="648" name="Group 647"/>
              <xdr:cNvGrpSpPr/>
            </xdr:nvGrpSpPr>
            <xdr:grpSpPr>
              <a:xfrm>
                <a:off x="7522377" y="11010900"/>
                <a:ext cx="1903267" cy="1552575"/>
                <a:chOff x="3207552" y="11029950"/>
                <a:chExt cx="1903267" cy="1552575"/>
              </a:xfrm>
            </xdr:grpSpPr>
            <xdr:sp macro="" textlink="Calculations!D21">
              <xdr:nvSpPr>
                <xdr:cNvPr id="649" name="TextBox 648"/>
                <xdr:cNvSpPr txBox="1"/>
              </xdr:nvSpPr>
              <xdr:spPr>
                <a:xfrm>
                  <a:off x="3208209" y="11029950"/>
                  <a:ext cx="1901952" cy="476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fld id="{922E7D5F-4984-4199-B977-AC75A934FE47}" type="TxLink">
                    <a:rPr lang="en-US" sz="2600" b="0">
                      <a:solidFill>
                        <a:srgbClr val="FFFFFF"/>
                      </a:solidFill>
                    </a:rPr>
                    <a:pPr algn="ctr"/>
                    <a:t>36.0M</a:t>
                  </a:fld>
                  <a:endParaRPr lang="en-US" sz="2600" b="0">
                    <a:solidFill>
                      <a:srgbClr val="FFFFFF"/>
                    </a:solidFill>
                  </a:endParaRPr>
                </a:p>
              </xdr:txBody>
            </xdr:sp>
            <xdr:sp macro="" textlink="">
              <xdr:nvSpPr>
                <xdr:cNvPr id="650" name="TextBox 649"/>
                <xdr:cNvSpPr txBox="1"/>
              </xdr:nvSpPr>
              <xdr:spPr>
                <a:xfrm>
                  <a:off x="3207552" y="11365393"/>
                  <a:ext cx="1903267" cy="35781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400" b="0">
                      <a:solidFill>
                        <a:srgbClr val="FFFFFF"/>
                      </a:solidFill>
                    </a:rPr>
                    <a:t>Potential Impressions</a:t>
                  </a:r>
                </a:p>
              </xdr:txBody>
            </xdr:sp>
            <xdr:sp macro="" textlink="">
              <xdr:nvSpPr>
                <xdr:cNvPr id="651" name="TextBox 650"/>
                <xdr:cNvSpPr txBox="1"/>
              </xdr:nvSpPr>
              <xdr:spPr>
                <a:xfrm>
                  <a:off x="3372711" y="11765443"/>
                  <a:ext cx="1572948" cy="8170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en-US" sz="1000" b="0">
                      <a:solidFill>
                        <a:srgbClr val="C8C8C8"/>
                      </a:solidFill>
                    </a:rPr>
                    <a:t>Potential</a:t>
                  </a:r>
                  <a:r>
                    <a:rPr lang="en-US" sz="1000" b="0" baseline="0">
                      <a:solidFill>
                        <a:srgbClr val="C8C8C8"/>
                      </a:solidFill>
                    </a:rPr>
                    <a:t> number of times that the photos and videos posted could have been seen.</a:t>
                  </a:r>
                  <a:endParaRPr lang="en-US" sz="1000" b="0">
                    <a:solidFill>
                      <a:srgbClr val="C8C8C8"/>
                    </a:solidFill>
                  </a:endParaRPr>
                </a:p>
              </xdr:txBody>
            </xdr:sp>
          </xdr:grpSp>
        </xdr:grpSp>
      </xdr:grpSp>
      <xdr:grpSp>
        <xdr:nvGrpSpPr>
          <xdr:cNvPr id="373" name="Group 372"/>
          <xdr:cNvGrpSpPr/>
        </xdr:nvGrpSpPr>
        <xdr:grpSpPr>
          <a:xfrm>
            <a:off x="533400" y="2229201"/>
            <a:ext cx="10590282" cy="289285"/>
            <a:chOff x="1009649" y="10925173"/>
            <a:chExt cx="10590282" cy="269334"/>
          </a:xfrm>
        </xdr:grpSpPr>
        <xdr:sp macro="" textlink="">
          <xdr:nvSpPr>
            <xdr:cNvPr id="382" name="Rounded Rectangle 381"/>
            <xdr:cNvSpPr/>
          </xdr:nvSpPr>
          <xdr:spPr>
            <a:xfrm>
              <a:off x="1105471" y="10929331"/>
              <a:ext cx="10410825" cy="265176"/>
            </a:xfrm>
            <a:prstGeom prst="roundRect">
              <a:avLst>
                <a:gd name="adj" fmla="val 0"/>
              </a:avLst>
            </a:prstGeom>
            <a:gradFill flip="none" rotWithShape="1">
              <a:gsLst>
                <a:gs pos="0">
                  <a:srgbClr val="343434"/>
                </a:gs>
                <a:gs pos="100000">
                  <a:srgbClr val="5A5A5A"/>
                </a:gs>
              </a:gsLst>
              <a:lin ang="0" scaled="1"/>
              <a:tileRect/>
            </a:gradFill>
            <a:ln w="1905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nvGrpSpPr>
            <xdr:cNvPr id="383" name="Group 382"/>
            <xdr:cNvGrpSpPr/>
          </xdr:nvGrpSpPr>
          <xdr:grpSpPr>
            <a:xfrm>
              <a:off x="1009649" y="10925173"/>
              <a:ext cx="10590282" cy="265176"/>
              <a:chOff x="1009649" y="10868023"/>
              <a:chExt cx="10590282" cy="265176"/>
            </a:xfrm>
          </xdr:grpSpPr>
          <xdr:sp macro="" textlink="">
            <xdr:nvSpPr>
              <xdr:cNvPr id="418" name="Chevron 417"/>
              <xdr:cNvSpPr/>
            </xdr:nvSpPr>
            <xdr:spPr>
              <a:xfrm>
                <a:off x="2410112" y="10868023"/>
                <a:ext cx="164592" cy="265176"/>
              </a:xfrm>
              <a:prstGeom prst="chevron">
                <a:avLst>
                  <a:gd name="adj" fmla="val 45577"/>
                </a:avLst>
              </a:prstGeom>
              <a:solidFill>
                <a:srgbClr val="26262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sp macro="" textlink="">
            <xdr:nvSpPr>
              <xdr:cNvPr id="432" name="Chevron 431"/>
              <xdr:cNvSpPr/>
            </xdr:nvSpPr>
            <xdr:spPr>
              <a:xfrm>
                <a:off x="1009649" y="10868023"/>
                <a:ext cx="164592" cy="265176"/>
              </a:xfrm>
              <a:prstGeom prst="chevron">
                <a:avLst>
                  <a:gd name="adj" fmla="val 45577"/>
                </a:avLst>
              </a:prstGeom>
              <a:solidFill>
                <a:srgbClr val="26262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sp macro="" textlink="">
            <xdr:nvSpPr>
              <xdr:cNvPr id="434" name="Chevron 433"/>
              <xdr:cNvSpPr/>
            </xdr:nvSpPr>
            <xdr:spPr>
              <a:xfrm>
                <a:off x="1165256" y="10868023"/>
                <a:ext cx="164592" cy="265176"/>
              </a:xfrm>
              <a:prstGeom prst="chevron">
                <a:avLst>
                  <a:gd name="adj" fmla="val 45577"/>
                </a:avLst>
              </a:prstGeom>
              <a:solidFill>
                <a:srgbClr val="26262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sp macro="" textlink="">
            <xdr:nvSpPr>
              <xdr:cNvPr id="438" name="Chevron 437"/>
              <xdr:cNvSpPr/>
            </xdr:nvSpPr>
            <xdr:spPr>
              <a:xfrm>
                <a:off x="1320863" y="10868023"/>
                <a:ext cx="164592" cy="265176"/>
              </a:xfrm>
              <a:prstGeom prst="chevron">
                <a:avLst>
                  <a:gd name="adj" fmla="val 45577"/>
                </a:avLst>
              </a:prstGeom>
              <a:solidFill>
                <a:srgbClr val="26262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sp macro="" textlink="">
            <xdr:nvSpPr>
              <xdr:cNvPr id="446" name="Chevron 445"/>
              <xdr:cNvSpPr/>
            </xdr:nvSpPr>
            <xdr:spPr>
              <a:xfrm>
                <a:off x="1476470" y="10868023"/>
                <a:ext cx="164592" cy="265176"/>
              </a:xfrm>
              <a:prstGeom prst="chevron">
                <a:avLst>
                  <a:gd name="adj" fmla="val 45577"/>
                </a:avLst>
              </a:prstGeom>
              <a:solidFill>
                <a:srgbClr val="26262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sp macro="" textlink="">
            <xdr:nvSpPr>
              <xdr:cNvPr id="447" name="Chevron 446"/>
              <xdr:cNvSpPr/>
            </xdr:nvSpPr>
            <xdr:spPr>
              <a:xfrm>
                <a:off x="1632077" y="10868023"/>
                <a:ext cx="164592" cy="265176"/>
              </a:xfrm>
              <a:prstGeom prst="chevron">
                <a:avLst>
                  <a:gd name="adj" fmla="val 45577"/>
                </a:avLst>
              </a:prstGeom>
              <a:solidFill>
                <a:srgbClr val="26262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sp macro="" textlink="">
            <xdr:nvSpPr>
              <xdr:cNvPr id="448" name="Chevron 447"/>
              <xdr:cNvSpPr/>
            </xdr:nvSpPr>
            <xdr:spPr>
              <a:xfrm>
                <a:off x="1787684" y="10868023"/>
                <a:ext cx="164592" cy="265176"/>
              </a:xfrm>
              <a:prstGeom prst="chevron">
                <a:avLst>
                  <a:gd name="adj" fmla="val 45577"/>
                </a:avLst>
              </a:prstGeom>
              <a:solidFill>
                <a:srgbClr val="26262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sp macro="" textlink="">
            <xdr:nvSpPr>
              <xdr:cNvPr id="449" name="Chevron 448"/>
              <xdr:cNvSpPr/>
            </xdr:nvSpPr>
            <xdr:spPr>
              <a:xfrm>
                <a:off x="1943291" y="10868023"/>
                <a:ext cx="164592" cy="265176"/>
              </a:xfrm>
              <a:prstGeom prst="chevron">
                <a:avLst>
                  <a:gd name="adj" fmla="val 45577"/>
                </a:avLst>
              </a:prstGeom>
              <a:solidFill>
                <a:srgbClr val="26262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sp macro="" textlink="">
            <xdr:nvSpPr>
              <xdr:cNvPr id="450" name="Chevron 449"/>
              <xdr:cNvSpPr/>
            </xdr:nvSpPr>
            <xdr:spPr>
              <a:xfrm>
                <a:off x="2098898" y="10868023"/>
                <a:ext cx="164592" cy="265176"/>
              </a:xfrm>
              <a:prstGeom prst="chevron">
                <a:avLst>
                  <a:gd name="adj" fmla="val 45577"/>
                </a:avLst>
              </a:prstGeom>
              <a:solidFill>
                <a:srgbClr val="26262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sp macro="" textlink="">
            <xdr:nvSpPr>
              <xdr:cNvPr id="451" name="Chevron 450"/>
              <xdr:cNvSpPr/>
            </xdr:nvSpPr>
            <xdr:spPr>
              <a:xfrm>
                <a:off x="2254505" y="10868023"/>
                <a:ext cx="164592" cy="265176"/>
              </a:xfrm>
              <a:prstGeom prst="chevron">
                <a:avLst>
                  <a:gd name="adj" fmla="val 45577"/>
                </a:avLst>
              </a:prstGeom>
              <a:solidFill>
                <a:srgbClr val="26262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sp macro="" textlink="">
            <xdr:nvSpPr>
              <xdr:cNvPr id="452" name="Chevron 451"/>
              <xdr:cNvSpPr/>
            </xdr:nvSpPr>
            <xdr:spPr>
              <a:xfrm>
                <a:off x="3966182" y="10868023"/>
                <a:ext cx="164592" cy="265176"/>
              </a:xfrm>
              <a:prstGeom prst="chevron">
                <a:avLst>
                  <a:gd name="adj" fmla="val 45577"/>
                </a:avLst>
              </a:prstGeom>
              <a:solidFill>
                <a:srgbClr val="26262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sp macro="" textlink="">
            <xdr:nvSpPr>
              <xdr:cNvPr id="453" name="Chevron 452"/>
              <xdr:cNvSpPr/>
            </xdr:nvSpPr>
            <xdr:spPr>
              <a:xfrm>
                <a:off x="2565719" y="10868023"/>
                <a:ext cx="164592" cy="265176"/>
              </a:xfrm>
              <a:prstGeom prst="chevron">
                <a:avLst>
                  <a:gd name="adj" fmla="val 45577"/>
                </a:avLst>
              </a:prstGeom>
              <a:solidFill>
                <a:srgbClr val="26262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sp macro="" textlink="">
            <xdr:nvSpPr>
              <xdr:cNvPr id="454" name="Chevron 453"/>
              <xdr:cNvSpPr/>
            </xdr:nvSpPr>
            <xdr:spPr>
              <a:xfrm>
                <a:off x="2721326" y="10868023"/>
                <a:ext cx="164592" cy="265176"/>
              </a:xfrm>
              <a:prstGeom prst="chevron">
                <a:avLst>
                  <a:gd name="adj" fmla="val 45577"/>
                </a:avLst>
              </a:prstGeom>
              <a:solidFill>
                <a:srgbClr val="26262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sp macro="" textlink="">
            <xdr:nvSpPr>
              <xdr:cNvPr id="455" name="Chevron 454"/>
              <xdr:cNvSpPr/>
            </xdr:nvSpPr>
            <xdr:spPr>
              <a:xfrm>
                <a:off x="2876933" y="10868023"/>
                <a:ext cx="164592" cy="265176"/>
              </a:xfrm>
              <a:prstGeom prst="chevron">
                <a:avLst>
                  <a:gd name="adj" fmla="val 45577"/>
                </a:avLst>
              </a:prstGeom>
              <a:solidFill>
                <a:srgbClr val="26262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sp macro="" textlink="">
            <xdr:nvSpPr>
              <xdr:cNvPr id="456" name="Chevron 455"/>
              <xdr:cNvSpPr/>
            </xdr:nvSpPr>
            <xdr:spPr>
              <a:xfrm>
                <a:off x="3032540" y="10868023"/>
                <a:ext cx="164592" cy="265176"/>
              </a:xfrm>
              <a:prstGeom prst="chevron">
                <a:avLst>
                  <a:gd name="adj" fmla="val 45577"/>
                </a:avLst>
              </a:prstGeom>
              <a:solidFill>
                <a:srgbClr val="26262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sp macro="" textlink="">
            <xdr:nvSpPr>
              <xdr:cNvPr id="457" name="Chevron 456"/>
              <xdr:cNvSpPr/>
            </xdr:nvSpPr>
            <xdr:spPr>
              <a:xfrm>
                <a:off x="3188147" y="10868023"/>
                <a:ext cx="164592" cy="265176"/>
              </a:xfrm>
              <a:prstGeom prst="chevron">
                <a:avLst>
                  <a:gd name="adj" fmla="val 45577"/>
                </a:avLst>
              </a:prstGeom>
              <a:solidFill>
                <a:srgbClr val="26262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sp macro="" textlink="">
            <xdr:nvSpPr>
              <xdr:cNvPr id="458" name="Chevron 457"/>
              <xdr:cNvSpPr/>
            </xdr:nvSpPr>
            <xdr:spPr>
              <a:xfrm>
                <a:off x="3343754" y="10868023"/>
                <a:ext cx="164592" cy="265176"/>
              </a:xfrm>
              <a:prstGeom prst="chevron">
                <a:avLst>
                  <a:gd name="adj" fmla="val 45577"/>
                </a:avLst>
              </a:prstGeom>
              <a:solidFill>
                <a:srgbClr val="26262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sp macro="" textlink="">
            <xdr:nvSpPr>
              <xdr:cNvPr id="459" name="Chevron 458"/>
              <xdr:cNvSpPr/>
            </xdr:nvSpPr>
            <xdr:spPr>
              <a:xfrm>
                <a:off x="3499361" y="10868023"/>
                <a:ext cx="164592" cy="265176"/>
              </a:xfrm>
              <a:prstGeom prst="chevron">
                <a:avLst>
                  <a:gd name="adj" fmla="val 45577"/>
                </a:avLst>
              </a:prstGeom>
              <a:solidFill>
                <a:srgbClr val="26262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sp macro="" textlink="">
            <xdr:nvSpPr>
              <xdr:cNvPr id="460" name="Chevron 459"/>
              <xdr:cNvSpPr/>
            </xdr:nvSpPr>
            <xdr:spPr>
              <a:xfrm>
                <a:off x="3654968" y="10868023"/>
                <a:ext cx="164592" cy="265176"/>
              </a:xfrm>
              <a:prstGeom prst="chevron">
                <a:avLst>
                  <a:gd name="adj" fmla="val 45577"/>
                </a:avLst>
              </a:prstGeom>
              <a:solidFill>
                <a:srgbClr val="26262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sp macro="" textlink="">
            <xdr:nvSpPr>
              <xdr:cNvPr id="461" name="Chevron 460"/>
              <xdr:cNvSpPr/>
            </xdr:nvSpPr>
            <xdr:spPr>
              <a:xfrm>
                <a:off x="3810575" y="10868023"/>
                <a:ext cx="164592" cy="265176"/>
              </a:xfrm>
              <a:prstGeom prst="chevron">
                <a:avLst>
                  <a:gd name="adj" fmla="val 45577"/>
                </a:avLst>
              </a:prstGeom>
              <a:solidFill>
                <a:srgbClr val="26262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sp macro="" textlink="">
            <xdr:nvSpPr>
              <xdr:cNvPr id="462" name="Chevron 461"/>
              <xdr:cNvSpPr/>
            </xdr:nvSpPr>
            <xdr:spPr>
              <a:xfrm>
                <a:off x="5522252" y="10868023"/>
                <a:ext cx="164592" cy="265176"/>
              </a:xfrm>
              <a:prstGeom prst="chevron">
                <a:avLst>
                  <a:gd name="adj" fmla="val 45577"/>
                </a:avLst>
              </a:prstGeom>
              <a:solidFill>
                <a:srgbClr val="26262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sp macro="" textlink="">
            <xdr:nvSpPr>
              <xdr:cNvPr id="463" name="Chevron 462"/>
              <xdr:cNvSpPr/>
            </xdr:nvSpPr>
            <xdr:spPr>
              <a:xfrm>
                <a:off x="4121789" y="10868023"/>
                <a:ext cx="164592" cy="265176"/>
              </a:xfrm>
              <a:prstGeom prst="chevron">
                <a:avLst>
                  <a:gd name="adj" fmla="val 45577"/>
                </a:avLst>
              </a:prstGeom>
              <a:solidFill>
                <a:srgbClr val="26262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sp macro="" textlink="">
            <xdr:nvSpPr>
              <xdr:cNvPr id="464" name="Chevron 463"/>
              <xdr:cNvSpPr/>
            </xdr:nvSpPr>
            <xdr:spPr>
              <a:xfrm>
                <a:off x="4277396" y="10868023"/>
                <a:ext cx="164592" cy="265176"/>
              </a:xfrm>
              <a:prstGeom prst="chevron">
                <a:avLst>
                  <a:gd name="adj" fmla="val 45577"/>
                </a:avLst>
              </a:prstGeom>
              <a:solidFill>
                <a:srgbClr val="26262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sp macro="" textlink="">
            <xdr:nvSpPr>
              <xdr:cNvPr id="465" name="Chevron 464"/>
              <xdr:cNvSpPr/>
            </xdr:nvSpPr>
            <xdr:spPr>
              <a:xfrm>
                <a:off x="4433003" y="10868023"/>
                <a:ext cx="164592" cy="265176"/>
              </a:xfrm>
              <a:prstGeom prst="chevron">
                <a:avLst>
                  <a:gd name="adj" fmla="val 45577"/>
                </a:avLst>
              </a:prstGeom>
              <a:solidFill>
                <a:srgbClr val="26262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sp macro="" textlink="">
            <xdr:nvSpPr>
              <xdr:cNvPr id="466" name="Chevron 465"/>
              <xdr:cNvSpPr/>
            </xdr:nvSpPr>
            <xdr:spPr>
              <a:xfrm>
                <a:off x="4588610" y="10868023"/>
                <a:ext cx="164592" cy="265176"/>
              </a:xfrm>
              <a:prstGeom prst="chevron">
                <a:avLst>
                  <a:gd name="adj" fmla="val 45577"/>
                </a:avLst>
              </a:prstGeom>
              <a:solidFill>
                <a:srgbClr val="26262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sp macro="" textlink="">
            <xdr:nvSpPr>
              <xdr:cNvPr id="467" name="Chevron 466"/>
              <xdr:cNvSpPr/>
            </xdr:nvSpPr>
            <xdr:spPr>
              <a:xfrm>
                <a:off x="4744217" y="10868023"/>
                <a:ext cx="164592" cy="265176"/>
              </a:xfrm>
              <a:prstGeom prst="chevron">
                <a:avLst>
                  <a:gd name="adj" fmla="val 45577"/>
                </a:avLst>
              </a:prstGeom>
              <a:solidFill>
                <a:srgbClr val="26262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sp macro="" textlink="">
            <xdr:nvSpPr>
              <xdr:cNvPr id="468" name="Chevron 467"/>
              <xdr:cNvSpPr/>
            </xdr:nvSpPr>
            <xdr:spPr>
              <a:xfrm>
                <a:off x="4899824" y="10868023"/>
                <a:ext cx="164592" cy="265176"/>
              </a:xfrm>
              <a:prstGeom prst="chevron">
                <a:avLst>
                  <a:gd name="adj" fmla="val 45577"/>
                </a:avLst>
              </a:prstGeom>
              <a:solidFill>
                <a:srgbClr val="26262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sp macro="" textlink="">
            <xdr:nvSpPr>
              <xdr:cNvPr id="469" name="Chevron 468"/>
              <xdr:cNvSpPr/>
            </xdr:nvSpPr>
            <xdr:spPr>
              <a:xfrm>
                <a:off x="5055431" y="10868023"/>
                <a:ext cx="164592" cy="265176"/>
              </a:xfrm>
              <a:prstGeom prst="chevron">
                <a:avLst>
                  <a:gd name="adj" fmla="val 45577"/>
                </a:avLst>
              </a:prstGeom>
              <a:solidFill>
                <a:srgbClr val="26262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sp macro="" textlink="">
            <xdr:nvSpPr>
              <xdr:cNvPr id="470" name="Chevron 469"/>
              <xdr:cNvSpPr/>
            </xdr:nvSpPr>
            <xdr:spPr>
              <a:xfrm>
                <a:off x="5211038" y="10868023"/>
                <a:ext cx="164592" cy="265176"/>
              </a:xfrm>
              <a:prstGeom prst="chevron">
                <a:avLst>
                  <a:gd name="adj" fmla="val 45577"/>
                </a:avLst>
              </a:prstGeom>
              <a:solidFill>
                <a:srgbClr val="26262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sp macro="" textlink="">
            <xdr:nvSpPr>
              <xdr:cNvPr id="471" name="Chevron 470"/>
              <xdr:cNvSpPr/>
            </xdr:nvSpPr>
            <xdr:spPr>
              <a:xfrm>
                <a:off x="5366645" y="10868023"/>
                <a:ext cx="164592" cy="265176"/>
              </a:xfrm>
              <a:prstGeom prst="chevron">
                <a:avLst>
                  <a:gd name="adj" fmla="val 45577"/>
                </a:avLst>
              </a:prstGeom>
              <a:solidFill>
                <a:srgbClr val="26262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sp macro="" textlink="">
            <xdr:nvSpPr>
              <xdr:cNvPr id="472" name="Chevron 471"/>
              <xdr:cNvSpPr/>
            </xdr:nvSpPr>
            <xdr:spPr>
              <a:xfrm>
                <a:off x="7078322" y="10868023"/>
                <a:ext cx="164592" cy="265176"/>
              </a:xfrm>
              <a:prstGeom prst="chevron">
                <a:avLst>
                  <a:gd name="adj" fmla="val 45577"/>
                </a:avLst>
              </a:prstGeom>
              <a:solidFill>
                <a:srgbClr val="26262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sp macro="" textlink="">
            <xdr:nvSpPr>
              <xdr:cNvPr id="473" name="Chevron 472"/>
              <xdr:cNvSpPr/>
            </xdr:nvSpPr>
            <xdr:spPr>
              <a:xfrm>
                <a:off x="5677859" y="10868023"/>
                <a:ext cx="164592" cy="265176"/>
              </a:xfrm>
              <a:prstGeom prst="chevron">
                <a:avLst>
                  <a:gd name="adj" fmla="val 45577"/>
                </a:avLst>
              </a:prstGeom>
              <a:solidFill>
                <a:srgbClr val="26262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sp macro="" textlink="">
            <xdr:nvSpPr>
              <xdr:cNvPr id="474" name="Chevron 473"/>
              <xdr:cNvSpPr/>
            </xdr:nvSpPr>
            <xdr:spPr>
              <a:xfrm>
                <a:off x="5833466" y="10868023"/>
                <a:ext cx="164592" cy="265176"/>
              </a:xfrm>
              <a:prstGeom prst="chevron">
                <a:avLst>
                  <a:gd name="adj" fmla="val 45577"/>
                </a:avLst>
              </a:prstGeom>
              <a:solidFill>
                <a:srgbClr val="26262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sp macro="" textlink="">
            <xdr:nvSpPr>
              <xdr:cNvPr id="475" name="Chevron 474"/>
              <xdr:cNvSpPr/>
            </xdr:nvSpPr>
            <xdr:spPr>
              <a:xfrm>
                <a:off x="5989073" y="10868023"/>
                <a:ext cx="164592" cy="265176"/>
              </a:xfrm>
              <a:prstGeom prst="chevron">
                <a:avLst>
                  <a:gd name="adj" fmla="val 45577"/>
                </a:avLst>
              </a:prstGeom>
              <a:solidFill>
                <a:srgbClr val="26262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sp macro="" textlink="">
            <xdr:nvSpPr>
              <xdr:cNvPr id="476" name="Chevron 475"/>
              <xdr:cNvSpPr/>
            </xdr:nvSpPr>
            <xdr:spPr>
              <a:xfrm>
                <a:off x="6144680" y="10868023"/>
                <a:ext cx="164592" cy="265176"/>
              </a:xfrm>
              <a:prstGeom prst="chevron">
                <a:avLst>
                  <a:gd name="adj" fmla="val 45577"/>
                </a:avLst>
              </a:prstGeom>
              <a:solidFill>
                <a:srgbClr val="26262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sp macro="" textlink="">
            <xdr:nvSpPr>
              <xdr:cNvPr id="477" name="Chevron 476"/>
              <xdr:cNvSpPr/>
            </xdr:nvSpPr>
            <xdr:spPr>
              <a:xfrm>
                <a:off x="6300287" y="10868023"/>
                <a:ext cx="164592" cy="265176"/>
              </a:xfrm>
              <a:prstGeom prst="chevron">
                <a:avLst>
                  <a:gd name="adj" fmla="val 45577"/>
                </a:avLst>
              </a:prstGeom>
              <a:solidFill>
                <a:srgbClr val="26262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sp macro="" textlink="">
            <xdr:nvSpPr>
              <xdr:cNvPr id="478" name="Chevron 477"/>
              <xdr:cNvSpPr/>
            </xdr:nvSpPr>
            <xdr:spPr>
              <a:xfrm>
                <a:off x="6455894" y="10868023"/>
                <a:ext cx="164592" cy="265176"/>
              </a:xfrm>
              <a:prstGeom prst="chevron">
                <a:avLst>
                  <a:gd name="adj" fmla="val 45577"/>
                </a:avLst>
              </a:prstGeom>
              <a:solidFill>
                <a:srgbClr val="26262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sp macro="" textlink="">
            <xdr:nvSpPr>
              <xdr:cNvPr id="479" name="Chevron 478"/>
              <xdr:cNvSpPr/>
            </xdr:nvSpPr>
            <xdr:spPr>
              <a:xfrm>
                <a:off x="6611501" y="10868023"/>
                <a:ext cx="164592" cy="265176"/>
              </a:xfrm>
              <a:prstGeom prst="chevron">
                <a:avLst>
                  <a:gd name="adj" fmla="val 45577"/>
                </a:avLst>
              </a:prstGeom>
              <a:solidFill>
                <a:srgbClr val="26262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sp macro="" textlink="">
            <xdr:nvSpPr>
              <xdr:cNvPr id="480" name="Chevron 479"/>
              <xdr:cNvSpPr/>
            </xdr:nvSpPr>
            <xdr:spPr>
              <a:xfrm>
                <a:off x="6767108" y="10868023"/>
                <a:ext cx="164592" cy="265176"/>
              </a:xfrm>
              <a:prstGeom prst="chevron">
                <a:avLst>
                  <a:gd name="adj" fmla="val 45577"/>
                </a:avLst>
              </a:prstGeom>
              <a:solidFill>
                <a:srgbClr val="26262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sp macro="" textlink="">
            <xdr:nvSpPr>
              <xdr:cNvPr id="481" name="Chevron 480"/>
              <xdr:cNvSpPr/>
            </xdr:nvSpPr>
            <xdr:spPr>
              <a:xfrm>
                <a:off x="6922715" y="10868023"/>
                <a:ext cx="164592" cy="265176"/>
              </a:xfrm>
              <a:prstGeom prst="chevron">
                <a:avLst>
                  <a:gd name="adj" fmla="val 45577"/>
                </a:avLst>
              </a:prstGeom>
              <a:solidFill>
                <a:srgbClr val="26262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sp macro="" textlink="">
            <xdr:nvSpPr>
              <xdr:cNvPr id="482" name="Chevron 481"/>
              <xdr:cNvSpPr/>
            </xdr:nvSpPr>
            <xdr:spPr>
              <a:xfrm>
                <a:off x="8634392" y="10868023"/>
                <a:ext cx="164592" cy="265176"/>
              </a:xfrm>
              <a:prstGeom prst="chevron">
                <a:avLst>
                  <a:gd name="adj" fmla="val 45577"/>
                </a:avLst>
              </a:prstGeom>
              <a:solidFill>
                <a:srgbClr val="26262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sp macro="" textlink="">
            <xdr:nvSpPr>
              <xdr:cNvPr id="483" name="Chevron 482"/>
              <xdr:cNvSpPr/>
            </xdr:nvSpPr>
            <xdr:spPr>
              <a:xfrm>
                <a:off x="7233929" y="10868023"/>
                <a:ext cx="164592" cy="265176"/>
              </a:xfrm>
              <a:prstGeom prst="chevron">
                <a:avLst>
                  <a:gd name="adj" fmla="val 45577"/>
                </a:avLst>
              </a:prstGeom>
              <a:solidFill>
                <a:srgbClr val="26262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sp macro="" textlink="">
            <xdr:nvSpPr>
              <xdr:cNvPr id="484" name="Chevron 483"/>
              <xdr:cNvSpPr/>
            </xdr:nvSpPr>
            <xdr:spPr>
              <a:xfrm>
                <a:off x="7389536" y="10868023"/>
                <a:ext cx="164592" cy="265176"/>
              </a:xfrm>
              <a:prstGeom prst="chevron">
                <a:avLst>
                  <a:gd name="adj" fmla="val 45577"/>
                </a:avLst>
              </a:prstGeom>
              <a:solidFill>
                <a:srgbClr val="26262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sp macro="" textlink="">
            <xdr:nvSpPr>
              <xdr:cNvPr id="485" name="Chevron 484"/>
              <xdr:cNvSpPr/>
            </xdr:nvSpPr>
            <xdr:spPr>
              <a:xfrm>
                <a:off x="7545143" y="10868023"/>
                <a:ext cx="164592" cy="265176"/>
              </a:xfrm>
              <a:prstGeom prst="chevron">
                <a:avLst>
                  <a:gd name="adj" fmla="val 45577"/>
                </a:avLst>
              </a:prstGeom>
              <a:solidFill>
                <a:srgbClr val="26262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sp macro="" textlink="">
            <xdr:nvSpPr>
              <xdr:cNvPr id="486" name="Chevron 485"/>
              <xdr:cNvSpPr/>
            </xdr:nvSpPr>
            <xdr:spPr>
              <a:xfrm>
                <a:off x="7700750" y="10868023"/>
                <a:ext cx="164592" cy="265176"/>
              </a:xfrm>
              <a:prstGeom prst="chevron">
                <a:avLst>
                  <a:gd name="adj" fmla="val 45577"/>
                </a:avLst>
              </a:prstGeom>
              <a:solidFill>
                <a:srgbClr val="26262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sp macro="" textlink="">
            <xdr:nvSpPr>
              <xdr:cNvPr id="487" name="Chevron 486"/>
              <xdr:cNvSpPr/>
            </xdr:nvSpPr>
            <xdr:spPr>
              <a:xfrm>
                <a:off x="7856357" y="10868023"/>
                <a:ext cx="164592" cy="265176"/>
              </a:xfrm>
              <a:prstGeom prst="chevron">
                <a:avLst>
                  <a:gd name="adj" fmla="val 45577"/>
                </a:avLst>
              </a:prstGeom>
              <a:solidFill>
                <a:srgbClr val="26262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sp macro="" textlink="">
            <xdr:nvSpPr>
              <xdr:cNvPr id="488" name="Chevron 487"/>
              <xdr:cNvSpPr/>
            </xdr:nvSpPr>
            <xdr:spPr>
              <a:xfrm>
                <a:off x="8011964" y="10868023"/>
                <a:ext cx="164592" cy="265176"/>
              </a:xfrm>
              <a:prstGeom prst="chevron">
                <a:avLst>
                  <a:gd name="adj" fmla="val 45577"/>
                </a:avLst>
              </a:prstGeom>
              <a:solidFill>
                <a:srgbClr val="26262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sp macro="" textlink="">
            <xdr:nvSpPr>
              <xdr:cNvPr id="489" name="Chevron 488"/>
              <xdr:cNvSpPr/>
            </xdr:nvSpPr>
            <xdr:spPr>
              <a:xfrm>
                <a:off x="8167571" y="10868023"/>
                <a:ext cx="164592" cy="265176"/>
              </a:xfrm>
              <a:prstGeom prst="chevron">
                <a:avLst>
                  <a:gd name="adj" fmla="val 45577"/>
                </a:avLst>
              </a:prstGeom>
              <a:solidFill>
                <a:srgbClr val="26262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sp macro="" textlink="">
            <xdr:nvSpPr>
              <xdr:cNvPr id="490" name="Chevron 489"/>
              <xdr:cNvSpPr/>
            </xdr:nvSpPr>
            <xdr:spPr>
              <a:xfrm>
                <a:off x="8323178" y="10868023"/>
                <a:ext cx="164592" cy="265176"/>
              </a:xfrm>
              <a:prstGeom prst="chevron">
                <a:avLst>
                  <a:gd name="adj" fmla="val 45577"/>
                </a:avLst>
              </a:prstGeom>
              <a:solidFill>
                <a:srgbClr val="26262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sp macro="" textlink="">
            <xdr:nvSpPr>
              <xdr:cNvPr id="491" name="Chevron 490"/>
              <xdr:cNvSpPr/>
            </xdr:nvSpPr>
            <xdr:spPr>
              <a:xfrm>
                <a:off x="8478785" y="10868023"/>
                <a:ext cx="164592" cy="265176"/>
              </a:xfrm>
              <a:prstGeom prst="chevron">
                <a:avLst>
                  <a:gd name="adj" fmla="val 45577"/>
                </a:avLst>
              </a:prstGeom>
              <a:solidFill>
                <a:srgbClr val="26262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sp macro="" textlink="">
            <xdr:nvSpPr>
              <xdr:cNvPr id="492" name="Chevron 491"/>
              <xdr:cNvSpPr/>
            </xdr:nvSpPr>
            <xdr:spPr>
              <a:xfrm>
                <a:off x="10190462" y="10868023"/>
                <a:ext cx="164592" cy="265176"/>
              </a:xfrm>
              <a:prstGeom prst="chevron">
                <a:avLst>
                  <a:gd name="adj" fmla="val 45577"/>
                </a:avLst>
              </a:prstGeom>
              <a:solidFill>
                <a:srgbClr val="26262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sp macro="" textlink="">
            <xdr:nvSpPr>
              <xdr:cNvPr id="493" name="Chevron 492"/>
              <xdr:cNvSpPr/>
            </xdr:nvSpPr>
            <xdr:spPr>
              <a:xfrm>
                <a:off x="8789999" y="10868023"/>
                <a:ext cx="164592" cy="265176"/>
              </a:xfrm>
              <a:prstGeom prst="chevron">
                <a:avLst>
                  <a:gd name="adj" fmla="val 45577"/>
                </a:avLst>
              </a:prstGeom>
              <a:solidFill>
                <a:srgbClr val="26262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sp macro="" textlink="">
            <xdr:nvSpPr>
              <xdr:cNvPr id="494" name="Chevron 493"/>
              <xdr:cNvSpPr/>
            </xdr:nvSpPr>
            <xdr:spPr>
              <a:xfrm>
                <a:off x="8945606" y="10868023"/>
                <a:ext cx="164592" cy="265176"/>
              </a:xfrm>
              <a:prstGeom prst="chevron">
                <a:avLst>
                  <a:gd name="adj" fmla="val 45577"/>
                </a:avLst>
              </a:prstGeom>
              <a:solidFill>
                <a:srgbClr val="26262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sp macro="" textlink="">
            <xdr:nvSpPr>
              <xdr:cNvPr id="495" name="Chevron 494"/>
              <xdr:cNvSpPr/>
            </xdr:nvSpPr>
            <xdr:spPr>
              <a:xfrm>
                <a:off x="9101213" y="10868023"/>
                <a:ext cx="164592" cy="265176"/>
              </a:xfrm>
              <a:prstGeom prst="chevron">
                <a:avLst>
                  <a:gd name="adj" fmla="val 45577"/>
                </a:avLst>
              </a:prstGeom>
              <a:solidFill>
                <a:srgbClr val="26262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sp macro="" textlink="">
            <xdr:nvSpPr>
              <xdr:cNvPr id="496" name="Chevron 495"/>
              <xdr:cNvSpPr/>
            </xdr:nvSpPr>
            <xdr:spPr>
              <a:xfrm>
                <a:off x="9256820" y="10868023"/>
                <a:ext cx="164592" cy="265176"/>
              </a:xfrm>
              <a:prstGeom prst="chevron">
                <a:avLst>
                  <a:gd name="adj" fmla="val 45577"/>
                </a:avLst>
              </a:prstGeom>
              <a:solidFill>
                <a:srgbClr val="26262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sp macro="" textlink="">
            <xdr:nvSpPr>
              <xdr:cNvPr id="497" name="Chevron 496"/>
              <xdr:cNvSpPr/>
            </xdr:nvSpPr>
            <xdr:spPr>
              <a:xfrm>
                <a:off x="9412427" y="10868023"/>
                <a:ext cx="164592" cy="265176"/>
              </a:xfrm>
              <a:prstGeom prst="chevron">
                <a:avLst>
                  <a:gd name="adj" fmla="val 45577"/>
                </a:avLst>
              </a:prstGeom>
              <a:solidFill>
                <a:srgbClr val="26262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sp macro="" textlink="">
            <xdr:nvSpPr>
              <xdr:cNvPr id="498" name="Chevron 497"/>
              <xdr:cNvSpPr/>
            </xdr:nvSpPr>
            <xdr:spPr>
              <a:xfrm>
                <a:off x="9568034" y="10868023"/>
                <a:ext cx="164592" cy="265176"/>
              </a:xfrm>
              <a:prstGeom prst="chevron">
                <a:avLst>
                  <a:gd name="adj" fmla="val 45577"/>
                </a:avLst>
              </a:prstGeom>
              <a:solidFill>
                <a:srgbClr val="26262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sp macro="" textlink="">
            <xdr:nvSpPr>
              <xdr:cNvPr id="499" name="Chevron 498"/>
              <xdr:cNvSpPr/>
            </xdr:nvSpPr>
            <xdr:spPr>
              <a:xfrm>
                <a:off x="9723641" y="10868023"/>
                <a:ext cx="164592" cy="265176"/>
              </a:xfrm>
              <a:prstGeom prst="chevron">
                <a:avLst>
                  <a:gd name="adj" fmla="val 45577"/>
                </a:avLst>
              </a:prstGeom>
              <a:solidFill>
                <a:srgbClr val="26262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sp macro="" textlink="">
            <xdr:nvSpPr>
              <xdr:cNvPr id="500" name="Chevron 499"/>
              <xdr:cNvSpPr/>
            </xdr:nvSpPr>
            <xdr:spPr>
              <a:xfrm>
                <a:off x="9879248" y="10868023"/>
                <a:ext cx="164592" cy="265176"/>
              </a:xfrm>
              <a:prstGeom prst="chevron">
                <a:avLst>
                  <a:gd name="adj" fmla="val 45577"/>
                </a:avLst>
              </a:prstGeom>
              <a:solidFill>
                <a:srgbClr val="26262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sp macro="" textlink="">
            <xdr:nvSpPr>
              <xdr:cNvPr id="501" name="Chevron 500"/>
              <xdr:cNvSpPr/>
            </xdr:nvSpPr>
            <xdr:spPr>
              <a:xfrm>
                <a:off x="10034855" y="10868023"/>
                <a:ext cx="164592" cy="265176"/>
              </a:xfrm>
              <a:prstGeom prst="chevron">
                <a:avLst>
                  <a:gd name="adj" fmla="val 45577"/>
                </a:avLst>
              </a:prstGeom>
              <a:solidFill>
                <a:srgbClr val="26262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sp macro="" textlink="">
            <xdr:nvSpPr>
              <xdr:cNvPr id="502" name="Chevron 501"/>
              <xdr:cNvSpPr/>
            </xdr:nvSpPr>
            <xdr:spPr>
              <a:xfrm>
                <a:off x="10346069" y="10868023"/>
                <a:ext cx="164592" cy="265176"/>
              </a:xfrm>
              <a:prstGeom prst="chevron">
                <a:avLst>
                  <a:gd name="adj" fmla="val 45577"/>
                </a:avLst>
              </a:prstGeom>
              <a:solidFill>
                <a:srgbClr val="26262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sp macro="" textlink="">
            <xdr:nvSpPr>
              <xdr:cNvPr id="503" name="Chevron 502"/>
              <xdr:cNvSpPr/>
            </xdr:nvSpPr>
            <xdr:spPr>
              <a:xfrm>
                <a:off x="10501676" y="10868023"/>
                <a:ext cx="164592" cy="265176"/>
              </a:xfrm>
              <a:prstGeom prst="chevron">
                <a:avLst>
                  <a:gd name="adj" fmla="val 45577"/>
                </a:avLst>
              </a:prstGeom>
              <a:solidFill>
                <a:srgbClr val="26262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sp macro="" textlink="">
            <xdr:nvSpPr>
              <xdr:cNvPr id="504" name="Chevron 503"/>
              <xdr:cNvSpPr/>
            </xdr:nvSpPr>
            <xdr:spPr>
              <a:xfrm>
                <a:off x="10657283" y="10868023"/>
                <a:ext cx="164592" cy="265176"/>
              </a:xfrm>
              <a:prstGeom prst="chevron">
                <a:avLst>
                  <a:gd name="adj" fmla="val 45577"/>
                </a:avLst>
              </a:prstGeom>
              <a:solidFill>
                <a:srgbClr val="26262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sp macro="" textlink="">
            <xdr:nvSpPr>
              <xdr:cNvPr id="505" name="Chevron 504"/>
              <xdr:cNvSpPr/>
            </xdr:nvSpPr>
            <xdr:spPr>
              <a:xfrm>
                <a:off x="10812890" y="10868023"/>
                <a:ext cx="164592" cy="265176"/>
              </a:xfrm>
              <a:prstGeom prst="chevron">
                <a:avLst>
                  <a:gd name="adj" fmla="val 45577"/>
                </a:avLst>
              </a:prstGeom>
              <a:solidFill>
                <a:srgbClr val="26262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sp macro="" textlink="">
            <xdr:nvSpPr>
              <xdr:cNvPr id="506" name="Chevron 505"/>
              <xdr:cNvSpPr/>
            </xdr:nvSpPr>
            <xdr:spPr>
              <a:xfrm>
                <a:off x="10968497" y="10868023"/>
                <a:ext cx="164592" cy="265176"/>
              </a:xfrm>
              <a:prstGeom prst="chevron">
                <a:avLst>
                  <a:gd name="adj" fmla="val 45577"/>
                </a:avLst>
              </a:prstGeom>
              <a:solidFill>
                <a:srgbClr val="26262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sp macro="" textlink="">
            <xdr:nvSpPr>
              <xdr:cNvPr id="507" name="Chevron 506"/>
              <xdr:cNvSpPr/>
            </xdr:nvSpPr>
            <xdr:spPr>
              <a:xfrm>
                <a:off x="11124104" y="10868023"/>
                <a:ext cx="164592" cy="265176"/>
              </a:xfrm>
              <a:prstGeom prst="chevron">
                <a:avLst>
                  <a:gd name="adj" fmla="val 45577"/>
                </a:avLst>
              </a:prstGeom>
              <a:solidFill>
                <a:srgbClr val="26262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sp macro="" textlink="">
            <xdr:nvSpPr>
              <xdr:cNvPr id="508" name="Chevron 507"/>
              <xdr:cNvSpPr/>
            </xdr:nvSpPr>
            <xdr:spPr>
              <a:xfrm>
                <a:off x="11279711" y="10868023"/>
                <a:ext cx="164592" cy="265176"/>
              </a:xfrm>
              <a:prstGeom prst="chevron">
                <a:avLst>
                  <a:gd name="adj" fmla="val 45577"/>
                </a:avLst>
              </a:prstGeom>
              <a:solidFill>
                <a:srgbClr val="26262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sp macro="" textlink="">
            <xdr:nvSpPr>
              <xdr:cNvPr id="509" name="Chevron 508"/>
              <xdr:cNvSpPr/>
            </xdr:nvSpPr>
            <xdr:spPr>
              <a:xfrm>
                <a:off x="11435339" y="10868023"/>
                <a:ext cx="164592" cy="265176"/>
              </a:xfrm>
              <a:prstGeom prst="chevron">
                <a:avLst>
                  <a:gd name="adj" fmla="val 45577"/>
                </a:avLst>
              </a:prstGeom>
              <a:solidFill>
                <a:srgbClr val="262626"/>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grpSp>
      </xdr:grpSp>
      <xdr:grpSp>
        <xdr:nvGrpSpPr>
          <xdr:cNvPr id="19" name="Group 18"/>
          <xdr:cNvGrpSpPr/>
        </xdr:nvGrpSpPr>
        <xdr:grpSpPr>
          <a:xfrm>
            <a:off x="628651" y="1134533"/>
            <a:ext cx="10411396" cy="876145"/>
            <a:chOff x="628651" y="1067858"/>
            <a:chExt cx="10411396" cy="876145"/>
          </a:xfrm>
        </xdr:grpSpPr>
        <xdr:sp macro="" textlink="Calculations!B6">
          <xdr:nvSpPr>
            <xdr:cNvPr id="380" name="TextBox 379"/>
            <xdr:cNvSpPr txBox="1"/>
          </xdr:nvSpPr>
          <xdr:spPr>
            <a:xfrm>
              <a:off x="629222" y="1067858"/>
              <a:ext cx="10153078" cy="5115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fld id="{4C259BF2-945A-482B-81E3-1B68292D6A6F}" type="TxLink">
                <a:rPr lang="en-US" sz="2400" b="0">
                  <a:solidFill>
                    <a:srgbClr val="EBEBEB"/>
                  </a:solidFill>
                </a:rPr>
                <a:pPr algn="l"/>
                <a:t>Instagram Hashtag Report: 8/11/17 to 9/9/17</a:t>
              </a:fld>
              <a:endParaRPr lang="en-US" sz="2400" b="0">
                <a:solidFill>
                  <a:srgbClr val="EBEBEB"/>
                </a:solidFill>
              </a:endParaRPr>
            </a:p>
          </xdr:txBody>
        </xdr:sp>
        <xdr:sp macro="" textlink="">
          <xdr:nvSpPr>
            <xdr:cNvPr id="381" name="Rounded Rectangle 380"/>
            <xdr:cNvSpPr/>
          </xdr:nvSpPr>
          <xdr:spPr>
            <a:xfrm>
              <a:off x="629222" y="1924360"/>
              <a:ext cx="10410825" cy="19643"/>
            </a:xfrm>
            <a:prstGeom prst="roundRect">
              <a:avLst>
                <a:gd name="adj" fmla="val 0"/>
              </a:avLst>
            </a:prstGeom>
            <a:gradFill flip="none" rotWithShape="1">
              <a:gsLst>
                <a:gs pos="0">
                  <a:srgbClr val="E9AB17"/>
                </a:gs>
                <a:gs pos="100000">
                  <a:srgbClr val="E14B26"/>
                </a:gs>
              </a:gsLst>
              <a:lin ang="0" scaled="1"/>
              <a:tileRect/>
            </a:gradFill>
            <a:ln w="1905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89" name="TextBox 388"/>
            <xdr:cNvSpPr txBox="1"/>
          </xdr:nvSpPr>
          <xdr:spPr>
            <a:xfrm>
              <a:off x="628651" y="1601830"/>
              <a:ext cx="1809750" cy="2443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r>
                <a:rPr lang="en-US" sz="1100" b="0">
                  <a:solidFill>
                    <a:srgbClr val="C8C8C8"/>
                  </a:solidFill>
                </a:rPr>
                <a:t>HASHTAGS IN THIS</a:t>
              </a:r>
              <a:r>
                <a:rPr lang="en-US" sz="1100" b="0" baseline="0">
                  <a:solidFill>
                    <a:srgbClr val="C8C8C8"/>
                  </a:solidFill>
                </a:rPr>
                <a:t> REPORT: </a:t>
              </a:r>
              <a:endParaRPr lang="en-US" sz="1100" b="0">
                <a:solidFill>
                  <a:srgbClr val="C8C8C8"/>
                </a:solidFill>
              </a:endParaRPr>
            </a:p>
          </xdr:txBody>
        </xdr:sp>
        <xdr:sp macro="" textlink="Calculations!C7">
          <xdr:nvSpPr>
            <xdr:cNvPr id="394" name="TextBox 393"/>
            <xdr:cNvSpPr txBox="1"/>
          </xdr:nvSpPr>
          <xdr:spPr>
            <a:xfrm>
              <a:off x="2343150" y="1601830"/>
              <a:ext cx="5638228" cy="2443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marL="0" indent="0" algn="l"/>
              <a:fld id="{D6BFA27F-8918-469F-8A26-D148DF245A76}" type="TxLink">
                <a:rPr lang="en-US" sz="1200" b="0" i="0" u="none" strike="noStrike">
                  <a:solidFill>
                    <a:srgbClr val="92B7E3"/>
                  </a:solidFill>
                  <a:latin typeface="+mn-lt"/>
                  <a:ea typeface="+mn-ea"/>
                  <a:cs typeface="+mn-cs"/>
                </a:rPr>
                <a:pPr marL="0" indent="0" algn="l"/>
                <a:t>#keepongoing</a:t>
              </a:fld>
              <a:endParaRPr lang="en-US" sz="1200" b="0">
                <a:solidFill>
                  <a:srgbClr val="92B7E3"/>
                </a:solidFill>
                <a:latin typeface="+mn-lt"/>
                <a:ea typeface="+mn-ea"/>
                <a:cs typeface="+mn-cs"/>
              </a:endParaRPr>
            </a:p>
          </xdr:txBody>
        </xdr:sp>
        <xdr:sp macro="" textlink="">
          <xdr:nvSpPr>
            <xdr:cNvPr id="397" name="Rectangle 396"/>
            <xdr:cNvSpPr/>
          </xdr:nvSpPr>
          <xdr:spPr>
            <a:xfrm>
              <a:off x="9372600" y="1590675"/>
              <a:ext cx="1647825" cy="242021"/>
            </a:xfrm>
            <a:prstGeom prst="rect">
              <a:avLst/>
            </a:prstGeom>
            <a:solidFill>
              <a:srgbClr val="336389"/>
            </a:solidFill>
            <a:ln w="12700">
              <a:solidFill>
                <a:srgbClr val="6179AB"/>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a:t>SEE</a:t>
              </a:r>
              <a:r>
                <a:rPr lang="en-US" sz="1200" baseline="0"/>
                <a:t> ALL HASHTAGS</a:t>
              </a:r>
              <a:endParaRPr lang="en-US" sz="1200"/>
            </a:p>
          </xdr:txBody>
        </xdr:sp>
      </xdr:grpSp>
    </xdr:grpSp>
    <xdr:clientData/>
  </xdr:twoCellAnchor>
  <xdr:twoCellAnchor>
    <xdr:from>
      <xdr:col>1</xdr:col>
      <xdr:colOff>0</xdr:colOff>
      <xdr:row>237</xdr:row>
      <xdr:rowOff>76200</xdr:rowOff>
    </xdr:from>
    <xdr:to>
      <xdr:col>24</xdr:col>
      <xdr:colOff>384</xdr:colOff>
      <xdr:row>256</xdr:row>
      <xdr:rowOff>114300</xdr:rowOff>
    </xdr:to>
    <xdr:grpSp>
      <xdr:nvGrpSpPr>
        <xdr:cNvPr id="24" name="Group 23"/>
        <xdr:cNvGrpSpPr/>
      </xdr:nvGrpSpPr>
      <xdr:grpSpPr>
        <a:xfrm>
          <a:off x="247650" y="44577000"/>
          <a:ext cx="11173209" cy="3657600"/>
          <a:chOff x="247650" y="48577500"/>
          <a:chExt cx="11173209" cy="3657600"/>
        </a:xfrm>
      </xdr:grpSpPr>
      <xdr:grpSp>
        <xdr:nvGrpSpPr>
          <xdr:cNvPr id="35" name="Group 34"/>
          <xdr:cNvGrpSpPr/>
        </xdr:nvGrpSpPr>
        <xdr:grpSpPr>
          <a:xfrm>
            <a:off x="247650" y="48577500"/>
            <a:ext cx="5541264" cy="3657600"/>
            <a:chOff x="247650" y="48920400"/>
            <a:chExt cx="5541264" cy="3657600"/>
          </a:xfrm>
        </xdr:grpSpPr>
        <xdr:sp macro="" textlink="">
          <xdr:nvSpPr>
            <xdr:cNvPr id="433" name="Rounded Rectangle 432"/>
            <xdr:cNvSpPr/>
          </xdr:nvSpPr>
          <xdr:spPr>
            <a:xfrm>
              <a:off x="247650" y="48920400"/>
              <a:ext cx="5541264" cy="3657600"/>
            </a:xfrm>
            <a:prstGeom prst="roundRect">
              <a:avLst>
                <a:gd name="adj" fmla="val 0"/>
              </a:avLst>
            </a:prstGeom>
            <a:solidFill>
              <a:srgbClr val="262626"/>
            </a:solidFill>
            <a:ln w="19050">
              <a:solidFill>
                <a:srgbClr val="15151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Calculations!B341">
          <xdr:nvSpPr>
            <xdr:cNvPr id="440" name="Rectangle 439"/>
            <xdr:cNvSpPr/>
          </xdr:nvSpPr>
          <xdr:spPr>
            <a:xfrm>
              <a:off x="626618" y="50320942"/>
              <a:ext cx="4779264" cy="418367"/>
            </a:xfrm>
            <a:prstGeom prst="rect">
              <a:avLst/>
            </a:prstGeom>
            <a:noFill/>
            <a:ln>
              <a:noFill/>
            </a:ln>
            <a:effectLst>
              <a:outerShdw sx="1000" sy="1000" rotWithShape="0">
                <a:srgbClr val="000000"/>
              </a:outerShdw>
            </a:effectLst>
          </xdr:spPr>
          <xdr:style>
            <a:lnRef idx="1">
              <a:schemeClr val="accent1"/>
            </a:lnRef>
            <a:fillRef idx="3">
              <a:schemeClr val="accent1"/>
            </a:fillRef>
            <a:effectRef idx="2">
              <a:schemeClr val="accent1"/>
            </a:effectRef>
            <a:fontRef idx="minor">
              <a:schemeClr val="lt1"/>
            </a:fontRef>
          </xdr:style>
          <xdr:txBody>
            <a:bodyPr vertOverflow="clip" horzOverflow="clip" lIns="0" tIns="0" rIns="0" bIns="0" rtlCol="0" anchor="ctr"/>
            <a:lstStyle/>
            <a:p>
              <a:pPr algn="ctr"/>
              <a:fld id="{908C7197-F8F0-4224-A7C4-AAC669228B2A}" type="TxLink">
                <a:rPr lang="en-US" sz="1600" b="1" cap="none" baseline="0">
                  <a:solidFill>
                    <a:srgbClr val="B4B4B4"/>
                  </a:solidFill>
                  <a:latin typeface="+mn-lt"/>
                </a:rPr>
                <a:pPr algn="ctr"/>
                <a:t> </a:t>
              </a:fld>
              <a:endParaRPr lang="en-US" sz="1600" b="1" cap="none" baseline="0">
                <a:solidFill>
                  <a:srgbClr val="B4B4B4"/>
                </a:solidFill>
                <a:latin typeface="+mn-lt"/>
              </a:endParaRPr>
            </a:p>
          </xdr:txBody>
        </xdr:sp>
        <xdr:sp macro="" textlink="Calculations!B342">
          <xdr:nvSpPr>
            <xdr:cNvPr id="441" name="Rectangle 440"/>
            <xdr:cNvSpPr/>
          </xdr:nvSpPr>
          <xdr:spPr>
            <a:xfrm>
              <a:off x="626618" y="50759092"/>
              <a:ext cx="4779264" cy="418367"/>
            </a:xfrm>
            <a:prstGeom prst="rect">
              <a:avLst/>
            </a:prstGeom>
            <a:noFill/>
            <a:ln>
              <a:noFill/>
            </a:ln>
            <a:effectLst>
              <a:outerShdw sx="1000" sy="1000" rotWithShape="0">
                <a:srgbClr val="000000"/>
              </a:outerShdw>
            </a:effectLst>
          </xdr:spPr>
          <xdr:style>
            <a:lnRef idx="1">
              <a:schemeClr val="accent1"/>
            </a:lnRef>
            <a:fillRef idx="3">
              <a:schemeClr val="accent1"/>
            </a:fillRef>
            <a:effectRef idx="2">
              <a:schemeClr val="accent1"/>
            </a:effectRef>
            <a:fontRef idx="minor">
              <a:schemeClr val="lt1"/>
            </a:fontRef>
          </xdr:style>
          <xdr:txBody>
            <a:bodyPr vertOverflow="clip" horzOverflow="clip" lIns="0" tIns="0" rIns="0" bIns="0" rtlCol="0" anchor="ctr"/>
            <a:lstStyle/>
            <a:p>
              <a:pPr algn="ctr"/>
              <a:fld id="{AC0A6EF6-6235-4F16-83D0-79F9E348EFE1}" type="TxLink">
                <a:rPr lang="en-US" sz="1600" b="1" cap="none" baseline="0">
                  <a:solidFill>
                    <a:srgbClr val="B4B4B4"/>
                  </a:solidFill>
                  <a:latin typeface="+mn-lt"/>
                </a:rPr>
                <a:pPr algn="ctr"/>
                <a:t> </a:t>
              </a:fld>
              <a:endParaRPr lang="en-US" sz="1600" b="1" cap="none" baseline="0">
                <a:solidFill>
                  <a:srgbClr val="B4B4B4"/>
                </a:solidFill>
                <a:latin typeface="+mn-lt"/>
              </a:endParaRPr>
            </a:p>
          </xdr:txBody>
        </xdr:sp>
        <xdr:graphicFrame macro="">
          <xdr:nvGraphicFramePr>
            <xdr:cNvPr id="435" name="Chart 434"/>
            <xdr:cNvGraphicFramePr>
              <a:graphicFrameLocks/>
            </xdr:cNvGraphicFramePr>
          </xdr:nvGraphicFramePr>
          <xdr:xfrm>
            <a:off x="247650" y="48920400"/>
            <a:ext cx="5537200" cy="3657600"/>
          </xdr:xfrm>
          <a:graphic>
            <a:graphicData uri="http://schemas.openxmlformats.org/drawingml/2006/chart">
              <c:chart xmlns:c="http://schemas.openxmlformats.org/drawingml/2006/chart" xmlns:r="http://schemas.openxmlformats.org/officeDocument/2006/relationships" r:id="rId26"/>
            </a:graphicData>
          </a:graphic>
        </xdr:graphicFrame>
      </xdr:grpSp>
      <xdr:grpSp>
        <xdr:nvGrpSpPr>
          <xdr:cNvPr id="21" name="Group 20"/>
          <xdr:cNvGrpSpPr/>
        </xdr:nvGrpSpPr>
        <xdr:grpSpPr>
          <a:xfrm>
            <a:off x="5880354" y="48577500"/>
            <a:ext cx="5540505" cy="3657600"/>
            <a:chOff x="5880354" y="48577500"/>
            <a:chExt cx="5540505" cy="3657600"/>
          </a:xfrm>
        </xdr:grpSpPr>
        <xdr:sp macro="" textlink="">
          <xdr:nvSpPr>
            <xdr:cNvPr id="437" name="Rounded Rectangle 436"/>
            <xdr:cNvSpPr/>
          </xdr:nvSpPr>
          <xdr:spPr>
            <a:xfrm>
              <a:off x="5880354" y="48577500"/>
              <a:ext cx="5540505" cy="3657600"/>
            </a:xfrm>
            <a:prstGeom prst="roundRect">
              <a:avLst>
                <a:gd name="adj" fmla="val 0"/>
              </a:avLst>
            </a:prstGeom>
            <a:solidFill>
              <a:srgbClr val="262626"/>
            </a:solidFill>
            <a:ln w="19050">
              <a:solidFill>
                <a:srgbClr val="15151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Calculations!B356">
          <xdr:nvSpPr>
            <xdr:cNvPr id="442" name="Rectangle 441"/>
            <xdr:cNvSpPr/>
          </xdr:nvSpPr>
          <xdr:spPr>
            <a:xfrm>
              <a:off x="6364606" y="49997058"/>
              <a:ext cx="4572000" cy="380334"/>
            </a:xfrm>
            <a:prstGeom prst="rect">
              <a:avLst/>
            </a:prstGeom>
            <a:noFill/>
            <a:ln>
              <a:noFill/>
            </a:ln>
            <a:effectLst>
              <a:outerShdw sx="1000" sy="1000" rotWithShape="0">
                <a:srgbClr val="000000"/>
              </a:outerShdw>
            </a:effectLst>
          </xdr:spPr>
          <xdr:style>
            <a:lnRef idx="1">
              <a:schemeClr val="accent1"/>
            </a:lnRef>
            <a:fillRef idx="3">
              <a:schemeClr val="accent1"/>
            </a:fillRef>
            <a:effectRef idx="2">
              <a:schemeClr val="accent1"/>
            </a:effectRef>
            <a:fontRef idx="minor">
              <a:schemeClr val="lt1"/>
            </a:fontRef>
          </xdr:style>
          <xdr:txBody>
            <a:bodyPr vertOverflow="clip" horzOverflow="clip" lIns="0" tIns="0" rIns="0" bIns="0" rtlCol="0" anchor="ctr"/>
            <a:lstStyle/>
            <a:p>
              <a:pPr algn="ctr"/>
              <a:fld id="{C7731FCC-C4F8-45E9-8E1B-4B5ECF5A6E64}" type="TxLink">
                <a:rPr lang="en-US" sz="1600" b="1" cap="none" baseline="0">
                  <a:solidFill>
                    <a:srgbClr val="B4B4B4"/>
                  </a:solidFill>
                  <a:latin typeface="+mn-lt"/>
                </a:rPr>
                <a:pPr algn="ctr"/>
                <a:t> </a:t>
              </a:fld>
              <a:endParaRPr lang="en-US" sz="1600" b="1" cap="none" baseline="0">
                <a:solidFill>
                  <a:srgbClr val="B4B4B4"/>
                </a:solidFill>
                <a:latin typeface="+mn-lt"/>
              </a:endParaRPr>
            </a:p>
          </xdr:txBody>
        </xdr:sp>
        <xdr:sp macro="" textlink="Calculations!B357">
          <xdr:nvSpPr>
            <xdr:cNvPr id="443" name="Rectangle 442"/>
            <xdr:cNvSpPr/>
          </xdr:nvSpPr>
          <xdr:spPr>
            <a:xfrm>
              <a:off x="6364606" y="50435208"/>
              <a:ext cx="4572000" cy="380334"/>
            </a:xfrm>
            <a:prstGeom prst="rect">
              <a:avLst/>
            </a:prstGeom>
            <a:noFill/>
            <a:ln>
              <a:noFill/>
            </a:ln>
            <a:effectLst>
              <a:outerShdw sx="1000" sy="1000" rotWithShape="0">
                <a:srgbClr val="000000"/>
              </a:outerShdw>
            </a:effectLst>
          </xdr:spPr>
          <xdr:style>
            <a:lnRef idx="1">
              <a:schemeClr val="accent1"/>
            </a:lnRef>
            <a:fillRef idx="3">
              <a:schemeClr val="accent1"/>
            </a:fillRef>
            <a:effectRef idx="2">
              <a:schemeClr val="accent1"/>
            </a:effectRef>
            <a:fontRef idx="minor">
              <a:schemeClr val="lt1"/>
            </a:fontRef>
          </xdr:style>
          <xdr:txBody>
            <a:bodyPr vertOverflow="clip" horzOverflow="clip" lIns="0" tIns="0" rIns="0" bIns="0" rtlCol="0" anchor="ctr"/>
            <a:lstStyle/>
            <a:p>
              <a:pPr algn="ctr"/>
              <a:fld id="{7959E59B-A1A0-40A6-8B8E-7F6CE0C234E9}" type="TxLink">
                <a:rPr lang="en-US" sz="1600" b="1" cap="none" baseline="0">
                  <a:solidFill>
                    <a:srgbClr val="B4B4B4"/>
                  </a:solidFill>
                  <a:latin typeface="+mn-lt"/>
                </a:rPr>
                <a:pPr algn="ctr"/>
                <a:t> </a:t>
              </a:fld>
              <a:endParaRPr lang="en-US" sz="1600" b="1" cap="none" baseline="0">
                <a:solidFill>
                  <a:srgbClr val="B4B4B4"/>
                </a:solidFill>
                <a:latin typeface="+mn-lt"/>
              </a:endParaRPr>
            </a:p>
          </xdr:txBody>
        </xdr:sp>
        <xdr:graphicFrame macro="">
          <xdr:nvGraphicFramePr>
            <xdr:cNvPr id="400" name="Chart 399"/>
            <xdr:cNvGraphicFramePr>
              <a:graphicFrameLocks/>
            </xdr:cNvGraphicFramePr>
          </xdr:nvGraphicFramePr>
          <xdr:xfrm>
            <a:off x="5880354" y="48577500"/>
            <a:ext cx="5537200" cy="3657600"/>
          </xdr:xfrm>
          <a:graphic>
            <a:graphicData uri="http://schemas.openxmlformats.org/drawingml/2006/chart">
              <c:chart xmlns:c="http://schemas.openxmlformats.org/drawingml/2006/chart" xmlns:r="http://schemas.openxmlformats.org/officeDocument/2006/relationships" r:id="rId27"/>
            </a:graphicData>
          </a:graphic>
        </xdr:graphicFrame>
      </xdr:grpSp>
    </xdr:grpSp>
    <xdr:clientData/>
  </xdr:twoCellAnchor>
  <xdr:twoCellAnchor>
    <xdr:from>
      <xdr:col>1</xdr:col>
      <xdr:colOff>18288</xdr:colOff>
      <xdr:row>278</xdr:row>
      <xdr:rowOff>133350</xdr:rowOff>
    </xdr:from>
    <xdr:to>
      <xdr:col>23</xdr:col>
      <xdr:colOff>573405</xdr:colOff>
      <xdr:row>328</xdr:row>
      <xdr:rowOff>28575</xdr:rowOff>
    </xdr:to>
    <xdr:grpSp>
      <xdr:nvGrpSpPr>
        <xdr:cNvPr id="29" name="Group 28"/>
        <xdr:cNvGrpSpPr/>
      </xdr:nvGrpSpPr>
      <xdr:grpSpPr>
        <a:xfrm>
          <a:off x="265938" y="52444650"/>
          <a:ext cx="11137392" cy="9420225"/>
          <a:chOff x="265938" y="56445150"/>
          <a:chExt cx="11137392" cy="9420225"/>
        </a:xfrm>
      </xdr:grpSpPr>
      <xdr:sp macro="" textlink="">
        <xdr:nvSpPr>
          <xdr:cNvPr id="827" name="Rectangle 826"/>
          <xdr:cNvSpPr/>
        </xdr:nvSpPr>
        <xdr:spPr>
          <a:xfrm>
            <a:off x="265938" y="56445150"/>
            <a:ext cx="11137392" cy="9420225"/>
          </a:xfrm>
          <a:prstGeom prst="rect">
            <a:avLst/>
          </a:prstGeom>
          <a:solidFill>
            <a:srgbClr val="262626"/>
          </a:solidFill>
          <a:ln w="12700" cmpd="sng">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b="0" i="0">
              <a:solidFill>
                <a:srgbClr val="E8E8E8"/>
              </a:solidFill>
              <a:latin typeface="Calibri"/>
            </a:endParaRPr>
          </a:p>
        </xdr:txBody>
      </xdr:sp>
      <xdr:grpSp>
        <xdr:nvGrpSpPr>
          <xdr:cNvPr id="9155" name="Group 9154"/>
          <xdr:cNvGrpSpPr/>
        </xdr:nvGrpSpPr>
        <xdr:grpSpPr>
          <a:xfrm>
            <a:off x="695325" y="56616599"/>
            <a:ext cx="5020056" cy="2095499"/>
            <a:chOff x="695325" y="56730899"/>
            <a:chExt cx="5020056" cy="2095499"/>
          </a:xfrm>
        </xdr:grpSpPr>
        <xdr:grpSp>
          <xdr:nvGrpSpPr>
            <xdr:cNvPr id="9143" name="Group 9142"/>
            <xdr:cNvGrpSpPr/>
          </xdr:nvGrpSpPr>
          <xdr:grpSpPr>
            <a:xfrm>
              <a:off x="695325" y="56730899"/>
              <a:ext cx="5020056" cy="2095499"/>
              <a:chOff x="695325" y="56730899"/>
              <a:chExt cx="5020056" cy="2095499"/>
            </a:xfrm>
          </xdr:grpSpPr>
          <xdr:grpSp>
            <xdr:nvGrpSpPr>
              <xdr:cNvPr id="9139" name="Group 9138"/>
              <xdr:cNvGrpSpPr/>
            </xdr:nvGrpSpPr>
            <xdr:grpSpPr>
              <a:xfrm>
                <a:off x="695325" y="56730899"/>
                <a:ext cx="5020056" cy="2095499"/>
                <a:chOff x="695325" y="56730899"/>
                <a:chExt cx="5020056" cy="2095499"/>
              </a:xfrm>
            </xdr:grpSpPr>
            <xdr:sp macro="" textlink="">
              <xdr:nvSpPr>
                <xdr:cNvPr id="971" name="03_imgModule_Rounded_Rectangle_539"/>
                <xdr:cNvSpPr/>
              </xdr:nvSpPr>
              <xdr:spPr>
                <a:xfrm>
                  <a:off x="695325" y="56740424"/>
                  <a:ext cx="5020056" cy="2085974"/>
                </a:xfrm>
                <a:prstGeom prst="roundRect">
                  <a:avLst>
                    <a:gd name="adj" fmla="val 800"/>
                  </a:avLst>
                </a:prstGeom>
                <a:solidFill>
                  <a:srgbClr val="757575"/>
                </a:solidFill>
                <a:ln w="12700">
                  <a:solidFill>
                    <a:srgbClr val="1E1E1E"/>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l"/>
                  <a:endParaRPr lang="en-US" sz="1100"/>
                </a:p>
              </xdr:txBody>
            </xdr:sp>
            <xdr:sp macro="" textlink="">
              <xdr:nvSpPr>
                <xdr:cNvPr id="972" name="03_imgModule_Rounded_Rectangle_540"/>
                <xdr:cNvSpPr/>
              </xdr:nvSpPr>
              <xdr:spPr>
                <a:xfrm>
                  <a:off x="695325" y="56730899"/>
                  <a:ext cx="5020056" cy="2084832"/>
                </a:xfrm>
                <a:prstGeom prst="roundRect">
                  <a:avLst>
                    <a:gd name="adj" fmla="val 800"/>
                  </a:avLst>
                </a:prstGeom>
                <a:solidFill>
                  <a:srgbClr val="757575"/>
                </a:solidFill>
                <a:ln w="12700">
                  <a:solidFill>
                    <a:srgbClr val="1A1A1A"/>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l"/>
                  <a:endParaRPr lang="en-US" sz="1100"/>
                </a:p>
              </xdr:txBody>
            </xdr:sp>
          </xdr:grpSp>
          <xdr:grpSp>
            <xdr:nvGrpSpPr>
              <xdr:cNvPr id="9140" name="Group 9139"/>
              <xdr:cNvGrpSpPr/>
            </xdr:nvGrpSpPr>
            <xdr:grpSpPr>
              <a:xfrm>
                <a:off x="4447603" y="56892823"/>
                <a:ext cx="1155910" cy="651129"/>
                <a:chOff x="4447603" y="56892823"/>
                <a:chExt cx="1155910" cy="651129"/>
              </a:xfrm>
            </xdr:grpSpPr>
            <xdr:sp macro="" textlink="Calculations!F421">
              <xdr:nvSpPr>
                <xdr:cNvPr id="969" name="03_metric01_number"/>
                <xdr:cNvSpPr txBox="1"/>
              </xdr:nvSpPr>
              <xdr:spPr>
                <a:xfrm>
                  <a:off x="4447603" y="56892823"/>
                  <a:ext cx="1143000" cy="28438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ctr"/>
                <a:lstStyle/>
                <a:p>
                  <a:pPr marL="0" indent="0" algn="l"/>
                  <a:fld id="{94641A8A-B120-411C-837C-B0248950DE67}" type="TxLink">
                    <a:rPr lang="en-US" sz="2200" b="0" i="0" u="none" strike="noStrike">
                      <a:solidFill>
                        <a:srgbClr val="AFBFFF"/>
                      </a:solidFill>
                      <a:latin typeface="+mn-lt"/>
                      <a:ea typeface="+mn-ea"/>
                      <a:cs typeface="+mn-cs"/>
                    </a:rPr>
                    <a:pPr marL="0" indent="0" algn="l"/>
                    <a:t>12,661</a:t>
                  </a:fld>
                  <a:endParaRPr lang="en-US" sz="2200" b="0">
                    <a:solidFill>
                      <a:srgbClr val="AFBFFF"/>
                    </a:solidFill>
                    <a:latin typeface="+mn-lt"/>
                    <a:ea typeface="+mn-ea"/>
                    <a:cs typeface="+mn-cs"/>
                  </a:endParaRPr>
                </a:p>
              </xdr:txBody>
            </xdr:sp>
            <xdr:sp macro="" textlink="Calculations!G421">
              <xdr:nvSpPr>
                <xdr:cNvPr id="970" name="03_metric01_label"/>
                <xdr:cNvSpPr txBox="1"/>
              </xdr:nvSpPr>
              <xdr:spPr>
                <a:xfrm>
                  <a:off x="4460513" y="57169048"/>
                  <a:ext cx="1143000" cy="3749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marL="0" indent="0" algn="l"/>
                  <a:fld id="{DBFEEA9F-F1B8-42EC-9856-925350FBE7CB}" type="TxLink">
                    <a:rPr lang="en-US" sz="1200" b="0" i="0" u="none" strike="noStrike">
                      <a:solidFill>
                        <a:srgbClr val="E0E0E0"/>
                      </a:solidFill>
                      <a:latin typeface="+mn-lt"/>
                      <a:ea typeface="+mn-ea"/>
                      <a:cs typeface="+mn-cs"/>
                    </a:rPr>
                    <a:pPr marL="0" indent="0" algn="l"/>
                    <a:t>Instagram Engagements</a:t>
                  </a:fld>
                  <a:endParaRPr lang="en-US" sz="1200" b="0">
                    <a:solidFill>
                      <a:srgbClr val="E0E0E0"/>
                    </a:solidFill>
                    <a:latin typeface="+mn-lt"/>
                    <a:ea typeface="+mn-ea"/>
                    <a:cs typeface="+mn-cs"/>
                  </a:endParaRPr>
                </a:p>
              </xdr:txBody>
            </xdr:sp>
          </xdr:grpSp>
          <xdr:grpSp>
            <xdr:nvGrpSpPr>
              <xdr:cNvPr id="9141" name="Group 9140"/>
              <xdr:cNvGrpSpPr/>
            </xdr:nvGrpSpPr>
            <xdr:grpSpPr>
              <a:xfrm>
                <a:off x="4447603" y="58197748"/>
                <a:ext cx="1155910" cy="622554"/>
                <a:chOff x="4447603" y="58197748"/>
                <a:chExt cx="1155910" cy="622554"/>
              </a:xfrm>
            </xdr:grpSpPr>
            <xdr:sp macro="" textlink="Calculations!M421">
              <xdr:nvSpPr>
                <xdr:cNvPr id="967" name="03_metric03_number"/>
                <xdr:cNvSpPr txBox="1"/>
              </xdr:nvSpPr>
              <xdr:spPr>
                <a:xfrm>
                  <a:off x="4447603" y="58197748"/>
                  <a:ext cx="1143000" cy="28438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ctr"/>
                <a:lstStyle/>
                <a:p>
                  <a:pPr marL="0" indent="0" algn="l"/>
                  <a:fld id="{A7B692A6-9AFB-482B-B2FF-E379CDFCFB7F}" type="TxLink">
                    <a:rPr lang="en-US" sz="1600" b="0" i="0" u="none" strike="noStrike">
                      <a:solidFill>
                        <a:srgbClr val="AFBFFF"/>
                      </a:solidFill>
                      <a:latin typeface="+mn-lt"/>
                      <a:ea typeface="+mn-ea"/>
                      <a:cs typeface="+mn-cs"/>
                    </a:rPr>
                    <a:pPr marL="0" indent="0" algn="l"/>
                    <a:t>258</a:t>
                  </a:fld>
                  <a:endParaRPr lang="en-US" sz="1600" b="0" i="0" u="none" strike="noStrike">
                    <a:solidFill>
                      <a:srgbClr val="AFBFFF"/>
                    </a:solidFill>
                    <a:latin typeface="+mn-lt"/>
                    <a:ea typeface="+mn-ea"/>
                    <a:cs typeface="+mn-cs"/>
                  </a:endParaRPr>
                </a:p>
              </xdr:txBody>
            </xdr:sp>
            <xdr:sp macro="" textlink="Calculations!N421">
              <xdr:nvSpPr>
                <xdr:cNvPr id="968" name="03_metric03_label"/>
                <xdr:cNvSpPr txBox="1"/>
              </xdr:nvSpPr>
              <xdr:spPr>
                <a:xfrm>
                  <a:off x="4460513" y="58445398"/>
                  <a:ext cx="1143000" cy="3749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marL="0" indent="0" algn="l"/>
                  <a:fld id="{FEB12E07-FAAD-4D62-AA17-B7AD6903638B}" type="TxLink">
                    <a:rPr lang="en-US" sz="1200" b="0" i="0" u="none" strike="noStrike">
                      <a:solidFill>
                        <a:srgbClr val="E0E0E0"/>
                      </a:solidFill>
                      <a:latin typeface="+mn-lt"/>
                      <a:ea typeface="+mn-ea"/>
                      <a:cs typeface="+mn-cs"/>
                    </a:rPr>
                    <a:pPr marL="0" indent="0" algn="l"/>
                    <a:t>Comments</a:t>
                  </a:fld>
                  <a:endParaRPr lang="en-US" sz="1200" b="0">
                    <a:solidFill>
                      <a:srgbClr val="E0E0E0"/>
                    </a:solidFill>
                    <a:latin typeface="+mn-lt"/>
                    <a:ea typeface="+mn-ea"/>
                    <a:cs typeface="+mn-cs"/>
                  </a:endParaRPr>
                </a:p>
              </xdr:txBody>
            </xdr:sp>
          </xdr:grpSp>
          <xdr:grpSp>
            <xdr:nvGrpSpPr>
              <xdr:cNvPr id="9142" name="Group 9141"/>
              <xdr:cNvGrpSpPr/>
            </xdr:nvGrpSpPr>
            <xdr:grpSpPr>
              <a:xfrm>
                <a:off x="4447603" y="57669110"/>
                <a:ext cx="1155910" cy="632079"/>
                <a:chOff x="4447603" y="57669110"/>
                <a:chExt cx="1155910" cy="632079"/>
              </a:xfrm>
            </xdr:grpSpPr>
            <xdr:sp macro="" textlink="Calculations!J421">
              <xdr:nvSpPr>
                <xdr:cNvPr id="965" name="03_metric02_number"/>
                <xdr:cNvSpPr txBox="1"/>
              </xdr:nvSpPr>
              <xdr:spPr>
                <a:xfrm>
                  <a:off x="4447603" y="57669110"/>
                  <a:ext cx="1143000" cy="28438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ctr"/>
                <a:lstStyle/>
                <a:p>
                  <a:pPr marL="0" indent="0" algn="l"/>
                  <a:fld id="{16DB45E2-4244-4E5E-9212-9190F46E8FD1}" type="TxLink">
                    <a:rPr lang="en-US" sz="1600" b="0" i="0" u="none" strike="noStrike">
                      <a:solidFill>
                        <a:srgbClr val="AFBFFF"/>
                      </a:solidFill>
                      <a:latin typeface="+mn-lt"/>
                      <a:ea typeface="+mn-ea"/>
                      <a:cs typeface="+mn-cs"/>
                    </a:rPr>
                    <a:pPr marL="0" indent="0" algn="l"/>
                    <a:t>12,403</a:t>
                  </a:fld>
                  <a:endParaRPr lang="en-US" sz="1600" b="0" i="0" u="none" strike="noStrike">
                    <a:solidFill>
                      <a:srgbClr val="AFBFFF"/>
                    </a:solidFill>
                    <a:latin typeface="+mn-lt"/>
                    <a:ea typeface="+mn-ea"/>
                    <a:cs typeface="+mn-cs"/>
                  </a:endParaRPr>
                </a:p>
              </xdr:txBody>
            </xdr:sp>
            <xdr:sp macro="" textlink="Calculations!K421">
              <xdr:nvSpPr>
                <xdr:cNvPr id="966" name="03_metric02_label"/>
                <xdr:cNvSpPr txBox="1"/>
              </xdr:nvSpPr>
              <xdr:spPr>
                <a:xfrm>
                  <a:off x="4460513" y="57926285"/>
                  <a:ext cx="1143000" cy="3749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marL="0" indent="0" algn="l"/>
                  <a:fld id="{D9B66EFC-A4B0-4A78-BDC2-D99996F96BCC}" type="TxLink">
                    <a:rPr lang="en-US" sz="1200" b="0" i="0" u="none" strike="noStrike">
                      <a:solidFill>
                        <a:srgbClr val="E0E0E0"/>
                      </a:solidFill>
                      <a:latin typeface="+mn-lt"/>
                      <a:ea typeface="+mn-ea"/>
                      <a:cs typeface="+mn-cs"/>
                    </a:rPr>
                    <a:pPr marL="0" indent="0" algn="l"/>
                    <a:t>Likes</a:t>
                  </a:fld>
                  <a:endParaRPr lang="en-US" sz="1200" b="0">
                    <a:solidFill>
                      <a:srgbClr val="E0E0E0"/>
                    </a:solidFill>
                    <a:latin typeface="+mn-lt"/>
                    <a:ea typeface="+mn-ea"/>
                    <a:cs typeface="+mn-cs"/>
                  </a:endParaRPr>
                </a:p>
              </xdr:txBody>
            </xdr:sp>
          </xdr:grpSp>
        </xdr:grpSp>
        <xdr:grpSp>
          <xdr:nvGrpSpPr>
            <xdr:cNvPr id="9154" name="Group 9153"/>
            <xdr:cNvGrpSpPr/>
          </xdr:nvGrpSpPr>
          <xdr:grpSpPr>
            <a:xfrm>
              <a:off x="809053" y="56845197"/>
              <a:ext cx="3524822" cy="1866900"/>
              <a:chOff x="809053" y="56845197"/>
              <a:chExt cx="3524822" cy="1866900"/>
            </a:xfrm>
          </xdr:grpSpPr>
          <xdr:grpSp>
            <xdr:nvGrpSpPr>
              <xdr:cNvPr id="9146" name="Group 9145"/>
              <xdr:cNvGrpSpPr/>
            </xdr:nvGrpSpPr>
            <xdr:grpSpPr>
              <a:xfrm>
                <a:off x="809053" y="56845197"/>
                <a:ext cx="3524822" cy="1866900"/>
                <a:chOff x="809053" y="56845197"/>
                <a:chExt cx="3524822" cy="1866900"/>
              </a:xfrm>
            </xdr:grpSpPr>
            <xdr:grpSp>
              <xdr:nvGrpSpPr>
                <xdr:cNvPr id="9144" name="Group 9143"/>
                <xdr:cNvGrpSpPr/>
              </xdr:nvGrpSpPr>
              <xdr:grpSpPr>
                <a:xfrm>
                  <a:off x="809053" y="56845197"/>
                  <a:ext cx="3524822" cy="1866900"/>
                  <a:chOff x="809053" y="56845197"/>
                  <a:chExt cx="3524822" cy="1866900"/>
                </a:xfrm>
              </xdr:grpSpPr>
              <xdr:sp macro="" textlink="">
                <xdr:nvSpPr>
                  <xdr:cNvPr id="959" name="03_imgModule_Rounded_Rectangle_533"/>
                  <xdr:cNvSpPr/>
                </xdr:nvSpPr>
                <xdr:spPr>
                  <a:xfrm>
                    <a:off x="809054" y="56854722"/>
                    <a:ext cx="3524250" cy="1857375"/>
                  </a:xfrm>
                  <a:prstGeom prst="roundRect">
                    <a:avLst>
                      <a:gd name="adj" fmla="val 909"/>
                    </a:avLst>
                  </a:prstGeom>
                  <a:solidFill>
                    <a:srgbClr val="E0E0E0"/>
                  </a:solidFill>
                  <a:ln w="12700">
                    <a:solidFill>
                      <a:srgbClr val="646464"/>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l"/>
                    <a:endParaRPr lang="en-US" sz="1100"/>
                  </a:p>
                </xdr:txBody>
              </xdr:sp>
              <xdr:sp macro="" textlink="">
                <xdr:nvSpPr>
                  <xdr:cNvPr id="960" name="03_imgModule_Rounded_Rectangle_536"/>
                  <xdr:cNvSpPr/>
                </xdr:nvSpPr>
                <xdr:spPr>
                  <a:xfrm>
                    <a:off x="809053" y="56845197"/>
                    <a:ext cx="3524822" cy="1856232"/>
                  </a:xfrm>
                  <a:prstGeom prst="roundRect">
                    <a:avLst>
                      <a:gd name="adj" fmla="val 909"/>
                    </a:avLst>
                  </a:prstGeom>
                  <a:solidFill>
                    <a:srgbClr val="E0E0E0"/>
                  </a:solidFill>
                  <a:ln w="12700">
                    <a:solidFill>
                      <a:srgbClr val="5E5E5E"/>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l"/>
                    <a:endParaRPr lang="en-US" sz="1100"/>
                  </a:p>
                </xdr:txBody>
              </xdr:sp>
            </xdr:grpSp>
            <xdr:grpSp>
              <xdr:nvGrpSpPr>
                <xdr:cNvPr id="9145" name="Group 9144"/>
                <xdr:cNvGrpSpPr/>
              </xdr:nvGrpSpPr>
              <xdr:grpSpPr>
                <a:xfrm>
                  <a:off x="2486215" y="56854721"/>
                  <a:ext cx="1847088" cy="1847088"/>
                  <a:chOff x="2486215" y="56854721"/>
                  <a:chExt cx="1847088" cy="1847088"/>
                </a:xfrm>
              </xdr:grpSpPr>
              <xdr:sp macro="" textlink="">
                <xdr:nvSpPr>
                  <xdr:cNvPr id="957" name="03_imgModule_Rounded_Rectangle_534"/>
                  <xdr:cNvSpPr/>
                </xdr:nvSpPr>
                <xdr:spPr>
                  <a:xfrm>
                    <a:off x="2486215" y="56854721"/>
                    <a:ext cx="1847088" cy="1847088"/>
                  </a:xfrm>
                  <a:prstGeom prst="roundRect">
                    <a:avLst>
                      <a:gd name="adj" fmla="val 909"/>
                    </a:avLst>
                  </a:prstGeom>
                  <a:solidFill>
                    <a:srgbClr val="D7D7D7"/>
                  </a:solidFill>
                  <a:ln w="12700">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l"/>
                    <a:endParaRPr lang="en-US" sz="1100"/>
                  </a:p>
                </xdr:txBody>
              </xdr:sp>
              <xdr:sp macro="" textlink="">
                <xdr:nvSpPr>
                  <xdr:cNvPr id="958" name="03_imgModule_Rectangle_430"/>
                  <xdr:cNvSpPr/>
                </xdr:nvSpPr>
                <xdr:spPr>
                  <a:xfrm>
                    <a:off x="2486215" y="56854721"/>
                    <a:ext cx="91440" cy="1847088"/>
                  </a:xfrm>
                  <a:prstGeom prst="rect">
                    <a:avLst/>
                  </a:prstGeom>
                  <a:solidFill>
                    <a:srgbClr val="D7D7D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grpSp>
          <xdr:grpSp>
            <xdr:nvGrpSpPr>
              <xdr:cNvPr id="9147" name="Group 9146"/>
              <xdr:cNvGrpSpPr/>
            </xdr:nvGrpSpPr>
            <xdr:grpSpPr>
              <a:xfrm>
                <a:off x="1037653" y="58223584"/>
                <a:ext cx="1372172" cy="424370"/>
                <a:chOff x="1037653" y="58223584"/>
                <a:chExt cx="1372172" cy="424370"/>
              </a:xfrm>
            </xdr:grpSpPr>
            <xdr:sp macro="" textlink="Calculations!D421">
              <xdr:nvSpPr>
                <xdr:cNvPr id="953" name="03_profilename"/>
                <xdr:cNvSpPr txBox="1"/>
              </xdr:nvSpPr>
              <xdr:spPr>
                <a:xfrm>
                  <a:off x="1037653" y="58412926"/>
                  <a:ext cx="1372172" cy="2350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ctr"/>
                <a:lstStyle/>
                <a:p>
                  <a:pPr marL="0" indent="0" algn="l"/>
                  <a:fld id="{55C6EEBA-EFA2-4D62-B90F-721947FE72D0}" type="TxLink">
                    <a:rPr lang="en-US" sz="1300" b="0" i="0" u="none" strike="noStrike">
                      <a:solidFill>
                        <a:srgbClr val="4D4D4D"/>
                      </a:solidFill>
                      <a:latin typeface="+mn-lt"/>
                      <a:ea typeface="+mn-ea"/>
                      <a:cs typeface="+mn-cs"/>
                    </a:rPr>
                    <a:pPr marL="0" indent="0" algn="l"/>
                    <a:t>thiagofragoso</a:t>
                  </a:fld>
                  <a:endParaRPr lang="en-US" sz="1300" b="0">
                    <a:solidFill>
                      <a:srgbClr val="4D4D4D"/>
                    </a:solidFill>
                    <a:latin typeface="+mn-lt"/>
                    <a:ea typeface="+mn-ea"/>
                    <a:cs typeface="+mn-cs"/>
                  </a:endParaRPr>
                </a:p>
              </xdr:txBody>
            </xdr:sp>
            <xdr:sp macro="" textlink="Calculations!C421">
              <xdr:nvSpPr>
                <xdr:cNvPr id="954" name="03_postdate"/>
                <xdr:cNvSpPr txBox="1"/>
              </xdr:nvSpPr>
              <xdr:spPr>
                <a:xfrm>
                  <a:off x="1037653" y="58223584"/>
                  <a:ext cx="1371600" cy="2136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ctr"/>
                <a:lstStyle/>
                <a:p>
                  <a:pPr marL="0" indent="0" algn="l"/>
                  <a:fld id="{C7B3D2F4-AE5C-4909-B6EF-FEED6CB35196}" type="TxLink">
                    <a:rPr lang="en-US" sz="1000" b="0" i="0" u="none" strike="noStrike">
                      <a:solidFill>
                        <a:srgbClr val="666666"/>
                      </a:solidFill>
                      <a:latin typeface="+mn-lt"/>
                      <a:ea typeface="+mn-ea"/>
                      <a:cs typeface="+mn-cs"/>
                    </a:rPr>
                    <a:pPr marL="0" indent="0" algn="l"/>
                    <a:t>August 16, 2017</a:t>
                  </a:fld>
                  <a:endParaRPr lang="en-US" sz="1000" b="0">
                    <a:solidFill>
                      <a:srgbClr val="666666"/>
                    </a:solidFill>
                    <a:latin typeface="+mn-lt"/>
                    <a:ea typeface="+mn-ea"/>
                    <a:cs typeface="+mn-cs"/>
                  </a:endParaRPr>
                </a:p>
              </xdr:txBody>
            </xdr:sp>
          </xdr:grpSp>
          <xdr:grpSp>
            <xdr:nvGrpSpPr>
              <xdr:cNvPr id="9151" name="Group 9150"/>
              <xdr:cNvGrpSpPr/>
            </xdr:nvGrpSpPr>
            <xdr:grpSpPr>
              <a:xfrm>
                <a:off x="2486025" y="56854724"/>
                <a:ext cx="1847088" cy="1848614"/>
                <a:chOff x="2486025" y="56854724"/>
                <a:chExt cx="1847088" cy="1848614"/>
              </a:xfrm>
            </xdr:grpSpPr>
            <xdr:grpSp>
              <xdr:nvGrpSpPr>
                <xdr:cNvPr id="9150" name="Group 9149"/>
                <xdr:cNvGrpSpPr/>
              </xdr:nvGrpSpPr>
              <xdr:grpSpPr>
                <a:xfrm>
                  <a:off x="2486025" y="56854724"/>
                  <a:ext cx="1847088" cy="1848614"/>
                  <a:chOff x="2486025" y="56854724"/>
                  <a:chExt cx="1847088" cy="1848614"/>
                </a:xfrm>
              </xdr:grpSpPr>
              <xdr:grpSp>
                <xdr:nvGrpSpPr>
                  <xdr:cNvPr id="9148" name="Group 9147"/>
                  <xdr:cNvGrpSpPr/>
                </xdr:nvGrpSpPr>
                <xdr:grpSpPr>
                  <a:xfrm>
                    <a:off x="2486025" y="56854725"/>
                    <a:ext cx="1847088" cy="1848613"/>
                    <a:chOff x="2486025" y="56854725"/>
                    <a:chExt cx="1847088" cy="1848613"/>
                  </a:xfrm>
                </xdr:grpSpPr>
                <xdr:pic>
                  <xdr:nvPicPr>
                    <xdr:cNvPr id="2517" name="03_postimage" descr="profile:multi&#10;postSize:small"/>
                    <xdr:cNvPicPr>
                      <a:picLocks/>
                    </xdr:cNvPicPr>
                  </xdr:nvPicPr>
                  <xdr:blipFill>
                    <a:blip xmlns:r="http://schemas.openxmlformats.org/officeDocument/2006/relationships" r:link="rId28"/>
                    <a:stretch>
                      <a:fillRect/>
                    </a:stretch>
                  </xdr:blipFill>
                  <xdr:spPr>
                    <a:xfrm>
                      <a:off x="2486025" y="56854725"/>
                      <a:ext cx="1847088" cy="1847088"/>
                    </a:xfrm>
                    <a:prstGeom prst="rect">
                      <a:avLst/>
                    </a:prstGeom>
                  </xdr:spPr>
                </xdr:pic>
                <xdr:pic>
                  <xdr:nvPicPr>
                    <xdr:cNvPr id="2686" name="03_overlayimage"/>
                    <xdr:cNvPicPr>
                      <a:picLocks/>
                    </xdr:cNvPicPr>
                  </xdr:nvPicPr>
                  <xdr:blipFill>
                    <a:blip xmlns:r="http://schemas.openxmlformats.org/officeDocument/2006/relationships" r:link="rId2"/>
                    <a:stretch>
                      <a:fillRect/>
                    </a:stretch>
                  </xdr:blipFill>
                  <xdr:spPr>
                    <a:xfrm>
                      <a:off x="2486025" y="58081546"/>
                      <a:ext cx="1847088" cy="621792"/>
                    </a:xfrm>
                    <a:prstGeom prst="rect">
                      <a:avLst/>
                    </a:prstGeom>
                  </xdr:spPr>
                </xdr:pic>
                <xdr:sp macro="" textlink="Calculations!O421">
                  <xdr:nvSpPr>
                    <xdr:cNvPr id="952" name="03_overlaytext"/>
                    <xdr:cNvSpPr txBox="1"/>
                  </xdr:nvSpPr>
                  <xdr:spPr>
                    <a:xfrm>
                      <a:off x="2486025" y="58081545"/>
                      <a:ext cx="1847088" cy="6217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100584" tIns="36576" rIns="100584" bIns="45720" rtlCol="0" anchor="t"/>
                    <a:lstStyle/>
                    <a:p>
                      <a:pPr marL="0" indent="0" algn="l"/>
                      <a:fld id="{1B4D29DE-4B3D-4C5D-94A6-282FE170CE3C}" type="TxLink">
                        <a:rPr lang="en-US" sz="1100" b="0" i="1">
                          <a:solidFill>
                            <a:srgbClr val="EBEBEB"/>
                          </a:solidFill>
                          <a:latin typeface="Cambria" panose="02040503050406030204" pitchFamily="18" charset="0"/>
                          <a:ea typeface="+mn-ea"/>
                          <a:cs typeface="+mn-cs"/>
                        </a:rPr>
                        <a:pPr marL="0" indent="0" algn="l"/>
                        <a:t>Não falei que era fácil?
@amanda.psouza Arrasou e acertou …</a:t>
                      </a:fld>
                      <a:endParaRPr lang="en-US" sz="1100" b="0" i="1">
                        <a:solidFill>
                          <a:srgbClr val="EBEBEB"/>
                        </a:solidFill>
                        <a:latin typeface="Cambria" panose="02040503050406030204" pitchFamily="18" charset="0"/>
                        <a:ea typeface="+mn-ea"/>
                        <a:cs typeface="+mn-cs"/>
                      </a:endParaRPr>
                    </a:p>
                  </xdr:txBody>
                </xdr:sp>
              </xdr:grpSp>
              <xdr:grpSp>
                <xdr:nvGrpSpPr>
                  <xdr:cNvPr id="9149" name="Group 9148"/>
                  <xdr:cNvGrpSpPr/>
                </xdr:nvGrpSpPr>
                <xdr:grpSpPr>
                  <a:xfrm>
                    <a:off x="2600325" y="57035700"/>
                    <a:ext cx="1590675" cy="1600200"/>
                    <a:chOff x="2600325" y="57035700"/>
                    <a:chExt cx="1590675" cy="1600200"/>
                  </a:xfrm>
                </xdr:grpSpPr>
                <xdr:sp macro="" textlink="">
                  <xdr:nvSpPr>
                    <xdr:cNvPr id="948" name="03_posttext"/>
                    <xdr:cNvSpPr txBox="1"/>
                  </xdr:nvSpPr>
                  <xdr:spPr>
                    <a:xfrm>
                      <a:off x="2686050" y="57035700"/>
                      <a:ext cx="1504950" cy="1600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marL="0" indent="0" algn="l"/>
                      <a:r>
                        <a:rPr lang="en-US" sz="1300" b="0" i="1">
                          <a:solidFill>
                            <a:srgbClr val="4D4D4D"/>
                          </a:solidFill>
                          <a:latin typeface="Cambria" panose="02040503050406030204" pitchFamily="18" charset="0"/>
                          <a:ea typeface="+mn-ea"/>
                          <a:cs typeface="+mn-cs"/>
                        </a:rPr>
                        <a:t> </a:t>
                      </a:r>
                    </a:p>
                  </xdr:txBody>
                </xdr:sp>
                <xdr:sp macro="" textlink="">
                  <xdr:nvSpPr>
                    <xdr:cNvPr id="949" name="03_leadparen"/>
                    <xdr:cNvSpPr txBox="1"/>
                  </xdr:nvSpPr>
                  <xdr:spPr>
                    <a:xfrm>
                      <a:off x="2600325" y="57035700"/>
                      <a:ext cx="371475" cy="3524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marL="0" indent="0" algn="l"/>
                      <a:endParaRPr lang="en-US" sz="1300" b="0" i="1">
                        <a:solidFill>
                          <a:srgbClr val="4D4D4D"/>
                        </a:solidFill>
                        <a:latin typeface="Cambria" panose="02040503050406030204" pitchFamily="18" charset="0"/>
                        <a:ea typeface="+mn-ea"/>
                        <a:cs typeface="+mn-cs"/>
                      </a:endParaRPr>
                    </a:p>
                  </xdr:txBody>
                </xdr:sp>
              </xdr:grpSp>
              <xdr:sp macro="" textlink="">
                <xdr:nvSpPr>
                  <xdr:cNvPr id="947" name="03_imgModule_Rectangle_515"/>
                  <xdr:cNvSpPr/>
                </xdr:nvSpPr>
                <xdr:spPr>
                  <a:xfrm>
                    <a:off x="2486025" y="56854724"/>
                    <a:ext cx="9144" cy="1847088"/>
                  </a:xfrm>
                  <a:prstGeom prst="rect">
                    <a:avLst/>
                  </a:prstGeom>
                  <a:solidFill>
                    <a:srgbClr val="000000">
                      <a:alpha val="16863"/>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pic>
              <xdr:nvPicPr>
                <xdr:cNvPr id="2855" name="03_postlinkimage">
                  <a:hlinkClick xmlns:r="http://schemas.openxmlformats.org/officeDocument/2006/relationships" r:id="rId29"/>
                </xdr:cNvPr>
                <xdr:cNvPicPr>
                  <a:picLocks/>
                </xdr:cNvPicPr>
              </xdr:nvPicPr>
              <xdr:blipFill>
                <a:blip xmlns:r="http://schemas.openxmlformats.org/officeDocument/2006/relationships" r:link="rId4"/>
                <a:stretch>
                  <a:fillRect/>
                </a:stretch>
              </xdr:blipFill>
              <xdr:spPr>
                <a:xfrm>
                  <a:off x="2486025" y="56854725"/>
                  <a:ext cx="1847088" cy="1847088"/>
                </a:xfrm>
                <a:prstGeom prst="rect">
                  <a:avLst/>
                </a:prstGeom>
              </xdr:spPr>
            </xdr:pic>
          </xdr:grpSp>
          <xdr:grpSp>
            <xdr:nvGrpSpPr>
              <xdr:cNvPr id="9153" name="Group 9152"/>
              <xdr:cNvGrpSpPr/>
            </xdr:nvGrpSpPr>
            <xdr:grpSpPr>
              <a:xfrm>
                <a:off x="960501" y="56997599"/>
                <a:ext cx="969264" cy="969264"/>
                <a:chOff x="960501" y="56997599"/>
                <a:chExt cx="969264" cy="969264"/>
              </a:xfrm>
            </xdr:grpSpPr>
            <xdr:grpSp>
              <xdr:nvGrpSpPr>
                <xdr:cNvPr id="9152" name="Group 9151"/>
                <xdr:cNvGrpSpPr/>
              </xdr:nvGrpSpPr>
              <xdr:grpSpPr>
                <a:xfrm>
                  <a:off x="1033653" y="57070751"/>
                  <a:ext cx="822960" cy="822960"/>
                  <a:chOff x="1033653" y="57070751"/>
                  <a:chExt cx="822960" cy="822960"/>
                </a:xfrm>
              </xdr:grpSpPr>
              <xdr:sp macro="" textlink="">
                <xdr:nvSpPr>
                  <xdr:cNvPr id="940" name="03_imgModule_Oval_662"/>
                  <xdr:cNvSpPr/>
                </xdr:nvSpPr>
                <xdr:spPr>
                  <a:xfrm>
                    <a:off x="1033653" y="57070751"/>
                    <a:ext cx="822960" cy="822960"/>
                  </a:xfrm>
                  <a:prstGeom prst="ellipse">
                    <a:avLst/>
                  </a:prstGeom>
                  <a:solidFill>
                    <a:srgbClr val="94949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941" name="03_imgModule_Oval_687"/>
                  <xdr:cNvSpPr/>
                </xdr:nvSpPr>
                <xdr:spPr>
                  <a:xfrm>
                    <a:off x="1053754" y="57090823"/>
                    <a:ext cx="782759" cy="782816"/>
                  </a:xfrm>
                  <a:prstGeom prst="ellipse">
                    <a:avLst/>
                  </a:prstGeom>
                  <a:solidFill>
                    <a:srgbClr val="D9D9D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942" name="03_imgModule_Freeform_12"/>
                  <xdr:cNvSpPr>
                    <a:spLocks/>
                  </xdr:cNvSpPr>
                </xdr:nvSpPr>
                <xdr:spPr bwMode="auto">
                  <a:xfrm>
                    <a:off x="1159581" y="57286806"/>
                    <a:ext cx="571104" cy="594874"/>
                  </a:xfrm>
                  <a:custGeom>
                    <a:avLst/>
                    <a:gdLst>
                      <a:gd name="T0" fmla="*/ 3049 w 3180"/>
                      <a:gd name="T1" fmla="*/ 2869 h 3760"/>
                      <a:gd name="T2" fmla="*/ 2848 w 3180"/>
                      <a:gd name="T3" fmla="*/ 2809 h 3760"/>
                      <a:gd name="T4" fmla="*/ 2677 w 3180"/>
                      <a:gd name="T5" fmla="*/ 2745 h 3760"/>
                      <a:gd name="T6" fmla="*/ 2325 w 3180"/>
                      <a:gd name="T7" fmla="*/ 2578 h 3760"/>
                      <a:gd name="T8" fmla="*/ 2187 w 3180"/>
                      <a:gd name="T9" fmla="*/ 2489 h 3760"/>
                      <a:gd name="T10" fmla="*/ 2077 w 3180"/>
                      <a:gd name="T11" fmla="*/ 2368 h 3760"/>
                      <a:gd name="T12" fmla="*/ 1996 w 3180"/>
                      <a:gd name="T13" fmla="*/ 2259 h 3760"/>
                      <a:gd name="T14" fmla="*/ 1975 w 3180"/>
                      <a:gd name="T15" fmla="*/ 2040 h 3760"/>
                      <a:gd name="T16" fmla="*/ 1986 w 3180"/>
                      <a:gd name="T17" fmla="*/ 2014 h 3760"/>
                      <a:gd name="T18" fmla="*/ 2114 w 3180"/>
                      <a:gd name="T19" fmla="*/ 1664 h 3760"/>
                      <a:gd name="T20" fmla="*/ 2148 w 3180"/>
                      <a:gd name="T21" fmla="*/ 1626 h 3760"/>
                      <a:gd name="T22" fmla="*/ 2201 w 3180"/>
                      <a:gd name="T23" fmla="*/ 1561 h 3760"/>
                      <a:gd name="T24" fmla="*/ 2240 w 3180"/>
                      <a:gd name="T25" fmla="*/ 1475 h 3760"/>
                      <a:gd name="T26" fmla="*/ 2269 w 3180"/>
                      <a:gd name="T27" fmla="*/ 1358 h 3760"/>
                      <a:gd name="T28" fmla="*/ 2292 w 3180"/>
                      <a:gd name="T29" fmla="*/ 1232 h 3760"/>
                      <a:gd name="T30" fmla="*/ 2291 w 3180"/>
                      <a:gd name="T31" fmla="*/ 1150 h 3760"/>
                      <a:gd name="T32" fmla="*/ 2278 w 3180"/>
                      <a:gd name="T33" fmla="*/ 1137 h 3760"/>
                      <a:gd name="T34" fmla="*/ 2270 w 3180"/>
                      <a:gd name="T35" fmla="*/ 886 h 3760"/>
                      <a:gd name="T36" fmla="*/ 2283 w 3180"/>
                      <a:gd name="T37" fmla="*/ 694 h 3760"/>
                      <a:gd name="T38" fmla="*/ 2262 w 3180"/>
                      <a:gd name="T39" fmla="*/ 595 h 3760"/>
                      <a:gd name="T40" fmla="*/ 2254 w 3180"/>
                      <a:gd name="T41" fmla="*/ 509 h 3760"/>
                      <a:gd name="T42" fmla="*/ 2183 w 3180"/>
                      <a:gd name="T43" fmla="*/ 416 h 3760"/>
                      <a:gd name="T44" fmla="*/ 1984 w 3180"/>
                      <a:gd name="T45" fmla="*/ 219 h 3760"/>
                      <a:gd name="T46" fmla="*/ 1833 w 3180"/>
                      <a:gd name="T47" fmla="*/ 65 h 3760"/>
                      <a:gd name="T48" fmla="*/ 1648 w 3180"/>
                      <a:gd name="T49" fmla="*/ 0 h 3760"/>
                      <a:gd name="T50" fmla="*/ 1474 w 3180"/>
                      <a:gd name="T51" fmla="*/ 35 h 3760"/>
                      <a:gd name="T52" fmla="*/ 1339 w 3180"/>
                      <a:gd name="T53" fmla="*/ 50 h 3760"/>
                      <a:gd name="T54" fmla="*/ 1188 w 3180"/>
                      <a:gd name="T55" fmla="*/ 157 h 3760"/>
                      <a:gd name="T56" fmla="*/ 944 w 3180"/>
                      <a:gd name="T57" fmla="*/ 333 h 3760"/>
                      <a:gd name="T58" fmla="*/ 905 w 3180"/>
                      <a:gd name="T59" fmla="*/ 551 h 3760"/>
                      <a:gd name="T60" fmla="*/ 908 w 3180"/>
                      <a:gd name="T61" fmla="*/ 716 h 3760"/>
                      <a:gd name="T62" fmla="*/ 913 w 3180"/>
                      <a:gd name="T63" fmla="*/ 1031 h 3760"/>
                      <a:gd name="T64" fmla="*/ 860 w 3180"/>
                      <a:gd name="T65" fmla="*/ 1071 h 3760"/>
                      <a:gd name="T66" fmla="*/ 849 w 3180"/>
                      <a:gd name="T67" fmla="*/ 1116 h 3760"/>
                      <a:gd name="T68" fmla="*/ 875 w 3180"/>
                      <a:gd name="T69" fmla="*/ 1385 h 3760"/>
                      <a:gd name="T70" fmla="*/ 889 w 3180"/>
                      <a:gd name="T71" fmla="*/ 1462 h 3760"/>
                      <a:gd name="T72" fmla="*/ 969 w 3180"/>
                      <a:gd name="T73" fmla="*/ 1562 h 3760"/>
                      <a:gd name="T74" fmla="*/ 1000 w 3180"/>
                      <a:gd name="T75" fmla="*/ 1600 h 3760"/>
                      <a:gd name="T76" fmla="*/ 1097 w 3180"/>
                      <a:gd name="T77" fmla="*/ 1970 h 3760"/>
                      <a:gd name="T78" fmla="*/ 1104 w 3180"/>
                      <a:gd name="T79" fmla="*/ 2220 h 3760"/>
                      <a:gd name="T80" fmla="*/ 809 w 3180"/>
                      <a:gd name="T81" fmla="*/ 2524 h 3760"/>
                      <a:gd name="T82" fmla="*/ 351 w 3180"/>
                      <a:gd name="T83" fmla="*/ 2804 h 3760"/>
                      <a:gd name="T84" fmla="*/ 131 w 3180"/>
                      <a:gd name="T85" fmla="*/ 2869 h 3760"/>
                      <a:gd name="T86" fmla="*/ 100 w 3180"/>
                      <a:gd name="T87" fmla="*/ 3123 h 3760"/>
                      <a:gd name="T88" fmla="*/ 449 w 3180"/>
                      <a:gd name="T89" fmla="*/ 3428 h 3760"/>
                      <a:gd name="T90" fmla="*/ 907 w 3180"/>
                      <a:gd name="T91" fmla="*/ 3640 h 3760"/>
                      <a:gd name="T92" fmla="*/ 1374 w 3180"/>
                      <a:gd name="T93" fmla="*/ 3748 h 3760"/>
                      <a:gd name="T94" fmla="*/ 1983 w 3180"/>
                      <a:gd name="T95" fmla="*/ 3702 h 3760"/>
                      <a:gd name="T96" fmla="*/ 2730 w 3180"/>
                      <a:gd name="T97" fmla="*/ 3410 h 3760"/>
                      <a:gd name="T98" fmla="*/ 3096 w 3180"/>
                      <a:gd name="T99" fmla="*/ 3110 h 3760"/>
                      <a:gd name="connsiteX0" fmla="*/ 10325 w 10325"/>
                      <a:gd name="connsiteY0" fmla="*/ 7962 h 10000"/>
                      <a:gd name="connsiteX1" fmla="*/ 9588 w 10325"/>
                      <a:gd name="connsiteY1" fmla="*/ 7630 h 10000"/>
                      <a:gd name="connsiteX2" fmla="*/ 9170 w 10325"/>
                      <a:gd name="connsiteY2" fmla="*/ 7519 h 10000"/>
                      <a:gd name="connsiteX3" fmla="*/ 8956 w 10325"/>
                      <a:gd name="connsiteY3" fmla="*/ 7471 h 10000"/>
                      <a:gd name="connsiteX4" fmla="*/ 8714 w 10325"/>
                      <a:gd name="connsiteY4" fmla="*/ 7410 h 10000"/>
                      <a:gd name="connsiteX5" fmla="*/ 8418 w 10325"/>
                      <a:gd name="connsiteY5" fmla="*/ 7301 h 10000"/>
                      <a:gd name="connsiteX6" fmla="*/ 7346 w 10325"/>
                      <a:gd name="connsiteY6" fmla="*/ 6867 h 10000"/>
                      <a:gd name="connsiteX7" fmla="*/ 7311 w 10325"/>
                      <a:gd name="connsiteY7" fmla="*/ 6856 h 10000"/>
                      <a:gd name="connsiteX8" fmla="*/ 7041 w 10325"/>
                      <a:gd name="connsiteY8" fmla="*/ 6739 h 10000"/>
                      <a:gd name="connsiteX9" fmla="*/ 6877 w 10325"/>
                      <a:gd name="connsiteY9" fmla="*/ 6620 h 10000"/>
                      <a:gd name="connsiteX10" fmla="*/ 6689 w 10325"/>
                      <a:gd name="connsiteY10" fmla="*/ 6428 h 10000"/>
                      <a:gd name="connsiteX11" fmla="*/ 6531 w 10325"/>
                      <a:gd name="connsiteY11" fmla="*/ 6298 h 10000"/>
                      <a:gd name="connsiteX12" fmla="*/ 6377 w 10325"/>
                      <a:gd name="connsiteY12" fmla="*/ 6165 h 10000"/>
                      <a:gd name="connsiteX13" fmla="*/ 6277 w 10325"/>
                      <a:gd name="connsiteY13" fmla="*/ 6008 h 10000"/>
                      <a:gd name="connsiteX14" fmla="*/ 6220 w 10325"/>
                      <a:gd name="connsiteY14" fmla="*/ 5649 h 10000"/>
                      <a:gd name="connsiteX15" fmla="*/ 6211 w 10325"/>
                      <a:gd name="connsiteY15" fmla="*/ 5426 h 10000"/>
                      <a:gd name="connsiteX16" fmla="*/ 6211 w 10325"/>
                      <a:gd name="connsiteY16" fmla="*/ 5383 h 10000"/>
                      <a:gd name="connsiteX17" fmla="*/ 6245 w 10325"/>
                      <a:gd name="connsiteY17" fmla="*/ 5356 h 10000"/>
                      <a:gd name="connsiteX18" fmla="*/ 6597 w 10325"/>
                      <a:gd name="connsiteY18" fmla="*/ 4763 h 10000"/>
                      <a:gd name="connsiteX19" fmla="*/ 6648 w 10325"/>
                      <a:gd name="connsiteY19" fmla="*/ 4426 h 10000"/>
                      <a:gd name="connsiteX20" fmla="*/ 6648 w 10325"/>
                      <a:gd name="connsiteY20" fmla="*/ 4332 h 10000"/>
                      <a:gd name="connsiteX21" fmla="*/ 6755 w 10325"/>
                      <a:gd name="connsiteY21" fmla="*/ 4324 h 10000"/>
                      <a:gd name="connsiteX22" fmla="*/ 6849 w 10325"/>
                      <a:gd name="connsiteY22" fmla="*/ 4290 h 10000"/>
                      <a:gd name="connsiteX23" fmla="*/ 6921 w 10325"/>
                      <a:gd name="connsiteY23" fmla="*/ 4152 h 10000"/>
                      <a:gd name="connsiteX24" fmla="*/ 6972 w 10325"/>
                      <a:gd name="connsiteY24" fmla="*/ 4043 h 10000"/>
                      <a:gd name="connsiteX25" fmla="*/ 7044 w 10325"/>
                      <a:gd name="connsiteY25" fmla="*/ 3923 h 10000"/>
                      <a:gd name="connsiteX26" fmla="*/ 7113 w 10325"/>
                      <a:gd name="connsiteY26" fmla="*/ 3769 h 10000"/>
                      <a:gd name="connsiteX27" fmla="*/ 7135 w 10325"/>
                      <a:gd name="connsiteY27" fmla="*/ 3612 h 10000"/>
                      <a:gd name="connsiteX28" fmla="*/ 7154 w 10325"/>
                      <a:gd name="connsiteY28" fmla="*/ 3455 h 10000"/>
                      <a:gd name="connsiteX29" fmla="*/ 7208 w 10325"/>
                      <a:gd name="connsiteY29" fmla="*/ 3277 h 10000"/>
                      <a:gd name="connsiteX30" fmla="*/ 7236 w 10325"/>
                      <a:gd name="connsiteY30" fmla="*/ 3133 h 10000"/>
                      <a:gd name="connsiteX31" fmla="*/ 7204 w 10325"/>
                      <a:gd name="connsiteY31" fmla="*/ 3059 h 10000"/>
                      <a:gd name="connsiteX32" fmla="*/ 7198 w 10325"/>
                      <a:gd name="connsiteY32" fmla="*/ 3059 h 10000"/>
                      <a:gd name="connsiteX33" fmla="*/ 7164 w 10325"/>
                      <a:gd name="connsiteY33" fmla="*/ 3024 h 10000"/>
                      <a:gd name="connsiteX34" fmla="*/ 7113 w 10325"/>
                      <a:gd name="connsiteY34" fmla="*/ 2896 h 10000"/>
                      <a:gd name="connsiteX35" fmla="*/ 7138 w 10325"/>
                      <a:gd name="connsiteY35" fmla="*/ 2356 h 10000"/>
                      <a:gd name="connsiteX36" fmla="*/ 7142 w 10325"/>
                      <a:gd name="connsiteY36" fmla="*/ 2314 h 10000"/>
                      <a:gd name="connsiteX37" fmla="*/ 7179 w 10325"/>
                      <a:gd name="connsiteY37" fmla="*/ 1846 h 10000"/>
                      <a:gd name="connsiteX38" fmla="*/ 7123 w 10325"/>
                      <a:gd name="connsiteY38" fmla="*/ 1609 h 10000"/>
                      <a:gd name="connsiteX39" fmla="*/ 7113 w 10325"/>
                      <a:gd name="connsiteY39" fmla="*/ 1582 h 10000"/>
                      <a:gd name="connsiteX40" fmla="*/ 7082 w 10325"/>
                      <a:gd name="connsiteY40" fmla="*/ 1447 h 10000"/>
                      <a:gd name="connsiteX41" fmla="*/ 7088 w 10325"/>
                      <a:gd name="connsiteY41" fmla="*/ 1354 h 10000"/>
                      <a:gd name="connsiteX42" fmla="*/ 7066 w 10325"/>
                      <a:gd name="connsiteY42" fmla="*/ 1271 h 10000"/>
                      <a:gd name="connsiteX43" fmla="*/ 6865 w 10325"/>
                      <a:gd name="connsiteY43" fmla="*/ 1106 h 10000"/>
                      <a:gd name="connsiteX44" fmla="*/ 6535 w 10325"/>
                      <a:gd name="connsiteY44" fmla="*/ 848 h 10000"/>
                      <a:gd name="connsiteX45" fmla="*/ 6239 w 10325"/>
                      <a:gd name="connsiteY45" fmla="*/ 582 h 10000"/>
                      <a:gd name="connsiteX46" fmla="*/ 6006 w 10325"/>
                      <a:gd name="connsiteY46" fmla="*/ 370 h 10000"/>
                      <a:gd name="connsiteX47" fmla="*/ 5764 w 10325"/>
                      <a:gd name="connsiteY47" fmla="*/ 173 h 10000"/>
                      <a:gd name="connsiteX48" fmla="*/ 5503 w 10325"/>
                      <a:gd name="connsiteY48" fmla="*/ 45 h 10000"/>
                      <a:gd name="connsiteX49" fmla="*/ 5182 w 10325"/>
                      <a:gd name="connsiteY49" fmla="*/ 0 h 10000"/>
                      <a:gd name="connsiteX50" fmla="*/ 4874 w 10325"/>
                      <a:gd name="connsiteY50" fmla="*/ 32 h 10000"/>
                      <a:gd name="connsiteX51" fmla="*/ 4635 w 10325"/>
                      <a:gd name="connsiteY51" fmla="*/ 93 h 10000"/>
                      <a:gd name="connsiteX52" fmla="*/ 4390 w 10325"/>
                      <a:gd name="connsiteY52" fmla="*/ 144 h 10000"/>
                      <a:gd name="connsiteX53" fmla="*/ 4211 w 10325"/>
                      <a:gd name="connsiteY53" fmla="*/ 133 h 10000"/>
                      <a:gd name="connsiteX54" fmla="*/ 4022 w 10325"/>
                      <a:gd name="connsiteY54" fmla="*/ 266 h 10000"/>
                      <a:gd name="connsiteX55" fmla="*/ 3736 w 10325"/>
                      <a:gd name="connsiteY55" fmla="*/ 418 h 10000"/>
                      <a:gd name="connsiteX56" fmla="*/ 3324 w 10325"/>
                      <a:gd name="connsiteY56" fmla="*/ 630 h 10000"/>
                      <a:gd name="connsiteX57" fmla="*/ 2969 w 10325"/>
                      <a:gd name="connsiteY57" fmla="*/ 886 h 10000"/>
                      <a:gd name="connsiteX58" fmla="*/ 2814 w 10325"/>
                      <a:gd name="connsiteY58" fmla="*/ 1173 h 10000"/>
                      <a:gd name="connsiteX59" fmla="*/ 2846 w 10325"/>
                      <a:gd name="connsiteY59" fmla="*/ 1465 h 10000"/>
                      <a:gd name="connsiteX60" fmla="*/ 2877 w 10325"/>
                      <a:gd name="connsiteY60" fmla="*/ 1678 h 10000"/>
                      <a:gd name="connsiteX61" fmla="*/ 2855 w 10325"/>
                      <a:gd name="connsiteY61" fmla="*/ 1904 h 10000"/>
                      <a:gd name="connsiteX62" fmla="*/ 2824 w 10325"/>
                      <a:gd name="connsiteY62" fmla="*/ 2436 h 10000"/>
                      <a:gd name="connsiteX63" fmla="*/ 2871 w 10325"/>
                      <a:gd name="connsiteY63" fmla="*/ 2742 h 10000"/>
                      <a:gd name="connsiteX64" fmla="*/ 2925 w 10325"/>
                      <a:gd name="connsiteY64" fmla="*/ 2973 h 10000"/>
                      <a:gd name="connsiteX65" fmla="*/ 2704 w 10325"/>
                      <a:gd name="connsiteY65" fmla="*/ 2848 h 10000"/>
                      <a:gd name="connsiteX66" fmla="*/ 2689 w 10325"/>
                      <a:gd name="connsiteY66" fmla="*/ 2878 h 10000"/>
                      <a:gd name="connsiteX67" fmla="*/ 2670 w 10325"/>
                      <a:gd name="connsiteY67" fmla="*/ 2968 h 10000"/>
                      <a:gd name="connsiteX68" fmla="*/ 2682 w 10325"/>
                      <a:gd name="connsiteY68" fmla="*/ 3314 h 10000"/>
                      <a:gd name="connsiteX69" fmla="*/ 2752 w 10325"/>
                      <a:gd name="connsiteY69" fmla="*/ 3684 h 10000"/>
                      <a:gd name="connsiteX70" fmla="*/ 2774 w 10325"/>
                      <a:gd name="connsiteY70" fmla="*/ 3785 h 10000"/>
                      <a:gd name="connsiteX71" fmla="*/ 2796 w 10325"/>
                      <a:gd name="connsiteY71" fmla="*/ 3888 h 10000"/>
                      <a:gd name="connsiteX72" fmla="*/ 2928 w 10325"/>
                      <a:gd name="connsiteY72" fmla="*/ 4109 h 10000"/>
                      <a:gd name="connsiteX73" fmla="*/ 3047 w 10325"/>
                      <a:gd name="connsiteY73" fmla="*/ 4154 h 10000"/>
                      <a:gd name="connsiteX74" fmla="*/ 3142 w 10325"/>
                      <a:gd name="connsiteY74" fmla="*/ 4168 h 10000"/>
                      <a:gd name="connsiteX75" fmla="*/ 3145 w 10325"/>
                      <a:gd name="connsiteY75" fmla="*/ 4255 h 10000"/>
                      <a:gd name="connsiteX76" fmla="*/ 3296 w 10325"/>
                      <a:gd name="connsiteY76" fmla="*/ 4976 h 10000"/>
                      <a:gd name="connsiteX77" fmla="*/ 3450 w 10325"/>
                      <a:gd name="connsiteY77" fmla="*/ 5239 h 10000"/>
                      <a:gd name="connsiteX78" fmla="*/ 3472 w 10325"/>
                      <a:gd name="connsiteY78" fmla="*/ 5266 h 10000"/>
                      <a:gd name="connsiteX79" fmla="*/ 3472 w 10325"/>
                      <a:gd name="connsiteY79" fmla="*/ 5904 h 10000"/>
                      <a:gd name="connsiteX80" fmla="*/ 3374 w 10325"/>
                      <a:gd name="connsiteY80" fmla="*/ 5995 h 10000"/>
                      <a:gd name="connsiteX81" fmla="*/ 2544 w 10325"/>
                      <a:gd name="connsiteY81" fmla="*/ 6713 h 10000"/>
                      <a:gd name="connsiteX82" fmla="*/ 1421 w 10325"/>
                      <a:gd name="connsiteY82" fmla="*/ 7370 h 10000"/>
                      <a:gd name="connsiteX83" fmla="*/ 1104 w 10325"/>
                      <a:gd name="connsiteY83" fmla="*/ 7457 h 10000"/>
                      <a:gd name="connsiteX84" fmla="*/ 833 w 10325"/>
                      <a:gd name="connsiteY84" fmla="*/ 7519 h 10000"/>
                      <a:gd name="connsiteX85" fmla="*/ 412 w 10325"/>
                      <a:gd name="connsiteY85" fmla="*/ 7630 h 10000"/>
                      <a:gd name="connsiteX86" fmla="*/ 0 w 10325"/>
                      <a:gd name="connsiteY86" fmla="*/ 7816 h 10000"/>
                      <a:gd name="connsiteX87" fmla="*/ 314 w 10325"/>
                      <a:gd name="connsiteY87" fmla="*/ 8306 h 10000"/>
                      <a:gd name="connsiteX88" fmla="*/ 799 w 10325"/>
                      <a:gd name="connsiteY88" fmla="*/ 8742 h 10000"/>
                      <a:gd name="connsiteX89" fmla="*/ 1412 w 10325"/>
                      <a:gd name="connsiteY89" fmla="*/ 9117 h 10000"/>
                      <a:gd name="connsiteX90" fmla="*/ 2107 w 10325"/>
                      <a:gd name="connsiteY90" fmla="*/ 9431 h 10000"/>
                      <a:gd name="connsiteX91" fmla="*/ 2852 w 10325"/>
                      <a:gd name="connsiteY91" fmla="*/ 9681 h 10000"/>
                      <a:gd name="connsiteX92" fmla="*/ 3604 w 10325"/>
                      <a:gd name="connsiteY92" fmla="*/ 9862 h 10000"/>
                      <a:gd name="connsiteX93" fmla="*/ 4321 w 10325"/>
                      <a:gd name="connsiteY93" fmla="*/ 9968 h 10000"/>
                      <a:gd name="connsiteX94" fmla="*/ 4965 w 10325"/>
                      <a:gd name="connsiteY94" fmla="*/ 10000 h 10000"/>
                      <a:gd name="connsiteX95" fmla="*/ 6236 w 10325"/>
                      <a:gd name="connsiteY95" fmla="*/ 9846 h 10000"/>
                      <a:gd name="connsiteX96" fmla="*/ 7824 w 10325"/>
                      <a:gd name="connsiteY96" fmla="*/ 9391 h 10000"/>
                      <a:gd name="connsiteX97" fmla="*/ 8585 w 10325"/>
                      <a:gd name="connsiteY97" fmla="*/ 9069 h 10000"/>
                      <a:gd name="connsiteX98" fmla="*/ 9245 w 10325"/>
                      <a:gd name="connsiteY98" fmla="*/ 8694 h 10000"/>
                      <a:gd name="connsiteX99" fmla="*/ 9736 w 10325"/>
                      <a:gd name="connsiteY99" fmla="*/ 8271 h 10000"/>
                      <a:gd name="connsiteX100" fmla="*/ 10325 w 10325"/>
                      <a:gd name="connsiteY100" fmla="*/ 7962 h 10000"/>
                      <a:gd name="connsiteX0" fmla="*/ 10650 w 10650"/>
                      <a:gd name="connsiteY0" fmla="*/ 7962 h 10000"/>
                      <a:gd name="connsiteX1" fmla="*/ 9913 w 10650"/>
                      <a:gd name="connsiteY1" fmla="*/ 7630 h 10000"/>
                      <a:gd name="connsiteX2" fmla="*/ 9495 w 10650"/>
                      <a:gd name="connsiteY2" fmla="*/ 7519 h 10000"/>
                      <a:gd name="connsiteX3" fmla="*/ 9281 w 10650"/>
                      <a:gd name="connsiteY3" fmla="*/ 7471 h 10000"/>
                      <a:gd name="connsiteX4" fmla="*/ 9039 w 10650"/>
                      <a:gd name="connsiteY4" fmla="*/ 7410 h 10000"/>
                      <a:gd name="connsiteX5" fmla="*/ 8743 w 10650"/>
                      <a:gd name="connsiteY5" fmla="*/ 7301 h 10000"/>
                      <a:gd name="connsiteX6" fmla="*/ 7671 w 10650"/>
                      <a:gd name="connsiteY6" fmla="*/ 6867 h 10000"/>
                      <a:gd name="connsiteX7" fmla="*/ 7636 w 10650"/>
                      <a:gd name="connsiteY7" fmla="*/ 6856 h 10000"/>
                      <a:gd name="connsiteX8" fmla="*/ 7366 w 10650"/>
                      <a:gd name="connsiteY8" fmla="*/ 6739 h 10000"/>
                      <a:gd name="connsiteX9" fmla="*/ 7202 w 10650"/>
                      <a:gd name="connsiteY9" fmla="*/ 6620 h 10000"/>
                      <a:gd name="connsiteX10" fmla="*/ 7014 w 10650"/>
                      <a:gd name="connsiteY10" fmla="*/ 6428 h 10000"/>
                      <a:gd name="connsiteX11" fmla="*/ 6856 w 10650"/>
                      <a:gd name="connsiteY11" fmla="*/ 6298 h 10000"/>
                      <a:gd name="connsiteX12" fmla="*/ 6702 w 10650"/>
                      <a:gd name="connsiteY12" fmla="*/ 6165 h 10000"/>
                      <a:gd name="connsiteX13" fmla="*/ 6602 w 10650"/>
                      <a:gd name="connsiteY13" fmla="*/ 6008 h 10000"/>
                      <a:gd name="connsiteX14" fmla="*/ 6545 w 10650"/>
                      <a:gd name="connsiteY14" fmla="*/ 5649 h 10000"/>
                      <a:gd name="connsiteX15" fmla="*/ 6536 w 10650"/>
                      <a:gd name="connsiteY15" fmla="*/ 5426 h 10000"/>
                      <a:gd name="connsiteX16" fmla="*/ 6536 w 10650"/>
                      <a:gd name="connsiteY16" fmla="*/ 5383 h 10000"/>
                      <a:gd name="connsiteX17" fmla="*/ 6570 w 10650"/>
                      <a:gd name="connsiteY17" fmla="*/ 5356 h 10000"/>
                      <a:gd name="connsiteX18" fmla="*/ 6922 w 10650"/>
                      <a:gd name="connsiteY18" fmla="*/ 4763 h 10000"/>
                      <a:gd name="connsiteX19" fmla="*/ 6973 w 10650"/>
                      <a:gd name="connsiteY19" fmla="*/ 4426 h 10000"/>
                      <a:gd name="connsiteX20" fmla="*/ 6973 w 10650"/>
                      <a:gd name="connsiteY20" fmla="*/ 4332 h 10000"/>
                      <a:gd name="connsiteX21" fmla="*/ 7080 w 10650"/>
                      <a:gd name="connsiteY21" fmla="*/ 4324 h 10000"/>
                      <a:gd name="connsiteX22" fmla="*/ 7174 w 10650"/>
                      <a:gd name="connsiteY22" fmla="*/ 4290 h 10000"/>
                      <a:gd name="connsiteX23" fmla="*/ 7246 w 10650"/>
                      <a:gd name="connsiteY23" fmla="*/ 4152 h 10000"/>
                      <a:gd name="connsiteX24" fmla="*/ 7297 w 10650"/>
                      <a:gd name="connsiteY24" fmla="*/ 4043 h 10000"/>
                      <a:gd name="connsiteX25" fmla="*/ 7369 w 10650"/>
                      <a:gd name="connsiteY25" fmla="*/ 3923 h 10000"/>
                      <a:gd name="connsiteX26" fmla="*/ 7438 w 10650"/>
                      <a:gd name="connsiteY26" fmla="*/ 3769 h 10000"/>
                      <a:gd name="connsiteX27" fmla="*/ 7460 w 10650"/>
                      <a:gd name="connsiteY27" fmla="*/ 3612 h 10000"/>
                      <a:gd name="connsiteX28" fmla="*/ 7479 w 10650"/>
                      <a:gd name="connsiteY28" fmla="*/ 3455 h 10000"/>
                      <a:gd name="connsiteX29" fmla="*/ 7533 w 10650"/>
                      <a:gd name="connsiteY29" fmla="*/ 3277 h 10000"/>
                      <a:gd name="connsiteX30" fmla="*/ 7561 w 10650"/>
                      <a:gd name="connsiteY30" fmla="*/ 3133 h 10000"/>
                      <a:gd name="connsiteX31" fmla="*/ 7529 w 10650"/>
                      <a:gd name="connsiteY31" fmla="*/ 3059 h 10000"/>
                      <a:gd name="connsiteX32" fmla="*/ 7523 w 10650"/>
                      <a:gd name="connsiteY32" fmla="*/ 3059 h 10000"/>
                      <a:gd name="connsiteX33" fmla="*/ 7489 w 10650"/>
                      <a:gd name="connsiteY33" fmla="*/ 3024 h 10000"/>
                      <a:gd name="connsiteX34" fmla="*/ 7438 w 10650"/>
                      <a:gd name="connsiteY34" fmla="*/ 2896 h 10000"/>
                      <a:gd name="connsiteX35" fmla="*/ 7463 w 10650"/>
                      <a:gd name="connsiteY35" fmla="*/ 2356 h 10000"/>
                      <a:gd name="connsiteX36" fmla="*/ 7467 w 10650"/>
                      <a:gd name="connsiteY36" fmla="*/ 2314 h 10000"/>
                      <a:gd name="connsiteX37" fmla="*/ 7504 w 10650"/>
                      <a:gd name="connsiteY37" fmla="*/ 1846 h 10000"/>
                      <a:gd name="connsiteX38" fmla="*/ 7448 w 10650"/>
                      <a:gd name="connsiteY38" fmla="*/ 1609 h 10000"/>
                      <a:gd name="connsiteX39" fmla="*/ 7438 w 10650"/>
                      <a:gd name="connsiteY39" fmla="*/ 1582 h 10000"/>
                      <a:gd name="connsiteX40" fmla="*/ 7407 w 10650"/>
                      <a:gd name="connsiteY40" fmla="*/ 1447 h 10000"/>
                      <a:gd name="connsiteX41" fmla="*/ 7413 w 10650"/>
                      <a:gd name="connsiteY41" fmla="*/ 1354 h 10000"/>
                      <a:gd name="connsiteX42" fmla="*/ 7391 w 10650"/>
                      <a:gd name="connsiteY42" fmla="*/ 1271 h 10000"/>
                      <a:gd name="connsiteX43" fmla="*/ 7190 w 10650"/>
                      <a:gd name="connsiteY43" fmla="*/ 1106 h 10000"/>
                      <a:gd name="connsiteX44" fmla="*/ 6860 w 10650"/>
                      <a:gd name="connsiteY44" fmla="*/ 848 h 10000"/>
                      <a:gd name="connsiteX45" fmla="*/ 6564 w 10650"/>
                      <a:gd name="connsiteY45" fmla="*/ 582 h 10000"/>
                      <a:gd name="connsiteX46" fmla="*/ 6331 w 10650"/>
                      <a:gd name="connsiteY46" fmla="*/ 370 h 10000"/>
                      <a:gd name="connsiteX47" fmla="*/ 6089 w 10650"/>
                      <a:gd name="connsiteY47" fmla="*/ 173 h 10000"/>
                      <a:gd name="connsiteX48" fmla="*/ 5828 w 10650"/>
                      <a:gd name="connsiteY48" fmla="*/ 45 h 10000"/>
                      <a:gd name="connsiteX49" fmla="*/ 5507 w 10650"/>
                      <a:gd name="connsiteY49" fmla="*/ 0 h 10000"/>
                      <a:gd name="connsiteX50" fmla="*/ 5199 w 10650"/>
                      <a:gd name="connsiteY50" fmla="*/ 32 h 10000"/>
                      <a:gd name="connsiteX51" fmla="*/ 4960 w 10650"/>
                      <a:gd name="connsiteY51" fmla="*/ 93 h 10000"/>
                      <a:gd name="connsiteX52" fmla="*/ 4715 w 10650"/>
                      <a:gd name="connsiteY52" fmla="*/ 144 h 10000"/>
                      <a:gd name="connsiteX53" fmla="*/ 4536 w 10650"/>
                      <a:gd name="connsiteY53" fmla="*/ 133 h 10000"/>
                      <a:gd name="connsiteX54" fmla="*/ 4347 w 10650"/>
                      <a:gd name="connsiteY54" fmla="*/ 266 h 10000"/>
                      <a:gd name="connsiteX55" fmla="*/ 4061 w 10650"/>
                      <a:gd name="connsiteY55" fmla="*/ 418 h 10000"/>
                      <a:gd name="connsiteX56" fmla="*/ 3649 w 10650"/>
                      <a:gd name="connsiteY56" fmla="*/ 630 h 10000"/>
                      <a:gd name="connsiteX57" fmla="*/ 3294 w 10650"/>
                      <a:gd name="connsiteY57" fmla="*/ 886 h 10000"/>
                      <a:gd name="connsiteX58" fmla="*/ 3139 w 10650"/>
                      <a:gd name="connsiteY58" fmla="*/ 1173 h 10000"/>
                      <a:gd name="connsiteX59" fmla="*/ 3171 w 10650"/>
                      <a:gd name="connsiteY59" fmla="*/ 1465 h 10000"/>
                      <a:gd name="connsiteX60" fmla="*/ 3202 w 10650"/>
                      <a:gd name="connsiteY60" fmla="*/ 1678 h 10000"/>
                      <a:gd name="connsiteX61" fmla="*/ 3180 w 10650"/>
                      <a:gd name="connsiteY61" fmla="*/ 1904 h 10000"/>
                      <a:gd name="connsiteX62" fmla="*/ 3149 w 10650"/>
                      <a:gd name="connsiteY62" fmla="*/ 2436 h 10000"/>
                      <a:gd name="connsiteX63" fmla="*/ 3196 w 10650"/>
                      <a:gd name="connsiteY63" fmla="*/ 2742 h 10000"/>
                      <a:gd name="connsiteX64" fmla="*/ 3250 w 10650"/>
                      <a:gd name="connsiteY64" fmla="*/ 2973 h 10000"/>
                      <a:gd name="connsiteX65" fmla="*/ 3029 w 10650"/>
                      <a:gd name="connsiteY65" fmla="*/ 2848 h 10000"/>
                      <a:gd name="connsiteX66" fmla="*/ 3014 w 10650"/>
                      <a:gd name="connsiteY66" fmla="*/ 2878 h 10000"/>
                      <a:gd name="connsiteX67" fmla="*/ 2995 w 10650"/>
                      <a:gd name="connsiteY67" fmla="*/ 2968 h 10000"/>
                      <a:gd name="connsiteX68" fmla="*/ 3007 w 10650"/>
                      <a:gd name="connsiteY68" fmla="*/ 3314 h 10000"/>
                      <a:gd name="connsiteX69" fmla="*/ 3077 w 10650"/>
                      <a:gd name="connsiteY69" fmla="*/ 3684 h 10000"/>
                      <a:gd name="connsiteX70" fmla="*/ 3099 w 10650"/>
                      <a:gd name="connsiteY70" fmla="*/ 3785 h 10000"/>
                      <a:gd name="connsiteX71" fmla="*/ 3121 w 10650"/>
                      <a:gd name="connsiteY71" fmla="*/ 3888 h 10000"/>
                      <a:gd name="connsiteX72" fmla="*/ 3253 w 10650"/>
                      <a:gd name="connsiteY72" fmla="*/ 4109 h 10000"/>
                      <a:gd name="connsiteX73" fmla="*/ 3372 w 10650"/>
                      <a:gd name="connsiteY73" fmla="*/ 4154 h 10000"/>
                      <a:gd name="connsiteX74" fmla="*/ 3467 w 10650"/>
                      <a:gd name="connsiteY74" fmla="*/ 4168 h 10000"/>
                      <a:gd name="connsiteX75" fmla="*/ 3470 w 10650"/>
                      <a:gd name="connsiteY75" fmla="*/ 4255 h 10000"/>
                      <a:gd name="connsiteX76" fmla="*/ 3621 w 10650"/>
                      <a:gd name="connsiteY76" fmla="*/ 4976 h 10000"/>
                      <a:gd name="connsiteX77" fmla="*/ 3775 w 10650"/>
                      <a:gd name="connsiteY77" fmla="*/ 5239 h 10000"/>
                      <a:gd name="connsiteX78" fmla="*/ 3797 w 10650"/>
                      <a:gd name="connsiteY78" fmla="*/ 5266 h 10000"/>
                      <a:gd name="connsiteX79" fmla="*/ 3797 w 10650"/>
                      <a:gd name="connsiteY79" fmla="*/ 5904 h 10000"/>
                      <a:gd name="connsiteX80" fmla="*/ 3699 w 10650"/>
                      <a:gd name="connsiteY80" fmla="*/ 5995 h 10000"/>
                      <a:gd name="connsiteX81" fmla="*/ 2869 w 10650"/>
                      <a:gd name="connsiteY81" fmla="*/ 6713 h 10000"/>
                      <a:gd name="connsiteX82" fmla="*/ 1746 w 10650"/>
                      <a:gd name="connsiteY82" fmla="*/ 7370 h 10000"/>
                      <a:gd name="connsiteX83" fmla="*/ 1429 w 10650"/>
                      <a:gd name="connsiteY83" fmla="*/ 7457 h 10000"/>
                      <a:gd name="connsiteX84" fmla="*/ 1158 w 10650"/>
                      <a:gd name="connsiteY84" fmla="*/ 7519 h 10000"/>
                      <a:gd name="connsiteX85" fmla="*/ 737 w 10650"/>
                      <a:gd name="connsiteY85" fmla="*/ 7630 h 10000"/>
                      <a:gd name="connsiteX86" fmla="*/ 0 w 10650"/>
                      <a:gd name="connsiteY86" fmla="*/ 8060 h 10000"/>
                      <a:gd name="connsiteX87" fmla="*/ 639 w 10650"/>
                      <a:gd name="connsiteY87" fmla="*/ 8306 h 10000"/>
                      <a:gd name="connsiteX88" fmla="*/ 1124 w 10650"/>
                      <a:gd name="connsiteY88" fmla="*/ 8742 h 10000"/>
                      <a:gd name="connsiteX89" fmla="*/ 1737 w 10650"/>
                      <a:gd name="connsiteY89" fmla="*/ 9117 h 10000"/>
                      <a:gd name="connsiteX90" fmla="*/ 2432 w 10650"/>
                      <a:gd name="connsiteY90" fmla="*/ 9431 h 10000"/>
                      <a:gd name="connsiteX91" fmla="*/ 3177 w 10650"/>
                      <a:gd name="connsiteY91" fmla="*/ 9681 h 10000"/>
                      <a:gd name="connsiteX92" fmla="*/ 3929 w 10650"/>
                      <a:gd name="connsiteY92" fmla="*/ 9862 h 10000"/>
                      <a:gd name="connsiteX93" fmla="*/ 4646 w 10650"/>
                      <a:gd name="connsiteY93" fmla="*/ 9968 h 10000"/>
                      <a:gd name="connsiteX94" fmla="*/ 5290 w 10650"/>
                      <a:gd name="connsiteY94" fmla="*/ 10000 h 10000"/>
                      <a:gd name="connsiteX95" fmla="*/ 6561 w 10650"/>
                      <a:gd name="connsiteY95" fmla="*/ 9846 h 10000"/>
                      <a:gd name="connsiteX96" fmla="*/ 8149 w 10650"/>
                      <a:gd name="connsiteY96" fmla="*/ 9391 h 10000"/>
                      <a:gd name="connsiteX97" fmla="*/ 8910 w 10650"/>
                      <a:gd name="connsiteY97" fmla="*/ 9069 h 10000"/>
                      <a:gd name="connsiteX98" fmla="*/ 9570 w 10650"/>
                      <a:gd name="connsiteY98" fmla="*/ 8694 h 10000"/>
                      <a:gd name="connsiteX99" fmla="*/ 10061 w 10650"/>
                      <a:gd name="connsiteY99" fmla="*/ 8271 h 10000"/>
                      <a:gd name="connsiteX100" fmla="*/ 10650 w 10650"/>
                      <a:gd name="connsiteY100" fmla="*/ 7962 h 10000"/>
                      <a:gd name="connsiteX0" fmla="*/ 10650 w 10650"/>
                      <a:gd name="connsiteY0" fmla="*/ 7962 h 10000"/>
                      <a:gd name="connsiteX1" fmla="*/ 9913 w 10650"/>
                      <a:gd name="connsiteY1" fmla="*/ 7630 h 10000"/>
                      <a:gd name="connsiteX2" fmla="*/ 9495 w 10650"/>
                      <a:gd name="connsiteY2" fmla="*/ 7519 h 10000"/>
                      <a:gd name="connsiteX3" fmla="*/ 9281 w 10650"/>
                      <a:gd name="connsiteY3" fmla="*/ 7471 h 10000"/>
                      <a:gd name="connsiteX4" fmla="*/ 9039 w 10650"/>
                      <a:gd name="connsiteY4" fmla="*/ 7410 h 10000"/>
                      <a:gd name="connsiteX5" fmla="*/ 8743 w 10650"/>
                      <a:gd name="connsiteY5" fmla="*/ 7301 h 10000"/>
                      <a:gd name="connsiteX6" fmla="*/ 7671 w 10650"/>
                      <a:gd name="connsiteY6" fmla="*/ 6867 h 10000"/>
                      <a:gd name="connsiteX7" fmla="*/ 7636 w 10650"/>
                      <a:gd name="connsiteY7" fmla="*/ 6856 h 10000"/>
                      <a:gd name="connsiteX8" fmla="*/ 7366 w 10650"/>
                      <a:gd name="connsiteY8" fmla="*/ 6739 h 10000"/>
                      <a:gd name="connsiteX9" fmla="*/ 7202 w 10650"/>
                      <a:gd name="connsiteY9" fmla="*/ 6620 h 10000"/>
                      <a:gd name="connsiteX10" fmla="*/ 7014 w 10650"/>
                      <a:gd name="connsiteY10" fmla="*/ 6428 h 10000"/>
                      <a:gd name="connsiteX11" fmla="*/ 6856 w 10650"/>
                      <a:gd name="connsiteY11" fmla="*/ 6298 h 10000"/>
                      <a:gd name="connsiteX12" fmla="*/ 6702 w 10650"/>
                      <a:gd name="connsiteY12" fmla="*/ 6165 h 10000"/>
                      <a:gd name="connsiteX13" fmla="*/ 6602 w 10650"/>
                      <a:gd name="connsiteY13" fmla="*/ 6008 h 10000"/>
                      <a:gd name="connsiteX14" fmla="*/ 6545 w 10650"/>
                      <a:gd name="connsiteY14" fmla="*/ 5649 h 10000"/>
                      <a:gd name="connsiteX15" fmla="*/ 6536 w 10650"/>
                      <a:gd name="connsiteY15" fmla="*/ 5426 h 10000"/>
                      <a:gd name="connsiteX16" fmla="*/ 6536 w 10650"/>
                      <a:gd name="connsiteY16" fmla="*/ 5383 h 10000"/>
                      <a:gd name="connsiteX17" fmla="*/ 6570 w 10650"/>
                      <a:gd name="connsiteY17" fmla="*/ 5356 h 10000"/>
                      <a:gd name="connsiteX18" fmla="*/ 6922 w 10650"/>
                      <a:gd name="connsiteY18" fmla="*/ 4763 h 10000"/>
                      <a:gd name="connsiteX19" fmla="*/ 6973 w 10650"/>
                      <a:gd name="connsiteY19" fmla="*/ 4426 h 10000"/>
                      <a:gd name="connsiteX20" fmla="*/ 6973 w 10650"/>
                      <a:gd name="connsiteY20" fmla="*/ 4332 h 10000"/>
                      <a:gd name="connsiteX21" fmla="*/ 7080 w 10650"/>
                      <a:gd name="connsiteY21" fmla="*/ 4324 h 10000"/>
                      <a:gd name="connsiteX22" fmla="*/ 7174 w 10650"/>
                      <a:gd name="connsiteY22" fmla="*/ 4290 h 10000"/>
                      <a:gd name="connsiteX23" fmla="*/ 7246 w 10650"/>
                      <a:gd name="connsiteY23" fmla="*/ 4152 h 10000"/>
                      <a:gd name="connsiteX24" fmla="*/ 7297 w 10650"/>
                      <a:gd name="connsiteY24" fmla="*/ 4043 h 10000"/>
                      <a:gd name="connsiteX25" fmla="*/ 7369 w 10650"/>
                      <a:gd name="connsiteY25" fmla="*/ 3923 h 10000"/>
                      <a:gd name="connsiteX26" fmla="*/ 7438 w 10650"/>
                      <a:gd name="connsiteY26" fmla="*/ 3769 h 10000"/>
                      <a:gd name="connsiteX27" fmla="*/ 7460 w 10650"/>
                      <a:gd name="connsiteY27" fmla="*/ 3612 h 10000"/>
                      <a:gd name="connsiteX28" fmla="*/ 7479 w 10650"/>
                      <a:gd name="connsiteY28" fmla="*/ 3455 h 10000"/>
                      <a:gd name="connsiteX29" fmla="*/ 7533 w 10650"/>
                      <a:gd name="connsiteY29" fmla="*/ 3277 h 10000"/>
                      <a:gd name="connsiteX30" fmla="*/ 7561 w 10650"/>
                      <a:gd name="connsiteY30" fmla="*/ 3133 h 10000"/>
                      <a:gd name="connsiteX31" fmla="*/ 7529 w 10650"/>
                      <a:gd name="connsiteY31" fmla="*/ 3059 h 10000"/>
                      <a:gd name="connsiteX32" fmla="*/ 7523 w 10650"/>
                      <a:gd name="connsiteY32" fmla="*/ 3059 h 10000"/>
                      <a:gd name="connsiteX33" fmla="*/ 7489 w 10650"/>
                      <a:gd name="connsiteY33" fmla="*/ 3024 h 10000"/>
                      <a:gd name="connsiteX34" fmla="*/ 7438 w 10650"/>
                      <a:gd name="connsiteY34" fmla="*/ 2896 h 10000"/>
                      <a:gd name="connsiteX35" fmla="*/ 7463 w 10650"/>
                      <a:gd name="connsiteY35" fmla="*/ 2356 h 10000"/>
                      <a:gd name="connsiteX36" fmla="*/ 7467 w 10650"/>
                      <a:gd name="connsiteY36" fmla="*/ 2314 h 10000"/>
                      <a:gd name="connsiteX37" fmla="*/ 7504 w 10650"/>
                      <a:gd name="connsiteY37" fmla="*/ 1846 h 10000"/>
                      <a:gd name="connsiteX38" fmla="*/ 7448 w 10650"/>
                      <a:gd name="connsiteY38" fmla="*/ 1609 h 10000"/>
                      <a:gd name="connsiteX39" fmla="*/ 7438 w 10650"/>
                      <a:gd name="connsiteY39" fmla="*/ 1582 h 10000"/>
                      <a:gd name="connsiteX40" fmla="*/ 7407 w 10650"/>
                      <a:gd name="connsiteY40" fmla="*/ 1447 h 10000"/>
                      <a:gd name="connsiteX41" fmla="*/ 7413 w 10650"/>
                      <a:gd name="connsiteY41" fmla="*/ 1354 h 10000"/>
                      <a:gd name="connsiteX42" fmla="*/ 7391 w 10650"/>
                      <a:gd name="connsiteY42" fmla="*/ 1271 h 10000"/>
                      <a:gd name="connsiteX43" fmla="*/ 7190 w 10650"/>
                      <a:gd name="connsiteY43" fmla="*/ 1106 h 10000"/>
                      <a:gd name="connsiteX44" fmla="*/ 6860 w 10650"/>
                      <a:gd name="connsiteY44" fmla="*/ 848 h 10000"/>
                      <a:gd name="connsiteX45" fmla="*/ 6564 w 10650"/>
                      <a:gd name="connsiteY45" fmla="*/ 582 h 10000"/>
                      <a:gd name="connsiteX46" fmla="*/ 6331 w 10650"/>
                      <a:gd name="connsiteY46" fmla="*/ 370 h 10000"/>
                      <a:gd name="connsiteX47" fmla="*/ 6089 w 10650"/>
                      <a:gd name="connsiteY47" fmla="*/ 173 h 10000"/>
                      <a:gd name="connsiteX48" fmla="*/ 5828 w 10650"/>
                      <a:gd name="connsiteY48" fmla="*/ 45 h 10000"/>
                      <a:gd name="connsiteX49" fmla="*/ 5507 w 10650"/>
                      <a:gd name="connsiteY49" fmla="*/ 0 h 10000"/>
                      <a:gd name="connsiteX50" fmla="*/ 5199 w 10650"/>
                      <a:gd name="connsiteY50" fmla="*/ 32 h 10000"/>
                      <a:gd name="connsiteX51" fmla="*/ 4960 w 10650"/>
                      <a:gd name="connsiteY51" fmla="*/ 93 h 10000"/>
                      <a:gd name="connsiteX52" fmla="*/ 4715 w 10650"/>
                      <a:gd name="connsiteY52" fmla="*/ 144 h 10000"/>
                      <a:gd name="connsiteX53" fmla="*/ 4536 w 10650"/>
                      <a:gd name="connsiteY53" fmla="*/ 133 h 10000"/>
                      <a:gd name="connsiteX54" fmla="*/ 4347 w 10650"/>
                      <a:gd name="connsiteY54" fmla="*/ 266 h 10000"/>
                      <a:gd name="connsiteX55" fmla="*/ 4061 w 10650"/>
                      <a:gd name="connsiteY55" fmla="*/ 418 h 10000"/>
                      <a:gd name="connsiteX56" fmla="*/ 3649 w 10650"/>
                      <a:gd name="connsiteY56" fmla="*/ 630 h 10000"/>
                      <a:gd name="connsiteX57" fmla="*/ 3294 w 10650"/>
                      <a:gd name="connsiteY57" fmla="*/ 886 h 10000"/>
                      <a:gd name="connsiteX58" fmla="*/ 3139 w 10650"/>
                      <a:gd name="connsiteY58" fmla="*/ 1173 h 10000"/>
                      <a:gd name="connsiteX59" fmla="*/ 3171 w 10650"/>
                      <a:gd name="connsiteY59" fmla="*/ 1465 h 10000"/>
                      <a:gd name="connsiteX60" fmla="*/ 3202 w 10650"/>
                      <a:gd name="connsiteY60" fmla="*/ 1678 h 10000"/>
                      <a:gd name="connsiteX61" fmla="*/ 3180 w 10650"/>
                      <a:gd name="connsiteY61" fmla="*/ 1904 h 10000"/>
                      <a:gd name="connsiteX62" fmla="*/ 3149 w 10650"/>
                      <a:gd name="connsiteY62" fmla="*/ 2436 h 10000"/>
                      <a:gd name="connsiteX63" fmla="*/ 3196 w 10650"/>
                      <a:gd name="connsiteY63" fmla="*/ 2742 h 10000"/>
                      <a:gd name="connsiteX64" fmla="*/ 3250 w 10650"/>
                      <a:gd name="connsiteY64" fmla="*/ 2973 h 10000"/>
                      <a:gd name="connsiteX65" fmla="*/ 3029 w 10650"/>
                      <a:gd name="connsiteY65" fmla="*/ 2848 h 10000"/>
                      <a:gd name="connsiteX66" fmla="*/ 3014 w 10650"/>
                      <a:gd name="connsiteY66" fmla="*/ 2878 h 10000"/>
                      <a:gd name="connsiteX67" fmla="*/ 2995 w 10650"/>
                      <a:gd name="connsiteY67" fmla="*/ 2968 h 10000"/>
                      <a:gd name="connsiteX68" fmla="*/ 3007 w 10650"/>
                      <a:gd name="connsiteY68" fmla="*/ 3314 h 10000"/>
                      <a:gd name="connsiteX69" fmla="*/ 3077 w 10650"/>
                      <a:gd name="connsiteY69" fmla="*/ 3684 h 10000"/>
                      <a:gd name="connsiteX70" fmla="*/ 3099 w 10650"/>
                      <a:gd name="connsiteY70" fmla="*/ 3785 h 10000"/>
                      <a:gd name="connsiteX71" fmla="*/ 3121 w 10650"/>
                      <a:gd name="connsiteY71" fmla="*/ 3888 h 10000"/>
                      <a:gd name="connsiteX72" fmla="*/ 3253 w 10650"/>
                      <a:gd name="connsiteY72" fmla="*/ 4109 h 10000"/>
                      <a:gd name="connsiteX73" fmla="*/ 3372 w 10650"/>
                      <a:gd name="connsiteY73" fmla="*/ 4154 h 10000"/>
                      <a:gd name="connsiteX74" fmla="*/ 3467 w 10650"/>
                      <a:gd name="connsiteY74" fmla="*/ 4168 h 10000"/>
                      <a:gd name="connsiteX75" fmla="*/ 3470 w 10650"/>
                      <a:gd name="connsiteY75" fmla="*/ 4255 h 10000"/>
                      <a:gd name="connsiteX76" fmla="*/ 3621 w 10650"/>
                      <a:gd name="connsiteY76" fmla="*/ 4976 h 10000"/>
                      <a:gd name="connsiteX77" fmla="*/ 3775 w 10650"/>
                      <a:gd name="connsiteY77" fmla="*/ 5239 h 10000"/>
                      <a:gd name="connsiteX78" fmla="*/ 3797 w 10650"/>
                      <a:gd name="connsiteY78" fmla="*/ 5266 h 10000"/>
                      <a:gd name="connsiteX79" fmla="*/ 3797 w 10650"/>
                      <a:gd name="connsiteY79" fmla="*/ 5904 h 10000"/>
                      <a:gd name="connsiteX80" fmla="*/ 3699 w 10650"/>
                      <a:gd name="connsiteY80" fmla="*/ 5995 h 10000"/>
                      <a:gd name="connsiteX81" fmla="*/ 2869 w 10650"/>
                      <a:gd name="connsiteY81" fmla="*/ 6713 h 10000"/>
                      <a:gd name="connsiteX82" fmla="*/ 1746 w 10650"/>
                      <a:gd name="connsiteY82" fmla="*/ 7370 h 10000"/>
                      <a:gd name="connsiteX83" fmla="*/ 1429 w 10650"/>
                      <a:gd name="connsiteY83" fmla="*/ 7457 h 10000"/>
                      <a:gd name="connsiteX84" fmla="*/ 1158 w 10650"/>
                      <a:gd name="connsiteY84" fmla="*/ 7519 h 10000"/>
                      <a:gd name="connsiteX85" fmla="*/ 737 w 10650"/>
                      <a:gd name="connsiteY85" fmla="*/ 7630 h 10000"/>
                      <a:gd name="connsiteX86" fmla="*/ 0 w 10650"/>
                      <a:gd name="connsiteY86" fmla="*/ 8060 h 10000"/>
                      <a:gd name="connsiteX87" fmla="*/ 639 w 10650"/>
                      <a:gd name="connsiteY87" fmla="*/ 8306 h 10000"/>
                      <a:gd name="connsiteX88" fmla="*/ 1124 w 10650"/>
                      <a:gd name="connsiteY88" fmla="*/ 8742 h 10000"/>
                      <a:gd name="connsiteX89" fmla="*/ 1737 w 10650"/>
                      <a:gd name="connsiteY89" fmla="*/ 9117 h 10000"/>
                      <a:gd name="connsiteX90" fmla="*/ 2432 w 10650"/>
                      <a:gd name="connsiteY90" fmla="*/ 9431 h 10000"/>
                      <a:gd name="connsiteX91" fmla="*/ 3177 w 10650"/>
                      <a:gd name="connsiteY91" fmla="*/ 9681 h 10000"/>
                      <a:gd name="connsiteX92" fmla="*/ 3929 w 10650"/>
                      <a:gd name="connsiteY92" fmla="*/ 9862 h 10000"/>
                      <a:gd name="connsiteX93" fmla="*/ 4646 w 10650"/>
                      <a:gd name="connsiteY93" fmla="*/ 9968 h 10000"/>
                      <a:gd name="connsiteX94" fmla="*/ 5290 w 10650"/>
                      <a:gd name="connsiteY94" fmla="*/ 10000 h 10000"/>
                      <a:gd name="connsiteX95" fmla="*/ 6561 w 10650"/>
                      <a:gd name="connsiteY95" fmla="*/ 9846 h 10000"/>
                      <a:gd name="connsiteX96" fmla="*/ 8149 w 10650"/>
                      <a:gd name="connsiteY96" fmla="*/ 9391 h 10000"/>
                      <a:gd name="connsiteX97" fmla="*/ 8910 w 10650"/>
                      <a:gd name="connsiteY97" fmla="*/ 9069 h 10000"/>
                      <a:gd name="connsiteX98" fmla="*/ 9570 w 10650"/>
                      <a:gd name="connsiteY98" fmla="*/ 8694 h 10000"/>
                      <a:gd name="connsiteX99" fmla="*/ 10332 w 10650"/>
                      <a:gd name="connsiteY99" fmla="*/ 8320 h 10000"/>
                      <a:gd name="connsiteX100" fmla="*/ 10650 w 10650"/>
                      <a:gd name="connsiteY100" fmla="*/ 7962 h 100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Lst>
                    <a:rect l="l" t="t" r="r" b="b"/>
                    <a:pathLst>
                      <a:path w="10650" h="10000">
                        <a:moveTo>
                          <a:pt x="10650" y="7962"/>
                        </a:moveTo>
                        <a:lnTo>
                          <a:pt x="9913" y="7630"/>
                        </a:lnTo>
                        <a:lnTo>
                          <a:pt x="9495" y="7519"/>
                        </a:lnTo>
                        <a:lnTo>
                          <a:pt x="9281" y="7471"/>
                        </a:lnTo>
                        <a:lnTo>
                          <a:pt x="9039" y="7410"/>
                        </a:lnTo>
                        <a:lnTo>
                          <a:pt x="8743" y="7301"/>
                        </a:lnTo>
                        <a:lnTo>
                          <a:pt x="7671" y="6867"/>
                        </a:lnTo>
                        <a:cubicBezTo>
                          <a:pt x="7659" y="6863"/>
                          <a:pt x="7648" y="6860"/>
                          <a:pt x="7636" y="6856"/>
                        </a:cubicBezTo>
                        <a:lnTo>
                          <a:pt x="7366" y="6739"/>
                        </a:lnTo>
                        <a:lnTo>
                          <a:pt x="7202" y="6620"/>
                        </a:lnTo>
                        <a:lnTo>
                          <a:pt x="7014" y="6428"/>
                        </a:lnTo>
                        <a:cubicBezTo>
                          <a:pt x="6961" y="6385"/>
                          <a:pt x="6909" y="6341"/>
                          <a:pt x="6856" y="6298"/>
                        </a:cubicBezTo>
                        <a:lnTo>
                          <a:pt x="6702" y="6165"/>
                        </a:lnTo>
                        <a:lnTo>
                          <a:pt x="6602" y="6008"/>
                        </a:lnTo>
                        <a:cubicBezTo>
                          <a:pt x="6583" y="5888"/>
                          <a:pt x="6564" y="5769"/>
                          <a:pt x="6545" y="5649"/>
                        </a:cubicBezTo>
                        <a:cubicBezTo>
                          <a:pt x="6542" y="5575"/>
                          <a:pt x="6539" y="5500"/>
                          <a:pt x="6536" y="5426"/>
                        </a:cubicBezTo>
                        <a:lnTo>
                          <a:pt x="6536" y="5383"/>
                        </a:lnTo>
                        <a:cubicBezTo>
                          <a:pt x="6547" y="5374"/>
                          <a:pt x="6559" y="5365"/>
                          <a:pt x="6570" y="5356"/>
                        </a:cubicBezTo>
                        <a:lnTo>
                          <a:pt x="6922" y="4763"/>
                        </a:lnTo>
                        <a:cubicBezTo>
                          <a:pt x="6939" y="4651"/>
                          <a:pt x="6956" y="4538"/>
                          <a:pt x="6973" y="4426"/>
                        </a:cubicBezTo>
                        <a:lnTo>
                          <a:pt x="6973" y="4332"/>
                        </a:lnTo>
                        <a:lnTo>
                          <a:pt x="7080" y="4324"/>
                        </a:lnTo>
                        <a:lnTo>
                          <a:pt x="7174" y="4290"/>
                        </a:lnTo>
                        <a:lnTo>
                          <a:pt x="7246" y="4152"/>
                        </a:lnTo>
                        <a:cubicBezTo>
                          <a:pt x="7263" y="4116"/>
                          <a:pt x="7280" y="4079"/>
                          <a:pt x="7297" y="4043"/>
                        </a:cubicBezTo>
                        <a:lnTo>
                          <a:pt x="7369" y="3923"/>
                        </a:lnTo>
                        <a:cubicBezTo>
                          <a:pt x="7392" y="3872"/>
                          <a:pt x="7415" y="3820"/>
                          <a:pt x="7438" y="3769"/>
                        </a:cubicBezTo>
                        <a:cubicBezTo>
                          <a:pt x="7445" y="3717"/>
                          <a:pt x="7453" y="3664"/>
                          <a:pt x="7460" y="3612"/>
                        </a:cubicBezTo>
                        <a:cubicBezTo>
                          <a:pt x="7466" y="3560"/>
                          <a:pt x="7473" y="3507"/>
                          <a:pt x="7479" y="3455"/>
                        </a:cubicBezTo>
                        <a:cubicBezTo>
                          <a:pt x="7497" y="3396"/>
                          <a:pt x="7515" y="3336"/>
                          <a:pt x="7533" y="3277"/>
                        </a:cubicBezTo>
                        <a:cubicBezTo>
                          <a:pt x="7542" y="3229"/>
                          <a:pt x="7552" y="3181"/>
                          <a:pt x="7561" y="3133"/>
                        </a:cubicBezTo>
                        <a:cubicBezTo>
                          <a:pt x="7550" y="3108"/>
                          <a:pt x="7540" y="3084"/>
                          <a:pt x="7529" y="3059"/>
                        </a:cubicBezTo>
                        <a:lnTo>
                          <a:pt x="7523" y="3059"/>
                        </a:lnTo>
                        <a:cubicBezTo>
                          <a:pt x="7512" y="3047"/>
                          <a:pt x="7500" y="3036"/>
                          <a:pt x="7489" y="3024"/>
                        </a:cubicBezTo>
                        <a:cubicBezTo>
                          <a:pt x="7472" y="2981"/>
                          <a:pt x="7455" y="2939"/>
                          <a:pt x="7438" y="2896"/>
                        </a:cubicBezTo>
                        <a:cubicBezTo>
                          <a:pt x="7446" y="2716"/>
                          <a:pt x="7455" y="2536"/>
                          <a:pt x="7463" y="2356"/>
                        </a:cubicBezTo>
                        <a:cubicBezTo>
                          <a:pt x="7464" y="2342"/>
                          <a:pt x="7466" y="2328"/>
                          <a:pt x="7467" y="2314"/>
                        </a:cubicBezTo>
                        <a:cubicBezTo>
                          <a:pt x="7479" y="2158"/>
                          <a:pt x="7492" y="2002"/>
                          <a:pt x="7504" y="1846"/>
                        </a:cubicBezTo>
                        <a:cubicBezTo>
                          <a:pt x="7485" y="1767"/>
                          <a:pt x="7467" y="1688"/>
                          <a:pt x="7448" y="1609"/>
                        </a:cubicBezTo>
                        <a:cubicBezTo>
                          <a:pt x="7445" y="1600"/>
                          <a:pt x="7441" y="1591"/>
                          <a:pt x="7438" y="1582"/>
                        </a:cubicBezTo>
                        <a:cubicBezTo>
                          <a:pt x="7428" y="1537"/>
                          <a:pt x="7417" y="1492"/>
                          <a:pt x="7407" y="1447"/>
                        </a:cubicBezTo>
                        <a:lnTo>
                          <a:pt x="7413" y="1354"/>
                        </a:lnTo>
                        <a:cubicBezTo>
                          <a:pt x="7406" y="1326"/>
                          <a:pt x="7398" y="1299"/>
                          <a:pt x="7391" y="1271"/>
                        </a:cubicBezTo>
                        <a:lnTo>
                          <a:pt x="7190" y="1106"/>
                        </a:lnTo>
                        <a:lnTo>
                          <a:pt x="6860" y="848"/>
                        </a:lnTo>
                        <a:lnTo>
                          <a:pt x="6564" y="582"/>
                        </a:lnTo>
                        <a:lnTo>
                          <a:pt x="6331" y="370"/>
                        </a:lnTo>
                        <a:lnTo>
                          <a:pt x="6089" y="173"/>
                        </a:lnTo>
                        <a:lnTo>
                          <a:pt x="5828" y="45"/>
                        </a:lnTo>
                        <a:lnTo>
                          <a:pt x="5507" y="0"/>
                        </a:lnTo>
                        <a:lnTo>
                          <a:pt x="5199" y="32"/>
                        </a:lnTo>
                        <a:lnTo>
                          <a:pt x="4960" y="93"/>
                        </a:lnTo>
                        <a:lnTo>
                          <a:pt x="4715" y="144"/>
                        </a:lnTo>
                        <a:lnTo>
                          <a:pt x="4536" y="133"/>
                        </a:lnTo>
                        <a:lnTo>
                          <a:pt x="4347" y="266"/>
                        </a:lnTo>
                        <a:lnTo>
                          <a:pt x="4061" y="418"/>
                        </a:lnTo>
                        <a:lnTo>
                          <a:pt x="3649" y="630"/>
                        </a:lnTo>
                        <a:lnTo>
                          <a:pt x="3294" y="886"/>
                        </a:lnTo>
                        <a:lnTo>
                          <a:pt x="3139" y="1173"/>
                        </a:lnTo>
                        <a:cubicBezTo>
                          <a:pt x="3150" y="1270"/>
                          <a:pt x="3160" y="1368"/>
                          <a:pt x="3171" y="1465"/>
                        </a:cubicBezTo>
                        <a:cubicBezTo>
                          <a:pt x="3181" y="1536"/>
                          <a:pt x="3192" y="1607"/>
                          <a:pt x="3202" y="1678"/>
                        </a:cubicBezTo>
                        <a:cubicBezTo>
                          <a:pt x="3195" y="1753"/>
                          <a:pt x="3187" y="1829"/>
                          <a:pt x="3180" y="1904"/>
                        </a:cubicBezTo>
                        <a:cubicBezTo>
                          <a:pt x="3170" y="2081"/>
                          <a:pt x="3159" y="2259"/>
                          <a:pt x="3149" y="2436"/>
                        </a:cubicBezTo>
                        <a:cubicBezTo>
                          <a:pt x="3165" y="2538"/>
                          <a:pt x="3180" y="2640"/>
                          <a:pt x="3196" y="2742"/>
                        </a:cubicBezTo>
                        <a:lnTo>
                          <a:pt x="3250" y="2973"/>
                        </a:lnTo>
                        <a:lnTo>
                          <a:pt x="3029" y="2848"/>
                        </a:lnTo>
                        <a:lnTo>
                          <a:pt x="3014" y="2878"/>
                        </a:lnTo>
                        <a:cubicBezTo>
                          <a:pt x="3008" y="2908"/>
                          <a:pt x="3001" y="2938"/>
                          <a:pt x="2995" y="2968"/>
                        </a:cubicBezTo>
                        <a:cubicBezTo>
                          <a:pt x="2999" y="3083"/>
                          <a:pt x="3003" y="3199"/>
                          <a:pt x="3007" y="3314"/>
                        </a:cubicBezTo>
                        <a:cubicBezTo>
                          <a:pt x="3030" y="3437"/>
                          <a:pt x="3054" y="3561"/>
                          <a:pt x="3077" y="3684"/>
                        </a:cubicBezTo>
                        <a:cubicBezTo>
                          <a:pt x="3084" y="3718"/>
                          <a:pt x="3092" y="3751"/>
                          <a:pt x="3099" y="3785"/>
                        </a:cubicBezTo>
                        <a:cubicBezTo>
                          <a:pt x="3106" y="3819"/>
                          <a:pt x="3114" y="3854"/>
                          <a:pt x="3121" y="3888"/>
                        </a:cubicBezTo>
                        <a:lnTo>
                          <a:pt x="3253" y="4109"/>
                        </a:lnTo>
                        <a:lnTo>
                          <a:pt x="3372" y="4154"/>
                        </a:lnTo>
                        <a:lnTo>
                          <a:pt x="3467" y="4168"/>
                        </a:lnTo>
                        <a:lnTo>
                          <a:pt x="3470" y="4255"/>
                        </a:lnTo>
                        <a:cubicBezTo>
                          <a:pt x="3520" y="4495"/>
                          <a:pt x="3571" y="4736"/>
                          <a:pt x="3621" y="4976"/>
                        </a:cubicBezTo>
                        <a:cubicBezTo>
                          <a:pt x="3672" y="5064"/>
                          <a:pt x="3724" y="5151"/>
                          <a:pt x="3775" y="5239"/>
                        </a:cubicBezTo>
                        <a:cubicBezTo>
                          <a:pt x="3782" y="5248"/>
                          <a:pt x="3790" y="5257"/>
                          <a:pt x="3797" y="5266"/>
                        </a:cubicBezTo>
                        <a:lnTo>
                          <a:pt x="3797" y="5904"/>
                        </a:lnTo>
                        <a:cubicBezTo>
                          <a:pt x="3764" y="5934"/>
                          <a:pt x="3732" y="5965"/>
                          <a:pt x="3699" y="5995"/>
                        </a:cubicBezTo>
                        <a:lnTo>
                          <a:pt x="2869" y="6713"/>
                        </a:lnTo>
                        <a:lnTo>
                          <a:pt x="1746" y="7370"/>
                        </a:lnTo>
                        <a:lnTo>
                          <a:pt x="1429" y="7457"/>
                        </a:lnTo>
                        <a:lnTo>
                          <a:pt x="1158" y="7519"/>
                        </a:lnTo>
                        <a:lnTo>
                          <a:pt x="737" y="7630"/>
                        </a:lnTo>
                        <a:lnTo>
                          <a:pt x="0" y="8060"/>
                        </a:lnTo>
                        <a:lnTo>
                          <a:pt x="639" y="8306"/>
                        </a:lnTo>
                        <a:lnTo>
                          <a:pt x="1124" y="8742"/>
                        </a:lnTo>
                        <a:lnTo>
                          <a:pt x="1737" y="9117"/>
                        </a:lnTo>
                        <a:lnTo>
                          <a:pt x="2432" y="9431"/>
                        </a:lnTo>
                        <a:lnTo>
                          <a:pt x="3177" y="9681"/>
                        </a:lnTo>
                        <a:lnTo>
                          <a:pt x="3929" y="9862"/>
                        </a:lnTo>
                        <a:lnTo>
                          <a:pt x="4646" y="9968"/>
                        </a:lnTo>
                        <a:lnTo>
                          <a:pt x="5290" y="10000"/>
                        </a:lnTo>
                        <a:lnTo>
                          <a:pt x="6561" y="9846"/>
                        </a:lnTo>
                        <a:lnTo>
                          <a:pt x="8149" y="9391"/>
                        </a:lnTo>
                        <a:lnTo>
                          <a:pt x="8910" y="9069"/>
                        </a:lnTo>
                        <a:lnTo>
                          <a:pt x="9570" y="8694"/>
                        </a:lnTo>
                        <a:lnTo>
                          <a:pt x="10332" y="8320"/>
                        </a:lnTo>
                        <a:lnTo>
                          <a:pt x="10650" y="7962"/>
                        </a:lnTo>
                        <a:close/>
                      </a:path>
                    </a:pathLst>
                  </a:custGeom>
                  <a:solidFill>
                    <a:srgbClr val="9E9E9E"/>
                  </a:solidFill>
                  <a:ln>
                    <a:noFill/>
                  </a:ln>
                </xdr:spPr>
                <xdr:txBody>
                  <a:bodyPr/>
                  <a:lstStyle/>
                  <a:p>
                    <a:endParaRPr lang="en-US"/>
                  </a:p>
                </xdr:txBody>
              </xdr:sp>
            </xdr:grpSp>
            <xdr:pic>
              <xdr:nvPicPr>
                <xdr:cNvPr id="3024" name="03_profileimage">
                  <a:hlinkClick xmlns:r="http://schemas.openxmlformats.org/officeDocument/2006/relationships" r:id="rId30"/>
                </xdr:cNvPr>
                <xdr:cNvPicPr>
                  <a:picLocks/>
                </xdr:cNvPicPr>
              </xdr:nvPicPr>
              <xdr:blipFill>
                <a:blip xmlns:r="http://schemas.openxmlformats.org/officeDocument/2006/relationships" r:link="rId31"/>
                <a:stretch>
                  <a:fillRect/>
                </a:stretch>
              </xdr:blipFill>
              <xdr:spPr>
                <a:xfrm>
                  <a:off x="1033653" y="57070749"/>
                  <a:ext cx="822960" cy="822960"/>
                </a:xfrm>
                <a:prstGeom prst="rect">
                  <a:avLst/>
                </a:prstGeom>
              </xdr:spPr>
            </xdr:pic>
            <xdr:sp macro="" textlink="">
              <xdr:nvSpPr>
                <xdr:cNvPr id="939" name="03_imgModule_Freeform_10"/>
                <xdr:cNvSpPr>
                  <a:spLocks noEditPoints="1"/>
                </xdr:cNvSpPr>
              </xdr:nvSpPr>
              <xdr:spPr bwMode="auto">
                <a:xfrm>
                  <a:off x="960501" y="56997599"/>
                  <a:ext cx="969264" cy="969264"/>
                </a:xfrm>
                <a:custGeom>
                  <a:avLst/>
                  <a:gdLst>
                    <a:gd name="T0" fmla="*/ 0 w 417"/>
                    <a:gd name="T1" fmla="*/ 417 h 417"/>
                    <a:gd name="T2" fmla="*/ 417 w 417"/>
                    <a:gd name="T3" fmla="*/ 0 h 417"/>
                    <a:gd name="T4" fmla="*/ 209 w 417"/>
                    <a:gd name="T5" fmla="*/ 385 h 417"/>
                    <a:gd name="T6" fmla="*/ 190 w 417"/>
                    <a:gd name="T7" fmla="*/ 384 h 417"/>
                    <a:gd name="T8" fmla="*/ 156 w 417"/>
                    <a:gd name="T9" fmla="*/ 377 h 417"/>
                    <a:gd name="T10" fmla="*/ 124 w 417"/>
                    <a:gd name="T11" fmla="*/ 364 h 417"/>
                    <a:gd name="T12" fmla="*/ 96 w 417"/>
                    <a:gd name="T13" fmla="*/ 345 h 417"/>
                    <a:gd name="T14" fmla="*/ 72 w 417"/>
                    <a:gd name="T15" fmla="*/ 321 h 417"/>
                    <a:gd name="T16" fmla="*/ 53 w 417"/>
                    <a:gd name="T17" fmla="*/ 293 h 417"/>
                    <a:gd name="T18" fmla="*/ 40 w 417"/>
                    <a:gd name="T19" fmla="*/ 261 h 417"/>
                    <a:gd name="T20" fmla="*/ 33 w 417"/>
                    <a:gd name="T21" fmla="*/ 227 h 417"/>
                    <a:gd name="T22" fmla="*/ 32 w 417"/>
                    <a:gd name="T23" fmla="*/ 209 h 417"/>
                    <a:gd name="T24" fmla="*/ 36 w 417"/>
                    <a:gd name="T25" fmla="*/ 173 h 417"/>
                    <a:gd name="T26" fmla="*/ 46 w 417"/>
                    <a:gd name="T27" fmla="*/ 139 h 417"/>
                    <a:gd name="T28" fmla="*/ 62 w 417"/>
                    <a:gd name="T29" fmla="*/ 110 h 417"/>
                    <a:gd name="T30" fmla="*/ 84 w 417"/>
                    <a:gd name="T31" fmla="*/ 84 h 417"/>
                    <a:gd name="T32" fmla="*/ 110 w 417"/>
                    <a:gd name="T33" fmla="*/ 62 h 417"/>
                    <a:gd name="T34" fmla="*/ 139 w 417"/>
                    <a:gd name="T35" fmla="*/ 46 h 417"/>
                    <a:gd name="T36" fmla="*/ 173 w 417"/>
                    <a:gd name="T37" fmla="*/ 36 h 417"/>
                    <a:gd name="T38" fmla="*/ 209 w 417"/>
                    <a:gd name="T39" fmla="*/ 32 h 417"/>
                    <a:gd name="T40" fmla="*/ 227 w 417"/>
                    <a:gd name="T41" fmla="*/ 33 h 417"/>
                    <a:gd name="T42" fmla="*/ 261 w 417"/>
                    <a:gd name="T43" fmla="*/ 40 h 417"/>
                    <a:gd name="T44" fmla="*/ 293 w 417"/>
                    <a:gd name="T45" fmla="*/ 53 h 417"/>
                    <a:gd name="T46" fmla="*/ 321 w 417"/>
                    <a:gd name="T47" fmla="*/ 72 h 417"/>
                    <a:gd name="T48" fmla="*/ 345 w 417"/>
                    <a:gd name="T49" fmla="*/ 96 h 417"/>
                    <a:gd name="T50" fmla="*/ 364 w 417"/>
                    <a:gd name="T51" fmla="*/ 124 h 417"/>
                    <a:gd name="T52" fmla="*/ 377 w 417"/>
                    <a:gd name="T53" fmla="*/ 156 h 417"/>
                    <a:gd name="T54" fmla="*/ 384 w 417"/>
                    <a:gd name="T55" fmla="*/ 190 h 417"/>
                    <a:gd name="T56" fmla="*/ 385 w 417"/>
                    <a:gd name="T57" fmla="*/ 209 h 417"/>
                    <a:gd name="T58" fmla="*/ 381 w 417"/>
                    <a:gd name="T59" fmla="*/ 244 h 417"/>
                    <a:gd name="T60" fmla="*/ 371 w 417"/>
                    <a:gd name="T61" fmla="*/ 278 h 417"/>
                    <a:gd name="T62" fmla="*/ 355 w 417"/>
                    <a:gd name="T63" fmla="*/ 307 h 417"/>
                    <a:gd name="T64" fmla="*/ 333 w 417"/>
                    <a:gd name="T65" fmla="*/ 333 h 417"/>
                    <a:gd name="T66" fmla="*/ 307 w 417"/>
                    <a:gd name="T67" fmla="*/ 355 h 417"/>
                    <a:gd name="T68" fmla="*/ 278 w 417"/>
                    <a:gd name="T69" fmla="*/ 371 h 417"/>
                    <a:gd name="T70" fmla="*/ 244 w 417"/>
                    <a:gd name="T71" fmla="*/ 381 h 417"/>
                    <a:gd name="T72" fmla="*/ 209 w 417"/>
                    <a:gd name="T73" fmla="*/ 385 h 41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Lst>
                  <a:rect l="0" t="0" r="r" b="b"/>
                  <a:pathLst>
                    <a:path w="417" h="417">
                      <a:moveTo>
                        <a:pt x="0" y="0"/>
                      </a:moveTo>
                      <a:lnTo>
                        <a:pt x="0" y="417"/>
                      </a:lnTo>
                      <a:lnTo>
                        <a:pt x="417" y="417"/>
                      </a:lnTo>
                      <a:lnTo>
                        <a:pt x="417" y="0"/>
                      </a:lnTo>
                      <a:lnTo>
                        <a:pt x="0" y="0"/>
                      </a:lnTo>
                      <a:close/>
                      <a:moveTo>
                        <a:pt x="209" y="385"/>
                      </a:moveTo>
                      <a:lnTo>
                        <a:pt x="209" y="385"/>
                      </a:lnTo>
                      <a:lnTo>
                        <a:pt x="190" y="384"/>
                      </a:lnTo>
                      <a:lnTo>
                        <a:pt x="173" y="381"/>
                      </a:lnTo>
                      <a:lnTo>
                        <a:pt x="156" y="377"/>
                      </a:lnTo>
                      <a:lnTo>
                        <a:pt x="139" y="371"/>
                      </a:lnTo>
                      <a:lnTo>
                        <a:pt x="124" y="364"/>
                      </a:lnTo>
                      <a:lnTo>
                        <a:pt x="110" y="355"/>
                      </a:lnTo>
                      <a:lnTo>
                        <a:pt x="96" y="345"/>
                      </a:lnTo>
                      <a:lnTo>
                        <a:pt x="84" y="333"/>
                      </a:lnTo>
                      <a:lnTo>
                        <a:pt x="72" y="321"/>
                      </a:lnTo>
                      <a:lnTo>
                        <a:pt x="62" y="307"/>
                      </a:lnTo>
                      <a:lnTo>
                        <a:pt x="53" y="293"/>
                      </a:lnTo>
                      <a:lnTo>
                        <a:pt x="46" y="278"/>
                      </a:lnTo>
                      <a:lnTo>
                        <a:pt x="40" y="261"/>
                      </a:lnTo>
                      <a:lnTo>
                        <a:pt x="36" y="244"/>
                      </a:lnTo>
                      <a:lnTo>
                        <a:pt x="33" y="227"/>
                      </a:lnTo>
                      <a:lnTo>
                        <a:pt x="32" y="209"/>
                      </a:lnTo>
                      <a:lnTo>
                        <a:pt x="32" y="209"/>
                      </a:lnTo>
                      <a:lnTo>
                        <a:pt x="33" y="190"/>
                      </a:lnTo>
                      <a:lnTo>
                        <a:pt x="36" y="173"/>
                      </a:lnTo>
                      <a:lnTo>
                        <a:pt x="40" y="156"/>
                      </a:lnTo>
                      <a:lnTo>
                        <a:pt x="46" y="139"/>
                      </a:lnTo>
                      <a:lnTo>
                        <a:pt x="53" y="124"/>
                      </a:lnTo>
                      <a:lnTo>
                        <a:pt x="62" y="110"/>
                      </a:lnTo>
                      <a:lnTo>
                        <a:pt x="72" y="96"/>
                      </a:lnTo>
                      <a:lnTo>
                        <a:pt x="84" y="84"/>
                      </a:lnTo>
                      <a:lnTo>
                        <a:pt x="96" y="72"/>
                      </a:lnTo>
                      <a:lnTo>
                        <a:pt x="110" y="62"/>
                      </a:lnTo>
                      <a:lnTo>
                        <a:pt x="124" y="53"/>
                      </a:lnTo>
                      <a:lnTo>
                        <a:pt x="139" y="46"/>
                      </a:lnTo>
                      <a:lnTo>
                        <a:pt x="156" y="40"/>
                      </a:lnTo>
                      <a:lnTo>
                        <a:pt x="173" y="36"/>
                      </a:lnTo>
                      <a:lnTo>
                        <a:pt x="190" y="33"/>
                      </a:lnTo>
                      <a:lnTo>
                        <a:pt x="209" y="32"/>
                      </a:lnTo>
                      <a:lnTo>
                        <a:pt x="209" y="32"/>
                      </a:lnTo>
                      <a:lnTo>
                        <a:pt x="227" y="33"/>
                      </a:lnTo>
                      <a:lnTo>
                        <a:pt x="244" y="36"/>
                      </a:lnTo>
                      <a:lnTo>
                        <a:pt x="261" y="40"/>
                      </a:lnTo>
                      <a:lnTo>
                        <a:pt x="278" y="46"/>
                      </a:lnTo>
                      <a:lnTo>
                        <a:pt x="293" y="53"/>
                      </a:lnTo>
                      <a:lnTo>
                        <a:pt x="307" y="62"/>
                      </a:lnTo>
                      <a:lnTo>
                        <a:pt x="321" y="72"/>
                      </a:lnTo>
                      <a:lnTo>
                        <a:pt x="333" y="84"/>
                      </a:lnTo>
                      <a:lnTo>
                        <a:pt x="345" y="96"/>
                      </a:lnTo>
                      <a:lnTo>
                        <a:pt x="355" y="110"/>
                      </a:lnTo>
                      <a:lnTo>
                        <a:pt x="364" y="124"/>
                      </a:lnTo>
                      <a:lnTo>
                        <a:pt x="371" y="139"/>
                      </a:lnTo>
                      <a:lnTo>
                        <a:pt x="377" y="156"/>
                      </a:lnTo>
                      <a:lnTo>
                        <a:pt x="381" y="173"/>
                      </a:lnTo>
                      <a:lnTo>
                        <a:pt x="384" y="190"/>
                      </a:lnTo>
                      <a:lnTo>
                        <a:pt x="385" y="209"/>
                      </a:lnTo>
                      <a:lnTo>
                        <a:pt x="385" y="209"/>
                      </a:lnTo>
                      <a:lnTo>
                        <a:pt x="384" y="227"/>
                      </a:lnTo>
                      <a:lnTo>
                        <a:pt x="381" y="244"/>
                      </a:lnTo>
                      <a:lnTo>
                        <a:pt x="377" y="261"/>
                      </a:lnTo>
                      <a:lnTo>
                        <a:pt x="371" y="278"/>
                      </a:lnTo>
                      <a:lnTo>
                        <a:pt x="364" y="293"/>
                      </a:lnTo>
                      <a:lnTo>
                        <a:pt x="355" y="307"/>
                      </a:lnTo>
                      <a:lnTo>
                        <a:pt x="345" y="321"/>
                      </a:lnTo>
                      <a:lnTo>
                        <a:pt x="333" y="333"/>
                      </a:lnTo>
                      <a:lnTo>
                        <a:pt x="321" y="345"/>
                      </a:lnTo>
                      <a:lnTo>
                        <a:pt x="307" y="355"/>
                      </a:lnTo>
                      <a:lnTo>
                        <a:pt x="293" y="364"/>
                      </a:lnTo>
                      <a:lnTo>
                        <a:pt x="278" y="371"/>
                      </a:lnTo>
                      <a:lnTo>
                        <a:pt x="261" y="377"/>
                      </a:lnTo>
                      <a:lnTo>
                        <a:pt x="244" y="381"/>
                      </a:lnTo>
                      <a:lnTo>
                        <a:pt x="227" y="384"/>
                      </a:lnTo>
                      <a:lnTo>
                        <a:pt x="209" y="385"/>
                      </a:lnTo>
                      <a:lnTo>
                        <a:pt x="209" y="385"/>
                      </a:lnTo>
                      <a:close/>
                    </a:path>
                  </a:pathLst>
                </a:custGeom>
                <a:solidFill>
                  <a:srgbClr val="E0E0E0"/>
                </a:solidFill>
                <a:ln>
                  <a:noFill/>
                </a:ln>
              </xdr:spPr>
            </xdr:sp>
          </xdr:grpSp>
        </xdr:grpSp>
        <xdr:pic>
          <xdr:nvPicPr>
            <xdr:cNvPr id="3193" name="03_channelimage"/>
            <xdr:cNvPicPr>
              <a:picLocks/>
            </xdr:cNvPicPr>
          </xdr:nvPicPr>
          <xdr:blipFill>
            <a:blip xmlns:r="http://schemas.openxmlformats.org/officeDocument/2006/relationships" r:link="rId32"/>
            <a:stretch>
              <a:fillRect/>
            </a:stretch>
          </xdr:blipFill>
          <xdr:spPr>
            <a:xfrm>
              <a:off x="800100" y="56833914"/>
              <a:ext cx="576072" cy="576072"/>
            </a:xfrm>
            <a:prstGeom prst="rect">
              <a:avLst/>
            </a:prstGeom>
          </xdr:spPr>
        </xdr:pic>
      </xdr:grpSp>
      <xdr:grpSp>
        <xdr:nvGrpSpPr>
          <xdr:cNvPr id="9172" name="Group 9171"/>
          <xdr:cNvGrpSpPr/>
        </xdr:nvGrpSpPr>
        <xdr:grpSpPr>
          <a:xfrm>
            <a:off x="5934075" y="56616599"/>
            <a:ext cx="5020056" cy="2095499"/>
            <a:chOff x="5934075" y="56730899"/>
            <a:chExt cx="5020056" cy="2095499"/>
          </a:xfrm>
        </xdr:grpSpPr>
        <xdr:grpSp>
          <xdr:nvGrpSpPr>
            <xdr:cNvPr id="9160" name="Group 9159"/>
            <xdr:cNvGrpSpPr/>
          </xdr:nvGrpSpPr>
          <xdr:grpSpPr>
            <a:xfrm>
              <a:off x="5934075" y="56730899"/>
              <a:ext cx="5020056" cy="2095499"/>
              <a:chOff x="5934075" y="56730899"/>
              <a:chExt cx="5020056" cy="2095499"/>
            </a:xfrm>
          </xdr:grpSpPr>
          <xdr:grpSp>
            <xdr:nvGrpSpPr>
              <xdr:cNvPr id="9156" name="Group 9155"/>
              <xdr:cNvGrpSpPr/>
            </xdr:nvGrpSpPr>
            <xdr:grpSpPr>
              <a:xfrm>
                <a:off x="5934075" y="56730899"/>
                <a:ext cx="5020056" cy="2095499"/>
                <a:chOff x="5934075" y="56730899"/>
                <a:chExt cx="5020056" cy="2095499"/>
              </a:xfrm>
            </xdr:grpSpPr>
            <xdr:sp macro="" textlink="">
              <xdr:nvSpPr>
                <xdr:cNvPr id="928" name="04_imgModule_Rounded_Rectangle_539"/>
                <xdr:cNvSpPr/>
              </xdr:nvSpPr>
              <xdr:spPr>
                <a:xfrm>
                  <a:off x="5934075" y="56740424"/>
                  <a:ext cx="5020056" cy="2085974"/>
                </a:xfrm>
                <a:prstGeom prst="roundRect">
                  <a:avLst>
                    <a:gd name="adj" fmla="val 800"/>
                  </a:avLst>
                </a:prstGeom>
                <a:solidFill>
                  <a:srgbClr val="757575"/>
                </a:solidFill>
                <a:ln w="12700">
                  <a:solidFill>
                    <a:srgbClr val="1E1E1E"/>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l"/>
                  <a:endParaRPr lang="en-US" sz="1100"/>
                </a:p>
              </xdr:txBody>
            </xdr:sp>
            <xdr:sp macro="" textlink="">
              <xdr:nvSpPr>
                <xdr:cNvPr id="929" name="04_imgModule_Rounded_Rectangle_540"/>
                <xdr:cNvSpPr/>
              </xdr:nvSpPr>
              <xdr:spPr>
                <a:xfrm>
                  <a:off x="5934075" y="56730899"/>
                  <a:ext cx="5020056" cy="2084832"/>
                </a:xfrm>
                <a:prstGeom prst="roundRect">
                  <a:avLst>
                    <a:gd name="adj" fmla="val 800"/>
                  </a:avLst>
                </a:prstGeom>
                <a:solidFill>
                  <a:srgbClr val="757575"/>
                </a:solidFill>
                <a:ln w="12700">
                  <a:solidFill>
                    <a:srgbClr val="1A1A1A"/>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l"/>
                  <a:endParaRPr lang="en-US" sz="1100"/>
                </a:p>
              </xdr:txBody>
            </xdr:sp>
          </xdr:grpSp>
          <xdr:grpSp>
            <xdr:nvGrpSpPr>
              <xdr:cNvPr id="9157" name="Group 9156"/>
              <xdr:cNvGrpSpPr/>
            </xdr:nvGrpSpPr>
            <xdr:grpSpPr>
              <a:xfrm>
                <a:off x="9686353" y="56892823"/>
                <a:ext cx="1155910" cy="651129"/>
                <a:chOff x="9686353" y="56892823"/>
                <a:chExt cx="1155910" cy="651129"/>
              </a:xfrm>
            </xdr:grpSpPr>
            <xdr:sp macro="" textlink="Calculations!F422">
              <xdr:nvSpPr>
                <xdr:cNvPr id="926" name="04_metric01_number"/>
                <xdr:cNvSpPr txBox="1"/>
              </xdr:nvSpPr>
              <xdr:spPr>
                <a:xfrm>
                  <a:off x="9686353" y="56892823"/>
                  <a:ext cx="1143000" cy="28438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ctr"/>
                <a:lstStyle/>
                <a:p>
                  <a:pPr marL="0" indent="0" algn="l"/>
                  <a:fld id="{C904C590-14B7-45D3-9D1F-06ABB440E98C}" type="TxLink">
                    <a:rPr lang="en-US" sz="2200" b="0" i="0" u="none" strike="noStrike">
                      <a:solidFill>
                        <a:srgbClr val="AFBFFF"/>
                      </a:solidFill>
                      <a:latin typeface="+mn-lt"/>
                      <a:ea typeface="+mn-ea"/>
                      <a:cs typeface="+mn-cs"/>
                    </a:rPr>
                    <a:pPr marL="0" indent="0" algn="l"/>
                    <a:t>7,008</a:t>
                  </a:fld>
                  <a:endParaRPr lang="en-US" sz="2200" b="0" i="0" u="none" strike="noStrike">
                    <a:solidFill>
                      <a:srgbClr val="AFBFFF"/>
                    </a:solidFill>
                    <a:latin typeface="+mn-lt"/>
                    <a:ea typeface="+mn-ea"/>
                    <a:cs typeface="+mn-cs"/>
                  </a:endParaRPr>
                </a:p>
              </xdr:txBody>
            </xdr:sp>
            <xdr:sp macro="" textlink="Calculations!G422">
              <xdr:nvSpPr>
                <xdr:cNvPr id="927" name="04_metric01_label"/>
                <xdr:cNvSpPr txBox="1"/>
              </xdr:nvSpPr>
              <xdr:spPr>
                <a:xfrm>
                  <a:off x="9699263" y="57169048"/>
                  <a:ext cx="1143000" cy="3749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marL="0" indent="0" algn="l"/>
                  <a:fld id="{71F40A74-1597-45ED-B6AE-C1B9F3DEE274}" type="TxLink">
                    <a:rPr lang="en-US" sz="1200" b="0" i="0" u="none" strike="noStrike">
                      <a:solidFill>
                        <a:srgbClr val="E0E0E0"/>
                      </a:solidFill>
                      <a:latin typeface="+mn-lt"/>
                      <a:ea typeface="+mn-ea"/>
                      <a:cs typeface="+mn-cs"/>
                    </a:rPr>
                    <a:pPr marL="0" indent="0" algn="l"/>
                    <a:t>Instagram Engagements</a:t>
                  </a:fld>
                  <a:endParaRPr lang="en-US" sz="1200" b="0" i="0" u="none" strike="noStrike">
                    <a:solidFill>
                      <a:srgbClr val="E0E0E0"/>
                    </a:solidFill>
                    <a:latin typeface="+mn-lt"/>
                    <a:ea typeface="+mn-ea"/>
                    <a:cs typeface="+mn-cs"/>
                  </a:endParaRPr>
                </a:p>
              </xdr:txBody>
            </xdr:sp>
          </xdr:grpSp>
          <xdr:grpSp>
            <xdr:nvGrpSpPr>
              <xdr:cNvPr id="9158" name="Group 9157"/>
              <xdr:cNvGrpSpPr/>
            </xdr:nvGrpSpPr>
            <xdr:grpSpPr>
              <a:xfrm>
                <a:off x="9686353" y="58197748"/>
                <a:ext cx="1155910" cy="622554"/>
                <a:chOff x="9686353" y="58197748"/>
                <a:chExt cx="1155910" cy="622554"/>
              </a:xfrm>
            </xdr:grpSpPr>
            <xdr:sp macro="" textlink="Calculations!M422">
              <xdr:nvSpPr>
                <xdr:cNvPr id="924" name="04_metric03_number"/>
                <xdr:cNvSpPr txBox="1"/>
              </xdr:nvSpPr>
              <xdr:spPr>
                <a:xfrm>
                  <a:off x="9686353" y="58197748"/>
                  <a:ext cx="1143000" cy="28438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ctr"/>
                <a:lstStyle/>
                <a:p>
                  <a:pPr marL="0" indent="0" algn="l"/>
                  <a:fld id="{5E51C21F-95D1-4A8B-8BE8-C795DF259B23}" type="TxLink">
                    <a:rPr lang="en-US" sz="1600" b="0" i="0" u="none" strike="noStrike">
                      <a:solidFill>
                        <a:srgbClr val="AFBFFF"/>
                      </a:solidFill>
                      <a:latin typeface="+mn-lt"/>
                      <a:ea typeface="+mn-ea"/>
                      <a:cs typeface="+mn-cs"/>
                    </a:rPr>
                    <a:pPr marL="0" indent="0" algn="l"/>
                    <a:t>43</a:t>
                  </a:fld>
                  <a:endParaRPr lang="en-US" sz="1600" b="0" i="0" u="none" strike="noStrike">
                    <a:solidFill>
                      <a:srgbClr val="AFBFFF"/>
                    </a:solidFill>
                    <a:latin typeface="+mn-lt"/>
                    <a:ea typeface="+mn-ea"/>
                    <a:cs typeface="+mn-cs"/>
                  </a:endParaRPr>
                </a:p>
              </xdr:txBody>
            </xdr:sp>
            <xdr:sp macro="" textlink="Calculations!N422">
              <xdr:nvSpPr>
                <xdr:cNvPr id="925" name="04_metric03_label"/>
                <xdr:cNvSpPr txBox="1"/>
              </xdr:nvSpPr>
              <xdr:spPr>
                <a:xfrm>
                  <a:off x="9699263" y="58445398"/>
                  <a:ext cx="1143000" cy="3749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marL="0" indent="0" algn="l"/>
                  <a:fld id="{2E01FCD2-2876-437B-801A-31A3ACA131B9}" type="TxLink">
                    <a:rPr lang="en-US" sz="1200" b="0" i="0" u="none" strike="noStrike">
                      <a:solidFill>
                        <a:srgbClr val="E0E0E0"/>
                      </a:solidFill>
                      <a:latin typeface="+mn-lt"/>
                      <a:ea typeface="+mn-ea"/>
                      <a:cs typeface="+mn-cs"/>
                    </a:rPr>
                    <a:pPr marL="0" indent="0" algn="l"/>
                    <a:t>Comments</a:t>
                  </a:fld>
                  <a:endParaRPr lang="en-US" sz="1200" b="0" i="0" u="none" strike="noStrike">
                    <a:solidFill>
                      <a:srgbClr val="E0E0E0"/>
                    </a:solidFill>
                    <a:latin typeface="+mn-lt"/>
                    <a:ea typeface="+mn-ea"/>
                    <a:cs typeface="+mn-cs"/>
                  </a:endParaRPr>
                </a:p>
              </xdr:txBody>
            </xdr:sp>
          </xdr:grpSp>
          <xdr:grpSp>
            <xdr:nvGrpSpPr>
              <xdr:cNvPr id="9159" name="Group 9158"/>
              <xdr:cNvGrpSpPr/>
            </xdr:nvGrpSpPr>
            <xdr:grpSpPr>
              <a:xfrm>
                <a:off x="9686353" y="57669110"/>
                <a:ext cx="1155910" cy="632079"/>
                <a:chOff x="9686353" y="57669110"/>
                <a:chExt cx="1155910" cy="632079"/>
              </a:xfrm>
            </xdr:grpSpPr>
            <xdr:sp macro="" textlink="Calculations!J422">
              <xdr:nvSpPr>
                <xdr:cNvPr id="922" name="04_metric02_number"/>
                <xdr:cNvSpPr txBox="1"/>
              </xdr:nvSpPr>
              <xdr:spPr>
                <a:xfrm>
                  <a:off x="9686353" y="57669110"/>
                  <a:ext cx="1143000" cy="28438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ctr"/>
                <a:lstStyle/>
                <a:p>
                  <a:pPr marL="0" indent="0" algn="l"/>
                  <a:fld id="{90BAEE75-58F4-43B8-A1CF-1BFDA8793948}" type="TxLink">
                    <a:rPr lang="en-US" sz="1600" b="0" i="0" u="none" strike="noStrike">
                      <a:solidFill>
                        <a:srgbClr val="AFBFFF"/>
                      </a:solidFill>
                      <a:latin typeface="+mn-lt"/>
                      <a:ea typeface="+mn-ea"/>
                      <a:cs typeface="+mn-cs"/>
                    </a:rPr>
                    <a:pPr marL="0" indent="0" algn="l"/>
                    <a:t>6,965</a:t>
                  </a:fld>
                  <a:endParaRPr lang="en-US" sz="1600" b="0" i="0" u="none" strike="noStrike">
                    <a:solidFill>
                      <a:srgbClr val="AFBFFF"/>
                    </a:solidFill>
                    <a:latin typeface="+mn-lt"/>
                    <a:ea typeface="+mn-ea"/>
                    <a:cs typeface="+mn-cs"/>
                  </a:endParaRPr>
                </a:p>
              </xdr:txBody>
            </xdr:sp>
            <xdr:sp macro="" textlink="Calculations!K422">
              <xdr:nvSpPr>
                <xdr:cNvPr id="923" name="04_metric02_label"/>
                <xdr:cNvSpPr txBox="1"/>
              </xdr:nvSpPr>
              <xdr:spPr>
                <a:xfrm>
                  <a:off x="9699263" y="57926285"/>
                  <a:ext cx="1143000" cy="3749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marL="0" indent="0" algn="l"/>
                  <a:fld id="{BDC4B135-01C8-40A7-9A51-4FB113DB0D53}" type="TxLink">
                    <a:rPr lang="en-US" sz="1200" b="0" i="0" u="none" strike="noStrike">
                      <a:solidFill>
                        <a:srgbClr val="E0E0E0"/>
                      </a:solidFill>
                      <a:latin typeface="+mn-lt"/>
                      <a:ea typeface="+mn-ea"/>
                      <a:cs typeface="+mn-cs"/>
                    </a:rPr>
                    <a:pPr marL="0" indent="0" algn="l"/>
                    <a:t>Likes</a:t>
                  </a:fld>
                  <a:endParaRPr lang="en-US" sz="1200" b="0" i="0" u="none" strike="noStrike">
                    <a:solidFill>
                      <a:srgbClr val="E0E0E0"/>
                    </a:solidFill>
                    <a:latin typeface="+mn-lt"/>
                    <a:ea typeface="+mn-ea"/>
                    <a:cs typeface="+mn-cs"/>
                  </a:endParaRPr>
                </a:p>
              </xdr:txBody>
            </xdr:sp>
          </xdr:grpSp>
        </xdr:grpSp>
        <xdr:grpSp>
          <xdr:nvGrpSpPr>
            <xdr:cNvPr id="9171" name="Group 9170"/>
            <xdr:cNvGrpSpPr/>
          </xdr:nvGrpSpPr>
          <xdr:grpSpPr>
            <a:xfrm>
              <a:off x="6047803" y="56845197"/>
              <a:ext cx="3524822" cy="1866900"/>
              <a:chOff x="6047803" y="56845197"/>
              <a:chExt cx="3524822" cy="1866900"/>
            </a:xfrm>
          </xdr:grpSpPr>
          <xdr:grpSp>
            <xdr:nvGrpSpPr>
              <xdr:cNvPr id="9163" name="Group 9162"/>
              <xdr:cNvGrpSpPr/>
            </xdr:nvGrpSpPr>
            <xdr:grpSpPr>
              <a:xfrm>
                <a:off x="6047803" y="56845197"/>
                <a:ext cx="3524822" cy="1866900"/>
                <a:chOff x="6047803" y="56845197"/>
                <a:chExt cx="3524822" cy="1866900"/>
              </a:xfrm>
            </xdr:grpSpPr>
            <xdr:grpSp>
              <xdr:nvGrpSpPr>
                <xdr:cNvPr id="9161" name="Group 9160"/>
                <xdr:cNvGrpSpPr/>
              </xdr:nvGrpSpPr>
              <xdr:grpSpPr>
                <a:xfrm>
                  <a:off x="6047803" y="56845197"/>
                  <a:ext cx="3524822" cy="1866900"/>
                  <a:chOff x="6047803" y="56845197"/>
                  <a:chExt cx="3524822" cy="1866900"/>
                </a:xfrm>
              </xdr:grpSpPr>
              <xdr:sp macro="" textlink="">
                <xdr:nvSpPr>
                  <xdr:cNvPr id="916" name="04_imgModule_Rounded_Rectangle_533"/>
                  <xdr:cNvSpPr/>
                </xdr:nvSpPr>
                <xdr:spPr>
                  <a:xfrm>
                    <a:off x="6047804" y="56854722"/>
                    <a:ext cx="3524250" cy="1857375"/>
                  </a:xfrm>
                  <a:prstGeom prst="roundRect">
                    <a:avLst>
                      <a:gd name="adj" fmla="val 909"/>
                    </a:avLst>
                  </a:prstGeom>
                  <a:solidFill>
                    <a:srgbClr val="E0E0E0"/>
                  </a:solidFill>
                  <a:ln w="12700">
                    <a:solidFill>
                      <a:srgbClr val="646464"/>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l"/>
                    <a:endParaRPr lang="en-US" sz="1100"/>
                  </a:p>
                </xdr:txBody>
              </xdr:sp>
              <xdr:sp macro="" textlink="">
                <xdr:nvSpPr>
                  <xdr:cNvPr id="917" name="04_imgModule_Rounded_Rectangle_536"/>
                  <xdr:cNvSpPr/>
                </xdr:nvSpPr>
                <xdr:spPr>
                  <a:xfrm>
                    <a:off x="6047803" y="56845197"/>
                    <a:ext cx="3524822" cy="1856232"/>
                  </a:xfrm>
                  <a:prstGeom prst="roundRect">
                    <a:avLst>
                      <a:gd name="adj" fmla="val 909"/>
                    </a:avLst>
                  </a:prstGeom>
                  <a:solidFill>
                    <a:srgbClr val="E0E0E0"/>
                  </a:solidFill>
                  <a:ln w="12700">
                    <a:solidFill>
                      <a:srgbClr val="5E5E5E"/>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l"/>
                    <a:endParaRPr lang="en-US" sz="1100"/>
                  </a:p>
                </xdr:txBody>
              </xdr:sp>
            </xdr:grpSp>
            <xdr:grpSp>
              <xdr:nvGrpSpPr>
                <xdr:cNvPr id="9162" name="Group 9161"/>
                <xdr:cNvGrpSpPr/>
              </xdr:nvGrpSpPr>
              <xdr:grpSpPr>
                <a:xfrm>
                  <a:off x="7724965" y="56854721"/>
                  <a:ext cx="1847088" cy="1847088"/>
                  <a:chOff x="7724965" y="56854721"/>
                  <a:chExt cx="1847088" cy="1847088"/>
                </a:xfrm>
              </xdr:grpSpPr>
              <xdr:sp macro="" textlink="">
                <xdr:nvSpPr>
                  <xdr:cNvPr id="914" name="04_imgModule_Rounded_Rectangle_534"/>
                  <xdr:cNvSpPr/>
                </xdr:nvSpPr>
                <xdr:spPr>
                  <a:xfrm>
                    <a:off x="7724965" y="56854721"/>
                    <a:ext cx="1847088" cy="1847088"/>
                  </a:xfrm>
                  <a:prstGeom prst="roundRect">
                    <a:avLst>
                      <a:gd name="adj" fmla="val 909"/>
                    </a:avLst>
                  </a:prstGeom>
                  <a:solidFill>
                    <a:srgbClr val="D7D7D7"/>
                  </a:solidFill>
                  <a:ln w="12700">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l"/>
                    <a:endParaRPr lang="en-US" sz="1100"/>
                  </a:p>
                </xdr:txBody>
              </xdr:sp>
              <xdr:sp macro="" textlink="">
                <xdr:nvSpPr>
                  <xdr:cNvPr id="915" name="04_imgModule_Rectangle_430"/>
                  <xdr:cNvSpPr/>
                </xdr:nvSpPr>
                <xdr:spPr>
                  <a:xfrm>
                    <a:off x="7724965" y="56854721"/>
                    <a:ext cx="91440" cy="1847088"/>
                  </a:xfrm>
                  <a:prstGeom prst="rect">
                    <a:avLst/>
                  </a:prstGeom>
                  <a:solidFill>
                    <a:srgbClr val="D7D7D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grpSp>
          <xdr:grpSp>
            <xdr:nvGrpSpPr>
              <xdr:cNvPr id="9164" name="Group 9163"/>
              <xdr:cNvGrpSpPr/>
            </xdr:nvGrpSpPr>
            <xdr:grpSpPr>
              <a:xfrm>
                <a:off x="6276403" y="58223584"/>
                <a:ext cx="1372172" cy="424370"/>
                <a:chOff x="6276403" y="58223584"/>
                <a:chExt cx="1372172" cy="424370"/>
              </a:xfrm>
            </xdr:grpSpPr>
            <xdr:sp macro="" textlink="Calculations!D422">
              <xdr:nvSpPr>
                <xdr:cNvPr id="910" name="04_profilename"/>
                <xdr:cNvSpPr txBox="1"/>
              </xdr:nvSpPr>
              <xdr:spPr>
                <a:xfrm>
                  <a:off x="6276403" y="58412926"/>
                  <a:ext cx="1372172" cy="2350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ctr"/>
                <a:lstStyle/>
                <a:p>
                  <a:pPr marL="0" indent="0" algn="l"/>
                  <a:fld id="{6BC21EF9-9284-4FB7-A193-60C613183C3B}" type="TxLink">
                    <a:rPr lang="en-US" sz="1300" b="0" i="0" u="none" strike="noStrike">
                      <a:solidFill>
                        <a:srgbClr val="4D4D4D"/>
                      </a:solidFill>
                      <a:latin typeface="+mn-lt"/>
                      <a:ea typeface="+mn-ea"/>
                      <a:cs typeface="+mn-cs"/>
                    </a:rPr>
                    <a:pPr marL="0" indent="0" algn="l"/>
                    <a:t>millionaire.dream</a:t>
                  </a:fld>
                  <a:endParaRPr lang="en-US" sz="1300" b="0">
                    <a:solidFill>
                      <a:srgbClr val="4D4D4D"/>
                    </a:solidFill>
                    <a:latin typeface="+mn-lt"/>
                    <a:ea typeface="+mn-ea"/>
                    <a:cs typeface="+mn-cs"/>
                  </a:endParaRPr>
                </a:p>
              </xdr:txBody>
            </xdr:sp>
            <xdr:sp macro="" textlink="Calculations!C422">
              <xdr:nvSpPr>
                <xdr:cNvPr id="911" name="04_postdate"/>
                <xdr:cNvSpPr txBox="1"/>
              </xdr:nvSpPr>
              <xdr:spPr>
                <a:xfrm>
                  <a:off x="6276403" y="58223584"/>
                  <a:ext cx="1371600" cy="2136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ctr"/>
                <a:lstStyle/>
                <a:p>
                  <a:pPr marL="0" indent="0" algn="l"/>
                  <a:fld id="{52500E04-1A7F-4923-A29B-A9D81C6536A2}" type="TxLink">
                    <a:rPr lang="en-US" sz="1000" b="0" i="0" u="none" strike="noStrike">
                      <a:solidFill>
                        <a:srgbClr val="666666"/>
                      </a:solidFill>
                      <a:latin typeface="+mn-lt"/>
                      <a:ea typeface="+mn-ea"/>
                      <a:cs typeface="+mn-cs"/>
                    </a:rPr>
                    <a:pPr marL="0" indent="0" algn="l"/>
                    <a:t>September 1, 2017</a:t>
                  </a:fld>
                  <a:endParaRPr lang="en-US" sz="1000" b="0">
                    <a:solidFill>
                      <a:srgbClr val="666666"/>
                    </a:solidFill>
                    <a:latin typeface="+mn-lt"/>
                    <a:ea typeface="+mn-ea"/>
                    <a:cs typeface="+mn-cs"/>
                  </a:endParaRPr>
                </a:p>
              </xdr:txBody>
            </xdr:sp>
          </xdr:grpSp>
          <xdr:grpSp>
            <xdr:nvGrpSpPr>
              <xdr:cNvPr id="9168" name="Group 9167"/>
              <xdr:cNvGrpSpPr/>
            </xdr:nvGrpSpPr>
            <xdr:grpSpPr>
              <a:xfrm>
                <a:off x="7724775" y="56854724"/>
                <a:ext cx="1847088" cy="1848614"/>
                <a:chOff x="7724775" y="56854724"/>
                <a:chExt cx="1847088" cy="1848614"/>
              </a:xfrm>
            </xdr:grpSpPr>
            <xdr:grpSp>
              <xdr:nvGrpSpPr>
                <xdr:cNvPr id="9167" name="Group 9166"/>
                <xdr:cNvGrpSpPr/>
              </xdr:nvGrpSpPr>
              <xdr:grpSpPr>
                <a:xfrm>
                  <a:off x="7724775" y="56854724"/>
                  <a:ext cx="1847088" cy="1848614"/>
                  <a:chOff x="7724775" y="56854724"/>
                  <a:chExt cx="1847088" cy="1848614"/>
                </a:xfrm>
              </xdr:grpSpPr>
              <xdr:grpSp>
                <xdr:nvGrpSpPr>
                  <xdr:cNvPr id="9165" name="Group 9164"/>
                  <xdr:cNvGrpSpPr/>
                </xdr:nvGrpSpPr>
                <xdr:grpSpPr>
                  <a:xfrm>
                    <a:off x="7724775" y="56854725"/>
                    <a:ext cx="1847088" cy="1848613"/>
                    <a:chOff x="7724775" y="56854725"/>
                    <a:chExt cx="1847088" cy="1848613"/>
                  </a:xfrm>
                </xdr:grpSpPr>
                <xdr:pic>
                  <xdr:nvPicPr>
                    <xdr:cNvPr id="3362" name="04_postimage" descr="profile:multi&#10;postSize:small"/>
                    <xdr:cNvPicPr>
                      <a:picLocks/>
                    </xdr:cNvPicPr>
                  </xdr:nvPicPr>
                  <xdr:blipFill>
                    <a:blip xmlns:r="http://schemas.openxmlformats.org/officeDocument/2006/relationships" r:link="rId33"/>
                    <a:stretch>
                      <a:fillRect/>
                    </a:stretch>
                  </xdr:blipFill>
                  <xdr:spPr>
                    <a:xfrm>
                      <a:off x="7724775" y="56854725"/>
                      <a:ext cx="1847088" cy="1847088"/>
                    </a:xfrm>
                    <a:prstGeom prst="rect">
                      <a:avLst/>
                    </a:prstGeom>
                  </xdr:spPr>
                </xdr:pic>
                <xdr:pic>
                  <xdr:nvPicPr>
                    <xdr:cNvPr id="3531" name="04_overlayimage"/>
                    <xdr:cNvPicPr>
                      <a:picLocks/>
                    </xdr:cNvPicPr>
                  </xdr:nvPicPr>
                  <xdr:blipFill>
                    <a:blip xmlns:r="http://schemas.openxmlformats.org/officeDocument/2006/relationships" r:link="rId2"/>
                    <a:stretch>
                      <a:fillRect/>
                    </a:stretch>
                  </xdr:blipFill>
                  <xdr:spPr>
                    <a:xfrm>
                      <a:off x="7724775" y="58081546"/>
                      <a:ext cx="1847088" cy="621792"/>
                    </a:xfrm>
                    <a:prstGeom prst="rect">
                      <a:avLst/>
                    </a:prstGeom>
                  </xdr:spPr>
                </xdr:pic>
                <xdr:sp macro="" textlink="Calculations!O422">
                  <xdr:nvSpPr>
                    <xdr:cNvPr id="909" name="04_overlaytext"/>
                    <xdr:cNvSpPr txBox="1"/>
                  </xdr:nvSpPr>
                  <xdr:spPr>
                    <a:xfrm>
                      <a:off x="7724775" y="58081546"/>
                      <a:ext cx="1847088" cy="6217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100584" tIns="36576" rIns="100584" bIns="45720" rtlCol="0" anchor="t"/>
                    <a:lstStyle/>
                    <a:p>
                      <a:pPr marL="0" indent="0" algn="l"/>
                      <a:fld id="{95F21278-FBF8-49DF-86FB-EC2A68048B24}" type="TxLink">
                        <a:rPr lang="en-US" sz="1100" b="0" i="1">
                          <a:solidFill>
                            <a:srgbClr val="EBEBEB"/>
                          </a:solidFill>
                          <a:latin typeface="Cambria" panose="02040503050406030204" pitchFamily="18" charset="0"/>
                          <a:ea typeface="+mn-ea"/>
                          <a:cs typeface="+mn-cs"/>
                        </a:rPr>
                        <a:pPr marL="0" indent="0" algn="l"/>
                        <a:t>It takes time...</a:t>
                      </a:fld>
                      <a:endParaRPr lang="en-US" sz="1100" b="0" i="1">
                        <a:solidFill>
                          <a:srgbClr val="EBEBEB"/>
                        </a:solidFill>
                        <a:latin typeface="Cambria" panose="02040503050406030204" pitchFamily="18" charset="0"/>
                        <a:ea typeface="+mn-ea"/>
                        <a:cs typeface="+mn-cs"/>
                      </a:endParaRPr>
                    </a:p>
                  </xdr:txBody>
                </xdr:sp>
              </xdr:grpSp>
              <xdr:grpSp>
                <xdr:nvGrpSpPr>
                  <xdr:cNvPr id="9166" name="Group 9165"/>
                  <xdr:cNvGrpSpPr/>
                </xdr:nvGrpSpPr>
                <xdr:grpSpPr>
                  <a:xfrm>
                    <a:off x="7839075" y="57035700"/>
                    <a:ext cx="1590675" cy="1600200"/>
                    <a:chOff x="7839075" y="57035700"/>
                    <a:chExt cx="1590675" cy="1600200"/>
                  </a:xfrm>
                </xdr:grpSpPr>
                <xdr:sp macro="" textlink="">
                  <xdr:nvSpPr>
                    <xdr:cNvPr id="905" name="04_posttext"/>
                    <xdr:cNvSpPr txBox="1"/>
                  </xdr:nvSpPr>
                  <xdr:spPr>
                    <a:xfrm>
                      <a:off x="7924800" y="57035700"/>
                      <a:ext cx="1504950" cy="1600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marL="0" indent="0" algn="l"/>
                      <a:r>
                        <a:rPr lang="en-US" sz="1300" b="0" i="1">
                          <a:solidFill>
                            <a:srgbClr val="4D4D4D"/>
                          </a:solidFill>
                          <a:latin typeface="Cambria" panose="02040503050406030204" pitchFamily="18" charset="0"/>
                          <a:ea typeface="+mn-ea"/>
                          <a:cs typeface="+mn-cs"/>
                        </a:rPr>
                        <a:t> </a:t>
                      </a:r>
                    </a:p>
                  </xdr:txBody>
                </xdr:sp>
                <xdr:sp macro="" textlink="">
                  <xdr:nvSpPr>
                    <xdr:cNvPr id="906" name="04_leadparen"/>
                    <xdr:cNvSpPr txBox="1"/>
                  </xdr:nvSpPr>
                  <xdr:spPr>
                    <a:xfrm>
                      <a:off x="7839075" y="57035700"/>
                      <a:ext cx="371475" cy="3524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marL="0" indent="0" algn="l"/>
                      <a:endParaRPr lang="en-US" sz="1300" b="0" i="1">
                        <a:solidFill>
                          <a:srgbClr val="4D4D4D"/>
                        </a:solidFill>
                        <a:latin typeface="Cambria" panose="02040503050406030204" pitchFamily="18" charset="0"/>
                        <a:ea typeface="+mn-ea"/>
                        <a:cs typeface="+mn-cs"/>
                      </a:endParaRPr>
                    </a:p>
                  </xdr:txBody>
                </xdr:sp>
              </xdr:grpSp>
              <xdr:sp macro="" textlink="">
                <xdr:nvSpPr>
                  <xdr:cNvPr id="904" name="04_imgModule_Rectangle_515"/>
                  <xdr:cNvSpPr/>
                </xdr:nvSpPr>
                <xdr:spPr>
                  <a:xfrm>
                    <a:off x="7724775" y="56854724"/>
                    <a:ext cx="9144" cy="1847088"/>
                  </a:xfrm>
                  <a:prstGeom prst="rect">
                    <a:avLst/>
                  </a:prstGeom>
                  <a:solidFill>
                    <a:srgbClr val="000000">
                      <a:alpha val="16863"/>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pic>
              <xdr:nvPicPr>
                <xdr:cNvPr id="3700" name="04_postlinkimage">
                  <a:hlinkClick xmlns:r="http://schemas.openxmlformats.org/officeDocument/2006/relationships" r:id="rId34"/>
                </xdr:cNvPr>
                <xdr:cNvPicPr>
                  <a:picLocks/>
                </xdr:cNvPicPr>
              </xdr:nvPicPr>
              <xdr:blipFill>
                <a:blip xmlns:r="http://schemas.openxmlformats.org/officeDocument/2006/relationships" r:link="rId4"/>
                <a:stretch>
                  <a:fillRect/>
                </a:stretch>
              </xdr:blipFill>
              <xdr:spPr>
                <a:xfrm>
                  <a:off x="7724775" y="56854725"/>
                  <a:ext cx="1847088" cy="1847088"/>
                </a:xfrm>
                <a:prstGeom prst="rect">
                  <a:avLst/>
                </a:prstGeom>
              </xdr:spPr>
            </xdr:pic>
          </xdr:grpSp>
          <xdr:grpSp>
            <xdr:nvGrpSpPr>
              <xdr:cNvPr id="9170" name="Group 9169"/>
              <xdr:cNvGrpSpPr/>
            </xdr:nvGrpSpPr>
            <xdr:grpSpPr>
              <a:xfrm>
                <a:off x="6199251" y="56997599"/>
                <a:ext cx="969264" cy="969264"/>
                <a:chOff x="6199251" y="56997599"/>
                <a:chExt cx="969264" cy="969264"/>
              </a:xfrm>
            </xdr:grpSpPr>
            <xdr:grpSp>
              <xdr:nvGrpSpPr>
                <xdr:cNvPr id="9169" name="Group 9168"/>
                <xdr:cNvGrpSpPr/>
              </xdr:nvGrpSpPr>
              <xdr:grpSpPr>
                <a:xfrm>
                  <a:off x="6272403" y="57070751"/>
                  <a:ext cx="822960" cy="822960"/>
                  <a:chOff x="6272403" y="57070751"/>
                  <a:chExt cx="822960" cy="822960"/>
                </a:xfrm>
              </xdr:grpSpPr>
              <xdr:sp macro="" textlink="">
                <xdr:nvSpPr>
                  <xdr:cNvPr id="897" name="04_imgModule_Oval_662"/>
                  <xdr:cNvSpPr/>
                </xdr:nvSpPr>
                <xdr:spPr>
                  <a:xfrm>
                    <a:off x="6272403" y="57070751"/>
                    <a:ext cx="822960" cy="822960"/>
                  </a:xfrm>
                  <a:prstGeom prst="ellipse">
                    <a:avLst/>
                  </a:prstGeom>
                  <a:solidFill>
                    <a:srgbClr val="94949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898" name="04_imgModule_Oval_687"/>
                  <xdr:cNvSpPr/>
                </xdr:nvSpPr>
                <xdr:spPr>
                  <a:xfrm>
                    <a:off x="6292504" y="57090823"/>
                    <a:ext cx="782759" cy="782816"/>
                  </a:xfrm>
                  <a:prstGeom prst="ellipse">
                    <a:avLst/>
                  </a:prstGeom>
                  <a:solidFill>
                    <a:srgbClr val="D9D9D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899" name="04_imgModule_Freeform_12"/>
                  <xdr:cNvSpPr>
                    <a:spLocks/>
                  </xdr:cNvSpPr>
                </xdr:nvSpPr>
                <xdr:spPr bwMode="auto">
                  <a:xfrm>
                    <a:off x="6398331" y="57286806"/>
                    <a:ext cx="571104" cy="594874"/>
                  </a:xfrm>
                  <a:custGeom>
                    <a:avLst/>
                    <a:gdLst>
                      <a:gd name="T0" fmla="*/ 3049 w 3180"/>
                      <a:gd name="T1" fmla="*/ 2869 h 3760"/>
                      <a:gd name="T2" fmla="*/ 2848 w 3180"/>
                      <a:gd name="T3" fmla="*/ 2809 h 3760"/>
                      <a:gd name="T4" fmla="*/ 2677 w 3180"/>
                      <a:gd name="T5" fmla="*/ 2745 h 3760"/>
                      <a:gd name="T6" fmla="*/ 2325 w 3180"/>
                      <a:gd name="T7" fmla="*/ 2578 h 3760"/>
                      <a:gd name="T8" fmla="*/ 2187 w 3180"/>
                      <a:gd name="T9" fmla="*/ 2489 h 3760"/>
                      <a:gd name="T10" fmla="*/ 2077 w 3180"/>
                      <a:gd name="T11" fmla="*/ 2368 h 3760"/>
                      <a:gd name="T12" fmla="*/ 1996 w 3180"/>
                      <a:gd name="T13" fmla="*/ 2259 h 3760"/>
                      <a:gd name="T14" fmla="*/ 1975 w 3180"/>
                      <a:gd name="T15" fmla="*/ 2040 h 3760"/>
                      <a:gd name="T16" fmla="*/ 1986 w 3180"/>
                      <a:gd name="T17" fmla="*/ 2014 h 3760"/>
                      <a:gd name="T18" fmla="*/ 2114 w 3180"/>
                      <a:gd name="T19" fmla="*/ 1664 h 3760"/>
                      <a:gd name="T20" fmla="*/ 2148 w 3180"/>
                      <a:gd name="T21" fmla="*/ 1626 h 3760"/>
                      <a:gd name="T22" fmla="*/ 2201 w 3180"/>
                      <a:gd name="T23" fmla="*/ 1561 h 3760"/>
                      <a:gd name="T24" fmla="*/ 2240 w 3180"/>
                      <a:gd name="T25" fmla="*/ 1475 h 3760"/>
                      <a:gd name="T26" fmla="*/ 2269 w 3180"/>
                      <a:gd name="T27" fmla="*/ 1358 h 3760"/>
                      <a:gd name="T28" fmla="*/ 2292 w 3180"/>
                      <a:gd name="T29" fmla="*/ 1232 h 3760"/>
                      <a:gd name="T30" fmla="*/ 2291 w 3180"/>
                      <a:gd name="T31" fmla="*/ 1150 h 3760"/>
                      <a:gd name="T32" fmla="*/ 2278 w 3180"/>
                      <a:gd name="T33" fmla="*/ 1137 h 3760"/>
                      <a:gd name="T34" fmla="*/ 2270 w 3180"/>
                      <a:gd name="T35" fmla="*/ 886 h 3760"/>
                      <a:gd name="T36" fmla="*/ 2283 w 3180"/>
                      <a:gd name="T37" fmla="*/ 694 h 3760"/>
                      <a:gd name="T38" fmla="*/ 2262 w 3180"/>
                      <a:gd name="T39" fmla="*/ 595 h 3760"/>
                      <a:gd name="T40" fmla="*/ 2254 w 3180"/>
                      <a:gd name="T41" fmla="*/ 509 h 3760"/>
                      <a:gd name="T42" fmla="*/ 2183 w 3180"/>
                      <a:gd name="T43" fmla="*/ 416 h 3760"/>
                      <a:gd name="T44" fmla="*/ 1984 w 3180"/>
                      <a:gd name="T45" fmla="*/ 219 h 3760"/>
                      <a:gd name="T46" fmla="*/ 1833 w 3180"/>
                      <a:gd name="T47" fmla="*/ 65 h 3760"/>
                      <a:gd name="T48" fmla="*/ 1648 w 3180"/>
                      <a:gd name="T49" fmla="*/ 0 h 3760"/>
                      <a:gd name="T50" fmla="*/ 1474 w 3180"/>
                      <a:gd name="T51" fmla="*/ 35 h 3760"/>
                      <a:gd name="T52" fmla="*/ 1339 w 3180"/>
                      <a:gd name="T53" fmla="*/ 50 h 3760"/>
                      <a:gd name="T54" fmla="*/ 1188 w 3180"/>
                      <a:gd name="T55" fmla="*/ 157 h 3760"/>
                      <a:gd name="T56" fmla="*/ 944 w 3180"/>
                      <a:gd name="T57" fmla="*/ 333 h 3760"/>
                      <a:gd name="T58" fmla="*/ 905 w 3180"/>
                      <a:gd name="T59" fmla="*/ 551 h 3760"/>
                      <a:gd name="T60" fmla="*/ 908 w 3180"/>
                      <a:gd name="T61" fmla="*/ 716 h 3760"/>
                      <a:gd name="T62" fmla="*/ 913 w 3180"/>
                      <a:gd name="T63" fmla="*/ 1031 h 3760"/>
                      <a:gd name="T64" fmla="*/ 860 w 3180"/>
                      <a:gd name="T65" fmla="*/ 1071 h 3760"/>
                      <a:gd name="T66" fmla="*/ 849 w 3180"/>
                      <a:gd name="T67" fmla="*/ 1116 h 3760"/>
                      <a:gd name="T68" fmla="*/ 875 w 3180"/>
                      <a:gd name="T69" fmla="*/ 1385 h 3760"/>
                      <a:gd name="T70" fmla="*/ 889 w 3180"/>
                      <a:gd name="T71" fmla="*/ 1462 h 3760"/>
                      <a:gd name="T72" fmla="*/ 969 w 3180"/>
                      <a:gd name="T73" fmla="*/ 1562 h 3760"/>
                      <a:gd name="T74" fmla="*/ 1000 w 3180"/>
                      <a:gd name="T75" fmla="*/ 1600 h 3760"/>
                      <a:gd name="T76" fmla="*/ 1097 w 3180"/>
                      <a:gd name="T77" fmla="*/ 1970 h 3760"/>
                      <a:gd name="T78" fmla="*/ 1104 w 3180"/>
                      <a:gd name="T79" fmla="*/ 2220 h 3760"/>
                      <a:gd name="T80" fmla="*/ 809 w 3180"/>
                      <a:gd name="T81" fmla="*/ 2524 h 3760"/>
                      <a:gd name="T82" fmla="*/ 351 w 3180"/>
                      <a:gd name="T83" fmla="*/ 2804 h 3760"/>
                      <a:gd name="T84" fmla="*/ 131 w 3180"/>
                      <a:gd name="T85" fmla="*/ 2869 h 3760"/>
                      <a:gd name="T86" fmla="*/ 100 w 3180"/>
                      <a:gd name="T87" fmla="*/ 3123 h 3760"/>
                      <a:gd name="T88" fmla="*/ 449 w 3180"/>
                      <a:gd name="T89" fmla="*/ 3428 h 3760"/>
                      <a:gd name="T90" fmla="*/ 907 w 3180"/>
                      <a:gd name="T91" fmla="*/ 3640 h 3760"/>
                      <a:gd name="T92" fmla="*/ 1374 w 3180"/>
                      <a:gd name="T93" fmla="*/ 3748 h 3760"/>
                      <a:gd name="T94" fmla="*/ 1983 w 3180"/>
                      <a:gd name="T95" fmla="*/ 3702 h 3760"/>
                      <a:gd name="T96" fmla="*/ 2730 w 3180"/>
                      <a:gd name="T97" fmla="*/ 3410 h 3760"/>
                      <a:gd name="T98" fmla="*/ 3096 w 3180"/>
                      <a:gd name="T99" fmla="*/ 3110 h 3760"/>
                      <a:gd name="connsiteX0" fmla="*/ 10325 w 10325"/>
                      <a:gd name="connsiteY0" fmla="*/ 7962 h 10000"/>
                      <a:gd name="connsiteX1" fmla="*/ 9588 w 10325"/>
                      <a:gd name="connsiteY1" fmla="*/ 7630 h 10000"/>
                      <a:gd name="connsiteX2" fmla="*/ 9170 w 10325"/>
                      <a:gd name="connsiteY2" fmla="*/ 7519 h 10000"/>
                      <a:gd name="connsiteX3" fmla="*/ 8956 w 10325"/>
                      <a:gd name="connsiteY3" fmla="*/ 7471 h 10000"/>
                      <a:gd name="connsiteX4" fmla="*/ 8714 w 10325"/>
                      <a:gd name="connsiteY4" fmla="*/ 7410 h 10000"/>
                      <a:gd name="connsiteX5" fmla="*/ 8418 w 10325"/>
                      <a:gd name="connsiteY5" fmla="*/ 7301 h 10000"/>
                      <a:gd name="connsiteX6" fmla="*/ 7346 w 10325"/>
                      <a:gd name="connsiteY6" fmla="*/ 6867 h 10000"/>
                      <a:gd name="connsiteX7" fmla="*/ 7311 w 10325"/>
                      <a:gd name="connsiteY7" fmla="*/ 6856 h 10000"/>
                      <a:gd name="connsiteX8" fmla="*/ 7041 w 10325"/>
                      <a:gd name="connsiteY8" fmla="*/ 6739 h 10000"/>
                      <a:gd name="connsiteX9" fmla="*/ 6877 w 10325"/>
                      <a:gd name="connsiteY9" fmla="*/ 6620 h 10000"/>
                      <a:gd name="connsiteX10" fmla="*/ 6689 w 10325"/>
                      <a:gd name="connsiteY10" fmla="*/ 6428 h 10000"/>
                      <a:gd name="connsiteX11" fmla="*/ 6531 w 10325"/>
                      <a:gd name="connsiteY11" fmla="*/ 6298 h 10000"/>
                      <a:gd name="connsiteX12" fmla="*/ 6377 w 10325"/>
                      <a:gd name="connsiteY12" fmla="*/ 6165 h 10000"/>
                      <a:gd name="connsiteX13" fmla="*/ 6277 w 10325"/>
                      <a:gd name="connsiteY13" fmla="*/ 6008 h 10000"/>
                      <a:gd name="connsiteX14" fmla="*/ 6220 w 10325"/>
                      <a:gd name="connsiteY14" fmla="*/ 5649 h 10000"/>
                      <a:gd name="connsiteX15" fmla="*/ 6211 w 10325"/>
                      <a:gd name="connsiteY15" fmla="*/ 5426 h 10000"/>
                      <a:gd name="connsiteX16" fmla="*/ 6211 w 10325"/>
                      <a:gd name="connsiteY16" fmla="*/ 5383 h 10000"/>
                      <a:gd name="connsiteX17" fmla="*/ 6245 w 10325"/>
                      <a:gd name="connsiteY17" fmla="*/ 5356 h 10000"/>
                      <a:gd name="connsiteX18" fmla="*/ 6597 w 10325"/>
                      <a:gd name="connsiteY18" fmla="*/ 4763 h 10000"/>
                      <a:gd name="connsiteX19" fmla="*/ 6648 w 10325"/>
                      <a:gd name="connsiteY19" fmla="*/ 4426 h 10000"/>
                      <a:gd name="connsiteX20" fmla="*/ 6648 w 10325"/>
                      <a:gd name="connsiteY20" fmla="*/ 4332 h 10000"/>
                      <a:gd name="connsiteX21" fmla="*/ 6755 w 10325"/>
                      <a:gd name="connsiteY21" fmla="*/ 4324 h 10000"/>
                      <a:gd name="connsiteX22" fmla="*/ 6849 w 10325"/>
                      <a:gd name="connsiteY22" fmla="*/ 4290 h 10000"/>
                      <a:gd name="connsiteX23" fmla="*/ 6921 w 10325"/>
                      <a:gd name="connsiteY23" fmla="*/ 4152 h 10000"/>
                      <a:gd name="connsiteX24" fmla="*/ 6972 w 10325"/>
                      <a:gd name="connsiteY24" fmla="*/ 4043 h 10000"/>
                      <a:gd name="connsiteX25" fmla="*/ 7044 w 10325"/>
                      <a:gd name="connsiteY25" fmla="*/ 3923 h 10000"/>
                      <a:gd name="connsiteX26" fmla="*/ 7113 w 10325"/>
                      <a:gd name="connsiteY26" fmla="*/ 3769 h 10000"/>
                      <a:gd name="connsiteX27" fmla="*/ 7135 w 10325"/>
                      <a:gd name="connsiteY27" fmla="*/ 3612 h 10000"/>
                      <a:gd name="connsiteX28" fmla="*/ 7154 w 10325"/>
                      <a:gd name="connsiteY28" fmla="*/ 3455 h 10000"/>
                      <a:gd name="connsiteX29" fmla="*/ 7208 w 10325"/>
                      <a:gd name="connsiteY29" fmla="*/ 3277 h 10000"/>
                      <a:gd name="connsiteX30" fmla="*/ 7236 w 10325"/>
                      <a:gd name="connsiteY30" fmla="*/ 3133 h 10000"/>
                      <a:gd name="connsiteX31" fmla="*/ 7204 w 10325"/>
                      <a:gd name="connsiteY31" fmla="*/ 3059 h 10000"/>
                      <a:gd name="connsiteX32" fmla="*/ 7198 w 10325"/>
                      <a:gd name="connsiteY32" fmla="*/ 3059 h 10000"/>
                      <a:gd name="connsiteX33" fmla="*/ 7164 w 10325"/>
                      <a:gd name="connsiteY33" fmla="*/ 3024 h 10000"/>
                      <a:gd name="connsiteX34" fmla="*/ 7113 w 10325"/>
                      <a:gd name="connsiteY34" fmla="*/ 2896 h 10000"/>
                      <a:gd name="connsiteX35" fmla="*/ 7138 w 10325"/>
                      <a:gd name="connsiteY35" fmla="*/ 2356 h 10000"/>
                      <a:gd name="connsiteX36" fmla="*/ 7142 w 10325"/>
                      <a:gd name="connsiteY36" fmla="*/ 2314 h 10000"/>
                      <a:gd name="connsiteX37" fmla="*/ 7179 w 10325"/>
                      <a:gd name="connsiteY37" fmla="*/ 1846 h 10000"/>
                      <a:gd name="connsiteX38" fmla="*/ 7123 w 10325"/>
                      <a:gd name="connsiteY38" fmla="*/ 1609 h 10000"/>
                      <a:gd name="connsiteX39" fmla="*/ 7113 w 10325"/>
                      <a:gd name="connsiteY39" fmla="*/ 1582 h 10000"/>
                      <a:gd name="connsiteX40" fmla="*/ 7082 w 10325"/>
                      <a:gd name="connsiteY40" fmla="*/ 1447 h 10000"/>
                      <a:gd name="connsiteX41" fmla="*/ 7088 w 10325"/>
                      <a:gd name="connsiteY41" fmla="*/ 1354 h 10000"/>
                      <a:gd name="connsiteX42" fmla="*/ 7066 w 10325"/>
                      <a:gd name="connsiteY42" fmla="*/ 1271 h 10000"/>
                      <a:gd name="connsiteX43" fmla="*/ 6865 w 10325"/>
                      <a:gd name="connsiteY43" fmla="*/ 1106 h 10000"/>
                      <a:gd name="connsiteX44" fmla="*/ 6535 w 10325"/>
                      <a:gd name="connsiteY44" fmla="*/ 848 h 10000"/>
                      <a:gd name="connsiteX45" fmla="*/ 6239 w 10325"/>
                      <a:gd name="connsiteY45" fmla="*/ 582 h 10000"/>
                      <a:gd name="connsiteX46" fmla="*/ 6006 w 10325"/>
                      <a:gd name="connsiteY46" fmla="*/ 370 h 10000"/>
                      <a:gd name="connsiteX47" fmla="*/ 5764 w 10325"/>
                      <a:gd name="connsiteY47" fmla="*/ 173 h 10000"/>
                      <a:gd name="connsiteX48" fmla="*/ 5503 w 10325"/>
                      <a:gd name="connsiteY48" fmla="*/ 45 h 10000"/>
                      <a:gd name="connsiteX49" fmla="*/ 5182 w 10325"/>
                      <a:gd name="connsiteY49" fmla="*/ 0 h 10000"/>
                      <a:gd name="connsiteX50" fmla="*/ 4874 w 10325"/>
                      <a:gd name="connsiteY50" fmla="*/ 32 h 10000"/>
                      <a:gd name="connsiteX51" fmla="*/ 4635 w 10325"/>
                      <a:gd name="connsiteY51" fmla="*/ 93 h 10000"/>
                      <a:gd name="connsiteX52" fmla="*/ 4390 w 10325"/>
                      <a:gd name="connsiteY52" fmla="*/ 144 h 10000"/>
                      <a:gd name="connsiteX53" fmla="*/ 4211 w 10325"/>
                      <a:gd name="connsiteY53" fmla="*/ 133 h 10000"/>
                      <a:gd name="connsiteX54" fmla="*/ 4022 w 10325"/>
                      <a:gd name="connsiteY54" fmla="*/ 266 h 10000"/>
                      <a:gd name="connsiteX55" fmla="*/ 3736 w 10325"/>
                      <a:gd name="connsiteY55" fmla="*/ 418 h 10000"/>
                      <a:gd name="connsiteX56" fmla="*/ 3324 w 10325"/>
                      <a:gd name="connsiteY56" fmla="*/ 630 h 10000"/>
                      <a:gd name="connsiteX57" fmla="*/ 2969 w 10325"/>
                      <a:gd name="connsiteY57" fmla="*/ 886 h 10000"/>
                      <a:gd name="connsiteX58" fmla="*/ 2814 w 10325"/>
                      <a:gd name="connsiteY58" fmla="*/ 1173 h 10000"/>
                      <a:gd name="connsiteX59" fmla="*/ 2846 w 10325"/>
                      <a:gd name="connsiteY59" fmla="*/ 1465 h 10000"/>
                      <a:gd name="connsiteX60" fmla="*/ 2877 w 10325"/>
                      <a:gd name="connsiteY60" fmla="*/ 1678 h 10000"/>
                      <a:gd name="connsiteX61" fmla="*/ 2855 w 10325"/>
                      <a:gd name="connsiteY61" fmla="*/ 1904 h 10000"/>
                      <a:gd name="connsiteX62" fmla="*/ 2824 w 10325"/>
                      <a:gd name="connsiteY62" fmla="*/ 2436 h 10000"/>
                      <a:gd name="connsiteX63" fmla="*/ 2871 w 10325"/>
                      <a:gd name="connsiteY63" fmla="*/ 2742 h 10000"/>
                      <a:gd name="connsiteX64" fmla="*/ 2925 w 10325"/>
                      <a:gd name="connsiteY64" fmla="*/ 2973 h 10000"/>
                      <a:gd name="connsiteX65" fmla="*/ 2704 w 10325"/>
                      <a:gd name="connsiteY65" fmla="*/ 2848 h 10000"/>
                      <a:gd name="connsiteX66" fmla="*/ 2689 w 10325"/>
                      <a:gd name="connsiteY66" fmla="*/ 2878 h 10000"/>
                      <a:gd name="connsiteX67" fmla="*/ 2670 w 10325"/>
                      <a:gd name="connsiteY67" fmla="*/ 2968 h 10000"/>
                      <a:gd name="connsiteX68" fmla="*/ 2682 w 10325"/>
                      <a:gd name="connsiteY68" fmla="*/ 3314 h 10000"/>
                      <a:gd name="connsiteX69" fmla="*/ 2752 w 10325"/>
                      <a:gd name="connsiteY69" fmla="*/ 3684 h 10000"/>
                      <a:gd name="connsiteX70" fmla="*/ 2774 w 10325"/>
                      <a:gd name="connsiteY70" fmla="*/ 3785 h 10000"/>
                      <a:gd name="connsiteX71" fmla="*/ 2796 w 10325"/>
                      <a:gd name="connsiteY71" fmla="*/ 3888 h 10000"/>
                      <a:gd name="connsiteX72" fmla="*/ 2928 w 10325"/>
                      <a:gd name="connsiteY72" fmla="*/ 4109 h 10000"/>
                      <a:gd name="connsiteX73" fmla="*/ 3047 w 10325"/>
                      <a:gd name="connsiteY73" fmla="*/ 4154 h 10000"/>
                      <a:gd name="connsiteX74" fmla="*/ 3142 w 10325"/>
                      <a:gd name="connsiteY74" fmla="*/ 4168 h 10000"/>
                      <a:gd name="connsiteX75" fmla="*/ 3145 w 10325"/>
                      <a:gd name="connsiteY75" fmla="*/ 4255 h 10000"/>
                      <a:gd name="connsiteX76" fmla="*/ 3296 w 10325"/>
                      <a:gd name="connsiteY76" fmla="*/ 4976 h 10000"/>
                      <a:gd name="connsiteX77" fmla="*/ 3450 w 10325"/>
                      <a:gd name="connsiteY77" fmla="*/ 5239 h 10000"/>
                      <a:gd name="connsiteX78" fmla="*/ 3472 w 10325"/>
                      <a:gd name="connsiteY78" fmla="*/ 5266 h 10000"/>
                      <a:gd name="connsiteX79" fmla="*/ 3472 w 10325"/>
                      <a:gd name="connsiteY79" fmla="*/ 5904 h 10000"/>
                      <a:gd name="connsiteX80" fmla="*/ 3374 w 10325"/>
                      <a:gd name="connsiteY80" fmla="*/ 5995 h 10000"/>
                      <a:gd name="connsiteX81" fmla="*/ 2544 w 10325"/>
                      <a:gd name="connsiteY81" fmla="*/ 6713 h 10000"/>
                      <a:gd name="connsiteX82" fmla="*/ 1421 w 10325"/>
                      <a:gd name="connsiteY82" fmla="*/ 7370 h 10000"/>
                      <a:gd name="connsiteX83" fmla="*/ 1104 w 10325"/>
                      <a:gd name="connsiteY83" fmla="*/ 7457 h 10000"/>
                      <a:gd name="connsiteX84" fmla="*/ 833 w 10325"/>
                      <a:gd name="connsiteY84" fmla="*/ 7519 h 10000"/>
                      <a:gd name="connsiteX85" fmla="*/ 412 w 10325"/>
                      <a:gd name="connsiteY85" fmla="*/ 7630 h 10000"/>
                      <a:gd name="connsiteX86" fmla="*/ 0 w 10325"/>
                      <a:gd name="connsiteY86" fmla="*/ 7816 h 10000"/>
                      <a:gd name="connsiteX87" fmla="*/ 314 w 10325"/>
                      <a:gd name="connsiteY87" fmla="*/ 8306 h 10000"/>
                      <a:gd name="connsiteX88" fmla="*/ 799 w 10325"/>
                      <a:gd name="connsiteY88" fmla="*/ 8742 h 10000"/>
                      <a:gd name="connsiteX89" fmla="*/ 1412 w 10325"/>
                      <a:gd name="connsiteY89" fmla="*/ 9117 h 10000"/>
                      <a:gd name="connsiteX90" fmla="*/ 2107 w 10325"/>
                      <a:gd name="connsiteY90" fmla="*/ 9431 h 10000"/>
                      <a:gd name="connsiteX91" fmla="*/ 2852 w 10325"/>
                      <a:gd name="connsiteY91" fmla="*/ 9681 h 10000"/>
                      <a:gd name="connsiteX92" fmla="*/ 3604 w 10325"/>
                      <a:gd name="connsiteY92" fmla="*/ 9862 h 10000"/>
                      <a:gd name="connsiteX93" fmla="*/ 4321 w 10325"/>
                      <a:gd name="connsiteY93" fmla="*/ 9968 h 10000"/>
                      <a:gd name="connsiteX94" fmla="*/ 4965 w 10325"/>
                      <a:gd name="connsiteY94" fmla="*/ 10000 h 10000"/>
                      <a:gd name="connsiteX95" fmla="*/ 6236 w 10325"/>
                      <a:gd name="connsiteY95" fmla="*/ 9846 h 10000"/>
                      <a:gd name="connsiteX96" fmla="*/ 7824 w 10325"/>
                      <a:gd name="connsiteY96" fmla="*/ 9391 h 10000"/>
                      <a:gd name="connsiteX97" fmla="*/ 8585 w 10325"/>
                      <a:gd name="connsiteY97" fmla="*/ 9069 h 10000"/>
                      <a:gd name="connsiteX98" fmla="*/ 9245 w 10325"/>
                      <a:gd name="connsiteY98" fmla="*/ 8694 h 10000"/>
                      <a:gd name="connsiteX99" fmla="*/ 9736 w 10325"/>
                      <a:gd name="connsiteY99" fmla="*/ 8271 h 10000"/>
                      <a:gd name="connsiteX100" fmla="*/ 10325 w 10325"/>
                      <a:gd name="connsiteY100" fmla="*/ 7962 h 10000"/>
                      <a:gd name="connsiteX0" fmla="*/ 10650 w 10650"/>
                      <a:gd name="connsiteY0" fmla="*/ 7962 h 10000"/>
                      <a:gd name="connsiteX1" fmla="*/ 9913 w 10650"/>
                      <a:gd name="connsiteY1" fmla="*/ 7630 h 10000"/>
                      <a:gd name="connsiteX2" fmla="*/ 9495 w 10650"/>
                      <a:gd name="connsiteY2" fmla="*/ 7519 h 10000"/>
                      <a:gd name="connsiteX3" fmla="*/ 9281 w 10650"/>
                      <a:gd name="connsiteY3" fmla="*/ 7471 h 10000"/>
                      <a:gd name="connsiteX4" fmla="*/ 9039 w 10650"/>
                      <a:gd name="connsiteY4" fmla="*/ 7410 h 10000"/>
                      <a:gd name="connsiteX5" fmla="*/ 8743 w 10650"/>
                      <a:gd name="connsiteY5" fmla="*/ 7301 h 10000"/>
                      <a:gd name="connsiteX6" fmla="*/ 7671 w 10650"/>
                      <a:gd name="connsiteY6" fmla="*/ 6867 h 10000"/>
                      <a:gd name="connsiteX7" fmla="*/ 7636 w 10650"/>
                      <a:gd name="connsiteY7" fmla="*/ 6856 h 10000"/>
                      <a:gd name="connsiteX8" fmla="*/ 7366 w 10650"/>
                      <a:gd name="connsiteY8" fmla="*/ 6739 h 10000"/>
                      <a:gd name="connsiteX9" fmla="*/ 7202 w 10650"/>
                      <a:gd name="connsiteY9" fmla="*/ 6620 h 10000"/>
                      <a:gd name="connsiteX10" fmla="*/ 7014 w 10650"/>
                      <a:gd name="connsiteY10" fmla="*/ 6428 h 10000"/>
                      <a:gd name="connsiteX11" fmla="*/ 6856 w 10650"/>
                      <a:gd name="connsiteY11" fmla="*/ 6298 h 10000"/>
                      <a:gd name="connsiteX12" fmla="*/ 6702 w 10650"/>
                      <a:gd name="connsiteY12" fmla="*/ 6165 h 10000"/>
                      <a:gd name="connsiteX13" fmla="*/ 6602 w 10650"/>
                      <a:gd name="connsiteY13" fmla="*/ 6008 h 10000"/>
                      <a:gd name="connsiteX14" fmla="*/ 6545 w 10650"/>
                      <a:gd name="connsiteY14" fmla="*/ 5649 h 10000"/>
                      <a:gd name="connsiteX15" fmla="*/ 6536 w 10650"/>
                      <a:gd name="connsiteY15" fmla="*/ 5426 h 10000"/>
                      <a:gd name="connsiteX16" fmla="*/ 6536 w 10650"/>
                      <a:gd name="connsiteY16" fmla="*/ 5383 h 10000"/>
                      <a:gd name="connsiteX17" fmla="*/ 6570 w 10650"/>
                      <a:gd name="connsiteY17" fmla="*/ 5356 h 10000"/>
                      <a:gd name="connsiteX18" fmla="*/ 6922 w 10650"/>
                      <a:gd name="connsiteY18" fmla="*/ 4763 h 10000"/>
                      <a:gd name="connsiteX19" fmla="*/ 6973 w 10650"/>
                      <a:gd name="connsiteY19" fmla="*/ 4426 h 10000"/>
                      <a:gd name="connsiteX20" fmla="*/ 6973 w 10650"/>
                      <a:gd name="connsiteY20" fmla="*/ 4332 h 10000"/>
                      <a:gd name="connsiteX21" fmla="*/ 7080 w 10650"/>
                      <a:gd name="connsiteY21" fmla="*/ 4324 h 10000"/>
                      <a:gd name="connsiteX22" fmla="*/ 7174 w 10650"/>
                      <a:gd name="connsiteY22" fmla="*/ 4290 h 10000"/>
                      <a:gd name="connsiteX23" fmla="*/ 7246 w 10650"/>
                      <a:gd name="connsiteY23" fmla="*/ 4152 h 10000"/>
                      <a:gd name="connsiteX24" fmla="*/ 7297 w 10650"/>
                      <a:gd name="connsiteY24" fmla="*/ 4043 h 10000"/>
                      <a:gd name="connsiteX25" fmla="*/ 7369 w 10650"/>
                      <a:gd name="connsiteY25" fmla="*/ 3923 h 10000"/>
                      <a:gd name="connsiteX26" fmla="*/ 7438 w 10650"/>
                      <a:gd name="connsiteY26" fmla="*/ 3769 h 10000"/>
                      <a:gd name="connsiteX27" fmla="*/ 7460 w 10650"/>
                      <a:gd name="connsiteY27" fmla="*/ 3612 h 10000"/>
                      <a:gd name="connsiteX28" fmla="*/ 7479 w 10650"/>
                      <a:gd name="connsiteY28" fmla="*/ 3455 h 10000"/>
                      <a:gd name="connsiteX29" fmla="*/ 7533 w 10650"/>
                      <a:gd name="connsiteY29" fmla="*/ 3277 h 10000"/>
                      <a:gd name="connsiteX30" fmla="*/ 7561 w 10650"/>
                      <a:gd name="connsiteY30" fmla="*/ 3133 h 10000"/>
                      <a:gd name="connsiteX31" fmla="*/ 7529 w 10650"/>
                      <a:gd name="connsiteY31" fmla="*/ 3059 h 10000"/>
                      <a:gd name="connsiteX32" fmla="*/ 7523 w 10650"/>
                      <a:gd name="connsiteY32" fmla="*/ 3059 h 10000"/>
                      <a:gd name="connsiteX33" fmla="*/ 7489 w 10650"/>
                      <a:gd name="connsiteY33" fmla="*/ 3024 h 10000"/>
                      <a:gd name="connsiteX34" fmla="*/ 7438 w 10650"/>
                      <a:gd name="connsiteY34" fmla="*/ 2896 h 10000"/>
                      <a:gd name="connsiteX35" fmla="*/ 7463 w 10650"/>
                      <a:gd name="connsiteY35" fmla="*/ 2356 h 10000"/>
                      <a:gd name="connsiteX36" fmla="*/ 7467 w 10650"/>
                      <a:gd name="connsiteY36" fmla="*/ 2314 h 10000"/>
                      <a:gd name="connsiteX37" fmla="*/ 7504 w 10650"/>
                      <a:gd name="connsiteY37" fmla="*/ 1846 h 10000"/>
                      <a:gd name="connsiteX38" fmla="*/ 7448 w 10650"/>
                      <a:gd name="connsiteY38" fmla="*/ 1609 h 10000"/>
                      <a:gd name="connsiteX39" fmla="*/ 7438 w 10650"/>
                      <a:gd name="connsiteY39" fmla="*/ 1582 h 10000"/>
                      <a:gd name="connsiteX40" fmla="*/ 7407 w 10650"/>
                      <a:gd name="connsiteY40" fmla="*/ 1447 h 10000"/>
                      <a:gd name="connsiteX41" fmla="*/ 7413 w 10650"/>
                      <a:gd name="connsiteY41" fmla="*/ 1354 h 10000"/>
                      <a:gd name="connsiteX42" fmla="*/ 7391 w 10650"/>
                      <a:gd name="connsiteY42" fmla="*/ 1271 h 10000"/>
                      <a:gd name="connsiteX43" fmla="*/ 7190 w 10650"/>
                      <a:gd name="connsiteY43" fmla="*/ 1106 h 10000"/>
                      <a:gd name="connsiteX44" fmla="*/ 6860 w 10650"/>
                      <a:gd name="connsiteY44" fmla="*/ 848 h 10000"/>
                      <a:gd name="connsiteX45" fmla="*/ 6564 w 10650"/>
                      <a:gd name="connsiteY45" fmla="*/ 582 h 10000"/>
                      <a:gd name="connsiteX46" fmla="*/ 6331 w 10650"/>
                      <a:gd name="connsiteY46" fmla="*/ 370 h 10000"/>
                      <a:gd name="connsiteX47" fmla="*/ 6089 w 10650"/>
                      <a:gd name="connsiteY47" fmla="*/ 173 h 10000"/>
                      <a:gd name="connsiteX48" fmla="*/ 5828 w 10650"/>
                      <a:gd name="connsiteY48" fmla="*/ 45 h 10000"/>
                      <a:gd name="connsiteX49" fmla="*/ 5507 w 10650"/>
                      <a:gd name="connsiteY49" fmla="*/ 0 h 10000"/>
                      <a:gd name="connsiteX50" fmla="*/ 5199 w 10650"/>
                      <a:gd name="connsiteY50" fmla="*/ 32 h 10000"/>
                      <a:gd name="connsiteX51" fmla="*/ 4960 w 10650"/>
                      <a:gd name="connsiteY51" fmla="*/ 93 h 10000"/>
                      <a:gd name="connsiteX52" fmla="*/ 4715 w 10650"/>
                      <a:gd name="connsiteY52" fmla="*/ 144 h 10000"/>
                      <a:gd name="connsiteX53" fmla="*/ 4536 w 10650"/>
                      <a:gd name="connsiteY53" fmla="*/ 133 h 10000"/>
                      <a:gd name="connsiteX54" fmla="*/ 4347 w 10650"/>
                      <a:gd name="connsiteY54" fmla="*/ 266 h 10000"/>
                      <a:gd name="connsiteX55" fmla="*/ 4061 w 10650"/>
                      <a:gd name="connsiteY55" fmla="*/ 418 h 10000"/>
                      <a:gd name="connsiteX56" fmla="*/ 3649 w 10650"/>
                      <a:gd name="connsiteY56" fmla="*/ 630 h 10000"/>
                      <a:gd name="connsiteX57" fmla="*/ 3294 w 10650"/>
                      <a:gd name="connsiteY57" fmla="*/ 886 h 10000"/>
                      <a:gd name="connsiteX58" fmla="*/ 3139 w 10650"/>
                      <a:gd name="connsiteY58" fmla="*/ 1173 h 10000"/>
                      <a:gd name="connsiteX59" fmla="*/ 3171 w 10650"/>
                      <a:gd name="connsiteY59" fmla="*/ 1465 h 10000"/>
                      <a:gd name="connsiteX60" fmla="*/ 3202 w 10650"/>
                      <a:gd name="connsiteY60" fmla="*/ 1678 h 10000"/>
                      <a:gd name="connsiteX61" fmla="*/ 3180 w 10650"/>
                      <a:gd name="connsiteY61" fmla="*/ 1904 h 10000"/>
                      <a:gd name="connsiteX62" fmla="*/ 3149 w 10650"/>
                      <a:gd name="connsiteY62" fmla="*/ 2436 h 10000"/>
                      <a:gd name="connsiteX63" fmla="*/ 3196 w 10650"/>
                      <a:gd name="connsiteY63" fmla="*/ 2742 h 10000"/>
                      <a:gd name="connsiteX64" fmla="*/ 3250 w 10650"/>
                      <a:gd name="connsiteY64" fmla="*/ 2973 h 10000"/>
                      <a:gd name="connsiteX65" fmla="*/ 3029 w 10650"/>
                      <a:gd name="connsiteY65" fmla="*/ 2848 h 10000"/>
                      <a:gd name="connsiteX66" fmla="*/ 3014 w 10650"/>
                      <a:gd name="connsiteY66" fmla="*/ 2878 h 10000"/>
                      <a:gd name="connsiteX67" fmla="*/ 2995 w 10650"/>
                      <a:gd name="connsiteY67" fmla="*/ 2968 h 10000"/>
                      <a:gd name="connsiteX68" fmla="*/ 3007 w 10650"/>
                      <a:gd name="connsiteY68" fmla="*/ 3314 h 10000"/>
                      <a:gd name="connsiteX69" fmla="*/ 3077 w 10650"/>
                      <a:gd name="connsiteY69" fmla="*/ 3684 h 10000"/>
                      <a:gd name="connsiteX70" fmla="*/ 3099 w 10650"/>
                      <a:gd name="connsiteY70" fmla="*/ 3785 h 10000"/>
                      <a:gd name="connsiteX71" fmla="*/ 3121 w 10650"/>
                      <a:gd name="connsiteY71" fmla="*/ 3888 h 10000"/>
                      <a:gd name="connsiteX72" fmla="*/ 3253 w 10650"/>
                      <a:gd name="connsiteY72" fmla="*/ 4109 h 10000"/>
                      <a:gd name="connsiteX73" fmla="*/ 3372 w 10650"/>
                      <a:gd name="connsiteY73" fmla="*/ 4154 h 10000"/>
                      <a:gd name="connsiteX74" fmla="*/ 3467 w 10650"/>
                      <a:gd name="connsiteY74" fmla="*/ 4168 h 10000"/>
                      <a:gd name="connsiteX75" fmla="*/ 3470 w 10650"/>
                      <a:gd name="connsiteY75" fmla="*/ 4255 h 10000"/>
                      <a:gd name="connsiteX76" fmla="*/ 3621 w 10650"/>
                      <a:gd name="connsiteY76" fmla="*/ 4976 h 10000"/>
                      <a:gd name="connsiteX77" fmla="*/ 3775 w 10650"/>
                      <a:gd name="connsiteY77" fmla="*/ 5239 h 10000"/>
                      <a:gd name="connsiteX78" fmla="*/ 3797 w 10650"/>
                      <a:gd name="connsiteY78" fmla="*/ 5266 h 10000"/>
                      <a:gd name="connsiteX79" fmla="*/ 3797 w 10650"/>
                      <a:gd name="connsiteY79" fmla="*/ 5904 h 10000"/>
                      <a:gd name="connsiteX80" fmla="*/ 3699 w 10650"/>
                      <a:gd name="connsiteY80" fmla="*/ 5995 h 10000"/>
                      <a:gd name="connsiteX81" fmla="*/ 2869 w 10650"/>
                      <a:gd name="connsiteY81" fmla="*/ 6713 h 10000"/>
                      <a:gd name="connsiteX82" fmla="*/ 1746 w 10650"/>
                      <a:gd name="connsiteY82" fmla="*/ 7370 h 10000"/>
                      <a:gd name="connsiteX83" fmla="*/ 1429 w 10650"/>
                      <a:gd name="connsiteY83" fmla="*/ 7457 h 10000"/>
                      <a:gd name="connsiteX84" fmla="*/ 1158 w 10650"/>
                      <a:gd name="connsiteY84" fmla="*/ 7519 h 10000"/>
                      <a:gd name="connsiteX85" fmla="*/ 737 w 10650"/>
                      <a:gd name="connsiteY85" fmla="*/ 7630 h 10000"/>
                      <a:gd name="connsiteX86" fmla="*/ 0 w 10650"/>
                      <a:gd name="connsiteY86" fmla="*/ 8060 h 10000"/>
                      <a:gd name="connsiteX87" fmla="*/ 639 w 10650"/>
                      <a:gd name="connsiteY87" fmla="*/ 8306 h 10000"/>
                      <a:gd name="connsiteX88" fmla="*/ 1124 w 10650"/>
                      <a:gd name="connsiteY88" fmla="*/ 8742 h 10000"/>
                      <a:gd name="connsiteX89" fmla="*/ 1737 w 10650"/>
                      <a:gd name="connsiteY89" fmla="*/ 9117 h 10000"/>
                      <a:gd name="connsiteX90" fmla="*/ 2432 w 10650"/>
                      <a:gd name="connsiteY90" fmla="*/ 9431 h 10000"/>
                      <a:gd name="connsiteX91" fmla="*/ 3177 w 10650"/>
                      <a:gd name="connsiteY91" fmla="*/ 9681 h 10000"/>
                      <a:gd name="connsiteX92" fmla="*/ 3929 w 10650"/>
                      <a:gd name="connsiteY92" fmla="*/ 9862 h 10000"/>
                      <a:gd name="connsiteX93" fmla="*/ 4646 w 10650"/>
                      <a:gd name="connsiteY93" fmla="*/ 9968 h 10000"/>
                      <a:gd name="connsiteX94" fmla="*/ 5290 w 10650"/>
                      <a:gd name="connsiteY94" fmla="*/ 10000 h 10000"/>
                      <a:gd name="connsiteX95" fmla="*/ 6561 w 10650"/>
                      <a:gd name="connsiteY95" fmla="*/ 9846 h 10000"/>
                      <a:gd name="connsiteX96" fmla="*/ 8149 w 10650"/>
                      <a:gd name="connsiteY96" fmla="*/ 9391 h 10000"/>
                      <a:gd name="connsiteX97" fmla="*/ 8910 w 10650"/>
                      <a:gd name="connsiteY97" fmla="*/ 9069 h 10000"/>
                      <a:gd name="connsiteX98" fmla="*/ 9570 w 10650"/>
                      <a:gd name="connsiteY98" fmla="*/ 8694 h 10000"/>
                      <a:gd name="connsiteX99" fmla="*/ 10061 w 10650"/>
                      <a:gd name="connsiteY99" fmla="*/ 8271 h 10000"/>
                      <a:gd name="connsiteX100" fmla="*/ 10650 w 10650"/>
                      <a:gd name="connsiteY100" fmla="*/ 7962 h 10000"/>
                      <a:gd name="connsiteX0" fmla="*/ 10650 w 10650"/>
                      <a:gd name="connsiteY0" fmla="*/ 7962 h 10000"/>
                      <a:gd name="connsiteX1" fmla="*/ 9913 w 10650"/>
                      <a:gd name="connsiteY1" fmla="*/ 7630 h 10000"/>
                      <a:gd name="connsiteX2" fmla="*/ 9495 w 10650"/>
                      <a:gd name="connsiteY2" fmla="*/ 7519 h 10000"/>
                      <a:gd name="connsiteX3" fmla="*/ 9281 w 10650"/>
                      <a:gd name="connsiteY3" fmla="*/ 7471 h 10000"/>
                      <a:gd name="connsiteX4" fmla="*/ 9039 w 10650"/>
                      <a:gd name="connsiteY4" fmla="*/ 7410 h 10000"/>
                      <a:gd name="connsiteX5" fmla="*/ 8743 w 10650"/>
                      <a:gd name="connsiteY5" fmla="*/ 7301 h 10000"/>
                      <a:gd name="connsiteX6" fmla="*/ 7671 w 10650"/>
                      <a:gd name="connsiteY6" fmla="*/ 6867 h 10000"/>
                      <a:gd name="connsiteX7" fmla="*/ 7636 w 10650"/>
                      <a:gd name="connsiteY7" fmla="*/ 6856 h 10000"/>
                      <a:gd name="connsiteX8" fmla="*/ 7366 w 10650"/>
                      <a:gd name="connsiteY8" fmla="*/ 6739 h 10000"/>
                      <a:gd name="connsiteX9" fmla="*/ 7202 w 10650"/>
                      <a:gd name="connsiteY9" fmla="*/ 6620 h 10000"/>
                      <a:gd name="connsiteX10" fmla="*/ 7014 w 10650"/>
                      <a:gd name="connsiteY10" fmla="*/ 6428 h 10000"/>
                      <a:gd name="connsiteX11" fmla="*/ 6856 w 10650"/>
                      <a:gd name="connsiteY11" fmla="*/ 6298 h 10000"/>
                      <a:gd name="connsiteX12" fmla="*/ 6702 w 10650"/>
                      <a:gd name="connsiteY12" fmla="*/ 6165 h 10000"/>
                      <a:gd name="connsiteX13" fmla="*/ 6602 w 10650"/>
                      <a:gd name="connsiteY13" fmla="*/ 6008 h 10000"/>
                      <a:gd name="connsiteX14" fmla="*/ 6545 w 10650"/>
                      <a:gd name="connsiteY14" fmla="*/ 5649 h 10000"/>
                      <a:gd name="connsiteX15" fmla="*/ 6536 w 10650"/>
                      <a:gd name="connsiteY15" fmla="*/ 5426 h 10000"/>
                      <a:gd name="connsiteX16" fmla="*/ 6536 w 10650"/>
                      <a:gd name="connsiteY16" fmla="*/ 5383 h 10000"/>
                      <a:gd name="connsiteX17" fmla="*/ 6570 w 10650"/>
                      <a:gd name="connsiteY17" fmla="*/ 5356 h 10000"/>
                      <a:gd name="connsiteX18" fmla="*/ 6922 w 10650"/>
                      <a:gd name="connsiteY18" fmla="*/ 4763 h 10000"/>
                      <a:gd name="connsiteX19" fmla="*/ 6973 w 10650"/>
                      <a:gd name="connsiteY19" fmla="*/ 4426 h 10000"/>
                      <a:gd name="connsiteX20" fmla="*/ 6973 w 10650"/>
                      <a:gd name="connsiteY20" fmla="*/ 4332 h 10000"/>
                      <a:gd name="connsiteX21" fmla="*/ 7080 w 10650"/>
                      <a:gd name="connsiteY21" fmla="*/ 4324 h 10000"/>
                      <a:gd name="connsiteX22" fmla="*/ 7174 w 10650"/>
                      <a:gd name="connsiteY22" fmla="*/ 4290 h 10000"/>
                      <a:gd name="connsiteX23" fmla="*/ 7246 w 10650"/>
                      <a:gd name="connsiteY23" fmla="*/ 4152 h 10000"/>
                      <a:gd name="connsiteX24" fmla="*/ 7297 w 10650"/>
                      <a:gd name="connsiteY24" fmla="*/ 4043 h 10000"/>
                      <a:gd name="connsiteX25" fmla="*/ 7369 w 10650"/>
                      <a:gd name="connsiteY25" fmla="*/ 3923 h 10000"/>
                      <a:gd name="connsiteX26" fmla="*/ 7438 w 10650"/>
                      <a:gd name="connsiteY26" fmla="*/ 3769 h 10000"/>
                      <a:gd name="connsiteX27" fmla="*/ 7460 w 10650"/>
                      <a:gd name="connsiteY27" fmla="*/ 3612 h 10000"/>
                      <a:gd name="connsiteX28" fmla="*/ 7479 w 10650"/>
                      <a:gd name="connsiteY28" fmla="*/ 3455 h 10000"/>
                      <a:gd name="connsiteX29" fmla="*/ 7533 w 10650"/>
                      <a:gd name="connsiteY29" fmla="*/ 3277 h 10000"/>
                      <a:gd name="connsiteX30" fmla="*/ 7561 w 10650"/>
                      <a:gd name="connsiteY30" fmla="*/ 3133 h 10000"/>
                      <a:gd name="connsiteX31" fmla="*/ 7529 w 10650"/>
                      <a:gd name="connsiteY31" fmla="*/ 3059 h 10000"/>
                      <a:gd name="connsiteX32" fmla="*/ 7523 w 10650"/>
                      <a:gd name="connsiteY32" fmla="*/ 3059 h 10000"/>
                      <a:gd name="connsiteX33" fmla="*/ 7489 w 10650"/>
                      <a:gd name="connsiteY33" fmla="*/ 3024 h 10000"/>
                      <a:gd name="connsiteX34" fmla="*/ 7438 w 10650"/>
                      <a:gd name="connsiteY34" fmla="*/ 2896 h 10000"/>
                      <a:gd name="connsiteX35" fmla="*/ 7463 w 10650"/>
                      <a:gd name="connsiteY35" fmla="*/ 2356 h 10000"/>
                      <a:gd name="connsiteX36" fmla="*/ 7467 w 10650"/>
                      <a:gd name="connsiteY36" fmla="*/ 2314 h 10000"/>
                      <a:gd name="connsiteX37" fmla="*/ 7504 w 10650"/>
                      <a:gd name="connsiteY37" fmla="*/ 1846 h 10000"/>
                      <a:gd name="connsiteX38" fmla="*/ 7448 w 10650"/>
                      <a:gd name="connsiteY38" fmla="*/ 1609 h 10000"/>
                      <a:gd name="connsiteX39" fmla="*/ 7438 w 10650"/>
                      <a:gd name="connsiteY39" fmla="*/ 1582 h 10000"/>
                      <a:gd name="connsiteX40" fmla="*/ 7407 w 10650"/>
                      <a:gd name="connsiteY40" fmla="*/ 1447 h 10000"/>
                      <a:gd name="connsiteX41" fmla="*/ 7413 w 10650"/>
                      <a:gd name="connsiteY41" fmla="*/ 1354 h 10000"/>
                      <a:gd name="connsiteX42" fmla="*/ 7391 w 10650"/>
                      <a:gd name="connsiteY42" fmla="*/ 1271 h 10000"/>
                      <a:gd name="connsiteX43" fmla="*/ 7190 w 10650"/>
                      <a:gd name="connsiteY43" fmla="*/ 1106 h 10000"/>
                      <a:gd name="connsiteX44" fmla="*/ 6860 w 10650"/>
                      <a:gd name="connsiteY44" fmla="*/ 848 h 10000"/>
                      <a:gd name="connsiteX45" fmla="*/ 6564 w 10650"/>
                      <a:gd name="connsiteY45" fmla="*/ 582 h 10000"/>
                      <a:gd name="connsiteX46" fmla="*/ 6331 w 10650"/>
                      <a:gd name="connsiteY46" fmla="*/ 370 h 10000"/>
                      <a:gd name="connsiteX47" fmla="*/ 6089 w 10650"/>
                      <a:gd name="connsiteY47" fmla="*/ 173 h 10000"/>
                      <a:gd name="connsiteX48" fmla="*/ 5828 w 10650"/>
                      <a:gd name="connsiteY48" fmla="*/ 45 h 10000"/>
                      <a:gd name="connsiteX49" fmla="*/ 5507 w 10650"/>
                      <a:gd name="connsiteY49" fmla="*/ 0 h 10000"/>
                      <a:gd name="connsiteX50" fmla="*/ 5199 w 10650"/>
                      <a:gd name="connsiteY50" fmla="*/ 32 h 10000"/>
                      <a:gd name="connsiteX51" fmla="*/ 4960 w 10650"/>
                      <a:gd name="connsiteY51" fmla="*/ 93 h 10000"/>
                      <a:gd name="connsiteX52" fmla="*/ 4715 w 10650"/>
                      <a:gd name="connsiteY52" fmla="*/ 144 h 10000"/>
                      <a:gd name="connsiteX53" fmla="*/ 4536 w 10650"/>
                      <a:gd name="connsiteY53" fmla="*/ 133 h 10000"/>
                      <a:gd name="connsiteX54" fmla="*/ 4347 w 10650"/>
                      <a:gd name="connsiteY54" fmla="*/ 266 h 10000"/>
                      <a:gd name="connsiteX55" fmla="*/ 4061 w 10650"/>
                      <a:gd name="connsiteY55" fmla="*/ 418 h 10000"/>
                      <a:gd name="connsiteX56" fmla="*/ 3649 w 10650"/>
                      <a:gd name="connsiteY56" fmla="*/ 630 h 10000"/>
                      <a:gd name="connsiteX57" fmla="*/ 3294 w 10650"/>
                      <a:gd name="connsiteY57" fmla="*/ 886 h 10000"/>
                      <a:gd name="connsiteX58" fmla="*/ 3139 w 10650"/>
                      <a:gd name="connsiteY58" fmla="*/ 1173 h 10000"/>
                      <a:gd name="connsiteX59" fmla="*/ 3171 w 10650"/>
                      <a:gd name="connsiteY59" fmla="*/ 1465 h 10000"/>
                      <a:gd name="connsiteX60" fmla="*/ 3202 w 10650"/>
                      <a:gd name="connsiteY60" fmla="*/ 1678 h 10000"/>
                      <a:gd name="connsiteX61" fmla="*/ 3180 w 10650"/>
                      <a:gd name="connsiteY61" fmla="*/ 1904 h 10000"/>
                      <a:gd name="connsiteX62" fmla="*/ 3149 w 10650"/>
                      <a:gd name="connsiteY62" fmla="*/ 2436 h 10000"/>
                      <a:gd name="connsiteX63" fmla="*/ 3196 w 10650"/>
                      <a:gd name="connsiteY63" fmla="*/ 2742 h 10000"/>
                      <a:gd name="connsiteX64" fmla="*/ 3250 w 10650"/>
                      <a:gd name="connsiteY64" fmla="*/ 2973 h 10000"/>
                      <a:gd name="connsiteX65" fmla="*/ 3029 w 10650"/>
                      <a:gd name="connsiteY65" fmla="*/ 2848 h 10000"/>
                      <a:gd name="connsiteX66" fmla="*/ 3014 w 10650"/>
                      <a:gd name="connsiteY66" fmla="*/ 2878 h 10000"/>
                      <a:gd name="connsiteX67" fmla="*/ 2995 w 10650"/>
                      <a:gd name="connsiteY67" fmla="*/ 2968 h 10000"/>
                      <a:gd name="connsiteX68" fmla="*/ 3007 w 10650"/>
                      <a:gd name="connsiteY68" fmla="*/ 3314 h 10000"/>
                      <a:gd name="connsiteX69" fmla="*/ 3077 w 10650"/>
                      <a:gd name="connsiteY69" fmla="*/ 3684 h 10000"/>
                      <a:gd name="connsiteX70" fmla="*/ 3099 w 10650"/>
                      <a:gd name="connsiteY70" fmla="*/ 3785 h 10000"/>
                      <a:gd name="connsiteX71" fmla="*/ 3121 w 10650"/>
                      <a:gd name="connsiteY71" fmla="*/ 3888 h 10000"/>
                      <a:gd name="connsiteX72" fmla="*/ 3253 w 10650"/>
                      <a:gd name="connsiteY72" fmla="*/ 4109 h 10000"/>
                      <a:gd name="connsiteX73" fmla="*/ 3372 w 10650"/>
                      <a:gd name="connsiteY73" fmla="*/ 4154 h 10000"/>
                      <a:gd name="connsiteX74" fmla="*/ 3467 w 10650"/>
                      <a:gd name="connsiteY74" fmla="*/ 4168 h 10000"/>
                      <a:gd name="connsiteX75" fmla="*/ 3470 w 10650"/>
                      <a:gd name="connsiteY75" fmla="*/ 4255 h 10000"/>
                      <a:gd name="connsiteX76" fmla="*/ 3621 w 10650"/>
                      <a:gd name="connsiteY76" fmla="*/ 4976 h 10000"/>
                      <a:gd name="connsiteX77" fmla="*/ 3775 w 10650"/>
                      <a:gd name="connsiteY77" fmla="*/ 5239 h 10000"/>
                      <a:gd name="connsiteX78" fmla="*/ 3797 w 10650"/>
                      <a:gd name="connsiteY78" fmla="*/ 5266 h 10000"/>
                      <a:gd name="connsiteX79" fmla="*/ 3797 w 10650"/>
                      <a:gd name="connsiteY79" fmla="*/ 5904 h 10000"/>
                      <a:gd name="connsiteX80" fmla="*/ 3699 w 10650"/>
                      <a:gd name="connsiteY80" fmla="*/ 5995 h 10000"/>
                      <a:gd name="connsiteX81" fmla="*/ 2869 w 10650"/>
                      <a:gd name="connsiteY81" fmla="*/ 6713 h 10000"/>
                      <a:gd name="connsiteX82" fmla="*/ 1746 w 10650"/>
                      <a:gd name="connsiteY82" fmla="*/ 7370 h 10000"/>
                      <a:gd name="connsiteX83" fmla="*/ 1429 w 10650"/>
                      <a:gd name="connsiteY83" fmla="*/ 7457 h 10000"/>
                      <a:gd name="connsiteX84" fmla="*/ 1158 w 10650"/>
                      <a:gd name="connsiteY84" fmla="*/ 7519 h 10000"/>
                      <a:gd name="connsiteX85" fmla="*/ 737 w 10650"/>
                      <a:gd name="connsiteY85" fmla="*/ 7630 h 10000"/>
                      <a:gd name="connsiteX86" fmla="*/ 0 w 10650"/>
                      <a:gd name="connsiteY86" fmla="*/ 8060 h 10000"/>
                      <a:gd name="connsiteX87" fmla="*/ 639 w 10650"/>
                      <a:gd name="connsiteY87" fmla="*/ 8306 h 10000"/>
                      <a:gd name="connsiteX88" fmla="*/ 1124 w 10650"/>
                      <a:gd name="connsiteY88" fmla="*/ 8742 h 10000"/>
                      <a:gd name="connsiteX89" fmla="*/ 1737 w 10650"/>
                      <a:gd name="connsiteY89" fmla="*/ 9117 h 10000"/>
                      <a:gd name="connsiteX90" fmla="*/ 2432 w 10650"/>
                      <a:gd name="connsiteY90" fmla="*/ 9431 h 10000"/>
                      <a:gd name="connsiteX91" fmla="*/ 3177 w 10650"/>
                      <a:gd name="connsiteY91" fmla="*/ 9681 h 10000"/>
                      <a:gd name="connsiteX92" fmla="*/ 3929 w 10650"/>
                      <a:gd name="connsiteY92" fmla="*/ 9862 h 10000"/>
                      <a:gd name="connsiteX93" fmla="*/ 4646 w 10650"/>
                      <a:gd name="connsiteY93" fmla="*/ 9968 h 10000"/>
                      <a:gd name="connsiteX94" fmla="*/ 5290 w 10650"/>
                      <a:gd name="connsiteY94" fmla="*/ 10000 h 10000"/>
                      <a:gd name="connsiteX95" fmla="*/ 6561 w 10650"/>
                      <a:gd name="connsiteY95" fmla="*/ 9846 h 10000"/>
                      <a:gd name="connsiteX96" fmla="*/ 8149 w 10650"/>
                      <a:gd name="connsiteY96" fmla="*/ 9391 h 10000"/>
                      <a:gd name="connsiteX97" fmla="*/ 8910 w 10650"/>
                      <a:gd name="connsiteY97" fmla="*/ 9069 h 10000"/>
                      <a:gd name="connsiteX98" fmla="*/ 9570 w 10650"/>
                      <a:gd name="connsiteY98" fmla="*/ 8694 h 10000"/>
                      <a:gd name="connsiteX99" fmla="*/ 10332 w 10650"/>
                      <a:gd name="connsiteY99" fmla="*/ 8320 h 10000"/>
                      <a:gd name="connsiteX100" fmla="*/ 10650 w 10650"/>
                      <a:gd name="connsiteY100" fmla="*/ 7962 h 100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Lst>
                    <a:rect l="l" t="t" r="r" b="b"/>
                    <a:pathLst>
                      <a:path w="10650" h="10000">
                        <a:moveTo>
                          <a:pt x="10650" y="7962"/>
                        </a:moveTo>
                        <a:lnTo>
                          <a:pt x="9913" y="7630"/>
                        </a:lnTo>
                        <a:lnTo>
                          <a:pt x="9495" y="7519"/>
                        </a:lnTo>
                        <a:lnTo>
                          <a:pt x="9281" y="7471"/>
                        </a:lnTo>
                        <a:lnTo>
                          <a:pt x="9039" y="7410"/>
                        </a:lnTo>
                        <a:lnTo>
                          <a:pt x="8743" y="7301"/>
                        </a:lnTo>
                        <a:lnTo>
                          <a:pt x="7671" y="6867"/>
                        </a:lnTo>
                        <a:cubicBezTo>
                          <a:pt x="7659" y="6863"/>
                          <a:pt x="7648" y="6860"/>
                          <a:pt x="7636" y="6856"/>
                        </a:cubicBezTo>
                        <a:lnTo>
                          <a:pt x="7366" y="6739"/>
                        </a:lnTo>
                        <a:lnTo>
                          <a:pt x="7202" y="6620"/>
                        </a:lnTo>
                        <a:lnTo>
                          <a:pt x="7014" y="6428"/>
                        </a:lnTo>
                        <a:cubicBezTo>
                          <a:pt x="6961" y="6385"/>
                          <a:pt x="6909" y="6341"/>
                          <a:pt x="6856" y="6298"/>
                        </a:cubicBezTo>
                        <a:lnTo>
                          <a:pt x="6702" y="6165"/>
                        </a:lnTo>
                        <a:lnTo>
                          <a:pt x="6602" y="6008"/>
                        </a:lnTo>
                        <a:cubicBezTo>
                          <a:pt x="6583" y="5888"/>
                          <a:pt x="6564" y="5769"/>
                          <a:pt x="6545" y="5649"/>
                        </a:cubicBezTo>
                        <a:cubicBezTo>
                          <a:pt x="6542" y="5575"/>
                          <a:pt x="6539" y="5500"/>
                          <a:pt x="6536" y="5426"/>
                        </a:cubicBezTo>
                        <a:lnTo>
                          <a:pt x="6536" y="5383"/>
                        </a:lnTo>
                        <a:cubicBezTo>
                          <a:pt x="6547" y="5374"/>
                          <a:pt x="6559" y="5365"/>
                          <a:pt x="6570" y="5356"/>
                        </a:cubicBezTo>
                        <a:lnTo>
                          <a:pt x="6922" y="4763"/>
                        </a:lnTo>
                        <a:cubicBezTo>
                          <a:pt x="6939" y="4651"/>
                          <a:pt x="6956" y="4538"/>
                          <a:pt x="6973" y="4426"/>
                        </a:cubicBezTo>
                        <a:lnTo>
                          <a:pt x="6973" y="4332"/>
                        </a:lnTo>
                        <a:lnTo>
                          <a:pt x="7080" y="4324"/>
                        </a:lnTo>
                        <a:lnTo>
                          <a:pt x="7174" y="4290"/>
                        </a:lnTo>
                        <a:lnTo>
                          <a:pt x="7246" y="4152"/>
                        </a:lnTo>
                        <a:cubicBezTo>
                          <a:pt x="7263" y="4116"/>
                          <a:pt x="7280" y="4079"/>
                          <a:pt x="7297" y="4043"/>
                        </a:cubicBezTo>
                        <a:lnTo>
                          <a:pt x="7369" y="3923"/>
                        </a:lnTo>
                        <a:cubicBezTo>
                          <a:pt x="7392" y="3872"/>
                          <a:pt x="7415" y="3820"/>
                          <a:pt x="7438" y="3769"/>
                        </a:cubicBezTo>
                        <a:cubicBezTo>
                          <a:pt x="7445" y="3717"/>
                          <a:pt x="7453" y="3664"/>
                          <a:pt x="7460" y="3612"/>
                        </a:cubicBezTo>
                        <a:cubicBezTo>
                          <a:pt x="7466" y="3560"/>
                          <a:pt x="7473" y="3507"/>
                          <a:pt x="7479" y="3455"/>
                        </a:cubicBezTo>
                        <a:cubicBezTo>
                          <a:pt x="7497" y="3396"/>
                          <a:pt x="7515" y="3336"/>
                          <a:pt x="7533" y="3277"/>
                        </a:cubicBezTo>
                        <a:cubicBezTo>
                          <a:pt x="7542" y="3229"/>
                          <a:pt x="7552" y="3181"/>
                          <a:pt x="7561" y="3133"/>
                        </a:cubicBezTo>
                        <a:cubicBezTo>
                          <a:pt x="7550" y="3108"/>
                          <a:pt x="7540" y="3084"/>
                          <a:pt x="7529" y="3059"/>
                        </a:cubicBezTo>
                        <a:lnTo>
                          <a:pt x="7523" y="3059"/>
                        </a:lnTo>
                        <a:cubicBezTo>
                          <a:pt x="7512" y="3047"/>
                          <a:pt x="7500" y="3036"/>
                          <a:pt x="7489" y="3024"/>
                        </a:cubicBezTo>
                        <a:cubicBezTo>
                          <a:pt x="7472" y="2981"/>
                          <a:pt x="7455" y="2939"/>
                          <a:pt x="7438" y="2896"/>
                        </a:cubicBezTo>
                        <a:cubicBezTo>
                          <a:pt x="7446" y="2716"/>
                          <a:pt x="7455" y="2536"/>
                          <a:pt x="7463" y="2356"/>
                        </a:cubicBezTo>
                        <a:cubicBezTo>
                          <a:pt x="7464" y="2342"/>
                          <a:pt x="7466" y="2328"/>
                          <a:pt x="7467" y="2314"/>
                        </a:cubicBezTo>
                        <a:cubicBezTo>
                          <a:pt x="7479" y="2158"/>
                          <a:pt x="7492" y="2002"/>
                          <a:pt x="7504" y="1846"/>
                        </a:cubicBezTo>
                        <a:cubicBezTo>
                          <a:pt x="7485" y="1767"/>
                          <a:pt x="7467" y="1688"/>
                          <a:pt x="7448" y="1609"/>
                        </a:cubicBezTo>
                        <a:cubicBezTo>
                          <a:pt x="7445" y="1600"/>
                          <a:pt x="7441" y="1591"/>
                          <a:pt x="7438" y="1582"/>
                        </a:cubicBezTo>
                        <a:cubicBezTo>
                          <a:pt x="7428" y="1537"/>
                          <a:pt x="7417" y="1492"/>
                          <a:pt x="7407" y="1447"/>
                        </a:cubicBezTo>
                        <a:lnTo>
                          <a:pt x="7413" y="1354"/>
                        </a:lnTo>
                        <a:cubicBezTo>
                          <a:pt x="7406" y="1326"/>
                          <a:pt x="7398" y="1299"/>
                          <a:pt x="7391" y="1271"/>
                        </a:cubicBezTo>
                        <a:lnTo>
                          <a:pt x="7190" y="1106"/>
                        </a:lnTo>
                        <a:lnTo>
                          <a:pt x="6860" y="848"/>
                        </a:lnTo>
                        <a:lnTo>
                          <a:pt x="6564" y="582"/>
                        </a:lnTo>
                        <a:lnTo>
                          <a:pt x="6331" y="370"/>
                        </a:lnTo>
                        <a:lnTo>
                          <a:pt x="6089" y="173"/>
                        </a:lnTo>
                        <a:lnTo>
                          <a:pt x="5828" y="45"/>
                        </a:lnTo>
                        <a:lnTo>
                          <a:pt x="5507" y="0"/>
                        </a:lnTo>
                        <a:lnTo>
                          <a:pt x="5199" y="32"/>
                        </a:lnTo>
                        <a:lnTo>
                          <a:pt x="4960" y="93"/>
                        </a:lnTo>
                        <a:lnTo>
                          <a:pt x="4715" y="144"/>
                        </a:lnTo>
                        <a:lnTo>
                          <a:pt x="4536" y="133"/>
                        </a:lnTo>
                        <a:lnTo>
                          <a:pt x="4347" y="266"/>
                        </a:lnTo>
                        <a:lnTo>
                          <a:pt x="4061" y="418"/>
                        </a:lnTo>
                        <a:lnTo>
                          <a:pt x="3649" y="630"/>
                        </a:lnTo>
                        <a:lnTo>
                          <a:pt x="3294" y="886"/>
                        </a:lnTo>
                        <a:lnTo>
                          <a:pt x="3139" y="1173"/>
                        </a:lnTo>
                        <a:cubicBezTo>
                          <a:pt x="3150" y="1270"/>
                          <a:pt x="3160" y="1368"/>
                          <a:pt x="3171" y="1465"/>
                        </a:cubicBezTo>
                        <a:cubicBezTo>
                          <a:pt x="3181" y="1536"/>
                          <a:pt x="3192" y="1607"/>
                          <a:pt x="3202" y="1678"/>
                        </a:cubicBezTo>
                        <a:cubicBezTo>
                          <a:pt x="3195" y="1753"/>
                          <a:pt x="3187" y="1829"/>
                          <a:pt x="3180" y="1904"/>
                        </a:cubicBezTo>
                        <a:cubicBezTo>
                          <a:pt x="3170" y="2081"/>
                          <a:pt x="3159" y="2259"/>
                          <a:pt x="3149" y="2436"/>
                        </a:cubicBezTo>
                        <a:cubicBezTo>
                          <a:pt x="3165" y="2538"/>
                          <a:pt x="3180" y="2640"/>
                          <a:pt x="3196" y="2742"/>
                        </a:cubicBezTo>
                        <a:lnTo>
                          <a:pt x="3250" y="2973"/>
                        </a:lnTo>
                        <a:lnTo>
                          <a:pt x="3029" y="2848"/>
                        </a:lnTo>
                        <a:lnTo>
                          <a:pt x="3014" y="2878"/>
                        </a:lnTo>
                        <a:cubicBezTo>
                          <a:pt x="3008" y="2908"/>
                          <a:pt x="3001" y="2938"/>
                          <a:pt x="2995" y="2968"/>
                        </a:cubicBezTo>
                        <a:cubicBezTo>
                          <a:pt x="2999" y="3083"/>
                          <a:pt x="3003" y="3199"/>
                          <a:pt x="3007" y="3314"/>
                        </a:cubicBezTo>
                        <a:cubicBezTo>
                          <a:pt x="3030" y="3437"/>
                          <a:pt x="3054" y="3561"/>
                          <a:pt x="3077" y="3684"/>
                        </a:cubicBezTo>
                        <a:cubicBezTo>
                          <a:pt x="3084" y="3718"/>
                          <a:pt x="3092" y="3751"/>
                          <a:pt x="3099" y="3785"/>
                        </a:cubicBezTo>
                        <a:cubicBezTo>
                          <a:pt x="3106" y="3819"/>
                          <a:pt x="3114" y="3854"/>
                          <a:pt x="3121" y="3888"/>
                        </a:cubicBezTo>
                        <a:lnTo>
                          <a:pt x="3253" y="4109"/>
                        </a:lnTo>
                        <a:lnTo>
                          <a:pt x="3372" y="4154"/>
                        </a:lnTo>
                        <a:lnTo>
                          <a:pt x="3467" y="4168"/>
                        </a:lnTo>
                        <a:lnTo>
                          <a:pt x="3470" y="4255"/>
                        </a:lnTo>
                        <a:cubicBezTo>
                          <a:pt x="3520" y="4495"/>
                          <a:pt x="3571" y="4736"/>
                          <a:pt x="3621" y="4976"/>
                        </a:cubicBezTo>
                        <a:cubicBezTo>
                          <a:pt x="3672" y="5064"/>
                          <a:pt x="3724" y="5151"/>
                          <a:pt x="3775" y="5239"/>
                        </a:cubicBezTo>
                        <a:cubicBezTo>
                          <a:pt x="3782" y="5248"/>
                          <a:pt x="3790" y="5257"/>
                          <a:pt x="3797" y="5266"/>
                        </a:cubicBezTo>
                        <a:lnTo>
                          <a:pt x="3797" y="5904"/>
                        </a:lnTo>
                        <a:cubicBezTo>
                          <a:pt x="3764" y="5934"/>
                          <a:pt x="3732" y="5965"/>
                          <a:pt x="3699" y="5995"/>
                        </a:cubicBezTo>
                        <a:lnTo>
                          <a:pt x="2869" y="6713"/>
                        </a:lnTo>
                        <a:lnTo>
                          <a:pt x="1746" y="7370"/>
                        </a:lnTo>
                        <a:lnTo>
                          <a:pt x="1429" y="7457"/>
                        </a:lnTo>
                        <a:lnTo>
                          <a:pt x="1158" y="7519"/>
                        </a:lnTo>
                        <a:lnTo>
                          <a:pt x="737" y="7630"/>
                        </a:lnTo>
                        <a:lnTo>
                          <a:pt x="0" y="8060"/>
                        </a:lnTo>
                        <a:lnTo>
                          <a:pt x="639" y="8306"/>
                        </a:lnTo>
                        <a:lnTo>
                          <a:pt x="1124" y="8742"/>
                        </a:lnTo>
                        <a:lnTo>
                          <a:pt x="1737" y="9117"/>
                        </a:lnTo>
                        <a:lnTo>
                          <a:pt x="2432" y="9431"/>
                        </a:lnTo>
                        <a:lnTo>
                          <a:pt x="3177" y="9681"/>
                        </a:lnTo>
                        <a:lnTo>
                          <a:pt x="3929" y="9862"/>
                        </a:lnTo>
                        <a:lnTo>
                          <a:pt x="4646" y="9968"/>
                        </a:lnTo>
                        <a:lnTo>
                          <a:pt x="5290" y="10000"/>
                        </a:lnTo>
                        <a:lnTo>
                          <a:pt x="6561" y="9846"/>
                        </a:lnTo>
                        <a:lnTo>
                          <a:pt x="8149" y="9391"/>
                        </a:lnTo>
                        <a:lnTo>
                          <a:pt x="8910" y="9069"/>
                        </a:lnTo>
                        <a:lnTo>
                          <a:pt x="9570" y="8694"/>
                        </a:lnTo>
                        <a:lnTo>
                          <a:pt x="10332" y="8320"/>
                        </a:lnTo>
                        <a:lnTo>
                          <a:pt x="10650" y="7962"/>
                        </a:lnTo>
                        <a:close/>
                      </a:path>
                    </a:pathLst>
                  </a:custGeom>
                  <a:solidFill>
                    <a:srgbClr val="9E9E9E"/>
                  </a:solidFill>
                  <a:ln>
                    <a:noFill/>
                  </a:ln>
                </xdr:spPr>
                <xdr:txBody>
                  <a:bodyPr/>
                  <a:lstStyle/>
                  <a:p>
                    <a:endParaRPr lang="en-US"/>
                  </a:p>
                </xdr:txBody>
              </xdr:sp>
            </xdr:grpSp>
            <xdr:pic>
              <xdr:nvPicPr>
                <xdr:cNvPr id="3869" name="04_profileimage">
                  <a:hlinkClick xmlns:r="http://schemas.openxmlformats.org/officeDocument/2006/relationships" r:id="rId35"/>
                </xdr:cNvPr>
                <xdr:cNvPicPr>
                  <a:picLocks/>
                </xdr:cNvPicPr>
              </xdr:nvPicPr>
              <xdr:blipFill>
                <a:blip xmlns:r="http://schemas.openxmlformats.org/officeDocument/2006/relationships" r:link="rId36"/>
                <a:stretch>
                  <a:fillRect/>
                </a:stretch>
              </xdr:blipFill>
              <xdr:spPr>
                <a:xfrm>
                  <a:off x="6272403" y="57070749"/>
                  <a:ext cx="822960" cy="822960"/>
                </a:xfrm>
                <a:prstGeom prst="rect">
                  <a:avLst/>
                </a:prstGeom>
              </xdr:spPr>
            </xdr:pic>
            <xdr:sp macro="" textlink="">
              <xdr:nvSpPr>
                <xdr:cNvPr id="896" name="04_imgModule_Freeform_10"/>
                <xdr:cNvSpPr>
                  <a:spLocks noEditPoints="1"/>
                </xdr:cNvSpPr>
              </xdr:nvSpPr>
              <xdr:spPr bwMode="auto">
                <a:xfrm>
                  <a:off x="6199251" y="56997599"/>
                  <a:ext cx="969264" cy="969264"/>
                </a:xfrm>
                <a:custGeom>
                  <a:avLst/>
                  <a:gdLst>
                    <a:gd name="T0" fmla="*/ 0 w 417"/>
                    <a:gd name="T1" fmla="*/ 417 h 417"/>
                    <a:gd name="T2" fmla="*/ 417 w 417"/>
                    <a:gd name="T3" fmla="*/ 0 h 417"/>
                    <a:gd name="T4" fmla="*/ 209 w 417"/>
                    <a:gd name="T5" fmla="*/ 385 h 417"/>
                    <a:gd name="T6" fmla="*/ 190 w 417"/>
                    <a:gd name="T7" fmla="*/ 384 h 417"/>
                    <a:gd name="T8" fmla="*/ 156 w 417"/>
                    <a:gd name="T9" fmla="*/ 377 h 417"/>
                    <a:gd name="T10" fmla="*/ 124 w 417"/>
                    <a:gd name="T11" fmla="*/ 364 h 417"/>
                    <a:gd name="T12" fmla="*/ 96 w 417"/>
                    <a:gd name="T13" fmla="*/ 345 h 417"/>
                    <a:gd name="T14" fmla="*/ 72 w 417"/>
                    <a:gd name="T15" fmla="*/ 321 h 417"/>
                    <a:gd name="T16" fmla="*/ 53 w 417"/>
                    <a:gd name="T17" fmla="*/ 293 h 417"/>
                    <a:gd name="T18" fmla="*/ 40 w 417"/>
                    <a:gd name="T19" fmla="*/ 261 h 417"/>
                    <a:gd name="T20" fmla="*/ 33 w 417"/>
                    <a:gd name="T21" fmla="*/ 227 h 417"/>
                    <a:gd name="T22" fmla="*/ 32 w 417"/>
                    <a:gd name="T23" fmla="*/ 209 h 417"/>
                    <a:gd name="T24" fmla="*/ 36 w 417"/>
                    <a:gd name="T25" fmla="*/ 173 h 417"/>
                    <a:gd name="T26" fmla="*/ 46 w 417"/>
                    <a:gd name="T27" fmla="*/ 139 h 417"/>
                    <a:gd name="T28" fmla="*/ 62 w 417"/>
                    <a:gd name="T29" fmla="*/ 110 h 417"/>
                    <a:gd name="T30" fmla="*/ 84 w 417"/>
                    <a:gd name="T31" fmla="*/ 84 h 417"/>
                    <a:gd name="T32" fmla="*/ 110 w 417"/>
                    <a:gd name="T33" fmla="*/ 62 h 417"/>
                    <a:gd name="T34" fmla="*/ 139 w 417"/>
                    <a:gd name="T35" fmla="*/ 46 h 417"/>
                    <a:gd name="T36" fmla="*/ 173 w 417"/>
                    <a:gd name="T37" fmla="*/ 36 h 417"/>
                    <a:gd name="T38" fmla="*/ 209 w 417"/>
                    <a:gd name="T39" fmla="*/ 32 h 417"/>
                    <a:gd name="T40" fmla="*/ 227 w 417"/>
                    <a:gd name="T41" fmla="*/ 33 h 417"/>
                    <a:gd name="T42" fmla="*/ 261 w 417"/>
                    <a:gd name="T43" fmla="*/ 40 h 417"/>
                    <a:gd name="T44" fmla="*/ 293 w 417"/>
                    <a:gd name="T45" fmla="*/ 53 h 417"/>
                    <a:gd name="T46" fmla="*/ 321 w 417"/>
                    <a:gd name="T47" fmla="*/ 72 h 417"/>
                    <a:gd name="T48" fmla="*/ 345 w 417"/>
                    <a:gd name="T49" fmla="*/ 96 h 417"/>
                    <a:gd name="T50" fmla="*/ 364 w 417"/>
                    <a:gd name="T51" fmla="*/ 124 h 417"/>
                    <a:gd name="T52" fmla="*/ 377 w 417"/>
                    <a:gd name="T53" fmla="*/ 156 h 417"/>
                    <a:gd name="T54" fmla="*/ 384 w 417"/>
                    <a:gd name="T55" fmla="*/ 190 h 417"/>
                    <a:gd name="T56" fmla="*/ 385 w 417"/>
                    <a:gd name="T57" fmla="*/ 209 h 417"/>
                    <a:gd name="T58" fmla="*/ 381 w 417"/>
                    <a:gd name="T59" fmla="*/ 244 h 417"/>
                    <a:gd name="T60" fmla="*/ 371 w 417"/>
                    <a:gd name="T61" fmla="*/ 278 h 417"/>
                    <a:gd name="T62" fmla="*/ 355 w 417"/>
                    <a:gd name="T63" fmla="*/ 307 h 417"/>
                    <a:gd name="T64" fmla="*/ 333 w 417"/>
                    <a:gd name="T65" fmla="*/ 333 h 417"/>
                    <a:gd name="T66" fmla="*/ 307 w 417"/>
                    <a:gd name="T67" fmla="*/ 355 h 417"/>
                    <a:gd name="T68" fmla="*/ 278 w 417"/>
                    <a:gd name="T69" fmla="*/ 371 h 417"/>
                    <a:gd name="T70" fmla="*/ 244 w 417"/>
                    <a:gd name="T71" fmla="*/ 381 h 417"/>
                    <a:gd name="T72" fmla="*/ 209 w 417"/>
                    <a:gd name="T73" fmla="*/ 385 h 41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Lst>
                  <a:rect l="0" t="0" r="r" b="b"/>
                  <a:pathLst>
                    <a:path w="417" h="417">
                      <a:moveTo>
                        <a:pt x="0" y="0"/>
                      </a:moveTo>
                      <a:lnTo>
                        <a:pt x="0" y="417"/>
                      </a:lnTo>
                      <a:lnTo>
                        <a:pt x="417" y="417"/>
                      </a:lnTo>
                      <a:lnTo>
                        <a:pt x="417" y="0"/>
                      </a:lnTo>
                      <a:lnTo>
                        <a:pt x="0" y="0"/>
                      </a:lnTo>
                      <a:close/>
                      <a:moveTo>
                        <a:pt x="209" y="385"/>
                      </a:moveTo>
                      <a:lnTo>
                        <a:pt x="209" y="385"/>
                      </a:lnTo>
                      <a:lnTo>
                        <a:pt x="190" y="384"/>
                      </a:lnTo>
                      <a:lnTo>
                        <a:pt x="173" y="381"/>
                      </a:lnTo>
                      <a:lnTo>
                        <a:pt x="156" y="377"/>
                      </a:lnTo>
                      <a:lnTo>
                        <a:pt x="139" y="371"/>
                      </a:lnTo>
                      <a:lnTo>
                        <a:pt x="124" y="364"/>
                      </a:lnTo>
                      <a:lnTo>
                        <a:pt x="110" y="355"/>
                      </a:lnTo>
                      <a:lnTo>
                        <a:pt x="96" y="345"/>
                      </a:lnTo>
                      <a:lnTo>
                        <a:pt x="84" y="333"/>
                      </a:lnTo>
                      <a:lnTo>
                        <a:pt x="72" y="321"/>
                      </a:lnTo>
                      <a:lnTo>
                        <a:pt x="62" y="307"/>
                      </a:lnTo>
                      <a:lnTo>
                        <a:pt x="53" y="293"/>
                      </a:lnTo>
                      <a:lnTo>
                        <a:pt x="46" y="278"/>
                      </a:lnTo>
                      <a:lnTo>
                        <a:pt x="40" y="261"/>
                      </a:lnTo>
                      <a:lnTo>
                        <a:pt x="36" y="244"/>
                      </a:lnTo>
                      <a:lnTo>
                        <a:pt x="33" y="227"/>
                      </a:lnTo>
                      <a:lnTo>
                        <a:pt x="32" y="209"/>
                      </a:lnTo>
                      <a:lnTo>
                        <a:pt x="32" y="209"/>
                      </a:lnTo>
                      <a:lnTo>
                        <a:pt x="33" y="190"/>
                      </a:lnTo>
                      <a:lnTo>
                        <a:pt x="36" y="173"/>
                      </a:lnTo>
                      <a:lnTo>
                        <a:pt x="40" y="156"/>
                      </a:lnTo>
                      <a:lnTo>
                        <a:pt x="46" y="139"/>
                      </a:lnTo>
                      <a:lnTo>
                        <a:pt x="53" y="124"/>
                      </a:lnTo>
                      <a:lnTo>
                        <a:pt x="62" y="110"/>
                      </a:lnTo>
                      <a:lnTo>
                        <a:pt x="72" y="96"/>
                      </a:lnTo>
                      <a:lnTo>
                        <a:pt x="84" y="84"/>
                      </a:lnTo>
                      <a:lnTo>
                        <a:pt x="96" y="72"/>
                      </a:lnTo>
                      <a:lnTo>
                        <a:pt x="110" y="62"/>
                      </a:lnTo>
                      <a:lnTo>
                        <a:pt x="124" y="53"/>
                      </a:lnTo>
                      <a:lnTo>
                        <a:pt x="139" y="46"/>
                      </a:lnTo>
                      <a:lnTo>
                        <a:pt x="156" y="40"/>
                      </a:lnTo>
                      <a:lnTo>
                        <a:pt x="173" y="36"/>
                      </a:lnTo>
                      <a:lnTo>
                        <a:pt x="190" y="33"/>
                      </a:lnTo>
                      <a:lnTo>
                        <a:pt x="209" y="32"/>
                      </a:lnTo>
                      <a:lnTo>
                        <a:pt x="209" y="32"/>
                      </a:lnTo>
                      <a:lnTo>
                        <a:pt x="227" y="33"/>
                      </a:lnTo>
                      <a:lnTo>
                        <a:pt x="244" y="36"/>
                      </a:lnTo>
                      <a:lnTo>
                        <a:pt x="261" y="40"/>
                      </a:lnTo>
                      <a:lnTo>
                        <a:pt x="278" y="46"/>
                      </a:lnTo>
                      <a:lnTo>
                        <a:pt x="293" y="53"/>
                      </a:lnTo>
                      <a:lnTo>
                        <a:pt x="307" y="62"/>
                      </a:lnTo>
                      <a:lnTo>
                        <a:pt x="321" y="72"/>
                      </a:lnTo>
                      <a:lnTo>
                        <a:pt x="333" y="84"/>
                      </a:lnTo>
                      <a:lnTo>
                        <a:pt x="345" y="96"/>
                      </a:lnTo>
                      <a:lnTo>
                        <a:pt x="355" y="110"/>
                      </a:lnTo>
                      <a:lnTo>
                        <a:pt x="364" y="124"/>
                      </a:lnTo>
                      <a:lnTo>
                        <a:pt x="371" y="139"/>
                      </a:lnTo>
                      <a:lnTo>
                        <a:pt x="377" y="156"/>
                      </a:lnTo>
                      <a:lnTo>
                        <a:pt x="381" y="173"/>
                      </a:lnTo>
                      <a:lnTo>
                        <a:pt x="384" y="190"/>
                      </a:lnTo>
                      <a:lnTo>
                        <a:pt x="385" y="209"/>
                      </a:lnTo>
                      <a:lnTo>
                        <a:pt x="385" y="209"/>
                      </a:lnTo>
                      <a:lnTo>
                        <a:pt x="384" y="227"/>
                      </a:lnTo>
                      <a:lnTo>
                        <a:pt x="381" y="244"/>
                      </a:lnTo>
                      <a:lnTo>
                        <a:pt x="377" y="261"/>
                      </a:lnTo>
                      <a:lnTo>
                        <a:pt x="371" y="278"/>
                      </a:lnTo>
                      <a:lnTo>
                        <a:pt x="364" y="293"/>
                      </a:lnTo>
                      <a:lnTo>
                        <a:pt x="355" y="307"/>
                      </a:lnTo>
                      <a:lnTo>
                        <a:pt x="345" y="321"/>
                      </a:lnTo>
                      <a:lnTo>
                        <a:pt x="333" y="333"/>
                      </a:lnTo>
                      <a:lnTo>
                        <a:pt x="321" y="345"/>
                      </a:lnTo>
                      <a:lnTo>
                        <a:pt x="307" y="355"/>
                      </a:lnTo>
                      <a:lnTo>
                        <a:pt x="293" y="364"/>
                      </a:lnTo>
                      <a:lnTo>
                        <a:pt x="278" y="371"/>
                      </a:lnTo>
                      <a:lnTo>
                        <a:pt x="261" y="377"/>
                      </a:lnTo>
                      <a:lnTo>
                        <a:pt x="244" y="381"/>
                      </a:lnTo>
                      <a:lnTo>
                        <a:pt x="227" y="384"/>
                      </a:lnTo>
                      <a:lnTo>
                        <a:pt x="209" y="385"/>
                      </a:lnTo>
                      <a:lnTo>
                        <a:pt x="209" y="385"/>
                      </a:lnTo>
                      <a:close/>
                    </a:path>
                  </a:pathLst>
                </a:custGeom>
                <a:solidFill>
                  <a:srgbClr val="E0E0E0"/>
                </a:solidFill>
                <a:ln>
                  <a:noFill/>
                </a:ln>
              </xdr:spPr>
            </xdr:sp>
          </xdr:grpSp>
        </xdr:grpSp>
        <xdr:pic>
          <xdr:nvPicPr>
            <xdr:cNvPr id="4038" name="04_channelimage"/>
            <xdr:cNvPicPr>
              <a:picLocks/>
            </xdr:cNvPicPr>
          </xdr:nvPicPr>
          <xdr:blipFill>
            <a:blip xmlns:r="http://schemas.openxmlformats.org/officeDocument/2006/relationships" r:link="rId32"/>
            <a:stretch>
              <a:fillRect/>
            </a:stretch>
          </xdr:blipFill>
          <xdr:spPr>
            <a:xfrm>
              <a:off x="6038850" y="56833914"/>
              <a:ext cx="576072" cy="576072"/>
            </a:xfrm>
            <a:prstGeom prst="rect">
              <a:avLst/>
            </a:prstGeom>
          </xdr:spPr>
        </xdr:pic>
      </xdr:grpSp>
      <xdr:grpSp>
        <xdr:nvGrpSpPr>
          <xdr:cNvPr id="9189" name="Group 9188"/>
          <xdr:cNvGrpSpPr/>
        </xdr:nvGrpSpPr>
        <xdr:grpSpPr>
          <a:xfrm>
            <a:off x="695325" y="58921649"/>
            <a:ext cx="5020056" cy="2095499"/>
            <a:chOff x="695325" y="59035949"/>
            <a:chExt cx="5020056" cy="2095499"/>
          </a:xfrm>
        </xdr:grpSpPr>
        <xdr:grpSp>
          <xdr:nvGrpSpPr>
            <xdr:cNvPr id="9177" name="Group 9176"/>
            <xdr:cNvGrpSpPr/>
          </xdr:nvGrpSpPr>
          <xdr:grpSpPr>
            <a:xfrm>
              <a:off x="695325" y="59035949"/>
              <a:ext cx="5020056" cy="2095499"/>
              <a:chOff x="695325" y="59035949"/>
              <a:chExt cx="5020056" cy="2095499"/>
            </a:xfrm>
          </xdr:grpSpPr>
          <xdr:grpSp>
            <xdr:nvGrpSpPr>
              <xdr:cNvPr id="9173" name="Group 9172"/>
              <xdr:cNvGrpSpPr/>
            </xdr:nvGrpSpPr>
            <xdr:grpSpPr>
              <a:xfrm>
                <a:off x="695325" y="59035949"/>
                <a:ext cx="5020056" cy="2095499"/>
                <a:chOff x="695325" y="59035949"/>
                <a:chExt cx="5020056" cy="2095499"/>
              </a:xfrm>
            </xdr:grpSpPr>
            <xdr:sp macro="" textlink="">
              <xdr:nvSpPr>
                <xdr:cNvPr id="885" name="05_imgModule_Rounded_Rectangle_539"/>
                <xdr:cNvSpPr/>
              </xdr:nvSpPr>
              <xdr:spPr>
                <a:xfrm>
                  <a:off x="695325" y="59045474"/>
                  <a:ext cx="5020056" cy="2085974"/>
                </a:xfrm>
                <a:prstGeom prst="roundRect">
                  <a:avLst>
                    <a:gd name="adj" fmla="val 800"/>
                  </a:avLst>
                </a:prstGeom>
                <a:solidFill>
                  <a:srgbClr val="757575"/>
                </a:solidFill>
                <a:ln w="12700">
                  <a:solidFill>
                    <a:srgbClr val="1E1E1E"/>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l"/>
                  <a:endParaRPr lang="en-US" sz="1100"/>
                </a:p>
              </xdr:txBody>
            </xdr:sp>
            <xdr:sp macro="" textlink="">
              <xdr:nvSpPr>
                <xdr:cNvPr id="886" name="05_imgModule_Rounded_Rectangle_540"/>
                <xdr:cNvSpPr/>
              </xdr:nvSpPr>
              <xdr:spPr>
                <a:xfrm>
                  <a:off x="695325" y="59035949"/>
                  <a:ext cx="5020056" cy="2084832"/>
                </a:xfrm>
                <a:prstGeom prst="roundRect">
                  <a:avLst>
                    <a:gd name="adj" fmla="val 800"/>
                  </a:avLst>
                </a:prstGeom>
                <a:solidFill>
                  <a:srgbClr val="757575"/>
                </a:solidFill>
                <a:ln w="12700">
                  <a:solidFill>
                    <a:srgbClr val="1A1A1A"/>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l"/>
                  <a:endParaRPr lang="en-US" sz="1100"/>
                </a:p>
              </xdr:txBody>
            </xdr:sp>
          </xdr:grpSp>
          <xdr:grpSp>
            <xdr:nvGrpSpPr>
              <xdr:cNvPr id="9174" name="Group 9173"/>
              <xdr:cNvGrpSpPr/>
            </xdr:nvGrpSpPr>
            <xdr:grpSpPr>
              <a:xfrm>
                <a:off x="4447603" y="59197873"/>
                <a:ext cx="1155910" cy="651129"/>
                <a:chOff x="4447603" y="59197873"/>
                <a:chExt cx="1155910" cy="651129"/>
              </a:xfrm>
            </xdr:grpSpPr>
            <xdr:sp macro="" textlink="Calculations!F423">
              <xdr:nvSpPr>
                <xdr:cNvPr id="883" name="05_metric01_number"/>
                <xdr:cNvSpPr txBox="1"/>
              </xdr:nvSpPr>
              <xdr:spPr>
                <a:xfrm>
                  <a:off x="4447603" y="59197873"/>
                  <a:ext cx="1143000" cy="28438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ctr"/>
                <a:lstStyle/>
                <a:p>
                  <a:pPr marL="0" indent="0" algn="l"/>
                  <a:fld id="{E9459774-177F-4A96-B389-CE65B5898CF4}" type="TxLink">
                    <a:rPr lang="en-US" sz="2200" b="0" i="0" u="none" strike="noStrike">
                      <a:solidFill>
                        <a:srgbClr val="AFBFFF"/>
                      </a:solidFill>
                      <a:latin typeface="+mn-lt"/>
                      <a:ea typeface="+mn-ea"/>
                      <a:cs typeface="+mn-cs"/>
                    </a:rPr>
                    <a:pPr marL="0" indent="0" algn="l"/>
                    <a:t>6,248</a:t>
                  </a:fld>
                  <a:endParaRPr lang="en-US" sz="2200" b="0" i="0" u="none" strike="noStrike">
                    <a:solidFill>
                      <a:srgbClr val="AFBFFF"/>
                    </a:solidFill>
                    <a:latin typeface="+mn-lt"/>
                    <a:ea typeface="+mn-ea"/>
                    <a:cs typeface="+mn-cs"/>
                  </a:endParaRPr>
                </a:p>
              </xdr:txBody>
            </xdr:sp>
            <xdr:sp macro="" textlink="Calculations!G423">
              <xdr:nvSpPr>
                <xdr:cNvPr id="884" name="05_metric01_label"/>
                <xdr:cNvSpPr txBox="1"/>
              </xdr:nvSpPr>
              <xdr:spPr>
                <a:xfrm>
                  <a:off x="4460513" y="59474098"/>
                  <a:ext cx="1143000" cy="3749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marL="0" indent="0" algn="l"/>
                  <a:fld id="{B9D31A06-CDFA-4BD2-B3E6-560658A03695}" type="TxLink">
                    <a:rPr lang="en-US" sz="1200" b="0" i="0" u="none" strike="noStrike">
                      <a:solidFill>
                        <a:srgbClr val="E0E0E0"/>
                      </a:solidFill>
                      <a:latin typeface="+mn-lt"/>
                      <a:ea typeface="+mn-ea"/>
                      <a:cs typeface="+mn-cs"/>
                    </a:rPr>
                    <a:pPr marL="0" indent="0" algn="l"/>
                    <a:t>Instagram Engagements</a:t>
                  </a:fld>
                  <a:endParaRPr lang="en-US" sz="1200" b="0" i="0" u="none" strike="noStrike">
                    <a:solidFill>
                      <a:srgbClr val="E0E0E0"/>
                    </a:solidFill>
                    <a:latin typeface="+mn-lt"/>
                    <a:ea typeface="+mn-ea"/>
                    <a:cs typeface="+mn-cs"/>
                  </a:endParaRPr>
                </a:p>
              </xdr:txBody>
            </xdr:sp>
          </xdr:grpSp>
          <xdr:grpSp>
            <xdr:nvGrpSpPr>
              <xdr:cNvPr id="9175" name="Group 9174"/>
              <xdr:cNvGrpSpPr/>
            </xdr:nvGrpSpPr>
            <xdr:grpSpPr>
              <a:xfrm>
                <a:off x="4447603" y="60514521"/>
                <a:ext cx="1155910" cy="610831"/>
                <a:chOff x="4447603" y="60514521"/>
                <a:chExt cx="1155910" cy="610831"/>
              </a:xfrm>
            </xdr:grpSpPr>
            <xdr:sp macro="" textlink="Calculations!M423">
              <xdr:nvSpPr>
                <xdr:cNvPr id="881" name="05_metric03_number"/>
                <xdr:cNvSpPr txBox="1"/>
              </xdr:nvSpPr>
              <xdr:spPr>
                <a:xfrm>
                  <a:off x="4447603" y="60514521"/>
                  <a:ext cx="1143000" cy="28438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ctr"/>
                <a:lstStyle/>
                <a:p>
                  <a:pPr marL="0" indent="0" algn="l"/>
                  <a:fld id="{0806D872-7993-476C-8AE7-61F48D64F37A}" type="TxLink">
                    <a:rPr lang="en-US" sz="1600" b="0" i="0" u="none" strike="noStrike">
                      <a:solidFill>
                        <a:srgbClr val="AFBFFF"/>
                      </a:solidFill>
                      <a:latin typeface="+mn-lt"/>
                      <a:ea typeface="+mn-ea"/>
                      <a:cs typeface="+mn-cs"/>
                    </a:rPr>
                    <a:pPr marL="0" indent="0" algn="l"/>
                    <a:t>84</a:t>
                  </a:fld>
                  <a:endParaRPr lang="en-US" sz="1600" b="0" i="0" u="none" strike="noStrike">
                    <a:solidFill>
                      <a:srgbClr val="AFBFFF"/>
                    </a:solidFill>
                    <a:latin typeface="+mn-lt"/>
                    <a:ea typeface="+mn-ea"/>
                    <a:cs typeface="+mn-cs"/>
                  </a:endParaRPr>
                </a:p>
              </xdr:txBody>
            </xdr:sp>
            <xdr:sp macro="" textlink="Calculations!N423">
              <xdr:nvSpPr>
                <xdr:cNvPr id="882" name="05_metric03_label"/>
                <xdr:cNvSpPr txBox="1"/>
              </xdr:nvSpPr>
              <xdr:spPr>
                <a:xfrm>
                  <a:off x="4460513" y="60750448"/>
                  <a:ext cx="1143000" cy="3749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marL="0" indent="0" algn="l"/>
                  <a:fld id="{F6F53BF9-60A3-470C-8B9F-DD0F344BCB7B}" type="TxLink">
                    <a:rPr lang="en-US" sz="1200" b="0" i="0" u="none" strike="noStrike">
                      <a:solidFill>
                        <a:srgbClr val="E0E0E0"/>
                      </a:solidFill>
                      <a:latin typeface="+mn-lt"/>
                      <a:ea typeface="+mn-ea"/>
                      <a:cs typeface="+mn-cs"/>
                    </a:rPr>
                    <a:pPr marL="0" indent="0" algn="l"/>
                    <a:t>Comments</a:t>
                  </a:fld>
                  <a:endParaRPr lang="en-US" sz="1200" b="0" i="0" u="none" strike="noStrike">
                    <a:solidFill>
                      <a:srgbClr val="E0E0E0"/>
                    </a:solidFill>
                    <a:latin typeface="+mn-lt"/>
                    <a:ea typeface="+mn-ea"/>
                    <a:cs typeface="+mn-cs"/>
                  </a:endParaRPr>
                </a:p>
              </xdr:txBody>
            </xdr:sp>
          </xdr:grpSp>
          <xdr:grpSp>
            <xdr:nvGrpSpPr>
              <xdr:cNvPr id="9176" name="Group 9175"/>
              <xdr:cNvGrpSpPr/>
            </xdr:nvGrpSpPr>
            <xdr:grpSpPr>
              <a:xfrm>
                <a:off x="4447603" y="59952179"/>
                <a:ext cx="1155910" cy="635010"/>
                <a:chOff x="4447603" y="59952179"/>
                <a:chExt cx="1155910" cy="635010"/>
              </a:xfrm>
            </xdr:grpSpPr>
            <xdr:sp macro="" textlink="Calculations!J423">
              <xdr:nvSpPr>
                <xdr:cNvPr id="879" name="05_metric02_number"/>
                <xdr:cNvSpPr txBox="1"/>
              </xdr:nvSpPr>
              <xdr:spPr>
                <a:xfrm>
                  <a:off x="4447603" y="59952179"/>
                  <a:ext cx="1143000" cy="28438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ctr"/>
                <a:lstStyle/>
                <a:p>
                  <a:pPr marL="0" indent="0" algn="l"/>
                  <a:fld id="{67F5FB5B-1498-431A-99E5-B12B81447E1A}" type="TxLink">
                    <a:rPr lang="en-US" sz="1600" b="0" i="0" u="none" strike="noStrike">
                      <a:solidFill>
                        <a:srgbClr val="AFBFFF"/>
                      </a:solidFill>
                      <a:latin typeface="+mn-lt"/>
                      <a:ea typeface="+mn-ea"/>
                      <a:cs typeface="+mn-cs"/>
                    </a:rPr>
                    <a:pPr marL="0" indent="0" algn="l"/>
                    <a:t>6,164</a:t>
                  </a:fld>
                  <a:endParaRPr lang="en-US" sz="1600" b="0" i="0" u="none" strike="noStrike">
                    <a:solidFill>
                      <a:srgbClr val="AFBFFF"/>
                    </a:solidFill>
                    <a:latin typeface="+mn-lt"/>
                    <a:ea typeface="+mn-ea"/>
                    <a:cs typeface="+mn-cs"/>
                  </a:endParaRPr>
                </a:p>
              </xdr:txBody>
            </xdr:sp>
            <xdr:sp macro="" textlink="Calculations!K423">
              <xdr:nvSpPr>
                <xdr:cNvPr id="880" name="05_metric02_label"/>
                <xdr:cNvSpPr txBox="1"/>
              </xdr:nvSpPr>
              <xdr:spPr>
                <a:xfrm>
                  <a:off x="4460513" y="60212285"/>
                  <a:ext cx="1143000" cy="3749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marL="0" indent="0" algn="l"/>
                  <a:fld id="{C29C057C-DE57-4148-93AE-8ADDC8EE902A}" type="TxLink">
                    <a:rPr lang="en-US" sz="1200" b="0" i="0" u="none" strike="noStrike">
                      <a:solidFill>
                        <a:srgbClr val="E0E0E0"/>
                      </a:solidFill>
                      <a:latin typeface="+mn-lt"/>
                      <a:ea typeface="+mn-ea"/>
                      <a:cs typeface="+mn-cs"/>
                    </a:rPr>
                    <a:pPr marL="0" indent="0" algn="l"/>
                    <a:t>Likes</a:t>
                  </a:fld>
                  <a:endParaRPr lang="en-US" sz="1200" b="0" i="0" u="none" strike="noStrike">
                    <a:solidFill>
                      <a:srgbClr val="E0E0E0"/>
                    </a:solidFill>
                    <a:latin typeface="+mn-lt"/>
                    <a:ea typeface="+mn-ea"/>
                    <a:cs typeface="+mn-cs"/>
                  </a:endParaRPr>
                </a:p>
              </xdr:txBody>
            </xdr:sp>
          </xdr:grpSp>
        </xdr:grpSp>
        <xdr:grpSp>
          <xdr:nvGrpSpPr>
            <xdr:cNvPr id="9188" name="Group 9187"/>
            <xdr:cNvGrpSpPr/>
          </xdr:nvGrpSpPr>
          <xdr:grpSpPr>
            <a:xfrm>
              <a:off x="809053" y="59150247"/>
              <a:ext cx="3524822" cy="1866900"/>
              <a:chOff x="809053" y="59150247"/>
              <a:chExt cx="3524822" cy="1866900"/>
            </a:xfrm>
          </xdr:grpSpPr>
          <xdr:grpSp>
            <xdr:nvGrpSpPr>
              <xdr:cNvPr id="9180" name="Group 9179"/>
              <xdr:cNvGrpSpPr/>
            </xdr:nvGrpSpPr>
            <xdr:grpSpPr>
              <a:xfrm>
                <a:off x="809053" y="59150247"/>
                <a:ext cx="3524822" cy="1866900"/>
                <a:chOff x="809053" y="59150247"/>
                <a:chExt cx="3524822" cy="1866900"/>
              </a:xfrm>
            </xdr:grpSpPr>
            <xdr:grpSp>
              <xdr:nvGrpSpPr>
                <xdr:cNvPr id="9178" name="Group 9177"/>
                <xdr:cNvGrpSpPr/>
              </xdr:nvGrpSpPr>
              <xdr:grpSpPr>
                <a:xfrm>
                  <a:off x="809053" y="59150247"/>
                  <a:ext cx="3524822" cy="1866900"/>
                  <a:chOff x="809053" y="59150247"/>
                  <a:chExt cx="3524822" cy="1866900"/>
                </a:xfrm>
              </xdr:grpSpPr>
              <xdr:sp macro="" textlink="">
                <xdr:nvSpPr>
                  <xdr:cNvPr id="873" name="05_imgModule_Rounded_Rectangle_533"/>
                  <xdr:cNvSpPr/>
                </xdr:nvSpPr>
                <xdr:spPr>
                  <a:xfrm>
                    <a:off x="809054" y="59159772"/>
                    <a:ext cx="3524250" cy="1857375"/>
                  </a:xfrm>
                  <a:prstGeom prst="roundRect">
                    <a:avLst>
                      <a:gd name="adj" fmla="val 909"/>
                    </a:avLst>
                  </a:prstGeom>
                  <a:solidFill>
                    <a:srgbClr val="E0E0E0"/>
                  </a:solidFill>
                  <a:ln w="12700">
                    <a:solidFill>
                      <a:srgbClr val="646464"/>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l"/>
                    <a:endParaRPr lang="en-US" sz="1100"/>
                  </a:p>
                </xdr:txBody>
              </xdr:sp>
              <xdr:sp macro="" textlink="">
                <xdr:nvSpPr>
                  <xdr:cNvPr id="874" name="05_imgModule_Rounded_Rectangle_536"/>
                  <xdr:cNvSpPr/>
                </xdr:nvSpPr>
                <xdr:spPr>
                  <a:xfrm>
                    <a:off x="809053" y="59150247"/>
                    <a:ext cx="3524822" cy="1856232"/>
                  </a:xfrm>
                  <a:prstGeom prst="roundRect">
                    <a:avLst>
                      <a:gd name="adj" fmla="val 909"/>
                    </a:avLst>
                  </a:prstGeom>
                  <a:solidFill>
                    <a:srgbClr val="E0E0E0"/>
                  </a:solidFill>
                  <a:ln w="12700">
                    <a:solidFill>
                      <a:srgbClr val="5E5E5E"/>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l"/>
                    <a:endParaRPr lang="en-US" sz="1100"/>
                  </a:p>
                </xdr:txBody>
              </xdr:sp>
            </xdr:grpSp>
            <xdr:grpSp>
              <xdr:nvGrpSpPr>
                <xdr:cNvPr id="9179" name="Group 9178"/>
                <xdr:cNvGrpSpPr/>
              </xdr:nvGrpSpPr>
              <xdr:grpSpPr>
                <a:xfrm>
                  <a:off x="2486215" y="59159771"/>
                  <a:ext cx="1847088" cy="1847088"/>
                  <a:chOff x="2486215" y="59159771"/>
                  <a:chExt cx="1847088" cy="1847088"/>
                </a:xfrm>
              </xdr:grpSpPr>
              <xdr:sp macro="" textlink="">
                <xdr:nvSpPr>
                  <xdr:cNvPr id="871" name="05_imgModule_Rounded_Rectangle_534"/>
                  <xdr:cNvSpPr/>
                </xdr:nvSpPr>
                <xdr:spPr>
                  <a:xfrm>
                    <a:off x="2486215" y="59159771"/>
                    <a:ext cx="1847088" cy="1847088"/>
                  </a:xfrm>
                  <a:prstGeom prst="roundRect">
                    <a:avLst>
                      <a:gd name="adj" fmla="val 909"/>
                    </a:avLst>
                  </a:prstGeom>
                  <a:solidFill>
                    <a:srgbClr val="D7D7D7"/>
                  </a:solidFill>
                  <a:ln w="12700">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l"/>
                    <a:endParaRPr lang="en-US" sz="1100"/>
                  </a:p>
                </xdr:txBody>
              </xdr:sp>
              <xdr:sp macro="" textlink="">
                <xdr:nvSpPr>
                  <xdr:cNvPr id="872" name="05_imgModule_Rectangle_430"/>
                  <xdr:cNvSpPr/>
                </xdr:nvSpPr>
                <xdr:spPr>
                  <a:xfrm>
                    <a:off x="2486215" y="59159771"/>
                    <a:ext cx="91440" cy="1847088"/>
                  </a:xfrm>
                  <a:prstGeom prst="rect">
                    <a:avLst/>
                  </a:prstGeom>
                  <a:solidFill>
                    <a:srgbClr val="D7D7D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grpSp>
          <xdr:grpSp>
            <xdr:nvGrpSpPr>
              <xdr:cNvPr id="9181" name="Group 9180"/>
              <xdr:cNvGrpSpPr/>
            </xdr:nvGrpSpPr>
            <xdr:grpSpPr>
              <a:xfrm>
                <a:off x="1037653" y="60528634"/>
                <a:ext cx="1372172" cy="424370"/>
                <a:chOff x="1037653" y="60528634"/>
                <a:chExt cx="1372172" cy="424370"/>
              </a:xfrm>
            </xdr:grpSpPr>
            <xdr:sp macro="" textlink="Calculations!D423">
              <xdr:nvSpPr>
                <xdr:cNvPr id="867" name="05_profilename"/>
                <xdr:cNvSpPr txBox="1"/>
              </xdr:nvSpPr>
              <xdr:spPr>
                <a:xfrm>
                  <a:off x="1037653" y="60717976"/>
                  <a:ext cx="1372172" cy="2350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ctr"/>
                <a:lstStyle/>
                <a:p>
                  <a:pPr marL="0" indent="0" algn="l"/>
                  <a:fld id="{5ED42F8A-7158-4DC6-9B02-AF04DFA9A9AF}" type="TxLink">
                    <a:rPr lang="en-US" sz="1300" b="0" i="0" u="none" strike="noStrike">
                      <a:solidFill>
                        <a:srgbClr val="4D4D4D"/>
                      </a:solidFill>
                      <a:latin typeface="+mn-lt"/>
                      <a:ea typeface="+mn-ea"/>
                      <a:cs typeface="+mn-cs"/>
                    </a:rPr>
                    <a:pPr marL="0" indent="0" algn="l"/>
                    <a:t>travellingpreneur</a:t>
                  </a:fld>
                  <a:endParaRPr lang="en-US" sz="1300" b="0">
                    <a:solidFill>
                      <a:srgbClr val="4D4D4D"/>
                    </a:solidFill>
                    <a:latin typeface="+mn-lt"/>
                    <a:ea typeface="+mn-ea"/>
                    <a:cs typeface="+mn-cs"/>
                  </a:endParaRPr>
                </a:p>
              </xdr:txBody>
            </xdr:sp>
            <xdr:sp macro="" textlink="Calculations!C423">
              <xdr:nvSpPr>
                <xdr:cNvPr id="868" name="05_postdate"/>
                <xdr:cNvSpPr txBox="1"/>
              </xdr:nvSpPr>
              <xdr:spPr>
                <a:xfrm>
                  <a:off x="1037653" y="60528634"/>
                  <a:ext cx="1371600" cy="2136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ctr"/>
                <a:lstStyle/>
                <a:p>
                  <a:pPr marL="0" indent="0" algn="l"/>
                  <a:fld id="{7987F63B-E09E-4271-8CBE-4FBAB121C797}" type="TxLink">
                    <a:rPr lang="en-US" sz="1000" b="0" i="0" u="none" strike="noStrike">
                      <a:solidFill>
                        <a:srgbClr val="666666"/>
                      </a:solidFill>
                      <a:latin typeface="+mn-lt"/>
                      <a:ea typeface="+mn-ea"/>
                      <a:cs typeface="+mn-cs"/>
                    </a:rPr>
                    <a:pPr marL="0" indent="0" algn="l"/>
                    <a:t>August 16, 2017</a:t>
                  </a:fld>
                  <a:endParaRPr lang="en-US" sz="1000" b="0">
                    <a:solidFill>
                      <a:srgbClr val="666666"/>
                    </a:solidFill>
                    <a:latin typeface="+mn-lt"/>
                    <a:ea typeface="+mn-ea"/>
                    <a:cs typeface="+mn-cs"/>
                  </a:endParaRPr>
                </a:p>
              </xdr:txBody>
            </xdr:sp>
          </xdr:grpSp>
          <xdr:grpSp>
            <xdr:nvGrpSpPr>
              <xdr:cNvPr id="9185" name="Group 9184"/>
              <xdr:cNvGrpSpPr/>
            </xdr:nvGrpSpPr>
            <xdr:grpSpPr>
              <a:xfrm>
                <a:off x="2486025" y="59159774"/>
                <a:ext cx="1847088" cy="1848614"/>
                <a:chOff x="2486025" y="59159774"/>
                <a:chExt cx="1847088" cy="1848614"/>
              </a:xfrm>
            </xdr:grpSpPr>
            <xdr:grpSp>
              <xdr:nvGrpSpPr>
                <xdr:cNvPr id="9184" name="Group 9183"/>
                <xdr:cNvGrpSpPr/>
              </xdr:nvGrpSpPr>
              <xdr:grpSpPr>
                <a:xfrm>
                  <a:off x="2486025" y="59159774"/>
                  <a:ext cx="1847088" cy="1848614"/>
                  <a:chOff x="2486025" y="59159774"/>
                  <a:chExt cx="1847088" cy="1848614"/>
                </a:xfrm>
              </xdr:grpSpPr>
              <xdr:grpSp>
                <xdr:nvGrpSpPr>
                  <xdr:cNvPr id="9182" name="Group 9181"/>
                  <xdr:cNvGrpSpPr/>
                </xdr:nvGrpSpPr>
                <xdr:grpSpPr>
                  <a:xfrm>
                    <a:off x="2486025" y="59159775"/>
                    <a:ext cx="1847088" cy="1848613"/>
                    <a:chOff x="2486025" y="59159775"/>
                    <a:chExt cx="1847088" cy="1848613"/>
                  </a:xfrm>
                </xdr:grpSpPr>
                <xdr:pic>
                  <xdr:nvPicPr>
                    <xdr:cNvPr id="4207" name="05_postimage" descr="profile:multi&#10;postSize:small"/>
                    <xdr:cNvPicPr>
                      <a:picLocks/>
                    </xdr:cNvPicPr>
                  </xdr:nvPicPr>
                  <xdr:blipFill>
                    <a:blip xmlns:r="http://schemas.openxmlformats.org/officeDocument/2006/relationships" r:link="rId37"/>
                    <a:stretch>
                      <a:fillRect/>
                    </a:stretch>
                  </xdr:blipFill>
                  <xdr:spPr>
                    <a:xfrm>
                      <a:off x="2486025" y="59159775"/>
                      <a:ext cx="1847088" cy="1847088"/>
                    </a:xfrm>
                    <a:prstGeom prst="rect">
                      <a:avLst/>
                    </a:prstGeom>
                  </xdr:spPr>
                </xdr:pic>
                <xdr:pic>
                  <xdr:nvPicPr>
                    <xdr:cNvPr id="4376" name="05_overlayimage"/>
                    <xdr:cNvPicPr>
                      <a:picLocks/>
                    </xdr:cNvPicPr>
                  </xdr:nvPicPr>
                  <xdr:blipFill>
                    <a:blip xmlns:r="http://schemas.openxmlformats.org/officeDocument/2006/relationships" r:link="rId2"/>
                    <a:stretch>
                      <a:fillRect/>
                    </a:stretch>
                  </xdr:blipFill>
                  <xdr:spPr>
                    <a:xfrm>
                      <a:off x="2486025" y="60386596"/>
                      <a:ext cx="1847088" cy="621792"/>
                    </a:xfrm>
                    <a:prstGeom prst="rect">
                      <a:avLst/>
                    </a:prstGeom>
                  </xdr:spPr>
                </xdr:pic>
                <xdr:sp macro="" textlink="Calculations!O423">
                  <xdr:nvSpPr>
                    <xdr:cNvPr id="866" name="05_overlaytext"/>
                    <xdr:cNvSpPr txBox="1"/>
                  </xdr:nvSpPr>
                  <xdr:spPr>
                    <a:xfrm>
                      <a:off x="2486025" y="60386595"/>
                      <a:ext cx="1847088" cy="6217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100584" tIns="36576" rIns="100584" bIns="45720" rtlCol="0" anchor="t"/>
                    <a:lstStyle/>
                    <a:p>
                      <a:pPr marL="0" indent="0" algn="l"/>
                      <a:fld id="{590AAED0-8255-41F0-936B-13667950C7A2}" type="TxLink">
                        <a:rPr lang="en-US" sz="1100" b="0" i="1">
                          <a:solidFill>
                            <a:srgbClr val="EBEBEB"/>
                          </a:solidFill>
                          <a:latin typeface="Cambria" panose="02040503050406030204" pitchFamily="18" charset="0"/>
                          <a:ea typeface="+mn-ea"/>
                          <a:cs typeface="+mn-cs"/>
                        </a:rPr>
                        <a:pPr marL="0" indent="0" algn="l"/>
                        <a:t>Best caption gets a shoutout!
-
Follow @travellingpreneur</a:t>
                      </a:fld>
                      <a:endParaRPr lang="en-US" sz="1100" b="0" i="1">
                        <a:solidFill>
                          <a:srgbClr val="EBEBEB"/>
                        </a:solidFill>
                        <a:latin typeface="Cambria" panose="02040503050406030204" pitchFamily="18" charset="0"/>
                        <a:ea typeface="+mn-ea"/>
                        <a:cs typeface="+mn-cs"/>
                      </a:endParaRPr>
                    </a:p>
                  </xdr:txBody>
                </xdr:sp>
              </xdr:grpSp>
              <xdr:grpSp>
                <xdr:nvGrpSpPr>
                  <xdr:cNvPr id="9183" name="Group 9182"/>
                  <xdr:cNvGrpSpPr/>
                </xdr:nvGrpSpPr>
                <xdr:grpSpPr>
                  <a:xfrm>
                    <a:off x="2600325" y="59340750"/>
                    <a:ext cx="1590675" cy="1600200"/>
                    <a:chOff x="2600325" y="59340750"/>
                    <a:chExt cx="1590675" cy="1600200"/>
                  </a:xfrm>
                </xdr:grpSpPr>
                <xdr:sp macro="" textlink="">
                  <xdr:nvSpPr>
                    <xdr:cNvPr id="862" name="05_posttext"/>
                    <xdr:cNvSpPr txBox="1"/>
                  </xdr:nvSpPr>
                  <xdr:spPr>
                    <a:xfrm>
                      <a:off x="2686050" y="59340750"/>
                      <a:ext cx="1504950" cy="1600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marL="0" indent="0" algn="l"/>
                      <a:r>
                        <a:rPr lang="en-US" sz="1300" b="0" i="1">
                          <a:solidFill>
                            <a:srgbClr val="4D4D4D"/>
                          </a:solidFill>
                          <a:latin typeface="Cambria" panose="02040503050406030204" pitchFamily="18" charset="0"/>
                          <a:ea typeface="+mn-ea"/>
                          <a:cs typeface="+mn-cs"/>
                        </a:rPr>
                        <a:t> </a:t>
                      </a:r>
                    </a:p>
                  </xdr:txBody>
                </xdr:sp>
                <xdr:sp macro="" textlink="">
                  <xdr:nvSpPr>
                    <xdr:cNvPr id="863" name="05_leadparen"/>
                    <xdr:cNvSpPr txBox="1"/>
                  </xdr:nvSpPr>
                  <xdr:spPr>
                    <a:xfrm>
                      <a:off x="2600325" y="59340750"/>
                      <a:ext cx="371475" cy="3524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marL="0" indent="0" algn="l"/>
                      <a:endParaRPr lang="en-US" sz="1300" b="0" i="1">
                        <a:solidFill>
                          <a:srgbClr val="4D4D4D"/>
                        </a:solidFill>
                        <a:latin typeface="Cambria" panose="02040503050406030204" pitchFamily="18" charset="0"/>
                        <a:ea typeface="+mn-ea"/>
                        <a:cs typeface="+mn-cs"/>
                      </a:endParaRPr>
                    </a:p>
                  </xdr:txBody>
                </xdr:sp>
              </xdr:grpSp>
              <xdr:sp macro="" textlink="">
                <xdr:nvSpPr>
                  <xdr:cNvPr id="861" name="05_imgModule_Rectangle_515"/>
                  <xdr:cNvSpPr/>
                </xdr:nvSpPr>
                <xdr:spPr>
                  <a:xfrm>
                    <a:off x="2486025" y="59159774"/>
                    <a:ext cx="9144" cy="1847088"/>
                  </a:xfrm>
                  <a:prstGeom prst="rect">
                    <a:avLst/>
                  </a:prstGeom>
                  <a:solidFill>
                    <a:srgbClr val="000000">
                      <a:alpha val="16863"/>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pic>
              <xdr:nvPicPr>
                <xdr:cNvPr id="4545" name="05_postlinkimage">
                  <a:hlinkClick xmlns:r="http://schemas.openxmlformats.org/officeDocument/2006/relationships" r:id="rId38"/>
                </xdr:cNvPr>
                <xdr:cNvPicPr>
                  <a:picLocks/>
                </xdr:cNvPicPr>
              </xdr:nvPicPr>
              <xdr:blipFill>
                <a:blip xmlns:r="http://schemas.openxmlformats.org/officeDocument/2006/relationships" r:link="rId4"/>
                <a:stretch>
                  <a:fillRect/>
                </a:stretch>
              </xdr:blipFill>
              <xdr:spPr>
                <a:xfrm>
                  <a:off x="2486025" y="59159775"/>
                  <a:ext cx="1847088" cy="1847088"/>
                </a:xfrm>
                <a:prstGeom prst="rect">
                  <a:avLst/>
                </a:prstGeom>
              </xdr:spPr>
            </xdr:pic>
          </xdr:grpSp>
          <xdr:grpSp>
            <xdr:nvGrpSpPr>
              <xdr:cNvPr id="9187" name="Group 9186"/>
              <xdr:cNvGrpSpPr/>
            </xdr:nvGrpSpPr>
            <xdr:grpSpPr>
              <a:xfrm>
                <a:off x="960501" y="59302649"/>
                <a:ext cx="969264" cy="969264"/>
                <a:chOff x="960501" y="59302649"/>
                <a:chExt cx="969264" cy="969264"/>
              </a:xfrm>
            </xdr:grpSpPr>
            <xdr:grpSp>
              <xdr:nvGrpSpPr>
                <xdr:cNvPr id="9186" name="Group 9185"/>
                <xdr:cNvGrpSpPr/>
              </xdr:nvGrpSpPr>
              <xdr:grpSpPr>
                <a:xfrm>
                  <a:off x="1033653" y="59375801"/>
                  <a:ext cx="822960" cy="822960"/>
                  <a:chOff x="1033653" y="59375801"/>
                  <a:chExt cx="822960" cy="822960"/>
                </a:xfrm>
              </xdr:grpSpPr>
              <xdr:sp macro="" textlink="">
                <xdr:nvSpPr>
                  <xdr:cNvPr id="854" name="05_imgModule_Oval_662"/>
                  <xdr:cNvSpPr/>
                </xdr:nvSpPr>
                <xdr:spPr>
                  <a:xfrm>
                    <a:off x="1033653" y="59375801"/>
                    <a:ext cx="822960" cy="822960"/>
                  </a:xfrm>
                  <a:prstGeom prst="ellipse">
                    <a:avLst/>
                  </a:prstGeom>
                  <a:solidFill>
                    <a:srgbClr val="94949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855" name="05_imgModule_Oval_687"/>
                  <xdr:cNvSpPr/>
                </xdr:nvSpPr>
                <xdr:spPr>
                  <a:xfrm>
                    <a:off x="1053754" y="59395873"/>
                    <a:ext cx="782759" cy="782816"/>
                  </a:xfrm>
                  <a:prstGeom prst="ellipse">
                    <a:avLst/>
                  </a:prstGeom>
                  <a:solidFill>
                    <a:srgbClr val="D9D9D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856" name="05_imgModule_Freeform_12"/>
                  <xdr:cNvSpPr>
                    <a:spLocks/>
                  </xdr:cNvSpPr>
                </xdr:nvSpPr>
                <xdr:spPr bwMode="auto">
                  <a:xfrm>
                    <a:off x="1159581" y="59591856"/>
                    <a:ext cx="571104" cy="594874"/>
                  </a:xfrm>
                  <a:custGeom>
                    <a:avLst/>
                    <a:gdLst>
                      <a:gd name="T0" fmla="*/ 3049 w 3180"/>
                      <a:gd name="T1" fmla="*/ 2869 h 3760"/>
                      <a:gd name="T2" fmla="*/ 2848 w 3180"/>
                      <a:gd name="T3" fmla="*/ 2809 h 3760"/>
                      <a:gd name="T4" fmla="*/ 2677 w 3180"/>
                      <a:gd name="T5" fmla="*/ 2745 h 3760"/>
                      <a:gd name="T6" fmla="*/ 2325 w 3180"/>
                      <a:gd name="T7" fmla="*/ 2578 h 3760"/>
                      <a:gd name="T8" fmla="*/ 2187 w 3180"/>
                      <a:gd name="T9" fmla="*/ 2489 h 3760"/>
                      <a:gd name="T10" fmla="*/ 2077 w 3180"/>
                      <a:gd name="T11" fmla="*/ 2368 h 3760"/>
                      <a:gd name="T12" fmla="*/ 1996 w 3180"/>
                      <a:gd name="T13" fmla="*/ 2259 h 3760"/>
                      <a:gd name="T14" fmla="*/ 1975 w 3180"/>
                      <a:gd name="T15" fmla="*/ 2040 h 3760"/>
                      <a:gd name="T16" fmla="*/ 1986 w 3180"/>
                      <a:gd name="T17" fmla="*/ 2014 h 3760"/>
                      <a:gd name="T18" fmla="*/ 2114 w 3180"/>
                      <a:gd name="T19" fmla="*/ 1664 h 3760"/>
                      <a:gd name="T20" fmla="*/ 2148 w 3180"/>
                      <a:gd name="T21" fmla="*/ 1626 h 3760"/>
                      <a:gd name="T22" fmla="*/ 2201 w 3180"/>
                      <a:gd name="T23" fmla="*/ 1561 h 3760"/>
                      <a:gd name="T24" fmla="*/ 2240 w 3180"/>
                      <a:gd name="T25" fmla="*/ 1475 h 3760"/>
                      <a:gd name="T26" fmla="*/ 2269 w 3180"/>
                      <a:gd name="T27" fmla="*/ 1358 h 3760"/>
                      <a:gd name="T28" fmla="*/ 2292 w 3180"/>
                      <a:gd name="T29" fmla="*/ 1232 h 3760"/>
                      <a:gd name="T30" fmla="*/ 2291 w 3180"/>
                      <a:gd name="T31" fmla="*/ 1150 h 3760"/>
                      <a:gd name="T32" fmla="*/ 2278 w 3180"/>
                      <a:gd name="T33" fmla="*/ 1137 h 3760"/>
                      <a:gd name="T34" fmla="*/ 2270 w 3180"/>
                      <a:gd name="T35" fmla="*/ 886 h 3760"/>
                      <a:gd name="T36" fmla="*/ 2283 w 3180"/>
                      <a:gd name="T37" fmla="*/ 694 h 3760"/>
                      <a:gd name="T38" fmla="*/ 2262 w 3180"/>
                      <a:gd name="T39" fmla="*/ 595 h 3760"/>
                      <a:gd name="T40" fmla="*/ 2254 w 3180"/>
                      <a:gd name="T41" fmla="*/ 509 h 3760"/>
                      <a:gd name="T42" fmla="*/ 2183 w 3180"/>
                      <a:gd name="T43" fmla="*/ 416 h 3760"/>
                      <a:gd name="T44" fmla="*/ 1984 w 3180"/>
                      <a:gd name="T45" fmla="*/ 219 h 3760"/>
                      <a:gd name="T46" fmla="*/ 1833 w 3180"/>
                      <a:gd name="T47" fmla="*/ 65 h 3760"/>
                      <a:gd name="T48" fmla="*/ 1648 w 3180"/>
                      <a:gd name="T49" fmla="*/ 0 h 3760"/>
                      <a:gd name="T50" fmla="*/ 1474 w 3180"/>
                      <a:gd name="T51" fmla="*/ 35 h 3760"/>
                      <a:gd name="T52" fmla="*/ 1339 w 3180"/>
                      <a:gd name="T53" fmla="*/ 50 h 3760"/>
                      <a:gd name="T54" fmla="*/ 1188 w 3180"/>
                      <a:gd name="T55" fmla="*/ 157 h 3760"/>
                      <a:gd name="T56" fmla="*/ 944 w 3180"/>
                      <a:gd name="T57" fmla="*/ 333 h 3760"/>
                      <a:gd name="T58" fmla="*/ 905 w 3180"/>
                      <a:gd name="T59" fmla="*/ 551 h 3760"/>
                      <a:gd name="T60" fmla="*/ 908 w 3180"/>
                      <a:gd name="T61" fmla="*/ 716 h 3760"/>
                      <a:gd name="T62" fmla="*/ 913 w 3180"/>
                      <a:gd name="T63" fmla="*/ 1031 h 3760"/>
                      <a:gd name="T64" fmla="*/ 860 w 3180"/>
                      <a:gd name="T65" fmla="*/ 1071 h 3760"/>
                      <a:gd name="T66" fmla="*/ 849 w 3180"/>
                      <a:gd name="T67" fmla="*/ 1116 h 3760"/>
                      <a:gd name="T68" fmla="*/ 875 w 3180"/>
                      <a:gd name="T69" fmla="*/ 1385 h 3760"/>
                      <a:gd name="T70" fmla="*/ 889 w 3180"/>
                      <a:gd name="T71" fmla="*/ 1462 h 3760"/>
                      <a:gd name="T72" fmla="*/ 969 w 3180"/>
                      <a:gd name="T73" fmla="*/ 1562 h 3760"/>
                      <a:gd name="T74" fmla="*/ 1000 w 3180"/>
                      <a:gd name="T75" fmla="*/ 1600 h 3760"/>
                      <a:gd name="T76" fmla="*/ 1097 w 3180"/>
                      <a:gd name="T77" fmla="*/ 1970 h 3760"/>
                      <a:gd name="T78" fmla="*/ 1104 w 3180"/>
                      <a:gd name="T79" fmla="*/ 2220 h 3760"/>
                      <a:gd name="T80" fmla="*/ 809 w 3180"/>
                      <a:gd name="T81" fmla="*/ 2524 h 3760"/>
                      <a:gd name="T82" fmla="*/ 351 w 3180"/>
                      <a:gd name="T83" fmla="*/ 2804 h 3760"/>
                      <a:gd name="T84" fmla="*/ 131 w 3180"/>
                      <a:gd name="T85" fmla="*/ 2869 h 3760"/>
                      <a:gd name="T86" fmla="*/ 100 w 3180"/>
                      <a:gd name="T87" fmla="*/ 3123 h 3760"/>
                      <a:gd name="T88" fmla="*/ 449 w 3180"/>
                      <a:gd name="T89" fmla="*/ 3428 h 3760"/>
                      <a:gd name="T90" fmla="*/ 907 w 3180"/>
                      <a:gd name="T91" fmla="*/ 3640 h 3760"/>
                      <a:gd name="T92" fmla="*/ 1374 w 3180"/>
                      <a:gd name="T93" fmla="*/ 3748 h 3760"/>
                      <a:gd name="T94" fmla="*/ 1983 w 3180"/>
                      <a:gd name="T95" fmla="*/ 3702 h 3760"/>
                      <a:gd name="T96" fmla="*/ 2730 w 3180"/>
                      <a:gd name="T97" fmla="*/ 3410 h 3760"/>
                      <a:gd name="T98" fmla="*/ 3096 w 3180"/>
                      <a:gd name="T99" fmla="*/ 3110 h 3760"/>
                      <a:gd name="connsiteX0" fmla="*/ 10325 w 10325"/>
                      <a:gd name="connsiteY0" fmla="*/ 7962 h 10000"/>
                      <a:gd name="connsiteX1" fmla="*/ 9588 w 10325"/>
                      <a:gd name="connsiteY1" fmla="*/ 7630 h 10000"/>
                      <a:gd name="connsiteX2" fmla="*/ 9170 w 10325"/>
                      <a:gd name="connsiteY2" fmla="*/ 7519 h 10000"/>
                      <a:gd name="connsiteX3" fmla="*/ 8956 w 10325"/>
                      <a:gd name="connsiteY3" fmla="*/ 7471 h 10000"/>
                      <a:gd name="connsiteX4" fmla="*/ 8714 w 10325"/>
                      <a:gd name="connsiteY4" fmla="*/ 7410 h 10000"/>
                      <a:gd name="connsiteX5" fmla="*/ 8418 w 10325"/>
                      <a:gd name="connsiteY5" fmla="*/ 7301 h 10000"/>
                      <a:gd name="connsiteX6" fmla="*/ 7346 w 10325"/>
                      <a:gd name="connsiteY6" fmla="*/ 6867 h 10000"/>
                      <a:gd name="connsiteX7" fmla="*/ 7311 w 10325"/>
                      <a:gd name="connsiteY7" fmla="*/ 6856 h 10000"/>
                      <a:gd name="connsiteX8" fmla="*/ 7041 w 10325"/>
                      <a:gd name="connsiteY8" fmla="*/ 6739 h 10000"/>
                      <a:gd name="connsiteX9" fmla="*/ 6877 w 10325"/>
                      <a:gd name="connsiteY9" fmla="*/ 6620 h 10000"/>
                      <a:gd name="connsiteX10" fmla="*/ 6689 w 10325"/>
                      <a:gd name="connsiteY10" fmla="*/ 6428 h 10000"/>
                      <a:gd name="connsiteX11" fmla="*/ 6531 w 10325"/>
                      <a:gd name="connsiteY11" fmla="*/ 6298 h 10000"/>
                      <a:gd name="connsiteX12" fmla="*/ 6377 w 10325"/>
                      <a:gd name="connsiteY12" fmla="*/ 6165 h 10000"/>
                      <a:gd name="connsiteX13" fmla="*/ 6277 w 10325"/>
                      <a:gd name="connsiteY13" fmla="*/ 6008 h 10000"/>
                      <a:gd name="connsiteX14" fmla="*/ 6220 w 10325"/>
                      <a:gd name="connsiteY14" fmla="*/ 5649 h 10000"/>
                      <a:gd name="connsiteX15" fmla="*/ 6211 w 10325"/>
                      <a:gd name="connsiteY15" fmla="*/ 5426 h 10000"/>
                      <a:gd name="connsiteX16" fmla="*/ 6211 w 10325"/>
                      <a:gd name="connsiteY16" fmla="*/ 5383 h 10000"/>
                      <a:gd name="connsiteX17" fmla="*/ 6245 w 10325"/>
                      <a:gd name="connsiteY17" fmla="*/ 5356 h 10000"/>
                      <a:gd name="connsiteX18" fmla="*/ 6597 w 10325"/>
                      <a:gd name="connsiteY18" fmla="*/ 4763 h 10000"/>
                      <a:gd name="connsiteX19" fmla="*/ 6648 w 10325"/>
                      <a:gd name="connsiteY19" fmla="*/ 4426 h 10000"/>
                      <a:gd name="connsiteX20" fmla="*/ 6648 w 10325"/>
                      <a:gd name="connsiteY20" fmla="*/ 4332 h 10000"/>
                      <a:gd name="connsiteX21" fmla="*/ 6755 w 10325"/>
                      <a:gd name="connsiteY21" fmla="*/ 4324 h 10000"/>
                      <a:gd name="connsiteX22" fmla="*/ 6849 w 10325"/>
                      <a:gd name="connsiteY22" fmla="*/ 4290 h 10000"/>
                      <a:gd name="connsiteX23" fmla="*/ 6921 w 10325"/>
                      <a:gd name="connsiteY23" fmla="*/ 4152 h 10000"/>
                      <a:gd name="connsiteX24" fmla="*/ 6972 w 10325"/>
                      <a:gd name="connsiteY24" fmla="*/ 4043 h 10000"/>
                      <a:gd name="connsiteX25" fmla="*/ 7044 w 10325"/>
                      <a:gd name="connsiteY25" fmla="*/ 3923 h 10000"/>
                      <a:gd name="connsiteX26" fmla="*/ 7113 w 10325"/>
                      <a:gd name="connsiteY26" fmla="*/ 3769 h 10000"/>
                      <a:gd name="connsiteX27" fmla="*/ 7135 w 10325"/>
                      <a:gd name="connsiteY27" fmla="*/ 3612 h 10000"/>
                      <a:gd name="connsiteX28" fmla="*/ 7154 w 10325"/>
                      <a:gd name="connsiteY28" fmla="*/ 3455 h 10000"/>
                      <a:gd name="connsiteX29" fmla="*/ 7208 w 10325"/>
                      <a:gd name="connsiteY29" fmla="*/ 3277 h 10000"/>
                      <a:gd name="connsiteX30" fmla="*/ 7236 w 10325"/>
                      <a:gd name="connsiteY30" fmla="*/ 3133 h 10000"/>
                      <a:gd name="connsiteX31" fmla="*/ 7204 w 10325"/>
                      <a:gd name="connsiteY31" fmla="*/ 3059 h 10000"/>
                      <a:gd name="connsiteX32" fmla="*/ 7198 w 10325"/>
                      <a:gd name="connsiteY32" fmla="*/ 3059 h 10000"/>
                      <a:gd name="connsiteX33" fmla="*/ 7164 w 10325"/>
                      <a:gd name="connsiteY33" fmla="*/ 3024 h 10000"/>
                      <a:gd name="connsiteX34" fmla="*/ 7113 w 10325"/>
                      <a:gd name="connsiteY34" fmla="*/ 2896 h 10000"/>
                      <a:gd name="connsiteX35" fmla="*/ 7138 w 10325"/>
                      <a:gd name="connsiteY35" fmla="*/ 2356 h 10000"/>
                      <a:gd name="connsiteX36" fmla="*/ 7142 w 10325"/>
                      <a:gd name="connsiteY36" fmla="*/ 2314 h 10000"/>
                      <a:gd name="connsiteX37" fmla="*/ 7179 w 10325"/>
                      <a:gd name="connsiteY37" fmla="*/ 1846 h 10000"/>
                      <a:gd name="connsiteX38" fmla="*/ 7123 w 10325"/>
                      <a:gd name="connsiteY38" fmla="*/ 1609 h 10000"/>
                      <a:gd name="connsiteX39" fmla="*/ 7113 w 10325"/>
                      <a:gd name="connsiteY39" fmla="*/ 1582 h 10000"/>
                      <a:gd name="connsiteX40" fmla="*/ 7082 w 10325"/>
                      <a:gd name="connsiteY40" fmla="*/ 1447 h 10000"/>
                      <a:gd name="connsiteX41" fmla="*/ 7088 w 10325"/>
                      <a:gd name="connsiteY41" fmla="*/ 1354 h 10000"/>
                      <a:gd name="connsiteX42" fmla="*/ 7066 w 10325"/>
                      <a:gd name="connsiteY42" fmla="*/ 1271 h 10000"/>
                      <a:gd name="connsiteX43" fmla="*/ 6865 w 10325"/>
                      <a:gd name="connsiteY43" fmla="*/ 1106 h 10000"/>
                      <a:gd name="connsiteX44" fmla="*/ 6535 w 10325"/>
                      <a:gd name="connsiteY44" fmla="*/ 848 h 10000"/>
                      <a:gd name="connsiteX45" fmla="*/ 6239 w 10325"/>
                      <a:gd name="connsiteY45" fmla="*/ 582 h 10000"/>
                      <a:gd name="connsiteX46" fmla="*/ 6006 w 10325"/>
                      <a:gd name="connsiteY46" fmla="*/ 370 h 10000"/>
                      <a:gd name="connsiteX47" fmla="*/ 5764 w 10325"/>
                      <a:gd name="connsiteY47" fmla="*/ 173 h 10000"/>
                      <a:gd name="connsiteX48" fmla="*/ 5503 w 10325"/>
                      <a:gd name="connsiteY48" fmla="*/ 45 h 10000"/>
                      <a:gd name="connsiteX49" fmla="*/ 5182 w 10325"/>
                      <a:gd name="connsiteY49" fmla="*/ 0 h 10000"/>
                      <a:gd name="connsiteX50" fmla="*/ 4874 w 10325"/>
                      <a:gd name="connsiteY50" fmla="*/ 32 h 10000"/>
                      <a:gd name="connsiteX51" fmla="*/ 4635 w 10325"/>
                      <a:gd name="connsiteY51" fmla="*/ 93 h 10000"/>
                      <a:gd name="connsiteX52" fmla="*/ 4390 w 10325"/>
                      <a:gd name="connsiteY52" fmla="*/ 144 h 10000"/>
                      <a:gd name="connsiteX53" fmla="*/ 4211 w 10325"/>
                      <a:gd name="connsiteY53" fmla="*/ 133 h 10000"/>
                      <a:gd name="connsiteX54" fmla="*/ 4022 w 10325"/>
                      <a:gd name="connsiteY54" fmla="*/ 266 h 10000"/>
                      <a:gd name="connsiteX55" fmla="*/ 3736 w 10325"/>
                      <a:gd name="connsiteY55" fmla="*/ 418 h 10000"/>
                      <a:gd name="connsiteX56" fmla="*/ 3324 w 10325"/>
                      <a:gd name="connsiteY56" fmla="*/ 630 h 10000"/>
                      <a:gd name="connsiteX57" fmla="*/ 2969 w 10325"/>
                      <a:gd name="connsiteY57" fmla="*/ 886 h 10000"/>
                      <a:gd name="connsiteX58" fmla="*/ 2814 w 10325"/>
                      <a:gd name="connsiteY58" fmla="*/ 1173 h 10000"/>
                      <a:gd name="connsiteX59" fmla="*/ 2846 w 10325"/>
                      <a:gd name="connsiteY59" fmla="*/ 1465 h 10000"/>
                      <a:gd name="connsiteX60" fmla="*/ 2877 w 10325"/>
                      <a:gd name="connsiteY60" fmla="*/ 1678 h 10000"/>
                      <a:gd name="connsiteX61" fmla="*/ 2855 w 10325"/>
                      <a:gd name="connsiteY61" fmla="*/ 1904 h 10000"/>
                      <a:gd name="connsiteX62" fmla="*/ 2824 w 10325"/>
                      <a:gd name="connsiteY62" fmla="*/ 2436 h 10000"/>
                      <a:gd name="connsiteX63" fmla="*/ 2871 w 10325"/>
                      <a:gd name="connsiteY63" fmla="*/ 2742 h 10000"/>
                      <a:gd name="connsiteX64" fmla="*/ 2925 w 10325"/>
                      <a:gd name="connsiteY64" fmla="*/ 2973 h 10000"/>
                      <a:gd name="connsiteX65" fmla="*/ 2704 w 10325"/>
                      <a:gd name="connsiteY65" fmla="*/ 2848 h 10000"/>
                      <a:gd name="connsiteX66" fmla="*/ 2689 w 10325"/>
                      <a:gd name="connsiteY66" fmla="*/ 2878 h 10000"/>
                      <a:gd name="connsiteX67" fmla="*/ 2670 w 10325"/>
                      <a:gd name="connsiteY67" fmla="*/ 2968 h 10000"/>
                      <a:gd name="connsiteX68" fmla="*/ 2682 w 10325"/>
                      <a:gd name="connsiteY68" fmla="*/ 3314 h 10000"/>
                      <a:gd name="connsiteX69" fmla="*/ 2752 w 10325"/>
                      <a:gd name="connsiteY69" fmla="*/ 3684 h 10000"/>
                      <a:gd name="connsiteX70" fmla="*/ 2774 w 10325"/>
                      <a:gd name="connsiteY70" fmla="*/ 3785 h 10000"/>
                      <a:gd name="connsiteX71" fmla="*/ 2796 w 10325"/>
                      <a:gd name="connsiteY71" fmla="*/ 3888 h 10000"/>
                      <a:gd name="connsiteX72" fmla="*/ 2928 w 10325"/>
                      <a:gd name="connsiteY72" fmla="*/ 4109 h 10000"/>
                      <a:gd name="connsiteX73" fmla="*/ 3047 w 10325"/>
                      <a:gd name="connsiteY73" fmla="*/ 4154 h 10000"/>
                      <a:gd name="connsiteX74" fmla="*/ 3142 w 10325"/>
                      <a:gd name="connsiteY74" fmla="*/ 4168 h 10000"/>
                      <a:gd name="connsiteX75" fmla="*/ 3145 w 10325"/>
                      <a:gd name="connsiteY75" fmla="*/ 4255 h 10000"/>
                      <a:gd name="connsiteX76" fmla="*/ 3296 w 10325"/>
                      <a:gd name="connsiteY76" fmla="*/ 4976 h 10000"/>
                      <a:gd name="connsiteX77" fmla="*/ 3450 w 10325"/>
                      <a:gd name="connsiteY77" fmla="*/ 5239 h 10000"/>
                      <a:gd name="connsiteX78" fmla="*/ 3472 w 10325"/>
                      <a:gd name="connsiteY78" fmla="*/ 5266 h 10000"/>
                      <a:gd name="connsiteX79" fmla="*/ 3472 w 10325"/>
                      <a:gd name="connsiteY79" fmla="*/ 5904 h 10000"/>
                      <a:gd name="connsiteX80" fmla="*/ 3374 w 10325"/>
                      <a:gd name="connsiteY80" fmla="*/ 5995 h 10000"/>
                      <a:gd name="connsiteX81" fmla="*/ 2544 w 10325"/>
                      <a:gd name="connsiteY81" fmla="*/ 6713 h 10000"/>
                      <a:gd name="connsiteX82" fmla="*/ 1421 w 10325"/>
                      <a:gd name="connsiteY82" fmla="*/ 7370 h 10000"/>
                      <a:gd name="connsiteX83" fmla="*/ 1104 w 10325"/>
                      <a:gd name="connsiteY83" fmla="*/ 7457 h 10000"/>
                      <a:gd name="connsiteX84" fmla="*/ 833 w 10325"/>
                      <a:gd name="connsiteY84" fmla="*/ 7519 h 10000"/>
                      <a:gd name="connsiteX85" fmla="*/ 412 w 10325"/>
                      <a:gd name="connsiteY85" fmla="*/ 7630 h 10000"/>
                      <a:gd name="connsiteX86" fmla="*/ 0 w 10325"/>
                      <a:gd name="connsiteY86" fmla="*/ 7816 h 10000"/>
                      <a:gd name="connsiteX87" fmla="*/ 314 w 10325"/>
                      <a:gd name="connsiteY87" fmla="*/ 8306 h 10000"/>
                      <a:gd name="connsiteX88" fmla="*/ 799 w 10325"/>
                      <a:gd name="connsiteY88" fmla="*/ 8742 h 10000"/>
                      <a:gd name="connsiteX89" fmla="*/ 1412 w 10325"/>
                      <a:gd name="connsiteY89" fmla="*/ 9117 h 10000"/>
                      <a:gd name="connsiteX90" fmla="*/ 2107 w 10325"/>
                      <a:gd name="connsiteY90" fmla="*/ 9431 h 10000"/>
                      <a:gd name="connsiteX91" fmla="*/ 2852 w 10325"/>
                      <a:gd name="connsiteY91" fmla="*/ 9681 h 10000"/>
                      <a:gd name="connsiteX92" fmla="*/ 3604 w 10325"/>
                      <a:gd name="connsiteY92" fmla="*/ 9862 h 10000"/>
                      <a:gd name="connsiteX93" fmla="*/ 4321 w 10325"/>
                      <a:gd name="connsiteY93" fmla="*/ 9968 h 10000"/>
                      <a:gd name="connsiteX94" fmla="*/ 4965 w 10325"/>
                      <a:gd name="connsiteY94" fmla="*/ 10000 h 10000"/>
                      <a:gd name="connsiteX95" fmla="*/ 6236 w 10325"/>
                      <a:gd name="connsiteY95" fmla="*/ 9846 h 10000"/>
                      <a:gd name="connsiteX96" fmla="*/ 7824 w 10325"/>
                      <a:gd name="connsiteY96" fmla="*/ 9391 h 10000"/>
                      <a:gd name="connsiteX97" fmla="*/ 8585 w 10325"/>
                      <a:gd name="connsiteY97" fmla="*/ 9069 h 10000"/>
                      <a:gd name="connsiteX98" fmla="*/ 9245 w 10325"/>
                      <a:gd name="connsiteY98" fmla="*/ 8694 h 10000"/>
                      <a:gd name="connsiteX99" fmla="*/ 9736 w 10325"/>
                      <a:gd name="connsiteY99" fmla="*/ 8271 h 10000"/>
                      <a:gd name="connsiteX100" fmla="*/ 10325 w 10325"/>
                      <a:gd name="connsiteY100" fmla="*/ 7962 h 10000"/>
                      <a:gd name="connsiteX0" fmla="*/ 10650 w 10650"/>
                      <a:gd name="connsiteY0" fmla="*/ 7962 h 10000"/>
                      <a:gd name="connsiteX1" fmla="*/ 9913 w 10650"/>
                      <a:gd name="connsiteY1" fmla="*/ 7630 h 10000"/>
                      <a:gd name="connsiteX2" fmla="*/ 9495 w 10650"/>
                      <a:gd name="connsiteY2" fmla="*/ 7519 h 10000"/>
                      <a:gd name="connsiteX3" fmla="*/ 9281 w 10650"/>
                      <a:gd name="connsiteY3" fmla="*/ 7471 h 10000"/>
                      <a:gd name="connsiteX4" fmla="*/ 9039 w 10650"/>
                      <a:gd name="connsiteY4" fmla="*/ 7410 h 10000"/>
                      <a:gd name="connsiteX5" fmla="*/ 8743 w 10650"/>
                      <a:gd name="connsiteY5" fmla="*/ 7301 h 10000"/>
                      <a:gd name="connsiteX6" fmla="*/ 7671 w 10650"/>
                      <a:gd name="connsiteY6" fmla="*/ 6867 h 10000"/>
                      <a:gd name="connsiteX7" fmla="*/ 7636 w 10650"/>
                      <a:gd name="connsiteY7" fmla="*/ 6856 h 10000"/>
                      <a:gd name="connsiteX8" fmla="*/ 7366 w 10650"/>
                      <a:gd name="connsiteY8" fmla="*/ 6739 h 10000"/>
                      <a:gd name="connsiteX9" fmla="*/ 7202 w 10650"/>
                      <a:gd name="connsiteY9" fmla="*/ 6620 h 10000"/>
                      <a:gd name="connsiteX10" fmla="*/ 7014 w 10650"/>
                      <a:gd name="connsiteY10" fmla="*/ 6428 h 10000"/>
                      <a:gd name="connsiteX11" fmla="*/ 6856 w 10650"/>
                      <a:gd name="connsiteY11" fmla="*/ 6298 h 10000"/>
                      <a:gd name="connsiteX12" fmla="*/ 6702 w 10650"/>
                      <a:gd name="connsiteY12" fmla="*/ 6165 h 10000"/>
                      <a:gd name="connsiteX13" fmla="*/ 6602 w 10650"/>
                      <a:gd name="connsiteY13" fmla="*/ 6008 h 10000"/>
                      <a:gd name="connsiteX14" fmla="*/ 6545 w 10650"/>
                      <a:gd name="connsiteY14" fmla="*/ 5649 h 10000"/>
                      <a:gd name="connsiteX15" fmla="*/ 6536 w 10650"/>
                      <a:gd name="connsiteY15" fmla="*/ 5426 h 10000"/>
                      <a:gd name="connsiteX16" fmla="*/ 6536 w 10650"/>
                      <a:gd name="connsiteY16" fmla="*/ 5383 h 10000"/>
                      <a:gd name="connsiteX17" fmla="*/ 6570 w 10650"/>
                      <a:gd name="connsiteY17" fmla="*/ 5356 h 10000"/>
                      <a:gd name="connsiteX18" fmla="*/ 6922 w 10650"/>
                      <a:gd name="connsiteY18" fmla="*/ 4763 h 10000"/>
                      <a:gd name="connsiteX19" fmla="*/ 6973 w 10650"/>
                      <a:gd name="connsiteY19" fmla="*/ 4426 h 10000"/>
                      <a:gd name="connsiteX20" fmla="*/ 6973 w 10650"/>
                      <a:gd name="connsiteY20" fmla="*/ 4332 h 10000"/>
                      <a:gd name="connsiteX21" fmla="*/ 7080 w 10650"/>
                      <a:gd name="connsiteY21" fmla="*/ 4324 h 10000"/>
                      <a:gd name="connsiteX22" fmla="*/ 7174 w 10650"/>
                      <a:gd name="connsiteY22" fmla="*/ 4290 h 10000"/>
                      <a:gd name="connsiteX23" fmla="*/ 7246 w 10650"/>
                      <a:gd name="connsiteY23" fmla="*/ 4152 h 10000"/>
                      <a:gd name="connsiteX24" fmla="*/ 7297 w 10650"/>
                      <a:gd name="connsiteY24" fmla="*/ 4043 h 10000"/>
                      <a:gd name="connsiteX25" fmla="*/ 7369 w 10650"/>
                      <a:gd name="connsiteY25" fmla="*/ 3923 h 10000"/>
                      <a:gd name="connsiteX26" fmla="*/ 7438 w 10650"/>
                      <a:gd name="connsiteY26" fmla="*/ 3769 h 10000"/>
                      <a:gd name="connsiteX27" fmla="*/ 7460 w 10650"/>
                      <a:gd name="connsiteY27" fmla="*/ 3612 h 10000"/>
                      <a:gd name="connsiteX28" fmla="*/ 7479 w 10650"/>
                      <a:gd name="connsiteY28" fmla="*/ 3455 h 10000"/>
                      <a:gd name="connsiteX29" fmla="*/ 7533 w 10650"/>
                      <a:gd name="connsiteY29" fmla="*/ 3277 h 10000"/>
                      <a:gd name="connsiteX30" fmla="*/ 7561 w 10650"/>
                      <a:gd name="connsiteY30" fmla="*/ 3133 h 10000"/>
                      <a:gd name="connsiteX31" fmla="*/ 7529 w 10650"/>
                      <a:gd name="connsiteY31" fmla="*/ 3059 h 10000"/>
                      <a:gd name="connsiteX32" fmla="*/ 7523 w 10650"/>
                      <a:gd name="connsiteY32" fmla="*/ 3059 h 10000"/>
                      <a:gd name="connsiteX33" fmla="*/ 7489 w 10650"/>
                      <a:gd name="connsiteY33" fmla="*/ 3024 h 10000"/>
                      <a:gd name="connsiteX34" fmla="*/ 7438 w 10650"/>
                      <a:gd name="connsiteY34" fmla="*/ 2896 h 10000"/>
                      <a:gd name="connsiteX35" fmla="*/ 7463 w 10650"/>
                      <a:gd name="connsiteY35" fmla="*/ 2356 h 10000"/>
                      <a:gd name="connsiteX36" fmla="*/ 7467 w 10650"/>
                      <a:gd name="connsiteY36" fmla="*/ 2314 h 10000"/>
                      <a:gd name="connsiteX37" fmla="*/ 7504 w 10650"/>
                      <a:gd name="connsiteY37" fmla="*/ 1846 h 10000"/>
                      <a:gd name="connsiteX38" fmla="*/ 7448 w 10650"/>
                      <a:gd name="connsiteY38" fmla="*/ 1609 h 10000"/>
                      <a:gd name="connsiteX39" fmla="*/ 7438 w 10650"/>
                      <a:gd name="connsiteY39" fmla="*/ 1582 h 10000"/>
                      <a:gd name="connsiteX40" fmla="*/ 7407 w 10650"/>
                      <a:gd name="connsiteY40" fmla="*/ 1447 h 10000"/>
                      <a:gd name="connsiteX41" fmla="*/ 7413 w 10650"/>
                      <a:gd name="connsiteY41" fmla="*/ 1354 h 10000"/>
                      <a:gd name="connsiteX42" fmla="*/ 7391 w 10650"/>
                      <a:gd name="connsiteY42" fmla="*/ 1271 h 10000"/>
                      <a:gd name="connsiteX43" fmla="*/ 7190 w 10650"/>
                      <a:gd name="connsiteY43" fmla="*/ 1106 h 10000"/>
                      <a:gd name="connsiteX44" fmla="*/ 6860 w 10650"/>
                      <a:gd name="connsiteY44" fmla="*/ 848 h 10000"/>
                      <a:gd name="connsiteX45" fmla="*/ 6564 w 10650"/>
                      <a:gd name="connsiteY45" fmla="*/ 582 h 10000"/>
                      <a:gd name="connsiteX46" fmla="*/ 6331 w 10650"/>
                      <a:gd name="connsiteY46" fmla="*/ 370 h 10000"/>
                      <a:gd name="connsiteX47" fmla="*/ 6089 w 10650"/>
                      <a:gd name="connsiteY47" fmla="*/ 173 h 10000"/>
                      <a:gd name="connsiteX48" fmla="*/ 5828 w 10650"/>
                      <a:gd name="connsiteY48" fmla="*/ 45 h 10000"/>
                      <a:gd name="connsiteX49" fmla="*/ 5507 w 10650"/>
                      <a:gd name="connsiteY49" fmla="*/ 0 h 10000"/>
                      <a:gd name="connsiteX50" fmla="*/ 5199 w 10650"/>
                      <a:gd name="connsiteY50" fmla="*/ 32 h 10000"/>
                      <a:gd name="connsiteX51" fmla="*/ 4960 w 10650"/>
                      <a:gd name="connsiteY51" fmla="*/ 93 h 10000"/>
                      <a:gd name="connsiteX52" fmla="*/ 4715 w 10650"/>
                      <a:gd name="connsiteY52" fmla="*/ 144 h 10000"/>
                      <a:gd name="connsiteX53" fmla="*/ 4536 w 10650"/>
                      <a:gd name="connsiteY53" fmla="*/ 133 h 10000"/>
                      <a:gd name="connsiteX54" fmla="*/ 4347 w 10650"/>
                      <a:gd name="connsiteY54" fmla="*/ 266 h 10000"/>
                      <a:gd name="connsiteX55" fmla="*/ 4061 w 10650"/>
                      <a:gd name="connsiteY55" fmla="*/ 418 h 10000"/>
                      <a:gd name="connsiteX56" fmla="*/ 3649 w 10650"/>
                      <a:gd name="connsiteY56" fmla="*/ 630 h 10000"/>
                      <a:gd name="connsiteX57" fmla="*/ 3294 w 10650"/>
                      <a:gd name="connsiteY57" fmla="*/ 886 h 10000"/>
                      <a:gd name="connsiteX58" fmla="*/ 3139 w 10650"/>
                      <a:gd name="connsiteY58" fmla="*/ 1173 h 10000"/>
                      <a:gd name="connsiteX59" fmla="*/ 3171 w 10650"/>
                      <a:gd name="connsiteY59" fmla="*/ 1465 h 10000"/>
                      <a:gd name="connsiteX60" fmla="*/ 3202 w 10650"/>
                      <a:gd name="connsiteY60" fmla="*/ 1678 h 10000"/>
                      <a:gd name="connsiteX61" fmla="*/ 3180 w 10650"/>
                      <a:gd name="connsiteY61" fmla="*/ 1904 h 10000"/>
                      <a:gd name="connsiteX62" fmla="*/ 3149 w 10650"/>
                      <a:gd name="connsiteY62" fmla="*/ 2436 h 10000"/>
                      <a:gd name="connsiteX63" fmla="*/ 3196 w 10650"/>
                      <a:gd name="connsiteY63" fmla="*/ 2742 h 10000"/>
                      <a:gd name="connsiteX64" fmla="*/ 3250 w 10650"/>
                      <a:gd name="connsiteY64" fmla="*/ 2973 h 10000"/>
                      <a:gd name="connsiteX65" fmla="*/ 3029 w 10650"/>
                      <a:gd name="connsiteY65" fmla="*/ 2848 h 10000"/>
                      <a:gd name="connsiteX66" fmla="*/ 3014 w 10650"/>
                      <a:gd name="connsiteY66" fmla="*/ 2878 h 10000"/>
                      <a:gd name="connsiteX67" fmla="*/ 2995 w 10650"/>
                      <a:gd name="connsiteY67" fmla="*/ 2968 h 10000"/>
                      <a:gd name="connsiteX68" fmla="*/ 3007 w 10650"/>
                      <a:gd name="connsiteY68" fmla="*/ 3314 h 10000"/>
                      <a:gd name="connsiteX69" fmla="*/ 3077 w 10650"/>
                      <a:gd name="connsiteY69" fmla="*/ 3684 h 10000"/>
                      <a:gd name="connsiteX70" fmla="*/ 3099 w 10650"/>
                      <a:gd name="connsiteY70" fmla="*/ 3785 h 10000"/>
                      <a:gd name="connsiteX71" fmla="*/ 3121 w 10650"/>
                      <a:gd name="connsiteY71" fmla="*/ 3888 h 10000"/>
                      <a:gd name="connsiteX72" fmla="*/ 3253 w 10650"/>
                      <a:gd name="connsiteY72" fmla="*/ 4109 h 10000"/>
                      <a:gd name="connsiteX73" fmla="*/ 3372 w 10650"/>
                      <a:gd name="connsiteY73" fmla="*/ 4154 h 10000"/>
                      <a:gd name="connsiteX74" fmla="*/ 3467 w 10650"/>
                      <a:gd name="connsiteY74" fmla="*/ 4168 h 10000"/>
                      <a:gd name="connsiteX75" fmla="*/ 3470 w 10650"/>
                      <a:gd name="connsiteY75" fmla="*/ 4255 h 10000"/>
                      <a:gd name="connsiteX76" fmla="*/ 3621 w 10650"/>
                      <a:gd name="connsiteY76" fmla="*/ 4976 h 10000"/>
                      <a:gd name="connsiteX77" fmla="*/ 3775 w 10650"/>
                      <a:gd name="connsiteY77" fmla="*/ 5239 h 10000"/>
                      <a:gd name="connsiteX78" fmla="*/ 3797 w 10650"/>
                      <a:gd name="connsiteY78" fmla="*/ 5266 h 10000"/>
                      <a:gd name="connsiteX79" fmla="*/ 3797 w 10650"/>
                      <a:gd name="connsiteY79" fmla="*/ 5904 h 10000"/>
                      <a:gd name="connsiteX80" fmla="*/ 3699 w 10650"/>
                      <a:gd name="connsiteY80" fmla="*/ 5995 h 10000"/>
                      <a:gd name="connsiteX81" fmla="*/ 2869 w 10650"/>
                      <a:gd name="connsiteY81" fmla="*/ 6713 h 10000"/>
                      <a:gd name="connsiteX82" fmla="*/ 1746 w 10650"/>
                      <a:gd name="connsiteY82" fmla="*/ 7370 h 10000"/>
                      <a:gd name="connsiteX83" fmla="*/ 1429 w 10650"/>
                      <a:gd name="connsiteY83" fmla="*/ 7457 h 10000"/>
                      <a:gd name="connsiteX84" fmla="*/ 1158 w 10650"/>
                      <a:gd name="connsiteY84" fmla="*/ 7519 h 10000"/>
                      <a:gd name="connsiteX85" fmla="*/ 737 w 10650"/>
                      <a:gd name="connsiteY85" fmla="*/ 7630 h 10000"/>
                      <a:gd name="connsiteX86" fmla="*/ 0 w 10650"/>
                      <a:gd name="connsiteY86" fmla="*/ 8060 h 10000"/>
                      <a:gd name="connsiteX87" fmla="*/ 639 w 10650"/>
                      <a:gd name="connsiteY87" fmla="*/ 8306 h 10000"/>
                      <a:gd name="connsiteX88" fmla="*/ 1124 w 10650"/>
                      <a:gd name="connsiteY88" fmla="*/ 8742 h 10000"/>
                      <a:gd name="connsiteX89" fmla="*/ 1737 w 10650"/>
                      <a:gd name="connsiteY89" fmla="*/ 9117 h 10000"/>
                      <a:gd name="connsiteX90" fmla="*/ 2432 w 10650"/>
                      <a:gd name="connsiteY90" fmla="*/ 9431 h 10000"/>
                      <a:gd name="connsiteX91" fmla="*/ 3177 w 10650"/>
                      <a:gd name="connsiteY91" fmla="*/ 9681 h 10000"/>
                      <a:gd name="connsiteX92" fmla="*/ 3929 w 10650"/>
                      <a:gd name="connsiteY92" fmla="*/ 9862 h 10000"/>
                      <a:gd name="connsiteX93" fmla="*/ 4646 w 10650"/>
                      <a:gd name="connsiteY93" fmla="*/ 9968 h 10000"/>
                      <a:gd name="connsiteX94" fmla="*/ 5290 w 10650"/>
                      <a:gd name="connsiteY94" fmla="*/ 10000 h 10000"/>
                      <a:gd name="connsiteX95" fmla="*/ 6561 w 10650"/>
                      <a:gd name="connsiteY95" fmla="*/ 9846 h 10000"/>
                      <a:gd name="connsiteX96" fmla="*/ 8149 w 10650"/>
                      <a:gd name="connsiteY96" fmla="*/ 9391 h 10000"/>
                      <a:gd name="connsiteX97" fmla="*/ 8910 w 10650"/>
                      <a:gd name="connsiteY97" fmla="*/ 9069 h 10000"/>
                      <a:gd name="connsiteX98" fmla="*/ 9570 w 10650"/>
                      <a:gd name="connsiteY98" fmla="*/ 8694 h 10000"/>
                      <a:gd name="connsiteX99" fmla="*/ 10061 w 10650"/>
                      <a:gd name="connsiteY99" fmla="*/ 8271 h 10000"/>
                      <a:gd name="connsiteX100" fmla="*/ 10650 w 10650"/>
                      <a:gd name="connsiteY100" fmla="*/ 7962 h 10000"/>
                      <a:gd name="connsiteX0" fmla="*/ 10650 w 10650"/>
                      <a:gd name="connsiteY0" fmla="*/ 7962 h 10000"/>
                      <a:gd name="connsiteX1" fmla="*/ 9913 w 10650"/>
                      <a:gd name="connsiteY1" fmla="*/ 7630 h 10000"/>
                      <a:gd name="connsiteX2" fmla="*/ 9495 w 10650"/>
                      <a:gd name="connsiteY2" fmla="*/ 7519 h 10000"/>
                      <a:gd name="connsiteX3" fmla="*/ 9281 w 10650"/>
                      <a:gd name="connsiteY3" fmla="*/ 7471 h 10000"/>
                      <a:gd name="connsiteX4" fmla="*/ 9039 w 10650"/>
                      <a:gd name="connsiteY4" fmla="*/ 7410 h 10000"/>
                      <a:gd name="connsiteX5" fmla="*/ 8743 w 10650"/>
                      <a:gd name="connsiteY5" fmla="*/ 7301 h 10000"/>
                      <a:gd name="connsiteX6" fmla="*/ 7671 w 10650"/>
                      <a:gd name="connsiteY6" fmla="*/ 6867 h 10000"/>
                      <a:gd name="connsiteX7" fmla="*/ 7636 w 10650"/>
                      <a:gd name="connsiteY7" fmla="*/ 6856 h 10000"/>
                      <a:gd name="connsiteX8" fmla="*/ 7366 w 10650"/>
                      <a:gd name="connsiteY8" fmla="*/ 6739 h 10000"/>
                      <a:gd name="connsiteX9" fmla="*/ 7202 w 10650"/>
                      <a:gd name="connsiteY9" fmla="*/ 6620 h 10000"/>
                      <a:gd name="connsiteX10" fmla="*/ 7014 w 10650"/>
                      <a:gd name="connsiteY10" fmla="*/ 6428 h 10000"/>
                      <a:gd name="connsiteX11" fmla="*/ 6856 w 10650"/>
                      <a:gd name="connsiteY11" fmla="*/ 6298 h 10000"/>
                      <a:gd name="connsiteX12" fmla="*/ 6702 w 10650"/>
                      <a:gd name="connsiteY12" fmla="*/ 6165 h 10000"/>
                      <a:gd name="connsiteX13" fmla="*/ 6602 w 10650"/>
                      <a:gd name="connsiteY13" fmla="*/ 6008 h 10000"/>
                      <a:gd name="connsiteX14" fmla="*/ 6545 w 10650"/>
                      <a:gd name="connsiteY14" fmla="*/ 5649 h 10000"/>
                      <a:gd name="connsiteX15" fmla="*/ 6536 w 10650"/>
                      <a:gd name="connsiteY15" fmla="*/ 5426 h 10000"/>
                      <a:gd name="connsiteX16" fmla="*/ 6536 w 10650"/>
                      <a:gd name="connsiteY16" fmla="*/ 5383 h 10000"/>
                      <a:gd name="connsiteX17" fmla="*/ 6570 w 10650"/>
                      <a:gd name="connsiteY17" fmla="*/ 5356 h 10000"/>
                      <a:gd name="connsiteX18" fmla="*/ 6922 w 10650"/>
                      <a:gd name="connsiteY18" fmla="*/ 4763 h 10000"/>
                      <a:gd name="connsiteX19" fmla="*/ 6973 w 10650"/>
                      <a:gd name="connsiteY19" fmla="*/ 4426 h 10000"/>
                      <a:gd name="connsiteX20" fmla="*/ 6973 w 10650"/>
                      <a:gd name="connsiteY20" fmla="*/ 4332 h 10000"/>
                      <a:gd name="connsiteX21" fmla="*/ 7080 w 10650"/>
                      <a:gd name="connsiteY21" fmla="*/ 4324 h 10000"/>
                      <a:gd name="connsiteX22" fmla="*/ 7174 w 10650"/>
                      <a:gd name="connsiteY22" fmla="*/ 4290 h 10000"/>
                      <a:gd name="connsiteX23" fmla="*/ 7246 w 10650"/>
                      <a:gd name="connsiteY23" fmla="*/ 4152 h 10000"/>
                      <a:gd name="connsiteX24" fmla="*/ 7297 w 10650"/>
                      <a:gd name="connsiteY24" fmla="*/ 4043 h 10000"/>
                      <a:gd name="connsiteX25" fmla="*/ 7369 w 10650"/>
                      <a:gd name="connsiteY25" fmla="*/ 3923 h 10000"/>
                      <a:gd name="connsiteX26" fmla="*/ 7438 w 10650"/>
                      <a:gd name="connsiteY26" fmla="*/ 3769 h 10000"/>
                      <a:gd name="connsiteX27" fmla="*/ 7460 w 10650"/>
                      <a:gd name="connsiteY27" fmla="*/ 3612 h 10000"/>
                      <a:gd name="connsiteX28" fmla="*/ 7479 w 10650"/>
                      <a:gd name="connsiteY28" fmla="*/ 3455 h 10000"/>
                      <a:gd name="connsiteX29" fmla="*/ 7533 w 10650"/>
                      <a:gd name="connsiteY29" fmla="*/ 3277 h 10000"/>
                      <a:gd name="connsiteX30" fmla="*/ 7561 w 10650"/>
                      <a:gd name="connsiteY30" fmla="*/ 3133 h 10000"/>
                      <a:gd name="connsiteX31" fmla="*/ 7529 w 10650"/>
                      <a:gd name="connsiteY31" fmla="*/ 3059 h 10000"/>
                      <a:gd name="connsiteX32" fmla="*/ 7523 w 10650"/>
                      <a:gd name="connsiteY32" fmla="*/ 3059 h 10000"/>
                      <a:gd name="connsiteX33" fmla="*/ 7489 w 10650"/>
                      <a:gd name="connsiteY33" fmla="*/ 3024 h 10000"/>
                      <a:gd name="connsiteX34" fmla="*/ 7438 w 10650"/>
                      <a:gd name="connsiteY34" fmla="*/ 2896 h 10000"/>
                      <a:gd name="connsiteX35" fmla="*/ 7463 w 10650"/>
                      <a:gd name="connsiteY35" fmla="*/ 2356 h 10000"/>
                      <a:gd name="connsiteX36" fmla="*/ 7467 w 10650"/>
                      <a:gd name="connsiteY36" fmla="*/ 2314 h 10000"/>
                      <a:gd name="connsiteX37" fmla="*/ 7504 w 10650"/>
                      <a:gd name="connsiteY37" fmla="*/ 1846 h 10000"/>
                      <a:gd name="connsiteX38" fmla="*/ 7448 w 10650"/>
                      <a:gd name="connsiteY38" fmla="*/ 1609 h 10000"/>
                      <a:gd name="connsiteX39" fmla="*/ 7438 w 10650"/>
                      <a:gd name="connsiteY39" fmla="*/ 1582 h 10000"/>
                      <a:gd name="connsiteX40" fmla="*/ 7407 w 10650"/>
                      <a:gd name="connsiteY40" fmla="*/ 1447 h 10000"/>
                      <a:gd name="connsiteX41" fmla="*/ 7413 w 10650"/>
                      <a:gd name="connsiteY41" fmla="*/ 1354 h 10000"/>
                      <a:gd name="connsiteX42" fmla="*/ 7391 w 10650"/>
                      <a:gd name="connsiteY42" fmla="*/ 1271 h 10000"/>
                      <a:gd name="connsiteX43" fmla="*/ 7190 w 10650"/>
                      <a:gd name="connsiteY43" fmla="*/ 1106 h 10000"/>
                      <a:gd name="connsiteX44" fmla="*/ 6860 w 10650"/>
                      <a:gd name="connsiteY44" fmla="*/ 848 h 10000"/>
                      <a:gd name="connsiteX45" fmla="*/ 6564 w 10650"/>
                      <a:gd name="connsiteY45" fmla="*/ 582 h 10000"/>
                      <a:gd name="connsiteX46" fmla="*/ 6331 w 10650"/>
                      <a:gd name="connsiteY46" fmla="*/ 370 h 10000"/>
                      <a:gd name="connsiteX47" fmla="*/ 6089 w 10650"/>
                      <a:gd name="connsiteY47" fmla="*/ 173 h 10000"/>
                      <a:gd name="connsiteX48" fmla="*/ 5828 w 10650"/>
                      <a:gd name="connsiteY48" fmla="*/ 45 h 10000"/>
                      <a:gd name="connsiteX49" fmla="*/ 5507 w 10650"/>
                      <a:gd name="connsiteY49" fmla="*/ 0 h 10000"/>
                      <a:gd name="connsiteX50" fmla="*/ 5199 w 10650"/>
                      <a:gd name="connsiteY50" fmla="*/ 32 h 10000"/>
                      <a:gd name="connsiteX51" fmla="*/ 4960 w 10650"/>
                      <a:gd name="connsiteY51" fmla="*/ 93 h 10000"/>
                      <a:gd name="connsiteX52" fmla="*/ 4715 w 10650"/>
                      <a:gd name="connsiteY52" fmla="*/ 144 h 10000"/>
                      <a:gd name="connsiteX53" fmla="*/ 4536 w 10650"/>
                      <a:gd name="connsiteY53" fmla="*/ 133 h 10000"/>
                      <a:gd name="connsiteX54" fmla="*/ 4347 w 10650"/>
                      <a:gd name="connsiteY54" fmla="*/ 266 h 10000"/>
                      <a:gd name="connsiteX55" fmla="*/ 4061 w 10650"/>
                      <a:gd name="connsiteY55" fmla="*/ 418 h 10000"/>
                      <a:gd name="connsiteX56" fmla="*/ 3649 w 10650"/>
                      <a:gd name="connsiteY56" fmla="*/ 630 h 10000"/>
                      <a:gd name="connsiteX57" fmla="*/ 3294 w 10650"/>
                      <a:gd name="connsiteY57" fmla="*/ 886 h 10000"/>
                      <a:gd name="connsiteX58" fmla="*/ 3139 w 10650"/>
                      <a:gd name="connsiteY58" fmla="*/ 1173 h 10000"/>
                      <a:gd name="connsiteX59" fmla="*/ 3171 w 10650"/>
                      <a:gd name="connsiteY59" fmla="*/ 1465 h 10000"/>
                      <a:gd name="connsiteX60" fmla="*/ 3202 w 10650"/>
                      <a:gd name="connsiteY60" fmla="*/ 1678 h 10000"/>
                      <a:gd name="connsiteX61" fmla="*/ 3180 w 10650"/>
                      <a:gd name="connsiteY61" fmla="*/ 1904 h 10000"/>
                      <a:gd name="connsiteX62" fmla="*/ 3149 w 10650"/>
                      <a:gd name="connsiteY62" fmla="*/ 2436 h 10000"/>
                      <a:gd name="connsiteX63" fmla="*/ 3196 w 10650"/>
                      <a:gd name="connsiteY63" fmla="*/ 2742 h 10000"/>
                      <a:gd name="connsiteX64" fmla="*/ 3250 w 10650"/>
                      <a:gd name="connsiteY64" fmla="*/ 2973 h 10000"/>
                      <a:gd name="connsiteX65" fmla="*/ 3029 w 10650"/>
                      <a:gd name="connsiteY65" fmla="*/ 2848 h 10000"/>
                      <a:gd name="connsiteX66" fmla="*/ 3014 w 10650"/>
                      <a:gd name="connsiteY66" fmla="*/ 2878 h 10000"/>
                      <a:gd name="connsiteX67" fmla="*/ 2995 w 10650"/>
                      <a:gd name="connsiteY67" fmla="*/ 2968 h 10000"/>
                      <a:gd name="connsiteX68" fmla="*/ 3007 w 10650"/>
                      <a:gd name="connsiteY68" fmla="*/ 3314 h 10000"/>
                      <a:gd name="connsiteX69" fmla="*/ 3077 w 10650"/>
                      <a:gd name="connsiteY69" fmla="*/ 3684 h 10000"/>
                      <a:gd name="connsiteX70" fmla="*/ 3099 w 10650"/>
                      <a:gd name="connsiteY70" fmla="*/ 3785 h 10000"/>
                      <a:gd name="connsiteX71" fmla="*/ 3121 w 10650"/>
                      <a:gd name="connsiteY71" fmla="*/ 3888 h 10000"/>
                      <a:gd name="connsiteX72" fmla="*/ 3253 w 10650"/>
                      <a:gd name="connsiteY72" fmla="*/ 4109 h 10000"/>
                      <a:gd name="connsiteX73" fmla="*/ 3372 w 10650"/>
                      <a:gd name="connsiteY73" fmla="*/ 4154 h 10000"/>
                      <a:gd name="connsiteX74" fmla="*/ 3467 w 10650"/>
                      <a:gd name="connsiteY74" fmla="*/ 4168 h 10000"/>
                      <a:gd name="connsiteX75" fmla="*/ 3470 w 10650"/>
                      <a:gd name="connsiteY75" fmla="*/ 4255 h 10000"/>
                      <a:gd name="connsiteX76" fmla="*/ 3621 w 10650"/>
                      <a:gd name="connsiteY76" fmla="*/ 4976 h 10000"/>
                      <a:gd name="connsiteX77" fmla="*/ 3775 w 10650"/>
                      <a:gd name="connsiteY77" fmla="*/ 5239 h 10000"/>
                      <a:gd name="connsiteX78" fmla="*/ 3797 w 10650"/>
                      <a:gd name="connsiteY78" fmla="*/ 5266 h 10000"/>
                      <a:gd name="connsiteX79" fmla="*/ 3797 w 10650"/>
                      <a:gd name="connsiteY79" fmla="*/ 5904 h 10000"/>
                      <a:gd name="connsiteX80" fmla="*/ 3699 w 10650"/>
                      <a:gd name="connsiteY80" fmla="*/ 5995 h 10000"/>
                      <a:gd name="connsiteX81" fmla="*/ 2869 w 10650"/>
                      <a:gd name="connsiteY81" fmla="*/ 6713 h 10000"/>
                      <a:gd name="connsiteX82" fmla="*/ 1746 w 10650"/>
                      <a:gd name="connsiteY82" fmla="*/ 7370 h 10000"/>
                      <a:gd name="connsiteX83" fmla="*/ 1429 w 10650"/>
                      <a:gd name="connsiteY83" fmla="*/ 7457 h 10000"/>
                      <a:gd name="connsiteX84" fmla="*/ 1158 w 10650"/>
                      <a:gd name="connsiteY84" fmla="*/ 7519 h 10000"/>
                      <a:gd name="connsiteX85" fmla="*/ 737 w 10650"/>
                      <a:gd name="connsiteY85" fmla="*/ 7630 h 10000"/>
                      <a:gd name="connsiteX86" fmla="*/ 0 w 10650"/>
                      <a:gd name="connsiteY86" fmla="*/ 8060 h 10000"/>
                      <a:gd name="connsiteX87" fmla="*/ 639 w 10650"/>
                      <a:gd name="connsiteY87" fmla="*/ 8306 h 10000"/>
                      <a:gd name="connsiteX88" fmla="*/ 1124 w 10650"/>
                      <a:gd name="connsiteY88" fmla="*/ 8742 h 10000"/>
                      <a:gd name="connsiteX89" fmla="*/ 1737 w 10650"/>
                      <a:gd name="connsiteY89" fmla="*/ 9117 h 10000"/>
                      <a:gd name="connsiteX90" fmla="*/ 2432 w 10650"/>
                      <a:gd name="connsiteY90" fmla="*/ 9431 h 10000"/>
                      <a:gd name="connsiteX91" fmla="*/ 3177 w 10650"/>
                      <a:gd name="connsiteY91" fmla="*/ 9681 h 10000"/>
                      <a:gd name="connsiteX92" fmla="*/ 3929 w 10650"/>
                      <a:gd name="connsiteY92" fmla="*/ 9862 h 10000"/>
                      <a:gd name="connsiteX93" fmla="*/ 4646 w 10650"/>
                      <a:gd name="connsiteY93" fmla="*/ 9968 h 10000"/>
                      <a:gd name="connsiteX94" fmla="*/ 5290 w 10650"/>
                      <a:gd name="connsiteY94" fmla="*/ 10000 h 10000"/>
                      <a:gd name="connsiteX95" fmla="*/ 6561 w 10650"/>
                      <a:gd name="connsiteY95" fmla="*/ 9846 h 10000"/>
                      <a:gd name="connsiteX96" fmla="*/ 8149 w 10650"/>
                      <a:gd name="connsiteY96" fmla="*/ 9391 h 10000"/>
                      <a:gd name="connsiteX97" fmla="*/ 8910 w 10650"/>
                      <a:gd name="connsiteY97" fmla="*/ 9069 h 10000"/>
                      <a:gd name="connsiteX98" fmla="*/ 9570 w 10650"/>
                      <a:gd name="connsiteY98" fmla="*/ 8694 h 10000"/>
                      <a:gd name="connsiteX99" fmla="*/ 10332 w 10650"/>
                      <a:gd name="connsiteY99" fmla="*/ 8320 h 10000"/>
                      <a:gd name="connsiteX100" fmla="*/ 10650 w 10650"/>
                      <a:gd name="connsiteY100" fmla="*/ 7962 h 100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Lst>
                    <a:rect l="l" t="t" r="r" b="b"/>
                    <a:pathLst>
                      <a:path w="10650" h="10000">
                        <a:moveTo>
                          <a:pt x="10650" y="7962"/>
                        </a:moveTo>
                        <a:lnTo>
                          <a:pt x="9913" y="7630"/>
                        </a:lnTo>
                        <a:lnTo>
                          <a:pt x="9495" y="7519"/>
                        </a:lnTo>
                        <a:lnTo>
                          <a:pt x="9281" y="7471"/>
                        </a:lnTo>
                        <a:lnTo>
                          <a:pt x="9039" y="7410"/>
                        </a:lnTo>
                        <a:lnTo>
                          <a:pt x="8743" y="7301"/>
                        </a:lnTo>
                        <a:lnTo>
                          <a:pt x="7671" y="6867"/>
                        </a:lnTo>
                        <a:cubicBezTo>
                          <a:pt x="7659" y="6863"/>
                          <a:pt x="7648" y="6860"/>
                          <a:pt x="7636" y="6856"/>
                        </a:cubicBezTo>
                        <a:lnTo>
                          <a:pt x="7366" y="6739"/>
                        </a:lnTo>
                        <a:lnTo>
                          <a:pt x="7202" y="6620"/>
                        </a:lnTo>
                        <a:lnTo>
                          <a:pt x="7014" y="6428"/>
                        </a:lnTo>
                        <a:cubicBezTo>
                          <a:pt x="6961" y="6385"/>
                          <a:pt x="6909" y="6341"/>
                          <a:pt x="6856" y="6298"/>
                        </a:cubicBezTo>
                        <a:lnTo>
                          <a:pt x="6702" y="6165"/>
                        </a:lnTo>
                        <a:lnTo>
                          <a:pt x="6602" y="6008"/>
                        </a:lnTo>
                        <a:cubicBezTo>
                          <a:pt x="6583" y="5888"/>
                          <a:pt x="6564" y="5769"/>
                          <a:pt x="6545" y="5649"/>
                        </a:cubicBezTo>
                        <a:cubicBezTo>
                          <a:pt x="6542" y="5575"/>
                          <a:pt x="6539" y="5500"/>
                          <a:pt x="6536" y="5426"/>
                        </a:cubicBezTo>
                        <a:lnTo>
                          <a:pt x="6536" y="5383"/>
                        </a:lnTo>
                        <a:cubicBezTo>
                          <a:pt x="6547" y="5374"/>
                          <a:pt x="6559" y="5365"/>
                          <a:pt x="6570" y="5356"/>
                        </a:cubicBezTo>
                        <a:lnTo>
                          <a:pt x="6922" y="4763"/>
                        </a:lnTo>
                        <a:cubicBezTo>
                          <a:pt x="6939" y="4651"/>
                          <a:pt x="6956" y="4538"/>
                          <a:pt x="6973" y="4426"/>
                        </a:cubicBezTo>
                        <a:lnTo>
                          <a:pt x="6973" y="4332"/>
                        </a:lnTo>
                        <a:lnTo>
                          <a:pt x="7080" y="4324"/>
                        </a:lnTo>
                        <a:lnTo>
                          <a:pt x="7174" y="4290"/>
                        </a:lnTo>
                        <a:lnTo>
                          <a:pt x="7246" y="4152"/>
                        </a:lnTo>
                        <a:cubicBezTo>
                          <a:pt x="7263" y="4116"/>
                          <a:pt x="7280" y="4079"/>
                          <a:pt x="7297" y="4043"/>
                        </a:cubicBezTo>
                        <a:lnTo>
                          <a:pt x="7369" y="3923"/>
                        </a:lnTo>
                        <a:cubicBezTo>
                          <a:pt x="7392" y="3872"/>
                          <a:pt x="7415" y="3820"/>
                          <a:pt x="7438" y="3769"/>
                        </a:cubicBezTo>
                        <a:cubicBezTo>
                          <a:pt x="7445" y="3717"/>
                          <a:pt x="7453" y="3664"/>
                          <a:pt x="7460" y="3612"/>
                        </a:cubicBezTo>
                        <a:cubicBezTo>
                          <a:pt x="7466" y="3560"/>
                          <a:pt x="7473" y="3507"/>
                          <a:pt x="7479" y="3455"/>
                        </a:cubicBezTo>
                        <a:cubicBezTo>
                          <a:pt x="7497" y="3396"/>
                          <a:pt x="7515" y="3336"/>
                          <a:pt x="7533" y="3277"/>
                        </a:cubicBezTo>
                        <a:cubicBezTo>
                          <a:pt x="7542" y="3229"/>
                          <a:pt x="7552" y="3181"/>
                          <a:pt x="7561" y="3133"/>
                        </a:cubicBezTo>
                        <a:cubicBezTo>
                          <a:pt x="7550" y="3108"/>
                          <a:pt x="7540" y="3084"/>
                          <a:pt x="7529" y="3059"/>
                        </a:cubicBezTo>
                        <a:lnTo>
                          <a:pt x="7523" y="3059"/>
                        </a:lnTo>
                        <a:cubicBezTo>
                          <a:pt x="7512" y="3047"/>
                          <a:pt x="7500" y="3036"/>
                          <a:pt x="7489" y="3024"/>
                        </a:cubicBezTo>
                        <a:cubicBezTo>
                          <a:pt x="7472" y="2981"/>
                          <a:pt x="7455" y="2939"/>
                          <a:pt x="7438" y="2896"/>
                        </a:cubicBezTo>
                        <a:cubicBezTo>
                          <a:pt x="7446" y="2716"/>
                          <a:pt x="7455" y="2536"/>
                          <a:pt x="7463" y="2356"/>
                        </a:cubicBezTo>
                        <a:cubicBezTo>
                          <a:pt x="7464" y="2342"/>
                          <a:pt x="7466" y="2328"/>
                          <a:pt x="7467" y="2314"/>
                        </a:cubicBezTo>
                        <a:cubicBezTo>
                          <a:pt x="7479" y="2158"/>
                          <a:pt x="7492" y="2002"/>
                          <a:pt x="7504" y="1846"/>
                        </a:cubicBezTo>
                        <a:cubicBezTo>
                          <a:pt x="7485" y="1767"/>
                          <a:pt x="7467" y="1688"/>
                          <a:pt x="7448" y="1609"/>
                        </a:cubicBezTo>
                        <a:cubicBezTo>
                          <a:pt x="7445" y="1600"/>
                          <a:pt x="7441" y="1591"/>
                          <a:pt x="7438" y="1582"/>
                        </a:cubicBezTo>
                        <a:cubicBezTo>
                          <a:pt x="7428" y="1537"/>
                          <a:pt x="7417" y="1492"/>
                          <a:pt x="7407" y="1447"/>
                        </a:cubicBezTo>
                        <a:lnTo>
                          <a:pt x="7413" y="1354"/>
                        </a:lnTo>
                        <a:cubicBezTo>
                          <a:pt x="7406" y="1326"/>
                          <a:pt x="7398" y="1299"/>
                          <a:pt x="7391" y="1271"/>
                        </a:cubicBezTo>
                        <a:lnTo>
                          <a:pt x="7190" y="1106"/>
                        </a:lnTo>
                        <a:lnTo>
                          <a:pt x="6860" y="848"/>
                        </a:lnTo>
                        <a:lnTo>
                          <a:pt x="6564" y="582"/>
                        </a:lnTo>
                        <a:lnTo>
                          <a:pt x="6331" y="370"/>
                        </a:lnTo>
                        <a:lnTo>
                          <a:pt x="6089" y="173"/>
                        </a:lnTo>
                        <a:lnTo>
                          <a:pt x="5828" y="45"/>
                        </a:lnTo>
                        <a:lnTo>
                          <a:pt x="5507" y="0"/>
                        </a:lnTo>
                        <a:lnTo>
                          <a:pt x="5199" y="32"/>
                        </a:lnTo>
                        <a:lnTo>
                          <a:pt x="4960" y="93"/>
                        </a:lnTo>
                        <a:lnTo>
                          <a:pt x="4715" y="144"/>
                        </a:lnTo>
                        <a:lnTo>
                          <a:pt x="4536" y="133"/>
                        </a:lnTo>
                        <a:lnTo>
                          <a:pt x="4347" y="266"/>
                        </a:lnTo>
                        <a:lnTo>
                          <a:pt x="4061" y="418"/>
                        </a:lnTo>
                        <a:lnTo>
                          <a:pt x="3649" y="630"/>
                        </a:lnTo>
                        <a:lnTo>
                          <a:pt x="3294" y="886"/>
                        </a:lnTo>
                        <a:lnTo>
                          <a:pt x="3139" y="1173"/>
                        </a:lnTo>
                        <a:cubicBezTo>
                          <a:pt x="3150" y="1270"/>
                          <a:pt x="3160" y="1368"/>
                          <a:pt x="3171" y="1465"/>
                        </a:cubicBezTo>
                        <a:cubicBezTo>
                          <a:pt x="3181" y="1536"/>
                          <a:pt x="3192" y="1607"/>
                          <a:pt x="3202" y="1678"/>
                        </a:cubicBezTo>
                        <a:cubicBezTo>
                          <a:pt x="3195" y="1753"/>
                          <a:pt x="3187" y="1829"/>
                          <a:pt x="3180" y="1904"/>
                        </a:cubicBezTo>
                        <a:cubicBezTo>
                          <a:pt x="3170" y="2081"/>
                          <a:pt x="3159" y="2259"/>
                          <a:pt x="3149" y="2436"/>
                        </a:cubicBezTo>
                        <a:cubicBezTo>
                          <a:pt x="3165" y="2538"/>
                          <a:pt x="3180" y="2640"/>
                          <a:pt x="3196" y="2742"/>
                        </a:cubicBezTo>
                        <a:lnTo>
                          <a:pt x="3250" y="2973"/>
                        </a:lnTo>
                        <a:lnTo>
                          <a:pt x="3029" y="2848"/>
                        </a:lnTo>
                        <a:lnTo>
                          <a:pt x="3014" y="2878"/>
                        </a:lnTo>
                        <a:cubicBezTo>
                          <a:pt x="3008" y="2908"/>
                          <a:pt x="3001" y="2938"/>
                          <a:pt x="2995" y="2968"/>
                        </a:cubicBezTo>
                        <a:cubicBezTo>
                          <a:pt x="2999" y="3083"/>
                          <a:pt x="3003" y="3199"/>
                          <a:pt x="3007" y="3314"/>
                        </a:cubicBezTo>
                        <a:cubicBezTo>
                          <a:pt x="3030" y="3437"/>
                          <a:pt x="3054" y="3561"/>
                          <a:pt x="3077" y="3684"/>
                        </a:cubicBezTo>
                        <a:cubicBezTo>
                          <a:pt x="3084" y="3718"/>
                          <a:pt x="3092" y="3751"/>
                          <a:pt x="3099" y="3785"/>
                        </a:cubicBezTo>
                        <a:cubicBezTo>
                          <a:pt x="3106" y="3819"/>
                          <a:pt x="3114" y="3854"/>
                          <a:pt x="3121" y="3888"/>
                        </a:cubicBezTo>
                        <a:lnTo>
                          <a:pt x="3253" y="4109"/>
                        </a:lnTo>
                        <a:lnTo>
                          <a:pt x="3372" y="4154"/>
                        </a:lnTo>
                        <a:lnTo>
                          <a:pt x="3467" y="4168"/>
                        </a:lnTo>
                        <a:lnTo>
                          <a:pt x="3470" y="4255"/>
                        </a:lnTo>
                        <a:cubicBezTo>
                          <a:pt x="3520" y="4495"/>
                          <a:pt x="3571" y="4736"/>
                          <a:pt x="3621" y="4976"/>
                        </a:cubicBezTo>
                        <a:cubicBezTo>
                          <a:pt x="3672" y="5064"/>
                          <a:pt x="3724" y="5151"/>
                          <a:pt x="3775" y="5239"/>
                        </a:cubicBezTo>
                        <a:cubicBezTo>
                          <a:pt x="3782" y="5248"/>
                          <a:pt x="3790" y="5257"/>
                          <a:pt x="3797" y="5266"/>
                        </a:cubicBezTo>
                        <a:lnTo>
                          <a:pt x="3797" y="5904"/>
                        </a:lnTo>
                        <a:cubicBezTo>
                          <a:pt x="3764" y="5934"/>
                          <a:pt x="3732" y="5965"/>
                          <a:pt x="3699" y="5995"/>
                        </a:cubicBezTo>
                        <a:lnTo>
                          <a:pt x="2869" y="6713"/>
                        </a:lnTo>
                        <a:lnTo>
                          <a:pt x="1746" y="7370"/>
                        </a:lnTo>
                        <a:lnTo>
                          <a:pt x="1429" y="7457"/>
                        </a:lnTo>
                        <a:lnTo>
                          <a:pt x="1158" y="7519"/>
                        </a:lnTo>
                        <a:lnTo>
                          <a:pt x="737" y="7630"/>
                        </a:lnTo>
                        <a:lnTo>
                          <a:pt x="0" y="8060"/>
                        </a:lnTo>
                        <a:lnTo>
                          <a:pt x="639" y="8306"/>
                        </a:lnTo>
                        <a:lnTo>
                          <a:pt x="1124" y="8742"/>
                        </a:lnTo>
                        <a:lnTo>
                          <a:pt x="1737" y="9117"/>
                        </a:lnTo>
                        <a:lnTo>
                          <a:pt x="2432" y="9431"/>
                        </a:lnTo>
                        <a:lnTo>
                          <a:pt x="3177" y="9681"/>
                        </a:lnTo>
                        <a:lnTo>
                          <a:pt x="3929" y="9862"/>
                        </a:lnTo>
                        <a:lnTo>
                          <a:pt x="4646" y="9968"/>
                        </a:lnTo>
                        <a:lnTo>
                          <a:pt x="5290" y="10000"/>
                        </a:lnTo>
                        <a:lnTo>
                          <a:pt x="6561" y="9846"/>
                        </a:lnTo>
                        <a:lnTo>
                          <a:pt x="8149" y="9391"/>
                        </a:lnTo>
                        <a:lnTo>
                          <a:pt x="8910" y="9069"/>
                        </a:lnTo>
                        <a:lnTo>
                          <a:pt x="9570" y="8694"/>
                        </a:lnTo>
                        <a:lnTo>
                          <a:pt x="10332" y="8320"/>
                        </a:lnTo>
                        <a:lnTo>
                          <a:pt x="10650" y="7962"/>
                        </a:lnTo>
                        <a:close/>
                      </a:path>
                    </a:pathLst>
                  </a:custGeom>
                  <a:solidFill>
                    <a:srgbClr val="9E9E9E"/>
                  </a:solidFill>
                  <a:ln>
                    <a:noFill/>
                  </a:ln>
                </xdr:spPr>
                <xdr:txBody>
                  <a:bodyPr/>
                  <a:lstStyle/>
                  <a:p>
                    <a:endParaRPr lang="en-US"/>
                  </a:p>
                </xdr:txBody>
              </xdr:sp>
            </xdr:grpSp>
            <xdr:pic>
              <xdr:nvPicPr>
                <xdr:cNvPr id="4714" name="05_profileimage">
                  <a:hlinkClick xmlns:r="http://schemas.openxmlformats.org/officeDocument/2006/relationships" r:id="rId39"/>
                </xdr:cNvPr>
                <xdr:cNvPicPr>
                  <a:picLocks/>
                </xdr:cNvPicPr>
              </xdr:nvPicPr>
              <xdr:blipFill>
                <a:blip xmlns:r="http://schemas.openxmlformats.org/officeDocument/2006/relationships" r:link="rId40"/>
                <a:stretch>
                  <a:fillRect/>
                </a:stretch>
              </xdr:blipFill>
              <xdr:spPr>
                <a:xfrm>
                  <a:off x="1033653" y="59375799"/>
                  <a:ext cx="822960" cy="822960"/>
                </a:xfrm>
                <a:prstGeom prst="rect">
                  <a:avLst/>
                </a:prstGeom>
              </xdr:spPr>
            </xdr:pic>
            <xdr:sp macro="" textlink="">
              <xdr:nvSpPr>
                <xdr:cNvPr id="853" name="05_imgModule_Freeform_10"/>
                <xdr:cNvSpPr>
                  <a:spLocks noEditPoints="1"/>
                </xdr:cNvSpPr>
              </xdr:nvSpPr>
              <xdr:spPr bwMode="auto">
                <a:xfrm>
                  <a:off x="960501" y="59302649"/>
                  <a:ext cx="969264" cy="969264"/>
                </a:xfrm>
                <a:custGeom>
                  <a:avLst/>
                  <a:gdLst>
                    <a:gd name="T0" fmla="*/ 0 w 417"/>
                    <a:gd name="T1" fmla="*/ 417 h 417"/>
                    <a:gd name="T2" fmla="*/ 417 w 417"/>
                    <a:gd name="T3" fmla="*/ 0 h 417"/>
                    <a:gd name="T4" fmla="*/ 209 w 417"/>
                    <a:gd name="T5" fmla="*/ 385 h 417"/>
                    <a:gd name="T6" fmla="*/ 190 w 417"/>
                    <a:gd name="T7" fmla="*/ 384 h 417"/>
                    <a:gd name="T8" fmla="*/ 156 w 417"/>
                    <a:gd name="T9" fmla="*/ 377 h 417"/>
                    <a:gd name="T10" fmla="*/ 124 w 417"/>
                    <a:gd name="T11" fmla="*/ 364 h 417"/>
                    <a:gd name="T12" fmla="*/ 96 w 417"/>
                    <a:gd name="T13" fmla="*/ 345 h 417"/>
                    <a:gd name="T14" fmla="*/ 72 w 417"/>
                    <a:gd name="T15" fmla="*/ 321 h 417"/>
                    <a:gd name="T16" fmla="*/ 53 w 417"/>
                    <a:gd name="T17" fmla="*/ 293 h 417"/>
                    <a:gd name="T18" fmla="*/ 40 w 417"/>
                    <a:gd name="T19" fmla="*/ 261 h 417"/>
                    <a:gd name="T20" fmla="*/ 33 w 417"/>
                    <a:gd name="T21" fmla="*/ 227 h 417"/>
                    <a:gd name="T22" fmla="*/ 32 w 417"/>
                    <a:gd name="T23" fmla="*/ 209 h 417"/>
                    <a:gd name="T24" fmla="*/ 36 w 417"/>
                    <a:gd name="T25" fmla="*/ 173 h 417"/>
                    <a:gd name="T26" fmla="*/ 46 w 417"/>
                    <a:gd name="T27" fmla="*/ 139 h 417"/>
                    <a:gd name="T28" fmla="*/ 62 w 417"/>
                    <a:gd name="T29" fmla="*/ 110 h 417"/>
                    <a:gd name="T30" fmla="*/ 84 w 417"/>
                    <a:gd name="T31" fmla="*/ 84 h 417"/>
                    <a:gd name="T32" fmla="*/ 110 w 417"/>
                    <a:gd name="T33" fmla="*/ 62 h 417"/>
                    <a:gd name="T34" fmla="*/ 139 w 417"/>
                    <a:gd name="T35" fmla="*/ 46 h 417"/>
                    <a:gd name="T36" fmla="*/ 173 w 417"/>
                    <a:gd name="T37" fmla="*/ 36 h 417"/>
                    <a:gd name="T38" fmla="*/ 209 w 417"/>
                    <a:gd name="T39" fmla="*/ 32 h 417"/>
                    <a:gd name="T40" fmla="*/ 227 w 417"/>
                    <a:gd name="T41" fmla="*/ 33 h 417"/>
                    <a:gd name="T42" fmla="*/ 261 w 417"/>
                    <a:gd name="T43" fmla="*/ 40 h 417"/>
                    <a:gd name="T44" fmla="*/ 293 w 417"/>
                    <a:gd name="T45" fmla="*/ 53 h 417"/>
                    <a:gd name="T46" fmla="*/ 321 w 417"/>
                    <a:gd name="T47" fmla="*/ 72 h 417"/>
                    <a:gd name="T48" fmla="*/ 345 w 417"/>
                    <a:gd name="T49" fmla="*/ 96 h 417"/>
                    <a:gd name="T50" fmla="*/ 364 w 417"/>
                    <a:gd name="T51" fmla="*/ 124 h 417"/>
                    <a:gd name="T52" fmla="*/ 377 w 417"/>
                    <a:gd name="T53" fmla="*/ 156 h 417"/>
                    <a:gd name="T54" fmla="*/ 384 w 417"/>
                    <a:gd name="T55" fmla="*/ 190 h 417"/>
                    <a:gd name="T56" fmla="*/ 385 w 417"/>
                    <a:gd name="T57" fmla="*/ 209 h 417"/>
                    <a:gd name="T58" fmla="*/ 381 w 417"/>
                    <a:gd name="T59" fmla="*/ 244 h 417"/>
                    <a:gd name="T60" fmla="*/ 371 w 417"/>
                    <a:gd name="T61" fmla="*/ 278 h 417"/>
                    <a:gd name="T62" fmla="*/ 355 w 417"/>
                    <a:gd name="T63" fmla="*/ 307 h 417"/>
                    <a:gd name="T64" fmla="*/ 333 w 417"/>
                    <a:gd name="T65" fmla="*/ 333 h 417"/>
                    <a:gd name="T66" fmla="*/ 307 w 417"/>
                    <a:gd name="T67" fmla="*/ 355 h 417"/>
                    <a:gd name="T68" fmla="*/ 278 w 417"/>
                    <a:gd name="T69" fmla="*/ 371 h 417"/>
                    <a:gd name="T70" fmla="*/ 244 w 417"/>
                    <a:gd name="T71" fmla="*/ 381 h 417"/>
                    <a:gd name="T72" fmla="*/ 209 w 417"/>
                    <a:gd name="T73" fmla="*/ 385 h 41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Lst>
                  <a:rect l="0" t="0" r="r" b="b"/>
                  <a:pathLst>
                    <a:path w="417" h="417">
                      <a:moveTo>
                        <a:pt x="0" y="0"/>
                      </a:moveTo>
                      <a:lnTo>
                        <a:pt x="0" y="417"/>
                      </a:lnTo>
                      <a:lnTo>
                        <a:pt x="417" y="417"/>
                      </a:lnTo>
                      <a:lnTo>
                        <a:pt x="417" y="0"/>
                      </a:lnTo>
                      <a:lnTo>
                        <a:pt x="0" y="0"/>
                      </a:lnTo>
                      <a:close/>
                      <a:moveTo>
                        <a:pt x="209" y="385"/>
                      </a:moveTo>
                      <a:lnTo>
                        <a:pt x="209" y="385"/>
                      </a:lnTo>
                      <a:lnTo>
                        <a:pt x="190" y="384"/>
                      </a:lnTo>
                      <a:lnTo>
                        <a:pt x="173" y="381"/>
                      </a:lnTo>
                      <a:lnTo>
                        <a:pt x="156" y="377"/>
                      </a:lnTo>
                      <a:lnTo>
                        <a:pt x="139" y="371"/>
                      </a:lnTo>
                      <a:lnTo>
                        <a:pt x="124" y="364"/>
                      </a:lnTo>
                      <a:lnTo>
                        <a:pt x="110" y="355"/>
                      </a:lnTo>
                      <a:lnTo>
                        <a:pt x="96" y="345"/>
                      </a:lnTo>
                      <a:lnTo>
                        <a:pt x="84" y="333"/>
                      </a:lnTo>
                      <a:lnTo>
                        <a:pt x="72" y="321"/>
                      </a:lnTo>
                      <a:lnTo>
                        <a:pt x="62" y="307"/>
                      </a:lnTo>
                      <a:lnTo>
                        <a:pt x="53" y="293"/>
                      </a:lnTo>
                      <a:lnTo>
                        <a:pt x="46" y="278"/>
                      </a:lnTo>
                      <a:lnTo>
                        <a:pt x="40" y="261"/>
                      </a:lnTo>
                      <a:lnTo>
                        <a:pt x="36" y="244"/>
                      </a:lnTo>
                      <a:lnTo>
                        <a:pt x="33" y="227"/>
                      </a:lnTo>
                      <a:lnTo>
                        <a:pt x="32" y="209"/>
                      </a:lnTo>
                      <a:lnTo>
                        <a:pt x="32" y="209"/>
                      </a:lnTo>
                      <a:lnTo>
                        <a:pt x="33" y="190"/>
                      </a:lnTo>
                      <a:lnTo>
                        <a:pt x="36" y="173"/>
                      </a:lnTo>
                      <a:lnTo>
                        <a:pt x="40" y="156"/>
                      </a:lnTo>
                      <a:lnTo>
                        <a:pt x="46" y="139"/>
                      </a:lnTo>
                      <a:lnTo>
                        <a:pt x="53" y="124"/>
                      </a:lnTo>
                      <a:lnTo>
                        <a:pt x="62" y="110"/>
                      </a:lnTo>
                      <a:lnTo>
                        <a:pt x="72" y="96"/>
                      </a:lnTo>
                      <a:lnTo>
                        <a:pt x="84" y="84"/>
                      </a:lnTo>
                      <a:lnTo>
                        <a:pt x="96" y="72"/>
                      </a:lnTo>
                      <a:lnTo>
                        <a:pt x="110" y="62"/>
                      </a:lnTo>
                      <a:lnTo>
                        <a:pt x="124" y="53"/>
                      </a:lnTo>
                      <a:lnTo>
                        <a:pt x="139" y="46"/>
                      </a:lnTo>
                      <a:lnTo>
                        <a:pt x="156" y="40"/>
                      </a:lnTo>
                      <a:lnTo>
                        <a:pt x="173" y="36"/>
                      </a:lnTo>
                      <a:lnTo>
                        <a:pt x="190" y="33"/>
                      </a:lnTo>
                      <a:lnTo>
                        <a:pt x="209" y="32"/>
                      </a:lnTo>
                      <a:lnTo>
                        <a:pt x="209" y="32"/>
                      </a:lnTo>
                      <a:lnTo>
                        <a:pt x="227" y="33"/>
                      </a:lnTo>
                      <a:lnTo>
                        <a:pt x="244" y="36"/>
                      </a:lnTo>
                      <a:lnTo>
                        <a:pt x="261" y="40"/>
                      </a:lnTo>
                      <a:lnTo>
                        <a:pt x="278" y="46"/>
                      </a:lnTo>
                      <a:lnTo>
                        <a:pt x="293" y="53"/>
                      </a:lnTo>
                      <a:lnTo>
                        <a:pt x="307" y="62"/>
                      </a:lnTo>
                      <a:lnTo>
                        <a:pt x="321" y="72"/>
                      </a:lnTo>
                      <a:lnTo>
                        <a:pt x="333" y="84"/>
                      </a:lnTo>
                      <a:lnTo>
                        <a:pt x="345" y="96"/>
                      </a:lnTo>
                      <a:lnTo>
                        <a:pt x="355" y="110"/>
                      </a:lnTo>
                      <a:lnTo>
                        <a:pt x="364" y="124"/>
                      </a:lnTo>
                      <a:lnTo>
                        <a:pt x="371" y="139"/>
                      </a:lnTo>
                      <a:lnTo>
                        <a:pt x="377" y="156"/>
                      </a:lnTo>
                      <a:lnTo>
                        <a:pt x="381" y="173"/>
                      </a:lnTo>
                      <a:lnTo>
                        <a:pt x="384" y="190"/>
                      </a:lnTo>
                      <a:lnTo>
                        <a:pt x="385" y="209"/>
                      </a:lnTo>
                      <a:lnTo>
                        <a:pt x="385" y="209"/>
                      </a:lnTo>
                      <a:lnTo>
                        <a:pt x="384" y="227"/>
                      </a:lnTo>
                      <a:lnTo>
                        <a:pt x="381" y="244"/>
                      </a:lnTo>
                      <a:lnTo>
                        <a:pt x="377" y="261"/>
                      </a:lnTo>
                      <a:lnTo>
                        <a:pt x="371" y="278"/>
                      </a:lnTo>
                      <a:lnTo>
                        <a:pt x="364" y="293"/>
                      </a:lnTo>
                      <a:lnTo>
                        <a:pt x="355" y="307"/>
                      </a:lnTo>
                      <a:lnTo>
                        <a:pt x="345" y="321"/>
                      </a:lnTo>
                      <a:lnTo>
                        <a:pt x="333" y="333"/>
                      </a:lnTo>
                      <a:lnTo>
                        <a:pt x="321" y="345"/>
                      </a:lnTo>
                      <a:lnTo>
                        <a:pt x="307" y="355"/>
                      </a:lnTo>
                      <a:lnTo>
                        <a:pt x="293" y="364"/>
                      </a:lnTo>
                      <a:lnTo>
                        <a:pt x="278" y="371"/>
                      </a:lnTo>
                      <a:lnTo>
                        <a:pt x="261" y="377"/>
                      </a:lnTo>
                      <a:lnTo>
                        <a:pt x="244" y="381"/>
                      </a:lnTo>
                      <a:lnTo>
                        <a:pt x="227" y="384"/>
                      </a:lnTo>
                      <a:lnTo>
                        <a:pt x="209" y="385"/>
                      </a:lnTo>
                      <a:lnTo>
                        <a:pt x="209" y="385"/>
                      </a:lnTo>
                      <a:close/>
                    </a:path>
                  </a:pathLst>
                </a:custGeom>
                <a:solidFill>
                  <a:srgbClr val="E0E0E0"/>
                </a:solidFill>
                <a:ln>
                  <a:noFill/>
                </a:ln>
              </xdr:spPr>
            </xdr:sp>
          </xdr:grpSp>
        </xdr:grpSp>
        <xdr:pic>
          <xdr:nvPicPr>
            <xdr:cNvPr id="4883" name="05_channelimage"/>
            <xdr:cNvPicPr>
              <a:picLocks/>
            </xdr:cNvPicPr>
          </xdr:nvPicPr>
          <xdr:blipFill>
            <a:blip xmlns:r="http://schemas.openxmlformats.org/officeDocument/2006/relationships" r:link="rId32"/>
            <a:stretch>
              <a:fillRect/>
            </a:stretch>
          </xdr:blipFill>
          <xdr:spPr>
            <a:xfrm>
              <a:off x="800100" y="59138964"/>
              <a:ext cx="576072" cy="576072"/>
            </a:xfrm>
            <a:prstGeom prst="rect">
              <a:avLst/>
            </a:prstGeom>
          </xdr:spPr>
        </xdr:pic>
      </xdr:grpSp>
      <xdr:grpSp>
        <xdr:nvGrpSpPr>
          <xdr:cNvPr id="9206" name="Group 9205"/>
          <xdr:cNvGrpSpPr/>
        </xdr:nvGrpSpPr>
        <xdr:grpSpPr>
          <a:xfrm>
            <a:off x="5934075" y="58921649"/>
            <a:ext cx="5020056" cy="2095499"/>
            <a:chOff x="5934075" y="59035949"/>
            <a:chExt cx="5020056" cy="2095499"/>
          </a:xfrm>
        </xdr:grpSpPr>
        <xdr:grpSp>
          <xdr:nvGrpSpPr>
            <xdr:cNvPr id="9194" name="Group 9193"/>
            <xdr:cNvGrpSpPr/>
          </xdr:nvGrpSpPr>
          <xdr:grpSpPr>
            <a:xfrm>
              <a:off x="5934075" y="59035949"/>
              <a:ext cx="5020056" cy="2095499"/>
              <a:chOff x="5934075" y="59035949"/>
              <a:chExt cx="5020056" cy="2095499"/>
            </a:xfrm>
          </xdr:grpSpPr>
          <xdr:grpSp>
            <xdr:nvGrpSpPr>
              <xdr:cNvPr id="9190" name="Group 9189"/>
              <xdr:cNvGrpSpPr/>
            </xdr:nvGrpSpPr>
            <xdr:grpSpPr>
              <a:xfrm>
                <a:off x="5934075" y="59035949"/>
                <a:ext cx="5020056" cy="2095499"/>
                <a:chOff x="5934075" y="59035949"/>
                <a:chExt cx="5020056" cy="2095499"/>
              </a:xfrm>
            </xdr:grpSpPr>
            <xdr:sp macro="" textlink="">
              <xdr:nvSpPr>
                <xdr:cNvPr id="842" name="06_imgModule_Rounded_Rectangle_539"/>
                <xdr:cNvSpPr/>
              </xdr:nvSpPr>
              <xdr:spPr>
                <a:xfrm>
                  <a:off x="5934075" y="59045474"/>
                  <a:ext cx="5020056" cy="2085974"/>
                </a:xfrm>
                <a:prstGeom prst="roundRect">
                  <a:avLst>
                    <a:gd name="adj" fmla="val 800"/>
                  </a:avLst>
                </a:prstGeom>
                <a:solidFill>
                  <a:srgbClr val="757575"/>
                </a:solidFill>
                <a:ln w="12700">
                  <a:solidFill>
                    <a:srgbClr val="1E1E1E"/>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l"/>
                  <a:endParaRPr lang="en-US" sz="1100"/>
                </a:p>
              </xdr:txBody>
            </xdr:sp>
            <xdr:sp macro="" textlink="">
              <xdr:nvSpPr>
                <xdr:cNvPr id="843" name="06_imgModule_Rounded_Rectangle_540"/>
                <xdr:cNvSpPr/>
              </xdr:nvSpPr>
              <xdr:spPr>
                <a:xfrm>
                  <a:off x="5934075" y="59035949"/>
                  <a:ext cx="5020056" cy="2084832"/>
                </a:xfrm>
                <a:prstGeom prst="roundRect">
                  <a:avLst>
                    <a:gd name="adj" fmla="val 800"/>
                  </a:avLst>
                </a:prstGeom>
                <a:solidFill>
                  <a:srgbClr val="757575"/>
                </a:solidFill>
                <a:ln w="12700">
                  <a:solidFill>
                    <a:srgbClr val="1A1A1A"/>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l"/>
                  <a:endParaRPr lang="en-US" sz="1100"/>
                </a:p>
              </xdr:txBody>
            </xdr:sp>
          </xdr:grpSp>
          <xdr:grpSp>
            <xdr:nvGrpSpPr>
              <xdr:cNvPr id="9191" name="Group 9190"/>
              <xdr:cNvGrpSpPr/>
            </xdr:nvGrpSpPr>
            <xdr:grpSpPr>
              <a:xfrm>
                <a:off x="9686353" y="59197873"/>
                <a:ext cx="1155910" cy="651129"/>
                <a:chOff x="9686353" y="59197873"/>
                <a:chExt cx="1155910" cy="651129"/>
              </a:xfrm>
            </xdr:grpSpPr>
            <xdr:sp macro="" textlink="Calculations!F424">
              <xdr:nvSpPr>
                <xdr:cNvPr id="840" name="06_metric01_number"/>
                <xdr:cNvSpPr txBox="1"/>
              </xdr:nvSpPr>
              <xdr:spPr>
                <a:xfrm>
                  <a:off x="9686353" y="59197873"/>
                  <a:ext cx="1143000" cy="28438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ctr"/>
                <a:lstStyle/>
                <a:p>
                  <a:pPr marL="0" indent="0" algn="l"/>
                  <a:fld id="{9A11DC01-E2A4-4427-B6E0-83FD680AE7B9}" type="TxLink">
                    <a:rPr lang="en-US" sz="2200" b="0" i="0" u="none" strike="noStrike">
                      <a:solidFill>
                        <a:srgbClr val="AFBFFF"/>
                      </a:solidFill>
                      <a:latin typeface="+mn-lt"/>
                      <a:ea typeface="+mn-ea"/>
                      <a:cs typeface="+mn-cs"/>
                    </a:rPr>
                    <a:pPr marL="0" indent="0" algn="l"/>
                    <a:t>5,721</a:t>
                  </a:fld>
                  <a:endParaRPr lang="en-US" sz="2200" b="0" i="0" u="none" strike="noStrike">
                    <a:solidFill>
                      <a:srgbClr val="AFBFFF"/>
                    </a:solidFill>
                    <a:latin typeface="+mn-lt"/>
                    <a:ea typeface="+mn-ea"/>
                    <a:cs typeface="+mn-cs"/>
                  </a:endParaRPr>
                </a:p>
              </xdr:txBody>
            </xdr:sp>
            <xdr:sp macro="" textlink="Calculations!G424">
              <xdr:nvSpPr>
                <xdr:cNvPr id="841" name="06_metric01_label"/>
                <xdr:cNvSpPr txBox="1"/>
              </xdr:nvSpPr>
              <xdr:spPr>
                <a:xfrm>
                  <a:off x="9699263" y="59474098"/>
                  <a:ext cx="1143000" cy="3749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marL="0" indent="0" algn="l"/>
                  <a:fld id="{B4473AAE-FF64-4A73-873F-7E3ACC1BE82F}" type="TxLink">
                    <a:rPr lang="en-US" sz="1200" b="0" i="0" u="none" strike="noStrike">
                      <a:solidFill>
                        <a:srgbClr val="E0E0E0"/>
                      </a:solidFill>
                      <a:latin typeface="+mn-lt"/>
                      <a:ea typeface="+mn-ea"/>
                      <a:cs typeface="+mn-cs"/>
                    </a:rPr>
                    <a:pPr marL="0" indent="0" algn="l"/>
                    <a:t>Instagram Engagements</a:t>
                  </a:fld>
                  <a:endParaRPr lang="en-US" sz="1200" b="0" i="0" u="none" strike="noStrike">
                    <a:solidFill>
                      <a:srgbClr val="E0E0E0"/>
                    </a:solidFill>
                    <a:latin typeface="+mn-lt"/>
                    <a:ea typeface="+mn-ea"/>
                    <a:cs typeface="+mn-cs"/>
                  </a:endParaRPr>
                </a:p>
              </xdr:txBody>
            </xdr:sp>
          </xdr:grpSp>
          <xdr:grpSp>
            <xdr:nvGrpSpPr>
              <xdr:cNvPr id="9192" name="Group 9191"/>
              <xdr:cNvGrpSpPr/>
            </xdr:nvGrpSpPr>
            <xdr:grpSpPr>
              <a:xfrm>
                <a:off x="9686353" y="60514521"/>
                <a:ext cx="1155910" cy="610831"/>
                <a:chOff x="9686353" y="60514521"/>
                <a:chExt cx="1155910" cy="610831"/>
              </a:xfrm>
            </xdr:grpSpPr>
            <xdr:sp macro="" textlink="Calculations!M424">
              <xdr:nvSpPr>
                <xdr:cNvPr id="838" name="06_metric03_number"/>
                <xdr:cNvSpPr txBox="1"/>
              </xdr:nvSpPr>
              <xdr:spPr>
                <a:xfrm>
                  <a:off x="9686353" y="60514521"/>
                  <a:ext cx="1143000" cy="28438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ctr"/>
                <a:lstStyle/>
                <a:p>
                  <a:pPr marL="0" indent="0" algn="l"/>
                  <a:fld id="{4781AF84-359B-4350-9EAB-31B3A8FC246B}" type="TxLink">
                    <a:rPr lang="en-US" sz="1600" b="0" i="0" u="none" strike="noStrike">
                      <a:solidFill>
                        <a:srgbClr val="AFBFFF"/>
                      </a:solidFill>
                      <a:latin typeface="+mn-lt"/>
                      <a:ea typeface="+mn-ea"/>
                      <a:cs typeface="+mn-cs"/>
                    </a:rPr>
                    <a:pPr marL="0" indent="0" algn="l"/>
                    <a:t>26</a:t>
                  </a:fld>
                  <a:endParaRPr lang="en-US" sz="1600" b="0" i="0" u="none" strike="noStrike">
                    <a:solidFill>
                      <a:srgbClr val="AFBFFF"/>
                    </a:solidFill>
                    <a:latin typeface="+mn-lt"/>
                    <a:ea typeface="+mn-ea"/>
                    <a:cs typeface="+mn-cs"/>
                  </a:endParaRPr>
                </a:p>
              </xdr:txBody>
            </xdr:sp>
            <xdr:sp macro="" textlink="Calculations!N424">
              <xdr:nvSpPr>
                <xdr:cNvPr id="839" name="06_metric03_label"/>
                <xdr:cNvSpPr txBox="1"/>
              </xdr:nvSpPr>
              <xdr:spPr>
                <a:xfrm>
                  <a:off x="9699263" y="60750448"/>
                  <a:ext cx="1143000" cy="3749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marL="0" indent="0" algn="l"/>
                  <a:fld id="{1F8DD16D-9CD3-486B-8AC9-CD593A392D4E}" type="TxLink">
                    <a:rPr lang="en-US" sz="1200" b="0" i="0" u="none" strike="noStrike">
                      <a:solidFill>
                        <a:srgbClr val="E0E0E0"/>
                      </a:solidFill>
                      <a:latin typeface="+mn-lt"/>
                      <a:ea typeface="+mn-ea"/>
                      <a:cs typeface="+mn-cs"/>
                    </a:rPr>
                    <a:pPr marL="0" indent="0" algn="l"/>
                    <a:t>Comments</a:t>
                  </a:fld>
                  <a:endParaRPr lang="en-US" sz="1200" b="0" i="0" u="none" strike="noStrike">
                    <a:solidFill>
                      <a:srgbClr val="E0E0E0"/>
                    </a:solidFill>
                    <a:latin typeface="+mn-lt"/>
                    <a:ea typeface="+mn-ea"/>
                    <a:cs typeface="+mn-cs"/>
                  </a:endParaRPr>
                </a:p>
              </xdr:txBody>
            </xdr:sp>
          </xdr:grpSp>
          <xdr:grpSp>
            <xdr:nvGrpSpPr>
              <xdr:cNvPr id="9193" name="Group 9192"/>
              <xdr:cNvGrpSpPr/>
            </xdr:nvGrpSpPr>
            <xdr:grpSpPr>
              <a:xfrm>
                <a:off x="9686353" y="59959506"/>
                <a:ext cx="1155910" cy="627683"/>
                <a:chOff x="9686353" y="59959506"/>
                <a:chExt cx="1155910" cy="627683"/>
              </a:xfrm>
            </xdr:grpSpPr>
            <xdr:sp macro="" textlink="Calculations!J424">
              <xdr:nvSpPr>
                <xdr:cNvPr id="836" name="06_metric02_number"/>
                <xdr:cNvSpPr txBox="1"/>
              </xdr:nvSpPr>
              <xdr:spPr>
                <a:xfrm>
                  <a:off x="9686353" y="59959506"/>
                  <a:ext cx="1143000" cy="28438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ctr"/>
                <a:lstStyle/>
                <a:p>
                  <a:pPr marL="0" indent="0" algn="l"/>
                  <a:fld id="{1AB9E8CC-326A-4841-909B-F7460C56EDA1}" type="TxLink">
                    <a:rPr lang="en-US" sz="1600" b="0" i="0" u="none" strike="noStrike">
                      <a:solidFill>
                        <a:srgbClr val="AFBFFF"/>
                      </a:solidFill>
                      <a:latin typeface="+mn-lt"/>
                      <a:ea typeface="+mn-ea"/>
                      <a:cs typeface="+mn-cs"/>
                    </a:rPr>
                    <a:pPr marL="0" indent="0" algn="l"/>
                    <a:t>5,695</a:t>
                  </a:fld>
                  <a:endParaRPr lang="en-US" sz="1600" b="0" i="0" u="none" strike="noStrike">
                    <a:solidFill>
                      <a:srgbClr val="AFBFFF"/>
                    </a:solidFill>
                    <a:latin typeface="+mn-lt"/>
                    <a:ea typeface="+mn-ea"/>
                    <a:cs typeface="+mn-cs"/>
                  </a:endParaRPr>
                </a:p>
              </xdr:txBody>
            </xdr:sp>
            <xdr:sp macro="" textlink="Calculations!K424">
              <xdr:nvSpPr>
                <xdr:cNvPr id="837" name="06_metric02_label"/>
                <xdr:cNvSpPr txBox="1"/>
              </xdr:nvSpPr>
              <xdr:spPr>
                <a:xfrm>
                  <a:off x="9699263" y="60212285"/>
                  <a:ext cx="1143000" cy="3749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marL="0" indent="0" algn="l"/>
                  <a:fld id="{6EE2AFA9-B959-4DA3-8A1B-F2F8C26194CA}" type="TxLink">
                    <a:rPr lang="en-US" sz="1200" b="0" i="0" u="none" strike="noStrike">
                      <a:solidFill>
                        <a:srgbClr val="E0E0E0"/>
                      </a:solidFill>
                      <a:latin typeface="+mn-lt"/>
                      <a:ea typeface="+mn-ea"/>
                      <a:cs typeface="+mn-cs"/>
                    </a:rPr>
                    <a:pPr marL="0" indent="0" algn="l"/>
                    <a:t>Likes</a:t>
                  </a:fld>
                  <a:endParaRPr lang="en-US" sz="1200" b="0" i="0" u="none" strike="noStrike">
                    <a:solidFill>
                      <a:srgbClr val="E0E0E0"/>
                    </a:solidFill>
                    <a:latin typeface="+mn-lt"/>
                    <a:ea typeface="+mn-ea"/>
                    <a:cs typeface="+mn-cs"/>
                  </a:endParaRPr>
                </a:p>
              </xdr:txBody>
            </xdr:sp>
          </xdr:grpSp>
        </xdr:grpSp>
        <xdr:grpSp>
          <xdr:nvGrpSpPr>
            <xdr:cNvPr id="9205" name="Group 9204"/>
            <xdr:cNvGrpSpPr/>
          </xdr:nvGrpSpPr>
          <xdr:grpSpPr>
            <a:xfrm>
              <a:off x="6047803" y="59150247"/>
              <a:ext cx="3524822" cy="1866900"/>
              <a:chOff x="6047803" y="59150247"/>
              <a:chExt cx="3524822" cy="1866900"/>
            </a:xfrm>
          </xdr:grpSpPr>
          <xdr:grpSp>
            <xdr:nvGrpSpPr>
              <xdr:cNvPr id="9197" name="Group 9196"/>
              <xdr:cNvGrpSpPr/>
            </xdr:nvGrpSpPr>
            <xdr:grpSpPr>
              <a:xfrm>
                <a:off x="6047803" y="59150247"/>
                <a:ext cx="3524822" cy="1866900"/>
                <a:chOff x="6047803" y="59150247"/>
                <a:chExt cx="3524822" cy="1866900"/>
              </a:xfrm>
            </xdr:grpSpPr>
            <xdr:grpSp>
              <xdr:nvGrpSpPr>
                <xdr:cNvPr id="9195" name="Group 9194"/>
                <xdr:cNvGrpSpPr/>
              </xdr:nvGrpSpPr>
              <xdr:grpSpPr>
                <a:xfrm>
                  <a:off x="6047803" y="59150247"/>
                  <a:ext cx="3524822" cy="1866900"/>
                  <a:chOff x="6047803" y="59150247"/>
                  <a:chExt cx="3524822" cy="1866900"/>
                </a:xfrm>
              </xdr:grpSpPr>
              <xdr:sp macro="" textlink="">
                <xdr:nvSpPr>
                  <xdr:cNvPr id="830" name="06_imgModule_Rounded_Rectangle_533"/>
                  <xdr:cNvSpPr/>
                </xdr:nvSpPr>
                <xdr:spPr>
                  <a:xfrm>
                    <a:off x="6047804" y="59159772"/>
                    <a:ext cx="3524250" cy="1857375"/>
                  </a:xfrm>
                  <a:prstGeom prst="roundRect">
                    <a:avLst>
                      <a:gd name="adj" fmla="val 909"/>
                    </a:avLst>
                  </a:prstGeom>
                  <a:solidFill>
                    <a:srgbClr val="E0E0E0"/>
                  </a:solidFill>
                  <a:ln w="12700">
                    <a:solidFill>
                      <a:srgbClr val="646464"/>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l"/>
                    <a:endParaRPr lang="en-US" sz="1100"/>
                  </a:p>
                </xdr:txBody>
              </xdr:sp>
              <xdr:sp macro="" textlink="">
                <xdr:nvSpPr>
                  <xdr:cNvPr id="831" name="06_imgModule_Rounded_Rectangle_536"/>
                  <xdr:cNvSpPr/>
                </xdr:nvSpPr>
                <xdr:spPr>
                  <a:xfrm>
                    <a:off x="6047803" y="59150247"/>
                    <a:ext cx="3524822" cy="1856232"/>
                  </a:xfrm>
                  <a:prstGeom prst="roundRect">
                    <a:avLst>
                      <a:gd name="adj" fmla="val 909"/>
                    </a:avLst>
                  </a:prstGeom>
                  <a:solidFill>
                    <a:srgbClr val="E0E0E0"/>
                  </a:solidFill>
                  <a:ln w="12700">
                    <a:solidFill>
                      <a:srgbClr val="5E5E5E"/>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l"/>
                    <a:endParaRPr lang="en-US" sz="1100"/>
                  </a:p>
                </xdr:txBody>
              </xdr:sp>
            </xdr:grpSp>
            <xdr:grpSp>
              <xdr:nvGrpSpPr>
                <xdr:cNvPr id="9196" name="Group 9195"/>
                <xdr:cNvGrpSpPr/>
              </xdr:nvGrpSpPr>
              <xdr:grpSpPr>
                <a:xfrm>
                  <a:off x="7724965" y="59159771"/>
                  <a:ext cx="1847088" cy="1847088"/>
                  <a:chOff x="7724965" y="59159771"/>
                  <a:chExt cx="1847088" cy="1847088"/>
                </a:xfrm>
              </xdr:grpSpPr>
              <xdr:sp macro="" textlink="">
                <xdr:nvSpPr>
                  <xdr:cNvPr id="828" name="06_imgModule_Rounded_Rectangle_534"/>
                  <xdr:cNvSpPr/>
                </xdr:nvSpPr>
                <xdr:spPr>
                  <a:xfrm>
                    <a:off x="7724965" y="59159771"/>
                    <a:ext cx="1847088" cy="1847088"/>
                  </a:xfrm>
                  <a:prstGeom prst="roundRect">
                    <a:avLst>
                      <a:gd name="adj" fmla="val 909"/>
                    </a:avLst>
                  </a:prstGeom>
                  <a:solidFill>
                    <a:srgbClr val="D7D7D7"/>
                  </a:solidFill>
                  <a:ln w="12700">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l"/>
                    <a:endParaRPr lang="en-US" sz="1100"/>
                  </a:p>
                </xdr:txBody>
              </xdr:sp>
              <xdr:sp macro="" textlink="">
                <xdr:nvSpPr>
                  <xdr:cNvPr id="829" name="06_imgModule_Rectangle_430"/>
                  <xdr:cNvSpPr/>
                </xdr:nvSpPr>
                <xdr:spPr>
                  <a:xfrm>
                    <a:off x="7724965" y="59159771"/>
                    <a:ext cx="91440" cy="1847088"/>
                  </a:xfrm>
                  <a:prstGeom prst="rect">
                    <a:avLst/>
                  </a:prstGeom>
                  <a:solidFill>
                    <a:srgbClr val="D7D7D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grpSp>
          <xdr:grpSp>
            <xdr:nvGrpSpPr>
              <xdr:cNvPr id="9198" name="Group 9197"/>
              <xdr:cNvGrpSpPr/>
            </xdr:nvGrpSpPr>
            <xdr:grpSpPr>
              <a:xfrm>
                <a:off x="6276403" y="60528634"/>
                <a:ext cx="1372172" cy="424370"/>
                <a:chOff x="6276403" y="60528634"/>
                <a:chExt cx="1372172" cy="424370"/>
              </a:xfrm>
            </xdr:grpSpPr>
            <xdr:sp macro="" textlink="Calculations!D424">
              <xdr:nvSpPr>
                <xdr:cNvPr id="824" name="06_profilename"/>
                <xdr:cNvSpPr txBox="1"/>
              </xdr:nvSpPr>
              <xdr:spPr>
                <a:xfrm>
                  <a:off x="6276403" y="60717976"/>
                  <a:ext cx="1372172" cy="2350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ctr"/>
                <a:lstStyle/>
                <a:p>
                  <a:pPr marL="0" indent="0" algn="l"/>
                  <a:fld id="{0E14ADD9-420A-4F87-9B11-2525500E9D69}" type="TxLink">
                    <a:rPr lang="en-US" sz="1300" b="0" i="0" u="none" strike="noStrike">
                      <a:solidFill>
                        <a:srgbClr val="4D4D4D"/>
                      </a:solidFill>
                      <a:latin typeface="+mn-lt"/>
                      <a:ea typeface="+mn-ea"/>
                      <a:cs typeface="+mn-cs"/>
                    </a:rPr>
                    <a:pPr marL="0" indent="0" algn="l"/>
                    <a:t>millionaire.dream</a:t>
                  </a:fld>
                  <a:endParaRPr lang="en-US" sz="1300" b="0">
                    <a:solidFill>
                      <a:srgbClr val="4D4D4D"/>
                    </a:solidFill>
                    <a:latin typeface="+mn-lt"/>
                    <a:ea typeface="+mn-ea"/>
                    <a:cs typeface="+mn-cs"/>
                  </a:endParaRPr>
                </a:p>
              </xdr:txBody>
            </xdr:sp>
            <xdr:sp macro="" textlink="Calculations!C424">
              <xdr:nvSpPr>
                <xdr:cNvPr id="825" name="06_postdate"/>
                <xdr:cNvSpPr txBox="1"/>
              </xdr:nvSpPr>
              <xdr:spPr>
                <a:xfrm>
                  <a:off x="6276403" y="60528634"/>
                  <a:ext cx="1371600" cy="2136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ctr"/>
                <a:lstStyle/>
                <a:p>
                  <a:pPr marL="0" indent="0" algn="l"/>
                  <a:fld id="{368F6BC4-0A36-4FC0-AA2B-40A7A48FE884}" type="TxLink">
                    <a:rPr lang="en-US" sz="1000" b="0" i="0" u="none" strike="noStrike">
                      <a:solidFill>
                        <a:srgbClr val="666666"/>
                      </a:solidFill>
                      <a:latin typeface="+mn-lt"/>
                      <a:ea typeface="+mn-ea"/>
                      <a:cs typeface="+mn-cs"/>
                    </a:rPr>
                    <a:pPr marL="0" indent="0" algn="l"/>
                    <a:t>August 26, 2017</a:t>
                  </a:fld>
                  <a:endParaRPr lang="en-US" sz="1000" b="0">
                    <a:solidFill>
                      <a:srgbClr val="666666"/>
                    </a:solidFill>
                    <a:latin typeface="+mn-lt"/>
                    <a:ea typeface="+mn-ea"/>
                    <a:cs typeface="+mn-cs"/>
                  </a:endParaRPr>
                </a:p>
              </xdr:txBody>
            </xdr:sp>
          </xdr:grpSp>
          <xdr:grpSp>
            <xdr:nvGrpSpPr>
              <xdr:cNvPr id="9202" name="Group 9201"/>
              <xdr:cNvGrpSpPr/>
            </xdr:nvGrpSpPr>
            <xdr:grpSpPr>
              <a:xfrm>
                <a:off x="7724775" y="59159774"/>
                <a:ext cx="1847088" cy="1848614"/>
                <a:chOff x="7724775" y="59159774"/>
                <a:chExt cx="1847088" cy="1848614"/>
              </a:xfrm>
            </xdr:grpSpPr>
            <xdr:grpSp>
              <xdr:nvGrpSpPr>
                <xdr:cNvPr id="9201" name="Group 9200"/>
                <xdr:cNvGrpSpPr/>
              </xdr:nvGrpSpPr>
              <xdr:grpSpPr>
                <a:xfrm>
                  <a:off x="7724775" y="59159774"/>
                  <a:ext cx="1847088" cy="1848614"/>
                  <a:chOff x="7724775" y="59159774"/>
                  <a:chExt cx="1847088" cy="1848614"/>
                </a:xfrm>
              </xdr:grpSpPr>
              <xdr:grpSp>
                <xdr:nvGrpSpPr>
                  <xdr:cNvPr id="9199" name="Group 9198"/>
                  <xdr:cNvGrpSpPr/>
                </xdr:nvGrpSpPr>
                <xdr:grpSpPr>
                  <a:xfrm>
                    <a:off x="7724775" y="59159775"/>
                    <a:ext cx="1847088" cy="1848613"/>
                    <a:chOff x="7724775" y="59159775"/>
                    <a:chExt cx="1847088" cy="1848613"/>
                  </a:xfrm>
                </xdr:grpSpPr>
                <xdr:pic>
                  <xdr:nvPicPr>
                    <xdr:cNvPr id="5052" name="06_postimage" descr="profile:multi&#10;postSize:small"/>
                    <xdr:cNvPicPr>
                      <a:picLocks/>
                    </xdr:cNvPicPr>
                  </xdr:nvPicPr>
                  <xdr:blipFill>
                    <a:blip xmlns:r="http://schemas.openxmlformats.org/officeDocument/2006/relationships" r:link="rId41"/>
                    <a:stretch>
                      <a:fillRect/>
                    </a:stretch>
                  </xdr:blipFill>
                  <xdr:spPr>
                    <a:xfrm>
                      <a:off x="7724775" y="59159775"/>
                      <a:ext cx="1847088" cy="1847088"/>
                    </a:xfrm>
                    <a:prstGeom prst="rect">
                      <a:avLst/>
                    </a:prstGeom>
                  </xdr:spPr>
                </xdr:pic>
                <xdr:pic>
                  <xdr:nvPicPr>
                    <xdr:cNvPr id="5221" name="06_overlayimage"/>
                    <xdr:cNvPicPr>
                      <a:picLocks/>
                    </xdr:cNvPicPr>
                  </xdr:nvPicPr>
                  <xdr:blipFill>
                    <a:blip xmlns:r="http://schemas.openxmlformats.org/officeDocument/2006/relationships" r:link="rId2"/>
                    <a:stretch>
                      <a:fillRect/>
                    </a:stretch>
                  </xdr:blipFill>
                  <xdr:spPr>
                    <a:xfrm>
                      <a:off x="7724775" y="60386596"/>
                      <a:ext cx="1847088" cy="621792"/>
                    </a:xfrm>
                    <a:prstGeom prst="rect">
                      <a:avLst/>
                    </a:prstGeom>
                  </xdr:spPr>
                </xdr:pic>
                <xdr:sp macro="" textlink="Calculations!O424">
                  <xdr:nvSpPr>
                    <xdr:cNvPr id="823" name="06_overlaytext"/>
                    <xdr:cNvSpPr txBox="1"/>
                  </xdr:nvSpPr>
                  <xdr:spPr>
                    <a:xfrm>
                      <a:off x="7724775" y="60386596"/>
                      <a:ext cx="1847088" cy="6217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100584" tIns="36576" rIns="100584" bIns="45720" rtlCol="0" anchor="t"/>
                    <a:lstStyle/>
                    <a:p>
                      <a:pPr marL="0" indent="0" algn="l"/>
                      <a:fld id="{915F17D2-FD44-4355-B746-111F0C73855B}" type="TxLink">
                        <a:rPr lang="en-US" sz="1100" b="0" i="1">
                          <a:solidFill>
                            <a:srgbClr val="EBEBEB"/>
                          </a:solidFill>
                          <a:latin typeface="Cambria" panose="02040503050406030204" pitchFamily="18" charset="0"/>
                          <a:ea typeface="+mn-ea"/>
                          <a:cs typeface="+mn-cs"/>
                        </a:rPr>
                        <a:pPr marL="0" indent="0" algn="l"/>
                        <a:t>Dress and act like you are the man, confidence gets you a …</a:t>
                      </a:fld>
                      <a:endParaRPr lang="en-US" sz="1100" b="0" i="1">
                        <a:solidFill>
                          <a:srgbClr val="EBEBEB"/>
                        </a:solidFill>
                        <a:latin typeface="Cambria" panose="02040503050406030204" pitchFamily="18" charset="0"/>
                        <a:ea typeface="+mn-ea"/>
                        <a:cs typeface="+mn-cs"/>
                      </a:endParaRPr>
                    </a:p>
                  </xdr:txBody>
                </xdr:sp>
              </xdr:grpSp>
              <xdr:grpSp>
                <xdr:nvGrpSpPr>
                  <xdr:cNvPr id="9200" name="Group 9199"/>
                  <xdr:cNvGrpSpPr/>
                </xdr:nvGrpSpPr>
                <xdr:grpSpPr>
                  <a:xfrm>
                    <a:off x="7839075" y="59340750"/>
                    <a:ext cx="1590675" cy="1600200"/>
                    <a:chOff x="7839075" y="59340750"/>
                    <a:chExt cx="1590675" cy="1600200"/>
                  </a:xfrm>
                </xdr:grpSpPr>
                <xdr:sp macro="" textlink="">
                  <xdr:nvSpPr>
                    <xdr:cNvPr id="819" name="06_posttext"/>
                    <xdr:cNvSpPr txBox="1"/>
                  </xdr:nvSpPr>
                  <xdr:spPr>
                    <a:xfrm>
                      <a:off x="7924800" y="59340750"/>
                      <a:ext cx="1504950" cy="1600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marL="0" indent="0" algn="l"/>
                      <a:r>
                        <a:rPr lang="en-US" sz="1300" b="0" i="1">
                          <a:solidFill>
                            <a:srgbClr val="4D4D4D"/>
                          </a:solidFill>
                          <a:latin typeface="Cambria" panose="02040503050406030204" pitchFamily="18" charset="0"/>
                          <a:ea typeface="+mn-ea"/>
                          <a:cs typeface="+mn-cs"/>
                        </a:rPr>
                        <a:t> </a:t>
                      </a:r>
                    </a:p>
                  </xdr:txBody>
                </xdr:sp>
                <xdr:sp macro="" textlink="">
                  <xdr:nvSpPr>
                    <xdr:cNvPr id="820" name="06_leadparen"/>
                    <xdr:cNvSpPr txBox="1"/>
                  </xdr:nvSpPr>
                  <xdr:spPr>
                    <a:xfrm>
                      <a:off x="7839075" y="59340750"/>
                      <a:ext cx="371475" cy="3524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marL="0" indent="0" algn="l"/>
                      <a:endParaRPr lang="en-US" sz="1300" b="0" i="1">
                        <a:solidFill>
                          <a:srgbClr val="4D4D4D"/>
                        </a:solidFill>
                        <a:latin typeface="Cambria" panose="02040503050406030204" pitchFamily="18" charset="0"/>
                        <a:ea typeface="+mn-ea"/>
                        <a:cs typeface="+mn-cs"/>
                      </a:endParaRPr>
                    </a:p>
                  </xdr:txBody>
                </xdr:sp>
              </xdr:grpSp>
              <xdr:sp macro="" textlink="">
                <xdr:nvSpPr>
                  <xdr:cNvPr id="818" name="06_imgModule_Rectangle_515"/>
                  <xdr:cNvSpPr/>
                </xdr:nvSpPr>
                <xdr:spPr>
                  <a:xfrm>
                    <a:off x="7724775" y="59159774"/>
                    <a:ext cx="9144" cy="1847088"/>
                  </a:xfrm>
                  <a:prstGeom prst="rect">
                    <a:avLst/>
                  </a:prstGeom>
                  <a:solidFill>
                    <a:srgbClr val="000000">
                      <a:alpha val="16863"/>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pic>
              <xdr:nvPicPr>
                <xdr:cNvPr id="5390" name="06_postlinkimage">
                  <a:hlinkClick xmlns:r="http://schemas.openxmlformats.org/officeDocument/2006/relationships" r:id="rId42"/>
                </xdr:cNvPr>
                <xdr:cNvPicPr>
                  <a:picLocks/>
                </xdr:cNvPicPr>
              </xdr:nvPicPr>
              <xdr:blipFill>
                <a:blip xmlns:r="http://schemas.openxmlformats.org/officeDocument/2006/relationships" r:link="rId4"/>
                <a:stretch>
                  <a:fillRect/>
                </a:stretch>
              </xdr:blipFill>
              <xdr:spPr>
                <a:xfrm>
                  <a:off x="7724775" y="59159775"/>
                  <a:ext cx="1847088" cy="1847088"/>
                </a:xfrm>
                <a:prstGeom prst="rect">
                  <a:avLst/>
                </a:prstGeom>
              </xdr:spPr>
            </xdr:pic>
          </xdr:grpSp>
          <xdr:grpSp>
            <xdr:nvGrpSpPr>
              <xdr:cNvPr id="9204" name="Group 9203"/>
              <xdr:cNvGrpSpPr/>
            </xdr:nvGrpSpPr>
            <xdr:grpSpPr>
              <a:xfrm>
                <a:off x="6199251" y="59302649"/>
                <a:ext cx="969264" cy="969264"/>
                <a:chOff x="6199251" y="59302649"/>
                <a:chExt cx="969264" cy="969264"/>
              </a:xfrm>
            </xdr:grpSpPr>
            <xdr:grpSp>
              <xdr:nvGrpSpPr>
                <xdr:cNvPr id="9203" name="Group 9202"/>
                <xdr:cNvGrpSpPr/>
              </xdr:nvGrpSpPr>
              <xdr:grpSpPr>
                <a:xfrm>
                  <a:off x="6272403" y="59375801"/>
                  <a:ext cx="822960" cy="822960"/>
                  <a:chOff x="6272403" y="59375801"/>
                  <a:chExt cx="822960" cy="822960"/>
                </a:xfrm>
              </xdr:grpSpPr>
              <xdr:sp macro="" textlink="">
                <xdr:nvSpPr>
                  <xdr:cNvPr id="811" name="06_imgModule_Oval_662"/>
                  <xdr:cNvSpPr/>
                </xdr:nvSpPr>
                <xdr:spPr>
                  <a:xfrm>
                    <a:off x="6272403" y="59375801"/>
                    <a:ext cx="822960" cy="822960"/>
                  </a:xfrm>
                  <a:prstGeom prst="ellipse">
                    <a:avLst/>
                  </a:prstGeom>
                  <a:solidFill>
                    <a:srgbClr val="94949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812" name="06_imgModule_Oval_687"/>
                  <xdr:cNvSpPr/>
                </xdr:nvSpPr>
                <xdr:spPr>
                  <a:xfrm>
                    <a:off x="6292504" y="59395873"/>
                    <a:ext cx="782759" cy="782816"/>
                  </a:xfrm>
                  <a:prstGeom prst="ellipse">
                    <a:avLst/>
                  </a:prstGeom>
                  <a:solidFill>
                    <a:srgbClr val="D9D9D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813" name="06_imgModule_Freeform_12"/>
                  <xdr:cNvSpPr>
                    <a:spLocks/>
                  </xdr:cNvSpPr>
                </xdr:nvSpPr>
                <xdr:spPr bwMode="auto">
                  <a:xfrm>
                    <a:off x="6398331" y="59591856"/>
                    <a:ext cx="571104" cy="594874"/>
                  </a:xfrm>
                  <a:custGeom>
                    <a:avLst/>
                    <a:gdLst>
                      <a:gd name="T0" fmla="*/ 3049 w 3180"/>
                      <a:gd name="T1" fmla="*/ 2869 h 3760"/>
                      <a:gd name="T2" fmla="*/ 2848 w 3180"/>
                      <a:gd name="T3" fmla="*/ 2809 h 3760"/>
                      <a:gd name="T4" fmla="*/ 2677 w 3180"/>
                      <a:gd name="T5" fmla="*/ 2745 h 3760"/>
                      <a:gd name="T6" fmla="*/ 2325 w 3180"/>
                      <a:gd name="T7" fmla="*/ 2578 h 3760"/>
                      <a:gd name="T8" fmla="*/ 2187 w 3180"/>
                      <a:gd name="T9" fmla="*/ 2489 h 3760"/>
                      <a:gd name="T10" fmla="*/ 2077 w 3180"/>
                      <a:gd name="T11" fmla="*/ 2368 h 3760"/>
                      <a:gd name="T12" fmla="*/ 1996 w 3180"/>
                      <a:gd name="T13" fmla="*/ 2259 h 3760"/>
                      <a:gd name="T14" fmla="*/ 1975 w 3180"/>
                      <a:gd name="T15" fmla="*/ 2040 h 3760"/>
                      <a:gd name="T16" fmla="*/ 1986 w 3180"/>
                      <a:gd name="T17" fmla="*/ 2014 h 3760"/>
                      <a:gd name="T18" fmla="*/ 2114 w 3180"/>
                      <a:gd name="T19" fmla="*/ 1664 h 3760"/>
                      <a:gd name="T20" fmla="*/ 2148 w 3180"/>
                      <a:gd name="T21" fmla="*/ 1626 h 3760"/>
                      <a:gd name="T22" fmla="*/ 2201 w 3180"/>
                      <a:gd name="T23" fmla="*/ 1561 h 3760"/>
                      <a:gd name="T24" fmla="*/ 2240 w 3180"/>
                      <a:gd name="T25" fmla="*/ 1475 h 3760"/>
                      <a:gd name="T26" fmla="*/ 2269 w 3180"/>
                      <a:gd name="T27" fmla="*/ 1358 h 3760"/>
                      <a:gd name="T28" fmla="*/ 2292 w 3180"/>
                      <a:gd name="T29" fmla="*/ 1232 h 3760"/>
                      <a:gd name="T30" fmla="*/ 2291 w 3180"/>
                      <a:gd name="T31" fmla="*/ 1150 h 3760"/>
                      <a:gd name="T32" fmla="*/ 2278 w 3180"/>
                      <a:gd name="T33" fmla="*/ 1137 h 3760"/>
                      <a:gd name="T34" fmla="*/ 2270 w 3180"/>
                      <a:gd name="T35" fmla="*/ 886 h 3760"/>
                      <a:gd name="T36" fmla="*/ 2283 w 3180"/>
                      <a:gd name="T37" fmla="*/ 694 h 3760"/>
                      <a:gd name="T38" fmla="*/ 2262 w 3180"/>
                      <a:gd name="T39" fmla="*/ 595 h 3760"/>
                      <a:gd name="T40" fmla="*/ 2254 w 3180"/>
                      <a:gd name="T41" fmla="*/ 509 h 3760"/>
                      <a:gd name="T42" fmla="*/ 2183 w 3180"/>
                      <a:gd name="T43" fmla="*/ 416 h 3760"/>
                      <a:gd name="T44" fmla="*/ 1984 w 3180"/>
                      <a:gd name="T45" fmla="*/ 219 h 3760"/>
                      <a:gd name="T46" fmla="*/ 1833 w 3180"/>
                      <a:gd name="T47" fmla="*/ 65 h 3760"/>
                      <a:gd name="T48" fmla="*/ 1648 w 3180"/>
                      <a:gd name="T49" fmla="*/ 0 h 3760"/>
                      <a:gd name="T50" fmla="*/ 1474 w 3180"/>
                      <a:gd name="T51" fmla="*/ 35 h 3760"/>
                      <a:gd name="T52" fmla="*/ 1339 w 3180"/>
                      <a:gd name="T53" fmla="*/ 50 h 3760"/>
                      <a:gd name="T54" fmla="*/ 1188 w 3180"/>
                      <a:gd name="T55" fmla="*/ 157 h 3760"/>
                      <a:gd name="T56" fmla="*/ 944 w 3180"/>
                      <a:gd name="T57" fmla="*/ 333 h 3760"/>
                      <a:gd name="T58" fmla="*/ 905 w 3180"/>
                      <a:gd name="T59" fmla="*/ 551 h 3760"/>
                      <a:gd name="T60" fmla="*/ 908 w 3180"/>
                      <a:gd name="T61" fmla="*/ 716 h 3760"/>
                      <a:gd name="T62" fmla="*/ 913 w 3180"/>
                      <a:gd name="T63" fmla="*/ 1031 h 3760"/>
                      <a:gd name="T64" fmla="*/ 860 w 3180"/>
                      <a:gd name="T65" fmla="*/ 1071 h 3760"/>
                      <a:gd name="T66" fmla="*/ 849 w 3180"/>
                      <a:gd name="T67" fmla="*/ 1116 h 3760"/>
                      <a:gd name="T68" fmla="*/ 875 w 3180"/>
                      <a:gd name="T69" fmla="*/ 1385 h 3760"/>
                      <a:gd name="T70" fmla="*/ 889 w 3180"/>
                      <a:gd name="T71" fmla="*/ 1462 h 3760"/>
                      <a:gd name="T72" fmla="*/ 969 w 3180"/>
                      <a:gd name="T73" fmla="*/ 1562 h 3760"/>
                      <a:gd name="T74" fmla="*/ 1000 w 3180"/>
                      <a:gd name="T75" fmla="*/ 1600 h 3760"/>
                      <a:gd name="T76" fmla="*/ 1097 w 3180"/>
                      <a:gd name="T77" fmla="*/ 1970 h 3760"/>
                      <a:gd name="T78" fmla="*/ 1104 w 3180"/>
                      <a:gd name="T79" fmla="*/ 2220 h 3760"/>
                      <a:gd name="T80" fmla="*/ 809 w 3180"/>
                      <a:gd name="T81" fmla="*/ 2524 h 3760"/>
                      <a:gd name="T82" fmla="*/ 351 w 3180"/>
                      <a:gd name="T83" fmla="*/ 2804 h 3760"/>
                      <a:gd name="T84" fmla="*/ 131 w 3180"/>
                      <a:gd name="T85" fmla="*/ 2869 h 3760"/>
                      <a:gd name="T86" fmla="*/ 100 w 3180"/>
                      <a:gd name="T87" fmla="*/ 3123 h 3760"/>
                      <a:gd name="T88" fmla="*/ 449 w 3180"/>
                      <a:gd name="T89" fmla="*/ 3428 h 3760"/>
                      <a:gd name="T90" fmla="*/ 907 w 3180"/>
                      <a:gd name="T91" fmla="*/ 3640 h 3760"/>
                      <a:gd name="T92" fmla="*/ 1374 w 3180"/>
                      <a:gd name="T93" fmla="*/ 3748 h 3760"/>
                      <a:gd name="T94" fmla="*/ 1983 w 3180"/>
                      <a:gd name="T95" fmla="*/ 3702 h 3760"/>
                      <a:gd name="T96" fmla="*/ 2730 w 3180"/>
                      <a:gd name="T97" fmla="*/ 3410 h 3760"/>
                      <a:gd name="T98" fmla="*/ 3096 w 3180"/>
                      <a:gd name="T99" fmla="*/ 3110 h 3760"/>
                      <a:gd name="connsiteX0" fmla="*/ 10325 w 10325"/>
                      <a:gd name="connsiteY0" fmla="*/ 7962 h 10000"/>
                      <a:gd name="connsiteX1" fmla="*/ 9588 w 10325"/>
                      <a:gd name="connsiteY1" fmla="*/ 7630 h 10000"/>
                      <a:gd name="connsiteX2" fmla="*/ 9170 w 10325"/>
                      <a:gd name="connsiteY2" fmla="*/ 7519 h 10000"/>
                      <a:gd name="connsiteX3" fmla="*/ 8956 w 10325"/>
                      <a:gd name="connsiteY3" fmla="*/ 7471 h 10000"/>
                      <a:gd name="connsiteX4" fmla="*/ 8714 w 10325"/>
                      <a:gd name="connsiteY4" fmla="*/ 7410 h 10000"/>
                      <a:gd name="connsiteX5" fmla="*/ 8418 w 10325"/>
                      <a:gd name="connsiteY5" fmla="*/ 7301 h 10000"/>
                      <a:gd name="connsiteX6" fmla="*/ 7346 w 10325"/>
                      <a:gd name="connsiteY6" fmla="*/ 6867 h 10000"/>
                      <a:gd name="connsiteX7" fmla="*/ 7311 w 10325"/>
                      <a:gd name="connsiteY7" fmla="*/ 6856 h 10000"/>
                      <a:gd name="connsiteX8" fmla="*/ 7041 w 10325"/>
                      <a:gd name="connsiteY8" fmla="*/ 6739 h 10000"/>
                      <a:gd name="connsiteX9" fmla="*/ 6877 w 10325"/>
                      <a:gd name="connsiteY9" fmla="*/ 6620 h 10000"/>
                      <a:gd name="connsiteX10" fmla="*/ 6689 w 10325"/>
                      <a:gd name="connsiteY10" fmla="*/ 6428 h 10000"/>
                      <a:gd name="connsiteX11" fmla="*/ 6531 w 10325"/>
                      <a:gd name="connsiteY11" fmla="*/ 6298 h 10000"/>
                      <a:gd name="connsiteX12" fmla="*/ 6377 w 10325"/>
                      <a:gd name="connsiteY12" fmla="*/ 6165 h 10000"/>
                      <a:gd name="connsiteX13" fmla="*/ 6277 w 10325"/>
                      <a:gd name="connsiteY13" fmla="*/ 6008 h 10000"/>
                      <a:gd name="connsiteX14" fmla="*/ 6220 w 10325"/>
                      <a:gd name="connsiteY14" fmla="*/ 5649 h 10000"/>
                      <a:gd name="connsiteX15" fmla="*/ 6211 w 10325"/>
                      <a:gd name="connsiteY15" fmla="*/ 5426 h 10000"/>
                      <a:gd name="connsiteX16" fmla="*/ 6211 w 10325"/>
                      <a:gd name="connsiteY16" fmla="*/ 5383 h 10000"/>
                      <a:gd name="connsiteX17" fmla="*/ 6245 w 10325"/>
                      <a:gd name="connsiteY17" fmla="*/ 5356 h 10000"/>
                      <a:gd name="connsiteX18" fmla="*/ 6597 w 10325"/>
                      <a:gd name="connsiteY18" fmla="*/ 4763 h 10000"/>
                      <a:gd name="connsiteX19" fmla="*/ 6648 w 10325"/>
                      <a:gd name="connsiteY19" fmla="*/ 4426 h 10000"/>
                      <a:gd name="connsiteX20" fmla="*/ 6648 w 10325"/>
                      <a:gd name="connsiteY20" fmla="*/ 4332 h 10000"/>
                      <a:gd name="connsiteX21" fmla="*/ 6755 w 10325"/>
                      <a:gd name="connsiteY21" fmla="*/ 4324 h 10000"/>
                      <a:gd name="connsiteX22" fmla="*/ 6849 w 10325"/>
                      <a:gd name="connsiteY22" fmla="*/ 4290 h 10000"/>
                      <a:gd name="connsiteX23" fmla="*/ 6921 w 10325"/>
                      <a:gd name="connsiteY23" fmla="*/ 4152 h 10000"/>
                      <a:gd name="connsiteX24" fmla="*/ 6972 w 10325"/>
                      <a:gd name="connsiteY24" fmla="*/ 4043 h 10000"/>
                      <a:gd name="connsiteX25" fmla="*/ 7044 w 10325"/>
                      <a:gd name="connsiteY25" fmla="*/ 3923 h 10000"/>
                      <a:gd name="connsiteX26" fmla="*/ 7113 w 10325"/>
                      <a:gd name="connsiteY26" fmla="*/ 3769 h 10000"/>
                      <a:gd name="connsiteX27" fmla="*/ 7135 w 10325"/>
                      <a:gd name="connsiteY27" fmla="*/ 3612 h 10000"/>
                      <a:gd name="connsiteX28" fmla="*/ 7154 w 10325"/>
                      <a:gd name="connsiteY28" fmla="*/ 3455 h 10000"/>
                      <a:gd name="connsiteX29" fmla="*/ 7208 w 10325"/>
                      <a:gd name="connsiteY29" fmla="*/ 3277 h 10000"/>
                      <a:gd name="connsiteX30" fmla="*/ 7236 w 10325"/>
                      <a:gd name="connsiteY30" fmla="*/ 3133 h 10000"/>
                      <a:gd name="connsiteX31" fmla="*/ 7204 w 10325"/>
                      <a:gd name="connsiteY31" fmla="*/ 3059 h 10000"/>
                      <a:gd name="connsiteX32" fmla="*/ 7198 w 10325"/>
                      <a:gd name="connsiteY32" fmla="*/ 3059 h 10000"/>
                      <a:gd name="connsiteX33" fmla="*/ 7164 w 10325"/>
                      <a:gd name="connsiteY33" fmla="*/ 3024 h 10000"/>
                      <a:gd name="connsiteX34" fmla="*/ 7113 w 10325"/>
                      <a:gd name="connsiteY34" fmla="*/ 2896 h 10000"/>
                      <a:gd name="connsiteX35" fmla="*/ 7138 w 10325"/>
                      <a:gd name="connsiteY35" fmla="*/ 2356 h 10000"/>
                      <a:gd name="connsiteX36" fmla="*/ 7142 w 10325"/>
                      <a:gd name="connsiteY36" fmla="*/ 2314 h 10000"/>
                      <a:gd name="connsiteX37" fmla="*/ 7179 w 10325"/>
                      <a:gd name="connsiteY37" fmla="*/ 1846 h 10000"/>
                      <a:gd name="connsiteX38" fmla="*/ 7123 w 10325"/>
                      <a:gd name="connsiteY38" fmla="*/ 1609 h 10000"/>
                      <a:gd name="connsiteX39" fmla="*/ 7113 w 10325"/>
                      <a:gd name="connsiteY39" fmla="*/ 1582 h 10000"/>
                      <a:gd name="connsiteX40" fmla="*/ 7082 w 10325"/>
                      <a:gd name="connsiteY40" fmla="*/ 1447 h 10000"/>
                      <a:gd name="connsiteX41" fmla="*/ 7088 w 10325"/>
                      <a:gd name="connsiteY41" fmla="*/ 1354 h 10000"/>
                      <a:gd name="connsiteX42" fmla="*/ 7066 w 10325"/>
                      <a:gd name="connsiteY42" fmla="*/ 1271 h 10000"/>
                      <a:gd name="connsiteX43" fmla="*/ 6865 w 10325"/>
                      <a:gd name="connsiteY43" fmla="*/ 1106 h 10000"/>
                      <a:gd name="connsiteX44" fmla="*/ 6535 w 10325"/>
                      <a:gd name="connsiteY44" fmla="*/ 848 h 10000"/>
                      <a:gd name="connsiteX45" fmla="*/ 6239 w 10325"/>
                      <a:gd name="connsiteY45" fmla="*/ 582 h 10000"/>
                      <a:gd name="connsiteX46" fmla="*/ 6006 w 10325"/>
                      <a:gd name="connsiteY46" fmla="*/ 370 h 10000"/>
                      <a:gd name="connsiteX47" fmla="*/ 5764 w 10325"/>
                      <a:gd name="connsiteY47" fmla="*/ 173 h 10000"/>
                      <a:gd name="connsiteX48" fmla="*/ 5503 w 10325"/>
                      <a:gd name="connsiteY48" fmla="*/ 45 h 10000"/>
                      <a:gd name="connsiteX49" fmla="*/ 5182 w 10325"/>
                      <a:gd name="connsiteY49" fmla="*/ 0 h 10000"/>
                      <a:gd name="connsiteX50" fmla="*/ 4874 w 10325"/>
                      <a:gd name="connsiteY50" fmla="*/ 32 h 10000"/>
                      <a:gd name="connsiteX51" fmla="*/ 4635 w 10325"/>
                      <a:gd name="connsiteY51" fmla="*/ 93 h 10000"/>
                      <a:gd name="connsiteX52" fmla="*/ 4390 w 10325"/>
                      <a:gd name="connsiteY52" fmla="*/ 144 h 10000"/>
                      <a:gd name="connsiteX53" fmla="*/ 4211 w 10325"/>
                      <a:gd name="connsiteY53" fmla="*/ 133 h 10000"/>
                      <a:gd name="connsiteX54" fmla="*/ 4022 w 10325"/>
                      <a:gd name="connsiteY54" fmla="*/ 266 h 10000"/>
                      <a:gd name="connsiteX55" fmla="*/ 3736 w 10325"/>
                      <a:gd name="connsiteY55" fmla="*/ 418 h 10000"/>
                      <a:gd name="connsiteX56" fmla="*/ 3324 w 10325"/>
                      <a:gd name="connsiteY56" fmla="*/ 630 h 10000"/>
                      <a:gd name="connsiteX57" fmla="*/ 2969 w 10325"/>
                      <a:gd name="connsiteY57" fmla="*/ 886 h 10000"/>
                      <a:gd name="connsiteX58" fmla="*/ 2814 w 10325"/>
                      <a:gd name="connsiteY58" fmla="*/ 1173 h 10000"/>
                      <a:gd name="connsiteX59" fmla="*/ 2846 w 10325"/>
                      <a:gd name="connsiteY59" fmla="*/ 1465 h 10000"/>
                      <a:gd name="connsiteX60" fmla="*/ 2877 w 10325"/>
                      <a:gd name="connsiteY60" fmla="*/ 1678 h 10000"/>
                      <a:gd name="connsiteX61" fmla="*/ 2855 w 10325"/>
                      <a:gd name="connsiteY61" fmla="*/ 1904 h 10000"/>
                      <a:gd name="connsiteX62" fmla="*/ 2824 w 10325"/>
                      <a:gd name="connsiteY62" fmla="*/ 2436 h 10000"/>
                      <a:gd name="connsiteX63" fmla="*/ 2871 w 10325"/>
                      <a:gd name="connsiteY63" fmla="*/ 2742 h 10000"/>
                      <a:gd name="connsiteX64" fmla="*/ 2925 w 10325"/>
                      <a:gd name="connsiteY64" fmla="*/ 2973 h 10000"/>
                      <a:gd name="connsiteX65" fmla="*/ 2704 w 10325"/>
                      <a:gd name="connsiteY65" fmla="*/ 2848 h 10000"/>
                      <a:gd name="connsiteX66" fmla="*/ 2689 w 10325"/>
                      <a:gd name="connsiteY66" fmla="*/ 2878 h 10000"/>
                      <a:gd name="connsiteX67" fmla="*/ 2670 w 10325"/>
                      <a:gd name="connsiteY67" fmla="*/ 2968 h 10000"/>
                      <a:gd name="connsiteX68" fmla="*/ 2682 w 10325"/>
                      <a:gd name="connsiteY68" fmla="*/ 3314 h 10000"/>
                      <a:gd name="connsiteX69" fmla="*/ 2752 w 10325"/>
                      <a:gd name="connsiteY69" fmla="*/ 3684 h 10000"/>
                      <a:gd name="connsiteX70" fmla="*/ 2774 w 10325"/>
                      <a:gd name="connsiteY70" fmla="*/ 3785 h 10000"/>
                      <a:gd name="connsiteX71" fmla="*/ 2796 w 10325"/>
                      <a:gd name="connsiteY71" fmla="*/ 3888 h 10000"/>
                      <a:gd name="connsiteX72" fmla="*/ 2928 w 10325"/>
                      <a:gd name="connsiteY72" fmla="*/ 4109 h 10000"/>
                      <a:gd name="connsiteX73" fmla="*/ 3047 w 10325"/>
                      <a:gd name="connsiteY73" fmla="*/ 4154 h 10000"/>
                      <a:gd name="connsiteX74" fmla="*/ 3142 w 10325"/>
                      <a:gd name="connsiteY74" fmla="*/ 4168 h 10000"/>
                      <a:gd name="connsiteX75" fmla="*/ 3145 w 10325"/>
                      <a:gd name="connsiteY75" fmla="*/ 4255 h 10000"/>
                      <a:gd name="connsiteX76" fmla="*/ 3296 w 10325"/>
                      <a:gd name="connsiteY76" fmla="*/ 4976 h 10000"/>
                      <a:gd name="connsiteX77" fmla="*/ 3450 w 10325"/>
                      <a:gd name="connsiteY77" fmla="*/ 5239 h 10000"/>
                      <a:gd name="connsiteX78" fmla="*/ 3472 w 10325"/>
                      <a:gd name="connsiteY78" fmla="*/ 5266 h 10000"/>
                      <a:gd name="connsiteX79" fmla="*/ 3472 w 10325"/>
                      <a:gd name="connsiteY79" fmla="*/ 5904 h 10000"/>
                      <a:gd name="connsiteX80" fmla="*/ 3374 w 10325"/>
                      <a:gd name="connsiteY80" fmla="*/ 5995 h 10000"/>
                      <a:gd name="connsiteX81" fmla="*/ 2544 w 10325"/>
                      <a:gd name="connsiteY81" fmla="*/ 6713 h 10000"/>
                      <a:gd name="connsiteX82" fmla="*/ 1421 w 10325"/>
                      <a:gd name="connsiteY82" fmla="*/ 7370 h 10000"/>
                      <a:gd name="connsiteX83" fmla="*/ 1104 w 10325"/>
                      <a:gd name="connsiteY83" fmla="*/ 7457 h 10000"/>
                      <a:gd name="connsiteX84" fmla="*/ 833 w 10325"/>
                      <a:gd name="connsiteY84" fmla="*/ 7519 h 10000"/>
                      <a:gd name="connsiteX85" fmla="*/ 412 w 10325"/>
                      <a:gd name="connsiteY85" fmla="*/ 7630 h 10000"/>
                      <a:gd name="connsiteX86" fmla="*/ 0 w 10325"/>
                      <a:gd name="connsiteY86" fmla="*/ 7816 h 10000"/>
                      <a:gd name="connsiteX87" fmla="*/ 314 w 10325"/>
                      <a:gd name="connsiteY87" fmla="*/ 8306 h 10000"/>
                      <a:gd name="connsiteX88" fmla="*/ 799 w 10325"/>
                      <a:gd name="connsiteY88" fmla="*/ 8742 h 10000"/>
                      <a:gd name="connsiteX89" fmla="*/ 1412 w 10325"/>
                      <a:gd name="connsiteY89" fmla="*/ 9117 h 10000"/>
                      <a:gd name="connsiteX90" fmla="*/ 2107 w 10325"/>
                      <a:gd name="connsiteY90" fmla="*/ 9431 h 10000"/>
                      <a:gd name="connsiteX91" fmla="*/ 2852 w 10325"/>
                      <a:gd name="connsiteY91" fmla="*/ 9681 h 10000"/>
                      <a:gd name="connsiteX92" fmla="*/ 3604 w 10325"/>
                      <a:gd name="connsiteY92" fmla="*/ 9862 h 10000"/>
                      <a:gd name="connsiteX93" fmla="*/ 4321 w 10325"/>
                      <a:gd name="connsiteY93" fmla="*/ 9968 h 10000"/>
                      <a:gd name="connsiteX94" fmla="*/ 4965 w 10325"/>
                      <a:gd name="connsiteY94" fmla="*/ 10000 h 10000"/>
                      <a:gd name="connsiteX95" fmla="*/ 6236 w 10325"/>
                      <a:gd name="connsiteY95" fmla="*/ 9846 h 10000"/>
                      <a:gd name="connsiteX96" fmla="*/ 7824 w 10325"/>
                      <a:gd name="connsiteY96" fmla="*/ 9391 h 10000"/>
                      <a:gd name="connsiteX97" fmla="*/ 8585 w 10325"/>
                      <a:gd name="connsiteY97" fmla="*/ 9069 h 10000"/>
                      <a:gd name="connsiteX98" fmla="*/ 9245 w 10325"/>
                      <a:gd name="connsiteY98" fmla="*/ 8694 h 10000"/>
                      <a:gd name="connsiteX99" fmla="*/ 9736 w 10325"/>
                      <a:gd name="connsiteY99" fmla="*/ 8271 h 10000"/>
                      <a:gd name="connsiteX100" fmla="*/ 10325 w 10325"/>
                      <a:gd name="connsiteY100" fmla="*/ 7962 h 10000"/>
                      <a:gd name="connsiteX0" fmla="*/ 10650 w 10650"/>
                      <a:gd name="connsiteY0" fmla="*/ 7962 h 10000"/>
                      <a:gd name="connsiteX1" fmla="*/ 9913 w 10650"/>
                      <a:gd name="connsiteY1" fmla="*/ 7630 h 10000"/>
                      <a:gd name="connsiteX2" fmla="*/ 9495 w 10650"/>
                      <a:gd name="connsiteY2" fmla="*/ 7519 h 10000"/>
                      <a:gd name="connsiteX3" fmla="*/ 9281 w 10650"/>
                      <a:gd name="connsiteY3" fmla="*/ 7471 h 10000"/>
                      <a:gd name="connsiteX4" fmla="*/ 9039 w 10650"/>
                      <a:gd name="connsiteY4" fmla="*/ 7410 h 10000"/>
                      <a:gd name="connsiteX5" fmla="*/ 8743 w 10650"/>
                      <a:gd name="connsiteY5" fmla="*/ 7301 h 10000"/>
                      <a:gd name="connsiteX6" fmla="*/ 7671 w 10650"/>
                      <a:gd name="connsiteY6" fmla="*/ 6867 h 10000"/>
                      <a:gd name="connsiteX7" fmla="*/ 7636 w 10650"/>
                      <a:gd name="connsiteY7" fmla="*/ 6856 h 10000"/>
                      <a:gd name="connsiteX8" fmla="*/ 7366 w 10650"/>
                      <a:gd name="connsiteY8" fmla="*/ 6739 h 10000"/>
                      <a:gd name="connsiteX9" fmla="*/ 7202 w 10650"/>
                      <a:gd name="connsiteY9" fmla="*/ 6620 h 10000"/>
                      <a:gd name="connsiteX10" fmla="*/ 7014 w 10650"/>
                      <a:gd name="connsiteY10" fmla="*/ 6428 h 10000"/>
                      <a:gd name="connsiteX11" fmla="*/ 6856 w 10650"/>
                      <a:gd name="connsiteY11" fmla="*/ 6298 h 10000"/>
                      <a:gd name="connsiteX12" fmla="*/ 6702 w 10650"/>
                      <a:gd name="connsiteY12" fmla="*/ 6165 h 10000"/>
                      <a:gd name="connsiteX13" fmla="*/ 6602 w 10650"/>
                      <a:gd name="connsiteY13" fmla="*/ 6008 h 10000"/>
                      <a:gd name="connsiteX14" fmla="*/ 6545 w 10650"/>
                      <a:gd name="connsiteY14" fmla="*/ 5649 h 10000"/>
                      <a:gd name="connsiteX15" fmla="*/ 6536 w 10650"/>
                      <a:gd name="connsiteY15" fmla="*/ 5426 h 10000"/>
                      <a:gd name="connsiteX16" fmla="*/ 6536 w 10650"/>
                      <a:gd name="connsiteY16" fmla="*/ 5383 h 10000"/>
                      <a:gd name="connsiteX17" fmla="*/ 6570 w 10650"/>
                      <a:gd name="connsiteY17" fmla="*/ 5356 h 10000"/>
                      <a:gd name="connsiteX18" fmla="*/ 6922 w 10650"/>
                      <a:gd name="connsiteY18" fmla="*/ 4763 h 10000"/>
                      <a:gd name="connsiteX19" fmla="*/ 6973 w 10650"/>
                      <a:gd name="connsiteY19" fmla="*/ 4426 h 10000"/>
                      <a:gd name="connsiteX20" fmla="*/ 6973 w 10650"/>
                      <a:gd name="connsiteY20" fmla="*/ 4332 h 10000"/>
                      <a:gd name="connsiteX21" fmla="*/ 7080 w 10650"/>
                      <a:gd name="connsiteY21" fmla="*/ 4324 h 10000"/>
                      <a:gd name="connsiteX22" fmla="*/ 7174 w 10650"/>
                      <a:gd name="connsiteY22" fmla="*/ 4290 h 10000"/>
                      <a:gd name="connsiteX23" fmla="*/ 7246 w 10650"/>
                      <a:gd name="connsiteY23" fmla="*/ 4152 h 10000"/>
                      <a:gd name="connsiteX24" fmla="*/ 7297 w 10650"/>
                      <a:gd name="connsiteY24" fmla="*/ 4043 h 10000"/>
                      <a:gd name="connsiteX25" fmla="*/ 7369 w 10650"/>
                      <a:gd name="connsiteY25" fmla="*/ 3923 h 10000"/>
                      <a:gd name="connsiteX26" fmla="*/ 7438 w 10650"/>
                      <a:gd name="connsiteY26" fmla="*/ 3769 h 10000"/>
                      <a:gd name="connsiteX27" fmla="*/ 7460 w 10650"/>
                      <a:gd name="connsiteY27" fmla="*/ 3612 h 10000"/>
                      <a:gd name="connsiteX28" fmla="*/ 7479 w 10650"/>
                      <a:gd name="connsiteY28" fmla="*/ 3455 h 10000"/>
                      <a:gd name="connsiteX29" fmla="*/ 7533 w 10650"/>
                      <a:gd name="connsiteY29" fmla="*/ 3277 h 10000"/>
                      <a:gd name="connsiteX30" fmla="*/ 7561 w 10650"/>
                      <a:gd name="connsiteY30" fmla="*/ 3133 h 10000"/>
                      <a:gd name="connsiteX31" fmla="*/ 7529 w 10650"/>
                      <a:gd name="connsiteY31" fmla="*/ 3059 h 10000"/>
                      <a:gd name="connsiteX32" fmla="*/ 7523 w 10650"/>
                      <a:gd name="connsiteY32" fmla="*/ 3059 h 10000"/>
                      <a:gd name="connsiteX33" fmla="*/ 7489 w 10650"/>
                      <a:gd name="connsiteY33" fmla="*/ 3024 h 10000"/>
                      <a:gd name="connsiteX34" fmla="*/ 7438 w 10650"/>
                      <a:gd name="connsiteY34" fmla="*/ 2896 h 10000"/>
                      <a:gd name="connsiteX35" fmla="*/ 7463 w 10650"/>
                      <a:gd name="connsiteY35" fmla="*/ 2356 h 10000"/>
                      <a:gd name="connsiteX36" fmla="*/ 7467 w 10650"/>
                      <a:gd name="connsiteY36" fmla="*/ 2314 h 10000"/>
                      <a:gd name="connsiteX37" fmla="*/ 7504 w 10650"/>
                      <a:gd name="connsiteY37" fmla="*/ 1846 h 10000"/>
                      <a:gd name="connsiteX38" fmla="*/ 7448 w 10650"/>
                      <a:gd name="connsiteY38" fmla="*/ 1609 h 10000"/>
                      <a:gd name="connsiteX39" fmla="*/ 7438 w 10650"/>
                      <a:gd name="connsiteY39" fmla="*/ 1582 h 10000"/>
                      <a:gd name="connsiteX40" fmla="*/ 7407 w 10650"/>
                      <a:gd name="connsiteY40" fmla="*/ 1447 h 10000"/>
                      <a:gd name="connsiteX41" fmla="*/ 7413 w 10650"/>
                      <a:gd name="connsiteY41" fmla="*/ 1354 h 10000"/>
                      <a:gd name="connsiteX42" fmla="*/ 7391 w 10650"/>
                      <a:gd name="connsiteY42" fmla="*/ 1271 h 10000"/>
                      <a:gd name="connsiteX43" fmla="*/ 7190 w 10650"/>
                      <a:gd name="connsiteY43" fmla="*/ 1106 h 10000"/>
                      <a:gd name="connsiteX44" fmla="*/ 6860 w 10650"/>
                      <a:gd name="connsiteY44" fmla="*/ 848 h 10000"/>
                      <a:gd name="connsiteX45" fmla="*/ 6564 w 10650"/>
                      <a:gd name="connsiteY45" fmla="*/ 582 h 10000"/>
                      <a:gd name="connsiteX46" fmla="*/ 6331 w 10650"/>
                      <a:gd name="connsiteY46" fmla="*/ 370 h 10000"/>
                      <a:gd name="connsiteX47" fmla="*/ 6089 w 10650"/>
                      <a:gd name="connsiteY47" fmla="*/ 173 h 10000"/>
                      <a:gd name="connsiteX48" fmla="*/ 5828 w 10650"/>
                      <a:gd name="connsiteY48" fmla="*/ 45 h 10000"/>
                      <a:gd name="connsiteX49" fmla="*/ 5507 w 10650"/>
                      <a:gd name="connsiteY49" fmla="*/ 0 h 10000"/>
                      <a:gd name="connsiteX50" fmla="*/ 5199 w 10650"/>
                      <a:gd name="connsiteY50" fmla="*/ 32 h 10000"/>
                      <a:gd name="connsiteX51" fmla="*/ 4960 w 10650"/>
                      <a:gd name="connsiteY51" fmla="*/ 93 h 10000"/>
                      <a:gd name="connsiteX52" fmla="*/ 4715 w 10650"/>
                      <a:gd name="connsiteY52" fmla="*/ 144 h 10000"/>
                      <a:gd name="connsiteX53" fmla="*/ 4536 w 10650"/>
                      <a:gd name="connsiteY53" fmla="*/ 133 h 10000"/>
                      <a:gd name="connsiteX54" fmla="*/ 4347 w 10650"/>
                      <a:gd name="connsiteY54" fmla="*/ 266 h 10000"/>
                      <a:gd name="connsiteX55" fmla="*/ 4061 w 10650"/>
                      <a:gd name="connsiteY55" fmla="*/ 418 h 10000"/>
                      <a:gd name="connsiteX56" fmla="*/ 3649 w 10650"/>
                      <a:gd name="connsiteY56" fmla="*/ 630 h 10000"/>
                      <a:gd name="connsiteX57" fmla="*/ 3294 w 10650"/>
                      <a:gd name="connsiteY57" fmla="*/ 886 h 10000"/>
                      <a:gd name="connsiteX58" fmla="*/ 3139 w 10650"/>
                      <a:gd name="connsiteY58" fmla="*/ 1173 h 10000"/>
                      <a:gd name="connsiteX59" fmla="*/ 3171 w 10650"/>
                      <a:gd name="connsiteY59" fmla="*/ 1465 h 10000"/>
                      <a:gd name="connsiteX60" fmla="*/ 3202 w 10650"/>
                      <a:gd name="connsiteY60" fmla="*/ 1678 h 10000"/>
                      <a:gd name="connsiteX61" fmla="*/ 3180 w 10650"/>
                      <a:gd name="connsiteY61" fmla="*/ 1904 h 10000"/>
                      <a:gd name="connsiteX62" fmla="*/ 3149 w 10650"/>
                      <a:gd name="connsiteY62" fmla="*/ 2436 h 10000"/>
                      <a:gd name="connsiteX63" fmla="*/ 3196 w 10650"/>
                      <a:gd name="connsiteY63" fmla="*/ 2742 h 10000"/>
                      <a:gd name="connsiteX64" fmla="*/ 3250 w 10650"/>
                      <a:gd name="connsiteY64" fmla="*/ 2973 h 10000"/>
                      <a:gd name="connsiteX65" fmla="*/ 3029 w 10650"/>
                      <a:gd name="connsiteY65" fmla="*/ 2848 h 10000"/>
                      <a:gd name="connsiteX66" fmla="*/ 3014 w 10650"/>
                      <a:gd name="connsiteY66" fmla="*/ 2878 h 10000"/>
                      <a:gd name="connsiteX67" fmla="*/ 2995 w 10650"/>
                      <a:gd name="connsiteY67" fmla="*/ 2968 h 10000"/>
                      <a:gd name="connsiteX68" fmla="*/ 3007 w 10650"/>
                      <a:gd name="connsiteY68" fmla="*/ 3314 h 10000"/>
                      <a:gd name="connsiteX69" fmla="*/ 3077 w 10650"/>
                      <a:gd name="connsiteY69" fmla="*/ 3684 h 10000"/>
                      <a:gd name="connsiteX70" fmla="*/ 3099 w 10650"/>
                      <a:gd name="connsiteY70" fmla="*/ 3785 h 10000"/>
                      <a:gd name="connsiteX71" fmla="*/ 3121 w 10650"/>
                      <a:gd name="connsiteY71" fmla="*/ 3888 h 10000"/>
                      <a:gd name="connsiteX72" fmla="*/ 3253 w 10650"/>
                      <a:gd name="connsiteY72" fmla="*/ 4109 h 10000"/>
                      <a:gd name="connsiteX73" fmla="*/ 3372 w 10650"/>
                      <a:gd name="connsiteY73" fmla="*/ 4154 h 10000"/>
                      <a:gd name="connsiteX74" fmla="*/ 3467 w 10650"/>
                      <a:gd name="connsiteY74" fmla="*/ 4168 h 10000"/>
                      <a:gd name="connsiteX75" fmla="*/ 3470 w 10650"/>
                      <a:gd name="connsiteY75" fmla="*/ 4255 h 10000"/>
                      <a:gd name="connsiteX76" fmla="*/ 3621 w 10650"/>
                      <a:gd name="connsiteY76" fmla="*/ 4976 h 10000"/>
                      <a:gd name="connsiteX77" fmla="*/ 3775 w 10650"/>
                      <a:gd name="connsiteY77" fmla="*/ 5239 h 10000"/>
                      <a:gd name="connsiteX78" fmla="*/ 3797 w 10650"/>
                      <a:gd name="connsiteY78" fmla="*/ 5266 h 10000"/>
                      <a:gd name="connsiteX79" fmla="*/ 3797 w 10650"/>
                      <a:gd name="connsiteY79" fmla="*/ 5904 h 10000"/>
                      <a:gd name="connsiteX80" fmla="*/ 3699 w 10650"/>
                      <a:gd name="connsiteY80" fmla="*/ 5995 h 10000"/>
                      <a:gd name="connsiteX81" fmla="*/ 2869 w 10650"/>
                      <a:gd name="connsiteY81" fmla="*/ 6713 h 10000"/>
                      <a:gd name="connsiteX82" fmla="*/ 1746 w 10650"/>
                      <a:gd name="connsiteY82" fmla="*/ 7370 h 10000"/>
                      <a:gd name="connsiteX83" fmla="*/ 1429 w 10650"/>
                      <a:gd name="connsiteY83" fmla="*/ 7457 h 10000"/>
                      <a:gd name="connsiteX84" fmla="*/ 1158 w 10650"/>
                      <a:gd name="connsiteY84" fmla="*/ 7519 h 10000"/>
                      <a:gd name="connsiteX85" fmla="*/ 737 w 10650"/>
                      <a:gd name="connsiteY85" fmla="*/ 7630 h 10000"/>
                      <a:gd name="connsiteX86" fmla="*/ 0 w 10650"/>
                      <a:gd name="connsiteY86" fmla="*/ 8060 h 10000"/>
                      <a:gd name="connsiteX87" fmla="*/ 639 w 10650"/>
                      <a:gd name="connsiteY87" fmla="*/ 8306 h 10000"/>
                      <a:gd name="connsiteX88" fmla="*/ 1124 w 10650"/>
                      <a:gd name="connsiteY88" fmla="*/ 8742 h 10000"/>
                      <a:gd name="connsiteX89" fmla="*/ 1737 w 10650"/>
                      <a:gd name="connsiteY89" fmla="*/ 9117 h 10000"/>
                      <a:gd name="connsiteX90" fmla="*/ 2432 w 10650"/>
                      <a:gd name="connsiteY90" fmla="*/ 9431 h 10000"/>
                      <a:gd name="connsiteX91" fmla="*/ 3177 w 10650"/>
                      <a:gd name="connsiteY91" fmla="*/ 9681 h 10000"/>
                      <a:gd name="connsiteX92" fmla="*/ 3929 w 10650"/>
                      <a:gd name="connsiteY92" fmla="*/ 9862 h 10000"/>
                      <a:gd name="connsiteX93" fmla="*/ 4646 w 10650"/>
                      <a:gd name="connsiteY93" fmla="*/ 9968 h 10000"/>
                      <a:gd name="connsiteX94" fmla="*/ 5290 w 10650"/>
                      <a:gd name="connsiteY94" fmla="*/ 10000 h 10000"/>
                      <a:gd name="connsiteX95" fmla="*/ 6561 w 10650"/>
                      <a:gd name="connsiteY95" fmla="*/ 9846 h 10000"/>
                      <a:gd name="connsiteX96" fmla="*/ 8149 w 10650"/>
                      <a:gd name="connsiteY96" fmla="*/ 9391 h 10000"/>
                      <a:gd name="connsiteX97" fmla="*/ 8910 w 10650"/>
                      <a:gd name="connsiteY97" fmla="*/ 9069 h 10000"/>
                      <a:gd name="connsiteX98" fmla="*/ 9570 w 10650"/>
                      <a:gd name="connsiteY98" fmla="*/ 8694 h 10000"/>
                      <a:gd name="connsiteX99" fmla="*/ 10061 w 10650"/>
                      <a:gd name="connsiteY99" fmla="*/ 8271 h 10000"/>
                      <a:gd name="connsiteX100" fmla="*/ 10650 w 10650"/>
                      <a:gd name="connsiteY100" fmla="*/ 7962 h 10000"/>
                      <a:gd name="connsiteX0" fmla="*/ 10650 w 10650"/>
                      <a:gd name="connsiteY0" fmla="*/ 7962 h 10000"/>
                      <a:gd name="connsiteX1" fmla="*/ 9913 w 10650"/>
                      <a:gd name="connsiteY1" fmla="*/ 7630 h 10000"/>
                      <a:gd name="connsiteX2" fmla="*/ 9495 w 10650"/>
                      <a:gd name="connsiteY2" fmla="*/ 7519 h 10000"/>
                      <a:gd name="connsiteX3" fmla="*/ 9281 w 10650"/>
                      <a:gd name="connsiteY3" fmla="*/ 7471 h 10000"/>
                      <a:gd name="connsiteX4" fmla="*/ 9039 w 10650"/>
                      <a:gd name="connsiteY4" fmla="*/ 7410 h 10000"/>
                      <a:gd name="connsiteX5" fmla="*/ 8743 w 10650"/>
                      <a:gd name="connsiteY5" fmla="*/ 7301 h 10000"/>
                      <a:gd name="connsiteX6" fmla="*/ 7671 w 10650"/>
                      <a:gd name="connsiteY6" fmla="*/ 6867 h 10000"/>
                      <a:gd name="connsiteX7" fmla="*/ 7636 w 10650"/>
                      <a:gd name="connsiteY7" fmla="*/ 6856 h 10000"/>
                      <a:gd name="connsiteX8" fmla="*/ 7366 w 10650"/>
                      <a:gd name="connsiteY8" fmla="*/ 6739 h 10000"/>
                      <a:gd name="connsiteX9" fmla="*/ 7202 w 10650"/>
                      <a:gd name="connsiteY9" fmla="*/ 6620 h 10000"/>
                      <a:gd name="connsiteX10" fmla="*/ 7014 w 10650"/>
                      <a:gd name="connsiteY10" fmla="*/ 6428 h 10000"/>
                      <a:gd name="connsiteX11" fmla="*/ 6856 w 10650"/>
                      <a:gd name="connsiteY11" fmla="*/ 6298 h 10000"/>
                      <a:gd name="connsiteX12" fmla="*/ 6702 w 10650"/>
                      <a:gd name="connsiteY12" fmla="*/ 6165 h 10000"/>
                      <a:gd name="connsiteX13" fmla="*/ 6602 w 10650"/>
                      <a:gd name="connsiteY13" fmla="*/ 6008 h 10000"/>
                      <a:gd name="connsiteX14" fmla="*/ 6545 w 10650"/>
                      <a:gd name="connsiteY14" fmla="*/ 5649 h 10000"/>
                      <a:gd name="connsiteX15" fmla="*/ 6536 w 10650"/>
                      <a:gd name="connsiteY15" fmla="*/ 5426 h 10000"/>
                      <a:gd name="connsiteX16" fmla="*/ 6536 w 10650"/>
                      <a:gd name="connsiteY16" fmla="*/ 5383 h 10000"/>
                      <a:gd name="connsiteX17" fmla="*/ 6570 w 10650"/>
                      <a:gd name="connsiteY17" fmla="*/ 5356 h 10000"/>
                      <a:gd name="connsiteX18" fmla="*/ 6922 w 10650"/>
                      <a:gd name="connsiteY18" fmla="*/ 4763 h 10000"/>
                      <a:gd name="connsiteX19" fmla="*/ 6973 w 10650"/>
                      <a:gd name="connsiteY19" fmla="*/ 4426 h 10000"/>
                      <a:gd name="connsiteX20" fmla="*/ 6973 w 10650"/>
                      <a:gd name="connsiteY20" fmla="*/ 4332 h 10000"/>
                      <a:gd name="connsiteX21" fmla="*/ 7080 w 10650"/>
                      <a:gd name="connsiteY21" fmla="*/ 4324 h 10000"/>
                      <a:gd name="connsiteX22" fmla="*/ 7174 w 10650"/>
                      <a:gd name="connsiteY22" fmla="*/ 4290 h 10000"/>
                      <a:gd name="connsiteX23" fmla="*/ 7246 w 10650"/>
                      <a:gd name="connsiteY23" fmla="*/ 4152 h 10000"/>
                      <a:gd name="connsiteX24" fmla="*/ 7297 w 10650"/>
                      <a:gd name="connsiteY24" fmla="*/ 4043 h 10000"/>
                      <a:gd name="connsiteX25" fmla="*/ 7369 w 10650"/>
                      <a:gd name="connsiteY25" fmla="*/ 3923 h 10000"/>
                      <a:gd name="connsiteX26" fmla="*/ 7438 w 10650"/>
                      <a:gd name="connsiteY26" fmla="*/ 3769 h 10000"/>
                      <a:gd name="connsiteX27" fmla="*/ 7460 w 10650"/>
                      <a:gd name="connsiteY27" fmla="*/ 3612 h 10000"/>
                      <a:gd name="connsiteX28" fmla="*/ 7479 w 10650"/>
                      <a:gd name="connsiteY28" fmla="*/ 3455 h 10000"/>
                      <a:gd name="connsiteX29" fmla="*/ 7533 w 10650"/>
                      <a:gd name="connsiteY29" fmla="*/ 3277 h 10000"/>
                      <a:gd name="connsiteX30" fmla="*/ 7561 w 10650"/>
                      <a:gd name="connsiteY30" fmla="*/ 3133 h 10000"/>
                      <a:gd name="connsiteX31" fmla="*/ 7529 w 10650"/>
                      <a:gd name="connsiteY31" fmla="*/ 3059 h 10000"/>
                      <a:gd name="connsiteX32" fmla="*/ 7523 w 10650"/>
                      <a:gd name="connsiteY32" fmla="*/ 3059 h 10000"/>
                      <a:gd name="connsiteX33" fmla="*/ 7489 w 10650"/>
                      <a:gd name="connsiteY33" fmla="*/ 3024 h 10000"/>
                      <a:gd name="connsiteX34" fmla="*/ 7438 w 10650"/>
                      <a:gd name="connsiteY34" fmla="*/ 2896 h 10000"/>
                      <a:gd name="connsiteX35" fmla="*/ 7463 w 10650"/>
                      <a:gd name="connsiteY35" fmla="*/ 2356 h 10000"/>
                      <a:gd name="connsiteX36" fmla="*/ 7467 w 10650"/>
                      <a:gd name="connsiteY36" fmla="*/ 2314 h 10000"/>
                      <a:gd name="connsiteX37" fmla="*/ 7504 w 10650"/>
                      <a:gd name="connsiteY37" fmla="*/ 1846 h 10000"/>
                      <a:gd name="connsiteX38" fmla="*/ 7448 w 10650"/>
                      <a:gd name="connsiteY38" fmla="*/ 1609 h 10000"/>
                      <a:gd name="connsiteX39" fmla="*/ 7438 w 10650"/>
                      <a:gd name="connsiteY39" fmla="*/ 1582 h 10000"/>
                      <a:gd name="connsiteX40" fmla="*/ 7407 w 10650"/>
                      <a:gd name="connsiteY40" fmla="*/ 1447 h 10000"/>
                      <a:gd name="connsiteX41" fmla="*/ 7413 w 10650"/>
                      <a:gd name="connsiteY41" fmla="*/ 1354 h 10000"/>
                      <a:gd name="connsiteX42" fmla="*/ 7391 w 10650"/>
                      <a:gd name="connsiteY42" fmla="*/ 1271 h 10000"/>
                      <a:gd name="connsiteX43" fmla="*/ 7190 w 10650"/>
                      <a:gd name="connsiteY43" fmla="*/ 1106 h 10000"/>
                      <a:gd name="connsiteX44" fmla="*/ 6860 w 10650"/>
                      <a:gd name="connsiteY44" fmla="*/ 848 h 10000"/>
                      <a:gd name="connsiteX45" fmla="*/ 6564 w 10650"/>
                      <a:gd name="connsiteY45" fmla="*/ 582 h 10000"/>
                      <a:gd name="connsiteX46" fmla="*/ 6331 w 10650"/>
                      <a:gd name="connsiteY46" fmla="*/ 370 h 10000"/>
                      <a:gd name="connsiteX47" fmla="*/ 6089 w 10650"/>
                      <a:gd name="connsiteY47" fmla="*/ 173 h 10000"/>
                      <a:gd name="connsiteX48" fmla="*/ 5828 w 10650"/>
                      <a:gd name="connsiteY48" fmla="*/ 45 h 10000"/>
                      <a:gd name="connsiteX49" fmla="*/ 5507 w 10650"/>
                      <a:gd name="connsiteY49" fmla="*/ 0 h 10000"/>
                      <a:gd name="connsiteX50" fmla="*/ 5199 w 10650"/>
                      <a:gd name="connsiteY50" fmla="*/ 32 h 10000"/>
                      <a:gd name="connsiteX51" fmla="*/ 4960 w 10650"/>
                      <a:gd name="connsiteY51" fmla="*/ 93 h 10000"/>
                      <a:gd name="connsiteX52" fmla="*/ 4715 w 10650"/>
                      <a:gd name="connsiteY52" fmla="*/ 144 h 10000"/>
                      <a:gd name="connsiteX53" fmla="*/ 4536 w 10650"/>
                      <a:gd name="connsiteY53" fmla="*/ 133 h 10000"/>
                      <a:gd name="connsiteX54" fmla="*/ 4347 w 10650"/>
                      <a:gd name="connsiteY54" fmla="*/ 266 h 10000"/>
                      <a:gd name="connsiteX55" fmla="*/ 4061 w 10650"/>
                      <a:gd name="connsiteY55" fmla="*/ 418 h 10000"/>
                      <a:gd name="connsiteX56" fmla="*/ 3649 w 10650"/>
                      <a:gd name="connsiteY56" fmla="*/ 630 h 10000"/>
                      <a:gd name="connsiteX57" fmla="*/ 3294 w 10650"/>
                      <a:gd name="connsiteY57" fmla="*/ 886 h 10000"/>
                      <a:gd name="connsiteX58" fmla="*/ 3139 w 10650"/>
                      <a:gd name="connsiteY58" fmla="*/ 1173 h 10000"/>
                      <a:gd name="connsiteX59" fmla="*/ 3171 w 10650"/>
                      <a:gd name="connsiteY59" fmla="*/ 1465 h 10000"/>
                      <a:gd name="connsiteX60" fmla="*/ 3202 w 10650"/>
                      <a:gd name="connsiteY60" fmla="*/ 1678 h 10000"/>
                      <a:gd name="connsiteX61" fmla="*/ 3180 w 10650"/>
                      <a:gd name="connsiteY61" fmla="*/ 1904 h 10000"/>
                      <a:gd name="connsiteX62" fmla="*/ 3149 w 10650"/>
                      <a:gd name="connsiteY62" fmla="*/ 2436 h 10000"/>
                      <a:gd name="connsiteX63" fmla="*/ 3196 w 10650"/>
                      <a:gd name="connsiteY63" fmla="*/ 2742 h 10000"/>
                      <a:gd name="connsiteX64" fmla="*/ 3250 w 10650"/>
                      <a:gd name="connsiteY64" fmla="*/ 2973 h 10000"/>
                      <a:gd name="connsiteX65" fmla="*/ 3029 w 10650"/>
                      <a:gd name="connsiteY65" fmla="*/ 2848 h 10000"/>
                      <a:gd name="connsiteX66" fmla="*/ 3014 w 10650"/>
                      <a:gd name="connsiteY66" fmla="*/ 2878 h 10000"/>
                      <a:gd name="connsiteX67" fmla="*/ 2995 w 10650"/>
                      <a:gd name="connsiteY67" fmla="*/ 2968 h 10000"/>
                      <a:gd name="connsiteX68" fmla="*/ 3007 w 10650"/>
                      <a:gd name="connsiteY68" fmla="*/ 3314 h 10000"/>
                      <a:gd name="connsiteX69" fmla="*/ 3077 w 10650"/>
                      <a:gd name="connsiteY69" fmla="*/ 3684 h 10000"/>
                      <a:gd name="connsiteX70" fmla="*/ 3099 w 10650"/>
                      <a:gd name="connsiteY70" fmla="*/ 3785 h 10000"/>
                      <a:gd name="connsiteX71" fmla="*/ 3121 w 10650"/>
                      <a:gd name="connsiteY71" fmla="*/ 3888 h 10000"/>
                      <a:gd name="connsiteX72" fmla="*/ 3253 w 10650"/>
                      <a:gd name="connsiteY72" fmla="*/ 4109 h 10000"/>
                      <a:gd name="connsiteX73" fmla="*/ 3372 w 10650"/>
                      <a:gd name="connsiteY73" fmla="*/ 4154 h 10000"/>
                      <a:gd name="connsiteX74" fmla="*/ 3467 w 10650"/>
                      <a:gd name="connsiteY74" fmla="*/ 4168 h 10000"/>
                      <a:gd name="connsiteX75" fmla="*/ 3470 w 10650"/>
                      <a:gd name="connsiteY75" fmla="*/ 4255 h 10000"/>
                      <a:gd name="connsiteX76" fmla="*/ 3621 w 10650"/>
                      <a:gd name="connsiteY76" fmla="*/ 4976 h 10000"/>
                      <a:gd name="connsiteX77" fmla="*/ 3775 w 10650"/>
                      <a:gd name="connsiteY77" fmla="*/ 5239 h 10000"/>
                      <a:gd name="connsiteX78" fmla="*/ 3797 w 10650"/>
                      <a:gd name="connsiteY78" fmla="*/ 5266 h 10000"/>
                      <a:gd name="connsiteX79" fmla="*/ 3797 w 10650"/>
                      <a:gd name="connsiteY79" fmla="*/ 5904 h 10000"/>
                      <a:gd name="connsiteX80" fmla="*/ 3699 w 10650"/>
                      <a:gd name="connsiteY80" fmla="*/ 5995 h 10000"/>
                      <a:gd name="connsiteX81" fmla="*/ 2869 w 10650"/>
                      <a:gd name="connsiteY81" fmla="*/ 6713 h 10000"/>
                      <a:gd name="connsiteX82" fmla="*/ 1746 w 10650"/>
                      <a:gd name="connsiteY82" fmla="*/ 7370 h 10000"/>
                      <a:gd name="connsiteX83" fmla="*/ 1429 w 10650"/>
                      <a:gd name="connsiteY83" fmla="*/ 7457 h 10000"/>
                      <a:gd name="connsiteX84" fmla="*/ 1158 w 10650"/>
                      <a:gd name="connsiteY84" fmla="*/ 7519 h 10000"/>
                      <a:gd name="connsiteX85" fmla="*/ 737 w 10650"/>
                      <a:gd name="connsiteY85" fmla="*/ 7630 h 10000"/>
                      <a:gd name="connsiteX86" fmla="*/ 0 w 10650"/>
                      <a:gd name="connsiteY86" fmla="*/ 8060 h 10000"/>
                      <a:gd name="connsiteX87" fmla="*/ 639 w 10650"/>
                      <a:gd name="connsiteY87" fmla="*/ 8306 h 10000"/>
                      <a:gd name="connsiteX88" fmla="*/ 1124 w 10650"/>
                      <a:gd name="connsiteY88" fmla="*/ 8742 h 10000"/>
                      <a:gd name="connsiteX89" fmla="*/ 1737 w 10650"/>
                      <a:gd name="connsiteY89" fmla="*/ 9117 h 10000"/>
                      <a:gd name="connsiteX90" fmla="*/ 2432 w 10650"/>
                      <a:gd name="connsiteY90" fmla="*/ 9431 h 10000"/>
                      <a:gd name="connsiteX91" fmla="*/ 3177 w 10650"/>
                      <a:gd name="connsiteY91" fmla="*/ 9681 h 10000"/>
                      <a:gd name="connsiteX92" fmla="*/ 3929 w 10650"/>
                      <a:gd name="connsiteY92" fmla="*/ 9862 h 10000"/>
                      <a:gd name="connsiteX93" fmla="*/ 4646 w 10650"/>
                      <a:gd name="connsiteY93" fmla="*/ 9968 h 10000"/>
                      <a:gd name="connsiteX94" fmla="*/ 5290 w 10650"/>
                      <a:gd name="connsiteY94" fmla="*/ 10000 h 10000"/>
                      <a:gd name="connsiteX95" fmla="*/ 6561 w 10650"/>
                      <a:gd name="connsiteY95" fmla="*/ 9846 h 10000"/>
                      <a:gd name="connsiteX96" fmla="*/ 8149 w 10650"/>
                      <a:gd name="connsiteY96" fmla="*/ 9391 h 10000"/>
                      <a:gd name="connsiteX97" fmla="*/ 8910 w 10650"/>
                      <a:gd name="connsiteY97" fmla="*/ 9069 h 10000"/>
                      <a:gd name="connsiteX98" fmla="*/ 9570 w 10650"/>
                      <a:gd name="connsiteY98" fmla="*/ 8694 h 10000"/>
                      <a:gd name="connsiteX99" fmla="*/ 10332 w 10650"/>
                      <a:gd name="connsiteY99" fmla="*/ 8320 h 10000"/>
                      <a:gd name="connsiteX100" fmla="*/ 10650 w 10650"/>
                      <a:gd name="connsiteY100" fmla="*/ 7962 h 100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Lst>
                    <a:rect l="l" t="t" r="r" b="b"/>
                    <a:pathLst>
                      <a:path w="10650" h="10000">
                        <a:moveTo>
                          <a:pt x="10650" y="7962"/>
                        </a:moveTo>
                        <a:lnTo>
                          <a:pt x="9913" y="7630"/>
                        </a:lnTo>
                        <a:lnTo>
                          <a:pt x="9495" y="7519"/>
                        </a:lnTo>
                        <a:lnTo>
                          <a:pt x="9281" y="7471"/>
                        </a:lnTo>
                        <a:lnTo>
                          <a:pt x="9039" y="7410"/>
                        </a:lnTo>
                        <a:lnTo>
                          <a:pt x="8743" y="7301"/>
                        </a:lnTo>
                        <a:lnTo>
                          <a:pt x="7671" y="6867"/>
                        </a:lnTo>
                        <a:cubicBezTo>
                          <a:pt x="7659" y="6863"/>
                          <a:pt x="7648" y="6860"/>
                          <a:pt x="7636" y="6856"/>
                        </a:cubicBezTo>
                        <a:lnTo>
                          <a:pt x="7366" y="6739"/>
                        </a:lnTo>
                        <a:lnTo>
                          <a:pt x="7202" y="6620"/>
                        </a:lnTo>
                        <a:lnTo>
                          <a:pt x="7014" y="6428"/>
                        </a:lnTo>
                        <a:cubicBezTo>
                          <a:pt x="6961" y="6385"/>
                          <a:pt x="6909" y="6341"/>
                          <a:pt x="6856" y="6298"/>
                        </a:cubicBezTo>
                        <a:lnTo>
                          <a:pt x="6702" y="6165"/>
                        </a:lnTo>
                        <a:lnTo>
                          <a:pt x="6602" y="6008"/>
                        </a:lnTo>
                        <a:cubicBezTo>
                          <a:pt x="6583" y="5888"/>
                          <a:pt x="6564" y="5769"/>
                          <a:pt x="6545" y="5649"/>
                        </a:cubicBezTo>
                        <a:cubicBezTo>
                          <a:pt x="6542" y="5575"/>
                          <a:pt x="6539" y="5500"/>
                          <a:pt x="6536" y="5426"/>
                        </a:cubicBezTo>
                        <a:lnTo>
                          <a:pt x="6536" y="5383"/>
                        </a:lnTo>
                        <a:cubicBezTo>
                          <a:pt x="6547" y="5374"/>
                          <a:pt x="6559" y="5365"/>
                          <a:pt x="6570" y="5356"/>
                        </a:cubicBezTo>
                        <a:lnTo>
                          <a:pt x="6922" y="4763"/>
                        </a:lnTo>
                        <a:cubicBezTo>
                          <a:pt x="6939" y="4651"/>
                          <a:pt x="6956" y="4538"/>
                          <a:pt x="6973" y="4426"/>
                        </a:cubicBezTo>
                        <a:lnTo>
                          <a:pt x="6973" y="4332"/>
                        </a:lnTo>
                        <a:lnTo>
                          <a:pt x="7080" y="4324"/>
                        </a:lnTo>
                        <a:lnTo>
                          <a:pt x="7174" y="4290"/>
                        </a:lnTo>
                        <a:lnTo>
                          <a:pt x="7246" y="4152"/>
                        </a:lnTo>
                        <a:cubicBezTo>
                          <a:pt x="7263" y="4116"/>
                          <a:pt x="7280" y="4079"/>
                          <a:pt x="7297" y="4043"/>
                        </a:cubicBezTo>
                        <a:lnTo>
                          <a:pt x="7369" y="3923"/>
                        </a:lnTo>
                        <a:cubicBezTo>
                          <a:pt x="7392" y="3872"/>
                          <a:pt x="7415" y="3820"/>
                          <a:pt x="7438" y="3769"/>
                        </a:cubicBezTo>
                        <a:cubicBezTo>
                          <a:pt x="7445" y="3717"/>
                          <a:pt x="7453" y="3664"/>
                          <a:pt x="7460" y="3612"/>
                        </a:cubicBezTo>
                        <a:cubicBezTo>
                          <a:pt x="7466" y="3560"/>
                          <a:pt x="7473" y="3507"/>
                          <a:pt x="7479" y="3455"/>
                        </a:cubicBezTo>
                        <a:cubicBezTo>
                          <a:pt x="7497" y="3396"/>
                          <a:pt x="7515" y="3336"/>
                          <a:pt x="7533" y="3277"/>
                        </a:cubicBezTo>
                        <a:cubicBezTo>
                          <a:pt x="7542" y="3229"/>
                          <a:pt x="7552" y="3181"/>
                          <a:pt x="7561" y="3133"/>
                        </a:cubicBezTo>
                        <a:cubicBezTo>
                          <a:pt x="7550" y="3108"/>
                          <a:pt x="7540" y="3084"/>
                          <a:pt x="7529" y="3059"/>
                        </a:cubicBezTo>
                        <a:lnTo>
                          <a:pt x="7523" y="3059"/>
                        </a:lnTo>
                        <a:cubicBezTo>
                          <a:pt x="7512" y="3047"/>
                          <a:pt x="7500" y="3036"/>
                          <a:pt x="7489" y="3024"/>
                        </a:cubicBezTo>
                        <a:cubicBezTo>
                          <a:pt x="7472" y="2981"/>
                          <a:pt x="7455" y="2939"/>
                          <a:pt x="7438" y="2896"/>
                        </a:cubicBezTo>
                        <a:cubicBezTo>
                          <a:pt x="7446" y="2716"/>
                          <a:pt x="7455" y="2536"/>
                          <a:pt x="7463" y="2356"/>
                        </a:cubicBezTo>
                        <a:cubicBezTo>
                          <a:pt x="7464" y="2342"/>
                          <a:pt x="7466" y="2328"/>
                          <a:pt x="7467" y="2314"/>
                        </a:cubicBezTo>
                        <a:cubicBezTo>
                          <a:pt x="7479" y="2158"/>
                          <a:pt x="7492" y="2002"/>
                          <a:pt x="7504" y="1846"/>
                        </a:cubicBezTo>
                        <a:cubicBezTo>
                          <a:pt x="7485" y="1767"/>
                          <a:pt x="7467" y="1688"/>
                          <a:pt x="7448" y="1609"/>
                        </a:cubicBezTo>
                        <a:cubicBezTo>
                          <a:pt x="7445" y="1600"/>
                          <a:pt x="7441" y="1591"/>
                          <a:pt x="7438" y="1582"/>
                        </a:cubicBezTo>
                        <a:cubicBezTo>
                          <a:pt x="7428" y="1537"/>
                          <a:pt x="7417" y="1492"/>
                          <a:pt x="7407" y="1447"/>
                        </a:cubicBezTo>
                        <a:lnTo>
                          <a:pt x="7413" y="1354"/>
                        </a:lnTo>
                        <a:cubicBezTo>
                          <a:pt x="7406" y="1326"/>
                          <a:pt x="7398" y="1299"/>
                          <a:pt x="7391" y="1271"/>
                        </a:cubicBezTo>
                        <a:lnTo>
                          <a:pt x="7190" y="1106"/>
                        </a:lnTo>
                        <a:lnTo>
                          <a:pt x="6860" y="848"/>
                        </a:lnTo>
                        <a:lnTo>
                          <a:pt x="6564" y="582"/>
                        </a:lnTo>
                        <a:lnTo>
                          <a:pt x="6331" y="370"/>
                        </a:lnTo>
                        <a:lnTo>
                          <a:pt x="6089" y="173"/>
                        </a:lnTo>
                        <a:lnTo>
                          <a:pt x="5828" y="45"/>
                        </a:lnTo>
                        <a:lnTo>
                          <a:pt x="5507" y="0"/>
                        </a:lnTo>
                        <a:lnTo>
                          <a:pt x="5199" y="32"/>
                        </a:lnTo>
                        <a:lnTo>
                          <a:pt x="4960" y="93"/>
                        </a:lnTo>
                        <a:lnTo>
                          <a:pt x="4715" y="144"/>
                        </a:lnTo>
                        <a:lnTo>
                          <a:pt x="4536" y="133"/>
                        </a:lnTo>
                        <a:lnTo>
                          <a:pt x="4347" y="266"/>
                        </a:lnTo>
                        <a:lnTo>
                          <a:pt x="4061" y="418"/>
                        </a:lnTo>
                        <a:lnTo>
                          <a:pt x="3649" y="630"/>
                        </a:lnTo>
                        <a:lnTo>
                          <a:pt x="3294" y="886"/>
                        </a:lnTo>
                        <a:lnTo>
                          <a:pt x="3139" y="1173"/>
                        </a:lnTo>
                        <a:cubicBezTo>
                          <a:pt x="3150" y="1270"/>
                          <a:pt x="3160" y="1368"/>
                          <a:pt x="3171" y="1465"/>
                        </a:cubicBezTo>
                        <a:cubicBezTo>
                          <a:pt x="3181" y="1536"/>
                          <a:pt x="3192" y="1607"/>
                          <a:pt x="3202" y="1678"/>
                        </a:cubicBezTo>
                        <a:cubicBezTo>
                          <a:pt x="3195" y="1753"/>
                          <a:pt x="3187" y="1829"/>
                          <a:pt x="3180" y="1904"/>
                        </a:cubicBezTo>
                        <a:cubicBezTo>
                          <a:pt x="3170" y="2081"/>
                          <a:pt x="3159" y="2259"/>
                          <a:pt x="3149" y="2436"/>
                        </a:cubicBezTo>
                        <a:cubicBezTo>
                          <a:pt x="3165" y="2538"/>
                          <a:pt x="3180" y="2640"/>
                          <a:pt x="3196" y="2742"/>
                        </a:cubicBezTo>
                        <a:lnTo>
                          <a:pt x="3250" y="2973"/>
                        </a:lnTo>
                        <a:lnTo>
                          <a:pt x="3029" y="2848"/>
                        </a:lnTo>
                        <a:lnTo>
                          <a:pt x="3014" y="2878"/>
                        </a:lnTo>
                        <a:cubicBezTo>
                          <a:pt x="3008" y="2908"/>
                          <a:pt x="3001" y="2938"/>
                          <a:pt x="2995" y="2968"/>
                        </a:cubicBezTo>
                        <a:cubicBezTo>
                          <a:pt x="2999" y="3083"/>
                          <a:pt x="3003" y="3199"/>
                          <a:pt x="3007" y="3314"/>
                        </a:cubicBezTo>
                        <a:cubicBezTo>
                          <a:pt x="3030" y="3437"/>
                          <a:pt x="3054" y="3561"/>
                          <a:pt x="3077" y="3684"/>
                        </a:cubicBezTo>
                        <a:cubicBezTo>
                          <a:pt x="3084" y="3718"/>
                          <a:pt x="3092" y="3751"/>
                          <a:pt x="3099" y="3785"/>
                        </a:cubicBezTo>
                        <a:cubicBezTo>
                          <a:pt x="3106" y="3819"/>
                          <a:pt x="3114" y="3854"/>
                          <a:pt x="3121" y="3888"/>
                        </a:cubicBezTo>
                        <a:lnTo>
                          <a:pt x="3253" y="4109"/>
                        </a:lnTo>
                        <a:lnTo>
                          <a:pt x="3372" y="4154"/>
                        </a:lnTo>
                        <a:lnTo>
                          <a:pt x="3467" y="4168"/>
                        </a:lnTo>
                        <a:lnTo>
                          <a:pt x="3470" y="4255"/>
                        </a:lnTo>
                        <a:cubicBezTo>
                          <a:pt x="3520" y="4495"/>
                          <a:pt x="3571" y="4736"/>
                          <a:pt x="3621" y="4976"/>
                        </a:cubicBezTo>
                        <a:cubicBezTo>
                          <a:pt x="3672" y="5064"/>
                          <a:pt x="3724" y="5151"/>
                          <a:pt x="3775" y="5239"/>
                        </a:cubicBezTo>
                        <a:cubicBezTo>
                          <a:pt x="3782" y="5248"/>
                          <a:pt x="3790" y="5257"/>
                          <a:pt x="3797" y="5266"/>
                        </a:cubicBezTo>
                        <a:lnTo>
                          <a:pt x="3797" y="5904"/>
                        </a:lnTo>
                        <a:cubicBezTo>
                          <a:pt x="3764" y="5934"/>
                          <a:pt x="3732" y="5965"/>
                          <a:pt x="3699" y="5995"/>
                        </a:cubicBezTo>
                        <a:lnTo>
                          <a:pt x="2869" y="6713"/>
                        </a:lnTo>
                        <a:lnTo>
                          <a:pt x="1746" y="7370"/>
                        </a:lnTo>
                        <a:lnTo>
                          <a:pt x="1429" y="7457"/>
                        </a:lnTo>
                        <a:lnTo>
                          <a:pt x="1158" y="7519"/>
                        </a:lnTo>
                        <a:lnTo>
                          <a:pt x="737" y="7630"/>
                        </a:lnTo>
                        <a:lnTo>
                          <a:pt x="0" y="8060"/>
                        </a:lnTo>
                        <a:lnTo>
                          <a:pt x="639" y="8306"/>
                        </a:lnTo>
                        <a:lnTo>
                          <a:pt x="1124" y="8742"/>
                        </a:lnTo>
                        <a:lnTo>
                          <a:pt x="1737" y="9117"/>
                        </a:lnTo>
                        <a:lnTo>
                          <a:pt x="2432" y="9431"/>
                        </a:lnTo>
                        <a:lnTo>
                          <a:pt x="3177" y="9681"/>
                        </a:lnTo>
                        <a:lnTo>
                          <a:pt x="3929" y="9862"/>
                        </a:lnTo>
                        <a:lnTo>
                          <a:pt x="4646" y="9968"/>
                        </a:lnTo>
                        <a:lnTo>
                          <a:pt x="5290" y="10000"/>
                        </a:lnTo>
                        <a:lnTo>
                          <a:pt x="6561" y="9846"/>
                        </a:lnTo>
                        <a:lnTo>
                          <a:pt x="8149" y="9391"/>
                        </a:lnTo>
                        <a:lnTo>
                          <a:pt x="8910" y="9069"/>
                        </a:lnTo>
                        <a:lnTo>
                          <a:pt x="9570" y="8694"/>
                        </a:lnTo>
                        <a:lnTo>
                          <a:pt x="10332" y="8320"/>
                        </a:lnTo>
                        <a:lnTo>
                          <a:pt x="10650" y="7962"/>
                        </a:lnTo>
                        <a:close/>
                      </a:path>
                    </a:pathLst>
                  </a:custGeom>
                  <a:solidFill>
                    <a:srgbClr val="9E9E9E"/>
                  </a:solidFill>
                  <a:ln>
                    <a:noFill/>
                  </a:ln>
                </xdr:spPr>
                <xdr:txBody>
                  <a:bodyPr/>
                  <a:lstStyle/>
                  <a:p>
                    <a:endParaRPr lang="en-US"/>
                  </a:p>
                </xdr:txBody>
              </xdr:sp>
            </xdr:grpSp>
            <xdr:pic>
              <xdr:nvPicPr>
                <xdr:cNvPr id="5559" name="06_profileimage">
                  <a:hlinkClick xmlns:r="http://schemas.openxmlformats.org/officeDocument/2006/relationships" r:id="rId35"/>
                </xdr:cNvPr>
                <xdr:cNvPicPr>
                  <a:picLocks/>
                </xdr:cNvPicPr>
              </xdr:nvPicPr>
              <xdr:blipFill>
                <a:blip xmlns:r="http://schemas.openxmlformats.org/officeDocument/2006/relationships" r:link="rId36"/>
                <a:stretch>
                  <a:fillRect/>
                </a:stretch>
              </xdr:blipFill>
              <xdr:spPr>
                <a:xfrm>
                  <a:off x="6272403" y="59375799"/>
                  <a:ext cx="822960" cy="822960"/>
                </a:xfrm>
                <a:prstGeom prst="rect">
                  <a:avLst/>
                </a:prstGeom>
              </xdr:spPr>
            </xdr:pic>
            <xdr:sp macro="" textlink="">
              <xdr:nvSpPr>
                <xdr:cNvPr id="810" name="06_imgModule_Freeform_10"/>
                <xdr:cNvSpPr>
                  <a:spLocks noEditPoints="1"/>
                </xdr:cNvSpPr>
              </xdr:nvSpPr>
              <xdr:spPr bwMode="auto">
                <a:xfrm>
                  <a:off x="6199251" y="59302649"/>
                  <a:ext cx="969264" cy="969264"/>
                </a:xfrm>
                <a:custGeom>
                  <a:avLst/>
                  <a:gdLst>
                    <a:gd name="T0" fmla="*/ 0 w 417"/>
                    <a:gd name="T1" fmla="*/ 417 h 417"/>
                    <a:gd name="T2" fmla="*/ 417 w 417"/>
                    <a:gd name="T3" fmla="*/ 0 h 417"/>
                    <a:gd name="T4" fmla="*/ 209 w 417"/>
                    <a:gd name="T5" fmla="*/ 385 h 417"/>
                    <a:gd name="T6" fmla="*/ 190 w 417"/>
                    <a:gd name="T7" fmla="*/ 384 h 417"/>
                    <a:gd name="T8" fmla="*/ 156 w 417"/>
                    <a:gd name="T9" fmla="*/ 377 h 417"/>
                    <a:gd name="T10" fmla="*/ 124 w 417"/>
                    <a:gd name="T11" fmla="*/ 364 h 417"/>
                    <a:gd name="T12" fmla="*/ 96 w 417"/>
                    <a:gd name="T13" fmla="*/ 345 h 417"/>
                    <a:gd name="T14" fmla="*/ 72 w 417"/>
                    <a:gd name="T15" fmla="*/ 321 h 417"/>
                    <a:gd name="T16" fmla="*/ 53 w 417"/>
                    <a:gd name="T17" fmla="*/ 293 h 417"/>
                    <a:gd name="T18" fmla="*/ 40 w 417"/>
                    <a:gd name="T19" fmla="*/ 261 h 417"/>
                    <a:gd name="T20" fmla="*/ 33 w 417"/>
                    <a:gd name="T21" fmla="*/ 227 h 417"/>
                    <a:gd name="T22" fmla="*/ 32 w 417"/>
                    <a:gd name="T23" fmla="*/ 209 h 417"/>
                    <a:gd name="T24" fmla="*/ 36 w 417"/>
                    <a:gd name="T25" fmla="*/ 173 h 417"/>
                    <a:gd name="T26" fmla="*/ 46 w 417"/>
                    <a:gd name="T27" fmla="*/ 139 h 417"/>
                    <a:gd name="T28" fmla="*/ 62 w 417"/>
                    <a:gd name="T29" fmla="*/ 110 h 417"/>
                    <a:gd name="T30" fmla="*/ 84 w 417"/>
                    <a:gd name="T31" fmla="*/ 84 h 417"/>
                    <a:gd name="T32" fmla="*/ 110 w 417"/>
                    <a:gd name="T33" fmla="*/ 62 h 417"/>
                    <a:gd name="T34" fmla="*/ 139 w 417"/>
                    <a:gd name="T35" fmla="*/ 46 h 417"/>
                    <a:gd name="T36" fmla="*/ 173 w 417"/>
                    <a:gd name="T37" fmla="*/ 36 h 417"/>
                    <a:gd name="T38" fmla="*/ 209 w 417"/>
                    <a:gd name="T39" fmla="*/ 32 h 417"/>
                    <a:gd name="T40" fmla="*/ 227 w 417"/>
                    <a:gd name="T41" fmla="*/ 33 h 417"/>
                    <a:gd name="T42" fmla="*/ 261 w 417"/>
                    <a:gd name="T43" fmla="*/ 40 h 417"/>
                    <a:gd name="T44" fmla="*/ 293 w 417"/>
                    <a:gd name="T45" fmla="*/ 53 h 417"/>
                    <a:gd name="T46" fmla="*/ 321 w 417"/>
                    <a:gd name="T47" fmla="*/ 72 h 417"/>
                    <a:gd name="T48" fmla="*/ 345 w 417"/>
                    <a:gd name="T49" fmla="*/ 96 h 417"/>
                    <a:gd name="T50" fmla="*/ 364 w 417"/>
                    <a:gd name="T51" fmla="*/ 124 h 417"/>
                    <a:gd name="T52" fmla="*/ 377 w 417"/>
                    <a:gd name="T53" fmla="*/ 156 h 417"/>
                    <a:gd name="T54" fmla="*/ 384 w 417"/>
                    <a:gd name="T55" fmla="*/ 190 h 417"/>
                    <a:gd name="T56" fmla="*/ 385 w 417"/>
                    <a:gd name="T57" fmla="*/ 209 h 417"/>
                    <a:gd name="T58" fmla="*/ 381 w 417"/>
                    <a:gd name="T59" fmla="*/ 244 h 417"/>
                    <a:gd name="T60" fmla="*/ 371 w 417"/>
                    <a:gd name="T61" fmla="*/ 278 h 417"/>
                    <a:gd name="T62" fmla="*/ 355 w 417"/>
                    <a:gd name="T63" fmla="*/ 307 h 417"/>
                    <a:gd name="T64" fmla="*/ 333 w 417"/>
                    <a:gd name="T65" fmla="*/ 333 h 417"/>
                    <a:gd name="T66" fmla="*/ 307 w 417"/>
                    <a:gd name="T67" fmla="*/ 355 h 417"/>
                    <a:gd name="T68" fmla="*/ 278 w 417"/>
                    <a:gd name="T69" fmla="*/ 371 h 417"/>
                    <a:gd name="T70" fmla="*/ 244 w 417"/>
                    <a:gd name="T71" fmla="*/ 381 h 417"/>
                    <a:gd name="T72" fmla="*/ 209 w 417"/>
                    <a:gd name="T73" fmla="*/ 385 h 41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Lst>
                  <a:rect l="0" t="0" r="r" b="b"/>
                  <a:pathLst>
                    <a:path w="417" h="417">
                      <a:moveTo>
                        <a:pt x="0" y="0"/>
                      </a:moveTo>
                      <a:lnTo>
                        <a:pt x="0" y="417"/>
                      </a:lnTo>
                      <a:lnTo>
                        <a:pt x="417" y="417"/>
                      </a:lnTo>
                      <a:lnTo>
                        <a:pt x="417" y="0"/>
                      </a:lnTo>
                      <a:lnTo>
                        <a:pt x="0" y="0"/>
                      </a:lnTo>
                      <a:close/>
                      <a:moveTo>
                        <a:pt x="209" y="385"/>
                      </a:moveTo>
                      <a:lnTo>
                        <a:pt x="209" y="385"/>
                      </a:lnTo>
                      <a:lnTo>
                        <a:pt x="190" y="384"/>
                      </a:lnTo>
                      <a:lnTo>
                        <a:pt x="173" y="381"/>
                      </a:lnTo>
                      <a:lnTo>
                        <a:pt x="156" y="377"/>
                      </a:lnTo>
                      <a:lnTo>
                        <a:pt x="139" y="371"/>
                      </a:lnTo>
                      <a:lnTo>
                        <a:pt x="124" y="364"/>
                      </a:lnTo>
                      <a:lnTo>
                        <a:pt x="110" y="355"/>
                      </a:lnTo>
                      <a:lnTo>
                        <a:pt x="96" y="345"/>
                      </a:lnTo>
                      <a:lnTo>
                        <a:pt x="84" y="333"/>
                      </a:lnTo>
                      <a:lnTo>
                        <a:pt x="72" y="321"/>
                      </a:lnTo>
                      <a:lnTo>
                        <a:pt x="62" y="307"/>
                      </a:lnTo>
                      <a:lnTo>
                        <a:pt x="53" y="293"/>
                      </a:lnTo>
                      <a:lnTo>
                        <a:pt x="46" y="278"/>
                      </a:lnTo>
                      <a:lnTo>
                        <a:pt x="40" y="261"/>
                      </a:lnTo>
                      <a:lnTo>
                        <a:pt x="36" y="244"/>
                      </a:lnTo>
                      <a:lnTo>
                        <a:pt x="33" y="227"/>
                      </a:lnTo>
                      <a:lnTo>
                        <a:pt x="32" y="209"/>
                      </a:lnTo>
                      <a:lnTo>
                        <a:pt x="32" y="209"/>
                      </a:lnTo>
                      <a:lnTo>
                        <a:pt x="33" y="190"/>
                      </a:lnTo>
                      <a:lnTo>
                        <a:pt x="36" y="173"/>
                      </a:lnTo>
                      <a:lnTo>
                        <a:pt x="40" y="156"/>
                      </a:lnTo>
                      <a:lnTo>
                        <a:pt x="46" y="139"/>
                      </a:lnTo>
                      <a:lnTo>
                        <a:pt x="53" y="124"/>
                      </a:lnTo>
                      <a:lnTo>
                        <a:pt x="62" y="110"/>
                      </a:lnTo>
                      <a:lnTo>
                        <a:pt x="72" y="96"/>
                      </a:lnTo>
                      <a:lnTo>
                        <a:pt x="84" y="84"/>
                      </a:lnTo>
                      <a:lnTo>
                        <a:pt x="96" y="72"/>
                      </a:lnTo>
                      <a:lnTo>
                        <a:pt x="110" y="62"/>
                      </a:lnTo>
                      <a:lnTo>
                        <a:pt x="124" y="53"/>
                      </a:lnTo>
                      <a:lnTo>
                        <a:pt x="139" y="46"/>
                      </a:lnTo>
                      <a:lnTo>
                        <a:pt x="156" y="40"/>
                      </a:lnTo>
                      <a:lnTo>
                        <a:pt x="173" y="36"/>
                      </a:lnTo>
                      <a:lnTo>
                        <a:pt x="190" y="33"/>
                      </a:lnTo>
                      <a:lnTo>
                        <a:pt x="209" y="32"/>
                      </a:lnTo>
                      <a:lnTo>
                        <a:pt x="209" y="32"/>
                      </a:lnTo>
                      <a:lnTo>
                        <a:pt x="227" y="33"/>
                      </a:lnTo>
                      <a:lnTo>
                        <a:pt x="244" y="36"/>
                      </a:lnTo>
                      <a:lnTo>
                        <a:pt x="261" y="40"/>
                      </a:lnTo>
                      <a:lnTo>
                        <a:pt x="278" y="46"/>
                      </a:lnTo>
                      <a:lnTo>
                        <a:pt x="293" y="53"/>
                      </a:lnTo>
                      <a:lnTo>
                        <a:pt x="307" y="62"/>
                      </a:lnTo>
                      <a:lnTo>
                        <a:pt x="321" y="72"/>
                      </a:lnTo>
                      <a:lnTo>
                        <a:pt x="333" y="84"/>
                      </a:lnTo>
                      <a:lnTo>
                        <a:pt x="345" y="96"/>
                      </a:lnTo>
                      <a:lnTo>
                        <a:pt x="355" y="110"/>
                      </a:lnTo>
                      <a:lnTo>
                        <a:pt x="364" y="124"/>
                      </a:lnTo>
                      <a:lnTo>
                        <a:pt x="371" y="139"/>
                      </a:lnTo>
                      <a:lnTo>
                        <a:pt x="377" y="156"/>
                      </a:lnTo>
                      <a:lnTo>
                        <a:pt x="381" y="173"/>
                      </a:lnTo>
                      <a:lnTo>
                        <a:pt x="384" y="190"/>
                      </a:lnTo>
                      <a:lnTo>
                        <a:pt x="385" y="209"/>
                      </a:lnTo>
                      <a:lnTo>
                        <a:pt x="385" y="209"/>
                      </a:lnTo>
                      <a:lnTo>
                        <a:pt x="384" y="227"/>
                      </a:lnTo>
                      <a:lnTo>
                        <a:pt x="381" y="244"/>
                      </a:lnTo>
                      <a:lnTo>
                        <a:pt x="377" y="261"/>
                      </a:lnTo>
                      <a:lnTo>
                        <a:pt x="371" y="278"/>
                      </a:lnTo>
                      <a:lnTo>
                        <a:pt x="364" y="293"/>
                      </a:lnTo>
                      <a:lnTo>
                        <a:pt x="355" y="307"/>
                      </a:lnTo>
                      <a:lnTo>
                        <a:pt x="345" y="321"/>
                      </a:lnTo>
                      <a:lnTo>
                        <a:pt x="333" y="333"/>
                      </a:lnTo>
                      <a:lnTo>
                        <a:pt x="321" y="345"/>
                      </a:lnTo>
                      <a:lnTo>
                        <a:pt x="307" y="355"/>
                      </a:lnTo>
                      <a:lnTo>
                        <a:pt x="293" y="364"/>
                      </a:lnTo>
                      <a:lnTo>
                        <a:pt x="278" y="371"/>
                      </a:lnTo>
                      <a:lnTo>
                        <a:pt x="261" y="377"/>
                      </a:lnTo>
                      <a:lnTo>
                        <a:pt x="244" y="381"/>
                      </a:lnTo>
                      <a:lnTo>
                        <a:pt x="227" y="384"/>
                      </a:lnTo>
                      <a:lnTo>
                        <a:pt x="209" y="385"/>
                      </a:lnTo>
                      <a:lnTo>
                        <a:pt x="209" y="385"/>
                      </a:lnTo>
                      <a:close/>
                    </a:path>
                  </a:pathLst>
                </a:custGeom>
                <a:solidFill>
                  <a:srgbClr val="E0E0E0"/>
                </a:solidFill>
                <a:ln>
                  <a:noFill/>
                </a:ln>
              </xdr:spPr>
            </xdr:sp>
          </xdr:grpSp>
        </xdr:grpSp>
        <xdr:pic>
          <xdr:nvPicPr>
            <xdr:cNvPr id="5728" name="06_channelimage"/>
            <xdr:cNvPicPr>
              <a:picLocks/>
            </xdr:cNvPicPr>
          </xdr:nvPicPr>
          <xdr:blipFill>
            <a:blip xmlns:r="http://schemas.openxmlformats.org/officeDocument/2006/relationships" r:link="rId32"/>
            <a:stretch>
              <a:fillRect/>
            </a:stretch>
          </xdr:blipFill>
          <xdr:spPr>
            <a:xfrm>
              <a:off x="6038850" y="59138964"/>
              <a:ext cx="576072" cy="576072"/>
            </a:xfrm>
            <a:prstGeom prst="rect">
              <a:avLst/>
            </a:prstGeom>
          </xdr:spPr>
        </xdr:pic>
      </xdr:grpSp>
      <xdr:grpSp>
        <xdr:nvGrpSpPr>
          <xdr:cNvPr id="9223" name="Group 9222"/>
          <xdr:cNvGrpSpPr/>
        </xdr:nvGrpSpPr>
        <xdr:grpSpPr>
          <a:xfrm>
            <a:off x="695325" y="61226699"/>
            <a:ext cx="5020056" cy="2095499"/>
            <a:chOff x="695325" y="61340999"/>
            <a:chExt cx="5020056" cy="2095499"/>
          </a:xfrm>
        </xdr:grpSpPr>
        <xdr:grpSp>
          <xdr:nvGrpSpPr>
            <xdr:cNvPr id="9211" name="Group 9210"/>
            <xdr:cNvGrpSpPr/>
          </xdr:nvGrpSpPr>
          <xdr:grpSpPr>
            <a:xfrm>
              <a:off x="695325" y="61340999"/>
              <a:ext cx="5020056" cy="2095499"/>
              <a:chOff x="695325" y="61340999"/>
              <a:chExt cx="5020056" cy="2095499"/>
            </a:xfrm>
          </xdr:grpSpPr>
          <xdr:grpSp>
            <xdr:nvGrpSpPr>
              <xdr:cNvPr id="9207" name="Group 9206"/>
              <xdr:cNvGrpSpPr/>
            </xdr:nvGrpSpPr>
            <xdr:grpSpPr>
              <a:xfrm>
                <a:off x="695325" y="61340999"/>
                <a:ext cx="5020056" cy="2095499"/>
                <a:chOff x="695325" y="61340999"/>
                <a:chExt cx="5020056" cy="2095499"/>
              </a:xfrm>
            </xdr:grpSpPr>
            <xdr:sp macro="" textlink="">
              <xdr:nvSpPr>
                <xdr:cNvPr id="799" name="07_imgModule_Rounded_Rectangle_539"/>
                <xdr:cNvSpPr/>
              </xdr:nvSpPr>
              <xdr:spPr>
                <a:xfrm>
                  <a:off x="695325" y="61350524"/>
                  <a:ext cx="5020056" cy="2085974"/>
                </a:xfrm>
                <a:prstGeom prst="roundRect">
                  <a:avLst>
                    <a:gd name="adj" fmla="val 800"/>
                  </a:avLst>
                </a:prstGeom>
                <a:solidFill>
                  <a:srgbClr val="757575"/>
                </a:solidFill>
                <a:ln w="12700">
                  <a:solidFill>
                    <a:srgbClr val="1E1E1E"/>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l"/>
                  <a:endParaRPr lang="en-US" sz="1100"/>
                </a:p>
              </xdr:txBody>
            </xdr:sp>
            <xdr:sp macro="" textlink="">
              <xdr:nvSpPr>
                <xdr:cNvPr id="800" name="07_imgModule_Rounded_Rectangle_540"/>
                <xdr:cNvSpPr/>
              </xdr:nvSpPr>
              <xdr:spPr>
                <a:xfrm>
                  <a:off x="695325" y="61340999"/>
                  <a:ext cx="5020056" cy="2084832"/>
                </a:xfrm>
                <a:prstGeom prst="roundRect">
                  <a:avLst>
                    <a:gd name="adj" fmla="val 800"/>
                  </a:avLst>
                </a:prstGeom>
                <a:solidFill>
                  <a:srgbClr val="757575"/>
                </a:solidFill>
                <a:ln w="12700">
                  <a:solidFill>
                    <a:srgbClr val="1A1A1A"/>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l"/>
                  <a:endParaRPr lang="en-US" sz="1100"/>
                </a:p>
              </xdr:txBody>
            </xdr:sp>
          </xdr:grpSp>
          <xdr:grpSp>
            <xdr:nvGrpSpPr>
              <xdr:cNvPr id="9208" name="Group 9207"/>
              <xdr:cNvGrpSpPr/>
            </xdr:nvGrpSpPr>
            <xdr:grpSpPr>
              <a:xfrm>
                <a:off x="4447603" y="61502923"/>
                <a:ext cx="1155910" cy="651129"/>
                <a:chOff x="4447603" y="61502923"/>
                <a:chExt cx="1155910" cy="651129"/>
              </a:xfrm>
            </xdr:grpSpPr>
            <xdr:sp macro="" textlink="Calculations!F425">
              <xdr:nvSpPr>
                <xdr:cNvPr id="797" name="07_metric01_number"/>
                <xdr:cNvSpPr txBox="1"/>
              </xdr:nvSpPr>
              <xdr:spPr>
                <a:xfrm>
                  <a:off x="4447603" y="61502923"/>
                  <a:ext cx="1143000" cy="28438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ctr"/>
                <a:lstStyle/>
                <a:p>
                  <a:pPr marL="0" indent="0" algn="l"/>
                  <a:fld id="{B4687003-41F1-4F92-B410-B02383F2341A}" type="TxLink">
                    <a:rPr lang="en-US" sz="2200" b="0" i="0" u="none" strike="noStrike">
                      <a:solidFill>
                        <a:srgbClr val="AFBFFF"/>
                      </a:solidFill>
                      <a:latin typeface="+mn-lt"/>
                      <a:ea typeface="+mn-ea"/>
                      <a:cs typeface="+mn-cs"/>
                    </a:rPr>
                    <a:pPr marL="0" indent="0" algn="l"/>
                    <a:t>5,406</a:t>
                  </a:fld>
                  <a:endParaRPr lang="en-US" sz="2200" b="0" i="0" u="none" strike="noStrike">
                    <a:solidFill>
                      <a:srgbClr val="AFBFFF"/>
                    </a:solidFill>
                    <a:latin typeface="+mn-lt"/>
                    <a:ea typeface="+mn-ea"/>
                    <a:cs typeface="+mn-cs"/>
                  </a:endParaRPr>
                </a:p>
              </xdr:txBody>
            </xdr:sp>
            <xdr:sp macro="" textlink="Calculations!G425">
              <xdr:nvSpPr>
                <xdr:cNvPr id="798" name="07_metric01_label"/>
                <xdr:cNvSpPr txBox="1"/>
              </xdr:nvSpPr>
              <xdr:spPr>
                <a:xfrm>
                  <a:off x="4460513" y="61779148"/>
                  <a:ext cx="1143000" cy="3749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marL="0" indent="0" algn="l"/>
                  <a:fld id="{1EEEA576-2386-449A-B215-66DDE55F8E03}" type="TxLink">
                    <a:rPr lang="en-US" sz="1200" b="0" i="0" u="none" strike="noStrike">
                      <a:solidFill>
                        <a:srgbClr val="E0E0E0"/>
                      </a:solidFill>
                      <a:latin typeface="+mn-lt"/>
                      <a:ea typeface="+mn-ea"/>
                      <a:cs typeface="+mn-cs"/>
                    </a:rPr>
                    <a:pPr marL="0" indent="0" algn="l"/>
                    <a:t>Instagram Engagements</a:t>
                  </a:fld>
                  <a:endParaRPr lang="en-US" sz="1200" b="0" i="0" u="none" strike="noStrike">
                    <a:solidFill>
                      <a:srgbClr val="E0E0E0"/>
                    </a:solidFill>
                    <a:latin typeface="+mn-lt"/>
                    <a:ea typeface="+mn-ea"/>
                    <a:cs typeface="+mn-cs"/>
                  </a:endParaRPr>
                </a:p>
              </xdr:txBody>
            </xdr:sp>
          </xdr:grpSp>
          <xdr:grpSp>
            <xdr:nvGrpSpPr>
              <xdr:cNvPr id="9209" name="Group 9208"/>
              <xdr:cNvGrpSpPr/>
            </xdr:nvGrpSpPr>
            <xdr:grpSpPr>
              <a:xfrm>
                <a:off x="4447603" y="62807848"/>
                <a:ext cx="1155910" cy="622554"/>
                <a:chOff x="4447603" y="62807848"/>
                <a:chExt cx="1155910" cy="622554"/>
              </a:xfrm>
            </xdr:grpSpPr>
            <xdr:sp macro="" textlink="Calculations!M425">
              <xdr:nvSpPr>
                <xdr:cNvPr id="795" name="07_metric03_number"/>
                <xdr:cNvSpPr txBox="1"/>
              </xdr:nvSpPr>
              <xdr:spPr>
                <a:xfrm>
                  <a:off x="4447603" y="62807848"/>
                  <a:ext cx="1143000" cy="28438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ctr"/>
                <a:lstStyle/>
                <a:p>
                  <a:pPr marL="0" indent="0" algn="l"/>
                  <a:fld id="{740F105A-035A-462C-919D-9655B96FA071}" type="TxLink">
                    <a:rPr lang="en-US" sz="1600" b="0" i="0" u="none" strike="noStrike">
                      <a:solidFill>
                        <a:srgbClr val="AFBFFF"/>
                      </a:solidFill>
                      <a:latin typeface="+mn-lt"/>
                      <a:ea typeface="+mn-ea"/>
                      <a:cs typeface="+mn-cs"/>
                    </a:rPr>
                    <a:pPr marL="0" indent="0" algn="l"/>
                    <a:t>31</a:t>
                  </a:fld>
                  <a:endParaRPr lang="en-US" sz="1600" b="0" i="0" u="none" strike="noStrike">
                    <a:solidFill>
                      <a:srgbClr val="AFBFFF"/>
                    </a:solidFill>
                    <a:latin typeface="+mn-lt"/>
                    <a:ea typeface="+mn-ea"/>
                    <a:cs typeface="+mn-cs"/>
                  </a:endParaRPr>
                </a:p>
              </xdr:txBody>
            </xdr:sp>
            <xdr:sp macro="" textlink="Calculations!N425">
              <xdr:nvSpPr>
                <xdr:cNvPr id="796" name="07_metric03_label"/>
                <xdr:cNvSpPr txBox="1"/>
              </xdr:nvSpPr>
              <xdr:spPr>
                <a:xfrm>
                  <a:off x="4460513" y="63055498"/>
                  <a:ext cx="1143000" cy="3749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marL="0" indent="0" algn="l"/>
                  <a:fld id="{265113F1-D62B-44D8-B6B8-5CBE592D4C7E}" type="TxLink">
                    <a:rPr lang="en-US" sz="1200" b="0" i="0" u="none" strike="noStrike">
                      <a:solidFill>
                        <a:srgbClr val="E0E0E0"/>
                      </a:solidFill>
                      <a:latin typeface="+mn-lt"/>
                      <a:ea typeface="+mn-ea"/>
                      <a:cs typeface="+mn-cs"/>
                    </a:rPr>
                    <a:pPr marL="0" indent="0" algn="l"/>
                    <a:t>Comments</a:t>
                  </a:fld>
                  <a:endParaRPr lang="en-US" sz="1200" b="0" i="0" u="none" strike="noStrike">
                    <a:solidFill>
                      <a:srgbClr val="E0E0E0"/>
                    </a:solidFill>
                    <a:latin typeface="+mn-lt"/>
                    <a:ea typeface="+mn-ea"/>
                    <a:cs typeface="+mn-cs"/>
                  </a:endParaRPr>
                </a:p>
              </xdr:txBody>
            </xdr:sp>
          </xdr:grpSp>
          <xdr:grpSp>
            <xdr:nvGrpSpPr>
              <xdr:cNvPr id="9210" name="Group 9209"/>
              <xdr:cNvGrpSpPr/>
            </xdr:nvGrpSpPr>
            <xdr:grpSpPr>
              <a:xfrm>
                <a:off x="4447603" y="62269685"/>
                <a:ext cx="1155910" cy="632079"/>
                <a:chOff x="4447603" y="62269685"/>
                <a:chExt cx="1155910" cy="632079"/>
              </a:xfrm>
            </xdr:grpSpPr>
            <xdr:sp macro="" textlink="Calculations!J425">
              <xdr:nvSpPr>
                <xdr:cNvPr id="793" name="07_metric02_number"/>
                <xdr:cNvSpPr txBox="1"/>
              </xdr:nvSpPr>
              <xdr:spPr>
                <a:xfrm>
                  <a:off x="4447603" y="62269685"/>
                  <a:ext cx="1143000" cy="28438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ctr"/>
                <a:lstStyle/>
                <a:p>
                  <a:pPr marL="0" indent="0" algn="l"/>
                  <a:fld id="{C95ED81B-EB60-4249-977F-2C3E787EE6E6}" type="TxLink">
                    <a:rPr lang="en-US" sz="1600" b="0" i="0" u="none" strike="noStrike">
                      <a:solidFill>
                        <a:srgbClr val="AFBFFF"/>
                      </a:solidFill>
                      <a:latin typeface="+mn-lt"/>
                      <a:ea typeface="+mn-ea"/>
                      <a:cs typeface="+mn-cs"/>
                    </a:rPr>
                    <a:pPr marL="0" indent="0" algn="l"/>
                    <a:t>5,375</a:t>
                  </a:fld>
                  <a:endParaRPr lang="en-US" sz="1600" b="0" i="0" u="none" strike="noStrike">
                    <a:solidFill>
                      <a:srgbClr val="AFBFFF"/>
                    </a:solidFill>
                    <a:latin typeface="+mn-lt"/>
                    <a:ea typeface="+mn-ea"/>
                    <a:cs typeface="+mn-cs"/>
                  </a:endParaRPr>
                </a:p>
              </xdr:txBody>
            </xdr:sp>
            <xdr:sp macro="" textlink="Calculations!K425">
              <xdr:nvSpPr>
                <xdr:cNvPr id="794" name="07_metric02_label"/>
                <xdr:cNvSpPr txBox="1"/>
              </xdr:nvSpPr>
              <xdr:spPr>
                <a:xfrm>
                  <a:off x="4460513" y="62526860"/>
                  <a:ext cx="1143000" cy="3749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marL="0" indent="0" algn="l"/>
                  <a:fld id="{7CF4B988-896C-4BE4-AE7C-1F1F00AE13F6}" type="TxLink">
                    <a:rPr lang="en-US" sz="1200" b="0" i="0" u="none" strike="noStrike">
                      <a:solidFill>
                        <a:srgbClr val="E0E0E0"/>
                      </a:solidFill>
                      <a:latin typeface="+mn-lt"/>
                      <a:ea typeface="+mn-ea"/>
                      <a:cs typeface="+mn-cs"/>
                    </a:rPr>
                    <a:pPr marL="0" indent="0" algn="l"/>
                    <a:t>Likes</a:t>
                  </a:fld>
                  <a:endParaRPr lang="en-US" sz="1200" b="0" i="0" u="none" strike="noStrike">
                    <a:solidFill>
                      <a:srgbClr val="E0E0E0"/>
                    </a:solidFill>
                    <a:latin typeface="+mn-lt"/>
                    <a:ea typeface="+mn-ea"/>
                    <a:cs typeface="+mn-cs"/>
                  </a:endParaRPr>
                </a:p>
              </xdr:txBody>
            </xdr:sp>
          </xdr:grpSp>
        </xdr:grpSp>
        <xdr:grpSp>
          <xdr:nvGrpSpPr>
            <xdr:cNvPr id="9222" name="Group 9221"/>
            <xdr:cNvGrpSpPr/>
          </xdr:nvGrpSpPr>
          <xdr:grpSpPr>
            <a:xfrm>
              <a:off x="809053" y="61455297"/>
              <a:ext cx="3524822" cy="1866900"/>
              <a:chOff x="809053" y="61455297"/>
              <a:chExt cx="3524822" cy="1866900"/>
            </a:xfrm>
          </xdr:grpSpPr>
          <xdr:grpSp>
            <xdr:nvGrpSpPr>
              <xdr:cNvPr id="9214" name="Group 9213"/>
              <xdr:cNvGrpSpPr/>
            </xdr:nvGrpSpPr>
            <xdr:grpSpPr>
              <a:xfrm>
                <a:off x="809053" y="61455297"/>
                <a:ext cx="3524822" cy="1866900"/>
                <a:chOff x="809053" y="61455297"/>
                <a:chExt cx="3524822" cy="1866900"/>
              </a:xfrm>
            </xdr:grpSpPr>
            <xdr:grpSp>
              <xdr:nvGrpSpPr>
                <xdr:cNvPr id="9212" name="Group 9211"/>
                <xdr:cNvGrpSpPr/>
              </xdr:nvGrpSpPr>
              <xdr:grpSpPr>
                <a:xfrm>
                  <a:off x="809053" y="61455297"/>
                  <a:ext cx="3524822" cy="1866900"/>
                  <a:chOff x="809053" y="61455297"/>
                  <a:chExt cx="3524822" cy="1866900"/>
                </a:xfrm>
              </xdr:grpSpPr>
              <xdr:sp macro="" textlink="">
                <xdr:nvSpPr>
                  <xdr:cNvPr id="787" name="07_imgModule_Rounded_Rectangle_533"/>
                  <xdr:cNvSpPr/>
                </xdr:nvSpPr>
                <xdr:spPr>
                  <a:xfrm>
                    <a:off x="809054" y="61464822"/>
                    <a:ext cx="3524250" cy="1857375"/>
                  </a:xfrm>
                  <a:prstGeom prst="roundRect">
                    <a:avLst>
                      <a:gd name="adj" fmla="val 909"/>
                    </a:avLst>
                  </a:prstGeom>
                  <a:solidFill>
                    <a:srgbClr val="E0E0E0"/>
                  </a:solidFill>
                  <a:ln w="12700">
                    <a:solidFill>
                      <a:srgbClr val="646464"/>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l"/>
                    <a:endParaRPr lang="en-US" sz="1100"/>
                  </a:p>
                </xdr:txBody>
              </xdr:sp>
              <xdr:sp macro="" textlink="">
                <xdr:nvSpPr>
                  <xdr:cNvPr id="788" name="07_imgModule_Rounded_Rectangle_536"/>
                  <xdr:cNvSpPr/>
                </xdr:nvSpPr>
                <xdr:spPr>
                  <a:xfrm>
                    <a:off x="809053" y="61455297"/>
                    <a:ext cx="3524822" cy="1856232"/>
                  </a:xfrm>
                  <a:prstGeom prst="roundRect">
                    <a:avLst>
                      <a:gd name="adj" fmla="val 909"/>
                    </a:avLst>
                  </a:prstGeom>
                  <a:solidFill>
                    <a:srgbClr val="E0E0E0"/>
                  </a:solidFill>
                  <a:ln w="12700">
                    <a:solidFill>
                      <a:srgbClr val="5E5E5E"/>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l"/>
                    <a:endParaRPr lang="en-US" sz="1100"/>
                  </a:p>
                </xdr:txBody>
              </xdr:sp>
            </xdr:grpSp>
            <xdr:grpSp>
              <xdr:nvGrpSpPr>
                <xdr:cNvPr id="9213" name="Group 9212"/>
                <xdr:cNvGrpSpPr/>
              </xdr:nvGrpSpPr>
              <xdr:grpSpPr>
                <a:xfrm>
                  <a:off x="2486215" y="61464821"/>
                  <a:ext cx="1847088" cy="1847088"/>
                  <a:chOff x="2486215" y="61464821"/>
                  <a:chExt cx="1847088" cy="1847088"/>
                </a:xfrm>
              </xdr:grpSpPr>
              <xdr:sp macro="" textlink="">
                <xdr:nvSpPr>
                  <xdr:cNvPr id="785" name="07_imgModule_Rounded_Rectangle_534"/>
                  <xdr:cNvSpPr/>
                </xdr:nvSpPr>
                <xdr:spPr>
                  <a:xfrm>
                    <a:off x="2486215" y="61464821"/>
                    <a:ext cx="1847088" cy="1847088"/>
                  </a:xfrm>
                  <a:prstGeom prst="roundRect">
                    <a:avLst>
                      <a:gd name="adj" fmla="val 909"/>
                    </a:avLst>
                  </a:prstGeom>
                  <a:solidFill>
                    <a:srgbClr val="D7D7D7"/>
                  </a:solidFill>
                  <a:ln w="12700">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l"/>
                    <a:endParaRPr lang="en-US" sz="1100"/>
                  </a:p>
                </xdr:txBody>
              </xdr:sp>
              <xdr:sp macro="" textlink="">
                <xdr:nvSpPr>
                  <xdr:cNvPr id="786" name="07_imgModule_Rectangle_430"/>
                  <xdr:cNvSpPr/>
                </xdr:nvSpPr>
                <xdr:spPr>
                  <a:xfrm>
                    <a:off x="2486215" y="61464821"/>
                    <a:ext cx="91440" cy="1847088"/>
                  </a:xfrm>
                  <a:prstGeom prst="rect">
                    <a:avLst/>
                  </a:prstGeom>
                  <a:solidFill>
                    <a:srgbClr val="D7D7D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grpSp>
          <xdr:grpSp>
            <xdr:nvGrpSpPr>
              <xdr:cNvPr id="9215" name="Group 9214"/>
              <xdr:cNvGrpSpPr/>
            </xdr:nvGrpSpPr>
            <xdr:grpSpPr>
              <a:xfrm>
                <a:off x="1037653" y="62833684"/>
                <a:ext cx="1372172" cy="424370"/>
                <a:chOff x="1037653" y="62833684"/>
                <a:chExt cx="1372172" cy="424370"/>
              </a:xfrm>
            </xdr:grpSpPr>
            <xdr:sp macro="" textlink="Calculations!D425">
              <xdr:nvSpPr>
                <xdr:cNvPr id="781" name="07_profilename"/>
                <xdr:cNvSpPr txBox="1"/>
              </xdr:nvSpPr>
              <xdr:spPr>
                <a:xfrm>
                  <a:off x="1037653" y="63023026"/>
                  <a:ext cx="1372172" cy="2350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ctr"/>
                <a:lstStyle/>
                <a:p>
                  <a:pPr marL="0" indent="0" algn="l"/>
                  <a:fld id="{636AE1D6-8807-442B-BAF6-8979B86829CF}" type="TxLink">
                    <a:rPr lang="en-US" sz="1300" b="0" i="0" u="none" strike="noStrike">
                      <a:solidFill>
                        <a:srgbClr val="4D4D4D"/>
                      </a:solidFill>
                      <a:latin typeface="+mn-lt"/>
                      <a:ea typeface="+mn-ea"/>
                      <a:cs typeface="+mn-cs"/>
                    </a:rPr>
                    <a:pPr marL="0" indent="0" algn="l"/>
                    <a:t>ourfamilynest</a:t>
                  </a:fld>
                  <a:endParaRPr lang="en-US" sz="1300" b="0">
                    <a:solidFill>
                      <a:srgbClr val="4D4D4D"/>
                    </a:solidFill>
                    <a:latin typeface="+mn-lt"/>
                    <a:ea typeface="+mn-ea"/>
                    <a:cs typeface="+mn-cs"/>
                  </a:endParaRPr>
                </a:p>
              </xdr:txBody>
            </xdr:sp>
            <xdr:sp macro="" textlink="Calculations!C425">
              <xdr:nvSpPr>
                <xdr:cNvPr id="782" name="07_postdate"/>
                <xdr:cNvSpPr txBox="1"/>
              </xdr:nvSpPr>
              <xdr:spPr>
                <a:xfrm>
                  <a:off x="1037653" y="62833684"/>
                  <a:ext cx="1371600" cy="2136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ctr"/>
                <a:lstStyle/>
                <a:p>
                  <a:pPr marL="0" indent="0" algn="l"/>
                  <a:fld id="{0994E0BB-564E-4DC4-BDCF-3DB17AA74173}" type="TxLink">
                    <a:rPr lang="en-US" sz="1000" b="0" i="0" u="none" strike="noStrike">
                      <a:solidFill>
                        <a:srgbClr val="666666"/>
                      </a:solidFill>
                      <a:latin typeface="+mn-lt"/>
                      <a:ea typeface="+mn-ea"/>
                      <a:cs typeface="+mn-cs"/>
                    </a:rPr>
                    <a:pPr marL="0" indent="0" algn="l"/>
                    <a:t>August 30, 2017</a:t>
                  </a:fld>
                  <a:endParaRPr lang="en-US" sz="1000" b="0">
                    <a:solidFill>
                      <a:srgbClr val="666666"/>
                    </a:solidFill>
                    <a:latin typeface="+mn-lt"/>
                    <a:ea typeface="+mn-ea"/>
                    <a:cs typeface="+mn-cs"/>
                  </a:endParaRPr>
                </a:p>
              </xdr:txBody>
            </xdr:sp>
          </xdr:grpSp>
          <xdr:grpSp>
            <xdr:nvGrpSpPr>
              <xdr:cNvPr id="9219" name="Group 9218"/>
              <xdr:cNvGrpSpPr/>
            </xdr:nvGrpSpPr>
            <xdr:grpSpPr>
              <a:xfrm>
                <a:off x="2486025" y="61464824"/>
                <a:ext cx="1847088" cy="1848614"/>
                <a:chOff x="2486025" y="61464824"/>
                <a:chExt cx="1847088" cy="1848614"/>
              </a:xfrm>
            </xdr:grpSpPr>
            <xdr:grpSp>
              <xdr:nvGrpSpPr>
                <xdr:cNvPr id="9218" name="Group 9217"/>
                <xdr:cNvGrpSpPr/>
              </xdr:nvGrpSpPr>
              <xdr:grpSpPr>
                <a:xfrm>
                  <a:off x="2486025" y="61464824"/>
                  <a:ext cx="1847088" cy="1848614"/>
                  <a:chOff x="2486025" y="61464824"/>
                  <a:chExt cx="1847088" cy="1848614"/>
                </a:xfrm>
              </xdr:grpSpPr>
              <xdr:grpSp>
                <xdr:nvGrpSpPr>
                  <xdr:cNvPr id="9216" name="Group 9215"/>
                  <xdr:cNvGrpSpPr/>
                </xdr:nvGrpSpPr>
                <xdr:grpSpPr>
                  <a:xfrm>
                    <a:off x="2486025" y="61464825"/>
                    <a:ext cx="1847088" cy="1848613"/>
                    <a:chOff x="2486025" y="61464825"/>
                    <a:chExt cx="1847088" cy="1848613"/>
                  </a:xfrm>
                </xdr:grpSpPr>
                <xdr:pic>
                  <xdr:nvPicPr>
                    <xdr:cNvPr id="5897" name="07_postimage" descr="profile:multi&#10;postSize:small"/>
                    <xdr:cNvPicPr>
                      <a:picLocks/>
                    </xdr:cNvPicPr>
                  </xdr:nvPicPr>
                  <xdr:blipFill>
                    <a:blip xmlns:r="http://schemas.openxmlformats.org/officeDocument/2006/relationships" r:link="rId43"/>
                    <a:stretch>
                      <a:fillRect/>
                    </a:stretch>
                  </xdr:blipFill>
                  <xdr:spPr>
                    <a:xfrm>
                      <a:off x="2486025" y="61464825"/>
                      <a:ext cx="1847088" cy="1847088"/>
                    </a:xfrm>
                    <a:prstGeom prst="rect">
                      <a:avLst/>
                    </a:prstGeom>
                  </xdr:spPr>
                </xdr:pic>
                <xdr:pic>
                  <xdr:nvPicPr>
                    <xdr:cNvPr id="6066" name="07_overlayimage"/>
                    <xdr:cNvPicPr>
                      <a:picLocks/>
                    </xdr:cNvPicPr>
                  </xdr:nvPicPr>
                  <xdr:blipFill>
                    <a:blip xmlns:r="http://schemas.openxmlformats.org/officeDocument/2006/relationships" r:link="rId2"/>
                    <a:stretch>
                      <a:fillRect/>
                    </a:stretch>
                  </xdr:blipFill>
                  <xdr:spPr>
                    <a:xfrm>
                      <a:off x="2486025" y="62691646"/>
                      <a:ext cx="1847088" cy="621792"/>
                    </a:xfrm>
                    <a:prstGeom prst="rect">
                      <a:avLst/>
                    </a:prstGeom>
                  </xdr:spPr>
                </xdr:pic>
                <xdr:sp macro="" textlink="Calculations!O425">
                  <xdr:nvSpPr>
                    <xdr:cNvPr id="780" name="07_overlaytext"/>
                    <xdr:cNvSpPr txBox="1"/>
                  </xdr:nvSpPr>
                  <xdr:spPr>
                    <a:xfrm>
                      <a:off x="2486025" y="62691645"/>
                      <a:ext cx="1847088" cy="6217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100584" tIns="36576" rIns="100584" bIns="45720" rtlCol="0" anchor="t"/>
                    <a:lstStyle/>
                    <a:p>
                      <a:pPr marL="0" indent="0" algn="l"/>
                      <a:fld id="{EA98C1EB-C125-4151-B623-EE8F820B71B7}" type="TxLink">
                        <a:rPr lang="en-US" sz="1100" b="0" i="1">
                          <a:solidFill>
                            <a:srgbClr val="EBEBEB"/>
                          </a:solidFill>
                          <a:latin typeface="Cambria" panose="02040503050406030204" pitchFamily="18" charset="0"/>
                          <a:ea typeface="+mn-ea"/>
                          <a:cs typeface="+mn-cs"/>
                        </a:rPr>
                        <a:pPr marL="0" indent="0" algn="l"/>
                        <a:t>It’s almost time for the kids to go back to school so we h…</a:t>
                      </a:fld>
                      <a:endParaRPr lang="en-US" sz="1100" b="0" i="1">
                        <a:solidFill>
                          <a:srgbClr val="EBEBEB"/>
                        </a:solidFill>
                        <a:latin typeface="Cambria" panose="02040503050406030204" pitchFamily="18" charset="0"/>
                        <a:ea typeface="+mn-ea"/>
                        <a:cs typeface="+mn-cs"/>
                      </a:endParaRPr>
                    </a:p>
                  </xdr:txBody>
                </xdr:sp>
              </xdr:grpSp>
              <xdr:grpSp>
                <xdr:nvGrpSpPr>
                  <xdr:cNvPr id="9217" name="Group 9216"/>
                  <xdr:cNvGrpSpPr/>
                </xdr:nvGrpSpPr>
                <xdr:grpSpPr>
                  <a:xfrm>
                    <a:off x="2600325" y="61645800"/>
                    <a:ext cx="1590675" cy="1600200"/>
                    <a:chOff x="2600325" y="61645800"/>
                    <a:chExt cx="1590675" cy="1600200"/>
                  </a:xfrm>
                </xdr:grpSpPr>
                <xdr:sp macro="" textlink="">
                  <xdr:nvSpPr>
                    <xdr:cNvPr id="776" name="07_posttext"/>
                    <xdr:cNvSpPr txBox="1"/>
                  </xdr:nvSpPr>
                  <xdr:spPr>
                    <a:xfrm>
                      <a:off x="2686050" y="61645800"/>
                      <a:ext cx="1504950" cy="1600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marL="0" indent="0" algn="l"/>
                      <a:r>
                        <a:rPr lang="en-US" sz="1300" b="0" i="1">
                          <a:solidFill>
                            <a:srgbClr val="4D4D4D"/>
                          </a:solidFill>
                          <a:latin typeface="Cambria" panose="02040503050406030204" pitchFamily="18" charset="0"/>
                          <a:ea typeface="+mn-ea"/>
                          <a:cs typeface="+mn-cs"/>
                        </a:rPr>
                        <a:t> </a:t>
                      </a:r>
                    </a:p>
                  </xdr:txBody>
                </xdr:sp>
                <xdr:sp macro="" textlink="">
                  <xdr:nvSpPr>
                    <xdr:cNvPr id="777" name="07_leadparen"/>
                    <xdr:cNvSpPr txBox="1"/>
                  </xdr:nvSpPr>
                  <xdr:spPr>
                    <a:xfrm>
                      <a:off x="2600325" y="61645800"/>
                      <a:ext cx="371475" cy="3524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marL="0" indent="0" algn="l"/>
                      <a:endParaRPr lang="en-US" sz="1300" b="0" i="1">
                        <a:solidFill>
                          <a:srgbClr val="4D4D4D"/>
                        </a:solidFill>
                        <a:latin typeface="Cambria" panose="02040503050406030204" pitchFamily="18" charset="0"/>
                        <a:ea typeface="+mn-ea"/>
                        <a:cs typeface="+mn-cs"/>
                      </a:endParaRPr>
                    </a:p>
                  </xdr:txBody>
                </xdr:sp>
              </xdr:grpSp>
              <xdr:sp macro="" textlink="">
                <xdr:nvSpPr>
                  <xdr:cNvPr id="775" name="07_imgModule_Rectangle_515"/>
                  <xdr:cNvSpPr/>
                </xdr:nvSpPr>
                <xdr:spPr>
                  <a:xfrm>
                    <a:off x="2486025" y="61464824"/>
                    <a:ext cx="9144" cy="1847088"/>
                  </a:xfrm>
                  <a:prstGeom prst="rect">
                    <a:avLst/>
                  </a:prstGeom>
                  <a:solidFill>
                    <a:srgbClr val="000000">
                      <a:alpha val="16863"/>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pic>
              <xdr:nvPicPr>
                <xdr:cNvPr id="6235" name="07_postlinkimage">
                  <a:hlinkClick xmlns:r="http://schemas.openxmlformats.org/officeDocument/2006/relationships" r:id="rId44"/>
                </xdr:cNvPr>
                <xdr:cNvPicPr>
                  <a:picLocks/>
                </xdr:cNvPicPr>
              </xdr:nvPicPr>
              <xdr:blipFill>
                <a:blip xmlns:r="http://schemas.openxmlformats.org/officeDocument/2006/relationships" r:link="rId4"/>
                <a:stretch>
                  <a:fillRect/>
                </a:stretch>
              </xdr:blipFill>
              <xdr:spPr>
                <a:xfrm>
                  <a:off x="2486025" y="61464825"/>
                  <a:ext cx="1847088" cy="1847088"/>
                </a:xfrm>
                <a:prstGeom prst="rect">
                  <a:avLst/>
                </a:prstGeom>
              </xdr:spPr>
            </xdr:pic>
          </xdr:grpSp>
          <xdr:grpSp>
            <xdr:nvGrpSpPr>
              <xdr:cNvPr id="9221" name="Group 9220"/>
              <xdr:cNvGrpSpPr/>
            </xdr:nvGrpSpPr>
            <xdr:grpSpPr>
              <a:xfrm>
                <a:off x="960501" y="61607699"/>
                <a:ext cx="969264" cy="969264"/>
                <a:chOff x="960501" y="61607699"/>
                <a:chExt cx="969264" cy="969264"/>
              </a:xfrm>
            </xdr:grpSpPr>
            <xdr:grpSp>
              <xdr:nvGrpSpPr>
                <xdr:cNvPr id="9220" name="Group 9219"/>
                <xdr:cNvGrpSpPr/>
              </xdr:nvGrpSpPr>
              <xdr:grpSpPr>
                <a:xfrm>
                  <a:off x="1033653" y="61680851"/>
                  <a:ext cx="822960" cy="822960"/>
                  <a:chOff x="1033653" y="61680851"/>
                  <a:chExt cx="822960" cy="822960"/>
                </a:xfrm>
              </xdr:grpSpPr>
              <xdr:sp macro="" textlink="">
                <xdr:nvSpPr>
                  <xdr:cNvPr id="767" name="07_imgModule_Oval_662"/>
                  <xdr:cNvSpPr/>
                </xdr:nvSpPr>
                <xdr:spPr>
                  <a:xfrm>
                    <a:off x="1033653" y="61680851"/>
                    <a:ext cx="822960" cy="822960"/>
                  </a:xfrm>
                  <a:prstGeom prst="ellipse">
                    <a:avLst/>
                  </a:prstGeom>
                  <a:solidFill>
                    <a:srgbClr val="94949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769" name="07_imgModule_Oval_687"/>
                  <xdr:cNvSpPr/>
                </xdr:nvSpPr>
                <xdr:spPr>
                  <a:xfrm>
                    <a:off x="1053754" y="61700923"/>
                    <a:ext cx="782759" cy="782816"/>
                  </a:xfrm>
                  <a:prstGeom prst="ellipse">
                    <a:avLst/>
                  </a:prstGeom>
                  <a:solidFill>
                    <a:srgbClr val="D9D9D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770" name="07_imgModule_Freeform_12"/>
                  <xdr:cNvSpPr>
                    <a:spLocks/>
                  </xdr:cNvSpPr>
                </xdr:nvSpPr>
                <xdr:spPr bwMode="auto">
                  <a:xfrm>
                    <a:off x="1159581" y="61896906"/>
                    <a:ext cx="571104" cy="594874"/>
                  </a:xfrm>
                  <a:custGeom>
                    <a:avLst/>
                    <a:gdLst>
                      <a:gd name="T0" fmla="*/ 3049 w 3180"/>
                      <a:gd name="T1" fmla="*/ 2869 h 3760"/>
                      <a:gd name="T2" fmla="*/ 2848 w 3180"/>
                      <a:gd name="T3" fmla="*/ 2809 h 3760"/>
                      <a:gd name="T4" fmla="*/ 2677 w 3180"/>
                      <a:gd name="T5" fmla="*/ 2745 h 3760"/>
                      <a:gd name="T6" fmla="*/ 2325 w 3180"/>
                      <a:gd name="T7" fmla="*/ 2578 h 3760"/>
                      <a:gd name="T8" fmla="*/ 2187 w 3180"/>
                      <a:gd name="T9" fmla="*/ 2489 h 3760"/>
                      <a:gd name="T10" fmla="*/ 2077 w 3180"/>
                      <a:gd name="T11" fmla="*/ 2368 h 3760"/>
                      <a:gd name="T12" fmla="*/ 1996 w 3180"/>
                      <a:gd name="T13" fmla="*/ 2259 h 3760"/>
                      <a:gd name="T14" fmla="*/ 1975 w 3180"/>
                      <a:gd name="T15" fmla="*/ 2040 h 3760"/>
                      <a:gd name="T16" fmla="*/ 1986 w 3180"/>
                      <a:gd name="T17" fmla="*/ 2014 h 3760"/>
                      <a:gd name="T18" fmla="*/ 2114 w 3180"/>
                      <a:gd name="T19" fmla="*/ 1664 h 3760"/>
                      <a:gd name="T20" fmla="*/ 2148 w 3180"/>
                      <a:gd name="T21" fmla="*/ 1626 h 3760"/>
                      <a:gd name="T22" fmla="*/ 2201 w 3180"/>
                      <a:gd name="T23" fmla="*/ 1561 h 3760"/>
                      <a:gd name="T24" fmla="*/ 2240 w 3180"/>
                      <a:gd name="T25" fmla="*/ 1475 h 3760"/>
                      <a:gd name="T26" fmla="*/ 2269 w 3180"/>
                      <a:gd name="T27" fmla="*/ 1358 h 3760"/>
                      <a:gd name="T28" fmla="*/ 2292 w 3180"/>
                      <a:gd name="T29" fmla="*/ 1232 h 3760"/>
                      <a:gd name="T30" fmla="*/ 2291 w 3180"/>
                      <a:gd name="T31" fmla="*/ 1150 h 3760"/>
                      <a:gd name="T32" fmla="*/ 2278 w 3180"/>
                      <a:gd name="T33" fmla="*/ 1137 h 3760"/>
                      <a:gd name="T34" fmla="*/ 2270 w 3180"/>
                      <a:gd name="T35" fmla="*/ 886 h 3760"/>
                      <a:gd name="T36" fmla="*/ 2283 w 3180"/>
                      <a:gd name="T37" fmla="*/ 694 h 3760"/>
                      <a:gd name="T38" fmla="*/ 2262 w 3180"/>
                      <a:gd name="T39" fmla="*/ 595 h 3760"/>
                      <a:gd name="T40" fmla="*/ 2254 w 3180"/>
                      <a:gd name="T41" fmla="*/ 509 h 3760"/>
                      <a:gd name="T42" fmla="*/ 2183 w 3180"/>
                      <a:gd name="T43" fmla="*/ 416 h 3760"/>
                      <a:gd name="T44" fmla="*/ 1984 w 3180"/>
                      <a:gd name="T45" fmla="*/ 219 h 3760"/>
                      <a:gd name="T46" fmla="*/ 1833 w 3180"/>
                      <a:gd name="T47" fmla="*/ 65 h 3760"/>
                      <a:gd name="T48" fmla="*/ 1648 w 3180"/>
                      <a:gd name="T49" fmla="*/ 0 h 3760"/>
                      <a:gd name="T50" fmla="*/ 1474 w 3180"/>
                      <a:gd name="T51" fmla="*/ 35 h 3760"/>
                      <a:gd name="T52" fmla="*/ 1339 w 3180"/>
                      <a:gd name="T53" fmla="*/ 50 h 3760"/>
                      <a:gd name="T54" fmla="*/ 1188 w 3180"/>
                      <a:gd name="T55" fmla="*/ 157 h 3760"/>
                      <a:gd name="T56" fmla="*/ 944 w 3180"/>
                      <a:gd name="T57" fmla="*/ 333 h 3760"/>
                      <a:gd name="T58" fmla="*/ 905 w 3180"/>
                      <a:gd name="T59" fmla="*/ 551 h 3760"/>
                      <a:gd name="T60" fmla="*/ 908 w 3180"/>
                      <a:gd name="T61" fmla="*/ 716 h 3760"/>
                      <a:gd name="T62" fmla="*/ 913 w 3180"/>
                      <a:gd name="T63" fmla="*/ 1031 h 3760"/>
                      <a:gd name="T64" fmla="*/ 860 w 3180"/>
                      <a:gd name="T65" fmla="*/ 1071 h 3760"/>
                      <a:gd name="T66" fmla="*/ 849 w 3180"/>
                      <a:gd name="T67" fmla="*/ 1116 h 3760"/>
                      <a:gd name="T68" fmla="*/ 875 w 3180"/>
                      <a:gd name="T69" fmla="*/ 1385 h 3760"/>
                      <a:gd name="T70" fmla="*/ 889 w 3180"/>
                      <a:gd name="T71" fmla="*/ 1462 h 3760"/>
                      <a:gd name="T72" fmla="*/ 969 w 3180"/>
                      <a:gd name="T73" fmla="*/ 1562 h 3760"/>
                      <a:gd name="T74" fmla="*/ 1000 w 3180"/>
                      <a:gd name="T75" fmla="*/ 1600 h 3760"/>
                      <a:gd name="T76" fmla="*/ 1097 w 3180"/>
                      <a:gd name="T77" fmla="*/ 1970 h 3760"/>
                      <a:gd name="T78" fmla="*/ 1104 w 3180"/>
                      <a:gd name="T79" fmla="*/ 2220 h 3760"/>
                      <a:gd name="T80" fmla="*/ 809 w 3180"/>
                      <a:gd name="T81" fmla="*/ 2524 h 3760"/>
                      <a:gd name="T82" fmla="*/ 351 w 3180"/>
                      <a:gd name="T83" fmla="*/ 2804 h 3760"/>
                      <a:gd name="T84" fmla="*/ 131 w 3180"/>
                      <a:gd name="T85" fmla="*/ 2869 h 3760"/>
                      <a:gd name="T86" fmla="*/ 100 w 3180"/>
                      <a:gd name="T87" fmla="*/ 3123 h 3760"/>
                      <a:gd name="T88" fmla="*/ 449 w 3180"/>
                      <a:gd name="T89" fmla="*/ 3428 h 3760"/>
                      <a:gd name="T90" fmla="*/ 907 w 3180"/>
                      <a:gd name="T91" fmla="*/ 3640 h 3760"/>
                      <a:gd name="T92" fmla="*/ 1374 w 3180"/>
                      <a:gd name="T93" fmla="*/ 3748 h 3760"/>
                      <a:gd name="T94" fmla="*/ 1983 w 3180"/>
                      <a:gd name="T95" fmla="*/ 3702 h 3760"/>
                      <a:gd name="T96" fmla="*/ 2730 w 3180"/>
                      <a:gd name="T97" fmla="*/ 3410 h 3760"/>
                      <a:gd name="T98" fmla="*/ 3096 w 3180"/>
                      <a:gd name="T99" fmla="*/ 3110 h 3760"/>
                      <a:gd name="connsiteX0" fmla="*/ 10325 w 10325"/>
                      <a:gd name="connsiteY0" fmla="*/ 7962 h 10000"/>
                      <a:gd name="connsiteX1" fmla="*/ 9588 w 10325"/>
                      <a:gd name="connsiteY1" fmla="*/ 7630 h 10000"/>
                      <a:gd name="connsiteX2" fmla="*/ 9170 w 10325"/>
                      <a:gd name="connsiteY2" fmla="*/ 7519 h 10000"/>
                      <a:gd name="connsiteX3" fmla="*/ 8956 w 10325"/>
                      <a:gd name="connsiteY3" fmla="*/ 7471 h 10000"/>
                      <a:gd name="connsiteX4" fmla="*/ 8714 w 10325"/>
                      <a:gd name="connsiteY4" fmla="*/ 7410 h 10000"/>
                      <a:gd name="connsiteX5" fmla="*/ 8418 w 10325"/>
                      <a:gd name="connsiteY5" fmla="*/ 7301 h 10000"/>
                      <a:gd name="connsiteX6" fmla="*/ 7346 w 10325"/>
                      <a:gd name="connsiteY6" fmla="*/ 6867 h 10000"/>
                      <a:gd name="connsiteX7" fmla="*/ 7311 w 10325"/>
                      <a:gd name="connsiteY7" fmla="*/ 6856 h 10000"/>
                      <a:gd name="connsiteX8" fmla="*/ 7041 w 10325"/>
                      <a:gd name="connsiteY8" fmla="*/ 6739 h 10000"/>
                      <a:gd name="connsiteX9" fmla="*/ 6877 w 10325"/>
                      <a:gd name="connsiteY9" fmla="*/ 6620 h 10000"/>
                      <a:gd name="connsiteX10" fmla="*/ 6689 w 10325"/>
                      <a:gd name="connsiteY10" fmla="*/ 6428 h 10000"/>
                      <a:gd name="connsiteX11" fmla="*/ 6531 w 10325"/>
                      <a:gd name="connsiteY11" fmla="*/ 6298 h 10000"/>
                      <a:gd name="connsiteX12" fmla="*/ 6377 w 10325"/>
                      <a:gd name="connsiteY12" fmla="*/ 6165 h 10000"/>
                      <a:gd name="connsiteX13" fmla="*/ 6277 w 10325"/>
                      <a:gd name="connsiteY13" fmla="*/ 6008 h 10000"/>
                      <a:gd name="connsiteX14" fmla="*/ 6220 w 10325"/>
                      <a:gd name="connsiteY14" fmla="*/ 5649 h 10000"/>
                      <a:gd name="connsiteX15" fmla="*/ 6211 w 10325"/>
                      <a:gd name="connsiteY15" fmla="*/ 5426 h 10000"/>
                      <a:gd name="connsiteX16" fmla="*/ 6211 w 10325"/>
                      <a:gd name="connsiteY16" fmla="*/ 5383 h 10000"/>
                      <a:gd name="connsiteX17" fmla="*/ 6245 w 10325"/>
                      <a:gd name="connsiteY17" fmla="*/ 5356 h 10000"/>
                      <a:gd name="connsiteX18" fmla="*/ 6597 w 10325"/>
                      <a:gd name="connsiteY18" fmla="*/ 4763 h 10000"/>
                      <a:gd name="connsiteX19" fmla="*/ 6648 w 10325"/>
                      <a:gd name="connsiteY19" fmla="*/ 4426 h 10000"/>
                      <a:gd name="connsiteX20" fmla="*/ 6648 w 10325"/>
                      <a:gd name="connsiteY20" fmla="*/ 4332 h 10000"/>
                      <a:gd name="connsiteX21" fmla="*/ 6755 w 10325"/>
                      <a:gd name="connsiteY21" fmla="*/ 4324 h 10000"/>
                      <a:gd name="connsiteX22" fmla="*/ 6849 w 10325"/>
                      <a:gd name="connsiteY22" fmla="*/ 4290 h 10000"/>
                      <a:gd name="connsiteX23" fmla="*/ 6921 w 10325"/>
                      <a:gd name="connsiteY23" fmla="*/ 4152 h 10000"/>
                      <a:gd name="connsiteX24" fmla="*/ 6972 w 10325"/>
                      <a:gd name="connsiteY24" fmla="*/ 4043 h 10000"/>
                      <a:gd name="connsiteX25" fmla="*/ 7044 w 10325"/>
                      <a:gd name="connsiteY25" fmla="*/ 3923 h 10000"/>
                      <a:gd name="connsiteX26" fmla="*/ 7113 w 10325"/>
                      <a:gd name="connsiteY26" fmla="*/ 3769 h 10000"/>
                      <a:gd name="connsiteX27" fmla="*/ 7135 w 10325"/>
                      <a:gd name="connsiteY27" fmla="*/ 3612 h 10000"/>
                      <a:gd name="connsiteX28" fmla="*/ 7154 w 10325"/>
                      <a:gd name="connsiteY28" fmla="*/ 3455 h 10000"/>
                      <a:gd name="connsiteX29" fmla="*/ 7208 w 10325"/>
                      <a:gd name="connsiteY29" fmla="*/ 3277 h 10000"/>
                      <a:gd name="connsiteX30" fmla="*/ 7236 w 10325"/>
                      <a:gd name="connsiteY30" fmla="*/ 3133 h 10000"/>
                      <a:gd name="connsiteX31" fmla="*/ 7204 w 10325"/>
                      <a:gd name="connsiteY31" fmla="*/ 3059 h 10000"/>
                      <a:gd name="connsiteX32" fmla="*/ 7198 w 10325"/>
                      <a:gd name="connsiteY32" fmla="*/ 3059 h 10000"/>
                      <a:gd name="connsiteX33" fmla="*/ 7164 w 10325"/>
                      <a:gd name="connsiteY33" fmla="*/ 3024 h 10000"/>
                      <a:gd name="connsiteX34" fmla="*/ 7113 w 10325"/>
                      <a:gd name="connsiteY34" fmla="*/ 2896 h 10000"/>
                      <a:gd name="connsiteX35" fmla="*/ 7138 w 10325"/>
                      <a:gd name="connsiteY35" fmla="*/ 2356 h 10000"/>
                      <a:gd name="connsiteX36" fmla="*/ 7142 w 10325"/>
                      <a:gd name="connsiteY36" fmla="*/ 2314 h 10000"/>
                      <a:gd name="connsiteX37" fmla="*/ 7179 w 10325"/>
                      <a:gd name="connsiteY37" fmla="*/ 1846 h 10000"/>
                      <a:gd name="connsiteX38" fmla="*/ 7123 w 10325"/>
                      <a:gd name="connsiteY38" fmla="*/ 1609 h 10000"/>
                      <a:gd name="connsiteX39" fmla="*/ 7113 w 10325"/>
                      <a:gd name="connsiteY39" fmla="*/ 1582 h 10000"/>
                      <a:gd name="connsiteX40" fmla="*/ 7082 w 10325"/>
                      <a:gd name="connsiteY40" fmla="*/ 1447 h 10000"/>
                      <a:gd name="connsiteX41" fmla="*/ 7088 w 10325"/>
                      <a:gd name="connsiteY41" fmla="*/ 1354 h 10000"/>
                      <a:gd name="connsiteX42" fmla="*/ 7066 w 10325"/>
                      <a:gd name="connsiteY42" fmla="*/ 1271 h 10000"/>
                      <a:gd name="connsiteX43" fmla="*/ 6865 w 10325"/>
                      <a:gd name="connsiteY43" fmla="*/ 1106 h 10000"/>
                      <a:gd name="connsiteX44" fmla="*/ 6535 w 10325"/>
                      <a:gd name="connsiteY44" fmla="*/ 848 h 10000"/>
                      <a:gd name="connsiteX45" fmla="*/ 6239 w 10325"/>
                      <a:gd name="connsiteY45" fmla="*/ 582 h 10000"/>
                      <a:gd name="connsiteX46" fmla="*/ 6006 w 10325"/>
                      <a:gd name="connsiteY46" fmla="*/ 370 h 10000"/>
                      <a:gd name="connsiteX47" fmla="*/ 5764 w 10325"/>
                      <a:gd name="connsiteY47" fmla="*/ 173 h 10000"/>
                      <a:gd name="connsiteX48" fmla="*/ 5503 w 10325"/>
                      <a:gd name="connsiteY48" fmla="*/ 45 h 10000"/>
                      <a:gd name="connsiteX49" fmla="*/ 5182 w 10325"/>
                      <a:gd name="connsiteY49" fmla="*/ 0 h 10000"/>
                      <a:gd name="connsiteX50" fmla="*/ 4874 w 10325"/>
                      <a:gd name="connsiteY50" fmla="*/ 32 h 10000"/>
                      <a:gd name="connsiteX51" fmla="*/ 4635 w 10325"/>
                      <a:gd name="connsiteY51" fmla="*/ 93 h 10000"/>
                      <a:gd name="connsiteX52" fmla="*/ 4390 w 10325"/>
                      <a:gd name="connsiteY52" fmla="*/ 144 h 10000"/>
                      <a:gd name="connsiteX53" fmla="*/ 4211 w 10325"/>
                      <a:gd name="connsiteY53" fmla="*/ 133 h 10000"/>
                      <a:gd name="connsiteX54" fmla="*/ 4022 w 10325"/>
                      <a:gd name="connsiteY54" fmla="*/ 266 h 10000"/>
                      <a:gd name="connsiteX55" fmla="*/ 3736 w 10325"/>
                      <a:gd name="connsiteY55" fmla="*/ 418 h 10000"/>
                      <a:gd name="connsiteX56" fmla="*/ 3324 w 10325"/>
                      <a:gd name="connsiteY56" fmla="*/ 630 h 10000"/>
                      <a:gd name="connsiteX57" fmla="*/ 2969 w 10325"/>
                      <a:gd name="connsiteY57" fmla="*/ 886 h 10000"/>
                      <a:gd name="connsiteX58" fmla="*/ 2814 w 10325"/>
                      <a:gd name="connsiteY58" fmla="*/ 1173 h 10000"/>
                      <a:gd name="connsiteX59" fmla="*/ 2846 w 10325"/>
                      <a:gd name="connsiteY59" fmla="*/ 1465 h 10000"/>
                      <a:gd name="connsiteX60" fmla="*/ 2877 w 10325"/>
                      <a:gd name="connsiteY60" fmla="*/ 1678 h 10000"/>
                      <a:gd name="connsiteX61" fmla="*/ 2855 w 10325"/>
                      <a:gd name="connsiteY61" fmla="*/ 1904 h 10000"/>
                      <a:gd name="connsiteX62" fmla="*/ 2824 w 10325"/>
                      <a:gd name="connsiteY62" fmla="*/ 2436 h 10000"/>
                      <a:gd name="connsiteX63" fmla="*/ 2871 w 10325"/>
                      <a:gd name="connsiteY63" fmla="*/ 2742 h 10000"/>
                      <a:gd name="connsiteX64" fmla="*/ 2925 w 10325"/>
                      <a:gd name="connsiteY64" fmla="*/ 2973 h 10000"/>
                      <a:gd name="connsiteX65" fmla="*/ 2704 w 10325"/>
                      <a:gd name="connsiteY65" fmla="*/ 2848 h 10000"/>
                      <a:gd name="connsiteX66" fmla="*/ 2689 w 10325"/>
                      <a:gd name="connsiteY66" fmla="*/ 2878 h 10000"/>
                      <a:gd name="connsiteX67" fmla="*/ 2670 w 10325"/>
                      <a:gd name="connsiteY67" fmla="*/ 2968 h 10000"/>
                      <a:gd name="connsiteX68" fmla="*/ 2682 w 10325"/>
                      <a:gd name="connsiteY68" fmla="*/ 3314 h 10000"/>
                      <a:gd name="connsiteX69" fmla="*/ 2752 w 10325"/>
                      <a:gd name="connsiteY69" fmla="*/ 3684 h 10000"/>
                      <a:gd name="connsiteX70" fmla="*/ 2774 w 10325"/>
                      <a:gd name="connsiteY70" fmla="*/ 3785 h 10000"/>
                      <a:gd name="connsiteX71" fmla="*/ 2796 w 10325"/>
                      <a:gd name="connsiteY71" fmla="*/ 3888 h 10000"/>
                      <a:gd name="connsiteX72" fmla="*/ 2928 w 10325"/>
                      <a:gd name="connsiteY72" fmla="*/ 4109 h 10000"/>
                      <a:gd name="connsiteX73" fmla="*/ 3047 w 10325"/>
                      <a:gd name="connsiteY73" fmla="*/ 4154 h 10000"/>
                      <a:gd name="connsiteX74" fmla="*/ 3142 w 10325"/>
                      <a:gd name="connsiteY74" fmla="*/ 4168 h 10000"/>
                      <a:gd name="connsiteX75" fmla="*/ 3145 w 10325"/>
                      <a:gd name="connsiteY75" fmla="*/ 4255 h 10000"/>
                      <a:gd name="connsiteX76" fmla="*/ 3296 w 10325"/>
                      <a:gd name="connsiteY76" fmla="*/ 4976 h 10000"/>
                      <a:gd name="connsiteX77" fmla="*/ 3450 w 10325"/>
                      <a:gd name="connsiteY77" fmla="*/ 5239 h 10000"/>
                      <a:gd name="connsiteX78" fmla="*/ 3472 w 10325"/>
                      <a:gd name="connsiteY78" fmla="*/ 5266 h 10000"/>
                      <a:gd name="connsiteX79" fmla="*/ 3472 w 10325"/>
                      <a:gd name="connsiteY79" fmla="*/ 5904 h 10000"/>
                      <a:gd name="connsiteX80" fmla="*/ 3374 w 10325"/>
                      <a:gd name="connsiteY80" fmla="*/ 5995 h 10000"/>
                      <a:gd name="connsiteX81" fmla="*/ 2544 w 10325"/>
                      <a:gd name="connsiteY81" fmla="*/ 6713 h 10000"/>
                      <a:gd name="connsiteX82" fmla="*/ 1421 w 10325"/>
                      <a:gd name="connsiteY82" fmla="*/ 7370 h 10000"/>
                      <a:gd name="connsiteX83" fmla="*/ 1104 w 10325"/>
                      <a:gd name="connsiteY83" fmla="*/ 7457 h 10000"/>
                      <a:gd name="connsiteX84" fmla="*/ 833 w 10325"/>
                      <a:gd name="connsiteY84" fmla="*/ 7519 h 10000"/>
                      <a:gd name="connsiteX85" fmla="*/ 412 w 10325"/>
                      <a:gd name="connsiteY85" fmla="*/ 7630 h 10000"/>
                      <a:gd name="connsiteX86" fmla="*/ 0 w 10325"/>
                      <a:gd name="connsiteY86" fmla="*/ 7816 h 10000"/>
                      <a:gd name="connsiteX87" fmla="*/ 314 w 10325"/>
                      <a:gd name="connsiteY87" fmla="*/ 8306 h 10000"/>
                      <a:gd name="connsiteX88" fmla="*/ 799 w 10325"/>
                      <a:gd name="connsiteY88" fmla="*/ 8742 h 10000"/>
                      <a:gd name="connsiteX89" fmla="*/ 1412 w 10325"/>
                      <a:gd name="connsiteY89" fmla="*/ 9117 h 10000"/>
                      <a:gd name="connsiteX90" fmla="*/ 2107 w 10325"/>
                      <a:gd name="connsiteY90" fmla="*/ 9431 h 10000"/>
                      <a:gd name="connsiteX91" fmla="*/ 2852 w 10325"/>
                      <a:gd name="connsiteY91" fmla="*/ 9681 h 10000"/>
                      <a:gd name="connsiteX92" fmla="*/ 3604 w 10325"/>
                      <a:gd name="connsiteY92" fmla="*/ 9862 h 10000"/>
                      <a:gd name="connsiteX93" fmla="*/ 4321 w 10325"/>
                      <a:gd name="connsiteY93" fmla="*/ 9968 h 10000"/>
                      <a:gd name="connsiteX94" fmla="*/ 4965 w 10325"/>
                      <a:gd name="connsiteY94" fmla="*/ 10000 h 10000"/>
                      <a:gd name="connsiteX95" fmla="*/ 6236 w 10325"/>
                      <a:gd name="connsiteY95" fmla="*/ 9846 h 10000"/>
                      <a:gd name="connsiteX96" fmla="*/ 7824 w 10325"/>
                      <a:gd name="connsiteY96" fmla="*/ 9391 h 10000"/>
                      <a:gd name="connsiteX97" fmla="*/ 8585 w 10325"/>
                      <a:gd name="connsiteY97" fmla="*/ 9069 h 10000"/>
                      <a:gd name="connsiteX98" fmla="*/ 9245 w 10325"/>
                      <a:gd name="connsiteY98" fmla="*/ 8694 h 10000"/>
                      <a:gd name="connsiteX99" fmla="*/ 9736 w 10325"/>
                      <a:gd name="connsiteY99" fmla="*/ 8271 h 10000"/>
                      <a:gd name="connsiteX100" fmla="*/ 10325 w 10325"/>
                      <a:gd name="connsiteY100" fmla="*/ 7962 h 10000"/>
                      <a:gd name="connsiteX0" fmla="*/ 10650 w 10650"/>
                      <a:gd name="connsiteY0" fmla="*/ 7962 h 10000"/>
                      <a:gd name="connsiteX1" fmla="*/ 9913 w 10650"/>
                      <a:gd name="connsiteY1" fmla="*/ 7630 h 10000"/>
                      <a:gd name="connsiteX2" fmla="*/ 9495 w 10650"/>
                      <a:gd name="connsiteY2" fmla="*/ 7519 h 10000"/>
                      <a:gd name="connsiteX3" fmla="*/ 9281 w 10650"/>
                      <a:gd name="connsiteY3" fmla="*/ 7471 h 10000"/>
                      <a:gd name="connsiteX4" fmla="*/ 9039 w 10650"/>
                      <a:gd name="connsiteY4" fmla="*/ 7410 h 10000"/>
                      <a:gd name="connsiteX5" fmla="*/ 8743 w 10650"/>
                      <a:gd name="connsiteY5" fmla="*/ 7301 h 10000"/>
                      <a:gd name="connsiteX6" fmla="*/ 7671 w 10650"/>
                      <a:gd name="connsiteY6" fmla="*/ 6867 h 10000"/>
                      <a:gd name="connsiteX7" fmla="*/ 7636 w 10650"/>
                      <a:gd name="connsiteY7" fmla="*/ 6856 h 10000"/>
                      <a:gd name="connsiteX8" fmla="*/ 7366 w 10650"/>
                      <a:gd name="connsiteY8" fmla="*/ 6739 h 10000"/>
                      <a:gd name="connsiteX9" fmla="*/ 7202 w 10650"/>
                      <a:gd name="connsiteY9" fmla="*/ 6620 h 10000"/>
                      <a:gd name="connsiteX10" fmla="*/ 7014 w 10650"/>
                      <a:gd name="connsiteY10" fmla="*/ 6428 h 10000"/>
                      <a:gd name="connsiteX11" fmla="*/ 6856 w 10650"/>
                      <a:gd name="connsiteY11" fmla="*/ 6298 h 10000"/>
                      <a:gd name="connsiteX12" fmla="*/ 6702 w 10650"/>
                      <a:gd name="connsiteY12" fmla="*/ 6165 h 10000"/>
                      <a:gd name="connsiteX13" fmla="*/ 6602 w 10650"/>
                      <a:gd name="connsiteY13" fmla="*/ 6008 h 10000"/>
                      <a:gd name="connsiteX14" fmla="*/ 6545 w 10650"/>
                      <a:gd name="connsiteY14" fmla="*/ 5649 h 10000"/>
                      <a:gd name="connsiteX15" fmla="*/ 6536 w 10650"/>
                      <a:gd name="connsiteY15" fmla="*/ 5426 h 10000"/>
                      <a:gd name="connsiteX16" fmla="*/ 6536 w 10650"/>
                      <a:gd name="connsiteY16" fmla="*/ 5383 h 10000"/>
                      <a:gd name="connsiteX17" fmla="*/ 6570 w 10650"/>
                      <a:gd name="connsiteY17" fmla="*/ 5356 h 10000"/>
                      <a:gd name="connsiteX18" fmla="*/ 6922 w 10650"/>
                      <a:gd name="connsiteY18" fmla="*/ 4763 h 10000"/>
                      <a:gd name="connsiteX19" fmla="*/ 6973 w 10650"/>
                      <a:gd name="connsiteY19" fmla="*/ 4426 h 10000"/>
                      <a:gd name="connsiteX20" fmla="*/ 6973 w 10650"/>
                      <a:gd name="connsiteY20" fmla="*/ 4332 h 10000"/>
                      <a:gd name="connsiteX21" fmla="*/ 7080 w 10650"/>
                      <a:gd name="connsiteY21" fmla="*/ 4324 h 10000"/>
                      <a:gd name="connsiteX22" fmla="*/ 7174 w 10650"/>
                      <a:gd name="connsiteY22" fmla="*/ 4290 h 10000"/>
                      <a:gd name="connsiteX23" fmla="*/ 7246 w 10650"/>
                      <a:gd name="connsiteY23" fmla="*/ 4152 h 10000"/>
                      <a:gd name="connsiteX24" fmla="*/ 7297 w 10650"/>
                      <a:gd name="connsiteY24" fmla="*/ 4043 h 10000"/>
                      <a:gd name="connsiteX25" fmla="*/ 7369 w 10650"/>
                      <a:gd name="connsiteY25" fmla="*/ 3923 h 10000"/>
                      <a:gd name="connsiteX26" fmla="*/ 7438 w 10650"/>
                      <a:gd name="connsiteY26" fmla="*/ 3769 h 10000"/>
                      <a:gd name="connsiteX27" fmla="*/ 7460 w 10650"/>
                      <a:gd name="connsiteY27" fmla="*/ 3612 h 10000"/>
                      <a:gd name="connsiteX28" fmla="*/ 7479 w 10650"/>
                      <a:gd name="connsiteY28" fmla="*/ 3455 h 10000"/>
                      <a:gd name="connsiteX29" fmla="*/ 7533 w 10650"/>
                      <a:gd name="connsiteY29" fmla="*/ 3277 h 10000"/>
                      <a:gd name="connsiteX30" fmla="*/ 7561 w 10650"/>
                      <a:gd name="connsiteY30" fmla="*/ 3133 h 10000"/>
                      <a:gd name="connsiteX31" fmla="*/ 7529 w 10650"/>
                      <a:gd name="connsiteY31" fmla="*/ 3059 h 10000"/>
                      <a:gd name="connsiteX32" fmla="*/ 7523 w 10650"/>
                      <a:gd name="connsiteY32" fmla="*/ 3059 h 10000"/>
                      <a:gd name="connsiteX33" fmla="*/ 7489 w 10650"/>
                      <a:gd name="connsiteY33" fmla="*/ 3024 h 10000"/>
                      <a:gd name="connsiteX34" fmla="*/ 7438 w 10650"/>
                      <a:gd name="connsiteY34" fmla="*/ 2896 h 10000"/>
                      <a:gd name="connsiteX35" fmla="*/ 7463 w 10650"/>
                      <a:gd name="connsiteY35" fmla="*/ 2356 h 10000"/>
                      <a:gd name="connsiteX36" fmla="*/ 7467 w 10650"/>
                      <a:gd name="connsiteY36" fmla="*/ 2314 h 10000"/>
                      <a:gd name="connsiteX37" fmla="*/ 7504 w 10650"/>
                      <a:gd name="connsiteY37" fmla="*/ 1846 h 10000"/>
                      <a:gd name="connsiteX38" fmla="*/ 7448 w 10650"/>
                      <a:gd name="connsiteY38" fmla="*/ 1609 h 10000"/>
                      <a:gd name="connsiteX39" fmla="*/ 7438 w 10650"/>
                      <a:gd name="connsiteY39" fmla="*/ 1582 h 10000"/>
                      <a:gd name="connsiteX40" fmla="*/ 7407 w 10650"/>
                      <a:gd name="connsiteY40" fmla="*/ 1447 h 10000"/>
                      <a:gd name="connsiteX41" fmla="*/ 7413 w 10650"/>
                      <a:gd name="connsiteY41" fmla="*/ 1354 h 10000"/>
                      <a:gd name="connsiteX42" fmla="*/ 7391 w 10650"/>
                      <a:gd name="connsiteY42" fmla="*/ 1271 h 10000"/>
                      <a:gd name="connsiteX43" fmla="*/ 7190 w 10650"/>
                      <a:gd name="connsiteY43" fmla="*/ 1106 h 10000"/>
                      <a:gd name="connsiteX44" fmla="*/ 6860 w 10650"/>
                      <a:gd name="connsiteY44" fmla="*/ 848 h 10000"/>
                      <a:gd name="connsiteX45" fmla="*/ 6564 w 10650"/>
                      <a:gd name="connsiteY45" fmla="*/ 582 h 10000"/>
                      <a:gd name="connsiteX46" fmla="*/ 6331 w 10650"/>
                      <a:gd name="connsiteY46" fmla="*/ 370 h 10000"/>
                      <a:gd name="connsiteX47" fmla="*/ 6089 w 10650"/>
                      <a:gd name="connsiteY47" fmla="*/ 173 h 10000"/>
                      <a:gd name="connsiteX48" fmla="*/ 5828 w 10650"/>
                      <a:gd name="connsiteY48" fmla="*/ 45 h 10000"/>
                      <a:gd name="connsiteX49" fmla="*/ 5507 w 10650"/>
                      <a:gd name="connsiteY49" fmla="*/ 0 h 10000"/>
                      <a:gd name="connsiteX50" fmla="*/ 5199 w 10650"/>
                      <a:gd name="connsiteY50" fmla="*/ 32 h 10000"/>
                      <a:gd name="connsiteX51" fmla="*/ 4960 w 10650"/>
                      <a:gd name="connsiteY51" fmla="*/ 93 h 10000"/>
                      <a:gd name="connsiteX52" fmla="*/ 4715 w 10650"/>
                      <a:gd name="connsiteY52" fmla="*/ 144 h 10000"/>
                      <a:gd name="connsiteX53" fmla="*/ 4536 w 10650"/>
                      <a:gd name="connsiteY53" fmla="*/ 133 h 10000"/>
                      <a:gd name="connsiteX54" fmla="*/ 4347 w 10650"/>
                      <a:gd name="connsiteY54" fmla="*/ 266 h 10000"/>
                      <a:gd name="connsiteX55" fmla="*/ 4061 w 10650"/>
                      <a:gd name="connsiteY55" fmla="*/ 418 h 10000"/>
                      <a:gd name="connsiteX56" fmla="*/ 3649 w 10650"/>
                      <a:gd name="connsiteY56" fmla="*/ 630 h 10000"/>
                      <a:gd name="connsiteX57" fmla="*/ 3294 w 10650"/>
                      <a:gd name="connsiteY57" fmla="*/ 886 h 10000"/>
                      <a:gd name="connsiteX58" fmla="*/ 3139 w 10650"/>
                      <a:gd name="connsiteY58" fmla="*/ 1173 h 10000"/>
                      <a:gd name="connsiteX59" fmla="*/ 3171 w 10650"/>
                      <a:gd name="connsiteY59" fmla="*/ 1465 h 10000"/>
                      <a:gd name="connsiteX60" fmla="*/ 3202 w 10650"/>
                      <a:gd name="connsiteY60" fmla="*/ 1678 h 10000"/>
                      <a:gd name="connsiteX61" fmla="*/ 3180 w 10650"/>
                      <a:gd name="connsiteY61" fmla="*/ 1904 h 10000"/>
                      <a:gd name="connsiteX62" fmla="*/ 3149 w 10650"/>
                      <a:gd name="connsiteY62" fmla="*/ 2436 h 10000"/>
                      <a:gd name="connsiteX63" fmla="*/ 3196 w 10650"/>
                      <a:gd name="connsiteY63" fmla="*/ 2742 h 10000"/>
                      <a:gd name="connsiteX64" fmla="*/ 3250 w 10650"/>
                      <a:gd name="connsiteY64" fmla="*/ 2973 h 10000"/>
                      <a:gd name="connsiteX65" fmla="*/ 3029 w 10650"/>
                      <a:gd name="connsiteY65" fmla="*/ 2848 h 10000"/>
                      <a:gd name="connsiteX66" fmla="*/ 3014 w 10650"/>
                      <a:gd name="connsiteY66" fmla="*/ 2878 h 10000"/>
                      <a:gd name="connsiteX67" fmla="*/ 2995 w 10650"/>
                      <a:gd name="connsiteY67" fmla="*/ 2968 h 10000"/>
                      <a:gd name="connsiteX68" fmla="*/ 3007 w 10650"/>
                      <a:gd name="connsiteY68" fmla="*/ 3314 h 10000"/>
                      <a:gd name="connsiteX69" fmla="*/ 3077 w 10650"/>
                      <a:gd name="connsiteY69" fmla="*/ 3684 h 10000"/>
                      <a:gd name="connsiteX70" fmla="*/ 3099 w 10650"/>
                      <a:gd name="connsiteY70" fmla="*/ 3785 h 10000"/>
                      <a:gd name="connsiteX71" fmla="*/ 3121 w 10650"/>
                      <a:gd name="connsiteY71" fmla="*/ 3888 h 10000"/>
                      <a:gd name="connsiteX72" fmla="*/ 3253 w 10650"/>
                      <a:gd name="connsiteY72" fmla="*/ 4109 h 10000"/>
                      <a:gd name="connsiteX73" fmla="*/ 3372 w 10650"/>
                      <a:gd name="connsiteY73" fmla="*/ 4154 h 10000"/>
                      <a:gd name="connsiteX74" fmla="*/ 3467 w 10650"/>
                      <a:gd name="connsiteY74" fmla="*/ 4168 h 10000"/>
                      <a:gd name="connsiteX75" fmla="*/ 3470 w 10650"/>
                      <a:gd name="connsiteY75" fmla="*/ 4255 h 10000"/>
                      <a:gd name="connsiteX76" fmla="*/ 3621 w 10650"/>
                      <a:gd name="connsiteY76" fmla="*/ 4976 h 10000"/>
                      <a:gd name="connsiteX77" fmla="*/ 3775 w 10650"/>
                      <a:gd name="connsiteY77" fmla="*/ 5239 h 10000"/>
                      <a:gd name="connsiteX78" fmla="*/ 3797 w 10650"/>
                      <a:gd name="connsiteY78" fmla="*/ 5266 h 10000"/>
                      <a:gd name="connsiteX79" fmla="*/ 3797 w 10650"/>
                      <a:gd name="connsiteY79" fmla="*/ 5904 h 10000"/>
                      <a:gd name="connsiteX80" fmla="*/ 3699 w 10650"/>
                      <a:gd name="connsiteY80" fmla="*/ 5995 h 10000"/>
                      <a:gd name="connsiteX81" fmla="*/ 2869 w 10650"/>
                      <a:gd name="connsiteY81" fmla="*/ 6713 h 10000"/>
                      <a:gd name="connsiteX82" fmla="*/ 1746 w 10650"/>
                      <a:gd name="connsiteY82" fmla="*/ 7370 h 10000"/>
                      <a:gd name="connsiteX83" fmla="*/ 1429 w 10650"/>
                      <a:gd name="connsiteY83" fmla="*/ 7457 h 10000"/>
                      <a:gd name="connsiteX84" fmla="*/ 1158 w 10650"/>
                      <a:gd name="connsiteY84" fmla="*/ 7519 h 10000"/>
                      <a:gd name="connsiteX85" fmla="*/ 737 w 10650"/>
                      <a:gd name="connsiteY85" fmla="*/ 7630 h 10000"/>
                      <a:gd name="connsiteX86" fmla="*/ 0 w 10650"/>
                      <a:gd name="connsiteY86" fmla="*/ 8060 h 10000"/>
                      <a:gd name="connsiteX87" fmla="*/ 639 w 10650"/>
                      <a:gd name="connsiteY87" fmla="*/ 8306 h 10000"/>
                      <a:gd name="connsiteX88" fmla="*/ 1124 w 10650"/>
                      <a:gd name="connsiteY88" fmla="*/ 8742 h 10000"/>
                      <a:gd name="connsiteX89" fmla="*/ 1737 w 10650"/>
                      <a:gd name="connsiteY89" fmla="*/ 9117 h 10000"/>
                      <a:gd name="connsiteX90" fmla="*/ 2432 w 10650"/>
                      <a:gd name="connsiteY90" fmla="*/ 9431 h 10000"/>
                      <a:gd name="connsiteX91" fmla="*/ 3177 w 10650"/>
                      <a:gd name="connsiteY91" fmla="*/ 9681 h 10000"/>
                      <a:gd name="connsiteX92" fmla="*/ 3929 w 10650"/>
                      <a:gd name="connsiteY92" fmla="*/ 9862 h 10000"/>
                      <a:gd name="connsiteX93" fmla="*/ 4646 w 10650"/>
                      <a:gd name="connsiteY93" fmla="*/ 9968 h 10000"/>
                      <a:gd name="connsiteX94" fmla="*/ 5290 w 10650"/>
                      <a:gd name="connsiteY94" fmla="*/ 10000 h 10000"/>
                      <a:gd name="connsiteX95" fmla="*/ 6561 w 10650"/>
                      <a:gd name="connsiteY95" fmla="*/ 9846 h 10000"/>
                      <a:gd name="connsiteX96" fmla="*/ 8149 w 10650"/>
                      <a:gd name="connsiteY96" fmla="*/ 9391 h 10000"/>
                      <a:gd name="connsiteX97" fmla="*/ 8910 w 10650"/>
                      <a:gd name="connsiteY97" fmla="*/ 9069 h 10000"/>
                      <a:gd name="connsiteX98" fmla="*/ 9570 w 10650"/>
                      <a:gd name="connsiteY98" fmla="*/ 8694 h 10000"/>
                      <a:gd name="connsiteX99" fmla="*/ 10061 w 10650"/>
                      <a:gd name="connsiteY99" fmla="*/ 8271 h 10000"/>
                      <a:gd name="connsiteX100" fmla="*/ 10650 w 10650"/>
                      <a:gd name="connsiteY100" fmla="*/ 7962 h 10000"/>
                      <a:gd name="connsiteX0" fmla="*/ 10650 w 10650"/>
                      <a:gd name="connsiteY0" fmla="*/ 7962 h 10000"/>
                      <a:gd name="connsiteX1" fmla="*/ 9913 w 10650"/>
                      <a:gd name="connsiteY1" fmla="*/ 7630 h 10000"/>
                      <a:gd name="connsiteX2" fmla="*/ 9495 w 10650"/>
                      <a:gd name="connsiteY2" fmla="*/ 7519 h 10000"/>
                      <a:gd name="connsiteX3" fmla="*/ 9281 w 10650"/>
                      <a:gd name="connsiteY3" fmla="*/ 7471 h 10000"/>
                      <a:gd name="connsiteX4" fmla="*/ 9039 w 10650"/>
                      <a:gd name="connsiteY4" fmla="*/ 7410 h 10000"/>
                      <a:gd name="connsiteX5" fmla="*/ 8743 w 10650"/>
                      <a:gd name="connsiteY5" fmla="*/ 7301 h 10000"/>
                      <a:gd name="connsiteX6" fmla="*/ 7671 w 10650"/>
                      <a:gd name="connsiteY6" fmla="*/ 6867 h 10000"/>
                      <a:gd name="connsiteX7" fmla="*/ 7636 w 10650"/>
                      <a:gd name="connsiteY7" fmla="*/ 6856 h 10000"/>
                      <a:gd name="connsiteX8" fmla="*/ 7366 w 10650"/>
                      <a:gd name="connsiteY8" fmla="*/ 6739 h 10000"/>
                      <a:gd name="connsiteX9" fmla="*/ 7202 w 10650"/>
                      <a:gd name="connsiteY9" fmla="*/ 6620 h 10000"/>
                      <a:gd name="connsiteX10" fmla="*/ 7014 w 10650"/>
                      <a:gd name="connsiteY10" fmla="*/ 6428 h 10000"/>
                      <a:gd name="connsiteX11" fmla="*/ 6856 w 10650"/>
                      <a:gd name="connsiteY11" fmla="*/ 6298 h 10000"/>
                      <a:gd name="connsiteX12" fmla="*/ 6702 w 10650"/>
                      <a:gd name="connsiteY12" fmla="*/ 6165 h 10000"/>
                      <a:gd name="connsiteX13" fmla="*/ 6602 w 10650"/>
                      <a:gd name="connsiteY13" fmla="*/ 6008 h 10000"/>
                      <a:gd name="connsiteX14" fmla="*/ 6545 w 10650"/>
                      <a:gd name="connsiteY14" fmla="*/ 5649 h 10000"/>
                      <a:gd name="connsiteX15" fmla="*/ 6536 w 10650"/>
                      <a:gd name="connsiteY15" fmla="*/ 5426 h 10000"/>
                      <a:gd name="connsiteX16" fmla="*/ 6536 w 10650"/>
                      <a:gd name="connsiteY16" fmla="*/ 5383 h 10000"/>
                      <a:gd name="connsiteX17" fmla="*/ 6570 w 10650"/>
                      <a:gd name="connsiteY17" fmla="*/ 5356 h 10000"/>
                      <a:gd name="connsiteX18" fmla="*/ 6922 w 10650"/>
                      <a:gd name="connsiteY18" fmla="*/ 4763 h 10000"/>
                      <a:gd name="connsiteX19" fmla="*/ 6973 w 10650"/>
                      <a:gd name="connsiteY19" fmla="*/ 4426 h 10000"/>
                      <a:gd name="connsiteX20" fmla="*/ 6973 w 10650"/>
                      <a:gd name="connsiteY20" fmla="*/ 4332 h 10000"/>
                      <a:gd name="connsiteX21" fmla="*/ 7080 w 10650"/>
                      <a:gd name="connsiteY21" fmla="*/ 4324 h 10000"/>
                      <a:gd name="connsiteX22" fmla="*/ 7174 w 10650"/>
                      <a:gd name="connsiteY22" fmla="*/ 4290 h 10000"/>
                      <a:gd name="connsiteX23" fmla="*/ 7246 w 10650"/>
                      <a:gd name="connsiteY23" fmla="*/ 4152 h 10000"/>
                      <a:gd name="connsiteX24" fmla="*/ 7297 w 10650"/>
                      <a:gd name="connsiteY24" fmla="*/ 4043 h 10000"/>
                      <a:gd name="connsiteX25" fmla="*/ 7369 w 10650"/>
                      <a:gd name="connsiteY25" fmla="*/ 3923 h 10000"/>
                      <a:gd name="connsiteX26" fmla="*/ 7438 w 10650"/>
                      <a:gd name="connsiteY26" fmla="*/ 3769 h 10000"/>
                      <a:gd name="connsiteX27" fmla="*/ 7460 w 10650"/>
                      <a:gd name="connsiteY27" fmla="*/ 3612 h 10000"/>
                      <a:gd name="connsiteX28" fmla="*/ 7479 w 10650"/>
                      <a:gd name="connsiteY28" fmla="*/ 3455 h 10000"/>
                      <a:gd name="connsiteX29" fmla="*/ 7533 w 10650"/>
                      <a:gd name="connsiteY29" fmla="*/ 3277 h 10000"/>
                      <a:gd name="connsiteX30" fmla="*/ 7561 w 10650"/>
                      <a:gd name="connsiteY30" fmla="*/ 3133 h 10000"/>
                      <a:gd name="connsiteX31" fmla="*/ 7529 w 10650"/>
                      <a:gd name="connsiteY31" fmla="*/ 3059 h 10000"/>
                      <a:gd name="connsiteX32" fmla="*/ 7523 w 10650"/>
                      <a:gd name="connsiteY32" fmla="*/ 3059 h 10000"/>
                      <a:gd name="connsiteX33" fmla="*/ 7489 w 10650"/>
                      <a:gd name="connsiteY33" fmla="*/ 3024 h 10000"/>
                      <a:gd name="connsiteX34" fmla="*/ 7438 w 10650"/>
                      <a:gd name="connsiteY34" fmla="*/ 2896 h 10000"/>
                      <a:gd name="connsiteX35" fmla="*/ 7463 w 10650"/>
                      <a:gd name="connsiteY35" fmla="*/ 2356 h 10000"/>
                      <a:gd name="connsiteX36" fmla="*/ 7467 w 10650"/>
                      <a:gd name="connsiteY36" fmla="*/ 2314 h 10000"/>
                      <a:gd name="connsiteX37" fmla="*/ 7504 w 10650"/>
                      <a:gd name="connsiteY37" fmla="*/ 1846 h 10000"/>
                      <a:gd name="connsiteX38" fmla="*/ 7448 w 10650"/>
                      <a:gd name="connsiteY38" fmla="*/ 1609 h 10000"/>
                      <a:gd name="connsiteX39" fmla="*/ 7438 w 10650"/>
                      <a:gd name="connsiteY39" fmla="*/ 1582 h 10000"/>
                      <a:gd name="connsiteX40" fmla="*/ 7407 w 10650"/>
                      <a:gd name="connsiteY40" fmla="*/ 1447 h 10000"/>
                      <a:gd name="connsiteX41" fmla="*/ 7413 w 10650"/>
                      <a:gd name="connsiteY41" fmla="*/ 1354 h 10000"/>
                      <a:gd name="connsiteX42" fmla="*/ 7391 w 10650"/>
                      <a:gd name="connsiteY42" fmla="*/ 1271 h 10000"/>
                      <a:gd name="connsiteX43" fmla="*/ 7190 w 10650"/>
                      <a:gd name="connsiteY43" fmla="*/ 1106 h 10000"/>
                      <a:gd name="connsiteX44" fmla="*/ 6860 w 10650"/>
                      <a:gd name="connsiteY44" fmla="*/ 848 h 10000"/>
                      <a:gd name="connsiteX45" fmla="*/ 6564 w 10650"/>
                      <a:gd name="connsiteY45" fmla="*/ 582 h 10000"/>
                      <a:gd name="connsiteX46" fmla="*/ 6331 w 10650"/>
                      <a:gd name="connsiteY46" fmla="*/ 370 h 10000"/>
                      <a:gd name="connsiteX47" fmla="*/ 6089 w 10650"/>
                      <a:gd name="connsiteY47" fmla="*/ 173 h 10000"/>
                      <a:gd name="connsiteX48" fmla="*/ 5828 w 10650"/>
                      <a:gd name="connsiteY48" fmla="*/ 45 h 10000"/>
                      <a:gd name="connsiteX49" fmla="*/ 5507 w 10650"/>
                      <a:gd name="connsiteY49" fmla="*/ 0 h 10000"/>
                      <a:gd name="connsiteX50" fmla="*/ 5199 w 10650"/>
                      <a:gd name="connsiteY50" fmla="*/ 32 h 10000"/>
                      <a:gd name="connsiteX51" fmla="*/ 4960 w 10650"/>
                      <a:gd name="connsiteY51" fmla="*/ 93 h 10000"/>
                      <a:gd name="connsiteX52" fmla="*/ 4715 w 10650"/>
                      <a:gd name="connsiteY52" fmla="*/ 144 h 10000"/>
                      <a:gd name="connsiteX53" fmla="*/ 4536 w 10650"/>
                      <a:gd name="connsiteY53" fmla="*/ 133 h 10000"/>
                      <a:gd name="connsiteX54" fmla="*/ 4347 w 10650"/>
                      <a:gd name="connsiteY54" fmla="*/ 266 h 10000"/>
                      <a:gd name="connsiteX55" fmla="*/ 4061 w 10650"/>
                      <a:gd name="connsiteY55" fmla="*/ 418 h 10000"/>
                      <a:gd name="connsiteX56" fmla="*/ 3649 w 10650"/>
                      <a:gd name="connsiteY56" fmla="*/ 630 h 10000"/>
                      <a:gd name="connsiteX57" fmla="*/ 3294 w 10650"/>
                      <a:gd name="connsiteY57" fmla="*/ 886 h 10000"/>
                      <a:gd name="connsiteX58" fmla="*/ 3139 w 10650"/>
                      <a:gd name="connsiteY58" fmla="*/ 1173 h 10000"/>
                      <a:gd name="connsiteX59" fmla="*/ 3171 w 10650"/>
                      <a:gd name="connsiteY59" fmla="*/ 1465 h 10000"/>
                      <a:gd name="connsiteX60" fmla="*/ 3202 w 10650"/>
                      <a:gd name="connsiteY60" fmla="*/ 1678 h 10000"/>
                      <a:gd name="connsiteX61" fmla="*/ 3180 w 10650"/>
                      <a:gd name="connsiteY61" fmla="*/ 1904 h 10000"/>
                      <a:gd name="connsiteX62" fmla="*/ 3149 w 10650"/>
                      <a:gd name="connsiteY62" fmla="*/ 2436 h 10000"/>
                      <a:gd name="connsiteX63" fmla="*/ 3196 w 10650"/>
                      <a:gd name="connsiteY63" fmla="*/ 2742 h 10000"/>
                      <a:gd name="connsiteX64" fmla="*/ 3250 w 10650"/>
                      <a:gd name="connsiteY64" fmla="*/ 2973 h 10000"/>
                      <a:gd name="connsiteX65" fmla="*/ 3029 w 10650"/>
                      <a:gd name="connsiteY65" fmla="*/ 2848 h 10000"/>
                      <a:gd name="connsiteX66" fmla="*/ 3014 w 10650"/>
                      <a:gd name="connsiteY66" fmla="*/ 2878 h 10000"/>
                      <a:gd name="connsiteX67" fmla="*/ 2995 w 10650"/>
                      <a:gd name="connsiteY67" fmla="*/ 2968 h 10000"/>
                      <a:gd name="connsiteX68" fmla="*/ 3007 w 10650"/>
                      <a:gd name="connsiteY68" fmla="*/ 3314 h 10000"/>
                      <a:gd name="connsiteX69" fmla="*/ 3077 w 10650"/>
                      <a:gd name="connsiteY69" fmla="*/ 3684 h 10000"/>
                      <a:gd name="connsiteX70" fmla="*/ 3099 w 10650"/>
                      <a:gd name="connsiteY70" fmla="*/ 3785 h 10000"/>
                      <a:gd name="connsiteX71" fmla="*/ 3121 w 10650"/>
                      <a:gd name="connsiteY71" fmla="*/ 3888 h 10000"/>
                      <a:gd name="connsiteX72" fmla="*/ 3253 w 10650"/>
                      <a:gd name="connsiteY72" fmla="*/ 4109 h 10000"/>
                      <a:gd name="connsiteX73" fmla="*/ 3372 w 10650"/>
                      <a:gd name="connsiteY73" fmla="*/ 4154 h 10000"/>
                      <a:gd name="connsiteX74" fmla="*/ 3467 w 10650"/>
                      <a:gd name="connsiteY74" fmla="*/ 4168 h 10000"/>
                      <a:gd name="connsiteX75" fmla="*/ 3470 w 10650"/>
                      <a:gd name="connsiteY75" fmla="*/ 4255 h 10000"/>
                      <a:gd name="connsiteX76" fmla="*/ 3621 w 10650"/>
                      <a:gd name="connsiteY76" fmla="*/ 4976 h 10000"/>
                      <a:gd name="connsiteX77" fmla="*/ 3775 w 10650"/>
                      <a:gd name="connsiteY77" fmla="*/ 5239 h 10000"/>
                      <a:gd name="connsiteX78" fmla="*/ 3797 w 10650"/>
                      <a:gd name="connsiteY78" fmla="*/ 5266 h 10000"/>
                      <a:gd name="connsiteX79" fmla="*/ 3797 w 10650"/>
                      <a:gd name="connsiteY79" fmla="*/ 5904 h 10000"/>
                      <a:gd name="connsiteX80" fmla="*/ 3699 w 10650"/>
                      <a:gd name="connsiteY80" fmla="*/ 5995 h 10000"/>
                      <a:gd name="connsiteX81" fmla="*/ 2869 w 10650"/>
                      <a:gd name="connsiteY81" fmla="*/ 6713 h 10000"/>
                      <a:gd name="connsiteX82" fmla="*/ 1746 w 10650"/>
                      <a:gd name="connsiteY82" fmla="*/ 7370 h 10000"/>
                      <a:gd name="connsiteX83" fmla="*/ 1429 w 10650"/>
                      <a:gd name="connsiteY83" fmla="*/ 7457 h 10000"/>
                      <a:gd name="connsiteX84" fmla="*/ 1158 w 10650"/>
                      <a:gd name="connsiteY84" fmla="*/ 7519 h 10000"/>
                      <a:gd name="connsiteX85" fmla="*/ 737 w 10650"/>
                      <a:gd name="connsiteY85" fmla="*/ 7630 h 10000"/>
                      <a:gd name="connsiteX86" fmla="*/ 0 w 10650"/>
                      <a:gd name="connsiteY86" fmla="*/ 8060 h 10000"/>
                      <a:gd name="connsiteX87" fmla="*/ 639 w 10650"/>
                      <a:gd name="connsiteY87" fmla="*/ 8306 h 10000"/>
                      <a:gd name="connsiteX88" fmla="*/ 1124 w 10650"/>
                      <a:gd name="connsiteY88" fmla="*/ 8742 h 10000"/>
                      <a:gd name="connsiteX89" fmla="*/ 1737 w 10650"/>
                      <a:gd name="connsiteY89" fmla="*/ 9117 h 10000"/>
                      <a:gd name="connsiteX90" fmla="*/ 2432 w 10650"/>
                      <a:gd name="connsiteY90" fmla="*/ 9431 h 10000"/>
                      <a:gd name="connsiteX91" fmla="*/ 3177 w 10650"/>
                      <a:gd name="connsiteY91" fmla="*/ 9681 h 10000"/>
                      <a:gd name="connsiteX92" fmla="*/ 3929 w 10650"/>
                      <a:gd name="connsiteY92" fmla="*/ 9862 h 10000"/>
                      <a:gd name="connsiteX93" fmla="*/ 4646 w 10650"/>
                      <a:gd name="connsiteY93" fmla="*/ 9968 h 10000"/>
                      <a:gd name="connsiteX94" fmla="*/ 5290 w 10650"/>
                      <a:gd name="connsiteY94" fmla="*/ 10000 h 10000"/>
                      <a:gd name="connsiteX95" fmla="*/ 6561 w 10650"/>
                      <a:gd name="connsiteY95" fmla="*/ 9846 h 10000"/>
                      <a:gd name="connsiteX96" fmla="*/ 8149 w 10650"/>
                      <a:gd name="connsiteY96" fmla="*/ 9391 h 10000"/>
                      <a:gd name="connsiteX97" fmla="*/ 8910 w 10650"/>
                      <a:gd name="connsiteY97" fmla="*/ 9069 h 10000"/>
                      <a:gd name="connsiteX98" fmla="*/ 9570 w 10650"/>
                      <a:gd name="connsiteY98" fmla="*/ 8694 h 10000"/>
                      <a:gd name="connsiteX99" fmla="*/ 10332 w 10650"/>
                      <a:gd name="connsiteY99" fmla="*/ 8320 h 10000"/>
                      <a:gd name="connsiteX100" fmla="*/ 10650 w 10650"/>
                      <a:gd name="connsiteY100" fmla="*/ 7962 h 100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Lst>
                    <a:rect l="l" t="t" r="r" b="b"/>
                    <a:pathLst>
                      <a:path w="10650" h="10000">
                        <a:moveTo>
                          <a:pt x="10650" y="7962"/>
                        </a:moveTo>
                        <a:lnTo>
                          <a:pt x="9913" y="7630"/>
                        </a:lnTo>
                        <a:lnTo>
                          <a:pt x="9495" y="7519"/>
                        </a:lnTo>
                        <a:lnTo>
                          <a:pt x="9281" y="7471"/>
                        </a:lnTo>
                        <a:lnTo>
                          <a:pt x="9039" y="7410"/>
                        </a:lnTo>
                        <a:lnTo>
                          <a:pt x="8743" y="7301"/>
                        </a:lnTo>
                        <a:lnTo>
                          <a:pt x="7671" y="6867"/>
                        </a:lnTo>
                        <a:cubicBezTo>
                          <a:pt x="7659" y="6863"/>
                          <a:pt x="7648" y="6860"/>
                          <a:pt x="7636" y="6856"/>
                        </a:cubicBezTo>
                        <a:lnTo>
                          <a:pt x="7366" y="6739"/>
                        </a:lnTo>
                        <a:lnTo>
                          <a:pt x="7202" y="6620"/>
                        </a:lnTo>
                        <a:lnTo>
                          <a:pt x="7014" y="6428"/>
                        </a:lnTo>
                        <a:cubicBezTo>
                          <a:pt x="6961" y="6385"/>
                          <a:pt x="6909" y="6341"/>
                          <a:pt x="6856" y="6298"/>
                        </a:cubicBezTo>
                        <a:lnTo>
                          <a:pt x="6702" y="6165"/>
                        </a:lnTo>
                        <a:lnTo>
                          <a:pt x="6602" y="6008"/>
                        </a:lnTo>
                        <a:cubicBezTo>
                          <a:pt x="6583" y="5888"/>
                          <a:pt x="6564" y="5769"/>
                          <a:pt x="6545" y="5649"/>
                        </a:cubicBezTo>
                        <a:cubicBezTo>
                          <a:pt x="6542" y="5575"/>
                          <a:pt x="6539" y="5500"/>
                          <a:pt x="6536" y="5426"/>
                        </a:cubicBezTo>
                        <a:lnTo>
                          <a:pt x="6536" y="5383"/>
                        </a:lnTo>
                        <a:cubicBezTo>
                          <a:pt x="6547" y="5374"/>
                          <a:pt x="6559" y="5365"/>
                          <a:pt x="6570" y="5356"/>
                        </a:cubicBezTo>
                        <a:lnTo>
                          <a:pt x="6922" y="4763"/>
                        </a:lnTo>
                        <a:cubicBezTo>
                          <a:pt x="6939" y="4651"/>
                          <a:pt x="6956" y="4538"/>
                          <a:pt x="6973" y="4426"/>
                        </a:cubicBezTo>
                        <a:lnTo>
                          <a:pt x="6973" y="4332"/>
                        </a:lnTo>
                        <a:lnTo>
                          <a:pt x="7080" y="4324"/>
                        </a:lnTo>
                        <a:lnTo>
                          <a:pt x="7174" y="4290"/>
                        </a:lnTo>
                        <a:lnTo>
                          <a:pt x="7246" y="4152"/>
                        </a:lnTo>
                        <a:cubicBezTo>
                          <a:pt x="7263" y="4116"/>
                          <a:pt x="7280" y="4079"/>
                          <a:pt x="7297" y="4043"/>
                        </a:cubicBezTo>
                        <a:lnTo>
                          <a:pt x="7369" y="3923"/>
                        </a:lnTo>
                        <a:cubicBezTo>
                          <a:pt x="7392" y="3872"/>
                          <a:pt x="7415" y="3820"/>
                          <a:pt x="7438" y="3769"/>
                        </a:cubicBezTo>
                        <a:cubicBezTo>
                          <a:pt x="7445" y="3717"/>
                          <a:pt x="7453" y="3664"/>
                          <a:pt x="7460" y="3612"/>
                        </a:cubicBezTo>
                        <a:cubicBezTo>
                          <a:pt x="7466" y="3560"/>
                          <a:pt x="7473" y="3507"/>
                          <a:pt x="7479" y="3455"/>
                        </a:cubicBezTo>
                        <a:cubicBezTo>
                          <a:pt x="7497" y="3396"/>
                          <a:pt x="7515" y="3336"/>
                          <a:pt x="7533" y="3277"/>
                        </a:cubicBezTo>
                        <a:cubicBezTo>
                          <a:pt x="7542" y="3229"/>
                          <a:pt x="7552" y="3181"/>
                          <a:pt x="7561" y="3133"/>
                        </a:cubicBezTo>
                        <a:cubicBezTo>
                          <a:pt x="7550" y="3108"/>
                          <a:pt x="7540" y="3084"/>
                          <a:pt x="7529" y="3059"/>
                        </a:cubicBezTo>
                        <a:lnTo>
                          <a:pt x="7523" y="3059"/>
                        </a:lnTo>
                        <a:cubicBezTo>
                          <a:pt x="7512" y="3047"/>
                          <a:pt x="7500" y="3036"/>
                          <a:pt x="7489" y="3024"/>
                        </a:cubicBezTo>
                        <a:cubicBezTo>
                          <a:pt x="7472" y="2981"/>
                          <a:pt x="7455" y="2939"/>
                          <a:pt x="7438" y="2896"/>
                        </a:cubicBezTo>
                        <a:cubicBezTo>
                          <a:pt x="7446" y="2716"/>
                          <a:pt x="7455" y="2536"/>
                          <a:pt x="7463" y="2356"/>
                        </a:cubicBezTo>
                        <a:cubicBezTo>
                          <a:pt x="7464" y="2342"/>
                          <a:pt x="7466" y="2328"/>
                          <a:pt x="7467" y="2314"/>
                        </a:cubicBezTo>
                        <a:cubicBezTo>
                          <a:pt x="7479" y="2158"/>
                          <a:pt x="7492" y="2002"/>
                          <a:pt x="7504" y="1846"/>
                        </a:cubicBezTo>
                        <a:cubicBezTo>
                          <a:pt x="7485" y="1767"/>
                          <a:pt x="7467" y="1688"/>
                          <a:pt x="7448" y="1609"/>
                        </a:cubicBezTo>
                        <a:cubicBezTo>
                          <a:pt x="7445" y="1600"/>
                          <a:pt x="7441" y="1591"/>
                          <a:pt x="7438" y="1582"/>
                        </a:cubicBezTo>
                        <a:cubicBezTo>
                          <a:pt x="7428" y="1537"/>
                          <a:pt x="7417" y="1492"/>
                          <a:pt x="7407" y="1447"/>
                        </a:cubicBezTo>
                        <a:lnTo>
                          <a:pt x="7413" y="1354"/>
                        </a:lnTo>
                        <a:cubicBezTo>
                          <a:pt x="7406" y="1326"/>
                          <a:pt x="7398" y="1299"/>
                          <a:pt x="7391" y="1271"/>
                        </a:cubicBezTo>
                        <a:lnTo>
                          <a:pt x="7190" y="1106"/>
                        </a:lnTo>
                        <a:lnTo>
                          <a:pt x="6860" y="848"/>
                        </a:lnTo>
                        <a:lnTo>
                          <a:pt x="6564" y="582"/>
                        </a:lnTo>
                        <a:lnTo>
                          <a:pt x="6331" y="370"/>
                        </a:lnTo>
                        <a:lnTo>
                          <a:pt x="6089" y="173"/>
                        </a:lnTo>
                        <a:lnTo>
                          <a:pt x="5828" y="45"/>
                        </a:lnTo>
                        <a:lnTo>
                          <a:pt x="5507" y="0"/>
                        </a:lnTo>
                        <a:lnTo>
                          <a:pt x="5199" y="32"/>
                        </a:lnTo>
                        <a:lnTo>
                          <a:pt x="4960" y="93"/>
                        </a:lnTo>
                        <a:lnTo>
                          <a:pt x="4715" y="144"/>
                        </a:lnTo>
                        <a:lnTo>
                          <a:pt x="4536" y="133"/>
                        </a:lnTo>
                        <a:lnTo>
                          <a:pt x="4347" y="266"/>
                        </a:lnTo>
                        <a:lnTo>
                          <a:pt x="4061" y="418"/>
                        </a:lnTo>
                        <a:lnTo>
                          <a:pt x="3649" y="630"/>
                        </a:lnTo>
                        <a:lnTo>
                          <a:pt x="3294" y="886"/>
                        </a:lnTo>
                        <a:lnTo>
                          <a:pt x="3139" y="1173"/>
                        </a:lnTo>
                        <a:cubicBezTo>
                          <a:pt x="3150" y="1270"/>
                          <a:pt x="3160" y="1368"/>
                          <a:pt x="3171" y="1465"/>
                        </a:cubicBezTo>
                        <a:cubicBezTo>
                          <a:pt x="3181" y="1536"/>
                          <a:pt x="3192" y="1607"/>
                          <a:pt x="3202" y="1678"/>
                        </a:cubicBezTo>
                        <a:cubicBezTo>
                          <a:pt x="3195" y="1753"/>
                          <a:pt x="3187" y="1829"/>
                          <a:pt x="3180" y="1904"/>
                        </a:cubicBezTo>
                        <a:cubicBezTo>
                          <a:pt x="3170" y="2081"/>
                          <a:pt x="3159" y="2259"/>
                          <a:pt x="3149" y="2436"/>
                        </a:cubicBezTo>
                        <a:cubicBezTo>
                          <a:pt x="3165" y="2538"/>
                          <a:pt x="3180" y="2640"/>
                          <a:pt x="3196" y="2742"/>
                        </a:cubicBezTo>
                        <a:lnTo>
                          <a:pt x="3250" y="2973"/>
                        </a:lnTo>
                        <a:lnTo>
                          <a:pt x="3029" y="2848"/>
                        </a:lnTo>
                        <a:lnTo>
                          <a:pt x="3014" y="2878"/>
                        </a:lnTo>
                        <a:cubicBezTo>
                          <a:pt x="3008" y="2908"/>
                          <a:pt x="3001" y="2938"/>
                          <a:pt x="2995" y="2968"/>
                        </a:cubicBezTo>
                        <a:cubicBezTo>
                          <a:pt x="2999" y="3083"/>
                          <a:pt x="3003" y="3199"/>
                          <a:pt x="3007" y="3314"/>
                        </a:cubicBezTo>
                        <a:cubicBezTo>
                          <a:pt x="3030" y="3437"/>
                          <a:pt x="3054" y="3561"/>
                          <a:pt x="3077" y="3684"/>
                        </a:cubicBezTo>
                        <a:cubicBezTo>
                          <a:pt x="3084" y="3718"/>
                          <a:pt x="3092" y="3751"/>
                          <a:pt x="3099" y="3785"/>
                        </a:cubicBezTo>
                        <a:cubicBezTo>
                          <a:pt x="3106" y="3819"/>
                          <a:pt x="3114" y="3854"/>
                          <a:pt x="3121" y="3888"/>
                        </a:cubicBezTo>
                        <a:lnTo>
                          <a:pt x="3253" y="4109"/>
                        </a:lnTo>
                        <a:lnTo>
                          <a:pt x="3372" y="4154"/>
                        </a:lnTo>
                        <a:lnTo>
                          <a:pt x="3467" y="4168"/>
                        </a:lnTo>
                        <a:lnTo>
                          <a:pt x="3470" y="4255"/>
                        </a:lnTo>
                        <a:cubicBezTo>
                          <a:pt x="3520" y="4495"/>
                          <a:pt x="3571" y="4736"/>
                          <a:pt x="3621" y="4976"/>
                        </a:cubicBezTo>
                        <a:cubicBezTo>
                          <a:pt x="3672" y="5064"/>
                          <a:pt x="3724" y="5151"/>
                          <a:pt x="3775" y="5239"/>
                        </a:cubicBezTo>
                        <a:cubicBezTo>
                          <a:pt x="3782" y="5248"/>
                          <a:pt x="3790" y="5257"/>
                          <a:pt x="3797" y="5266"/>
                        </a:cubicBezTo>
                        <a:lnTo>
                          <a:pt x="3797" y="5904"/>
                        </a:lnTo>
                        <a:cubicBezTo>
                          <a:pt x="3764" y="5934"/>
                          <a:pt x="3732" y="5965"/>
                          <a:pt x="3699" y="5995"/>
                        </a:cubicBezTo>
                        <a:lnTo>
                          <a:pt x="2869" y="6713"/>
                        </a:lnTo>
                        <a:lnTo>
                          <a:pt x="1746" y="7370"/>
                        </a:lnTo>
                        <a:lnTo>
                          <a:pt x="1429" y="7457"/>
                        </a:lnTo>
                        <a:lnTo>
                          <a:pt x="1158" y="7519"/>
                        </a:lnTo>
                        <a:lnTo>
                          <a:pt x="737" y="7630"/>
                        </a:lnTo>
                        <a:lnTo>
                          <a:pt x="0" y="8060"/>
                        </a:lnTo>
                        <a:lnTo>
                          <a:pt x="639" y="8306"/>
                        </a:lnTo>
                        <a:lnTo>
                          <a:pt x="1124" y="8742"/>
                        </a:lnTo>
                        <a:lnTo>
                          <a:pt x="1737" y="9117"/>
                        </a:lnTo>
                        <a:lnTo>
                          <a:pt x="2432" y="9431"/>
                        </a:lnTo>
                        <a:lnTo>
                          <a:pt x="3177" y="9681"/>
                        </a:lnTo>
                        <a:lnTo>
                          <a:pt x="3929" y="9862"/>
                        </a:lnTo>
                        <a:lnTo>
                          <a:pt x="4646" y="9968"/>
                        </a:lnTo>
                        <a:lnTo>
                          <a:pt x="5290" y="10000"/>
                        </a:lnTo>
                        <a:lnTo>
                          <a:pt x="6561" y="9846"/>
                        </a:lnTo>
                        <a:lnTo>
                          <a:pt x="8149" y="9391"/>
                        </a:lnTo>
                        <a:lnTo>
                          <a:pt x="8910" y="9069"/>
                        </a:lnTo>
                        <a:lnTo>
                          <a:pt x="9570" y="8694"/>
                        </a:lnTo>
                        <a:lnTo>
                          <a:pt x="10332" y="8320"/>
                        </a:lnTo>
                        <a:lnTo>
                          <a:pt x="10650" y="7962"/>
                        </a:lnTo>
                        <a:close/>
                      </a:path>
                    </a:pathLst>
                  </a:custGeom>
                  <a:solidFill>
                    <a:srgbClr val="9E9E9E"/>
                  </a:solidFill>
                  <a:ln>
                    <a:noFill/>
                  </a:ln>
                </xdr:spPr>
                <xdr:txBody>
                  <a:bodyPr/>
                  <a:lstStyle/>
                  <a:p>
                    <a:endParaRPr lang="en-US"/>
                  </a:p>
                </xdr:txBody>
              </xdr:sp>
            </xdr:grpSp>
            <xdr:pic>
              <xdr:nvPicPr>
                <xdr:cNvPr id="6404" name="07_profileimage">
                  <a:hlinkClick xmlns:r="http://schemas.openxmlformats.org/officeDocument/2006/relationships" r:id="rId45"/>
                </xdr:cNvPr>
                <xdr:cNvPicPr>
                  <a:picLocks/>
                </xdr:cNvPicPr>
              </xdr:nvPicPr>
              <xdr:blipFill>
                <a:blip xmlns:r="http://schemas.openxmlformats.org/officeDocument/2006/relationships" r:link="rId46"/>
                <a:stretch>
                  <a:fillRect/>
                </a:stretch>
              </xdr:blipFill>
              <xdr:spPr>
                <a:xfrm>
                  <a:off x="1033653" y="61680849"/>
                  <a:ext cx="822960" cy="822960"/>
                </a:xfrm>
                <a:prstGeom prst="rect">
                  <a:avLst/>
                </a:prstGeom>
              </xdr:spPr>
            </xdr:pic>
            <xdr:sp macro="" textlink="">
              <xdr:nvSpPr>
                <xdr:cNvPr id="766" name="07_imgModule_Freeform_10"/>
                <xdr:cNvSpPr>
                  <a:spLocks noEditPoints="1"/>
                </xdr:cNvSpPr>
              </xdr:nvSpPr>
              <xdr:spPr bwMode="auto">
                <a:xfrm>
                  <a:off x="960501" y="61607699"/>
                  <a:ext cx="969264" cy="969264"/>
                </a:xfrm>
                <a:custGeom>
                  <a:avLst/>
                  <a:gdLst>
                    <a:gd name="T0" fmla="*/ 0 w 417"/>
                    <a:gd name="T1" fmla="*/ 417 h 417"/>
                    <a:gd name="T2" fmla="*/ 417 w 417"/>
                    <a:gd name="T3" fmla="*/ 0 h 417"/>
                    <a:gd name="T4" fmla="*/ 209 w 417"/>
                    <a:gd name="T5" fmla="*/ 385 h 417"/>
                    <a:gd name="T6" fmla="*/ 190 w 417"/>
                    <a:gd name="T7" fmla="*/ 384 h 417"/>
                    <a:gd name="T8" fmla="*/ 156 w 417"/>
                    <a:gd name="T9" fmla="*/ 377 h 417"/>
                    <a:gd name="T10" fmla="*/ 124 w 417"/>
                    <a:gd name="T11" fmla="*/ 364 h 417"/>
                    <a:gd name="T12" fmla="*/ 96 w 417"/>
                    <a:gd name="T13" fmla="*/ 345 h 417"/>
                    <a:gd name="T14" fmla="*/ 72 w 417"/>
                    <a:gd name="T15" fmla="*/ 321 h 417"/>
                    <a:gd name="T16" fmla="*/ 53 w 417"/>
                    <a:gd name="T17" fmla="*/ 293 h 417"/>
                    <a:gd name="T18" fmla="*/ 40 w 417"/>
                    <a:gd name="T19" fmla="*/ 261 h 417"/>
                    <a:gd name="T20" fmla="*/ 33 w 417"/>
                    <a:gd name="T21" fmla="*/ 227 h 417"/>
                    <a:gd name="T22" fmla="*/ 32 w 417"/>
                    <a:gd name="T23" fmla="*/ 209 h 417"/>
                    <a:gd name="T24" fmla="*/ 36 w 417"/>
                    <a:gd name="T25" fmla="*/ 173 h 417"/>
                    <a:gd name="T26" fmla="*/ 46 w 417"/>
                    <a:gd name="T27" fmla="*/ 139 h 417"/>
                    <a:gd name="T28" fmla="*/ 62 w 417"/>
                    <a:gd name="T29" fmla="*/ 110 h 417"/>
                    <a:gd name="T30" fmla="*/ 84 w 417"/>
                    <a:gd name="T31" fmla="*/ 84 h 417"/>
                    <a:gd name="T32" fmla="*/ 110 w 417"/>
                    <a:gd name="T33" fmla="*/ 62 h 417"/>
                    <a:gd name="T34" fmla="*/ 139 w 417"/>
                    <a:gd name="T35" fmla="*/ 46 h 417"/>
                    <a:gd name="T36" fmla="*/ 173 w 417"/>
                    <a:gd name="T37" fmla="*/ 36 h 417"/>
                    <a:gd name="T38" fmla="*/ 209 w 417"/>
                    <a:gd name="T39" fmla="*/ 32 h 417"/>
                    <a:gd name="T40" fmla="*/ 227 w 417"/>
                    <a:gd name="T41" fmla="*/ 33 h 417"/>
                    <a:gd name="T42" fmla="*/ 261 w 417"/>
                    <a:gd name="T43" fmla="*/ 40 h 417"/>
                    <a:gd name="T44" fmla="*/ 293 w 417"/>
                    <a:gd name="T45" fmla="*/ 53 h 417"/>
                    <a:gd name="T46" fmla="*/ 321 w 417"/>
                    <a:gd name="T47" fmla="*/ 72 h 417"/>
                    <a:gd name="T48" fmla="*/ 345 w 417"/>
                    <a:gd name="T49" fmla="*/ 96 h 417"/>
                    <a:gd name="T50" fmla="*/ 364 w 417"/>
                    <a:gd name="T51" fmla="*/ 124 h 417"/>
                    <a:gd name="T52" fmla="*/ 377 w 417"/>
                    <a:gd name="T53" fmla="*/ 156 h 417"/>
                    <a:gd name="T54" fmla="*/ 384 w 417"/>
                    <a:gd name="T55" fmla="*/ 190 h 417"/>
                    <a:gd name="T56" fmla="*/ 385 w 417"/>
                    <a:gd name="T57" fmla="*/ 209 h 417"/>
                    <a:gd name="T58" fmla="*/ 381 w 417"/>
                    <a:gd name="T59" fmla="*/ 244 h 417"/>
                    <a:gd name="T60" fmla="*/ 371 w 417"/>
                    <a:gd name="T61" fmla="*/ 278 h 417"/>
                    <a:gd name="T62" fmla="*/ 355 w 417"/>
                    <a:gd name="T63" fmla="*/ 307 h 417"/>
                    <a:gd name="T64" fmla="*/ 333 w 417"/>
                    <a:gd name="T65" fmla="*/ 333 h 417"/>
                    <a:gd name="T66" fmla="*/ 307 w 417"/>
                    <a:gd name="T67" fmla="*/ 355 h 417"/>
                    <a:gd name="T68" fmla="*/ 278 w 417"/>
                    <a:gd name="T69" fmla="*/ 371 h 417"/>
                    <a:gd name="T70" fmla="*/ 244 w 417"/>
                    <a:gd name="T71" fmla="*/ 381 h 417"/>
                    <a:gd name="T72" fmla="*/ 209 w 417"/>
                    <a:gd name="T73" fmla="*/ 385 h 41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Lst>
                  <a:rect l="0" t="0" r="r" b="b"/>
                  <a:pathLst>
                    <a:path w="417" h="417">
                      <a:moveTo>
                        <a:pt x="0" y="0"/>
                      </a:moveTo>
                      <a:lnTo>
                        <a:pt x="0" y="417"/>
                      </a:lnTo>
                      <a:lnTo>
                        <a:pt x="417" y="417"/>
                      </a:lnTo>
                      <a:lnTo>
                        <a:pt x="417" y="0"/>
                      </a:lnTo>
                      <a:lnTo>
                        <a:pt x="0" y="0"/>
                      </a:lnTo>
                      <a:close/>
                      <a:moveTo>
                        <a:pt x="209" y="385"/>
                      </a:moveTo>
                      <a:lnTo>
                        <a:pt x="209" y="385"/>
                      </a:lnTo>
                      <a:lnTo>
                        <a:pt x="190" y="384"/>
                      </a:lnTo>
                      <a:lnTo>
                        <a:pt x="173" y="381"/>
                      </a:lnTo>
                      <a:lnTo>
                        <a:pt x="156" y="377"/>
                      </a:lnTo>
                      <a:lnTo>
                        <a:pt x="139" y="371"/>
                      </a:lnTo>
                      <a:lnTo>
                        <a:pt x="124" y="364"/>
                      </a:lnTo>
                      <a:lnTo>
                        <a:pt x="110" y="355"/>
                      </a:lnTo>
                      <a:lnTo>
                        <a:pt x="96" y="345"/>
                      </a:lnTo>
                      <a:lnTo>
                        <a:pt x="84" y="333"/>
                      </a:lnTo>
                      <a:lnTo>
                        <a:pt x="72" y="321"/>
                      </a:lnTo>
                      <a:lnTo>
                        <a:pt x="62" y="307"/>
                      </a:lnTo>
                      <a:lnTo>
                        <a:pt x="53" y="293"/>
                      </a:lnTo>
                      <a:lnTo>
                        <a:pt x="46" y="278"/>
                      </a:lnTo>
                      <a:lnTo>
                        <a:pt x="40" y="261"/>
                      </a:lnTo>
                      <a:lnTo>
                        <a:pt x="36" y="244"/>
                      </a:lnTo>
                      <a:lnTo>
                        <a:pt x="33" y="227"/>
                      </a:lnTo>
                      <a:lnTo>
                        <a:pt x="32" y="209"/>
                      </a:lnTo>
                      <a:lnTo>
                        <a:pt x="32" y="209"/>
                      </a:lnTo>
                      <a:lnTo>
                        <a:pt x="33" y="190"/>
                      </a:lnTo>
                      <a:lnTo>
                        <a:pt x="36" y="173"/>
                      </a:lnTo>
                      <a:lnTo>
                        <a:pt x="40" y="156"/>
                      </a:lnTo>
                      <a:lnTo>
                        <a:pt x="46" y="139"/>
                      </a:lnTo>
                      <a:lnTo>
                        <a:pt x="53" y="124"/>
                      </a:lnTo>
                      <a:lnTo>
                        <a:pt x="62" y="110"/>
                      </a:lnTo>
                      <a:lnTo>
                        <a:pt x="72" y="96"/>
                      </a:lnTo>
                      <a:lnTo>
                        <a:pt x="84" y="84"/>
                      </a:lnTo>
                      <a:lnTo>
                        <a:pt x="96" y="72"/>
                      </a:lnTo>
                      <a:lnTo>
                        <a:pt x="110" y="62"/>
                      </a:lnTo>
                      <a:lnTo>
                        <a:pt x="124" y="53"/>
                      </a:lnTo>
                      <a:lnTo>
                        <a:pt x="139" y="46"/>
                      </a:lnTo>
                      <a:lnTo>
                        <a:pt x="156" y="40"/>
                      </a:lnTo>
                      <a:lnTo>
                        <a:pt x="173" y="36"/>
                      </a:lnTo>
                      <a:lnTo>
                        <a:pt x="190" y="33"/>
                      </a:lnTo>
                      <a:lnTo>
                        <a:pt x="209" y="32"/>
                      </a:lnTo>
                      <a:lnTo>
                        <a:pt x="209" y="32"/>
                      </a:lnTo>
                      <a:lnTo>
                        <a:pt x="227" y="33"/>
                      </a:lnTo>
                      <a:lnTo>
                        <a:pt x="244" y="36"/>
                      </a:lnTo>
                      <a:lnTo>
                        <a:pt x="261" y="40"/>
                      </a:lnTo>
                      <a:lnTo>
                        <a:pt x="278" y="46"/>
                      </a:lnTo>
                      <a:lnTo>
                        <a:pt x="293" y="53"/>
                      </a:lnTo>
                      <a:lnTo>
                        <a:pt x="307" y="62"/>
                      </a:lnTo>
                      <a:lnTo>
                        <a:pt x="321" y="72"/>
                      </a:lnTo>
                      <a:lnTo>
                        <a:pt x="333" y="84"/>
                      </a:lnTo>
                      <a:lnTo>
                        <a:pt x="345" y="96"/>
                      </a:lnTo>
                      <a:lnTo>
                        <a:pt x="355" y="110"/>
                      </a:lnTo>
                      <a:lnTo>
                        <a:pt x="364" y="124"/>
                      </a:lnTo>
                      <a:lnTo>
                        <a:pt x="371" y="139"/>
                      </a:lnTo>
                      <a:lnTo>
                        <a:pt x="377" y="156"/>
                      </a:lnTo>
                      <a:lnTo>
                        <a:pt x="381" y="173"/>
                      </a:lnTo>
                      <a:lnTo>
                        <a:pt x="384" y="190"/>
                      </a:lnTo>
                      <a:lnTo>
                        <a:pt x="385" y="209"/>
                      </a:lnTo>
                      <a:lnTo>
                        <a:pt x="385" y="209"/>
                      </a:lnTo>
                      <a:lnTo>
                        <a:pt x="384" y="227"/>
                      </a:lnTo>
                      <a:lnTo>
                        <a:pt x="381" y="244"/>
                      </a:lnTo>
                      <a:lnTo>
                        <a:pt x="377" y="261"/>
                      </a:lnTo>
                      <a:lnTo>
                        <a:pt x="371" y="278"/>
                      </a:lnTo>
                      <a:lnTo>
                        <a:pt x="364" y="293"/>
                      </a:lnTo>
                      <a:lnTo>
                        <a:pt x="355" y="307"/>
                      </a:lnTo>
                      <a:lnTo>
                        <a:pt x="345" y="321"/>
                      </a:lnTo>
                      <a:lnTo>
                        <a:pt x="333" y="333"/>
                      </a:lnTo>
                      <a:lnTo>
                        <a:pt x="321" y="345"/>
                      </a:lnTo>
                      <a:lnTo>
                        <a:pt x="307" y="355"/>
                      </a:lnTo>
                      <a:lnTo>
                        <a:pt x="293" y="364"/>
                      </a:lnTo>
                      <a:lnTo>
                        <a:pt x="278" y="371"/>
                      </a:lnTo>
                      <a:lnTo>
                        <a:pt x="261" y="377"/>
                      </a:lnTo>
                      <a:lnTo>
                        <a:pt x="244" y="381"/>
                      </a:lnTo>
                      <a:lnTo>
                        <a:pt x="227" y="384"/>
                      </a:lnTo>
                      <a:lnTo>
                        <a:pt x="209" y="385"/>
                      </a:lnTo>
                      <a:lnTo>
                        <a:pt x="209" y="385"/>
                      </a:lnTo>
                      <a:close/>
                    </a:path>
                  </a:pathLst>
                </a:custGeom>
                <a:solidFill>
                  <a:srgbClr val="E0E0E0"/>
                </a:solidFill>
                <a:ln>
                  <a:noFill/>
                </a:ln>
              </xdr:spPr>
            </xdr:sp>
          </xdr:grpSp>
        </xdr:grpSp>
        <xdr:pic>
          <xdr:nvPicPr>
            <xdr:cNvPr id="6573" name="07_channelimage"/>
            <xdr:cNvPicPr>
              <a:picLocks/>
            </xdr:cNvPicPr>
          </xdr:nvPicPr>
          <xdr:blipFill>
            <a:blip xmlns:r="http://schemas.openxmlformats.org/officeDocument/2006/relationships" r:link="rId32"/>
            <a:stretch>
              <a:fillRect/>
            </a:stretch>
          </xdr:blipFill>
          <xdr:spPr>
            <a:xfrm>
              <a:off x="800100" y="61444014"/>
              <a:ext cx="576072" cy="576072"/>
            </a:xfrm>
            <a:prstGeom prst="rect">
              <a:avLst/>
            </a:prstGeom>
          </xdr:spPr>
        </xdr:pic>
      </xdr:grpSp>
      <xdr:grpSp>
        <xdr:nvGrpSpPr>
          <xdr:cNvPr id="9240" name="Group 9239"/>
          <xdr:cNvGrpSpPr/>
        </xdr:nvGrpSpPr>
        <xdr:grpSpPr>
          <a:xfrm>
            <a:off x="5934075" y="61226699"/>
            <a:ext cx="5020056" cy="2095499"/>
            <a:chOff x="5934075" y="61340999"/>
            <a:chExt cx="5020056" cy="2095499"/>
          </a:xfrm>
        </xdr:grpSpPr>
        <xdr:grpSp>
          <xdr:nvGrpSpPr>
            <xdr:cNvPr id="9228" name="Group 9227"/>
            <xdr:cNvGrpSpPr/>
          </xdr:nvGrpSpPr>
          <xdr:grpSpPr>
            <a:xfrm>
              <a:off x="5934075" y="61340999"/>
              <a:ext cx="5020056" cy="2095499"/>
              <a:chOff x="5934075" y="61340999"/>
              <a:chExt cx="5020056" cy="2095499"/>
            </a:xfrm>
          </xdr:grpSpPr>
          <xdr:grpSp>
            <xdr:nvGrpSpPr>
              <xdr:cNvPr id="9224" name="Group 9223"/>
              <xdr:cNvGrpSpPr/>
            </xdr:nvGrpSpPr>
            <xdr:grpSpPr>
              <a:xfrm>
                <a:off x="5934075" y="61340999"/>
                <a:ext cx="5020056" cy="2095499"/>
                <a:chOff x="5934075" y="61340999"/>
                <a:chExt cx="5020056" cy="2095499"/>
              </a:xfrm>
            </xdr:grpSpPr>
            <xdr:sp macro="" textlink="">
              <xdr:nvSpPr>
                <xdr:cNvPr id="751" name="08_imgModule_Rounded_Rectangle_539"/>
                <xdr:cNvSpPr/>
              </xdr:nvSpPr>
              <xdr:spPr>
                <a:xfrm>
                  <a:off x="5934075" y="61350524"/>
                  <a:ext cx="5020056" cy="2085974"/>
                </a:xfrm>
                <a:prstGeom prst="roundRect">
                  <a:avLst>
                    <a:gd name="adj" fmla="val 800"/>
                  </a:avLst>
                </a:prstGeom>
                <a:solidFill>
                  <a:srgbClr val="757575"/>
                </a:solidFill>
                <a:ln w="12700">
                  <a:solidFill>
                    <a:srgbClr val="1E1E1E"/>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l"/>
                  <a:endParaRPr lang="en-US" sz="1100"/>
                </a:p>
              </xdr:txBody>
            </xdr:sp>
            <xdr:sp macro="" textlink="">
              <xdr:nvSpPr>
                <xdr:cNvPr id="752" name="08_imgModule_Rounded_Rectangle_540"/>
                <xdr:cNvSpPr/>
              </xdr:nvSpPr>
              <xdr:spPr>
                <a:xfrm>
                  <a:off x="5934075" y="61340999"/>
                  <a:ext cx="5020056" cy="2084832"/>
                </a:xfrm>
                <a:prstGeom prst="roundRect">
                  <a:avLst>
                    <a:gd name="adj" fmla="val 800"/>
                  </a:avLst>
                </a:prstGeom>
                <a:solidFill>
                  <a:srgbClr val="757575"/>
                </a:solidFill>
                <a:ln w="12700">
                  <a:solidFill>
                    <a:srgbClr val="1A1A1A"/>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l"/>
                  <a:endParaRPr lang="en-US" sz="1100"/>
                </a:p>
              </xdr:txBody>
            </xdr:sp>
          </xdr:grpSp>
          <xdr:grpSp>
            <xdr:nvGrpSpPr>
              <xdr:cNvPr id="9225" name="Group 9224"/>
              <xdr:cNvGrpSpPr/>
            </xdr:nvGrpSpPr>
            <xdr:grpSpPr>
              <a:xfrm>
                <a:off x="9686353" y="61502923"/>
                <a:ext cx="1155910" cy="651129"/>
                <a:chOff x="9686353" y="61502923"/>
                <a:chExt cx="1155910" cy="651129"/>
              </a:xfrm>
            </xdr:grpSpPr>
            <xdr:sp macro="" textlink="Calculations!F426">
              <xdr:nvSpPr>
                <xdr:cNvPr id="749" name="08_metric01_number"/>
                <xdr:cNvSpPr txBox="1"/>
              </xdr:nvSpPr>
              <xdr:spPr>
                <a:xfrm>
                  <a:off x="9686353" y="61502923"/>
                  <a:ext cx="1143000" cy="28438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ctr"/>
                <a:lstStyle/>
                <a:p>
                  <a:pPr marL="0" indent="0" algn="l"/>
                  <a:fld id="{D65E4918-E4FB-4C31-AE9F-B4B70CC83640}" type="TxLink">
                    <a:rPr lang="en-US" sz="2200" b="0" i="0" u="none" strike="noStrike">
                      <a:solidFill>
                        <a:srgbClr val="AFBFFF"/>
                      </a:solidFill>
                      <a:latin typeface="+mn-lt"/>
                      <a:ea typeface="+mn-ea"/>
                      <a:cs typeface="+mn-cs"/>
                    </a:rPr>
                    <a:pPr marL="0" indent="0" algn="l"/>
                    <a:t>5,024</a:t>
                  </a:fld>
                  <a:endParaRPr lang="en-US" sz="2200" b="0" i="0" u="none" strike="noStrike">
                    <a:solidFill>
                      <a:srgbClr val="AFBFFF"/>
                    </a:solidFill>
                    <a:latin typeface="+mn-lt"/>
                    <a:ea typeface="+mn-ea"/>
                    <a:cs typeface="+mn-cs"/>
                  </a:endParaRPr>
                </a:p>
              </xdr:txBody>
            </xdr:sp>
            <xdr:sp macro="" textlink="Calculations!G426">
              <xdr:nvSpPr>
                <xdr:cNvPr id="750" name="08_metric01_label"/>
                <xdr:cNvSpPr txBox="1"/>
              </xdr:nvSpPr>
              <xdr:spPr>
                <a:xfrm>
                  <a:off x="9699263" y="61779148"/>
                  <a:ext cx="1143000" cy="3749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marL="0" indent="0" algn="l"/>
                  <a:fld id="{B4DFB1AD-B92F-48D6-BC4A-BA9B8B7442DC}" type="TxLink">
                    <a:rPr lang="en-US" sz="1200" b="0" i="0" u="none" strike="noStrike">
                      <a:solidFill>
                        <a:srgbClr val="E0E0E0"/>
                      </a:solidFill>
                      <a:latin typeface="+mn-lt"/>
                      <a:ea typeface="+mn-ea"/>
                      <a:cs typeface="+mn-cs"/>
                    </a:rPr>
                    <a:pPr marL="0" indent="0" algn="l"/>
                    <a:t>Instagram Engagements</a:t>
                  </a:fld>
                  <a:endParaRPr lang="en-US" sz="1200" b="0" i="0" u="none" strike="noStrike">
                    <a:solidFill>
                      <a:srgbClr val="E0E0E0"/>
                    </a:solidFill>
                    <a:latin typeface="+mn-lt"/>
                    <a:ea typeface="+mn-ea"/>
                    <a:cs typeface="+mn-cs"/>
                  </a:endParaRPr>
                </a:p>
              </xdr:txBody>
            </xdr:sp>
          </xdr:grpSp>
          <xdr:grpSp>
            <xdr:nvGrpSpPr>
              <xdr:cNvPr id="9226" name="Group 9225"/>
              <xdr:cNvGrpSpPr/>
            </xdr:nvGrpSpPr>
            <xdr:grpSpPr>
              <a:xfrm>
                <a:off x="9686353" y="62810046"/>
                <a:ext cx="1155910" cy="620356"/>
                <a:chOff x="9686353" y="62810046"/>
                <a:chExt cx="1155910" cy="620356"/>
              </a:xfrm>
            </xdr:grpSpPr>
            <xdr:sp macro="" textlink="Calculations!M426">
              <xdr:nvSpPr>
                <xdr:cNvPr id="747" name="08_metric03_number"/>
                <xdr:cNvSpPr txBox="1"/>
              </xdr:nvSpPr>
              <xdr:spPr>
                <a:xfrm>
                  <a:off x="9686353" y="62810046"/>
                  <a:ext cx="1143000" cy="28438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ctr"/>
                <a:lstStyle/>
                <a:p>
                  <a:pPr marL="0" indent="0" algn="l"/>
                  <a:fld id="{37E0B439-A77A-4E9F-BF1B-AF8AA7F934B4}" type="TxLink">
                    <a:rPr lang="en-US" sz="1600" b="0" i="0" u="none" strike="noStrike">
                      <a:solidFill>
                        <a:srgbClr val="AFBFFF"/>
                      </a:solidFill>
                      <a:latin typeface="+mn-lt"/>
                      <a:ea typeface="+mn-ea"/>
                      <a:cs typeface="+mn-cs"/>
                    </a:rPr>
                    <a:pPr marL="0" indent="0" algn="l"/>
                    <a:t>48</a:t>
                  </a:fld>
                  <a:endParaRPr lang="en-US" sz="1600" b="0" i="0" u="none" strike="noStrike">
                    <a:solidFill>
                      <a:srgbClr val="AFBFFF"/>
                    </a:solidFill>
                    <a:latin typeface="+mn-lt"/>
                    <a:ea typeface="+mn-ea"/>
                    <a:cs typeface="+mn-cs"/>
                  </a:endParaRPr>
                </a:p>
              </xdr:txBody>
            </xdr:sp>
            <xdr:sp macro="" textlink="Calculations!N426">
              <xdr:nvSpPr>
                <xdr:cNvPr id="748" name="08_metric03_label"/>
                <xdr:cNvSpPr txBox="1"/>
              </xdr:nvSpPr>
              <xdr:spPr>
                <a:xfrm>
                  <a:off x="9699263" y="63055498"/>
                  <a:ext cx="1143000" cy="3749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marL="0" indent="0" algn="l"/>
                  <a:fld id="{622F8B24-2887-4F71-8807-A2D69C029967}" type="TxLink">
                    <a:rPr lang="en-US" sz="1200" b="0" i="0" u="none" strike="noStrike">
                      <a:solidFill>
                        <a:srgbClr val="E0E0E0"/>
                      </a:solidFill>
                      <a:latin typeface="+mn-lt"/>
                      <a:ea typeface="+mn-ea"/>
                      <a:cs typeface="+mn-cs"/>
                    </a:rPr>
                    <a:pPr marL="0" indent="0" algn="l"/>
                    <a:t>Comments</a:t>
                  </a:fld>
                  <a:endParaRPr lang="en-US" sz="1200" b="0" i="0" u="none" strike="noStrike">
                    <a:solidFill>
                      <a:srgbClr val="E0E0E0"/>
                    </a:solidFill>
                    <a:latin typeface="+mn-lt"/>
                    <a:ea typeface="+mn-ea"/>
                    <a:cs typeface="+mn-cs"/>
                  </a:endParaRPr>
                </a:p>
              </xdr:txBody>
            </xdr:sp>
          </xdr:grpSp>
          <xdr:grpSp>
            <xdr:nvGrpSpPr>
              <xdr:cNvPr id="9227" name="Group 9226"/>
              <xdr:cNvGrpSpPr/>
            </xdr:nvGrpSpPr>
            <xdr:grpSpPr>
              <a:xfrm>
                <a:off x="9686353" y="62262358"/>
                <a:ext cx="1155910" cy="629881"/>
                <a:chOff x="9686353" y="62262358"/>
                <a:chExt cx="1155910" cy="629881"/>
              </a:xfrm>
            </xdr:grpSpPr>
            <xdr:sp macro="" textlink="Calculations!J426">
              <xdr:nvSpPr>
                <xdr:cNvPr id="745" name="08_metric02_number"/>
                <xdr:cNvSpPr txBox="1"/>
              </xdr:nvSpPr>
              <xdr:spPr>
                <a:xfrm>
                  <a:off x="9686353" y="62262358"/>
                  <a:ext cx="1143000" cy="28438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ctr"/>
                <a:lstStyle/>
                <a:p>
                  <a:pPr marL="0" indent="0" algn="l"/>
                  <a:fld id="{1D10366B-AC5D-48C1-81A7-FC16291D8D55}" type="TxLink">
                    <a:rPr lang="en-US" sz="1600" b="0" i="0" u="none" strike="noStrike">
                      <a:solidFill>
                        <a:srgbClr val="AFBFFF"/>
                      </a:solidFill>
                      <a:latin typeface="+mn-lt"/>
                      <a:ea typeface="+mn-ea"/>
                      <a:cs typeface="+mn-cs"/>
                    </a:rPr>
                    <a:pPr marL="0" indent="0" algn="l"/>
                    <a:t>4,976</a:t>
                  </a:fld>
                  <a:endParaRPr lang="en-US" sz="1600" b="0" i="0" u="none" strike="noStrike">
                    <a:solidFill>
                      <a:srgbClr val="AFBFFF"/>
                    </a:solidFill>
                    <a:latin typeface="+mn-lt"/>
                    <a:ea typeface="+mn-ea"/>
                    <a:cs typeface="+mn-cs"/>
                  </a:endParaRPr>
                </a:p>
              </xdr:txBody>
            </xdr:sp>
            <xdr:sp macro="" textlink="Calculations!K426">
              <xdr:nvSpPr>
                <xdr:cNvPr id="746" name="08_metric02_label"/>
                <xdr:cNvSpPr txBox="1"/>
              </xdr:nvSpPr>
              <xdr:spPr>
                <a:xfrm>
                  <a:off x="9699263" y="62517335"/>
                  <a:ext cx="1143000" cy="3749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marL="0" indent="0" algn="l"/>
                  <a:fld id="{A2E3D26C-FC8E-4E24-B58D-85B84AFB95E8}" type="TxLink">
                    <a:rPr lang="en-US" sz="1200" b="0" i="0" u="none" strike="noStrike">
                      <a:solidFill>
                        <a:srgbClr val="E0E0E0"/>
                      </a:solidFill>
                      <a:latin typeface="+mn-lt"/>
                      <a:ea typeface="+mn-ea"/>
                      <a:cs typeface="+mn-cs"/>
                    </a:rPr>
                    <a:pPr marL="0" indent="0" algn="l"/>
                    <a:t>Likes</a:t>
                  </a:fld>
                  <a:endParaRPr lang="en-US" sz="1200" b="0" i="0" u="none" strike="noStrike">
                    <a:solidFill>
                      <a:srgbClr val="E0E0E0"/>
                    </a:solidFill>
                    <a:latin typeface="+mn-lt"/>
                    <a:ea typeface="+mn-ea"/>
                    <a:cs typeface="+mn-cs"/>
                  </a:endParaRPr>
                </a:p>
              </xdr:txBody>
            </xdr:sp>
          </xdr:grpSp>
        </xdr:grpSp>
        <xdr:grpSp>
          <xdr:nvGrpSpPr>
            <xdr:cNvPr id="9239" name="Group 9238"/>
            <xdr:cNvGrpSpPr/>
          </xdr:nvGrpSpPr>
          <xdr:grpSpPr>
            <a:xfrm>
              <a:off x="6047803" y="61455297"/>
              <a:ext cx="3524822" cy="1866900"/>
              <a:chOff x="6047803" y="61455297"/>
              <a:chExt cx="3524822" cy="1866900"/>
            </a:xfrm>
          </xdr:grpSpPr>
          <xdr:grpSp>
            <xdr:nvGrpSpPr>
              <xdr:cNvPr id="9231" name="Group 9230"/>
              <xdr:cNvGrpSpPr/>
            </xdr:nvGrpSpPr>
            <xdr:grpSpPr>
              <a:xfrm>
                <a:off x="6047803" y="61455297"/>
                <a:ext cx="3524822" cy="1866900"/>
                <a:chOff x="6047803" y="61455297"/>
                <a:chExt cx="3524822" cy="1866900"/>
              </a:xfrm>
            </xdr:grpSpPr>
            <xdr:grpSp>
              <xdr:nvGrpSpPr>
                <xdr:cNvPr id="9229" name="Group 9228"/>
                <xdr:cNvGrpSpPr/>
              </xdr:nvGrpSpPr>
              <xdr:grpSpPr>
                <a:xfrm>
                  <a:off x="6047803" y="61455297"/>
                  <a:ext cx="3524822" cy="1866900"/>
                  <a:chOff x="6047803" y="61455297"/>
                  <a:chExt cx="3524822" cy="1866900"/>
                </a:xfrm>
              </xdr:grpSpPr>
              <xdr:sp macro="" textlink="">
                <xdr:nvSpPr>
                  <xdr:cNvPr id="739" name="08_imgModule_Rounded_Rectangle_533"/>
                  <xdr:cNvSpPr/>
                </xdr:nvSpPr>
                <xdr:spPr>
                  <a:xfrm>
                    <a:off x="6047804" y="61464822"/>
                    <a:ext cx="3524250" cy="1857375"/>
                  </a:xfrm>
                  <a:prstGeom prst="roundRect">
                    <a:avLst>
                      <a:gd name="adj" fmla="val 909"/>
                    </a:avLst>
                  </a:prstGeom>
                  <a:solidFill>
                    <a:srgbClr val="E0E0E0"/>
                  </a:solidFill>
                  <a:ln w="12700">
                    <a:solidFill>
                      <a:srgbClr val="646464"/>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l"/>
                    <a:endParaRPr lang="en-US" sz="1100"/>
                  </a:p>
                </xdr:txBody>
              </xdr:sp>
              <xdr:sp macro="" textlink="">
                <xdr:nvSpPr>
                  <xdr:cNvPr id="740" name="08_imgModule_Rounded_Rectangle_536"/>
                  <xdr:cNvSpPr/>
                </xdr:nvSpPr>
                <xdr:spPr>
                  <a:xfrm>
                    <a:off x="6047803" y="61455297"/>
                    <a:ext cx="3524822" cy="1856232"/>
                  </a:xfrm>
                  <a:prstGeom prst="roundRect">
                    <a:avLst>
                      <a:gd name="adj" fmla="val 909"/>
                    </a:avLst>
                  </a:prstGeom>
                  <a:solidFill>
                    <a:srgbClr val="E0E0E0"/>
                  </a:solidFill>
                  <a:ln w="12700">
                    <a:solidFill>
                      <a:srgbClr val="5E5E5E"/>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l"/>
                    <a:endParaRPr lang="en-US" sz="1100"/>
                  </a:p>
                </xdr:txBody>
              </xdr:sp>
            </xdr:grpSp>
            <xdr:grpSp>
              <xdr:nvGrpSpPr>
                <xdr:cNvPr id="9230" name="Group 9229"/>
                <xdr:cNvGrpSpPr/>
              </xdr:nvGrpSpPr>
              <xdr:grpSpPr>
                <a:xfrm>
                  <a:off x="7724965" y="61464821"/>
                  <a:ext cx="1847088" cy="1847088"/>
                  <a:chOff x="7724965" y="61464821"/>
                  <a:chExt cx="1847088" cy="1847088"/>
                </a:xfrm>
              </xdr:grpSpPr>
              <xdr:sp macro="" textlink="">
                <xdr:nvSpPr>
                  <xdr:cNvPr id="737" name="08_imgModule_Rounded_Rectangle_534"/>
                  <xdr:cNvSpPr/>
                </xdr:nvSpPr>
                <xdr:spPr>
                  <a:xfrm>
                    <a:off x="7724965" y="61464821"/>
                    <a:ext cx="1847088" cy="1847088"/>
                  </a:xfrm>
                  <a:prstGeom prst="roundRect">
                    <a:avLst>
                      <a:gd name="adj" fmla="val 909"/>
                    </a:avLst>
                  </a:prstGeom>
                  <a:solidFill>
                    <a:srgbClr val="D7D7D7"/>
                  </a:solidFill>
                  <a:ln w="12700">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l"/>
                    <a:endParaRPr lang="en-US" sz="1100"/>
                  </a:p>
                </xdr:txBody>
              </xdr:sp>
              <xdr:sp macro="" textlink="">
                <xdr:nvSpPr>
                  <xdr:cNvPr id="738" name="08_imgModule_Rectangle_430"/>
                  <xdr:cNvSpPr/>
                </xdr:nvSpPr>
                <xdr:spPr>
                  <a:xfrm>
                    <a:off x="7724965" y="61464821"/>
                    <a:ext cx="91440" cy="1847088"/>
                  </a:xfrm>
                  <a:prstGeom prst="rect">
                    <a:avLst/>
                  </a:prstGeom>
                  <a:solidFill>
                    <a:srgbClr val="D7D7D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grpSp>
          <xdr:grpSp>
            <xdr:nvGrpSpPr>
              <xdr:cNvPr id="9232" name="Group 9231"/>
              <xdr:cNvGrpSpPr/>
            </xdr:nvGrpSpPr>
            <xdr:grpSpPr>
              <a:xfrm>
                <a:off x="6276403" y="62833684"/>
                <a:ext cx="1372172" cy="424370"/>
                <a:chOff x="6276403" y="62833684"/>
                <a:chExt cx="1372172" cy="424370"/>
              </a:xfrm>
            </xdr:grpSpPr>
            <xdr:sp macro="" textlink="Calculations!D426">
              <xdr:nvSpPr>
                <xdr:cNvPr id="733" name="08_profilename"/>
                <xdr:cNvSpPr txBox="1"/>
              </xdr:nvSpPr>
              <xdr:spPr>
                <a:xfrm>
                  <a:off x="6276403" y="63023026"/>
                  <a:ext cx="1372172" cy="2350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ctr"/>
                <a:lstStyle/>
                <a:p>
                  <a:pPr marL="0" indent="0" algn="l"/>
                  <a:fld id="{D07518A7-1252-4B3D-8959-61C5C30E0DB0}" type="TxLink">
                    <a:rPr lang="en-US" sz="1300" b="0" i="0" u="none" strike="noStrike">
                      <a:solidFill>
                        <a:srgbClr val="4D4D4D"/>
                      </a:solidFill>
                      <a:latin typeface="+mn-lt"/>
                      <a:ea typeface="+mn-ea"/>
                      <a:cs typeface="+mn-cs"/>
                    </a:rPr>
                    <a:pPr marL="0" indent="0" algn="l"/>
                    <a:t>stoked.travels</a:t>
                  </a:fld>
                  <a:endParaRPr lang="en-US" sz="1300" b="0">
                    <a:solidFill>
                      <a:srgbClr val="4D4D4D"/>
                    </a:solidFill>
                    <a:latin typeface="+mn-lt"/>
                    <a:ea typeface="+mn-ea"/>
                    <a:cs typeface="+mn-cs"/>
                  </a:endParaRPr>
                </a:p>
              </xdr:txBody>
            </xdr:sp>
            <xdr:sp macro="" textlink="Calculations!C426">
              <xdr:nvSpPr>
                <xdr:cNvPr id="734" name="08_postdate"/>
                <xdr:cNvSpPr txBox="1"/>
              </xdr:nvSpPr>
              <xdr:spPr>
                <a:xfrm>
                  <a:off x="6276403" y="62833684"/>
                  <a:ext cx="1371600" cy="2136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ctr"/>
                <a:lstStyle/>
                <a:p>
                  <a:pPr marL="0" indent="0" algn="l"/>
                  <a:fld id="{930FA93C-6F09-48ED-9F75-06BB9845313A}" type="TxLink">
                    <a:rPr lang="en-US" sz="1000" b="0" i="0" u="none" strike="noStrike">
                      <a:solidFill>
                        <a:srgbClr val="666666"/>
                      </a:solidFill>
                      <a:latin typeface="+mn-lt"/>
                      <a:ea typeface="+mn-ea"/>
                      <a:cs typeface="+mn-cs"/>
                    </a:rPr>
                    <a:pPr marL="0" indent="0" algn="l"/>
                    <a:t>September 4, 2017</a:t>
                  </a:fld>
                  <a:endParaRPr lang="en-US" sz="1000" b="0">
                    <a:solidFill>
                      <a:srgbClr val="666666"/>
                    </a:solidFill>
                    <a:latin typeface="+mn-lt"/>
                    <a:ea typeface="+mn-ea"/>
                    <a:cs typeface="+mn-cs"/>
                  </a:endParaRPr>
                </a:p>
              </xdr:txBody>
            </xdr:sp>
          </xdr:grpSp>
          <xdr:grpSp>
            <xdr:nvGrpSpPr>
              <xdr:cNvPr id="9236" name="Group 9235"/>
              <xdr:cNvGrpSpPr/>
            </xdr:nvGrpSpPr>
            <xdr:grpSpPr>
              <a:xfrm>
                <a:off x="7724775" y="61464824"/>
                <a:ext cx="1847088" cy="1848614"/>
                <a:chOff x="7724775" y="61464824"/>
                <a:chExt cx="1847088" cy="1848614"/>
              </a:xfrm>
            </xdr:grpSpPr>
            <xdr:grpSp>
              <xdr:nvGrpSpPr>
                <xdr:cNvPr id="9235" name="Group 9234"/>
                <xdr:cNvGrpSpPr/>
              </xdr:nvGrpSpPr>
              <xdr:grpSpPr>
                <a:xfrm>
                  <a:off x="7724775" y="61464824"/>
                  <a:ext cx="1847088" cy="1848614"/>
                  <a:chOff x="7724775" y="61464824"/>
                  <a:chExt cx="1847088" cy="1848614"/>
                </a:xfrm>
              </xdr:grpSpPr>
              <xdr:grpSp>
                <xdr:nvGrpSpPr>
                  <xdr:cNvPr id="9233" name="Group 9232"/>
                  <xdr:cNvGrpSpPr/>
                </xdr:nvGrpSpPr>
                <xdr:grpSpPr>
                  <a:xfrm>
                    <a:off x="7724775" y="61464825"/>
                    <a:ext cx="1847088" cy="1848613"/>
                    <a:chOff x="7724775" y="61464825"/>
                    <a:chExt cx="1847088" cy="1848613"/>
                  </a:xfrm>
                </xdr:grpSpPr>
                <xdr:pic>
                  <xdr:nvPicPr>
                    <xdr:cNvPr id="6742" name="08_postimage" descr="profile:multi&#10;postSize:small"/>
                    <xdr:cNvPicPr>
                      <a:picLocks/>
                    </xdr:cNvPicPr>
                  </xdr:nvPicPr>
                  <xdr:blipFill>
                    <a:blip xmlns:r="http://schemas.openxmlformats.org/officeDocument/2006/relationships" r:link="rId47"/>
                    <a:stretch>
                      <a:fillRect/>
                    </a:stretch>
                  </xdr:blipFill>
                  <xdr:spPr>
                    <a:xfrm>
                      <a:off x="7724775" y="61464825"/>
                      <a:ext cx="1847088" cy="1847088"/>
                    </a:xfrm>
                    <a:prstGeom prst="rect">
                      <a:avLst/>
                    </a:prstGeom>
                  </xdr:spPr>
                </xdr:pic>
                <xdr:pic>
                  <xdr:nvPicPr>
                    <xdr:cNvPr id="6911" name="08_overlayimage"/>
                    <xdr:cNvPicPr>
                      <a:picLocks/>
                    </xdr:cNvPicPr>
                  </xdr:nvPicPr>
                  <xdr:blipFill>
                    <a:blip xmlns:r="http://schemas.openxmlformats.org/officeDocument/2006/relationships" r:link="rId2"/>
                    <a:stretch>
                      <a:fillRect/>
                    </a:stretch>
                  </xdr:blipFill>
                  <xdr:spPr>
                    <a:xfrm>
                      <a:off x="7724775" y="62691646"/>
                      <a:ext cx="1847088" cy="621792"/>
                    </a:xfrm>
                    <a:prstGeom prst="rect">
                      <a:avLst/>
                    </a:prstGeom>
                  </xdr:spPr>
                </xdr:pic>
                <xdr:sp macro="" textlink="Calculations!O426">
                  <xdr:nvSpPr>
                    <xdr:cNvPr id="716" name="08_overlaytext"/>
                    <xdr:cNvSpPr txBox="1"/>
                  </xdr:nvSpPr>
                  <xdr:spPr>
                    <a:xfrm>
                      <a:off x="7724775" y="62691646"/>
                      <a:ext cx="1847088" cy="6217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100584" tIns="36576" rIns="100584" bIns="45720" rtlCol="0" anchor="t"/>
                    <a:lstStyle/>
                    <a:p>
                      <a:pPr marL="0" indent="0" algn="l"/>
                      <a:fld id="{DA4D726D-D58C-4B59-B587-8F8BB2A0BAD4}" type="TxLink">
                        <a:rPr lang="en-US" sz="1100" b="0" i="1">
                          <a:solidFill>
                            <a:srgbClr val="EBEBEB"/>
                          </a:solidFill>
                          <a:latin typeface="Cambria" panose="02040503050406030204" pitchFamily="18" charset="0"/>
                          <a:ea typeface="+mn-ea"/>
                          <a:cs typeface="+mn-cs"/>
                        </a:rPr>
                        <a:pPr marL="0" indent="0" algn="l"/>
                        <a:t>This tree is real and It show how the world loves us❤ Shar…</a:t>
                      </a:fld>
                      <a:endParaRPr lang="en-US" sz="1100" b="0" i="1">
                        <a:solidFill>
                          <a:srgbClr val="EBEBEB"/>
                        </a:solidFill>
                        <a:latin typeface="Cambria" panose="02040503050406030204" pitchFamily="18" charset="0"/>
                        <a:ea typeface="+mn-ea"/>
                        <a:cs typeface="+mn-cs"/>
                      </a:endParaRPr>
                    </a:p>
                  </xdr:txBody>
                </xdr:sp>
              </xdr:grpSp>
              <xdr:grpSp>
                <xdr:nvGrpSpPr>
                  <xdr:cNvPr id="9234" name="Group 9233"/>
                  <xdr:cNvGrpSpPr/>
                </xdr:nvGrpSpPr>
                <xdr:grpSpPr>
                  <a:xfrm>
                    <a:off x="7839075" y="61645800"/>
                    <a:ext cx="1590675" cy="1600200"/>
                    <a:chOff x="7839075" y="61645800"/>
                    <a:chExt cx="1590675" cy="1600200"/>
                  </a:xfrm>
                </xdr:grpSpPr>
                <xdr:sp macro="" textlink="">
                  <xdr:nvSpPr>
                    <xdr:cNvPr id="712" name="08_posttext"/>
                    <xdr:cNvSpPr txBox="1"/>
                  </xdr:nvSpPr>
                  <xdr:spPr>
                    <a:xfrm>
                      <a:off x="7924800" y="61645800"/>
                      <a:ext cx="1504950" cy="1600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marL="0" indent="0" algn="l"/>
                      <a:r>
                        <a:rPr lang="en-US" sz="1300" b="0" i="1">
                          <a:solidFill>
                            <a:srgbClr val="4D4D4D"/>
                          </a:solidFill>
                          <a:latin typeface="Cambria" panose="02040503050406030204" pitchFamily="18" charset="0"/>
                          <a:ea typeface="+mn-ea"/>
                          <a:cs typeface="+mn-cs"/>
                        </a:rPr>
                        <a:t> </a:t>
                      </a:r>
                    </a:p>
                  </xdr:txBody>
                </xdr:sp>
                <xdr:sp macro="" textlink="">
                  <xdr:nvSpPr>
                    <xdr:cNvPr id="713" name="08_leadparen"/>
                    <xdr:cNvSpPr txBox="1"/>
                  </xdr:nvSpPr>
                  <xdr:spPr>
                    <a:xfrm>
                      <a:off x="7839075" y="61645800"/>
                      <a:ext cx="371475" cy="3524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marL="0" indent="0" algn="l"/>
                      <a:endParaRPr lang="en-US" sz="1300" b="0" i="1">
                        <a:solidFill>
                          <a:srgbClr val="4D4D4D"/>
                        </a:solidFill>
                        <a:latin typeface="Cambria" panose="02040503050406030204" pitchFamily="18" charset="0"/>
                        <a:ea typeface="+mn-ea"/>
                        <a:cs typeface="+mn-cs"/>
                      </a:endParaRPr>
                    </a:p>
                  </xdr:txBody>
                </xdr:sp>
              </xdr:grpSp>
              <xdr:sp macro="" textlink="">
                <xdr:nvSpPr>
                  <xdr:cNvPr id="711" name="08_imgModule_Rectangle_515"/>
                  <xdr:cNvSpPr/>
                </xdr:nvSpPr>
                <xdr:spPr>
                  <a:xfrm>
                    <a:off x="7724775" y="61464824"/>
                    <a:ext cx="9144" cy="1847088"/>
                  </a:xfrm>
                  <a:prstGeom prst="rect">
                    <a:avLst/>
                  </a:prstGeom>
                  <a:solidFill>
                    <a:srgbClr val="000000">
                      <a:alpha val="16863"/>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pic>
              <xdr:nvPicPr>
                <xdr:cNvPr id="7080" name="08_postlinkimage">
                  <a:hlinkClick xmlns:r="http://schemas.openxmlformats.org/officeDocument/2006/relationships" r:id="rId48"/>
                </xdr:cNvPr>
                <xdr:cNvPicPr>
                  <a:picLocks/>
                </xdr:cNvPicPr>
              </xdr:nvPicPr>
              <xdr:blipFill>
                <a:blip xmlns:r="http://schemas.openxmlformats.org/officeDocument/2006/relationships" r:link="rId4"/>
                <a:stretch>
                  <a:fillRect/>
                </a:stretch>
              </xdr:blipFill>
              <xdr:spPr>
                <a:xfrm>
                  <a:off x="7724775" y="61464825"/>
                  <a:ext cx="1847088" cy="1847088"/>
                </a:xfrm>
                <a:prstGeom prst="rect">
                  <a:avLst/>
                </a:prstGeom>
              </xdr:spPr>
            </xdr:pic>
          </xdr:grpSp>
          <xdr:grpSp>
            <xdr:nvGrpSpPr>
              <xdr:cNvPr id="9238" name="Group 9237"/>
              <xdr:cNvGrpSpPr/>
            </xdr:nvGrpSpPr>
            <xdr:grpSpPr>
              <a:xfrm>
                <a:off x="6199251" y="61607699"/>
                <a:ext cx="969264" cy="969264"/>
                <a:chOff x="6199251" y="61607699"/>
                <a:chExt cx="969264" cy="969264"/>
              </a:xfrm>
            </xdr:grpSpPr>
            <xdr:grpSp>
              <xdr:nvGrpSpPr>
                <xdr:cNvPr id="9237" name="Group 9236"/>
                <xdr:cNvGrpSpPr/>
              </xdr:nvGrpSpPr>
              <xdr:grpSpPr>
                <a:xfrm>
                  <a:off x="6272403" y="61680851"/>
                  <a:ext cx="822960" cy="822960"/>
                  <a:chOff x="6272403" y="61680851"/>
                  <a:chExt cx="822960" cy="822960"/>
                </a:xfrm>
              </xdr:grpSpPr>
              <xdr:sp macro="" textlink="">
                <xdr:nvSpPr>
                  <xdr:cNvPr id="704" name="08_imgModule_Oval_662"/>
                  <xdr:cNvSpPr/>
                </xdr:nvSpPr>
                <xdr:spPr>
                  <a:xfrm>
                    <a:off x="6272403" y="61680851"/>
                    <a:ext cx="822960" cy="822960"/>
                  </a:xfrm>
                  <a:prstGeom prst="ellipse">
                    <a:avLst/>
                  </a:prstGeom>
                  <a:solidFill>
                    <a:srgbClr val="94949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705" name="08_imgModule_Oval_687"/>
                  <xdr:cNvSpPr/>
                </xdr:nvSpPr>
                <xdr:spPr>
                  <a:xfrm>
                    <a:off x="6292504" y="61700923"/>
                    <a:ext cx="782759" cy="782816"/>
                  </a:xfrm>
                  <a:prstGeom prst="ellipse">
                    <a:avLst/>
                  </a:prstGeom>
                  <a:solidFill>
                    <a:srgbClr val="D9D9D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706" name="08_imgModule_Freeform_12"/>
                  <xdr:cNvSpPr>
                    <a:spLocks/>
                  </xdr:cNvSpPr>
                </xdr:nvSpPr>
                <xdr:spPr bwMode="auto">
                  <a:xfrm>
                    <a:off x="6398331" y="61896906"/>
                    <a:ext cx="571104" cy="594874"/>
                  </a:xfrm>
                  <a:custGeom>
                    <a:avLst/>
                    <a:gdLst>
                      <a:gd name="T0" fmla="*/ 3049 w 3180"/>
                      <a:gd name="T1" fmla="*/ 2869 h 3760"/>
                      <a:gd name="T2" fmla="*/ 2848 w 3180"/>
                      <a:gd name="T3" fmla="*/ 2809 h 3760"/>
                      <a:gd name="T4" fmla="*/ 2677 w 3180"/>
                      <a:gd name="T5" fmla="*/ 2745 h 3760"/>
                      <a:gd name="T6" fmla="*/ 2325 w 3180"/>
                      <a:gd name="T7" fmla="*/ 2578 h 3760"/>
                      <a:gd name="T8" fmla="*/ 2187 w 3180"/>
                      <a:gd name="T9" fmla="*/ 2489 h 3760"/>
                      <a:gd name="T10" fmla="*/ 2077 w 3180"/>
                      <a:gd name="T11" fmla="*/ 2368 h 3760"/>
                      <a:gd name="T12" fmla="*/ 1996 w 3180"/>
                      <a:gd name="T13" fmla="*/ 2259 h 3760"/>
                      <a:gd name="T14" fmla="*/ 1975 w 3180"/>
                      <a:gd name="T15" fmla="*/ 2040 h 3760"/>
                      <a:gd name="T16" fmla="*/ 1986 w 3180"/>
                      <a:gd name="T17" fmla="*/ 2014 h 3760"/>
                      <a:gd name="T18" fmla="*/ 2114 w 3180"/>
                      <a:gd name="T19" fmla="*/ 1664 h 3760"/>
                      <a:gd name="T20" fmla="*/ 2148 w 3180"/>
                      <a:gd name="T21" fmla="*/ 1626 h 3760"/>
                      <a:gd name="T22" fmla="*/ 2201 w 3180"/>
                      <a:gd name="T23" fmla="*/ 1561 h 3760"/>
                      <a:gd name="T24" fmla="*/ 2240 w 3180"/>
                      <a:gd name="T25" fmla="*/ 1475 h 3760"/>
                      <a:gd name="T26" fmla="*/ 2269 w 3180"/>
                      <a:gd name="T27" fmla="*/ 1358 h 3760"/>
                      <a:gd name="T28" fmla="*/ 2292 w 3180"/>
                      <a:gd name="T29" fmla="*/ 1232 h 3760"/>
                      <a:gd name="T30" fmla="*/ 2291 w 3180"/>
                      <a:gd name="T31" fmla="*/ 1150 h 3760"/>
                      <a:gd name="T32" fmla="*/ 2278 w 3180"/>
                      <a:gd name="T33" fmla="*/ 1137 h 3760"/>
                      <a:gd name="T34" fmla="*/ 2270 w 3180"/>
                      <a:gd name="T35" fmla="*/ 886 h 3760"/>
                      <a:gd name="T36" fmla="*/ 2283 w 3180"/>
                      <a:gd name="T37" fmla="*/ 694 h 3760"/>
                      <a:gd name="T38" fmla="*/ 2262 w 3180"/>
                      <a:gd name="T39" fmla="*/ 595 h 3760"/>
                      <a:gd name="T40" fmla="*/ 2254 w 3180"/>
                      <a:gd name="T41" fmla="*/ 509 h 3760"/>
                      <a:gd name="T42" fmla="*/ 2183 w 3180"/>
                      <a:gd name="T43" fmla="*/ 416 h 3760"/>
                      <a:gd name="T44" fmla="*/ 1984 w 3180"/>
                      <a:gd name="T45" fmla="*/ 219 h 3760"/>
                      <a:gd name="T46" fmla="*/ 1833 w 3180"/>
                      <a:gd name="T47" fmla="*/ 65 h 3760"/>
                      <a:gd name="T48" fmla="*/ 1648 w 3180"/>
                      <a:gd name="T49" fmla="*/ 0 h 3760"/>
                      <a:gd name="T50" fmla="*/ 1474 w 3180"/>
                      <a:gd name="T51" fmla="*/ 35 h 3760"/>
                      <a:gd name="T52" fmla="*/ 1339 w 3180"/>
                      <a:gd name="T53" fmla="*/ 50 h 3760"/>
                      <a:gd name="T54" fmla="*/ 1188 w 3180"/>
                      <a:gd name="T55" fmla="*/ 157 h 3760"/>
                      <a:gd name="T56" fmla="*/ 944 w 3180"/>
                      <a:gd name="T57" fmla="*/ 333 h 3760"/>
                      <a:gd name="T58" fmla="*/ 905 w 3180"/>
                      <a:gd name="T59" fmla="*/ 551 h 3760"/>
                      <a:gd name="T60" fmla="*/ 908 w 3180"/>
                      <a:gd name="T61" fmla="*/ 716 h 3760"/>
                      <a:gd name="T62" fmla="*/ 913 w 3180"/>
                      <a:gd name="T63" fmla="*/ 1031 h 3760"/>
                      <a:gd name="T64" fmla="*/ 860 w 3180"/>
                      <a:gd name="T65" fmla="*/ 1071 h 3760"/>
                      <a:gd name="T66" fmla="*/ 849 w 3180"/>
                      <a:gd name="T67" fmla="*/ 1116 h 3760"/>
                      <a:gd name="T68" fmla="*/ 875 w 3180"/>
                      <a:gd name="T69" fmla="*/ 1385 h 3760"/>
                      <a:gd name="T70" fmla="*/ 889 w 3180"/>
                      <a:gd name="T71" fmla="*/ 1462 h 3760"/>
                      <a:gd name="T72" fmla="*/ 969 w 3180"/>
                      <a:gd name="T73" fmla="*/ 1562 h 3760"/>
                      <a:gd name="T74" fmla="*/ 1000 w 3180"/>
                      <a:gd name="T75" fmla="*/ 1600 h 3760"/>
                      <a:gd name="T76" fmla="*/ 1097 w 3180"/>
                      <a:gd name="T77" fmla="*/ 1970 h 3760"/>
                      <a:gd name="T78" fmla="*/ 1104 w 3180"/>
                      <a:gd name="T79" fmla="*/ 2220 h 3760"/>
                      <a:gd name="T80" fmla="*/ 809 w 3180"/>
                      <a:gd name="T81" fmla="*/ 2524 h 3760"/>
                      <a:gd name="T82" fmla="*/ 351 w 3180"/>
                      <a:gd name="T83" fmla="*/ 2804 h 3760"/>
                      <a:gd name="T84" fmla="*/ 131 w 3180"/>
                      <a:gd name="T85" fmla="*/ 2869 h 3760"/>
                      <a:gd name="T86" fmla="*/ 100 w 3180"/>
                      <a:gd name="T87" fmla="*/ 3123 h 3760"/>
                      <a:gd name="T88" fmla="*/ 449 w 3180"/>
                      <a:gd name="T89" fmla="*/ 3428 h 3760"/>
                      <a:gd name="T90" fmla="*/ 907 w 3180"/>
                      <a:gd name="T91" fmla="*/ 3640 h 3760"/>
                      <a:gd name="T92" fmla="*/ 1374 w 3180"/>
                      <a:gd name="T93" fmla="*/ 3748 h 3760"/>
                      <a:gd name="T94" fmla="*/ 1983 w 3180"/>
                      <a:gd name="T95" fmla="*/ 3702 h 3760"/>
                      <a:gd name="T96" fmla="*/ 2730 w 3180"/>
                      <a:gd name="T97" fmla="*/ 3410 h 3760"/>
                      <a:gd name="T98" fmla="*/ 3096 w 3180"/>
                      <a:gd name="T99" fmla="*/ 3110 h 3760"/>
                      <a:gd name="connsiteX0" fmla="*/ 10325 w 10325"/>
                      <a:gd name="connsiteY0" fmla="*/ 7962 h 10000"/>
                      <a:gd name="connsiteX1" fmla="*/ 9588 w 10325"/>
                      <a:gd name="connsiteY1" fmla="*/ 7630 h 10000"/>
                      <a:gd name="connsiteX2" fmla="*/ 9170 w 10325"/>
                      <a:gd name="connsiteY2" fmla="*/ 7519 h 10000"/>
                      <a:gd name="connsiteX3" fmla="*/ 8956 w 10325"/>
                      <a:gd name="connsiteY3" fmla="*/ 7471 h 10000"/>
                      <a:gd name="connsiteX4" fmla="*/ 8714 w 10325"/>
                      <a:gd name="connsiteY4" fmla="*/ 7410 h 10000"/>
                      <a:gd name="connsiteX5" fmla="*/ 8418 w 10325"/>
                      <a:gd name="connsiteY5" fmla="*/ 7301 h 10000"/>
                      <a:gd name="connsiteX6" fmla="*/ 7346 w 10325"/>
                      <a:gd name="connsiteY6" fmla="*/ 6867 h 10000"/>
                      <a:gd name="connsiteX7" fmla="*/ 7311 w 10325"/>
                      <a:gd name="connsiteY7" fmla="*/ 6856 h 10000"/>
                      <a:gd name="connsiteX8" fmla="*/ 7041 w 10325"/>
                      <a:gd name="connsiteY8" fmla="*/ 6739 h 10000"/>
                      <a:gd name="connsiteX9" fmla="*/ 6877 w 10325"/>
                      <a:gd name="connsiteY9" fmla="*/ 6620 h 10000"/>
                      <a:gd name="connsiteX10" fmla="*/ 6689 w 10325"/>
                      <a:gd name="connsiteY10" fmla="*/ 6428 h 10000"/>
                      <a:gd name="connsiteX11" fmla="*/ 6531 w 10325"/>
                      <a:gd name="connsiteY11" fmla="*/ 6298 h 10000"/>
                      <a:gd name="connsiteX12" fmla="*/ 6377 w 10325"/>
                      <a:gd name="connsiteY12" fmla="*/ 6165 h 10000"/>
                      <a:gd name="connsiteX13" fmla="*/ 6277 w 10325"/>
                      <a:gd name="connsiteY13" fmla="*/ 6008 h 10000"/>
                      <a:gd name="connsiteX14" fmla="*/ 6220 w 10325"/>
                      <a:gd name="connsiteY14" fmla="*/ 5649 h 10000"/>
                      <a:gd name="connsiteX15" fmla="*/ 6211 w 10325"/>
                      <a:gd name="connsiteY15" fmla="*/ 5426 h 10000"/>
                      <a:gd name="connsiteX16" fmla="*/ 6211 w 10325"/>
                      <a:gd name="connsiteY16" fmla="*/ 5383 h 10000"/>
                      <a:gd name="connsiteX17" fmla="*/ 6245 w 10325"/>
                      <a:gd name="connsiteY17" fmla="*/ 5356 h 10000"/>
                      <a:gd name="connsiteX18" fmla="*/ 6597 w 10325"/>
                      <a:gd name="connsiteY18" fmla="*/ 4763 h 10000"/>
                      <a:gd name="connsiteX19" fmla="*/ 6648 w 10325"/>
                      <a:gd name="connsiteY19" fmla="*/ 4426 h 10000"/>
                      <a:gd name="connsiteX20" fmla="*/ 6648 w 10325"/>
                      <a:gd name="connsiteY20" fmla="*/ 4332 h 10000"/>
                      <a:gd name="connsiteX21" fmla="*/ 6755 w 10325"/>
                      <a:gd name="connsiteY21" fmla="*/ 4324 h 10000"/>
                      <a:gd name="connsiteX22" fmla="*/ 6849 w 10325"/>
                      <a:gd name="connsiteY22" fmla="*/ 4290 h 10000"/>
                      <a:gd name="connsiteX23" fmla="*/ 6921 w 10325"/>
                      <a:gd name="connsiteY23" fmla="*/ 4152 h 10000"/>
                      <a:gd name="connsiteX24" fmla="*/ 6972 w 10325"/>
                      <a:gd name="connsiteY24" fmla="*/ 4043 h 10000"/>
                      <a:gd name="connsiteX25" fmla="*/ 7044 w 10325"/>
                      <a:gd name="connsiteY25" fmla="*/ 3923 h 10000"/>
                      <a:gd name="connsiteX26" fmla="*/ 7113 w 10325"/>
                      <a:gd name="connsiteY26" fmla="*/ 3769 h 10000"/>
                      <a:gd name="connsiteX27" fmla="*/ 7135 w 10325"/>
                      <a:gd name="connsiteY27" fmla="*/ 3612 h 10000"/>
                      <a:gd name="connsiteX28" fmla="*/ 7154 w 10325"/>
                      <a:gd name="connsiteY28" fmla="*/ 3455 h 10000"/>
                      <a:gd name="connsiteX29" fmla="*/ 7208 w 10325"/>
                      <a:gd name="connsiteY29" fmla="*/ 3277 h 10000"/>
                      <a:gd name="connsiteX30" fmla="*/ 7236 w 10325"/>
                      <a:gd name="connsiteY30" fmla="*/ 3133 h 10000"/>
                      <a:gd name="connsiteX31" fmla="*/ 7204 w 10325"/>
                      <a:gd name="connsiteY31" fmla="*/ 3059 h 10000"/>
                      <a:gd name="connsiteX32" fmla="*/ 7198 w 10325"/>
                      <a:gd name="connsiteY32" fmla="*/ 3059 h 10000"/>
                      <a:gd name="connsiteX33" fmla="*/ 7164 w 10325"/>
                      <a:gd name="connsiteY33" fmla="*/ 3024 h 10000"/>
                      <a:gd name="connsiteX34" fmla="*/ 7113 w 10325"/>
                      <a:gd name="connsiteY34" fmla="*/ 2896 h 10000"/>
                      <a:gd name="connsiteX35" fmla="*/ 7138 w 10325"/>
                      <a:gd name="connsiteY35" fmla="*/ 2356 h 10000"/>
                      <a:gd name="connsiteX36" fmla="*/ 7142 w 10325"/>
                      <a:gd name="connsiteY36" fmla="*/ 2314 h 10000"/>
                      <a:gd name="connsiteX37" fmla="*/ 7179 w 10325"/>
                      <a:gd name="connsiteY37" fmla="*/ 1846 h 10000"/>
                      <a:gd name="connsiteX38" fmla="*/ 7123 w 10325"/>
                      <a:gd name="connsiteY38" fmla="*/ 1609 h 10000"/>
                      <a:gd name="connsiteX39" fmla="*/ 7113 w 10325"/>
                      <a:gd name="connsiteY39" fmla="*/ 1582 h 10000"/>
                      <a:gd name="connsiteX40" fmla="*/ 7082 w 10325"/>
                      <a:gd name="connsiteY40" fmla="*/ 1447 h 10000"/>
                      <a:gd name="connsiteX41" fmla="*/ 7088 w 10325"/>
                      <a:gd name="connsiteY41" fmla="*/ 1354 h 10000"/>
                      <a:gd name="connsiteX42" fmla="*/ 7066 w 10325"/>
                      <a:gd name="connsiteY42" fmla="*/ 1271 h 10000"/>
                      <a:gd name="connsiteX43" fmla="*/ 6865 w 10325"/>
                      <a:gd name="connsiteY43" fmla="*/ 1106 h 10000"/>
                      <a:gd name="connsiteX44" fmla="*/ 6535 w 10325"/>
                      <a:gd name="connsiteY44" fmla="*/ 848 h 10000"/>
                      <a:gd name="connsiteX45" fmla="*/ 6239 w 10325"/>
                      <a:gd name="connsiteY45" fmla="*/ 582 h 10000"/>
                      <a:gd name="connsiteX46" fmla="*/ 6006 w 10325"/>
                      <a:gd name="connsiteY46" fmla="*/ 370 h 10000"/>
                      <a:gd name="connsiteX47" fmla="*/ 5764 w 10325"/>
                      <a:gd name="connsiteY47" fmla="*/ 173 h 10000"/>
                      <a:gd name="connsiteX48" fmla="*/ 5503 w 10325"/>
                      <a:gd name="connsiteY48" fmla="*/ 45 h 10000"/>
                      <a:gd name="connsiteX49" fmla="*/ 5182 w 10325"/>
                      <a:gd name="connsiteY49" fmla="*/ 0 h 10000"/>
                      <a:gd name="connsiteX50" fmla="*/ 4874 w 10325"/>
                      <a:gd name="connsiteY50" fmla="*/ 32 h 10000"/>
                      <a:gd name="connsiteX51" fmla="*/ 4635 w 10325"/>
                      <a:gd name="connsiteY51" fmla="*/ 93 h 10000"/>
                      <a:gd name="connsiteX52" fmla="*/ 4390 w 10325"/>
                      <a:gd name="connsiteY52" fmla="*/ 144 h 10000"/>
                      <a:gd name="connsiteX53" fmla="*/ 4211 w 10325"/>
                      <a:gd name="connsiteY53" fmla="*/ 133 h 10000"/>
                      <a:gd name="connsiteX54" fmla="*/ 4022 w 10325"/>
                      <a:gd name="connsiteY54" fmla="*/ 266 h 10000"/>
                      <a:gd name="connsiteX55" fmla="*/ 3736 w 10325"/>
                      <a:gd name="connsiteY55" fmla="*/ 418 h 10000"/>
                      <a:gd name="connsiteX56" fmla="*/ 3324 w 10325"/>
                      <a:gd name="connsiteY56" fmla="*/ 630 h 10000"/>
                      <a:gd name="connsiteX57" fmla="*/ 2969 w 10325"/>
                      <a:gd name="connsiteY57" fmla="*/ 886 h 10000"/>
                      <a:gd name="connsiteX58" fmla="*/ 2814 w 10325"/>
                      <a:gd name="connsiteY58" fmla="*/ 1173 h 10000"/>
                      <a:gd name="connsiteX59" fmla="*/ 2846 w 10325"/>
                      <a:gd name="connsiteY59" fmla="*/ 1465 h 10000"/>
                      <a:gd name="connsiteX60" fmla="*/ 2877 w 10325"/>
                      <a:gd name="connsiteY60" fmla="*/ 1678 h 10000"/>
                      <a:gd name="connsiteX61" fmla="*/ 2855 w 10325"/>
                      <a:gd name="connsiteY61" fmla="*/ 1904 h 10000"/>
                      <a:gd name="connsiteX62" fmla="*/ 2824 w 10325"/>
                      <a:gd name="connsiteY62" fmla="*/ 2436 h 10000"/>
                      <a:gd name="connsiteX63" fmla="*/ 2871 w 10325"/>
                      <a:gd name="connsiteY63" fmla="*/ 2742 h 10000"/>
                      <a:gd name="connsiteX64" fmla="*/ 2925 w 10325"/>
                      <a:gd name="connsiteY64" fmla="*/ 2973 h 10000"/>
                      <a:gd name="connsiteX65" fmla="*/ 2704 w 10325"/>
                      <a:gd name="connsiteY65" fmla="*/ 2848 h 10000"/>
                      <a:gd name="connsiteX66" fmla="*/ 2689 w 10325"/>
                      <a:gd name="connsiteY66" fmla="*/ 2878 h 10000"/>
                      <a:gd name="connsiteX67" fmla="*/ 2670 w 10325"/>
                      <a:gd name="connsiteY67" fmla="*/ 2968 h 10000"/>
                      <a:gd name="connsiteX68" fmla="*/ 2682 w 10325"/>
                      <a:gd name="connsiteY68" fmla="*/ 3314 h 10000"/>
                      <a:gd name="connsiteX69" fmla="*/ 2752 w 10325"/>
                      <a:gd name="connsiteY69" fmla="*/ 3684 h 10000"/>
                      <a:gd name="connsiteX70" fmla="*/ 2774 w 10325"/>
                      <a:gd name="connsiteY70" fmla="*/ 3785 h 10000"/>
                      <a:gd name="connsiteX71" fmla="*/ 2796 w 10325"/>
                      <a:gd name="connsiteY71" fmla="*/ 3888 h 10000"/>
                      <a:gd name="connsiteX72" fmla="*/ 2928 w 10325"/>
                      <a:gd name="connsiteY72" fmla="*/ 4109 h 10000"/>
                      <a:gd name="connsiteX73" fmla="*/ 3047 w 10325"/>
                      <a:gd name="connsiteY73" fmla="*/ 4154 h 10000"/>
                      <a:gd name="connsiteX74" fmla="*/ 3142 w 10325"/>
                      <a:gd name="connsiteY74" fmla="*/ 4168 h 10000"/>
                      <a:gd name="connsiteX75" fmla="*/ 3145 w 10325"/>
                      <a:gd name="connsiteY75" fmla="*/ 4255 h 10000"/>
                      <a:gd name="connsiteX76" fmla="*/ 3296 w 10325"/>
                      <a:gd name="connsiteY76" fmla="*/ 4976 h 10000"/>
                      <a:gd name="connsiteX77" fmla="*/ 3450 w 10325"/>
                      <a:gd name="connsiteY77" fmla="*/ 5239 h 10000"/>
                      <a:gd name="connsiteX78" fmla="*/ 3472 w 10325"/>
                      <a:gd name="connsiteY78" fmla="*/ 5266 h 10000"/>
                      <a:gd name="connsiteX79" fmla="*/ 3472 w 10325"/>
                      <a:gd name="connsiteY79" fmla="*/ 5904 h 10000"/>
                      <a:gd name="connsiteX80" fmla="*/ 3374 w 10325"/>
                      <a:gd name="connsiteY80" fmla="*/ 5995 h 10000"/>
                      <a:gd name="connsiteX81" fmla="*/ 2544 w 10325"/>
                      <a:gd name="connsiteY81" fmla="*/ 6713 h 10000"/>
                      <a:gd name="connsiteX82" fmla="*/ 1421 w 10325"/>
                      <a:gd name="connsiteY82" fmla="*/ 7370 h 10000"/>
                      <a:gd name="connsiteX83" fmla="*/ 1104 w 10325"/>
                      <a:gd name="connsiteY83" fmla="*/ 7457 h 10000"/>
                      <a:gd name="connsiteX84" fmla="*/ 833 w 10325"/>
                      <a:gd name="connsiteY84" fmla="*/ 7519 h 10000"/>
                      <a:gd name="connsiteX85" fmla="*/ 412 w 10325"/>
                      <a:gd name="connsiteY85" fmla="*/ 7630 h 10000"/>
                      <a:gd name="connsiteX86" fmla="*/ 0 w 10325"/>
                      <a:gd name="connsiteY86" fmla="*/ 7816 h 10000"/>
                      <a:gd name="connsiteX87" fmla="*/ 314 w 10325"/>
                      <a:gd name="connsiteY87" fmla="*/ 8306 h 10000"/>
                      <a:gd name="connsiteX88" fmla="*/ 799 w 10325"/>
                      <a:gd name="connsiteY88" fmla="*/ 8742 h 10000"/>
                      <a:gd name="connsiteX89" fmla="*/ 1412 w 10325"/>
                      <a:gd name="connsiteY89" fmla="*/ 9117 h 10000"/>
                      <a:gd name="connsiteX90" fmla="*/ 2107 w 10325"/>
                      <a:gd name="connsiteY90" fmla="*/ 9431 h 10000"/>
                      <a:gd name="connsiteX91" fmla="*/ 2852 w 10325"/>
                      <a:gd name="connsiteY91" fmla="*/ 9681 h 10000"/>
                      <a:gd name="connsiteX92" fmla="*/ 3604 w 10325"/>
                      <a:gd name="connsiteY92" fmla="*/ 9862 h 10000"/>
                      <a:gd name="connsiteX93" fmla="*/ 4321 w 10325"/>
                      <a:gd name="connsiteY93" fmla="*/ 9968 h 10000"/>
                      <a:gd name="connsiteX94" fmla="*/ 4965 w 10325"/>
                      <a:gd name="connsiteY94" fmla="*/ 10000 h 10000"/>
                      <a:gd name="connsiteX95" fmla="*/ 6236 w 10325"/>
                      <a:gd name="connsiteY95" fmla="*/ 9846 h 10000"/>
                      <a:gd name="connsiteX96" fmla="*/ 7824 w 10325"/>
                      <a:gd name="connsiteY96" fmla="*/ 9391 h 10000"/>
                      <a:gd name="connsiteX97" fmla="*/ 8585 w 10325"/>
                      <a:gd name="connsiteY97" fmla="*/ 9069 h 10000"/>
                      <a:gd name="connsiteX98" fmla="*/ 9245 w 10325"/>
                      <a:gd name="connsiteY98" fmla="*/ 8694 h 10000"/>
                      <a:gd name="connsiteX99" fmla="*/ 9736 w 10325"/>
                      <a:gd name="connsiteY99" fmla="*/ 8271 h 10000"/>
                      <a:gd name="connsiteX100" fmla="*/ 10325 w 10325"/>
                      <a:gd name="connsiteY100" fmla="*/ 7962 h 10000"/>
                      <a:gd name="connsiteX0" fmla="*/ 10650 w 10650"/>
                      <a:gd name="connsiteY0" fmla="*/ 7962 h 10000"/>
                      <a:gd name="connsiteX1" fmla="*/ 9913 w 10650"/>
                      <a:gd name="connsiteY1" fmla="*/ 7630 h 10000"/>
                      <a:gd name="connsiteX2" fmla="*/ 9495 w 10650"/>
                      <a:gd name="connsiteY2" fmla="*/ 7519 h 10000"/>
                      <a:gd name="connsiteX3" fmla="*/ 9281 w 10650"/>
                      <a:gd name="connsiteY3" fmla="*/ 7471 h 10000"/>
                      <a:gd name="connsiteX4" fmla="*/ 9039 w 10650"/>
                      <a:gd name="connsiteY4" fmla="*/ 7410 h 10000"/>
                      <a:gd name="connsiteX5" fmla="*/ 8743 w 10650"/>
                      <a:gd name="connsiteY5" fmla="*/ 7301 h 10000"/>
                      <a:gd name="connsiteX6" fmla="*/ 7671 w 10650"/>
                      <a:gd name="connsiteY6" fmla="*/ 6867 h 10000"/>
                      <a:gd name="connsiteX7" fmla="*/ 7636 w 10650"/>
                      <a:gd name="connsiteY7" fmla="*/ 6856 h 10000"/>
                      <a:gd name="connsiteX8" fmla="*/ 7366 w 10650"/>
                      <a:gd name="connsiteY8" fmla="*/ 6739 h 10000"/>
                      <a:gd name="connsiteX9" fmla="*/ 7202 w 10650"/>
                      <a:gd name="connsiteY9" fmla="*/ 6620 h 10000"/>
                      <a:gd name="connsiteX10" fmla="*/ 7014 w 10650"/>
                      <a:gd name="connsiteY10" fmla="*/ 6428 h 10000"/>
                      <a:gd name="connsiteX11" fmla="*/ 6856 w 10650"/>
                      <a:gd name="connsiteY11" fmla="*/ 6298 h 10000"/>
                      <a:gd name="connsiteX12" fmla="*/ 6702 w 10650"/>
                      <a:gd name="connsiteY12" fmla="*/ 6165 h 10000"/>
                      <a:gd name="connsiteX13" fmla="*/ 6602 w 10650"/>
                      <a:gd name="connsiteY13" fmla="*/ 6008 h 10000"/>
                      <a:gd name="connsiteX14" fmla="*/ 6545 w 10650"/>
                      <a:gd name="connsiteY14" fmla="*/ 5649 h 10000"/>
                      <a:gd name="connsiteX15" fmla="*/ 6536 w 10650"/>
                      <a:gd name="connsiteY15" fmla="*/ 5426 h 10000"/>
                      <a:gd name="connsiteX16" fmla="*/ 6536 w 10650"/>
                      <a:gd name="connsiteY16" fmla="*/ 5383 h 10000"/>
                      <a:gd name="connsiteX17" fmla="*/ 6570 w 10650"/>
                      <a:gd name="connsiteY17" fmla="*/ 5356 h 10000"/>
                      <a:gd name="connsiteX18" fmla="*/ 6922 w 10650"/>
                      <a:gd name="connsiteY18" fmla="*/ 4763 h 10000"/>
                      <a:gd name="connsiteX19" fmla="*/ 6973 w 10650"/>
                      <a:gd name="connsiteY19" fmla="*/ 4426 h 10000"/>
                      <a:gd name="connsiteX20" fmla="*/ 6973 w 10650"/>
                      <a:gd name="connsiteY20" fmla="*/ 4332 h 10000"/>
                      <a:gd name="connsiteX21" fmla="*/ 7080 w 10650"/>
                      <a:gd name="connsiteY21" fmla="*/ 4324 h 10000"/>
                      <a:gd name="connsiteX22" fmla="*/ 7174 w 10650"/>
                      <a:gd name="connsiteY22" fmla="*/ 4290 h 10000"/>
                      <a:gd name="connsiteX23" fmla="*/ 7246 w 10650"/>
                      <a:gd name="connsiteY23" fmla="*/ 4152 h 10000"/>
                      <a:gd name="connsiteX24" fmla="*/ 7297 w 10650"/>
                      <a:gd name="connsiteY24" fmla="*/ 4043 h 10000"/>
                      <a:gd name="connsiteX25" fmla="*/ 7369 w 10650"/>
                      <a:gd name="connsiteY25" fmla="*/ 3923 h 10000"/>
                      <a:gd name="connsiteX26" fmla="*/ 7438 w 10650"/>
                      <a:gd name="connsiteY26" fmla="*/ 3769 h 10000"/>
                      <a:gd name="connsiteX27" fmla="*/ 7460 w 10650"/>
                      <a:gd name="connsiteY27" fmla="*/ 3612 h 10000"/>
                      <a:gd name="connsiteX28" fmla="*/ 7479 w 10650"/>
                      <a:gd name="connsiteY28" fmla="*/ 3455 h 10000"/>
                      <a:gd name="connsiteX29" fmla="*/ 7533 w 10650"/>
                      <a:gd name="connsiteY29" fmla="*/ 3277 h 10000"/>
                      <a:gd name="connsiteX30" fmla="*/ 7561 w 10650"/>
                      <a:gd name="connsiteY30" fmla="*/ 3133 h 10000"/>
                      <a:gd name="connsiteX31" fmla="*/ 7529 w 10650"/>
                      <a:gd name="connsiteY31" fmla="*/ 3059 h 10000"/>
                      <a:gd name="connsiteX32" fmla="*/ 7523 w 10650"/>
                      <a:gd name="connsiteY32" fmla="*/ 3059 h 10000"/>
                      <a:gd name="connsiteX33" fmla="*/ 7489 w 10650"/>
                      <a:gd name="connsiteY33" fmla="*/ 3024 h 10000"/>
                      <a:gd name="connsiteX34" fmla="*/ 7438 w 10650"/>
                      <a:gd name="connsiteY34" fmla="*/ 2896 h 10000"/>
                      <a:gd name="connsiteX35" fmla="*/ 7463 w 10650"/>
                      <a:gd name="connsiteY35" fmla="*/ 2356 h 10000"/>
                      <a:gd name="connsiteX36" fmla="*/ 7467 w 10650"/>
                      <a:gd name="connsiteY36" fmla="*/ 2314 h 10000"/>
                      <a:gd name="connsiteX37" fmla="*/ 7504 w 10650"/>
                      <a:gd name="connsiteY37" fmla="*/ 1846 h 10000"/>
                      <a:gd name="connsiteX38" fmla="*/ 7448 w 10650"/>
                      <a:gd name="connsiteY38" fmla="*/ 1609 h 10000"/>
                      <a:gd name="connsiteX39" fmla="*/ 7438 w 10650"/>
                      <a:gd name="connsiteY39" fmla="*/ 1582 h 10000"/>
                      <a:gd name="connsiteX40" fmla="*/ 7407 w 10650"/>
                      <a:gd name="connsiteY40" fmla="*/ 1447 h 10000"/>
                      <a:gd name="connsiteX41" fmla="*/ 7413 w 10650"/>
                      <a:gd name="connsiteY41" fmla="*/ 1354 h 10000"/>
                      <a:gd name="connsiteX42" fmla="*/ 7391 w 10650"/>
                      <a:gd name="connsiteY42" fmla="*/ 1271 h 10000"/>
                      <a:gd name="connsiteX43" fmla="*/ 7190 w 10650"/>
                      <a:gd name="connsiteY43" fmla="*/ 1106 h 10000"/>
                      <a:gd name="connsiteX44" fmla="*/ 6860 w 10650"/>
                      <a:gd name="connsiteY44" fmla="*/ 848 h 10000"/>
                      <a:gd name="connsiteX45" fmla="*/ 6564 w 10650"/>
                      <a:gd name="connsiteY45" fmla="*/ 582 h 10000"/>
                      <a:gd name="connsiteX46" fmla="*/ 6331 w 10650"/>
                      <a:gd name="connsiteY46" fmla="*/ 370 h 10000"/>
                      <a:gd name="connsiteX47" fmla="*/ 6089 w 10650"/>
                      <a:gd name="connsiteY47" fmla="*/ 173 h 10000"/>
                      <a:gd name="connsiteX48" fmla="*/ 5828 w 10650"/>
                      <a:gd name="connsiteY48" fmla="*/ 45 h 10000"/>
                      <a:gd name="connsiteX49" fmla="*/ 5507 w 10650"/>
                      <a:gd name="connsiteY49" fmla="*/ 0 h 10000"/>
                      <a:gd name="connsiteX50" fmla="*/ 5199 w 10650"/>
                      <a:gd name="connsiteY50" fmla="*/ 32 h 10000"/>
                      <a:gd name="connsiteX51" fmla="*/ 4960 w 10650"/>
                      <a:gd name="connsiteY51" fmla="*/ 93 h 10000"/>
                      <a:gd name="connsiteX52" fmla="*/ 4715 w 10650"/>
                      <a:gd name="connsiteY52" fmla="*/ 144 h 10000"/>
                      <a:gd name="connsiteX53" fmla="*/ 4536 w 10650"/>
                      <a:gd name="connsiteY53" fmla="*/ 133 h 10000"/>
                      <a:gd name="connsiteX54" fmla="*/ 4347 w 10650"/>
                      <a:gd name="connsiteY54" fmla="*/ 266 h 10000"/>
                      <a:gd name="connsiteX55" fmla="*/ 4061 w 10650"/>
                      <a:gd name="connsiteY55" fmla="*/ 418 h 10000"/>
                      <a:gd name="connsiteX56" fmla="*/ 3649 w 10650"/>
                      <a:gd name="connsiteY56" fmla="*/ 630 h 10000"/>
                      <a:gd name="connsiteX57" fmla="*/ 3294 w 10650"/>
                      <a:gd name="connsiteY57" fmla="*/ 886 h 10000"/>
                      <a:gd name="connsiteX58" fmla="*/ 3139 w 10650"/>
                      <a:gd name="connsiteY58" fmla="*/ 1173 h 10000"/>
                      <a:gd name="connsiteX59" fmla="*/ 3171 w 10650"/>
                      <a:gd name="connsiteY59" fmla="*/ 1465 h 10000"/>
                      <a:gd name="connsiteX60" fmla="*/ 3202 w 10650"/>
                      <a:gd name="connsiteY60" fmla="*/ 1678 h 10000"/>
                      <a:gd name="connsiteX61" fmla="*/ 3180 w 10650"/>
                      <a:gd name="connsiteY61" fmla="*/ 1904 h 10000"/>
                      <a:gd name="connsiteX62" fmla="*/ 3149 w 10650"/>
                      <a:gd name="connsiteY62" fmla="*/ 2436 h 10000"/>
                      <a:gd name="connsiteX63" fmla="*/ 3196 w 10650"/>
                      <a:gd name="connsiteY63" fmla="*/ 2742 h 10000"/>
                      <a:gd name="connsiteX64" fmla="*/ 3250 w 10650"/>
                      <a:gd name="connsiteY64" fmla="*/ 2973 h 10000"/>
                      <a:gd name="connsiteX65" fmla="*/ 3029 w 10650"/>
                      <a:gd name="connsiteY65" fmla="*/ 2848 h 10000"/>
                      <a:gd name="connsiteX66" fmla="*/ 3014 w 10650"/>
                      <a:gd name="connsiteY66" fmla="*/ 2878 h 10000"/>
                      <a:gd name="connsiteX67" fmla="*/ 2995 w 10650"/>
                      <a:gd name="connsiteY67" fmla="*/ 2968 h 10000"/>
                      <a:gd name="connsiteX68" fmla="*/ 3007 w 10650"/>
                      <a:gd name="connsiteY68" fmla="*/ 3314 h 10000"/>
                      <a:gd name="connsiteX69" fmla="*/ 3077 w 10650"/>
                      <a:gd name="connsiteY69" fmla="*/ 3684 h 10000"/>
                      <a:gd name="connsiteX70" fmla="*/ 3099 w 10650"/>
                      <a:gd name="connsiteY70" fmla="*/ 3785 h 10000"/>
                      <a:gd name="connsiteX71" fmla="*/ 3121 w 10650"/>
                      <a:gd name="connsiteY71" fmla="*/ 3888 h 10000"/>
                      <a:gd name="connsiteX72" fmla="*/ 3253 w 10650"/>
                      <a:gd name="connsiteY72" fmla="*/ 4109 h 10000"/>
                      <a:gd name="connsiteX73" fmla="*/ 3372 w 10650"/>
                      <a:gd name="connsiteY73" fmla="*/ 4154 h 10000"/>
                      <a:gd name="connsiteX74" fmla="*/ 3467 w 10650"/>
                      <a:gd name="connsiteY74" fmla="*/ 4168 h 10000"/>
                      <a:gd name="connsiteX75" fmla="*/ 3470 w 10650"/>
                      <a:gd name="connsiteY75" fmla="*/ 4255 h 10000"/>
                      <a:gd name="connsiteX76" fmla="*/ 3621 w 10650"/>
                      <a:gd name="connsiteY76" fmla="*/ 4976 h 10000"/>
                      <a:gd name="connsiteX77" fmla="*/ 3775 w 10650"/>
                      <a:gd name="connsiteY77" fmla="*/ 5239 h 10000"/>
                      <a:gd name="connsiteX78" fmla="*/ 3797 w 10650"/>
                      <a:gd name="connsiteY78" fmla="*/ 5266 h 10000"/>
                      <a:gd name="connsiteX79" fmla="*/ 3797 w 10650"/>
                      <a:gd name="connsiteY79" fmla="*/ 5904 h 10000"/>
                      <a:gd name="connsiteX80" fmla="*/ 3699 w 10650"/>
                      <a:gd name="connsiteY80" fmla="*/ 5995 h 10000"/>
                      <a:gd name="connsiteX81" fmla="*/ 2869 w 10650"/>
                      <a:gd name="connsiteY81" fmla="*/ 6713 h 10000"/>
                      <a:gd name="connsiteX82" fmla="*/ 1746 w 10650"/>
                      <a:gd name="connsiteY82" fmla="*/ 7370 h 10000"/>
                      <a:gd name="connsiteX83" fmla="*/ 1429 w 10650"/>
                      <a:gd name="connsiteY83" fmla="*/ 7457 h 10000"/>
                      <a:gd name="connsiteX84" fmla="*/ 1158 w 10650"/>
                      <a:gd name="connsiteY84" fmla="*/ 7519 h 10000"/>
                      <a:gd name="connsiteX85" fmla="*/ 737 w 10650"/>
                      <a:gd name="connsiteY85" fmla="*/ 7630 h 10000"/>
                      <a:gd name="connsiteX86" fmla="*/ 0 w 10650"/>
                      <a:gd name="connsiteY86" fmla="*/ 8060 h 10000"/>
                      <a:gd name="connsiteX87" fmla="*/ 639 w 10650"/>
                      <a:gd name="connsiteY87" fmla="*/ 8306 h 10000"/>
                      <a:gd name="connsiteX88" fmla="*/ 1124 w 10650"/>
                      <a:gd name="connsiteY88" fmla="*/ 8742 h 10000"/>
                      <a:gd name="connsiteX89" fmla="*/ 1737 w 10650"/>
                      <a:gd name="connsiteY89" fmla="*/ 9117 h 10000"/>
                      <a:gd name="connsiteX90" fmla="*/ 2432 w 10650"/>
                      <a:gd name="connsiteY90" fmla="*/ 9431 h 10000"/>
                      <a:gd name="connsiteX91" fmla="*/ 3177 w 10650"/>
                      <a:gd name="connsiteY91" fmla="*/ 9681 h 10000"/>
                      <a:gd name="connsiteX92" fmla="*/ 3929 w 10650"/>
                      <a:gd name="connsiteY92" fmla="*/ 9862 h 10000"/>
                      <a:gd name="connsiteX93" fmla="*/ 4646 w 10650"/>
                      <a:gd name="connsiteY93" fmla="*/ 9968 h 10000"/>
                      <a:gd name="connsiteX94" fmla="*/ 5290 w 10650"/>
                      <a:gd name="connsiteY94" fmla="*/ 10000 h 10000"/>
                      <a:gd name="connsiteX95" fmla="*/ 6561 w 10650"/>
                      <a:gd name="connsiteY95" fmla="*/ 9846 h 10000"/>
                      <a:gd name="connsiteX96" fmla="*/ 8149 w 10650"/>
                      <a:gd name="connsiteY96" fmla="*/ 9391 h 10000"/>
                      <a:gd name="connsiteX97" fmla="*/ 8910 w 10650"/>
                      <a:gd name="connsiteY97" fmla="*/ 9069 h 10000"/>
                      <a:gd name="connsiteX98" fmla="*/ 9570 w 10650"/>
                      <a:gd name="connsiteY98" fmla="*/ 8694 h 10000"/>
                      <a:gd name="connsiteX99" fmla="*/ 10061 w 10650"/>
                      <a:gd name="connsiteY99" fmla="*/ 8271 h 10000"/>
                      <a:gd name="connsiteX100" fmla="*/ 10650 w 10650"/>
                      <a:gd name="connsiteY100" fmla="*/ 7962 h 10000"/>
                      <a:gd name="connsiteX0" fmla="*/ 10650 w 10650"/>
                      <a:gd name="connsiteY0" fmla="*/ 7962 h 10000"/>
                      <a:gd name="connsiteX1" fmla="*/ 9913 w 10650"/>
                      <a:gd name="connsiteY1" fmla="*/ 7630 h 10000"/>
                      <a:gd name="connsiteX2" fmla="*/ 9495 w 10650"/>
                      <a:gd name="connsiteY2" fmla="*/ 7519 h 10000"/>
                      <a:gd name="connsiteX3" fmla="*/ 9281 w 10650"/>
                      <a:gd name="connsiteY3" fmla="*/ 7471 h 10000"/>
                      <a:gd name="connsiteX4" fmla="*/ 9039 w 10650"/>
                      <a:gd name="connsiteY4" fmla="*/ 7410 h 10000"/>
                      <a:gd name="connsiteX5" fmla="*/ 8743 w 10650"/>
                      <a:gd name="connsiteY5" fmla="*/ 7301 h 10000"/>
                      <a:gd name="connsiteX6" fmla="*/ 7671 w 10650"/>
                      <a:gd name="connsiteY6" fmla="*/ 6867 h 10000"/>
                      <a:gd name="connsiteX7" fmla="*/ 7636 w 10650"/>
                      <a:gd name="connsiteY7" fmla="*/ 6856 h 10000"/>
                      <a:gd name="connsiteX8" fmla="*/ 7366 w 10650"/>
                      <a:gd name="connsiteY8" fmla="*/ 6739 h 10000"/>
                      <a:gd name="connsiteX9" fmla="*/ 7202 w 10650"/>
                      <a:gd name="connsiteY9" fmla="*/ 6620 h 10000"/>
                      <a:gd name="connsiteX10" fmla="*/ 7014 w 10650"/>
                      <a:gd name="connsiteY10" fmla="*/ 6428 h 10000"/>
                      <a:gd name="connsiteX11" fmla="*/ 6856 w 10650"/>
                      <a:gd name="connsiteY11" fmla="*/ 6298 h 10000"/>
                      <a:gd name="connsiteX12" fmla="*/ 6702 w 10650"/>
                      <a:gd name="connsiteY12" fmla="*/ 6165 h 10000"/>
                      <a:gd name="connsiteX13" fmla="*/ 6602 w 10650"/>
                      <a:gd name="connsiteY13" fmla="*/ 6008 h 10000"/>
                      <a:gd name="connsiteX14" fmla="*/ 6545 w 10650"/>
                      <a:gd name="connsiteY14" fmla="*/ 5649 h 10000"/>
                      <a:gd name="connsiteX15" fmla="*/ 6536 w 10650"/>
                      <a:gd name="connsiteY15" fmla="*/ 5426 h 10000"/>
                      <a:gd name="connsiteX16" fmla="*/ 6536 w 10650"/>
                      <a:gd name="connsiteY16" fmla="*/ 5383 h 10000"/>
                      <a:gd name="connsiteX17" fmla="*/ 6570 w 10650"/>
                      <a:gd name="connsiteY17" fmla="*/ 5356 h 10000"/>
                      <a:gd name="connsiteX18" fmla="*/ 6922 w 10650"/>
                      <a:gd name="connsiteY18" fmla="*/ 4763 h 10000"/>
                      <a:gd name="connsiteX19" fmla="*/ 6973 w 10650"/>
                      <a:gd name="connsiteY19" fmla="*/ 4426 h 10000"/>
                      <a:gd name="connsiteX20" fmla="*/ 6973 w 10650"/>
                      <a:gd name="connsiteY20" fmla="*/ 4332 h 10000"/>
                      <a:gd name="connsiteX21" fmla="*/ 7080 w 10650"/>
                      <a:gd name="connsiteY21" fmla="*/ 4324 h 10000"/>
                      <a:gd name="connsiteX22" fmla="*/ 7174 w 10650"/>
                      <a:gd name="connsiteY22" fmla="*/ 4290 h 10000"/>
                      <a:gd name="connsiteX23" fmla="*/ 7246 w 10650"/>
                      <a:gd name="connsiteY23" fmla="*/ 4152 h 10000"/>
                      <a:gd name="connsiteX24" fmla="*/ 7297 w 10650"/>
                      <a:gd name="connsiteY24" fmla="*/ 4043 h 10000"/>
                      <a:gd name="connsiteX25" fmla="*/ 7369 w 10650"/>
                      <a:gd name="connsiteY25" fmla="*/ 3923 h 10000"/>
                      <a:gd name="connsiteX26" fmla="*/ 7438 w 10650"/>
                      <a:gd name="connsiteY26" fmla="*/ 3769 h 10000"/>
                      <a:gd name="connsiteX27" fmla="*/ 7460 w 10650"/>
                      <a:gd name="connsiteY27" fmla="*/ 3612 h 10000"/>
                      <a:gd name="connsiteX28" fmla="*/ 7479 w 10650"/>
                      <a:gd name="connsiteY28" fmla="*/ 3455 h 10000"/>
                      <a:gd name="connsiteX29" fmla="*/ 7533 w 10650"/>
                      <a:gd name="connsiteY29" fmla="*/ 3277 h 10000"/>
                      <a:gd name="connsiteX30" fmla="*/ 7561 w 10650"/>
                      <a:gd name="connsiteY30" fmla="*/ 3133 h 10000"/>
                      <a:gd name="connsiteX31" fmla="*/ 7529 w 10650"/>
                      <a:gd name="connsiteY31" fmla="*/ 3059 h 10000"/>
                      <a:gd name="connsiteX32" fmla="*/ 7523 w 10650"/>
                      <a:gd name="connsiteY32" fmla="*/ 3059 h 10000"/>
                      <a:gd name="connsiteX33" fmla="*/ 7489 w 10650"/>
                      <a:gd name="connsiteY33" fmla="*/ 3024 h 10000"/>
                      <a:gd name="connsiteX34" fmla="*/ 7438 w 10650"/>
                      <a:gd name="connsiteY34" fmla="*/ 2896 h 10000"/>
                      <a:gd name="connsiteX35" fmla="*/ 7463 w 10650"/>
                      <a:gd name="connsiteY35" fmla="*/ 2356 h 10000"/>
                      <a:gd name="connsiteX36" fmla="*/ 7467 w 10650"/>
                      <a:gd name="connsiteY36" fmla="*/ 2314 h 10000"/>
                      <a:gd name="connsiteX37" fmla="*/ 7504 w 10650"/>
                      <a:gd name="connsiteY37" fmla="*/ 1846 h 10000"/>
                      <a:gd name="connsiteX38" fmla="*/ 7448 w 10650"/>
                      <a:gd name="connsiteY38" fmla="*/ 1609 h 10000"/>
                      <a:gd name="connsiteX39" fmla="*/ 7438 w 10650"/>
                      <a:gd name="connsiteY39" fmla="*/ 1582 h 10000"/>
                      <a:gd name="connsiteX40" fmla="*/ 7407 w 10650"/>
                      <a:gd name="connsiteY40" fmla="*/ 1447 h 10000"/>
                      <a:gd name="connsiteX41" fmla="*/ 7413 w 10650"/>
                      <a:gd name="connsiteY41" fmla="*/ 1354 h 10000"/>
                      <a:gd name="connsiteX42" fmla="*/ 7391 w 10650"/>
                      <a:gd name="connsiteY42" fmla="*/ 1271 h 10000"/>
                      <a:gd name="connsiteX43" fmla="*/ 7190 w 10650"/>
                      <a:gd name="connsiteY43" fmla="*/ 1106 h 10000"/>
                      <a:gd name="connsiteX44" fmla="*/ 6860 w 10650"/>
                      <a:gd name="connsiteY44" fmla="*/ 848 h 10000"/>
                      <a:gd name="connsiteX45" fmla="*/ 6564 w 10650"/>
                      <a:gd name="connsiteY45" fmla="*/ 582 h 10000"/>
                      <a:gd name="connsiteX46" fmla="*/ 6331 w 10650"/>
                      <a:gd name="connsiteY46" fmla="*/ 370 h 10000"/>
                      <a:gd name="connsiteX47" fmla="*/ 6089 w 10650"/>
                      <a:gd name="connsiteY47" fmla="*/ 173 h 10000"/>
                      <a:gd name="connsiteX48" fmla="*/ 5828 w 10650"/>
                      <a:gd name="connsiteY48" fmla="*/ 45 h 10000"/>
                      <a:gd name="connsiteX49" fmla="*/ 5507 w 10650"/>
                      <a:gd name="connsiteY49" fmla="*/ 0 h 10000"/>
                      <a:gd name="connsiteX50" fmla="*/ 5199 w 10650"/>
                      <a:gd name="connsiteY50" fmla="*/ 32 h 10000"/>
                      <a:gd name="connsiteX51" fmla="*/ 4960 w 10650"/>
                      <a:gd name="connsiteY51" fmla="*/ 93 h 10000"/>
                      <a:gd name="connsiteX52" fmla="*/ 4715 w 10650"/>
                      <a:gd name="connsiteY52" fmla="*/ 144 h 10000"/>
                      <a:gd name="connsiteX53" fmla="*/ 4536 w 10650"/>
                      <a:gd name="connsiteY53" fmla="*/ 133 h 10000"/>
                      <a:gd name="connsiteX54" fmla="*/ 4347 w 10650"/>
                      <a:gd name="connsiteY54" fmla="*/ 266 h 10000"/>
                      <a:gd name="connsiteX55" fmla="*/ 4061 w 10650"/>
                      <a:gd name="connsiteY55" fmla="*/ 418 h 10000"/>
                      <a:gd name="connsiteX56" fmla="*/ 3649 w 10650"/>
                      <a:gd name="connsiteY56" fmla="*/ 630 h 10000"/>
                      <a:gd name="connsiteX57" fmla="*/ 3294 w 10650"/>
                      <a:gd name="connsiteY57" fmla="*/ 886 h 10000"/>
                      <a:gd name="connsiteX58" fmla="*/ 3139 w 10650"/>
                      <a:gd name="connsiteY58" fmla="*/ 1173 h 10000"/>
                      <a:gd name="connsiteX59" fmla="*/ 3171 w 10650"/>
                      <a:gd name="connsiteY59" fmla="*/ 1465 h 10000"/>
                      <a:gd name="connsiteX60" fmla="*/ 3202 w 10650"/>
                      <a:gd name="connsiteY60" fmla="*/ 1678 h 10000"/>
                      <a:gd name="connsiteX61" fmla="*/ 3180 w 10650"/>
                      <a:gd name="connsiteY61" fmla="*/ 1904 h 10000"/>
                      <a:gd name="connsiteX62" fmla="*/ 3149 w 10650"/>
                      <a:gd name="connsiteY62" fmla="*/ 2436 h 10000"/>
                      <a:gd name="connsiteX63" fmla="*/ 3196 w 10650"/>
                      <a:gd name="connsiteY63" fmla="*/ 2742 h 10000"/>
                      <a:gd name="connsiteX64" fmla="*/ 3250 w 10650"/>
                      <a:gd name="connsiteY64" fmla="*/ 2973 h 10000"/>
                      <a:gd name="connsiteX65" fmla="*/ 3029 w 10650"/>
                      <a:gd name="connsiteY65" fmla="*/ 2848 h 10000"/>
                      <a:gd name="connsiteX66" fmla="*/ 3014 w 10650"/>
                      <a:gd name="connsiteY66" fmla="*/ 2878 h 10000"/>
                      <a:gd name="connsiteX67" fmla="*/ 2995 w 10650"/>
                      <a:gd name="connsiteY67" fmla="*/ 2968 h 10000"/>
                      <a:gd name="connsiteX68" fmla="*/ 3007 w 10650"/>
                      <a:gd name="connsiteY68" fmla="*/ 3314 h 10000"/>
                      <a:gd name="connsiteX69" fmla="*/ 3077 w 10650"/>
                      <a:gd name="connsiteY69" fmla="*/ 3684 h 10000"/>
                      <a:gd name="connsiteX70" fmla="*/ 3099 w 10650"/>
                      <a:gd name="connsiteY70" fmla="*/ 3785 h 10000"/>
                      <a:gd name="connsiteX71" fmla="*/ 3121 w 10650"/>
                      <a:gd name="connsiteY71" fmla="*/ 3888 h 10000"/>
                      <a:gd name="connsiteX72" fmla="*/ 3253 w 10650"/>
                      <a:gd name="connsiteY72" fmla="*/ 4109 h 10000"/>
                      <a:gd name="connsiteX73" fmla="*/ 3372 w 10650"/>
                      <a:gd name="connsiteY73" fmla="*/ 4154 h 10000"/>
                      <a:gd name="connsiteX74" fmla="*/ 3467 w 10650"/>
                      <a:gd name="connsiteY74" fmla="*/ 4168 h 10000"/>
                      <a:gd name="connsiteX75" fmla="*/ 3470 w 10650"/>
                      <a:gd name="connsiteY75" fmla="*/ 4255 h 10000"/>
                      <a:gd name="connsiteX76" fmla="*/ 3621 w 10650"/>
                      <a:gd name="connsiteY76" fmla="*/ 4976 h 10000"/>
                      <a:gd name="connsiteX77" fmla="*/ 3775 w 10650"/>
                      <a:gd name="connsiteY77" fmla="*/ 5239 h 10000"/>
                      <a:gd name="connsiteX78" fmla="*/ 3797 w 10650"/>
                      <a:gd name="connsiteY78" fmla="*/ 5266 h 10000"/>
                      <a:gd name="connsiteX79" fmla="*/ 3797 w 10650"/>
                      <a:gd name="connsiteY79" fmla="*/ 5904 h 10000"/>
                      <a:gd name="connsiteX80" fmla="*/ 3699 w 10650"/>
                      <a:gd name="connsiteY80" fmla="*/ 5995 h 10000"/>
                      <a:gd name="connsiteX81" fmla="*/ 2869 w 10650"/>
                      <a:gd name="connsiteY81" fmla="*/ 6713 h 10000"/>
                      <a:gd name="connsiteX82" fmla="*/ 1746 w 10650"/>
                      <a:gd name="connsiteY82" fmla="*/ 7370 h 10000"/>
                      <a:gd name="connsiteX83" fmla="*/ 1429 w 10650"/>
                      <a:gd name="connsiteY83" fmla="*/ 7457 h 10000"/>
                      <a:gd name="connsiteX84" fmla="*/ 1158 w 10650"/>
                      <a:gd name="connsiteY84" fmla="*/ 7519 h 10000"/>
                      <a:gd name="connsiteX85" fmla="*/ 737 w 10650"/>
                      <a:gd name="connsiteY85" fmla="*/ 7630 h 10000"/>
                      <a:gd name="connsiteX86" fmla="*/ 0 w 10650"/>
                      <a:gd name="connsiteY86" fmla="*/ 8060 h 10000"/>
                      <a:gd name="connsiteX87" fmla="*/ 639 w 10650"/>
                      <a:gd name="connsiteY87" fmla="*/ 8306 h 10000"/>
                      <a:gd name="connsiteX88" fmla="*/ 1124 w 10650"/>
                      <a:gd name="connsiteY88" fmla="*/ 8742 h 10000"/>
                      <a:gd name="connsiteX89" fmla="*/ 1737 w 10650"/>
                      <a:gd name="connsiteY89" fmla="*/ 9117 h 10000"/>
                      <a:gd name="connsiteX90" fmla="*/ 2432 w 10650"/>
                      <a:gd name="connsiteY90" fmla="*/ 9431 h 10000"/>
                      <a:gd name="connsiteX91" fmla="*/ 3177 w 10650"/>
                      <a:gd name="connsiteY91" fmla="*/ 9681 h 10000"/>
                      <a:gd name="connsiteX92" fmla="*/ 3929 w 10650"/>
                      <a:gd name="connsiteY92" fmla="*/ 9862 h 10000"/>
                      <a:gd name="connsiteX93" fmla="*/ 4646 w 10650"/>
                      <a:gd name="connsiteY93" fmla="*/ 9968 h 10000"/>
                      <a:gd name="connsiteX94" fmla="*/ 5290 w 10650"/>
                      <a:gd name="connsiteY94" fmla="*/ 10000 h 10000"/>
                      <a:gd name="connsiteX95" fmla="*/ 6561 w 10650"/>
                      <a:gd name="connsiteY95" fmla="*/ 9846 h 10000"/>
                      <a:gd name="connsiteX96" fmla="*/ 8149 w 10650"/>
                      <a:gd name="connsiteY96" fmla="*/ 9391 h 10000"/>
                      <a:gd name="connsiteX97" fmla="*/ 8910 w 10650"/>
                      <a:gd name="connsiteY97" fmla="*/ 9069 h 10000"/>
                      <a:gd name="connsiteX98" fmla="*/ 9570 w 10650"/>
                      <a:gd name="connsiteY98" fmla="*/ 8694 h 10000"/>
                      <a:gd name="connsiteX99" fmla="*/ 10332 w 10650"/>
                      <a:gd name="connsiteY99" fmla="*/ 8320 h 10000"/>
                      <a:gd name="connsiteX100" fmla="*/ 10650 w 10650"/>
                      <a:gd name="connsiteY100" fmla="*/ 7962 h 100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Lst>
                    <a:rect l="l" t="t" r="r" b="b"/>
                    <a:pathLst>
                      <a:path w="10650" h="10000">
                        <a:moveTo>
                          <a:pt x="10650" y="7962"/>
                        </a:moveTo>
                        <a:lnTo>
                          <a:pt x="9913" y="7630"/>
                        </a:lnTo>
                        <a:lnTo>
                          <a:pt x="9495" y="7519"/>
                        </a:lnTo>
                        <a:lnTo>
                          <a:pt x="9281" y="7471"/>
                        </a:lnTo>
                        <a:lnTo>
                          <a:pt x="9039" y="7410"/>
                        </a:lnTo>
                        <a:lnTo>
                          <a:pt x="8743" y="7301"/>
                        </a:lnTo>
                        <a:lnTo>
                          <a:pt x="7671" y="6867"/>
                        </a:lnTo>
                        <a:cubicBezTo>
                          <a:pt x="7659" y="6863"/>
                          <a:pt x="7648" y="6860"/>
                          <a:pt x="7636" y="6856"/>
                        </a:cubicBezTo>
                        <a:lnTo>
                          <a:pt x="7366" y="6739"/>
                        </a:lnTo>
                        <a:lnTo>
                          <a:pt x="7202" y="6620"/>
                        </a:lnTo>
                        <a:lnTo>
                          <a:pt x="7014" y="6428"/>
                        </a:lnTo>
                        <a:cubicBezTo>
                          <a:pt x="6961" y="6385"/>
                          <a:pt x="6909" y="6341"/>
                          <a:pt x="6856" y="6298"/>
                        </a:cubicBezTo>
                        <a:lnTo>
                          <a:pt x="6702" y="6165"/>
                        </a:lnTo>
                        <a:lnTo>
                          <a:pt x="6602" y="6008"/>
                        </a:lnTo>
                        <a:cubicBezTo>
                          <a:pt x="6583" y="5888"/>
                          <a:pt x="6564" y="5769"/>
                          <a:pt x="6545" y="5649"/>
                        </a:cubicBezTo>
                        <a:cubicBezTo>
                          <a:pt x="6542" y="5575"/>
                          <a:pt x="6539" y="5500"/>
                          <a:pt x="6536" y="5426"/>
                        </a:cubicBezTo>
                        <a:lnTo>
                          <a:pt x="6536" y="5383"/>
                        </a:lnTo>
                        <a:cubicBezTo>
                          <a:pt x="6547" y="5374"/>
                          <a:pt x="6559" y="5365"/>
                          <a:pt x="6570" y="5356"/>
                        </a:cubicBezTo>
                        <a:lnTo>
                          <a:pt x="6922" y="4763"/>
                        </a:lnTo>
                        <a:cubicBezTo>
                          <a:pt x="6939" y="4651"/>
                          <a:pt x="6956" y="4538"/>
                          <a:pt x="6973" y="4426"/>
                        </a:cubicBezTo>
                        <a:lnTo>
                          <a:pt x="6973" y="4332"/>
                        </a:lnTo>
                        <a:lnTo>
                          <a:pt x="7080" y="4324"/>
                        </a:lnTo>
                        <a:lnTo>
                          <a:pt x="7174" y="4290"/>
                        </a:lnTo>
                        <a:lnTo>
                          <a:pt x="7246" y="4152"/>
                        </a:lnTo>
                        <a:cubicBezTo>
                          <a:pt x="7263" y="4116"/>
                          <a:pt x="7280" y="4079"/>
                          <a:pt x="7297" y="4043"/>
                        </a:cubicBezTo>
                        <a:lnTo>
                          <a:pt x="7369" y="3923"/>
                        </a:lnTo>
                        <a:cubicBezTo>
                          <a:pt x="7392" y="3872"/>
                          <a:pt x="7415" y="3820"/>
                          <a:pt x="7438" y="3769"/>
                        </a:cubicBezTo>
                        <a:cubicBezTo>
                          <a:pt x="7445" y="3717"/>
                          <a:pt x="7453" y="3664"/>
                          <a:pt x="7460" y="3612"/>
                        </a:cubicBezTo>
                        <a:cubicBezTo>
                          <a:pt x="7466" y="3560"/>
                          <a:pt x="7473" y="3507"/>
                          <a:pt x="7479" y="3455"/>
                        </a:cubicBezTo>
                        <a:cubicBezTo>
                          <a:pt x="7497" y="3396"/>
                          <a:pt x="7515" y="3336"/>
                          <a:pt x="7533" y="3277"/>
                        </a:cubicBezTo>
                        <a:cubicBezTo>
                          <a:pt x="7542" y="3229"/>
                          <a:pt x="7552" y="3181"/>
                          <a:pt x="7561" y="3133"/>
                        </a:cubicBezTo>
                        <a:cubicBezTo>
                          <a:pt x="7550" y="3108"/>
                          <a:pt x="7540" y="3084"/>
                          <a:pt x="7529" y="3059"/>
                        </a:cubicBezTo>
                        <a:lnTo>
                          <a:pt x="7523" y="3059"/>
                        </a:lnTo>
                        <a:cubicBezTo>
                          <a:pt x="7512" y="3047"/>
                          <a:pt x="7500" y="3036"/>
                          <a:pt x="7489" y="3024"/>
                        </a:cubicBezTo>
                        <a:cubicBezTo>
                          <a:pt x="7472" y="2981"/>
                          <a:pt x="7455" y="2939"/>
                          <a:pt x="7438" y="2896"/>
                        </a:cubicBezTo>
                        <a:cubicBezTo>
                          <a:pt x="7446" y="2716"/>
                          <a:pt x="7455" y="2536"/>
                          <a:pt x="7463" y="2356"/>
                        </a:cubicBezTo>
                        <a:cubicBezTo>
                          <a:pt x="7464" y="2342"/>
                          <a:pt x="7466" y="2328"/>
                          <a:pt x="7467" y="2314"/>
                        </a:cubicBezTo>
                        <a:cubicBezTo>
                          <a:pt x="7479" y="2158"/>
                          <a:pt x="7492" y="2002"/>
                          <a:pt x="7504" y="1846"/>
                        </a:cubicBezTo>
                        <a:cubicBezTo>
                          <a:pt x="7485" y="1767"/>
                          <a:pt x="7467" y="1688"/>
                          <a:pt x="7448" y="1609"/>
                        </a:cubicBezTo>
                        <a:cubicBezTo>
                          <a:pt x="7445" y="1600"/>
                          <a:pt x="7441" y="1591"/>
                          <a:pt x="7438" y="1582"/>
                        </a:cubicBezTo>
                        <a:cubicBezTo>
                          <a:pt x="7428" y="1537"/>
                          <a:pt x="7417" y="1492"/>
                          <a:pt x="7407" y="1447"/>
                        </a:cubicBezTo>
                        <a:lnTo>
                          <a:pt x="7413" y="1354"/>
                        </a:lnTo>
                        <a:cubicBezTo>
                          <a:pt x="7406" y="1326"/>
                          <a:pt x="7398" y="1299"/>
                          <a:pt x="7391" y="1271"/>
                        </a:cubicBezTo>
                        <a:lnTo>
                          <a:pt x="7190" y="1106"/>
                        </a:lnTo>
                        <a:lnTo>
                          <a:pt x="6860" y="848"/>
                        </a:lnTo>
                        <a:lnTo>
                          <a:pt x="6564" y="582"/>
                        </a:lnTo>
                        <a:lnTo>
                          <a:pt x="6331" y="370"/>
                        </a:lnTo>
                        <a:lnTo>
                          <a:pt x="6089" y="173"/>
                        </a:lnTo>
                        <a:lnTo>
                          <a:pt x="5828" y="45"/>
                        </a:lnTo>
                        <a:lnTo>
                          <a:pt x="5507" y="0"/>
                        </a:lnTo>
                        <a:lnTo>
                          <a:pt x="5199" y="32"/>
                        </a:lnTo>
                        <a:lnTo>
                          <a:pt x="4960" y="93"/>
                        </a:lnTo>
                        <a:lnTo>
                          <a:pt x="4715" y="144"/>
                        </a:lnTo>
                        <a:lnTo>
                          <a:pt x="4536" y="133"/>
                        </a:lnTo>
                        <a:lnTo>
                          <a:pt x="4347" y="266"/>
                        </a:lnTo>
                        <a:lnTo>
                          <a:pt x="4061" y="418"/>
                        </a:lnTo>
                        <a:lnTo>
                          <a:pt x="3649" y="630"/>
                        </a:lnTo>
                        <a:lnTo>
                          <a:pt x="3294" y="886"/>
                        </a:lnTo>
                        <a:lnTo>
                          <a:pt x="3139" y="1173"/>
                        </a:lnTo>
                        <a:cubicBezTo>
                          <a:pt x="3150" y="1270"/>
                          <a:pt x="3160" y="1368"/>
                          <a:pt x="3171" y="1465"/>
                        </a:cubicBezTo>
                        <a:cubicBezTo>
                          <a:pt x="3181" y="1536"/>
                          <a:pt x="3192" y="1607"/>
                          <a:pt x="3202" y="1678"/>
                        </a:cubicBezTo>
                        <a:cubicBezTo>
                          <a:pt x="3195" y="1753"/>
                          <a:pt x="3187" y="1829"/>
                          <a:pt x="3180" y="1904"/>
                        </a:cubicBezTo>
                        <a:cubicBezTo>
                          <a:pt x="3170" y="2081"/>
                          <a:pt x="3159" y="2259"/>
                          <a:pt x="3149" y="2436"/>
                        </a:cubicBezTo>
                        <a:cubicBezTo>
                          <a:pt x="3165" y="2538"/>
                          <a:pt x="3180" y="2640"/>
                          <a:pt x="3196" y="2742"/>
                        </a:cubicBezTo>
                        <a:lnTo>
                          <a:pt x="3250" y="2973"/>
                        </a:lnTo>
                        <a:lnTo>
                          <a:pt x="3029" y="2848"/>
                        </a:lnTo>
                        <a:lnTo>
                          <a:pt x="3014" y="2878"/>
                        </a:lnTo>
                        <a:cubicBezTo>
                          <a:pt x="3008" y="2908"/>
                          <a:pt x="3001" y="2938"/>
                          <a:pt x="2995" y="2968"/>
                        </a:cubicBezTo>
                        <a:cubicBezTo>
                          <a:pt x="2999" y="3083"/>
                          <a:pt x="3003" y="3199"/>
                          <a:pt x="3007" y="3314"/>
                        </a:cubicBezTo>
                        <a:cubicBezTo>
                          <a:pt x="3030" y="3437"/>
                          <a:pt x="3054" y="3561"/>
                          <a:pt x="3077" y="3684"/>
                        </a:cubicBezTo>
                        <a:cubicBezTo>
                          <a:pt x="3084" y="3718"/>
                          <a:pt x="3092" y="3751"/>
                          <a:pt x="3099" y="3785"/>
                        </a:cubicBezTo>
                        <a:cubicBezTo>
                          <a:pt x="3106" y="3819"/>
                          <a:pt x="3114" y="3854"/>
                          <a:pt x="3121" y="3888"/>
                        </a:cubicBezTo>
                        <a:lnTo>
                          <a:pt x="3253" y="4109"/>
                        </a:lnTo>
                        <a:lnTo>
                          <a:pt x="3372" y="4154"/>
                        </a:lnTo>
                        <a:lnTo>
                          <a:pt x="3467" y="4168"/>
                        </a:lnTo>
                        <a:lnTo>
                          <a:pt x="3470" y="4255"/>
                        </a:lnTo>
                        <a:cubicBezTo>
                          <a:pt x="3520" y="4495"/>
                          <a:pt x="3571" y="4736"/>
                          <a:pt x="3621" y="4976"/>
                        </a:cubicBezTo>
                        <a:cubicBezTo>
                          <a:pt x="3672" y="5064"/>
                          <a:pt x="3724" y="5151"/>
                          <a:pt x="3775" y="5239"/>
                        </a:cubicBezTo>
                        <a:cubicBezTo>
                          <a:pt x="3782" y="5248"/>
                          <a:pt x="3790" y="5257"/>
                          <a:pt x="3797" y="5266"/>
                        </a:cubicBezTo>
                        <a:lnTo>
                          <a:pt x="3797" y="5904"/>
                        </a:lnTo>
                        <a:cubicBezTo>
                          <a:pt x="3764" y="5934"/>
                          <a:pt x="3732" y="5965"/>
                          <a:pt x="3699" y="5995"/>
                        </a:cubicBezTo>
                        <a:lnTo>
                          <a:pt x="2869" y="6713"/>
                        </a:lnTo>
                        <a:lnTo>
                          <a:pt x="1746" y="7370"/>
                        </a:lnTo>
                        <a:lnTo>
                          <a:pt x="1429" y="7457"/>
                        </a:lnTo>
                        <a:lnTo>
                          <a:pt x="1158" y="7519"/>
                        </a:lnTo>
                        <a:lnTo>
                          <a:pt x="737" y="7630"/>
                        </a:lnTo>
                        <a:lnTo>
                          <a:pt x="0" y="8060"/>
                        </a:lnTo>
                        <a:lnTo>
                          <a:pt x="639" y="8306"/>
                        </a:lnTo>
                        <a:lnTo>
                          <a:pt x="1124" y="8742"/>
                        </a:lnTo>
                        <a:lnTo>
                          <a:pt x="1737" y="9117"/>
                        </a:lnTo>
                        <a:lnTo>
                          <a:pt x="2432" y="9431"/>
                        </a:lnTo>
                        <a:lnTo>
                          <a:pt x="3177" y="9681"/>
                        </a:lnTo>
                        <a:lnTo>
                          <a:pt x="3929" y="9862"/>
                        </a:lnTo>
                        <a:lnTo>
                          <a:pt x="4646" y="9968"/>
                        </a:lnTo>
                        <a:lnTo>
                          <a:pt x="5290" y="10000"/>
                        </a:lnTo>
                        <a:lnTo>
                          <a:pt x="6561" y="9846"/>
                        </a:lnTo>
                        <a:lnTo>
                          <a:pt x="8149" y="9391"/>
                        </a:lnTo>
                        <a:lnTo>
                          <a:pt x="8910" y="9069"/>
                        </a:lnTo>
                        <a:lnTo>
                          <a:pt x="9570" y="8694"/>
                        </a:lnTo>
                        <a:lnTo>
                          <a:pt x="10332" y="8320"/>
                        </a:lnTo>
                        <a:lnTo>
                          <a:pt x="10650" y="7962"/>
                        </a:lnTo>
                        <a:close/>
                      </a:path>
                    </a:pathLst>
                  </a:custGeom>
                  <a:solidFill>
                    <a:srgbClr val="9E9E9E"/>
                  </a:solidFill>
                  <a:ln>
                    <a:noFill/>
                  </a:ln>
                </xdr:spPr>
                <xdr:txBody>
                  <a:bodyPr/>
                  <a:lstStyle/>
                  <a:p>
                    <a:endParaRPr lang="en-US"/>
                  </a:p>
                </xdr:txBody>
              </xdr:sp>
            </xdr:grpSp>
            <xdr:pic>
              <xdr:nvPicPr>
                <xdr:cNvPr id="7249" name="08_profileimage">
                  <a:hlinkClick xmlns:r="http://schemas.openxmlformats.org/officeDocument/2006/relationships" r:id="rId49"/>
                </xdr:cNvPr>
                <xdr:cNvPicPr>
                  <a:picLocks/>
                </xdr:cNvPicPr>
              </xdr:nvPicPr>
              <xdr:blipFill>
                <a:blip xmlns:r="http://schemas.openxmlformats.org/officeDocument/2006/relationships" r:link="rId50"/>
                <a:stretch>
                  <a:fillRect/>
                </a:stretch>
              </xdr:blipFill>
              <xdr:spPr>
                <a:xfrm>
                  <a:off x="6272403" y="61680849"/>
                  <a:ext cx="822960" cy="822960"/>
                </a:xfrm>
                <a:prstGeom prst="rect">
                  <a:avLst/>
                </a:prstGeom>
              </xdr:spPr>
            </xdr:pic>
            <xdr:sp macro="" textlink="">
              <xdr:nvSpPr>
                <xdr:cNvPr id="703" name="08_imgModule_Freeform_10"/>
                <xdr:cNvSpPr>
                  <a:spLocks noEditPoints="1"/>
                </xdr:cNvSpPr>
              </xdr:nvSpPr>
              <xdr:spPr bwMode="auto">
                <a:xfrm>
                  <a:off x="6199251" y="61607699"/>
                  <a:ext cx="969264" cy="969264"/>
                </a:xfrm>
                <a:custGeom>
                  <a:avLst/>
                  <a:gdLst>
                    <a:gd name="T0" fmla="*/ 0 w 417"/>
                    <a:gd name="T1" fmla="*/ 417 h 417"/>
                    <a:gd name="T2" fmla="*/ 417 w 417"/>
                    <a:gd name="T3" fmla="*/ 0 h 417"/>
                    <a:gd name="T4" fmla="*/ 209 w 417"/>
                    <a:gd name="T5" fmla="*/ 385 h 417"/>
                    <a:gd name="T6" fmla="*/ 190 w 417"/>
                    <a:gd name="T7" fmla="*/ 384 h 417"/>
                    <a:gd name="T8" fmla="*/ 156 w 417"/>
                    <a:gd name="T9" fmla="*/ 377 h 417"/>
                    <a:gd name="T10" fmla="*/ 124 w 417"/>
                    <a:gd name="T11" fmla="*/ 364 h 417"/>
                    <a:gd name="T12" fmla="*/ 96 w 417"/>
                    <a:gd name="T13" fmla="*/ 345 h 417"/>
                    <a:gd name="T14" fmla="*/ 72 w 417"/>
                    <a:gd name="T15" fmla="*/ 321 h 417"/>
                    <a:gd name="T16" fmla="*/ 53 w 417"/>
                    <a:gd name="T17" fmla="*/ 293 h 417"/>
                    <a:gd name="T18" fmla="*/ 40 w 417"/>
                    <a:gd name="T19" fmla="*/ 261 h 417"/>
                    <a:gd name="T20" fmla="*/ 33 w 417"/>
                    <a:gd name="T21" fmla="*/ 227 h 417"/>
                    <a:gd name="T22" fmla="*/ 32 w 417"/>
                    <a:gd name="T23" fmla="*/ 209 h 417"/>
                    <a:gd name="T24" fmla="*/ 36 w 417"/>
                    <a:gd name="T25" fmla="*/ 173 h 417"/>
                    <a:gd name="T26" fmla="*/ 46 w 417"/>
                    <a:gd name="T27" fmla="*/ 139 h 417"/>
                    <a:gd name="T28" fmla="*/ 62 w 417"/>
                    <a:gd name="T29" fmla="*/ 110 h 417"/>
                    <a:gd name="T30" fmla="*/ 84 w 417"/>
                    <a:gd name="T31" fmla="*/ 84 h 417"/>
                    <a:gd name="T32" fmla="*/ 110 w 417"/>
                    <a:gd name="T33" fmla="*/ 62 h 417"/>
                    <a:gd name="T34" fmla="*/ 139 w 417"/>
                    <a:gd name="T35" fmla="*/ 46 h 417"/>
                    <a:gd name="T36" fmla="*/ 173 w 417"/>
                    <a:gd name="T37" fmla="*/ 36 h 417"/>
                    <a:gd name="T38" fmla="*/ 209 w 417"/>
                    <a:gd name="T39" fmla="*/ 32 h 417"/>
                    <a:gd name="T40" fmla="*/ 227 w 417"/>
                    <a:gd name="T41" fmla="*/ 33 h 417"/>
                    <a:gd name="T42" fmla="*/ 261 w 417"/>
                    <a:gd name="T43" fmla="*/ 40 h 417"/>
                    <a:gd name="T44" fmla="*/ 293 w 417"/>
                    <a:gd name="T45" fmla="*/ 53 h 417"/>
                    <a:gd name="T46" fmla="*/ 321 w 417"/>
                    <a:gd name="T47" fmla="*/ 72 h 417"/>
                    <a:gd name="T48" fmla="*/ 345 w 417"/>
                    <a:gd name="T49" fmla="*/ 96 h 417"/>
                    <a:gd name="T50" fmla="*/ 364 w 417"/>
                    <a:gd name="T51" fmla="*/ 124 h 417"/>
                    <a:gd name="T52" fmla="*/ 377 w 417"/>
                    <a:gd name="T53" fmla="*/ 156 h 417"/>
                    <a:gd name="T54" fmla="*/ 384 w 417"/>
                    <a:gd name="T55" fmla="*/ 190 h 417"/>
                    <a:gd name="T56" fmla="*/ 385 w 417"/>
                    <a:gd name="T57" fmla="*/ 209 h 417"/>
                    <a:gd name="T58" fmla="*/ 381 w 417"/>
                    <a:gd name="T59" fmla="*/ 244 h 417"/>
                    <a:gd name="T60" fmla="*/ 371 w 417"/>
                    <a:gd name="T61" fmla="*/ 278 h 417"/>
                    <a:gd name="T62" fmla="*/ 355 w 417"/>
                    <a:gd name="T63" fmla="*/ 307 h 417"/>
                    <a:gd name="T64" fmla="*/ 333 w 417"/>
                    <a:gd name="T65" fmla="*/ 333 h 417"/>
                    <a:gd name="T66" fmla="*/ 307 w 417"/>
                    <a:gd name="T67" fmla="*/ 355 h 417"/>
                    <a:gd name="T68" fmla="*/ 278 w 417"/>
                    <a:gd name="T69" fmla="*/ 371 h 417"/>
                    <a:gd name="T70" fmla="*/ 244 w 417"/>
                    <a:gd name="T71" fmla="*/ 381 h 417"/>
                    <a:gd name="T72" fmla="*/ 209 w 417"/>
                    <a:gd name="T73" fmla="*/ 385 h 41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Lst>
                  <a:rect l="0" t="0" r="r" b="b"/>
                  <a:pathLst>
                    <a:path w="417" h="417">
                      <a:moveTo>
                        <a:pt x="0" y="0"/>
                      </a:moveTo>
                      <a:lnTo>
                        <a:pt x="0" y="417"/>
                      </a:lnTo>
                      <a:lnTo>
                        <a:pt x="417" y="417"/>
                      </a:lnTo>
                      <a:lnTo>
                        <a:pt x="417" y="0"/>
                      </a:lnTo>
                      <a:lnTo>
                        <a:pt x="0" y="0"/>
                      </a:lnTo>
                      <a:close/>
                      <a:moveTo>
                        <a:pt x="209" y="385"/>
                      </a:moveTo>
                      <a:lnTo>
                        <a:pt x="209" y="385"/>
                      </a:lnTo>
                      <a:lnTo>
                        <a:pt x="190" y="384"/>
                      </a:lnTo>
                      <a:lnTo>
                        <a:pt x="173" y="381"/>
                      </a:lnTo>
                      <a:lnTo>
                        <a:pt x="156" y="377"/>
                      </a:lnTo>
                      <a:lnTo>
                        <a:pt x="139" y="371"/>
                      </a:lnTo>
                      <a:lnTo>
                        <a:pt x="124" y="364"/>
                      </a:lnTo>
                      <a:lnTo>
                        <a:pt x="110" y="355"/>
                      </a:lnTo>
                      <a:lnTo>
                        <a:pt x="96" y="345"/>
                      </a:lnTo>
                      <a:lnTo>
                        <a:pt x="84" y="333"/>
                      </a:lnTo>
                      <a:lnTo>
                        <a:pt x="72" y="321"/>
                      </a:lnTo>
                      <a:lnTo>
                        <a:pt x="62" y="307"/>
                      </a:lnTo>
                      <a:lnTo>
                        <a:pt x="53" y="293"/>
                      </a:lnTo>
                      <a:lnTo>
                        <a:pt x="46" y="278"/>
                      </a:lnTo>
                      <a:lnTo>
                        <a:pt x="40" y="261"/>
                      </a:lnTo>
                      <a:lnTo>
                        <a:pt x="36" y="244"/>
                      </a:lnTo>
                      <a:lnTo>
                        <a:pt x="33" y="227"/>
                      </a:lnTo>
                      <a:lnTo>
                        <a:pt x="32" y="209"/>
                      </a:lnTo>
                      <a:lnTo>
                        <a:pt x="32" y="209"/>
                      </a:lnTo>
                      <a:lnTo>
                        <a:pt x="33" y="190"/>
                      </a:lnTo>
                      <a:lnTo>
                        <a:pt x="36" y="173"/>
                      </a:lnTo>
                      <a:lnTo>
                        <a:pt x="40" y="156"/>
                      </a:lnTo>
                      <a:lnTo>
                        <a:pt x="46" y="139"/>
                      </a:lnTo>
                      <a:lnTo>
                        <a:pt x="53" y="124"/>
                      </a:lnTo>
                      <a:lnTo>
                        <a:pt x="62" y="110"/>
                      </a:lnTo>
                      <a:lnTo>
                        <a:pt x="72" y="96"/>
                      </a:lnTo>
                      <a:lnTo>
                        <a:pt x="84" y="84"/>
                      </a:lnTo>
                      <a:lnTo>
                        <a:pt x="96" y="72"/>
                      </a:lnTo>
                      <a:lnTo>
                        <a:pt x="110" y="62"/>
                      </a:lnTo>
                      <a:lnTo>
                        <a:pt x="124" y="53"/>
                      </a:lnTo>
                      <a:lnTo>
                        <a:pt x="139" y="46"/>
                      </a:lnTo>
                      <a:lnTo>
                        <a:pt x="156" y="40"/>
                      </a:lnTo>
                      <a:lnTo>
                        <a:pt x="173" y="36"/>
                      </a:lnTo>
                      <a:lnTo>
                        <a:pt x="190" y="33"/>
                      </a:lnTo>
                      <a:lnTo>
                        <a:pt x="209" y="32"/>
                      </a:lnTo>
                      <a:lnTo>
                        <a:pt x="209" y="32"/>
                      </a:lnTo>
                      <a:lnTo>
                        <a:pt x="227" y="33"/>
                      </a:lnTo>
                      <a:lnTo>
                        <a:pt x="244" y="36"/>
                      </a:lnTo>
                      <a:lnTo>
                        <a:pt x="261" y="40"/>
                      </a:lnTo>
                      <a:lnTo>
                        <a:pt x="278" y="46"/>
                      </a:lnTo>
                      <a:lnTo>
                        <a:pt x="293" y="53"/>
                      </a:lnTo>
                      <a:lnTo>
                        <a:pt x="307" y="62"/>
                      </a:lnTo>
                      <a:lnTo>
                        <a:pt x="321" y="72"/>
                      </a:lnTo>
                      <a:lnTo>
                        <a:pt x="333" y="84"/>
                      </a:lnTo>
                      <a:lnTo>
                        <a:pt x="345" y="96"/>
                      </a:lnTo>
                      <a:lnTo>
                        <a:pt x="355" y="110"/>
                      </a:lnTo>
                      <a:lnTo>
                        <a:pt x="364" y="124"/>
                      </a:lnTo>
                      <a:lnTo>
                        <a:pt x="371" y="139"/>
                      </a:lnTo>
                      <a:lnTo>
                        <a:pt x="377" y="156"/>
                      </a:lnTo>
                      <a:lnTo>
                        <a:pt x="381" y="173"/>
                      </a:lnTo>
                      <a:lnTo>
                        <a:pt x="384" y="190"/>
                      </a:lnTo>
                      <a:lnTo>
                        <a:pt x="385" y="209"/>
                      </a:lnTo>
                      <a:lnTo>
                        <a:pt x="385" y="209"/>
                      </a:lnTo>
                      <a:lnTo>
                        <a:pt x="384" y="227"/>
                      </a:lnTo>
                      <a:lnTo>
                        <a:pt x="381" y="244"/>
                      </a:lnTo>
                      <a:lnTo>
                        <a:pt x="377" y="261"/>
                      </a:lnTo>
                      <a:lnTo>
                        <a:pt x="371" y="278"/>
                      </a:lnTo>
                      <a:lnTo>
                        <a:pt x="364" y="293"/>
                      </a:lnTo>
                      <a:lnTo>
                        <a:pt x="355" y="307"/>
                      </a:lnTo>
                      <a:lnTo>
                        <a:pt x="345" y="321"/>
                      </a:lnTo>
                      <a:lnTo>
                        <a:pt x="333" y="333"/>
                      </a:lnTo>
                      <a:lnTo>
                        <a:pt x="321" y="345"/>
                      </a:lnTo>
                      <a:lnTo>
                        <a:pt x="307" y="355"/>
                      </a:lnTo>
                      <a:lnTo>
                        <a:pt x="293" y="364"/>
                      </a:lnTo>
                      <a:lnTo>
                        <a:pt x="278" y="371"/>
                      </a:lnTo>
                      <a:lnTo>
                        <a:pt x="261" y="377"/>
                      </a:lnTo>
                      <a:lnTo>
                        <a:pt x="244" y="381"/>
                      </a:lnTo>
                      <a:lnTo>
                        <a:pt x="227" y="384"/>
                      </a:lnTo>
                      <a:lnTo>
                        <a:pt x="209" y="385"/>
                      </a:lnTo>
                      <a:lnTo>
                        <a:pt x="209" y="385"/>
                      </a:lnTo>
                      <a:close/>
                    </a:path>
                  </a:pathLst>
                </a:custGeom>
                <a:solidFill>
                  <a:srgbClr val="E0E0E0"/>
                </a:solidFill>
                <a:ln>
                  <a:noFill/>
                </a:ln>
              </xdr:spPr>
            </xdr:sp>
          </xdr:grpSp>
        </xdr:grpSp>
        <xdr:pic>
          <xdr:nvPicPr>
            <xdr:cNvPr id="7418" name="08_channelimage"/>
            <xdr:cNvPicPr>
              <a:picLocks/>
            </xdr:cNvPicPr>
          </xdr:nvPicPr>
          <xdr:blipFill>
            <a:blip xmlns:r="http://schemas.openxmlformats.org/officeDocument/2006/relationships" r:link="rId32"/>
            <a:stretch>
              <a:fillRect/>
            </a:stretch>
          </xdr:blipFill>
          <xdr:spPr>
            <a:xfrm>
              <a:off x="6038850" y="61444014"/>
              <a:ext cx="576072" cy="576072"/>
            </a:xfrm>
            <a:prstGeom prst="rect">
              <a:avLst/>
            </a:prstGeom>
          </xdr:spPr>
        </xdr:pic>
      </xdr:grpSp>
      <xdr:grpSp>
        <xdr:nvGrpSpPr>
          <xdr:cNvPr id="9257" name="Group 9256"/>
          <xdr:cNvGrpSpPr/>
        </xdr:nvGrpSpPr>
        <xdr:grpSpPr>
          <a:xfrm>
            <a:off x="695325" y="63531749"/>
            <a:ext cx="5020056" cy="2095499"/>
            <a:chOff x="695325" y="63646049"/>
            <a:chExt cx="5020056" cy="2095499"/>
          </a:xfrm>
        </xdr:grpSpPr>
        <xdr:grpSp>
          <xdr:nvGrpSpPr>
            <xdr:cNvPr id="9245" name="Group 9244"/>
            <xdr:cNvGrpSpPr/>
          </xdr:nvGrpSpPr>
          <xdr:grpSpPr>
            <a:xfrm>
              <a:off x="695325" y="63646049"/>
              <a:ext cx="5020056" cy="2095499"/>
              <a:chOff x="695325" y="63646049"/>
              <a:chExt cx="5020056" cy="2095499"/>
            </a:xfrm>
          </xdr:grpSpPr>
          <xdr:grpSp>
            <xdr:nvGrpSpPr>
              <xdr:cNvPr id="9241" name="Group 9240"/>
              <xdr:cNvGrpSpPr/>
            </xdr:nvGrpSpPr>
            <xdr:grpSpPr>
              <a:xfrm>
                <a:off x="695325" y="63646049"/>
                <a:ext cx="5020056" cy="2095499"/>
                <a:chOff x="695325" y="63646049"/>
                <a:chExt cx="5020056" cy="2095499"/>
              </a:xfrm>
            </xdr:grpSpPr>
            <xdr:sp macro="" textlink="">
              <xdr:nvSpPr>
                <xdr:cNvPr id="645" name="09_imgModule_Rounded_Rectangle_539"/>
                <xdr:cNvSpPr/>
              </xdr:nvSpPr>
              <xdr:spPr>
                <a:xfrm>
                  <a:off x="695325" y="63655574"/>
                  <a:ext cx="5020056" cy="2085974"/>
                </a:xfrm>
                <a:prstGeom prst="roundRect">
                  <a:avLst>
                    <a:gd name="adj" fmla="val 800"/>
                  </a:avLst>
                </a:prstGeom>
                <a:solidFill>
                  <a:srgbClr val="757575"/>
                </a:solidFill>
                <a:ln w="12700">
                  <a:solidFill>
                    <a:srgbClr val="1E1E1E"/>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l"/>
                  <a:endParaRPr lang="en-US" sz="1100"/>
                </a:p>
              </xdr:txBody>
            </xdr:sp>
            <xdr:sp macro="" textlink="">
              <xdr:nvSpPr>
                <xdr:cNvPr id="646" name="09_imgModule_Rounded_Rectangle_540"/>
                <xdr:cNvSpPr/>
              </xdr:nvSpPr>
              <xdr:spPr>
                <a:xfrm>
                  <a:off x="695325" y="63646049"/>
                  <a:ext cx="5020056" cy="2084832"/>
                </a:xfrm>
                <a:prstGeom prst="roundRect">
                  <a:avLst>
                    <a:gd name="adj" fmla="val 800"/>
                  </a:avLst>
                </a:prstGeom>
                <a:solidFill>
                  <a:srgbClr val="757575"/>
                </a:solidFill>
                <a:ln w="12700">
                  <a:solidFill>
                    <a:srgbClr val="1A1A1A"/>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l"/>
                  <a:endParaRPr lang="en-US" sz="1100"/>
                </a:p>
              </xdr:txBody>
            </xdr:sp>
          </xdr:grpSp>
          <xdr:grpSp>
            <xdr:nvGrpSpPr>
              <xdr:cNvPr id="9242" name="Group 9241"/>
              <xdr:cNvGrpSpPr/>
            </xdr:nvGrpSpPr>
            <xdr:grpSpPr>
              <a:xfrm>
                <a:off x="4447603" y="63807973"/>
                <a:ext cx="1155910" cy="651129"/>
                <a:chOff x="4447603" y="63807973"/>
                <a:chExt cx="1155910" cy="651129"/>
              </a:xfrm>
            </xdr:grpSpPr>
            <xdr:sp macro="" textlink="Calculations!F427">
              <xdr:nvSpPr>
                <xdr:cNvPr id="643" name="09_metric01_number"/>
                <xdr:cNvSpPr txBox="1"/>
              </xdr:nvSpPr>
              <xdr:spPr>
                <a:xfrm>
                  <a:off x="4447603" y="63807973"/>
                  <a:ext cx="1143000" cy="28438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ctr"/>
                <a:lstStyle/>
                <a:p>
                  <a:pPr marL="0" indent="0" algn="l"/>
                  <a:fld id="{1F9155A7-F517-45D2-A50E-92BE03A1485A}" type="TxLink">
                    <a:rPr lang="en-US" sz="2200" b="0" i="0" u="none" strike="noStrike">
                      <a:solidFill>
                        <a:srgbClr val="AFBFFF"/>
                      </a:solidFill>
                      <a:latin typeface="+mn-lt"/>
                      <a:ea typeface="+mn-ea"/>
                      <a:cs typeface="+mn-cs"/>
                    </a:rPr>
                    <a:pPr marL="0" indent="0" algn="l"/>
                    <a:t>4,731</a:t>
                  </a:fld>
                  <a:endParaRPr lang="en-US" sz="2200" b="0" i="0" u="none" strike="noStrike">
                    <a:solidFill>
                      <a:srgbClr val="AFBFFF"/>
                    </a:solidFill>
                    <a:latin typeface="+mn-lt"/>
                    <a:ea typeface="+mn-ea"/>
                    <a:cs typeface="+mn-cs"/>
                  </a:endParaRPr>
                </a:p>
              </xdr:txBody>
            </xdr:sp>
            <xdr:sp macro="" textlink="Calculations!G427">
              <xdr:nvSpPr>
                <xdr:cNvPr id="644" name="09_metric01_label"/>
                <xdr:cNvSpPr txBox="1"/>
              </xdr:nvSpPr>
              <xdr:spPr>
                <a:xfrm>
                  <a:off x="4460513" y="64084198"/>
                  <a:ext cx="1143000" cy="3749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marL="0" indent="0" algn="l"/>
                  <a:fld id="{6ABBA002-AB2E-43A9-A54F-F31CF3117A37}" type="TxLink">
                    <a:rPr lang="en-US" sz="1200" b="0" i="0" u="none" strike="noStrike">
                      <a:solidFill>
                        <a:srgbClr val="E0E0E0"/>
                      </a:solidFill>
                      <a:latin typeface="+mn-lt"/>
                      <a:ea typeface="+mn-ea"/>
                      <a:cs typeface="+mn-cs"/>
                    </a:rPr>
                    <a:pPr marL="0" indent="0" algn="l"/>
                    <a:t>Instagram Engagements</a:t>
                  </a:fld>
                  <a:endParaRPr lang="en-US" sz="1200" b="0" i="0" u="none" strike="noStrike">
                    <a:solidFill>
                      <a:srgbClr val="E0E0E0"/>
                    </a:solidFill>
                    <a:latin typeface="+mn-lt"/>
                    <a:ea typeface="+mn-ea"/>
                    <a:cs typeface="+mn-cs"/>
                  </a:endParaRPr>
                </a:p>
              </xdr:txBody>
            </xdr:sp>
          </xdr:grpSp>
          <xdr:grpSp>
            <xdr:nvGrpSpPr>
              <xdr:cNvPr id="9243" name="Group 9242"/>
              <xdr:cNvGrpSpPr/>
            </xdr:nvGrpSpPr>
            <xdr:grpSpPr>
              <a:xfrm>
                <a:off x="4447603" y="65122423"/>
                <a:ext cx="1155910" cy="613029"/>
                <a:chOff x="4447603" y="65122423"/>
                <a:chExt cx="1155910" cy="613029"/>
              </a:xfrm>
            </xdr:grpSpPr>
            <xdr:sp macro="" textlink="Calculations!M427">
              <xdr:nvSpPr>
                <xdr:cNvPr id="641" name="09_metric03_number"/>
                <xdr:cNvSpPr txBox="1"/>
              </xdr:nvSpPr>
              <xdr:spPr>
                <a:xfrm>
                  <a:off x="4447603" y="65122423"/>
                  <a:ext cx="1143000" cy="28438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ctr"/>
                <a:lstStyle/>
                <a:p>
                  <a:pPr marL="0" indent="0" algn="l"/>
                  <a:fld id="{3CDF6AC4-F3FE-4604-AA69-A4166C582360}" type="TxLink">
                    <a:rPr lang="en-US" sz="1600" b="0" i="0" u="none" strike="noStrike">
                      <a:solidFill>
                        <a:srgbClr val="AFBFFF"/>
                      </a:solidFill>
                      <a:latin typeface="+mn-lt"/>
                      <a:ea typeface="+mn-ea"/>
                      <a:cs typeface="+mn-cs"/>
                    </a:rPr>
                    <a:pPr marL="0" indent="0" algn="l"/>
                    <a:t>54</a:t>
                  </a:fld>
                  <a:endParaRPr lang="en-US" sz="1600" b="0" i="0" u="none" strike="noStrike">
                    <a:solidFill>
                      <a:srgbClr val="AFBFFF"/>
                    </a:solidFill>
                    <a:latin typeface="+mn-lt"/>
                    <a:ea typeface="+mn-ea"/>
                    <a:cs typeface="+mn-cs"/>
                  </a:endParaRPr>
                </a:p>
              </xdr:txBody>
            </xdr:sp>
            <xdr:sp macro="" textlink="Calculations!N427">
              <xdr:nvSpPr>
                <xdr:cNvPr id="642" name="09_metric03_label"/>
                <xdr:cNvSpPr txBox="1"/>
              </xdr:nvSpPr>
              <xdr:spPr>
                <a:xfrm>
                  <a:off x="4460513" y="65360548"/>
                  <a:ext cx="1143000" cy="3749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marL="0" indent="0" algn="l"/>
                  <a:fld id="{03CC24A4-9B2E-494E-89E2-39DA9A2691C4}" type="TxLink">
                    <a:rPr lang="en-US" sz="1200" b="0" i="0" u="none" strike="noStrike">
                      <a:solidFill>
                        <a:srgbClr val="E0E0E0"/>
                      </a:solidFill>
                      <a:latin typeface="+mn-lt"/>
                      <a:ea typeface="+mn-ea"/>
                      <a:cs typeface="+mn-cs"/>
                    </a:rPr>
                    <a:pPr marL="0" indent="0" algn="l"/>
                    <a:t>Comments</a:t>
                  </a:fld>
                  <a:endParaRPr lang="en-US" sz="1200" b="0" i="0" u="none" strike="noStrike">
                    <a:solidFill>
                      <a:srgbClr val="E0E0E0"/>
                    </a:solidFill>
                    <a:latin typeface="+mn-lt"/>
                    <a:ea typeface="+mn-ea"/>
                    <a:cs typeface="+mn-cs"/>
                  </a:endParaRPr>
                </a:p>
              </xdr:txBody>
            </xdr:sp>
          </xdr:grpSp>
          <xdr:grpSp>
            <xdr:nvGrpSpPr>
              <xdr:cNvPr id="9244" name="Group 9243"/>
              <xdr:cNvGrpSpPr/>
            </xdr:nvGrpSpPr>
            <xdr:grpSpPr>
              <a:xfrm>
                <a:off x="4447603" y="64574735"/>
                <a:ext cx="1155910" cy="622554"/>
                <a:chOff x="4447603" y="64574735"/>
                <a:chExt cx="1155910" cy="622554"/>
              </a:xfrm>
            </xdr:grpSpPr>
            <xdr:sp macro="" textlink="Calculations!J427">
              <xdr:nvSpPr>
                <xdr:cNvPr id="639" name="09_metric02_number"/>
                <xdr:cNvSpPr txBox="1"/>
              </xdr:nvSpPr>
              <xdr:spPr>
                <a:xfrm>
                  <a:off x="4447603" y="64574735"/>
                  <a:ext cx="1143000" cy="28438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ctr"/>
                <a:lstStyle/>
                <a:p>
                  <a:pPr marL="0" indent="0" algn="l"/>
                  <a:fld id="{46CF6C3A-8BEF-4233-80CB-F7AADE84E24E}" type="TxLink">
                    <a:rPr lang="en-US" sz="1600" b="0" i="0" u="none" strike="noStrike">
                      <a:solidFill>
                        <a:srgbClr val="AFBFFF"/>
                      </a:solidFill>
                      <a:latin typeface="+mn-lt"/>
                      <a:ea typeface="+mn-ea"/>
                      <a:cs typeface="+mn-cs"/>
                    </a:rPr>
                    <a:pPr marL="0" indent="0" algn="l"/>
                    <a:t>4,677</a:t>
                  </a:fld>
                  <a:endParaRPr lang="en-US" sz="1600" b="0" i="0" u="none" strike="noStrike">
                    <a:solidFill>
                      <a:srgbClr val="AFBFFF"/>
                    </a:solidFill>
                    <a:latin typeface="+mn-lt"/>
                    <a:ea typeface="+mn-ea"/>
                    <a:cs typeface="+mn-cs"/>
                  </a:endParaRPr>
                </a:p>
              </xdr:txBody>
            </xdr:sp>
            <xdr:sp macro="" textlink="Calculations!K427">
              <xdr:nvSpPr>
                <xdr:cNvPr id="640" name="09_metric02_label"/>
                <xdr:cNvSpPr txBox="1"/>
              </xdr:nvSpPr>
              <xdr:spPr>
                <a:xfrm>
                  <a:off x="4460513" y="64822385"/>
                  <a:ext cx="1143000" cy="3749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marL="0" indent="0" algn="l"/>
                  <a:fld id="{44926CA6-5702-4704-B11F-631100A48096}" type="TxLink">
                    <a:rPr lang="en-US" sz="1200" b="0" i="0" u="none" strike="noStrike">
                      <a:solidFill>
                        <a:srgbClr val="E0E0E0"/>
                      </a:solidFill>
                      <a:latin typeface="+mn-lt"/>
                      <a:ea typeface="+mn-ea"/>
                      <a:cs typeface="+mn-cs"/>
                    </a:rPr>
                    <a:pPr marL="0" indent="0" algn="l"/>
                    <a:t>Likes</a:t>
                  </a:fld>
                  <a:endParaRPr lang="en-US" sz="1200" b="0" i="0" u="none" strike="noStrike">
                    <a:solidFill>
                      <a:srgbClr val="E0E0E0"/>
                    </a:solidFill>
                    <a:latin typeface="+mn-lt"/>
                    <a:ea typeface="+mn-ea"/>
                    <a:cs typeface="+mn-cs"/>
                  </a:endParaRPr>
                </a:p>
              </xdr:txBody>
            </xdr:sp>
          </xdr:grpSp>
        </xdr:grpSp>
        <xdr:grpSp>
          <xdr:nvGrpSpPr>
            <xdr:cNvPr id="9256" name="Group 9255"/>
            <xdr:cNvGrpSpPr/>
          </xdr:nvGrpSpPr>
          <xdr:grpSpPr>
            <a:xfrm>
              <a:off x="809053" y="63760347"/>
              <a:ext cx="3524822" cy="1866900"/>
              <a:chOff x="809053" y="63760347"/>
              <a:chExt cx="3524822" cy="1866900"/>
            </a:xfrm>
          </xdr:grpSpPr>
          <xdr:grpSp>
            <xdr:nvGrpSpPr>
              <xdr:cNvPr id="9248" name="Group 9247"/>
              <xdr:cNvGrpSpPr/>
            </xdr:nvGrpSpPr>
            <xdr:grpSpPr>
              <a:xfrm>
                <a:off x="809053" y="63760347"/>
                <a:ext cx="3524822" cy="1866900"/>
                <a:chOff x="809053" y="63760347"/>
                <a:chExt cx="3524822" cy="1866900"/>
              </a:xfrm>
            </xdr:grpSpPr>
            <xdr:grpSp>
              <xdr:nvGrpSpPr>
                <xdr:cNvPr id="9246" name="Group 9245"/>
                <xdr:cNvGrpSpPr/>
              </xdr:nvGrpSpPr>
              <xdr:grpSpPr>
                <a:xfrm>
                  <a:off x="809053" y="63760347"/>
                  <a:ext cx="3524822" cy="1866900"/>
                  <a:chOff x="809053" y="63760347"/>
                  <a:chExt cx="3524822" cy="1866900"/>
                </a:xfrm>
              </xdr:grpSpPr>
              <xdr:sp macro="" textlink="">
                <xdr:nvSpPr>
                  <xdr:cNvPr id="628" name="09_imgModule_Rounded_Rectangle_533"/>
                  <xdr:cNvSpPr/>
                </xdr:nvSpPr>
                <xdr:spPr>
                  <a:xfrm>
                    <a:off x="809054" y="63769872"/>
                    <a:ext cx="3524250" cy="1857375"/>
                  </a:xfrm>
                  <a:prstGeom prst="roundRect">
                    <a:avLst>
                      <a:gd name="adj" fmla="val 909"/>
                    </a:avLst>
                  </a:prstGeom>
                  <a:solidFill>
                    <a:srgbClr val="E0E0E0"/>
                  </a:solidFill>
                  <a:ln w="12700">
                    <a:solidFill>
                      <a:srgbClr val="646464"/>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l"/>
                    <a:endParaRPr lang="en-US" sz="1100"/>
                  </a:p>
                </xdr:txBody>
              </xdr:sp>
              <xdr:sp macro="" textlink="">
                <xdr:nvSpPr>
                  <xdr:cNvPr id="629" name="09_imgModule_Rounded_Rectangle_536"/>
                  <xdr:cNvSpPr/>
                </xdr:nvSpPr>
                <xdr:spPr>
                  <a:xfrm>
                    <a:off x="809053" y="63760347"/>
                    <a:ext cx="3524822" cy="1856232"/>
                  </a:xfrm>
                  <a:prstGeom prst="roundRect">
                    <a:avLst>
                      <a:gd name="adj" fmla="val 909"/>
                    </a:avLst>
                  </a:prstGeom>
                  <a:solidFill>
                    <a:srgbClr val="E0E0E0"/>
                  </a:solidFill>
                  <a:ln w="12700">
                    <a:solidFill>
                      <a:srgbClr val="5E5E5E"/>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l"/>
                    <a:endParaRPr lang="en-US" sz="1100"/>
                  </a:p>
                </xdr:txBody>
              </xdr:sp>
            </xdr:grpSp>
            <xdr:grpSp>
              <xdr:nvGrpSpPr>
                <xdr:cNvPr id="9247" name="Group 9246"/>
                <xdr:cNvGrpSpPr/>
              </xdr:nvGrpSpPr>
              <xdr:grpSpPr>
                <a:xfrm>
                  <a:off x="2486215" y="63769871"/>
                  <a:ext cx="1847088" cy="1847088"/>
                  <a:chOff x="2486215" y="63769871"/>
                  <a:chExt cx="1847088" cy="1847088"/>
                </a:xfrm>
              </xdr:grpSpPr>
              <xdr:sp macro="" textlink="">
                <xdr:nvSpPr>
                  <xdr:cNvPr id="623" name="09_imgModule_Rounded_Rectangle_534"/>
                  <xdr:cNvSpPr/>
                </xdr:nvSpPr>
                <xdr:spPr>
                  <a:xfrm>
                    <a:off x="2486215" y="63769871"/>
                    <a:ext cx="1847088" cy="1847088"/>
                  </a:xfrm>
                  <a:prstGeom prst="roundRect">
                    <a:avLst>
                      <a:gd name="adj" fmla="val 909"/>
                    </a:avLst>
                  </a:prstGeom>
                  <a:solidFill>
                    <a:srgbClr val="D7D7D7"/>
                  </a:solidFill>
                  <a:ln w="12700">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l"/>
                    <a:endParaRPr lang="en-US" sz="1100"/>
                  </a:p>
                </xdr:txBody>
              </xdr:sp>
              <xdr:sp macro="" textlink="">
                <xdr:nvSpPr>
                  <xdr:cNvPr id="624" name="09_imgModule_Rectangle_430"/>
                  <xdr:cNvSpPr/>
                </xdr:nvSpPr>
                <xdr:spPr>
                  <a:xfrm>
                    <a:off x="2486215" y="63769871"/>
                    <a:ext cx="91440" cy="1847088"/>
                  </a:xfrm>
                  <a:prstGeom prst="rect">
                    <a:avLst/>
                  </a:prstGeom>
                  <a:solidFill>
                    <a:srgbClr val="D7D7D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grpSp>
          <xdr:grpSp>
            <xdr:nvGrpSpPr>
              <xdr:cNvPr id="9249" name="Group 9248"/>
              <xdr:cNvGrpSpPr/>
            </xdr:nvGrpSpPr>
            <xdr:grpSpPr>
              <a:xfrm>
                <a:off x="1037653" y="65138734"/>
                <a:ext cx="1372172" cy="424370"/>
                <a:chOff x="1037653" y="65138734"/>
                <a:chExt cx="1372172" cy="424370"/>
              </a:xfrm>
            </xdr:grpSpPr>
            <xdr:sp macro="" textlink="Calculations!D427">
              <xdr:nvSpPr>
                <xdr:cNvPr id="614" name="09_profilename"/>
                <xdr:cNvSpPr txBox="1"/>
              </xdr:nvSpPr>
              <xdr:spPr>
                <a:xfrm>
                  <a:off x="1037653" y="65328076"/>
                  <a:ext cx="1372172" cy="2350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ctr"/>
                <a:lstStyle/>
                <a:p>
                  <a:pPr marL="0" indent="0" algn="l"/>
                  <a:fld id="{34D2B2FD-7645-4A65-AE30-F421C60662C2}" type="TxLink">
                    <a:rPr lang="en-US" sz="1300" b="0" i="0" u="none" strike="noStrike">
                      <a:solidFill>
                        <a:srgbClr val="4D4D4D"/>
                      </a:solidFill>
                      <a:latin typeface="+mn-lt"/>
                      <a:ea typeface="+mn-ea"/>
                      <a:cs typeface="+mn-cs"/>
                    </a:rPr>
                    <a:pPr marL="0" indent="0" algn="l"/>
                    <a:t>ariletmestyleu</a:t>
                  </a:fld>
                  <a:endParaRPr lang="en-US" sz="1300" b="0">
                    <a:solidFill>
                      <a:srgbClr val="4D4D4D"/>
                    </a:solidFill>
                    <a:latin typeface="+mn-lt"/>
                    <a:ea typeface="+mn-ea"/>
                    <a:cs typeface="+mn-cs"/>
                  </a:endParaRPr>
                </a:p>
              </xdr:txBody>
            </xdr:sp>
            <xdr:sp macro="" textlink="Calculations!C427">
              <xdr:nvSpPr>
                <xdr:cNvPr id="615" name="09_postdate"/>
                <xdr:cNvSpPr txBox="1"/>
              </xdr:nvSpPr>
              <xdr:spPr>
                <a:xfrm>
                  <a:off x="1037653" y="65138734"/>
                  <a:ext cx="1371600" cy="2136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ctr"/>
                <a:lstStyle/>
                <a:p>
                  <a:pPr marL="0" indent="0" algn="l"/>
                  <a:fld id="{7CEEA27A-141A-4471-89B2-1A3BDB09F0CF}" type="TxLink">
                    <a:rPr lang="en-US" sz="1000" b="0" i="0" u="none" strike="noStrike">
                      <a:solidFill>
                        <a:srgbClr val="666666"/>
                      </a:solidFill>
                      <a:latin typeface="+mn-lt"/>
                      <a:ea typeface="+mn-ea"/>
                      <a:cs typeface="+mn-cs"/>
                    </a:rPr>
                    <a:pPr marL="0" indent="0" algn="l"/>
                    <a:t>September 9, 2017</a:t>
                  </a:fld>
                  <a:endParaRPr lang="en-US" sz="1000" b="0">
                    <a:solidFill>
                      <a:srgbClr val="666666"/>
                    </a:solidFill>
                    <a:latin typeface="+mn-lt"/>
                    <a:ea typeface="+mn-ea"/>
                    <a:cs typeface="+mn-cs"/>
                  </a:endParaRPr>
                </a:p>
              </xdr:txBody>
            </xdr:sp>
          </xdr:grpSp>
          <xdr:grpSp>
            <xdr:nvGrpSpPr>
              <xdr:cNvPr id="9253" name="Group 9252"/>
              <xdr:cNvGrpSpPr/>
            </xdr:nvGrpSpPr>
            <xdr:grpSpPr>
              <a:xfrm>
                <a:off x="2486025" y="63769874"/>
                <a:ext cx="1847088" cy="1848614"/>
                <a:chOff x="2486025" y="63769874"/>
                <a:chExt cx="1847088" cy="1848614"/>
              </a:xfrm>
            </xdr:grpSpPr>
            <xdr:grpSp>
              <xdr:nvGrpSpPr>
                <xdr:cNvPr id="9252" name="Group 9251"/>
                <xdr:cNvGrpSpPr/>
              </xdr:nvGrpSpPr>
              <xdr:grpSpPr>
                <a:xfrm>
                  <a:off x="2486025" y="63769874"/>
                  <a:ext cx="1847088" cy="1848614"/>
                  <a:chOff x="2486025" y="63769874"/>
                  <a:chExt cx="1847088" cy="1848614"/>
                </a:xfrm>
              </xdr:grpSpPr>
              <xdr:grpSp>
                <xdr:nvGrpSpPr>
                  <xdr:cNvPr id="9250" name="Group 9249"/>
                  <xdr:cNvGrpSpPr/>
                </xdr:nvGrpSpPr>
                <xdr:grpSpPr>
                  <a:xfrm>
                    <a:off x="2486025" y="63769875"/>
                    <a:ext cx="1847088" cy="1848613"/>
                    <a:chOff x="2486025" y="63769875"/>
                    <a:chExt cx="1847088" cy="1848613"/>
                  </a:xfrm>
                </xdr:grpSpPr>
                <xdr:pic>
                  <xdr:nvPicPr>
                    <xdr:cNvPr id="7587" name="09_postimage" descr="profile:multi&#10;postSize:small"/>
                    <xdr:cNvPicPr>
                      <a:picLocks/>
                    </xdr:cNvPicPr>
                  </xdr:nvPicPr>
                  <xdr:blipFill>
                    <a:blip xmlns:r="http://schemas.openxmlformats.org/officeDocument/2006/relationships" r:link="rId51"/>
                    <a:stretch>
                      <a:fillRect/>
                    </a:stretch>
                  </xdr:blipFill>
                  <xdr:spPr>
                    <a:xfrm>
                      <a:off x="2486025" y="63769875"/>
                      <a:ext cx="1847088" cy="1847088"/>
                    </a:xfrm>
                    <a:prstGeom prst="rect">
                      <a:avLst/>
                    </a:prstGeom>
                  </xdr:spPr>
                </xdr:pic>
                <xdr:pic>
                  <xdr:nvPicPr>
                    <xdr:cNvPr id="7756" name="09_overlayimage"/>
                    <xdr:cNvPicPr>
                      <a:picLocks/>
                    </xdr:cNvPicPr>
                  </xdr:nvPicPr>
                  <xdr:blipFill>
                    <a:blip xmlns:r="http://schemas.openxmlformats.org/officeDocument/2006/relationships" r:link="rId2"/>
                    <a:stretch>
                      <a:fillRect/>
                    </a:stretch>
                  </xdr:blipFill>
                  <xdr:spPr>
                    <a:xfrm>
                      <a:off x="2486025" y="64996696"/>
                      <a:ext cx="1847088" cy="621792"/>
                    </a:xfrm>
                    <a:prstGeom prst="rect">
                      <a:avLst/>
                    </a:prstGeom>
                  </xdr:spPr>
                </xdr:pic>
                <xdr:sp macro="" textlink="Calculations!O427">
                  <xdr:nvSpPr>
                    <xdr:cNvPr id="613" name="09_overlaytext"/>
                    <xdr:cNvSpPr txBox="1"/>
                  </xdr:nvSpPr>
                  <xdr:spPr>
                    <a:xfrm>
                      <a:off x="2486025" y="64996695"/>
                      <a:ext cx="1847088" cy="6217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100584" tIns="36576" rIns="100584" bIns="45720" rtlCol="0" anchor="t"/>
                    <a:lstStyle/>
                    <a:p>
                      <a:pPr marL="0" indent="0" algn="l"/>
                      <a:fld id="{134590B4-BDB1-4917-8E9F-4AFF02C94CFE}" type="TxLink">
                        <a:rPr lang="en-US" sz="1100" b="0" i="1">
                          <a:solidFill>
                            <a:srgbClr val="EBEBEB"/>
                          </a:solidFill>
                          <a:latin typeface="Cambria" panose="02040503050406030204" pitchFamily="18" charset="0"/>
                          <a:ea typeface="+mn-ea"/>
                          <a:cs typeface="+mn-cs"/>
                        </a:rPr>
                        <a:pPr marL="0" indent="0" algn="l"/>
                        <a:t>#omg #thankyou so so much for the 19k followers this is fo…</a:t>
                      </a:fld>
                      <a:endParaRPr lang="en-US" sz="1100" b="0" i="1">
                        <a:solidFill>
                          <a:srgbClr val="EBEBEB"/>
                        </a:solidFill>
                        <a:latin typeface="Cambria" panose="02040503050406030204" pitchFamily="18" charset="0"/>
                        <a:ea typeface="+mn-ea"/>
                        <a:cs typeface="+mn-cs"/>
                      </a:endParaRPr>
                    </a:p>
                  </xdr:txBody>
                </xdr:sp>
              </xdr:grpSp>
              <xdr:grpSp>
                <xdr:nvGrpSpPr>
                  <xdr:cNvPr id="9251" name="Group 9250"/>
                  <xdr:cNvGrpSpPr/>
                </xdr:nvGrpSpPr>
                <xdr:grpSpPr>
                  <a:xfrm>
                    <a:off x="2600325" y="63950850"/>
                    <a:ext cx="1590675" cy="1600200"/>
                    <a:chOff x="2600325" y="63950850"/>
                    <a:chExt cx="1590675" cy="1600200"/>
                  </a:xfrm>
                </xdr:grpSpPr>
                <xdr:sp macro="" textlink="">
                  <xdr:nvSpPr>
                    <xdr:cNvPr id="605" name="09_posttext"/>
                    <xdr:cNvSpPr txBox="1"/>
                  </xdr:nvSpPr>
                  <xdr:spPr>
                    <a:xfrm>
                      <a:off x="2686050" y="63950850"/>
                      <a:ext cx="1504950" cy="1600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marL="0" indent="0" algn="l"/>
                      <a:r>
                        <a:rPr lang="en-US" sz="1300" b="0" i="1">
                          <a:solidFill>
                            <a:srgbClr val="4D4D4D"/>
                          </a:solidFill>
                          <a:latin typeface="Cambria" panose="02040503050406030204" pitchFamily="18" charset="0"/>
                          <a:ea typeface="+mn-ea"/>
                          <a:cs typeface="+mn-cs"/>
                        </a:rPr>
                        <a:t> </a:t>
                      </a:r>
                    </a:p>
                  </xdr:txBody>
                </xdr:sp>
                <xdr:sp macro="" textlink="">
                  <xdr:nvSpPr>
                    <xdr:cNvPr id="606" name="09_leadparen"/>
                    <xdr:cNvSpPr txBox="1"/>
                  </xdr:nvSpPr>
                  <xdr:spPr>
                    <a:xfrm>
                      <a:off x="2600325" y="63950850"/>
                      <a:ext cx="371475" cy="3524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marL="0" indent="0" algn="l"/>
                      <a:endParaRPr lang="en-US" sz="1300" b="0" i="1">
                        <a:solidFill>
                          <a:srgbClr val="4D4D4D"/>
                        </a:solidFill>
                        <a:latin typeface="Cambria" panose="02040503050406030204" pitchFamily="18" charset="0"/>
                        <a:ea typeface="+mn-ea"/>
                        <a:cs typeface="+mn-cs"/>
                      </a:endParaRPr>
                    </a:p>
                  </xdr:txBody>
                </xdr:sp>
              </xdr:grpSp>
              <xdr:sp macro="" textlink="">
                <xdr:nvSpPr>
                  <xdr:cNvPr id="604" name="09_imgModule_Rectangle_515"/>
                  <xdr:cNvSpPr/>
                </xdr:nvSpPr>
                <xdr:spPr>
                  <a:xfrm>
                    <a:off x="2486025" y="63769874"/>
                    <a:ext cx="9144" cy="1847088"/>
                  </a:xfrm>
                  <a:prstGeom prst="rect">
                    <a:avLst/>
                  </a:prstGeom>
                  <a:solidFill>
                    <a:srgbClr val="000000">
                      <a:alpha val="16863"/>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pic>
              <xdr:nvPicPr>
                <xdr:cNvPr id="7925" name="09_postlinkimage">
                  <a:hlinkClick xmlns:r="http://schemas.openxmlformats.org/officeDocument/2006/relationships" r:id="rId52"/>
                </xdr:cNvPr>
                <xdr:cNvPicPr>
                  <a:picLocks/>
                </xdr:cNvPicPr>
              </xdr:nvPicPr>
              <xdr:blipFill>
                <a:blip xmlns:r="http://schemas.openxmlformats.org/officeDocument/2006/relationships" r:link="rId4"/>
                <a:stretch>
                  <a:fillRect/>
                </a:stretch>
              </xdr:blipFill>
              <xdr:spPr>
                <a:xfrm>
                  <a:off x="2486025" y="63769875"/>
                  <a:ext cx="1847088" cy="1847088"/>
                </a:xfrm>
                <a:prstGeom prst="rect">
                  <a:avLst/>
                </a:prstGeom>
              </xdr:spPr>
            </xdr:pic>
          </xdr:grpSp>
          <xdr:grpSp>
            <xdr:nvGrpSpPr>
              <xdr:cNvPr id="9255" name="Group 9254"/>
              <xdr:cNvGrpSpPr/>
            </xdr:nvGrpSpPr>
            <xdr:grpSpPr>
              <a:xfrm>
                <a:off x="960501" y="63912749"/>
                <a:ext cx="969264" cy="969264"/>
                <a:chOff x="960501" y="63912749"/>
                <a:chExt cx="969264" cy="969264"/>
              </a:xfrm>
            </xdr:grpSpPr>
            <xdr:grpSp>
              <xdr:nvGrpSpPr>
                <xdr:cNvPr id="9254" name="Group 9253"/>
                <xdr:cNvGrpSpPr/>
              </xdr:nvGrpSpPr>
              <xdr:grpSpPr>
                <a:xfrm>
                  <a:off x="1033653" y="63985901"/>
                  <a:ext cx="822960" cy="822960"/>
                  <a:chOff x="1033653" y="63985901"/>
                  <a:chExt cx="822960" cy="822960"/>
                </a:xfrm>
              </xdr:grpSpPr>
              <xdr:sp macro="" textlink="">
                <xdr:nvSpPr>
                  <xdr:cNvPr id="595" name="09_imgModule_Oval_662"/>
                  <xdr:cNvSpPr/>
                </xdr:nvSpPr>
                <xdr:spPr>
                  <a:xfrm>
                    <a:off x="1033653" y="63985901"/>
                    <a:ext cx="822960" cy="822960"/>
                  </a:xfrm>
                  <a:prstGeom prst="ellipse">
                    <a:avLst/>
                  </a:prstGeom>
                  <a:solidFill>
                    <a:srgbClr val="94949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98" name="09_imgModule_Oval_687"/>
                  <xdr:cNvSpPr/>
                </xdr:nvSpPr>
                <xdr:spPr>
                  <a:xfrm>
                    <a:off x="1053754" y="64005973"/>
                    <a:ext cx="782759" cy="782816"/>
                  </a:xfrm>
                  <a:prstGeom prst="ellipse">
                    <a:avLst/>
                  </a:prstGeom>
                  <a:solidFill>
                    <a:srgbClr val="D9D9D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99" name="09_imgModule_Freeform_12"/>
                  <xdr:cNvSpPr>
                    <a:spLocks/>
                  </xdr:cNvSpPr>
                </xdr:nvSpPr>
                <xdr:spPr bwMode="auto">
                  <a:xfrm>
                    <a:off x="1159581" y="64201956"/>
                    <a:ext cx="571104" cy="594874"/>
                  </a:xfrm>
                  <a:custGeom>
                    <a:avLst/>
                    <a:gdLst>
                      <a:gd name="T0" fmla="*/ 3049 w 3180"/>
                      <a:gd name="T1" fmla="*/ 2869 h 3760"/>
                      <a:gd name="T2" fmla="*/ 2848 w 3180"/>
                      <a:gd name="T3" fmla="*/ 2809 h 3760"/>
                      <a:gd name="T4" fmla="*/ 2677 w 3180"/>
                      <a:gd name="T5" fmla="*/ 2745 h 3760"/>
                      <a:gd name="T6" fmla="*/ 2325 w 3180"/>
                      <a:gd name="T7" fmla="*/ 2578 h 3760"/>
                      <a:gd name="T8" fmla="*/ 2187 w 3180"/>
                      <a:gd name="T9" fmla="*/ 2489 h 3760"/>
                      <a:gd name="T10" fmla="*/ 2077 w 3180"/>
                      <a:gd name="T11" fmla="*/ 2368 h 3760"/>
                      <a:gd name="T12" fmla="*/ 1996 w 3180"/>
                      <a:gd name="T13" fmla="*/ 2259 h 3760"/>
                      <a:gd name="T14" fmla="*/ 1975 w 3180"/>
                      <a:gd name="T15" fmla="*/ 2040 h 3760"/>
                      <a:gd name="T16" fmla="*/ 1986 w 3180"/>
                      <a:gd name="T17" fmla="*/ 2014 h 3760"/>
                      <a:gd name="T18" fmla="*/ 2114 w 3180"/>
                      <a:gd name="T19" fmla="*/ 1664 h 3760"/>
                      <a:gd name="T20" fmla="*/ 2148 w 3180"/>
                      <a:gd name="T21" fmla="*/ 1626 h 3760"/>
                      <a:gd name="T22" fmla="*/ 2201 w 3180"/>
                      <a:gd name="T23" fmla="*/ 1561 h 3760"/>
                      <a:gd name="T24" fmla="*/ 2240 w 3180"/>
                      <a:gd name="T25" fmla="*/ 1475 h 3760"/>
                      <a:gd name="T26" fmla="*/ 2269 w 3180"/>
                      <a:gd name="T27" fmla="*/ 1358 h 3760"/>
                      <a:gd name="T28" fmla="*/ 2292 w 3180"/>
                      <a:gd name="T29" fmla="*/ 1232 h 3760"/>
                      <a:gd name="T30" fmla="*/ 2291 w 3180"/>
                      <a:gd name="T31" fmla="*/ 1150 h 3760"/>
                      <a:gd name="T32" fmla="*/ 2278 w 3180"/>
                      <a:gd name="T33" fmla="*/ 1137 h 3760"/>
                      <a:gd name="T34" fmla="*/ 2270 w 3180"/>
                      <a:gd name="T35" fmla="*/ 886 h 3760"/>
                      <a:gd name="T36" fmla="*/ 2283 w 3180"/>
                      <a:gd name="T37" fmla="*/ 694 h 3760"/>
                      <a:gd name="T38" fmla="*/ 2262 w 3180"/>
                      <a:gd name="T39" fmla="*/ 595 h 3760"/>
                      <a:gd name="T40" fmla="*/ 2254 w 3180"/>
                      <a:gd name="T41" fmla="*/ 509 h 3760"/>
                      <a:gd name="T42" fmla="*/ 2183 w 3180"/>
                      <a:gd name="T43" fmla="*/ 416 h 3760"/>
                      <a:gd name="T44" fmla="*/ 1984 w 3180"/>
                      <a:gd name="T45" fmla="*/ 219 h 3760"/>
                      <a:gd name="T46" fmla="*/ 1833 w 3180"/>
                      <a:gd name="T47" fmla="*/ 65 h 3760"/>
                      <a:gd name="T48" fmla="*/ 1648 w 3180"/>
                      <a:gd name="T49" fmla="*/ 0 h 3760"/>
                      <a:gd name="T50" fmla="*/ 1474 w 3180"/>
                      <a:gd name="T51" fmla="*/ 35 h 3760"/>
                      <a:gd name="T52" fmla="*/ 1339 w 3180"/>
                      <a:gd name="T53" fmla="*/ 50 h 3760"/>
                      <a:gd name="T54" fmla="*/ 1188 w 3180"/>
                      <a:gd name="T55" fmla="*/ 157 h 3760"/>
                      <a:gd name="T56" fmla="*/ 944 w 3180"/>
                      <a:gd name="T57" fmla="*/ 333 h 3760"/>
                      <a:gd name="T58" fmla="*/ 905 w 3180"/>
                      <a:gd name="T59" fmla="*/ 551 h 3760"/>
                      <a:gd name="T60" fmla="*/ 908 w 3180"/>
                      <a:gd name="T61" fmla="*/ 716 h 3760"/>
                      <a:gd name="T62" fmla="*/ 913 w 3180"/>
                      <a:gd name="T63" fmla="*/ 1031 h 3760"/>
                      <a:gd name="T64" fmla="*/ 860 w 3180"/>
                      <a:gd name="T65" fmla="*/ 1071 h 3760"/>
                      <a:gd name="T66" fmla="*/ 849 w 3180"/>
                      <a:gd name="T67" fmla="*/ 1116 h 3760"/>
                      <a:gd name="T68" fmla="*/ 875 w 3180"/>
                      <a:gd name="T69" fmla="*/ 1385 h 3760"/>
                      <a:gd name="T70" fmla="*/ 889 w 3180"/>
                      <a:gd name="T71" fmla="*/ 1462 h 3760"/>
                      <a:gd name="T72" fmla="*/ 969 w 3180"/>
                      <a:gd name="T73" fmla="*/ 1562 h 3760"/>
                      <a:gd name="T74" fmla="*/ 1000 w 3180"/>
                      <a:gd name="T75" fmla="*/ 1600 h 3760"/>
                      <a:gd name="T76" fmla="*/ 1097 w 3180"/>
                      <a:gd name="T77" fmla="*/ 1970 h 3760"/>
                      <a:gd name="T78" fmla="*/ 1104 w 3180"/>
                      <a:gd name="T79" fmla="*/ 2220 h 3760"/>
                      <a:gd name="T80" fmla="*/ 809 w 3180"/>
                      <a:gd name="T81" fmla="*/ 2524 h 3760"/>
                      <a:gd name="T82" fmla="*/ 351 w 3180"/>
                      <a:gd name="T83" fmla="*/ 2804 h 3760"/>
                      <a:gd name="T84" fmla="*/ 131 w 3180"/>
                      <a:gd name="T85" fmla="*/ 2869 h 3760"/>
                      <a:gd name="T86" fmla="*/ 100 w 3180"/>
                      <a:gd name="T87" fmla="*/ 3123 h 3760"/>
                      <a:gd name="T88" fmla="*/ 449 w 3180"/>
                      <a:gd name="T89" fmla="*/ 3428 h 3760"/>
                      <a:gd name="T90" fmla="*/ 907 w 3180"/>
                      <a:gd name="T91" fmla="*/ 3640 h 3760"/>
                      <a:gd name="T92" fmla="*/ 1374 w 3180"/>
                      <a:gd name="T93" fmla="*/ 3748 h 3760"/>
                      <a:gd name="T94" fmla="*/ 1983 w 3180"/>
                      <a:gd name="T95" fmla="*/ 3702 h 3760"/>
                      <a:gd name="T96" fmla="*/ 2730 w 3180"/>
                      <a:gd name="T97" fmla="*/ 3410 h 3760"/>
                      <a:gd name="T98" fmla="*/ 3096 w 3180"/>
                      <a:gd name="T99" fmla="*/ 3110 h 3760"/>
                      <a:gd name="connsiteX0" fmla="*/ 10325 w 10325"/>
                      <a:gd name="connsiteY0" fmla="*/ 7962 h 10000"/>
                      <a:gd name="connsiteX1" fmla="*/ 9588 w 10325"/>
                      <a:gd name="connsiteY1" fmla="*/ 7630 h 10000"/>
                      <a:gd name="connsiteX2" fmla="*/ 9170 w 10325"/>
                      <a:gd name="connsiteY2" fmla="*/ 7519 h 10000"/>
                      <a:gd name="connsiteX3" fmla="*/ 8956 w 10325"/>
                      <a:gd name="connsiteY3" fmla="*/ 7471 h 10000"/>
                      <a:gd name="connsiteX4" fmla="*/ 8714 w 10325"/>
                      <a:gd name="connsiteY4" fmla="*/ 7410 h 10000"/>
                      <a:gd name="connsiteX5" fmla="*/ 8418 w 10325"/>
                      <a:gd name="connsiteY5" fmla="*/ 7301 h 10000"/>
                      <a:gd name="connsiteX6" fmla="*/ 7346 w 10325"/>
                      <a:gd name="connsiteY6" fmla="*/ 6867 h 10000"/>
                      <a:gd name="connsiteX7" fmla="*/ 7311 w 10325"/>
                      <a:gd name="connsiteY7" fmla="*/ 6856 h 10000"/>
                      <a:gd name="connsiteX8" fmla="*/ 7041 w 10325"/>
                      <a:gd name="connsiteY8" fmla="*/ 6739 h 10000"/>
                      <a:gd name="connsiteX9" fmla="*/ 6877 w 10325"/>
                      <a:gd name="connsiteY9" fmla="*/ 6620 h 10000"/>
                      <a:gd name="connsiteX10" fmla="*/ 6689 w 10325"/>
                      <a:gd name="connsiteY10" fmla="*/ 6428 h 10000"/>
                      <a:gd name="connsiteX11" fmla="*/ 6531 w 10325"/>
                      <a:gd name="connsiteY11" fmla="*/ 6298 h 10000"/>
                      <a:gd name="connsiteX12" fmla="*/ 6377 w 10325"/>
                      <a:gd name="connsiteY12" fmla="*/ 6165 h 10000"/>
                      <a:gd name="connsiteX13" fmla="*/ 6277 w 10325"/>
                      <a:gd name="connsiteY13" fmla="*/ 6008 h 10000"/>
                      <a:gd name="connsiteX14" fmla="*/ 6220 w 10325"/>
                      <a:gd name="connsiteY14" fmla="*/ 5649 h 10000"/>
                      <a:gd name="connsiteX15" fmla="*/ 6211 w 10325"/>
                      <a:gd name="connsiteY15" fmla="*/ 5426 h 10000"/>
                      <a:gd name="connsiteX16" fmla="*/ 6211 w 10325"/>
                      <a:gd name="connsiteY16" fmla="*/ 5383 h 10000"/>
                      <a:gd name="connsiteX17" fmla="*/ 6245 w 10325"/>
                      <a:gd name="connsiteY17" fmla="*/ 5356 h 10000"/>
                      <a:gd name="connsiteX18" fmla="*/ 6597 w 10325"/>
                      <a:gd name="connsiteY18" fmla="*/ 4763 h 10000"/>
                      <a:gd name="connsiteX19" fmla="*/ 6648 w 10325"/>
                      <a:gd name="connsiteY19" fmla="*/ 4426 h 10000"/>
                      <a:gd name="connsiteX20" fmla="*/ 6648 w 10325"/>
                      <a:gd name="connsiteY20" fmla="*/ 4332 h 10000"/>
                      <a:gd name="connsiteX21" fmla="*/ 6755 w 10325"/>
                      <a:gd name="connsiteY21" fmla="*/ 4324 h 10000"/>
                      <a:gd name="connsiteX22" fmla="*/ 6849 w 10325"/>
                      <a:gd name="connsiteY22" fmla="*/ 4290 h 10000"/>
                      <a:gd name="connsiteX23" fmla="*/ 6921 w 10325"/>
                      <a:gd name="connsiteY23" fmla="*/ 4152 h 10000"/>
                      <a:gd name="connsiteX24" fmla="*/ 6972 w 10325"/>
                      <a:gd name="connsiteY24" fmla="*/ 4043 h 10000"/>
                      <a:gd name="connsiteX25" fmla="*/ 7044 w 10325"/>
                      <a:gd name="connsiteY25" fmla="*/ 3923 h 10000"/>
                      <a:gd name="connsiteX26" fmla="*/ 7113 w 10325"/>
                      <a:gd name="connsiteY26" fmla="*/ 3769 h 10000"/>
                      <a:gd name="connsiteX27" fmla="*/ 7135 w 10325"/>
                      <a:gd name="connsiteY27" fmla="*/ 3612 h 10000"/>
                      <a:gd name="connsiteX28" fmla="*/ 7154 w 10325"/>
                      <a:gd name="connsiteY28" fmla="*/ 3455 h 10000"/>
                      <a:gd name="connsiteX29" fmla="*/ 7208 w 10325"/>
                      <a:gd name="connsiteY29" fmla="*/ 3277 h 10000"/>
                      <a:gd name="connsiteX30" fmla="*/ 7236 w 10325"/>
                      <a:gd name="connsiteY30" fmla="*/ 3133 h 10000"/>
                      <a:gd name="connsiteX31" fmla="*/ 7204 w 10325"/>
                      <a:gd name="connsiteY31" fmla="*/ 3059 h 10000"/>
                      <a:gd name="connsiteX32" fmla="*/ 7198 w 10325"/>
                      <a:gd name="connsiteY32" fmla="*/ 3059 h 10000"/>
                      <a:gd name="connsiteX33" fmla="*/ 7164 w 10325"/>
                      <a:gd name="connsiteY33" fmla="*/ 3024 h 10000"/>
                      <a:gd name="connsiteX34" fmla="*/ 7113 w 10325"/>
                      <a:gd name="connsiteY34" fmla="*/ 2896 h 10000"/>
                      <a:gd name="connsiteX35" fmla="*/ 7138 w 10325"/>
                      <a:gd name="connsiteY35" fmla="*/ 2356 h 10000"/>
                      <a:gd name="connsiteX36" fmla="*/ 7142 w 10325"/>
                      <a:gd name="connsiteY36" fmla="*/ 2314 h 10000"/>
                      <a:gd name="connsiteX37" fmla="*/ 7179 w 10325"/>
                      <a:gd name="connsiteY37" fmla="*/ 1846 h 10000"/>
                      <a:gd name="connsiteX38" fmla="*/ 7123 w 10325"/>
                      <a:gd name="connsiteY38" fmla="*/ 1609 h 10000"/>
                      <a:gd name="connsiteX39" fmla="*/ 7113 w 10325"/>
                      <a:gd name="connsiteY39" fmla="*/ 1582 h 10000"/>
                      <a:gd name="connsiteX40" fmla="*/ 7082 w 10325"/>
                      <a:gd name="connsiteY40" fmla="*/ 1447 h 10000"/>
                      <a:gd name="connsiteX41" fmla="*/ 7088 w 10325"/>
                      <a:gd name="connsiteY41" fmla="*/ 1354 h 10000"/>
                      <a:gd name="connsiteX42" fmla="*/ 7066 w 10325"/>
                      <a:gd name="connsiteY42" fmla="*/ 1271 h 10000"/>
                      <a:gd name="connsiteX43" fmla="*/ 6865 w 10325"/>
                      <a:gd name="connsiteY43" fmla="*/ 1106 h 10000"/>
                      <a:gd name="connsiteX44" fmla="*/ 6535 w 10325"/>
                      <a:gd name="connsiteY44" fmla="*/ 848 h 10000"/>
                      <a:gd name="connsiteX45" fmla="*/ 6239 w 10325"/>
                      <a:gd name="connsiteY45" fmla="*/ 582 h 10000"/>
                      <a:gd name="connsiteX46" fmla="*/ 6006 w 10325"/>
                      <a:gd name="connsiteY46" fmla="*/ 370 h 10000"/>
                      <a:gd name="connsiteX47" fmla="*/ 5764 w 10325"/>
                      <a:gd name="connsiteY47" fmla="*/ 173 h 10000"/>
                      <a:gd name="connsiteX48" fmla="*/ 5503 w 10325"/>
                      <a:gd name="connsiteY48" fmla="*/ 45 h 10000"/>
                      <a:gd name="connsiteX49" fmla="*/ 5182 w 10325"/>
                      <a:gd name="connsiteY49" fmla="*/ 0 h 10000"/>
                      <a:gd name="connsiteX50" fmla="*/ 4874 w 10325"/>
                      <a:gd name="connsiteY50" fmla="*/ 32 h 10000"/>
                      <a:gd name="connsiteX51" fmla="*/ 4635 w 10325"/>
                      <a:gd name="connsiteY51" fmla="*/ 93 h 10000"/>
                      <a:gd name="connsiteX52" fmla="*/ 4390 w 10325"/>
                      <a:gd name="connsiteY52" fmla="*/ 144 h 10000"/>
                      <a:gd name="connsiteX53" fmla="*/ 4211 w 10325"/>
                      <a:gd name="connsiteY53" fmla="*/ 133 h 10000"/>
                      <a:gd name="connsiteX54" fmla="*/ 4022 w 10325"/>
                      <a:gd name="connsiteY54" fmla="*/ 266 h 10000"/>
                      <a:gd name="connsiteX55" fmla="*/ 3736 w 10325"/>
                      <a:gd name="connsiteY55" fmla="*/ 418 h 10000"/>
                      <a:gd name="connsiteX56" fmla="*/ 3324 w 10325"/>
                      <a:gd name="connsiteY56" fmla="*/ 630 h 10000"/>
                      <a:gd name="connsiteX57" fmla="*/ 2969 w 10325"/>
                      <a:gd name="connsiteY57" fmla="*/ 886 h 10000"/>
                      <a:gd name="connsiteX58" fmla="*/ 2814 w 10325"/>
                      <a:gd name="connsiteY58" fmla="*/ 1173 h 10000"/>
                      <a:gd name="connsiteX59" fmla="*/ 2846 w 10325"/>
                      <a:gd name="connsiteY59" fmla="*/ 1465 h 10000"/>
                      <a:gd name="connsiteX60" fmla="*/ 2877 w 10325"/>
                      <a:gd name="connsiteY60" fmla="*/ 1678 h 10000"/>
                      <a:gd name="connsiteX61" fmla="*/ 2855 w 10325"/>
                      <a:gd name="connsiteY61" fmla="*/ 1904 h 10000"/>
                      <a:gd name="connsiteX62" fmla="*/ 2824 w 10325"/>
                      <a:gd name="connsiteY62" fmla="*/ 2436 h 10000"/>
                      <a:gd name="connsiteX63" fmla="*/ 2871 w 10325"/>
                      <a:gd name="connsiteY63" fmla="*/ 2742 h 10000"/>
                      <a:gd name="connsiteX64" fmla="*/ 2925 w 10325"/>
                      <a:gd name="connsiteY64" fmla="*/ 2973 h 10000"/>
                      <a:gd name="connsiteX65" fmla="*/ 2704 w 10325"/>
                      <a:gd name="connsiteY65" fmla="*/ 2848 h 10000"/>
                      <a:gd name="connsiteX66" fmla="*/ 2689 w 10325"/>
                      <a:gd name="connsiteY66" fmla="*/ 2878 h 10000"/>
                      <a:gd name="connsiteX67" fmla="*/ 2670 w 10325"/>
                      <a:gd name="connsiteY67" fmla="*/ 2968 h 10000"/>
                      <a:gd name="connsiteX68" fmla="*/ 2682 w 10325"/>
                      <a:gd name="connsiteY68" fmla="*/ 3314 h 10000"/>
                      <a:gd name="connsiteX69" fmla="*/ 2752 w 10325"/>
                      <a:gd name="connsiteY69" fmla="*/ 3684 h 10000"/>
                      <a:gd name="connsiteX70" fmla="*/ 2774 w 10325"/>
                      <a:gd name="connsiteY70" fmla="*/ 3785 h 10000"/>
                      <a:gd name="connsiteX71" fmla="*/ 2796 w 10325"/>
                      <a:gd name="connsiteY71" fmla="*/ 3888 h 10000"/>
                      <a:gd name="connsiteX72" fmla="*/ 2928 w 10325"/>
                      <a:gd name="connsiteY72" fmla="*/ 4109 h 10000"/>
                      <a:gd name="connsiteX73" fmla="*/ 3047 w 10325"/>
                      <a:gd name="connsiteY73" fmla="*/ 4154 h 10000"/>
                      <a:gd name="connsiteX74" fmla="*/ 3142 w 10325"/>
                      <a:gd name="connsiteY74" fmla="*/ 4168 h 10000"/>
                      <a:gd name="connsiteX75" fmla="*/ 3145 w 10325"/>
                      <a:gd name="connsiteY75" fmla="*/ 4255 h 10000"/>
                      <a:gd name="connsiteX76" fmla="*/ 3296 w 10325"/>
                      <a:gd name="connsiteY76" fmla="*/ 4976 h 10000"/>
                      <a:gd name="connsiteX77" fmla="*/ 3450 w 10325"/>
                      <a:gd name="connsiteY77" fmla="*/ 5239 h 10000"/>
                      <a:gd name="connsiteX78" fmla="*/ 3472 w 10325"/>
                      <a:gd name="connsiteY78" fmla="*/ 5266 h 10000"/>
                      <a:gd name="connsiteX79" fmla="*/ 3472 w 10325"/>
                      <a:gd name="connsiteY79" fmla="*/ 5904 h 10000"/>
                      <a:gd name="connsiteX80" fmla="*/ 3374 w 10325"/>
                      <a:gd name="connsiteY80" fmla="*/ 5995 h 10000"/>
                      <a:gd name="connsiteX81" fmla="*/ 2544 w 10325"/>
                      <a:gd name="connsiteY81" fmla="*/ 6713 h 10000"/>
                      <a:gd name="connsiteX82" fmla="*/ 1421 w 10325"/>
                      <a:gd name="connsiteY82" fmla="*/ 7370 h 10000"/>
                      <a:gd name="connsiteX83" fmla="*/ 1104 w 10325"/>
                      <a:gd name="connsiteY83" fmla="*/ 7457 h 10000"/>
                      <a:gd name="connsiteX84" fmla="*/ 833 w 10325"/>
                      <a:gd name="connsiteY84" fmla="*/ 7519 h 10000"/>
                      <a:gd name="connsiteX85" fmla="*/ 412 w 10325"/>
                      <a:gd name="connsiteY85" fmla="*/ 7630 h 10000"/>
                      <a:gd name="connsiteX86" fmla="*/ 0 w 10325"/>
                      <a:gd name="connsiteY86" fmla="*/ 7816 h 10000"/>
                      <a:gd name="connsiteX87" fmla="*/ 314 w 10325"/>
                      <a:gd name="connsiteY87" fmla="*/ 8306 h 10000"/>
                      <a:gd name="connsiteX88" fmla="*/ 799 w 10325"/>
                      <a:gd name="connsiteY88" fmla="*/ 8742 h 10000"/>
                      <a:gd name="connsiteX89" fmla="*/ 1412 w 10325"/>
                      <a:gd name="connsiteY89" fmla="*/ 9117 h 10000"/>
                      <a:gd name="connsiteX90" fmla="*/ 2107 w 10325"/>
                      <a:gd name="connsiteY90" fmla="*/ 9431 h 10000"/>
                      <a:gd name="connsiteX91" fmla="*/ 2852 w 10325"/>
                      <a:gd name="connsiteY91" fmla="*/ 9681 h 10000"/>
                      <a:gd name="connsiteX92" fmla="*/ 3604 w 10325"/>
                      <a:gd name="connsiteY92" fmla="*/ 9862 h 10000"/>
                      <a:gd name="connsiteX93" fmla="*/ 4321 w 10325"/>
                      <a:gd name="connsiteY93" fmla="*/ 9968 h 10000"/>
                      <a:gd name="connsiteX94" fmla="*/ 4965 w 10325"/>
                      <a:gd name="connsiteY94" fmla="*/ 10000 h 10000"/>
                      <a:gd name="connsiteX95" fmla="*/ 6236 w 10325"/>
                      <a:gd name="connsiteY95" fmla="*/ 9846 h 10000"/>
                      <a:gd name="connsiteX96" fmla="*/ 7824 w 10325"/>
                      <a:gd name="connsiteY96" fmla="*/ 9391 h 10000"/>
                      <a:gd name="connsiteX97" fmla="*/ 8585 w 10325"/>
                      <a:gd name="connsiteY97" fmla="*/ 9069 h 10000"/>
                      <a:gd name="connsiteX98" fmla="*/ 9245 w 10325"/>
                      <a:gd name="connsiteY98" fmla="*/ 8694 h 10000"/>
                      <a:gd name="connsiteX99" fmla="*/ 9736 w 10325"/>
                      <a:gd name="connsiteY99" fmla="*/ 8271 h 10000"/>
                      <a:gd name="connsiteX100" fmla="*/ 10325 w 10325"/>
                      <a:gd name="connsiteY100" fmla="*/ 7962 h 10000"/>
                      <a:gd name="connsiteX0" fmla="*/ 10650 w 10650"/>
                      <a:gd name="connsiteY0" fmla="*/ 7962 h 10000"/>
                      <a:gd name="connsiteX1" fmla="*/ 9913 w 10650"/>
                      <a:gd name="connsiteY1" fmla="*/ 7630 h 10000"/>
                      <a:gd name="connsiteX2" fmla="*/ 9495 w 10650"/>
                      <a:gd name="connsiteY2" fmla="*/ 7519 h 10000"/>
                      <a:gd name="connsiteX3" fmla="*/ 9281 w 10650"/>
                      <a:gd name="connsiteY3" fmla="*/ 7471 h 10000"/>
                      <a:gd name="connsiteX4" fmla="*/ 9039 w 10650"/>
                      <a:gd name="connsiteY4" fmla="*/ 7410 h 10000"/>
                      <a:gd name="connsiteX5" fmla="*/ 8743 w 10650"/>
                      <a:gd name="connsiteY5" fmla="*/ 7301 h 10000"/>
                      <a:gd name="connsiteX6" fmla="*/ 7671 w 10650"/>
                      <a:gd name="connsiteY6" fmla="*/ 6867 h 10000"/>
                      <a:gd name="connsiteX7" fmla="*/ 7636 w 10650"/>
                      <a:gd name="connsiteY7" fmla="*/ 6856 h 10000"/>
                      <a:gd name="connsiteX8" fmla="*/ 7366 w 10650"/>
                      <a:gd name="connsiteY8" fmla="*/ 6739 h 10000"/>
                      <a:gd name="connsiteX9" fmla="*/ 7202 w 10650"/>
                      <a:gd name="connsiteY9" fmla="*/ 6620 h 10000"/>
                      <a:gd name="connsiteX10" fmla="*/ 7014 w 10650"/>
                      <a:gd name="connsiteY10" fmla="*/ 6428 h 10000"/>
                      <a:gd name="connsiteX11" fmla="*/ 6856 w 10650"/>
                      <a:gd name="connsiteY11" fmla="*/ 6298 h 10000"/>
                      <a:gd name="connsiteX12" fmla="*/ 6702 w 10650"/>
                      <a:gd name="connsiteY12" fmla="*/ 6165 h 10000"/>
                      <a:gd name="connsiteX13" fmla="*/ 6602 w 10650"/>
                      <a:gd name="connsiteY13" fmla="*/ 6008 h 10000"/>
                      <a:gd name="connsiteX14" fmla="*/ 6545 w 10650"/>
                      <a:gd name="connsiteY14" fmla="*/ 5649 h 10000"/>
                      <a:gd name="connsiteX15" fmla="*/ 6536 w 10650"/>
                      <a:gd name="connsiteY15" fmla="*/ 5426 h 10000"/>
                      <a:gd name="connsiteX16" fmla="*/ 6536 w 10650"/>
                      <a:gd name="connsiteY16" fmla="*/ 5383 h 10000"/>
                      <a:gd name="connsiteX17" fmla="*/ 6570 w 10650"/>
                      <a:gd name="connsiteY17" fmla="*/ 5356 h 10000"/>
                      <a:gd name="connsiteX18" fmla="*/ 6922 w 10650"/>
                      <a:gd name="connsiteY18" fmla="*/ 4763 h 10000"/>
                      <a:gd name="connsiteX19" fmla="*/ 6973 w 10650"/>
                      <a:gd name="connsiteY19" fmla="*/ 4426 h 10000"/>
                      <a:gd name="connsiteX20" fmla="*/ 6973 w 10650"/>
                      <a:gd name="connsiteY20" fmla="*/ 4332 h 10000"/>
                      <a:gd name="connsiteX21" fmla="*/ 7080 w 10650"/>
                      <a:gd name="connsiteY21" fmla="*/ 4324 h 10000"/>
                      <a:gd name="connsiteX22" fmla="*/ 7174 w 10650"/>
                      <a:gd name="connsiteY22" fmla="*/ 4290 h 10000"/>
                      <a:gd name="connsiteX23" fmla="*/ 7246 w 10650"/>
                      <a:gd name="connsiteY23" fmla="*/ 4152 h 10000"/>
                      <a:gd name="connsiteX24" fmla="*/ 7297 w 10650"/>
                      <a:gd name="connsiteY24" fmla="*/ 4043 h 10000"/>
                      <a:gd name="connsiteX25" fmla="*/ 7369 w 10650"/>
                      <a:gd name="connsiteY25" fmla="*/ 3923 h 10000"/>
                      <a:gd name="connsiteX26" fmla="*/ 7438 w 10650"/>
                      <a:gd name="connsiteY26" fmla="*/ 3769 h 10000"/>
                      <a:gd name="connsiteX27" fmla="*/ 7460 w 10650"/>
                      <a:gd name="connsiteY27" fmla="*/ 3612 h 10000"/>
                      <a:gd name="connsiteX28" fmla="*/ 7479 w 10650"/>
                      <a:gd name="connsiteY28" fmla="*/ 3455 h 10000"/>
                      <a:gd name="connsiteX29" fmla="*/ 7533 w 10650"/>
                      <a:gd name="connsiteY29" fmla="*/ 3277 h 10000"/>
                      <a:gd name="connsiteX30" fmla="*/ 7561 w 10650"/>
                      <a:gd name="connsiteY30" fmla="*/ 3133 h 10000"/>
                      <a:gd name="connsiteX31" fmla="*/ 7529 w 10650"/>
                      <a:gd name="connsiteY31" fmla="*/ 3059 h 10000"/>
                      <a:gd name="connsiteX32" fmla="*/ 7523 w 10650"/>
                      <a:gd name="connsiteY32" fmla="*/ 3059 h 10000"/>
                      <a:gd name="connsiteX33" fmla="*/ 7489 w 10650"/>
                      <a:gd name="connsiteY33" fmla="*/ 3024 h 10000"/>
                      <a:gd name="connsiteX34" fmla="*/ 7438 w 10650"/>
                      <a:gd name="connsiteY34" fmla="*/ 2896 h 10000"/>
                      <a:gd name="connsiteX35" fmla="*/ 7463 w 10650"/>
                      <a:gd name="connsiteY35" fmla="*/ 2356 h 10000"/>
                      <a:gd name="connsiteX36" fmla="*/ 7467 w 10650"/>
                      <a:gd name="connsiteY36" fmla="*/ 2314 h 10000"/>
                      <a:gd name="connsiteX37" fmla="*/ 7504 w 10650"/>
                      <a:gd name="connsiteY37" fmla="*/ 1846 h 10000"/>
                      <a:gd name="connsiteX38" fmla="*/ 7448 w 10650"/>
                      <a:gd name="connsiteY38" fmla="*/ 1609 h 10000"/>
                      <a:gd name="connsiteX39" fmla="*/ 7438 w 10650"/>
                      <a:gd name="connsiteY39" fmla="*/ 1582 h 10000"/>
                      <a:gd name="connsiteX40" fmla="*/ 7407 w 10650"/>
                      <a:gd name="connsiteY40" fmla="*/ 1447 h 10000"/>
                      <a:gd name="connsiteX41" fmla="*/ 7413 w 10650"/>
                      <a:gd name="connsiteY41" fmla="*/ 1354 h 10000"/>
                      <a:gd name="connsiteX42" fmla="*/ 7391 w 10650"/>
                      <a:gd name="connsiteY42" fmla="*/ 1271 h 10000"/>
                      <a:gd name="connsiteX43" fmla="*/ 7190 w 10650"/>
                      <a:gd name="connsiteY43" fmla="*/ 1106 h 10000"/>
                      <a:gd name="connsiteX44" fmla="*/ 6860 w 10650"/>
                      <a:gd name="connsiteY44" fmla="*/ 848 h 10000"/>
                      <a:gd name="connsiteX45" fmla="*/ 6564 w 10650"/>
                      <a:gd name="connsiteY45" fmla="*/ 582 h 10000"/>
                      <a:gd name="connsiteX46" fmla="*/ 6331 w 10650"/>
                      <a:gd name="connsiteY46" fmla="*/ 370 h 10000"/>
                      <a:gd name="connsiteX47" fmla="*/ 6089 w 10650"/>
                      <a:gd name="connsiteY47" fmla="*/ 173 h 10000"/>
                      <a:gd name="connsiteX48" fmla="*/ 5828 w 10650"/>
                      <a:gd name="connsiteY48" fmla="*/ 45 h 10000"/>
                      <a:gd name="connsiteX49" fmla="*/ 5507 w 10650"/>
                      <a:gd name="connsiteY49" fmla="*/ 0 h 10000"/>
                      <a:gd name="connsiteX50" fmla="*/ 5199 w 10650"/>
                      <a:gd name="connsiteY50" fmla="*/ 32 h 10000"/>
                      <a:gd name="connsiteX51" fmla="*/ 4960 w 10650"/>
                      <a:gd name="connsiteY51" fmla="*/ 93 h 10000"/>
                      <a:gd name="connsiteX52" fmla="*/ 4715 w 10650"/>
                      <a:gd name="connsiteY52" fmla="*/ 144 h 10000"/>
                      <a:gd name="connsiteX53" fmla="*/ 4536 w 10650"/>
                      <a:gd name="connsiteY53" fmla="*/ 133 h 10000"/>
                      <a:gd name="connsiteX54" fmla="*/ 4347 w 10650"/>
                      <a:gd name="connsiteY54" fmla="*/ 266 h 10000"/>
                      <a:gd name="connsiteX55" fmla="*/ 4061 w 10650"/>
                      <a:gd name="connsiteY55" fmla="*/ 418 h 10000"/>
                      <a:gd name="connsiteX56" fmla="*/ 3649 w 10650"/>
                      <a:gd name="connsiteY56" fmla="*/ 630 h 10000"/>
                      <a:gd name="connsiteX57" fmla="*/ 3294 w 10650"/>
                      <a:gd name="connsiteY57" fmla="*/ 886 h 10000"/>
                      <a:gd name="connsiteX58" fmla="*/ 3139 w 10650"/>
                      <a:gd name="connsiteY58" fmla="*/ 1173 h 10000"/>
                      <a:gd name="connsiteX59" fmla="*/ 3171 w 10650"/>
                      <a:gd name="connsiteY59" fmla="*/ 1465 h 10000"/>
                      <a:gd name="connsiteX60" fmla="*/ 3202 w 10650"/>
                      <a:gd name="connsiteY60" fmla="*/ 1678 h 10000"/>
                      <a:gd name="connsiteX61" fmla="*/ 3180 w 10650"/>
                      <a:gd name="connsiteY61" fmla="*/ 1904 h 10000"/>
                      <a:gd name="connsiteX62" fmla="*/ 3149 w 10650"/>
                      <a:gd name="connsiteY62" fmla="*/ 2436 h 10000"/>
                      <a:gd name="connsiteX63" fmla="*/ 3196 w 10650"/>
                      <a:gd name="connsiteY63" fmla="*/ 2742 h 10000"/>
                      <a:gd name="connsiteX64" fmla="*/ 3250 w 10650"/>
                      <a:gd name="connsiteY64" fmla="*/ 2973 h 10000"/>
                      <a:gd name="connsiteX65" fmla="*/ 3029 w 10650"/>
                      <a:gd name="connsiteY65" fmla="*/ 2848 h 10000"/>
                      <a:gd name="connsiteX66" fmla="*/ 3014 w 10650"/>
                      <a:gd name="connsiteY66" fmla="*/ 2878 h 10000"/>
                      <a:gd name="connsiteX67" fmla="*/ 2995 w 10650"/>
                      <a:gd name="connsiteY67" fmla="*/ 2968 h 10000"/>
                      <a:gd name="connsiteX68" fmla="*/ 3007 w 10650"/>
                      <a:gd name="connsiteY68" fmla="*/ 3314 h 10000"/>
                      <a:gd name="connsiteX69" fmla="*/ 3077 w 10650"/>
                      <a:gd name="connsiteY69" fmla="*/ 3684 h 10000"/>
                      <a:gd name="connsiteX70" fmla="*/ 3099 w 10650"/>
                      <a:gd name="connsiteY70" fmla="*/ 3785 h 10000"/>
                      <a:gd name="connsiteX71" fmla="*/ 3121 w 10650"/>
                      <a:gd name="connsiteY71" fmla="*/ 3888 h 10000"/>
                      <a:gd name="connsiteX72" fmla="*/ 3253 w 10650"/>
                      <a:gd name="connsiteY72" fmla="*/ 4109 h 10000"/>
                      <a:gd name="connsiteX73" fmla="*/ 3372 w 10650"/>
                      <a:gd name="connsiteY73" fmla="*/ 4154 h 10000"/>
                      <a:gd name="connsiteX74" fmla="*/ 3467 w 10650"/>
                      <a:gd name="connsiteY74" fmla="*/ 4168 h 10000"/>
                      <a:gd name="connsiteX75" fmla="*/ 3470 w 10650"/>
                      <a:gd name="connsiteY75" fmla="*/ 4255 h 10000"/>
                      <a:gd name="connsiteX76" fmla="*/ 3621 w 10650"/>
                      <a:gd name="connsiteY76" fmla="*/ 4976 h 10000"/>
                      <a:gd name="connsiteX77" fmla="*/ 3775 w 10650"/>
                      <a:gd name="connsiteY77" fmla="*/ 5239 h 10000"/>
                      <a:gd name="connsiteX78" fmla="*/ 3797 w 10650"/>
                      <a:gd name="connsiteY78" fmla="*/ 5266 h 10000"/>
                      <a:gd name="connsiteX79" fmla="*/ 3797 w 10650"/>
                      <a:gd name="connsiteY79" fmla="*/ 5904 h 10000"/>
                      <a:gd name="connsiteX80" fmla="*/ 3699 w 10650"/>
                      <a:gd name="connsiteY80" fmla="*/ 5995 h 10000"/>
                      <a:gd name="connsiteX81" fmla="*/ 2869 w 10650"/>
                      <a:gd name="connsiteY81" fmla="*/ 6713 h 10000"/>
                      <a:gd name="connsiteX82" fmla="*/ 1746 w 10650"/>
                      <a:gd name="connsiteY82" fmla="*/ 7370 h 10000"/>
                      <a:gd name="connsiteX83" fmla="*/ 1429 w 10650"/>
                      <a:gd name="connsiteY83" fmla="*/ 7457 h 10000"/>
                      <a:gd name="connsiteX84" fmla="*/ 1158 w 10650"/>
                      <a:gd name="connsiteY84" fmla="*/ 7519 h 10000"/>
                      <a:gd name="connsiteX85" fmla="*/ 737 w 10650"/>
                      <a:gd name="connsiteY85" fmla="*/ 7630 h 10000"/>
                      <a:gd name="connsiteX86" fmla="*/ 0 w 10650"/>
                      <a:gd name="connsiteY86" fmla="*/ 8060 h 10000"/>
                      <a:gd name="connsiteX87" fmla="*/ 639 w 10650"/>
                      <a:gd name="connsiteY87" fmla="*/ 8306 h 10000"/>
                      <a:gd name="connsiteX88" fmla="*/ 1124 w 10650"/>
                      <a:gd name="connsiteY88" fmla="*/ 8742 h 10000"/>
                      <a:gd name="connsiteX89" fmla="*/ 1737 w 10650"/>
                      <a:gd name="connsiteY89" fmla="*/ 9117 h 10000"/>
                      <a:gd name="connsiteX90" fmla="*/ 2432 w 10650"/>
                      <a:gd name="connsiteY90" fmla="*/ 9431 h 10000"/>
                      <a:gd name="connsiteX91" fmla="*/ 3177 w 10650"/>
                      <a:gd name="connsiteY91" fmla="*/ 9681 h 10000"/>
                      <a:gd name="connsiteX92" fmla="*/ 3929 w 10650"/>
                      <a:gd name="connsiteY92" fmla="*/ 9862 h 10000"/>
                      <a:gd name="connsiteX93" fmla="*/ 4646 w 10650"/>
                      <a:gd name="connsiteY93" fmla="*/ 9968 h 10000"/>
                      <a:gd name="connsiteX94" fmla="*/ 5290 w 10650"/>
                      <a:gd name="connsiteY94" fmla="*/ 10000 h 10000"/>
                      <a:gd name="connsiteX95" fmla="*/ 6561 w 10650"/>
                      <a:gd name="connsiteY95" fmla="*/ 9846 h 10000"/>
                      <a:gd name="connsiteX96" fmla="*/ 8149 w 10650"/>
                      <a:gd name="connsiteY96" fmla="*/ 9391 h 10000"/>
                      <a:gd name="connsiteX97" fmla="*/ 8910 w 10650"/>
                      <a:gd name="connsiteY97" fmla="*/ 9069 h 10000"/>
                      <a:gd name="connsiteX98" fmla="*/ 9570 w 10650"/>
                      <a:gd name="connsiteY98" fmla="*/ 8694 h 10000"/>
                      <a:gd name="connsiteX99" fmla="*/ 10061 w 10650"/>
                      <a:gd name="connsiteY99" fmla="*/ 8271 h 10000"/>
                      <a:gd name="connsiteX100" fmla="*/ 10650 w 10650"/>
                      <a:gd name="connsiteY100" fmla="*/ 7962 h 10000"/>
                      <a:gd name="connsiteX0" fmla="*/ 10650 w 10650"/>
                      <a:gd name="connsiteY0" fmla="*/ 7962 h 10000"/>
                      <a:gd name="connsiteX1" fmla="*/ 9913 w 10650"/>
                      <a:gd name="connsiteY1" fmla="*/ 7630 h 10000"/>
                      <a:gd name="connsiteX2" fmla="*/ 9495 w 10650"/>
                      <a:gd name="connsiteY2" fmla="*/ 7519 h 10000"/>
                      <a:gd name="connsiteX3" fmla="*/ 9281 w 10650"/>
                      <a:gd name="connsiteY3" fmla="*/ 7471 h 10000"/>
                      <a:gd name="connsiteX4" fmla="*/ 9039 w 10650"/>
                      <a:gd name="connsiteY4" fmla="*/ 7410 h 10000"/>
                      <a:gd name="connsiteX5" fmla="*/ 8743 w 10650"/>
                      <a:gd name="connsiteY5" fmla="*/ 7301 h 10000"/>
                      <a:gd name="connsiteX6" fmla="*/ 7671 w 10650"/>
                      <a:gd name="connsiteY6" fmla="*/ 6867 h 10000"/>
                      <a:gd name="connsiteX7" fmla="*/ 7636 w 10650"/>
                      <a:gd name="connsiteY7" fmla="*/ 6856 h 10000"/>
                      <a:gd name="connsiteX8" fmla="*/ 7366 w 10650"/>
                      <a:gd name="connsiteY8" fmla="*/ 6739 h 10000"/>
                      <a:gd name="connsiteX9" fmla="*/ 7202 w 10650"/>
                      <a:gd name="connsiteY9" fmla="*/ 6620 h 10000"/>
                      <a:gd name="connsiteX10" fmla="*/ 7014 w 10650"/>
                      <a:gd name="connsiteY10" fmla="*/ 6428 h 10000"/>
                      <a:gd name="connsiteX11" fmla="*/ 6856 w 10650"/>
                      <a:gd name="connsiteY11" fmla="*/ 6298 h 10000"/>
                      <a:gd name="connsiteX12" fmla="*/ 6702 w 10650"/>
                      <a:gd name="connsiteY12" fmla="*/ 6165 h 10000"/>
                      <a:gd name="connsiteX13" fmla="*/ 6602 w 10650"/>
                      <a:gd name="connsiteY13" fmla="*/ 6008 h 10000"/>
                      <a:gd name="connsiteX14" fmla="*/ 6545 w 10650"/>
                      <a:gd name="connsiteY14" fmla="*/ 5649 h 10000"/>
                      <a:gd name="connsiteX15" fmla="*/ 6536 w 10650"/>
                      <a:gd name="connsiteY15" fmla="*/ 5426 h 10000"/>
                      <a:gd name="connsiteX16" fmla="*/ 6536 w 10650"/>
                      <a:gd name="connsiteY16" fmla="*/ 5383 h 10000"/>
                      <a:gd name="connsiteX17" fmla="*/ 6570 w 10650"/>
                      <a:gd name="connsiteY17" fmla="*/ 5356 h 10000"/>
                      <a:gd name="connsiteX18" fmla="*/ 6922 w 10650"/>
                      <a:gd name="connsiteY18" fmla="*/ 4763 h 10000"/>
                      <a:gd name="connsiteX19" fmla="*/ 6973 w 10650"/>
                      <a:gd name="connsiteY19" fmla="*/ 4426 h 10000"/>
                      <a:gd name="connsiteX20" fmla="*/ 6973 w 10650"/>
                      <a:gd name="connsiteY20" fmla="*/ 4332 h 10000"/>
                      <a:gd name="connsiteX21" fmla="*/ 7080 w 10650"/>
                      <a:gd name="connsiteY21" fmla="*/ 4324 h 10000"/>
                      <a:gd name="connsiteX22" fmla="*/ 7174 w 10650"/>
                      <a:gd name="connsiteY22" fmla="*/ 4290 h 10000"/>
                      <a:gd name="connsiteX23" fmla="*/ 7246 w 10650"/>
                      <a:gd name="connsiteY23" fmla="*/ 4152 h 10000"/>
                      <a:gd name="connsiteX24" fmla="*/ 7297 w 10650"/>
                      <a:gd name="connsiteY24" fmla="*/ 4043 h 10000"/>
                      <a:gd name="connsiteX25" fmla="*/ 7369 w 10650"/>
                      <a:gd name="connsiteY25" fmla="*/ 3923 h 10000"/>
                      <a:gd name="connsiteX26" fmla="*/ 7438 w 10650"/>
                      <a:gd name="connsiteY26" fmla="*/ 3769 h 10000"/>
                      <a:gd name="connsiteX27" fmla="*/ 7460 w 10650"/>
                      <a:gd name="connsiteY27" fmla="*/ 3612 h 10000"/>
                      <a:gd name="connsiteX28" fmla="*/ 7479 w 10650"/>
                      <a:gd name="connsiteY28" fmla="*/ 3455 h 10000"/>
                      <a:gd name="connsiteX29" fmla="*/ 7533 w 10650"/>
                      <a:gd name="connsiteY29" fmla="*/ 3277 h 10000"/>
                      <a:gd name="connsiteX30" fmla="*/ 7561 w 10650"/>
                      <a:gd name="connsiteY30" fmla="*/ 3133 h 10000"/>
                      <a:gd name="connsiteX31" fmla="*/ 7529 w 10650"/>
                      <a:gd name="connsiteY31" fmla="*/ 3059 h 10000"/>
                      <a:gd name="connsiteX32" fmla="*/ 7523 w 10650"/>
                      <a:gd name="connsiteY32" fmla="*/ 3059 h 10000"/>
                      <a:gd name="connsiteX33" fmla="*/ 7489 w 10650"/>
                      <a:gd name="connsiteY33" fmla="*/ 3024 h 10000"/>
                      <a:gd name="connsiteX34" fmla="*/ 7438 w 10650"/>
                      <a:gd name="connsiteY34" fmla="*/ 2896 h 10000"/>
                      <a:gd name="connsiteX35" fmla="*/ 7463 w 10650"/>
                      <a:gd name="connsiteY35" fmla="*/ 2356 h 10000"/>
                      <a:gd name="connsiteX36" fmla="*/ 7467 w 10650"/>
                      <a:gd name="connsiteY36" fmla="*/ 2314 h 10000"/>
                      <a:gd name="connsiteX37" fmla="*/ 7504 w 10650"/>
                      <a:gd name="connsiteY37" fmla="*/ 1846 h 10000"/>
                      <a:gd name="connsiteX38" fmla="*/ 7448 w 10650"/>
                      <a:gd name="connsiteY38" fmla="*/ 1609 h 10000"/>
                      <a:gd name="connsiteX39" fmla="*/ 7438 w 10650"/>
                      <a:gd name="connsiteY39" fmla="*/ 1582 h 10000"/>
                      <a:gd name="connsiteX40" fmla="*/ 7407 w 10650"/>
                      <a:gd name="connsiteY40" fmla="*/ 1447 h 10000"/>
                      <a:gd name="connsiteX41" fmla="*/ 7413 w 10650"/>
                      <a:gd name="connsiteY41" fmla="*/ 1354 h 10000"/>
                      <a:gd name="connsiteX42" fmla="*/ 7391 w 10650"/>
                      <a:gd name="connsiteY42" fmla="*/ 1271 h 10000"/>
                      <a:gd name="connsiteX43" fmla="*/ 7190 w 10650"/>
                      <a:gd name="connsiteY43" fmla="*/ 1106 h 10000"/>
                      <a:gd name="connsiteX44" fmla="*/ 6860 w 10650"/>
                      <a:gd name="connsiteY44" fmla="*/ 848 h 10000"/>
                      <a:gd name="connsiteX45" fmla="*/ 6564 w 10650"/>
                      <a:gd name="connsiteY45" fmla="*/ 582 h 10000"/>
                      <a:gd name="connsiteX46" fmla="*/ 6331 w 10650"/>
                      <a:gd name="connsiteY46" fmla="*/ 370 h 10000"/>
                      <a:gd name="connsiteX47" fmla="*/ 6089 w 10650"/>
                      <a:gd name="connsiteY47" fmla="*/ 173 h 10000"/>
                      <a:gd name="connsiteX48" fmla="*/ 5828 w 10650"/>
                      <a:gd name="connsiteY48" fmla="*/ 45 h 10000"/>
                      <a:gd name="connsiteX49" fmla="*/ 5507 w 10650"/>
                      <a:gd name="connsiteY49" fmla="*/ 0 h 10000"/>
                      <a:gd name="connsiteX50" fmla="*/ 5199 w 10650"/>
                      <a:gd name="connsiteY50" fmla="*/ 32 h 10000"/>
                      <a:gd name="connsiteX51" fmla="*/ 4960 w 10650"/>
                      <a:gd name="connsiteY51" fmla="*/ 93 h 10000"/>
                      <a:gd name="connsiteX52" fmla="*/ 4715 w 10650"/>
                      <a:gd name="connsiteY52" fmla="*/ 144 h 10000"/>
                      <a:gd name="connsiteX53" fmla="*/ 4536 w 10650"/>
                      <a:gd name="connsiteY53" fmla="*/ 133 h 10000"/>
                      <a:gd name="connsiteX54" fmla="*/ 4347 w 10650"/>
                      <a:gd name="connsiteY54" fmla="*/ 266 h 10000"/>
                      <a:gd name="connsiteX55" fmla="*/ 4061 w 10650"/>
                      <a:gd name="connsiteY55" fmla="*/ 418 h 10000"/>
                      <a:gd name="connsiteX56" fmla="*/ 3649 w 10650"/>
                      <a:gd name="connsiteY56" fmla="*/ 630 h 10000"/>
                      <a:gd name="connsiteX57" fmla="*/ 3294 w 10650"/>
                      <a:gd name="connsiteY57" fmla="*/ 886 h 10000"/>
                      <a:gd name="connsiteX58" fmla="*/ 3139 w 10650"/>
                      <a:gd name="connsiteY58" fmla="*/ 1173 h 10000"/>
                      <a:gd name="connsiteX59" fmla="*/ 3171 w 10650"/>
                      <a:gd name="connsiteY59" fmla="*/ 1465 h 10000"/>
                      <a:gd name="connsiteX60" fmla="*/ 3202 w 10650"/>
                      <a:gd name="connsiteY60" fmla="*/ 1678 h 10000"/>
                      <a:gd name="connsiteX61" fmla="*/ 3180 w 10650"/>
                      <a:gd name="connsiteY61" fmla="*/ 1904 h 10000"/>
                      <a:gd name="connsiteX62" fmla="*/ 3149 w 10650"/>
                      <a:gd name="connsiteY62" fmla="*/ 2436 h 10000"/>
                      <a:gd name="connsiteX63" fmla="*/ 3196 w 10650"/>
                      <a:gd name="connsiteY63" fmla="*/ 2742 h 10000"/>
                      <a:gd name="connsiteX64" fmla="*/ 3250 w 10650"/>
                      <a:gd name="connsiteY64" fmla="*/ 2973 h 10000"/>
                      <a:gd name="connsiteX65" fmla="*/ 3029 w 10650"/>
                      <a:gd name="connsiteY65" fmla="*/ 2848 h 10000"/>
                      <a:gd name="connsiteX66" fmla="*/ 3014 w 10650"/>
                      <a:gd name="connsiteY66" fmla="*/ 2878 h 10000"/>
                      <a:gd name="connsiteX67" fmla="*/ 2995 w 10650"/>
                      <a:gd name="connsiteY67" fmla="*/ 2968 h 10000"/>
                      <a:gd name="connsiteX68" fmla="*/ 3007 w 10650"/>
                      <a:gd name="connsiteY68" fmla="*/ 3314 h 10000"/>
                      <a:gd name="connsiteX69" fmla="*/ 3077 w 10650"/>
                      <a:gd name="connsiteY69" fmla="*/ 3684 h 10000"/>
                      <a:gd name="connsiteX70" fmla="*/ 3099 w 10650"/>
                      <a:gd name="connsiteY70" fmla="*/ 3785 h 10000"/>
                      <a:gd name="connsiteX71" fmla="*/ 3121 w 10650"/>
                      <a:gd name="connsiteY71" fmla="*/ 3888 h 10000"/>
                      <a:gd name="connsiteX72" fmla="*/ 3253 w 10650"/>
                      <a:gd name="connsiteY72" fmla="*/ 4109 h 10000"/>
                      <a:gd name="connsiteX73" fmla="*/ 3372 w 10650"/>
                      <a:gd name="connsiteY73" fmla="*/ 4154 h 10000"/>
                      <a:gd name="connsiteX74" fmla="*/ 3467 w 10650"/>
                      <a:gd name="connsiteY74" fmla="*/ 4168 h 10000"/>
                      <a:gd name="connsiteX75" fmla="*/ 3470 w 10650"/>
                      <a:gd name="connsiteY75" fmla="*/ 4255 h 10000"/>
                      <a:gd name="connsiteX76" fmla="*/ 3621 w 10650"/>
                      <a:gd name="connsiteY76" fmla="*/ 4976 h 10000"/>
                      <a:gd name="connsiteX77" fmla="*/ 3775 w 10650"/>
                      <a:gd name="connsiteY77" fmla="*/ 5239 h 10000"/>
                      <a:gd name="connsiteX78" fmla="*/ 3797 w 10650"/>
                      <a:gd name="connsiteY78" fmla="*/ 5266 h 10000"/>
                      <a:gd name="connsiteX79" fmla="*/ 3797 w 10650"/>
                      <a:gd name="connsiteY79" fmla="*/ 5904 h 10000"/>
                      <a:gd name="connsiteX80" fmla="*/ 3699 w 10650"/>
                      <a:gd name="connsiteY80" fmla="*/ 5995 h 10000"/>
                      <a:gd name="connsiteX81" fmla="*/ 2869 w 10650"/>
                      <a:gd name="connsiteY81" fmla="*/ 6713 h 10000"/>
                      <a:gd name="connsiteX82" fmla="*/ 1746 w 10650"/>
                      <a:gd name="connsiteY82" fmla="*/ 7370 h 10000"/>
                      <a:gd name="connsiteX83" fmla="*/ 1429 w 10650"/>
                      <a:gd name="connsiteY83" fmla="*/ 7457 h 10000"/>
                      <a:gd name="connsiteX84" fmla="*/ 1158 w 10650"/>
                      <a:gd name="connsiteY84" fmla="*/ 7519 h 10000"/>
                      <a:gd name="connsiteX85" fmla="*/ 737 w 10650"/>
                      <a:gd name="connsiteY85" fmla="*/ 7630 h 10000"/>
                      <a:gd name="connsiteX86" fmla="*/ 0 w 10650"/>
                      <a:gd name="connsiteY86" fmla="*/ 8060 h 10000"/>
                      <a:gd name="connsiteX87" fmla="*/ 639 w 10650"/>
                      <a:gd name="connsiteY87" fmla="*/ 8306 h 10000"/>
                      <a:gd name="connsiteX88" fmla="*/ 1124 w 10650"/>
                      <a:gd name="connsiteY88" fmla="*/ 8742 h 10000"/>
                      <a:gd name="connsiteX89" fmla="*/ 1737 w 10650"/>
                      <a:gd name="connsiteY89" fmla="*/ 9117 h 10000"/>
                      <a:gd name="connsiteX90" fmla="*/ 2432 w 10650"/>
                      <a:gd name="connsiteY90" fmla="*/ 9431 h 10000"/>
                      <a:gd name="connsiteX91" fmla="*/ 3177 w 10650"/>
                      <a:gd name="connsiteY91" fmla="*/ 9681 h 10000"/>
                      <a:gd name="connsiteX92" fmla="*/ 3929 w 10650"/>
                      <a:gd name="connsiteY92" fmla="*/ 9862 h 10000"/>
                      <a:gd name="connsiteX93" fmla="*/ 4646 w 10650"/>
                      <a:gd name="connsiteY93" fmla="*/ 9968 h 10000"/>
                      <a:gd name="connsiteX94" fmla="*/ 5290 w 10650"/>
                      <a:gd name="connsiteY94" fmla="*/ 10000 h 10000"/>
                      <a:gd name="connsiteX95" fmla="*/ 6561 w 10650"/>
                      <a:gd name="connsiteY95" fmla="*/ 9846 h 10000"/>
                      <a:gd name="connsiteX96" fmla="*/ 8149 w 10650"/>
                      <a:gd name="connsiteY96" fmla="*/ 9391 h 10000"/>
                      <a:gd name="connsiteX97" fmla="*/ 8910 w 10650"/>
                      <a:gd name="connsiteY97" fmla="*/ 9069 h 10000"/>
                      <a:gd name="connsiteX98" fmla="*/ 9570 w 10650"/>
                      <a:gd name="connsiteY98" fmla="*/ 8694 h 10000"/>
                      <a:gd name="connsiteX99" fmla="*/ 10332 w 10650"/>
                      <a:gd name="connsiteY99" fmla="*/ 8320 h 10000"/>
                      <a:gd name="connsiteX100" fmla="*/ 10650 w 10650"/>
                      <a:gd name="connsiteY100" fmla="*/ 7962 h 100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Lst>
                    <a:rect l="l" t="t" r="r" b="b"/>
                    <a:pathLst>
                      <a:path w="10650" h="10000">
                        <a:moveTo>
                          <a:pt x="10650" y="7962"/>
                        </a:moveTo>
                        <a:lnTo>
                          <a:pt x="9913" y="7630"/>
                        </a:lnTo>
                        <a:lnTo>
                          <a:pt x="9495" y="7519"/>
                        </a:lnTo>
                        <a:lnTo>
                          <a:pt x="9281" y="7471"/>
                        </a:lnTo>
                        <a:lnTo>
                          <a:pt x="9039" y="7410"/>
                        </a:lnTo>
                        <a:lnTo>
                          <a:pt x="8743" y="7301"/>
                        </a:lnTo>
                        <a:lnTo>
                          <a:pt x="7671" y="6867"/>
                        </a:lnTo>
                        <a:cubicBezTo>
                          <a:pt x="7659" y="6863"/>
                          <a:pt x="7648" y="6860"/>
                          <a:pt x="7636" y="6856"/>
                        </a:cubicBezTo>
                        <a:lnTo>
                          <a:pt x="7366" y="6739"/>
                        </a:lnTo>
                        <a:lnTo>
                          <a:pt x="7202" y="6620"/>
                        </a:lnTo>
                        <a:lnTo>
                          <a:pt x="7014" y="6428"/>
                        </a:lnTo>
                        <a:cubicBezTo>
                          <a:pt x="6961" y="6385"/>
                          <a:pt x="6909" y="6341"/>
                          <a:pt x="6856" y="6298"/>
                        </a:cubicBezTo>
                        <a:lnTo>
                          <a:pt x="6702" y="6165"/>
                        </a:lnTo>
                        <a:lnTo>
                          <a:pt x="6602" y="6008"/>
                        </a:lnTo>
                        <a:cubicBezTo>
                          <a:pt x="6583" y="5888"/>
                          <a:pt x="6564" y="5769"/>
                          <a:pt x="6545" y="5649"/>
                        </a:cubicBezTo>
                        <a:cubicBezTo>
                          <a:pt x="6542" y="5575"/>
                          <a:pt x="6539" y="5500"/>
                          <a:pt x="6536" y="5426"/>
                        </a:cubicBezTo>
                        <a:lnTo>
                          <a:pt x="6536" y="5383"/>
                        </a:lnTo>
                        <a:cubicBezTo>
                          <a:pt x="6547" y="5374"/>
                          <a:pt x="6559" y="5365"/>
                          <a:pt x="6570" y="5356"/>
                        </a:cubicBezTo>
                        <a:lnTo>
                          <a:pt x="6922" y="4763"/>
                        </a:lnTo>
                        <a:cubicBezTo>
                          <a:pt x="6939" y="4651"/>
                          <a:pt x="6956" y="4538"/>
                          <a:pt x="6973" y="4426"/>
                        </a:cubicBezTo>
                        <a:lnTo>
                          <a:pt x="6973" y="4332"/>
                        </a:lnTo>
                        <a:lnTo>
                          <a:pt x="7080" y="4324"/>
                        </a:lnTo>
                        <a:lnTo>
                          <a:pt x="7174" y="4290"/>
                        </a:lnTo>
                        <a:lnTo>
                          <a:pt x="7246" y="4152"/>
                        </a:lnTo>
                        <a:cubicBezTo>
                          <a:pt x="7263" y="4116"/>
                          <a:pt x="7280" y="4079"/>
                          <a:pt x="7297" y="4043"/>
                        </a:cubicBezTo>
                        <a:lnTo>
                          <a:pt x="7369" y="3923"/>
                        </a:lnTo>
                        <a:cubicBezTo>
                          <a:pt x="7392" y="3872"/>
                          <a:pt x="7415" y="3820"/>
                          <a:pt x="7438" y="3769"/>
                        </a:cubicBezTo>
                        <a:cubicBezTo>
                          <a:pt x="7445" y="3717"/>
                          <a:pt x="7453" y="3664"/>
                          <a:pt x="7460" y="3612"/>
                        </a:cubicBezTo>
                        <a:cubicBezTo>
                          <a:pt x="7466" y="3560"/>
                          <a:pt x="7473" y="3507"/>
                          <a:pt x="7479" y="3455"/>
                        </a:cubicBezTo>
                        <a:cubicBezTo>
                          <a:pt x="7497" y="3396"/>
                          <a:pt x="7515" y="3336"/>
                          <a:pt x="7533" y="3277"/>
                        </a:cubicBezTo>
                        <a:cubicBezTo>
                          <a:pt x="7542" y="3229"/>
                          <a:pt x="7552" y="3181"/>
                          <a:pt x="7561" y="3133"/>
                        </a:cubicBezTo>
                        <a:cubicBezTo>
                          <a:pt x="7550" y="3108"/>
                          <a:pt x="7540" y="3084"/>
                          <a:pt x="7529" y="3059"/>
                        </a:cubicBezTo>
                        <a:lnTo>
                          <a:pt x="7523" y="3059"/>
                        </a:lnTo>
                        <a:cubicBezTo>
                          <a:pt x="7512" y="3047"/>
                          <a:pt x="7500" y="3036"/>
                          <a:pt x="7489" y="3024"/>
                        </a:cubicBezTo>
                        <a:cubicBezTo>
                          <a:pt x="7472" y="2981"/>
                          <a:pt x="7455" y="2939"/>
                          <a:pt x="7438" y="2896"/>
                        </a:cubicBezTo>
                        <a:cubicBezTo>
                          <a:pt x="7446" y="2716"/>
                          <a:pt x="7455" y="2536"/>
                          <a:pt x="7463" y="2356"/>
                        </a:cubicBezTo>
                        <a:cubicBezTo>
                          <a:pt x="7464" y="2342"/>
                          <a:pt x="7466" y="2328"/>
                          <a:pt x="7467" y="2314"/>
                        </a:cubicBezTo>
                        <a:cubicBezTo>
                          <a:pt x="7479" y="2158"/>
                          <a:pt x="7492" y="2002"/>
                          <a:pt x="7504" y="1846"/>
                        </a:cubicBezTo>
                        <a:cubicBezTo>
                          <a:pt x="7485" y="1767"/>
                          <a:pt x="7467" y="1688"/>
                          <a:pt x="7448" y="1609"/>
                        </a:cubicBezTo>
                        <a:cubicBezTo>
                          <a:pt x="7445" y="1600"/>
                          <a:pt x="7441" y="1591"/>
                          <a:pt x="7438" y="1582"/>
                        </a:cubicBezTo>
                        <a:cubicBezTo>
                          <a:pt x="7428" y="1537"/>
                          <a:pt x="7417" y="1492"/>
                          <a:pt x="7407" y="1447"/>
                        </a:cubicBezTo>
                        <a:lnTo>
                          <a:pt x="7413" y="1354"/>
                        </a:lnTo>
                        <a:cubicBezTo>
                          <a:pt x="7406" y="1326"/>
                          <a:pt x="7398" y="1299"/>
                          <a:pt x="7391" y="1271"/>
                        </a:cubicBezTo>
                        <a:lnTo>
                          <a:pt x="7190" y="1106"/>
                        </a:lnTo>
                        <a:lnTo>
                          <a:pt x="6860" y="848"/>
                        </a:lnTo>
                        <a:lnTo>
                          <a:pt x="6564" y="582"/>
                        </a:lnTo>
                        <a:lnTo>
                          <a:pt x="6331" y="370"/>
                        </a:lnTo>
                        <a:lnTo>
                          <a:pt x="6089" y="173"/>
                        </a:lnTo>
                        <a:lnTo>
                          <a:pt x="5828" y="45"/>
                        </a:lnTo>
                        <a:lnTo>
                          <a:pt x="5507" y="0"/>
                        </a:lnTo>
                        <a:lnTo>
                          <a:pt x="5199" y="32"/>
                        </a:lnTo>
                        <a:lnTo>
                          <a:pt x="4960" y="93"/>
                        </a:lnTo>
                        <a:lnTo>
                          <a:pt x="4715" y="144"/>
                        </a:lnTo>
                        <a:lnTo>
                          <a:pt x="4536" y="133"/>
                        </a:lnTo>
                        <a:lnTo>
                          <a:pt x="4347" y="266"/>
                        </a:lnTo>
                        <a:lnTo>
                          <a:pt x="4061" y="418"/>
                        </a:lnTo>
                        <a:lnTo>
                          <a:pt x="3649" y="630"/>
                        </a:lnTo>
                        <a:lnTo>
                          <a:pt x="3294" y="886"/>
                        </a:lnTo>
                        <a:lnTo>
                          <a:pt x="3139" y="1173"/>
                        </a:lnTo>
                        <a:cubicBezTo>
                          <a:pt x="3150" y="1270"/>
                          <a:pt x="3160" y="1368"/>
                          <a:pt x="3171" y="1465"/>
                        </a:cubicBezTo>
                        <a:cubicBezTo>
                          <a:pt x="3181" y="1536"/>
                          <a:pt x="3192" y="1607"/>
                          <a:pt x="3202" y="1678"/>
                        </a:cubicBezTo>
                        <a:cubicBezTo>
                          <a:pt x="3195" y="1753"/>
                          <a:pt x="3187" y="1829"/>
                          <a:pt x="3180" y="1904"/>
                        </a:cubicBezTo>
                        <a:cubicBezTo>
                          <a:pt x="3170" y="2081"/>
                          <a:pt x="3159" y="2259"/>
                          <a:pt x="3149" y="2436"/>
                        </a:cubicBezTo>
                        <a:cubicBezTo>
                          <a:pt x="3165" y="2538"/>
                          <a:pt x="3180" y="2640"/>
                          <a:pt x="3196" y="2742"/>
                        </a:cubicBezTo>
                        <a:lnTo>
                          <a:pt x="3250" y="2973"/>
                        </a:lnTo>
                        <a:lnTo>
                          <a:pt x="3029" y="2848"/>
                        </a:lnTo>
                        <a:lnTo>
                          <a:pt x="3014" y="2878"/>
                        </a:lnTo>
                        <a:cubicBezTo>
                          <a:pt x="3008" y="2908"/>
                          <a:pt x="3001" y="2938"/>
                          <a:pt x="2995" y="2968"/>
                        </a:cubicBezTo>
                        <a:cubicBezTo>
                          <a:pt x="2999" y="3083"/>
                          <a:pt x="3003" y="3199"/>
                          <a:pt x="3007" y="3314"/>
                        </a:cubicBezTo>
                        <a:cubicBezTo>
                          <a:pt x="3030" y="3437"/>
                          <a:pt x="3054" y="3561"/>
                          <a:pt x="3077" y="3684"/>
                        </a:cubicBezTo>
                        <a:cubicBezTo>
                          <a:pt x="3084" y="3718"/>
                          <a:pt x="3092" y="3751"/>
                          <a:pt x="3099" y="3785"/>
                        </a:cubicBezTo>
                        <a:cubicBezTo>
                          <a:pt x="3106" y="3819"/>
                          <a:pt x="3114" y="3854"/>
                          <a:pt x="3121" y="3888"/>
                        </a:cubicBezTo>
                        <a:lnTo>
                          <a:pt x="3253" y="4109"/>
                        </a:lnTo>
                        <a:lnTo>
                          <a:pt x="3372" y="4154"/>
                        </a:lnTo>
                        <a:lnTo>
                          <a:pt x="3467" y="4168"/>
                        </a:lnTo>
                        <a:lnTo>
                          <a:pt x="3470" y="4255"/>
                        </a:lnTo>
                        <a:cubicBezTo>
                          <a:pt x="3520" y="4495"/>
                          <a:pt x="3571" y="4736"/>
                          <a:pt x="3621" y="4976"/>
                        </a:cubicBezTo>
                        <a:cubicBezTo>
                          <a:pt x="3672" y="5064"/>
                          <a:pt x="3724" y="5151"/>
                          <a:pt x="3775" y="5239"/>
                        </a:cubicBezTo>
                        <a:cubicBezTo>
                          <a:pt x="3782" y="5248"/>
                          <a:pt x="3790" y="5257"/>
                          <a:pt x="3797" y="5266"/>
                        </a:cubicBezTo>
                        <a:lnTo>
                          <a:pt x="3797" y="5904"/>
                        </a:lnTo>
                        <a:cubicBezTo>
                          <a:pt x="3764" y="5934"/>
                          <a:pt x="3732" y="5965"/>
                          <a:pt x="3699" y="5995"/>
                        </a:cubicBezTo>
                        <a:lnTo>
                          <a:pt x="2869" y="6713"/>
                        </a:lnTo>
                        <a:lnTo>
                          <a:pt x="1746" y="7370"/>
                        </a:lnTo>
                        <a:lnTo>
                          <a:pt x="1429" y="7457"/>
                        </a:lnTo>
                        <a:lnTo>
                          <a:pt x="1158" y="7519"/>
                        </a:lnTo>
                        <a:lnTo>
                          <a:pt x="737" y="7630"/>
                        </a:lnTo>
                        <a:lnTo>
                          <a:pt x="0" y="8060"/>
                        </a:lnTo>
                        <a:lnTo>
                          <a:pt x="639" y="8306"/>
                        </a:lnTo>
                        <a:lnTo>
                          <a:pt x="1124" y="8742"/>
                        </a:lnTo>
                        <a:lnTo>
                          <a:pt x="1737" y="9117"/>
                        </a:lnTo>
                        <a:lnTo>
                          <a:pt x="2432" y="9431"/>
                        </a:lnTo>
                        <a:lnTo>
                          <a:pt x="3177" y="9681"/>
                        </a:lnTo>
                        <a:lnTo>
                          <a:pt x="3929" y="9862"/>
                        </a:lnTo>
                        <a:lnTo>
                          <a:pt x="4646" y="9968"/>
                        </a:lnTo>
                        <a:lnTo>
                          <a:pt x="5290" y="10000"/>
                        </a:lnTo>
                        <a:lnTo>
                          <a:pt x="6561" y="9846"/>
                        </a:lnTo>
                        <a:lnTo>
                          <a:pt x="8149" y="9391"/>
                        </a:lnTo>
                        <a:lnTo>
                          <a:pt x="8910" y="9069"/>
                        </a:lnTo>
                        <a:lnTo>
                          <a:pt x="9570" y="8694"/>
                        </a:lnTo>
                        <a:lnTo>
                          <a:pt x="10332" y="8320"/>
                        </a:lnTo>
                        <a:lnTo>
                          <a:pt x="10650" y="7962"/>
                        </a:lnTo>
                        <a:close/>
                      </a:path>
                    </a:pathLst>
                  </a:custGeom>
                  <a:solidFill>
                    <a:srgbClr val="9E9E9E"/>
                  </a:solidFill>
                  <a:ln>
                    <a:noFill/>
                  </a:ln>
                </xdr:spPr>
                <xdr:txBody>
                  <a:bodyPr/>
                  <a:lstStyle/>
                  <a:p>
                    <a:endParaRPr lang="en-US"/>
                  </a:p>
                </xdr:txBody>
              </xdr:sp>
            </xdr:grpSp>
            <xdr:pic>
              <xdr:nvPicPr>
                <xdr:cNvPr id="8094" name="09_profileimage">
                  <a:hlinkClick xmlns:r="http://schemas.openxmlformats.org/officeDocument/2006/relationships" r:id="rId53"/>
                </xdr:cNvPr>
                <xdr:cNvPicPr>
                  <a:picLocks/>
                </xdr:cNvPicPr>
              </xdr:nvPicPr>
              <xdr:blipFill>
                <a:blip xmlns:r="http://schemas.openxmlformats.org/officeDocument/2006/relationships" r:link="rId54"/>
                <a:stretch>
                  <a:fillRect/>
                </a:stretch>
              </xdr:blipFill>
              <xdr:spPr>
                <a:xfrm>
                  <a:off x="1033653" y="63985899"/>
                  <a:ext cx="822960" cy="822960"/>
                </a:xfrm>
                <a:prstGeom prst="rect">
                  <a:avLst/>
                </a:prstGeom>
              </xdr:spPr>
            </xdr:pic>
            <xdr:sp macro="" textlink="">
              <xdr:nvSpPr>
                <xdr:cNvPr id="594" name="09_imgModule_Freeform_10"/>
                <xdr:cNvSpPr>
                  <a:spLocks noEditPoints="1"/>
                </xdr:cNvSpPr>
              </xdr:nvSpPr>
              <xdr:spPr bwMode="auto">
                <a:xfrm>
                  <a:off x="960501" y="63912749"/>
                  <a:ext cx="969264" cy="969264"/>
                </a:xfrm>
                <a:custGeom>
                  <a:avLst/>
                  <a:gdLst>
                    <a:gd name="T0" fmla="*/ 0 w 417"/>
                    <a:gd name="T1" fmla="*/ 417 h 417"/>
                    <a:gd name="T2" fmla="*/ 417 w 417"/>
                    <a:gd name="T3" fmla="*/ 0 h 417"/>
                    <a:gd name="T4" fmla="*/ 209 w 417"/>
                    <a:gd name="T5" fmla="*/ 385 h 417"/>
                    <a:gd name="T6" fmla="*/ 190 w 417"/>
                    <a:gd name="T7" fmla="*/ 384 h 417"/>
                    <a:gd name="T8" fmla="*/ 156 w 417"/>
                    <a:gd name="T9" fmla="*/ 377 h 417"/>
                    <a:gd name="T10" fmla="*/ 124 w 417"/>
                    <a:gd name="T11" fmla="*/ 364 h 417"/>
                    <a:gd name="T12" fmla="*/ 96 w 417"/>
                    <a:gd name="T13" fmla="*/ 345 h 417"/>
                    <a:gd name="T14" fmla="*/ 72 w 417"/>
                    <a:gd name="T15" fmla="*/ 321 h 417"/>
                    <a:gd name="T16" fmla="*/ 53 w 417"/>
                    <a:gd name="T17" fmla="*/ 293 h 417"/>
                    <a:gd name="T18" fmla="*/ 40 w 417"/>
                    <a:gd name="T19" fmla="*/ 261 h 417"/>
                    <a:gd name="T20" fmla="*/ 33 w 417"/>
                    <a:gd name="T21" fmla="*/ 227 h 417"/>
                    <a:gd name="T22" fmla="*/ 32 w 417"/>
                    <a:gd name="T23" fmla="*/ 209 h 417"/>
                    <a:gd name="T24" fmla="*/ 36 w 417"/>
                    <a:gd name="T25" fmla="*/ 173 h 417"/>
                    <a:gd name="T26" fmla="*/ 46 w 417"/>
                    <a:gd name="T27" fmla="*/ 139 h 417"/>
                    <a:gd name="T28" fmla="*/ 62 w 417"/>
                    <a:gd name="T29" fmla="*/ 110 h 417"/>
                    <a:gd name="T30" fmla="*/ 84 w 417"/>
                    <a:gd name="T31" fmla="*/ 84 h 417"/>
                    <a:gd name="T32" fmla="*/ 110 w 417"/>
                    <a:gd name="T33" fmla="*/ 62 h 417"/>
                    <a:gd name="T34" fmla="*/ 139 w 417"/>
                    <a:gd name="T35" fmla="*/ 46 h 417"/>
                    <a:gd name="T36" fmla="*/ 173 w 417"/>
                    <a:gd name="T37" fmla="*/ 36 h 417"/>
                    <a:gd name="T38" fmla="*/ 209 w 417"/>
                    <a:gd name="T39" fmla="*/ 32 h 417"/>
                    <a:gd name="T40" fmla="*/ 227 w 417"/>
                    <a:gd name="T41" fmla="*/ 33 h 417"/>
                    <a:gd name="T42" fmla="*/ 261 w 417"/>
                    <a:gd name="T43" fmla="*/ 40 h 417"/>
                    <a:gd name="T44" fmla="*/ 293 w 417"/>
                    <a:gd name="T45" fmla="*/ 53 h 417"/>
                    <a:gd name="T46" fmla="*/ 321 w 417"/>
                    <a:gd name="T47" fmla="*/ 72 h 417"/>
                    <a:gd name="T48" fmla="*/ 345 w 417"/>
                    <a:gd name="T49" fmla="*/ 96 h 417"/>
                    <a:gd name="T50" fmla="*/ 364 w 417"/>
                    <a:gd name="T51" fmla="*/ 124 h 417"/>
                    <a:gd name="T52" fmla="*/ 377 w 417"/>
                    <a:gd name="T53" fmla="*/ 156 h 417"/>
                    <a:gd name="T54" fmla="*/ 384 w 417"/>
                    <a:gd name="T55" fmla="*/ 190 h 417"/>
                    <a:gd name="T56" fmla="*/ 385 w 417"/>
                    <a:gd name="T57" fmla="*/ 209 h 417"/>
                    <a:gd name="T58" fmla="*/ 381 w 417"/>
                    <a:gd name="T59" fmla="*/ 244 h 417"/>
                    <a:gd name="T60" fmla="*/ 371 w 417"/>
                    <a:gd name="T61" fmla="*/ 278 h 417"/>
                    <a:gd name="T62" fmla="*/ 355 w 417"/>
                    <a:gd name="T63" fmla="*/ 307 h 417"/>
                    <a:gd name="T64" fmla="*/ 333 w 417"/>
                    <a:gd name="T65" fmla="*/ 333 h 417"/>
                    <a:gd name="T66" fmla="*/ 307 w 417"/>
                    <a:gd name="T67" fmla="*/ 355 h 417"/>
                    <a:gd name="T68" fmla="*/ 278 w 417"/>
                    <a:gd name="T69" fmla="*/ 371 h 417"/>
                    <a:gd name="T70" fmla="*/ 244 w 417"/>
                    <a:gd name="T71" fmla="*/ 381 h 417"/>
                    <a:gd name="T72" fmla="*/ 209 w 417"/>
                    <a:gd name="T73" fmla="*/ 385 h 41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Lst>
                  <a:rect l="0" t="0" r="r" b="b"/>
                  <a:pathLst>
                    <a:path w="417" h="417">
                      <a:moveTo>
                        <a:pt x="0" y="0"/>
                      </a:moveTo>
                      <a:lnTo>
                        <a:pt x="0" y="417"/>
                      </a:lnTo>
                      <a:lnTo>
                        <a:pt x="417" y="417"/>
                      </a:lnTo>
                      <a:lnTo>
                        <a:pt x="417" y="0"/>
                      </a:lnTo>
                      <a:lnTo>
                        <a:pt x="0" y="0"/>
                      </a:lnTo>
                      <a:close/>
                      <a:moveTo>
                        <a:pt x="209" y="385"/>
                      </a:moveTo>
                      <a:lnTo>
                        <a:pt x="209" y="385"/>
                      </a:lnTo>
                      <a:lnTo>
                        <a:pt x="190" y="384"/>
                      </a:lnTo>
                      <a:lnTo>
                        <a:pt x="173" y="381"/>
                      </a:lnTo>
                      <a:lnTo>
                        <a:pt x="156" y="377"/>
                      </a:lnTo>
                      <a:lnTo>
                        <a:pt x="139" y="371"/>
                      </a:lnTo>
                      <a:lnTo>
                        <a:pt x="124" y="364"/>
                      </a:lnTo>
                      <a:lnTo>
                        <a:pt x="110" y="355"/>
                      </a:lnTo>
                      <a:lnTo>
                        <a:pt x="96" y="345"/>
                      </a:lnTo>
                      <a:lnTo>
                        <a:pt x="84" y="333"/>
                      </a:lnTo>
                      <a:lnTo>
                        <a:pt x="72" y="321"/>
                      </a:lnTo>
                      <a:lnTo>
                        <a:pt x="62" y="307"/>
                      </a:lnTo>
                      <a:lnTo>
                        <a:pt x="53" y="293"/>
                      </a:lnTo>
                      <a:lnTo>
                        <a:pt x="46" y="278"/>
                      </a:lnTo>
                      <a:lnTo>
                        <a:pt x="40" y="261"/>
                      </a:lnTo>
                      <a:lnTo>
                        <a:pt x="36" y="244"/>
                      </a:lnTo>
                      <a:lnTo>
                        <a:pt x="33" y="227"/>
                      </a:lnTo>
                      <a:lnTo>
                        <a:pt x="32" y="209"/>
                      </a:lnTo>
                      <a:lnTo>
                        <a:pt x="32" y="209"/>
                      </a:lnTo>
                      <a:lnTo>
                        <a:pt x="33" y="190"/>
                      </a:lnTo>
                      <a:lnTo>
                        <a:pt x="36" y="173"/>
                      </a:lnTo>
                      <a:lnTo>
                        <a:pt x="40" y="156"/>
                      </a:lnTo>
                      <a:lnTo>
                        <a:pt x="46" y="139"/>
                      </a:lnTo>
                      <a:lnTo>
                        <a:pt x="53" y="124"/>
                      </a:lnTo>
                      <a:lnTo>
                        <a:pt x="62" y="110"/>
                      </a:lnTo>
                      <a:lnTo>
                        <a:pt x="72" y="96"/>
                      </a:lnTo>
                      <a:lnTo>
                        <a:pt x="84" y="84"/>
                      </a:lnTo>
                      <a:lnTo>
                        <a:pt x="96" y="72"/>
                      </a:lnTo>
                      <a:lnTo>
                        <a:pt x="110" y="62"/>
                      </a:lnTo>
                      <a:lnTo>
                        <a:pt x="124" y="53"/>
                      </a:lnTo>
                      <a:lnTo>
                        <a:pt x="139" y="46"/>
                      </a:lnTo>
                      <a:lnTo>
                        <a:pt x="156" y="40"/>
                      </a:lnTo>
                      <a:lnTo>
                        <a:pt x="173" y="36"/>
                      </a:lnTo>
                      <a:lnTo>
                        <a:pt x="190" y="33"/>
                      </a:lnTo>
                      <a:lnTo>
                        <a:pt x="209" y="32"/>
                      </a:lnTo>
                      <a:lnTo>
                        <a:pt x="209" y="32"/>
                      </a:lnTo>
                      <a:lnTo>
                        <a:pt x="227" y="33"/>
                      </a:lnTo>
                      <a:lnTo>
                        <a:pt x="244" y="36"/>
                      </a:lnTo>
                      <a:lnTo>
                        <a:pt x="261" y="40"/>
                      </a:lnTo>
                      <a:lnTo>
                        <a:pt x="278" y="46"/>
                      </a:lnTo>
                      <a:lnTo>
                        <a:pt x="293" y="53"/>
                      </a:lnTo>
                      <a:lnTo>
                        <a:pt x="307" y="62"/>
                      </a:lnTo>
                      <a:lnTo>
                        <a:pt x="321" y="72"/>
                      </a:lnTo>
                      <a:lnTo>
                        <a:pt x="333" y="84"/>
                      </a:lnTo>
                      <a:lnTo>
                        <a:pt x="345" y="96"/>
                      </a:lnTo>
                      <a:lnTo>
                        <a:pt x="355" y="110"/>
                      </a:lnTo>
                      <a:lnTo>
                        <a:pt x="364" y="124"/>
                      </a:lnTo>
                      <a:lnTo>
                        <a:pt x="371" y="139"/>
                      </a:lnTo>
                      <a:lnTo>
                        <a:pt x="377" y="156"/>
                      </a:lnTo>
                      <a:lnTo>
                        <a:pt x="381" y="173"/>
                      </a:lnTo>
                      <a:lnTo>
                        <a:pt x="384" y="190"/>
                      </a:lnTo>
                      <a:lnTo>
                        <a:pt x="385" y="209"/>
                      </a:lnTo>
                      <a:lnTo>
                        <a:pt x="385" y="209"/>
                      </a:lnTo>
                      <a:lnTo>
                        <a:pt x="384" y="227"/>
                      </a:lnTo>
                      <a:lnTo>
                        <a:pt x="381" y="244"/>
                      </a:lnTo>
                      <a:lnTo>
                        <a:pt x="377" y="261"/>
                      </a:lnTo>
                      <a:lnTo>
                        <a:pt x="371" y="278"/>
                      </a:lnTo>
                      <a:lnTo>
                        <a:pt x="364" y="293"/>
                      </a:lnTo>
                      <a:lnTo>
                        <a:pt x="355" y="307"/>
                      </a:lnTo>
                      <a:lnTo>
                        <a:pt x="345" y="321"/>
                      </a:lnTo>
                      <a:lnTo>
                        <a:pt x="333" y="333"/>
                      </a:lnTo>
                      <a:lnTo>
                        <a:pt x="321" y="345"/>
                      </a:lnTo>
                      <a:lnTo>
                        <a:pt x="307" y="355"/>
                      </a:lnTo>
                      <a:lnTo>
                        <a:pt x="293" y="364"/>
                      </a:lnTo>
                      <a:lnTo>
                        <a:pt x="278" y="371"/>
                      </a:lnTo>
                      <a:lnTo>
                        <a:pt x="261" y="377"/>
                      </a:lnTo>
                      <a:lnTo>
                        <a:pt x="244" y="381"/>
                      </a:lnTo>
                      <a:lnTo>
                        <a:pt x="227" y="384"/>
                      </a:lnTo>
                      <a:lnTo>
                        <a:pt x="209" y="385"/>
                      </a:lnTo>
                      <a:lnTo>
                        <a:pt x="209" y="385"/>
                      </a:lnTo>
                      <a:close/>
                    </a:path>
                  </a:pathLst>
                </a:custGeom>
                <a:solidFill>
                  <a:srgbClr val="E0E0E0"/>
                </a:solidFill>
                <a:ln>
                  <a:noFill/>
                </a:ln>
              </xdr:spPr>
            </xdr:sp>
          </xdr:grpSp>
        </xdr:grpSp>
        <xdr:pic>
          <xdr:nvPicPr>
            <xdr:cNvPr id="8263" name="09_channelimage"/>
            <xdr:cNvPicPr>
              <a:picLocks/>
            </xdr:cNvPicPr>
          </xdr:nvPicPr>
          <xdr:blipFill>
            <a:blip xmlns:r="http://schemas.openxmlformats.org/officeDocument/2006/relationships" r:link="rId32"/>
            <a:stretch>
              <a:fillRect/>
            </a:stretch>
          </xdr:blipFill>
          <xdr:spPr>
            <a:xfrm>
              <a:off x="800100" y="63749064"/>
              <a:ext cx="576072" cy="576072"/>
            </a:xfrm>
            <a:prstGeom prst="rect">
              <a:avLst/>
            </a:prstGeom>
          </xdr:spPr>
        </xdr:pic>
      </xdr:grpSp>
      <xdr:grpSp>
        <xdr:nvGrpSpPr>
          <xdr:cNvPr id="9274" name="Group 9273"/>
          <xdr:cNvGrpSpPr/>
        </xdr:nvGrpSpPr>
        <xdr:grpSpPr>
          <a:xfrm>
            <a:off x="5934075" y="63531749"/>
            <a:ext cx="5020056" cy="2095499"/>
            <a:chOff x="5934075" y="63646049"/>
            <a:chExt cx="5020056" cy="2095499"/>
          </a:xfrm>
        </xdr:grpSpPr>
        <xdr:grpSp>
          <xdr:nvGrpSpPr>
            <xdr:cNvPr id="9262" name="Group 9261"/>
            <xdr:cNvGrpSpPr/>
          </xdr:nvGrpSpPr>
          <xdr:grpSpPr>
            <a:xfrm>
              <a:off x="5934075" y="63646049"/>
              <a:ext cx="5020056" cy="2095499"/>
              <a:chOff x="5934075" y="63646049"/>
              <a:chExt cx="5020056" cy="2095499"/>
            </a:xfrm>
          </xdr:grpSpPr>
          <xdr:grpSp>
            <xdr:nvGrpSpPr>
              <xdr:cNvPr id="9258" name="Group 9257"/>
              <xdr:cNvGrpSpPr/>
            </xdr:nvGrpSpPr>
            <xdr:grpSpPr>
              <a:xfrm>
                <a:off x="5934075" y="63646049"/>
                <a:ext cx="5020056" cy="2095499"/>
                <a:chOff x="5934075" y="63646049"/>
                <a:chExt cx="5020056" cy="2095499"/>
              </a:xfrm>
            </xdr:grpSpPr>
            <xdr:sp macro="" textlink="">
              <xdr:nvSpPr>
                <xdr:cNvPr id="579" name="10_imgModule_Rounded_Rectangle_539"/>
                <xdr:cNvSpPr/>
              </xdr:nvSpPr>
              <xdr:spPr>
                <a:xfrm>
                  <a:off x="5934075" y="63655574"/>
                  <a:ext cx="5020056" cy="2085974"/>
                </a:xfrm>
                <a:prstGeom prst="roundRect">
                  <a:avLst>
                    <a:gd name="adj" fmla="val 800"/>
                  </a:avLst>
                </a:prstGeom>
                <a:solidFill>
                  <a:srgbClr val="757575"/>
                </a:solidFill>
                <a:ln w="12700">
                  <a:solidFill>
                    <a:srgbClr val="1E1E1E"/>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l"/>
                  <a:endParaRPr lang="en-US" sz="1100"/>
                </a:p>
              </xdr:txBody>
            </xdr:sp>
            <xdr:sp macro="" textlink="">
              <xdr:nvSpPr>
                <xdr:cNvPr id="580" name="10_imgModule_Rounded_Rectangle_540"/>
                <xdr:cNvSpPr/>
              </xdr:nvSpPr>
              <xdr:spPr>
                <a:xfrm>
                  <a:off x="5934075" y="63646049"/>
                  <a:ext cx="5020056" cy="2084832"/>
                </a:xfrm>
                <a:prstGeom prst="roundRect">
                  <a:avLst>
                    <a:gd name="adj" fmla="val 800"/>
                  </a:avLst>
                </a:prstGeom>
                <a:solidFill>
                  <a:srgbClr val="757575"/>
                </a:solidFill>
                <a:ln w="12700">
                  <a:solidFill>
                    <a:srgbClr val="1A1A1A"/>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l"/>
                  <a:endParaRPr lang="en-US" sz="1100"/>
                </a:p>
              </xdr:txBody>
            </xdr:sp>
          </xdr:grpSp>
          <xdr:grpSp>
            <xdr:nvGrpSpPr>
              <xdr:cNvPr id="9259" name="Group 9258"/>
              <xdr:cNvGrpSpPr/>
            </xdr:nvGrpSpPr>
            <xdr:grpSpPr>
              <a:xfrm>
                <a:off x="9686353" y="63807973"/>
                <a:ext cx="1155910" cy="651129"/>
                <a:chOff x="9686353" y="63807973"/>
                <a:chExt cx="1155910" cy="651129"/>
              </a:xfrm>
            </xdr:grpSpPr>
            <xdr:sp macro="" textlink="Calculations!F428">
              <xdr:nvSpPr>
                <xdr:cNvPr id="576" name="10_metric01_number"/>
                <xdr:cNvSpPr txBox="1"/>
              </xdr:nvSpPr>
              <xdr:spPr>
                <a:xfrm>
                  <a:off x="9686353" y="63807973"/>
                  <a:ext cx="1143000" cy="28438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ctr"/>
                <a:lstStyle/>
                <a:p>
                  <a:pPr marL="0" indent="0" algn="l"/>
                  <a:fld id="{D7182530-33AC-4DBA-A0D3-FFA40574097B}" type="TxLink">
                    <a:rPr lang="en-US" sz="2200" b="0" i="0" u="none" strike="noStrike">
                      <a:solidFill>
                        <a:srgbClr val="AFBFFF"/>
                      </a:solidFill>
                      <a:latin typeface="+mn-lt"/>
                      <a:ea typeface="+mn-ea"/>
                      <a:cs typeface="+mn-cs"/>
                    </a:rPr>
                    <a:pPr marL="0" indent="0" algn="l"/>
                    <a:t>4,570</a:t>
                  </a:fld>
                  <a:endParaRPr lang="en-US" sz="2200" b="0" i="0" u="none" strike="noStrike">
                    <a:solidFill>
                      <a:srgbClr val="AFBFFF"/>
                    </a:solidFill>
                    <a:latin typeface="+mn-lt"/>
                    <a:ea typeface="+mn-ea"/>
                    <a:cs typeface="+mn-cs"/>
                  </a:endParaRPr>
                </a:p>
              </xdr:txBody>
            </xdr:sp>
            <xdr:sp macro="" textlink="Calculations!G428">
              <xdr:nvSpPr>
                <xdr:cNvPr id="577" name="10_metric01_label"/>
                <xdr:cNvSpPr txBox="1"/>
              </xdr:nvSpPr>
              <xdr:spPr>
                <a:xfrm>
                  <a:off x="9699263" y="64084198"/>
                  <a:ext cx="1143000" cy="3749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marL="0" indent="0" algn="l"/>
                  <a:fld id="{1F087E38-884D-470A-9062-FAA99FDEF1DB}" type="TxLink">
                    <a:rPr lang="en-US" sz="1200" b="0" i="0" u="none" strike="noStrike">
                      <a:solidFill>
                        <a:srgbClr val="E0E0E0"/>
                      </a:solidFill>
                      <a:latin typeface="+mn-lt"/>
                      <a:ea typeface="+mn-ea"/>
                      <a:cs typeface="+mn-cs"/>
                    </a:rPr>
                    <a:pPr marL="0" indent="0" algn="l"/>
                    <a:t>Instagram Engagements</a:t>
                  </a:fld>
                  <a:endParaRPr lang="en-US" sz="1200" b="0" i="0" u="none" strike="noStrike">
                    <a:solidFill>
                      <a:srgbClr val="E0E0E0"/>
                    </a:solidFill>
                    <a:latin typeface="+mn-lt"/>
                    <a:ea typeface="+mn-ea"/>
                    <a:cs typeface="+mn-cs"/>
                  </a:endParaRPr>
                </a:p>
              </xdr:txBody>
            </xdr:sp>
          </xdr:grpSp>
          <xdr:grpSp>
            <xdr:nvGrpSpPr>
              <xdr:cNvPr id="9260" name="Group 9259"/>
              <xdr:cNvGrpSpPr/>
            </xdr:nvGrpSpPr>
            <xdr:grpSpPr>
              <a:xfrm>
                <a:off x="9686353" y="65122423"/>
                <a:ext cx="1155910" cy="613029"/>
                <a:chOff x="9686353" y="65122423"/>
                <a:chExt cx="1155910" cy="613029"/>
              </a:xfrm>
            </xdr:grpSpPr>
            <xdr:sp macro="" textlink="Calculations!M428">
              <xdr:nvSpPr>
                <xdr:cNvPr id="574" name="10_metric03_number"/>
                <xdr:cNvSpPr txBox="1"/>
              </xdr:nvSpPr>
              <xdr:spPr>
                <a:xfrm>
                  <a:off x="9686353" y="65122423"/>
                  <a:ext cx="1143000" cy="28438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ctr"/>
                <a:lstStyle/>
                <a:p>
                  <a:pPr marL="0" indent="0" algn="l"/>
                  <a:fld id="{A6C18558-21E0-4B53-8FAC-D188BD29567F}" type="TxLink">
                    <a:rPr lang="en-US" sz="1600" b="0" i="0" u="none" strike="noStrike">
                      <a:solidFill>
                        <a:srgbClr val="AFBFFF"/>
                      </a:solidFill>
                      <a:latin typeface="+mn-lt"/>
                      <a:ea typeface="+mn-ea"/>
                      <a:cs typeface="+mn-cs"/>
                    </a:rPr>
                    <a:pPr marL="0" indent="0" algn="l"/>
                    <a:t>34</a:t>
                  </a:fld>
                  <a:endParaRPr lang="en-US" sz="1600" b="0" i="0" u="none" strike="noStrike">
                    <a:solidFill>
                      <a:srgbClr val="AFBFFF"/>
                    </a:solidFill>
                    <a:latin typeface="+mn-lt"/>
                    <a:ea typeface="+mn-ea"/>
                    <a:cs typeface="+mn-cs"/>
                  </a:endParaRPr>
                </a:p>
              </xdr:txBody>
            </xdr:sp>
            <xdr:sp macro="" textlink="Calculations!N428">
              <xdr:nvSpPr>
                <xdr:cNvPr id="575" name="10_metric03_label"/>
                <xdr:cNvSpPr txBox="1"/>
              </xdr:nvSpPr>
              <xdr:spPr>
                <a:xfrm>
                  <a:off x="9699263" y="65360548"/>
                  <a:ext cx="1143000" cy="3749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marL="0" indent="0" algn="l"/>
                  <a:fld id="{8DDB72BD-8023-4D29-97E7-04FD009DFF0A}" type="TxLink">
                    <a:rPr lang="en-US" sz="1200" b="0" i="0" u="none" strike="noStrike">
                      <a:solidFill>
                        <a:srgbClr val="E0E0E0"/>
                      </a:solidFill>
                      <a:latin typeface="+mn-lt"/>
                      <a:ea typeface="+mn-ea"/>
                      <a:cs typeface="+mn-cs"/>
                    </a:rPr>
                    <a:pPr marL="0" indent="0" algn="l"/>
                    <a:t>Comments</a:t>
                  </a:fld>
                  <a:endParaRPr lang="en-US" sz="1200" b="0" i="0" u="none" strike="noStrike">
                    <a:solidFill>
                      <a:srgbClr val="E0E0E0"/>
                    </a:solidFill>
                    <a:latin typeface="+mn-lt"/>
                    <a:ea typeface="+mn-ea"/>
                    <a:cs typeface="+mn-cs"/>
                  </a:endParaRPr>
                </a:p>
              </xdr:txBody>
            </xdr:sp>
          </xdr:grpSp>
          <xdr:grpSp>
            <xdr:nvGrpSpPr>
              <xdr:cNvPr id="9261" name="Group 9260"/>
              <xdr:cNvGrpSpPr/>
            </xdr:nvGrpSpPr>
            <xdr:grpSpPr>
              <a:xfrm>
                <a:off x="9686353" y="64574735"/>
                <a:ext cx="1155910" cy="622554"/>
                <a:chOff x="9686353" y="64574735"/>
                <a:chExt cx="1155910" cy="622554"/>
              </a:xfrm>
            </xdr:grpSpPr>
            <xdr:sp macro="" textlink="Calculations!J428">
              <xdr:nvSpPr>
                <xdr:cNvPr id="572" name="10_metric02_number"/>
                <xdr:cNvSpPr txBox="1"/>
              </xdr:nvSpPr>
              <xdr:spPr>
                <a:xfrm>
                  <a:off x="9686353" y="64574735"/>
                  <a:ext cx="1143000" cy="28438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ctr"/>
                <a:lstStyle/>
                <a:p>
                  <a:pPr marL="0" indent="0" algn="l"/>
                  <a:fld id="{285AEA7B-D910-467A-8461-2CDA8FC9C302}" type="TxLink">
                    <a:rPr lang="en-US" sz="1600" b="0" i="0" u="none" strike="noStrike">
                      <a:solidFill>
                        <a:srgbClr val="AFBFFF"/>
                      </a:solidFill>
                      <a:latin typeface="+mn-lt"/>
                      <a:ea typeface="+mn-ea"/>
                      <a:cs typeface="+mn-cs"/>
                    </a:rPr>
                    <a:pPr marL="0" indent="0" algn="l"/>
                    <a:t>4,536</a:t>
                  </a:fld>
                  <a:endParaRPr lang="en-US" sz="1600" b="0" i="0" u="none" strike="noStrike">
                    <a:solidFill>
                      <a:srgbClr val="AFBFFF"/>
                    </a:solidFill>
                    <a:latin typeface="+mn-lt"/>
                    <a:ea typeface="+mn-ea"/>
                    <a:cs typeface="+mn-cs"/>
                  </a:endParaRPr>
                </a:p>
              </xdr:txBody>
            </xdr:sp>
            <xdr:sp macro="" textlink="Calculations!K428">
              <xdr:nvSpPr>
                <xdr:cNvPr id="573" name="10_metric02_label"/>
                <xdr:cNvSpPr txBox="1"/>
              </xdr:nvSpPr>
              <xdr:spPr>
                <a:xfrm>
                  <a:off x="9699263" y="64822385"/>
                  <a:ext cx="1143000" cy="3749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marL="0" indent="0" algn="l"/>
                  <a:fld id="{488E6A31-A95A-4E12-9C3D-B402891B6299}" type="TxLink">
                    <a:rPr lang="en-US" sz="1200" b="0" i="0" u="none" strike="noStrike">
                      <a:solidFill>
                        <a:srgbClr val="E0E0E0"/>
                      </a:solidFill>
                      <a:latin typeface="+mn-lt"/>
                      <a:ea typeface="+mn-ea"/>
                      <a:cs typeface="+mn-cs"/>
                    </a:rPr>
                    <a:pPr marL="0" indent="0" algn="l"/>
                    <a:t>Likes</a:t>
                  </a:fld>
                  <a:endParaRPr lang="en-US" sz="1200" b="0" i="0" u="none" strike="noStrike">
                    <a:solidFill>
                      <a:srgbClr val="E0E0E0"/>
                    </a:solidFill>
                    <a:latin typeface="+mn-lt"/>
                    <a:ea typeface="+mn-ea"/>
                    <a:cs typeface="+mn-cs"/>
                  </a:endParaRPr>
                </a:p>
              </xdr:txBody>
            </xdr:sp>
          </xdr:grpSp>
        </xdr:grpSp>
        <xdr:grpSp>
          <xdr:nvGrpSpPr>
            <xdr:cNvPr id="9273" name="Group 9272"/>
            <xdr:cNvGrpSpPr/>
          </xdr:nvGrpSpPr>
          <xdr:grpSpPr>
            <a:xfrm>
              <a:off x="6047803" y="63760347"/>
              <a:ext cx="3524822" cy="1866900"/>
              <a:chOff x="6047803" y="63760347"/>
              <a:chExt cx="3524822" cy="1866900"/>
            </a:xfrm>
          </xdr:grpSpPr>
          <xdr:grpSp>
            <xdr:nvGrpSpPr>
              <xdr:cNvPr id="9265" name="Group 9264"/>
              <xdr:cNvGrpSpPr/>
            </xdr:nvGrpSpPr>
            <xdr:grpSpPr>
              <a:xfrm>
                <a:off x="6047803" y="63760347"/>
                <a:ext cx="3524822" cy="1866900"/>
                <a:chOff x="6047803" y="63760347"/>
                <a:chExt cx="3524822" cy="1866900"/>
              </a:xfrm>
            </xdr:grpSpPr>
            <xdr:grpSp>
              <xdr:nvGrpSpPr>
                <xdr:cNvPr id="9263" name="Group 9262"/>
                <xdr:cNvGrpSpPr/>
              </xdr:nvGrpSpPr>
              <xdr:grpSpPr>
                <a:xfrm>
                  <a:off x="6047803" y="63760347"/>
                  <a:ext cx="3524822" cy="1866900"/>
                  <a:chOff x="6047803" y="63760347"/>
                  <a:chExt cx="3524822" cy="1866900"/>
                </a:xfrm>
              </xdr:grpSpPr>
              <xdr:sp macro="" textlink="">
                <xdr:nvSpPr>
                  <xdr:cNvPr id="561" name="10_imgModule_Rounded_Rectangle_533"/>
                  <xdr:cNvSpPr/>
                </xdr:nvSpPr>
                <xdr:spPr>
                  <a:xfrm>
                    <a:off x="6047804" y="63769872"/>
                    <a:ext cx="3524250" cy="1857375"/>
                  </a:xfrm>
                  <a:prstGeom prst="roundRect">
                    <a:avLst>
                      <a:gd name="adj" fmla="val 909"/>
                    </a:avLst>
                  </a:prstGeom>
                  <a:solidFill>
                    <a:srgbClr val="E0E0E0"/>
                  </a:solidFill>
                  <a:ln w="12700">
                    <a:solidFill>
                      <a:srgbClr val="646464"/>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l"/>
                    <a:endParaRPr lang="en-US" sz="1100"/>
                  </a:p>
                </xdr:txBody>
              </xdr:sp>
              <xdr:sp macro="" textlink="">
                <xdr:nvSpPr>
                  <xdr:cNvPr id="562" name="10_imgModule_Rounded_Rectangle_536"/>
                  <xdr:cNvSpPr/>
                </xdr:nvSpPr>
                <xdr:spPr>
                  <a:xfrm>
                    <a:off x="6047803" y="63760347"/>
                    <a:ext cx="3524822" cy="1856232"/>
                  </a:xfrm>
                  <a:prstGeom prst="roundRect">
                    <a:avLst>
                      <a:gd name="adj" fmla="val 909"/>
                    </a:avLst>
                  </a:prstGeom>
                  <a:solidFill>
                    <a:srgbClr val="E0E0E0"/>
                  </a:solidFill>
                  <a:ln w="12700">
                    <a:solidFill>
                      <a:srgbClr val="5E5E5E"/>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l"/>
                    <a:endParaRPr lang="en-US" sz="1100"/>
                  </a:p>
                </xdr:txBody>
              </xdr:sp>
            </xdr:grpSp>
            <xdr:grpSp>
              <xdr:nvGrpSpPr>
                <xdr:cNvPr id="9264" name="Group 9263"/>
                <xdr:cNvGrpSpPr/>
              </xdr:nvGrpSpPr>
              <xdr:grpSpPr>
                <a:xfrm>
                  <a:off x="7724965" y="63769871"/>
                  <a:ext cx="1847088" cy="1847088"/>
                  <a:chOff x="7724965" y="63769871"/>
                  <a:chExt cx="1847088" cy="1847088"/>
                </a:xfrm>
              </xdr:grpSpPr>
              <xdr:sp macro="" textlink="">
                <xdr:nvSpPr>
                  <xdr:cNvPr id="558" name="10_imgModule_Rounded_Rectangle_534"/>
                  <xdr:cNvSpPr/>
                </xdr:nvSpPr>
                <xdr:spPr>
                  <a:xfrm>
                    <a:off x="7724965" y="63769871"/>
                    <a:ext cx="1847088" cy="1847088"/>
                  </a:xfrm>
                  <a:prstGeom prst="roundRect">
                    <a:avLst>
                      <a:gd name="adj" fmla="val 909"/>
                    </a:avLst>
                  </a:prstGeom>
                  <a:solidFill>
                    <a:srgbClr val="D7D7D7"/>
                  </a:solidFill>
                  <a:ln w="12700">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l"/>
                    <a:endParaRPr lang="en-US" sz="1100"/>
                  </a:p>
                </xdr:txBody>
              </xdr:sp>
              <xdr:sp macro="" textlink="">
                <xdr:nvSpPr>
                  <xdr:cNvPr id="560" name="10_imgModule_Rectangle_430"/>
                  <xdr:cNvSpPr/>
                </xdr:nvSpPr>
                <xdr:spPr>
                  <a:xfrm>
                    <a:off x="7724965" y="63769871"/>
                    <a:ext cx="91440" cy="1847088"/>
                  </a:xfrm>
                  <a:prstGeom prst="rect">
                    <a:avLst/>
                  </a:prstGeom>
                  <a:solidFill>
                    <a:srgbClr val="D7D7D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grpSp>
          <xdr:grpSp>
            <xdr:nvGrpSpPr>
              <xdr:cNvPr id="9266" name="Group 9265"/>
              <xdr:cNvGrpSpPr/>
            </xdr:nvGrpSpPr>
            <xdr:grpSpPr>
              <a:xfrm>
                <a:off x="6276403" y="65138734"/>
                <a:ext cx="1372172" cy="424370"/>
                <a:chOff x="6276403" y="65138734"/>
                <a:chExt cx="1372172" cy="424370"/>
              </a:xfrm>
            </xdr:grpSpPr>
            <xdr:sp macro="" textlink="Calculations!D428">
              <xdr:nvSpPr>
                <xdr:cNvPr id="554" name="10_profilename"/>
                <xdr:cNvSpPr txBox="1"/>
              </xdr:nvSpPr>
              <xdr:spPr>
                <a:xfrm>
                  <a:off x="6276403" y="65328076"/>
                  <a:ext cx="1372172" cy="2350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ctr"/>
                <a:lstStyle/>
                <a:p>
                  <a:pPr marL="0" indent="0" algn="l"/>
                  <a:fld id="{2D98CB74-9371-44A5-9842-A342CC28DB42}" type="TxLink">
                    <a:rPr lang="en-US" sz="1300" b="0" i="0" u="none" strike="noStrike">
                      <a:solidFill>
                        <a:srgbClr val="4D4D4D"/>
                      </a:solidFill>
                      <a:latin typeface="+mn-lt"/>
                      <a:ea typeface="+mn-ea"/>
                      <a:cs typeface="+mn-cs"/>
                    </a:rPr>
                    <a:pPr marL="0" indent="0" algn="l"/>
                    <a:t>millionaire.dream</a:t>
                  </a:fld>
                  <a:endParaRPr lang="en-US" sz="1300" b="0">
                    <a:solidFill>
                      <a:srgbClr val="4D4D4D"/>
                    </a:solidFill>
                    <a:latin typeface="+mn-lt"/>
                    <a:ea typeface="+mn-ea"/>
                    <a:cs typeface="+mn-cs"/>
                  </a:endParaRPr>
                </a:p>
              </xdr:txBody>
            </xdr:sp>
            <xdr:sp macro="" textlink="Calculations!C428">
              <xdr:nvSpPr>
                <xdr:cNvPr id="555" name="10_postdate"/>
                <xdr:cNvSpPr txBox="1"/>
              </xdr:nvSpPr>
              <xdr:spPr>
                <a:xfrm>
                  <a:off x="6276403" y="65138734"/>
                  <a:ext cx="1371600" cy="2136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ctr"/>
                <a:lstStyle/>
                <a:p>
                  <a:pPr marL="0" indent="0" algn="l"/>
                  <a:fld id="{EEDB9468-82E1-4E4E-8B48-614AFA4BE3F7}" type="TxLink">
                    <a:rPr lang="en-US" sz="1000" b="0" i="0" u="none" strike="noStrike">
                      <a:solidFill>
                        <a:srgbClr val="666666"/>
                      </a:solidFill>
                      <a:latin typeface="+mn-lt"/>
                      <a:ea typeface="+mn-ea"/>
                      <a:cs typeface="+mn-cs"/>
                    </a:rPr>
                    <a:pPr marL="0" indent="0" algn="l"/>
                    <a:t>August 20, 2017</a:t>
                  </a:fld>
                  <a:endParaRPr lang="en-US" sz="1000" b="0">
                    <a:solidFill>
                      <a:srgbClr val="666666"/>
                    </a:solidFill>
                    <a:latin typeface="+mn-lt"/>
                    <a:ea typeface="+mn-ea"/>
                    <a:cs typeface="+mn-cs"/>
                  </a:endParaRPr>
                </a:p>
              </xdr:txBody>
            </xdr:sp>
          </xdr:grpSp>
          <xdr:grpSp>
            <xdr:nvGrpSpPr>
              <xdr:cNvPr id="9270" name="Group 9269"/>
              <xdr:cNvGrpSpPr/>
            </xdr:nvGrpSpPr>
            <xdr:grpSpPr>
              <a:xfrm>
                <a:off x="7724775" y="63769874"/>
                <a:ext cx="1847088" cy="1848614"/>
                <a:chOff x="7724775" y="63769874"/>
                <a:chExt cx="1847088" cy="1848614"/>
              </a:xfrm>
            </xdr:grpSpPr>
            <xdr:grpSp>
              <xdr:nvGrpSpPr>
                <xdr:cNvPr id="9269" name="Group 9268"/>
                <xdr:cNvGrpSpPr/>
              </xdr:nvGrpSpPr>
              <xdr:grpSpPr>
                <a:xfrm>
                  <a:off x="7724775" y="63769874"/>
                  <a:ext cx="1847088" cy="1848614"/>
                  <a:chOff x="7724775" y="63769874"/>
                  <a:chExt cx="1847088" cy="1848614"/>
                </a:xfrm>
              </xdr:grpSpPr>
              <xdr:grpSp>
                <xdr:nvGrpSpPr>
                  <xdr:cNvPr id="9267" name="Group 9266"/>
                  <xdr:cNvGrpSpPr/>
                </xdr:nvGrpSpPr>
                <xdr:grpSpPr>
                  <a:xfrm>
                    <a:off x="7724775" y="63769875"/>
                    <a:ext cx="1847088" cy="1848613"/>
                    <a:chOff x="7724775" y="63769875"/>
                    <a:chExt cx="1847088" cy="1848613"/>
                  </a:xfrm>
                </xdr:grpSpPr>
                <xdr:pic>
                  <xdr:nvPicPr>
                    <xdr:cNvPr id="8432" name="10_postimage" descr="profile:multi&#10;postSize:small"/>
                    <xdr:cNvPicPr>
                      <a:picLocks/>
                    </xdr:cNvPicPr>
                  </xdr:nvPicPr>
                  <xdr:blipFill>
                    <a:blip xmlns:r="http://schemas.openxmlformats.org/officeDocument/2006/relationships" r:link="rId55"/>
                    <a:stretch>
                      <a:fillRect/>
                    </a:stretch>
                  </xdr:blipFill>
                  <xdr:spPr>
                    <a:xfrm>
                      <a:off x="7724775" y="63769875"/>
                      <a:ext cx="1847088" cy="1847088"/>
                    </a:xfrm>
                    <a:prstGeom prst="rect">
                      <a:avLst/>
                    </a:prstGeom>
                  </xdr:spPr>
                </xdr:pic>
                <xdr:pic>
                  <xdr:nvPicPr>
                    <xdr:cNvPr id="8601" name="10_overlayimage"/>
                    <xdr:cNvPicPr>
                      <a:picLocks/>
                    </xdr:cNvPicPr>
                  </xdr:nvPicPr>
                  <xdr:blipFill>
                    <a:blip xmlns:r="http://schemas.openxmlformats.org/officeDocument/2006/relationships" r:link="rId2"/>
                    <a:stretch>
                      <a:fillRect/>
                    </a:stretch>
                  </xdr:blipFill>
                  <xdr:spPr>
                    <a:xfrm>
                      <a:off x="7724775" y="64996696"/>
                      <a:ext cx="1847088" cy="621792"/>
                    </a:xfrm>
                    <a:prstGeom prst="rect">
                      <a:avLst/>
                    </a:prstGeom>
                  </xdr:spPr>
                </xdr:pic>
                <xdr:sp macro="" textlink="Calculations!O428">
                  <xdr:nvSpPr>
                    <xdr:cNvPr id="553" name="10_overlaytext"/>
                    <xdr:cNvSpPr txBox="1"/>
                  </xdr:nvSpPr>
                  <xdr:spPr>
                    <a:xfrm>
                      <a:off x="7724775" y="64996696"/>
                      <a:ext cx="1847088" cy="6217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100584" tIns="36576" rIns="100584" bIns="45720" rtlCol="0" anchor="t"/>
                    <a:lstStyle/>
                    <a:p>
                      <a:pPr marL="0" indent="0" algn="l"/>
                      <a:fld id="{FFF5D68B-8B99-4B52-AA6C-CF1C1D3A7801}" type="TxLink">
                        <a:rPr lang="en-US" sz="1100" b="0" i="1">
                          <a:solidFill>
                            <a:srgbClr val="EBEBEB"/>
                          </a:solidFill>
                          <a:latin typeface="Cambria" panose="02040503050406030204" pitchFamily="18" charset="0"/>
                          <a:ea typeface="+mn-ea"/>
                          <a:cs typeface="+mn-cs"/>
                        </a:rPr>
                        <a:pPr marL="0" indent="0" algn="l"/>
                        <a:t>tag a friend!</a:t>
                      </a:fld>
                      <a:endParaRPr lang="en-US" sz="1100" b="0" i="1">
                        <a:solidFill>
                          <a:srgbClr val="EBEBEB"/>
                        </a:solidFill>
                        <a:latin typeface="Cambria" panose="02040503050406030204" pitchFamily="18" charset="0"/>
                        <a:ea typeface="+mn-ea"/>
                        <a:cs typeface="+mn-cs"/>
                      </a:endParaRPr>
                    </a:p>
                  </xdr:txBody>
                </xdr:sp>
              </xdr:grpSp>
              <xdr:grpSp>
                <xdr:nvGrpSpPr>
                  <xdr:cNvPr id="9268" name="Group 9267"/>
                  <xdr:cNvGrpSpPr/>
                </xdr:nvGrpSpPr>
                <xdr:grpSpPr>
                  <a:xfrm>
                    <a:off x="7839075" y="63950850"/>
                    <a:ext cx="1590675" cy="1600200"/>
                    <a:chOff x="7839075" y="63950850"/>
                    <a:chExt cx="1590675" cy="1600200"/>
                  </a:xfrm>
                </xdr:grpSpPr>
                <xdr:sp macro="" textlink="">
                  <xdr:nvSpPr>
                    <xdr:cNvPr id="549" name="10_posttext"/>
                    <xdr:cNvSpPr txBox="1"/>
                  </xdr:nvSpPr>
                  <xdr:spPr>
                    <a:xfrm>
                      <a:off x="7924800" y="63950850"/>
                      <a:ext cx="1504950" cy="1600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marL="0" indent="0" algn="l"/>
                      <a:r>
                        <a:rPr lang="en-US" sz="1300" b="0" i="1">
                          <a:solidFill>
                            <a:srgbClr val="4D4D4D"/>
                          </a:solidFill>
                          <a:latin typeface="Cambria" panose="02040503050406030204" pitchFamily="18" charset="0"/>
                          <a:ea typeface="+mn-ea"/>
                          <a:cs typeface="+mn-cs"/>
                        </a:rPr>
                        <a:t> </a:t>
                      </a:r>
                    </a:p>
                  </xdr:txBody>
                </xdr:sp>
                <xdr:sp macro="" textlink="">
                  <xdr:nvSpPr>
                    <xdr:cNvPr id="550" name="10_leadparen"/>
                    <xdr:cNvSpPr txBox="1"/>
                  </xdr:nvSpPr>
                  <xdr:spPr>
                    <a:xfrm>
                      <a:off x="7839075" y="63950850"/>
                      <a:ext cx="371475" cy="3524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marL="0" indent="0" algn="l"/>
                      <a:endParaRPr lang="en-US" sz="1300" b="0" i="1">
                        <a:solidFill>
                          <a:srgbClr val="4D4D4D"/>
                        </a:solidFill>
                        <a:latin typeface="Cambria" panose="02040503050406030204" pitchFamily="18" charset="0"/>
                        <a:ea typeface="+mn-ea"/>
                        <a:cs typeface="+mn-cs"/>
                      </a:endParaRPr>
                    </a:p>
                  </xdr:txBody>
                </xdr:sp>
              </xdr:grpSp>
              <xdr:sp macro="" textlink="">
                <xdr:nvSpPr>
                  <xdr:cNvPr id="548" name="10_imgModule_Rectangle_515"/>
                  <xdr:cNvSpPr/>
                </xdr:nvSpPr>
                <xdr:spPr>
                  <a:xfrm>
                    <a:off x="7724775" y="63769874"/>
                    <a:ext cx="9144" cy="1847088"/>
                  </a:xfrm>
                  <a:prstGeom prst="rect">
                    <a:avLst/>
                  </a:prstGeom>
                  <a:solidFill>
                    <a:srgbClr val="000000">
                      <a:alpha val="16863"/>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pic>
              <xdr:nvPicPr>
                <xdr:cNvPr id="8770" name="10_postlinkimage">
                  <a:hlinkClick xmlns:r="http://schemas.openxmlformats.org/officeDocument/2006/relationships" r:id="rId56"/>
                </xdr:cNvPr>
                <xdr:cNvPicPr>
                  <a:picLocks/>
                </xdr:cNvPicPr>
              </xdr:nvPicPr>
              <xdr:blipFill>
                <a:blip xmlns:r="http://schemas.openxmlformats.org/officeDocument/2006/relationships" r:link="rId4"/>
                <a:stretch>
                  <a:fillRect/>
                </a:stretch>
              </xdr:blipFill>
              <xdr:spPr>
                <a:xfrm>
                  <a:off x="7724775" y="63769875"/>
                  <a:ext cx="1847088" cy="1847088"/>
                </a:xfrm>
                <a:prstGeom prst="rect">
                  <a:avLst/>
                </a:prstGeom>
              </xdr:spPr>
            </xdr:pic>
          </xdr:grpSp>
          <xdr:grpSp>
            <xdr:nvGrpSpPr>
              <xdr:cNvPr id="9272" name="Group 9271"/>
              <xdr:cNvGrpSpPr/>
            </xdr:nvGrpSpPr>
            <xdr:grpSpPr>
              <a:xfrm>
                <a:off x="6199251" y="63912749"/>
                <a:ext cx="969264" cy="969264"/>
                <a:chOff x="6199251" y="63912749"/>
                <a:chExt cx="969264" cy="969264"/>
              </a:xfrm>
            </xdr:grpSpPr>
            <xdr:grpSp>
              <xdr:nvGrpSpPr>
                <xdr:cNvPr id="9271" name="Group 9270"/>
                <xdr:cNvGrpSpPr/>
              </xdr:nvGrpSpPr>
              <xdr:grpSpPr>
                <a:xfrm>
                  <a:off x="6272403" y="63985901"/>
                  <a:ext cx="822960" cy="822960"/>
                  <a:chOff x="6272403" y="63985901"/>
                  <a:chExt cx="822960" cy="822960"/>
                </a:xfrm>
              </xdr:grpSpPr>
              <xdr:sp macro="" textlink="">
                <xdr:nvSpPr>
                  <xdr:cNvPr id="541" name="10_imgModule_Oval_662"/>
                  <xdr:cNvSpPr/>
                </xdr:nvSpPr>
                <xdr:spPr>
                  <a:xfrm>
                    <a:off x="6272403" y="63985901"/>
                    <a:ext cx="822960" cy="822960"/>
                  </a:xfrm>
                  <a:prstGeom prst="ellipse">
                    <a:avLst/>
                  </a:prstGeom>
                  <a:solidFill>
                    <a:srgbClr val="94949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42" name="10_imgModule_Oval_687"/>
                  <xdr:cNvSpPr/>
                </xdr:nvSpPr>
                <xdr:spPr>
                  <a:xfrm>
                    <a:off x="6292504" y="64005973"/>
                    <a:ext cx="782759" cy="782816"/>
                  </a:xfrm>
                  <a:prstGeom prst="ellipse">
                    <a:avLst/>
                  </a:prstGeom>
                  <a:solidFill>
                    <a:srgbClr val="D9D9D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43" name="10_imgModule_Freeform_12"/>
                  <xdr:cNvSpPr>
                    <a:spLocks/>
                  </xdr:cNvSpPr>
                </xdr:nvSpPr>
                <xdr:spPr bwMode="auto">
                  <a:xfrm>
                    <a:off x="6398331" y="64201956"/>
                    <a:ext cx="571104" cy="594874"/>
                  </a:xfrm>
                  <a:custGeom>
                    <a:avLst/>
                    <a:gdLst>
                      <a:gd name="T0" fmla="*/ 3049 w 3180"/>
                      <a:gd name="T1" fmla="*/ 2869 h 3760"/>
                      <a:gd name="T2" fmla="*/ 2848 w 3180"/>
                      <a:gd name="T3" fmla="*/ 2809 h 3760"/>
                      <a:gd name="T4" fmla="*/ 2677 w 3180"/>
                      <a:gd name="T5" fmla="*/ 2745 h 3760"/>
                      <a:gd name="T6" fmla="*/ 2325 w 3180"/>
                      <a:gd name="T7" fmla="*/ 2578 h 3760"/>
                      <a:gd name="T8" fmla="*/ 2187 w 3180"/>
                      <a:gd name="T9" fmla="*/ 2489 h 3760"/>
                      <a:gd name="T10" fmla="*/ 2077 w 3180"/>
                      <a:gd name="T11" fmla="*/ 2368 h 3760"/>
                      <a:gd name="T12" fmla="*/ 1996 w 3180"/>
                      <a:gd name="T13" fmla="*/ 2259 h 3760"/>
                      <a:gd name="T14" fmla="*/ 1975 w 3180"/>
                      <a:gd name="T15" fmla="*/ 2040 h 3760"/>
                      <a:gd name="T16" fmla="*/ 1986 w 3180"/>
                      <a:gd name="T17" fmla="*/ 2014 h 3760"/>
                      <a:gd name="T18" fmla="*/ 2114 w 3180"/>
                      <a:gd name="T19" fmla="*/ 1664 h 3760"/>
                      <a:gd name="T20" fmla="*/ 2148 w 3180"/>
                      <a:gd name="T21" fmla="*/ 1626 h 3760"/>
                      <a:gd name="T22" fmla="*/ 2201 w 3180"/>
                      <a:gd name="T23" fmla="*/ 1561 h 3760"/>
                      <a:gd name="T24" fmla="*/ 2240 w 3180"/>
                      <a:gd name="T25" fmla="*/ 1475 h 3760"/>
                      <a:gd name="T26" fmla="*/ 2269 w 3180"/>
                      <a:gd name="T27" fmla="*/ 1358 h 3760"/>
                      <a:gd name="T28" fmla="*/ 2292 w 3180"/>
                      <a:gd name="T29" fmla="*/ 1232 h 3760"/>
                      <a:gd name="T30" fmla="*/ 2291 w 3180"/>
                      <a:gd name="T31" fmla="*/ 1150 h 3760"/>
                      <a:gd name="T32" fmla="*/ 2278 w 3180"/>
                      <a:gd name="T33" fmla="*/ 1137 h 3760"/>
                      <a:gd name="T34" fmla="*/ 2270 w 3180"/>
                      <a:gd name="T35" fmla="*/ 886 h 3760"/>
                      <a:gd name="T36" fmla="*/ 2283 w 3180"/>
                      <a:gd name="T37" fmla="*/ 694 h 3760"/>
                      <a:gd name="T38" fmla="*/ 2262 w 3180"/>
                      <a:gd name="T39" fmla="*/ 595 h 3760"/>
                      <a:gd name="T40" fmla="*/ 2254 w 3180"/>
                      <a:gd name="T41" fmla="*/ 509 h 3760"/>
                      <a:gd name="T42" fmla="*/ 2183 w 3180"/>
                      <a:gd name="T43" fmla="*/ 416 h 3760"/>
                      <a:gd name="T44" fmla="*/ 1984 w 3180"/>
                      <a:gd name="T45" fmla="*/ 219 h 3760"/>
                      <a:gd name="T46" fmla="*/ 1833 w 3180"/>
                      <a:gd name="T47" fmla="*/ 65 h 3760"/>
                      <a:gd name="T48" fmla="*/ 1648 w 3180"/>
                      <a:gd name="T49" fmla="*/ 0 h 3760"/>
                      <a:gd name="T50" fmla="*/ 1474 w 3180"/>
                      <a:gd name="T51" fmla="*/ 35 h 3760"/>
                      <a:gd name="T52" fmla="*/ 1339 w 3180"/>
                      <a:gd name="T53" fmla="*/ 50 h 3760"/>
                      <a:gd name="T54" fmla="*/ 1188 w 3180"/>
                      <a:gd name="T55" fmla="*/ 157 h 3760"/>
                      <a:gd name="T56" fmla="*/ 944 w 3180"/>
                      <a:gd name="T57" fmla="*/ 333 h 3760"/>
                      <a:gd name="T58" fmla="*/ 905 w 3180"/>
                      <a:gd name="T59" fmla="*/ 551 h 3760"/>
                      <a:gd name="T60" fmla="*/ 908 w 3180"/>
                      <a:gd name="T61" fmla="*/ 716 h 3760"/>
                      <a:gd name="T62" fmla="*/ 913 w 3180"/>
                      <a:gd name="T63" fmla="*/ 1031 h 3760"/>
                      <a:gd name="T64" fmla="*/ 860 w 3180"/>
                      <a:gd name="T65" fmla="*/ 1071 h 3760"/>
                      <a:gd name="T66" fmla="*/ 849 w 3180"/>
                      <a:gd name="T67" fmla="*/ 1116 h 3760"/>
                      <a:gd name="T68" fmla="*/ 875 w 3180"/>
                      <a:gd name="T69" fmla="*/ 1385 h 3760"/>
                      <a:gd name="T70" fmla="*/ 889 w 3180"/>
                      <a:gd name="T71" fmla="*/ 1462 h 3760"/>
                      <a:gd name="T72" fmla="*/ 969 w 3180"/>
                      <a:gd name="T73" fmla="*/ 1562 h 3760"/>
                      <a:gd name="T74" fmla="*/ 1000 w 3180"/>
                      <a:gd name="T75" fmla="*/ 1600 h 3760"/>
                      <a:gd name="T76" fmla="*/ 1097 w 3180"/>
                      <a:gd name="T77" fmla="*/ 1970 h 3760"/>
                      <a:gd name="T78" fmla="*/ 1104 w 3180"/>
                      <a:gd name="T79" fmla="*/ 2220 h 3760"/>
                      <a:gd name="T80" fmla="*/ 809 w 3180"/>
                      <a:gd name="T81" fmla="*/ 2524 h 3760"/>
                      <a:gd name="T82" fmla="*/ 351 w 3180"/>
                      <a:gd name="T83" fmla="*/ 2804 h 3760"/>
                      <a:gd name="T84" fmla="*/ 131 w 3180"/>
                      <a:gd name="T85" fmla="*/ 2869 h 3760"/>
                      <a:gd name="T86" fmla="*/ 100 w 3180"/>
                      <a:gd name="T87" fmla="*/ 3123 h 3760"/>
                      <a:gd name="T88" fmla="*/ 449 w 3180"/>
                      <a:gd name="T89" fmla="*/ 3428 h 3760"/>
                      <a:gd name="T90" fmla="*/ 907 w 3180"/>
                      <a:gd name="T91" fmla="*/ 3640 h 3760"/>
                      <a:gd name="T92" fmla="*/ 1374 w 3180"/>
                      <a:gd name="T93" fmla="*/ 3748 h 3760"/>
                      <a:gd name="T94" fmla="*/ 1983 w 3180"/>
                      <a:gd name="T95" fmla="*/ 3702 h 3760"/>
                      <a:gd name="T96" fmla="*/ 2730 w 3180"/>
                      <a:gd name="T97" fmla="*/ 3410 h 3760"/>
                      <a:gd name="T98" fmla="*/ 3096 w 3180"/>
                      <a:gd name="T99" fmla="*/ 3110 h 3760"/>
                      <a:gd name="connsiteX0" fmla="*/ 10325 w 10325"/>
                      <a:gd name="connsiteY0" fmla="*/ 7962 h 10000"/>
                      <a:gd name="connsiteX1" fmla="*/ 9588 w 10325"/>
                      <a:gd name="connsiteY1" fmla="*/ 7630 h 10000"/>
                      <a:gd name="connsiteX2" fmla="*/ 9170 w 10325"/>
                      <a:gd name="connsiteY2" fmla="*/ 7519 h 10000"/>
                      <a:gd name="connsiteX3" fmla="*/ 8956 w 10325"/>
                      <a:gd name="connsiteY3" fmla="*/ 7471 h 10000"/>
                      <a:gd name="connsiteX4" fmla="*/ 8714 w 10325"/>
                      <a:gd name="connsiteY4" fmla="*/ 7410 h 10000"/>
                      <a:gd name="connsiteX5" fmla="*/ 8418 w 10325"/>
                      <a:gd name="connsiteY5" fmla="*/ 7301 h 10000"/>
                      <a:gd name="connsiteX6" fmla="*/ 7346 w 10325"/>
                      <a:gd name="connsiteY6" fmla="*/ 6867 h 10000"/>
                      <a:gd name="connsiteX7" fmla="*/ 7311 w 10325"/>
                      <a:gd name="connsiteY7" fmla="*/ 6856 h 10000"/>
                      <a:gd name="connsiteX8" fmla="*/ 7041 w 10325"/>
                      <a:gd name="connsiteY8" fmla="*/ 6739 h 10000"/>
                      <a:gd name="connsiteX9" fmla="*/ 6877 w 10325"/>
                      <a:gd name="connsiteY9" fmla="*/ 6620 h 10000"/>
                      <a:gd name="connsiteX10" fmla="*/ 6689 w 10325"/>
                      <a:gd name="connsiteY10" fmla="*/ 6428 h 10000"/>
                      <a:gd name="connsiteX11" fmla="*/ 6531 w 10325"/>
                      <a:gd name="connsiteY11" fmla="*/ 6298 h 10000"/>
                      <a:gd name="connsiteX12" fmla="*/ 6377 w 10325"/>
                      <a:gd name="connsiteY12" fmla="*/ 6165 h 10000"/>
                      <a:gd name="connsiteX13" fmla="*/ 6277 w 10325"/>
                      <a:gd name="connsiteY13" fmla="*/ 6008 h 10000"/>
                      <a:gd name="connsiteX14" fmla="*/ 6220 w 10325"/>
                      <a:gd name="connsiteY14" fmla="*/ 5649 h 10000"/>
                      <a:gd name="connsiteX15" fmla="*/ 6211 w 10325"/>
                      <a:gd name="connsiteY15" fmla="*/ 5426 h 10000"/>
                      <a:gd name="connsiteX16" fmla="*/ 6211 w 10325"/>
                      <a:gd name="connsiteY16" fmla="*/ 5383 h 10000"/>
                      <a:gd name="connsiteX17" fmla="*/ 6245 w 10325"/>
                      <a:gd name="connsiteY17" fmla="*/ 5356 h 10000"/>
                      <a:gd name="connsiteX18" fmla="*/ 6597 w 10325"/>
                      <a:gd name="connsiteY18" fmla="*/ 4763 h 10000"/>
                      <a:gd name="connsiteX19" fmla="*/ 6648 w 10325"/>
                      <a:gd name="connsiteY19" fmla="*/ 4426 h 10000"/>
                      <a:gd name="connsiteX20" fmla="*/ 6648 w 10325"/>
                      <a:gd name="connsiteY20" fmla="*/ 4332 h 10000"/>
                      <a:gd name="connsiteX21" fmla="*/ 6755 w 10325"/>
                      <a:gd name="connsiteY21" fmla="*/ 4324 h 10000"/>
                      <a:gd name="connsiteX22" fmla="*/ 6849 w 10325"/>
                      <a:gd name="connsiteY22" fmla="*/ 4290 h 10000"/>
                      <a:gd name="connsiteX23" fmla="*/ 6921 w 10325"/>
                      <a:gd name="connsiteY23" fmla="*/ 4152 h 10000"/>
                      <a:gd name="connsiteX24" fmla="*/ 6972 w 10325"/>
                      <a:gd name="connsiteY24" fmla="*/ 4043 h 10000"/>
                      <a:gd name="connsiteX25" fmla="*/ 7044 w 10325"/>
                      <a:gd name="connsiteY25" fmla="*/ 3923 h 10000"/>
                      <a:gd name="connsiteX26" fmla="*/ 7113 w 10325"/>
                      <a:gd name="connsiteY26" fmla="*/ 3769 h 10000"/>
                      <a:gd name="connsiteX27" fmla="*/ 7135 w 10325"/>
                      <a:gd name="connsiteY27" fmla="*/ 3612 h 10000"/>
                      <a:gd name="connsiteX28" fmla="*/ 7154 w 10325"/>
                      <a:gd name="connsiteY28" fmla="*/ 3455 h 10000"/>
                      <a:gd name="connsiteX29" fmla="*/ 7208 w 10325"/>
                      <a:gd name="connsiteY29" fmla="*/ 3277 h 10000"/>
                      <a:gd name="connsiteX30" fmla="*/ 7236 w 10325"/>
                      <a:gd name="connsiteY30" fmla="*/ 3133 h 10000"/>
                      <a:gd name="connsiteX31" fmla="*/ 7204 w 10325"/>
                      <a:gd name="connsiteY31" fmla="*/ 3059 h 10000"/>
                      <a:gd name="connsiteX32" fmla="*/ 7198 w 10325"/>
                      <a:gd name="connsiteY32" fmla="*/ 3059 h 10000"/>
                      <a:gd name="connsiteX33" fmla="*/ 7164 w 10325"/>
                      <a:gd name="connsiteY33" fmla="*/ 3024 h 10000"/>
                      <a:gd name="connsiteX34" fmla="*/ 7113 w 10325"/>
                      <a:gd name="connsiteY34" fmla="*/ 2896 h 10000"/>
                      <a:gd name="connsiteX35" fmla="*/ 7138 w 10325"/>
                      <a:gd name="connsiteY35" fmla="*/ 2356 h 10000"/>
                      <a:gd name="connsiteX36" fmla="*/ 7142 w 10325"/>
                      <a:gd name="connsiteY36" fmla="*/ 2314 h 10000"/>
                      <a:gd name="connsiteX37" fmla="*/ 7179 w 10325"/>
                      <a:gd name="connsiteY37" fmla="*/ 1846 h 10000"/>
                      <a:gd name="connsiteX38" fmla="*/ 7123 w 10325"/>
                      <a:gd name="connsiteY38" fmla="*/ 1609 h 10000"/>
                      <a:gd name="connsiteX39" fmla="*/ 7113 w 10325"/>
                      <a:gd name="connsiteY39" fmla="*/ 1582 h 10000"/>
                      <a:gd name="connsiteX40" fmla="*/ 7082 w 10325"/>
                      <a:gd name="connsiteY40" fmla="*/ 1447 h 10000"/>
                      <a:gd name="connsiteX41" fmla="*/ 7088 w 10325"/>
                      <a:gd name="connsiteY41" fmla="*/ 1354 h 10000"/>
                      <a:gd name="connsiteX42" fmla="*/ 7066 w 10325"/>
                      <a:gd name="connsiteY42" fmla="*/ 1271 h 10000"/>
                      <a:gd name="connsiteX43" fmla="*/ 6865 w 10325"/>
                      <a:gd name="connsiteY43" fmla="*/ 1106 h 10000"/>
                      <a:gd name="connsiteX44" fmla="*/ 6535 w 10325"/>
                      <a:gd name="connsiteY44" fmla="*/ 848 h 10000"/>
                      <a:gd name="connsiteX45" fmla="*/ 6239 w 10325"/>
                      <a:gd name="connsiteY45" fmla="*/ 582 h 10000"/>
                      <a:gd name="connsiteX46" fmla="*/ 6006 w 10325"/>
                      <a:gd name="connsiteY46" fmla="*/ 370 h 10000"/>
                      <a:gd name="connsiteX47" fmla="*/ 5764 w 10325"/>
                      <a:gd name="connsiteY47" fmla="*/ 173 h 10000"/>
                      <a:gd name="connsiteX48" fmla="*/ 5503 w 10325"/>
                      <a:gd name="connsiteY48" fmla="*/ 45 h 10000"/>
                      <a:gd name="connsiteX49" fmla="*/ 5182 w 10325"/>
                      <a:gd name="connsiteY49" fmla="*/ 0 h 10000"/>
                      <a:gd name="connsiteX50" fmla="*/ 4874 w 10325"/>
                      <a:gd name="connsiteY50" fmla="*/ 32 h 10000"/>
                      <a:gd name="connsiteX51" fmla="*/ 4635 w 10325"/>
                      <a:gd name="connsiteY51" fmla="*/ 93 h 10000"/>
                      <a:gd name="connsiteX52" fmla="*/ 4390 w 10325"/>
                      <a:gd name="connsiteY52" fmla="*/ 144 h 10000"/>
                      <a:gd name="connsiteX53" fmla="*/ 4211 w 10325"/>
                      <a:gd name="connsiteY53" fmla="*/ 133 h 10000"/>
                      <a:gd name="connsiteX54" fmla="*/ 4022 w 10325"/>
                      <a:gd name="connsiteY54" fmla="*/ 266 h 10000"/>
                      <a:gd name="connsiteX55" fmla="*/ 3736 w 10325"/>
                      <a:gd name="connsiteY55" fmla="*/ 418 h 10000"/>
                      <a:gd name="connsiteX56" fmla="*/ 3324 w 10325"/>
                      <a:gd name="connsiteY56" fmla="*/ 630 h 10000"/>
                      <a:gd name="connsiteX57" fmla="*/ 2969 w 10325"/>
                      <a:gd name="connsiteY57" fmla="*/ 886 h 10000"/>
                      <a:gd name="connsiteX58" fmla="*/ 2814 w 10325"/>
                      <a:gd name="connsiteY58" fmla="*/ 1173 h 10000"/>
                      <a:gd name="connsiteX59" fmla="*/ 2846 w 10325"/>
                      <a:gd name="connsiteY59" fmla="*/ 1465 h 10000"/>
                      <a:gd name="connsiteX60" fmla="*/ 2877 w 10325"/>
                      <a:gd name="connsiteY60" fmla="*/ 1678 h 10000"/>
                      <a:gd name="connsiteX61" fmla="*/ 2855 w 10325"/>
                      <a:gd name="connsiteY61" fmla="*/ 1904 h 10000"/>
                      <a:gd name="connsiteX62" fmla="*/ 2824 w 10325"/>
                      <a:gd name="connsiteY62" fmla="*/ 2436 h 10000"/>
                      <a:gd name="connsiteX63" fmla="*/ 2871 w 10325"/>
                      <a:gd name="connsiteY63" fmla="*/ 2742 h 10000"/>
                      <a:gd name="connsiteX64" fmla="*/ 2925 w 10325"/>
                      <a:gd name="connsiteY64" fmla="*/ 2973 h 10000"/>
                      <a:gd name="connsiteX65" fmla="*/ 2704 w 10325"/>
                      <a:gd name="connsiteY65" fmla="*/ 2848 h 10000"/>
                      <a:gd name="connsiteX66" fmla="*/ 2689 w 10325"/>
                      <a:gd name="connsiteY66" fmla="*/ 2878 h 10000"/>
                      <a:gd name="connsiteX67" fmla="*/ 2670 w 10325"/>
                      <a:gd name="connsiteY67" fmla="*/ 2968 h 10000"/>
                      <a:gd name="connsiteX68" fmla="*/ 2682 w 10325"/>
                      <a:gd name="connsiteY68" fmla="*/ 3314 h 10000"/>
                      <a:gd name="connsiteX69" fmla="*/ 2752 w 10325"/>
                      <a:gd name="connsiteY69" fmla="*/ 3684 h 10000"/>
                      <a:gd name="connsiteX70" fmla="*/ 2774 w 10325"/>
                      <a:gd name="connsiteY70" fmla="*/ 3785 h 10000"/>
                      <a:gd name="connsiteX71" fmla="*/ 2796 w 10325"/>
                      <a:gd name="connsiteY71" fmla="*/ 3888 h 10000"/>
                      <a:gd name="connsiteX72" fmla="*/ 2928 w 10325"/>
                      <a:gd name="connsiteY72" fmla="*/ 4109 h 10000"/>
                      <a:gd name="connsiteX73" fmla="*/ 3047 w 10325"/>
                      <a:gd name="connsiteY73" fmla="*/ 4154 h 10000"/>
                      <a:gd name="connsiteX74" fmla="*/ 3142 w 10325"/>
                      <a:gd name="connsiteY74" fmla="*/ 4168 h 10000"/>
                      <a:gd name="connsiteX75" fmla="*/ 3145 w 10325"/>
                      <a:gd name="connsiteY75" fmla="*/ 4255 h 10000"/>
                      <a:gd name="connsiteX76" fmla="*/ 3296 w 10325"/>
                      <a:gd name="connsiteY76" fmla="*/ 4976 h 10000"/>
                      <a:gd name="connsiteX77" fmla="*/ 3450 w 10325"/>
                      <a:gd name="connsiteY77" fmla="*/ 5239 h 10000"/>
                      <a:gd name="connsiteX78" fmla="*/ 3472 w 10325"/>
                      <a:gd name="connsiteY78" fmla="*/ 5266 h 10000"/>
                      <a:gd name="connsiteX79" fmla="*/ 3472 w 10325"/>
                      <a:gd name="connsiteY79" fmla="*/ 5904 h 10000"/>
                      <a:gd name="connsiteX80" fmla="*/ 3374 w 10325"/>
                      <a:gd name="connsiteY80" fmla="*/ 5995 h 10000"/>
                      <a:gd name="connsiteX81" fmla="*/ 2544 w 10325"/>
                      <a:gd name="connsiteY81" fmla="*/ 6713 h 10000"/>
                      <a:gd name="connsiteX82" fmla="*/ 1421 w 10325"/>
                      <a:gd name="connsiteY82" fmla="*/ 7370 h 10000"/>
                      <a:gd name="connsiteX83" fmla="*/ 1104 w 10325"/>
                      <a:gd name="connsiteY83" fmla="*/ 7457 h 10000"/>
                      <a:gd name="connsiteX84" fmla="*/ 833 w 10325"/>
                      <a:gd name="connsiteY84" fmla="*/ 7519 h 10000"/>
                      <a:gd name="connsiteX85" fmla="*/ 412 w 10325"/>
                      <a:gd name="connsiteY85" fmla="*/ 7630 h 10000"/>
                      <a:gd name="connsiteX86" fmla="*/ 0 w 10325"/>
                      <a:gd name="connsiteY86" fmla="*/ 7816 h 10000"/>
                      <a:gd name="connsiteX87" fmla="*/ 314 w 10325"/>
                      <a:gd name="connsiteY87" fmla="*/ 8306 h 10000"/>
                      <a:gd name="connsiteX88" fmla="*/ 799 w 10325"/>
                      <a:gd name="connsiteY88" fmla="*/ 8742 h 10000"/>
                      <a:gd name="connsiteX89" fmla="*/ 1412 w 10325"/>
                      <a:gd name="connsiteY89" fmla="*/ 9117 h 10000"/>
                      <a:gd name="connsiteX90" fmla="*/ 2107 w 10325"/>
                      <a:gd name="connsiteY90" fmla="*/ 9431 h 10000"/>
                      <a:gd name="connsiteX91" fmla="*/ 2852 w 10325"/>
                      <a:gd name="connsiteY91" fmla="*/ 9681 h 10000"/>
                      <a:gd name="connsiteX92" fmla="*/ 3604 w 10325"/>
                      <a:gd name="connsiteY92" fmla="*/ 9862 h 10000"/>
                      <a:gd name="connsiteX93" fmla="*/ 4321 w 10325"/>
                      <a:gd name="connsiteY93" fmla="*/ 9968 h 10000"/>
                      <a:gd name="connsiteX94" fmla="*/ 4965 w 10325"/>
                      <a:gd name="connsiteY94" fmla="*/ 10000 h 10000"/>
                      <a:gd name="connsiteX95" fmla="*/ 6236 w 10325"/>
                      <a:gd name="connsiteY95" fmla="*/ 9846 h 10000"/>
                      <a:gd name="connsiteX96" fmla="*/ 7824 w 10325"/>
                      <a:gd name="connsiteY96" fmla="*/ 9391 h 10000"/>
                      <a:gd name="connsiteX97" fmla="*/ 8585 w 10325"/>
                      <a:gd name="connsiteY97" fmla="*/ 9069 h 10000"/>
                      <a:gd name="connsiteX98" fmla="*/ 9245 w 10325"/>
                      <a:gd name="connsiteY98" fmla="*/ 8694 h 10000"/>
                      <a:gd name="connsiteX99" fmla="*/ 9736 w 10325"/>
                      <a:gd name="connsiteY99" fmla="*/ 8271 h 10000"/>
                      <a:gd name="connsiteX100" fmla="*/ 10325 w 10325"/>
                      <a:gd name="connsiteY100" fmla="*/ 7962 h 10000"/>
                      <a:gd name="connsiteX0" fmla="*/ 10650 w 10650"/>
                      <a:gd name="connsiteY0" fmla="*/ 7962 h 10000"/>
                      <a:gd name="connsiteX1" fmla="*/ 9913 w 10650"/>
                      <a:gd name="connsiteY1" fmla="*/ 7630 h 10000"/>
                      <a:gd name="connsiteX2" fmla="*/ 9495 w 10650"/>
                      <a:gd name="connsiteY2" fmla="*/ 7519 h 10000"/>
                      <a:gd name="connsiteX3" fmla="*/ 9281 w 10650"/>
                      <a:gd name="connsiteY3" fmla="*/ 7471 h 10000"/>
                      <a:gd name="connsiteX4" fmla="*/ 9039 w 10650"/>
                      <a:gd name="connsiteY4" fmla="*/ 7410 h 10000"/>
                      <a:gd name="connsiteX5" fmla="*/ 8743 w 10650"/>
                      <a:gd name="connsiteY5" fmla="*/ 7301 h 10000"/>
                      <a:gd name="connsiteX6" fmla="*/ 7671 w 10650"/>
                      <a:gd name="connsiteY6" fmla="*/ 6867 h 10000"/>
                      <a:gd name="connsiteX7" fmla="*/ 7636 w 10650"/>
                      <a:gd name="connsiteY7" fmla="*/ 6856 h 10000"/>
                      <a:gd name="connsiteX8" fmla="*/ 7366 w 10650"/>
                      <a:gd name="connsiteY8" fmla="*/ 6739 h 10000"/>
                      <a:gd name="connsiteX9" fmla="*/ 7202 w 10650"/>
                      <a:gd name="connsiteY9" fmla="*/ 6620 h 10000"/>
                      <a:gd name="connsiteX10" fmla="*/ 7014 w 10650"/>
                      <a:gd name="connsiteY10" fmla="*/ 6428 h 10000"/>
                      <a:gd name="connsiteX11" fmla="*/ 6856 w 10650"/>
                      <a:gd name="connsiteY11" fmla="*/ 6298 h 10000"/>
                      <a:gd name="connsiteX12" fmla="*/ 6702 w 10650"/>
                      <a:gd name="connsiteY12" fmla="*/ 6165 h 10000"/>
                      <a:gd name="connsiteX13" fmla="*/ 6602 w 10650"/>
                      <a:gd name="connsiteY13" fmla="*/ 6008 h 10000"/>
                      <a:gd name="connsiteX14" fmla="*/ 6545 w 10650"/>
                      <a:gd name="connsiteY14" fmla="*/ 5649 h 10000"/>
                      <a:gd name="connsiteX15" fmla="*/ 6536 w 10650"/>
                      <a:gd name="connsiteY15" fmla="*/ 5426 h 10000"/>
                      <a:gd name="connsiteX16" fmla="*/ 6536 w 10650"/>
                      <a:gd name="connsiteY16" fmla="*/ 5383 h 10000"/>
                      <a:gd name="connsiteX17" fmla="*/ 6570 w 10650"/>
                      <a:gd name="connsiteY17" fmla="*/ 5356 h 10000"/>
                      <a:gd name="connsiteX18" fmla="*/ 6922 w 10650"/>
                      <a:gd name="connsiteY18" fmla="*/ 4763 h 10000"/>
                      <a:gd name="connsiteX19" fmla="*/ 6973 w 10650"/>
                      <a:gd name="connsiteY19" fmla="*/ 4426 h 10000"/>
                      <a:gd name="connsiteX20" fmla="*/ 6973 w 10650"/>
                      <a:gd name="connsiteY20" fmla="*/ 4332 h 10000"/>
                      <a:gd name="connsiteX21" fmla="*/ 7080 w 10650"/>
                      <a:gd name="connsiteY21" fmla="*/ 4324 h 10000"/>
                      <a:gd name="connsiteX22" fmla="*/ 7174 w 10650"/>
                      <a:gd name="connsiteY22" fmla="*/ 4290 h 10000"/>
                      <a:gd name="connsiteX23" fmla="*/ 7246 w 10650"/>
                      <a:gd name="connsiteY23" fmla="*/ 4152 h 10000"/>
                      <a:gd name="connsiteX24" fmla="*/ 7297 w 10650"/>
                      <a:gd name="connsiteY24" fmla="*/ 4043 h 10000"/>
                      <a:gd name="connsiteX25" fmla="*/ 7369 w 10650"/>
                      <a:gd name="connsiteY25" fmla="*/ 3923 h 10000"/>
                      <a:gd name="connsiteX26" fmla="*/ 7438 w 10650"/>
                      <a:gd name="connsiteY26" fmla="*/ 3769 h 10000"/>
                      <a:gd name="connsiteX27" fmla="*/ 7460 w 10650"/>
                      <a:gd name="connsiteY27" fmla="*/ 3612 h 10000"/>
                      <a:gd name="connsiteX28" fmla="*/ 7479 w 10650"/>
                      <a:gd name="connsiteY28" fmla="*/ 3455 h 10000"/>
                      <a:gd name="connsiteX29" fmla="*/ 7533 w 10650"/>
                      <a:gd name="connsiteY29" fmla="*/ 3277 h 10000"/>
                      <a:gd name="connsiteX30" fmla="*/ 7561 w 10650"/>
                      <a:gd name="connsiteY30" fmla="*/ 3133 h 10000"/>
                      <a:gd name="connsiteX31" fmla="*/ 7529 w 10650"/>
                      <a:gd name="connsiteY31" fmla="*/ 3059 h 10000"/>
                      <a:gd name="connsiteX32" fmla="*/ 7523 w 10650"/>
                      <a:gd name="connsiteY32" fmla="*/ 3059 h 10000"/>
                      <a:gd name="connsiteX33" fmla="*/ 7489 w 10650"/>
                      <a:gd name="connsiteY33" fmla="*/ 3024 h 10000"/>
                      <a:gd name="connsiteX34" fmla="*/ 7438 w 10650"/>
                      <a:gd name="connsiteY34" fmla="*/ 2896 h 10000"/>
                      <a:gd name="connsiteX35" fmla="*/ 7463 w 10650"/>
                      <a:gd name="connsiteY35" fmla="*/ 2356 h 10000"/>
                      <a:gd name="connsiteX36" fmla="*/ 7467 w 10650"/>
                      <a:gd name="connsiteY36" fmla="*/ 2314 h 10000"/>
                      <a:gd name="connsiteX37" fmla="*/ 7504 w 10650"/>
                      <a:gd name="connsiteY37" fmla="*/ 1846 h 10000"/>
                      <a:gd name="connsiteX38" fmla="*/ 7448 w 10650"/>
                      <a:gd name="connsiteY38" fmla="*/ 1609 h 10000"/>
                      <a:gd name="connsiteX39" fmla="*/ 7438 w 10650"/>
                      <a:gd name="connsiteY39" fmla="*/ 1582 h 10000"/>
                      <a:gd name="connsiteX40" fmla="*/ 7407 w 10650"/>
                      <a:gd name="connsiteY40" fmla="*/ 1447 h 10000"/>
                      <a:gd name="connsiteX41" fmla="*/ 7413 w 10650"/>
                      <a:gd name="connsiteY41" fmla="*/ 1354 h 10000"/>
                      <a:gd name="connsiteX42" fmla="*/ 7391 w 10650"/>
                      <a:gd name="connsiteY42" fmla="*/ 1271 h 10000"/>
                      <a:gd name="connsiteX43" fmla="*/ 7190 w 10650"/>
                      <a:gd name="connsiteY43" fmla="*/ 1106 h 10000"/>
                      <a:gd name="connsiteX44" fmla="*/ 6860 w 10650"/>
                      <a:gd name="connsiteY44" fmla="*/ 848 h 10000"/>
                      <a:gd name="connsiteX45" fmla="*/ 6564 w 10650"/>
                      <a:gd name="connsiteY45" fmla="*/ 582 h 10000"/>
                      <a:gd name="connsiteX46" fmla="*/ 6331 w 10650"/>
                      <a:gd name="connsiteY46" fmla="*/ 370 h 10000"/>
                      <a:gd name="connsiteX47" fmla="*/ 6089 w 10650"/>
                      <a:gd name="connsiteY47" fmla="*/ 173 h 10000"/>
                      <a:gd name="connsiteX48" fmla="*/ 5828 w 10650"/>
                      <a:gd name="connsiteY48" fmla="*/ 45 h 10000"/>
                      <a:gd name="connsiteX49" fmla="*/ 5507 w 10650"/>
                      <a:gd name="connsiteY49" fmla="*/ 0 h 10000"/>
                      <a:gd name="connsiteX50" fmla="*/ 5199 w 10650"/>
                      <a:gd name="connsiteY50" fmla="*/ 32 h 10000"/>
                      <a:gd name="connsiteX51" fmla="*/ 4960 w 10650"/>
                      <a:gd name="connsiteY51" fmla="*/ 93 h 10000"/>
                      <a:gd name="connsiteX52" fmla="*/ 4715 w 10650"/>
                      <a:gd name="connsiteY52" fmla="*/ 144 h 10000"/>
                      <a:gd name="connsiteX53" fmla="*/ 4536 w 10650"/>
                      <a:gd name="connsiteY53" fmla="*/ 133 h 10000"/>
                      <a:gd name="connsiteX54" fmla="*/ 4347 w 10650"/>
                      <a:gd name="connsiteY54" fmla="*/ 266 h 10000"/>
                      <a:gd name="connsiteX55" fmla="*/ 4061 w 10650"/>
                      <a:gd name="connsiteY55" fmla="*/ 418 h 10000"/>
                      <a:gd name="connsiteX56" fmla="*/ 3649 w 10650"/>
                      <a:gd name="connsiteY56" fmla="*/ 630 h 10000"/>
                      <a:gd name="connsiteX57" fmla="*/ 3294 w 10650"/>
                      <a:gd name="connsiteY57" fmla="*/ 886 h 10000"/>
                      <a:gd name="connsiteX58" fmla="*/ 3139 w 10650"/>
                      <a:gd name="connsiteY58" fmla="*/ 1173 h 10000"/>
                      <a:gd name="connsiteX59" fmla="*/ 3171 w 10650"/>
                      <a:gd name="connsiteY59" fmla="*/ 1465 h 10000"/>
                      <a:gd name="connsiteX60" fmla="*/ 3202 w 10650"/>
                      <a:gd name="connsiteY60" fmla="*/ 1678 h 10000"/>
                      <a:gd name="connsiteX61" fmla="*/ 3180 w 10650"/>
                      <a:gd name="connsiteY61" fmla="*/ 1904 h 10000"/>
                      <a:gd name="connsiteX62" fmla="*/ 3149 w 10650"/>
                      <a:gd name="connsiteY62" fmla="*/ 2436 h 10000"/>
                      <a:gd name="connsiteX63" fmla="*/ 3196 w 10650"/>
                      <a:gd name="connsiteY63" fmla="*/ 2742 h 10000"/>
                      <a:gd name="connsiteX64" fmla="*/ 3250 w 10650"/>
                      <a:gd name="connsiteY64" fmla="*/ 2973 h 10000"/>
                      <a:gd name="connsiteX65" fmla="*/ 3029 w 10650"/>
                      <a:gd name="connsiteY65" fmla="*/ 2848 h 10000"/>
                      <a:gd name="connsiteX66" fmla="*/ 3014 w 10650"/>
                      <a:gd name="connsiteY66" fmla="*/ 2878 h 10000"/>
                      <a:gd name="connsiteX67" fmla="*/ 2995 w 10650"/>
                      <a:gd name="connsiteY67" fmla="*/ 2968 h 10000"/>
                      <a:gd name="connsiteX68" fmla="*/ 3007 w 10650"/>
                      <a:gd name="connsiteY68" fmla="*/ 3314 h 10000"/>
                      <a:gd name="connsiteX69" fmla="*/ 3077 w 10650"/>
                      <a:gd name="connsiteY69" fmla="*/ 3684 h 10000"/>
                      <a:gd name="connsiteX70" fmla="*/ 3099 w 10650"/>
                      <a:gd name="connsiteY70" fmla="*/ 3785 h 10000"/>
                      <a:gd name="connsiteX71" fmla="*/ 3121 w 10650"/>
                      <a:gd name="connsiteY71" fmla="*/ 3888 h 10000"/>
                      <a:gd name="connsiteX72" fmla="*/ 3253 w 10650"/>
                      <a:gd name="connsiteY72" fmla="*/ 4109 h 10000"/>
                      <a:gd name="connsiteX73" fmla="*/ 3372 w 10650"/>
                      <a:gd name="connsiteY73" fmla="*/ 4154 h 10000"/>
                      <a:gd name="connsiteX74" fmla="*/ 3467 w 10650"/>
                      <a:gd name="connsiteY74" fmla="*/ 4168 h 10000"/>
                      <a:gd name="connsiteX75" fmla="*/ 3470 w 10650"/>
                      <a:gd name="connsiteY75" fmla="*/ 4255 h 10000"/>
                      <a:gd name="connsiteX76" fmla="*/ 3621 w 10650"/>
                      <a:gd name="connsiteY76" fmla="*/ 4976 h 10000"/>
                      <a:gd name="connsiteX77" fmla="*/ 3775 w 10650"/>
                      <a:gd name="connsiteY77" fmla="*/ 5239 h 10000"/>
                      <a:gd name="connsiteX78" fmla="*/ 3797 w 10650"/>
                      <a:gd name="connsiteY78" fmla="*/ 5266 h 10000"/>
                      <a:gd name="connsiteX79" fmla="*/ 3797 w 10650"/>
                      <a:gd name="connsiteY79" fmla="*/ 5904 h 10000"/>
                      <a:gd name="connsiteX80" fmla="*/ 3699 w 10650"/>
                      <a:gd name="connsiteY80" fmla="*/ 5995 h 10000"/>
                      <a:gd name="connsiteX81" fmla="*/ 2869 w 10650"/>
                      <a:gd name="connsiteY81" fmla="*/ 6713 h 10000"/>
                      <a:gd name="connsiteX82" fmla="*/ 1746 w 10650"/>
                      <a:gd name="connsiteY82" fmla="*/ 7370 h 10000"/>
                      <a:gd name="connsiteX83" fmla="*/ 1429 w 10650"/>
                      <a:gd name="connsiteY83" fmla="*/ 7457 h 10000"/>
                      <a:gd name="connsiteX84" fmla="*/ 1158 w 10650"/>
                      <a:gd name="connsiteY84" fmla="*/ 7519 h 10000"/>
                      <a:gd name="connsiteX85" fmla="*/ 737 w 10650"/>
                      <a:gd name="connsiteY85" fmla="*/ 7630 h 10000"/>
                      <a:gd name="connsiteX86" fmla="*/ 0 w 10650"/>
                      <a:gd name="connsiteY86" fmla="*/ 8060 h 10000"/>
                      <a:gd name="connsiteX87" fmla="*/ 639 w 10650"/>
                      <a:gd name="connsiteY87" fmla="*/ 8306 h 10000"/>
                      <a:gd name="connsiteX88" fmla="*/ 1124 w 10650"/>
                      <a:gd name="connsiteY88" fmla="*/ 8742 h 10000"/>
                      <a:gd name="connsiteX89" fmla="*/ 1737 w 10650"/>
                      <a:gd name="connsiteY89" fmla="*/ 9117 h 10000"/>
                      <a:gd name="connsiteX90" fmla="*/ 2432 w 10650"/>
                      <a:gd name="connsiteY90" fmla="*/ 9431 h 10000"/>
                      <a:gd name="connsiteX91" fmla="*/ 3177 w 10650"/>
                      <a:gd name="connsiteY91" fmla="*/ 9681 h 10000"/>
                      <a:gd name="connsiteX92" fmla="*/ 3929 w 10650"/>
                      <a:gd name="connsiteY92" fmla="*/ 9862 h 10000"/>
                      <a:gd name="connsiteX93" fmla="*/ 4646 w 10650"/>
                      <a:gd name="connsiteY93" fmla="*/ 9968 h 10000"/>
                      <a:gd name="connsiteX94" fmla="*/ 5290 w 10650"/>
                      <a:gd name="connsiteY94" fmla="*/ 10000 h 10000"/>
                      <a:gd name="connsiteX95" fmla="*/ 6561 w 10650"/>
                      <a:gd name="connsiteY95" fmla="*/ 9846 h 10000"/>
                      <a:gd name="connsiteX96" fmla="*/ 8149 w 10650"/>
                      <a:gd name="connsiteY96" fmla="*/ 9391 h 10000"/>
                      <a:gd name="connsiteX97" fmla="*/ 8910 w 10650"/>
                      <a:gd name="connsiteY97" fmla="*/ 9069 h 10000"/>
                      <a:gd name="connsiteX98" fmla="*/ 9570 w 10650"/>
                      <a:gd name="connsiteY98" fmla="*/ 8694 h 10000"/>
                      <a:gd name="connsiteX99" fmla="*/ 10061 w 10650"/>
                      <a:gd name="connsiteY99" fmla="*/ 8271 h 10000"/>
                      <a:gd name="connsiteX100" fmla="*/ 10650 w 10650"/>
                      <a:gd name="connsiteY100" fmla="*/ 7962 h 10000"/>
                      <a:gd name="connsiteX0" fmla="*/ 10650 w 10650"/>
                      <a:gd name="connsiteY0" fmla="*/ 7962 h 10000"/>
                      <a:gd name="connsiteX1" fmla="*/ 9913 w 10650"/>
                      <a:gd name="connsiteY1" fmla="*/ 7630 h 10000"/>
                      <a:gd name="connsiteX2" fmla="*/ 9495 w 10650"/>
                      <a:gd name="connsiteY2" fmla="*/ 7519 h 10000"/>
                      <a:gd name="connsiteX3" fmla="*/ 9281 w 10650"/>
                      <a:gd name="connsiteY3" fmla="*/ 7471 h 10000"/>
                      <a:gd name="connsiteX4" fmla="*/ 9039 w 10650"/>
                      <a:gd name="connsiteY4" fmla="*/ 7410 h 10000"/>
                      <a:gd name="connsiteX5" fmla="*/ 8743 w 10650"/>
                      <a:gd name="connsiteY5" fmla="*/ 7301 h 10000"/>
                      <a:gd name="connsiteX6" fmla="*/ 7671 w 10650"/>
                      <a:gd name="connsiteY6" fmla="*/ 6867 h 10000"/>
                      <a:gd name="connsiteX7" fmla="*/ 7636 w 10650"/>
                      <a:gd name="connsiteY7" fmla="*/ 6856 h 10000"/>
                      <a:gd name="connsiteX8" fmla="*/ 7366 w 10650"/>
                      <a:gd name="connsiteY8" fmla="*/ 6739 h 10000"/>
                      <a:gd name="connsiteX9" fmla="*/ 7202 w 10650"/>
                      <a:gd name="connsiteY9" fmla="*/ 6620 h 10000"/>
                      <a:gd name="connsiteX10" fmla="*/ 7014 w 10650"/>
                      <a:gd name="connsiteY10" fmla="*/ 6428 h 10000"/>
                      <a:gd name="connsiteX11" fmla="*/ 6856 w 10650"/>
                      <a:gd name="connsiteY11" fmla="*/ 6298 h 10000"/>
                      <a:gd name="connsiteX12" fmla="*/ 6702 w 10650"/>
                      <a:gd name="connsiteY12" fmla="*/ 6165 h 10000"/>
                      <a:gd name="connsiteX13" fmla="*/ 6602 w 10650"/>
                      <a:gd name="connsiteY13" fmla="*/ 6008 h 10000"/>
                      <a:gd name="connsiteX14" fmla="*/ 6545 w 10650"/>
                      <a:gd name="connsiteY14" fmla="*/ 5649 h 10000"/>
                      <a:gd name="connsiteX15" fmla="*/ 6536 w 10650"/>
                      <a:gd name="connsiteY15" fmla="*/ 5426 h 10000"/>
                      <a:gd name="connsiteX16" fmla="*/ 6536 w 10650"/>
                      <a:gd name="connsiteY16" fmla="*/ 5383 h 10000"/>
                      <a:gd name="connsiteX17" fmla="*/ 6570 w 10650"/>
                      <a:gd name="connsiteY17" fmla="*/ 5356 h 10000"/>
                      <a:gd name="connsiteX18" fmla="*/ 6922 w 10650"/>
                      <a:gd name="connsiteY18" fmla="*/ 4763 h 10000"/>
                      <a:gd name="connsiteX19" fmla="*/ 6973 w 10650"/>
                      <a:gd name="connsiteY19" fmla="*/ 4426 h 10000"/>
                      <a:gd name="connsiteX20" fmla="*/ 6973 w 10650"/>
                      <a:gd name="connsiteY20" fmla="*/ 4332 h 10000"/>
                      <a:gd name="connsiteX21" fmla="*/ 7080 w 10650"/>
                      <a:gd name="connsiteY21" fmla="*/ 4324 h 10000"/>
                      <a:gd name="connsiteX22" fmla="*/ 7174 w 10650"/>
                      <a:gd name="connsiteY22" fmla="*/ 4290 h 10000"/>
                      <a:gd name="connsiteX23" fmla="*/ 7246 w 10650"/>
                      <a:gd name="connsiteY23" fmla="*/ 4152 h 10000"/>
                      <a:gd name="connsiteX24" fmla="*/ 7297 w 10650"/>
                      <a:gd name="connsiteY24" fmla="*/ 4043 h 10000"/>
                      <a:gd name="connsiteX25" fmla="*/ 7369 w 10650"/>
                      <a:gd name="connsiteY25" fmla="*/ 3923 h 10000"/>
                      <a:gd name="connsiteX26" fmla="*/ 7438 w 10650"/>
                      <a:gd name="connsiteY26" fmla="*/ 3769 h 10000"/>
                      <a:gd name="connsiteX27" fmla="*/ 7460 w 10650"/>
                      <a:gd name="connsiteY27" fmla="*/ 3612 h 10000"/>
                      <a:gd name="connsiteX28" fmla="*/ 7479 w 10650"/>
                      <a:gd name="connsiteY28" fmla="*/ 3455 h 10000"/>
                      <a:gd name="connsiteX29" fmla="*/ 7533 w 10650"/>
                      <a:gd name="connsiteY29" fmla="*/ 3277 h 10000"/>
                      <a:gd name="connsiteX30" fmla="*/ 7561 w 10650"/>
                      <a:gd name="connsiteY30" fmla="*/ 3133 h 10000"/>
                      <a:gd name="connsiteX31" fmla="*/ 7529 w 10650"/>
                      <a:gd name="connsiteY31" fmla="*/ 3059 h 10000"/>
                      <a:gd name="connsiteX32" fmla="*/ 7523 w 10650"/>
                      <a:gd name="connsiteY32" fmla="*/ 3059 h 10000"/>
                      <a:gd name="connsiteX33" fmla="*/ 7489 w 10650"/>
                      <a:gd name="connsiteY33" fmla="*/ 3024 h 10000"/>
                      <a:gd name="connsiteX34" fmla="*/ 7438 w 10650"/>
                      <a:gd name="connsiteY34" fmla="*/ 2896 h 10000"/>
                      <a:gd name="connsiteX35" fmla="*/ 7463 w 10650"/>
                      <a:gd name="connsiteY35" fmla="*/ 2356 h 10000"/>
                      <a:gd name="connsiteX36" fmla="*/ 7467 w 10650"/>
                      <a:gd name="connsiteY36" fmla="*/ 2314 h 10000"/>
                      <a:gd name="connsiteX37" fmla="*/ 7504 w 10650"/>
                      <a:gd name="connsiteY37" fmla="*/ 1846 h 10000"/>
                      <a:gd name="connsiteX38" fmla="*/ 7448 w 10650"/>
                      <a:gd name="connsiteY38" fmla="*/ 1609 h 10000"/>
                      <a:gd name="connsiteX39" fmla="*/ 7438 w 10650"/>
                      <a:gd name="connsiteY39" fmla="*/ 1582 h 10000"/>
                      <a:gd name="connsiteX40" fmla="*/ 7407 w 10650"/>
                      <a:gd name="connsiteY40" fmla="*/ 1447 h 10000"/>
                      <a:gd name="connsiteX41" fmla="*/ 7413 w 10650"/>
                      <a:gd name="connsiteY41" fmla="*/ 1354 h 10000"/>
                      <a:gd name="connsiteX42" fmla="*/ 7391 w 10650"/>
                      <a:gd name="connsiteY42" fmla="*/ 1271 h 10000"/>
                      <a:gd name="connsiteX43" fmla="*/ 7190 w 10650"/>
                      <a:gd name="connsiteY43" fmla="*/ 1106 h 10000"/>
                      <a:gd name="connsiteX44" fmla="*/ 6860 w 10650"/>
                      <a:gd name="connsiteY44" fmla="*/ 848 h 10000"/>
                      <a:gd name="connsiteX45" fmla="*/ 6564 w 10650"/>
                      <a:gd name="connsiteY45" fmla="*/ 582 h 10000"/>
                      <a:gd name="connsiteX46" fmla="*/ 6331 w 10650"/>
                      <a:gd name="connsiteY46" fmla="*/ 370 h 10000"/>
                      <a:gd name="connsiteX47" fmla="*/ 6089 w 10650"/>
                      <a:gd name="connsiteY47" fmla="*/ 173 h 10000"/>
                      <a:gd name="connsiteX48" fmla="*/ 5828 w 10650"/>
                      <a:gd name="connsiteY48" fmla="*/ 45 h 10000"/>
                      <a:gd name="connsiteX49" fmla="*/ 5507 w 10650"/>
                      <a:gd name="connsiteY49" fmla="*/ 0 h 10000"/>
                      <a:gd name="connsiteX50" fmla="*/ 5199 w 10650"/>
                      <a:gd name="connsiteY50" fmla="*/ 32 h 10000"/>
                      <a:gd name="connsiteX51" fmla="*/ 4960 w 10650"/>
                      <a:gd name="connsiteY51" fmla="*/ 93 h 10000"/>
                      <a:gd name="connsiteX52" fmla="*/ 4715 w 10650"/>
                      <a:gd name="connsiteY52" fmla="*/ 144 h 10000"/>
                      <a:gd name="connsiteX53" fmla="*/ 4536 w 10650"/>
                      <a:gd name="connsiteY53" fmla="*/ 133 h 10000"/>
                      <a:gd name="connsiteX54" fmla="*/ 4347 w 10650"/>
                      <a:gd name="connsiteY54" fmla="*/ 266 h 10000"/>
                      <a:gd name="connsiteX55" fmla="*/ 4061 w 10650"/>
                      <a:gd name="connsiteY55" fmla="*/ 418 h 10000"/>
                      <a:gd name="connsiteX56" fmla="*/ 3649 w 10650"/>
                      <a:gd name="connsiteY56" fmla="*/ 630 h 10000"/>
                      <a:gd name="connsiteX57" fmla="*/ 3294 w 10650"/>
                      <a:gd name="connsiteY57" fmla="*/ 886 h 10000"/>
                      <a:gd name="connsiteX58" fmla="*/ 3139 w 10650"/>
                      <a:gd name="connsiteY58" fmla="*/ 1173 h 10000"/>
                      <a:gd name="connsiteX59" fmla="*/ 3171 w 10650"/>
                      <a:gd name="connsiteY59" fmla="*/ 1465 h 10000"/>
                      <a:gd name="connsiteX60" fmla="*/ 3202 w 10650"/>
                      <a:gd name="connsiteY60" fmla="*/ 1678 h 10000"/>
                      <a:gd name="connsiteX61" fmla="*/ 3180 w 10650"/>
                      <a:gd name="connsiteY61" fmla="*/ 1904 h 10000"/>
                      <a:gd name="connsiteX62" fmla="*/ 3149 w 10650"/>
                      <a:gd name="connsiteY62" fmla="*/ 2436 h 10000"/>
                      <a:gd name="connsiteX63" fmla="*/ 3196 w 10650"/>
                      <a:gd name="connsiteY63" fmla="*/ 2742 h 10000"/>
                      <a:gd name="connsiteX64" fmla="*/ 3250 w 10650"/>
                      <a:gd name="connsiteY64" fmla="*/ 2973 h 10000"/>
                      <a:gd name="connsiteX65" fmla="*/ 3029 w 10650"/>
                      <a:gd name="connsiteY65" fmla="*/ 2848 h 10000"/>
                      <a:gd name="connsiteX66" fmla="*/ 3014 w 10650"/>
                      <a:gd name="connsiteY66" fmla="*/ 2878 h 10000"/>
                      <a:gd name="connsiteX67" fmla="*/ 2995 w 10650"/>
                      <a:gd name="connsiteY67" fmla="*/ 2968 h 10000"/>
                      <a:gd name="connsiteX68" fmla="*/ 3007 w 10650"/>
                      <a:gd name="connsiteY68" fmla="*/ 3314 h 10000"/>
                      <a:gd name="connsiteX69" fmla="*/ 3077 w 10650"/>
                      <a:gd name="connsiteY69" fmla="*/ 3684 h 10000"/>
                      <a:gd name="connsiteX70" fmla="*/ 3099 w 10650"/>
                      <a:gd name="connsiteY70" fmla="*/ 3785 h 10000"/>
                      <a:gd name="connsiteX71" fmla="*/ 3121 w 10650"/>
                      <a:gd name="connsiteY71" fmla="*/ 3888 h 10000"/>
                      <a:gd name="connsiteX72" fmla="*/ 3253 w 10650"/>
                      <a:gd name="connsiteY72" fmla="*/ 4109 h 10000"/>
                      <a:gd name="connsiteX73" fmla="*/ 3372 w 10650"/>
                      <a:gd name="connsiteY73" fmla="*/ 4154 h 10000"/>
                      <a:gd name="connsiteX74" fmla="*/ 3467 w 10650"/>
                      <a:gd name="connsiteY74" fmla="*/ 4168 h 10000"/>
                      <a:gd name="connsiteX75" fmla="*/ 3470 w 10650"/>
                      <a:gd name="connsiteY75" fmla="*/ 4255 h 10000"/>
                      <a:gd name="connsiteX76" fmla="*/ 3621 w 10650"/>
                      <a:gd name="connsiteY76" fmla="*/ 4976 h 10000"/>
                      <a:gd name="connsiteX77" fmla="*/ 3775 w 10650"/>
                      <a:gd name="connsiteY77" fmla="*/ 5239 h 10000"/>
                      <a:gd name="connsiteX78" fmla="*/ 3797 w 10650"/>
                      <a:gd name="connsiteY78" fmla="*/ 5266 h 10000"/>
                      <a:gd name="connsiteX79" fmla="*/ 3797 w 10650"/>
                      <a:gd name="connsiteY79" fmla="*/ 5904 h 10000"/>
                      <a:gd name="connsiteX80" fmla="*/ 3699 w 10650"/>
                      <a:gd name="connsiteY80" fmla="*/ 5995 h 10000"/>
                      <a:gd name="connsiteX81" fmla="*/ 2869 w 10650"/>
                      <a:gd name="connsiteY81" fmla="*/ 6713 h 10000"/>
                      <a:gd name="connsiteX82" fmla="*/ 1746 w 10650"/>
                      <a:gd name="connsiteY82" fmla="*/ 7370 h 10000"/>
                      <a:gd name="connsiteX83" fmla="*/ 1429 w 10650"/>
                      <a:gd name="connsiteY83" fmla="*/ 7457 h 10000"/>
                      <a:gd name="connsiteX84" fmla="*/ 1158 w 10650"/>
                      <a:gd name="connsiteY84" fmla="*/ 7519 h 10000"/>
                      <a:gd name="connsiteX85" fmla="*/ 737 w 10650"/>
                      <a:gd name="connsiteY85" fmla="*/ 7630 h 10000"/>
                      <a:gd name="connsiteX86" fmla="*/ 0 w 10650"/>
                      <a:gd name="connsiteY86" fmla="*/ 8060 h 10000"/>
                      <a:gd name="connsiteX87" fmla="*/ 639 w 10650"/>
                      <a:gd name="connsiteY87" fmla="*/ 8306 h 10000"/>
                      <a:gd name="connsiteX88" fmla="*/ 1124 w 10650"/>
                      <a:gd name="connsiteY88" fmla="*/ 8742 h 10000"/>
                      <a:gd name="connsiteX89" fmla="*/ 1737 w 10650"/>
                      <a:gd name="connsiteY89" fmla="*/ 9117 h 10000"/>
                      <a:gd name="connsiteX90" fmla="*/ 2432 w 10650"/>
                      <a:gd name="connsiteY90" fmla="*/ 9431 h 10000"/>
                      <a:gd name="connsiteX91" fmla="*/ 3177 w 10650"/>
                      <a:gd name="connsiteY91" fmla="*/ 9681 h 10000"/>
                      <a:gd name="connsiteX92" fmla="*/ 3929 w 10650"/>
                      <a:gd name="connsiteY92" fmla="*/ 9862 h 10000"/>
                      <a:gd name="connsiteX93" fmla="*/ 4646 w 10650"/>
                      <a:gd name="connsiteY93" fmla="*/ 9968 h 10000"/>
                      <a:gd name="connsiteX94" fmla="*/ 5290 w 10650"/>
                      <a:gd name="connsiteY94" fmla="*/ 10000 h 10000"/>
                      <a:gd name="connsiteX95" fmla="*/ 6561 w 10650"/>
                      <a:gd name="connsiteY95" fmla="*/ 9846 h 10000"/>
                      <a:gd name="connsiteX96" fmla="*/ 8149 w 10650"/>
                      <a:gd name="connsiteY96" fmla="*/ 9391 h 10000"/>
                      <a:gd name="connsiteX97" fmla="*/ 8910 w 10650"/>
                      <a:gd name="connsiteY97" fmla="*/ 9069 h 10000"/>
                      <a:gd name="connsiteX98" fmla="*/ 9570 w 10650"/>
                      <a:gd name="connsiteY98" fmla="*/ 8694 h 10000"/>
                      <a:gd name="connsiteX99" fmla="*/ 10332 w 10650"/>
                      <a:gd name="connsiteY99" fmla="*/ 8320 h 10000"/>
                      <a:gd name="connsiteX100" fmla="*/ 10650 w 10650"/>
                      <a:gd name="connsiteY100" fmla="*/ 7962 h 100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Lst>
                    <a:rect l="l" t="t" r="r" b="b"/>
                    <a:pathLst>
                      <a:path w="10650" h="10000">
                        <a:moveTo>
                          <a:pt x="10650" y="7962"/>
                        </a:moveTo>
                        <a:lnTo>
                          <a:pt x="9913" y="7630"/>
                        </a:lnTo>
                        <a:lnTo>
                          <a:pt x="9495" y="7519"/>
                        </a:lnTo>
                        <a:lnTo>
                          <a:pt x="9281" y="7471"/>
                        </a:lnTo>
                        <a:lnTo>
                          <a:pt x="9039" y="7410"/>
                        </a:lnTo>
                        <a:lnTo>
                          <a:pt x="8743" y="7301"/>
                        </a:lnTo>
                        <a:lnTo>
                          <a:pt x="7671" y="6867"/>
                        </a:lnTo>
                        <a:cubicBezTo>
                          <a:pt x="7659" y="6863"/>
                          <a:pt x="7648" y="6860"/>
                          <a:pt x="7636" y="6856"/>
                        </a:cubicBezTo>
                        <a:lnTo>
                          <a:pt x="7366" y="6739"/>
                        </a:lnTo>
                        <a:lnTo>
                          <a:pt x="7202" y="6620"/>
                        </a:lnTo>
                        <a:lnTo>
                          <a:pt x="7014" y="6428"/>
                        </a:lnTo>
                        <a:cubicBezTo>
                          <a:pt x="6961" y="6385"/>
                          <a:pt x="6909" y="6341"/>
                          <a:pt x="6856" y="6298"/>
                        </a:cubicBezTo>
                        <a:lnTo>
                          <a:pt x="6702" y="6165"/>
                        </a:lnTo>
                        <a:lnTo>
                          <a:pt x="6602" y="6008"/>
                        </a:lnTo>
                        <a:cubicBezTo>
                          <a:pt x="6583" y="5888"/>
                          <a:pt x="6564" y="5769"/>
                          <a:pt x="6545" y="5649"/>
                        </a:cubicBezTo>
                        <a:cubicBezTo>
                          <a:pt x="6542" y="5575"/>
                          <a:pt x="6539" y="5500"/>
                          <a:pt x="6536" y="5426"/>
                        </a:cubicBezTo>
                        <a:lnTo>
                          <a:pt x="6536" y="5383"/>
                        </a:lnTo>
                        <a:cubicBezTo>
                          <a:pt x="6547" y="5374"/>
                          <a:pt x="6559" y="5365"/>
                          <a:pt x="6570" y="5356"/>
                        </a:cubicBezTo>
                        <a:lnTo>
                          <a:pt x="6922" y="4763"/>
                        </a:lnTo>
                        <a:cubicBezTo>
                          <a:pt x="6939" y="4651"/>
                          <a:pt x="6956" y="4538"/>
                          <a:pt x="6973" y="4426"/>
                        </a:cubicBezTo>
                        <a:lnTo>
                          <a:pt x="6973" y="4332"/>
                        </a:lnTo>
                        <a:lnTo>
                          <a:pt x="7080" y="4324"/>
                        </a:lnTo>
                        <a:lnTo>
                          <a:pt x="7174" y="4290"/>
                        </a:lnTo>
                        <a:lnTo>
                          <a:pt x="7246" y="4152"/>
                        </a:lnTo>
                        <a:cubicBezTo>
                          <a:pt x="7263" y="4116"/>
                          <a:pt x="7280" y="4079"/>
                          <a:pt x="7297" y="4043"/>
                        </a:cubicBezTo>
                        <a:lnTo>
                          <a:pt x="7369" y="3923"/>
                        </a:lnTo>
                        <a:cubicBezTo>
                          <a:pt x="7392" y="3872"/>
                          <a:pt x="7415" y="3820"/>
                          <a:pt x="7438" y="3769"/>
                        </a:cubicBezTo>
                        <a:cubicBezTo>
                          <a:pt x="7445" y="3717"/>
                          <a:pt x="7453" y="3664"/>
                          <a:pt x="7460" y="3612"/>
                        </a:cubicBezTo>
                        <a:cubicBezTo>
                          <a:pt x="7466" y="3560"/>
                          <a:pt x="7473" y="3507"/>
                          <a:pt x="7479" y="3455"/>
                        </a:cubicBezTo>
                        <a:cubicBezTo>
                          <a:pt x="7497" y="3396"/>
                          <a:pt x="7515" y="3336"/>
                          <a:pt x="7533" y="3277"/>
                        </a:cubicBezTo>
                        <a:cubicBezTo>
                          <a:pt x="7542" y="3229"/>
                          <a:pt x="7552" y="3181"/>
                          <a:pt x="7561" y="3133"/>
                        </a:cubicBezTo>
                        <a:cubicBezTo>
                          <a:pt x="7550" y="3108"/>
                          <a:pt x="7540" y="3084"/>
                          <a:pt x="7529" y="3059"/>
                        </a:cubicBezTo>
                        <a:lnTo>
                          <a:pt x="7523" y="3059"/>
                        </a:lnTo>
                        <a:cubicBezTo>
                          <a:pt x="7512" y="3047"/>
                          <a:pt x="7500" y="3036"/>
                          <a:pt x="7489" y="3024"/>
                        </a:cubicBezTo>
                        <a:cubicBezTo>
                          <a:pt x="7472" y="2981"/>
                          <a:pt x="7455" y="2939"/>
                          <a:pt x="7438" y="2896"/>
                        </a:cubicBezTo>
                        <a:cubicBezTo>
                          <a:pt x="7446" y="2716"/>
                          <a:pt x="7455" y="2536"/>
                          <a:pt x="7463" y="2356"/>
                        </a:cubicBezTo>
                        <a:cubicBezTo>
                          <a:pt x="7464" y="2342"/>
                          <a:pt x="7466" y="2328"/>
                          <a:pt x="7467" y="2314"/>
                        </a:cubicBezTo>
                        <a:cubicBezTo>
                          <a:pt x="7479" y="2158"/>
                          <a:pt x="7492" y="2002"/>
                          <a:pt x="7504" y="1846"/>
                        </a:cubicBezTo>
                        <a:cubicBezTo>
                          <a:pt x="7485" y="1767"/>
                          <a:pt x="7467" y="1688"/>
                          <a:pt x="7448" y="1609"/>
                        </a:cubicBezTo>
                        <a:cubicBezTo>
                          <a:pt x="7445" y="1600"/>
                          <a:pt x="7441" y="1591"/>
                          <a:pt x="7438" y="1582"/>
                        </a:cubicBezTo>
                        <a:cubicBezTo>
                          <a:pt x="7428" y="1537"/>
                          <a:pt x="7417" y="1492"/>
                          <a:pt x="7407" y="1447"/>
                        </a:cubicBezTo>
                        <a:lnTo>
                          <a:pt x="7413" y="1354"/>
                        </a:lnTo>
                        <a:cubicBezTo>
                          <a:pt x="7406" y="1326"/>
                          <a:pt x="7398" y="1299"/>
                          <a:pt x="7391" y="1271"/>
                        </a:cubicBezTo>
                        <a:lnTo>
                          <a:pt x="7190" y="1106"/>
                        </a:lnTo>
                        <a:lnTo>
                          <a:pt x="6860" y="848"/>
                        </a:lnTo>
                        <a:lnTo>
                          <a:pt x="6564" y="582"/>
                        </a:lnTo>
                        <a:lnTo>
                          <a:pt x="6331" y="370"/>
                        </a:lnTo>
                        <a:lnTo>
                          <a:pt x="6089" y="173"/>
                        </a:lnTo>
                        <a:lnTo>
                          <a:pt x="5828" y="45"/>
                        </a:lnTo>
                        <a:lnTo>
                          <a:pt x="5507" y="0"/>
                        </a:lnTo>
                        <a:lnTo>
                          <a:pt x="5199" y="32"/>
                        </a:lnTo>
                        <a:lnTo>
                          <a:pt x="4960" y="93"/>
                        </a:lnTo>
                        <a:lnTo>
                          <a:pt x="4715" y="144"/>
                        </a:lnTo>
                        <a:lnTo>
                          <a:pt x="4536" y="133"/>
                        </a:lnTo>
                        <a:lnTo>
                          <a:pt x="4347" y="266"/>
                        </a:lnTo>
                        <a:lnTo>
                          <a:pt x="4061" y="418"/>
                        </a:lnTo>
                        <a:lnTo>
                          <a:pt x="3649" y="630"/>
                        </a:lnTo>
                        <a:lnTo>
                          <a:pt x="3294" y="886"/>
                        </a:lnTo>
                        <a:lnTo>
                          <a:pt x="3139" y="1173"/>
                        </a:lnTo>
                        <a:cubicBezTo>
                          <a:pt x="3150" y="1270"/>
                          <a:pt x="3160" y="1368"/>
                          <a:pt x="3171" y="1465"/>
                        </a:cubicBezTo>
                        <a:cubicBezTo>
                          <a:pt x="3181" y="1536"/>
                          <a:pt x="3192" y="1607"/>
                          <a:pt x="3202" y="1678"/>
                        </a:cubicBezTo>
                        <a:cubicBezTo>
                          <a:pt x="3195" y="1753"/>
                          <a:pt x="3187" y="1829"/>
                          <a:pt x="3180" y="1904"/>
                        </a:cubicBezTo>
                        <a:cubicBezTo>
                          <a:pt x="3170" y="2081"/>
                          <a:pt x="3159" y="2259"/>
                          <a:pt x="3149" y="2436"/>
                        </a:cubicBezTo>
                        <a:cubicBezTo>
                          <a:pt x="3165" y="2538"/>
                          <a:pt x="3180" y="2640"/>
                          <a:pt x="3196" y="2742"/>
                        </a:cubicBezTo>
                        <a:lnTo>
                          <a:pt x="3250" y="2973"/>
                        </a:lnTo>
                        <a:lnTo>
                          <a:pt x="3029" y="2848"/>
                        </a:lnTo>
                        <a:lnTo>
                          <a:pt x="3014" y="2878"/>
                        </a:lnTo>
                        <a:cubicBezTo>
                          <a:pt x="3008" y="2908"/>
                          <a:pt x="3001" y="2938"/>
                          <a:pt x="2995" y="2968"/>
                        </a:cubicBezTo>
                        <a:cubicBezTo>
                          <a:pt x="2999" y="3083"/>
                          <a:pt x="3003" y="3199"/>
                          <a:pt x="3007" y="3314"/>
                        </a:cubicBezTo>
                        <a:cubicBezTo>
                          <a:pt x="3030" y="3437"/>
                          <a:pt x="3054" y="3561"/>
                          <a:pt x="3077" y="3684"/>
                        </a:cubicBezTo>
                        <a:cubicBezTo>
                          <a:pt x="3084" y="3718"/>
                          <a:pt x="3092" y="3751"/>
                          <a:pt x="3099" y="3785"/>
                        </a:cubicBezTo>
                        <a:cubicBezTo>
                          <a:pt x="3106" y="3819"/>
                          <a:pt x="3114" y="3854"/>
                          <a:pt x="3121" y="3888"/>
                        </a:cubicBezTo>
                        <a:lnTo>
                          <a:pt x="3253" y="4109"/>
                        </a:lnTo>
                        <a:lnTo>
                          <a:pt x="3372" y="4154"/>
                        </a:lnTo>
                        <a:lnTo>
                          <a:pt x="3467" y="4168"/>
                        </a:lnTo>
                        <a:lnTo>
                          <a:pt x="3470" y="4255"/>
                        </a:lnTo>
                        <a:cubicBezTo>
                          <a:pt x="3520" y="4495"/>
                          <a:pt x="3571" y="4736"/>
                          <a:pt x="3621" y="4976"/>
                        </a:cubicBezTo>
                        <a:cubicBezTo>
                          <a:pt x="3672" y="5064"/>
                          <a:pt x="3724" y="5151"/>
                          <a:pt x="3775" y="5239"/>
                        </a:cubicBezTo>
                        <a:cubicBezTo>
                          <a:pt x="3782" y="5248"/>
                          <a:pt x="3790" y="5257"/>
                          <a:pt x="3797" y="5266"/>
                        </a:cubicBezTo>
                        <a:lnTo>
                          <a:pt x="3797" y="5904"/>
                        </a:lnTo>
                        <a:cubicBezTo>
                          <a:pt x="3764" y="5934"/>
                          <a:pt x="3732" y="5965"/>
                          <a:pt x="3699" y="5995"/>
                        </a:cubicBezTo>
                        <a:lnTo>
                          <a:pt x="2869" y="6713"/>
                        </a:lnTo>
                        <a:lnTo>
                          <a:pt x="1746" y="7370"/>
                        </a:lnTo>
                        <a:lnTo>
                          <a:pt x="1429" y="7457"/>
                        </a:lnTo>
                        <a:lnTo>
                          <a:pt x="1158" y="7519"/>
                        </a:lnTo>
                        <a:lnTo>
                          <a:pt x="737" y="7630"/>
                        </a:lnTo>
                        <a:lnTo>
                          <a:pt x="0" y="8060"/>
                        </a:lnTo>
                        <a:lnTo>
                          <a:pt x="639" y="8306"/>
                        </a:lnTo>
                        <a:lnTo>
                          <a:pt x="1124" y="8742"/>
                        </a:lnTo>
                        <a:lnTo>
                          <a:pt x="1737" y="9117"/>
                        </a:lnTo>
                        <a:lnTo>
                          <a:pt x="2432" y="9431"/>
                        </a:lnTo>
                        <a:lnTo>
                          <a:pt x="3177" y="9681"/>
                        </a:lnTo>
                        <a:lnTo>
                          <a:pt x="3929" y="9862"/>
                        </a:lnTo>
                        <a:lnTo>
                          <a:pt x="4646" y="9968"/>
                        </a:lnTo>
                        <a:lnTo>
                          <a:pt x="5290" y="10000"/>
                        </a:lnTo>
                        <a:lnTo>
                          <a:pt x="6561" y="9846"/>
                        </a:lnTo>
                        <a:lnTo>
                          <a:pt x="8149" y="9391"/>
                        </a:lnTo>
                        <a:lnTo>
                          <a:pt x="8910" y="9069"/>
                        </a:lnTo>
                        <a:lnTo>
                          <a:pt x="9570" y="8694"/>
                        </a:lnTo>
                        <a:lnTo>
                          <a:pt x="10332" y="8320"/>
                        </a:lnTo>
                        <a:lnTo>
                          <a:pt x="10650" y="7962"/>
                        </a:lnTo>
                        <a:close/>
                      </a:path>
                    </a:pathLst>
                  </a:custGeom>
                  <a:solidFill>
                    <a:srgbClr val="9E9E9E"/>
                  </a:solidFill>
                  <a:ln>
                    <a:noFill/>
                  </a:ln>
                </xdr:spPr>
                <xdr:txBody>
                  <a:bodyPr/>
                  <a:lstStyle/>
                  <a:p>
                    <a:endParaRPr lang="en-US"/>
                  </a:p>
                </xdr:txBody>
              </xdr:sp>
            </xdr:grpSp>
            <xdr:pic>
              <xdr:nvPicPr>
                <xdr:cNvPr id="8939" name="10_profileimage">
                  <a:hlinkClick xmlns:r="http://schemas.openxmlformats.org/officeDocument/2006/relationships" r:id="rId35"/>
                </xdr:cNvPr>
                <xdr:cNvPicPr>
                  <a:picLocks/>
                </xdr:cNvPicPr>
              </xdr:nvPicPr>
              <xdr:blipFill>
                <a:blip xmlns:r="http://schemas.openxmlformats.org/officeDocument/2006/relationships" r:link="rId36"/>
                <a:stretch>
                  <a:fillRect/>
                </a:stretch>
              </xdr:blipFill>
              <xdr:spPr>
                <a:xfrm>
                  <a:off x="6272403" y="63985899"/>
                  <a:ext cx="822960" cy="822960"/>
                </a:xfrm>
                <a:prstGeom prst="rect">
                  <a:avLst/>
                </a:prstGeom>
              </xdr:spPr>
            </xdr:pic>
            <xdr:sp macro="" textlink="">
              <xdr:nvSpPr>
                <xdr:cNvPr id="540" name="10_imgModule_Freeform_10"/>
                <xdr:cNvSpPr>
                  <a:spLocks noEditPoints="1"/>
                </xdr:cNvSpPr>
              </xdr:nvSpPr>
              <xdr:spPr bwMode="auto">
                <a:xfrm>
                  <a:off x="6199251" y="63912749"/>
                  <a:ext cx="969264" cy="969264"/>
                </a:xfrm>
                <a:custGeom>
                  <a:avLst/>
                  <a:gdLst>
                    <a:gd name="T0" fmla="*/ 0 w 417"/>
                    <a:gd name="T1" fmla="*/ 417 h 417"/>
                    <a:gd name="T2" fmla="*/ 417 w 417"/>
                    <a:gd name="T3" fmla="*/ 0 h 417"/>
                    <a:gd name="T4" fmla="*/ 209 w 417"/>
                    <a:gd name="T5" fmla="*/ 385 h 417"/>
                    <a:gd name="T6" fmla="*/ 190 w 417"/>
                    <a:gd name="T7" fmla="*/ 384 h 417"/>
                    <a:gd name="T8" fmla="*/ 156 w 417"/>
                    <a:gd name="T9" fmla="*/ 377 h 417"/>
                    <a:gd name="T10" fmla="*/ 124 w 417"/>
                    <a:gd name="T11" fmla="*/ 364 h 417"/>
                    <a:gd name="T12" fmla="*/ 96 w 417"/>
                    <a:gd name="T13" fmla="*/ 345 h 417"/>
                    <a:gd name="T14" fmla="*/ 72 w 417"/>
                    <a:gd name="T15" fmla="*/ 321 h 417"/>
                    <a:gd name="T16" fmla="*/ 53 w 417"/>
                    <a:gd name="T17" fmla="*/ 293 h 417"/>
                    <a:gd name="T18" fmla="*/ 40 w 417"/>
                    <a:gd name="T19" fmla="*/ 261 h 417"/>
                    <a:gd name="T20" fmla="*/ 33 w 417"/>
                    <a:gd name="T21" fmla="*/ 227 h 417"/>
                    <a:gd name="T22" fmla="*/ 32 w 417"/>
                    <a:gd name="T23" fmla="*/ 209 h 417"/>
                    <a:gd name="T24" fmla="*/ 36 w 417"/>
                    <a:gd name="T25" fmla="*/ 173 h 417"/>
                    <a:gd name="T26" fmla="*/ 46 w 417"/>
                    <a:gd name="T27" fmla="*/ 139 h 417"/>
                    <a:gd name="T28" fmla="*/ 62 w 417"/>
                    <a:gd name="T29" fmla="*/ 110 h 417"/>
                    <a:gd name="T30" fmla="*/ 84 w 417"/>
                    <a:gd name="T31" fmla="*/ 84 h 417"/>
                    <a:gd name="T32" fmla="*/ 110 w 417"/>
                    <a:gd name="T33" fmla="*/ 62 h 417"/>
                    <a:gd name="T34" fmla="*/ 139 w 417"/>
                    <a:gd name="T35" fmla="*/ 46 h 417"/>
                    <a:gd name="T36" fmla="*/ 173 w 417"/>
                    <a:gd name="T37" fmla="*/ 36 h 417"/>
                    <a:gd name="T38" fmla="*/ 209 w 417"/>
                    <a:gd name="T39" fmla="*/ 32 h 417"/>
                    <a:gd name="T40" fmla="*/ 227 w 417"/>
                    <a:gd name="T41" fmla="*/ 33 h 417"/>
                    <a:gd name="T42" fmla="*/ 261 w 417"/>
                    <a:gd name="T43" fmla="*/ 40 h 417"/>
                    <a:gd name="T44" fmla="*/ 293 w 417"/>
                    <a:gd name="T45" fmla="*/ 53 h 417"/>
                    <a:gd name="T46" fmla="*/ 321 w 417"/>
                    <a:gd name="T47" fmla="*/ 72 h 417"/>
                    <a:gd name="T48" fmla="*/ 345 w 417"/>
                    <a:gd name="T49" fmla="*/ 96 h 417"/>
                    <a:gd name="T50" fmla="*/ 364 w 417"/>
                    <a:gd name="T51" fmla="*/ 124 h 417"/>
                    <a:gd name="T52" fmla="*/ 377 w 417"/>
                    <a:gd name="T53" fmla="*/ 156 h 417"/>
                    <a:gd name="T54" fmla="*/ 384 w 417"/>
                    <a:gd name="T55" fmla="*/ 190 h 417"/>
                    <a:gd name="T56" fmla="*/ 385 w 417"/>
                    <a:gd name="T57" fmla="*/ 209 h 417"/>
                    <a:gd name="T58" fmla="*/ 381 w 417"/>
                    <a:gd name="T59" fmla="*/ 244 h 417"/>
                    <a:gd name="T60" fmla="*/ 371 w 417"/>
                    <a:gd name="T61" fmla="*/ 278 h 417"/>
                    <a:gd name="T62" fmla="*/ 355 w 417"/>
                    <a:gd name="T63" fmla="*/ 307 h 417"/>
                    <a:gd name="T64" fmla="*/ 333 w 417"/>
                    <a:gd name="T65" fmla="*/ 333 h 417"/>
                    <a:gd name="T66" fmla="*/ 307 w 417"/>
                    <a:gd name="T67" fmla="*/ 355 h 417"/>
                    <a:gd name="T68" fmla="*/ 278 w 417"/>
                    <a:gd name="T69" fmla="*/ 371 h 417"/>
                    <a:gd name="T70" fmla="*/ 244 w 417"/>
                    <a:gd name="T71" fmla="*/ 381 h 417"/>
                    <a:gd name="T72" fmla="*/ 209 w 417"/>
                    <a:gd name="T73" fmla="*/ 385 h 41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Lst>
                  <a:rect l="0" t="0" r="r" b="b"/>
                  <a:pathLst>
                    <a:path w="417" h="417">
                      <a:moveTo>
                        <a:pt x="0" y="0"/>
                      </a:moveTo>
                      <a:lnTo>
                        <a:pt x="0" y="417"/>
                      </a:lnTo>
                      <a:lnTo>
                        <a:pt x="417" y="417"/>
                      </a:lnTo>
                      <a:lnTo>
                        <a:pt x="417" y="0"/>
                      </a:lnTo>
                      <a:lnTo>
                        <a:pt x="0" y="0"/>
                      </a:lnTo>
                      <a:close/>
                      <a:moveTo>
                        <a:pt x="209" y="385"/>
                      </a:moveTo>
                      <a:lnTo>
                        <a:pt x="209" y="385"/>
                      </a:lnTo>
                      <a:lnTo>
                        <a:pt x="190" y="384"/>
                      </a:lnTo>
                      <a:lnTo>
                        <a:pt x="173" y="381"/>
                      </a:lnTo>
                      <a:lnTo>
                        <a:pt x="156" y="377"/>
                      </a:lnTo>
                      <a:lnTo>
                        <a:pt x="139" y="371"/>
                      </a:lnTo>
                      <a:lnTo>
                        <a:pt x="124" y="364"/>
                      </a:lnTo>
                      <a:lnTo>
                        <a:pt x="110" y="355"/>
                      </a:lnTo>
                      <a:lnTo>
                        <a:pt x="96" y="345"/>
                      </a:lnTo>
                      <a:lnTo>
                        <a:pt x="84" y="333"/>
                      </a:lnTo>
                      <a:lnTo>
                        <a:pt x="72" y="321"/>
                      </a:lnTo>
                      <a:lnTo>
                        <a:pt x="62" y="307"/>
                      </a:lnTo>
                      <a:lnTo>
                        <a:pt x="53" y="293"/>
                      </a:lnTo>
                      <a:lnTo>
                        <a:pt x="46" y="278"/>
                      </a:lnTo>
                      <a:lnTo>
                        <a:pt x="40" y="261"/>
                      </a:lnTo>
                      <a:lnTo>
                        <a:pt x="36" y="244"/>
                      </a:lnTo>
                      <a:lnTo>
                        <a:pt x="33" y="227"/>
                      </a:lnTo>
                      <a:lnTo>
                        <a:pt x="32" y="209"/>
                      </a:lnTo>
                      <a:lnTo>
                        <a:pt x="32" y="209"/>
                      </a:lnTo>
                      <a:lnTo>
                        <a:pt x="33" y="190"/>
                      </a:lnTo>
                      <a:lnTo>
                        <a:pt x="36" y="173"/>
                      </a:lnTo>
                      <a:lnTo>
                        <a:pt x="40" y="156"/>
                      </a:lnTo>
                      <a:lnTo>
                        <a:pt x="46" y="139"/>
                      </a:lnTo>
                      <a:lnTo>
                        <a:pt x="53" y="124"/>
                      </a:lnTo>
                      <a:lnTo>
                        <a:pt x="62" y="110"/>
                      </a:lnTo>
                      <a:lnTo>
                        <a:pt x="72" y="96"/>
                      </a:lnTo>
                      <a:lnTo>
                        <a:pt x="84" y="84"/>
                      </a:lnTo>
                      <a:lnTo>
                        <a:pt x="96" y="72"/>
                      </a:lnTo>
                      <a:lnTo>
                        <a:pt x="110" y="62"/>
                      </a:lnTo>
                      <a:lnTo>
                        <a:pt x="124" y="53"/>
                      </a:lnTo>
                      <a:lnTo>
                        <a:pt x="139" y="46"/>
                      </a:lnTo>
                      <a:lnTo>
                        <a:pt x="156" y="40"/>
                      </a:lnTo>
                      <a:lnTo>
                        <a:pt x="173" y="36"/>
                      </a:lnTo>
                      <a:lnTo>
                        <a:pt x="190" y="33"/>
                      </a:lnTo>
                      <a:lnTo>
                        <a:pt x="209" y="32"/>
                      </a:lnTo>
                      <a:lnTo>
                        <a:pt x="209" y="32"/>
                      </a:lnTo>
                      <a:lnTo>
                        <a:pt x="227" y="33"/>
                      </a:lnTo>
                      <a:lnTo>
                        <a:pt x="244" y="36"/>
                      </a:lnTo>
                      <a:lnTo>
                        <a:pt x="261" y="40"/>
                      </a:lnTo>
                      <a:lnTo>
                        <a:pt x="278" y="46"/>
                      </a:lnTo>
                      <a:lnTo>
                        <a:pt x="293" y="53"/>
                      </a:lnTo>
                      <a:lnTo>
                        <a:pt x="307" y="62"/>
                      </a:lnTo>
                      <a:lnTo>
                        <a:pt x="321" y="72"/>
                      </a:lnTo>
                      <a:lnTo>
                        <a:pt x="333" y="84"/>
                      </a:lnTo>
                      <a:lnTo>
                        <a:pt x="345" y="96"/>
                      </a:lnTo>
                      <a:lnTo>
                        <a:pt x="355" y="110"/>
                      </a:lnTo>
                      <a:lnTo>
                        <a:pt x="364" y="124"/>
                      </a:lnTo>
                      <a:lnTo>
                        <a:pt x="371" y="139"/>
                      </a:lnTo>
                      <a:lnTo>
                        <a:pt x="377" y="156"/>
                      </a:lnTo>
                      <a:lnTo>
                        <a:pt x="381" y="173"/>
                      </a:lnTo>
                      <a:lnTo>
                        <a:pt x="384" y="190"/>
                      </a:lnTo>
                      <a:lnTo>
                        <a:pt x="385" y="209"/>
                      </a:lnTo>
                      <a:lnTo>
                        <a:pt x="385" y="209"/>
                      </a:lnTo>
                      <a:lnTo>
                        <a:pt x="384" y="227"/>
                      </a:lnTo>
                      <a:lnTo>
                        <a:pt x="381" y="244"/>
                      </a:lnTo>
                      <a:lnTo>
                        <a:pt x="377" y="261"/>
                      </a:lnTo>
                      <a:lnTo>
                        <a:pt x="371" y="278"/>
                      </a:lnTo>
                      <a:lnTo>
                        <a:pt x="364" y="293"/>
                      </a:lnTo>
                      <a:lnTo>
                        <a:pt x="355" y="307"/>
                      </a:lnTo>
                      <a:lnTo>
                        <a:pt x="345" y="321"/>
                      </a:lnTo>
                      <a:lnTo>
                        <a:pt x="333" y="333"/>
                      </a:lnTo>
                      <a:lnTo>
                        <a:pt x="321" y="345"/>
                      </a:lnTo>
                      <a:lnTo>
                        <a:pt x="307" y="355"/>
                      </a:lnTo>
                      <a:lnTo>
                        <a:pt x="293" y="364"/>
                      </a:lnTo>
                      <a:lnTo>
                        <a:pt x="278" y="371"/>
                      </a:lnTo>
                      <a:lnTo>
                        <a:pt x="261" y="377"/>
                      </a:lnTo>
                      <a:lnTo>
                        <a:pt x="244" y="381"/>
                      </a:lnTo>
                      <a:lnTo>
                        <a:pt x="227" y="384"/>
                      </a:lnTo>
                      <a:lnTo>
                        <a:pt x="209" y="385"/>
                      </a:lnTo>
                      <a:lnTo>
                        <a:pt x="209" y="385"/>
                      </a:lnTo>
                      <a:close/>
                    </a:path>
                  </a:pathLst>
                </a:custGeom>
                <a:solidFill>
                  <a:srgbClr val="E0E0E0"/>
                </a:solidFill>
                <a:ln>
                  <a:noFill/>
                </a:ln>
              </xdr:spPr>
            </xdr:sp>
          </xdr:grpSp>
        </xdr:grpSp>
        <xdr:pic>
          <xdr:nvPicPr>
            <xdr:cNvPr id="9108" name="10_channelimage"/>
            <xdr:cNvPicPr>
              <a:picLocks/>
            </xdr:cNvPicPr>
          </xdr:nvPicPr>
          <xdr:blipFill>
            <a:blip xmlns:r="http://schemas.openxmlformats.org/officeDocument/2006/relationships" r:link="rId32"/>
            <a:stretch>
              <a:fillRect/>
            </a:stretch>
          </xdr:blipFill>
          <xdr:spPr>
            <a:xfrm>
              <a:off x="6038850" y="63749064"/>
              <a:ext cx="576072" cy="576072"/>
            </a:xfrm>
            <a:prstGeom prst="rect">
              <a:avLst/>
            </a:prstGeom>
          </xdr:spPr>
        </xdr:pic>
      </xdr:grpSp>
    </xdr:grpSp>
    <xdr:clientData/>
  </xdr:twoCellAnchor>
  <xdr:twoCellAnchor editAs="oneCell">
    <xdr:from>
      <xdr:col>0</xdr:col>
      <xdr:colOff>0</xdr:colOff>
      <xdr:row>0</xdr:row>
      <xdr:rowOff>0</xdr:rowOff>
    </xdr:from>
    <xdr:to>
      <xdr:col>0</xdr:col>
      <xdr:colOff>12700</xdr:colOff>
      <xdr:row>0</xdr:row>
      <xdr:rowOff>12700</xdr:rowOff>
    </xdr:to>
    <xdr:pic>
      <xdr:nvPicPr>
        <xdr:cNvPr id="31" name="trackpixel">
          <a:hlinkClick xmlns:r="http://schemas.openxmlformats.org/officeDocument/2006/relationships" r:id="rId57"/>
        </xdr:cNvPr>
        <xdr:cNvPicPr>
          <a:picLocks/>
        </xdr:cNvPicPr>
      </xdr:nvPicPr>
      <xdr:blipFill>
        <a:blip xmlns:r="http://schemas.openxmlformats.org/officeDocument/2006/relationships" r:link="rId58"/>
        <a:stretch>
          <a:fillRect/>
        </a:stretch>
      </xdr:blipFill>
      <xdr:spPr>
        <a:xfrm>
          <a:off x="0" y="0"/>
          <a:ext cx="12700" cy="12700"/>
        </a:xfrm>
        <a:prstGeom prst="rect">
          <a:avLst/>
        </a:prstGeom>
      </xdr:spPr>
    </xdr:pic>
    <xdr:clientData/>
  </xdr:twoCellAnchor>
  <xdr:twoCellAnchor>
    <xdr:from>
      <xdr:col>1</xdr:col>
      <xdr:colOff>0</xdr:colOff>
      <xdr:row>41</xdr:row>
      <xdr:rowOff>177799</xdr:rowOff>
    </xdr:from>
    <xdr:to>
      <xdr:col>24</xdr:col>
      <xdr:colOff>1143</xdr:colOff>
      <xdr:row>61</xdr:row>
      <xdr:rowOff>43687</xdr:rowOff>
    </xdr:to>
    <xdr:grpSp>
      <xdr:nvGrpSpPr>
        <xdr:cNvPr id="30" name="Group 29"/>
        <xdr:cNvGrpSpPr/>
      </xdr:nvGrpSpPr>
      <xdr:grpSpPr>
        <a:xfrm>
          <a:off x="247650" y="7340599"/>
          <a:ext cx="11173968" cy="3675888"/>
          <a:chOff x="247650" y="7340599"/>
          <a:chExt cx="11173968" cy="3675888"/>
        </a:xfrm>
      </xdr:grpSpPr>
      <xdr:sp macro="" textlink="">
        <xdr:nvSpPr>
          <xdr:cNvPr id="119" name="Rounded Rectangle 118"/>
          <xdr:cNvSpPr/>
        </xdr:nvSpPr>
        <xdr:spPr>
          <a:xfrm>
            <a:off x="247650" y="7340599"/>
            <a:ext cx="11173968" cy="3675888"/>
          </a:xfrm>
          <a:prstGeom prst="roundRect">
            <a:avLst>
              <a:gd name="adj" fmla="val 0"/>
            </a:avLst>
          </a:prstGeom>
          <a:solidFill>
            <a:srgbClr val="262626"/>
          </a:solidFill>
          <a:ln w="19050">
            <a:solidFill>
              <a:srgbClr val="15151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aphicFrame macro="">
        <xdr:nvGraphicFramePr>
          <xdr:cNvPr id="116" name="Chart 115"/>
          <xdr:cNvGraphicFramePr>
            <a:graphicFrameLocks/>
          </xdr:cNvGraphicFramePr>
        </xdr:nvGraphicFramePr>
        <xdr:xfrm>
          <a:off x="247651" y="7350124"/>
          <a:ext cx="7416800" cy="3657600"/>
        </xdr:xfrm>
        <a:graphic>
          <a:graphicData uri="http://schemas.openxmlformats.org/drawingml/2006/chart">
            <c:chart xmlns:c="http://schemas.openxmlformats.org/drawingml/2006/chart" xmlns:r="http://schemas.openxmlformats.org/officeDocument/2006/relationships" r:id="rId59"/>
          </a:graphicData>
        </a:graphic>
      </xdr:graphicFrame>
      <xdr:sp macro="" textlink="">
        <xdr:nvSpPr>
          <xdr:cNvPr id="185" name="Rounded Rectangle 184"/>
          <xdr:cNvSpPr/>
        </xdr:nvSpPr>
        <xdr:spPr>
          <a:xfrm>
            <a:off x="7829551" y="8187939"/>
            <a:ext cx="3236976" cy="2257429"/>
          </a:xfrm>
          <a:prstGeom prst="roundRect">
            <a:avLst>
              <a:gd name="adj" fmla="val 0"/>
            </a:avLst>
          </a:prstGeom>
          <a:solidFill>
            <a:srgbClr val="3E3E3E"/>
          </a:solidFill>
          <a:ln>
            <a:noFill/>
          </a:ln>
          <a:effectLst/>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en-US" sz="1100"/>
          </a:p>
        </xdr:txBody>
      </xdr:sp>
      <xdr:sp macro="" textlink="">
        <xdr:nvSpPr>
          <xdr:cNvPr id="187" name="Rounded Rectangle 186"/>
          <xdr:cNvSpPr/>
        </xdr:nvSpPr>
        <xdr:spPr>
          <a:xfrm>
            <a:off x="7829551" y="8168892"/>
            <a:ext cx="3236976" cy="2257427"/>
          </a:xfrm>
          <a:prstGeom prst="roundRect">
            <a:avLst>
              <a:gd name="adj" fmla="val 0"/>
            </a:avLst>
          </a:prstGeom>
          <a:solidFill>
            <a:srgbClr val="151515"/>
          </a:solidFill>
          <a:ln w="12700">
            <a:solidFill>
              <a:srgbClr val="0F0F0F"/>
            </a:solidFill>
          </a:ln>
          <a:effectLst/>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marL="0" indent="0" algn="l"/>
            <a:endParaRPr lang="en-US" sz="1100">
              <a:solidFill>
                <a:schemeClr val="lt1"/>
              </a:solidFill>
              <a:latin typeface="+mn-lt"/>
              <a:ea typeface="+mn-ea"/>
              <a:cs typeface="+mn-cs"/>
            </a:endParaRPr>
          </a:p>
        </xdr:txBody>
      </xdr:sp>
      <xdr:sp macro="" textlink="">
        <xdr:nvSpPr>
          <xdr:cNvPr id="189" name="TextBox 188"/>
          <xdr:cNvSpPr txBox="1"/>
        </xdr:nvSpPr>
        <xdr:spPr>
          <a:xfrm>
            <a:off x="7829551" y="7902194"/>
            <a:ext cx="3236976" cy="274320"/>
          </a:xfrm>
          <a:prstGeom prst="rect">
            <a:avLst/>
          </a:prstGeom>
          <a:gradFill flip="none" rotWithShape="1">
            <a:gsLst>
              <a:gs pos="0">
                <a:srgbClr val="32323C"/>
              </a:gs>
              <a:gs pos="100000">
                <a:srgbClr val="41414B"/>
              </a:gs>
            </a:gsLst>
            <a:lin ang="16200000" scaled="0"/>
            <a:tileRect/>
          </a:gradFill>
          <a:ln w="12700" cmpd="sng">
            <a:gradFill>
              <a:gsLst>
                <a:gs pos="0">
                  <a:srgbClr val="4B4B5E"/>
                </a:gs>
                <a:gs pos="100000">
                  <a:srgbClr val="373741"/>
                </a:gs>
              </a:gsLst>
              <a:lin ang="5400000" scaled="0"/>
            </a:gradFill>
          </a:ln>
          <a:effectLst/>
          <a:extLst/>
        </xdr:spPr>
        <xdr:style>
          <a:lnRef idx="0">
            <a:scrgbClr r="0" g="0" b="0"/>
          </a:lnRef>
          <a:fillRef idx="0">
            <a:scrgbClr r="0" g="0" b="0"/>
          </a:fillRef>
          <a:effectRef idx="0">
            <a:scrgbClr r="0" g="0" b="0"/>
          </a:effectRef>
          <a:fontRef idx="minor">
            <a:schemeClr val="dk1"/>
          </a:fontRef>
        </xdr:style>
        <xdr:txBody>
          <a:bodyPr vertOverflow="clip" horzOverflow="clip" vert="horz" lIns="182880" tIns="0" rIns="0" bIns="0" rtlCol="0" anchor="ctr"/>
          <a:lstStyle/>
          <a:p>
            <a:pPr algn="l"/>
            <a:r>
              <a:rPr lang="en-US" sz="1200" b="1">
                <a:solidFill>
                  <a:srgbClr val="151515"/>
                </a:solidFill>
                <a:latin typeface="Calibri"/>
              </a:rPr>
              <a:t>MENTIONS SUMMARY</a:t>
            </a:r>
          </a:p>
        </xdr:txBody>
      </xdr:sp>
      <xdr:sp macro="" textlink="">
        <xdr:nvSpPr>
          <xdr:cNvPr id="191" name="TextBox 190"/>
          <xdr:cNvSpPr txBox="1"/>
        </xdr:nvSpPr>
        <xdr:spPr>
          <a:xfrm>
            <a:off x="7829551" y="7911719"/>
            <a:ext cx="2533650" cy="274320"/>
          </a:xfrm>
          <a:prstGeom prst="rect">
            <a:avLst/>
          </a:prstGeom>
          <a:noFill/>
          <a:ln w="9525" cmpd="sng">
            <a:noFill/>
          </a:ln>
          <a:effectLst/>
          <a:extLst/>
        </xdr:spPr>
        <xdr:style>
          <a:lnRef idx="0">
            <a:scrgbClr r="0" g="0" b="0"/>
          </a:lnRef>
          <a:fillRef idx="0">
            <a:scrgbClr r="0" g="0" b="0"/>
          </a:fillRef>
          <a:effectRef idx="0">
            <a:scrgbClr r="0" g="0" b="0"/>
          </a:effectRef>
          <a:fontRef idx="minor">
            <a:schemeClr val="dk1"/>
          </a:fontRef>
        </xdr:style>
        <xdr:txBody>
          <a:bodyPr vertOverflow="clip" horzOverflow="clip" vert="horz" lIns="182880" tIns="0" rIns="0" bIns="0" rtlCol="0" anchor="ctr"/>
          <a:lstStyle/>
          <a:p>
            <a:pPr algn="l"/>
            <a:r>
              <a:rPr lang="en-US" sz="1200" b="1">
                <a:solidFill>
                  <a:srgbClr val="D2D2D2"/>
                </a:solidFill>
                <a:latin typeface="Calibri"/>
              </a:rPr>
              <a:t>MENTIONS SUMMARY</a:t>
            </a:r>
          </a:p>
        </xdr:txBody>
      </xdr:sp>
      <xdr:cxnSp macro="">
        <xdr:nvCxnSpPr>
          <xdr:cNvPr id="222" name="Straight Connector 221"/>
          <xdr:cNvCxnSpPr/>
        </xdr:nvCxnSpPr>
        <xdr:spPr>
          <a:xfrm>
            <a:off x="8007855" y="9149969"/>
            <a:ext cx="2880369" cy="0"/>
          </a:xfrm>
          <a:prstGeom prst="line">
            <a:avLst/>
          </a:prstGeom>
          <a:ln w="12700">
            <a:solidFill>
              <a:srgbClr val="3E3E3E"/>
            </a:solidFill>
          </a:ln>
          <a:effectLst/>
        </xdr:spPr>
        <xdr:style>
          <a:lnRef idx="2">
            <a:schemeClr val="accent1"/>
          </a:lnRef>
          <a:fillRef idx="0">
            <a:schemeClr val="accent1"/>
          </a:fillRef>
          <a:effectRef idx="1">
            <a:schemeClr val="accent1"/>
          </a:effectRef>
          <a:fontRef idx="minor">
            <a:schemeClr val="tx1"/>
          </a:fontRef>
        </xdr:style>
      </xdr:cxnSp>
      <xdr:sp macro="" textlink="Calculations!D42">
        <xdr:nvSpPr>
          <xdr:cNvPr id="112" name="Rectangle 111"/>
          <xdr:cNvSpPr/>
        </xdr:nvSpPr>
        <xdr:spPr>
          <a:xfrm>
            <a:off x="7856220" y="8381646"/>
            <a:ext cx="1508760" cy="365558"/>
          </a:xfrm>
          <a:prstGeom prst="rect">
            <a:avLst/>
          </a:prstGeom>
          <a:noFill/>
          <a:ln>
            <a:noFill/>
          </a:ln>
          <a:effectLst>
            <a:outerShdw sx="1000" sy="1000" rotWithShape="0">
              <a:srgbClr val="000000"/>
            </a:outerShdw>
          </a:effectLst>
        </xdr:spPr>
        <xdr:style>
          <a:lnRef idx="1">
            <a:schemeClr val="accent1"/>
          </a:lnRef>
          <a:fillRef idx="3">
            <a:schemeClr val="accent1"/>
          </a:fillRef>
          <a:effectRef idx="2">
            <a:schemeClr val="accent1"/>
          </a:effectRef>
          <a:fontRef idx="minor">
            <a:schemeClr val="lt1"/>
          </a:fontRef>
        </xdr:style>
        <xdr:txBody>
          <a:bodyPr vertOverflow="clip" horzOverflow="clip" lIns="0" tIns="0" rIns="0" bIns="0" rtlCol="0" anchor="ctr"/>
          <a:lstStyle/>
          <a:p>
            <a:pPr algn="ctr"/>
            <a:fld id="{155220B7-F87A-40F5-8C20-7B61D791C991}" type="TxLink">
              <a:rPr lang="en-US" sz="2600" b="0" i="0" cap="none" baseline="0">
                <a:solidFill>
                  <a:srgbClr val="92B7E3"/>
                </a:solidFill>
                <a:latin typeface="+mn-lt"/>
              </a:rPr>
              <a:pPr algn="ctr"/>
              <a:t>↑0.1%</a:t>
            </a:fld>
            <a:endParaRPr lang="en-US" sz="2600" b="0" i="0" cap="none" baseline="0">
              <a:solidFill>
                <a:srgbClr val="92B7E3"/>
              </a:solidFill>
              <a:latin typeface="+mn-lt"/>
            </a:endParaRPr>
          </a:p>
        </xdr:txBody>
      </xdr:sp>
      <xdr:sp macro="" textlink="Calculations!B42">
        <xdr:nvSpPr>
          <xdr:cNvPr id="113" name="TextBox 112"/>
          <xdr:cNvSpPr txBox="1"/>
        </xdr:nvSpPr>
        <xdr:spPr>
          <a:xfrm>
            <a:off x="7856220" y="8759444"/>
            <a:ext cx="1508760" cy="2743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fld id="{4195A61F-67FF-4E06-A7BD-11A3516CDFD6}" type="TxLink">
              <a:rPr lang="en-US" sz="1200" b="0" baseline="0">
                <a:solidFill>
                  <a:srgbClr val="C8C8C8"/>
                </a:solidFill>
              </a:rPr>
              <a:pPr algn="ctr"/>
              <a:t>Daily Trend</a:t>
            </a:fld>
            <a:endParaRPr lang="en-US" sz="1200" b="0" baseline="0">
              <a:solidFill>
                <a:srgbClr val="C8C8C8"/>
              </a:solidFill>
            </a:endParaRPr>
          </a:p>
        </xdr:txBody>
      </xdr:sp>
      <xdr:sp macro="" textlink="Calculations!D44">
        <xdr:nvSpPr>
          <xdr:cNvPr id="114" name="TextBox 113"/>
          <xdr:cNvSpPr txBox="1"/>
        </xdr:nvSpPr>
        <xdr:spPr>
          <a:xfrm>
            <a:off x="9058276" y="8206105"/>
            <a:ext cx="817244" cy="2834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fld id="{94E1ED48-1966-4231-B2DD-F1F101D83B08}" type="TxLink">
              <a:rPr lang="en-US" sz="1600" b="1" baseline="0">
                <a:solidFill>
                  <a:srgbClr val="92B7E3"/>
                </a:solidFill>
              </a:rPr>
              <a:pPr algn="r"/>
              <a:t>5,717</a:t>
            </a:fld>
            <a:endParaRPr lang="en-US" sz="1600" b="1" baseline="0">
              <a:solidFill>
                <a:srgbClr val="92B7E3"/>
              </a:solidFill>
            </a:endParaRPr>
          </a:p>
        </xdr:txBody>
      </xdr:sp>
      <xdr:sp macro="" textlink="">
        <xdr:nvSpPr>
          <xdr:cNvPr id="115" name="Rectangle 114"/>
          <xdr:cNvSpPr/>
        </xdr:nvSpPr>
        <xdr:spPr>
          <a:xfrm>
            <a:off x="9963152" y="8203819"/>
            <a:ext cx="1066799" cy="285750"/>
          </a:xfrm>
          <a:prstGeom prst="rect">
            <a:avLst/>
          </a:prstGeom>
          <a:noFill/>
          <a:ln>
            <a:noFill/>
          </a:ln>
          <a:effectLst>
            <a:outerShdw sx="1000" sy="1000" rotWithShape="0">
              <a:srgbClr val="000000"/>
            </a:outerShdw>
          </a:effectLst>
        </xdr:spPr>
        <xdr:style>
          <a:lnRef idx="1">
            <a:schemeClr val="accent1"/>
          </a:lnRef>
          <a:fillRef idx="3">
            <a:schemeClr val="accent1"/>
          </a:fillRef>
          <a:effectRef idx="2">
            <a:schemeClr val="accent1"/>
          </a:effectRef>
          <a:fontRef idx="minor">
            <a:schemeClr val="lt1"/>
          </a:fontRef>
        </xdr:style>
        <xdr:txBody>
          <a:bodyPr vertOverflow="clip" horzOverflow="clip" lIns="0" tIns="0" rIns="0" bIns="0" rtlCol="0" anchor="ctr"/>
          <a:lstStyle/>
          <a:p>
            <a:pPr algn="l"/>
            <a:r>
              <a:rPr lang="en-US" sz="1300" b="0" cap="none" baseline="0">
                <a:solidFill>
                  <a:srgbClr val="C8C8C8"/>
                </a:solidFill>
                <a:latin typeface="+mn-lt"/>
              </a:rPr>
              <a:t>Total Mentions</a:t>
            </a:r>
          </a:p>
        </xdr:txBody>
      </xdr:sp>
      <xdr:sp macro="" textlink="Calculations!D45">
        <xdr:nvSpPr>
          <xdr:cNvPr id="118" name="TextBox 117"/>
          <xdr:cNvSpPr txBox="1"/>
        </xdr:nvSpPr>
        <xdr:spPr>
          <a:xfrm>
            <a:off x="9061704" y="8429837"/>
            <a:ext cx="813816" cy="2834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fld id="{963BCC21-9761-4F9D-91D5-6933365FE7BC}" type="TxLink">
              <a:rPr lang="en-US" sz="1400" baseline="0">
                <a:solidFill>
                  <a:srgbClr val="668BB7"/>
                </a:solidFill>
              </a:rPr>
              <a:pPr algn="r"/>
              <a:t>5,017</a:t>
            </a:fld>
            <a:endParaRPr lang="en-US" sz="1400" baseline="0">
              <a:solidFill>
                <a:srgbClr val="668BB7"/>
              </a:solidFill>
            </a:endParaRPr>
          </a:p>
        </xdr:txBody>
      </xdr:sp>
      <xdr:sp macro="" textlink="">
        <xdr:nvSpPr>
          <xdr:cNvPr id="121" name="Rectangle 120"/>
          <xdr:cNvSpPr/>
        </xdr:nvSpPr>
        <xdr:spPr>
          <a:xfrm>
            <a:off x="9963152" y="8430726"/>
            <a:ext cx="1042416" cy="285750"/>
          </a:xfrm>
          <a:prstGeom prst="rect">
            <a:avLst/>
          </a:prstGeom>
          <a:noFill/>
          <a:ln>
            <a:noFill/>
          </a:ln>
          <a:effectLst>
            <a:outerShdw sx="1000" sy="1000" rotWithShape="0">
              <a:srgbClr val="000000"/>
            </a:outerShdw>
          </a:effectLst>
        </xdr:spPr>
        <xdr:style>
          <a:lnRef idx="1">
            <a:schemeClr val="accent1"/>
          </a:lnRef>
          <a:fillRef idx="3">
            <a:schemeClr val="accent1"/>
          </a:fillRef>
          <a:effectRef idx="2">
            <a:schemeClr val="accent1"/>
          </a:effectRef>
          <a:fontRef idx="minor">
            <a:schemeClr val="lt1"/>
          </a:fontRef>
        </xdr:style>
        <xdr:txBody>
          <a:bodyPr vertOverflow="clip" horzOverflow="clip" lIns="0" tIns="0" rIns="0" bIns="0" rtlCol="0" anchor="ctr"/>
          <a:lstStyle/>
          <a:p>
            <a:pPr algn="l"/>
            <a:r>
              <a:rPr lang="en-US" sz="1200" b="0" cap="none" baseline="0">
                <a:solidFill>
                  <a:srgbClr val="A0A0A0"/>
                </a:solidFill>
                <a:latin typeface="+mn-lt"/>
              </a:rPr>
              <a:t>Photos</a:t>
            </a:r>
          </a:p>
        </xdr:txBody>
      </xdr:sp>
      <xdr:sp macro="" textlink="Calculations!D46">
        <xdr:nvSpPr>
          <xdr:cNvPr id="122" name="TextBox 121"/>
          <xdr:cNvSpPr txBox="1"/>
        </xdr:nvSpPr>
        <xdr:spPr>
          <a:xfrm>
            <a:off x="9061704" y="8653569"/>
            <a:ext cx="813816" cy="2834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r"/>
            <a:fld id="{67D54F65-6D0A-482D-AB98-4B37EE4A3C61}" type="TxLink">
              <a:rPr lang="en-US" sz="1400" baseline="0">
                <a:solidFill>
                  <a:srgbClr val="668BB7"/>
                </a:solidFill>
              </a:rPr>
              <a:pPr algn="r"/>
              <a:t>401</a:t>
            </a:fld>
            <a:endParaRPr lang="en-US" sz="1400" baseline="0">
              <a:solidFill>
                <a:srgbClr val="668BB7"/>
              </a:solidFill>
            </a:endParaRPr>
          </a:p>
        </xdr:txBody>
      </xdr:sp>
      <xdr:sp macro="" textlink="">
        <xdr:nvSpPr>
          <xdr:cNvPr id="123" name="Rectangle 122"/>
          <xdr:cNvSpPr/>
        </xdr:nvSpPr>
        <xdr:spPr>
          <a:xfrm>
            <a:off x="9963152" y="8657633"/>
            <a:ext cx="1042416" cy="285750"/>
          </a:xfrm>
          <a:prstGeom prst="rect">
            <a:avLst/>
          </a:prstGeom>
          <a:noFill/>
          <a:ln>
            <a:noFill/>
          </a:ln>
          <a:effectLst>
            <a:outerShdw sx="1000" sy="1000" rotWithShape="0">
              <a:srgbClr val="000000"/>
            </a:outerShdw>
          </a:effectLst>
        </xdr:spPr>
        <xdr:style>
          <a:lnRef idx="1">
            <a:schemeClr val="accent1"/>
          </a:lnRef>
          <a:fillRef idx="3">
            <a:schemeClr val="accent1"/>
          </a:fillRef>
          <a:effectRef idx="2">
            <a:schemeClr val="accent1"/>
          </a:effectRef>
          <a:fontRef idx="minor">
            <a:schemeClr val="lt1"/>
          </a:fontRef>
        </xdr:style>
        <xdr:txBody>
          <a:bodyPr vertOverflow="clip" horzOverflow="clip" lIns="0" tIns="0" rIns="0" bIns="0" rtlCol="0" anchor="ctr"/>
          <a:lstStyle/>
          <a:p>
            <a:pPr algn="l"/>
            <a:r>
              <a:rPr lang="en-US" sz="1200" b="0" cap="none" baseline="0">
                <a:solidFill>
                  <a:srgbClr val="A0A0A0"/>
                </a:solidFill>
                <a:latin typeface="+mn-lt"/>
              </a:rPr>
              <a:t>Videos</a:t>
            </a:r>
          </a:p>
        </xdr:txBody>
      </xdr:sp>
      <xdr:grpSp>
        <xdr:nvGrpSpPr>
          <xdr:cNvPr id="15" name="Group 14"/>
          <xdr:cNvGrpSpPr/>
        </xdr:nvGrpSpPr>
        <xdr:grpSpPr>
          <a:xfrm>
            <a:off x="7939279" y="9245219"/>
            <a:ext cx="3017520" cy="1164431"/>
            <a:chOff x="7863078" y="8820150"/>
            <a:chExt cx="3017520" cy="1164431"/>
          </a:xfrm>
        </xdr:grpSpPr>
        <xdr:sp macro="" textlink="Calculations!B60">
          <xdr:nvSpPr>
            <xdr:cNvPr id="184" name="Rectangle 183"/>
            <xdr:cNvSpPr/>
          </xdr:nvSpPr>
          <xdr:spPr>
            <a:xfrm>
              <a:off x="7863078" y="9303543"/>
              <a:ext cx="3017520" cy="681038"/>
            </a:xfrm>
            <a:prstGeom prst="rect">
              <a:avLst/>
            </a:prstGeom>
            <a:noFill/>
            <a:ln>
              <a:noFill/>
            </a:ln>
            <a:effectLst>
              <a:outerShdw sx="1000" sy="1000" rotWithShape="0">
                <a:srgbClr val="000000"/>
              </a:outerShdw>
            </a:effectLst>
          </xdr:spPr>
          <xdr:style>
            <a:lnRef idx="1">
              <a:schemeClr val="accent1"/>
            </a:lnRef>
            <a:fillRef idx="3">
              <a:schemeClr val="accent1"/>
            </a:fillRef>
            <a:effectRef idx="2">
              <a:schemeClr val="accent1"/>
            </a:effectRef>
            <a:fontRef idx="minor">
              <a:schemeClr val="lt1"/>
            </a:fontRef>
          </xdr:style>
          <xdr:txBody>
            <a:bodyPr vertOverflow="clip" horzOverflow="clip" lIns="0" tIns="0" rIns="0" bIns="0" rtlCol="0" anchor="ctr"/>
            <a:lstStyle/>
            <a:p>
              <a:pPr algn="ctr"/>
              <a:fld id="{CE796DE7-0661-488F-8208-9F3C36C6CC2C}" type="TxLink">
                <a:rPr lang="en-US" sz="1100" b="0" i="0" cap="none" baseline="0">
                  <a:solidFill>
                    <a:srgbClr val="668BB7"/>
                  </a:solidFill>
                  <a:latin typeface="+mn-lt"/>
                </a:rPr>
                <a:pPr algn="ctr"/>
                <a:t>233 Hashtag Mentions (22% higher volume than the average day from this report period)</a:t>
              </a:fld>
              <a:endParaRPr lang="en-US" sz="1100" b="0" i="0" cap="none" baseline="0">
                <a:solidFill>
                  <a:srgbClr val="668BB7"/>
                </a:solidFill>
                <a:latin typeface="+mn-lt"/>
              </a:endParaRPr>
            </a:p>
          </xdr:txBody>
        </xdr:sp>
        <xdr:sp macro="" textlink="Calculations!B58">
          <xdr:nvSpPr>
            <xdr:cNvPr id="124" name="TextBox 123"/>
            <xdr:cNvSpPr txBox="1"/>
          </xdr:nvSpPr>
          <xdr:spPr>
            <a:xfrm>
              <a:off x="8438388" y="9111029"/>
              <a:ext cx="1866900" cy="293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marL="0" indent="0" algn="ctr"/>
              <a:fld id="{942C7B99-1E4D-4E09-A163-356159014CB0}" type="TxLink">
                <a:rPr lang="en-US" sz="1200" b="0" baseline="0">
                  <a:solidFill>
                    <a:srgbClr val="C8C8C8"/>
                  </a:solidFill>
                  <a:latin typeface="+mn-lt"/>
                  <a:ea typeface="+mn-ea"/>
                  <a:cs typeface="+mn-cs"/>
                </a:rPr>
                <a:pPr marL="0" indent="0" algn="ctr"/>
                <a:t>MENTIONS PEAK DAY</a:t>
              </a:fld>
              <a:endParaRPr lang="en-US" sz="1200" b="0" baseline="0">
                <a:solidFill>
                  <a:srgbClr val="C8C8C8"/>
                </a:solidFill>
                <a:latin typeface="+mn-lt"/>
                <a:ea typeface="+mn-ea"/>
                <a:cs typeface="+mn-cs"/>
              </a:endParaRPr>
            </a:p>
          </xdr:txBody>
        </xdr:sp>
        <xdr:sp macro="" textlink="Calculations!B59">
          <xdr:nvSpPr>
            <xdr:cNvPr id="125" name="TextBox 124"/>
            <xdr:cNvSpPr txBox="1"/>
          </xdr:nvSpPr>
          <xdr:spPr>
            <a:xfrm>
              <a:off x="8294228" y="8820150"/>
              <a:ext cx="2155220" cy="3200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marL="0" indent="0" algn="ctr"/>
              <a:fld id="{B6D990DB-514D-4890-A423-73449E49B22C}" type="TxLink">
                <a:rPr lang="en-US" sz="1800" b="0" i="0" baseline="0">
                  <a:solidFill>
                    <a:srgbClr val="92B7E3"/>
                  </a:solidFill>
                  <a:latin typeface="+mn-lt"/>
                  <a:ea typeface="+mn-ea"/>
                  <a:cs typeface="+mn-cs"/>
                </a:rPr>
                <a:pPr marL="0" indent="0" algn="ctr"/>
                <a:t>8/14/17</a:t>
              </a:fld>
              <a:endParaRPr lang="en-US" sz="1800" b="0" i="0" baseline="0">
                <a:solidFill>
                  <a:srgbClr val="92B7E3"/>
                </a:solidFill>
                <a:latin typeface="+mn-lt"/>
                <a:ea typeface="+mn-ea"/>
                <a:cs typeface="+mn-cs"/>
              </a:endParaRPr>
            </a:p>
          </xdr:txBody>
        </xdr:sp>
        <xdr:sp macro="" textlink="">
          <xdr:nvSpPr>
            <xdr:cNvPr id="126" name="Oval 125"/>
            <xdr:cNvSpPr/>
          </xdr:nvSpPr>
          <xdr:spPr>
            <a:xfrm>
              <a:off x="8220075" y="8896350"/>
              <a:ext cx="182880" cy="181550"/>
            </a:xfrm>
            <a:prstGeom prst="ellipse">
              <a:avLst/>
            </a:prstGeom>
            <a:noFill/>
            <a:ln w="19050">
              <a:solidFill>
                <a:srgbClr val="FDF56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sp macro="" textlink="Calculations!D47">
        <xdr:nvSpPr>
          <xdr:cNvPr id="789" name="TextBox 788"/>
          <xdr:cNvSpPr txBox="1"/>
        </xdr:nvSpPr>
        <xdr:spPr>
          <a:xfrm>
            <a:off x="9058275" y="8877300"/>
            <a:ext cx="813816" cy="2834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marL="0" indent="0" algn="r"/>
            <a:fld id="{8706BB72-6604-491A-9D59-2425F63AD79C}" type="TxLink">
              <a:rPr lang="en-US" sz="1400" baseline="0">
                <a:solidFill>
                  <a:srgbClr val="668BB7"/>
                </a:solidFill>
                <a:latin typeface="+mn-lt"/>
                <a:ea typeface="+mn-ea"/>
                <a:cs typeface="+mn-cs"/>
              </a:rPr>
              <a:pPr marL="0" indent="0" algn="r"/>
              <a:t>299</a:t>
            </a:fld>
            <a:endParaRPr lang="en-US" sz="1400" baseline="0">
              <a:solidFill>
                <a:srgbClr val="668BB7"/>
              </a:solidFill>
              <a:latin typeface="+mn-lt"/>
              <a:ea typeface="+mn-ea"/>
              <a:cs typeface="+mn-cs"/>
            </a:endParaRPr>
          </a:p>
        </xdr:txBody>
      </xdr:sp>
      <xdr:sp macro="" textlink="">
        <xdr:nvSpPr>
          <xdr:cNvPr id="790" name="Rectangle 789"/>
          <xdr:cNvSpPr/>
        </xdr:nvSpPr>
        <xdr:spPr>
          <a:xfrm>
            <a:off x="9959723" y="8884539"/>
            <a:ext cx="1042416" cy="285750"/>
          </a:xfrm>
          <a:prstGeom prst="rect">
            <a:avLst/>
          </a:prstGeom>
          <a:noFill/>
          <a:ln>
            <a:noFill/>
          </a:ln>
          <a:effectLst>
            <a:outerShdw sx="1000" sy="1000" rotWithShape="0">
              <a:srgbClr val="000000"/>
            </a:outerShdw>
          </a:effectLst>
        </xdr:spPr>
        <xdr:style>
          <a:lnRef idx="1">
            <a:schemeClr val="accent1"/>
          </a:lnRef>
          <a:fillRef idx="3">
            <a:schemeClr val="accent1"/>
          </a:fillRef>
          <a:effectRef idx="2">
            <a:schemeClr val="accent1"/>
          </a:effectRef>
          <a:fontRef idx="minor">
            <a:schemeClr val="lt1"/>
          </a:fontRef>
        </xdr:style>
        <xdr:txBody>
          <a:bodyPr vertOverflow="clip" horzOverflow="clip" lIns="0" tIns="0" rIns="0" bIns="0" rtlCol="0" anchor="ctr"/>
          <a:lstStyle/>
          <a:p>
            <a:pPr algn="l"/>
            <a:r>
              <a:rPr lang="en-US" sz="1200" b="0" cap="none" baseline="0">
                <a:solidFill>
                  <a:srgbClr val="A0A0A0"/>
                </a:solidFill>
                <a:latin typeface="+mn-lt"/>
              </a:rPr>
              <a:t>Carousels</a:t>
            </a:r>
          </a:p>
        </xdr:txBody>
      </xdr:sp>
    </xdr:grpSp>
    <xdr:clientData/>
  </xdr:twoCellAnchor>
  <xdr:twoCellAnchor>
    <xdr:from>
      <xdr:col>1</xdr:col>
      <xdr:colOff>0</xdr:colOff>
      <xdr:row>62</xdr:row>
      <xdr:rowOff>19049</xdr:rowOff>
    </xdr:from>
    <xdr:to>
      <xdr:col>24</xdr:col>
      <xdr:colOff>1143</xdr:colOff>
      <xdr:row>90</xdr:row>
      <xdr:rowOff>66674</xdr:rowOff>
    </xdr:to>
    <xdr:grpSp>
      <xdr:nvGrpSpPr>
        <xdr:cNvPr id="33" name="Group 32"/>
        <xdr:cNvGrpSpPr/>
      </xdr:nvGrpSpPr>
      <xdr:grpSpPr>
        <a:xfrm>
          <a:off x="247650" y="11182349"/>
          <a:ext cx="11173968" cy="5381625"/>
          <a:chOff x="247650" y="11182349"/>
          <a:chExt cx="11173968" cy="5381625"/>
        </a:xfrm>
      </xdr:grpSpPr>
      <xdr:sp macro="" textlink="">
        <xdr:nvSpPr>
          <xdr:cNvPr id="74" name="Rectangle 73"/>
          <xdr:cNvSpPr/>
        </xdr:nvSpPr>
        <xdr:spPr>
          <a:xfrm>
            <a:off x="247650" y="11182349"/>
            <a:ext cx="11173968" cy="5381625"/>
          </a:xfrm>
          <a:prstGeom prst="rect">
            <a:avLst/>
          </a:prstGeom>
          <a:solidFill>
            <a:srgbClr val="262626"/>
          </a:solidFill>
          <a:ln w="19050">
            <a:solidFill>
              <a:srgbClr val="151515"/>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US" sz="1100">
              <a:solidFill>
                <a:schemeClr val="lt1"/>
              </a:solidFill>
              <a:latin typeface="+mn-lt"/>
              <a:ea typeface="+mn-ea"/>
              <a:cs typeface="+mn-cs"/>
            </a:endParaRPr>
          </a:p>
        </xdr:txBody>
      </xdr:sp>
      <xdr:graphicFrame macro="">
        <xdr:nvGraphicFramePr>
          <xdr:cNvPr id="128" name="Chart 127"/>
          <xdr:cNvGraphicFramePr>
            <a:graphicFrameLocks/>
          </xdr:cNvGraphicFramePr>
        </xdr:nvGraphicFramePr>
        <xdr:xfrm>
          <a:off x="247650" y="11182350"/>
          <a:ext cx="7416800" cy="3657600"/>
        </xdr:xfrm>
        <a:graphic>
          <a:graphicData uri="http://schemas.openxmlformats.org/drawingml/2006/chart">
            <c:chart xmlns:c="http://schemas.openxmlformats.org/drawingml/2006/chart" xmlns:r="http://schemas.openxmlformats.org/officeDocument/2006/relationships" r:id="rId60"/>
          </a:graphicData>
        </a:graphic>
      </xdr:graphicFrame>
      <xdr:sp macro="" textlink="">
        <xdr:nvSpPr>
          <xdr:cNvPr id="608" name="Rounded Rectangle 607"/>
          <xdr:cNvSpPr/>
        </xdr:nvSpPr>
        <xdr:spPr>
          <a:xfrm>
            <a:off x="1672937" y="15087599"/>
            <a:ext cx="5074227" cy="1238252"/>
          </a:xfrm>
          <a:prstGeom prst="roundRect">
            <a:avLst>
              <a:gd name="adj" fmla="val 0"/>
            </a:avLst>
          </a:prstGeom>
          <a:solidFill>
            <a:srgbClr val="3E3E3E"/>
          </a:solidFill>
          <a:ln>
            <a:noFill/>
          </a:ln>
          <a:effectLst/>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en-US" sz="1100"/>
          </a:p>
        </xdr:txBody>
      </xdr:sp>
      <xdr:sp macro="" textlink="">
        <xdr:nvSpPr>
          <xdr:cNvPr id="609" name="Rounded Rectangle 608"/>
          <xdr:cNvSpPr/>
        </xdr:nvSpPr>
        <xdr:spPr>
          <a:xfrm>
            <a:off x="1672937" y="15087599"/>
            <a:ext cx="5074227" cy="1362076"/>
          </a:xfrm>
          <a:prstGeom prst="roundRect">
            <a:avLst>
              <a:gd name="adj" fmla="val 0"/>
            </a:avLst>
          </a:prstGeom>
          <a:solidFill>
            <a:srgbClr val="151515"/>
          </a:solidFill>
          <a:ln w="12700">
            <a:solidFill>
              <a:srgbClr val="0F0F0F"/>
            </a:solidFill>
          </a:ln>
          <a:effectLst/>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marL="0" indent="0" algn="l"/>
            <a:endParaRPr lang="en-US" sz="1100">
              <a:solidFill>
                <a:schemeClr val="lt1"/>
              </a:solidFill>
              <a:latin typeface="+mn-lt"/>
              <a:ea typeface="+mn-ea"/>
              <a:cs typeface="+mn-cs"/>
            </a:endParaRPr>
          </a:p>
        </xdr:txBody>
      </xdr:sp>
      <xdr:sp macro="" textlink="">
        <xdr:nvSpPr>
          <xdr:cNvPr id="611" name="TextBox 610"/>
          <xdr:cNvSpPr txBox="1"/>
        </xdr:nvSpPr>
        <xdr:spPr>
          <a:xfrm>
            <a:off x="1672937" y="14811375"/>
            <a:ext cx="5074227" cy="274320"/>
          </a:xfrm>
          <a:prstGeom prst="rect">
            <a:avLst/>
          </a:prstGeom>
          <a:gradFill flip="none" rotWithShape="1">
            <a:gsLst>
              <a:gs pos="0">
                <a:srgbClr val="32323C"/>
              </a:gs>
              <a:gs pos="100000">
                <a:srgbClr val="41414B"/>
              </a:gs>
            </a:gsLst>
            <a:lin ang="16200000" scaled="0"/>
            <a:tileRect/>
          </a:gradFill>
          <a:ln w="12700" cmpd="sng">
            <a:gradFill>
              <a:gsLst>
                <a:gs pos="0">
                  <a:srgbClr val="4B4B5E"/>
                </a:gs>
                <a:gs pos="100000">
                  <a:srgbClr val="373741"/>
                </a:gs>
              </a:gsLst>
              <a:lin ang="5400000" scaled="0"/>
            </a:gradFill>
          </a:ln>
          <a:effectLst/>
          <a:extLst/>
        </xdr:spPr>
        <xdr:style>
          <a:lnRef idx="0">
            <a:scrgbClr r="0" g="0" b="0"/>
          </a:lnRef>
          <a:fillRef idx="0">
            <a:scrgbClr r="0" g="0" b="0"/>
          </a:fillRef>
          <a:effectRef idx="0">
            <a:scrgbClr r="0" g="0" b="0"/>
          </a:effectRef>
          <a:fontRef idx="minor">
            <a:schemeClr val="dk1"/>
          </a:fontRef>
        </xdr:style>
        <xdr:txBody>
          <a:bodyPr vertOverflow="clip" horzOverflow="clip" vert="horz" lIns="274320" tIns="0" rIns="0" bIns="0" rtlCol="0" anchor="ctr"/>
          <a:lstStyle/>
          <a:p>
            <a:pPr algn="l"/>
            <a:r>
              <a:rPr lang="en-US" sz="1200" b="1" baseline="0">
                <a:solidFill>
                  <a:srgbClr val="151515"/>
                </a:solidFill>
                <a:latin typeface="Calibri"/>
              </a:rPr>
              <a:t>ENGAGEMENT DETAILS</a:t>
            </a:r>
            <a:endParaRPr lang="en-US" sz="1200" b="1">
              <a:solidFill>
                <a:srgbClr val="151515"/>
              </a:solidFill>
              <a:latin typeface="Calibri"/>
            </a:endParaRPr>
          </a:p>
        </xdr:txBody>
      </xdr:sp>
      <xdr:sp macro="" textlink="">
        <xdr:nvSpPr>
          <xdr:cNvPr id="612" name="TextBox 611"/>
          <xdr:cNvSpPr txBox="1"/>
        </xdr:nvSpPr>
        <xdr:spPr>
          <a:xfrm>
            <a:off x="1672937" y="14820900"/>
            <a:ext cx="3642215" cy="274320"/>
          </a:xfrm>
          <a:prstGeom prst="rect">
            <a:avLst/>
          </a:prstGeom>
          <a:noFill/>
          <a:ln w="9525" cmpd="sng">
            <a:noFill/>
          </a:ln>
          <a:effectLst/>
          <a:extLst/>
        </xdr:spPr>
        <xdr:style>
          <a:lnRef idx="0">
            <a:scrgbClr r="0" g="0" b="0"/>
          </a:lnRef>
          <a:fillRef idx="0">
            <a:scrgbClr r="0" g="0" b="0"/>
          </a:fillRef>
          <a:effectRef idx="0">
            <a:scrgbClr r="0" g="0" b="0"/>
          </a:effectRef>
          <a:fontRef idx="minor">
            <a:schemeClr val="dk1"/>
          </a:fontRef>
        </xdr:style>
        <xdr:txBody>
          <a:bodyPr vertOverflow="clip" horzOverflow="clip" vert="horz" lIns="274320" tIns="0" rIns="0" bIns="0" rtlCol="0" anchor="ctr"/>
          <a:lstStyle/>
          <a:p>
            <a:pPr algn="l"/>
            <a:r>
              <a:rPr lang="en-US" sz="1200" b="1">
                <a:solidFill>
                  <a:srgbClr val="D2D2D2"/>
                </a:solidFill>
                <a:latin typeface="Calibri"/>
              </a:rPr>
              <a:t>ENGAGEMENT DETAILS</a:t>
            </a:r>
          </a:p>
        </xdr:txBody>
      </xdr:sp>
      <xdr:sp macro="" textlink="">
        <xdr:nvSpPr>
          <xdr:cNvPr id="196" name="Rectangle 195"/>
          <xdr:cNvSpPr/>
        </xdr:nvSpPr>
        <xdr:spPr>
          <a:xfrm>
            <a:off x="3783995" y="15083273"/>
            <a:ext cx="1097280" cy="274320"/>
          </a:xfrm>
          <a:prstGeom prst="rect">
            <a:avLst/>
          </a:prstGeom>
          <a:noFill/>
          <a:ln>
            <a:noFill/>
          </a:ln>
          <a:effectLst>
            <a:outerShdw sx="1000" sy="1000" rotWithShape="0">
              <a:srgbClr val="000000"/>
            </a:outerShdw>
          </a:effectLst>
        </xdr:spPr>
        <xdr:style>
          <a:lnRef idx="1">
            <a:schemeClr val="accent1"/>
          </a:lnRef>
          <a:fillRef idx="3">
            <a:schemeClr val="accent1"/>
          </a:fillRef>
          <a:effectRef idx="2">
            <a:schemeClr val="accent1"/>
          </a:effectRef>
          <a:fontRef idx="minor">
            <a:schemeClr val="lt1"/>
          </a:fontRef>
        </xdr:style>
        <xdr:txBody>
          <a:bodyPr vertOverflow="clip" horzOverflow="clip" lIns="0" tIns="0" rIns="0" bIns="0" rtlCol="0" anchor="ctr"/>
          <a:lstStyle/>
          <a:p>
            <a:pPr algn="r"/>
            <a:r>
              <a:rPr lang="en-US" sz="1300" b="1" cap="none" baseline="0">
                <a:solidFill>
                  <a:srgbClr val="BEBEBE"/>
                </a:solidFill>
                <a:latin typeface="+mn-lt"/>
              </a:rPr>
              <a:t>Comments</a:t>
            </a:r>
          </a:p>
        </xdr:txBody>
      </xdr:sp>
      <xdr:sp macro="" textlink="Calculations!D72">
        <xdr:nvSpPr>
          <xdr:cNvPr id="198" name="Rectangle 197"/>
          <xdr:cNvSpPr/>
        </xdr:nvSpPr>
        <xdr:spPr>
          <a:xfrm>
            <a:off x="3783995" y="15350645"/>
            <a:ext cx="1097280" cy="274320"/>
          </a:xfrm>
          <a:prstGeom prst="rect">
            <a:avLst/>
          </a:prstGeom>
          <a:noFill/>
          <a:ln>
            <a:noFill/>
          </a:ln>
          <a:effectLst>
            <a:outerShdw sx="1000" sy="1000" rotWithShape="0">
              <a:srgbClr val="000000"/>
            </a:outerShdw>
          </a:effectLst>
        </xdr:spPr>
        <xdr:style>
          <a:lnRef idx="1">
            <a:schemeClr val="accent1"/>
          </a:lnRef>
          <a:fillRef idx="3">
            <a:schemeClr val="accent1"/>
          </a:fillRef>
          <a:effectRef idx="2">
            <a:schemeClr val="accent1"/>
          </a:effectRef>
          <a:fontRef idx="minor">
            <a:schemeClr val="lt1"/>
          </a:fontRef>
        </xdr:style>
        <xdr:txBody>
          <a:bodyPr vertOverflow="clip" horzOverflow="clip" lIns="0" tIns="0" rIns="0" bIns="0" rtlCol="0" anchor="ctr"/>
          <a:lstStyle/>
          <a:p>
            <a:pPr algn="r"/>
            <a:fld id="{931CCCAF-C8A1-4639-820E-5FCEFF88D252}" type="TxLink">
              <a:rPr lang="en-US" sz="1400" b="0" i="0" cap="none" baseline="0">
                <a:solidFill>
                  <a:srgbClr val="668BB7"/>
                </a:solidFill>
                <a:latin typeface="+mn-lt"/>
              </a:rPr>
              <a:pPr algn="r"/>
              <a:t>16k</a:t>
            </a:fld>
            <a:endParaRPr lang="en-US" sz="1400" b="0" i="0" cap="none" baseline="0">
              <a:solidFill>
                <a:srgbClr val="668BB7"/>
              </a:solidFill>
              <a:latin typeface="+mn-lt"/>
            </a:endParaRPr>
          </a:p>
        </xdr:txBody>
      </xdr:sp>
      <xdr:sp macro="" textlink="Calculations!D73">
        <xdr:nvSpPr>
          <xdr:cNvPr id="199" name="Rectangle 198"/>
          <xdr:cNvSpPr/>
        </xdr:nvSpPr>
        <xdr:spPr>
          <a:xfrm>
            <a:off x="3783995" y="15618017"/>
            <a:ext cx="1097280" cy="274320"/>
          </a:xfrm>
          <a:prstGeom prst="rect">
            <a:avLst/>
          </a:prstGeom>
          <a:noFill/>
          <a:ln>
            <a:noFill/>
          </a:ln>
          <a:effectLst>
            <a:outerShdw sx="1000" sy="1000" rotWithShape="0">
              <a:srgbClr val="000000"/>
            </a:outerShdw>
          </a:effectLst>
        </xdr:spPr>
        <xdr:style>
          <a:lnRef idx="1">
            <a:schemeClr val="accent1"/>
          </a:lnRef>
          <a:fillRef idx="3">
            <a:schemeClr val="accent1"/>
          </a:fillRef>
          <a:effectRef idx="2">
            <a:schemeClr val="accent1"/>
          </a:effectRef>
          <a:fontRef idx="minor">
            <a:schemeClr val="lt1"/>
          </a:fontRef>
        </xdr:style>
        <xdr:txBody>
          <a:bodyPr vertOverflow="clip" horzOverflow="clip" lIns="0" tIns="0" rIns="0" bIns="0" rtlCol="0" anchor="ctr"/>
          <a:lstStyle/>
          <a:p>
            <a:pPr algn="r"/>
            <a:fld id="{CDF902AC-9530-4BBB-BCC9-EE93DADAFCA0}" type="TxLink">
              <a:rPr lang="en-US" sz="1400" b="0" i="0" cap="none" baseline="0">
                <a:solidFill>
                  <a:srgbClr val="668BB7"/>
                </a:solidFill>
                <a:latin typeface="+mn-lt"/>
              </a:rPr>
              <a:pPr algn="r"/>
              <a:t>994</a:t>
            </a:fld>
            <a:endParaRPr lang="en-US" sz="1400" b="0" i="0" cap="none" baseline="0">
              <a:solidFill>
                <a:srgbClr val="668BB7"/>
              </a:solidFill>
              <a:latin typeface="+mn-lt"/>
            </a:endParaRPr>
          </a:p>
        </xdr:txBody>
      </xdr:sp>
      <xdr:sp macro="" textlink="Calculations!D75">
        <xdr:nvSpPr>
          <xdr:cNvPr id="204" name="Rectangle 203"/>
          <xdr:cNvSpPr/>
        </xdr:nvSpPr>
        <xdr:spPr>
          <a:xfrm>
            <a:off x="3783995" y="16152763"/>
            <a:ext cx="1097280" cy="274320"/>
          </a:xfrm>
          <a:prstGeom prst="rect">
            <a:avLst/>
          </a:prstGeom>
          <a:noFill/>
          <a:ln>
            <a:noFill/>
          </a:ln>
          <a:effectLst>
            <a:outerShdw sx="1000" sy="1000" rotWithShape="0">
              <a:srgbClr val="000000"/>
            </a:outerShdw>
          </a:effectLst>
        </xdr:spPr>
        <xdr:style>
          <a:lnRef idx="1">
            <a:schemeClr val="accent1"/>
          </a:lnRef>
          <a:fillRef idx="3">
            <a:schemeClr val="accent1"/>
          </a:fillRef>
          <a:effectRef idx="2">
            <a:schemeClr val="accent1"/>
          </a:effectRef>
          <a:fontRef idx="minor">
            <a:schemeClr val="lt1"/>
          </a:fontRef>
        </xdr:style>
        <xdr:txBody>
          <a:bodyPr vertOverflow="clip" horzOverflow="clip" lIns="0" tIns="0" rIns="0" bIns="0" rtlCol="0" anchor="ctr"/>
          <a:lstStyle/>
          <a:p>
            <a:pPr algn="r"/>
            <a:fld id="{FC240513-7FD2-41BB-8E77-251DEF21554A}" type="TxLink">
              <a:rPr lang="en-US" sz="1600" b="1" i="0" cap="none" baseline="0">
                <a:solidFill>
                  <a:srgbClr val="92B7E3"/>
                </a:solidFill>
                <a:latin typeface="+mn-lt"/>
              </a:rPr>
              <a:pPr algn="r"/>
              <a:t>18k</a:t>
            </a:fld>
            <a:endParaRPr lang="en-US" sz="1600" b="1" i="0" cap="none" baseline="0">
              <a:solidFill>
                <a:srgbClr val="92B7E3"/>
              </a:solidFill>
              <a:latin typeface="+mn-lt"/>
            </a:endParaRPr>
          </a:p>
        </xdr:txBody>
      </xdr:sp>
      <xdr:sp macro="" textlink="">
        <xdr:nvSpPr>
          <xdr:cNvPr id="633" name="Rectangle 632"/>
          <xdr:cNvSpPr/>
        </xdr:nvSpPr>
        <xdr:spPr>
          <a:xfrm>
            <a:off x="5049744" y="15083273"/>
            <a:ext cx="1316736" cy="274320"/>
          </a:xfrm>
          <a:prstGeom prst="rect">
            <a:avLst/>
          </a:prstGeom>
          <a:noFill/>
          <a:ln>
            <a:noFill/>
          </a:ln>
          <a:effectLst>
            <a:outerShdw sx="1000" sy="1000" rotWithShape="0">
              <a:srgbClr val="000000"/>
            </a:outerShdw>
          </a:effectLst>
        </xdr:spPr>
        <xdr:style>
          <a:lnRef idx="1">
            <a:schemeClr val="accent1"/>
          </a:lnRef>
          <a:fillRef idx="3">
            <a:schemeClr val="accent1"/>
          </a:fillRef>
          <a:effectRef idx="2">
            <a:schemeClr val="accent1"/>
          </a:effectRef>
          <a:fontRef idx="minor">
            <a:schemeClr val="lt1"/>
          </a:fontRef>
        </xdr:style>
        <xdr:txBody>
          <a:bodyPr vertOverflow="clip" horzOverflow="clip" lIns="0" tIns="0" rIns="0" bIns="0" rtlCol="0" anchor="ctr"/>
          <a:lstStyle/>
          <a:p>
            <a:pPr algn="ctr"/>
            <a:r>
              <a:rPr lang="en-US" sz="1300" b="1" cap="none" baseline="0">
                <a:solidFill>
                  <a:srgbClr val="BEBEBE"/>
                </a:solidFill>
                <a:latin typeface="+mn-lt"/>
              </a:rPr>
              <a:t>Total Engagement</a:t>
            </a:r>
          </a:p>
        </xdr:txBody>
      </xdr:sp>
      <xdr:sp macro="" textlink="Calculations!E72">
        <xdr:nvSpPr>
          <xdr:cNvPr id="634" name="Rectangle 633"/>
          <xdr:cNvSpPr/>
        </xdr:nvSpPr>
        <xdr:spPr>
          <a:xfrm>
            <a:off x="5049744" y="15350645"/>
            <a:ext cx="1316736" cy="274320"/>
          </a:xfrm>
          <a:prstGeom prst="rect">
            <a:avLst/>
          </a:prstGeom>
          <a:noFill/>
          <a:ln>
            <a:noFill/>
          </a:ln>
          <a:effectLst>
            <a:outerShdw sx="1000" sy="1000" rotWithShape="0">
              <a:srgbClr val="000000"/>
            </a:outerShdw>
          </a:effectLst>
        </xdr:spPr>
        <xdr:style>
          <a:lnRef idx="1">
            <a:schemeClr val="accent1"/>
          </a:lnRef>
          <a:fillRef idx="3">
            <a:schemeClr val="accent1"/>
          </a:fillRef>
          <a:effectRef idx="2">
            <a:schemeClr val="accent1"/>
          </a:effectRef>
          <a:fontRef idx="minor">
            <a:schemeClr val="lt1"/>
          </a:fontRef>
        </xdr:style>
        <xdr:txBody>
          <a:bodyPr vertOverflow="clip" horzOverflow="clip" lIns="0" tIns="0" rIns="0" bIns="0" rtlCol="0" anchor="ctr"/>
          <a:lstStyle/>
          <a:p>
            <a:pPr algn="ctr"/>
            <a:fld id="{A5659F01-C8B7-4560-BD33-942BA2031439}" type="TxLink">
              <a:rPr lang="en-US" sz="1400" b="0" i="0" cap="none" baseline="0">
                <a:solidFill>
                  <a:srgbClr val="668BB7"/>
                </a:solidFill>
                <a:latin typeface="+mn-lt"/>
              </a:rPr>
              <a:pPr algn="ctr"/>
              <a:t>619k</a:t>
            </a:fld>
            <a:endParaRPr lang="en-US" sz="1400" b="0" i="0" cap="none" baseline="0">
              <a:solidFill>
                <a:srgbClr val="668BB7"/>
              </a:solidFill>
              <a:latin typeface="+mn-lt"/>
            </a:endParaRPr>
          </a:p>
        </xdr:txBody>
      </xdr:sp>
      <xdr:sp macro="" textlink="Calculations!E73">
        <xdr:nvSpPr>
          <xdr:cNvPr id="635" name="Rectangle 634"/>
          <xdr:cNvSpPr/>
        </xdr:nvSpPr>
        <xdr:spPr>
          <a:xfrm>
            <a:off x="5049744" y="15618017"/>
            <a:ext cx="1316736" cy="274320"/>
          </a:xfrm>
          <a:prstGeom prst="rect">
            <a:avLst/>
          </a:prstGeom>
          <a:noFill/>
          <a:ln>
            <a:noFill/>
          </a:ln>
          <a:effectLst>
            <a:outerShdw sx="1000" sy="1000" rotWithShape="0">
              <a:srgbClr val="000000"/>
            </a:outerShdw>
          </a:effectLst>
        </xdr:spPr>
        <xdr:style>
          <a:lnRef idx="1">
            <a:schemeClr val="accent1"/>
          </a:lnRef>
          <a:fillRef idx="3">
            <a:schemeClr val="accent1"/>
          </a:fillRef>
          <a:effectRef idx="2">
            <a:schemeClr val="accent1"/>
          </a:effectRef>
          <a:fontRef idx="minor">
            <a:schemeClr val="lt1"/>
          </a:fontRef>
        </xdr:style>
        <xdr:txBody>
          <a:bodyPr vertOverflow="clip" horzOverflow="clip" lIns="0" tIns="0" rIns="0" bIns="0" rtlCol="0" anchor="ctr"/>
          <a:lstStyle/>
          <a:p>
            <a:pPr algn="ctr"/>
            <a:fld id="{B7487924-4F8A-40F0-9FD7-59AF4410F8E7}" type="TxLink">
              <a:rPr lang="en-US" sz="1400" b="0" i="0" cap="none" baseline="0">
                <a:solidFill>
                  <a:srgbClr val="668BB7"/>
                </a:solidFill>
                <a:latin typeface="+mn-lt"/>
              </a:rPr>
              <a:pPr algn="ctr"/>
              <a:t>22k</a:t>
            </a:fld>
            <a:endParaRPr lang="en-US" sz="1400" b="0" i="0" cap="none" baseline="0">
              <a:solidFill>
                <a:srgbClr val="668BB7"/>
              </a:solidFill>
              <a:latin typeface="+mn-lt"/>
            </a:endParaRPr>
          </a:p>
        </xdr:txBody>
      </xdr:sp>
      <xdr:sp macro="" textlink="Calculations!E75">
        <xdr:nvSpPr>
          <xdr:cNvPr id="636" name="Rectangle 635"/>
          <xdr:cNvSpPr/>
        </xdr:nvSpPr>
        <xdr:spPr>
          <a:xfrm>
            <a:off x="5049744" y="16152763"/>
            <a:ext cx="1316736" cy="274320"/>
          </a:xfrm>
          <a:prstGeom prst="rect">
            <a:avLst/>
          </a:prstGeom>
          <a:noFill/>
          <a:ln>
            <a:noFill/>
          </a:ln>
          <a:effectLst>
            <a:outerShdw sx="1000" sy="1000" rotWithShape="0">
              <a:srgbClr val="000000"/>
            </a:outerShdw>
          </a:effectLst>
        </xdr:spPr>
        <xdr:style>
          <a:lnRef idx="1">
            <a:schemeClr val="accent1"/>
          </a:lnRef>
          <a:fillRef idx="3">
            <a:schemeClr val="accent1"/>
          </a:fillRef>
          <a:effectRef idx="2">
            <a:schemeClr val="accent1"/>
          </a:effectRef>
          <a:fontRef idx="minor">
            <a:schemeClr val="lt1"/>
          </a:fontRef>
        </xdr:style>
        <xdr:txBody>
          <a:bodyPr vertOverflow="clip" horzOverflow="clip" lIns="0" tIns="0" rIns="0" bIns="0" rtlCol="0" anchor="ctr"/>
          <a:lstStyle/>
          <a:p>
            <a:pPr algn="ctr"/>
            <a:fld id="{4585D0FE-E18F-424F-8141-1B74F8B74363}" type="TxLink">
              <a:rPr lang="en-US" sz="1600" b="1" i="0" cap="none" baseline="0">
                <a:solidFill>
                  <a:srgbClr val="92B7E3"/>
                </a:solidFill>
                <a:latin typeface="+mn-lt"/>
              </a:rPr>
              <a:pPr algn="ctr"/>
              <a:t>665k</a:t>
            </a:fld>
            <a:endParaRPr lang="en-US" sz="1600" b="1" i="0" cap="none" baseline="0">
              <a:solidFill>
                <a:srgbClr val="92B7E3"/>
              </a:solidFill>
              <a:latin typeface="+mn-lt"/>
            </a:endParaRPr>
          </a:p>
        </xdr:txBody>
      </xdr:sp>
      <xdr:sp macro="" textlink="">
        <xdr:nvSpPr>
          <xdr:cNvPr id="619" name="Rectangle 618"/>
          <xdr:cNvSpPr/>
        </xdr:nvSpPr>
        <xdr:spPr>
          <a:xfrm>
            <a:off x="2694970" y="15092798"/>
            <a:ext cx="1097280" cy="274320"/>
          </a:xfrm>
          <a:prstGeom prst="rect">
            <a:avLst/>
          </a:prstGeom>
          <a:noFill/>
          <a:ln>
            <a:noFill/>
          </a:ln>
          <a:effectLst>
            <a:outerShdw sx="1000" sy="1000" rotWithShape="0">
              <a:srgbClr val="000000"/>
            </a:outerShdw>
          </a:effectLst>
        </xdr:spPr>
        <xdr:style>
          <a:lnRef idx="1">
            <a:schemeClr val="accent1"/>
          </a:lnRef>
          <a:fillRef idx="3">
            <a:schemeClr val="accent1"/>
          </a:fillRef>
          <a:effectRef idx="2">
            <a:schemeClr val="accent1"/>
          </a:effectRef>
          <a:fontRef idx="minor">
            <a:schemeClr val="lt1"/>
          </a:fontRef>
        </xdr:style>
        <xdr:txBody>
          <a:bodyPr vertOverflow="clip" horzOverflow="clip" lIns="0" tIns="0" rIns="0" bIns="0" rtlCol="0" anchor="ctr"/>
          <a:lstStyle/>
          <a:p>
            <a:pPr algn="r"/>
            <a:r>
              <a:rPr lang="en-US" sz="1300" b="1" cap="none" baseline="0">
                <a:solidFill>
                  <a:srgbClr val="BEBEBE"/>
                </a:solidFill>
                <a:latin typeface="+mn-lt"/>
              </a:rPr>
              <a:t>Likes</a:t>
            </a:r>
          </a:p>
        </xdr:txBody>
      </xdr:sp>
      <xdr:sp macro="" textlink="Calculations!C72">
        <xdr:nvSpPr>
          <xdr:cNvPr id="620" name="Rectangle 619"/>
          <xdr:cNvSpPr/>
        </xdr:nvSpPr>
        <xdr:spPr>
          <a:xfrm>
            <a:off x="2694970" y="15360170"/>
            <a:ext cx="1097280" cy="274320"/>
          </a:xfrm>
          <a:prstGeom prst="rect">
            <a:avLst/>
          </a:prstGeom>
          <a:noFill/>
          <a:ln>
            <a:noFill/>
          </a:ln>
          <a:effectLst>
            <a:outerShdw sx="1000" sy="1000" rotWithShape="0">
              <a:srgbClr val="000000"/>
            </a:outerShdw>
          </a:effectLst>
        </xdr:spPr>
        <xdr:style>
          <a:lnRef idx="1">
            <a:schemeClr val="accent1"/>
          </a:lnRef>
          <a:fillRef idx="3">
            <a:schemeClr val="accent1"/>
          </a:fillRef>
          <a:effectRef idx="2">
            <a:schemeClr val="accent1"/>
          </a:effectRef>
          <a:fontRef idx="minor">
            <a:schemeClr val="lt1"/>
          </a:fontRef>
        </xdr:style>
        <xdr:txBody>
          <a:bodyPr vertOverflow="clip" horzOverflow="clip" lIns="0" tIns="0" rIns="0" bIns="0" rtlCol="0" anchor="ctr"/>
          <a:lstStyle/>
          <a:p>
            <a:pPr algn="r"/>
            <a:fld id="{2736AF51-EE15-44DD-9F4D-91A52562E4C6}" type="TxLink">
              <a:rPr lang="en-US" sz="1400" b="0" i="0" cap="none" baseline="0">
                <a:solidFill>
                  <a:srgbClr val="668BB7"/>
                </a:solidFill>
                <a:latin typeface="+mn-lt"/>
              </a:rPr>
              <a:pPr algn="r"/>
              <a:t>603k</a:t>
            </a:fld>
            <a:endParaRPr lang="en-US" sz="1400" b="0" i="0" cap="none" baseline="0">
              <a:solidFill>
                <a:srgbClr val="668BB7"/>
              </a:solidFill>
              <a:latin typeface="+mn-lt"/>
            </a:endParaRPr>
          </a:p>
        </xdr:txBody>
      </xdr:sp>
      <xdr:sp macro="" textlink="Calculations!C73">
        <xdr:nvSpPr>
          <xdr:cNvPr id="621" name="Rectangle 620"/>
          <xdr:cNvSpPr/>
        </xdr:nvSpPr>
        <xdr:spPr>
          <a:xfrm>
            <a:off x="2694970" y="15627542"/>
            <a:ext cx="1097280" cy="274320"/>
          </a:xfrm>
          <a:prstGeom prst="rect">
            <a:avLst/>
          </a:prstGeom>
          <a:noFill/>
          <a:ln>
            <a:noFill/>
          </a:ln>
          <a:effectLst>
            <a:outerShdw sx="1000" sy="1000" rotWithShape="0">
              <a:srgbClr val="000000"/>
            </a:outerShdw>
          </a:effectLst>
        </xdr:spPr>
        <xdr:style>
          <a:lnRef idx="1">
            <a:schemeClr val="accent1"/>
          </a:lnRef>
          <a:fillRef idx="3">
            <a:schemeClr val="accent1"/>
          </a:fillRef>
          <a:effectRef idx="2">
            <a:schemeClr val="accent1"/>
          </a:effectRef>
          <a:fontRef idx="minor">
            <a:schemeClr val="lt1"/>
          </a:fontRef>
        </xdr:style>
        <xdr:txBody>
          <a:bodyPr vertOverflow="clip" horzOverflow="clip" lIns="0" tIns="0" rIns="0" bIns="0" rtlCol="0" anchor="ctr"/>
          <a:lstStyle/>
          <a:p>
            <a:pPr algn="r"/>
            <a:fld id="{63ED1833-7326-4C2C-A0CE-E5431D45CA92}" type="TxLink">
              <a:rPr lang="en-US" sz="1400" b="0" i="0" cap="none" baseline="0">
                <a:solidFill>
                  <a:srgbClr val="668BB7"/>
                </a:solidFill>
                <a:latin typeface="+mn-lt"/>
              </a:rPr>
              <a:pPr algn="r"/>
              <a:t>21k</a:t>
            </a:fld>
            <a:endParaRPr lang="en-US" sz="1400" b="0" i="0" cap="none" baseline="0">
              <a:solidFill>
                <a:srgbClr val="668BB7"/>
              </a:solidFill>
              <a:latin typeface="+mn-lt"/>
            </a:endParaRPr>
          </a:p>
        </xdr:txBody>
      </xdr:sp>
      <xdr:sp macro="" textlink="Calculations!C75">
        <xdr:nvSpPr>
          <xdr:cNvPr id="622" name="Rectangle 621"/>
          <xdr:cNvSpPr/>
        </xdr:nvSpPr>
        <xdr:spPr>
          <a:xfrm>
            <a:off x="2694970" y="16162288"/>
            <a:ext cx="1097280" cy="274320"/>
          </a:xfrm>
          <a:prstGeom prst="rect">
            <a:avLst/>
          </a:prstGeom>
          <a:noFill/>
          <a:ln>
            <a:noFill/>
          </a:ln>
          <a:effectLst>
            <a:outerShdw sx="1000" sy="1000" rotWithShape="0">
              <a:srgbClr val="000000"/>
            </a:outerShdw>
          </a:effectLst>
        </xdr:spPr>
        <xdr:style>
          <a:lnRef idx="1">
            <a:schemeClr val="accent1"/>
          </a:lnRef>
          <a:fillRef idx="3">
            <a:schemeClr val="accent1"/>
          </a:fillRef>
          <a:effectRef idx="2">
            <a:schemeClr val="accent1"/>
          </a:effectRef>
          <a:fontRef idx="minor">
            <a:schemeClr val="lt1"/>
          </a:fontRef>
        </xdr:style>
        <xdr:txBody>
          <a:bodyPr vertOverflow="clip" horzOverflow="clip" lIns="0" tIns="0" rIns="0" bIns="0" rtlCol="0" anchor="ctr"/>
          <a:lstStyle/>
          <a:p>
            <a:pPr algn="r"/>
            <a:fld id="{84F7B5D2-75F6-490A-966D-D81C405BAD7A}" type="TxLink">
              <a:rPr lang="en-US" sz="1600" b="1" i="0" cap="none" baseline="0">
                <a:solidFill>
                  <a:srgbClr val="92B7E3"/>
                </a:solidFill>
                <a:latin typeface="+mn-lt"/>
              </a:rPr>
              <a:pPr algn="r"/>
              <a:t>647k</a:t>
            </a:fld>
            <a:endParaRPr lang="en-US" sz="1600" b="1" i="0" cap="none" baseline="0">
              <a:solidFill>
                <a:srgbClr val="92B7E3"/>
              </a:solidFill>
              <a:latin typeface="+mn-lt"/>
            </a:endParaRPr>
          </a:p>
        </xdr:txBody>
      </xdr:sp>
      <xdr:sp macro="" textlink="">
        <xdr:nvSpPr>
          <xdr:cNvPr id="625" name="Rectangle 624"/>
          <xdr:cNvSpPr/>
        </xdr:nvSpPr>
        <xdr:spPr>
          <a:xfrm>
            <a:off x="1882170" y="15360170"/>
            <a:ext cx="1097280" cy="274320"/>
          </a:xfrm>
          <a:prstGeom prst="rect">
            <a:avLst/>
          </a:prstGeom>
          <a:noFill/>
          <a:ln>
            <a:noFill/>
          </a:ln>
          <a:effectLst>
            <a:outerShdw sx="1000" sy="1000" rotWithShape="0">
              <a:srgbClr val="000000"/>
            </a:outerShdw>
          </a:effectLst>
        </xdr:spPr>
        <xdr:style>
          <a:lnRef idx="1">
            <a:schemeClr val="accent1"/>
          </a:lnRef>
          <a:fillRef idx="3">
            <a:schemeClr val="accent1"/>
          </a:fillRef>
          <a:effectRef idx="2">
            <a:schemeClr val="accent1"/>
          </a:effectRef>
          <a:fontRef idx="minor">
            <a:schemeClr val="lt1"/>
          </a:fontRef>
        </xdr:style>
        <xdr:txBody>
          <a:bodyPr vertOverflow="clip" horzOverflow="clip" lIns="0" tIns="0" rIns="0" bIns="0" rtlCol="0" anchor="ctr"/>
          <a:lstStyle/>
          <a:p>
            <a:pPr marL="0" indent="0" algn="r"/>
            <a:r>
              <a:rPr lang="en-US" sz="1400" b="0" i="0" cap="none" baseline="0">
                <a:solidFill>
                  <a:srgbClr val="668BB7"/>
                </a:solidFill>
                <a:latin typeface="+mn-lt"/>
                <a:ea typeface="+mn-ea"/>
                <a:cs typeface="+mn-cs"/>
              </a:rPr>
              <a:t>Photos</a:t>
            </a:r>
          </a:p>
        </xdr:txBody>
      </xdr:sp>
      <xdr:sp macro="" textlink="">
        <xdr:nvSpPr>
          <xdr:cNvPr id="626" name="Rectangle 625"/>
          <xdr:cNvSpPr/>
        </xdr:nvSpPr>
        <xdr:spPr>
          <a:xfrm>
            <a:off x="1882170" y="15627542"/>
            <a:ext cx="1097280" cy="274320"/>
          </a:xfrm>
          <a:prstGeom prst="rect">
            <a:avLst/>
          </a:prstGeom>
          <a:noFill/>
          <a:ln>
            <a:noFill/>
          </a:ln>
          <a:effectLst>
            <a:outerShdw sx="1000" sy="1000" rotWithShape="0">
              <a:srgbClr val="000000"/>
            </a:outerShdw>
          </a:effectLst>
        </xdr:spPr>
        <xdr:style>
          <a:lnRef idx="1">
            <a:schemeClr val="accent1"/>
          </a:lnRef>
          <a:fillRef idx="3">
            <a:schemeClr val="accent1"/>
          </a:fillRef>
          <a:effectRef idx="2">
            <a:schemeClr val="accent1"/>
          </a:effectRef>
          <a:fontRef idx="minor">
            <a:schemeClr val="lt1"/>
          </a:fontRef>
        </xdr:style>
        <xdr:txBody>
          <a:bodyPr vertOverflow="clip" horzOverflow="clip" lIns="0" tIns="0" rIns="0" bIns="0" rtlCol="0" anchor="ctr"/>
          <a:lstStyle/>
          <a:p>
            <a:pPr marL="0" indent="0" algn="r"/>
            <a:r>
              <a:rPr lang="en-US" sz="1400" b="0" i="0" cap="none" baseline="0">
                <a:solidFill>
                  <a:srgbClr val="668BB7"/>
                </a:solidFill>
                <a:latin typeface="+mn-lt"/>
                <a:ea typeface="+mn-ea"/>
                <a:cs typeface="+mn-cs"/>
              </a:rPr>
              <a:t>Videos</a:t>
            </a:r>
          </a:p>
        </xdr:txBody>
      </xdr:sp>
      <xdr:sp macro="" textlink="">
        <xdr:nvSpPr>
          <xdr:cNvPr id="627" name="Rectangle 626"/>
          <xdr:cNvSpPr/>
        </xdr:nvSpPr>
        <xdr:spPr>
          <a:xfrm>
            <a:off x="1882170" y="16162288"/>
            <a:ext cx="1097280" cy="274320"/>
          </a:xfrm>
          <a:prstGeom prst="rect">
            <a:avLst/>
          </a:prstGeom>
          <a:noFill/>
          <a:ln>
            <a:noFill/>
          </a:ln>
          <a:effectLst>
            <a:outerShdw sx="1000" sy="1000" rotWithShape="0">
              <a:srgbClr val="000000"/>
            </a:outerShdw>
          </a:effectLst>
        </xdr:spPr>
        <xdr:style>
          <a:lnRef idx="1">
            <a:schemeClr val="accent1"/>
          </a:lnRef>
          <a:fillRef idx="3">
            <a:schemeClr val="accent1"/>
          </a:fillRef>
          <a:effectRef idx="2">
            <a:schemeClr val="accent1"/>
          </a:effectRef>
          <a:fontRef idx="minor">
            <a:schemeClr val="lt1"/>
          </a:fontRef>
        </xdr:style>
        <xdr:txBody>
          <a:bodyPr vertOverflow="clip" horzOverflow="clip" lIns="0" tIns="0" rIns="0" bIns="0" rtlCol="0" anchor="ctr"/>
          <a:lstStyle/>
          <a:p>
            <a:pPr marL="0" indent="0" algn="r"/>
            <a:r>
              <a:rPr lang="en-US" sz="1600" b="1" i="0" cap="none" baseline="0">
                <a:solidFill>
                  <a:srgbClr val="92B7E3"/>
                </a:solidFill>
                <a:latin typeface="+mn-lt"/>
                <a:ea typeface="+mn-ea"/>
                <a:cs typeface="+mn-cs"/>
              </a:rPr>
              <a:t>All Posts</a:t>
            </a:r>
          </a:p>
        </xdr:txBody>
      </xdr:sp>
      <xdr:sp macro="" textlink="">
        <xdr:nvSpPr>
          <xdr:cNvPr id="638" name="Rectangle 637"/>
          <xdr:cNvSpPr/>
        </xdr:nvSpPr>
        <xdr:spPr>
          <a:xfrm>
            <a:off x="1882170" y="15092798"/>
            <a:ext cx="1097280" cy="274320"/>
          </a:xfrm>
          <a:prstGeom prst="rect">
            <a:avLst/>
          </a:prstGeom>
          <a:noFill/>
          <a:ln>
            <a:noFill/>
          </a:ln>
          <a:effectLst>
            <a:outerShdw sx="1000" sy="1000" rotWithShape="0">
              <a:srgbClr val="000000"/>
            </a:outerShdw>
          </a:effectLst>
        </xdr:spPr>
        <xdr:style>
          <a:lnRef idx="1">
            <a:schemeClr val="accent1"/>
          </a:lnRef>
          <a:fillRef idx="3">
            <a:schemeClr val="accent1"/>
          </a:fillRef>
          <a:effectRef idx="2">
            <a:schemeClr val="accent1"/>
          </a:effectRef>
          <a:fontRef idx="minor">
            <a:schemeClr val="lt1"/>
          </a:fontRef>
        </xdr:style>
        <xdr:txBody>
          <a:bodyPr vertOverflow="clip" horzOverflow="clip" lIns="0" tIns="0" rIns="0" bIns="0" rtlCol="0" anchor="ctr"/>
          <a:lstStyle/>
          <a:p>
            <a:pPr algn="r"/>
            <a:r>
              <a:rPr lang="en-US" sz="1300" b="1" cap="none" baseline="0">
                <a:solidFill>
                  <a:srgbClr val="BEBEBE"/>
                </a:solidFill>
                <a:latin typeface="+mn-lt"/>
              </a:rPr>
              <a:t>Post Type</a:t>
            </a:r>
          </a:p>
        </xdr:txBody>
      </xdr:sp>
      <xdr:grpSp>
        <xdr:nvGrpSpPr>
          <xdr:cNvPr id="27" name="Group 26"/>
          <xdr:cNvGrpSpPr/>
        </xdr:nvGrpSpPr>
        <xdr:grpSpPr>
          <a:xfrm>
            <a:off x="7829550" y="11750613"/>
            <a:ext cx="3236976" cy="4216462"/>
            <a:chOff x="7829550" y="11683938"/>
            <a:chExt cx="3236976" cy="4216462"/>
          </a:xfrm>
        </xdr:grpSpPr>
        <xdr:grpSp>
          <xdr:nvGrpSpPr>
            <xdr:cNvPr id="26" name="Group 25"/>
            <xdr:cNvGrpSpPr/>
          </xdr:nvGrpSpPr>
          <xdr:grpSpPr>
            <a:xfrm>
              <a:off x="7829550" y="11683938"/>
              <a:ext cx="3236976" cy="4216462"/>
              <a:chOff x="7829550" y="11683938"/>
              <a:chExt cx="3236976" cy="4216462"/>
            </a:xfrm>
          </xdr:grpSpPr>
          <xdr:sp macro="" textlink="">
            <xdr:nvSpPr>
              <xdr:cNvPr id="588" name="Rounded Rectangle 587"/>
              <xdr:cNvSpPr/>
            </xdr:nvSpPr>
            <xdr:spPr>
              <a:xfrm>
                <a:off x="7829550" y="11950700"/>
                <a:ext cx="3236976" cy="3949700"/>
              </a:xfrm>
              <a:prstGeom prst="roundRect">
                <a:avLst>
                  <a:gd name="adj" fmla="val 0"/>
                </a:avLst>
              </a:prstGeom>
              <a:solidFill>
                <a:srgbClr val="151515"/>
              </a:solidFill>
              <a:ln w="12700">
                <a:solidFill>
                  <a:srgbClr val="0F0F0F"/>
                </a:solidFill>
              </a:ln>
              <a:effectLst/>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marL="0" indent="0" algn="l"/>
                <a:endParaRPr lang="en-US" sz="1100">
                  <a:solidFill>
                    <a:schemeClr val="lt1"/>
                  </a:solidFill>
                  <a:latin typeface="+mn-lt"/>
                  <a:ea typeface="+mn-ea"/>
                  <a:cs typeface="+mn-cs"/>
                </a:endParaRPr>
              </a:p>
            </xdr:txBody>
          </xdr:sp>
          <xdr:sp macro="" textlink="">
            <xdr:nvSpPr>
              <xdr:cNvPr id="596" name="TextBox 595"/>
              <xdr:cNvSpPr txBox="1"/>
            </xdr:nvSpPr>
            <xdr:spPr>
              <a:xfrm>
                <a:off x="7829550" y="11683938"/>
                <a:ext cx="3236976" cy="274320"/>
              </a:xfrm>
              <a:prstGeom prst="rect">
                <a:avLst/>
              </a:prstGeom>
              <a:gradFill flip="none" rotWithShape="1">
                <a:gsLst>
                  <a:gs pos="0">
                    <a:srgbClr val="32323C"/>
                  </a:gs>
                  <a:gs pos="100000">
                    <a:srgbClr val="41414B"/>
                  </a:gs>
                </a:gsLst>
                <a:lin ang="16200000" scaled="0"/>
                <a:tileRect/>
              </a:gradFill>
              <a:ln w="12700" cmpd="sng">
                <a:gradFill>
                  <a:gsLst>
                    <a:gs pos="0">
                      <a:srgbClr val="4E4E61"/>
                    </a:gs>
                    <a:gs pos="100000">
                      <a:srgbClr val="373741"/>
                    </a:gs>
                  </a:gsLst>
                  <a:lin ang="5400000" scaled="0"/>
                </a:gradFill>
              </a:ln>
              <a:effectLst/>
              <a:extLst/>
            </xdr:spPr>
            <xdr:style>
              <a:lnRef idx="0">
                <a:scrgbClr r="0" g="0" b="0"/>
              </a:lnRef>
              <a:fillRef idx="0">
                <a:scrgbClr r="0" g="0" b="0"/>
              </a:fillRef>
              <a:effectRef idx="0">
                <a:scrgbClr r="0" g="0" b="0"/>
              </a:effectRef>
              <a:fontRef idx="minor">
                <a:schemeClr val="dk1"/>
              </a:fontRef>
            </xdr:style>
            <xdr:txBody>
              <a:bodyPr vertOverflow="clip" horzOverflow="clip" vert="horz" lIns="182880" tIns="0" rIns="0" bIns="0" rtlCol="0" anchor="ctr"/>
              <a:lstStyle/>
              <a:p>
                <a:pPr algn="l"/>
                <a:r>
                  <a:rPr lang="en-US" sz="1200" b="1" baseline="0">
                    <a:solidFill>
                      <a:srgbClr val="151515"/>
                    </a:solidFill>
                    <a:latin typeface="+mn-lt"/>
                  </a:rPr>
                  <a:t>ENGAGEMENT PEAKS</a:t>
                </a:r>
              </a:p>
            </xdr:txBody>
          </xdr:sp>
          <xdr:sp macro="" textlink="">
            <xdr:nvSpPr>
              <xdr:cNvPr id="597" name="TextBox 596"/>
              <xdr:cNvSpPr txBox="1"/>
            </xdr:nvSpPr>
            <xdr:spPr>
              <a:xfrm>
                <a:off x="7829550" y="11693463"/>
                <a:ext cx="3086100" cy="274320"/>
              </a:xfrm>
              <a:prstGeom prst="rect">
                <a:avLst/>
              </a:prstGeom>
              <a:noFill/>
              <a:ln w="9525" cmpd="sng">
                <a:noFill/>
              </a:ln>
              <a:effectLst/>
              <a:extLst/>
            </xdr:spPr>
            <xdr:style>
              <a:lnRef idx="0">
                <a:scrgbClr r="0" g="0" b="0"/>
              </a:lnRef>
              <a:fillRef idx="0">
                <a:scrgbClr r="0" g="0" b="0"/>
              </a:fillRef>
              <a:effectRef idx="0">
                <a:scrgbClr r="0" g="0" b="0"/>
              </a:effectRef>
              <a:fontRef idx="minor">
                <a:schemeClr val="dk1"/>
              </a:fontRef>
            </xdr:style>
            <xdr:txBody>
              <a:bodyPr vertOverflow="clip" horzOverflow="clip" vert="horz" lIns="182880" tIns="0" rIns="0" bIns="0" rtlCol="0" anchor="ctr"/>
              <a:lstStyle/>
              <a:p>
                <a:pPr algn="l"/>
                <a:r>
                  <a:rPr lang="en-US" sz="1200" b="1">
                    <a:solidFill>
                      <a:srgbClr val="D2D2D2"/>
                    </a:solidFill>
                    <a:latin typeface="Calibri"/>
                  </a:rPr>
                  <a:t>ENGAGEMENT PEAKS</a:t>
                </a:r>
              </a:p>
            </xdr:txBody>
          </xdr:sp>
        </xdr:grpSp>
        <xdr:grpSp>
          <xdr:nvGrpSpPr>
            <xdr:cNvPr id="88" name="Group 87"/>
            <xdr:cNvGrpSpPr/>
          </xdr:nvGrpSpPr>
          <xdr:grpSpPr>
            <a:xfrm>
              <a:off x="7949184" y="12074463"/>
              <a:ext cx="3035809" cy="3722370"/>
              <a:chOff x="7692009" y="11639550"/>
              <a:chExt cx="3035809" cy="3722370"/>
            </a:xfrm>
          </xdr:grpSpPr>
          <xdr:grpSp>
            <xdr:nvGrpSpPr>
              <xdr:cNvPr id="87" name="Group 86"/>
              <xdr:cNvGrpSpPr/>
            </xdr:nvGrpSpPr>
            <xdr:grpSpPr>
              <a:xfrm>
                <a:off x="7692009" y="12944475"/>
                <a:ext cx="3035809" cy="1112520"/>
                <a:chOff x="7705725" y="13506450"/>
                <a:chExt cx="3035809" cy="1112520"/>
              </a:xfrm>
            </xdr:grpSpPr>
            <xdr:sp macro="" textlink="Calculations!B97">
              <xdr:nvSpPr>
                <xdr:cNvPr id="582" name="TextBox 581"/>
                <xdr:cNvSpPr txBox="1"/>
              </xdr:nvSpPr>
              <xdr:spPr>
                <a:xfrm>
                  <a:off x="7952614" y="13506450"/>
                  <a:ext cx="2788920" cy="274320"/>
                </a:xfrm>
                <a:prstGeom prst="rect">
                  <a:avLst/>
                </a:prstGeom>
                <a:noFill/>
                <a:ln w="9525" cmpd="sng">
                  <a:noFill/>
                </a:ln>
                <a:effectLst/>
                <a:extLst/>
              </xdr:spPr>
              <xdr:style>
                <a:lnRef idx="0">
                  <a:scrgbClr r="0" g="0" b="0"/>
                </a:lnRef>
                <a:fillRef idx="0">
                  <a:scrgbClr r="0" g="0" b="0"/>
                </a:fillRef>
                <a:effectRef idx="0">
                  <a:scrgbClr r="0" g="0" b="0"/>
                </a:effectRef>
                <a:fontRef idx="minor">
                  <a:schemeClr val="dk1"/>
                </a:fontRef>
              </xdr:style>
              <xdr:txBody>
                <a:bodyPr vertOverflow="clip" horzOverflow="clip" vert="horz" lIns="0" tIns="0" rIns="0" bIns="0" rtlCol="0" anchor="ctr"/>
                <a:lstStyle/>
                <a:p>
                  <a:pPr algn="l"/>
                  <a:fld id="{F5CE585A-0216-4A40-83FD-CF3723DFA3FA}" type="TxLink">
                    <a:rPr lang="en-US" sz="1000" b="1">
                      <a:solidFill>
                        <a:srgbClr val="C8C8C8"/>
                      </a:solidFill>
                    </a:rPr>
                    <a:pPr algn="l"/>
                    <a:t>MOST ENGAGING POST FROM 8/17/17</a:t>
                  </a:fld>
                  <a:endParaRPr lang="en-US" sz="1000" b="1">
                    <a:solidFill>
                      <a:srgbClr val="C8C8C8"/>
                    </a:solidFill>
                  </a:endParaRPr>
                </a:p>
              </xdr:txBody>
            </xdr:sp>
            <xdr:sp macro="" textlink="Calculations!B98">
              <xdr:nvSpPr>
                <xdr:cNvPr id="583" name="TextBox 582"/>
                <xdr:cNvSpPr txBox="1"/>
              </xdr:nvSpPr>
              <xdr:spPr>
                <a:xfrm>
                  <a:off x="7952614" y="13779343"/>
                  <a:ext cx="2697480" cy="39528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marL="0" indent="0" algn="l"/>
                  <a:fld id="{75C30856-69BF-401D-9962-A62E0CF7FC4B}" type="TxLink">
                    <a:rPr lang="en-US" altLang="ja-JP" sz="1000" b="0" i="1" baseline="0">
                      <a:solidFill>
                        <a:srgbClr val="92B7E3"/>
                      </a:solidFill>
                      <a:latin typeface="+mn-lt"/>
                      <a:ea typeface="+mn-ea"/>
                      <a:cs typeface="+mn-cs"/>
                    </a:rPr>
                    <a:pPr marL="0" indent="0" algn="l"/>
                    <a:t>The climb is tough but the view from the top is worth it✌🏽🌆 #top #LA #runyoncanyon #neverlookback #s…</a:t>
                  </a:fld>
                  <a:endParaRPr lang="en-US" sz="1000" b="0" i="1" baseline="0">
                    <a:solidFill>
                      <a:srgbClr val="92B7E3"/>
                    </a:solidFill>
                    <a:latin typeface="+mn-lt"/>
                    <a:ea typeface="+mn-ea"/>
                    <a:cs typeface="+mn-cs"/>
                  </a:endParaRPr>
                </a:p>
              </xdr:txBody>
            </xdr:sp>
            <xdr:sp macro="" textlink="Calculations!B100">
              <xdr:nvSpPr>
                <xdr:cNvPr id="584" name="TextBox 583"/>
                <xdr:cNvSpPr txBox="1"/>
              </xdr:nvSpPr>
              <xdr:spPr>
                <a:xfrm>
                  <a:off x="7952614" y="14344650"/>
                  <a:ext cx="2788920" cy="2743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fld id="{4400878F-8FB1-47F0-92B8-F9C5242DDE29}" type="TxLink">
                    <a:rPr lang="en-US" sz="1000" b="0" i="0" baseline="0">
                      <a:solidFill>
                        <a:srgbClr val="A0A0A0"/>
                      </a:solidFill>
                    </a:rPr>
                    <a:pPr algn="l"/>
                    <a:t>14k interactions, 34% of the total for this day</a:t>
                  </a:fld>
                  <a:endParaRPr lang="en-US" sz="1000" b="0" i="0" baseline="0">
                    <a:solidFill>
                      <a:srgbClr val="A0A0A0"/>
                    </a:solidFill>
                  </a:endParaRPr>
                </a:p>
              </xdr:txBody>
            </xdr:sp>
            <xdr:sp macro="" textlink="">
              <xdr:nvSpPr>
                <xdr:cNvPr id="578" name="Donut 577"/>
                <xdr:cNvSpPr/>
              </xdr:nvSpPr>
              <xdr:spPr>
                <a:xfrm>
                  <a:off x="7705725" y="13573125"/>
                  <a:ext cx="137160" cy="137160"/>
                </a:xfrm>
                <a:prstGeom prst="donut">
                  <a:avLst>
                    <a:gd name="adj" fmla="val 11204"/>
                  </a:avLst>
                </a:prstGeom>
                <a:solidFill>
                  <a:srgbClr val="FDA761"/>
                </a:solidFill>
                <a:ln w="12700">
                  <a:solidFill>
                    <a:srgbClr val="FDA761"/>
                  </a:solidFill>
                </a:ln>
                <a:effectLst/>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sp macro="" textlink="Calculations!B99">
              <xdr:nvSpPr>
                <xdr:cNvPr id="717" name="TextBox 716"/>
                <xdr:cNvSpPr txBox="1"/>
              </xdr:nvSpPr>
              <xdr:spPr>
                <a:xfrm>
                  <a:off x="7952614" y="14173200"/>
                  <a:ext cx="2788920" cy="2743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fld id="{807BEA28-B63B-4D30-B1FB-8EFF2F51F07F}" type="TxLink">
                    <a:rPr lang="en-US" sz="1000" b="0" i="0" baseline="0">
                      <a:solidFill>
                        <a:srgbClr val="668BB7"/>
                      </a:solidFill>
                    </a:rPr>
                    <a:pPr algn="l"/>
                    <a:t>martacarriedo (398k followers)</a:t>
                  </a:fld>
                  <a:endParaRPr lang="en-US" sz="1000" b="0" i="0" baseline="0">
                    <a:solidFill>
                      <a:srgbClr val="668BB7"/>
                    </a:solidFill>
                  </a:endParaRPr>
                </a:p>
              </xdr:txBody>
            </xdr:sp>
          </xdr:grpSp>
          <xdr:grpSp>
            <xdr:nvGrpSpPr>
              <xdr:cNvPr id="718" name="Group 717"/>
              <xdr:cNvGrpSpPr/>
            </xdr:nvGrpSpPr>
            <xdr:grpSpPr>
              <a:xfrm>
                <a:off x="7692009" y="14249400"/>
                <a:ext cx="3035809" cy="1112520"/>
                <a:chOff x="7705725" y="13506450"/>
                <a:chExt cx="3035809" cy="1112520"/>
              </a:xfrm>
            </xdr:grpSpPr>
            <xdr:sp macro="" textlink="Calculations!B102">
              <xdr:nvSpPr>
                <xdr:cNvPr id="719" name="TextBox 718"/>
                <xdr:cNvSpPr txBox="1"/>
              </xdr:nvSpPr>
              <xdr:spPr>
                <a:xfrm>
                  <a:off x="7952614" y="13506450"/>
                  <a:ext cx="2788920" cy="274320"/>
                </a:xfrm>
                <a:prstGeom prst="rect">
                  <a:avLst/>
                </a:prstGeom>
                <a:noFill/>
                <a:ln w="9525" cmpd="sng">
                  <a:noFill/>
                </a:ln>
                <a:effectLst/>
                <a:extLst/>
              </xdr:spPr>
              <xdr:style>
                <a:lnRef idx="0">
                  <a:scrgbClr r="0" g="0" b="0"/>
                </a:lnRef>
                <a:fillRef idx="0">
                  <a:scrgbClr r="0" g="0" b="0"/>
                </a:fillRef>
                <a:effectRef idx="0">
                  <a:scrgbClr r="0" g="0" b="0"/>
                </a:effectRef>
                <a:fontRef idx="minor">
                  <a:schemeClr val="dk1"/>
                </a:fontRef>
              </xdr:style>
              <xdr:txBody>
                <a:bodyPr vertOverflow="clip" horzOverflow="clip" vert="horz" lIns="0" tIns="0" rIns="0" bIns="0" rtlCol="0" anchor="ctr"/>
                <a:lstStyle/>
                <a:p>
                  <a:pPr algn="l"/>
                  <a:fld id="{2C42697D-161F-4D05-AC1F-5F3929160F63}" type="TxLink">
                    <a:rPr lang="en-US" sz="1000" b="1">
                      <a:solidFill>
                        <a:srgbClr val="C8C8C8"/>
                      </a:solidFill>
                    </a:rPr>
                    <a:pPr algn="l"/>
                    <a:t>MOST ENGAGING POST FROM 8/12/17</a:t>
                  </a:fld>
                  <a:endParaRPr lang="en-US" sz="1000" b="1">
                    <a:solidFill>
                      <a:srgbClr val="C8C8C8"/>
                    </a:solidFill>
                  </a:endParaRPr>
                </a:p>
              </xdr:txBody>
            </xdr:sp>
            <xdr:sp macro="" textlink="Calculations!B103">
              <xdr:nvSpPr>
                <xdr:cNvPr id="720" name="TextBox 719"/>
                <xdr:cNvSpPr txBox="1"/>
              </xdr:nvSpPr>
              <xdr:spPr>
                <a:xfrm>
                  <a:off x="7952614" y="13779343"/>
                  <a:ext cx="2697480" cy="39528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marL="0" indent="0" algn="l"/>
                  <a:fld id="{D79533A8-56B4-4495-A4B3-60C098F5B764}" type="TxLink">
                    <a:rPr lang="en-US" sz="1000" b="0" i="1" baseline="0">
                      <a:solidFill>
                        <a:srgbClr val="92B7E3"/>
                      </a:solidFill>
                      <a:latin typeface="+mn-lt"/>
                      <a:ea typeface="+mn-ea"/>
                      <a:cs typeface="+mn-cs"/>
                    </a:rPr>
                    <a:pPr marL="0" indent="0" algn="l"/>
                    <a:t>"Haters gonna hate patatas gonna patate" - @colleen #keepongoing #dontletemfoolya</a:t>
                  </a:fld>
                  <a:endParaRPr lang="en-US" sz="1000" b="0" i="1" baseline="0">
                    <a:solidFill>
                      <a:srgbClr val="92B7E3"/>
                    </a:solidFill>
                    <a:latin typeface="+mn-lt"/>
                    <a:ea typeface="+mn-ea"/>
                    <a:cs typeface="+mn-cs"/>
                  </a:endParaRPr>
                </a:p>
              </xdr:txBody>
            </xdr:sp>
            <xdr:sp macro="" textlink="Calculations!B105">
              <xdr:nvSpPr>
                <xdr:cNvPr id="721" name="TextBox 720"/>
                <xdr:cNvSpPr txBox="1"/>
              </xdr:nvSpPr>
              <xdr:spPr>
                <a:xfrm>
                  <a:off x="7952614" y="14344650"/>
                  <a:ext cx="2788920" cy="2743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fld id="{3B64E669-BAFD-4335-BF2D-D963CC7D302E}" type="TxLink">
                    <a:rPr lang="en-US" sz="1000" b="0" i="0" baseline="0">
                      <a:solidFill>
                        <a:srgbClr val="A0A0A0"/>
                      </a:solidFill>
                    </a:rPr>
                    <a:pPr algn="l"/>
                    <a:t>15k interactions, 42% of the total for this day</a:t>
                  </a:fld>
                  <a:endParaRPr lang="en-US" sz="1000" b="0" i="0" baseline="0">
                    <a:solidFill>
                      <a:srgbClr val="A0A0A0"/>
                    </a:solidFill>
                  </a:endParaRPr>
                </a:p>
              </xdr:txBody>
            </xdr:sp>
            <xdr:sp macro="" textlink="">
              <xdr:nvSpPr>
                <xdr:cNvPr id="722" name="Donut 721"/>
                <xdr:cNvSpPr/>
              </xdr:nvSpPr>
              <xdr:spPr>
                <a:xfrm>
                  <a:off x="7705725" y="13573125"/>
                  <a:ext cx="137160" cy="137160"/>
                </a:xfrm>
                <a:prstGeom prst="donut">
                  <a:avLst>
                    <a:gd name="adj" fmla="val 11204"/>
                  </a:avLst>
                </a:prstGeom>
                <a:solidFill>
                  <a:srgbClr val="FDF561"/>
                </a:solidFill>
                <a:ln w="12700">
                  <a:solidFill>
                    <a:srgbClr val="FDF561"/>
                  </a:solidFill>
                </a:ln>
                <a:effectLst/>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sp macro="" textlink="Calculations!B104">
              <xdr:nvSpPr>
                <xdr:cNvPr id="723" name="TextBox 722"/>
                <xdr:cNvSpPr txBox="1"/>
              </xdr:nvSpPr>
              <xdr:spPr>
                <a:xfrm>
                  <a:off x="7952614" y="14173200"/>
                  <a:ext cx="2788920" cy="2743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fld id="{46E0A2C7-7DFF-4D89-A900-21023BD439C4}" type="TxLink">
                    <a:rPr lang="en-US" sz="1000" b="0" i="0" baseline="0">
                      <a:solidFill>
                        <a:srgbClr val="668BB7"/>
                      </a:solidFill>
                    </a:rPr>
                    <a:pPr algn="l"/>
                    <a:t>annie_rose_cole (83k followers)</a:t>
                  </a:fld>
                  <a:endParaRPr lang="en-US" sz="1000" b="0" i="0" baseline="0">
                    <a:solidFill>
                      <a:srgbClr val="668BB7"/>
                    </a:solidFill>
                  </a:endParaRPr>
                </a:p>
              </xdr:txBody>
            </xdr:sp>
          </xdr:grpSp>
          <xdr:grpSp>
            <xdr:nvGrpSpPr>
              <xdr:cNvPr id="724" name="Group 723"/>
              <xdr:cNvGrpSpPr/>
            </xdr:nvGrpSpPr>
            <xdr:grpSpPr>
              <a:xfrm>
                <a:off x="7692009" y="11639550"/>
                <a:ext cx="3035809" cy="1112520"/>
                <a:chOff x="7705725" y="13506450"/>
                <a:chExt cx="3035809" cy="1112520"/>
              </a:xfrm>
            </xdr:grpSpPr>
            <xdr:sp macro="" textlink="Calculations!B92">
              <xdr:nvSpPr>
                <xdr:cNvPr id="725" name="TextBox 724"/>
                <xdr:cNvSpPr txBox="1"/>
              </xdr:nvSpPr>
              <xdr:spPr>
                <a:xfrm>
                  <a:off x="7952614" y="13506450"/>
                  <a:ext cx="2788920" cy="274320"/>
                </a:xfrm>
                <a:prstGeom prst="rect">
                  <a:avLst/>
                </a:prstGeom>
                <a:noFill/>
                <a:ln w="9525" cmpd="sng">
                  <a:noFill/>
                </a:ln>
                <a:effectLst/>
                <a:extLst/>
              </xdr:spPr>
              <xdr:style>
                <a:lnRef idx="0">
                  <a:scrgbClr r="0" g="0" b="0"/>
                </a:lnRef>
                <a:fillRef idx="0">
                  <a:scrgbClr r="0" g="0" b="0"/>
                </a:fillRef>
                <a:effectRef idx="0">
                  <a:scrgbClr r="0" g="0" b="0"/>
                </a:effectRef>
                <a:fontRef idx="minor">
                  <a:schemeClr val="dk1"/>
                </a:fontRef>
              </xdr:style>
              <xdr:txBody>
                <a:bodyPr vertOverflow="clip" horzOverflow="clip" vert="horz" lIns="0" tIns="0" rIns="0" bIns="0" rtlCol="0" anchor="ctr"/>
                <a:lstStyle/>
                <a:p>
                  <a:pPr algn="l"/>
                  <a:fld id="{F63FF8B6-C4F2-457B-8B28-49265B4BABBC}" type="TxLink">
                    <a:rPr lang="en-US" sz="1000" b="1">
                      <a:solidFill>
                        <a:srgbClr val="C8C8C8"/>
                      </a:solidFill>
                    </a:rPr>
                    <a:pPr algn="l"/>
                    <a:t>MOST ENGAGING POST FROM 8/16/17</a:t>
                  </a:fld>
                  <a:endParaRPr lang="en-US" sz="1000" b="1">
                    <a:solidFill>
                      <a:srgbClr val="C8C8C8"/>
                    </a:solidFill>
                  </a:endParaRPr>
                </a:p>
              </xdr:txBody>
            </xdr:sp>
            <xdr:sp macro="" textlink="Calculations!B93">
              <xdr:nvSpPr>
                <xdr:cNvPr id="726" name="TextBox 725"/>
                <xdr:cNvSpPr txBox="1"/>
              </xdr:nvSpPr>
              <xdr:spPr>
                <a:xfrm>
                  <a:off x="7952614" y="13779343"/>
                  <a:ext cx="2697480" cy="39528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marL="0" indent="0" algn="l"/>
                  <a:fld id="{F684E4E1-8E21-49F4-8398-EAE57BDB4C96}" type="TxLink">
                    <a:rPr lang="en-US" sz="1000" b="0" i="1" baseline="0">
                      <a:solidFill>
                        <a:srgbClr val="92B7E3"/>
                      </a:solidFill>
                      <a:latin typeface="+mn-lt"/>
                      <a:ea typeface="+mn-ea"/>
                      <a:cs typeface="+mn-cs"/>
                    </a:rPr>
                    <a:pPr marL="0" indent="0" algn="l"/>
                    <a:t>Não falei que era fácil? @amanda.psouza Arrasou e acertou rapidinho. 😎 #timethiagofragoso #rocks #pa…</a:t>
                  </a:fld>
                  <a:endParaRPr lang="en-US" sz="1000" b="0" i="1" baseline="0">
                    <a:solidFill>
                      <a:srgbClr val="92B7E3"/>
                    </a:solidFill>
                    <a:latin typeface="+mn-lt"/>
                    <a:ea typeface="+mn-ea"/>
                    <a:cs typeface="+mn-cs"/>
                  </a:endParaRPr>
                </a:p>
              </xdr:txBody>
            </xdr:sp>
            <xdr:sp macro="" textlink="Calculations!B95">
              <xdr:nvSpPr>
                <xdr:cNvPr id="727" name="TextBox 726"/>
                <xdr:cNvSpPr txBox="1"/>
              </xdr:nvSpPr>
              <xdr:spPr>
                <a:xfrm>
                  <a:off x="7952614" y="14344650"/>
                  <a:ext cx="2788920" cy="2743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fld id="{191741E4-0605-408F-87ED-04C4A58621E0}" type="TxLink">
                    <a:rPr lang="en-US" sz="1000" b="0" i="0" baseline="0">
                      <a:solidFill>
                        <a:srgbClr val="A0A0A0"/>
                      </a:solidFill>
                    </a:rPr>
                    <a:pPr algn="l"/>
                    <a:t>13k interactions, 30% of the total for this day</a:t>
                  </a:fld>
                  <a:endParaRPr lang="en-US" sz="1000" b="0" i="0" baseline="0">
                    <a:solidFill>
                      <a:srgbClr val="A0A0A0"/>
                    </a:solidFill>
                  </a:endParaRPr>
                </a:p>
              </xdr:txBody>
            </xdr:sp>
            <xdr:sp macro="" textlink="">
              <xdr:nvSpPr>
                <xdr:cNvPr id="728" name="Donut 727"/>
                <xdr:cNvSpPr/>
              </xdr:nvSpPr>
              <xdr:spPr>
                <a:xfrm>
                  <a:off x="7705725" y="13573125"/>
                  <a:ext cx="137160" cy="137160"/>
                </a:xfrm>
                <a:prstGeom prst="donut">
                  <a:avLst>
                    <a:gd name="adj" fmla="val 11204"/>
                  </a:avLst>
                </a:prstGeom>
                <a:solidFill>
                  <a:srgbClr val="FD6169"/>
                </a:solidFill>
                <a:ln w="12700">
                  <a:solidFill>
                    <a:srgbClr val="FD6169"/>
                  </a:solidFill>
                </a:ln>
                <a:effectLst/>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sp macro="" textlink="Calculations!B94">
              <xdr:nvSpPr>
                <xdr:cNvPr id="729" name="TextBox 728"/>
                <xdr:cNvSpPr txBox="1"/>
              </xdr:nvSpPr>
              <xdr:spPr>
                <a:xfrm>
                  <a:off x="7952614" y="14173200"/>
                  <a:ext cx="2788920" cy="2743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l"/>
                  <a:fld id="{D2B06D99-9234-49D3-AB38-9A0D207DBA9F}" type="TxLink">
                    <a:rPr lang="en-US" sz="1000" b="0" i="0" baseline="0">
                      <a:solidFill>
                        <a:srgbClr val="668BB7"/>
                      </a:solidFill>
                    </a:rPr>
                    <a:pPr algn="l"/>
                    <a:t>thiagofragoso (775k followers)</a:t>
                  </a:fld>
                  <a:endParaRPr lang="en-US" sz="1000" b="0" i="0" baseline="0">
                    <a:solidFill>
                      <a:srgbClr val="668BB7"/>
                    </a:solidFill>
                  </a:endParaRPr>
                </a:p>
              </xdr:txBody>
            </xdr:sp>
          </xdr:grpSp>
          <xdr:cxnSp macro="">
            <xdr:nvCxnSpPr>
              <xdr:cNvPr id="730" name="Straight Connector 729"/>
              <xdr:cNvCxnSpPr/>
            </xdr:nvCxnSpPr>
            <xdr:spPr>
              <a:xfrm>
                <a:off x="7701153" y="12829223"/>
                <a:ext cx="3017520" cy="0"/>
              </a:xfrm>
              <a:prstGeom prst="line">
                <a:avLst/>
              </a:prstGeom>
              <a:ln w="12700">
                <a:solidFill>
                  <a:srgbClr val="3E3E3E"/>
                </a:solidFill>
              </a:ln>
              <a:effectLst/>
            </xdr:spPr>
            <xdr:style>
              <a:lnRef idx="2">
                <a:schemeClr val="accent1"/>
              </a:lnRef>
              <a:fillRef idx="0">
                <a:schemeClr val="accent1"/>
              </a:fillRef>
              <a:effectRef idx="1">
                <a:schemeClr val="accent1"/>
              </a:effectRef>
              <a:fontRef idx="minor">
                <a:schemeClr val="tx1"/>
              </a:fontRef>
            </xdr:style>
          </xdr:cxnSp>
          <xdr:cxnSp macro="">
            <xdr:nvCxnSpPr>
              <xdr:cNvPr id="731" name="Straight Connector 730"/>
              <xdr:cNvCxnSpPr/>
            </xdr:nvCxnSpPr>
            <xdr:spPr>
              <a:xfrm>
                <a:off x="7701153" y="14134148"/>
                <a:ext cx="3017520" cy="0"/>
              </a:xfrm>
              <a:prstGeom prst="line">
                <a:avLst/>
              </a:prstGeom>
              <a:ln w="12700">
                <a:solidFill>
                  <a:srgbClr val="3E3E3E"/>
                </a:solidFill>
              </a:ln>
              <a:effectLst/>
            </xdr:spPr>
            <xdr:style>
              <a:lnRef idx="2">
                <a:schemeClr val="accent1"/>
              </a:lnRef>
              <a:fillRef idx="0">
                <a:schemeClr val="accent1"/>
              </a:fillRef>
              <a:effectRef idx="1">
                <a:schemeClr val="accent1"/>
              </a:effectRef>
              <a:fontRef idx="minor">
                <a:schemeClr val="tx1"/>
              </a:fontRef>
            </xdr:style>
          </xdr:cxnSp>
        </xdr:grpSp>
      </xdr:grpSp>
      <xdr:cxnSp macro="">
        <xdr:nvCxnSpPr>
          <xdr:cNvPr id="732" name="Straight Connector 731" descr="ppt_export=no"/>
          <xdr:cNvCxnSpPr/>
        </xdr:nvCxnSpPr>
        <xdr:spPr>
          <a:xfrm>
            <a:off x="7829550" y="15906750"/>
            <a:ext cx="3236976" cy="0"/>
          </a:xfrm>
          <a:prstGeom prst="line">
            <a:avLst/>
          </a:prstGeom>
          <a:ln w="12700">
            <a:solidFill>
              <a:srgbClr val="3E3E3E"/>
            </a:solidFill>
          </a:ln>
          <a:effectLst/>
        </xdr:spPr>
        <xdr:style>
          <a:lnRef idx="2">
            <a:schemeClr val="accent1"/>
          </a:lnRef>
          <a:fillRef idx="0">
            <a:schemeClr val="accent1"/>
          </a:fillRef>
          <a:effectRef idx="1">
            <a:schemeClr val="accent1"/>
          </a:effectRef>
          <a:fontRef idx="minor">
            <a:schemeClr val="tx1"/>
          </a:fontRef>
        </xdr:style>
      </xdr:cxnSp>
      <xdr:sp macro="" textlink="Calculations!D74">
        <xdr:nvSpPr>
          <xdr:cNvPr id="803" name="Rectangle 802"/>
          <xdr:cNvSpPr/>
        </xdr:nvSpPr>
        <xdr:spPr>
          <a:xfrm>
            <a:off x="3783995" y="15885390"/>
            <a:ext cx="1097280" cy="274320"/>
          </a:xfrm>
          <a:prstGeom prst="rect">
            <a:avLst/>
          </a:prstGeom>
          <a:noFill/>
          <a:ln>
            <a:noFill/>
          </a:ln>
          <a:effectLst>
            <a:outerShdw sx="1000" sy="1000" rotWithShape="0">
              <a:srgbClr val="000000"/>
            </a:outerShdw>
          </a:effectLst>
        </xdr:spPr>
        <xdr:style>
          <a:lnRef idx="1">
            <a:schemeClr val="accent1"/>
          </a:lnRef>
          <a:fillRef idx="3">
            <a:schemeClr val="accent1"/>
          </a:fillRef>
          <a:effectRef idx="2">
            <a:schemeClr val="accent1"/>
          </a:effectRef>
          <a:fontRef idx="minor">
            <a:schemeClr val="lt1"/>
          </a:fontRef>
        </xdr:style>
        <xdr:txBody>
          <a:bodyPr vertOverflow="clip" horzOverflow="clip" lIns="0" tIns="0" rIns="0" bIns="0" rtlCol="0" anchor="ctr"/>
          <a:lstStyle/>
          <a:p>
            <a:pPr marL="0" indent="0" algn="r"/>
            <a:fld id="{14175C96-BFFB-4D60-92A9-41F761EF884B}" type="TxLink">
              <a:rPr lang="en-US" sz="1400" b="0" i="0" cap="none" baseline="0">
                <a:solidFill>
                  <a:srgbClr val="668BB7"/>
                </a:solidFill>
                <a:latin typeface="+mn-lt"/>
                <a:ea typeface="+mn-ea"/>
                <a:cs typeface="+mn-cs"/>
              </a:rPr>
              <a:pPr marL="0" indent="0" algn="r"/>
              <a:t>894</a:t>
            </a:fld>
            <a:endParaRPr lang="en-US" sz="1400" b="0" i="0" cap="none" baseline="0">
              <a:solidFill>
                <a:srgbClr val="668BB7"/>
              </a:solidFill>
              <a:latin typeface="+mn-lt"/>
              <a:ea typeface="+mn-ea"/>
              <a:cs typeface="+mn-cs"/>
            </a:endParaRPr>
          </a:p>
        </xdr:txBody>
      </xdr:sp>
      <xdr:sp macro="" textlink="Calculations!E74">
        <xdr:nvSpPr>
          <xdr:cNvPr id="804" name="Rectangle 803"/>
          <xdr:cNvSpPr/>
        </xdr:nvSpPr>
        <xdr:spPr>
          <a:xfrm>
            <a:off x="5049744" y="15885390"/>
            <a:ext cx="1316736" cy="274320"/>
          </a:xfrm>
          <a:prstGeom prst="rect">
            <a:avLst/>
          </a:prstGeom>
          <a:noFill/>
          <a:ln>
            <a:noFill/>
          </a:ln>
          <a:effectLst>
            <a:outerShdw sx="1000" sy="1000" rotWithShape="0">
              <a:srgbClr val="000000"/>
            </a:outerShdw>
          </a:effectLst>
        </xdr:spPr>
        <xdr:style>
          <a:lnRef idx="1">
            <a:schemeClr val="accent1"/>
          </a:lnRef>
          <a:fillRef idx="3">
            <a:schemeClr val="accent1"/>
          </a:fillRef>
          <a:effectRef idx="2">
            <a:schemeClr val="accent1"/>
          </a:effectRef>
          <a:fontRef idx="minor">
            <a:schemeClr val="lt1"/>
          </a:fontRef>
        </xdr:style>
        <xdr:txBody>
          <a:bodyPr vertOverflow="clip" horzOverflow="clip" lIns="0" tIns="0" rIns="0" bIns="0" rtlCol="0" anchor="ctr"/>
          <a:lstStyle/>
          <a:p>
            <a:pPr marL="0" indent="0" algn="ctr"/>
            <a:fld id="{9544F7F6-8552-47E0-8B72-A7F07D9ABD20}" type="TxLink">
              <a:rPr lang="en-US" sz="1400" b="0" i="0" cap="none" baseline="0">
                <a:solidFill>
                  <a:srgbClr val="668BB7"/>
                </a:solidFill>
                <a:latin typeface="+mn-lt"/>
                <a:ea typeface="+mn-ea"/>
                <a:cs typeface="+mn-cs"/>
              </a:rPr>
              <a:pPr marL="0" indent="0" algn="ctr"/>
              <a:t>25k</a:t>
            </a:fld>
            <a:endParaRPr lang="en-US" sz="1400" b="0" i="0" cap="none" baseline="0">
              <a:solidFill>
                <a:srgbClr val="668BB7"/>
              </a:solidFill>
              <a:latin typeface="+mn-lt"/>
              <a:ea typeface="+mn-ea"/>
              <a:cs typeface="+mn-cs"/>
            </a:endParaRPr>
          </a:p>
        </xdr:txBody>
      </xdr:sp>
      <xdr:sp macro="" textlink="Calculations!C74">
        <xdr:nvSpPr>
          <xdr:cNvPr id="805" name="Rectangle 804"/>
          <xdr:cNvSpPr/>
        </xdr:nvSpPr>
        <xdr:spPr>
          <a:xfrm>
            <a:off x="2694970" y="15894915"/>
            <a:ext cx="1097280" cy="274320"/>
          </a:xfrm>
          <a:prstGeom prst="rect">
            <a:avLst/>
          </a:prstGeom>
          <a:noFill/>
          <a:ln>
            <a:noFill/>
          </a:ln>
          <a:effectLst>
            <a:outerShdw sx="1000" sy="1000" rotWithShape="0">
              <a:srgbClr val="000000"/>
            </a:outerShdw>
          </a:effectLst>
        </xdr:spPr>
        <xdr:style>
          <a:lnRef idx="1">
            <a:schemeClr val="accent1"/>
          </a:lnRef>
          <a:fillRef idx="3">
            <a:schemeClr val="accent1"/>
          </a:fillRef>
          <a:effectRef idx="2">
            <a:schemeClr val="accent1"/>
          </a:effectRef>
          <a:fontRef idx="minor">
            <a:schemeClr val="lt1"/>
          </a:fontRef>
        </xdr:style>
        <xdr:txBody>
          <a:bodyPr vertOverflow="clip" horzOverflow="clip" lIns="0" tIns="0" rIns="0" bIns="0" rtlCol="0" anchor="ctr"/>
          <a:lstStyle/>
          <a:p>
            <a:pPr marL="0" indent="0" algn="r"/>
            <a:fld id="{CC89FB53-1D2B-40AC-97C3-E36BB689F429}" type="TxLink">
              <a:rPr lang="en-US" sz="1400" b="0" i="0" cap="none" baseline="0">
                <a:solidFill>
                  <a:srgbClr val="668BB7"/>
                </a:solidFill>
                <a:latin typeface="+mn-lt"/>
                <a:ea typeface="+mn-ea"/>
                <a:cs typeface="+mn-cs"/>
              </a:rPr>
              <a:pPr marL="0" indent="0" algn="r"/>
              <a:t>24k</a:t>
            </a:fld>
            <a:endParaRPr lang="en-US" sz="1400" b="0" i="0" cap="none" baseline="0">
              <a:solidFill>
                <a:srgbClr val="668BB7"/>
              </a:solidFill>
              <a:latin typeface="+mn-lt"/>
              <a:ea typeface="+mn-ea"/>
              <a:cs typeface="+mn-cs"/>
            </a:endParaRPr>
          </a:p>
        </xdr:txBody>
      </xdr:sp>
      <xdr:sp macro="" textlink="">
        <xdr:nvSpPr>
          <xdr:cNvPr id="806" name="Rectangle 805"/>
          <xdr:cNvSpPr/>
        </xdr:nvSpPr>
        <xdr:spPr>
          <a:xfrm>
            <a:off x="1882170" y="15894915"/>
            <a:ext cx="1097280" cy="274320"/>
          </a:xfrm>
          <a:prstGeom prst="rect">
            <a:avLst/>
          </a:prstGeom>
          <a:noFill/>
          <a:ln>
            <a:noFill/>
          </a:ln>
          <a:effectLst>
            <a:outerShdw sx="1000" sy="1000" rotWithShape="0">
              <a:srgbClr val="000000"/>
            </a:outerShdw>
          </a:effectLst>
        </xdr:spPr>
        <xdr:style>
          <a:lnRef idx="1">
            <a:schemeClr val="accent1"/>
          </a:lnRef>
          <a:fillRef idx="3">
            <a:schemeClr val="accent1"/>
          </a:fillRef>
          <a:effectRef idx="2">
            <a:schemeClr val="accent1"/>
          </a:effectRef>
          <a:fontRef idx="minor">
            <a:schemeClr val="lt1"/>
          </a:fontRef>
        </xdr:style>
        <xdr:txBody>
          <a:bodyPr vertOverflow="clip" horzOverflow="clip" lIns="0" tIns="0" rIns="0" bIns="0" rtlCol="0" anchor="ctr"/>
          <a:lstStyle/>
          <a:p>
            <a:pPr marL="0" indent="0" algn="r"/>
            <a:r>
              <a:rPr lang="en-US" sz="1400" b="0" i="0" cap="none" baseline="0">
                <a:solidFill>
                  <a:srgbClr val="668BB7"/>
                </a:solidFill>
                <a:latin typeface="+mn-lt"/>
                <a:ea typeface="+mn-ea"/>
                <a:cs typeface="+mn-cs"/>
              </a:rPr>
              <a:t>Carousels</a:t>
            </a:r>
          </a:p>
        </xdr:txBody>
      </xdr:sp>
    </xdr:grpSp>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12700</xdr:colOff>
      <xdr:row>0</xdr:row>
      <xdr:rowOff>12700</xdr:rowOff>
    </xdr:to>
    <xdr:pic>
      <xdr:nvPicPr>
        <xdr:cNvPr id="2" name="trackpixel">
          <a:hlinkClick xmlns:r="http://schemas.openxmlformats.org/officeDocument/2006/relationships" r:id="rId1"/>
        </xdr:cNvPr>
        <xdr:cNvPicPr>
          <a:picLocks/>
        </xdr:cNvPicPr>
      </xdr:nvPicPr>
      <xdr:blipFill>
        <a:blip xmlns:r="http://schemas.openxmlformats.org/officeDocument/2006/relationships" r:link="rId2"/>
        <a:stretch>
          <a:fillRect/>
        </a:stretch>
      </xdr:blipFill>
      <xdr:spPr>
        <a:xfrm>
          <a:off x="0" y="0"/>
          <a:ext cx="12700" cy="127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12700</xdr:colOff>
      <xdr:row>0</xdr:row>
      <xdr:rowOff>12700</xdr:rowOff>
    </xdr:to>
    <xdr:pic>
      <xdr:nvPicPr>
        <xdr:cNvPr id="2" name="trackpixel">
          <a:hlinkClick xmlns:r="http://schemas.openxmlformats.org/officeDocument/2006/relationships" r:id="rId1"/>
        </xdr:cNvPr>
        <xdr:cNvPicPr>
          <a:picLocks/>
        </xdr:cNvPicPr>
      </xdr:nvPicPr>
      <xdr:blipFill>
        <a:blip xmlns:r="http://schemas.openxmlformats.org/officeDocument/2006/relationships" r:link="rId2"/>
        <a:stretch>
          <a:fillRect/>
        </a:stretch>
      </xdr:blipFill>
      <xdr:spPr>
        <a:xfrm>
          <a:off x="0" y="0"/>
          <a:ext cx="12700" cy="127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12700</xdr:colOff>
      <xdr:row>0</xdr:row>
      <xdr:rowOff>12700</xdr:rowOff>
    </xdr:to>
    <xdr:pic>
      <xdr:nvPicPr>
        <xdr:cNvPr id="2" name="trackpixel">
          <a:hlinkClick xmlns:r="http://schemas.openxmlformats.org/officeDocument/2006/relationships" r:id="rId1"/>
        </xdr:cNvPr>
        <xdr:cNvPicPr>
          <a:picLocks/>
        </xdr:cNvPicPr>
      </xdr:nvPicPr>
      <xdr:blipFill>
        <a:blip xmlns:r="http://schemas.openxmlformats.org/officeDocument/2006/relationships" r:link="rId2"/>
        <a:stretch>
          <a:fillRect/>
        </a:stretch>
      </xdr:blipFill>
      <xdr:spPr>
        <a:xfrm>
          <a:off x="0" y="0"/>
          <a:ext cx="12700" cy="127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12700</xdr:colOff>
      <xdr:row>0</xdr:row>
      <xdr:rowOff>12700</xdr:rowOff>
    </xdr:to>
    <xdr:pic>
      <xdr:nvPicPr>
        <xdr:cNvPr id="2" name="trackpixel">
          <a:hlinkClick xmlns:r="http://schemas.openxmlformats.org/officeDocument/2006/relationships" r:id="rId1"/>
        </xdr:cNvPr>
        <xdr:cNvPicPr>
          <a:picLocks/>
        </xdr:cNvPicPr>
      </xdr:nvPicPr>
      <xdr:blipFill>
        <a:blip xmlns:r="http://schemas.openxmlformats.org/officeDocument/2006/relationships" r:link="rId2"/>
        <a:stretch>
          <a:fillRect/>
        </a:stretch>
      </xdr:blipFill>
      <xdr:spPr>
        <a:xfrm>
          <a:off x="0" y="0"/>
          <a:ext cx="12700" cy="127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12700</xdr:colOff>
      <xdr:row>0</xdr:row>
      <xdr:rowOff>12700</xdr:rowOff>
    </xdr:to>
    <xdr:pic>
      <xdr:nvPicPr>
        <xdr:cNvPr id="2" name="trackpixel">
          <a:hlinkClick xmlns:r="http://schemas.openxmlformats.org/officeDocument/2006/relationships" r:id="rId1"/>
        </xdr:cNvPr>
        <xdr:cNvPicPr>
          <a:picLocks/>
        </xdr:cNvPicPr>
      </xdr:nvPicPr>
      <xdr:blipFill>
        <a:blip xmlns:r="http://schemas.openxmlformats.org/officeDocument/2006/relationships" r:link="rId2"/>
        <a:stretch>
          <a:fillRect/>
        </a:stretch>
      </xdr:blipFill>
      <xdr:spPr>
        <a:xfrm>
          <a:off x="0" y="0"/>
          <a:ext cx="12700" cy="127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12700</xdr:colOff>
      <xdr:row>0</xdr:row>
      <xdr:rowOff>12700</xdr:rowOff>
    </xdr:to>
    <xdr:pic>
      <xdr:nvPicPr>
        <xdr:cNvPr id="2" name="trackpixel">
          <a:hlinkClick xmlns:r="http://schemas.openxmlformats.org/officeDocument/2006/relationships" r:id="rId1"/>
        </xdr:cNvPr>
        <xdr:cNvPicPr>
          <a:picLocks/>
        </xdr:cNvPicPr>
      </xdr:nvPicPr>
      <xdr:blipFill>
        <a:blip xmlns:r="http://schemas.openxmlformats.org/officeDocument/2006/relationships" r:link="rId2"/>
        <a:stretch>
          <a:fillRect/>
        </a:stretch>
      </xdr:blipFill>
      <xdr:spPr>
        <a:xfrm>
          <a:off x="0" y="0"/>
          <a:ext cx="12700" cy="127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12700</xdr:colOff>
      <xdr:row>0</xdr:row>
      <xdr:rowOff>12700</xdr:rowOff>
    </xdr:to>
    <xdr:pic>
      <xdr:nvPicPr>
        <xdr:cNvPr id="3" name="trackpixel">
          <a:hlinkClick xmlns:r="http://schemas.openxmlformats.org/officeDocument/2006/relationships" r:id="rId1"/>
        </xdr:cNvPr>
        <xdr:cNvPicPr>
          <a:picLocks/>
        </xdr:cNvPicPr>
      </xdr:nvPicPr>
      <xdr:blipFill>
        <a:blip xmlns:r="http://schemas.openxmlformats.org/officeDocument/2006/relationships" r:link="rId2"/>
        <a:stretch>
          <a:fillRect/>
        </a:stretch>
      </xdr:blipFill>
      <xdr:spPr>
        <a:xfrm>
          <a:off x="0" y="0"/>
          <a:ext cx="12700" cy="127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12700</xdr:colOff>
      <xdr:row>0</xdr:row>
      <xdr:rowOff>12700</xdr:rowOff>
    </xdr:to>
    <xdr:pic>
      <xdr:nvPicPr>
        <xdr:cNvPr id="2" name="trackpixel">
          <a:hlinkClick xmlns:r="http://schemas.openxmlformats.org/officeDocument/2006/relationships" r:id="rId1"/>
        </xdr:cNvPr>
        <xdr:cNvPicPr>
          <a:picLocks/>
        </xdr:cNvPicPr>
      </xdr:nvPicPr>
      <xdr:blipFill>
        <a:blip xmlns:r="http://schemas.openxmlformats.org/officeDocument/2006/relationships" r:link="rId2"/>
        <a:stretch>
          <a:fillRect/>
        </a:stretch>
      </xdr:blipFill>
      <xdr:spPr>
        <a:xfrm>
          <a:off x="0" y="0"/>
          <a:ext cx="12700" cy="127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12700</xdr:colOff>
      <xdr:row>0</xdr:row>
      <xdr:rowOff>12700</xdr:rowOff>
    </xdr:to>
    <xdr:pic>
      <xdr:nvPicPr>
        <xdr:cNvPr id="2" name="trackpixel">
          <a:hlinkClick xmlns:r="http://schemas.openxmlformats.org/officeDocument/2006/relationships" r:id="rId1"/>
        </xdr:cNvPr>
        <xdr:cNvPicPr>
          <a:picLocks/>
        </xdr:cNvPicPr>
      </xdr:nvPicPr>
      <xdr:blipFill>
        <a:blip xmlns:r="http://schemas.openxmlformats.org/officeDocument/2006/relationships" r:link="rId2"/>
        <a:stretch>
          <a:fillRect/>
        </a:stretch>
      </xdr:blipFill>
      <xdr:spPr>
        <a:xfrm>
          <a:off x="0" y="0"/>
          <a:ext cx="12700" cy="127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12700</xdr:colOff>
      <xdr:row>0</xdr:row>
      <xdr:rowOff>12700</xdr:rowOff>
    </xdr:to>
    <xdr:pic>
      <xdr:nvPicPr>
        <xdr:cNvPr id="2" name="trackpixel">
          <a:hlinkClick xmlns:r="http://schemas.openxmlformats.org/officeDocument/2006/relationships" r:id="rId1"/>
        </xdr:cNvPr>
        <xdr:cNvPicPr>
          <a:picLocks/>
        </xdr:cNvPicPr>
      </xdr:nvPicPr>
      <xdr:blipFill>
        <a:blip xmlns:r="http://schemas.openxmlformats.org/officeDocument/2006/relationships" r:link="rId2"/>
        <a:stretch>
          <a:fillRect/>
        </a:stretch>
      </xdr:blipFill>
      <xdr:spPr>
        <a:xfrm>
          <a:off x="0" y="0"/>
          <a:ext cx="12700" cy="127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428625</xdr:colOff>
      <xdr:row>1</xdr:row>
      <xdr:rowOff>38100</xdr:rowOff>
    </xdr:from>
    <xdr:to>
      <xdr:col>4</xdr:col>
      <xdr:colOff>227296</xdr:colOff>
      <xdr:row>3</xdr:row>
      <xdr:rowOff>85725</xdr:rowOff>
    </xdr:to>
    <xdr:pic>
      <xdr:nvPicPr>
        <xdr:cNvPr id="3" name="Picture 2" descr="SMLogo.png"/>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6531"/>
        <a:stretch/>
      </xdr:blipFill>
      <xdr:spPr>
        <a:xfrm>
          <a:off x="428625" y="200025"/>
          <a:ext cx="2075146" cy="409575"/>
        </a:xfrm>
        <a:prstGeom prst="rect">
          <a:avLst/>
        </a:prstGeom>
      </xdr:spPr>
    </xdr:pic>
    <xdr:clientData/>
  </xdr:twoCellAnchor>
  <xdr:twoCellAnchor>
    <xdr:from>
      <xdr:col>0</xdr:col>
      <xdr:colOff>428625</xdr:colOff>
      <xdr:row>1</xdr:row>
      <xdr:rowOff>38100</xdr:rowOff>
    </xdr:from>
    <xdr:to>
      <xdr:col>4</xdr:col>
      <xdr:colOff>227296</xdr:colOff>
      <xdr:row>3</xdr:row>
      <xdr:rowOff>85725</xdr:rowOff>
    </xdr:to>
    <xdr:pic>
      <xdr:nvPicPr>
        <xdr:cNvPr id="4" name="Picture 3" descr="SMLogo.png"/>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6531"/>
        <a:stretch/>
      </xdr:blipFill>
      <xdr:spPr>
        <a:xfrm>
          <a:off x="428625" y="200025"/>
          <a:ext cx="2075146" cy="409575"/>
        </a:xfrm>
        <a:prstGeom prst="rect">
          <a:avLst/>
        </a:prstGeom>
      </xdr:spPr>
    </xdr:pic>
    <xdr:clientData/>
  </xdr:twoCellAnchor>
  <xdr:twoCellAnchor editAs="oneCell">
    <xdr:from>
      <xdr:col>0</xdr:col>
      <xdr:colOff>0</xdr:colOff>
      <xdr:row>0</xdr:row>
      <xdr:rowOff>0</xdr:rowOff>
    </xdr:from>
    <xdr:to>
      <xdr:col>0</xdr:col>
      <xdr:colOff>12700</xdr:colOff>
      <xdr:row>0</xdr:row>
      <xdr:rowOff>12700</xdr:rowOff>
    </xdr:to>
    <xdr:pic>
      <xdr:nvPicPr>
        <xdr:cNvPr id="5" name="trackpixel">
          <a:hlinkClick xmlns:r="http://schemas.openxmlformats.org/officeDocument/2006/relationships" r:id="rId2"/>
        </xdr:cNvPr>
        <xdr:cNvPicPr>
          <a:picLocks/>
        </xdr:cNvPicPr>
      </xdr:nvPicPr>
      <xdr:blipFill>
        <a:blip xmlns:r="http://schemas.openxmlformats.org/officeDocument/2006/relationships" r:link="rId3">
          <a:extLst>
            <a:ext uri="{28A0092B-C50C-407E-A947-70E740481C1C}">
              <a14:useLocalDpi xmlns:a14="http://schemas.microsoft.com/office/drawing/2010/main" val="0"/>
            </a:ext>
          </a:extLst>
        </a:blip>
        <a:stretch>
          <a:fillRect/>
        </a:stretch>
      </xdr:blipFill>
      <xdr:spPr>
        <a:xfrm>
          <a:off x="0" y="0"/>
          <a:ext cx="12700" cy="12700"/>
        </a:xfrm>
        <a:prstGeom prst="rect">
          <a:avLst/>
        </a:prstGeom>
      </xdr:spPr>
    </xdr:pic>
    <xdr:clientData/>
  </xdr:twoCellAnchor>
  <xdr:twoCellAnchor>
    <xdr:from>
      <xdr:col>0</xdr:col>
      <xdr:colOff>428625</xdr:colOff>
      <xdr:row>1</xdr:row>
      <xdr:rowOff>38100</xdr:rowOff>
    </xdr:from>
    <xdr:to>
      <xdr:col>4</xdr:col>
      <xdr:colOff>227296</xdr:colOff>
      <xdr:row>3</xdr:row>
      <xdr:rowOff>85725</xdr:rowOff>
    </xdr:to>
    <xdr:pic>
      <xdr:nvPicPr>
        <xdr:cNvPr id="6" name="Picture 5" descr="SMLogo.png"/>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6531"/>
        <a:stretch/>
      </xdr:blipFill>
      <xdr:spPr>
        <a:xfrm>
          <a:off x="428625" y="200025"/>
          <a:ext cx="2075146" cy="409575"/>
        </a:xfrm>
        <a:prstGeom prst="rect">
          <a:avLst/>
        </a:prstGeom>
      </xdr:spPr>
    </xdr:pic>
    <xdr:clientData/>
  </xdr:twoCellAnchor>
  <xdr:twoCellAnchor editAs="oneCell">
    <xdr:from>
      <xdr:col>0</xdr:col>
      <xdr:colOff>0</xdr:colOff>
      <xdr:row>0</xdr:row>
      <xdr:rowOff>0</xdr:rowOff>
    </xdr:from>
    <xdr:to>
      <xdr:col>0</xdr:col>
      <xdr:colOff>12700</xdr:colOff>
      <xdr:row>0</xdr:row>
      <xdr:rowOff>12700</xdr:rowOff>
    </xdr:to>
    <xdr:pic>
      <xdr:nvPicPr>
        <xdr:cNvPr id="7" name="trackpixel">
          <a:hlinkClick xmlns:r="http://schemas.openxmlformats.org/officeDocument/2006/relationships" r:id="rId2"/>
        </xdr:cNvPr>
        <xdr:cNvPicPr>
          <a:picLocks/>
        </xdr:cNvPicPr>
      </xdr:nvPicPr>
      <xdr:blipFill>
        <a:blip xmlns:r="http://schemas.openxmlformats.org/officeDocument/2006/relationships" r:link="rId3">
          <a:extLst>
            <a:ext uri="{28A0092B-C50C-407E-A947-70E740481C1C}">
              <a14:useLocalDpi xmlns:a14="http://schemas.microsoft.com/office/drawing/2010/main" val="0"/>
            </a:ext>
          </a:extLst>
        </a:blip>
        <a:stretch>
          <a:fillRect/>
        </a:stretch>
      </xdr:blipFill>
      <xdr:spPr>
        <a:xfrm>
          <a:off x="0" y="0"/>
          <a:ext cx="12700" cy="12700"/>
        </a:xfrm>
        <a:prstGeom prst="rect">
          <a:avLst/>
        </a:prstGeom>
      </xdr:spPr>
    </xdr:pic>
    <xdr:clientData/>
  </xdr:twoCellAnchor>
  <xdr:twoCellAnchor editAs="oneCell">
    <xdr:from>
      <xdr:col>0</xdr:col>
      <xdr:colOff>0</xdr:colOff>
      <xdr:row>0</xdr:row>
      <xdr:rowOff>0</xdr:rowOff>
    </xdr:from>
    <xdr:to>
      <xdr:col>0</xdr:col>
      <xdr:colOff>12700</xdr:colOff>
      <xdr:row>0</xdr:row>
      <xdr:rowOff>12700</xdr:rowOff>
    </xdr:to>
    <xdr:pic>
      <xdr:nvPicPr>
        <xdr:cNvPr id="8" name="trackpixel"/>
        <xdr:cNvPicPr>
          <a:picLocks/>
        </xdr:cNvPicPr>
      </xdr:nvPicPr>
      <xdr:blipFill>
        <a:blip xmlns:r="http://schemas.openxmlformats.org/officeDocument/2006/relationships" r:link="rId4"/>
        <a:stretch>
          <a:fillRect/>
        </a:stretch>
      </xdr:blipFill>
      <xdr:spPr>
        <a:xfrm>
          <a:off x="0" y="0"/>
          <a:ext cx="12700" cy="127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absoluteAnchor>
    <xdr:pos x="428625" y="200025"/>
    <xdr:ext cx="2075146" cy="409575"/>
    <xdr:pic>
      <xdr:nvPicPr>
        <xdr:cNvPr id="58" name="Picture 57" descr="SMLogo.png"/>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6531"/>
        <a:stretch/>
      </xdr:blipFill>
      <xdr:spPr>
        <a:xfrm>
          <a:off x="428625" y="200025"/>
          <a:ext cx="2075146" cy="409575"/>
        </a:xfrm>
        <a:prstGeom prst="rect">
          <a:avLst/>
        </a:prstGeom>
      </xdr:spPr>
    </xdr:pic>
    <xdr:clientData/>
  </xdr:absoluteAnchor>
  <xdr:twoCellAnchor editAs="oneCell">
    <xdr:from>
      <xdr:col>0</xdr:col>
      <xdr:colOff>0</xdr:colOff>
      <xdr:row>0</xdr:row>
      <xdr:rowOff>0</xdr:rowOff>
    </xdr:from>
    <xdr:to>
      <xdr:col>0</xdr:col>
      <xdr:colOff>12700</xdr:colOff>
      <xdr:row>0</xdr:row>
      <xdr:rowOff>12700</xdr:rowOff>
    </xdr:to>
    <xdr:pic>
      <xdr:nvPicPr>
        <xdr:cNvPr id="2" name="trackpixel">
          <a:hlinkClick xmlns:r="http://schemas.openxmlformats.org/officeDocument/2006/relationships" r:id="rId2"/>
        </xdr:cNvPr>
        <xdr:cNvPicPr>
          <a:picLocks/>
        </xdr:cNvPicPr>
      </xdr:nvPicPr>
      <xdr:blipFill>
        <a:blip xmlns:r="http://schemas.openxmlformats.org/officeDocument/2006/relationships" r:link="rId3"/>
        <a:stretch>
          <a:fillRect/>
        </a:stretch>
      </xdr:blipFill>
      <xdr:spPr>
        <a:xfrm>
          <a:off x="0" y="0"/>
          <a:ext cx="12700" cy="127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12700</xdr:colOff>
      <xdr:row>0</xdr:row>
      <xdr:rowOff>12700</xdr:rowOff>
    </xdr:to>
    <xdr:pic>
      <xdr:nvPicPr>
        <xdr:cNvPr id="2" name="trackpixel">
          <a:hlinkClick xmlns:r="http://schemas.openxmlformats.org/officeDocument/2006/relationships" r:id="rId1"/>
        </xdr:cNvPr>
        <xdr:cNvPicPr>
          <a:picLocks/>
        </xdr:cNvPicPr>
      </xdr:nvPicPr>
      <xdr:blipFill>
        <a:blip xmlns:r="http://schemas.openxmlformats.org/officeDocument/2006/relationships" r:link="rId2"/>
        <a:stretch>
          <a:fillRect/>
        </a:stretch>
      </xdr:blipFill>
      <xdr:spPr>
        <a:xfrm>
          <a:off x="0" y="0"/>
          <a:ext cx="12700" cy="127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12700</xdr:colOff>
      <xdr:row>0</xdr:row>
      <xdr:rowOff>12700</xdr:rowOff>
    </xdr:to>
    <xdr:pic>
      <xdr:nvPicPr>
        <xdr:cNvPr id="2" name="trackpixel">
          <a:hlinkClick xmlns:r="http://schemas.openxmlformats.org/officeDocument/2006/relationships" r:id="rId1"/>
        </xdr:cNvPr>
        <xdr:cNvPicPr>
          <a:picLocks/>
        </xdr:cNvPicPr>
      </xdr:nvPicPr>
      <xdr:blipFill>
        <a:blip xmlns:r="http://schemas.openxmlformats.org/officeDocument/2006/relationships" r:link="rId2"/>
        <a:stretch>
          <a:fillRect/>
        </a:stretch>
      </xdr:blipFill>
      <xdr:spPr>
        <a:xfrm>
          <a:off x="0" y="0"/>
          <a:ext cx="12700" cy="127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12700</xdr:colOff>
      <xdr:row>0</xdr:row>
      <xdr:rowOff>12700</xdr:rowOff>
    </xdr:to>
    <xdr:pic>
      <xdr:nvPicPr>
        <xdr:cNvPr id="2" name="trackpixel">
          <a:hlinkClick xmlns:r="http://schemas.openxmlformats.org/officeDocument/2006/relationships" r:id="rId1"/>
        </xdr:cNvPr>
        <xdr:cNvPicPr>
          <a:picLocks/>
        </xdr:cNvPicPr>
      </xdr:nvPicPr>
      <xdr:blipFill>
        <a:blip xmlns:r="http://schemas.openxmlformats.org/officeDocument/2006/relationships" r:link="rId2"/>
        <a:stretch>
          <a:fillRect/>
        </a:stretch>
      </xdr:blipFill>
      <xdr:spPr>
        <a:xfrm>
          <a:off x="0" y="0"/>
          <a:ext cx="12700" cy="127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12700</xdr:colOff>
      <xdr:row>0</xdr:row>
      <xdr:rowOff>12700</xdr:rowOff>
    </xdr:to>
    <xdr:pic>
      <xdr:nvPicPr>
        <xdr:cNvPr id="2" name="trackpixel">
          <a:hlinkClick xmlns:r="http://schemas.openxmlformats.org/officeDocument/2006/relationships" r:id="rId1"/>
        </xdr:cNvPr>
        <xdr:cNvPicPr>
          <a:picLocks/>
        </xdr:cNvPicPr>
      </xdr:nvPicPr>
      <xdr:blipFill>
        <a:blip xmlns:r="http://schemas.openxmlformats.org/officeDocument/2006/relationships" r:link="rId2"/>
        <a:stretch>
          <a:fillRect/>
        </a:stretch>
      </xdr:blipFill>
      <xdr:spPr>
        <a:xfrm>
          <a:off x="0" y="0"/>
          <a:ext cx="12700" cy="127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12700</xdr:colOff>
      <xdr:row>0</xdr:row>
      <xdr:rowOff>12700</xdr:rowOff>
    </xdr:to>
    <xdr:pic>
      <xdr:nvPicPr>
        <xdr:cNvPr id="2" name="trackpixel">
          <a:hlinkClick xmlns:r="http://schemas.openxmlformats.org/officeDocument/2006/relationships" r:id="rId1"/>
        </xdr:cNvPr>
        <xdr:cNvPicPr>
          <a:picLocks/>
        </xdr:cNvPicPr>
      </xdr:nvPicPr>
      <xdr:blipFill>
        <a:blip xmlns:r="http://schemas.openxmlformats.org/officeDocument/2006/relationships" r:link="rId2"/>
        <a:stretch>
          <a:fillRect/>
        </a:stretch>
      </xdr:blipFill>
      <xdr:spPr>
        <a:xfrm>
          <a:off x="0" y="0"/>
          <a:ext cx="12700" cy="127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12700</xdr:colOff>
      <xdr:row>0</xdr:row>
      <xdr:rowOff>12700</xdr:rowOff>
    </xdr:to>
    <xdr:pic>
      <xdr:nvPicPr>
        <xdr:cNvPr id="2" name="trackpixel">
          <a:hlinkClick xmlns:r="http://schemas.openxmlformats.org/officeDocument/2006/relationships" r:id="rId1"/>
        </xdr:cNvPr>
        <xdr:cNvPicPr>
          <a:picLocks/>
        </xdr:cNvPicPr>
      </xdr:nvPicPr>
      <xdr:blipFill>
        <a:blip xmlns:r="http://schemas.openxmlformats.org/officeDocument/2006/relationships" r:link="rId2"/>
        <a:stretch>
          <a:fillRect/>
        </a:stretch>
      </xdr:blipFill>
      <xdr:spPr>
        <a:xfrm>
          <a:off x="0" y="0"/>
          <a:ext cx="12700" cy="12700"/>
        </a:xfrm>
        <a:prstGeom prst="rect">
          <a:avLst/>
        </a:prstGeom>
      </xdr:spPr>
    </xdr:pic>
    <xdr:clientData/>
  </xdr:twoCellAnchor>
</xdr:wsDr>
</file>

<file path=xl/theme/theme1.xml><?xml version="1.0" encoding="utf-8"?>
<a:theme xmlns:a="http://schemas.openxmlformats.org/drawingml/2006/main" name="Simply Measured">
  <a:themeElements>
    <a:clrScheme name="Simply Measured MAIN">
      <a:dk1>
        <a:srgbClr val="151515"/>
      </a:dk1>
      <a:lt1>
        <a:srgbClr val="E8E8E8"/>
      </a:lt1>
      <a:dk2>
        <a:srgbClr val="224F85"/>
      </a:dk2>
      <a:lt2>
        <a:srgbClr val="3B7AC6"/>
      </a:lt2>
      <a:accent1>
        <a:srgbClr val="40B0FF"/>
      </a:accent1>
      <a:accent2>
        <a:srgbClr val="6BB6F3"/>
      </a:accent2>
      <a:accent3>
        <a:srgbClr val="A1132E"/>
      </a:accent3>
      <a:accent4>
        <a:srgbClr val="7030A0"/>
      </a:accent4>
      <a:accent5>
        <a:srgbClr val="FF6600"/>
      </a:accent5>
      <a:accent6>
        <a:srgbClr val="FFFF00"/>
      </a:accent6>
      <a:hlink>
        <a:srgbClr val="0000FF"/>
      </a:hlink>
      <a:folHlink>
        <a:srgbClr val="800080"/>
      </a:folHlink>
    </a:clrScheme>
    <a:fontScheme name="Office">
      <a:majorFont>
        <a:latin typeface="Calibri"/>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Apex">
      <a:fillStyleLst>
        <a:solidFill>
          <a:schemeClr val="phClr"/>
        </a:solidFill>
        <a:gradFill rotWithShape="1">
          <a:gsLst>
            <a:gs pos="20000">
              <a:schemeClr val="phClr">
                <a:tint val="9000"/>
              </a:schemeClr>
            </a:gs>
            <a:gs pos="100000">
              <a:schemeClr val="phClr">
                <a:tint val="70000"/>
                <a:satMod val="100000"/>
              </a:schemeClr>
            </a:gs>
          </a:gsLst>
          <a:path path="circle">
            <a:fillToRect l="-15000" t="-15000" r="115000" b="115000"/>
          </a:path>
        </a:gradFill>
        <a:gradFill rotWithShape="1">
          <a:gsLst>
            <a:gs pos="0">
              <a:schemeClr val="phClr">
                <a:shade val="60000"/>
              </a:schemeClr>
            </a:gs>
            <a:gs pos="33000">
              <a:schemeClr val="phClr">
                <a:tint val="86500"/>
              </a:schemeClr>
            </a:gs>
            <a:gs pos="46750">
              <a:schemeClr val="phClr">
                <a:tint val="71000"/>
                <a:satMod val="112000"/>
              </a:schemeClr>
            </a:gs>
            <a:gs pos="53000">
              <a:schemeClr val="phClr">
                <a:tint val="71000"/>
                <a:satMod val="112000"/>
              </a:schemeClr>
            </a:gs>
            <a:gs pos="68000">
              <a:schemeClr val="phClr">
                <a:tint val="86000"/>
              </a:schemeClr>
            </a:gs>
            <a:gs pos="100000">
              <a:schemeClr val="phClr">
                <a:shade val="60000"/>
              </a:schemeClr>
            </a:gs>
          </a:gsLst>
          <a:lin ang="8350000" scaled="1"/>
        </a:gradFill>
      </a:fillStyleLst>
      <a:lnStyleLst>
        <a:ln w="9525" cap="flat" cmpd="sng" algn="ctr">
          <a:solidFill>
            <a:schemeClr val="phClr">
              <a:shade val="48000"/>
              <a:satMod val="110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130000" dist="101600" dir="2700000" algn="tl" rotWithShape="0">
              <a:srgbClr val="000000">
                <a:alpha val="35000"/>
              </a:srgbClr>
            </a:outerShdw>
          </a:effectLst>
        </a:effectStyle>
        <a:effectStyle>
          <a:effectLst>
            <a:outerShdw blurRad="190500" dist="228600" dir="2700000" sy="90000" rotWithShape="0">
              <a:srgbClr val="000000">
                <a:alpha val="25500"/>
              </a:srgbClr>
            </a:outerShdw>
          </a:effectLst>
        </a:effectStyle>
        <a:effectStyle>
          <a:effectLst>
            <a:outerShdw blurRad="190500" dist="228600" dir="2700000" sy="90000" rotWithShape="0">
              <a:srgbClr val="000000">
                <a:alpha val="25500"/>
              </a:srgbClr>
            </a:outerShdw>
          </a:effectLst>
          <a:scene3d>
            <a:camera prst="orthographicFront" fov="0">
              <a:rot lat="0" lon="0" rev="0"/>
            </a:camera>
            <a:lightRig rig="soft" dir="tl">
              <a:rot lat="0" lon="0" rev="20100000"/>
            </a:lightRig>
          </a:scene3d>
          <a:sp3d>
            <a:bevelT w="50800" h="508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Custom 2">
    <a:dk1>
      <a:srgbClr val="0C0C0C"/>
    </a:dk1>
    <a:lt1>
      <a:srgbClr val="FFFFFF"/>
    </a:lt1>
    <a:dk2>
      <a:srgbClr val="014A98"/>
    </a:dk2>
    <a:lt2>
      <a:srgbClr val="A8D2FE"/>
    </a:lt2>
    <a:accent1>
      <a:srgbClr val="D7EAFD"/>
    </a:accent1>
    <a:accent2>
      <a:srgbClr val="F8FAFF"/>
    </a:accent2>
    <a:accent3>
      <a:srgbClr val="FEFF86"/>
    </a:accent3>
    <a:accent4>
      <a:srgbClr val="FEFFBC"/>
    </a:accent4>
    <a:accent5>
      <a:srgbClr val="00B0F0"/>
    </a:accent5>
    <a:accent6>
      <a:srgbClr val="43CEFF"/>
    </a:accent6>
    <a:hlink>
      <a:srgbClr val="C5F0FF"/>
    </a:hlink>
    <a:folHlink>
      <a:srgbClr val="FDF709"/>
    </a:folHlink>
  </a:clrScheme>
  <a:fontScheme name="Office">
    <a:majorFont>
      <a:latin typeface="Calibri"/>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Apex">
    <a:fillStyleLst>
      <a:solidFill>
        <a:schemeClr val="phClr"/>
      </a:solidFill>
      <a:gradFill rotWithShape="1">
        <a:gsLst>
          <a:gs pos="20000">
            <a:schemeClr val="phClr">
              <a:tint val="9000"/>
            </a:schemeClr>
          </a:gs>
          <a:gs pos="100000">
            <a:schemeClr val="phClr">
              <a:tint val="70000"/>
              <a:satMod val="100000"/>
            </a:schemeClr>
          </a:gs>
        </a:gsLst>
        <a:path path="circle">
          <a:fillToRect l="-15000" t="-15000" r="115000" b="115000"/>
        </a:path>
      </a:gradFill>
      <a:gradFill rotWithShape="1">
        <a:gsLst>
          <a:gs pos="0">
            <a:schemeClr val="phClr">
              <a:shade val="60000"/>
            </a:schemeClr>
          </a:gs>
          <a:gs pos="33000">
            <a:schemeClr val="phClr">
              <a:tint val="86500"/>
            </a:schemeClr>
          </a:gs>
          <a:gs pos="46750">
            <a:schemeClr val="phClr">
              <a:tint val="71000"/>
              <a:satMod val="112000"/>
            </a:schemeClr>
          </a:gs>
          <a:gs pos="53000">
            <a:schemeClr val="phClr">
              <a:tint val="71000"/>
              <a:satMod val="112000"/>
            </a:schemeClr>
          </a:gs>
          <a:gs pos="68000">
            <a:schemeClr val="phClr">
              <a:tint val="86000"/>
            </a:schemeClr>
          </a:gs>
          <a:gs pos="100000">
            <a:schemeClr val="phClr">
              <a:shade val="60000"/>
            </a:schemeClr>
          </a:gs>
        </a:gsLst>
        <a:lin ang="8350000" scaled="1"/>
      </a:gradFill>
    </a:fillStyleLst>
    <a:lnStyleLst>
      <a:ln w="9525" cap="flat" cmpd="sng" algn="ctr">
        <a:solidFill>
          <a:schemeClr val="phClr">
            <a:shade val="48000"/>
            <a:satMod val="110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130000" dist="101600" dir="2700000" algn="tl" rotWithShape="0">
            <a:srgbClr val="000000">
              <a:alpha val="35000"/>
            </a:srgbClr>
          </a:outerShdw>
        </a:effectLst>
      </a:effectStyle>
      <a:effectStyle>
        <a:effectLst>
          <a:outerShdw blurRad="190500" dist="228600" dir="2700000" sy="90000" rotWithShape="0">
            <a:srgbClr val="000000">
              <a:alpha val="25500"/>
            </a:srgbClr>
          </a:outerShdw>
        </a:effectLst>
      </a:effectStyle>
      <a:effectStyle>
        <a:effectLst>
          <a:outerShdw blurRad="190500" dist="228600" dir="2700000" sy="90000" rotWithShape="0">
            <a:srgbClr val="000000">
              <a:alpha val="25500"/>
            </a:srgbClr>
          </a:outerShdw>
        </a:effectLst>
        <a:scene3d>
          <a:camera prst="orthographicFront" fov="0">
            <a:rot lat="0" lon="0" rev="0"/>
          </a:camera>
          <a:lightRig rig="soft" dir="tl">
            <a:rot lat="0" lon="0" rev="20100000"/>
          </a:lightRig>
        </a:scene3d>
        <a:sp3d>
          <a:bevelT w="50800" h="508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Simply Measured MAIN">
    <a:dk1>
      <a:srgbClr val="151515"/>
    </a:dk1>
    <a:lt1>
      <a:srgbClr val="E8E8E8"/>
    </a:lt1>
    <a:dk2>
      <a:srgbClr val="224F85"/>
    </a:dk2>
    <a:lt2>
      <a:srgbClr val="3B7AC6"/>
    </a:lt2>
    <a:accent1>
      <a:srgbClr val="40B0FF"/>
    </a:accent1>
    <a:accent2>
      <a:srgbClr val="6BB6F3"/>
    </a:accent2>
    <a:accent3>
      <a:srgbClr val="A1132E"/>
    </a:accent3>
    <a:accent4>
      <a:srgbClr val="7030A0"/>
    </a:accent4>
    <a:accent5>
      <a:srgbClr val="FF6600"/>
    </a:accent5>
    <a:accent6>
      <a:srgbClr val="FFFF00"/>
    </a:accent6>
    <a:hlink>
      <a:srgbClr val="0000FF"/>
    </a:hlink>
    <a:folHlink>
      <a:srgbClr val="800080"/>
    </a:folHlink>
  </a:clrScheme>
  <a:fontScheme name="Office">
    <a:majorFont>
      <a:latin typeface="Calibri"/>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Simply Measured MAIN">
    <a:dk1>
      <a:srgbClr val="151515"/>
    </a:dk1>
    <a:lt1>
      <a:srgbClr val="E8E8E8"/>
    </a:lt1>
    <a:dk2>
      <a:srgbClr val="224F85"/>
    </a:dk2>
    <a:lt2>
      <a:srgbClr val="3B7AC6"/>
    </a:lt2>
    <a:accent1>
      <a:srgbClr val="40B0FF"/>
    </a:accent1>
    <a:accent2>
      <a:srgbClr val="6BB6F3"/>
    </a:accent2>
    <a:accent3>
      <a:srgbClr val="A1132E"/>
    </a:accent3>
    <a:accent4>
      <a:srgbClr val="7030A0"/>
    </a:accent4>
    <a:accent5>
      <a:srgbClr val="FF6600"/>
    </a:accent5>
    <a:accent6>
      <a:srgbClr val="FFFF00"/>
    </a:accent6>
    <a:hlink>
      <a:srgbClr val="0000FF"/>
    </a:hlink>
    <a:folHlink>
      <a:srgbClr val="800080"/>
    </a:folHlink>
  </a:clrScheme>
  <a:fontScheme name="Office">
    <a:majorFont>
      <a:latin typeface="Calibri"/>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Simply Measured MAIN">
    <a:dk1>
      <a:srgbClr val="151515"/>
    </a:dk1>
    <a:lt1>
      <a:srgbClr val="E8E8E8"/>
    </a:lt1>
    <a:dk2>
      <a:srgbClr val="224F85"/>
    </a:dk2>
    <a:lt2>
      <a:srgbClr val="3B7AC6"/>
    </a:lt2>
    <a:accent1>
      <a:srgbClr val="40B0FF"/>
    </a:accent1>
    <a:accent2>
      <a:srgbClr val="6BB6F3"/>
    </a:accent2>
    <a:accent3>
      <a:srgbClr val="A1132E"/>
    </a:accent3>
    <a:accent4>
      <a:srgbClr val="7030A0"/>
    </a:accent4>
    <a:accent5>
      <a:srgbClr val="FF6600"/>
    </a:accent5>
    <a:accent6>
      <a:srgbClr val="FFFF00"/>
    </a:accent6>
    <a:hlink>
      <a:srgbClr val="0000FF"/>
    </a:hlink>
    <a:folHlink>
      <a:srgbClr val="800080"/>
    </a:folHlink>
  </a:clrScheme>
  <a:fontScheme name="Office">
    <a:majorFont>
      <a:latin typeface="Calibri"/>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Simply Measured MAIN">
    <a:dk1>
      <a:srgbClr val="151515"/>
    </a:dk1>
    <a:lt1>
      <a:srgbClr val="E8E8E8"/>
    </a:lt1>
    <a:dk2>
      <a:srgbClr val="224F85"/>
    </a:dk2>
    <a:lt2>
      <a:srgbClr val="3B7AC6"/>
    </a:lt2>
    <a:accent1>
      <a:srgbClr val="40B0FF"/>
    </a:accent1>
    <a:accent2>
      <a:srgbClr val="6BB6F3"/>
    </a:accent2>
    <a:accent3>
      <a:srgbClr val="A1132E"/>
    </a:accent3>
    <a:accent4>
      <a:srgbClr val="7030A0"/>
    </a:accent4>
    <a:accent5>
      <a:srgbClr val="FF6600"/>
    </a:accent5>
    <a:accent6>
      <a:srgbClr val="FFFF00"/>
    </a:accent6>
    <a:hlink>
      <a:srgbClr val="0000FF"/>
    </a:hlink>
    <a:folHlink>
      <a:srgbClr val="800080"/>
    </a:folHlink>
  </a:clrScheme>
  <a:fontScheme name="Office">
    <a:majorFont>
      <a:latin typeface="Calibri"/>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Simply Measured MAIN">
    <a:dk1>
      <a:srgbClr val="151515"/>
    </a:dk1>
    <a:lt1>
      <a:srgbClr val="E8E8E8"/>
    </a:lt1>
    <a:dk2>
      <a:srgbClr val="224F85"/>
    </a:dk2>
    <a:lt2>
      <a:srgbClr val="3B7AC6"/>
    </a:lt2>
    <a:accent1>
      <a:srgbClr val="40B0FF"/>
    </a:accent1>
    <a:accent2>
      <a:srgbClr val="6BB6F3"/>
    </a:accent2>
    <a:accent3>
      <a:srgbClr val="A1132E"/>
    </a:accent3>
    <a:accent4>
      <a:srgbClr val="7030A0"/>
    </a:accent4>
    <a:accent5>
      <a:srgbClr val="FF6600"/>
    </a:accent5>
    <a:accent6>
      <a:srgbClr val="FFFF00"/>
    </a:accent6>
    <a:hlink>
      <a:srgbClr val="0000FF"/>
    </a:hlink>
    <a:folHlink>
      <a:srgbClr val="800080"/>
    </a:folHlink>
  </a:clrScheme>
  <a:fontScheme name="Office">
    <a:majorFont>
      <a:latin typeface="Calibri"/>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Custom 2">
    <a:dk1>
      <a:srgbClr val="0C0C0C"/>
    </a:dk1>
    <a:lt1>
      <a:srgbClr val="FFFFFF"/>
    </a:lt1>
    <a:dk2>
      <a:srgbClr val="014A98"/>
    </a:dk2>
    <a:lt2>
      <a:srgbClr val="A8D2FE"/>
    </a:lt2>
    <a:accent1>
      <a:srgbClr val="D7EAFD"/>
    </a:accent1>
    <a:accent2>
      <a:srgbClr val="F8FAFF"/>
    </a:accent2>
    <a:accent3>
      <a:srgbClr val="FEFF86"/>
    </a:accent3>
    <a:accent4>
      <a:srgbClr val="FEFFBC"/>
    </a:accent4>
    <a:accent5>
      <a:srgbClr val="00B0F0"/>
    </a:accent5>
    <a:accent6>
      <a:srgbClr val="43CEFF"/>
    </a:accent6>
    <a:hlink>
      <a:srgbClr val="C5F0FF"/>
    </a:hlink>
    <a:folHlink>
      <a:srgbClr val="FDF709"/>
    </a:folHlink>
  </a:clrScheme>
  <a:fontScheme name="Office">
    <a:majorFont>
      <a:latin typeface="Calibri"/>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Apex">
    <a:fillStyleLst>
      <a:solidFill>
        <a:schemeClr val="phClr"/>
      </a:solidFill>
      <a:gradFill rotWithShape="1">
        <a:gsLst>
          <a:gs pos="20000">
            <a:schemeClr val="phClr">
              <a:tint val="9000"/>
            </a:schemeClr>
          </a:gs>
          <a:gs pos="100000">
            <a:schemeClr val="phClr">
              <a:tint val="70000"/>
              <a:satMod val="100000"/>
            </a:schemeClr>
          </a:gs>
        </a:gsLst>
        <a:path path="circle">
          <a:fillToRect l="-15000" t="-15000" r="115000" b="115000"/>
        </a:path>
      </a:gradFill>
      <a:gradFill rotWithShape="1">
        <a:gsLst>
          <a:gs pos="0">
            <a:schemeClr val="phClr">
              <a:shade val="60000"/>
            </a:schemeClr>
          </a:gs>
          <a:gs pos="33000">
            <a:schemeClr val="phClr">
              <a:tint val="86500"/>
            </a:schemeClr>
          </a:gs>
          <a:gs pos="46750">
            <a:schemeClr val="phClr">
              <a:tint val="71000"/>
              <a:satMod val="112000"/>
            </a:schemeClr>
          </a:gs>
          <a:gs pos="53000">
            <a:schemeClr val="phClr">
              <a:tint val="71000"/>
              <a:satMod val="112000"/>
            </a:schemeClr>
          </a:gs>
          <a:gs pos="68000">
            <a:schemeClr val="phClr">
              <a:tint val="86000"/>
            </a:schemeClr>
          </a:gs>
          <a:gs pos="100000">
            <a:schemeClr val="phClr">
              <a:shade val="60000"/>
            </a:schemeClr>
          </a:gs>
        </a:gsLst>
        <a:lin ang="8350000" scaled="1"/>
      </a:gradFill>
    </a:fillStyleLst>
    <a:lnStyleLst>
      <a:ln w="9525" cap="flat" cmpd="sng" algn="ctr">
        <a:solidFill>
          <a:schemeClr val="phClr">
            <a:shade val="48000"/>
            <a:satMod val="110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130000" dist="101600" dir="2700000" algn="tl" rotWithShape="0">
            <a:srgbClr val="000000">
              <a:alpha val="35000"/>
            </a:srgbClr>
          </a:outerShdw>
        </a:effectLst>
      </a:effectStyle>
      <a:effectStyle>
        <a:effectLst>
          <a:outerShdw blurRad="190500" dist="228600" dir="2700000" sy="90000" rotWithShape="0">
            <a:srgbClr val="000000">
              <a:alpha val="25500"/>
            </a:srgbClr>
          </a:outerShdw>
        </a:effectLst>
      </a:effectStyle>
      <a:effectStyle>
        <a:effectLst>
          <a:outerShdw blurRad="190500" dist="228600" dir="2700000" sy="90000" rotWithShape="0">
            <a:srgbClr val="000000">
              <a:alpha val="25500"/>
            </a:srgbClr>
          </a:outerShdw>
        </a:effectLst>
        <a:scene3d>
          <a:camera prst="orthographicFront" fov="0">
            <a:rot lat="0" lon="0" rev="0"/>
          </a:camera>
          <a:lightRig rig="soft" dir="tl">
            <a:rot lat="0" lon="0" rev="20100000"/>
          </a:lightRig>
        </a:scene3d>
        <a:sp3d>
          <a:bevelT w="50800" h="508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Custom 2">
    <a:dk1>
      <a:srgbClr val="0C0C0C"/>
    </a:dk1>
    <a:lt1>
      <a:srgbClr val="FFFFFF"/>
    </a:lt1>
    <a:dk2>
      <a:srgbClr val="014A98"/>
    </a:dk2>
    <a:lt2>
      <a:srgbClr val="A8D2FE"/>
    </a:lt2>
    <a:accent1>
      <a:srgbClr val="D7EAFD"/>
    </a:accent1>
    <a:accent2>
      <a:srgbClr val="F8FAFF"/>
    </a:accent2>
    <a:accent3>
      <a:srgbClr val="FEFF86"/>
    </a:accent3>
    <a:accent4>
      <a:srgbClr val="FEFFBC"/>
    </a:accent4>
    <a:accent5>
      <a:srgbClr val="00B0F0"/>
    </a:accent5>
    <a:accent6>
      <a:srgbClr val="43CEFF"/>
    </a:accent6>
    <a:hlink>
      <a:srgbClr val="C5F0FF"/>
    </a:hlink>
    <a:folHlink>
      <a:srgbClr val="FDF709"/>
    </a:folHlink>
  </a:clrScheme>
  <a:fontScheme name="Office">
    <a:majorFont>
      <a:latin typeface="Calibri"/>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Apex">
    <a:fillStyleLst>
      <a:solidFill>
        <a:schemeClr val="phClr"/>
      </a:solidFill>
      <a:gradFill rotWithShape="1">
        <a:gsLst>
          <a:gs pos="20000">
            <a:schemeClr val="phClr">
              <a:tint val="9000"/>
            </a:schemeClr>
          </a:gs>
          <a:gs pos="100000">
            <a:schemeClr val="phClr">
              <a:tint val="70000"/>
              <a:satMod val="100000"/>
            </a:schemeClr>
          </a:gs>
        </a:gsLst>
        <a:path path="circle">
          <a:fillToRect l="-15000" t="-15000" r="115000" b="115000"/>
        </a:path>
      </a:gradFill>
      <a:gradFill rotWithShape="1">
        <a:gsLst>
          <a:gs pos="0">
            <a:schemeClr val="phClr">
              <a:shade val="60000"/>
            </a:schemeClr>
          </a:gs>
          <a:gs pos="33000">
            <a:schemeClr val="phClr">
              <a:tint val="86500"/>
            </a:schemeClr>
          </a:gs>
          <a:gs pos="46750">
            <a:schemeClr val="phClr">
              <a:tint val="71000"/>
              <a:satMod val="112000"/>
            </a:schemeClr>
          </a:gs>
          <a:gs pos="53000">
            <a:schemeClr val="phClr">
              <a:tint val="71000"/>
              <a:satMod val="112000"/>
            </a:schemeClr>
          </a:gs>
          <a:gs pos="68000">
            <a:schemeClr val="phClr">
              <a:tint val="86000"/>
            </a:schemeClr>
          </a:gs>
          <a:gs pos="100000">
            <a:schemeClr val="phClr">
              <a:shade val="60000"/>
            </a:schemeClr>
          </a:gs>
        </a:gsLst>
        <a:lin ang="8350000" scaled="1"/>
      </a:gradFill>
    </a:fillStyleLst>
    <a:lnStyleLst>
      <a:ln w="9525" cap="flat" cmpd="sng" algn="ctr">
        <a:solidFill>
          <a:schemeClr val="phClr">
            <a:shade val="48000"/>
            <a:satMod val="110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130000" dist="101600" dir="2700000" algn="tl" rotWithShape="0">
            <a:srgbClr val="000000">
              <a:alpha val="35000"/>
            </a:srgbClr>
          </a:outerShdw>
        </a:effectLst>
      </a:effectStyle>
      <a:effectStyle>
        <a:effectLst>
          <a:outerShdw blurRad="190500" dist="228600" dir="2700000" sy="90000" rotWithShape="0">
            <a:srgbClr val="000000">
              <a:alpha val="25500"/>
            </a:srgbClr>
          </a:outerShdw>
        </a:effectLst>
      </a:effectStyle>
      <a:effectStyle>
        <a:effectLst>
          <a:outerShdw blurRad="190500" dist="228600" dir="2700000" sy="90000" rotWithShape="0">
            <a:srgbClr val="000000">
              <a:alpha val="25500"/>
            </a:srgbClr>
          </a:outerShdw>
        </a:effectLst>
        <a:scene3d>
          <a:camera prst="orthographicFront" fov="0">
            <a:rot lat="0" lon="0" rev="0"/>
          </a:camera>
          <a:lightRig rig="soft" dir="tl">
            <a:rot lat="0" lon="0" rev="20100000"/>
          </a:lightRig>
        </a:scene3d>
        <a:sp3d>
          <a:bevelT w="50800" h="508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Simply Measured MAIN">
    <a:dk1>
      <a:srgbClr val="151515"/>
    </a:dk1>
    <a:lt1>
      <a:srgbClr val="E8E8E8"/>
    </a:lt1>
    <a:dk2>
      <a:srgbClr val="224F85"/>
    </a:dk2>
    <a:lt2>
      <a:srgbClr val="3B7AC6"/>
    </a:lt2>
    <a:accent1>
      <a:srgbClr val="40B0FF"/>
    </a:accent1>
    <a:accent2>
      <a:srgbClr val="6BB6F3"/>
    </a:accent2>
    <a:accent3>
      <a:srgbClr val="A1132E"/>
    </a:accent3>
    <a:accent4>
      <a:srgbClr val="7030A0"/>
    </a:accent4>
    <a:accent5>
      <a:srgbClr val="FF6600"/>
    </a:accent5>
    <a:accent6>
      <a:srgbClr val="FFFF00"/>
    </a:accent6>
    <a:hlink>
      <a:srgbClr val="0000FF"/>
    </a:hlink>
    <a:folHlink>
      <a:srgbClr val="800080"/>
    </a:folHlink>
  </a:clrScheme>
  <a:fontScheme name="Office">
    <a:majorFont>
      <a:latin typeface="Calibri"/>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Simply Measured MAIN">
    <a:dk1>
      <a:srgbClr val="151515"/>
    </a:dk1>
    <a:lt1>
      <a:srgbClr val="E8E8E8"/>
    </a:lt1>
    <a:dk2>
      <a:srgbClr val="224F85"/>
    </a:dk2>
    <a:lt2>
      <a:srgbClr val="3B7AC6"/>
    </a:lt2>
    <a:accent1>
      <a:srgbClr val="40B0FF"/>
    </a:accent1>
    <a:accent2>
      <a:srgbClr val="6BB6F3"/>
    </a:accent2>
    <a:accent3>
      <a:srgbClr val="A1132E"/>
    </a:accent3>
    <a:accent4>
      <a:srgbClr val="7030A0"/>
    </a:accent4>
    <a:accent5>
      <a:srgbClr val="FF6600"/>
    </a:accent5>
    <a:accent6>
      <a:srgbClr val="FFFF00"/>
    </a:accent6>
    <a:hlink>
      <a:srgbClr val="0000FF"/>
    </a:hlink>
    <a:folHlink>
      <a:srgbClr val="800080"/>
    </a:folHlink>
  </a:clrScheme>
  <a:fontScheme name="Office">
    <a:majorFont>
      <a:latin typeface="Calibri"/>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Simply Measured MAIN">
    <a:dk1>
      <a:srgbClr val="151515"/>
    </a:dk1>
    <a:lt1>
      <a:srgbClr val="E8E8E8"/>
    </a:lt1>
    <a:dk2>
      <a:srgbClr val="224F85"/>
    </a:dk2>
    <a:lt2>
      <a:srgbClr val="3B7AC6"/>
    </a:lt2>
    <a:accent1>
      <a:srgbClr val="40B0FF"/>
    </a:accent1>
    <a:accent2>
      <a:srgbClr val="6BB6F3"/>
    </a:accent2>
    <a:accent3>
      <a:srgbClr val="A1132E"/>
    </a:accent3>
    <a:accent4>
      <a:srgbClr val="7030A0"/>
    </a:accent4>
    <a:accent5>
      <a:srgbClr val="FF6600"/>
    </a:accent5>
    <a:accent6>
      <a:srgbClr val="FFFF00"/>
    </a:accent6>
    <a:hlink>
      <a:srgbClr val="0000FF"/>
    </a:hlink>
    <a:folHlink>
      <a:srgbClr val="800080"/>
    </a:folHlink>
  </a:clrScheme>
  <a:fontScheme name="Office">
    <a:majorFont>
      <a:latin typeface="Calibri"/>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Custom 2">
    <a:dk1>
      <a:srgbClr val="0C0C0C"/>
    </a:dk1>
    <a:lt1>
      <a:srgbClr val="FFFFFF"/>
    </a:lt1>
    <a:dk2>
      <a:srgbClr val="014A98"/>
    </a:dk2>
    <a:lt2>
      <a:srgbClr val="A8D2FE"/>
    </a:lt2>
    <a:accent1>
      <a:srgbClr val="D7EAFD"/>
    </a:accent1>
    <a:accent2>
      <a:srgbClr val="F8FAFF"/>
    </a:accent2>
    <a:accent3>
      <a:srgbClr val="FEFF86"/>
    </a:accent3>
    <a:accent4>
      <a:srgbClr val="FEFFBC"/>
    </a:accent4>
    <a:accent5>
      <a:srgbClr val="00B0F0"/>
    </a:accent5>
    <a:accent6>
      <a:srgbClr val="43CEFF"/>
    </a:accent6>
    <a:hlink>
      <a:srgbClr val="C5F0FF"/>
    </a:hlink>
    <a:folHlink>
      <a:srgbClr val="FDF709"/>
    </a:folHlink>
  </a:clrScheme>
  <a:fontScheme name="Office">
    <a:majorFont>
      <a:latin typeface="Calibri"/>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Apex">
    <a:fillStyleLst>
      <a:solidFill>
        <a:schemeClr val="phClr"/>
      </a:solidFill>
      <a:gradFill rotWithShape="1">
        <a:gsLst>
          <a:gs pos="20000">
            <a:schemeClr val="phClr">
              <a:tint val="9000"/>
            </a:schemeClr>
          </a:gs>
          <a:gs pos="100000">
            <a:schemeClr val="phClr">
              <a:tint val="70000"/>
              <a:satMod val="100000"/>
            </a:schemeClr>
          </a:gs>
        </a:gsLst>
        <a:path path="circle">
          <a:fillToRect l="-15000" t="-15000" r="115000" b="115000"/>
        </a:path>
      </a:gradFill>
      <a:gradFill rotWithShape="1">
        <a:gsLst>
          <a:gs pos="0">
            <a:schemeClr val="phClr">
              <a:shade val="60000"/>
            </a:schemeClr>
          </a:gs>
          <a:gs pos="33000">
            <a:schemeClr val="phClr">
              <a:tint val="86500"/>
            </a:schemeClr>
          </a:gs>
          <a:gs pos="46750">
            <a:schemeClr val="phClr">
              <a:tint val="71000"/>
              <a:satMod val="112000"/>
            </a:schemeClr>
          </a:gs>
          <a:gs pos="53000">
            <a:schemeClr val="phClr">
              <a:tint val="71000"/>
              <a:satMod val="112000"/>
            </a:schemeClr>
          </a:gs>
          <a:gs pos="68000">
            <a:schemeClr val="phClr">
              <a:tint val="86000"/>
            </a:schemeClr>
          </a:gs>
          <a:gs pos="100000">
            <a:schemeClr val="phClr">
              <a:shade val="60000"/>
            </a:schemeClr>
          </a:gs>
        </a:gsLst>
        <a:lin ang="8350000" scaled="1"/>
      </a:gradFill>
    </a:fillStyleLst>
    <a:lnStyleLst>
      <a:ln w="9525" cap="flat" cmpd="sng" algn="ctr">
        <a:solidFill>
          <a:schemeClr val="phClr">
            <a:shade val="48000"/>
            <a:satMod val="110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130000" dist="101600" dir="2700000" algn="tl" rotWithShape="0">
            <a:srgbClr val="000000">
              <a:alpha val="35000"/>
            </a:srgbClr>
          </a:outerShdw>
        </a:effectLst>
      </a:effectStyle>
      <a:effectStyle>
        <a:effectLst>
          <a:outerShdw blurRad="190500" dist="228600" dir="2700000" sy="90000" rotWithShape="0">
            <a:srgbClr val="000000">
              <a:alpha val="25500"/>
            </a:srgbClr>
          </a:outerShdw>
        </a:effectLst>
      </a:effectStyle>
      <a:effectStyle>
        <a:effectLst>
          <a:outerShdw blurRad="190500" dist="228600" dir="2700000" sy="90000" rotWithShape="0">
            <a:srgbClr val="000000">
              <a:alpha val="25500"/>
            </a:srgbClr>
          </a:outerShdw>
        </a:effectLst>
        <a:scene3d>
          <a:camera prst="orthographicFront" fov="0">
            <a:rot lat="0" lon="0" rev="0"/>
          </a:camera>
          <a:lightRig rig="soft" dir="tl">
            <a:rot lat="0" lon="0" rev="20100000"/>
          </a:lightRig>
        </a:scene3d>
        <a:sp3d>
          <a:bevelT w="50800" h="508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Custom 2">
    <a:dk1>
      <a:srgbClr val="0C0C0C"/>
    </a:dk1>
    <a:lt1>
      <a:srgbClr val="FFFFFF"/>
    </a:lt1>
    <a:dk2>
      <a:srgbClr val="014A98"/>
    </a:dk2>
    <a:lt2>
      <a:srgbClr val="A8D2FE"/>
    </a:lt2>
    <a:accent1>
      <a:srgbClr val="D7EAFD"/>
    </a:accent1>
    <a:accent2>
      <a:srgbClr val="F8FAFF"/>
    </a:accent2>
    <a:accent3>
      <a:srgbClr val="FEFF86"/>
    </a:accent3>
    <a:accent4>
      <a:srgbClr val="FEFFBC"/>
    </a:accent4>
    <a:accent5>
      <a:srgbClr val="00B0F0"/>
    </a:accent5>
    <a:accent6>
      <a:srgbClr val="43CEFF"/>
    </a:accent6>
    <a:hlink>
      <a:srgbClr val="C5F0FF"/>
    </a:hlink>
    <a:folHlink>
      <a:srgbClr val="FDF709"/>
    </a:folHlink>
  </a:clrScheme>
  <a:fontScheme name="Office">
    <a:majorFont>
      <a:latin typeface="Calibri"/>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Apex">
    <a:fillStyleLst>
      <a:solidFill>
        <a:schemeClr val="phClr"/>
      </a:solidFill>
      <a:gradFill rotWithShape="1">
        <a:gsLst>
          <a:gs pos="20000">
            <a:schemeClr val="phClr">
              <a:tint val="9000"/>
            </a:schemeClr>
          </a:gs>
          <a:gs pos="100000">
            <a:schemeClr val="phClr">
              <a:tint val="70000"/>
              <a:satMod val="100000"/>
            </a:schemeClr>
          </a:gs>
        </a:gsLst>
        <a:path path="circle">
          <a:fillToRect l="-15000" t="-15000" r="115000" b="115000"/>
        </a:path>
      </a:gradFill>
      <a:gradFill rotWithShape="1">
        <a:gsLst>
          <a:gs pos="0">
            <a:schemeClr val="phClr">
              <a:shade val="60000"/>
            </a:schemeClr>
          </a:gs>
          <a:gs pos="33000">
            <a:schemeClr val="phClr">
              <a:tint val="86500"/>
            </a:schemeClr>
          </a:gs>
          <a:gs pos="46750">
            <a:schemeClr val="phClr">
              <a:tint val="71000"/>
              <a:satMod val="112000"/>
            </a:schemeClr>
          </a:gs>
          <a:gs pos="53000">
            <a:schemeClr val="phClr">
              <a:tint val="71000"/>
              <a:satMod val="112000"/>
            </a:schemeClr>
          </a:gs>
          <a:gs pos="68000">
            <a:schemeClr val="phClr">
              <a:tint val="86000"/>
            </a:schemeClr>
          </a:gs>
          <a:gs pos="100000">
            <a:schemeClr val="phClr">
              <a:shade val="60000"/>
            </a:schemeClr>
          </a:gs>
        </a:gsLst>
        <a:lin ang="8350000" scaled="1"/>
      </a:gradFill>
    </a:fillStyleLst>
    <a:lnStyleLst>
      <a:ln w="9525" cap="flat" cmpd="sng" algn="ctr">
        <a:solidFill>
          <a:schemeClr val="phClr">
            <a:shade val="48000"/>
            <a:satMod val="110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130000" dist="101600" dir="2700000" algn="tl" rotWithShape="0">
            <a:srgbClr val="000000">
              <a:alpha val="35000"/>
            </a:srgbClr>
          </a:outerShdw>
        </a:effectLst>
      </a:effectStyle>
      <a:effectStyle>
        <a:effectLst>
          <a:outerShdw blurRad="190500" dist="228600" dir="2700000" sy="90000" rotWithShape="0">
            <a:srgbClr val="000000">
              <a:alpha val="25500"/>
            </a:srgbClr>
          </a:outerShdw>
        </a:effectLst>
      </a:effectStyle>
      <a:effectStyle>
        <a:effectLst>
          <a:outerShdw blurRad="190500" dist="228600" dir="2700000" sy="90000" rotWithShape="0">
            <a:srgbClr val="000000">
              <a:alpha val="25500"/>
            </a:srgbClr>
          </a:outerShdw>
        </a:effectLst>
        <a:scene3d>
          <a:camera prst="orthographicFront" fov="0">
            <a:rot lat="0" lon="0" rev="0"/>
          </a:camera>
          <a:lightRig rig="soft" dir="tl">
            <a:rot lat="0" lon="0" rev="20100000"/>
          </a:lightRig>
        </a:scene3d>
        <a:sp3d>
          <a:bevelT w="50800" h="508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autoPageBreaks="0" fitToPage="1"/>
  </sheetPr>
  <dimension ref="A1:AZ258"/>
  <sheetViews>
    <sheetView showGridLines="0" tabSelected="1" zoomScaleNormal="100" zoomScaleSheetLayoutView="100" workbookViewId="0">
      <pane ySplit="4" topLeftCell="A5" activePane="bottomLeft" state="frozen"/>
      <selection activeCell="AC27" sqref="AC27"/>
      <selection pane="bottomLeft" activeCell="N3" sqref="N3"/>
    </sheetView>
  </sheetViews>
  <sheetFormatPr defaultColWidth="8.85546875" defaultRowHeight="15" outlineLevelRow="1" x14ac:dyDescent="0.25"/>
  <cols>
    <col min="1" max="1" width="3.7109375" style="206" customWidth="1"/>
    <col min="2" max="7" width="7.85546875" style="206" customWidth="1"/>
    <col min="8" max="8" width="8.5703125" style="206" customWidth="1"/>
    <col min="9" max="10" width="8.5703125" style="207" customWidth="1"/>
    <col min="11" max="12" width="8.7109375" style="206" customWidth="1"/>
    <col min="13" max="13" width="0.85546875" style="206" customWidth="1"/>
    <col min="14" max="14" width="8.5703125" style="206" customWidth="1"/>
    <col min="15" max="15" width="0.85546875" style="206" customWidth="1"/>
    <col min="16" max="19" width="7.85546875" style="206" customWidth="1"/>
    <col min="20" max="20" width="2.140625" style="206" customWidth="1"/>
    <col min="21" max="22" width="7.85546875" style="206" customWidth="1"/>
    <col min="23" max="24" width="8.85546875" style="206"/>
    <col min="25" max="25" width="3.28515625" style="206" customWidth="1"/>
    <col min="26" max="51" width="8.85546875" style="206"/>
  </cols>
  <sheetData>
    <row r="1" spans="1:52" s="23" customFormat="1" ht="12.75" customHeight="1" x14ac:dyDescent="0.25">
      <c r="A1" s="258" t="str">
        <f ca="1">IFERROR(IF(INFO("SYSTEM")="pcdos",IF(INT(LEFT(INFO("RELEASE"), LEN(INFO("RELEASE"))-2))&lt;13,"WARNING: YOU MAY BE USING A VERSION OF MICROSOFT EXCEL THAT WE DO NOT SUPPORT",""),""),"WARNING: YOU MAY BE USING A VERSION OF MICROSOFT EXCEL THAT WE DO NOT SUPPORT")</f>
        <v/>
      </c>
      <c r="B1" s="258"/>
      <c r="C1" s="258"/>
      <c r="D1" s="258"/>
      <c r="E1" s="258"/>
      <c r="F1" s="258"/>
      <c r="G1" s="258"/>
      <c r="H1" s="258"/>
      <c r="I1" s="258"/>
      <c r="J1" s="258"/>
      <c r="K1" s="258"/>
      <c r="L1" s="258"/>
      <c r="M1" s="258"/>
      <c r="N1" s="258"/>
      <c r="O1" s="258"/>
      <c r="P1" s="258"/>
      <c r="Q1" s="258"/>
      <c r="R1" s="258"/>
      <c r="S1" s="258"/>
      <c r="T1" s="258"/>
      <c r="U1" s="258"/>
      <c r="V1" s="258"/>
      <c r="W1" s="258"/>
      <c r="X1" s="258"/>
    </row>
    <row r="2" spans="1:52" s="24" customFormat="1" ht="11.25" customHeight="1" x14ac:dyDescent="0.25">
      <c r="H2" s="24" t="s">
        <v>55</v>
      </c>
      <c r="M2" s="25"/>
      <c r="N2" s="25"/>
      <c r="O2" s="25"/>
      <c r="P2" s="26" t="s">
        <v>56</v>
      </c>
      <c r="R2" s="259" t="s">
        <v>57</v>
      </c>
      <c r="S2" s="259"/>
      <c r="T2" s="259"/>
      <c r="U2" s="259"/>
      <c r="V2" s="259"/>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row>
    <row r="3" spans="1:52" s="28" customFormat="1" ht="17.25" customHeight="1" x14ac:dyDescent="0.25">
      <c r="G3" s="29" t="s">
        <v>58</v>
      </c>
      <c r="H3" s="260">
        <f>Controls!E32</f>
        <v>42958</v>
      </c>
      <c r="I3" s="261"/>
      <c r="J3" s="30" t="s">
        <v>59</v>
      </c>
      <c r="K3" s="260">
        <f>Controls!F32</f>
        <v>42987.999988425923</v>
      </c>
      <c r="L3" s="261"/>
      <c r="N3" s="31" t="str">
        <f>Controls!H32</f>
        <v>Daily</v>
      </c>
      <c r="P3" s="32">
        <v>5</v>
      </c>
      <c r="R3" s="262" t="str">
        <f>HYPERLINK(Controls!C37,"View on Web")</f>
        <v>View on Web</v>
      </c>
      <c r="S3" s="263"/>
      <c r="U3" s="264" t="str">
        <f ca="1">HYPERLINK(Controls!G37,"Upload to Web")</f>
        <v>Upload to Web</v>
      </c>
      <c r="V3" s="265"/>
    </row>
    <row r="4" spans="1:52" s="33" customFormat="1" ht="12.75" customHeight="1" x14ac:dyDescent="0.25"/>
    <row r="5" spans="1:52" ht="7.5" hidden="1" customHeight="1" outlineLevel="1" x14ac:dyDescent="0.25">
      <c r="A5" s="34"/>
      <c r="B5" s="35"/>
      <c r="C5" s="35"/>
      <c r="D5" s="35"/>
      <c r="E5" s="36"/>
      <c r="F5" s="37"/>
      <c r="G5" s="37"/>
      <c r="H5" s="37"/>
      <c r="I5" s="38"/>
      <c r="J5" s="39"/>
      <c r="K5" s="40"/>
      <c r="L5" s="35"/>
      <c r="M5" s="35"/>
      <c r="N5" s="35"/>
      <c r="O5" s="35"/>
      <c r="P5" s="35"/>
      <c r="Q5" s="35"/>
      <c r="R5" s="35"/>
      <c r="S5" s="35"/>
      <c r="T5" s="35"/>
      <c r="U5" s="35"/>
      <c r="V5" s="35"/>
      <c r="W5" s="35"/>
      <c r="X5" s="35"/>
      <c r="Y5" s="35"/>
      <c r="Z5" s="35"/>
      <c r="AA5" s="35"/>
      <c r="AB5" s="35"/>
      <c r="AC5" s="35"/>
      <c r="AD5" s="35"/>
      <c r="AE5" s="35"/>
      <c r="AF5" s="35"/>
      <c r="AG5" s="35"/>
      <c r="AH5" s="35"/>
      <c r="AI5" s="35"/>
      <c r="AJ5" s="35"/>
      <c r="AK5" s="35"/>
      <c r="AL5" s="35"/>
      <c r="AM5" s="35"/>
      <c r="AN5" s="35"/>
      <c r="AO5" s="35"/>
      <c r="AP5" s="35"/>
      <c r="AQ5" s="35"/>
      <c r="AR5" s="35"/>
      <c r="AS5" s="35"/>
      <c r="AT5" s="35"/>
      <c r="AU5" s="35"/>
      <c r="AV5" s="35"/>
      <c r="AW5" s="35"/>
      <c r="AX5" s="35"/>
      <c r="AY5" s="35"/>
    </row>
    <row r="6" spans="1:52" ht="15.75" hidden="1" outlineLevel="1" x14ac:dyDescent="0.25">
      <c r="A6" s="34"/>
      <c r="B6" s="35"/>
      <c r="C6" s="35"/>
      <c r="D6" s="35"/>
      <c r="E6" s="36"/>
      <c r="F6" s="41"/>
      <c r="G6" s="42" t="s">
        <v>60</v>
      </c>
      <c r="H6" s="260" t="s">
        <v>19</v>
      </c>
      <c r="I6" s="261"/>
      <c r="J6" s="39"/>
      <c r="K6" s="40"/>
      <c r="L6" s="35"/>
      <c r="M6" s="35"/>
      <c r="N6" s="35"/>
      <c r="O6" s="35"/>
      <c r="P6" s="35"/>
      <c r="Q6" s="35"/>
      <c r="R6" s="35"/>
      <c r="S6" s="35"/>
      <c r="T6" s="35"/>
      <c r="U6" s="35"/>
      <c r="V6" s="35"/>
      <c r="W6" s="35"/>
      <c r="X6" s="35"/>
      <c r="Y6" s="35"/>
      <c r="Z6" s="35"/>
      <c r="AA6" s="35"/>
      <c r="AB6" s="35"/>
      <c r="AC6" s="35"/>
      <c r="AD6" s="35"/>
      <c r="AE6" s="35"/>
      <c r="AF6" s="35"/>
      <c r="AG6" s="35"/>
      <c r="AH6" s="35"/>
      <c r="AI6" s="35"/>
      <c r="AJ6" s="35"/>
      <c r="AK6" s="35"/>
      <c r="AL6" s="35"/>
      <c r="AM6" s="35"/>
      <c r="AN6" s="35"/>
      <c r="AO6" s="35"/>
      <c r="AP6" s="35"/>
      <c r="AQ6" s="35"/>
      <c r="AR6" s="35"/>
      <c r="AS6" s="35"/>
      <c r="AT6" s="35"/>
      <c r="AU6" s="35"/>
      <c r="AV6" s="35"/>
      <c r="AW6" s="35"/>
      <c r="AX6" s="35"/>
      <c r="AY6" s="35"/>
    </row>
    <row r="7" spans="1:52" ht="7.5" hidden="1" customHeight="1" outlineLevel="1" x14ac:dyDescent="0.25">
      <c r="A7" s="34"/>
      <c r="B7" s="35"/>
      <c r="C7" s="35"/>
      <c r="D7" s="35"/>
      <c r="E7" s="43"/>
      <c r="F7" s="44"/>
      <c r="G7" s="44"/>
      <c r="H7" s="44"/>
      <c r="I7" s="44"/>
      <c r="J7" s="44"/>
      <c r="K7" s="45"/>
      <c r="L7" s="35"/>
      <c r="M7" s="35"/>
      <c r="N7" s="35"/>
      <c r="O7" s="35"/>
      <c r="P7" s="35"/>
      <c r="Q7" s="35"/>
      <c r="R7" s="35"/>
      <c r="S7" s="35"/>
      <c r="T7" s="35"/>
      <c r="U7" s="35"/>
      <c r="V7" s="35"/>
      <c r="W7" s="35"/>
      <c r="X7" s="35"/>
      <c r="Y7" s="35"/>
      <c r="Z7" s="35"/>
      <c r="AA7" s="35"/>
      <c r="AB7" s="35"/>
      <c r="AC7" s="35"/>
      <c r="AD7" s="35"/>
      <c r="AE7" s="35"/>
      <c r="AF7" s="35"/>
      <c r="AG7" s="35"/>
      <c r="AH7" s="35"/>
      <c r="AI7" s="35"/>
      <c r="AJ7" s="35"/>
      <c r="AK7" s="35"/>
      <c r="AL7" s="35"/>
      <c r="AM7" s="35"/>
      <c r="AN7" s="35"/>
      <c r="AO7" s="35"/>
      <c r="AP7" s="35"/>
      <c r="AQ7" s="35"/>
      <c r="AR7" s="35"/>
      <c r="AS7" s="35"/>
      <c r="AT7" s="35"/>
      <c r="AU7" s="35"/>
      <c r="AV7" s="35"/>
      <c r="AW7" s="35"/>
      <c r="AX7" s="35"/>
      <c r="AY7" s="35"/>
    </row>
    <row r="8" spans="1:52" collapsed="1" x14ac:dyDescent="0.25">
      <c r="A8" s="34"/>
      <c r="B8" s="208"/>
      <c r="C8" s="209"/>
      <c r="I8" s="206"/>
      <c r="J8" s="206"/>
    </row>
    <row r="9" spans="1:52" x14ac:dyDescent="0.25">
      <c r="AZ9" s="21"/>
    </row>
    <row r="10" spans="1:52" x14ac:dyDescent="0.25">
      <c r="AZ10" s="21"/>
    </row>
    <row r="11" spans="1:52" x14ac:dyDescent="0.25">
      <c r="AZ11" s="21"/>
    </row>
    <row r="12" spans="1:52" x14ac:dyDescent="0.25">
      <c r="AZ12" s="21"/>
    </row>
    <row r="13" spans="1:52" x14ac:dyDescent="0.25">
      <c r="AZ13" s="21"/>
    </row>
    <row r="14" spans="1:52" x14ac:dyDescent="0.25">
      <c r="AZ14" s="21"/>
    </row>
    <row r="15" spans="1:52" x14ac:dyDescent="0.25">
      <c r="AZ15" s="21"/>
    </row>
    <row r="16" spans="1:52" x14ac:dyDescent="0.25">
      <c r="AZ16" s="21"/>
    </row>
    <row r="17" spans="52:52" x14ac:dyDescent="0.25">
      <c r="AZ17" s="21"/>
    </row>
    <row r="18" spans="52:52" x14ac:dyDescent="0.25">
      <c r="AZ18" s="21"/>
    </row>
    <row r="19" spans="52:52" x14ac:dyDescent="0.25">
      <c r="AZ19" s="21"/>
    </row>
    <row r="20" spans="52:52" x14ac:dyDescent="0.25">
      <c r="AZ20" s="21"/>
    </row>
    <row r="21" spans="52:52" x14ac:dyDescent="0.25">
      <c r="AZ21" s="21"/>
    </row>
    <row r="22" spans="52:52" x14ac:dyDescent="0.25">
      <c r="AZ22" s="21"/>
    </row>
    <row r="23" spans="52:52" x14ac:dyDescent="0.25">
      <c r="AZ23" s="21"/>
    </row>
    <row r="24" spans="52:52" x14ac:dyDescent="0.25">
      <c r="AZ24" s="21"/>
    </row>
    <row r="38" spans="2:52" x14ac:dyDescent="0.25">
      <c r="B38" s="208"/>
      <c r="C38" s="209"/>
      <c r="I38" s="206"/>
      <c r="J38" s="206"/>
    </row>
    <row r="39" spans="2:52" x14ac:dyDescent="0.25">
      <c r="AZ39" s="21"/>
    </row>
    <row r="40" spans="2:52" x14ac:dyDescent="0.25">
      <c r="AZ40" s="21"/>
    </row>
    <row r="41" spans="2:52" x14ac:dyDescent="0.25">
      <c r="AZ41" s="21"/>
    </row>
    <row r="42" spans="2:52" x14ac:dyDescent="0.25">
      <c r="AZ42" s="21"/>
    </row>
    <row r="43" spans="2:52" x14ac:dyDescent="0.25">
      <c r="AZ43" s="21"/>
    </row>
    <row r="44" spans="2:52" x14ac:dyDescent="0.25">
      <c r="AZ44" s="21"/>
    </row>
    <row r="45" spans="2:52" x14ac:dyDescent="0.25">
      <c r="AZ45" s="21"/>
    </row>
    <row r="46" spans="2:52" x14ac:dyDescent="0.25">
      <c r="AZ46" s="21"/>
    </row>
    <row r="47" spans="2:52" x14ac:dyDescent="0.25">
      <c r="AZ47" s="21"/>
    </row>
    <row r="48" spans="2:52" x14ac:dyDescent="0.25">
      <c r="AZ48" s="21"/>
    </row>
    <row r="49" spans="52:52" x14ac:dyDescent="0.25">
      <c r="AZ49" s="21"/>
    </row>
    <row r="50" spans="52:52" x14ac:dyDescent="0.25">
      <c r="AZ50" s="21"/>
    </row>
    <row r="51" spans="52:52" x14ac:dyDescent="0.25">
      <c r="AZ51" s="21"/>
    </row>
    <row r="79" spans="29:29" x14ac:dyDescent="0.25">
      <c r="AC79" s="206" t="s">
        <v>2468</v>
      </c>
    </row>
    <row r="91" ht="15" customHeight="1" x14ac:dyDescent="0.25"/>
    <row r="92" ht="15" customHeight="1" x14ac:dyDescent="0.25"/>
    <row r="93" ht="15" customHeight="1" x14ac:dyDescent="0.25"/>
    <row r="94" ht="15" customHeight="1" x14ac:dyDescent="0.25"/>
    <row r="95" ht="15" customHeight="1" x14ac:dyDescent="0.25"/>
    <row r="96" ht="15" customHeight="1" x14ac:dyDescent="0.25"/>
    <row r="97" ht="15" customHeight="1" x14ac:dyDescent="0.25"/>
    <row r="98" ht="15" customHeight="1" x14ac:dyDescent="0.25"/>
    <row r="99" ht="15" customHeight="1" x14ac:dyDescent="0.25"/>
    <row r="100" ht="15" customHeight="1" x14ac:dyDescent="0.25"/>
    <row r="101" ht="15" customHeight="1" x14ac:dyDescent="0.25"/>
    <row r="102" ht="15" customHeight="1" x14ac:dyDescent="0.25"/>
    <row r="103" ht="15" customHeight="1" x14ac:dyDescent="0.25"/>
    <row r="104" ht="15" customHeight="1" x14ac:dyDescent="0.25"/>
    <row r="105" ht="15" customHeight="1" x14ac:dyDescent="0.25"/>
    <row r="106" ht="15" customHeight="1" x14ac:dyDescent="0.25"/>
    <row r="107" ht="15" customHeight="1" x14ac:dyDescent="0.25"/>
    <row r="108" ht="15" customHeight="1" x14ac:dyDescent="0.25"/>
    <row r="109" ht="15" customHeight="1" x14ac:dyDescent="0.25"/>
    <row r="110" ht="15" customHeight="1" x14ac:dyDescent="0.25"/>
    <row r="111" ht="15" customHeight="1" x14ac:dyDescent="0.25"/>
    <row r="112" ht="15" customHeight="1" x14ac:dyDescent="0.25"/>
    <row r="113" ht="15" customHeight="1" x14ac:dyDescent="0.25"/>
    <row r="114" ht="15" customHeight="1" x14ac:dyDescent="0.25"/>
    <row r="115" ht="15" customHeight="1" x14ac:dyDescent="0.25"/>
    <row r="116" ht="15" customHeight="1" x14ac:dyDescent="0.25"/>
    <row r="117" ht="15" customHeight="1" x14ac:dyDescent="0.25"/>
    <row r="118" ht="15" customHeight="1" x14ac:dyDescent="0.25"/>
    <row r="119" ht="15" customHeight="1" x14ac:dyDescent="0.25"/>
    <row r="120" ht="15" customHeight="1" x14ac:dyDescent="0.25"/>
    <row r="121" ht="15" customHeight="1" x14ac:dyDescent="0.25"/>
    <row r="122" ht="15" customHeight="1" x14ac:dyDescent="0.25"/>
    <row r="123" ht="15" customHeight="1" x14ac:dyDescent="0.25"/>
    <row r="124" ht="15" customHeight="1" x14ac:dyDescent="0.25"/>
    <row r="125" ht="15" customHeight="1" x14ac:dyDescent="0.25"/>
    <row r="126" ht="15" customHeight="1" x14ac:dyDescent="0.25"/>
    <row r="127" ht="15" customHeight="1" x14ac:dyDescent="0.25"/>
    <row r="128" ht="15" customHeight="1" x14ac:dyDescent="0.25"/>
    <row r="129" ht="15" customHeight="1" x14ac:dyDescent="0.25"/>
    <row r="130" ht="15" customHeight="1" x14ac:dyDescent="0.25"/>
    <row r="131" ht="15" customHeight="1" x14ac:dyDescent="0.25"/>
    <row r="132" ht="15" customHeight="1" x14ac:dyDescent="0.25"/>
    <row r="133" ht="15" customHeight="1" x14ac:dyDescent="0.25"/>
    <row r="134" ht="15" customHeight="1" x14ac:dyDescent="0.25"/>
    <row r="135" ht="15" customHeight="1" x14ac:dyDescent="0.25"/>
    <row r="136" ht="15" customHeight="1" x14ac:dyDescent="0.25"/>
    <row r="137" ht="15" customHeight="1" x14ac:dyDescent="0.25"/>
    <row r="138" ht="15" customHeight="1" x14ac:dyDescent="0.25"/>
    <row r="139" ht="15" customHeight="1" x14ac:dyDescent="0.25"/>
    <row r="140" ht="15" customHeight="1" x14ac:dyDescent="0.25"/>
    <row r="141" ht="15" customHeight="1" x14ac:dyDescent="0.25"/>
    <row r="142" ht="15" customHeight="1" x14ac:dyDescent="0.25"/>
    <row r="143" ht="15" customHeight="1" x14ac:dyDescent="0.25"/>
    <row r="144" ht="15" customHeight="1" x14ac:dyDescent="0.25"/>
    <row r="145" ht="15" customHeight="1" x14ac:dyDescent="0.25"/>
    <row r="146" ht="15" customHeight="1" x14ac:dyDescent="0.25"/>
    <row r="147" ht="15" customHeight="1" x14ac:dyDescent="0.25"/>
    <row r="148" ht="15" customHeight="1" x14ac:dyDescent="0.25"/>
    <row r="149" ht="15" customHeight="1" x14ac:dyDescent="0.25"/>
    <row r="150" ht="15" customHeight="1" x14ac:dyDescent="0.25"/>
    <row r="151" ht="15" customHeight="1" x14ac:dyDescent="0.25"/>
    <row r="152" ht="15" customHeight="1" x14ac:dyDescent="0.25"/>
    <row r="153" ht="15" customHeight="1" x14ac:dyDescent="0.25"/>
    <row r="154" ht="15" customHeight="1" x14ac:dyDescent="0.25"/>
    <row r="155" ht="15" customHeight="1" x14ac:dyDescent="0.25"/>
    <row r="156" ht="15" customHeight="1" x14ac:dyDescent="0.25"/>
    <row r="157" ht="15" customHeight="1" x14ac:dyDescent="0.25"/>
    <row r="158" ht="15" customHeight="1" x14ac:dyDescent="0.25"/>
    <row r="159" ht="15" customHeight="1" x14ac:dyDescent="0.25"/>
    <row r="160" ht="15" customHeight="1" x14ac:dyDescent="0.25"/>
    <row r="161" ht="15" customHeight="1" x14ac:dyDescent="0.25"/>
    <row r="162" ht="15" customHeight="1" x14ac:dyDescent="0.25"/>
    <row r="163" ht="15" customHeight="1" x14ac:dyDescent="0.25"/>
    <row r="164" ht="15" customHeight="1" x14ac:dyDescent="0.25"/>
    <row r="165" ht="15" customHeight="1" x14ac:dyDescent="0.25"/>
    <row r="166" ht="15" customHeight="1" x14ac:dyDescent="0.25"/>
    <row r="167" ht="15" customHeight="1" x14ac:dyDescent="0.25"/>
    <row r="168" ht="15" customHeight="1" x14ac:dyDescent="0.25"/>
    <row r="169" ht="15" customHeight="1" x14ac:dyDescent="0.25"/>
    <row r="170" ht="15" customHeight="1" x14ac:dyDescent="0.25"/>
    <row r="171" ht="15" customHeight="1" x14ac:dyDescent="0.25"/>
    <row r="172" ht="15" customHeight="1" x14ac:dyDescent="0.25"/>
    <row r="173" ht="15" customHeight="1" x14ac:dyDescent="0.25"/>
    <row r="174" ht="15" customHeight="1" x14ac:dyDescent="0.25"/>
    <row r="175" ht="15" customHeight="1" x14ac:dyDescent="0.25"/>
    <row r="176" ht="15" customHeight="1" x14ac:dyDescent="0.25"/>
    <row r="177" ht="15" customHeight="1" x14ac:dyDescent="0.25"/>
    <row r="178" ht="15" customHeight="1" x14ac:dyDescent="0.25"/>
    <row r="179" ht="15" customHeight="1" x14ac:dyDescent="0.25"/>
    <row r="180" ht="15" customHeight="1" x14ac:dyDescent="0.25"/>
    <row r="181" ht="15" customHeight="1" x14ac:dyDescent="0.25"/>
    <row r="182" ht="15" customHeight="1" x14ac:dyDescent="0.25"/>
    <row r="183" ht="15" customHeight="1" x14ac:dyDescent="0.25"/>
    <row r="184" ht="15" customHeight="1" x14ac:dyDescent="0.25"/>
    <row r="185" ht="15" customHeight="1" x14ac:dyDescent="0.25"/>
    <row r="186" ht="15" customHeight="1" x14ac:dyDescent="0.25"/>
    <row r="187" ht="15" customHeight="1" x14ac:dyDescent="0.25"/>
    <row r="188" ht="15" customHeight="1" x14ac:dyDescent="0.25"/>
    <row r="189" ht="15" customHeight="1" x14ac:dyDescent="0.25"/>
    <row r="190" ht="15" customHeight="1" x14ac:dyDescent="0.25"/>
    <row r="191" ht="15" customHeight="1" x14ac:dyDescent="0.25"/>
    <row r="192" ht="15" customHeight="1" x14ac:dyDescent="0.25"/>
    <row r="193" spans="1:51" ht="15" customHeight="1" x14ac:dyDescent="0.25"/>
    <row r="194" spans="1:51" ht="15" customHeight="1" x14ac:dyDescent="0.25"/>
    <row r="195" spans="1:51" ht="15" customHeight="1" x14ac:dyDescent="0.25"/>
    <row r="196" spans="1:51" ht="15" customHeight="1" x14ac:dyDescent="0.25"/>
    <row r="197" spans="1:51" ht="15" customHeight="1" x14ac:dyDescent="0.25"/>
    <row r="198" spans="1:51" ht="15" customHeight="1" thickBot="1" x14ac:dyDescent="0.3"/>
    <row r="199" spans="1:51" ht="15" customHeight="1" x14ac:dyDescent="0.25">
      <c r="B199" s="266" t="s">
        <v>2394</v>
      </c>
      <c r="C199" s="267"/>
      <c r="D199" s="267"/>
      <c r="E199" s="267"/>
      <c r="F199" s="267"/>
      <c r="G199" s="267"/>
      <c r="H199" s="267"/>
      <c r="I199" s="267"/>
      <c r="J199" s="267"/>
      <c r="K199" s="267"/>
      <c r="L199" s="267"/>
      <c r="M199" s="267"/>
      <c r="N199" s="267"/>
      <c r="O199" s="267"/>
      <c r="P199" s="267"/>
      <c r="Q199" s="267"/>
      <c r="R199" s="267"/>
      <c r="S199" s="267"/>
      <c r="T199" s="267"/>
      <c r="U199" s="267"/>
      <c r="V199" s="267"/>
      <c r="W199" s="267"/>
      <c r="X199" s="268"/>
    </row>
    <row r="200" spans="1:51" ht="15" customHeight="1" x14ac:dyDescent="0.25">
      <c r="B200" s="269"/>
      <c r="C200" s="270"/>
      <c r="D200" s="270"/>
      <c r="E200" s="270"/>
      <c r="F200" s="270"/>
      <c r="G200" s="270"/>
      <c r="H200" s="270"/>
      <c r="I200" s="270"/>
      <c r="J200" s="270"/>
      <c r="K200" s="270"/>
      <c r="L200" s="270"/>
      <c r="M200" s="270"/>
      <c r="N200" s="270"/>
      <c r="O200" s="270"/>
      <c r="P200" s="270"/>
      <c r="Q200" s="270"/>
      <c r="R200" s="270"/>
      <c r="S200" s="270"/>
      <c r="T200" s="270"/>
      <c r="U200" s="270"/>
      <c r="V200" s="270"/>
      <c r="W200" s="270"/>
      <c r="X200" s="271"/>
    </row>
    <row r="201" spans="1:51" ht="15" customHeight="1" x14ac:dyDescent="0.35">
      <c r="B201" s="214"/>
      <c r="C201" s="215"/>
      <c r="D201" s="215"/>
      <c r="E201" s="215"/>
      <c r="F201" s="257"/>
      <c r="G201" s="257"/>
      <c r="H201" s="257"/>
      <c r="I201" s="257"/>
      <c r="J201" s="257"/>
      <c r="K201" s="257"/>
      <c r="L201" s="257"/>
      <c r="M201" s="257"/>
      <c r="N201" s="257"/>
      <c r="O201" s="257"/>
      <c r="P201" s="257"/>
      <c r="Q201" s="257"/>
      <c r="R201" s="257"/>
      <c r="S201" s="257"/>
      <c r="T201" s="257"/>
      <c r="U201" s="257"/>
      <c r="V201" s="257"/>
      <c r="W201" s="257"/>
      <c r="X201" s="275"/>
    </row>
    <row r="202" spans="1:51" ht="15" customHeight="1" x14ac:dyDescent="0.25">
      <c r="B202" s="255" t="s">
        <v>2025</v>
      </c>
      <c r="C202" s="256"/>
      <c r="D202" s="256"/>
      <c r="E202" s="256"/>
      <c r="F202" s="272" t="str">
        <f ca="1">Calculations!B313</f>
        <v>#nevergiveup</v>
      </c>
      <c r="G202" s="272"/>
      <c r="H202" s="272" t="str">
        <f ca="1">Calculations!B314</f>
        <v>#motivation</v>
      </c>
      <c r="I202" s="272"/>
      <c r="J202" s="272" t="str">
        <f ca="1">Calculations!B315</f>
        <v>#fitness</v>
      </c>
      <c r="K202" s="272"/>
      <c r="L202" s="272" t="str">
        <f ca="1">Calculations!B316</f>
        <v>life</v>
      </c>
      <c r="M202" s="272"/>
      <c r="N202" s="272"/>
      <c r="O202" s="272" t="str">
        <f ca="1">Calculations!B317</f>
        <v>#love</v>
      </c>
      <c r="P202" s="272"/>
      <c r="Q202" s="272"/>
      <c r="R202" s="272" t="str">
        <f ca="1">Calculations!B318</f>
        <v>#smile</v>
      </c>
      <c r="S202" s="272"/>
      <c r="T202" s="272" t="str">
        <f ca="1">Calculations!B319</f>
        <v>#happy</v>
      </c>
      <c r="U202" s="272"/>
      <c r="V202" s="272"/>
      <c r="W202" s="272" t="str">
        <f ca="1">Calculations!B320</f>
        <v>#workout</v>
      </c>
      <c r="X202" s="276"/>
    </row>
    <row r="203" spans="1:51" ht="15" customHeight="1" x14ac:dyDescent="0.25">
      <c r="B203" s="255">
        <f>Calculations!F312</f>
        <v>5717</v>
      </c>
      <c r="C203" s="256"/>
      <c r="D203" s="256"/>
      <c r="E203" s="256"/>
      <c r="F203" s="257">
        <f ca="1">Calculations!F313</f>
        <v>566</v>
      </c>
      <c r="G203" s="257"/>
      <c r="H203" s="257">
        <f ca="1">Calculations!F314</f>
        <v>478</v>
      </c>
      <c r="I203" s="257"/>
      <c r="J203" s="257">
        <f ca="1">Calculations!F315</f>
        <v>374</v>
      </c>
      <c r="K203" s="257"/>
      <c r="L203" s="257">
        <f ca="1">Calculations!F316</f>
        <v>334</v>
      </c>
      <c r="M203" s="257"/>
      <c r="N203" s="257"/>
      <c r="O203" s="257">
        <f ca="1">Calculations!F317</f>
        <v>295</v>
      </c>
      <c r="P203" s="257"/>
      <c r="Q203" s="257"/>
      <c r="R203" s="257">
        <f ca="1">Calculations!F318</f>
        <v>266</v>
      </c>
      <c r="S203" s="257"/>
      <c r="T203" s="257">
        <f ca="1">Calculations!F319</f>
        <v>215</v>
      </c>
      <c r="U203" s="257"/>
      <c r="V203" s="257"/>
      <c r="W203" s="257">
        <f ca="1">Calculations!F320</f>
        <v>194</v>
      </c>
      <c r="X203" s="275"/>
    </row>
    <row r="204" spans="1:51" s="15" customFormat="1" ht="15" customHeight="1" x14ac:dyDescent="0.25">
      <c r="A204" s="210"/>
      <c r="B204" s="216"/>
      <c r="C204" s="217"/>
      <c r="D204" s="217"/>
      <c r="E204" s="217"/>
      <c r="F204" s="253">
        <f ca="1">Calculations!$G$313</f>
        <v>9.9002973587545909E-2</v>
      </c>
      <c r="G204" s="253"/>
      <c r="H204" s="253">
        <f ca="1">Calculations!$G$314</f>
        <v>8.3610285114570582E-2</v>
      </c>
      <c r="I204" s="253"/>
      <c r="J204" s="253">
        <f ca="1">Calculations!$G$315</f>
        <v>6.5418926010145179E-2</v>
      </c>
      <c r="K204" s="253"/>
      <c r="L204" s="253">
        <f ca="1">Calculations!$G$316</f>
        <v>5.8422249431520031E-2</v>
      </c>
      <c r="M204" s="253"/>
      <c r="N204" s="253"/>
      <c r="O204" s="253">
        <f ca="1">Calculations!$G$317</f>
        <v>5.1600489767360501E-2</v>
      </c>
      <c r="P204" s="253"/>
      <c r="Q204" s="253"/>
      <c r="R204" s="253">
        <f ca="1">Calculations!$G$318</f>
        <v>4.6527899247857267E-2</v>
      </c>
      <c r="S204" s="253"/>
      <c r="T204" s="253">
        <f ca="1">Calculations!$G$319</f>
        <v>3.7607136610110198E-2</v>
      </c>
      <c r="U204" s="253"/>
      <c r="V204" s="253"/>
      <c r="W204" s="253">
        <f ca="1">Calculations!$G$320</f>
        <v>3.3933881406331995E-2</v>
      </c>
      <c r="X204" s="254"/>
      <c r="Y204" s="210"/>
      <c r="Z204" s="210"/>
      <c r="AA204" s="210"/>
      <c r="AB204" s="210"/>
      <c r="AC204" s="210"/>
      <c r="AD204" s="210"/>
      <c r="AE204" s="210"/>
      <c r="AF204" s="210"/>
      <c r="AG204" s="210"/>
      <c r="AH204" s="210"/>
      <c r="AI204" s="210"/>
      <c r="AJ204" s="210"/>
      <c r="AK204" s="210"/>
      <c r="AL204" s="210"/>
      <c r="AM204" s="210"/>
      <c r="AN204" s="210"/>
      <c r="AO204" s="210"/>
      <c r="AP204" s="210"/>
      <c r="AQ204" s="210"/>
      <c r="AR204" s="210"/>
      <c r="AS204" s="210"/>
      <c r="AT204" s="210"/>
      <c r="AU204" s="210"/>
      <c r="AV204" s="210"/>
      <c r="AW204" s="210"/>
      <c r="AX204" s="210"/>
      <c r="AY204" s="210"/>
    </row>
    <row r="205" spans="1:51" ht="15" customHeight="1" x14ac:dyDescent="0.25">
      <c r="B205" s="216"/>
      <c r="C205" s="217"/>
      <c r="D205" s="217"/>
      <c r="E205" s="217"/>
      <c r="F205" s="253"/>
      <c r="G205" s="253"/>
      <c r="H205" s="253"/>
      <c r="I205" s="253"/>
      <c r="J205" s="253"/>
      <c r="K205" s="253"/>
      <c r="L205" s="253"/>
      <c r="M205" s="253"/>
      <c r="N205" s="253"/>
      <c r="O205" s="253"/>
      <c r="P205" s="253"/>
      <c r="Q205" s="253"/>
      <c r="R205" s="253"/>
      <c r="S205" s="253"/>
      <c r="T205" s="253"/>
      <c r="U205" s="253"/>
      <c r="V205" s="253"/>
      <c r="W205" s="253"/>
      <c r="X205" s="254"/>
    </row>
    <row r="206" spans="1:51" ht="15" customHeight="1" x14ac:dyDescent="0.25">
      <c r="B206" s="216"/>
      <c r="C206" s="217"/>
      <c r="D206" s="217"/>
      <c r="E206" s="217"/>
      <c r="F206" s="253"/>
      <c r="G206" s="253"/>
      <c r="H206" s="253"/>
      <c r="I206" s="253"/>
      <c r="J206" s="253"/>
      <c r="K206" s="253"/>
      <c r="L206" s="253"/>
      <c r="M206" s="253"/>
      <c r="N206" s="253"/>
      <c r="O206" s="253"/>
      <c r="P206" s="253"/>
      <c r="Q206" s="253"/>
      <c r="R206" s="253"/>
      <c r="S206" s="253"/>
      <c r="T206" s="253"/>
      <c r="U206" s="253"/>
      <c r="V206" s="253"/>
      <c r="W206" s="253"/>
      <c r="X206" s="254"/>
    </row>
    <row r="207" spans="1:51" ht="15" customHeight="1" x14ac:dyDescent="0.25">
      <c r="B207" s="216"/>
      <c r="C207" s="217"/>
      <c r="D207" s="217"/>
      <c r="E207" s="217"/>
      <c r="F207" s="253"/>
      <c r="G207" s="253"/>
      <c r="H207" s="253"/>
      <c r="I207" s="253"/>
      <c r="J207" s="253"/>
      <c r="K207" s="253"/>
      <c r="L207" s="253"/>
      <c r="M207" s="253"/>
      <c r="N207" s="253"/>
      <c r="O207" s="253"/>
      <c r="P207" s="253"/>
      <c r="Q207" s="253"/>
      <c r="R207" s="253"/>
      <c r="S207" s="253"/>
      <c r="T207" s="253"/>
      <c r="U207" s="253"/>
      <c r="V207" s="253"/>
      <c r="W207" s="253"/>
      <c r="X207" s="254"/>
    </row>
    <row r="208" spans="1:51" ht="15" customHeight="1" x14ac:dyDescent="0.25">
      <c r="B208" s="216"/>
      <c r="C208" s="217"/>
      <c r="D208" s="217"/>
      <c r="E208" s="217"/>
      <c r="F208" s="253"/>
      <c r="G208" s="253"/>
      <c r="H208" s="253"/>
      <c r="I208" s="253"/>
      <c r="J208" s="253"/>
      <c r="K208" s="253"/>
      <c r="L208" s="253"/>
      <c r="M208" s="253"/>
      <c r="N208" s="253"/>
      <c r="O208" s="253"/>
      <c r="P208" s="253"/>
      <c r="Q208" s="253"/>
      <c r="R208" s="253"/>
      <c r="S208" s="253"/>
      <c r="T208" s="253"/>
      <c r="U208" s="253"/>
      <c r="V208" s="253"/>
      <c r="W208" s="253"/>
      <c r="X208" s="254"/>
    </row>
    <row r="209" spans="2:24" ht="15" customHeight="1" x14ac:dyDescent="0.25">
      <c r="B209" s="216"/>
      <c r="C209" s="217"/>
      <c r="D209" s="217"/>
      <c r="E209" s="217"/>
      <c r="F209" s="253"/>
      <c r="G209" s="253"/>
      <c r="H209" s="253"/>
      <c r="I209" s="253"/>
      <c r="J209" s="253"/>
      <c r="K209" s="253"/>
      <c r="L209" s="253"/>
      <c r="M209" s="253"/>
      <c r="N209" s="253"/>
      <c r="O209" s="253"/>
      <c r="P209" s="253"/>
      <c r="Q209" s="253"/>
      <c r="R209" s="253"/>
      <c r="S209" s="253"/>
      <c r="T209" s="253"/>
      <c r="U209" s="253"/>
      <c r="V209" s="253"/>
      <c r="W209" s="253"/>
      <c r="X209" s="254"/>
    </row>
    <row r="210" spans="2:24" ht="15" customHeight="1" x14ac:dyDescent="0.25">
      <c r="B210" s="216"/>
      <c r="C210" s="217"/>
      <c r="D210" s="217"/>
      <c r="E210" s="217"/>
      <c r="F210" s="253"/>
      <c r="G210" s="253"/>
      <c r="H210" s="253"/>
      <c r="I210" s="253"/>
      <c r="J210" s="253"/>
      <c r="K210" s="253"/>
      <c r="L210" s="253"/>
      <c r="M210" s="253"/>
      <c r="N210" s="253"/>
      <c r="O210" s="253"/>
      <c r="P210" s="253"/>
      <c r="Q210" s="253"/>
      <c r="R210" s="253"/>
      <c r="S210" s="253"/>
      <c r="T210" s="253"/>
      <c r="U210" s="253"/>
      <c r="V210" s="253"/>
      <c r="W210" s="253"/>
      <c r="X210" s="254"/>
    </row>
    <row r="211" spans="2:24" ht="15" customHeight="1" x14ac:dyDescent="0.25">
      <c r="B211" s="216"/>
      <c r="C211" s="217"/>
      <c r="D211" s="217"/>
      <c r="E211" s="217"/>
      <c r="F211" s="253"/>
      <c r="G211" s="253"/>
      <c r="H211" s="253"/>
      <c r="I211" s="253"/>
      <c r="J211" s="253"/>
      <c r="K211" s="253"/>
      <c r="L211" s="253"/>
      <c r="M211" s="253"/>
      <c r="N211" s="253"/>
      <c r="O211" s="253"/>
      <c r="P211" s="253"/>
      <c r="Q211" s="253"/>
      <c r="R211" s="253"/>
      <c r="S211" s="253"/>
      <c r="T211" s="253"/>
      <c r="U211" s="253"/>
      <c r="V211" s="253"/>
      <c r="W211" s="253"/>
      <c r="X211" s="254"/>
    </row>
    <row r="212" spans="2:24" ht="15" customHeight="1" x14ac:dyDescent="0.25">
      <c r="B212" s="216"/>
      <c r="C212" s="217"/>
      <c r="D212" s="217"/>
      <c r="E212" s="217"/>
      <c r="F212" s="253"/>
      <c r="G212" s="253"/>
      <c r="H212" s="253"/>
      <c r="I212" s="253"/>
      <c r="J212" s="253"/>
      <c r="K212" s="253"/>
      <c r="L212" s="253"/>
      <c r="M212" s="253"/>
      <c r="N212" s="253"/>
      <c r="O212" s="253"/>
      <c r="P212" s="253"/>
      <c r="Q212" s="253"/>
      <c r="R212" s="253"/>
      <c r="S212" s="253"/>
      <c r="T212" s="253"/>
      <c r="U212" s="253"/>
      <c r="V212" s="253"/>
      <c r="W212" s="253"/>
      <c r="X212" s="254"/>
    </row>
    <row r="213" spans="2:24" ht="15" customHeight="1" x14ac:dyDescent="0.25">
      <c r="B213" s="216"/>
      <c r="C213" s="217"/>
      <c r="D213" s="217"/>
      <c r="E213" s="217"/>
      <c r="F213" s="253"/>
      <c r="G213" s="253"/>
      <c r="H213" s="253"/>
      <c r="I213" s="253"/>
      <c r="J213" s="253"/>
      <c r="K213" s="253"/>
      <c r="L213" s="253"/>
      <c r="M213" s="253"/>
      <c r="N213" s="253"/>
      <c r="O213" s="253"/>
      <c r="P213" s="253"/>
      <c r="Q213" s="253"/>
      <c r="R213" s="253"/>
      <c r="S213" s="253"/>
      <c r="T213" s="253"/>
      <c r="U213" s="253"/>
      <c r="V213" s="253"/>
      <c r="W213" s="253"/>
      <c r="X213" s="254"/>
    </row>
    <row r="214" spans="2:24" ht="15" customHeight="1" x14ac:dyDescent="0.25">
      <c r="B214" s="216"/>
      <c r="C214" s="217"/>
      <c r="D214" s="217"/>
      <c r="E214" s="217"/>
      <c r="F214" s="253"/>
      <c r="G214" s="253"/>
      <c r="H214" s="253"/>
      <c r="I214" s="253"/>
      <c r="J214" s="253"/>
      <c r="K214" s="253"/>
      <c r="L214" s="253"/>
      <c r="M214" s="253"/>
      <c r="N214" s="253"/>
      <c r="O214" s="253"/>
      <c r="P214" s="253"/>
      <c r="Q214" s="253"/>
      <c r="R214" s="253"/>
      <c r="S214" s="253"/>
      <c r="T214" s="253"/>
      <c r="U214" s="253"/>
      <c r="V214" s="253"/>
      <c r="W214" s="253"/>
      <c r="X214" s="254"/>
    </row>
    <row r="215" spans="2:24" ht="15" customHeight="1" x14ac:dyDescent="0.25">
      <c r="B215" s="216"/>
      <c r="C215" s="217"/>
      <c r="D215" s="217"/>
      <c r="E215" s="217"/>
      <c r="F215" s="253"/>
      <c r="G215" s="253"/>
      <c r="H215" s="253"/>
      <c r="I215" s="253"/>
      <c r="J215" s="253"/>
      <c r="K215" s="253"/>
      <c r="L215" s="253"/>
      <c r="M215" s="253"/>
      <c r="N215" s="253"/>
      <c r="O215" s="253"/>
      <c r="P215" s="253"/>
      <c r="Q215" s="253"/>
      <c r="R215" s="253"/>
      <c r="S215" s="253"/>
      <c r="T215" s="253"/>
      <c r="U215" s="253"/>
      <c r="V215" s="253"/>
      <c r="W215" s="253"/>
      <c r="X215" s="254"/>
    </row>
    <row r="216" spans="2:24" ht="15" customHeight="1" x14ac:dyDescent="0.25">
      <c r="B216" s="216"/>
      <c r="C216" s="217"/>
      <c r="D216" s="217"/>
      <c r="E216" s="217"/>
      <c r="F216" s="253"/>
      <c r="G216" s="253"/>
      <c r="H216" s="253"/>
      <c r="I216" s="253"/>
      <c r="J216" s="253"/>
      <c r="K216" s="253"/>
      <c r="L216" s="253"/>
      <c r="M216" s="253"/>
      <c r="N216" s="253"/>
      <c r="O216" s="253"/>
      <c r="P216" s="253"/>
      <c r="Q216" s="253"/>
      <c r="R216" s="253"/>
      <c r="S216" s="253"/>
      <c r="T216" s="253"/>
      <c r="U216" s="253"/>
      <c r="V216" s="253"/>
      <c r="W216" s="253"/>
      <c r="X216" s="254"/>
    </row>
    <row r="217" spans="2:24" ht="15" customHeight="1" thickBot="1" x14ac:dyDescent="0.3">
      <c r="B217" s="218"/>
      <c r="C217" s="219"/>
      <c r="D217" s="219"/>
      <c r="E217" s="219"/>
      <c r="F217" s="273"/>
      <c r="G217" s="273"/>
      <c r="H217" s="273"/>
      <c r="I217" s="273"/>
      <c r="J217" s="273"/>
      <c r="K217" s="273"/>
      <c r="L217" s="273"/>
      <c r="M217" s="273"/>
      <c r="N217" s="273"/>
      <c r="O217" s="273"/>
      <c r="P217" s="273"/>
      <c r="Q217" s="273"/>
      <c r="R217" s="273"/>
      <c r="S217" s="273"/>
      <c r="T217" s="273"/>
      <c r="U217" s="273"/>
      <c r="V217" s="273"/>
      <c r="W217" s="273"/>
      <c r="X217" s="274"/>
    </row>
    <row r="218" spans="2:24" ht="15" customHeight="1" x14ac:dyDescent="0.25">
      <c r="I218" s="206"/>
      <c r="J218" s="206"/>
    </row>
    <row r="219" spans="2:24" ht="15" customHeight="1" x14ac:dyDescent="0.25">
      <c r="I219" s="206"/>
      <c r="J219" s="206"/>
    </row>
    <row r="220" spans="2:24" ht="15" customHeight="1" x14ac:dyDescent="0.25">
      <c r="I220" s="206"/>
      <c r="J220" s="206"/>
    </row>
    <row r="221" spans="2:24" ht="15" customHeight="1" x14ac:dyDescent="0.25">
      <c r="I221" s="206"/>
      <c r="J221" s="206"/>
    </row>
    <row r="222" spans="2:24" ht="15" customHeight="1" x14ac:dyDescent="0.25">
      <c r="I222" s="206"/>
      <c r="J222" s="206"/>
    </row>
    <row r="223" spans="2:24" ht="15" customHeight="1" x14ac:dyDescent="0.25">
      <c r="I223" s="206"/>
      <c r="J223" s="206"/>
    </row>
    <row r="224" spans="2:24" ht="15" customHeight="1" x14ac:dyDescent="0.25">
      <c r="I224" s="206"/>
      <c r="J224" s="206"/>
    </row>
    <row r="225" spans="9:10" ht="15" customHeight="1" x14ac:dyDescent="0.25">
      <c r="I225" s="206"/>
      <c r="J225" s="206"/>
    </row>
    <row r="226" spans="9:10" ht="15" customHeight="1" x14ac:dyDescent="0.25">
      <c r="I226" s="206"/>
      <c r="J226" s="206"/>
    </row>
    <row r="227" spans="9:10" ht="15" customHeight="1" x14ac:dyDescent="0.25">
      <c r="I227" s="206"/>
      <c r="J227" s="206"/>
    </row>
    <row r="228" spans="9:10" ht="15" customHeight="1" x14ac:dyDescent="0.25">
      <c r="I228" s="206"/>
      <c r="J228" s="206"/>
    </row>
    <row r="229" spans="9:10" ht="15" customHeight="1" x14ac:dyDescent="0.25">
      <c r="I229" s="206"/>
      <c r="J229" s="206"/>
    </row>
    <row r="230" spans="9:10" ht="15" customHeight="1" x14ac:dyDescent="0.25">
      <c r="I230" s="206"/>
      <c r="J230" s="206"/>
    </row>
    <row r="231" spans="9:10" ht="15" customHeight="1" x14ac:dyDescent="0.25"/>
    <row r="232" spans="9:10" ht="15" customHeight="1" x14ac:dyDescent="0.25"/>
    <row r="233" spans="9:10" ht="15" customHeight="1" x14ac:dyDescent="0.25"/>
    <row r="234" spans="9:10" ht="15" customHeight="1" x14ac:dyDescent="0.25"/>
    <row r="235" spans="9:10" ht="15" customHeight="1" x14ac:dyDescent="0.25"/>
    <row r="236" spans="9:10" ht="15" customHeight="1" x14ac:dyDescent="0.25"/>
    <row r="237" spans="9:10" ht="15" customHeight="1" x14ac:dyDescent="0.25"/>
    <row r="238" spans="9:10" ht="15" customHeight="1" x14ac:dyDescent="0.25"/>
    <row r="239" spans="9:10" ht="15" customHeight="1" x14ac:dyDescent="0.25"/>
    <row r="240" spans="9:10" ht="15" customHeight="1" x14ac:dyDescent="0.25"/>
    <row r="241" ht="15" customHeight="1" x14ac:dyDescent="0.25"/>
    <row r="242" ht="15" customHeight="1" x14ac:dyDescent="0.25"/>
    <row r="243" ht="15" customHeight="1" x14ac:dyDescent="0.25"/>
    <row r="244" ht="15" customHeight="1" x14ac:dyDescent="0.25"/>
    <row r="245" ht="15" customHeight="1" x14ac:dyDescent="0.25"/>
    <row r="246" ht="15" customHeight="1" x14ac:dyDescent="0.25"/>
    <row r="247" ht="15" customHeight="1" x14ac:dyDescent="0.25"/>
    <row r="248" ht="15" customHeight="1" x14ac:dyDescent="0.25"/>
    <row r="249" ht="15" customHeight="1" x14ac:dyDescent="0.25"/>
    <row r="250" ht="15" customHeight="1" x14ac:dyDescent="0.25"/>
    <row r="251" ht="15" customHeight="1" x14ac:dyDescent="0.25"/>
    <row r="252" ht="15" customHeight="1" x14ac:dyDescent="0.25"/>
    <row r="253" ht="15" customHeight="1" x14ac:dyDescent="0.25"/>
    <row r="254" ht="15" customHeight="1" x14ac:dyDescent="0.25"/>
    <row r="255" ht="15" customHeight="1" x14ac:dyDescent="0.25"/>
    <row r="256" ht="15" customHeight="1" x14ac:dyDescent="0.25"/>
    <row r="257" ht="15" customHeight="1" x14ac:dyDescent="0.25"/>
    <row r="258" ht="15" customHeight="1" x14ac:dyDescent="0.25"/>
  </sheetData>
  <mergeCells count="146">
    <mergeCell ref="L203:N203"/>
    <mergeCell ref="O203:Q203"/>
    <mergeCell ref="R203:S203"/>
    <mergeCell ref="T206:V206"/>
    <mergeCell ref="W206:X206"/>
    <mergeCell ref="R207:S207"/>
    <mergeCell ref="R201:S201"/>
    <mergeCell ref="T201:V201"/>
    <mergeCell ref="W201:X201"/>
    <mergeCell ref="R211:S211"/>
    <mergeCell ref="T211:V211"/>
    <mergeCell ref="W211:X211"/>
    <mergeCell ref="T203:V203"/>
    <mergeCell ref="W203:X203"/>
    <mergeCell ref="T202:V202"/>
    <mergeCell ref="W202:X202"/>
    <mergeCell ref="W204:X204"/>
    <mergeCell ref="W205:X205"/>
    <mergeCell ref="T207:V207"/>
    <mergeCell ref="W207:X207"/>
    <mergeCell ref="L216:N216"/>
    <mergeCell ref="O216:Q216"/>
    <mergeCell ref="R216:S216"/>
    <mergeCell ref="T216:V216"/>
    <mergeCell ref="W216:X216"/>
    <mergeCell ref="F212:G212"/>
    <mergeCell ref="H212:I212"/>
    <mergeCell ref="J212:K212"/>
    <mergeCell ref="L212:N212"/>
    <mergeCell ref="O212:Q212"/>
    <mergeCell ref="R212:S212"/>
    <mergeCell ref="T212:V212"/>
    <mergeCell ref="W212:X212"/>
    <mergeCell ref="F213:G213"/>
    <mergeCell ref="H213:I213"/>
    <mergeCell ref="J213:K213"/>
    <mergeCell ref="L213:N213"/>
    <mergeCell ref="O213:Q213"/>
    <mergeCell ref="R215:S215"/>
    <mergeCell ref="T215:V215"/>
    <mergeCell ref="W215:X215"/>
    <mergeCell ref="F217:G217"/>
    <mergeCell ref="H217:I217"/>
    <mergeCell ref="J217:K217"/>
    <mergeCell ref="L217:N217"/>
    <mergeCell ref="O217:Q217"/>
    <mergeCell ref="R217:S217"/>
    <mergeCell ref="T217:V217"/>
    <mergeCell ref="W217:X217"/>
    <mergeCell ref="F214:G214"/>
    <mergeCell ref="H214:I214"/>
    <mergeCell ref="J214:K214"/>
    <mergeCell ref="L214:N214"/>
    <mergeCell ref="O214:Q214"/>
    <mergeCell ref="R214:S214"/>
    <mergeCell ref="T214:V214"/>
    <mergeCell ref="W214:X214"/>
    <mergeCell ref="F215:G215"/>
    <mergeCell ref="H215:I215"/>
    <mergeCell ref="J215:K215"/>
    <mergeCell ref="L215:N215"/>
    <mergeCell ref="O215:Q215"/>
    <mergeCell ref="F216:G216"/>
    <mergeCell ref="H216:I216"/>
    <mergeCell ref="J216:K216"/>
    <mergeCell ref="F209:G209"/>
    <mergeCell ref="H209:I209"/>
    <mergeCell ref="J209:K209"/>
    <mergeCell ref="L209:N209"/>
    <mergeCell ref="O209:Q209"/>
    <mergeCell ref="R209:S209"/>
    <mergeCell ref="T209:V209"/>
    <mergeCell ref="W209:X209"/>
    <mergeCell ref="R213:S213"/>
    <mergeCell ref="T213:V213"/>
    <mergeCell ref="W213:X213"/>
    <mergeCell ref="F210:G210"/>
    <mergeCell ref="H210:I210"/>
    <mergeCell ref="J210:K210"/>
    <mergeCell ref="L210:N210"/>
    <mergeCell ref="O210:Q210"/>
    <mergeCell ref="R210:S210"/>
    <mergeCell ref="T210:V210"/>
    <mergeCell ref="W210:X210"/>
    <mergeCell ref="F211:G211"/>
    <mergeCell ref="H211:I211"/>
    <mergeCell ref="J211:K211"/>
    <mergeCell ref="L211:N211"/>
    <mergeCell ref="O211:Q211"/>
    <mergeCell ref="F204:G204"/>
    <mergeCell ref="H204:I204"/>
    <mergeCell ref="J204:K204"/>
    <mergeCell ref="L204:N204"/>
    <mergeCell ref="O204:Q204"/>
    <mergeCell ref="R204:S204"/>
    <mergeCell ref="T204:V204"/>
    <mergeCell ref="F205:G205"/>
    <mergeCell ref="H205:I205"/>
    <mergeCell ref="J205:K205"/>
    <mergeCell ref="L205:N205"/>
    <mergeCell ref="O205:Q205"/>
    <mergeCell ref="R205:S205"/>
    <mergeCell ref="T205:V205"/>
    <mergeCell ref="B203:E203"/>
    <mergeCell ref="F201:G201"/>
    <mergeCell ref="H201:I201"/>
    <mergeCell ref="J201:K201"/>
    <mergeCell ref="L201:N201"/>
    <mergeCell ref="O201:Q201"/>
    <mergeCell ref="A1:X1"/>
    <mergeCell ref="R2:V2"/>
    <mergeCell ref="H3:I3"/>
    <mergeCell ref="K3:L3"/>
    <mergeCell ref="R3:S3"/>
    <mergeCell ref="U3:V3"/>
    <mergeCell ref="H6:I6"/>
    <mergeCell ref="B199:X200"/>
    <mergeCell ref="B202:E202"/>
    <mergeCell ref="F202:G202"/>
    <mergeCell ref="H202:I202"/>
    <mergeCell ref="J202:K202"/>
    <mergeCell ref="L202:N202"/>
    <mergeCell ref="O202:Q202"/>
    <mergeCell ref="R202:S202"/>
    <mergeCell ref="F203:G203"/>
    <mergeCell ref="H203:I203"/>
    <mergeCell ref="J203:K203"/>
    <mergeCell ref="F208:G208"/>
    <mergeCell ref="H208:I208"/>
    <mergeCell ref="J208:K208"/>
    <mergeCell ref="L208:N208"/>
    <mergeCell ref="O208:Q208"/>
    <mergeCell ref="R208:S208"/>
    <mergeCell ref="T208:V208"/>
    <mergeCell ref="W208:X208"/>
    <mergeCell ref="F206:G206"/>
    <mergeCell ref="H206:I206"/>
    <mergeCell ref="J206:K206"/>
    <mergeCell ref="L206:N206"/>
    <mergeCell ref="O206:Q206"/>
    <mergeCell ref="R206:S206"/>
    <mergeCell ref="F207:G207"/>
    <mergeCell ref="H207:I207"/>
    <mergeCell ref="J207:K207"/>
    <mergeCell ref="L207:N207"/>
    <mergeCell ref="O207:Q207"/>
  </mergeCells>
  <conditionalFormatting sqref="P2">
    <cfRule type="expression" dxfId="3" priority="537">
      <formula>$N$3="Minute"</formula>
    </cfRule>
  </conditionalFormatting>
  <conditionalFormatting sqref="P3">
    <cfRule type="expression" dxfId="2" priority="1">
      <formula>$N$3="Minute"</formula>
    </cfRule>
  </conditionalFormatting>
  <dataValidations count="1">
    <dataValidation type="list" allowBlank="1" showInputMessage="1" showErrorMessage="1" sqref="H6">
      <formula1>"Custom,24 Hours,48 Hours,7 Days,14 Days,30 Days,4 Weeks,3 Months,6 Months"</formula1>
    </dataValidation>
  </dataValidations>
  <pageMargins left="0.25" right="0.25" top="0.75" bottom="0.75" header="0" footer="0"/>
  <pageSetup scale="77" fitToHeight="0" orientation="landscape" horizontalDpi="301" verticalDpi="300" r:id="rId1"/>
  <rowBreaks count="11" manualBreakCount="11">
    <brk id="39" max="24" man="1"/>
    <brk id="62" max="24" man="1"/>
    <brk id="90" max="24" man="1"/>
    <brk id="111" max="24" man="1"/>
    <brk id="154" max="24" man="1"/>
    <brk id="195" max="24" man="1"/>
    <brk id="238" max="24" man="1"/>
    <brk id="278" max="24" man="1"/>
    <brk id="300" max="24" man="1"/>
    <brk id="324" max="24" man="1"/>
    <brk id="351" max="24" man="1"/>
  </rowBreaks>
  <colBreaks count="1" manualBreakCount="1">
    <brk id="25" max="1048575" man="1"/>
  </col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Controls!$A$16:$A$20</xm:f>
          </x14:formula1>
          <xm:sqref>N3</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G3617"/>
  <sheetViews>
    <sheetView zoomScaleNormal="100" workbookViewId="0">
      <pane ySplit="1" topLeftCell="A2" activePane="bottomLeft" state="frozen"/>
      <selection pane="bottomLeft"/>
    </sheetView>
  </sheetViews>
  <sheetFormatPr defaultColWidth="9.140625" defaultRowHeight="12.75" customHeight="1" x14ac:dyDescent="0.25"/>
  <cols>
    <col min="1" max="1" width="31" style="21" bestFit="1" customWidth="1"/>
    <col min="2" max="2" width="10.5703125" style="21" bestFit="1" customWidth="1"/>
    <col min="3" max="3" width="9.7109375" style="21" bestFit="1" customWidth="1"/>
    <col min="4" max="4" width="20.5703125" style="21" bestFit="1" customWidth="1"/>
    <col min="5" max="5" width="20.5703125" style="21" customWidth="1"/>
    <col min="6" max="6" width="21.5703125" style="21" bestFit="1" customWidth="1"/>
    <col min="7" max="16384" width="9.140625" style="21"/>
  </cols>
  <sheetData>
    <row r="1" spans="1:7" ht="12.75" customHeight="1" x14ac:dyDescent="0.25">
      <c r="A1" s="21" t="s">
        <v>0</v>
      </c>
      <c r="B1" s="21" t="s">
        <v>2078</v>
      </c>
      <c r="C1" s="21" t="s">
        <v>2015</v>
      </c>
      <c r="D1" s="223" t="s">
        <v>2022</v>
      </c>
      <c r="E1" s="21" t="s">
        <v>2003</v>
      </c>
      <c r="F1" s="21" t="s">
        <v>2341</v>
      </c>
      <c r="G1" s="21" t="s">
        <v>2072</v>
      </c>
    </row>
    <row r="2" spans="1:7" ht="15" x14ac:dyDescent="0.25">
      <c r="A2" t="s">
        <v>2475</v>
      </c>
      <c r="B2">
        <v>1</v>
      </c>
      <c r="C2">
        <v>173</v>
      </c>
      <c r="D2">
        <v>173</v>
      </c>
      <c r="E2">
        <v>56</v>
      </c>
      <c r="F2">
        <v>56</v>
      </c>
      <c r="G2">
        <v>173</v>
      </c>
    </row>
    <row r="3" spans="1:7" ht="15" x14ac:dyDescent="0.25">
      <c r="A3" t="s">
        <v>2485</v>
      </c>
      <c r="B3">
        <v>2</v>
      </c>
      <c r="C3">
        <v>501</v>
      </c>
      <c r="D3">
        <v>1002</v>
      </c>
      <c r="E3">
        <v>113</v>
      </c>
      <c r="F3">
        <v>56.5</v>
      </c>
      <c r="G3">
        <v>501</v>
      </c>
    </row>
    <row r="4" spans="1:7" ht="15" x14ac:dyDescent="0.25">
      <c r="A4" t="s">
        <v>2494</v>
      </c>
      <c r="B4">
        <v>2</v>
      </c>
      <c r="C4">
        <v>311</v>
      </c>
      <c r="D4">
        <v>616</v>
      </c>
      <c r="E4">
        <v>25</v>
      </c>
      <c r="F4">
        <v>12.5</v>
      </c>
      <c r="G4">
        <v>311</v>
      </c>
    </row>
    <row r="5" spans="1:7" ht="15" x14ac:dyDescent="0.25">
      <c r="A5" t="s">
        <v>2502</v>
      </c>
      <c r="B5">
        <v>1</v>
      </c>
      <c r="C5">
        <v>1081</v>
      </c>
      <c r="D5">
        <v>1081</v>
      </c>
      <c r="E5">
        <v>120</v>
      </c>
      <c r="F5">
        <v>120</v>
      </c>
      <c r="G5">
        <v>1081</v>
      </c>
    </row>
    <row r="6" spans="1:7" ht="15" x14ac:dyDescent="0.25">
      <c r="A6" t="s">
        <v>2507</v>
      </c>
      <c r="B6">
        <v>8</v>
      </c>
      <c r="C6">
        <v>273</v>
      </c>
      <c r="D6">
        <v>2098</v>
      </c>
      <c r="E6">
        <v>437</v>
      </c>
      <c r="F6">
        <v>54.625</v>
      </c>
      <c r="G6">
        <v>273</v>
      </c>
    </row>
    <row r="7" spans="1:7" ht="15" x14ac:dyDescent="0.25">
      <c r="A7" t="s">
        <v>2516</v>
      </c>
      <c r="B7">
        <v>38</v>
      </c>
      <c r="C7">
        <v>690</v>
      </c>
      <c r="D7">
        <v>26149</v>
      </c>
      <c r="E7">
        <v>956</v>
      </c>
      <c r="F7">
        <v>25.157894736842106</v>
      </c>
      <c r="G7">
        <v>702</v>
      </c>
    </row>
    <row r="8" spans="1:7" ht="15" x14ac:dyDescent="0.25">
      <c r="A8" t="s">
        <v>2525</v>
      </c>
      <c r="B8">
        <v>1</v>
      </c>
      <c r="C8">
        <v>1831</v>
      </c>
      <c r="D8">
        <v>1831</v>
      </c>
      <c r="E8">
        <v>114</v>
      </c>
      <c r="F8">
        <v>114</v>
      </c>
      <c r="G8">
        <v>1831</v>
      </c>
    </row>
    <row r="9" spans="1:7" ht="15" x14ac:dyDescent="0.25">
      <c r="A9" t="s">
        <v>2534</v>
      </c>
      <c r="B9">
        <v>1</v>
      </c>
      <c r="C9">
        <v>41</v>
      </c>
      <c r="D9">
        <v>41</v>
      </c>
      <c r="E9">
        <v>7</v>
      </c>
      <c r="F9">
        <v>7</v>
      </c>
      <c r="G9">
        <v>41</v>
      </c>
    </row>
    <row r="10" spans="1:7" ht="15" x14ac:dyDescent="0.25">
      <c r="A10" t="s">
        <v>2539</v>
      </c>
      <c r="B10">
        <v>5</v>
      </c>
      <c r="C10">
        <v>410</v>
      </c>
      <c r="D10">
        <v>2046</v>
      </c>
      <c r="E10">
        <v>156</v>
      </c>
      <c r="F10">
        <v>31.2</v>
      </c>
      <c r="G10">
        <v>410</v>
      </c>
    </row>
    <row r="11" spans="1:7" ht="15" x14ac:dyDescent="0.25">
      <c r="A11" t="s">
        <v>2548</v>
      </c>
      <c r="B11">
        <v>10</v>
      </c>
      <c r="C11">
        <v>531</v>
      </c>
      <c r="D11">
        <v>5280</v>
      </c>
      <c r="E11">
        <v>484</v>
      </c>
      <c r="F11">
        <v>48.4</v>
      </c>
      <c r="G11">
        <v>536</v>
      </c>
    </row>
    <row r="12" spans="1:7" ht="15" x14ac:dyDescent="0.25">
      <c r="A12" t="s">
        <v>2555</v>
      </c>
      <c r="B12">
        <v>1</v>
      </c>
      <c r="C12">
        <v>54</v>
      </c>
      <c r="D12">
        <v>54</v>
      </c>
      <c r="E12">
        <v>34</v>
      </c>
      <c r="F12">
        <v>34</v>
      </c>
      <c r="G12">
        <v>54</v>
      </c>
    </row>
    <row r="13" spans="1:7" ht="15" x14ac:dyDescent="0.25">
      <c r="A13" t="s">
        <v>2563</v>
      </c>
      <c r="B13">
        <v>1</v>
      </c>
      <c r="C13">
        <v>182</v>
      </c>
      <c r="D13">
        <v>182</v>
      </c>
      <c r="E13">
        <v>17</v>
      </c>
      <c r="F13">
        <v>17</v>
      </c>
      <c r="G13">
        <v>182</v>
      </c>
    </row>
    <row r="14" spans="1:7" ht="15" x14ac:dyDescent="0.25">
      <c r="A14" t="s">
        <v>2571</v>
      </c>
      <c r="B14">
        <v>1</v>
      </c>
      <c r="C14">
        <v>730</v>
      </c>
      <c r="D14">
        <v>730</v>
      </c>
      <c r="E14">
        <v>98</v>
      </c>
      <c r="F14">
        <v>98</v>
      </c>
      <c r="G14">
        <v>730</v>
      </c>
    </row>
    <row r="15" spans="1:7" ht="15" x14ac:dyDescent="0.25">
      <c r="A15" t="s">
        <v>2579</v>
      </c>
      <c r="B15">
        <v>1</v>
      </c>
      <c r="C15">
        <v>177</v>
      </c>
      <c r="D15">
        <v>177</v>
      </c>
      <c r="E15">
        <v>43</v>
      </c>
      <c r="F15">
        <v>43</v>
      </c>
      <c r="G15">
        <v>177</v>
      </c>
    </row>
    <row r="16" spans="1:7" ht="15" x14ac:dyDescent="0.25">
      <c r="A16" t="s">
        <v>2588</v>
      </c>
      <c r="B16">
        <v>43</v>
      </c>
      <c r="C16">
        <v>307</v>
      </c>
      <c r="D16">
        <v>11616</v>
      </c>
      <c r="E16">
        <v>15267</v>
      </c>
      <c r="F16">
        <v>355.04651162790697</v>
      </c>
      <c r="G16">
        <v>309</v>
      </c>
    </row>
    <row r="17" spans="1:7" ht="15" x14ac:dyDescent="0.25">
      <c r="A17" t="s">
        <v>2596</v>
      </c>
      <c r="B17">
        <v>2</v>
      </c>
      <c r="C17">
        <v>221</v>
      </c>
      <c r="D17">
        <v>442</v>
      </c>
      <c r="E17">
        <v>31</v>
      </c>
      <c r="F17">
        <v>15.5</v>
      </c>
      <c r="G17">
        <v>221</v>
      </c>
    </row>
    <row r="18" spans="1:7" ht="15" x14ac:dyDescent="0.25">
      <c r="A18" t="s">
        <v>2604</v>
      </c>
      <c r="B18">
        <v>1</v>
      </c>
      <c r="C18">
        <v>104</v>
      </c>
      <c r="D18">
        <v>104</v>
      </c>
      <c r="E18">
        <v>60</v>
      </c>
      <c r="F18">
        <v>60</v>
      </c>
      <c r="G18">
        <v>104</v>
      </c>
    </row>
    <row r="19" spans="1:7" ht="15" x14ac:dyDescent="0.25">
      <c r="A19" t="s">
        <v>2610</v>
      </c>
      <c r="B19">
        <v>1</v>
      </c>
      <c r="C19">
        <v>580</v>
      </c>
      <c r="D19">
        <v>580</v>
      </c>
      <c r="E19">
        <v>83</v>
      </c>
      <c r="F19">
        <v>83</v>
      </c>
      <c r="G19">
        <v>580</v>
      </c>
    </row>
    <row r="20" spans="1:7" ht="15" x14ac:dyDescent="0.25">
      <c r="A20" t="s">
        <v>2619</v>
      </c>
      <c r="B20">
        <v>6</v>
      </c>
      <c r="C20">
        <v>827</v>
      </c>
      <c r="D20">
        <v>4093</v>
      </c>
      <c r="E20">
        <v>268</v>
      </c>
      <c r="F20">
        <v>44.666666666666664</v>
      </c>
      <c r="G20">
        <v>827</v>
      </c>
    </row>
    <row r="21" spans="1:7" ht="15" x14ac:dyDescent="0.25">
      <c r="A21" t="s">
        <v>2628</v>
      </c>
      <c r="B21">
        <v>13</v>
      </c>
      <c r="C21">
        <v>203</v>
      </c>
      <c r="D21">
        <v>2379</v>
      </c>
      <c r="E21">
        <v>406</v>
      </c>
      <c r="F21">
        <v>31.23076923076923</v>
      </c>
      <c r="G21">
        <v>203</v>
      </c>
    </row>
    <row r="22" spans="1:7" ht="15" x14ac:dyDescent="0.25">
      <c r="A22" t="s">
        <v>2636</v>
      </c>
      <c r="B22">
        <v>21</v>
      </c>
      <c r="C22">
        <v>329</v>
      </c>
      <c r="D22">
        <v>6624</v>
      </c>
      <c r="E22">
        <v>1195</v>
      </c>
      <c r="F22">
        <v>56.904761904761905</v>
      </c>
      <c r="G22">
        <v>329</v>
      </c>
    </row>
    <row r="23" spans="1:7" ht="15" x14ac:dyDescent="0.25">
      <c r="A23" t="s">
        <v>2644</v>
      </c>
      <c r="B23">
        <v>52</v>
      </c>
      <c r="C23">
        <v>1717</v>
      </c>
      <c r="D23">
        <v>90607</v>
      </c>
      <c r="E23">
        <v>4155</v>
      </c>
      <c r="F23">
        <v>79.90384615384616</v>
      </c>
      <c r="G23">
        <v>1762</v>
      </c>
    </row>
    <row r="24" spans="1:7" ht="15" x14ac:dyDescent="0.25">
      <c r="A24" t="s">
        <v>2653</v>
      </c>
      <c r="B24">
        <v>1</v>
      </c>
      <c r="C24">
        <v>99</v>
      </c>
      <c r="D24">
        <v>99</v>
      </c>
      <c r="E24">
        <v>33</v>
      </c>
      <c r="F24">
        <v>33</v>
      </c>
      <c r="G24">
        <v>99</v>
      </c>
    </row>
    <row r="25" spans="1:7" ht="15" x14ac:dyDescent="0.25">
      <c r="A25" t="s">
        <v>2661</v>
      </c>
      <c r="B25">
        <v>1</v>
      </c>
      <c r="C25">
        <v>274</v>
      </c>
      <c r="D25">
        <v>274</v>
      </c>
      <c r="E25">
        <v>16</v>
      </c>
      <c r="F25">
        <v>16</v>
      </c>
      <c r="G25">
        <v>274</v>
      </c>
    </row>
    <row r="26" spans="1:7" ht="15" x14ac:dyDescent="0.25">
      <c r="A26" t="s">
        <v>2669</v>
      </c>
      <c r="B26">
        <v>1</v>
      </c>
      <c r="C26">
        <v>1259</v>
      </c>
      <c r="D26">
        <v>1259</v>
      </c>
      <c r="E26">
        <v>97</v>
      </c>
      <c r="F26">
        <v>97</v>
      </c>
      <c r="G26">
        <v>1259</v>
      </c>
    </row>
    <row r="27" spans="1:7" ht="15" x14ac:dyDescent="0.25">
      <c r="A27" t="s">
        <v>2677</v>
      </c>
      <c r="B27">
        <v>3</v>
      </c>
      <c r="C27">
        <v>27049</v>
      </c>
      <c r="D27">
        <v>79303</v>
      </c>
      <c r="E27">
        <v>2279</v>
      </c>
      <c r="F27">
        <v>759.66666666666663</v>
      </c>
      <c r="G27">
        <v>27049</v>
      </c>
    </row>
    <row r="28" spans="1:7" ht="15" x14ac:dyDescent="0.25">
      <c r="A28" t="s">
        <v>2685</v>
      </c>
      <c r="B28">
        <v>16</v>
      </c>
      <c r="C28">
        <v>230</v>
      </c>
      <c r="D28">
        <v>3665</v>
      </c>
      <c r="E28">
        <v>766</v>
      </c>
      <c r="F28">
        <v>47.875</v>
      </c>
      <c r="G28">
        <v>245</v>
      </c>
    </row>
    <row r="29" spans="1:7" ht="15" x14ac:dyDescent="0.25">
      <c r="A29" t="s">
        <v>2692</v>
      </c>
      <c r="B29">
        <v>1</v>
      </c>
      <c r="C29">
        <v>621</v>
      </c>
      <c r="D29">
        <v>621</v>
      </c>
      <c r="E29">
        <v>65</v>
      </c>
      <c r="F29">
        <v>65</v>
      </c>
      <c r="G29">
        <v>621</v>
      </c>
    </row>
    <row r="30" spans="1:7" ht="15" x14ac:dyDescent="0.25">
      <c r="A30" t="s">
        <v>2700</v>
      </c>
      <c r="B30">
        <v>8</v>
      </c>
      <c r="C30">
        <v>856</v>
      </c>
      <c r="D30">
        <v>5931</v>
      </c>
      <c r="E30">
        <v>306</v>
      </c>
      <c r="F30">
        <v>38.25</v>
      </c>
      <c r="G30">
        <v>856</v>
      </c>
    </row>
    <row r="31" spans="1:7" ht="15" x14ac:dyDescent="0.25">
      <c r="A31" t="s">
        <v>2708</v>
      </c>
      <c r="B31">
        <v>1</v>
      </c>
      <c r="C31">
        <v>227</v>
      </c>
      <c r="D31">
        <v>227</v>
      </c>
      <c r="E31">
        <v>4</v>
      </c>
      <c r="F31">
        <v>4</v>
      </c>
      <c r="G31">
        <v>227</v>
      </c>
    </row>
    <row r="32" spans="1:7" ht="15" x14ac:dyDescent="0.25">
      <c r="A32" t="s">
        <v>2715</v>
      </c>
      <c r="B32">
        <v>2</v>
      </c>
      <c r="C32">
        <v>126</v>
      </c>
      <c r="D32">
        <v>232</v>
      </c>
      <c r="E32">
        <v>30</v>
      </c>
      <c r="F32">
        <v>15</v>
      </c>
      <c r="G32">
        <v>126</v>
      </c>
    </row>
    <row r="33" spans="1:7" ht="15" x14ac:dyDescent="0.25">
      <c r="A33" t="s">
        <v>2724</v>
      </c>
      <c r="B33">
        <v>2</v>
      </c>
      <c r="C33">
        <v>48</v>
      </c>
      <c r="D33">
        <v>95</v>
      </c>
      <c r="E33">
        <v>30</v>
      </c>
      <c r="F33">
        <v>15</v>
      </c>
      <c r="G33">
        <v>48</v>
      </c>
    </row>
    <row r="34" spans="1:7" ht="15" x14ac:dyDescent="0.25">
      <c r="A34" t="s">
        <v>2731</v>
      </c>
      <c r="B34">
        <v>1</v>
      </c>
      <c r="C34">
        <v>330</v>
      </c>
      <c r="D34">
        <v>330</v>
      </c>
      <c r="E34">
        <v>31</v>
      </c>
      <c r="F34">
        <v>31</v>
      </c>
      <c r="G34">
        <v>330</v>
      </c>
    </row>
    <row r="35" spans="1:7" ht="15" x14ac:dyDescent="0.25">
      <c r="A35" t="s">
        <v>2738</v>
      </c>
      <c r="B35">
        <v>7</v>
      </c>
      <c r="C35">
        <v>135</v>
      </c>
      <c r="D35">
        <v>914</v>
      </c>
      <c r="E35">
        <v>206</v>
      </c>
      <c r="F35">
        <v>29.428571428571427</v>
      </c>
      <c r="G35">
        <v>135</v>
      </c>
    </row>
    <row r="36" spans="1:7" ht="15" x14ac:dyDescent="0.25">
      <c r="A36" t="s">
        <v>2745</v>
      </c>
      <c r="B36">
        <v>1</v>
      </c>
      <c r="C36">
        <v>59</v>
      </c>
      <c r="D36">
        <v>59</v>
      </c>
      <c r="E36">
        <v>17</v>
      </c>
      <c r="F36">
        <v>17</v>
      </c>
      <c r="G36">
        <v>59</v>
      </c>
    </row>
    <row r="37" spans="1:7" ht="15" x14ac:dyDescent="0.25">
      <c r="A37" t="s">
        <v>2754</v>
      </c>
      <c r="B37">
        <v>1</v>
      </c>
      <c r="C37">
        <v>1161</v>
      </c>
      <c r="D37">
        <v>1161</v>
      </c>
      <c r="E37">
        <v>107</v>
      </c>
      <c r="F37">
        <v>107</v>
      </c>
      <c r="G37">
        <v>1161</v>
      </c>
    </row>
    <row r="38" spans="1:7" ht="15" x14ac:dyDescent="0.25">
      <c r="A38" t="s">
        <v>2762</v>
      </c>
      <c r="B38">
        <v>1</v>
      </c>
      <c r="C38">
        <v>352</v>
      </c>
      <c r="D38">
        <v>352</v>
      </c>
      <c r="E38">
        <v>69</v>
      </c>
      <c r="F38">
        <v>69</v>
      </c>
      <c r="G38">
        <v>352</v>
      </c>
    </row>
    <row r="39" spans="1:7" ht="15" x14ac:dyDescent="0.25">
      <c r="A39" t="s">
        <v>2770</v>
      </c>
      <c r="B39">
        <v>1</v>
      </c>
      <c r="C39">
        <v>690</v>
      </c>
      <c r="D39">
        <v>690</v>
      </c>
      <c r="E39">
        <v>80</v>
      </c>
      <c r="F39">
        <v>80</v>
      </c>
      <c r="G39">
        <v>690</v>
      </c>
    </row>
    <row r="40" spans="1:7" ht="15" x14ac:dyDescent="0.25">
      <c r="A40" t="s">
        <v>2779</v>
      </c>
      <c r="B40">
        <v>2</v>
      </c>
      <c r="C40">
        <v>524</v>
      </c>
      <c r="D40">
        <v>1021</v>
      </c>
      <c r="E40">
        <v>40</v>
      </c>
      <c r="F40">
        <v>20</v>
      </c>
      <c r="G40">
        <v>524</v>
      </c>
    </row>
    <row r="41" spans="1:7" ht="15" x14ac:dyDescent="0.25">
      <c r="A41" t="s">
        <v>2783</v>
      </c>
      <c r="B41">
        <v>1</v>
      </c>
      <c r="C41">
        <v>2652</v>
      </c>
      <c r="D41">
        <v>2652</v>
      </c>
      <c r="E41">
        <v>91</v>
      </c>
      <c r="F41">
        <v>91</v>
      </c>
      <c r="G41">
        <v>2652</v>
      </c>
    </row>
    <row r="42" spans="1:7" ht="15" x14ac:dyDescent="0.25">
      <c r="A42" t="s">
        <v>2790</v>
      </c>
      <c r="B42">
        <v>1</v>
      </c>
      <c r="C42">
        <v>1672</v>
      </c>
      <c r="D42">
        <v>1672</v>
      </c>
      <c r="E42">
        <v>166</v>
      </c>
      <c r="F42">
        <v>166</v>
      </c>
      <c r="G42">
        <v>1672</v>
      </c>
    </row>
    <row r="43" spans="1:7" ht="15" x14ac:dyDescent="0.25">
      <c r="A43" t="s">
        <v>2798</v>
      </c>
      <c r="B43">
        <v>1</v>
      </c>
      <c r="C43">
        <v>501</v>
      </c>
      <c r="D43">
        <v>501</v>
      </c>
      <c r="E43">
        <v>186</v>
      </c>
      <c r="F43">
        <v>186</v>
      </c>
      <c r="G43">
        <v>501</v>
      </c>
    </row>
    <row r="44" spans="1:7" ht="15" x14ac:dyDescent="0.25">
      <c r="A44" t="s">
        <v>2807</v>
      </c>
      <c r="B44">
        <v>1</v>
      </c>
      <c r="C44">
        <v>457</v>
      </c>
      <c r="D44">
        <v>457</v>
      </c>
      <c r="E44">
        <v>15</v>
      </c>
      <c r="F44">
        <v>15</v>
      </c>
      <c r="G44">
        <v>457</v>
      </c>
    </row>
    <row r="45" spans="1:7" ht="15" x14ac:dyDescent="0.25">
      <c r="A45" t="s">
        <v>2814</v>
      </c>
      <c r="B45">
        <v>1</v>
      </c>
      <c r="C45">
        <v>307</v>
      </c>
      <c r="D45">
        <v>307</v>
      </c>
      <c r="E45">
        <v>47</v>
      </c>
      <c r="F45">
        <v>47</v>
      </c>
      <c r="G45">
        <v>307</v>
      </c>
    </row>
    <row r="46" spans="1:7" ht="15" x14ac:dyDescent="0.25">
      <c r="A46" t="s">
        <v>2822</v>
      </c>
      <c r="B46">
        <v>1</v>
      </c>
      <c r="C46">
        <v>20</v>
      </c>
      <c r="D46">
        <v>20</v>
      </c>
      <c r="E46">
        <v>3</v>
      </c>
      <c r="F46">
        <v>3</v>
      </c>
      <c r="G46">
        <v>20</v>
      </c>
    </row>
    <row r="47" spans="1:7" ht="15" x14ac:dyDescent="0.25">
      <c r="A47" t="s">
        <v>2828</v>
      </c>
      <c r="B47">
        <v>1</v>
      </c>
      <c r="C47">
        <v>233</v>
      </c>
      <c r="D47">
        <v>233</v>
      </c>
      <c r="E47">
        <v>22</v>
      </c>
      <c r="F47">
        <v>22</v>
      </c>
      <c r="G47">
        <v>233</v>
      </c>
    </row>
    <row r="48" spans="1:7" ht="15" x14ac:dyDescent="0.25">
      <c r="A48" t="s">
        <v>2839</v>
      </c>
      <c r="B48">
        <v>1</v>
      </c>
      <c r="C48">
        <v>180</v>
      </c>
      <c r="D48">
        <v>180</v>
      </c>
      <c r="E48">
        <v>12</v>
      </c>
      <c r="F48">
        <v>12</v>
      </c>
      <c r="G48">
        <v>180</v>
      </c>
    </row>
    <row r="49" spans="1:7" ht="15" x14ac:dyDescent="0.25">
      <c r="A49" t="s">
        <v>2847</v>
      </c>
      <c r="B49">
        <v>1</v>
      </c>
      <c r="C49">
        <v>329</v>
      </c>
      <c r="D49">
        <v>329</v>
      </c>
      <c r="E49">
        <v>62</v>
      </c>
      <c r="F49">
        <v>62</v>
      </c>
      <c r="G49">
        <v>329</v>
      </c>
    </row>
    <row r="50" spans="1:7" ht="15" x14ac:dyDescent="0.25">
      <c r="A50" t="s">
        <v>2856</v>
      </c>
      <c r="B50">
        <v>4</v>
      </c>
      <c r="C50">
        <v>306</v>
      </c>
      <c r="D50">
        <v>1222</v>
      </c>
      <c r="E50">
        <v>100</v>
      </c>
      <c r="F50">
        <v>25</v>
      </c>
      <c r="G50">
        <v>306</v>
      </c>
    </row>
    <row r="51" spans="1:7" ht="15" x14ac:dyDescent="0.25">
      <c r="A51" t="s">
        <v>2863</v>
      </c>
      <c r="B51">
        <v>12</v>
      </c>
      <c r="C51">
        <v>80</v>
      </c>
      <c r="D51">
        <v>841</v>
      </c>
      <c r="E51">
        <v>404</v>
      </c>
      <c r="F51">
        <v>33.666666666666664</v>
      </c>
      <c r="G51">
        <v>80</v>
      </c>
    </row>
    <row r="52" spans="1:7" ht="15" x14ac:dyDescent="0.25">
      <c r="A52" t="s">
        <v>2870</v>
      </c>
      <c r="B52">
        <v>1</v>
      </c>
      <c r="C52">
        <v>115</v>
      </c>
      <c r="D52">
        <v>115</v>
      </c>
      <c r="E52">
        <v>10</v>
      </c>
      <c r="F52">
        <v>10</v>
      </c>
      <c r="G52">
        <v>115</v>
      </c>
    </row>
    <row r="53" spans="1:7" ht="15" x14ac:dyDescent="0.25">
      <c r="A53" t="s">
        <v>2873</v>
      </c>
      <c r="B53">
        <v>5</v>
      </c>
      <c r="C53">
        <v>2678</v>
      </c>
      <c r="D53">
        <v>13138</v>
      </c>
      <c r="E53">
        <v>502</v>
      </c>
      <c r="F53">
        <v>100.4</v>
      </c>
      <c r="G53">
        <v>2678</v>
      </c>
    </row>
    <row r="54" spans="1:7" ht="15" x14ac:dyDescent="0.25">
      <c r="A54" t="s">
        <v>2880</v>
      </c>
      <c r="B54">
        <v>1</v>
      </c>
      <c r="C54">
        <v>53</v>
      </c>
      <c r="D54">
        <v>53</v>
      </c>
      <c r="E54">
        <v>4</v>
      </c>
      <c r="F54">
        <v>4</v>
      </c>
      <c r="G54">
        <v>53</v>
      </c>
    </row>
    <row r="55" spans="1:7" ht="15" x14ac:dyDescent="0.25">
      <c r="A55" t="s">
        <v>2893</v>
      </c>
      <c r="B55">
        <v>3</v>
      </c>
      <c r="C55">
        <v>376</v>
      </c>
      <c r="D55">
        <v>1126</v>
      </c>
      <c r="E55">
        <v>197</v>
      </c>
      <c r="F55">
        <v>65.666666666666671</v>
      </c>
      <c r="G55">
        <v>378</v>
      </c>
    </row>
    <row r="56" spans="1:7" ht="15" x14ac:dyDescent="0.25">
      <c r="A56" t="s">
        <v>2900</v>
      </c>
      <c r="B56">
        <v>1</v>
      </c>
      <c r="C56">
        <v>180</v>
      </c>
      <c r="D56">
        <v>180</v>
      </c>
      <c r="E56">
        <v>14</v>
      </c>
      <c r="F56">
        <v>14</v>
      </c>
      <c r="G56">
        <v>180</v>
      </c>
    </row>
    <row r="57" spans="1:7" ht="15" x14ac:dyDescent="0.25">
      <c r="A57" t="s">
        <v>2907</v>
      </c>
      <c r="B57">
        <v>11</v>
      </c>
      <c r="C57">
        <v>80</v>
      </c>
      <c r="D57">
        <v>846</v>
      </c>
      <c r="E57">
        <v>366</v>
      </c>
      <c r="F57">
        <v>33.272727272727273</v>
      </c>
      <c r="G57">
        <v>80</v>
      </c>
    </row>
    <row r="58" spans="1:7" ht="15" x14ac:dyDescent="0.25">
      <c r="A58" t="s">
        <v>2914</v>
      </c>
      <c r="B58">
        <v>1</v>
      </c>
      <c r="C58">
        <v>2555</v>
      </c>
      <c r="D58">
        <v>2555</v>
      </c>
      <c r="E58">
        <v>42</v>
      </c>
      <c r="F58">
        <v>42</v>
      </c>
      <c r="G58">
        <v>2555</v>
      </c>
    </row>
    <row r="59" spans="1:7" ht="15" x14ac:dyDescent="0.25">
      <c r="A59" t="s">
        <v>2917</v>
      </c>
      <c r="B59">
        <v>5</v>
      </c>
      <c r="C59">
        <v>5537</v>
      </c>
      <c r="D59">
        <v>26773</v>
      </c>
      <c r="E59">
        <v>650</v>
      </c>
      <c r="F59">
        <v>130</v>
      </c>
      <c r="G59">
        <v>5537</v>
      </c>
    </row>
    <row r="60" spans="1:7" ht="15" x14ac:dyDescent="0.25">
      <c r="A60" t="s">
        <v>2924</v>
      </c>
      <c r="B60">
        <v>9</v>
      </c>
      <c r="C60">
        <v>254</v>
      </c>
      <c r="D60">
        <v>1957</v>
      </c>
      <c r="E60">
        <v>288</v>
      </c>
      <c r="F60">
        <v>32</v>
      </c>
      <c r="G60">
        <v>254</v>
      </c>
    </row>
    <row r="61" spans="1:7" ht="15" x14ac:dyDescent="0.25">
      <c r="A61" t="s">
        <v>2933</v>
      </c>
      <c r="B61">
        <v>1</v>
      </c>
      <c r="C61">
        <v>201</v>
      </c>
      <c r="D61">
        <v>201</v>
      </c>
      <c r="E61">
        <v>25</v>
      </c>
      <c r="F61">
        <v>25</v>
      </c>
      <c r="G61">
        <v>201</v>
      </c>
    </row>
    <row r="62" spans="1:7" ht="15" x14ac:dyDescent="0.25">
      <c r="A62" t="s">
        <v>2941</v>
      </c>
      <c r="B62">
        <v>7</v>
      </c>
      <c r="C62">
        <v>227</v>
      </c>
      <c r="D62">
        <v>1555</v>
      </c>
      <c r="E62">
        <v>206</v>
      </c>
      <c r="F62">
        <v>29.428571428571427</v>
      </c>
      <c r="G62">
        <v>227</v>
      </c>
    </row>
    <row r="63" spans="1:7" ht="15" x14ac:dyDescent="0.25">
      <c r="A63" t="s">
        <v>2953</v>
      </c>
      <c r="B63">
        <v>1</v>
      </c>
      <c r="C63">
        <v>4513</v>
      </c>
      <c r="D63">
        <v>4513</v>
      </c>
      <c r="E63">
        <v>111</v>
      </c>
      <c r="F63">
        <v>111</v>
      </c>
      <c r="G63">
        <v>4513</v>
      </c>
    </row>
    <row r="64" spans="1:7" ht="15" x14ac:dyDescent="0.25">
      <c r="A64" t="s">
        <v>2961</v>
      </c>
      <c r="B64">
        <v>2</v>
      </c>
      <c r="C64">
        <v>215</v>
      </c>
      <c r="D64">
        <v>335</v>
      </c>
      <c r="E64">
        <v>90</v>
      </c>
      <c r="F64">
        <v>45</v>
      </c>
      <c r="G64">
        <v>215</v>
      </c>
    </row>
    <row r="65" spans="1:7" ht="15" x14ac:dyDescent="0.25">
      <c r="A65" t="s">
        <v>2970</v>
      </c>
      <c r="B65">
        <v>1</v>
      </c>
      <c r="C65">
        <v>116</v>
      </c>
      <c r="D65">
        <v>116</v>
      </c>
      <c r="E65">
        <v>53</v>
      </c>
      <c r="F65">
        <v>53</v>
      </c>
      <c r="G65">
        <v>116</v>
      </c>
    </row>
    <row r="66" spans="1:7" ht="15" x14ac:dyDescent="0.25">
      <c r="A66" t="s">
        <v>2977</v>
      </c>
      <c r="B66">
        <v>3</v>
      </c>
      <c r="C66">
        <v>288</v>
      </c>
      <c r="D66">
        <v>879</v>
      </c>
      <c r="E66">
        <v>79</v>
      </c>
      <c r="F66">
        <v>26.333333333333332</v>
      </c>
      <c r="G66">
        <v>298</v>
      </c>
    </row>
    <row r="67" spans="1:7" ht="15" x14ac:dyDescent="0.25">
      <c r="A67" t="s">
        <v>2985</v>
      </c>
      <c r="B67">
        <v>1</v>
      </c>
      <c r="C67">
        <v>194</v>
      </c>
      <c r="D67">
        <v>194</v>
      </c>
      <c r="E67">
        <v>79</v>
      </c>
      <c r="F67">
        <v>79</v>
      </c>
      <c r="G67">
        <v>194</v>
      </c>
    </row>
    <row r="68" spans="1:7" ht="15" x14ac:dyDescent="0.25">
      <c r="A68" t="s">
        <v>2993</v>
      </c>
      <c r="B68">
        <v>1</v>
      </c>
      <c r="C68">
        <v>542</v>
      </c>
      <c r="D68">
        <v>542</v>
      </c>
      <c r="E68">
        <v>24</v>
      </c>
      <c r="F68">
        <v>24</v>
      </c>
      <c r="G68">
        <v>542</v>
      </c>
    </row>
    <row r="69" spans="1:7" ht="15" x14ac:dyDescent="0.25">
      <c r="A69" t="s">
        <v>3001</v>
      </c>
      <c r="B69">
        <v>6</v>
      </c>
      <c r="C69">
        <v>206</v>
      </c>
      <c r="D69">
        <v>1212</v>
      </c>
      <c r="E69">
        <v>205</v>
      </c>
      <c r="F69">
        <v>34.166666666666664</v>
      </c>
      <c r="G69">
        <v>206</v>
      </c>
    </row>
    <row r="70" spans="1:7" ht="15" x14ac:dyDescent="0.25">
      <c r="A70" t="s">
        <v>3008</v>
      </c>
      <c r="B70">
        <v>1</v>
      </c>
      <c r="C70">
        <v>272</v>
      </c>
      <c r="D70">
        <v>272</v>
      </c>
      <c r="E70">
        <v>0</v>
      </c>
      <c r="F70">
        <v>0</v>
      </c>
      <c r="G70">
        <v>272</v>
      </c>
    </row>
    <row r="71" spans="1:7" ht="15" x14ac:dyDescent="0.25">
      <c r="A71" t="s">
        <v>3015</v>
      </c>
      <c r="B71">
        <v>118</v>
      </c>
      <c r="C71">
        <v>284</v>
      </c>
      <c r="D71">
        <v>26869</v>
      </c>
      <c r="E71">
        <v>4843</v>
      </c>
      <c r="F71">
        <v>41.042372881355931</v>
      </c>
      <c r="G71">
        <v>284</v>
      </c>
    </row>
    <row r="72" spans="1:7" ht="15" x14ac:dyDescent="0.25">
      <c r="A72" t="s">
        <v>3022</v>
      </c>
      <c r="B72">
        <v>1</v>
      </c>
      <c r="C72">
        <v>279</v>
      </c>
      <c r="D72">
        <v>279</v>
      </c>
      <c r="E72">
        <v>26</v>
      </c>
      <c r="F72">
        <v>26</v>
      </c>
      <c r="G72">
        <v>279</v>
      </c>
    </row>
    <row r="73" spans="1:7" ht="15" x14ac:dyDescent="0.25">
      <c r="A73" t="s">
        <v>3028</v>
      </c>
      <c r="B73">
        <v>1</v>
      </c>
      <c r="C73">
        <v>539</v>
      </c>
      <c r="D73">
        <v>539</v>
      </c>
      <c r="E73">
        <v>50</v>
      </c>
      <c r="F73">
        <v>50</v>
      </c>
      <c r="G73">
        <v>539</v>
      </c>
    </row>
    <row r="74" spans="1:7" ht="15" x14ac:dyDescent="0.25">
      <c r="A74" t="s">
        <v>3035</v>
      </c>
      <c r="B74">
        <v>1</v>
      </c>
      <c r="C74">
        <v>443</v>
      </c>
      <c r="D74">
        <v>443</v>
      </c>
      <c r="E74">
        <v>15</v>
      </c>
      <c r="F74">
        <v>15</v>
      </c>
      <c r="G74">
        <v>443</v>
      </c>
    </row>
    <row r="75" spans="1:7" ht="15" x14ac:dyDescent="0.25">
      <c r="A75" t="s">
        <v>3043</v>
      </c>
      <c r="B75">
        <v>1</v>
      </c>
      <c r="C75">
        <v>404</v>
      </c>
      <c r="D75">
        <v>404</v>
      </c>
      <c r="E75">
        <v>44</v>
      </c>
      <c r="F75">
        <v>44</v>
      </c>
      <c r="G75">
        <v>404</v>
      </c>
    </row>
    <row r="76" spans="1:7" ht="15" x14ac:dyDescent="0.25">
      <c r="A76" t="s">
        <v>3048</v>
      </c>
      <c r="B76">
        <v>1</v>
      </c>
      <c r="C76">
        <v>934</v>
      </c>
      <c r="D76">
        <v>934</v>
      </c>
      <c r="E76">
        <v>85</v>
      </c>
      <c r="F76">
        <v>85</v>
      </c>
      <c r="G76">
        <v>934</v>
      </c>
    </row>
    <row r="77" spans="1:7" ht="15" x14ac:dyDescent="0.25">
      <c r="A77" t="s">
        <v>3055</v>
      </c>
      <c r="B77">
        <v>9</v>
      </c>
      <c r="C77">
        <v>154</v>
      </c>
      <c r="D77">
        <v>1378</v>
      </c>
      <c r="E77">
        <v>251</v>
      </c>
      <c r="F77">
        <v>27.888888888888889</v>
      </c>
      <c r="G77">
        <v>157</v>
      </c>
    </row>
    <row r="78" spans="1:7" ht="15" x14ac:dyDescent="0.25">
      <c r="A78" t="s">
        <v>3062</v>
      </c>
      <c r="B78">
        <v>1</v>
      </c>
      <c r="C78">
        <v>4</v>
      </c>
      <c r="D78">
        <v>4</v>
      </c>
      <c r="E78">
        <v>0</v>
      </c>
      <c r="F78">
        <v>0</v>
      </c>
      <c r="G78">
        <v>4</v>
      </c>
    </row>
    <row r="79" spans="1:7" ht="15" x14ac:dyDescent="0.25">
      <c r="A79" t="s">
        <v>3065</v>
      </c>
      <c r="B79">
        <v>3</v>
      </c>
      <c r="C79">
        <v>161</v>
      </c>
      <c r="D79">
        <v>458</v>
      </c>
      <c r="E79">
        <v>125</v>
      </c>
      <c r="F79">
        <v>41.666666666666664</v>
      </c>
      <c r="G79">
        <v>161</v>
      </c>
    </row>
    <row r="80" spans="1:7" ht="15" x14ac:dyDescent="0.25">
      <c r="A80" t="s">
        <v>3078</v>
      </c>
      <c r="B80">
        <v>1</v>
      </c>
      <c r="C80">
        <v>269</v>
      </c>
      <c r="D80">
        <v>269</v>
      </c>
      <c r="E80">
        <v>14</v>
      </c>
      <c r="F80">
        <v>14</v>
      </c>
      <c r="G80">
        <v>269</v>
      </c>
    </row>
    <row r="81" spans="1:7" ht="15" x14ac:dyDescent="0.25">
      <c r="A81" t="s">
        <v>3084</v>
      </c>
      <c r="B81">
        <v>1</v>
      </c>
      <c r="C81">
        <v>106</v>
      </c>
      <c r="D81">
        <v>106</v>
      </c>
      <c r="E81">
        <v>51</v>
      </c>
      <c r="F81">
        <v>51</v>
      </c>
      <c r="G81">
        <v>106</v>
      </c>
    </row>
    <row r="82" spans="1:7" ht="15" x14ac:dyDescent="0.25">
      <c r="A82" t="s">
        <v>3092</v>
      </c>
      <c r="B82">
        <v>1</v>
      </c>
      <c r="C82">
        <v>2095</v>
      </c>
      <c r="D82">
        <v>2095</v>
      </c>
      <c r="E82">
        <v>6</v>
      </c>
      <c r="F82">
        <v>6</v>
      </c>
      <c r="G82">
        <v>2095</v>
      </c>
    </row>
    <row r="83" spans="1:7" ht="15" x14ac:dyDescent="0.25">
      <c r="A83" t="s">
        <v>3096</v>
      </c>
      <c r="B83">
        <v>1</v>
      </c>
      <c r="C83">
        <v>88</v>
      </c>
      <c r="D83">
        <v>88</v>
      </c>
      <c r="E83">
        <v>7</v>
      </c>
      <c r="F83">
        <v>7</v>
      </c>
      <c r="G83">
        <v>88</v>
      </c>
    </row>
    <row r="84" spans="1:7" ht="15" x14ac:dyDescent="0.25">
      <c r="A84" t="s">
        <v>3100</v>
      </c>
      <c r="B84">
        <v>1</v>
      </c>
      <c r="C84">
        <v>303</v>
      </c>
      <c r="D84">
        <v>303</v>
      </c>
      <c r="E84">
        <v>18</v>
      </c>
      <c r="F84">
        <v>18</v>
      </c>
      <c r="G84">
        <v>303</v>
      </c>
    </row>
    <row r="85" spans="1:7" ht="15" x14ac:dyDescent="0.25">
      <c r="A85" t="s">
        <v>3107</v>
      </c>
      <c r="B85">
        <v>2</v>
      </c>
      <c r="C85">
        <v>698</v>
      </c>
      <c r="D85">
        <v>1389</v>
      </c>
      <c r="E85">
        <v>110</v>
      </c>
      <c r="F85">
        <v>55</v>
      </c>
      <c r="G85">
        <v>698</v>
      </c>
    </row>
    <row r="86" spans="1:7" ht="15" x14ac:dyDescent="0.25">
      <c r="A86" t="s">
        <v>3113</v>
      </c>
      <c r="B86">
        <v>1</v>
      </c>
      <c r="C86">
        <v>116</v>
      </c>
      <c r="D86">
        <v>116</v>
      </c>
      <c r="E86">
        <v>9</v>
      </c>
      <c r="F86">
        <v>9</v>
      </c>
      <c r="G86">
        <v>116</v>
      </c>
    </row>
    <row r="87" spans="1:7" ht="15" x14ac:dyDescent="0.25">
      <c r="A87" t="s">
        <v>3120</v>
      </c>
      <c r="B87">
        <v>1</v>
      </c>
      <c r="C87">
        <v>3570</v>
      </c>
      <c r="D87">
        <v>3570</v>
      </c>
      <c r="E87">
        <v>109</v>
      </c>
      <c r="F87">
        <v>109</v>
      </c>
      <c r="G87">
        <v>3570</v>
      </c>
    </row>
    <row r="88" spans="1:7" ht="15" x14ac:dyDescent="0.25">
      <c r="A88" t="s">
        <v>3127</v>
      </c>
      <c r="B88">
        <v>1</v>
      </c>
      <c r="C88">
        <v>43</v>
      </c>
      <c r="D88">
        <v>43</v>
      </c>
      <c r="E88">
        <v>8</v>
      </c>
      <c r="F88">
        <v>8</v>
      </c>
      <c r="G88">
        <v>43</v>
      </c>
    </row>
    <row r="89" spans="1:7" ht="15" x14ac:dyDescent="0.25">
      <c r="A89" t="s">
        <v>3133</v>
      </c>
      <c r="B89">
        <v>12</v>
      </c>
      <c r="C89">
        <v>332</v>
      </c>
      <c r="D89">
        <v>3894</v>
      </c>
      <c r="E89">
        <v>678</v>
      </c>
      <c r="F89">
        <v>56.5</v>
      </c>
      <c r="G89">
        <v>334</v>
      </c>
    </row>
    <row r="90" spans="1:7" ht="15" x14ac:dyDescent="0.25">
      <c r="A90" t="s">
        <v>3140</v>
      </c>
      <c r="B90">
        <v>2</v>
      </c>
      <c r="C90">
        <v>113</v>
      </c>
      <c r="D90">
        <v>222</v>
      </c>
      <c r="E90">
        <v>62</v>
      </c>
      <c r="F90">
        <v>31</v>
      </c>
      <c r="G90">
        <v>113</v>
      </c>
    </row>
    <row r="91" spans="1:7" ht="15" x14ac:dyDescent="0.25">
      <c r="A91" t="s">
        <v>3148</v>
      </c>
      <c r="B91">
        <v>1</v>
      </c>
      <c r="C91">
        <v>183</v>
      </c>
      <c r="D91">
        <v>183</v>
      </c>
      <c r="E91">
        <v>12</v>
      </c>
      <c r="F91">
        <v>12</v>
      </c>
      <c r="G91">
        <v>183</v>
      </c>
    </row>
    <row r="92" spans="1:7" ht="15" x14ac:dyDescent="0.25">
      <c r="A92" t="s">
        <v>3154</v>
      </c>
      <c r="B92">
        <v>6</v>
      </c>
      <c r="C92">
        <v>860</v>
      </c>
      <c r="D92">
        <v>5150</v>
      </c>
      <c r="E92">
        <v>579</v>
      </c>
      <c r="F92">
        <v>96.5</v>
      </c>
      <c r="G92">
        <v>861</v>
      </c>
    </row>
    <row r="93" spans="1:7" ht="15" x14ac:dyDescent="0.25">
      <c r="A93" t="s">
        <v>3161</v>
      </c>
      <c r="B93">
        <v>1</v>
      </c>
      <c r="C93">
        <v>28</v>
      </c>
      <c r="D93">
        <v>28</v>
      </c>
      <c r="E93">
        <v>19</v>
      </c>
      <c r="F93">
        <v>19</v>
      </c>
      <c r="G93">
        <v>28</v>
      </c>
    </row>
    <row r="94" spans="1:7" ht="15" x14ac:dyDescent="0.25">
      <c r="A94" t="s">
        <v>3167</v>
      </c>
      <c r="B94">
        <v>1</v>
      </c>
      <c r="C94">
        <v>1481</v>
      </c>
      <c r="D94">
        <v>1481</v>
      </c>
      <c r="E94">
        <v>40</v>
      </c>
      <c r="F94">
        <v>40</v>
      </c>
      <c r="G94">
        <v>1481</v>
      </c>
    </row>
    <row r="95" spans="1:7" ht="15" x14ac:dyDescent="0.25">
      <c r="A95" t="s">
        <v>3175</v>
      </c>
      <c r="B95">
        <v>1</v>
      </c>
      <c r="C95">
        <v>372</v>
      </c>
      <c r="D95">
        <v>372</v>
      </c>
      <c r="E95">
        <v>66</v>
      </c>
      <c r="F95">
        <v>66</v>
      </c>
      <c r="G95">
        <v>372</v>
      </c>
    </row>
    <row r="96" spans="1:7" ht="15" x14ac:dyDescent="0.25">
      <c r="A96" t="s">
        <v>3183</v>
      </c>
      <c r="B96">
        <v>1</v>
      </c>
      <c r="C96">
        <v>153</v>
      </c>
      <c r="D96">
        <v>153</v>
      </c>
      <c r="E96">
        <v>10</v>
      </c>
      <c r="F96">
        <v>10</v>
      </c>
      <c r="G96">
        <v>153</v>
      </c>
    </row>
    <row r="97" spans="1:7" ht="15" x14ac:dyDescent="0.25">
      <c r="A97" t="s">
        <v>3190</v>
      </c>
      <c r="B97">
        <v>1</v>
      </c>
      <c r="C97">
        <v>716</v>
      </c>
      <c r="D97">
        <v>716</v>
      </c>
      <c r="E97">
        <v>84</v>
      </c>
      <c r="F97">
        <v>84</v>
      </c>
      <c r="G97">
        <v>716</v>
      </c>
    </row>
    <row r="98" spans="1:7" ht="15" x14ac:dyDescent="0.25">
      <c r="A98" t="s">
        <v>3199</v>
      </c>
      <c r="B98">
        <v>1</v>
      </c>
      <c r="C98">
        <v>303</v>
      </c>
      <c r="D98">
        <v>303</v>
      </c>
      <c r="E98">
        <v>57</v>
      </c>
      <c r="F98">
        <v>57</v>
      </c>
      <c r="G98">
        <v>303</v>
      </c>
    </row>
    <row r="99" spans="1:7" ht="15" x14ac:dyDescent="0.25">
      <c r="A99" t="s">
        <v>3206</v>
      </c>
      <c r="B99">
        <v>6</v>
      </c>
      <c r="C99">
        <v>239</v>
      </c>
      <c r="D99">
        <v>1407</v>
      </c>
      <c r="E99">
        <v>156</v>
      </c>
      <c r="F99">
        <v>26</v>
      </c>
      <c r="G99">
        <v>239</v>
      </c>
    </row>
    <row r="100" spans="1:7" ht="15" x14ac:dyDescent="0.25">
      <c r="A100" t="s">
        <v>3214</v>
      </c>
      <c r="B100">
        <v>1</v>
      </c>
      <c r="C100">
        <v>125</v>
      </c>
      <c r="D100">
        <v>125</v>
      </c>
      <c r="E100">
        <v>14</v>
      </c>
      <c r="F100">
        <v>14</v>
      </c>
      <c r="G100">
        <v>125</v>
      </c>
    </row>
    <row r="101" spans="1:7" ht="15" x14ac:dyDescent="0.25">
      <c r="A101" t="s">
        <v>3221</v>
      </c>
      <c r="B101">
        <v>1</v>
      </c>
      <c r="C101">
        <v>235</v>
      </c>
      <c r="D101">
        <v>235</v>
      </c>
      <c r="E101">
        <v>34</v>
      </c>
      <c r="F101">
        <v>34</v>
      </c>
      <c r="G101">
        <v>235</v>
      </c>
    </row>
    <row r="102" spans="1:7" ht="15" x14ac:dyDescent="0.25">
      <c r="A102" t="s">
        <v>3226</v>
      </c>
      <c r="B102">
        <v>1</v>
      </c>
      <c r="C102">
        <v>948</v>
      </c>
      <c r="D102">
        <v>948</v>
      </c>
      <c r="E102">
        <v>103</v>
      </c>
      <c r="F102">
        <v>103</v>
      </c>
      <c r="G102">
        <v>948</v>
      </c>
    </row>
    <row r="103" spans="1:7" ht="15" x14ac:dyDescent="0.25">
      <c r="A103" t="s">
        <v>3233</v>
      </c>
      <c r="B103">
        <v>1</v>
      </c>
      <c r="C103">
        <v>4777</v>
      </c>
      <c r="D103">
        <v>4777</v>
      </c>
      <c r="E103">
        <v>36</v>
      </c>
      <c r="F103">
        <v>36</v>
      </c>
      <c r="G103">
        <v>4777</v>
      </c>
    </row>
    <row r="104" spans="1:7" ht="15" x14ac:dyDescent="0.25">
      <c r="A104" t="s">
        <v>3240</v>
      </c>
      <c r="B104">
        <v>1</v>
      </c>
      <c r="C104">
        <v>998</v>
      </c>
      <c r="D104">
        <v>998</v>
      </c>
      <c r="E104">
        <v>45</v>
      </c>
      <c r="F104">
        <v>45</v>
      </c>
      <c r="G104">
        <v>998</v>
      </c>
    </row>
    <row r="105" spans="1:7" ht="15" x14ac:dyDescent="0.25">
      <c r="A105" t="s">
        <v>3248</v>
      </c>
      <c r="B105">
        <v>15</v>
      </c>
      <c r="C105">
        <v>33730</v>
      </c>
      <c r="D105">
        <v>486272</v>
      </c>
      <c r="E105">
        <v>8149</v>
      </c>
      <c r="F105">
        <v>543.26666666666665</v>
      </c>
      <c r="G105">
        <v>33730</v>
      </c>
    </row>
    <row r="106" spans="1:7" ht="15" x14ac:dyDescent="0.25">
      <c r="A106" t="s">
        <v>3251</v>
      </c>
      <c r="B106">
        <v>24</v>
      </c>
      <c r="C106">
        <v>319</v>
      </c>
      <c r="D106">
        <v>7275</v>
      </c>
      <c r="E106">
        <v>599</v>
      </c>
      <c r="F106">
        <v>24.958333333333332</v>
      </c>
      <c r="G106">
        <v>319</v>
      </c>
    </row>
    <row r="107" spans="1:7" ht="15" x14ac:dyDescent="0.25">
      <c r="A107" t="s">
        <v>3258</v>
      </c>
      <c r="B107">
        <v>1</v>
      </c>
      <c r="C107">
        <v>745</v>
      </c>
      <c r="D107">
        <v>745</v>
      </c>
      <c r="E107">
        <v>31</v>
      </c>
      <c r="F107">
        <v>31</v>
      </c>
      <c r="G107">
        <v>745</v>
      </c>
    </row>
    <row r="108" spans="1:7" ht="15" x14ac:dyDescent="0.25">
      <c r="A108" t="s">
        <v>3263</v>
      </c>
      <c r="B108">
        <v>2</v>
      </c>
      <c r="C108">
        <v>473</v>
      </c>
      <c r="D108">
        <v>941</v>
      </c>
      <c r="E108">
        <v>126</v>
      </c>
      <c r="F108">
        <v>63</v>
      </c>
      <c r="G108">
        <v>473</v>
      </c>
    </row>
    <row r="109" spans="1:7" ht="15" x14ac:dyDescent="0.25">
      <c r="A109" t="s">
        <v>3270</v>
      </c>
      <c r="B109">
        <v>2</v>
      </c>
      <c r="C109">
        <v>615</v>
      </c>
      <c r="D109">
        <v>1227</v>
      </c>
      <c r="E109">
        <v>80</v>
      </c>
      <c r="F109">
        <v>40</v>
      </c>
      <c r="G109">
        <v>615</v>
      </c>
    </row>
    <row r="110" spans="1:7" ht="15" x14ac:dyDescent="0.25">
      <c r="A110" t="s">
        <v>3278</v>
      </c>
      <c r="B110">
        <v>1</v>
      </c>
      <c r="C110">
        <v>1517</v>
      </c>
      <c r="D110">
        <v>1517</v>
      </c>
      <c r="E110">
        <v>59</v>
      </c>
      <c r="F110">
        <v>59</v>
      </c>
      <c r="G110">
        <v>1517</v>
      </c>
    </row>
    <row r="111" spans="1:7" ht="15" x14ac:dyDescent="0.25">
      <c r="A111" t="s">
        <v>3281</v>
      </c>
      <c r="B111">
        <v>1</v>
      </c>
      <c r="C111">
        <v>134</v>
      </c>
      <c r="D111">
        <v>134</v>
      </c>
      <c r="E111">
        <v>16</v>
      </c>
      <c r="F111">
        <v>16</v>
      </c>
      <c r="G111">
        <v>134</v>
      </c>
    </row>
    <row r="112" spans="1:7" ht="15" x14ac:dyDescent="0.25">
      <c r="A112" t="s">
        <v>3290</v>
      </c>
      <c r="B112">
        <v>10</v>
      </c>
      <c r="C112">
        <v>2040</v>
      </c>
      <c r="D112">
        <v>19353</v>
      </c>
      <c r="E112">
        <v>3110</v>
      </c>
      <c r="F112">
        <v>311</v>
      </c>
      <c r="G112">
        <v>2040</v>
      </c>
    </row>
    <row r="113" spans="1:7" ht="15" x14ac:dyDescent="0.25">
      <c r="A113" t="s">
        <v>3297</v>
      </c>
      <c r="B113">
        <v>1</v>
      </c>
      <c r="C113">
        <v>2180</v>
      </c>
      <c r="D113">
        <v>2180</v>
      </c>
      <c r="E113">
        <v>233</v>
      </c>
      <c r="F113">
        <v>233</v>
      </c>
      <c r="G113">
        <v>2180</v>
      </c>
    </row>
    <row r="114" spans="1:7" ht="15" x14ac:dyDescent="0.25">
      <c r="A114" t="s">
        <v>3301</v>
      </c>
      <c r="B114">
        <v>18</v>
      </c>
      <c r="C114">
        <v>621</v>
      </c>
      <c r="D114">
        <v>10769</v>
      </c>
      <c r="E114">
        <v>1921</v>
      </c>
      <c r="F114">
        <v>106.72222222222223</v>
      </c>
      <c r="G114">
        <v>621</v>
      </c>
    </row>
    <row r="115" spans="1:7" ht="15" x14ac:dyDescent="0.25">
      <c r="A115" t="s">
        <v>3308</v>
      </c>
      <c r="B115">
        <v>1</v>
      </c>
      <c r="C115">
        <v>377</v>
      </c>
      <c r="D115">
        <v>377</v>
      </c>
      <c r="E115">
        <v>86</v>
      </c>
      <c r="F115">
        <v>86</v>
      </c>
      <c r="G115">
        <v>377</v>
      </c>
    </row>
    <row r="116" spans="1:7" ht="15" x14ac:dyDescent="0.25">
      <c r="A116" t="s">
        <v>3317</v>
      </c>
      <c r="B116">
        <v>1</v>
      </c>
      <c r="C116">
        <v>1081</v>
      </c>
      <c r="D116">
        <v>1081</v>
      </c>
      <c r="E116">
        <v>51</v>
      </c>
      <c r="F116">
        <v>51</v>
      </c>
      <c r="G116">
        <v>1081</v>
      </c>
    </row>
    <row r="117" spans="1:7" ht="15" x14ac:dyDescent="0.25">
      <c r="A117" t="s">
        <v>3325</v>
      </c>
      <c r="B117">
        <v>1</v>
      </c>
      <c r="C117">
        <v>501</v>
      </c>
      <c r="D117">
        <v>501</v>
      </c>
      <c r="E117">
        <v>19</v>
      </c>
      <c r="F117">
        <v>19</v>
      </c>
      <c r="G117">
        <v>501</v>
      </c>
    </row>
    <row r="118" spans="1:7" ht="15" x14ac:dyDescent="0.25">
      <c r="A118" t="s">
        <v>3331</v>
      </c>
      <c r="B118">
        <v>1</v>
      </c>
      <c r="C118">
        <v>226</v>
      </c>
      <c r="D118">
        <v>226</v>
      </c>
      <c r="E118">
        <v>22</v>
      </c>
      <c r="F118">
        <v>22</v>
      </c>
      <c r="G118">
        <v>226</v>
      </c>
    </row>
    <row r="119" spans="1:7" ht="15" x14ac:dyDescent="0.25">
      <c r="A119" t="s">
        <v>3339</v>
      </c>
      <c r="B119">
        <v>1</v>
      </c>
      <c r="C119">
        <v>992</v>
      </c>
      <c r="D119">
        <v>992</v>
      </c>
      <c r="E119">
        <v>42</v>
      </c>
      <c r="F119">
        <v>42</v>
      </c>
      <c r="G119">
        <v>992</v>
      </c>
    </row>
    <row r="120" spans="1:7" ht="15" x14ac:dyDescent="0.25">
      <c r="A120" t="s">
        <v>3345</v>
      </c>
      <c r="B120">
        <v>1</v>
      </c>
      <c r="C120">
        <v>1011</v>
      </c>
      <c r="D120">
        <v>1011</v>
      </c>
      <c r="E120">
        <v>41</v>
      </c>
      <c r="F120">
        <v>41</v>
      </c>
      <c r="G120">
        <v>1011</v>
      </c>
    </row>
    <row r="121" spans="1:7" ht="15" x14ac:dyDescent="0.25">
      <c r="A121" t="s">
        <v>3352</v>
      </c>
      <c r="B121">
        <v>1</v>
      </c>
      <c r="C121">
        <v>785</v>
      </c>
      <c r="D121">
        <v>785</v>
      </c>
      <c r="E121">
        <v>7</v>
      </c>
      <c r="F121">
        <v>7</v>
      </c>
      <c r="G121">
        <v>785</v>
      </c>
    </row>
    <row r="122" spans="1:7" ht="15" x14ac:dyDescent="0.25">
      <c r="A122" t="s">
        <v>3358</v>
      </c>
      <c r="B122">
        <v>1</v>
      </c>
      <c r="C122">
        <v>262</v>
      </c>
      <c r="D122">
        <v>262</v>
      </c>
      <c r="E122">
        <v>100</v>
      </c>
      <c r="F122">
        <v>100</v>
      </c>
      <c r="G122">
        <v>262</v>
      </c>
    </row>
    <row r="123" spans="1:7" ht="15" x14ac:dyDescent="0.25">
      <c r="A123" t="s">
        <v>3365</v>
      </c>
      <c r="B123">
        <v>1</v>
      </c>
      <c r="C123">
        <v>60510</v>
      </c>
      <c r="D123">
        <v>60510</v>
      </c>
      <c r="E123">
        <v>372</v>
      </c>
      <c r="F123">
        <v>372</v>
      </c>
      <c r="G123">
        <v>60510</v>
      </c>
    </row>
    <row r="124" spans="1:7" ht="15" x14ac:dyDescent="0.25">
      <c r="A124" t="s">
        <v>3379</v>
      </c>
      <c r="B124">
        <v>1</v>
      </c>
      <c r="C124">
        <v>6</v>
      </c>
      <c r="D124">
        <v>6</v>
      </c>
      <c r="E124">
        <v>15</v>
      </c>
      <c r="F124">
        <v>15</v>
      </c>
      <c r="G124">
        <v>6</v>
      </c>
    </row>
    <row r="125" spans="1:7" ht="15" x14ac:dyDescent="0.25">
      <c r="A125" t="s">
        <v>3387</v>
      </c>
      <c r="B125">
        <v>1</v>
      </c>
      <c r="C125">
        <v>103</v>
      </c>
      <c r="D125">
        <v>103</v>
      </c>
      <c r="E125">
        <v>8</v>
      </c>
      <c r="F125">
        <v>8</v>
      </c>
      <c r="G125">
        <v>103</v>
      </c>
    </row>
    <row r="126" spans="1:7" ht="15" x14ac:dyDescent="0.25">
      <c r="A126" t="s">
        <v>3393</v>
      </c>
      <c r="B126">
        <v>14</v>
      </c>
      <c r="C126">
        <v>19491</v>
      </c>
      <c r="D126">
        <v>254061</v>
      </c>
      <c r="E126">
        <v>8310</v>
      </c>
      <c r="F126">
        <v>593.57142857142856</v>
      </c>
      <c r="G126">
        <v>19491</v>
      </c>
    </row>
    <row r="127" spans="1:7" ht="15" x14ac:dyDescent="0.25">
      <c r="A127" t="s">
        <v>3396</v>
      </c>
      <c r="B127">
        <v>1</v>
      </c>
      <c r="C127">
        <v>466</v>
      </c>
      <c r="D127">
        <v>466</v>
      </c>
      <c r="E127">
        <v>38</v>
      </c>
      <c r="F127">
        <v>38</v>
      </c>
      <c r="G127">
        <v>466</v>
      </c>
    </row>
    <row r="128" spans="1:7" ht="15" x14ac:dyDescent="0.25">
      <c r="A128" t="s">
        <v>3402</v>
      </c>
      <c r="B128">
        <v>1</v>
      </c>
      <c r="C128">
        <v>68</v>
      </c>
      <c r="D128">
        <v>68</v>
      </c>
      <c r="E128">
        <v>4</v>
      </c>
      <c r="F128">
        <v>4</v>
      </c>
      <c r="G128">
        <v>68</v>
      </c>
    </row>
    <row r="129" spans="1:7" ht="15" x14ac:dyDescent="0.25">
      <c r="A129" t="s">
        <v>3409</v>
      </c>
      <c r="B129">
        <v>1</v>
      </c>
      <c r="C129">
        <v>332</v>
      </c>
      <c r="D129">
        <v>332</v>
      </c>
      <c r="E129">
        <v>9</v>
      </c>
      <c r="F129">
        <v>9</v>
      </c>
      <c r="G129">
        <v>332</v>
      </c>
    </row>
    <row r="130" spans="1:7" ht="15" x14ac:dyDescent="0.25">
      <c r="A130" t="s">
        <v>3415</v>
      </c>
      <c r="B130">
        <v>2</v>
      </c>
      <c r="C130">
        <v>241</v>
      </c>
      <c r="D130">
        <v>481</v>
      </c>
      <c r="E130">
        <v>86</v>
      </c>
      <c r="F130">
        <v>43</v>
      </c>
      <c r="G130">
        <v>241</v>
      </c>
    </row>
    <row r="131" spans="1:7" ht="15" x14ac:dyDescent="0.25">
      <c r="A131" t="s">
        <v>3422</v>
      </c>
      <c r="B131">
        <v>1</v>
      </c>
      <c r="C131">
        <v>240</v>
      </c>
      <c r="D131">
        <v>240</v>
      </c>
      <c r="E131">
        <v>31</v>
      </c>
      <c r="F131">
        <v>31</v>
      </c>
      <c r="G131">
        <v>240</v>
      </c>
    </row>
    <row r="132" spans="1:7" ht="15" x14ac:dyDescent="0.25">
      <c r="A132" t="s">
        <v>3428</v>
      </c>
      <c r="B132">
        <v>1</v>
      </c>
      <c r="C132">
        <v>93</v>
      </c>
      <c r="D132">
        <v>93</v>
      </c>
      <c r="E132">
        <v>11</v>
      </c>
      <c r="F132">
        <v>11</v>
      </c>
      <c r="G132">
        <v>93</v>
      </c>
    </row>
    <row r="133" spans="1:7" ht="15" x14ac:dyDescent="0.25">
      <c r="A133" t="s">
        <v>3434</v>
      </c>
      <c r="B133">
        <v>1</v>
      </c>
      <c r="C133">
        <v>499</v>
      </c>
      <c r="D133">
        <v>499</v>
      </c>
      <c r="E133">
        <v>26</v>
      </c>
      <c r="F133">
        <v>26</v>
      </c>
      <c r="G133">
        <v>499</v>
      </c>
    </row>
    <row r="134" spans="1:7" ht="15" x14ac:dyDescent="0.25">
      <c r="A134" t="s">
        <v>3441</v>
      </c>
      <c r="B134">
        <v>1</v>
      </c>
      <c r="C134">
        <v>209</v>
      </c>
      <c r="D134">
        <v>209</v>
      </c>
      <c r="E134">
        <v>32</v>
      </c>
      <c r="F134">
        <v>32</v>
      </c>
      <c r="G134">
        <v>209</v>
      </c>
    </row>
    <row r="135" spans="1:7" ht="15" x14ac:dyDescent="0.25">
      <c r="A135" t="s">
        <v>3448</v>
      </c>
      <c r="B135">
        <v>1</v>
      </c>
      <c r="C135">
        <v>45</v>
      </c>
      <c r="D135">
        <v>45</v>
      </c>
      <c r="E135">
        <v>4</v>
      </c>
      <c r="F135">
        <v>4</v>
      </c>
      <c r="G135">
        <v>45</v>
      </c>
    </row>
    <row r="136" spans="1:7" ht="15" x14ac:dyDescent="0.25">
      <c r="A136" t="s">
        <v>3454</v>
      </c>
      <c r="B136">
        <v>3</v>
      </c>
      <c r="C136">
        <v>436</v>
      </c>
      <c r="D136">
        <v>1302</v>
      </c>
      <c r="E136">
        <v>146</v>
      </c>
      <c r="F136">
        <v>48.666666666666664</v>
      </c>
      <c r="G136">
        <v>436</v>
      </c>
    </row>
    <row r="137" spans="1:7" ht="15" x14ac:dyDescent="0.25">
      <c r="A137" t="s">
        <v>3459</v>
      </c>
      <c r="B137">
        <v>1</v>
      </c>
      <c r="C137">
        <v>413</v>
      </c>
      <c r="D137">
        <v>413</v>
      </c>
      <c r="E137">
        <v>63</v>
      </c>
      <c r="F137">
        <v>63</v>
      </c>
      <c r="G137">
        <v>413</v>
      </c>
    </row>
    <row r="138" spans="1:7" ht="15" x14ac:dyDescent="0.25">
      <c r="A138" t="s">
        <v>3467</v>
      </c>
      <c r="B138">
        <v>1</v>
      </c>
      <c r="C138">
        <v>645</v>
      </c>
      <c r="D138">
        <v>645</v>
      </c>
      <c r="E138">
        <v>102</v>
      </c>
      <c r="F138">
        <v>102</v>
      </c>
      <c r="G138">
        <v>645</v>
      </c>
    </row>
    <row r="139" spans="1:7" ht="15" x14ac:dyDescent="0.25">
      <c r="A139" t="s">
        <v>3471</v>
      </c>
      <c r="B139">
        <v>25</v>
      </c>
      <c r="C139">
        <v>190</v>
      </c>
      <c r="D139">
        <v>4693</v>
      </c>
      <c r="E139">
        <v>705</v>
      </c>
      <c r="F139">
        <v>28.2</v>
      </c>
      <c r="G139">
        <v>200</v>
      </c>
    </row>
    <row r="140" spans="1:7" ht="15" x14ac:dyDescent="0.25">
      <c r="A140" t="s">
        <v>3480</v>
      </c>
      <c r="B140">
        <v>1</v>
      </c>
      <c r="C140">
        <v>1340</v>
      </c>
      <c r="D140">
        <v>1340</v>
      </c>
      <c r="E140">
        <v>27</v>
      </c>
      <c r="F140">
        <v>27</v>
      </c>
      <c r="G140">
        <v>1340</v>
      </c>
    </row>
    <row r="141" spans="1:7" ht="15" x14ac:dyDescent="0.25">
      <c r="A141" t="s">
        <v>3483</v>
      </c>
      <c r="B141">
        <v>1</v>
      </c>
      <c r="C141">
        <v>473</v>
      </c>
      <c r="D141">
        <v>473</v>
      </c>
      <c r="E141">
        <v>26</v>
      </c>
      <c r="F141">
        <v>26</v>
      </c>
      <c r="G141">
        <v>473</v>
      </c>
    </row>
    <row r="142" spans="1:7" ht="15" x14ac:dyDescent="0.25">
      <c r="A142" t="s">
        <v>3495</v>
      </c>
      <c r="B142">
        <v>1</v>
      </c>
      <c r="C142">
        <v>387</v>
      </c>
      <c r="D142">
        <v>387</v>
      </c>
      <c r="E142">
        <v>37</v>
      </c>
      <c r="F142">
        <v>37</v>
      </c>
      <c r="G142">
        <v>387</v>
      </c>
    </row>
    <row r="143" spans="1:7" ht="15" x14ac:dyDescent="0.25">
      <c r="A143" t="s">
        <v>3501</v>
      </c>
      <c r="B143">
        <v>1</v>
      </c>
      <c r="C143">
        <v>5891</v>
      </c>
      <c r="D143">
        <v>5891</v>
      </c>
      <c r="E143">
        <v>162</v>
      </c>
      <c r="F143">
        <v>162</v>
      </c>
      <c r="G143">
        <v>5891</v>
      </c>
    </row>
    <row r="144" spans="1:7" ht="15" x14ac:dyDescent="0.25">
      <c r="A144" t="s">
        <v>3507</v>
      </c>
      <c r="B144">
        <v>1</v>
      </c>
      <c r="C144">
        <v>833</v>
      </c>
      <c r="D144">
        <v>833</v>
      </c>
      <c r="E144">
        <v>30</v>
      </c>
      <c r="F144">
        <v>30</v>
      </c>
      <c r="G144">
        <v>833</v>
      </c>
    </row>
    <row r="145" spans="1:7" ht="15" x14ac:dyDescent="0.25">
      <c r="A145" t="s">
        <v>3515</v>
      </c>
      <c r="B145">
        <v>1</v>
      </c>
      <c r="C145">
        <v>2081</v>
      </c>
      <c r="D145">
        <v>2081</v>
      </c>
      <c r="E145">
        <v>54</v>
      </c>
      <c r="F145">
        <v>54</v>
      </c>
      <c r="G145">
        <v>2081</v>
      </c>
    </row>
    <row r="146" spans="1:7" ht="15" x14ac:dyDescent="0.25">
      <c r="A146" t="s">
        <v>3523</v>
      </c>
      <c r="B146">
        <v>6</v>
      </c>
      <c r="C146">
        <v>803</v>
      </c>
      <c r="D146">
        <v>4767</v>
      </c>
      <c r="E146">
        <v>290</v>
      </c>
      <c r="F146">
        <v>48.333333333333336</v>
      </c>
      <c r="G146">
        <v>803</v>
      </c>
    </row>
    <row r="147" spans="1:7" ht="15" x14ac:dyDescent="0.25">
      <c r="A147" t="s">
        <v>3531</v>
      </c>
      <c r="B147">
        <v>1</v>
      </c>
      <c r="C147">
        <v>140</v>
      </c>
      <c r="D147">
        <v>140</v>
      </c>
      <c r="E147">
        <v>8</v>
      </c>
      <c r="F147">
        <v>8</v>
      </c>
      <c r="G147">
        <v>140</v>
      </c>
    </row>
    <row r="148" spans="1:7" ht="15" x14ac:dyDescent="0.25">
      <c r="A148" t="s">
        <v>3537</v>
      </c>
      <c r="B148">
        <v>1</v>
      </c>
      <c r="C148">
        <v>116</v>
      </c>
      <c r="D148">
        <v>116</v>
      </c>
      <c r="E148">
        <v>11</v>
      </c>
      <c r="F148">
        <v>11</v>
      </c>
      <c r="G148">
        <v>116</v>
      </c>
    </row>
    <row r="149" spans="1:7" ht="15" x14ac:dyDescent="0.25">
      <c r="A149" t="s">
        <v>3544</v>
      </c>
      <c r="B149">
        <v>1</v>
      </c>
      <c r="D149">
        <v>0</v>
      </c>
      <c r="E149">
        <v>16</v>
      </c>
      <c r="F149">
        <v>16</v>
      </c>
    </row>
    <row r="150" spans="1:7" ht="15" x14ac:dyDescent="0.25">
      <c r="A150" t="s">
        <v>3553</v>
      </c>
      <c r="B150">
        <v>1</v>
      </c>
      <c r="C150">
        <v>296</v>
      </c>
      <c r="D150">
        <v>296</v>
      </c>
      <c r="E150">
        <v>42</v>
      </c>
      <c r="F150">
        <v>42</v>
      </c>
      <c r="G150">
        <v>296</v>
      </c>
    </row>
    <row r="151" spans="1:7" ht="15" x14ac:dyDescent="0.25">
      <c r="A151" t="s">
        <v>3561</v>
      </c>
      <c r="B151">
        <v>1</v>
      </c>
      <c r="C151">
        <v>25811</v>
      </c>
      <c r="D151">
        <v>25811</v>
      </c>
      <c r="E151">
        <v>149</v>
      </c>
      <c r="F151">
        <v>149</v>
      </c>
      <c r="G151">
        <v>25811</v>
      </c>
    </row>
    <row r="152" spans="1:7" ht="15" x14ac:dyDescent="0.25">
      <c r="A152" t="s">
        <v>3565</v>
      </c>
      <c r="B152">
        <v>7</v>
      </c>
      <c r="C152">
        <v>57583</v>
      </c>
      <c r="D152">
        <v>402859</v>
      </c>
      <c r="E152">
        <v>3528</v>
      </c>
      <c r="F152">
        <v>504</v>
      </c>
      <c r="G152">
        <v>57583</v>
      </c>
    </row>
    <row r="153" spans="1:7" ht="15" x14ac:dyDescent="0.25">
      <c r="A153" t="s">
        <v>3572</v>
      </c>
      <c r="B153">
        <v>1</v>
      </c>
      <c r="C153">
        <v>200</v>
      </c>
      <c r="D153">
        <v>200</v>
      </c>
      <c r="E153">
        <v>16</v>
      </c>
      <c r="F153">
        <v>16</v>
      </c>
      <c r="G153">
        <v>200</v>
      </c>
    </row>
    <row r="154" spans="1:7" ht="15" x14ac:dyDescent="0.25">
      <c r="A154" t="s">
        <v>3579</v>
      </c>
      <c r="B154">
        <v>1</v>
      </c>
      <c r="C154">
        <v>385</v>
      </c>
      <c r="D154">
        <v>385</v>
      </c>
      <c r="E154">
        <v>68</v>
      </c>
      <c r="F154">
        <v>68</v>
      </c>
      <c r="G154">
        <v>385</v>
      </c>
    </row>
    <row r="155" spans="1:7" ht="15" x14ac:dyDescent="0.25">
      <c r="A155" t="s">
        <v>3587</v>
      </c>
      <c r="B155">
        <v>1</v>
      </c>
      <c r="C155">
        <v>1285</v>
      </c>
      <c r="D155">
        <v>1285</v>
      </c>
      <c r="E155">
        <v>73</v>
      </c>
      <c r="F155">
        <v>73</v>
      </c>
      <c r="G155">
        <v>1285</v>
      </c>
    </row>
    <row r="156" spans="1:7" ht="15" x14ac:dyDescent="0.25">
      <c r="A156" t="s">
        <v>3592</v>
      </c>
      <c r="B156">
        <v>1</v>
      </c>
      <c r="C156">
        <v>1560</v>
      </c>
      <c r="D156">
        <v>1560</v>
      </c>
      <c r="E156">
        <v>88</v>
      </c>
      <c r="F156">
        <v>88</v>
      </c>
      <c r="G156">
        <v>1560</v>
      </c>
    </row>
    <row r="157" spans="1:7" ht="15" x14ac:dyDescent="0.25">
      <c r="A157" t="s">
        <v>3601</v>
      </c>
      <c r="B157">
        <v>6</v>
      </c>
      <c r="C157">
        <v>689</v>
      </c>
      <c r="D157">
        <v>4077</v>
      </c>
      <c r="E157">
        <v>146</v>
      </c>
      <c r="F157">
        <v>24.333333333333332</v>
      </c>
      <c r="G157">
        <v>689</v>
      </c>
    </row>
    <row r="158" spans="1:7" ht="15" x14ac:dyDescent="0.25">
      <c r="A158" t="s">
        <v>3615</v>
      </c>
      <c r="B158">
        <v>4</v>
      </c>
      <c r="C158">
        <v>159</v>
      </c>
      <c r="D158">
        <v>637</v>
      </c>
      <c r="E158">
        <v>89</v>
      </c>
      <c r="F158">
        <v>22.25</v>
      </c>
      <c r="G158">
        <v>160</v>
      </c>
    </row>
    <row r="159" spans="1:7" ht="15" x14ac:dyDescent="0.25">
      <c r="A159" t="s">
        <v>3622</v>
      </c>
      <c r="B159">
        <v>1</v>
      </c>
      <c r="C159">
        <v>220</v>
      </c>
      <c r="D159">
        <v>220</v>
      </c>
      <c r="E159">
        <v>16</v>
      </c>
      <c r="F159">
        <v>16</v>
      </c>
      <c r="G159">
        <v>220</v>
      </c>
    </row>
    <row r="160" spans="1:7" ht="15" x14ac:dyDescent="0.25">
      <c r="A160" t="s">
        <v>3637</v>
      </c>
      <c r="B160">
        <v>1</v>
      </c>
      <c r="C160">
        <v>398</v>
      </c>
      <c r="D160">
        <v>398</v>
      </c>
      <c r="E160">
        <v>61</v>
      </c>
      <c r="F160">
        <v>61</v>
      </c>
      <c r="G160">
        <v>398</v>
      </c>
    </row>
    <row r="161" spans="1:7" ht="15" x14ac:dyDescent="0.25">
      <c r="A161" t="s">
        <v>3644</v>
      </c>
      <c r="B161">
        <v>35</v>
      </c>
      <c r="C161">
        <v>582</v>
      </c>
      <c r="D161">
        <v>20197</v>
      </c>
      <c r="E161">
        <v>1360</v>
      </c>
      <c r="F161">
        <v>38.857142857142854</v>
      </c>
      <c r="G161">
        <v>583</v>
      </c>
    </row>
    <row r="162" spans="1:7" ht="15" x14ac:dyDescent="0.25">
      <c r="A162" t="s">
        <v>3652</v>
      </c>
      <c r="B162">
        <v>2</v>
      </c>
      <c r="C162">
        <v>336</v>
      </c>
      <c r="D162">
        <v>656</v>
      </c>
      <c r="E162">
        <v>67</v>
      </c>
      <c r="F162">
        <v>33.5</v>
      </c>
      <c r="G162">
        <v>336</v>
      </c>
    </row>
    <row r="163" spans="1:7" ht="15" x14ac:dyDescent="0.25">
      <c r="A163" t="s">
        <v>3657</v>
      </c>
      <c r="B163">
        <v>1</v>
      </c>
      <c r="C163">
        <v>178</v>
      </c>
      <c r="D163">
        <v>178</v>
      </c>
      <c r="E163">
        <v>9</v>
      </c>
      <c r="F163">
        <v>9</v>
      </c>
      <c r="G163">
        <v>178</v>
      </c>
    </row>
    <row r="164" spans="1:7" ht="15" x14ac:dyDescent="0.25">
      <c r="A164" t="s">
        <v>3665</v>
      </c>
      <c r="B164">
        <v>4</v>
      </c>
      <c r="C164">
        <v>131</v>
      </c>
      <c r="D164">
        <v>510</v>
      </c>
      <c r="E164">
        <v>146</v>
      </c>
      <c r="F164">
        <v>36.5</v>
      </c>
      <c r="G164">
        <v>131</v>
      </c>
    </row>
    <row r="165" spans="1:7" ht="15" x14ac:dyDescent="0.25">
      <c r="A165" t="s">
        <v>3673</v>
      </c>
      <c r="B165">
        <v>1</v>
      </c>
      <c r="C165">
        <v>555</v>
      </c>
      <c r="D165">
        <v>555</v>
      </c>
      <c r="E165">
        <v>113</v>
      </c>
      <c r="F165">
        <v>113</v>
      </c>
      <c r="G165">
        <v>555</v>
      </c>
    </row>
    <row r="166" spans="1:7" ht="15" x14ac:dyDescent="0.25">
      <c r="A166" t="s">
        <v>3679</v>
      </c>
      <c r="B166">
        <v>4</v>
      </c>
      <c r="C166">
        <v>246</v>
      </c>
      <c r="D166">
        <v>946</v>
      </c>
      <c r="E166">
        <v>75</v>
      </c>
      <c r="F166">
        <v>18.75</v>
      </c>
      <c r="G166">
        <v>246</v>
      </c>
    </row>
    <row r="167" spans="1:7" ht="15" x14ac:dyDescent="0.25">
      <c r="A167" t="s">
        <v>3687</v>
      </c>
      <c r="B167">
        <v>1</v>
      </c>
      <c r="C167">
        <v>186</v>
      </c>
      <c r="D167">
        <v>186</v>
      </c>
      <c r="E167">
        <v>40</v>
      </c>
      <c r="F167">
        <v>40</v>
      </c>
      <c r="G167">
        <v>186</v>
      </c>
    </row>
    <row r="168" spans="1:7" ht="15" x14ac:dyDescent="0.25">
      <c r="A168" t="s">
        <v>3695</v>
      </c>
      <c r="B168">
        <v>1</v>
      </c>
      <c r="C168">
        <v>1585</v>
      </c>
      <c r="D168">
        <v>1585</v>
      </c>
      <c r="E168">
        <v>48</v>
      </c>
      <c r="F168">
        <v>48</v>
      </c>
      <c r="G168">
        <v>1585</v>
      </c>
    </row>
    <row r="169" spans="1:7" ht="15" x14ac:dyDescent="0.25">
      <c r="A169" t="s">
        <v>3703</v>
      </c>
      <c r="B169">
        <v>1</v>
      </c>
      <c r="C169">
        <v>171</v>
      </c>
      <c r="D169">
        <v>171</v>
      </c>
      <c r="E169">
        <v>5</v>
      </c>
      <c r="F169">
        <v>5</v>
      </c>
      <c r="G169">
        <v>171</v>
      </c>
    </row>
    <row r="170" spans="1:7" ht="15" x14ac:dyDescent="0.25">
      <c r="A170" t="s">
        <v>3710</v>
      </c>
      <c r="B170">
        <v>5</v>
      </c>
      <c r="C170">
        <v>14526</v>
      </c>
      <c r="D170">
        <v>70018</v>
      </c>
      <c r="E170">
        <v>1050</v>
      </c>
      <c r="F170">
        <v>210</v>
      </c>
      <c r="G170">
        <v>14526</v>
      </c>
    </row>
    <row r="171" spans="1:7" ht="15" x14ac:dyDescent="0.25">
      <c r="A171" t="s">
        <v>3713</v>
      </c>
      <c r="B171">
        <v>1</v>
      </c>
      <c r="C171">
        <v>137</v>
      </c>
      <c r="D171">
        <v>137</v>
      </c>
      <c r="E171">
        <v>54</v>
      </c>
      <c r="F171">
        <v>54</v>
      </c>
      <c r="G171">
        <v>137</v>
      </c>
    </row>
    <row r="172" spans="1:7" ht="15" x14ac:dyDescent="0.25">
      <c r="A172" t="s">
        <v>3734</v>
      </c>
      <c r="B172">
        <v>1</v>
      </c>
      <c r="C172">
        <v>80</v>
      </c>
      <c r="D172">
        <v>80</v>
      </c>
      <c r="E172">
        <v>11</v>
      </c>
      <c r="F172">
        <v>11</v>
      </c>
      <c r="G172">
        <v>80</v>
      </c>
    </row>
    <row r="173" spans="1:7" ht="15" x14ac:dyDescent="0.25">
      <c r="A173" t="s">
        <v>3754</v>
      </c>
      <c r="B173">
        <v>71</v>
      </c>
      <c r="C173">
        <v>201020</v>
      </c>
      <c r="D173">
        <v>14304097</v>
      </c>
      <c r="E173">
        <v>12232</v>
      </c>
      <c r="F173">
        <v>172.28169014084506</v>
      </c>
      <c r="G173">
        <v>201992</v>
      </c>
    </row>
    <row r="174" spans="1:7" ht="15" x14ac:dyDescent="0.25">
      <c r="A174" t="s">
        <v>3761</v>
      </c>
      <c r="B174">
        <v>16</v>
      </c>
      <c r="C174">
        <v>35458</v>
      </c>
      <c r="D174">
        <v>569264</v>
      </c>
      <c r="E174">
        <v>338</v>
      </c>
      <c r="F174">
        <v>21.125</v>
      </c>
      <c r="G174">
        <v>35705</v>
      </c>
    </row>
    <row r="175" spans="1:7" ht="15" x14ac:dyDescent="0.25">
      <c r="A175" t="s">
        <v>3765</v>
      </c>
      <c r="B175">
        <v>1</v>
      </c>
      <c r="C175">
        <v>889</v>
      </c>
      <c r="D175">
        <v>889</v>
      </c>
      <c r="E175">
        <v>56</v>
      </c>
      <c r="F175">
        <v>56</v>
      </c>
      <c r="G175">
        <v>889</v>
      </c>
    </row>
    <row r="176" spans="1:7" ht="15" x14ac:dyDescent="0.25">
      <c r="A176" t="s">
        <v>3771</v>
      </c>
      <c r="B176">
        <v>1</v>
      </c>
      <c r="C176">
        <v>634</v>
      </c>
      <c r="D176">
        <v>634</v>
      </c>
      <c r="E176">
        <v>57</v>
      </c>
      <c r="F176">
        <v>57</v>
      </c>
      <c r="G176">
        <v>634</v>
      </c>
    </row>
    <row r="177" spans="1:7" ht="15" x14ac:dyDescent="0.25">
      <c r="A177" t="s">
        <v>3777</v>
      </c>
      <c r="B177">
        <v>3</v>
      </c>
      <c r="C177">
        <v>182</v>
      </c>
      <c r="D177">
        <v>550</v>
      </c>
      <c r="E177">
        <v>101</v>
      </c>
      <c r="F177">
        <v>33.666666666666664</v>
      </c>
      <c r="G177">
        <v>185</v>
      </c>
    </row>
    <row r="178" spans="1:7" ht="15" x14ac:dyDescent="0.25">
      <c r="A178" t="s">
        <v>3784</v>
      </c>
      <c r="B178">
        <v>5</v>
      </c>
      <c r="C178">
        <v>370</v>
      </c>
      <c r="D178">
        <v>1841</v>
      </c>
      <c r="E178">
        <v>181</v>
      </c>
      <c r="F178">
        <v>36.200000000000003</v>
      </c>
      <c r="G178">
        <v>370</v>
      </c>
    </row>
    <row r="179" spans="1:7" ht="15" x14ac:dyDescent="0.25">
      <c r="A179" t="s">
        <v>3788</v>
      </c>
      <c r="B179">
        <v>1</v>
      </c>
      <c r="C179">
        <v>1742</v>
      </c>
      <c r="D179">
        <v>1742</v>
      </c>
      <c r="E179">
        <v>26</v>
      </c>
      <c r="F179">
        <v>26</v>
      </c>
      <c r="G179">
        <v>1742</v>
      </c>
    </row>
    <row r="180" spans="1:7" ht="15" x14ac:dyDescent="0.25">
      <c r="A180" t="s">
        <v>3794</v>
      </c>
      <c r="B180">
        <v>1</v>
      </c>
      <c r="C180">
        <v>113</v>
      </c>
      <c r="D180">
        <v>113</v>
      </c>
      <c r="E180">
        <v>17</v>
      </c>
      <c r="F180">
        <v>17</v>
      </c>
      <c r="G180">
        <v>113</v>
      </c>
    </row>
    <row r="181" spans="1:7" ht="15" x14ac:dyDescent="0.25">
      <c r="A181" t="s">
        <v>3799</v>
      </c>
      <c r="B181">
        <v>1</v>
      </c>
      <c r="C181">
        <v>494</v>
      </c>
      <c r="D181">
        <v>494</v>
      </c>
      <c r="E181">
        <v>44</v>
      </c>
      <c r="F181">
        <v>44</v>
      </c>
      <c r="G181">
        <v>494</v>
      </c>
    </row>
    <row r="182" spans="1:7" ht="15" x14ac:dyDescent="0.25">
      <c r="A182" t="s">
        <v>3807</v>
      </c>
      <c r="B182">
        <v>1</v>
      </c>
      <c r="C182">
        <v>20</v>
      </c>
      <c r="D182">
        <v>20</v>
      </c>
      <c r="E182">
        <v>6</v>
      </c>
      <c r="F182">
        <v>6</v>
      </c>
      <c r="G182">
        <v>20</v>
      </c>
    </row>
    <row r="183" spans="1:7" ht="15" x14ac:dyDescent="0.25">
      <c r="A183" t="s">
        <v>3816</v>
      </c>
      <c r="B183">
        <v>1</v>
      </c>
      <c r="C183">
        <v>2593</v>
      </c>
      <c r="D183">
        <v>2593</v>
      </c>
      <c r="E183">
        <v>135</v>
      </c>
      <c r="F183">
        <v>135</v>
      </c>
      <c r="G183">
        <v>2593</v>
      </c>
    </row>
    <row r="184" spans="1:7" ht="15" x14ac:dyDescent="0.25">
      <c r="A184" t="s">
        <v>3824</v>
      </c>
      <c r="B184">
        <v>7</v>
      </c>
      <c r="C184">
        <v>1074</v>
      </c>
      <c r="D184">
        <v>7343</v>
      </c>
      <c r="E184">
        <v>408</v>
      </c>
      <c r="F184">
        <v>58.285714285714285</v>
      </c>
      <c r="G184">
        <v>1074</v>
      </c>
    </row>
    <row r="185" spans="1:7" ht="15" x14ac:dyDescent="0.25">
      <c r="A185" t="s">
        <v>3830</v>
      </c>
      <c r="B185">
        <v>2</v>
      </c>
      <c r="C185">
        <v>268</v>
      </c>
      <c r="D185">
        <v>537</v>
      </c>
      <c r="E185">
        <v>127</v>
      </c>
      <c r="F185">
        <v>63.5</v>
      </c>
      <c r="G185">
        <v>269</v>
      </c>
    </row>
    <row r="186" spans="1:7" ht="15" x14ac:dyDescent="0.25">
      <c r="A186" t="s">
        <v>3837</v>
      </c>
      <c r="B186">
        <v>1</v>
      </c>
      <c r="C186">
        <v>239</v>
      </c>
      <c r="D186">
        <v>239</v>
      </c>
      <c r="E186">
        <v>19</v>
      </c>
      <c r="F186">
        <v>19</v>
      </c>
      <c r="G186">
        <v>239</v>
      </c>
    </row>
    <row r="187" spans="1:7" ht="15" x14ac:dyDescent="0.25">
      <c r="A187" t="s">
        <v>3846</v>
      </c>
      <c r="B187">
        <v>12</v>
      </c>
      <c r="C187">
        <v>1059</v>
      </c>
      <c r="D187">
        <v>12198</v>
      </c>
      <c r="E187">
        <v>1251</v>
      </c>
      <c r="F187">
        <v>104.25</v>
      </c>
      <c r="G187">
        <v>1059</v>
      </c>
    </row>
    <row r="188" spans="1:7" ht="15" x14ac:dyDescent="0.25">
      <c r="A188" t="s">
        <v>3863</v>
      </c>
      <c r="B188">
        <v>1</v>
      </c>
      <c r="C188">
        <v>1208</v>
      </c>
      <c r="D188">
        <v>1208</v>
      </c>
      <c r="E188">
        <v>121</v>
      </c>
      <c r="F188">
        <v>121</v>
      </c>
      <c r="G188">
        <v>1208</v>
      </c>
    </row>
    <row r="189" spans="1:7" ht="15" x14ac:dyDescent="0.25">
      <c r="A189" t="s">
        <v>3871</v>
      </c>
      <c r="B189">
        <v>1</v>
      </c>
      <c r="C189">
        <v>219</v>
      </c>
      <c r="D189">
        <v>219</v>
      </c>
      <c r="E189">
        <v>15</v>
      </c>
      <c r="F189">
        <v>15</v>
      </c>
      <c r="G189">
        <v>219</v>
      </c>
    </row>
    <row r="190" spans="1:7" ht="15" x14ac:dyDescent="0.25">
      <c r="A190" t="s">
        <v>3880</v>
      </c>
      <c r="B190">
        <v>1</v>
      </c>
      <c r="C190">
        <v>264</v>
      </c>
      <c r="D190">
        <v>264</v>
      </c>
      <c r="E190">
        <v>7</v>
      </c>
      <c r="F190">
        <v>7</v>
      </c>
      <c r="G190">
        <v>264</v>
      </c>
    </row>
    <row r="191" spans="1:7" ht="15" x14ac:dyDescent="0.25">
      <c r="A191" t="s">
        <v>3887</v>
      </c>
      <c r="B191">
        <v>1</v>
      </c>
      <c r="C191">
        <v>1060</v>
      </c>
      <c r="D191">
        <v>1060</v>
      </c>
      <c r="E191">
        <v>38</v>
      </c>
      <c r="F191">
        <v>38</v>
      </c>
      <c r="G191">
        <v>1060</v>
      </c>
    </row>
    <row r="192" spans="1:7" ht="15" x14ac:dyDescent="0.25">
      <c r="A192" t="s">
        <v>3895</v>
      </c>
      <c r="B192">
        <v>32</v>
      </c>
      <c r="C192">
        <v>448</v>
      </c>
      <c r="D192">
        <v>13291</v>
      </c>
      <c r="E192">
        <v>2717</v>
      </c>
      <c r="F192">
        <v>84.90625</v>
      </c>
      <c r="G192">
        <v>455</v>
      </c>
    </row>
    <row r="193" spans="1:7" ht="15" x14ac:dyDescent="0.25">
      <c r="A193" t="s">
        <v>3904</v>
      </c>
      <c r="B193">
        <v>1</v>
      </c>
      <c r="C193">
        <v>111</v>
      </c>
      <c r="D193">
        <v>111</v>
      </c>
      <c r="E193">
        <v>24</v>
      </c>
      <c r="F193">
        <v>24</v>
      </c>
      <c r="G193">
        <v>111</v>
      </c>
    </row>
    <row r="194" spans="1:7" ht="15" x14ac:dyDescent="0.25">
      <c r="A194" t="s">
        <v>3916</v>
      </c>
      <c r="B194">
        <v>1</v>
      </c>
      <c r="C194">
        <v>534</v>
      </c>
      <c r="D194">
        <v>534</v>
      </c>
      <c r="E194">
        <v>41</v>
      </c>
      <c r="F194">
        <v>41</v>
      </c>
      <c r="G194">
        <v>534</v>
      </c>
    </row>
    <row r="195" spans="1:7" ht="15" x14ac:dyDescent="0.25">
      <c r="A195" t="s">
        <v>3924</v>
      </c>
      <c r="B195">
        <v>1</v>
      </c>
      <c r="C195">
        <v>69</v>
      </c>
      <c r="D195">
        <v>69</v>
      </c>
      <c r="E195">
        <v>37</v>
      </c>
      <c r="F195">
        <v>37</v>
      </c>
      <c r="G195">
        <v>69</v>
      </c>
    </row>
    <row r="196" spans="1:7" ht="15" x14ac:dyDescent="0.25">
      <c r="A196" t="s">
        <v>3931</v>
      </c>
      <c r="B196">
        <v>2</v>
      </c>
      <c r="C196">
        <v>319</v>
      </c>
      <c r="D196">
        <v>626</v>
      </c>
      <c r="E196">
        <v>136</v>
      </c>
      <c r="F196">
        <v>68</v>
      </c>
      <c r="G196">
        <v>319</v>
      </c>
    </row>
    <row r="197" spans="1:7" ht="15" x14ac:dyDescent="0.25">
      <c r="A197" t="s">
        <v>3940</v>
      </c>
      <c r="B197">
        <v>3</v>
      </c>
      <c r="C197">
        <v>651</v>
      </c>
      <c r="D197">
        <v>1956</v>
      </c>
      <c r="E197">
        <v>281</v>
      </c>
      <c r="F197">
        <v>93.666666666666671</v>
      </c>
      <c r="G197">
        <v>654</v>
      </c>
    </row>
    <row r="198" spans="1:7" ht="15" x14ac:dyDescent="0.25">
      <c r="A198" t="s">
        <v>3949</v>
      </c>
      <c r="B198">
        <v>1</v>
      </c>
      <c r="C198">
        <v>777</v>
      </c>
      <c r="D198">
        <v>777</v>
      </c>
      <c r="E198">
        <v>30</v>
      </c>
      <c r="F198">
        <v>30</v>
      </c>
      <c r="G198">
        <v>777</v>
      </c>
    </row>
    <row r="199" spans="1:7" ht="15" x14ac:dyDescent="0.25">
      <c r="A199" t="s">
        <v>3959</v>
      </c>
      <c r="B199">
        <v>1</v>
      </c>
      <c r="C199">
        <v>329</v>
      </c>
      <c r="D199">
        <v>329</v>
      </c>
      <c r="E199">
        <v>35</v>
      </c>
      <c r="F199">
        <v>35</v>
      </c>
      <c r="G199">
        <v>329</v>
      </c>
    </row>
    <row r="200" spans="1:7" ht="15" x14ac:dyDescent="0.25">
      <c r="A200" t="s">
        <v>3971</v>
      </c>
      <c r="B200">
        <v>1</v>
      </c>
      <c r="C200">
        <v>95</v>
      </c>
      <c r="D200">
        <v>95</v>
      </c>
      <c r="E200">
        <v>11</v>
      </c>
      <c r="F200">
        <v>11</v>
      </c>
      <c r="G200">
        <v>95</v>
      </c>
    </row>
    <row r="201" spans="1:7" ht="15" x14ac:dyDescent="0.25">
      <c r="A201" t="s">
        <v>3979</v>
      </c>
      <c r="B201">
        <v>1</v>
      </c>
      <c r="C201">
        <v>355</v>
      </c>
      <c r="D201">
        <v>355</v>
      </c>
      <c r="E201">
        <v>53</v>
      </c>
      <c r="F201">
        <v>53</v>
      </c>
      <c r="G201">
        <v>355</v>
      </c>
    </row>
    <row r="202" spans="1:7" ht="15" x14ac:dyDescent="0.25">
      <c r="A202" t="s">
        <v>3987</v>
      </c>
      <c r="B202">
        <v>1</v>
      </c>
      <c r="C202">
        <v>6110</v>
      </c>
      <c r="D202">
        <v>6110</v>
      </c>
      <c r="E202">
        <v>91</v>
      </c>
      <c r="F202">
        <v>91</v>
      </c>
      <c r="G202">
        <v>6110</v>
      </c>
    </row>
    <row r="203" spans="1:7" ht="15" x14ac:dyDescent="0.25">
      <c r="A203" t="s">
        <v>3993</v>
      </c>
      <c r="B203">
        <v>16</v>
      </c>
      <c r="C203">
        <v>4973</v>
      </c>
      <c r="D203">
        <v>79912</v>
      </c>
      <c r="E203">
        <v>11704</v>
      </c>
      <c r="F203">
        <v>731.5</v>
      </c>
      <c r="G203">
        <v>5010</v>
      </c>
    </row>
    <row r="204" spans="1:7" ht="15" x14ac:dyDescent="0.25">
      <c r="A204" t="s">
        <v>4001</v>
      </c>
      <c r="B204">
        <v>1</v>
      </c>
      <c r="C204">
        <v>2291</v>
      </c>
      <c r="D204">
        <v>2291</v>
      </c>
      <c r="E204">
        <v>16</v>
      </c>
      <c r="F204">
        <v>16</v>
      </c>
      <c r="G204">
        <v>2291</v>
      </c>
    </row>
    <row r="205" spans="1:7" ht="15" x14ac:dyDescent="0.25">
      <c r="A205" t="s">
        <v>4007</v>
      </c>
      <c r="B205">
        <v>1</v>
      </c>
      <c r="C205">
        <v>243</v>
      </c>
      <c r="D205">
        <v>243</v>
      </c>
      <c r="E205">
        <v>18</v>
      </c>
      <c r="F205">
        <v>18</v>
      </c>
      <c r="G205">
        <v>243</v>
      </c>
    </row>
    <row r="206" spans="1:7" ht="15" x14ac:dyDescent="0.25">
      <c r="A206" t="s">
        <v>4018</v>
      </c>
      <c r="B206">
        <v>1</v>
      </c>
      <c r="C206">
        <v>104</v>
      </c>
      <c r="D206">
        <v>104</v>
      </c>
      <c r="E206">
        <v>26</v>
      </c>
      <c r="F206">
        <v>26</v>
      </c>
      <c r="G206">
        <v>104</v>
      </c>
    </row>
    <row r="207" spans="1:7" ht="15" x14ac:dyDescent="0.25">
      <c r="A207" t="s">
        <v>4021</v>
      </c>
      <c r="B207">
        <v>1</v>
      </c>
      <c r="C207">
        <v>40</v>
      </c>
      <c r="D207">
        <v>40</v>
      </c>
      <c r="E207">
        <v>24</v>
      </c>
      <c r="F207">
        <v>24</v>
      </c>
      <c r="G207">
        <v>40</v>
      </c>
    </row>
    <row r="208" spans="1:7" ht="15" x14ac:dyDescent="0.25">
      <c r="A208" t="s">
        <v>4028</v>
      </c>
      <c r="B208">
        <v>1</v>
      </c>
      <c r="C208">
        <v>949</v>
      </c>
      <c r="D208">
        <v>949</v>
      </c>
      <c r="E208">
        <v>75</v>
      </c>
      <c r="F208">
        <v>75</v>
      </c>
      <c r="G208">
        <v>949</v>
      </c>
    </row>
    <row r="209" spans="1:7" ht="15" x14ac:dyDescent="0.25">
      <c r="A209" t="s">
        <v>4037</v>
      </c>
      <c r="B209">
        <v>1</v>
      </c>
      <c r="C209">
        <v>492</v>
      </c>
      <c r="D209">
        <v>492</v>
      </c>
      <c r="E209">
        <v>26</v>
      </c>
      <c r="F209">
        <v>26</v>
      </c>
      <c r="G209">
        <v>492</v>
      </c>
    </row>
    <row r="210" spans="1:7" ht="15" x14ac:dyDescent="0.25">
      <c r="A210" t="s">
        <v>4044</v>
      </c>
      <c r="B210">
        <v>1</v>
      </c>
      <c r="C210">
        <v>525</v>
      </c>
      <c r="D210">
        <v>525</v>
      </c>
      <c r="E210">
        <v>69</v>
      </c>
      <c r="F210">
        <v>69</v>
      </c>
      <c r="G210">
        <v>525</v>
      </c>
    </row>
    <row r="211" spans="1:7" ht="15" x14ac:dyDescent="0.25">
      <c r="A211" t="s">
        <v>4049</v>
      </c>
      <c r="B211">
        <v>4</v>
      </c>
      <c r="C211">
        <v>189</v>
      </c>
      <c r="D211">
        <v>755</v>
      </c>
      <c r="E211">
        <v>82</v>
      </c>
      <c r="F211">
        <v>20.5</v>
      </c>
      <c r="G211">
        <v>189</v>
      </c>
    </row>
    <row r="212" spans="1:7" ht="15" x14ac:dyDescent="0.25">
      <c r="A212" t="s">
        <v>4059</v>
      </c>
      <c r="B212">
        <v>1</v>
      </c>
      <c r="C212">
        <v>1668</v>
      </c>
      <c r="D212">
        <v>1668</v>
      </c>
      <c r="E212">
        <v>402</v>
      </c>
      <c r="F212">
        <v>402</v>
      </c>
      <c r="G212">
        <v>1668</v>
      </c>
    </row>
    <row r="213" spans="1:7" ht="15" x14ac:dyDescent="0.25">
      <c r="A213" t="s">
        <v>4068</v>
      </c>
      <c r="B213">
        <v>1</v>
      </c>
      <c r="C213">
        <v>560</v>
      </c>
      <c r="D213">
        <v>560</v>
      </c>
      <c r="E213">
        <v>63</v>
      </c>
      <c r="F213">
        <v>63</v>
      </c>
      <c r="G213">
        <v>560</v>
      </c>
    </row>
    <row r="214" spans="1:7" ht="15" x14ac:dyDescent="0.25">
      <c r="A214" t="s">
        <v>4076</v>
      </c>
      <c r="B214">
        <v>1</v>
      </c>
      <c r="C214">
        <v>98</v>
      </c>
      <c r="D214">
        <v>98</v>
      </c>
      <c r="E214">
        <v>13</v>
      </c>
      <c r="F214">
        <v>13</v>
      </c>
      <c r="G214">
        <v>98</v>
      </c>
    </row>
    <row r="215" spans="1:7" ht="15" x14ac:dyDescent="0.25">
      <c r="A215" t="s">
        <v>4083</v>
      </c>
      <c r="B215">
        <v>1</v>
      </c>
      <c r="C215">
        <v>83033</v>
      </c>
      <c r="D215">
        <v>83033</v>
      </c>
      <c r="E215">
        <v>14848</v>
      </c>
      <c r="F215">
        <v>14848</v>
      </c>
      <c r="G215">
        <v>83033</v>
      </c>
    </row>
    <row r="216" spans="1:7" ht="15" x14ac:dyDescent="0.25">
      <c r="A216" t="s">
        <v>4087</v>
      </c>
      <c r="B216">
        <v>1</v>
      </c>
      <c r="C216">
        <v>283</v>
      </c>
      <c r="D216">
        <v>283</v>
      </c>
      <c r="E216">
        <v>1</v>
      </c>
      <c r="F216">
        <v>1</v>
      </c>
      <c r="G216">
        <v>283</v>
      </c>
    </row>
    <row r="217" spans="1:7" ht="15" x14ac:dyDescent="0.25">
      <c r="A217" t="s">
        <v>4093</v>
      </c>
      <c r="B217">
        <v>2</v>
      </c>
      <c r="C217">
        <v>56142</v>
      </c>
      <c r="D217">
        <v>111442</v>
      </c>
      <c r="E217">
        <v>2595</v>
      </c>
      <c r="F217">
        <v>1297.5</v>
      </c>
      <c r="G217">
        <v>56142</v>
      </c>
    </row>
    <row r="218" spans="1:7" ht="15" x14ac:dyDescent="0.25">
      <c r="A218" t="s">
        <v>4101</v>
      </c>
      <c r="B218">
        <v>2</v>
      </c>
      <c r="C218">
        <v>165</v>
      </c>
      <c r="D218">
        <v>266</v>
      </c>
      <c r="E218">
        <v>42</v>
      </c>
      <c r="F218">
        <v>21</v>
      </c>
      <c r="G218">
        <v>165</v>
      </c>
    </row>
    <row r="219" spans="1:7" ht="15" x14ac:dyDescent="0.25">
      <c r="A219" t="s">
        <v>4108</v>
      </c>
      <c r="B219">
        <v>1</v>
      </c>
      <c r="C219">
        <v>33377</v>
      </c>
      <c r="D219">
        <v>33377</v>
      </c>
      <c r="E219">
        <v>236</v>
      </c>
      <c r="F219">
        <v>236</v>
      </c>
      <c r="G219">
        <v>33377</v>
      </c>
    </row>
    <row r="220" spans="1:7" ht="15" x14ac:dyDescent="0.25">
      <c r="A220" t="s">
        <v>4116</v>
      </c>
      <c r="B220">
        <v>1</v>
      </c>
      <c r="C220">
        <v>364</v>
      </c>
      <c r="D220">
        <v>364</v>
      </c>
      <c r="E220">
        <v>29</v>
      </c>
      <c r="F220">
        <v>29</v>
      </c>
      <c r="G220">
        <v>364</v>
      </c>
    </row>
    <row r="221" spans="1:7" ht="15" x14ac:dyDescent="0.25">
      <c r="A221" t="s">
        <v>4132</v>
      </c>
      <c r="B221">
        <v>13</v>
      </c>
      <c r="C221">
        <v>6881</v>
      </c>
      <c r="D221">
        <v>89456</v>
      </c>
      <c r="E221">
        <v>312</v>
      </c>
      <c r="F221">
        <v>24</v>
      </c>
      <c r="G221">
        <v>6884</v>
      </c>
    </row>
    <row r="222" spans="1:7" ht="15" x14ac:dyDescent="0.25">
      <c r="A222" t="s">
        <v>4139</v>
      </c>
      <c r="B222">
        <v>1</v>
      </c>
      <c r="C222">
        <v>173</v>
      </c>
      <c r="D222">
        <v>173</v>
      </c>
      <c r="E222">
        <v>9</v>
      </c>
      <c r="F222">
        <v>9</v>
      </c>
      <c r="G222">
        <v>173</v>
      </c>
    </row>
    <row r="223" spans="1:7" ht="15" x14ac:dyDescent="0.25">
      <c r="A223" t="s">
        <v>4141</v>
      </c>
      <c r="B223">
        <v>2</v>
      </c>
      <c r="C223">
        <v>150</v>
      </c>
      <c r="D223">
        <v>296</v>
      </c>
      <c r="E223">
        <v>44</v>
      </c>
      <c r="F223">
        <v>22</v>
      </c>
      <c r="G223">
        <v>150</v>
      </c>
    </row>
    <row r="224" spans="1:7" ht="15" x14ac:dyDescent="0.25">
      <c r="A224" t="s">
        <v>4148</v>
      </c>
      <c r="B224">
        <v>5</v>
      </c>
      <c r="C224">
        <v>166</v>
      </c>
      <c r="D224">
        <v>803</v>
      </c>
      <c r="E224">
        <v>118</v>
      </c>
      <c r="F224">
        <v>23.6</v>
      </c>
      <c r="G224">
        <v>166</v>
      </c>
    </row>
    <row r="225" spans="1:7" ht="15" x14ac:dyDescent="0.25">
      <c r="A225" t="s">
        <v>4162</v>
      </c>
      <c r="B225">
        <v>1</v>
      </c>
      <c r="C225">
        <v>85</v>
      </c>
      <c r="D225">
        <v>85</v>
      </c>
      <c r="E225">
        <v>23</v>
      </c>
      <c r="F225">
        <v>23</v>
      </c>
      <c r="G225">
        <v>85</v>
      </c>
    </row>
    <row r="226" spans="1:7" ht="15" x14ac:dyDescent="0.25">
      <c r="A226" t="s">
        <v>4169</v>
      </c>
      <c r="B226">
        <v>1</v>
      </c>
      <c r="C226">
        <v>890</v>
      </c>
      <c r="D226">
        <v>890</v>
      </c>
      <c r="E226">
        <v>53</v>
      </c>
      <c r="F226">
        <v>53</v>
      </c>
      <c r="G226">
        <v>890</v>
      </c>
    </row>
    <row r="227" spans="1:7" ht="15" x14ac:dyDescent="0.25">
      <c r="A227" t="s">
        <v>4177</v>
      </c>
      <c r="B227">
        <v>1</v>
      </c>
      <c r="C227">
        <v>318</v>
      </c>
      <c r="D227">
        <v>318</v>
      </c>
      <c r="E227">
        <v>27</v>
      </c>
      <c r="F227">
        <v>27</v>
      </c>
      <c r="G227">
        <v>318</v>
      </c>
    </row>
    <row r="228" spans="1:7" ht="15" x14ac:dyDescent="0.25">
      <c r="A228" t="s">
        <v>4183</v>
      </c>
      <c r="B228">
        <v>1</v>
      </c>
      <c r="C228">
        <v>64642</v>
      </c>
      <c r="D228">
        <v>64642</v>
      </c>
      <c r="E228">
        <v>207</v>
      </c>
      <c r="F228">
        <v>207</v>
      </c>
      <c r="G228">
        <v>64642</v>
      </c>
    </row>
    <row r="229" spans="1:7" ht="15" x14ac:dyDescent="0.25">
      <c r="A229" t="s">
        <v>4190</v>
      </c>
      <c r="B229">
        <v>1</v>
      </c>
      <c r="C229">
        <v>361</v>
      </c>
      <c r="D229">
        <v>361</v>
      </c>
      <c r="E229">
        <v>10</v>
      </c>
      <c r="F229">
        <v>10</v>
      </c>
      <c r="G229">
        <v>361</v>
      </c>
    </row>
    <row r="230" spans="1:7" ht="15" x14ac:dyDescent="0.25">
      <c r="A230" t="s">
        <v>4197</v>
      </c>
      <c r="B230">
        <v>1</v>
      </c>
      <c r="C230">
        <v>463</v>
      </c>
      <c r="D230">
        <v>463</v>
      </c>
      <c r="E230">
        <v>75</v>
      </c>
      <c r="F230">
        <v>75</v>
      </c>
      <c r="G230">
        <v>463</v>
      </c>
    </row>
    <row r="231" spans="1:7" ht="15" x14ac:dyDescent="0.25">
      <c r="A231" t="s">
        <v>4203</v>
      </c>
      <c r="B231">
        <v>1</v>
      </c>
      <c r="C231">
        <v>1360</v>
      </c>
      <c r="D231">
        <v>1360</v>
      </c>
      <c r="E231">
        <v>125</v>
      </c>
      <c r="F231">
        <v>125</v>
      </c>
      <c r="G231">
        <v>1360</v>
      </c>
    </row>
    <row r="232" spans="1:7" ht="15" x14ac:dyDescent="0.25">
      <c r="A232" t="s">
        <v>4211</v>
      </c>
      <c r="B232">
        <v>2</v>
      </c>
      <c r="C232">
        <v>487</v>
      </c>
      <c r="D232">
        <v>973</v>
      </c>
      <c r="E232">
        <v>54</v>
      </c>
      <c r="F232">
        <v>27</v>
      </c>
      <c r="G232">
        <v>487</v>
      </c>
    </row>
    <row r="233" spans="1:7" ht="15" x14ac:dyDescent="0.25">
      <c r="A233" t="s">
        <v>4219</v>
      </c>
      <c r="B233">
        <v>1</v>
      </c>
      <c r="C233">
        <v>1059</v>
      </c>
      <c r="D233">
        <v>1059</v>
      </c>
      <c r="E233">
        <v>14</v>
      </c>
      <c r="F233">
        <v>14</v>
      </c>
      <c r="G233">
        <v>1059</v>
      </c>
    </row>
    <row r="234" spans="1:7" ht="15" x14ac:dyDescent="0.25">
      <c r="A234" t="s">
        <v>4234</v>
      </c>
      <c r="B234">
        <v>1</v>
      </c>
      <c r="C234">
        <v>225</v>
      </c>
      <c r="D234">
        <v>225</v>
      </c>
      <c r="E234">
        <v>22</v>
      </c>
      <c r="F234">
        <v>22</v>
      </c>
      <c r="G234">
        <v>225</v>
      </c>
    </row>
    <row r="235" spans="1:7" ht="15" x14ac:dyDescent="0.25">
      <c r="A235" t="s">
        <v>4243</v>
      </c>
      <c r="B235">
        <v>1</v>
      </c>
      <c r="C235">
        <v>124</v>
      </c>
      <c r="D235">
        <v>124</v>
      </c>
      <c r="E235">
        <v>17</v>
      </c>
      <c r="F235">
        <v>17</v>
      </c>
      <c r="G235">
        <v>124</v>
      </c>
    </row>
    <row r="236" spans="1:7" ht="15" x14ac:dyDescent="0.25">
      <c r="A236" t="s">
        <v>4250</v>
      </c>
      <c r="B236">
        <v>1</v>
      </c>
      <c r="C236">
        <v>811</v>
      </c>
      <c r="D236">
        <v>811</v>
      </c>
      <c r="E236">
        <v>217</v>
      </c>
      <c r="F236">
        <v>217</v>
      </c>
      <c r="G236">
        <v>811</v>
      </c>
    </row>
    <row r="237" spans="1:7" ht="15" x14ac:dyDescent="0.25">
      <c r="A237" t="s">
        <v>4256</v>
      </c>
      <c r="B237">
        <v>1</v>
      </c>
      <c r="C237">
        <v>33</v>
      </c>
      <c r="D237">
        <v>33</v>
      </c>
      <c r="E237">
        <v>1</v>
      </c>
      <c r="F237">
        <v>1</v>
      </c>
      <c r="G237">
        <v>33</v>
      </c>
    </row>
    <row r="238" spans="1:7" ht="15" x14ac:dyDescent="0.25">
      <c r="A238" t="s">
        <v>4260</v>
      </c>
      <c r="B238">
        <v>1</v>
      </c>
      <c r="C238">
        <v>400</v>
      </c>
      <c r="D238">
        <v>400</v>
      </c>
      <c r="E238">
        <v>27</v>
      </c>
      <c r="F238">
        <v>27</v>
      </c>
      <c r="G238">
        <v>400</v>
      </c>
    </row>
    <row r="239" spans="1:7" ht="15" x14ac:dyDescent="0.25">
      <c r="A239" t="s">
        <v>4267</v>
      </c>
      <c r="B239">
        <v>1</v>
      </c>
      <c r="C239">
        <v>596</v>
      </c>
      <c r="D239">
        <v>596</v>
      </c>
      <c r="E239">
        <v>38</v>
      </c>
      <c r="F239">
        <v>38</v>
      </c>
      <c r="G239">
        <v>596</v>
      </c>
    </row>
    <row r="240" spans="1:7" ht="15" x14ac:dyDescent="0.25">
      <c r="A240" t="s">
        <v>4281</v>
      </c>
      <c r="B240">
        <v>1</v>
      </c>
      <c r="C240">
        <v>350</v>
      </c>
      <c r="D240">
        <v>350</v>
      </c>
      <c r="E240">
        <v>279</v>
      </c>
      <c r="F240">
        <v>279</v>
      </c>
      <c r="G240">
        <v>350</v>
      </c>
    </row>
    <row r="241" spans="1:7" ht="15" x14ac:dyDescent="0.25">
      <c r="A241" t="s">
        <v>4289</v>
      </c>
      <c r="B241">
        <v>1</v>
      </c>
      <c r="C241">
        <v>37</v>
      </c>
      <c r="D241">
        <v>37</v>
      </c>
      <c r="E241">
        <v>20</v>
      </c>
      <c r="F241">
        <v>20</v>
      </c>
      <c r="G241">
        <v>37</v>
      </c>
    </row>
    <row r="242" spans="1:7" ht="15" x14ac:dyDescent="0.25">
      <c r="A242" t="s">
        <v>4297</v>
      </c>
      <c r="B242">
        <v>5</v>
      </c>
      <c r="C242">
        <v>1100</v>
      </c>
      <c r="D242">
        <v>5424</v>
      </c>
      <c r="E242">
        <v>1406</v>
      </c>
      <c r="F242">
        <v>281.2</v>
      </c>
      <c r="G242">
        <v>1100</v>
      </c>
    </row>
    <row r="243" spans="1:7" ht="15" x14ac:dyDescent="0.25">
      <c r="A243" t="s">
        <v>4311</v>
      </c>
      <c r="B243">
        <v>1</v>
      </c>
      <c r="C243">
        <v>569</v>
      </c>
      <c r="D243">
        <v>569</v>
      </c>
      <c r="E243">
        <v>287</v>
      </c>
      <c r="F243">
        <v>287</v>
      </c>
      <c r="G243">
        <v>569</v>
      </c>
    </row>
    <row r="244" spans="1:7" ht="15" x14ac:dyDescent="0.25">
      <c r="A244" t="s">
        <v>4314</v>
      </c>
      <c r="B244">
        <v>1</v>
      </c>
      <c r="C244">
        <v>111</v>
      </c>
      <c r="D244">
        <v>111</v>
      </c>
      <c r="E244">
        <v>14</v>
      </c>
      <c r="F244">
        <v>14</v>
      </c>
      <c r="G244">
        <v>111</v>
      </c>
    </row>
    <row r="245" spans="1:7" ht="15" x14ac:dyDescent="0.25">
      <c r="A245" t="s">
        <v>4320</v>
      </c>
      <c r="B245">
        <v>6</v>
      </c>
      <c r="C245">
        <v>196</v>
      </c>
      <c r="D245">
        <v>1186</v>
      </c>
      <c r="E245">
        <v>258</v>
      </c>
      <c r="F245">
        <v>43</v>
      </c>
      <c r="G245">
        <v>205</v>
      </c>
    </row>
    <row r="246" spans="1:7" ht="15" x14ac:dyDescent="0.25">
      <c r="A246" t="s">
        <v>4328</v>
      </c>
      <c r="B246">
        <v>1</v>
      </c>
      <c r="C246">
        <v>300</v>
      </c>
      <c r="D246">
        <v>300</v>
      </c>
      <c r="E246">
        <v>89</v>
      </c>
      <c r="F246">
        <v>89</v>
      </c>
      <c r="G246">
        <v>300</v>
      </c>
    </row>
    <row r="247" spans="1:7" ht="15" x14ac:dyDescent="0.25">
      <c r="A247" t="s">
        <v>4335</v>
      </c>
      <c r="B247">
        <v>1</v>
      </c>
      <c r="C247">
        <v>472</v>
      </c>
      <c r="D247">
        <v>472</v>
      </c>
      <c r="E247">
        <v>27</v>
      </c>
      <c r="F247">
        <v>27</v>
      </c>
      <c r="G247">
        <v>472</v>
      </c>
    </row>
    <row r="248" spans="1:7" ht="15" x14ac:dyDescent="0.25">
      <c r="A248" t="s">
        <v>4341</v>
      </c>
      <c r="B248">
        <v>8</v>
      </c>
      <c r="C248">
        <v>391672</v>
      </c>
      <c r="D248">
        <v>3122619</v>
      </c>
      <c r="E248">
        <v>36125</v>
      </c>
      <c r="F248">
        <v>4515.625</v>
      </c>
      <c r="G248">
        <v>391672</v>
      </c>
    </row>
    <row r="249" spans="1:7" ht="15" x14ac:dyDescent="0.25">
      <c r="A249" t="s">
        <v>4344</v>
      </c>
      <c r="B249">
        <v>1</v>
      </c>
      <c r="C249">
        <v>189</v>
      </c>
      <c r="D249">
        <v>189</v>
      </c>
      <c r="E249">
        <v>23</v>
      </c>
      <c r="F249">
        <v>23</v>
      </c>
      <c r="G249">
        <v>189</v>
      </c>
    </row>
    <row r="250" spans="1:7" ht="15" x14ac:dyDescent="0.25">
      <c r="A250" t="s">
        <v>4351</v>
      </c>
      <c r="B250">
        <v>1</v>
      </c>
      <c r="C250">
        <v>140</v>
      </c>
      <c r="D250">
        <v>140</v>
      </c>
      <c r="E250">
        <v>37</v>
      </c>
      <c r="F250">
        <v>37</v>
      </c>
      <c r="G250">
        <v>140</v>
      </c>
    </row>
    <row r="251" spans="1:7" ht="15" x14ac:dyDescent="0.25">
      <c r="A251" t="s">
        <v>4358</v>
      </c>
      <c r="B251">
        <v>1</v>
      </c>
      <c r="C251">
        <v>200</v>
      </c>
      <c r="D251">
        <v>200</v>
      </c>
      <c r="E251">
        <v>13</v>
      </c>
      <c r="F251">
        <v>13</v>
      </c>
      <c r="G251">
        <v>200</v>
      </c>
    </row>
    <row r="252" spans="1:7" ht="15" x14ac:dyDescent="0.25">
      <c r="A252" t="s">
        <v>4365</v>
      </c>
      <c r="B252">
        <v>1</v>
      </c>
      <c r="C252">
        <v>808</v>
      </c>
      <c r="D252">
        <v>808</v>
      </c>
      <c r="E252">
        <v>113</v>
      </c>
      <c r="F252">
        <v>113</v>
      </c>
      <c r="G252">
        <v>808</v>
      </c>
    </row>
    <row r="253" spans="1:7" ht="15" x14ac:dyDescent="0.25">
      <c r="A253" t="s">
        <v>4371</v>
      </c>
      <c r="B253">
        <v>1</v>
      </c>
      <c r="C253">
        <v>251</v>
      </c>
      <c r="D253">
        <v>251</v>
      </c>
      <c r="E253">
        <v>30</v>
      </c>
      <c r="F253">
        <v>30</v>
      </c>
      <c r="G253">
        <v>251</v>
      </c>
    </row>
    <row r="254" spans="1:7" ht="15" x14ac:dyDescent="0.25">
      <c r="A254" t="s">
        <v>4384</v>
      </c>
      <c r="B254">
        <v>1</v>
      </c>
      <c r="D254">
        <v>0</v>
      </c>
      <c r="E254">
        <v>19</v>
      </c>
      <c r="F254">
        <v>19</v>
      </c>
    </row>
    <row r="255" spans="1:7" ht="15" x14ac:dyDescent="0.25">
      <c r="A255" t="s">
        <v>4392</v>
      </c>
      <c r="B255">
        <v>1</v>
      </c>
      <c r="C255">
        <v>312</v>
      </c>
      <c r="D255">
        <v>312</v>
      </c>
      <c r="E255">
        <v>40</v>
      </c>
      <c r="F255">
        <v>40</v>
      </c>
      <c r="G255">
        <v>312</v>
      </c>
    </row>
    <row r="256" spans="1:7" ht="15" x14ac:dyDescent="0.25">
      <c r="A256" t="s">
        <v>4399</v>
      </c>
      <c r="B256">
        <v>1</v>
      </c>
      <c r="C256">
        <v>178</v>
      </c>
      <c r="D256">
        <v>178</v>
      </c>
      <c r="E256">
        <v>46</v>
      </c>
      <c r="F256">
        <v>46</v>
      </c>
      <c r="G256">
        <v>178</v>
      </c>
    </row>
    <row r="257" spans="1:7" ht="15" x14ac:dyDescent="0.25">
      <c r="A257" t="s">
        <v>4402</v>
      </c>
      <c r="B257">
        <v>1</v>
      </c>
      <c r="C257">
        <v>578</v>
      </c>
      <c r="D257">
        <v>578</v>
      </c>
      <c r="E257">
        <v>29</v>
      </c>
      <c r="F257">
        <v>29</v>
      </c>
      <c r="G257">
        <v>578</v>
      </c>
    </row>
    <row r="258" spans="1:7" ht="15" x14ac:dyDescent="0.25">
      <c r="A258" t="s">
        <v>4409</v>
      </c>
      <c r="B258">
        <v>2</v>
      </c>
      <c r="C258">
        <v>193</v>
      </c>
      <c r="D258">
        <v>384</v>
      </c>
      <c r="E258">
        <v>35</v>
      </c>
      <c r="F258">
        <v>17.5</v>
      </c>
      <c r="G258">
        <v>193</v>
      </c>
    </row>
    <row r="259" spans="1:7" ht="15" x14ac:dyDescent="0.25">
      <c r="A259" t="s">
        <v>4416</v>
      </c>
      <c r="B259">
        <v>1</v>
      </c>
      <c r="C259">
        <v>78</v>
      </c>
      <c r="D259">
        <v>78</v>
      </c>
      <c r="E259">
        <v>13</v>
      </c>
      <c r="F259">
        <v>13</v>
      </c>
      <c r="G259">
        <v>78</v>
      </c>
    </row>
    <row r="260" spans="1:7" ht="15" x14ac:dyDescent="0.25">
      <c r="A260" t="s">
        <v>4423</v>
      </c>
      <c r="B260">
        <v>1</v>
      </c>
      <c r="C260">
        <v>18</v>
      </c>
      <c r="D260">
        <v>18</v>
      </c>
      <c r="E260">
        <v>1</v>
      </c>
      <c r="F260">
        <v>1</v>
      </c>
      <c r="G260">
        <v>18</v>
      </c>
    </row>
    <row r="261" spans="1:7" ht="15" x14ac:dyDescent="0.25">
      <c r="A261" t="s">
        <v>4429</v>
      </c>
      <c r="B261">
        <v>2</v>
      </c>
      <c r="C261">
        <v>153</v>
      </c>
      <c r="D261">
        <v>307</v>
      </c>
      <c r="E261">
        <v>10</v>
      </c>
      <c r="F261">
        <v>5</v>
      </c>
      <c r="G261">
        <v>154</v>
      </c>
    </row>
    <row r="262" spans="1:7" ht="15" x14ac:dyDescent="0.25">
      <c r="A262" t="s">
        <v>4435</v>
      </c>
      <c r="B262">
        <v>1</v>
      </c>
      <c r="C262">
        <v>393</v>
      </c>
      <c r="D262">
        <v>393</v>
      </c>
      <c r="E262">
        <v>32</v>
      </c>
      <c r="F262">
        <v>32</v>
      </c>
      <c r="G262">
        <v>393</v>
      </c>
    </row>
    <row r="263" spans="1:7" ht="15" x14ac:dyDescent="0.25">
      <c r="A263" t="s">
        <v>4442</v>
      </c>
      <c r="B263">
        <v>1</v>
      </c>
      <c r="C263">
        <v>740</v>
      </c>
      <c r="D263">
        <v>740</v>
      </c>
      <c r="E263">
        <v>69</v>
      </c>
      <c r="F263">
        <v>69</v>
      </c>
      <c r="G263">
        <v>740</v>
      </c>
    </row>
    <row r="264" spans="1:7" ht="15" x14ac:dyDescent="0.25">
      <c r="A264" t="s">
        <v>4450</v>
      </c>
      <c r="B264">
        <v>1</v>
      </c>
      <c r="C264">
        <v>5758</v>
      </c>
      <c r="D264">
        <v>5758</v>
      </c>
      <c r="E264">
        <v>86</v>
      </c>
      <c r="F264">
        <v>86</v>
      </c>
      <c r="G264">
        <v>5758</v>
      </c>
    </row>
    <row r="265" spans="1:7" ht="15" x14ac:dyDescent="0.25">
      <c r="A265" t="s">
        <v>4453</v>
      </c>
      <c r="B265">
        <v>1</v>
      </c>
      <c r="C265">
        <v>164</v>
      </c>
      <c r="D265">
        <v>164</v>
      </c>
      <c r="E265">
        <v>46</v>
      </c>
      <c r="F265">
        <v>46</v>
      </c>
      <c r="G265">
        <v>164</v>
      </c>
    </row>
    <row r="266" spans="1:7" ht="15" x14ac:dyDescent="0.25">
      <c r="A266" t="s">
        <v>4458</v>
      </c>
      <c r="B266">
        <v>2</v>
      </c>
      <c r="C266">
        <v>292</v>
      </c>
      <c r="D266">
        <v>581</v>
      </c>
      <c r="E266">
        <v>88</v>
      </c>
      <c r="F266">
        <v>44</v>
      </c>
      <c r="G266">
        <v>292</v>
      </c>
    </row>
    <row r="267" spans="1:7" ht="15" x14ac:dyDescent="0.25">
      <c r="A267" t="s">
        <v>4465</v>
      </c>
      <c r="B267">
        <v>1</v>
      </c>
      <c r="C267">
        <v>247</v>
      </c>
      <c r="D267">
        <v>247</v>
      </c>
      <c r="E267">
        <v>41</v>
      </c>
      <c r="F267">
        <v>41</v>
      </c>
      <c r="G267">
        <v>247</v>
      </c>
    </row>
    <row r="268" spans="1:7" ht="15" x14ac:dyDescent="0.25">
      <c r="A268" t="s">
        <v>4469</v>
      </c>
      <c r="B268">
        <v>1</v>
      </c>
      <c r="C268">
        <v>164</v>
      </c>
      <c r="D268">
        <v>164</v>
      </c>
      <c r="E268">
        <v>22</v>
      </c>
      <c r="F268">
        <v>22</v>
      </c>
      <c r="G268">
        <v>164</v>
      </c>
    </row>
    <row r="269" spans="1:7" ht="15" x14ac:dyDescent="0.25">
      <c r="A269" t="s">
        <v>4477</v>
      </c>
      <c r="B269">
        <v>2</v>
      </c>
      <c r="C269">
        <v>895</v>
      </c>
      <c r="D269">
        <v>1788</v>
      </c>
      <c r="E269">
        <v>176</v>
      </c>
      <c r="F269">
        <v>88</v>
      </c>
      <c r="G269">
        <v>895</v>
      </c>
    </row>
    <row r="270" spans="1:7" ht="15" x14ac:dyDescent="0.25">
      <c r="A270" t="s">
        <v>4486</v>
      </c>
      <c r="B270">
        <v>1</v>
      </c>
      <c r="C270">
        <v>95</v>
      </c>
      <c r="D270">
        <v>95</v>
      </c>
      <c r="E270">
        <v>22</v>
      </c>
      <c r="F270">
        <v>22</v>
      </c>
      <c r="G270">
        <v>95</v>
      </c>
    </row>
    <row r="271" spans="1:7" ht="15" x14ac:dyDescent="0.25">
      <c r="A271" t="s">
        <v>4491</v>
      </c>
      <c r="B271">
        <v>1</v>
      </c>
      <c r="C271">
        <v>248</v>
      </c>
      <c r="D271">
        <v>248</v>
      </c>
      <c r="E271">
        <v>52</v>
      </c>
      <c r="F271">
        <v>52</v>
      </c>
      <c r="G271">
        <v>248</v>
      </c>
    </row>
    <row r="272" spans="1:7" ht="15" x14ac:dyDescent="0.25">
      <c r="A272" t="s">
        <v>4496</v>
      </c>
      <c r="B272">
        <v>1</v>
      </c>
      <c r="C272">
        <v>35</v>
      </c>
      <c r="D272">
        <v>35</v>
      </c>
      <c r="E272">
        <v>6</v>
      </c>
      <c r="F272">
        <v>6</v>
      </c>
      <c r="G272">
        <v>35</v>
      </c>
    </row>
    <row r="273" spans="1:7" ht="15" x14ac:dyDescent="0.25">
      <c r="A273" t="s">
        <v>4503</v>
      </c>
      <c r="B273">
        <v>1</v>
      </c>
      <c r="C273">
        <v>126</v>
      </c>
      <c r="D273">
        <v>126</v>
      </c>
      <c r="E273">
        <v>12</v>
      </c>
      <c r="F273">
        <v>12</v>
      </c>
      <c r="G273">
        <v>126</v>
      </c>
    </row>
    <row r="274" spans="1:7" ht="15" x14ac:dyDescent="0.25">
      <c r="A274" t="s">
        <v>4509</v>
      </c>
      <c r="B274">
        <v>1</v>
      </c>
      <c r="C274">
        <v>561</v>
      </c>
      <c r="D274">
        <v>561</v>
      </c>
      <c r="E274">
        <v>20</v>
      </c>
      <c r="F274">
        <v>20</v>
      </c>
      <c r="G274">
        <v>561</v>
      </c>
    </row>
    <row r="275" spans="1:7" ht="15" x14ac:dyDescent="0.25">
      <c r="A275" t="s">
        <v>4515</v>
      </c>
      <c r="B275">
        <v>1</v>
      </c>
      <c r="C275">
        <v>423</v>
      </c>
      <c r="D275">
        <v>423</v>
      </c>
      <c r="E275">
        <v>39</v>
      </c>
      <c r="F275">
        <v>39</v>
      </c>
      <c r="G275">
        <v>423</v>
      </c>
    </row>
    <row r="276" spans="1:7" ht="15" x14ac:dyDescent="0.25">
      <c r="A276" t="s">
        <v>4520</v>
      </c>
      <c r="B276">
        <v>1</v>
      </c>
      <c r="C276">
        <v>91</v>
      </c>
      <c r="D276">
        <v>91</v>
      </c>
      <c r="E276">
        <v>17</v>
      </c>
      <c r="F276">
        <v>17</v>
      </c>
      <c r="G276">
        <v>91</v>
      </c>
    </row>
    <row r="277" spans="1:7" ht="15" x14ac:dyDescent="0.25">
      <c r="A277" t="s">
        <v>4527</v>
      </c>
      <c r="B277">
        <v>1</v>
      </c>
      <c r="C277">
        <v>425</v>
      </c>
      <c r="D277">
        <v>425</v>
      </c>
      <c r="E277">
        <v>66</v>
      </c>
      <c r="F277">
        <v>66</v>
      </c>
      <c r="G277">
        <v>425</v>
      </c>
    </row>
    <row r="278" spans="1:7" ht="15" x14ac:dyDescent="0.25">
      <c r="A278" t="s">
        <v>4532</v>
      </c>
      <c r="B278">
        <v>3</v>
      </c>
      <c r="C278">
        <v>20385</v>
      </c>
      <c r="D278">
        <v>50290</v>
      </c>
      <c r="E278">
        <v>13318</v>
      </c>
      <c r="F278">
        <v>4439.333333333333</v>
      </c>
      <c r="G278">
        <v>20385</v>
      </c>
    </row>
    <row r="279" spans="1:7" ht="15" x14ac:dyDescent="0.25">
      <c r="A279" t="s">
        <v>4535</v>
      </c>
      <c r="B279">
        <v>88</v>
      </c>
      <c r="C279">
        <v>186</v>
      </c>
      <c r="D279">
        <v>15457</v>
      </c>
      <c r="E279">
        <v>2519</v>
      </c>
      <c r="F279">
        <v>28.625</v>
      </c>
      <c r="G279">
        <v>190</v>
      </c>
    </row>
    <row r="280" spans="1:7" ht="15" x14ac:dyDescent="0.25">
      <c r="A280" t="s">
        <v>4543</v>
      </c>
      <c r="B280">
        <v>4</v>
      </c>
      <c r="C280">
        <v>51502</v>
      </c>
      <c r="D280">
        <v>199212</v>
      </c>
      <c r="E280">
        <v>7583</v>
      </c>
      <c r="F280">
        <v>1895.75</v>
      </c>
      <c r="G280">
        <v>51502</v>
      </c>
    </row>
    <row r="281" spans="1:7" ht="15" x14ac:dyDescent="0.25">
      <c r="A281" t="s">
        <v>4551</v>
      </c>
      <c r="B281">
        <v>1</v>
      </c>
      <c r="C281">
        <v>105</v>
      </c>
      <c r="D281">
        <v>105</v>
      </c>
      <c r="E281">
        <v>9</v>
      </c>
      <c r="F281">
        <v>9</v>
      </c>
      <c r="G281">
        <v>105</v>
      </c>
    </row>
    <row r="282" spans="1:7" ht="15" x14ac:dyDescent="0.25">
      <c r="A282" t="s">
        <v>4573</v>
      </c>
      <c r="B282">
        <v>1</v>
      </c>
      <c r="C282">
        <v>5</v>
      </c>
      <c r="D282">
        <v>5</v>
      </c>
      <c r="E282">
        <v>10</v>
      </c>
      <c r="F282">
        <v>10</v>
      </c>
      <c r="G282">
        <v>5</v>
      </c>
    </row>
    <row r="283" spans="1:7" ht="15" x14ac:dyDescent="0.25">
      <c r="A283" t="s">
        <v>4579</v>
      </c>
      <c r="B283">
        <v>1</v>
      </c>
      <c r="C283">
        <v>8</v>
      </c>
      <c r="D283">
        <v>8</v>
      </c>
      <c r="E283">
        <v>10</v>
      </c>
      <c r="F283">
        <v>10</v>
      </c>
      <c r="G283">
        <v>8</v>
      </c>
    </row>
    <row r="284" spans="1:7" ht="15" x14ac:dyDescent="0.25">
      <c r="A284" t="s">
        <v>4586</v>
      </c>
      <c r="B284">
        <v>1</v>
      </c>
      <c r="C284">
        <v>1210</v>
      </c>
      <c r="D284">
        <v>1210</v>
      </c>
      <c r="E284">
        <v>56</v>
      </c>
      <c r="F284">
        <v>56</v>
      </c>
      <c r="G284">
        <v>1210</v>
      </c>
    </row>
    <row r="285" spans="1:7" ht="15" x14ac:dyDescent="0.25">
      <c r="A285" t="s">
        <v>4592</v>
      </c>
      <c r="B285">
        <v>1</v>
      </c>
      <c r="C285">
        <v>491</v>
      </c>
      <c r="D285">
        <v>491</v>
      </c>
      <c r="E285">
        <v>30</v>
      </c>
      <c r="F285">
        <v>30</v>
      </c>
      <c r="G285">
        <v>491</v>
      </c>
    </row>
    <row r="286" spans="1:7" ht="15" x14ac:dyDescent="0.25">
      <c r="A286" t="s">
        <v>4607</v>
      </c>
      <c r="B286">
        <v>1</v>
      </c>
      <c r="C286">
        <v>645</v>
      </c>
      <c r="D286">
        <v>645</v>
      </c>
      <c r="E286">
        <v>94</v>
      </c>
      <c r="F286">
        <v>94</v>
      </c>
      <c r="G286">
        <v>645</v>
      </c>
    </row>
    <row r="287" spans="1:7" ht="15" x14ac:dyDescent="0.25">
      <c r="A287" t="s">
        <v>4616</v>
      </c>
      <c r="B287">
        <v>40</v>
      </c>
      <c r="C287">
        <v>112</v>
      </c>
      <c r="D287">
        <v>4593</v>
      </c>
      <c r="E287">
        <v>1312</v>
      </c>
      <c r="F287">
        <v>32.799999999999997</v>
      </c>
      <c r="G287">
        <v>122</v>
      </c>
    </row>
    <row r="288" spans="1:7" ht="15" x14ac:dyDescent="0.25">
      <c r="A288" t="s">
        <v>4624</v>
      </c>
      <c r="B288">
        <v>1</v>
      </c>
      <c r="C288">
        <v>383</v>
      </c>
      <c r="D288">
        <v>383</v>
      </c>
      <c r="E288">
        <v>54</v>
      </c>
      <c r="F288">
        <v>54</v>
      </c>
      <c r="G288">
        <v>383</v>
      </c>
    </row>
    <row r="289" spans="1:7" ht="15" x14ac:dyDescent="0.25">
      <c r="A289" t="s">
        <v>4630</v>
      </c>
      <c r="B289">
        <v>1</v>
      </c>
      <c r="C289">
        <v>655</v>
      </c>
      <c r="D289">
        <v>655</v>
      </c>
      <c r="E289">
        <v>59</v>
      </c>
      <c r="F289">
        <v>59</v>
      </c>
      <c r="G289">
        <v>655</v>
      </c>
    </row>
    <row r="290" spans="1:7" ht="15" x14ac:dyDescent="0.25">
      <c r="A290" t="s">
        <v>4637</v>
      </c>
      <c r="B290">
        <v>1</v>
      </c>
      <c r="C290">
        <v>205</v>
      </c>
      <c r="D290">
        <v>205</v>
      </c>
      <c r="E290">
        <v>30</v>
      </c>
      <c r="F290">
        <v>30</v>
      </c>
      <c r="G290">
        <v>205</v>
      </c>
    </row>
    <row r="291" spans="1:7" ht="15" x14ac:dyDescent="0.25">
      <c r="A291" t="s">
        <v>4641</v>
      </c>
      <c r="B291">
        <v>1</v>
      </c>
      <c r="C291">
        <v>1589</v>
      </c>
      <c r="D291">
        <v>1589</v>
      </c>
      <c r="E291">
        <v>133</v>
      </c>
      <c r="F291">
        <v>133</v>
      </c>
      <c r="G291">
        <v>1589</v>
      </c>
    </row>
    <row r="292" spans="1:7" ht="15" x14ac:dyDescent="0.25">
      <c r="A292" t="s">
        <v>4650</v>
      </c>
      <c r="B292">
        <v>8</v>
      </c>
      <c r="C292">
        <v>51944</v>
      </c>
      <c r="D292">
        <v>409478</v>
      </c>
      <c r="E292">
        <v>12004</v>
      </c>
      <c r="F292">
        <v>1500.5</v>
      </c>
      <c r="G292">
        <v>51944</v>
      </c>
    </row>
    <row r="293" spans="1:7" ht="15" x14ac:dyDescent="0.25">
      <c r="A293" t="s">
        <v>4657</v>
      </c>
      <c r="B293">
        <v>1</v>
      </c>
      <c r="C293">
        <v>1508</v>
      </c>
      <c r="D293">
        <v>1508</v>
      </c>
      <c r="E293">
        <v>18</v>
      </c>
      <c r="F293">
        <v>18</v>
      </c>
      <c r="G293">
        <v>1508</v>
      </c>
    </row>
    <row r="294" spans="1:7" ht="15" x14ac:dyDescent="0.25">
      <c r="A294" t="s">
        <v>4667</v>
      </c>
      <c r="B294">
        <v>1</v>
      </c>
      <c r="C294">
        <v>79</v>
      </c>
      <c r="D294">
        <v>79</v>
      </c>
      <c r="E294">
        <v>30</v>
      </c>
      <c r="F294">
        <v>30</v>
      </c>
      <c r="G294">
        <v>79</v>
      </c>
    </row>
    <row r="295" spans="1:7" ht="15" x14ac:dyDescent="0.25">
      <c r="A295" t="s">
        <v>4674</v>
      </c>
      <c r="B295">
        <v>1</v>
      </c>
      <c r="C295">
        <v>162</v>
      </c>
      <c r="D295">
        <v>162</v>
      </c>
      <c r="E295">
        <v>60</v>
      </c>
      <c r="F295">
        <v>60</v>
      </c>
      <c r="G295">
        <v>162</v>
      </c>
    </row>
    <row r="296" spans="1:7" ht="15" x14ac:dyDescent="0.25">
      <c r="A296" t="s">
        <v>4680</v>
      </c>
      <c r="B296">
        <v>1</v>
      </c>
      <c r="C296">
        <v>6</v>
      </c>
      <c r="D296">
        <v>6</v>
      </c>
      <c r="E296">
        <v>3</v>
      </c>
      <c r="F296">
        <v>3</v>
      </c>
      <c r="G296">
        <v>6</v>
      </c>
    </row>
    <row r="297" spans="1:7" ht="15" x14ac:dyDescent="0.25">
      <c r="A297" t="s">
        <v>4685</v>
      </c>
      <c r="B297">
        <v>9</v>
      </c>
      <c r="C297">
        <v>351</v>
      </c>
      <c r="D297">
        <v>3085</v>
      </c>
      <c r="E297">
        <v>260</v>
      </c>
      <c r="F297">
        <v>28.888888888888889</v>
      </c>
      <c r="G297">
        <v>357</v>
      </c>
    </row>
    <row r="298" spans="1:7" ht="15" x14ac:dyDescent="0.25">
      <c r="A298" t="s">
        <v>4695</v>
      </c>
      <c r="B298">
        <v>1</v>
      </c>
      <c r="C298">
        <v>1021</v>
      </c>
      <c r="D298">
        <v>1021</v>
      </c>
      <c r="E298">
        <v>161</v>
      </c>
      <c r="F298">
        <v>161</v>
      </c>
      <c r="G298">
        <v>1021</v>
      </c>
    </row>
    <row r="299" spans="1:7" ht="15" x14ac:dyDescent="0.25">
      <c r="A299" t="s">
        <v>4704</v>
      </c>
      <c r="B299">
        <v>2</v>
      </c>
      <c r="C299">
        <v>474</v>
      </c>
      <c r="D299">
        <v>937</v>
      </c>
      <c r="E299">
        <v>65</v>
      </c>
      <c r="F299">
        <v>32.5</v>
      </c>
      <c r="G299">
        <v>474</v>
      </c>
    </row>
    <row r="300" spans="1:7" ht="15" x14ac:dyDescent="0.25">
      <c r="A300" t="s">
        <v>4711</v>
      </c>
      <c r="B300">
        <v>1</v>
      </c>
      <c r="C300">
        <v>30</v>
      </c>
      <c r="D300">
        <v>30</v>
      </c>
      <c r="E300">
        <v>20</v>
      </c>
      <c r="F300">
        <v>20</v>
      </c>
      <c r="G300">
        <v>30</v>
      </c>
    </row>
    <row r="301" spans="1:7" ht="15" x14ac:dyDescent="0.25">
      <c r="A301" t="s">
        <v>4718</v>
      </c>
      <c r="B301">
        <v>3</v>
      </c>
      <c r="C301">
        <v>139</v>
      </c>
      <c r="D301">
        <v>419</v>
      </c>
      <c r="E301">
        <v>83</v>
      </c>
      <c r="F301">
        <v>27.666666666666668</v>
      </c>
      <c r="G301">
        <v>141</v>
      </c>
    </row>
    <row r="302" spans="1:7" ht="15" x14ac:dyDescent="0.25">
      <c r="A302" t="s">
        <v>4726</v>
      </c>
      <c r="B302">
        <v>1</v>
      </c>
      <c r="C302">
        <v>20</v>
      </c>
      <c r="D302">
        <v>20</v>
      </c>
      <c r="E302">
        <v>9</v>
      </c>
      <c r="F302">
        <v>9</v>
      </c>
      <c r="G302">
        <v>20</v>
      </c>
    </row>
    <row r="303" spans="1:7" ht="15" x14ac:dyDescent="0.25">
      <c r="A303" t="s">
        <v>4738</v>
      </c>
      <c r="B303">
        <v>1</v>
      </c>
      <c r="C303">
        <v>223</v>
      </c>
      <c r="D303">
        <v>223</v>
      </c>
      <c r="E303">
        <v>18</v>
      </c>
      <c r="F303">
        <v>18</v>
      </c>
      <c r="G303">
        <v>223</v>
      </c>
    </row>
    <row r="304" spans="1:7" ht="15" x14ac:dyDescent="0.25">
      <c r="A304" t="s">
        <v>4744</v>
      </c>
      <c r="B304">
        <v>4</v>
      </c>
      <c r="C304">
        <v>276</v>
      </c>
      <c r="D304">
        <v>1006</v>
      </c>
      <c r="E304">
        <v>172</v>
      </c>
      <c r="F304">
        <v>43</v>
      </c>
      <c r="G304">
        <v>276</v>
      </c>
    </row>
    <row r="305" spans="1:7" ht="15" x14ac:dyDescent="0.25">
      <c r="A305" t="s">
        <v>4757</v>
      </c>
      <c r="B305">
        <v>1</v>
      </c>
      <c r="C305">
        <v>523</v>
      </c>
      <c r="D305">
        <v>523</v>
      </c>
      <c r="E305">
        <v>25</v>
      </c>
      <c r="F305">
        <v>25</v>
      </c>
      <c r="G305">
        <v>523</v>
      </c>
    </row>
    <row r="306" spans="1:7" ht="15" x14ac:dyDescent="0.25">
      <c r="A306" t="s">
        <v>4763</v>
      </c>
      <c r="B306">
        <v>1</v>
      </c>
      <c r="C306">
        <v>185</v>
      </c>
      <c r="D306">
        <v>185</v>
      </c>
      <c r="E306">
        <v>47</v>
      </c>
      <c r="F306">
        <v>47</v>
      </c>
      <c r="G306">
        <v>185</v>
      </c>
    </row>
    <row r="307" spans="1:7" ht="15" x14ac:dyDescent="0.25">
      <c r="A307" t="s">
        <v>4774</v>
      </c>
      <c r="B307">
        <v>1</v>
      </c>
      <c r="C307">
        <v>1521</v>
      </c>
      <c r="D307">
        <v>1521</v>
      </c>
      <c r="E307">
        <v>65</v>
      </c>
      <c r="F307">
        <v>65</v>
      </c>
      <c r="G307">
        <v>1521</v>
      </c>
    </row>
    <row r="308" spans="1:7" ht="15" x14ac:dyDescent="0.25">
      <c r="A308" t="s">
        <v>4782</v>
      </c>
      <c r="B308">
        <v>1</v>
      </c>
      <c r="C308">
        <v>321</v>
      </c>
      <c r="D308">
        <v>321</v>
      </c>
      <c r="E308">
        <v>89</v>
      </c>
      <c r="F308">
        <v>89</v>
      </c>
      <c r="G308">
        <v>321</v>
      </c>
    </row>
    <row r="309" spans="1:7" ht="15" x14ac:dyDescent="0.25">
      <c r="A309" t="s">
        <v>4786</v>
      </c>
      <c r="B309">
        <v>1</v>
      </c>
      <c r="C309">
        <v>80</v>
      </c>
      <c r="D309">
        <v>80</v>
      </c>
      <c r="E309">
        <v>24</v>
      </c>
      <c r="F309">
        <v>24</v>
      </c>
      <c r="G309">
        <v>80</v>
      </c>
    </row>
    <row r="310" spans="1:7" ht="15" x14ac:dyDescent="0.25">
      <c r="A310" t="s">
        <v>4793</v>
      </c>
      <c r="B310">
        <v>1</v>
      </c>
      <c r="D310">
        <v>0</v>
      </c>
      <c r="E310">
        <v>22</v>
      </c>
      <c r="F310">
        <v>22</v>
      </c>
    </row>
    <row r="311" spans="1:7" ht="15" x14ac:dyDescent="0.25">
      <c r="A311" t="s">
        <v>4804</v>
      </c>
      <c r="B311">
        <v>1</v>
      </c>
      <c r="C311">
        <v>196</v>
      </c>
      <c r="D311">
        <v>196</v>
      </c>
      <c r="E311">
        <v>4</v>
      </c>
      <c r="F311">
        <v>4</v>
      </c>
      <c r="G311">
        <v>196</v>
      </c>
    </row>
    <row r="312" spans="1:7" ht="15" x14ac:dyDescent="0.25">
      <c r="A312" t="s">
        <v>4811</v>
      </c>
      <c r="B312">
        <v>30</v>
      </c>
      <c r="C312">
        <v>1033</v>
      </c>
      <c r="D312">
        <v>29679</v>
      </c>
      <c r="E312">
        <v>3313</v>
      </c>
      <c r="F312">
        <v>110.43333333333334</v>
      </c>
      <c r="G312">
        <v>1034</v>
      </c>
    </row>
    <row r="313" spans="1:7" ht="15" x14ac:dyDescent="0.25">
      <c r="A313" t="s">
        <v>4819</v>
      </c>
      <c r="B313">
        <v>1</v>
      </c>
      <c r="C313">
        <v>3679</v>
      </c>
      <c r="D313">
        <v>3679</v>
      </c>
      <c r="E313">
        <v>154</v>
      </c>
      <c r="F313">
        <v>154</v>
      </c>
      <c r="G313">
        <v>3679</v>
      </c>
    </row>
    <row r="314" spans="1:7" ht="15" x14ac:dyDescent="0.25">
      <c r="A314" t="s">
        <v>4822</v>
      </c>
      <c r="B314">
        <v>1</v>
      </c>
      <c r="C314">
        <v>205</v>
      </c>
      <c r="D314">
        <v>205</v>
      </c>
      <c r="E314">
        <v>20</v>
      </c>
      <c r="F314">
        <v>20</v>
      </c>
      <c r="G314">
        <v>205</v>
      </c>
    </row>
    <row r="315" spans="1:7" ht="15" x14ac:dyDescent="0.25">
      <c r="A315" t="s">
        <v>4828</v>
      </c>
      <c r="B315">
        <v>1</v>
      </c>
      <c r="C315">
        <v>537</v>
      </c>
      <c r="D315">
        <v>537</v>
      </c>
      <c r="E315">
        <v>30</v>
      </c>
      <c r="F315">
        <v>30</v>
      </c>
      <c r="G315">
        <v>537</v>
      </c>
    </row>
    <row r="316" spans="1:7" ht="15" x14ac:dyDescent="0.25">
      <c r="A316" t="s">
        <v>4835</v>
      </c>
      <c r="B316">
        <v>1</v>
      </c>
      <c r="C316">
        <v>36683</v>
      </c>
      <c r="D316">
        <v>36683</v>
      </c>
      <c r="E316">
        <v>290</v>
      </c>
      <c r="F316">
        <v>290</v>
      </c>
      <c r="G316">
        <v>36683</v>
      </c>
    </row>
    <row r="317" spans="1:7" ht="15" x14ac:dyDescent="0.25">
      <c r="A317" t="s">
        <v>4846</v>
      </c>
      <c r="B317">
        <v>1</v>
      </c>
      <c r="C317">
        <v>137</v>
      </c>
      <c r="D317">
        <v>137</v>
      </c>
      <c r="E317">
        <v>16</v>
      </c>
      <c r="F317">
        <v>16</v>
      </c>
      <c r="G317">
        <v>137</v>
      </c>
    </row>
    <row r="318" spans="1:7" ht="15" x14ac:dyDescent="0.25">
      <c r="A318" t="s">
        <v>4858</v>
      </c>
      <c r="B318">
        <v>1</v>
      </c>
      <c r="C318">
        <v>98</v>
      </c>
      <c r="D318">
        <v>98</v>
      </c>
      <c r="E318">
        <v>29</v>
      </c>
      <c r="F318">
        <v>29</v>
      </c>
      <c r="G318">
        <v>98</v>
      </c>
    </row>
    <row r="319" spans="1:7" ht="15" x14ac:dyDescent="0.25">
      <c r="A319" t="s">
        <v>4865</v>
      </c>
      <c r="B319">
        <v>1</v>
      </c>
      <c r="C319">
        <v>1239</v>
      </c>
      <c r="D319">
        <v>1239</v>
      </c>
      <c r="E319">
        <v>77</v>
      </c>
      <c r="F319">
        <v>77</v>
      </c>
      <c r="G319">
        <v>1239</v>
      </c>
    </row>
    <row r="320" spans="1:7" ht="15" x14ac:dyDescent="0.25">
      <c r="A320" t="s">
        <v>4872</v>
      </c>
      <c r="B320">
        <v>1</v>
      </c>
      <c r="C320">
        <v>205</v>
      </c>
      <c r="D320">
        <v>205</v>
      </c>
      <c r="E320">
        <v>48</v>
      </c>
      <c r="F320">
        <v>48</v>
      </c>
      <c r="G320">
        <v>205</v>
      </c>
    </row>
    <row r="321" spans="1:7" ht="15" x14ac:dyDescent="0.25">
      <c r="A321" t="s">
        <v>4881</v>
      </c>
      <c r="B321">
        <v>3</v>
      </c>
      <c r="C321">
        <v>51023</v>
      </c>
      <c r="D321">
        <v>152596</v>
      </c>
      <c r="E321">
        <v>3538</v>
      </c>
      <c r="F321">
        <v>1179.3333333333333</v>
      </c>
      <c r="G321">
        <v>51023</v>
      </c>
    </row>
    <row r="322" spans="1:7" ht="15" x14ac:dyDescent="0.25">
      <c r="A322" t="s">
        <v>4889</v>
      </c>
      <c r="B322">
        <v>5</v>
      </c>
      <c r="C322">
        <v>61983</v>
      </c>
      <c r="D322">
        <v>304656</v>
      </c>
      <c r="E322">
        <v>7762</v>
      </c>
      <c r="F322">
        <v>1552.4</v>
      </c>
      <c r="G322">
        <v>61983</v>
      </c>
    </row>
    <row r="323" spans="1:7" ht="15" x14ac:dyDescent="0.25">
      <c r="A323" t="s">
        <v>4899</v>
      </c>
      <c r="B323">
        <v>1</v>
      </c>
      <c r="C323">
        <v>270</v>
      </c>
      <c r="D323">
        <v>270</v>
      </c>
      <c r="E323">
        <v>11</v>
      </c>
      <c r="F323">
        <v>11</v>
      </c>
      <c r="G323">
        <v>270</v>
      </c>
    </row>
    <row r="324" spans="1:7" ht="15" x14ac:dyDescent="0.25">
      <c r="A324" t="s">
        <v>4903</v>
      </c>
      <c r="B324">
        <v>1</v>
      </c>
      <c r="C324">
        <v>785</v>
      </c>
      <c r="D324">
        <v>785</v>
      </c>
      <c r="E324">
        <v>86</v>
      </c>
      <c r="F324">
        <v>86</v>
      </c>
      <c r="G324">
        <v>785</v>
      </c>
    </row>
    <row r="325" spans="1:7" ht="15" x14ac:dyDescent="0.25">
      <c r="A325" t="s">
        <v>4912</v>
      </c>
      <c r="B325">
        <v>2</v>
      </c>
      <c r="C325">
        <v>133</v>
      </c>
      <c r="D325">
        <v>266</v>
      </c>
      <c r="E325">
        <v>17</v>
      </c>
      <c r="F325">
        <v>8.5</v>
      </c>
      <c r="G325">
        <v>133</v>
      </c>
    </row>
    <row r="326" spans="1:7" ht="15" x14ac:dyDescent="0.25">
      <c r="A326" t="s">
        <v>4925</v>
      </c>
      <c r="B326">
        <v>1</v>
      </c>
      <c r="D326">
        <v>0</v>
      </c>
      <c r="E326">
        <v>15</v>
      </c>
      <c r="F326">
        <v>15</v>
      </c>
    </row>
    <row r="327" spans="1:7" ht="15" x14ac:dyDescent="0.25">
      <c r="A327" t="s">
        <v>4932</v>
      </c>
      <c r="B327">
        <v>1</v>
      </c>
      <c r="C327">
        <v>199</v>
      </c>
      <c r="D327">
        <v>199</v>
      </c>
      <c r="E327">
        <v>38</v>
      </c>
      <c r="F327">
        <v>38</v>
      </c>
      <c r="G327">
        <v>199</v>
      </c>
    </row>
    <row r="328" spans="1:7" ht="15" x14ac:dyDescent="0.25">
      <c r="A328" t="s">
        <v>4941</v>
      </c>
      <c r="B328">
        <v>6</v>
      </c>
      <c r="C328">
        <v>43694</v>
      </c>
      <c r="D328">
        <v>253711</v>
      </c>
      <c r="E328">
        <v>6160</v>
      </c>
      <c r="F328">
        <v>1026.6666666666667</v>
      </c>
      <c r="G328">
        <v>43694</v>
      </c>
    </row>
    <row r="329" spans="1:7" ht="15" x14ac:dyDescent="0.25">
      <c r="A329" t="s">
        <v>4951</v>
      </c>
      <c r="B329">
        <v>1</v>
      </c>
      <c r="C329">
        <v>441</v>
      </c>
      <c r="D329">
        <v>441</v>
      </c>
      <c r="E329">
        <v>22</v>
      </c>
      <c r="F329">
        <v>22</v>
      </c>
      <c r="G329">
        <v>441</v>
      </c>
    </row>
    <row r="330" spans="1:7" ht="15" x14ac:dyDescent="0.25">
      <c r="A330" t="s">
        <v>4968</v>
      </c>
      <c r="B330">
        <v>1</v>
      </c>
      <c r="C330">
        <v>16</v>
      </c>
      <c r="D330">
        <v>16</v>
      </c>
      <c r="E330">
        <v>10</v>
      </c>
      <c r="F330">
        <v>10</v>
      </c>
      <c r="G330">
        <v>16</v>
      </c>
    </row>
    <row r="331" spans="1:7" ht="15" x14ac:dyDescent="0.25">
      <c r="A331" t="s">
        <v>4976</v>
      </c>
      <c r="B331">
        <v>1</v>
      </c>
      <c r="C331">
        <v>202</v>
      </c>
      <c r="D331">
        <v>202</v>
      </c>
      <c r="E331">
        <v>16</v>
      </c>
      <c r="F331">
        <v>16</v>
      </c>
      <c r="G331">
        <v>202</v>
      </c>
    </row>
    <row r="332" spans="1:7" ht="15" x14ac:dyDescent="0.25">
      <c r="A332" t="s">
        <v>4982</v>
      </c>
      <c r="B332">
        <v>6</v>
      </c>
      <c r="C332">
        <v>828</v>
      </c>
      <c r="D332">
        <v>2931</v>
      </c>
      <c r="E332">
        <v>363</v>
      </c>
      <c r="F332">
        <v>60.5</v>
      </c>
      <c r="G332">
        <v>828</v>
      </c>
    </row>
    <row r="333" spans="1:7" ht="15" x14ac:dyDescent="0.25">
      <c r="A333" t="s">
        <v>4990</v>
      </c>
      <c r="B333">
        <v>2</v>
      </c>
      <c r="C333">
        <v>296</v>
      </c>
      <c r="D333">
        <v>593</v>
      </c>
      <c r="E333">
        <v>110</v>
      </c>
      <c r="F333">
        <v>55</v>
      </c>
      <c r="G333">
        <v>297</v>
      </c>
    </row>
    <row r="334" spans="1:7" ht="15" x14ac:dyDescent="0.25">
      <c r="A334" t="s">
        <v>4996</v>
      </c>
      <c r="B334">
        <v>1</v>
      </c>
      <c r="C334">
        <v>646</v>
      </c>
      <c r="D334">
        <v>646</v>
      </c>
      <c r="E334">
        <v>237</v>
      </c>
      <c r="F334">
        <v>237</v>
      </c>
      <c r="G334">
        <v>646</v>
      </c>
    </row>
    <row r="335" spans="1:7" ht="15" x14ac:dyDescent="0.25">
      <c r="A335" t="s">
        <v>5016</v>
      </c>
      <c r="B335">
        <v>1</v>
      </c>
      <c r="C335">
        <v>68</v>
      </c>
      <c r="D335">
        <v>68</v>
      </c>
      <c r="E335">
        <v>10</v>
      </c>
      <c r="F335">
        <v>10</v>
      </c>
      <c r="G335">
        <v>68</v>
      </c>
    </row>
    <row r="336" spans="1:7" ht="15" x14ac:dyDescent="0.25">
      <c r="A336" t="s">
        <v>5024</v>
      </c>
      <c r="B336">
        <v>2</v>
      </c>
      <c r="C336">
        <v>50</v>
      </c>
      <c r="D336">
        <v>101</v>
      </c>
      <c r="E336">
        <v>95</v>
      </c>
      <c r="F336">
        <v>47.5</v>
      </c>
      <c r="G336">
        <v>51</v>
      </c>
    </row>
    <row r="337" spans="1:7" ht="15" x14ac:dyDescent="0.25">
      <c r="A337" t="s">
        <v>5031</v>
      </c>
      <c r="B337">
        <v>1</v>
      </c>
      <c r="D337">
        <v>0</v>
      </c>
      <c r="E337">
        <v>89</v>
      </c>
      <c r="F337">
        <v>89</v>
      </c>
    </row>
    <row r="338" spans="1:7" ht="15" x14ac:dyDescent="0.25">
      <c r="A338" t="s">
        <v>5036</v>
      </c>
      <c r="B338">
        <v>1</v>
      </c>
      <c r="C338">
        <v>1172</v>
      </c>
      <c r="D338">
        <v>1172</v>
      </c>
      <c r="E338">
        <v>118</v>
      </c>
      <c r="F338">
        <v>118</v>
      </c>
      <c r="G338">
        <v>1172</v>
      </c>
    </row>
    <row r="339" spans="1:7" ht="15" x14ac:dyDescent="0.25">
      <c r="A339" t="s">
        <v>5044</v>
      </c>
      <c r="B339">
        <v>1</v>
      </c>
      <c r="C339">
        <v>293</v>
      </c>
      <c r="D339">
        <v>293</v>
      </c>
      <c r="E339">
        <v>43</v>
      </c>
      <c r="F339">
        <v>43</v>
      </c>
      <c r="G339">
        <v>293</v>
      </c>
    </row>
    <row r="340" spans="1:7" ht="15" x14ac:dyDescent="0.25">
      <c r="A340" t="s">
        <v>5051</v>
      </c>
      <c r="B340">
        <v>1</v>
      </c>
      <c r="C340">
        <v>957</v>
      </c>
      <c r="D340">
        <v>957</v>
      </c>
      <c r="E340">
        <v>88</v>
      </c>
      <c r="F340">
        <v>88</v>
      </c>
      <c r="G340">
        <v>957</v>
      </c>
    </row>
    <row r="341" spans="1:7" ht="15" x14ac:dyDescent="0.25">
      <c r="A341" t="s">
        <v>5058</v>
      </c>
      <c r="B341">
        <v>6</v>
      </c>
      <c r="C341">
        <v>228</v>
      </c>
      <c r="D341">
        <v>1350</v>
      </c>
      <c r="E341">
        <v>148</v>
      </c>
      <c r="F341">
        <v>24.666666666666668</v>
      </c>
      <c r="G341">
        <v>228</v>
      </c>
    </row>
    <row r="342" spans="1:7" ht="15" x14ac:dyDescent="0.25">
      <c r="A342" t="s">
        <v>5063</v>
      </c>
      <c r="B342">
        <v>1</v>
      </c>
      <c r="C342">
        <v>476</v>
      </c>
      <c r="D342">
        <v>476</v>
      </c>
      <c r="E342">
        <v>121</v>
      </c>
      <c r="F342">
        <v>121</v>
      </c>
      <c r="G342">
        <v>476</v>
      </c>
    </row>
    <row r="343" spans="1:7" ht="15" x14ac:dyDescent="0.25">
      <c r="A343" t="s">
        <v>5072</v>
      </c>
      <c r="B343">
        <v>1</v>
      </c>
      <c r="C343">
        <v>353</v>
      </c>
      <c r="D343">
        <v>353</v>
      </c>
      <c r="E343">
        <v>31</v>
      </c>
      <c r="F343">
        <v>31</v>
      </c>
      <c r="G343">
        <v>353</v>
      </c>
    </row>
    <row r="344" spans="1:7" ht="15" x14ac:dyDescent="0.25">
      <c r="A344" t="s">
        <v>5080</v>
      </c>
      <c r="B344">
        <v>1</v>
      </c>
      <c r="C344">
        <v>73</v>
      </c>
      <c r="D344">
        <v>73</v>
      </c>
      <c r="E344">
        <v>33</v>
      </c>
      <c r="F344">
        <v>33</v>
      </c>
      <c r="G344">
        <v>73</v>
      </c>
    </row>
    <row r="345" spans="1:7" ht="15" x14ac:dyDescent="0.25">
      <c r="A345" t="s">
        <v>5085</v>
      </c>
      <c r="B345">
        <v>1</v>
      </c>
      <c r="C345">
        <v>424</v>
      </c>
      <c r="D345">
        <v>424</v>
      </c>
      <c r="E345">
        <v>67</v>
      </c>
      <c r="F345">
        <v>67</v>
      </c>
      <c r="G345">
        <v>424</v>
      </c>
    </row>
    <row r="346" spans="1:7" ht="15" x14ac:dyDescent="0.25">
      <c r="A346" t="s">
        <v>5093</v>
      </c>
      <c r="B346">
        <v>2</v>
      </c>
      <c r="C346">
        <v>89</v>
      </c>
      <c r="D346">
        <v>177</v>
      </c>
      <c r="E346">
        <v>16</v>
      </c>
      <c r="F346">
        <v>8</v>
      </c>
      <c r="G346">
        <v>89</v>
      </c>
    </row>
    <row r="347" spans="1:7" ht="15" x14ac:dyDescent="0.25">
      <c r="A347" t="s">
        <v>5100</v>
      </c>
      <c r="B347">
        <v>1</v>
      </c>
      <c r="C347">
        <v>136</v>
      </c>
      <c r="D347">
        <v>136</v>
      </c>
      <c r="E347">
        <v>46</v>
      </c>
      <c r="F347">
        <v>46</v>
      </c>
      <c r="G347">
        <v>136</v>
      </c>
    </row>
    <row r="348" spans="1:7" ht="15" x14ac:dyDescent="0.25">
      <c r="A348" t="s">
        <v>5109</v>
      </c>
      <c r="B348">
        <v>1</v>
      </c>
      <c r="C348">
        <v>41</v>
      </c>
      <c r="D348">
        <v>41</v>
      </c>
      <c r="E348">
        <v>2</v>
      </c>
      <c r="F348">
        <v>2</v>
      </c>
      <c r="G348">
        <v>41</v>
      </c>
    </row>
    <row r="349" spans="1:7" ht="15" x14ac:dyDescent="0.25">
      <c r="A349" t="s">
        <v>5114</v>
      </c>
      <c r="B349">
        <v>1</v>
      </c>
      <c r="C349">
        <v>163</v>
      </c>
      <c r="D349">
        <v>163</v>
      </c>
      <c r="E349">
        <v>12</v>
      </c>
      <c r="F349">
        <v>12</v>
      </c>
      <c r="G349">
        <v>163</v>
      </c>
    </row>
    <row r="350" spans="1:7" ht="15" x14ac:dyDescent="0.25">
      <c r="A350" t="s">
        <v>5123</v>
      </c>
      <c r="B350">
        <v>1</v>
      </c>
      <c r="C350">
        <v>296</v>
      </c>
      <c r="D350">
        <v>296</v>
      </c>
      <c r="E350">
        <v>43</v>
      </c>
      <c r="F350">
        <v>43</v>
      </c>
      <c r="G350">
        <v>296</v>
      </c>
    </row>
    <row r="351" spans="1:7" ht="15" x14ac:dyDescent="0.25">
      <c r="A351" t="s">
        <v>5131</v>
      </c>
      <c r="B351">
        <v>1</v>
      </c>
      <c r="C351">
        <v>1341</v>
      </c>
      <c r="D351">
        <v>1341</v>
      </c>
      <c r="E351">
        <v>57</v>
      </c>
      <c r="F351">
        <v>57</v>
      </c>
      <c r="G351">
        <v>1341</v>
      </c>
    </row>
    <row r="352" spans="1:7" ht="15" x14ac:dyDescent="0.25">
      <c r="A352" t="s">
        <v>5135</v>
      </c>
      <c r="B352">
        <v>1</v>
      </c>
      <c r="C352">
        <v>2329</v>
      </c>
      <c r="D352">
        <v>2329</v>
      </c>
      <c r="E352">
        <v>116</v>
      </c>
      <c r="F352">
        <v>116</v>
      </c>
      <c r="G352">
        <v>2329</v>
      </c>
    </row>
    <row r="353" spans="1:7" ht="15" x14ac:dyDescent="0.25">
      <c r="A353" t="s">
        <v>5144</v>
      </c>
      <c r="B353">
        <v>1</v>
      </c>
      <c r="C353">
        <v>761</v>
      </c>
      <c r="D353">
        <v>761</v>
      </c>
      <c r="E353">
        <v>97</v>
      </c>
      <c r="F353">
        <v>97</v>
      </c>
      <c r="G353">
        <v>761</v>
      </c>
    </row>
    <row r="354" spans="1:7" ht="15" x14ac:dyDescent="0.25">
      <c r="A354" t="s">
        <v>5149</v>
      </c>
      <c r="B354">
        <v>29</v>
      </c>
      <c r="C354">
        <v>64907</v>
      </c>
      <c r="D354">
        <v>1836758</v>
      </c>
      <c r="E354">
        <v>2508</v>
      </c>
      <c r="F354">
        <v>86.482758620689651</v>
      </c>
      <c r="G354">
        <v>64907</v>
      </c>
    </row>
    <row r="355" spans="1:7" ht="15" x14ac:dyDescent="0.25">
      <c r="A355" t="s">
        <v>5157</v>
      </c>
      <c r="B355">
        <v>1</v>
      </c>
      <c r="C355">
        <v>465</v>
      </c>
      <c r="D355">
        <v>465</v>
      </c>
      <c r="E355">
        <v>59</v>
      </c>
      <c r="F355">
        <v>59</v>
      </c>
      <c r="G355">
        <v>465</v>
      </c>
    </row>
    <row r="356" spans="1:7" ht="15" x14ac:dyDescent="0.25">
      <c r="A356" t="s">
        <v>5165</v>
      </c>
      <c r="B356">
        <v>1</v>
      </c>
      <c r="C356">
        <v>193</v>
      </c>
      <c r="D356">
        <v>193</v>
      </c>
      <c r="E356">
        <v>54</v>
      </c>
      <c r="F356">
        <v>54</v>
      </c>
      <c r="G356">
        <v>193</v>
      </c>
    </row>
    <row r="357" spans="1:7" ht="15" x14ac:dyDescent="0.25">
      <c r="A357" t="s">
        <v>5176</v>
      </c>
      <c r="B357">
        <v>1</v>
      </c>
      <c r="C357">
        <v>645</v>
      </c>
      <c r="D357">
        <v>645</v>
      </c>
      <c r="E357">
        <v>8</v>
      </c>
      <c r="F357">
        <v>8</v>
      </c>
      <c r="G357">
        <v>645</v>
      </c>
    </row>
    <row r="358" spans="1:7" ht="15" x14ac:dyDescent="0.25">
      <c r="A358" t="s">
        <v>5182</v>
      </c>
      <c r="B358">
        <v>1</v>
      </c>
      <c r="C358">
        <v>242</v>
      </c>
      <c r="D358">
        <v>242</v>
      </c>
      <c r="E358">
        <v>46</v>
      </c>
      <c r="F358">
        <v>46</v>
      </c>
      <c r="G358">
        <v>242</v>
      </c>
    </row>
    <row r="359" spans="1:7" ht="15" x14ac:dyDescent="0.25">
      <c r="A359" t="s">
        <v>5198</v>
      </c>
      <c r="B359">
        <v>1</v>
      </c>
      <c r="C359">
        <v>3389</v>
      </c>
      <c r="D359">
        <v>3389</v>
      </c>
      <c r="E359">
        <v>26</v>
      </c>
      <c r="F359">
        <v>26</v>
      </c>
      <c r="G359">
        <v>3389</v>
      </c>
    </row>
    <row r="360" spans="1:7" ht="15" x14ac:dyDescent="0.25">
      <c r="A360" t="s">
        <v>5215</v>
      </c>
      <c r="B360">
        <v>3</v>
      </c>
      <c r="C360">
        <v>19143</v>
      </c>
      <c r="D360">
        <v>57433</v>
      </c>
      <c r="E360">
        <v>94</v>
      </c>
      <c r="F360">
        <v>31.333333333333332</v>
      </c>
      <c r="G360">
        <v>19146</v>
      </c>
    </row>
    <row r="361" spans="1:7" ht="15" x14ac:dyDescent="0.25">
      <c r="A361" t="s">
        <v>5225</v>
      </c>
      <c r="B361">
        <v>18</v>
      </c>
      <c r="C361">
        <v>60</v>
      </c>
      <c r="D361">
        <v>1058</v>
      </c>
      <c r="E361">
        <v>411</v>
      </c>
      <c r="F361">
        <v>22.833333333333332</v>
      </c>
      <c r="G361">
        <v>67</v>
      </c>
    </row>
    <row r="362" spans="1:7" ht="15" x14ac:dyDescent="0.25">
      <c r="A362" t="s">
        <v>5240</v>
      </c>
      <c r="B362">
        <v>1</v>
      </c>
      <c r="C362">
        <v>1475</v>
      </c>
      <c r="D362">
        <v>1475</v>
      </c>
      <c r="E362">
        <v>357</v>
      </c>
      <c r="F362">
        <v>357</v>
      </c>
      <c r="G362">
        <v>1475</v>
      </c>
    </row>
    <row r="363" spans="1:7" ht="15" x14ac:dyDescent="0.25">
      <c r="A363" t="s">
        <v>5245</v>
      </c>
      <c r="B363">
        <v>1</v>
      </c>
      <c r="C363">
        <v>328</v>
      </c>
      <c r="D363">
        <v>328</v>
      </c>
      <c r="E363">
        <v>63</v>
      </c>
      <c r="F363">
        <v>63</v>
      </c>
      <c r="G363">
        <v>328</v>
      </c>
    </row>
    <row r="364" spans="1:7" ht="15" x14ac:dyDescent="0.25">
      <c r="A364" t="s">
        <v>5251</v>
      </c>
      <c r="B364">
        <v>3</v>
      </c>
      <c r="C364">
        <v>420</v>
      </c>
      <c r="D364">
        <v>1254</v>
      </c>
      <c r="E364">
        <v>129</v>
      </c>
      <c r="F364">
        <v>43</v>
      </c>
      <c r="G364">
        <v>421</v>
      </c>
    </row>
    <row r="365" spans="1:7" ht="15" x14ac:dyDescent="0.25">
      <c r="A365" t="s">
        <v>5261</v>
      </c>
      <c r="B365">
        <v>2</v>
      </c>
      <c r="C365">
        <v>468</v>
      </c>
      <c r="D365">
        <v>905</v>
      </c>
      <c r="E365">
        <v>226</v>
      </c>
      <c r="F365">
        <v>113</v>
      </c>
      <c r="G365">
        <v>468</v>
      </c>
    </row>
    <row r="366" spans="1:7" ht="15" x14ac:dyDescent="0.25">
      <c r="A366" t="s">
        <v>5270</v>
      </c>
      <c r="B366">
        <v>1</v>
      </c>
      <c r="C366">
        <v>946</v>
      </c>
      <c r="D366">
        <v>946</v>
      </c>
      <c r="E366">
        <v>26</v>
      </c>
      <c r="F366">
        <v>26</v>
      </c>
      <c r="G366">
        <v>946</v>
      </c>
    </row>
    <row r="367" spans="1:7" ht="15" x14ac:dyDescent="0.25">
      <c r="A367" t="s">
        <v>5275</v>
      </c>
      <c r="B367">
        <v>5</v>
      </c>
      <c r="C367">
        <v>365</v>
      </c>
      <c r="D367">
        <v>1577</v>
      </c>
      <c r="E367">
        <v>166</v>
      </c>
      <c r="F367">
        <v>33.200000000000003</v>
      </c>
      <c r="G367">
        <v>365</v>
      </c>
    </row>
    <row r="368" spans="1:7" ht="15" x14ac:dyDescent="0.25">
      <c r="A368" t="s">
        <v>5289</v>
      </c>
      <c r="B368">
        <v>1</v>
      </c>
      <c r="C368">
        <v>3249</v>
      </c>
      <c r="D368">
        <v>3249</v>
      </c>
      <c r="E368">
        <v>11</v>
      </c>
      <c r="F368">
        <v>11</v>
      </c>
      <c r="G368">
        <v>3249</v>
      </c>
    </row>
    <row r="369" spans="1:7" ht="15" x14ac:dyDescent="0.25">
      <c r="A369" t="s">
        <v>5293</v>
      </c>
      <c r="B369">
        <v>1</v>
      </c>
      <c r="C369">
        <v>1421</v>
      </c>
      <c r="D369">
        <v>1421</v>
      </c>
      <c r="E369">
        <v>47</v>
      </c>
      <c r="F369">
        <v>47</v>
      </c>
      <c r="G369">
        <v>1421</v>
      </c>
    </row>
    <row r="370" spans="1:7" ht="15" x14ac:dyDescent="0.25">
      <c r="A370" t="s">
        <v>5301</v>
      </c>
      <c r="B370">
        <v>1</v>
      </c>
      <c r="C370">
        <v>555</v>
      </c>
      <c r="D370">
        <v>555</v>
      </c>
      <c r="E370">
        <v>55</v>
      </c>
      <c r="F370">
        <v>55</v>
      </c>
      <c r="G370">
        <v>555</v>
      </c>
    </row>
    <row r="371" spans="1:7" ht="15" x14ac:dyDescent="0.25">
      <c r="A371" t="s">
        <v>5308</v>
      </c>
      <c r="B371">
        <v>1</v>
      </c>
      <c r="C371">
        <v>182</v>
      </c>
      <c r="D371">
        <v>182</v>
      </c>
      <c r="E371">
        <v>11</v>
      </c>
      <c r="F371">
        <v>11</v>
      </c>
      <c r="G371">
        <v>182</v>
      </c>
    </row>
    <row r="372" spans="1:7" ht="15" x14ac:dyDescent="0.25">
      <c r="A372" t="s">
        <v>5321</v>
      </c>
      <c r="B372">
        <v>1</v>
      </c>
      <c r="C372">
        <v>361</v>
      </c>
      <c r="D372">
        <v>361</v>
      </c>
      <c r="E372">
        <v>18</v>
      </c>
      <c r="F372">
        <v>18</v>
      </c>
      <c r="G372">
        <v>361</v>
      </c>
    </row>
    <row r="373" spans="1:7" ht="15" x14ac:dyDescent="0.25">
      <c r="A373" t="s">
        <v>5331</v>
      </c>
      <c r="B373">
        <v>2</v>
      </c>
      <c r="C373">
        <v>1967</v>
      </c>
      <c r="D373">
        <v>3936</v>
      </c>
      <c r="E373">
        <v>66</v>
      </c>
      <c r="F373">
        <v>33</v>
      </c>
      <c r="G373">
        <v>1969</v>
      </c>
    </row>
    <row r="374" spans="1:7" ht="15" x14ac:dyDescent="0.25">
      <c r="A374" t="s">
        <v>5340</v>
      </c>
      <c r="B374">
        <v>1</v>
      </c>
      <c r="C374">
        <v>96</v>
      </c>
      <c r="D374">
        <v>96</v>
      </c>
      <c r="E374">
        <v>8</v>
      </c>
      <c r="F374">
        <v>8</v>
      </c>
      <c r="G374">
        <v>96</v>
      </c>
    </row>
    <row r="375" spans="1:7" ht="15" x14ac:dyDescent="0.25">
      <c r="A375" t="s">
        <v>5346</v>
      </c>
      <c r="B375">
        <v>1</v>
      </c>
      <c r="C375">
        <v>156</v>
      </c>
      <c r="D375">
        <v>156</v>
      </c>
      <c r="E375">
        <v>15</v>
      </c>
      <c r="F375">
        <v>15</v>
      </c>
      <c r="G375">
        <v>156</v>
      </c>
    </row>
    <row r="376" spans="1:7" ht="15" x14ac:dyDescent="0.25">
      <c r="A376" t="s">
        <v>5354</v>
      </c>
      <c r="B376">
        <v>1</v>
      </c>
      <c r="C376">
        <v>1199</v>
      </c>
      <c r="D376">
        <v>1199</v>
      </c>
      <c r="E376">
        <v>106</v>
      </c>
      <c r="F376">
        <v>106</v>
      </c>
      <c r="G376">
        <v>1199</v>
      </c>
    </row>
    <row r="377" spans="1:7" ht="15" x14ac:dyDescent="0.25">
      <c r="A377" t="s">
        <v>5362</v>
      </c>
      <c r="B377">
        <v>1</v>
      </c>
      <c r="C377">
        <v>204</v>
      </c>
      <c r="D377">
        <v>204</v>
      </c>
      <c r="E377">
        <v>21</v>
      </c>
      <c r="F377">
        <v>21</v>
      </c>
      <c r="G377">
        <v>204</v>
      </c>
    </row>
    <row r="378" spans="1:7" ht="15" x14ac:dyDescent="0.25">
      <c r="A378" t="s">
        <v>5370</v>
      </c>
      <c r="B378">
        <v>1</v>
      </c>
      <c r="C378">
        <v>2220</v>
      </c>
      <c r="D378">
        <v>2220</v>
      </c>
      <c r="E378">
        <v>54</v>
      </c>
      <c r="F378">
        <v>54</v>
      </c>
      <c r="G378">
        <v>2220</v>
      </c>
    </row>
    <row r="379" spans="1:7" ht="15" x14ac:dyDescent="0.25">
      <c r="A379" t="s">
        <v>5378</v>
      </c>
      <c r="B379">
        <v>1</v>
      </c>
      <c r="C379">
        <v>155</v>
      </c>
      <c r="D379">
        <v>155</v>
      </c>
      <c r="E379">
        <v>54</v>
      </c>
      <c r="F379">
        <v>54</v>
      </c>
      <c r="G379">
        <v>155</v>
      </c>
    </row>
    <row r="380" spans="1:7" ht="15" x14ac:dyDescent="0.25">
      <c r="A380" t="s">
        <v>5386</v>
      </c>
      <c r="B380">
        <v>1</v>
      </c>
      <c r="C380">
        <v>320</v>
      </c>
      <c r="D380">
        <v>320</v>
      </c>
      <c r="E380">
        <v>42</v>
      </c>
      <c r="F380">
        <v>42</v>
      </c>
      <c r="G380">
        <v>320</v>
      </c>
    </row>
    <row r="381" spans="1:7" ht="15" x14ac:dyDescent="0.25">
      <c r="A381" t="s">
        <v>5396</v>
      </c>
      <c r="B381">
        <v>1</v>
      </c>
      <c r="C381">
        <v>1137</v>
      </c>
      <c r="D381">
        <v>1137</v>
      </c>
      <c r="E381">
        <v>63</v>
      </c>
      <c r="F381">
        <v>63</v>
      </c>
      <c r="G381">
        <v>1137</v>
      </c>
    </row>
    <row r="382" spans="1:7" ht="15" x14ac:dyDescent="0.25">
      <c r="A382" t="s">
        <v>5400</v>
      </c>
      <c r="B382">
        <v>3</v>
      </c>
      <c r="C382">
        <v>232</v>
      </c>
      <c r="D382">
        <v>690</v>
      </c>
      <c r="E382">
        <v>125</v>
      </c>
      <c r="F382">
        <v>41.666666666666664</v>
      </c>
      <c r="G382">
        <v>232</v>
      </c>
    </row>
    <row r="383" spans="1:7" ht="15" x14ac:dyDescent="0.25">
      <c r="A383" t="s">
        <v>5409</v>
      </c>
      <c r="B383">
        <v>6</v>
      </c>
      <c r="C383">
        <v>653</v>
      </c>
      <c r="D383">
        <v>3878</v>
      </c>
      <c r="E383">
        <v>267</v>
      </c>
      <c r="F383">
        <v>44.5</v>
      </c>
      <c r="G383">
        <v>653</v>
      </c>
    </row>
    <row r="384" spans="1:7" ht="15" x14ac:dyDescent="0.25">
      <c r="A384" t="s">
        <v>5418</v>
      </c>
      <c r="B384">
        <v>1</v>
      </c>
      <c r="C384">
        <v>318</v>
      </c>
      <c r="D384">
        <v>318</v>
      </c>
      <c r="E384">
        <v>30</v>
      </c>
      <c r="F384">
        <v>30</v>
      </c>
      <c r="G384">
        <v>318</v>
      </c>
    </row>
    <row r="385" spans="1:7" ht="15" x14ac:dyDescent="0.25">
      <c r="A385" t="s">
        <v>5426</v>
      </c>
      <c r="B385">
        <v>1</v>
      </c>
      <c r="C385">
        <v>76</v>
      </c>
      <c r="D385">
        <v>76</v>
      </c>
      <c r="E385">
        <v>21</v>
      </c>
      <c r="F385">
        <v>21</v>
      </c>
      <c r="G385">
        <v>76</v>
      </c>
    </row>
    <row r="386" spans="1:7" ht="15" x14ac:dyDescent="0.25">
      <c r="A386" t="s">
        <v>5430</v>
      </c>
      <c r="B386">
        <v>3</v>
      </c>
      <c r="C386">
        <v>310</v>
      </c>
      <c r="D386">
        <v>923</v>
      </c>
      <c r="E386">
        <v>42</v>
      </c>
      <c r="F386">
        <v>14</v>
      </c>
      <c r="G386">
        <v>310</v>
      </c>
    </row>
    <row r="387" spans="1:7" ht="15" x14ac:dyDescent="0.25">
      <c r="A387" t="s">
        <v>5436</v>
      </c>
      <c r="B387">
        <v>1</v>
      </c>
      <c r="C387">
        <v>8076</v>
      </c>
      <c r="D387">
        <v>8076</v>
      </c>
      <c r="E387">
        <v>227</v>
      </c>
      <c r="F387">
        <v>227</v>
      </c>
      <c r="G387">
        <v>8076</v>
      </c>
    </row>
    <row r="388" spans="1:7" ht="15" x14ac:dyDescent="0.25">
      <c r="A388" t="s">
        <v>5444</v>
      </c>
      <c r="B388">
        <v>1</v>
      </c>
      <c r="C388">
        <v>184</v>
      </c>
      <c r="D388">
        <v>184</v>
      </c>
      <c r="E388">
        <v>65</v>
      </c>
      <c r="F388">
        <v>65</v>
      </c>
      <c r="G388">
        <v>184</v>
      </c>
    </row>
    <row r="389" spans="1:7" ht="15" x14ac:dyDescent="0.25">
      <c r="A389" t="s">
        <v>5463</v>
      </c>
      <c r="B389">
        <v>2</v>
      </c>
      <c r="C389">
        <v>516</v>
      </c>
      <c r="D389">
        <v>1029</v>
      </c>
      <c r="E389">
        <v>82</v>
      </c>
      <c r="F389">
        <v>41</v>
      </c>
      <c r="G389">
        <v>516</v>
      </c>
    </row>
    <row r="390" spans="1:7" ht="15" x14ac:dyDescent="0.25">
      <c r="A390" t="s">
        <v>5468</v>
      </c>
      <c r="B390">
        <v>1</v>
      </c>
      <c r="C390">
        <v>11739</v>
      </c>
      <c r="D390">
        <v>11739</v>
      </c>
      <c r="E390">
        <v>162</v>
      </c>
      <c r="F390">
        <v>162</v>
      </c>
      <c r="G390">
        <v>11739</v>
      </c>
    </row>
    <row r="391" spans="1:7" ht="15" x14ac:dyDescent="0.25">
      <c r="A391" t="s">
        <v>5477</v>
      </c>
      <c r="B391">
        <v>1</v>
      </c>
      <c r="C391">
        <v>166</v>
      </c>
      <c r="D391">
        <v>166</v>
      </c>
      <c r="E391">
        <v>28</v>
      </c>
      <c r="F391">
        <v>28</v>
      </c>
      <c r="G391">
        <v>166</v>
      </c>
    </row>
    <row r="392" spans="1:7" ht="15" x14ac:dyDescent="0.25">
      <c r="A392" t="s">
        <v>5486</v>
      </c>
      <c r="B392">
        <v>13</v>
      </c>
      <c r="C392">
        <v>34236</v>
      </c>
      <c r="D392">
        <v>431432</v>
      </c>
      <c r="E392">
        <v>8542</v>
      </c>
      <c r="F392">
        <v>657.07692307692309</v>
      </c>
      <c r="G392">
        <v>34236</v>
      </c>
    </row>
    <row r="393" spans="1:7" ht="15" x14ac:dyDescent="0.25">
      <c r="A393" t="s">
        <v>5495</v>
      </c>
      <c r="B393">
        <v>1</v>
      </c>
      <c r="C393">
        <v>322</v>
      </c>
      <c r="D393">
        <v>322</v>
      </c>
      <c r="E393">
        <v>34</v>
      </c>
      <c r="F393">
        <v>34</v>
      </c>
      <c r="G393">
        <v>322</v>
      </c>
    </row>
    <row r="394" spans="1:7" ht="15" x14ac:dyDescent="0.25">
      <c r="A394" t="s">
        <v>5502</v>
      </c>
      <c r="B394">
        <v>1</v>
      </c>
      <c r="C394">
        <v>269</v>
      </c>
      <c r="D394">
        <v>269</v>
      </c>
      <c r="E394">
        <v>94</v>
      </c>
      <c r="F394">
        <v>94</v>
      </c>
      <c r="G394">
        <v>269</v>
      </c>
    </row>
    <row r="395" spans="1:7" ht="15" x14ac:dyDescent="0.25">
      <c r="A395" t="s">
        <v>5509</v>
      </c>
      <c r="B395">
        <v>1</v>
      </c>
      <c r="C395">
        <v>272</v>
      </c>
      <c r="D395">
        <v>272</v>
      </c>
      <c r="E395">
        <v>74</v>
      </c>
      <c r="F395">
        <v>74</v>
      </c>
      <c r="G395">
        <v>272</v>
      </c>
    </row>
    <row r="396" spans="1:7" ht="15" x14ac:dyDescent="0.25">
      <c r="A396" t="s">
        <v>5516</v>
      </c>
      <c r="B396">
        <v>1</v>
      </c>
      <c r="C396">
        <v>170</v>
      </c>
      <c r="D396">
        <v>170</v>
      </c>
      <c r="E396">
        <v>36</v>
      </c>
      <c r="F396">
        <v>36</v>
      </c>
      <c r="G396">
        <v>170</v>
      </c>
    </row>
    <row r="397" spans="1:7" ht="15" x14ac:dyDescent="0.25">
      <c r="A397" t="s">
        <v>5522</v>
      </c>
      <c r="B397">
        <v>1</v>
      </c>
      <c r="C397">
        <v>1282</v>
      </c>
      <c r="D397">
        <v>1282</v>
      </c>
      <c r="E397">
        <v>14</v>
      </c>
      <c r="F397">
        <v>14</v>
      </c>
      <c r="G397">
        <v>1282</v>
      </c>
    </row>
    <row r="398" spans="1:7" ht="15" x14ac:dyDescent="0.25">
      <c r="A398" t="s">
        <v>5530</v>
      </c>
      <c r="B398">
        <v>1</v>
      </c>
      <c r="C398">
        <v>571</v>
      </c>
      <c r="D398">
        <v>571</v>
      </c>
      <c r="E398">
        <v>18</v>
      </c>
      <c r="F398">
        <v>18</v>
      </c>
      <c r="G398">
        <v>571</v>
      </c>
    </row>
    <row r="399" spans="1:7" ht="15" x14ac:dyDescent="0.25">
      <c r="A399" t="s">
        <v>5542</v>
      </c>
      <c r="B399">
        <v>1</v>
      </c>
      <c r="C399">
        <v>273</v>
      </c>
      <c r="D399">
        <v>273</v>
      </c>
      <c r="E399">
        <v>14</v>
      </c>
      <c r="F399">
        <v>14</v>
      </c>
      <c r="G399">
        <v>273</v>
      </c>
    </row>
    <row r="400" spans="1:7" ht="15" x14ac:dyDescent="0.25">
      <c r="A400" t="s">
        <v>5548</v>
      </c>
      <c r="B400">
        <v>5</v>
      </c>
      <c r="C400">
        <v>856</v>
      </c>
      <c r="D400">
        <v>3385</v>
      </c>
      <c r="E400">
        <v>444</v>
      </c>
      <c r="F400">
        <v>88.8</v>
      </c>
      <c r="G400">
        <v>856</v>
      </c>
    </row>
    <row r="401" spans="1:7" ht="15" x14ac:dyDescent="0.25">
      <c r="A401" t="s">
        <v>5556</v>
      </c>
      <c r="B401">
        <v>1</v>
      </c>
      <c r="C401">
        <v>2642</v>
      </c>
      <c r="D401">
        <v>2642</v>
      </c>
      <c r="E401">
        <v>110</v>
      </c>
      <c r="F401">
        <v>110</v>
      </c>
      <c r="G401">
        <v>2642</v>
      </c>
    </row>
    <row r="402" spans="1:7" ht="15" x14ac:dyDescent="0.25">
      <c r="A402" t="s">
        <v>5561</v>
      </c>
      <c r="B402">
        <v>1</v>
      </c>
      <c r="C402">
        <v>132</v>
      </c>
      <c r="D402">
        <v>132</v>
      </c>
      <c r="E402">
        <v>26</v>
      </c>
      <c r="F402">
        <v>26</v>
      </c>
      <c r="G402">
        <v>132</v>
      </c>
    </row>
    <row r="403" spans="1:7" ht="15" x14ac:dyDescent="0.25">
      <c r="A403" t="s">
        <v>5568</v>
      </c>
      <c r="B403">
        <v>2</v>
      </c>
      <c r="D403">
        <v>0</v>
      </c>
      <c r="E403">
        <v>204</v>
      </c>
      <c r="F403">
        <v>102</v>
      </c>
    </row>
    <row r="404" spans="1:7" ht="15" x14ac:dyDescent="0.25">
      <c r="A404" t="s">
        <v>5578</v>
      </c>
      <c r="B404">
        <v>1</v>
      </c>
      <c r="C404">
        <v>669</v>
      </c>
      <c r="D404">
        <v>669</v>
      </c>
      <c r="E404">
        <v>80</v>
      </c>
      <c r="F404">
        <v>80</v>
      </c>
      <c r="G404">
        <v>669</v>
      </c>
    </row>
    <row r="405" spans="1:7" ht="15" x14ac:dyDescent="0.25">
      <c r="A405" t="s">
        <v>5588</v>
      </c>
      <c r="B405">
        <v>1</v>
      </c>
      <c r="C405">
        <v>1542</v>
      </c>
      <c r="D405">
        <v>1542</v>
      </c>
      <c r="E405">
        <v>380</v>
      </c>
      <c r="F405">
        <v>380</v>
      </c>
      <c r="G405">
        <v>1542</v>
      </c>
    </row>
    <row r="406" spans="1:7" ht="15" x14ac:dyDescent="0.25">
      <c r="A406" t="s">
        <v>5595</v>
      </c>
      <c r="B406">
        <v>1</v>
      </c>
      <c r="C406">
        <v>260</v>
      </c>
      <c r="D406">
        <v>260</v>
      </c>
      <c r="E406">
        <v>32</v>
      </c>
      <c r="F406">
        <v>32</v>
      </c>
      <c r="G406">
        <v>260</v>
      </c>
    </row>
    <row r="407" spans="1:7" ht="15" x14ac:dyDescent="0.25">
      <c r="A407" t="s">
        <v>5609</v>
      </c>
      <c r="B407">
        <v>1</v>
      </c>
      <c r="C407">
        <v>1346</v>
      </c>
      <c r="D407">
        <v>1346</v>
      </c>
      <c r="E407">
        <v>163</v>
      </c>
      <c r="F407">
        <v>163</v>
      </c>
      <c r="G407">
        <v>1346</v>
      </c>
    </row>
    <row r="408" spans="1:7" ht="15" x14ac:dyDescent="0.25">
      <c r="A408" t="s">
        <v>5615</v>
      </c>
      <c r="B408">
        <v>1</v>
      </c>
      <c r="C408">
        <v>1114</v>
      </c>
      <c r="D408">
        <v>1114</v>
      </c>
      <c r="E408">
        <v>84</v>
      </c>
      <c r="F408">
        <v>84</v>
      </c>
      <c r="G408">
        <v>1114</v>
      </c>
    </row>
    <row r="409" spans="1:7" ht="15" x14ac:dyDescent="0.25">
      <c r="A409" t="s">
        <v>5626</v>
      </c>
      <c r="B409">
        <v>1</v>
      </c>
      <c r="C409">
        <v>1220</v>
      </c>
      <c r="D409">
        <v>1220</v>
      </c>
      <c r="E409">
        <v>83</v>
      </c>
      <c r="F409">
        <v>83</v>
      </c>
      <c r="G409">
        <v>1220</v>
      </c>
    </row>
    <row r="410" spans="1:7" ht="15" x14ac:dyDescent="0.25">
      <c r="A410" t="s">
        <v>5630</v>
      </c>
      <c r="B410">
        <v>1</v>
      </c>
      <c r="C410">
        <v>29</v>
      </c>
      <c r="D410">
        <v>29</v>
      </c>
      <c r="E410">
        <v>10</v>
      </c>
      <c r="F410">
        <v>10</v>
      </c>
      <c r="G410">
        <v>29</v>
      </c>
    </row>
    <row r="411" spans="1:7" ht="15" x14ac:dyDescent="0.25">
      <c r="A411" t="s">
        <v>5634</v>
      </c>
      <c r="B411">
        <v>1</v>
      </c>
      <c r="C411">
        <v>249</v>
      </c>
      <c r="D411">
        <v>249</v>
      </c>
      <c r="E411">
        <v>38</v>
      </c>
      <c r="F411">
        <v>38</v>
      </c>
      <c r="G411">
        <v>249</v>
      </c>
    </row>
    <row r="412" spans="1:7" ht="15" x14ac:dyDescent="0.25">
      <c r="A412" t="s">
        <v>5641</v>
      </c>
      <c r="B412">
        <v>1</v>
      </c>
      <c r="C412">
        <v>135</v>
      </c>
      <c r="D412">
        <v>135</v>
      </c>
      <c r="E412">
        <v>27</v>
      </c>
      <c r="F412">
        <v>27</v>
      </c>
      <c r="G412">
        <v>135</v>
      </c>
    </row>
    <row r="413" spans="1:7" ht="15" x14ac:dyDescent="0.25">
      <c r="A413" t="s">
        <v>5652</v>
      </c>
      <c r="B413">
        <v>1</v>
      </c>
      <c r="C413">
        <v>208</v>
      </c>
      <c r="D413">
        <v>208</v>
      </c>
      <c r="E413">
        <v>16</v>
      </c>
      <c r="F413">
        <v>16</v>
      </c>
      <c r="G413">
        <v>208</v>
      </c>
    </row>
    <row r="414" spans="1:7" ht="15" x14ac:dyDescent="0.25">
      <c r="A414" t="s">
        <v>5657</v>
      </c>
      <c r="B414">
        <v>34</v>
      </c>
      <c r="C414">
        <v>114</v>
      </c>
      <c r="D414">
        <v>3106</v>
      </c>
      <c r="E414">
        <v>1113</v>
      </c>
      <c r="F414">
        <v>32.735294117647058</v>
      </c>
      <c r="G414">
        <v>117</v>
      </c>
    </row>
    <row r="415" spans="1:7" ht="15" x14ac:dyDescent="0.25">
      <c r="A415" t="s">
        <v>5663</v>
      </c>
      <c r="B415">
        <v>1</v>
      </c>
      <c r="C415">
        <v>288</v>
      </c>
      <c r="D415">
        <v>288</v>
      </c>
      <c r="E415">
        <v>65</v>
      </c>
      <c r="F415">
        <v>65</v>
      </c>
      <c r="G415">
        <v>288</v>
      </c>
    </row>
    <row r="416" spans="1:7" ht="15" x14ac:dyDescent="0.25">
      <c r="A416" t="s">
        <v>5667</v>
      </c>
      <c r="B416">
        <v>1</v>
      </c>
      <c r="C416">
        <v>597</v>
      </c>
      <c r="D416">
        <v>597</v>
      </c>
      <c r="E416">
        <v>59</v>
      </c>
      <c r="F416">
        <v>59</v>
      </c>
      <c r="G416">
        <v>597</v>
      </c>
    </row>
    <row r="417" spans="1:7" ht="15" x14ac:dyDescent="0.25">
      <c r="A417" t="s">
        <v>5677</v>
      </c>
      <c r="B417">
        <v>1</v>
      </c>
      <c r="C417">
        <v>374</v>
      </c>
      <c r="D417">
        <v>374</v>
      </c>
      <c r="E417">
        <v>11</v>
      </c>
      <c r="F417">
        <v>11</v>
      </c>
      <c r="G417">
        <v>374</v>
      </c>
    </row>
    <row r="418" spans="1:7" ht="15" x14ac:dyDescent="0.25">
      <c r="A418" t="s">
        <v>5683</v>
      </c>
      <c r="B418">
        <v>2</v>
      </c>
      <c r="C418">
        <v>374</v>
      </c>
      <c r="D418">
        <v>752</v>
      </c>
      <c r="E418">
        <v>46</v>
      </c>
      <c r="F418">
        <v>23</v>
      </c>
      <c r="G418">
        <v>378</v>
      </c>
    </row>
    <row r="419" spans="1:7" ht="15" x14ac:dyDescent="0.25">
      <c r="A419" t="s">
        <v>5691</v>
      </c>
      <c r="B419">
        <v>1</v>
      </c>
      <c r="C419">
        <v>750</v>
      </c>
      <c r="D419">
        <v>750</v>
      </c>
      <c r="E419">
        <v>23</v>
      </c>
      <c r="F419">
        <v>23</v>
      </c>
      <c r="G419">
        <v>750</v>
      </c>
    </row>
    <row r="420" spans="1:7" ht="15" x14ac:dyDescent="0.25">
      <c r="A420" t="s">
        <v>5699</v>
      </c>
      <c r="B420">
        <v>12</v>
      </c>
      <c r="C420">
        <v>96</v>
      </c>
      <c r="D420">
        <v>1123</v>
      </c>
      <c r="E420">
        <v>286</v>
      </c>
      <c r="F420">
        <v>23.833333333333332</v>
      </c>
      <c r="G420">
        <v>97</v>
      </c>
    </row>
    <row r="421" spans="1:7" ht="15" x14ac:dyDescent="0.25">
      <c r="A421" t="s">
        <v>5710</v>
      </c>
      <c r="B421">
        <v>1</v>
      </c>
      <c r="C421">
        <v>1197</v>
      </c>
      <c r="D421">
        <v>1197</v>
      </c>
      <c r="E421">
        <v>24</v>
      </c>
      <c r="F421">
        <v>24</v>
      </c>
      <c r="G421">
        <v>1197</v>
      </c>
    </row>
    <row r="422" spans="1:7" ht="15" x14ac:dyDescent="0.25">
      <c r="A422" t="s">
        <v>5718</v>
      </c>
      <c r="B422">
        <v>1</v>
      </c>
      <c r="C422">
        <v>284</v>
      </c>
      <c r="D422">
        <v>284</v>
      </c>
      <c r="E422">
        <v>46</v>
      </c>
      <c r="F422">
        <v>46</v>
      </c>
      <c r="G422">
        <v>284</v>
      </c>
    </row>
    <row r="423" spans="1:7" ht="15" x14ac:dyDescent="0.25">
      <c r="A423" t="s">
        <v>5742</v>
      </c>
      <c r="B423">
        <v>1</v>
      </c>
      <c r="C423">
        <v>141</v>
      </c>
      <c r="D423">
        <v>141</v>
      </c>
      <c r="E423">
        <v>29</v>
      </c>
      <c r="F423">
        <v>29</v>
      </c>
      <c r="G423">
        <v>141</v>
      </c>
    </row>
    <row r="424" spans="1:7" ht="15" x14ac:dyDescent="0.25">
      <c r="A424" t="s">
        <v>5752</v>
      </c>
      <c r="B424">
        <v>1</v>
      </c>
      <c r="C424">
        <v>1080</v>
      </c>
      <c r="D424">
        <v>1080</v>
      </c>
      <c r="E424">
        <v>58</v>
      </c>
      <c r="F424">
        <v>58</v>
      </c>
      <c r="G424">
        <v>1080</v>
      </c>
    </row>
    <row r="425" spans="1:7" ht="15" x14ac:dyDescent="0.25">
      <c r="A425" t="s">
        <v>5758</v>
      </c>
      <c r="B425">
        <v>1</v>
      </c>
      <c r="C425">
        <v>255</v>
      </c>
      <c r="D425">
        <v>255</v>
      </c>
      <c r="E425">
        <v>105</v>
      </c>
      <c r="F425">
        <v>105</v>
      </c>
      <c r="G425">
        <v>255</v>
      </c>
    </row>
    <row r="426" spans="1:7" ht="15" x14ac:dyDescent="0.25">
      <c r="A426" t="s">
        <v>5766</v>
      </c>
      <c r="B426">
        <v>8</v>
      </c>
      <c r="C426">
        <v>139</v>
      </c>
      <c r="D426">
        <v>1099</v>
      </c>
      <c r="E426">
        <v>277</v>
      </c>
      <c r="F426">
        <v>34.625</v>
      </c>
      <c r="G426">
        <v>140</v>
      </c>
    </row>
    <row r="427" spans="1:7" ht="15" x14ac:dyDescent="0.25">
      <c r="A427" t="s">
        <v>5773</v>
      </c>
      <c r="B427">
        <v>12</v>
      </c>
      <c r="C427">
        <v>832</v>
      </c>
      <c r="D427">
        <v>10075</v>
      </c>
      <c r="E427">
        <v>605</v>
      </c>
      <c r="F427">
        <v>50.416666666666664</v>
      </c>
      <c r="G427">
        <v>851</v>
      </c>
    </row>
    <row r="428" spans="1:7" ht="15" x14ac:dyDescent="0.25">
      <c r="A428" t="s">
        <v>5782</v>
      </c>
      <c r="B428">
        <v>1</v>
      </c>
      <c r="C428">
        <v>285</v>
      </c>
      <c r="D428">
        <v>285</v>
      </c>
      <c r="E428">
        <v>16</v>
      </c>
      <c r="F428">
        <v>16</v>
      </c>
      <c r="G428">
        <v>285</v>
      </c>
    </row>
    <row r="429" spans="1:7" ht="15" x14ac:dyDescent="0.25">
      <c r="A429" t="s">
        <v>5798</v>
      </c>
      <c r="B429">
        <v>1</v>
      </c>
      <c r="C429">
        <v>85</v>
      </c>
      <c r="D429">
        <v>85</v>
      </c>
      <c r="E429">
        <v>18</v>
      </c>
      <c r="F429">
        <v>18</v>
      </c>
      <c r="G429">
        <v>85</v>
      </c>
    </row>
    <row r="430" spans="1:7" ht="15" x14ac:dyDescent="0.25">
      <c r="A430" t="s">
        <v>5805</v>
      </c>
      <c r="B430">
        <v>1</v>
      </c>
      <c r="C430">
        <v>828</v>
      </c>
      <c r="D430">
        <v>828</v>
      </c>
      <c r="E430">
        <v>6</v>
      </c>
      <c r="F430">
        <v>6</v>
      </c>
      <c r="G430">
        <v>828</v>
      </c>
    </row>
    <row r="431" spans="1:7" ht="15" x14ac:dyDescent="0.25">
      <c r="A431" t="s">
        <v>5812</v>
      </c>
      <c r="B431">
        <v>1</v>
      </c>
      <c r="C431">
        <v>127</v>
      </c>
      <c r="D431">
        <v>127</v>
      </c>
      <c r="E431">
        <v>51</v>
      </c>
      <c r="F431">
        <v>51</v>
      </c>
      <c r="G431">
        <v>127</v>
      </c>
    </row>
    <row r="432" spans="1:7" ht="15" x14ac:dyDescent="0.25">
      <c r="A432" t="s">
        <v>5824</v>
      </c>
      <c r="B432">
        <v>2</v>
      </c>
      <c r="C432">
        <v>59</v>
      </c>
      <c r="D432">
        <v>118</v>
      </c>
      <c r="E432">
        <v>92</v>
      </c>
      <c r="F432">
        <v>46</v>
      </c>
      <c r="G432">
        <v>59</v>
      </c>
    </row>
    <row r="433" spans="1:7" ht="15" x14ac:dyDescent="0.25">
      <c r="A433" t="s">
        <v>5833</v>
      </c>
      <c r="B433">
        <v>1</v>
      </c>
      <c r="C433">
        <v>212</v>
      </c>
      <c r="D433">
        <v>212</v>
      </c>
      <c r="E433">
        <v>13</v>
      </c>
      <c r="F433">
        <v>13</v>
      </c>
      <c r="G433">
        <v>212</v>
      </c>
    </row>
    <row r="434" spans="1:7" ht="15" x14ac:dyDescent="0.25">
      <c r="A434" t="s">
        <v>5844</v>
      </c>
      <c r="B434">
        <v>1</v>
      </c>
      <c r="C434">
        <v>3768</v>
      </c>
      <c r="D434">
        <v>3768</v>
      </c>
      <c r="E434">
        <v>41</v>
      </c>
      <c r="F434">
        <v>41</v>
      </c>
      <c r="G434">
        <v>3768</v>
      </c>
    </row>
    <row r="435" spans="1:7" ht="15" x14ac:dyDescent="0.25">
      <c r="A435" t="s">
        <v>5851</v>
      </c>
      <c r="B435">
        <v>1</v>
      </c>
      <c r="C435">
        <v>495</v>
      </c>
      <c r="D435">
        <v>495</v>
      </c>
      <c r="E435">
        <v>66</v>
      </c>
      <c r="F435">
        <v>66</v>
      </c>
      <c r="G435">
        <v>495</v>
      </c>
    </row>
    <row r="436" spans="1:7" ht="15" x14ac:dyDescent="0.25">
      <c r="A436" t="s">
        <v>5854</v>
      </c>
      <c r="B436">
        <v>2</v>
      </c>
      <c r="C436">
        <v>20</v>
      </c>
      <c r="D436">
        <v>23</v>
      </c>
      <c r="E436">
        <v>29</v>
      </c>
      <c r="F436">
        <v>14.5</v>
      </c>
      <c r="G436">
        <v>20</v>
      </c>
    </row>
    <row r="437" spans="1:7" ht="15" x14ac:dyDescent="0.25">
      <c r="A437" t="s">
        <v>5868</v>
      </c>
      <c r="B437">
        <v>2</v>
      </c>
      <c r="C437">
        <v>710</v>
      </c>
      <c r="D437">
        <v>1415</v>
      </c>
      <c r="E437">
        <v>103</v>
      </c>
      <c r="F437">
        <v>51.5</v>
      </c>
      <c r="G437">
        <v>710</v>
      </c>
    </row>
    <row r="438" spans="1:7" ht="15" x14ac:dyDescent="0.25">
      <c r="A438" t="s">
        <v>5876</v>
      </c>
      <c r="B438">
        <v>4</v>
      </c>
      <c r="C438">
        <v>898</v>
      </c>
      <c r="D438">
        <v>3390</v>
      </c>
      <c r="E438">
        <v>220</v>
      </c>
      <c r="F438">
        <v>55</v>
      </c>
      <c r="G438">
        <v>898</v>
      </c>
    </row>
    <row r="439" spans="1:7" ht="15" x14ac:dyDescent="0.25">
      <c r="A439" t="s">
        <v>5885</v>
      </c>
      <c r="B439">
        <v>1</v>
      </c>
      <c r="C439">
        <v>63</v>
      </c>
      <c r="D439">
        <v>63</v>
      </c>
      <c r="E439">
        <v>36</v>
      </c>
      <c r="F439">
        <v>36</v>
      </c>
      <c r="G439">
        <v>63</v>
      </c>
    </row>
    <row r="440" spans="1:7" ht="15" x14ac:dyDescent="0.25">
      <c r="A440" t="s">
        <v>5898</v>
      </c>
      <c r="B440">
        <v>1</v>
      </c>
      <c r="C440">
        <v>22</v>
      </c>
      <c r="D440">
        <v>22</v>
      </c>
      <c r="E440">
        <v>9</v>
      </c>
      <c r="F440">
        <v>9</v>
      </c>
      <c r="G440">
        <v>22</v>
      </c>
    </row>
    <row r="441" spans="1:7" ht="15" x14ac:dyDescent="0.25">
      <c r="A441" t="s">
        <v>5904</v>
      </c>
      <c r="B441">
        <v>1</v>
      </c>
      <c r="C441">
        <v>167</v>
      </c>
      <c r="D441">
        <v>167</v>
      </c>
      <c r="E441">
        <v>33</v>
      </c>
      <c r="F441">
        <v>33</v>
      </c>
      <c r="G441">
        <v>167</v>
      </c>
    </row>
    <row r="442" spans="1:7" ht="15" x14ac:dyDescent="0.25">
      <c r="A442" t="s">
        <v>5910</v>
      </c>
      <c r="B442">
        <v>1</v>
      </c>
      <c r="C442">
        <v>744</v>
      </c>
      <c r="D442">
        <v>744</v>
      </c>
      <c r="E442">
        <v>31</v>
      </c>
      <c r="F442">
        <v>31</v>
      </c>
      <c r="G442">
        <v>744</v>
      </c>
    </row>
    <row r="443" spans="1:7" ht="15" x14ac:dyDescent="0.25">
      <c r="A443" t="s">
        <v>5916</v>
      </c>
      <c r="B443">
        <v>1</v>
      </c>
      <c r="C443">
        <v>369</v>
      </c>
      <c r="D443">
        <v>369</v>
      </c>
      <c r="E443">
        <v>7</v>
      </c>
      <c r="F443">
        <v>7</v>
      </c>
      <c r="G443">
        <v>369</v>
      </c>
    </row>
    <row r="444" spans="1:7" ht="15" x14ac:dyDescent="0.25">
      <c r="A444" t="s">
        <v>5920</v>
      </c>
      <c r="B444">
        <v>8</v>
      </c>
      <c r="C444">
        <v>34</v>
      </c>
      <c r="D444">
        <v>250</v>
      </c>
      <c r="E444">
        <v>217</v>
      </c>
      <c r="F444">
        <v>27.125</v>
      </c>
      <c r="G444">
        <v>34</v>
      </c>
    </row>
    <row r="445" spans="1:7" ht="15" x14ac:dyDescent="0.25">
      <c r="A445" t="s">
        <v>5929</v>
      </c>
      <c r="B445">
        <v>1</v>
      </c>
      <c r="C445">
        <v>4298</v>
      </c>
      <c r="D445">
        <v>4298</v>
      </c>
      <c r="E445">
        <v>71</v>
      </c>
      <c r="F445">
        <v>71</v>
      </c>
      <c r="G445">
        <v>4298</v>
      </c>
    </row>
    <row r="446" spans="1:7" ht="15" x14ac:dyDescent="0.25">
      <c r="A446" t="s">
        <v>5935</v>
      </c>
      <c r="B446">
        <v>1</v>
      </c>
      <c r="D446">
        <v>0</v>
      </c>
      <c r="E446">
        <v>11</v>
      </c>
      <c r="F446">
        <v>11</v>
      </c>
    </row>
    <row r="447" spans="1:7" ht="15" x14ac:dyDescent="0.25">
      <c r="A447" t="s">
        <v>5944</v>
      </c>
      <c r="B447">
        <v>3</v>
      </c>
      <c r="C447">
        <v>119</v>
      </c>
      <c r="D447">
        <v>345</v>
      </c>
      <c r="E447">
        <v>33</v>
      </c>
      <c r="F447">
        <v>11</v>
      </c>
      <c r="G447">
        <v>119</v>
      </c>
    </row>
    <row r="448" spans="1:7" ht="15" x14ac:dyDescent="0.25">
      <c r="A448" t="s">
        <v>5947</v>
      </c>
      <c r="B448">
        <v>1</v>
      </c>
      <c r="C448">
        <v>76</v>
      </c>
      <c r="D448">
        <v>76</v>
      </c>
      <c r="E448">
        <v>13</v>
      </c>
      <c r="F448">
        <v>13</v>
      </c>
      <c r="G448">
        <v>76</v>
      </c>
    </row>
    <row r="449" spans="1:7" ht="15" x14ac:dyDescent="0.25">
      <c r="A449" t="s">
        <v>5958</v>
      </c>
      <c r="B449">
        <v>1</v>
      </c>
      <c r="C449">
        <v>16</v>
      </c>
      <c r="D449">
        <v>16</v>
      </c>
      <c r="E449">
        <v>3</v>
      </c>
      <c r="F449">
        <v>3</v>
      </c>
      <c r="G449">
        <v>16</v>
      </c>
    </row>
    <row r="450" spans="1:7" ht="15" x14ac:dyDescent="0.25">
      <c r="A450" t="s">
        <v>5965</v>
      </c>
      <c r="B450">
        <v>1</v>
      </c>
      <c r="C450">
        <v>73</v>
      </c>
      <c r="D450">
        <v>73</v>
      </c>
      <c r="E450">
        <v>4</v>
      </c>
      <c r="F450">
        <v>4</v>
      </c>
      <c r="G450">
        <v>73</v>
      </c>
    </row>
    <row r="451" spans="1:7" ht="15" x14ac:dyDescent="0.25">
      <c r="A451" t="s">
        <v>5972</v>
      </c>
      <c r="B451">
        <v>1</v>
      </c>
      <c r="C451">
        <v>1051</v>
      </c>
      <c r="D451">
        <v>1051</v>
      </c>
      <c r="E451">
        <v>61</v>
      </c>
      <c r="F451">
        <v>61</v>
      </c>
      <c r="G451">
        <v>1051</v>
      </c>
    </row>
    <row r="452" spans="1:7" ht="15" x14ac:dyDescent="0.25">
      <c r="A452" t="s">
        <v>5977</v>
      </c>
      <c r="B452">
        <v>1</v>
      </c>
      <c r="C452">
        <v>635</v>
      </c>
      <c r="D452">
        <v>635</v>
      </c>
      <c r="E452">
        <v>105</v>
      </c>
      <c r="F452">
        <v>105</v>
      </c>
      <c r="G452">
        <v>635</v>
      </c>
    </row>
    <row r="453" spans="1:7" ht="15" x14ac:dyDescent="0.25">
      <c r="A453" t="s">
        <v>5984</v>
      </c>
      <c r="B453">
        <v>1</v>
      </c>
      <c r="C453">
        <v>111</v>
      </c>
      <c r="D453">
        <v>111</v>
      </c>
      <c r="E453">
        <v>23</v>
      </c>
      <c r="F453">
        <v>23</v>
      </c>
      <c r="G453">
        <v>111</v>
      </c>
    </row>
    <row r="454" spans="1:7" ht="15" x14ac:dyDescent="0.25">
      <c r="A454" t="s">
        <v>5991</v>
      </c>
      <c r="B454">
        <v>1</v>
      </c>
      <c r="C454">
        <v>348</v>
      </c>
      <c r="D454">
        <v>348</v>
      </c>
      <c r="E454">
        <v>40</v>
      </c>
      <c r="F454">
        <v>40</v>
      </c>
      <c r="G454">
        <v>348</v>
      </c>
    </row>
    <row r="455" spans="1:7" ht="15" x14ac:dyDescent="0.25">
      <c r="A455" t="s">
        <v>6002</v>
      </c>
      <c r="B455">
        <v>1</v>
      </c>
      <c r="C455">
        <v>649</v>
      </c>
      <c r="D455">
        <v>649</v>
      </c>
      <c r="E455">
        <v>48</v>
      </c>
      <c r="F455">
        <v>48</v>
      </c>
      <c r="G455">
        <v>649</v>
      </c>
    </row>
    <row r="456" spans="1:7" ht="15" x14ac:dyDescent="0.25">
      <c r="A456" t="s">
        <v>6007</v>
      </c>
      <c r="B456">
        <v>4</v>
      </c>
      <c r="C456">
        <v>284</v>
      </c>
      <c r="D456">
        <v>1130</v>
      </c>
      <c r="E456">
        <v>99</v>
      </c>
      <c r="F456">
        <v>24.75</v>
      </c>
      <c r="G456">
        <v>291</v>
      </c>
    </row>
    <row r="457" spans="1:7" ht="15" x14ac:dyDescent="0.25">
      <c r="A457" t="s">
        <v>6020</v>
      </c>
      <c r="B457">
        <v>7</v>
      </c>
      <c r="C457">
        <v>32086</v>
      </c>
      <c r="D457">
        <v>221604</v>
      </c>
      <c r="E457">
        <v>8528</v>
      </c>
      <c r="F457">
        <v>1218.2857142857142</v>
      </c>
      <c r="G457">
        <v>32086</v>
      </c>
    </row>
    <row r="458" spans="1:7" ht="15" x14ac:dyDescent="0.25">
      <c r="A458" t="s">
        <v>6028</v>
      </c>
      <c r="B458">
        <v>1</v>
      </c>
      <c r="C458">
        <v>170</v>
      </c>
      <c r="D458">
        <v>170</v>
      </c>
      <c r="E458">
        <v>62</v>
      </c>
      <c r="F458">
        <v>62</v>
      </c>
      <c r="G458">
        <v>170</v>
      </c>
    </row>
    <row r="459" spans="1:7" ht="15" x14ac:dyDescent="0.25">
      <c r="A459" t="s">
        <v>6033</v>
      </c>
      <c r="B459">
        <v>1</v>
      </c>
      <c r="C459">
        <v>284</v>
      </c>
      <c r="D459">
        <v>284</v>
      </c>
      <c r="E459">
        <v>40</v>
      </c>
      <c r="F459">
        <v>40</v>
      </c>
      <c r="G459">
        <v>284</v>
      </c>
    </row>
    <row r="460" spans="1:7" ht="15" x14ac:dyDescent="0.25">
      <c r="A460" t="s">
        <v>6040</v>
      </c>
      <c r="B460">
        <v>1</v>
      </c>
      <c r="C460">
        <v>889</v>
      </c>
      <c r="D460">
        <v>889</v>
      </c>
      <c r="E460">
        <v>54</v>
      </c>
      <c r="F460">
        <v>54</v>
      </c>
      <c r="G460">
        <v>889</v>
      </c>
    </row>
    <row r="461" spans="1:7" ht="15" x14ac:dyDescent="0.25">
      <c r="A461" t="s">
        <v>6053</v>
      </c>
      <c r="B461">
        <v>1</v>
      </c>
      <c r="C461">
        <v>255</v>
      </c>
      <c r="D461">
        <v>255</v>
      </c>
      <c r="E461">
        <v>35</v>
      </c>
      <c r="F461">
        <v>35</v>
      </c>
      <c r="G461">
        <v>255</v>
      </c>
    </row>
    <row r="462" spans="1:7" ht="15" x14ac:dyDescent="0.25">
      <c r="A462" t="s">
        <v>6058</v>
      </c>
      <c r="B462">
        <v>1</v>
      </c>
      <c r="C462">
        <v>1796</v>
      </c>
      <c r="D462">
        <v>1796</v>
      </c>
      <c r="E462">
        <v>190</v>
      </c>
      <c r="F462">
        <v>190</v>
      </c>
      <c r="G462">
        <v>1796</v>
      </c>
    </row>
    <row r="463" spans="1:7" ht="15" x14ac:dyDescent="0.25">
      <c r="A463" t="s">
        <v>6062</v>
      </c>
      <c r="B463">
        <v>2</v>
      </c>
      <c r="C463">
        <v>533</v>
      </c>
      <c r="D463">
        <v>1049</v>
      </c>
      <c r="E463">
        <v>135</v>
      </c>
      <c r="F463">
        <v>67.5</v>
      </c>
      <c r="G463">
        <v>533</v>
      </c>
    </row>
    <row r="464" spans="1:7" ht="15" x14ac:dyDescent="0.25">
      <c r="A464" t="s">
        <v>6069</v>
      </c>
      <c r="B464">
        <v>1</v>
      </c>
      <c r="C464">
        <v>254</v>
      </c>
      <c r="D464">
        <v>254</v>
      </c>
      <c r="E464">
        <v>17</v>
      </c>
      <c r="F464">
        <v>17</v>
      </c>
      <c r="G464">
        <v>254</v>
      </c>
    </row>
    <row r="465" spans="1:7" ht="15" x14ac:dyDescent="0.25">
      <c r="A465" t="s">
        <v>6078</v>
      </c>
      <c r="B465">
        <v>3</v>
      </c>
      <c r="C465">
        <v>211</v>
      </c>
      <c r="D465">
        <v>627</v>
      </c>
      <c r="E465">
        <v>91</v>
      </c>
      <c r="F465">
        <v>30.333333333333332</v>
      </c>
      <c r="G465">
        <v>211</v>
      </c>
    </row>
    <row r="466" spans="1:7" ht="15" x14ac:dyDescent="0.25">
      <c r="A466" t="s">
        <v>6084</v>
      </c>
      <c r="B466">
        <v>1</v>
      </c>
      <c r="C466">
        <v>812</v>
      </c>
      <c r="D466">
        <v>812</v>
      </c>
      <c r="E466">
        <v>23</v>
      </c>
      <c r="F466">
        <v>23</v>
      </c>
      <c r="G466">
        <v>812</v>
      </c>
    </row>
    <row r="467" spans="1:7" ht="15" x14ac:dyDescent="0.25">
      <c r="A467" t="s">
        <v>6095</v>
      </c>
      <c r="B467">
        <v>1</v>
      </c>
      <c r="C467">
        <v>3191</v>
      </c>
      <c r="D467">
        <v>3191</v>
      </c>
      <c r="E467">
        <v>146</v>
      </c>
      <c r="F467">
        <v>146</v>
      </c>
      <c r="G467">
        <v>3191</v>
      </c>
    </row>
    <row r="468" spans="1:7" ht="15" x14ac:dyDescent="0.25">
      <c r="A468" t="s">
        <v>6104</v>
      </c>
      <c r="B468">
        <v>1</v>
      </c>
      <c r="C468">
        <v>14</v>
      </c>
      <c r="D468">
        <v>14</v>
      </c>
      <c r="E468">
        <v>0</v>
      </c>
      <c r="F468">
        <v>0</v>
      </c>
      <c r="G468">
        <v>14</v>
      </c>
    </row>
    <row r="469" spans="1:7" ht="15" x14ac:dyDescent="0.25">
      <c r="A469" t="s">
        <v>6108</v>
      </c>
      <c r="B469">
        <v>1</v>
      </c>
      <c r="C469">
        <v>2721</v>
      </c>
      <c r="D469">
        <v>2721</v>
      </c>
      <c r="E469">
        <v>26</v>
      </c>
      <c r="F469">
        <v>26</v>
      </c>
      <c r="G469">
        <v>2721</v>
      </c>
    </row>
    <row r="470" spans="1:7" ht="15" x14ac:dyDescent="0.25">
      <c r="A470" t="s">
        <v>6112</v>
      </c>
      <c r="B470">
        <v>1</v>
      </c>
      <c r="C470">
        <v>262</v>
      </c>
      <c r="D470">
        <v>262</v>
      </c>
      <c r="E470">
        <v>36</v>
      </c>
      <c r="F470">
        <v>36</v>
      </c>
      <c r="G470">
        <v>262</v>
      </c>
    </row>
    <row r="471" spans="1:7" ht="15" x14ac:dyDescent="0.25">
      <c r="A471" t="s">
        <v>6124</v>
      </c>
      <c r="B471">
        <v>1</v>
      </c>
      <c r="C471">
        <v>1533</v>
      </c>
      <c r="D471">
        <v>1533</v>
      </c>
      <c r="E471">
        <v>234</v>
      </c>
      <c r="F471">
        <v>234</v>
      </c>
      <c r="G471">
        <v>1533</v>
      </c>
    </row>
    <row r="472" spans="1:7" ht="15" x14ac:dyDescent="0.25">
      <c r="A472" t="s">
        <v>6133</v>
      </c>
      <c r="B472">
        <v>1</v>
      </c>
      <c r="C472">
        <v>572</v>
      </c>
      <c r="D472">
        <v>572</v>
      </c>
      <c r="E472">
        <v>51</v>
      </c>
      <c r="F472">
        <v>51</v>
      </c>
      <c r="G472">
        <v>572</v>
      </c>
    </row>
    <row r="473" spans="1:7" ht="15" x14ac:dyDescent="0.25">
      <c r="A473" t="s">
        <v>6140</v>
      </c>
      <c r="B473">
        <v>1</v>
      </c>
      <c r="C473">
        <v>175</v>
      </c>
      <c r="D473">
        <v>175</v>
      </c>
      <c r="E473">
        <v>20</v>
      </c>
      <c r="F473">
        <v>20</v>
      </c>
      <c r="G473">
        <v>175</v>
      </c>
    </row>
    <row r="474" spans="1:7" ht="15" x14ac:dyDescent="0.25">
      <c r="A474" t="s">
        <v>6148</v>
      </c>
      <c r="B474">
        <v>1</v>
      </c>
      <c r="C474">
        <v>547</v>
      </c>
      <c r="D474">
        <v>547</v>
      </c>
      <c r="E474">
        <v>12</v>
      </c>
      <c r="F474">
        <v>12</v>
      </c>
      <c r="G474">
        <v>547</v>
      </c>
    </row>
    <row r="475" spans="1:7" ht="15" x14ac:dyDescent="0.25">
      <c r="A475" t="s">
        <v>6154</v>
      </c>
      <c r="B475">
        <v>1</v>
      </c>
      <c r="C475">
        <v>68</v>
      </c>
      <c r="D475">
        <v>68</v>
      </c>
      <c r="E475">
        <v>12</v>
      </c>
      <c r="F475">
        <v>12</v>
      </c>
      <c r="G475">
        <v>68</v>
      </c>
    </row>
    <row r="476" spans="1:7" ht="15" x14ac:dyDescent="0.25">
      <c r="A476" t="s">
        <v>6161</v>
      </c>
      <c r="B476">
        <v>1</v>
      </c>
      <c r="C476">
        <v>853</v>
      </c>
      <c r="D476">
        <v>853</v>
      </c>
      <c r="E476">
        <v>46</v>
      </c>
      <c r="F476">
        <v>46</v>
      </c>
      <c r="G476">
        <v>853</v>
      </c>
    </row>
    <row r="477" spans="1:7" ht="15" x14ac:dyDescent="0.25">
      <c r="A477" t="s">
        <v>6166</v>
      </c>
      <c r="B477">
        <v>6</v>
      </c>
      <c r="C477">
        <v>236</v>
      </c>
      <c r="D477">
        <v>1340</v>
      </c>
      <c r="E477">
        <v>182</v>
      </c>
      <c r="F477">
        <v>30.333333333333332</v>
      </c>
      <c r="G477">
        <v>236</v>
      </c>
    </row>
    <row r="478" spans="1:7" ht="15" x14ac:dyDescent="0.25">
      <c r="A478" t="s">
        <v>6173</v>
      </c>
      <c r="B478">
        <v>1</v>
      </c>
      <c r="C478">
        <v>1402</v>
      </c>
      <c r="D478">
        <v>1402</v>
      </c>
      <c r="E478">
        <v>79</v>
      </c>
      <c r="F478">
        <v>79</v>
      </c>
      <c r="G478">
        <v>1402</v>
      </c>
    </row>
    <row r="479" spans="1:7" ht="15" x14ac:dyDescent="0.25">
      <c r="A479" t="s">
        <v>6177</v>
      </c>
      <c r="B479">
        <v>1</v>
      </c>
      <c r="C479">
        <v>197</v>
      </c>
      <c r="D479">
        <v>197</v>
      </c>
      <c r="E479">
        <v>32</v>
      </c>
      <c r="F479">
        <v>32</v>
      </c>
      <c r="G479">
        <v>197</v>
      </c>
    </row>
    <row r="480" spans="1:7" ht="15" x14ac:dyDescent="0.25">
      <c r="A480" t="s">
        <v>6188</v>
      </c>
      <c r="B480">
        <v>2</v>
      </c>
      <c r="C480">
        <v>108</v>
      </c>
      <c r="D480">
        <v>216</v>
      </c>
      <c r="E480">
        <v>18</v>
      </c>
      <c r="F480">
        <v>9</v>
      </c>
      <c r="G480">
        <v>108</v>
      </c>
    </row>
    <row r="481" spans="1:7" ht="15" x14ac:dyDescent="0.25">
      <c r="A481" t="s">
        <v>6193</v>
      </c>
      <c r="B481">
        <v>1</v>
      </c>
      <c r="C481">
        <v>1648</v>
      </c>
      <c r="D481">
        <v>1648</v>
      </c>
      <c r="E481">
        <v>54</v>
      </c>
      <c r="F481">
        <v>54</v>
      </c>
      <c r="G481">
        <v>1648</v>
      </c>
    </row>
    <row r="482" spans="1:7" ht="15" x14ac:dyDescent="0.25">
      <c r="A482" t="s">
        <v>6199</v>
      </c>
      <c r="B482">
        <v>1</v>
      </c>
      <c r="C482">
        <v>1042</v>
      </c>
      <c r="D482">
        <v>1042</v>
      </c>
      <c r="E482">
        <v>18</v>
      </c>
      <c r="F482">
        <v>18</v>
      </c>
      <c r="G482">
        <v>1042</v>
      </c>
    </row>
    <row r="483" spans="1:7" ht="15" x14ac:dyDescent="0.25">
      <c r="A483" t="s">
        <v>6203</v>
      </c>
      <c r="B483">
        <v>1</v>
      </c>
      <c r="C483">
        <v>4371</v>
      </c>
      <c r="D483">
        <v>4371</v>
      </c>
      <c r="E483">
        <v>284</v>
      </c>
      <c r="F483">
        <v>284</v>
      </c>
      <c r="G483">
        <v>4371</v>
      </c>
    </row>
    <row r="484" spans="1:7" ht="15" x14ac:dyDescent="0.25">
      <c r="A484" t="s">
        <v>6214</v>
      </c>
      <c r="B484">
        <v>1</v>
      </c>
      <c r="C484">
        <v>697</v>
      </c>
      <c r="D484">
        <v>697</v>
      </c>
      <c r="E484">
        <v>71</v>
      </c>
      <c r="F484">
        <v>71</v>
      </c>
      <c r="G484">
        <v>697</v>
      </c>
    </row>
    <row r="485" spans="1:7" ht="15" x14ac:dyDescent="0.25">
      <c r="A485" t="s">
        <v>6224</v>
      </c>
      <c r="B485">
        <v>4</v>
      </c>
      <c r="C485">
        <v>163</v>
      </c>
      <c r="D485">
        <v>548</v>
      </c>
      <c r="E485">
        <v>101</v>
      </c>
      <c r="F485">
        <v>25.25</v>
      </c>
      <c r="G485">
        <v>163</v>
      </c>
    </row>
    <row r="486" spans="1:7" ht="15" x14ac:dyDescent="0.25">
      <c r="A486" t="s">
        <v>6232</v>
      </c>
      <c r="B486">
        <v>1</v>
      </c>
      <c r="C486">
        <v>464</v>
      </c>
      <c r="D486">
        <v>464</v>
      </c>
      <c r="E486">
        <v>58</v>
      </c>
      <c r="F486">
        <v>58</v>
      </c>
      <c r="G486">
        <v>464</v>
      </c>
    </row>
    <row r="487" spans="1:7" ht="15" x14ac:dyDescent="0.25">
      <c r="A487" t="s">
        <v>6244</v>
      </c>
      <c r="B487">
        <v>1</v>
      </c>
      <c r="C487">
        <v>185</v>
      </c>
      <c r="D487">
        <v>185</v>
      </c>
      <c r="E487">
        <v>24</v>
      </c>
      <c r="F487">
        <v>24</v>
      </c>
      <c r="G487">
        <v>185</v>
      </c>
    </row>
    <row r="488" spans="1:7" ht="15" x14ac:dyDescent="0.25">
      <c r="A488" t="s">
        <v>6260</v>
      </c>
      <c r="B488">
        <v>3</v>
      </c>
      <c r="C488">
        <v>737</v>
      </c>
      <c r="D488">
        <v>2199</v>
      </c>
      <c r="E488">
        <v>107</v>
      </c>
      <c r="F488">
        <v>35.666666666666664</v>
      </c>
      <c r="G488">
        <v>737</v>
      </c>
    </row>
    <row r="489" spans="1:7" ht="15" x14ac:dyDescent="0.25">
      <c r="A489" t="s">
        <v>6266</v>
      </c>
      <c r="B489">
        <v>1</v>
      </c>
      <c r="C489">
        <v>1433</v>
      </c>
      <c r="D489">
        <v>1433</v>
      </c>
      <c r="E489">
        <v>76</v>
      </c>
      <c r="F489">
        <v>76</v>
      </c>
      <c r="G489">
        <v>1433</v>
      </c>
    </row>
    <row r="490" spans="1:7" ht="15" x14ac:dyDescent="0.25">
      <c r="A490" t="s">
        <v>6273</v>
      </c>
      <c r="B490">
        <v>1</v>
      </c>
      <c r="C490">
        <v>3119</v>
      </c>
      <c r="D490">
        <v>3119</v>
      </c>
      <c r="E490">
        <v>511</v>
      </c>
      <c r="F490">
        <v>511</v>
      </c>
      <c r="G490">
        <v>3119</v>
      </c>
    </row>
    <row r="491" spans="1:7" ht="15" x14ac:dyDescent="0.25">
      <c r="A491" t="s">
        <v>6278</v>
      </c>
      <c r="B491">
        <v>1</v>
      </c>
      <c r="C491">
        <v>319</v>
      </c>
      <c r="D491">
        <v>319</v>
      </c>
      <c r="E491">
        <v>13</v>
      </c>
      <c r="F491">
        <v>13</v>
      </c>
      <c r="G491">
        <v>319</v>
      </c>
    </row>
    <row r="492" spans="1:7" ht="15" x14ac:dyDescent="0.25">
      <c r="A492" t="s">
        <v>6284</v>
      </c>
      <c r="B492">
        <v>1</v>
      </c>
      <c r="C492">
        <v>2257</v>
      </c>
      <c r="D492">
        <v>2257</v>
      </c>
      <c r="E492">
        <v>67</v>
      </c>
      <c r="F492">
        <v>67</v>
      </c>
      <c r="G492">
        <v>2257</v>
      </c>
    </row>
    <row r="493" spans="1:7" ht="15" x14ac:dyDescent="0.25">
      <c r="A493" t="s">
        <v>6295</v>
      </c>
      <c r="B493">
        <v>1</v>
      </c>
      <c r="C493">
        <v>60</v>
      </c>
      <c r="D493">
        <v>60</v>
      </c>
      <c r="E493">
        <v>11</v>
      </c>
      <c r="F493">
        <v>11</v>
      </c>
      <c r="G493">
        <v>60</v>
      </c>
    </row>
    <row r="494" spans="1:7" ht="15" x14ac:dyDescent="0.25">
      <c r="A494" t="s">
        <v>6306</v>
      </c>
      <c r="B494">
        <v>1</v>
      </c>
      <c r="C494">
        <v>38</v>
      </c>
      <c r="D494">
        <v>38</v>
      </c>
      <c r="E494">
        <v>7</v>
      </c>
      <c r="F494">
        <v>7</v>
      </c>
      <c r="G494">
        <v>38</v>
      </c>
    </row>
    <row r="495" spans="1:7" ht="15" x14ac:dyDescent="0.25">
      <c r="A495" t="s">
        <v>6312</v>
      </c>
      <c r="B495">
        <v>4</v>
      </c>
      <c r="C495">
        <v>60</v>
      </c>
      <c r="D495">
        <v>244</v>
      </c>
      <c r="E495">
        <v>125</v>
      </c>
      <c r="F495">
        <v>31.25</v>
      </c>
      <c r="G495">
        <v>63</v>
      </c>
    </row>
    <row r="496" spans="1:7" ht="15" x14ac:dyDescent="0.25">
      <c r="A496" t="s">
        <v>6319</v>
      </c>
      <c r="B496">
        <v>1</v>
      </c>
      <c r="C496">
        <v>107</v>
      </c>
      <c r="D496">
        <v>107</v>
      </c>
      <c r="E496">
        <v>19</v>
      </c>
      <c r="F496">
        <v>19</v>
      </c>
      <c r="G496">
        <v>107</v>
      </c>
    </row>
    <row r="497" spans="1:7" ht="15" x14ac:dyDescent="0.25">
      <c r="A497" t="s">
        <v>6327</v>
      </c>
      <c r="B497">
        <v>2</v>
      </c>
      <c r="C497">
        <v>853</v>
      </c>
      <c r="D497">
        <v>1677</v>
      </c>
      <c r="E497">
        <v>29</v>
      </c>
      <c r="F497">
        <v>14.5</v>
      </c>
      <c r="G497">
        <v>853</v>
      </c>
    </row>
    <row r="498" spans="1:7" ht="15" x14ac:dyDescent="0.25">
      <c r="A498" t="s">
        <v>6334</v>
      </c>
      <c r="B498">
        <v>1</v>
      </c>
      <c r="C498">
        <v>1005</v>
      </c>
      <c r="D498">
        <v>1005</v>
      </c>
      <c r="E498">
        <v>107</v>
      </c>
      <c r="F498">
        <v>107</v>
      </c>
      <c r="G498">
        <v>1005</v>
      </c>
    </row>
    <row r="499" spans="1:7" ht="15" x14ac:dyDescent="0.25">
      <c r="A499" t="s">
        <v>6346</v>
      </c>
      <c r="B499">
        <v>1</v>
      </c>
      <c r="C499">
        <v>179</v>
      </c>
      <c r="D499">
        <v>179</v>
      </c>
      <c r="E499">
        <v>6</v>
      </c>
      <c r="F499">
        <v>6</v>
      </c>
      <c r="G499">
        <v>179</v>
      </c>
    </row>
    <row r="500" spans="1:7" ht="15" x14ac:dyDescent="0.25">
      <c r="A500" t="s">
        <v>6356</v>
      </c>
      <c r="B500">
        <v>1</v>
      </c>
      <c r="D500">
        <v>0</v>
      </c>
      <c r="E500">
        <v>1</v>
      </c>
      <c r="F500">
        <v>1</v>
      </c>
    </row>
    <row r="501" spans="1:7" ht="15" x14ac:dyDescent="0.25">
      <c r="A501" t="s">
        <v>6361</v>
      </c>
      <c r="B501">
        <v>1</v>
      </c>
      <c r="C501">
        <v>862</v>
      </c>
      <c r="D501">
        <v>862</v>
      </c>
      <c r="E501">
        <v>22</v>
      </c>
      <c r="F501">
        <v>22</v>
      </c>
      <c r="G501">
        <v>862</v>
      </c>
    </row>
    <row r="502" spans="1:7" ht="15" x14ac:dyDescent="0.25">
      <c r="A502" t="s">
        <v>6369</v>
      </c>
      <c r="B502">
        <v>1</v>
      </c>
      <c r="C502">
        <v>1212</v>
      </c>
      <c r="D502">
        <v>1212</v>
      </c>
      <c r="E502">
        <v>114</v>
      </c>
      <c r="F502">
        <v>114</v>
      </c>
      <c r="G502">
        <v>1212</v>
      </c>
    </row>
    <row r="503" spans="1:7" ht="15" x14ac:dyDescent="0.25">
      <c r="A503" t="s">
        <v>6377</v>
      </c>
      <c r="B503">
        <v>2</v>
      </c>
      <c r="C503">
        <v>1513</v>
      </c>
      <c r="D503">
        <v>3023</v>
      </c>
      <c r="E503">
        <v>497</v>
      </c>
      <c r="F503">
        <v>248.5</v>
      </c>
      <c r="G503">
        <v>1513</v>
      </c>
    </row>
    <row r="504" spans="1:7" ht="15" x14ac:dyDescent="0.25">
      <c r="A504" t="s">
        <v>6384</v>
      </c>
      <c r="B504">
        <v>2</v>
      </c>
      <c r="C504">
        <v>17</v>
      </c>
      <c r="D504">
        <v>34</v>
      </c>
      <c r="E504">
        <v>25</v>
      </c>
      <c r="F504">
        <v>12.5</v>
      </c>
      <c r="G504">
        <v>17</v>
      </c>
    </row>
    <row r="505" spans="1:7" ht="15" x14ac:dyDescent="0.25">
      <c r="A505" t="s">
        <v>6394</v>
      </c>
      <c r="B505">
        <v>1</v>
      </c>
      <c r="C505">
        <v>386</v>
      </c>
      <c r="D505">
        <v>386</v>
      </c>
      <c r="E505">
        <v>2</v>
      </c>
      <c r="F505">
        <v>2</v>
      </c>
      <c r="G505">
        <v>386</v>
      </c>
    </row>
    <row r="506" spans="1:7" ht="15" x14ac:dyDescent="0.25">
      <c r="A506" t="s">
        <v>6398</v>
      </c>
      <c r="B506">
        <v>1</v>
      </c>
      <c r="C506">
        <v>755</v>
      </c>
      <c r="D506">
        <v>755</v>
      </c>
      <c r="E506">
        <v>107</v>
      </c>
      <c r="F506">
        <v>107</v>
      </c>
      <c r="G506">
        <v>755</v>
      </c>
    </row>
    <row r="507" spans="1:7" ht="15" x14ac:dyDescent="0.25">
      <c r="A507" t="s">
        <v>6405</v>
      </c>
      <c r="B507">
        <v>1</v>
      </c>
      <c r="D507">
        <v>0</v>
      </c>
      <c r="E507">
        <v>60</v>
      </c>
      <c r="F507">
        <v>60</v>
      </c>
    </row>
    <row r="508" spans="1:7" ht="15" x14ac:dyDescent="0.25">
      <c r="A508" t="s">
        <v>6418</v>
      </c>
      <c r="B508">
        <v>1</v>
      </c>
      <c r="C508">
        <v>65</v>
      </c>
      <c r="D508">
        <v>65</v>
      </c>
      <c r="E508">
        <v>16</v>
      </c>
      <c r="F508">
        <v>16</v>
      </c>
      <c r="G508">
        <v>65</v>
      </c>
    </row>
    <row r="509" spans="1:7" ht="15" x14ac:dyDescent="0.25">
      <c r="A509" t="s">
        <v>6430</v>
      </c>
      <c r="B509">
        <v>4</v>
      </c>
      <c r="C509">
        <v>556</v>
      </c>
      <c r="D509">
        <v>2188</v>
      </c>
      <c r="E509">
        <v>273</v>
      </c>
      <c r="F509">
        <v>68.25</v>
      </c>
      <c r="G509">
        <v>556</v>
      </c>
    </row>
    <row r="510" spans="1:7" ht="15" x14ac:dyDescent="0.25">
      <c r="A510" t="s">
        <v>6438</v>
      </c>
      <c r="B510">
        <v>1</v>
      </c>
      <c r="C510">
        <v>7613</v>
      </c>
      <c r="D510">
        <v>7613</v>
      </c>
      <c r="E510">
        <v>79</v>
      </c>
      <c r="F510">
        <v>79</v>
      </c>
      <c r="G510">
        <v>7613</v>
      </c>
    </row>
    <row r="511" spans="1:7" ht="15" x14ac:dyDescent="0.25">
      <c r="A511" t="s">
        <v>6443</v>
      </c>
      <c r="B511">
        <v>7</v>
      </c>
      <c r="C511">
        <v>59082</v>
      </c>
      <c r="D511">
        <v>410462</v>
      </c>
      <c r="E511">
        <v>12200</v>
      </c>
      <c r="F511">
        <v>1742.8571428571429</v>
      </c>
      <c r="G511">
        <v>59082</v>
      </c>
    </row>
    <row r="512" spans="1:7" ht="15" x14ac:dyDescent="0.25">
      <c r="A512" t="s">
        <v>6450</v>
      </c>
      <c r="B512">
        <v>1</v>
      </c>
      <c r="C512">
        <v>579</v>
      </c>
      <c r="D512">
        <v>579</v>
      </c>
      <c r="E512">
        <v>170</v>
      </c>
      <c r="F512">
        <v>170</v>
      </c>
      <c r="G512">
        <v>579</v>
      </c>
    </row>
    <row r="513" spans="1:7" ht="15" x14ac:dyDescent="0.25">
      <c r="A513" t="s">
        <v>6456</v>
      </c>
      <c r="B513">
        <v>1</v>
      </c>
      <c r="C513">
        <v>335</v>
      </c>
      <c r="D513">
        <v>335</v>
      </c>
      <c r="E513">
        <v>67</v>
      </c>
      <c r="F513">
        <v>67</v>
      </c>
      <c r="G513">
        <v>335</v>
      </c>
    </row>
    <row r="514" spans="1:7" ht="15" x14ac:dyDescent="0.25">
      <c r="A514" t="s">
        <v>6467</v>
      </c>
      <c r="B514">
        <v>1</v>
      </c>
      <c r="C514">
        <v>101</v>
      </c>
      <c r="D514">
        <v>101</v>
      </c>
      <c r="E514">
        <v>7</v>
      </c>
      <c r="F514">
        <v>7</v>
      </c>
      <c r="G514">
        <v>101</v>
      </c>
    </row>
    <row r="515" spans="1:7" ht="15" x14ac:dyDescent="0.25">
      <c r="A515" t="s">
        <v>6479</v>
      </c>
      <c r="B515">
        <v>9</v>
      </c>
      <c r="C515">
        <v>82535</v>
      </c>
      <c r="D515">
        <v>665923</v>
      </c>
      <c r="E515">
        <v>26219</v>
      </c>
      <c r="F515">
        <v>2913.2222222222222</v>
      </c>
      <c r="G515">
        <v>82535</v>
      </c>
    </row>
    <row r="516" spans="1:7" ht="15" x14ac:dyDescent="0.25">
      <c r="A516" t="s">
        <v>6494</v>
      </c>
      <c r="B516">
        <v>1</v>
      </c>
      <c r="C516">
        <v>245</v>
      </c>
      <c r="D516">
        <v>245</v>
      </c>
      <c r="E516">
        <v>39</v>
      </c>
      <c r="F516">
        <v>39</v>
      </c>
      <c r="G516">
        <v>245</v>
      </c>
    </row>
    <row r="517" spans="1:7" ht="15" x14ac:dyDescent="0.25">
      <c r="A517" t="s">
        <v>6501</v>
      </c>
      <c r="B517">
        <v>1</v>
      </c>
      <c r="C517">
        <v>16072</v>
      </c>
      <c r="D517">
        <v>16072</v>
      </c>
      <c r="E517">
        <v>1715</v>
      </c>
      <c r="F517">
        <v>1715</v>
      </c>
      <c r="G517">
        <v>16072</v>
      </c>
    </row>
    <row r="518" spans="1:7" ht="15" x14ac:dyDescent="0.25">
      <c r="A518" t="s">
        <v>6510</v>
      </c>
      <c r="B518">
        <v>2</v>
      </c>
      <c r="C518">
        <v>6565</v>
      </c>
      <c r="D518">
        <v>13061</v>
      </c>
      <c r="E518">
        <v>164</v>
      </c>
      <c r="F518">
        <v>82</v>
      </c>
      <c r="G518">
        <v>6565</v>
      </c>
    </row>
    <row r="519" spans="1:7" ht="15" x14ac:dyDescent="0.25">
      <c r="A519" t="s">
        <v>6513</v>
      </c>
      <c r="B519">
        <v>2</v>
      </c>
      <c r="C519">
        <v>188</v>
      </c>
      <c r="D519">
        <v>353</v>
      </c>
      <c r="E519">
        <v>39</v>
      </c>
      <c r="F519">
        <v>19.5</v>
      </c>
      <c r="G519">
        <v>188</v>
      </c>
    </row>
    <row r="520" spans="1:7" ht="15" x14ac:dyDescent="0.25">
      <c r="A520" t="s">
        <v>6516</v>
      </c>
      <c r="B520">
        <v>1</v>
      </c>
      <c r="C520">
        <v>759</v>
      </c>
      <c r="D520">
        <v>759</v>
      </c>
      <c r="E520">
        <v>87</v>
      </c>
      <c r="F520">
        <v>87</v>
      </c>
      <c r="G520">
        <v>759</v>
      </c>
    </row>
    <row r="521" spans="1:7" ht="15" x14ac:dyDescent="0.25">
      <c r="A521" t="s">
        <v>6519</v>
      </c>
      <c r="B521">
        <v>1</v>
      </c>
      <c r="C521">
        <v>59</v>
      </c>
      <c r="D521">
        <v>59</v>
      </c>
      <c r="E521">
        <v>16</v>
      </c>
      <c r="F521">
        <v>16</v>
      </c>
      <c r="G521">
        <v>59</v>
      </c>
    </row>
    <row r="522" spans="1:7" ht="15" x14ac:dyDescent="0.25">
      <c r="A522" t="s">
        <v>6529</v>
      </c>
      <c r="B522">
        <v>2</v>
      </c>
      <c r="C522">
        <v>2236</v>
      </c>
      <c r="D522">
        <v>4469</v>
      </c>
      <c r="E522">
        <v>131</v>
      </c>
      <c r="F522">
        <v>65.5</v>
      </c>
      <c r="G522">
        <v>2236</v>
      </c>
    </row>
    <row r="523" spans="1:7" ht="15" x14ac:dyDescent="0.25">
      <c r="A523" t="s">
        <v>6536</v>
      </c>
      <c r="B523">
        <v>1</v>
      </c>
      <c r="C523">
        <v>3088</v>
      </c>
      <c r="D523">
        <v>3088</v>
      </c>
      <c r="E523">
        <v>193</v>
      </c>
      <c r="F523">
        <v>193</v>
      </c>
      <c r="G523">
        <v>3088</v>
      </c>
    </row>
    <row r="524" spans="1:7" ht="15" x14ac:dyDescent="0.25">
      <c r="A524" t="s">
        <v>6539</v>
      </c>
      <c r="B524">
        <v>1</v>
      </c>
      <c r="C524">
        <v>211</v>
      </c>
      <c r="D524">
        <v>211</v>
      </c>
      <c r="E524">
        <v>63</v>
      </c>
      <c r="F524">
        <v>63</v>
      </c>
      <c r="G524">
        <v>211</v>
      </c>
    </row>
    <row r="525" spans="1:7" ht="15" x14ac:dyDescent="0.25">
      <c r="A525" t="s">
        <v>6544</v>
      </c>
      <c r="B525">
        <v>1</v>
      </c>
      <c r="C525">
        <v>1361</v>
      </c>
      <c r="D525">
        <v>1361</v>
      </c>
      <c r="E525">
        <v>17</v>
      </c>
      <c r="F525">
        <v>17</v>
      </c>
      <c r="G525">
        <v>1361</v>
      </c>
    </row>
    <row r="526" spans="1:7" ht="15" x14ac:dyDescent="0.25">
      <c r="A526" t="s">
        <v>6553</v>
      </c>
      <c r="B526">
        <v>1</v>
      </c>
      <c r="C526">
        <v>318</v>
      </c>
      <c r="D526">
        <v>318</v>
      </c>
      <c r="E526">
        <v>23</v>
      </c>
      <c r="F526">
        <v>23</v>
      </c>
      <c r="G526">
        <v>318</v>
      </c>
    </row>
    <row r="527" spans="1:7" ht="15" x14ac:dyDescent="0.25">
      <c r="A527" t="s">
        <v>6557</v>
      </c>
      <c r="B527">
        <v>1</v>
      </c>
      <c r="C527">
        <v>1040</v>
      </c>
      <c r="D527">
        <v>1040</v>
      </c>
      <c r="E527">
        <v>0</v>
      </c>
      <c r="F527">
        <v>0</v>
      </c>
      <c r="G527">
        <v>1040</v>
      </c>
    </row>
    <row r="528" spans="1:7" ht="15" x14ac:dyDescent="0.25">
      <c r="A528" t="s">
        <v>6562</v>
      </c>
      <c r="B528">
        <v>1</v>
      </c>
      <c r="C528">
        <v>79</v>
      </c>
      <c r="D528">
        <v>79</v>
      </c>
      <c r="E528">
        <v>22</v>
      </c>
      <c r="F528">
        <v>22</v>
      </c>
      <c r="G528">
        <v>79</v>
      </c>
    </row>
    <row r="529" spans="1:7" ht="15" x14ac:dyDescent="0.25">
      <c r="A529" t="s">
        <v>6570</v>
      </c>
      <c r="B529">
        <v>1</v>
      </c>
      <c r="C529">
        <v>11645</v>
      </c>
      <c r="D529">
        <v>11645</v>
      </c>
      <c r="E529">
        <v>408</v>
      </c>
      <c r="F529">
        <v>408</v>
      </c>
      <c r="G529">
        <v>11645</v>
      </c>
    </row>
    <row r="530" spans="1:7" ht="15" x14ac:dyDescent="0.25">
      <c r="A530" t="s">
        <v>6573</v>
      </c>
      <c r="B530">
        <v>1</v>
      </c>
      <c r="C530">
        <v>250</v>
      </c>
      <c r="D530">
        <v>250</v>
      </c>
      <c r="E530">
        <v>30</v>
      </c>
      <c r="F530">
        <v>30</v>
      </c>
      <c r="G530">
        <v>250</v>
      </c>
    </row>
    <row r="531" spans="1:7" ht="15" x14ac:dyDescent="0.25">
      <c r="A531" t="s">
        <v>6582</v>
      </c>
      <c r="B531">
        <v>1</v>
      </c>
      <c r="C531">
        <v>468</v>
      </c>
      <c r="D531">
        <v>468</v>
      </c>
      <c r="E531">
        <v>101</v>
      </c>
      <c r="F531">
        <v>101</v>
      </c>
      <c r="G531">
        <v>468</v>
      </c>
    </row>
    <row r="532" spans="1:7" ht="15" x14ac:dyDescent="0.25">
      <c r="A532" t="s">
        <v>6587</v>
      </c>
      <c r="B532">
        <v>1</v>
      </c>
      <c r="C532">
        <v>48325</v>
      </c>
      <c r="D532">
        <v>48325</v>
      </c>
      <c r="E532">
        <v>51</v>
      </c>
      <c r="F532">
        <v>51</v>
      </c>
      <c r="G532">
        <v>48325</v>
      </c>
    </row>
    <row r="533" spans="1:7" ht="15" x14ac:dyDescent="0.25">
      <c r="A533" t="s">
        <v>6591</v>
      </c>
      <c r="B533">
        <v>7</v>
      </c>
      <c r="C533">
        <v>678</v>
      </c>
      <c r="D533">
        <v>4693</v>
      </c>
      <c r="E533">
        <v>416</v>
      </c>
      <c r="F533">
        <v>59.428571428571431</v>
      </c>
      <c r="G533">
        <v>678</v>
      </c>
    </row>
    <row r="534" spans="1:7" ht="15" x14ac:dyDescent="0.25">
      <c r="A534" t="s">
        <v>6599</v>
      </c>
      <c r="B534">
        <v>1</v>
      </c>
      <c r="C534">
        <v>228</v>
      </c>
      <c r="D534">
        <v>228</v>
      </c>
      <c r="E534">
        <v>19</v>
      </c>
      <c r="F534">
        <v>19</v>
      </c>
      <c r="G534">
        <v>228</v>
      </c>
    </row>
    <row r="535" spans="1:7" ht="15" x14ac:dyDescent="0.25">
      <c r="A535" t="s">
        <v>6608</v>
      </c>
      <c r="B535">
        <v>1</v>
      </c>
      <c r="C535">
        <v>301</v>
      </c>
      <c r="D535">
        <v>301</v>
      </c>
      <c r="E535">
        <v>16</v>
      </c>
      <c r="F535">
        <v>16</v>
      </c>
      <c r="G535">
        <v>301</v>
      </c>
    </row>
    <row r="536" spans="1:7" ht="15" x14ac:dyDescent="0.25">
      <c r="A536" t="s">
        <v>6614</v>
      </c>
      <c r="B536">
        <v>1</v>
      </c>
      <c r="C536">
        <v>116</v>
      </c>
      <c r="D536">
        <v>116</v>
      </c>
      <c r="E536">
        <v>11</v>
      </c>
      <c r="F536">
        <v>11</v>
      </c>
      <c r="G536">
        <v>116</v>
      </c>
    </row>
    <row r="537" spans="1:7" ht="15" x14ac:dyDescent="0.25">
      <c r="A537" t="s">
        <v>6621</v>
      </c>
      <c r="B537">
        <v>1</v>
      </c>
      <c r="C537">
        <v>20</v>
      </c>
      <c r="D537">
        <v>20</v>
      </c>
      <c r="E537">
        <v>16</v>
      </c>
      <c r="F537">
        <v>16</v>
      </c>
      <c r="G537">
        <v>20</v>
      </c>
    </row>
    <row r="538" spans="1:7" ht="15" x14ac:dyDescent="0.25">
      <c r="A538" t="s">
        <v>6629</v>
      </c>
      <c r="B538">
        <v>1</v>
      </c>
      <c r="C538">
        <v>195</v>
      </c>
      <c r="D538">
        <v>195</v>
      </c>
      <c r="E538">
        <v>23</v>
      </c>
      <c r="F538">
        <v>23</v>
      </c>
      <c r="G538">
        <v>195</v>
      </c>
    </row>
    <row r="539" spans="1:7" ht="15" x14ac:dyDescent="0.25">
      <c r="A539" t="s">
        <v>6635</v>
      </c>
      <c r="B539">
        <v>1</v>
      </c>
      <c r="C539">
        <v>14</v>
      </c>
      <c r="D539">
        <v>14</v>
      </c>
      <c r="E539">
        <v>0</v>
      </c>
      <c r="F539">
        <v>0</v>
      </c>
      <c r="G539">
        <v>14</v>
      </c>
    </row>
    <row r="540" spans="1:7" ht="15" x14ac:dyDescent="0.25">
      <c r="A540" t="s">
        <v>6641</v>
      </c>
      <c r="B540">
        <v>1</v>
      </c>
      <c r="C540">
        <v>5041</v>
      </c>
      <c r="D540">
        <v>5041</v>
      </c>
      <c r="E540">
        <v>28</v>
      </c>
      <c r="F540">
        <v>28</v>
      </c>
      <c r="G540">
        <v>5041</v>
      </c>
    </row>
    <row r="541" spans="1:7" ht="15" x14ac:dyDescent="0.25">
      <c r="A541" t="s">
        <v>6647</v>
      </c>
      <c r="B541">
        <v>1</v>
      </c>
      <c r="C541">
        <v>66</v>
      </c>
      <c r="D541">
        <v>66</v>
      </c>
      <c r="E541">
        <v>46</v>
      </c>
      <c r="F541">
        <v>46</v>
      </c>
      <c r="G541">
        <v>66</v>
      </c>
    </row>
    <row r="542" spans="1:7" ht="15" x14ac:dyDescent="0.25">
      <c r="A542" t="s">
        <v>6652</v>
      </c>
      <c r="B542">
        <v>1</v>
      </c>
      <c r="C542">
        <v>2817</v>
      </c>
      <c r="D542">
        <v>2817</v>
      </c>
      <c r="E542">
        <v>22</v>
      </c>
      <c r="F542">
        <v>22</v>
      </c>
      <c r="G542">
        <v>2817</v>
      </c>
    </row>
    <row r="543" spans="1:7" ht="15" x14ac:dyDescent="0.25">
      <c r="A543" t="s">
        <v>6658</v>
      </c>
      <c r="B543">
        <v>1</v>
      </c>
      <c r="C543">
        <v>236</v>
      </c>
      <c r="D543">
        <v>236</v>
      </c>
      <c r="E543">
        <v>42</v>
      </c>
      <c r="F543">
        <v>42</v>
      </c>
      <c r="G543">
        <v>236</v>
      </c>
    </row>
    <row r="544" spans="1:7" ht="15" x14ac:dyDescent="0.25">
      <c r="A544" t="s">
        <v>6666</v>
      </c>
      <c r="B544">
        <v>2</v>
      </c>
      <c r="C544">
        <v>888</v>
      </c>
      <c r="D544">
        <v>1776</v>
      </c>
      <c r="E544">
        <v>32</v>
      </c>
      <c r="F544">
        <v>16</v>
      </c>
      <c r="G544">
        <v>888</v>
      </c>
    </row>
    <row r="545" spans="1:7" ht="15" x14ac:dyDescent="0.25">
      <c r="A545" t="s">
        <v>6673</v>
      </c>
      <c r="B545">
        <v>1</v>
      </c>
      <c r="C545">
        <v>64</v>
      </c>
      <c r="D545">
        <v>64</v>
      </c>
      <c r="E545">
        <v>5</v>
      </c>
      <c r="F545">
        <v>5</v>
      </c>
      <c r="G545">
        <v>64</v>
      </c>
    </row>
    <row r="546" spans="1:7" ht="15" x14ac:dyDescent="0.25">
      <c r="A546" t="s">
        <v>6681</v>
      </c>
      <c r="B546">
        <v>1</v>
      </c>
      <c r="C546">
        <v>300</v>
      </c>
      <c r="D546">
        <v>300</v>
      </c>
      <c r="E546">
        <v>20</v>
      </c>
      <c r="F546">
        <v>20</v>
      </c>
      <c r="G546">
        <v>300</v>
      </c>
    </row>
    <row r="547" spans="1:7" ht="15" x14ac:dyDescent="0.25">
      <c r="A547" t="s">
        <v>6685</v>
      </c>
      <c r="B547">
        <v>1</v>
      </c>
      <c r="C547">
        <v>85</v>
      </c>
      <c r="D547">
        <v>85</v>
      </c>
      <c r="E547">
        <v>4</v>
      </c>
      <c r="F547">
        <v>4</v>
      </c>
      <c r="G547">
        <v>85</v>
      </c>
    </row>
    <row r="548" spans="1:7" ht="15" x14ac:dyDescent="0.25">
      <c r="A548" t="s">
        <v>6688</v>
      </c>
      <c r="B548">
        <v>1</v>
      </c>
      <c r="C548">
        <v>321</v>
      </c>
      <c r="D548">
        <v>321</v>
      </c>
      <c r="E548">
        <v>28</v>
      </c>
      <c r="F548">
        <v>28</v>
      </c>
      <c r="G548">
        <v>321</v>
      </c>
    </row>
    <row r="549" spans="1:7" ht="15" x14ac:dyDescent="0.25">
      <c r="A549" t="s">
        <v>6701</v>
      </c>
      <c r="B549">
        <v>1</v>
      </c>
      <c r="C549">
        <v>153</v>
      </c>
      <c r="D549">
        <v>153</v>
      </c>
      <c r="E549">
        <v>49</v>
      </c>
      <c r="F549">
        <v>49</v>
      </c>
      <c r="G549">
        <v>153</v>
      </c>
    </row>
    <row r="550" spans="1:7" ht="15" x14ac:dyDescent="0.25">
      <c r="A550" t="s">
        <v>6707</v>
      </c>
      <c r="B550">
        <v>1</v>
      </c>
      <c r="C550">
        <v>261</v>
      </c>
      <c r="D550">
        <v>261</v>
      </c>
      <c r="E550">
        <v>39</v>
      </c>
      <c r="F550">
        <v>39</v>
      </c>
      <c r="G550">
        <v>261</v>
      </c>
    </row>
    <row r="551" spans="1:7" ht="15" x14ac:dyDescent="0.25">
      <c r="A551" t="s">
        <v>6713</v>
      </c>
      <c r="B551">
        <v>2</v>
      </c>
      <c r="C551">
        <v>757</v>
      </c>
      <c r="D551">
        <v>1494</v>
      </c>
      <c r="E551">
        <v>139</v>
      </c>
      <c r="F551">
        <v>69.5</v>
      </c>
      <c r="G551">
        <v>757</v>
      </c>
    </row>
    <row r="552" spans="1:7" ht="15" x14ac:dyDescent="0.25">
      <c r="A552" t="s">
        <v>6721</v>
      </c>
      <c r="B552">
        <v>4</v>
      </c>
      <c r="C552">
        <v>114</v>
      </c>
      <c r="D552">
        <v>401</v>
      </c>
      <c r="E552">
        <v>130</v>
      </c>
      <c r="F552">
        <v>32.5</v>
      </c>
      <c r="G552">
        <v>114</v>
      </c>
    </row>
    <row r="553" spans="1:7" ht="15" x14ac:dyDescent="0.25">
      <c r="A553" t="s">
        <v>6726</v>
      </c>
      <c r="B553">
        <v>1</v>
      </c>
      <c r="C553">
        <v>320</v>
      </c>
      <c r="D553">
        <v>320</v>
      </c>
      <c r="E553">
        <v>58</v>
      </c>
      <c r="F553">
        <v>58</v>
      </c>
      <c r="G553">
        <v>320</v>
      </c>
    </row>
    <row r="554" spans="1:7" ht="15" x14ac:dyDescent="0.25">
      <c r="A554" t="s">
        <v>6735</v>
      </c>
      <c r="B554">
        <v>1</v>
      </c>
      <c r="C554">
        <v>304</v>
      </c>
      <c r="D554">
        <v>304</v>
      </c>
      <c r="E554">
        <v>31</v>
      </c>
      <c r="F554">
        <v>31</v>
      </c>
      <c r="G554">
        <v>304</v>
      </c>
    </row>
    <row r="555" spans="1:7" ht="15" x14ac:dyDescent="0.25">
      <c r="A555" t="s">
        <v>6742</v>
      </c>
      <c r="B555">
        <v>1</v>
      </c>
      <c r="C555">
        <v>525</v>
      </c>
      <c r="D555">
        <v>525</v>
      </c>
      <c r="E555">
        <v>51</v>
      </c>
      <c r="F555">
        <v>51</v>
      </c>
      <c r="G555">
        <v>525</v>
      </c>
    </row>
    <row r="556" spans="1:7" ht="15" x14ac:dyDescent="0.25">
      <c r="A556" t="s">
        <v>6749</v>
      </c>
      <c r="B556">
        <v>1</v>
      </c>
      <c r="C556">
        <v>137</v>
      </c>
      <c r="D556">
        <v>137</v>
      </c>
      <c r="E556">
        <v>14</v>
      </c>
      <c r="F556">
        <v>14</v>
      </c>
      <c r="G556">
        <v>137</v>
      </c>
    </row>
    <row r="557" spans="1:7" ht="15" x14ac:dyDescent="0.25">
      <c r="A557" t="s">
        <v>6757</v>
      </c>
      <c r="B557">
        <v>1</v>
      </c>
      <c r="C557">
        <v>4535</v>
      </c>
      <c r="D557">
        <v>4535</v>
      </c>
      <c r="E557">
        <v>52</v>
      </c>
      <c r="F557">
        <v>52</v>
      </c>
      <c r="G557">
        <v>4535</v>
      </c>
    </row>
    <row r="558" spans="1:7" ht="15" x14ac:dyDescent="0.25">
      <c r="A558" t="s">
        <v>6762</v>
      </c>
      <c r="B558">
        <v>1</v>
      </c>
      <c r="C558">
        <v>42</v>
      </c>
      <c r="D558">
        <v>42</v>
      </c>
      <c r="E558">
        <v>31</v>
      </c>
      <c r="F558">
        <v>31</v>
      </c>
      <c r="G558">
        <v>42</v>
      </c>
    </row>
    <row r="559" spans="1:7" ht="15" x14ac:dyDescent="0.25">
      <c r="A559" t="s">
        <v>6780</v>
      </c>
      <c r="B559">
        <v>1</v>
      </c>
      <c r="C559">
        <v>10</v>
      </c>
      <c r="D559">
        <v>10</v>
      </c>
      <c r="E559">
        <v>0</v>
      </c>
      <c r="F559">
        <v>0</v>
      </c>
      <c r="G559">
        <v>10</v>
      </c>
    </row>
    <row r="560" spans="1:7" ht="15" x14ac:dyDescent="0.25">
      <c r="A560" t="s">
        <v>6787</v>
      </c>
      <c r="B560">
        <v>3</v>
      </c>
      <c r="C560">
        <v>34090</v>
      </c>
      <c r="D560">
        <v>102230</v>
      </c>
      <c r="E560">
        <v>184</v>
      </c>
      <c r="F560">
        <v>61.333333333333336</v>
      </c>
      <c r="G560">
        <v>34090</v>
      </c>
    </row>
    <row r="561" spans="1:7" ht="15" x14ac:dyDescent="0.25">
      <c r="A561" t="s">
        <v>6798</v>
      </c>
      <c r="B561">
        <v>1</v>
      </c>
      <c r="C561">
        <v>540</v>
      </c>
      <c r="D561">
        <v>540</v>
      </c>
      <c r="E561">
        <v>36</v>
      </c>
      <c r="F561">
        <v>36</v>
      </c>
      <c r="G561">
        <v>540</v>
      </c>
    </row>
    <row r="562" spans="1:7" ht="15" x14ac:dyDescent="0.25">
      <c r="A562" t="s">
        <v>6813</v>
      </c>
      <c r="B562">
        <v>1</v>
      </c>
      <c r="C562">
        <v>1338</v>
      </c>
      <c r="D562">
        <v>1338</v>
      </c>
      <c r="E562">
        <v>83</v>
      </c>
      <c r="F562">
        <v>83</v>
      </c>
      <c r="G562">
        <v>1338</v>
      </c>
    </row>
    <row r="563" spans="1:7" ht="15" x14ac:dyDescent="0.25">
      <c r="A563" t="s">
        <v>6819</v>
      </c>
      <c r="B563">
        <v>5</v>
      </c>
      <c r="C563">
        <v>44983</v>
      </c>
      <c r="D563">
        <v>217748</v>
      </c>
      <c r="E563">
        <v>6848</v>
      </c>
      <c r="F563">
        <v>1369.6</v>
      </c>
      <c r="G563">
        <v>44983</v>
      </c>
    </row>
    <row r="564" spans="1:7" ht="15" x14ac:dyDescent="0.25">
      <c r="A564" t="s">
        <v>6826</v>
      </c>
      <c r="B564">
        <v>3</v>
      </c>
      <c r="C564">
        <v>26075</v>
      </c>
      <c r="D564">
        <v>75526</v>
      </c>
      <c r="E564">
        <v>890</v>
      </c>
      <c r="F564">
        <v>296.66666666666669</v>
      </c>
      <c r="G564">
        <v>26075</v>
      </c>
    </row>
    <row r="565" spans="1:7" ht="15" x14ac:dyDescent="0.25">
      <c r="A565" t="s">
        <v>6831</v>
      </c>
      <c r="B565">
        <v>2</v>
      </c>
      <c r="C565">
        <v>68</v>
      </c>
      <c r="D565">
        <v>118</v>
      </c>
      <c r="E565">
        <v>43</v>
      </c>
      <c r="F565">
        <v>21.5</v>
      </c>
      <c r="G565">
        <v>68</v>
      </c>
    </row>
    <row r="566" spans="1:7" ht="15" x14ac:dyDescent="0.25">
      <c r="A566" t="s">
        <v>6840</v>
      </c>
      <c r="B566">
        <v>1</v>
      </c>
      <c r="C566">
        <v>233</v>
      </c>
      <c r="D566">
        <v>233</v>
      </c>
      <c r="E566">
        <v>43</v>
      </c>
      <c r="F566">
        <v>43</v>
      </c>
      <c r="G566">
        <v>233</v>
      </c>
    </row>
    <row r="567" spans="1:7" ht="15" x14ac:dyDescent="0.25">
      <c r="A567" t="s">
        <v>6847</v>
      </c>
      <c r="B567">
        <v>15</v>
      </c>
      <c r="C567">
        <v>148</v>
      </c>
      <c r="D567">
        <v>1874</v>
      </c>
      <c r="E567">
        <v>650</v>
      </c>
      <c r="F567">
        <v>43.333333333333336</v>
      </c>
      <c r="G567">
        <v>152</v>
      </c>
    </row>
    <row r="568" spans="1:7" ht="15" x14ac:dyDescent="0.25">
      <c r="A568" t="s">
        <v>6853</v>
      </c>
      <c r="B568">
        <v>1</v>
      </c>
      <c r="C568">
        <v>210</v>
      </c>
      <c r="D568">
        <v>210</v>
      </c>
      <c r="E568">
        <v>17</v>
      </c>
      <c r="F568">
        <v>17</v>
      </c>
      <c r="G568">
        <v>210</v>
      </c>
    </row>
    <row r="569" spans="1:7" ht="15" x14ac:dyDescent="0.25">
      <c r="A569" t="s">
        <v>6861</v>
      </c>
      <c r="B569">
        <v>1</v>
      </c>
      <c r="C569">
        <v>84</v>
      </c>
      <c r="D569">
        <v>84</v>
      </c>
      <c r="E569">
        <v>10</v>
      </c>
      <c r="F569">
        <v>10</v>
      </c>
      <c r="G569">
        <v>84</v>
      </c>
    </row>
    <row r="570" spans="1:7" ht="15" x14ac:dyDescent="0.25">
      <c r="A570" t="s">
        <v>6866</v>
      </c>
      <c r="B570">
        <v>1</v>
      </c>
      <c r="C570">
        <v>94</v>
      </c>
      <c r="D570">
        <v>94</v>
      </c>
      <c r="E570">
        <v>10</v>
      </c>
      <c r="F570">
        <v>10</v>
      </c>
      <c r="G570">
        <v>94</v>
      </c>
    </row>
    <row r="571" spans="1:7" ht="15" x14ac:dyDescent="0.25">
      <c r="A571" t="s">
        <v>6874</v>
      </c>
      <c r="B571">
        <v>2</v>
      </c>
      <c r="C571">
        <v>210</v>
      </c>
      <c r="D571">
        <v>210</v>
      </c>
      <c r="E571">
        <v>13</v>
      </c>
      <c r="F571">
        <v>6.5</v>
      </c>
      <c r="G571">
        <v>210</v>
      </c>
    </row>
    <row r="572" spans="1:7" ht="15" x14ac:dyDescent="0.25">
      <c r="A572" t="s">
        <v>6879</v>
      </c>
      <c r="B572">
        <v>1</v>
      </c>
      <c r="C572">
        <v>16898</v>
      </c>
      <c r="D572">
        <v>16898</v>
      </c>
      <c r="E572">
        <v>335</v>
      </c>
      <c r="F572">
        <v>335</v>
      </c>
      <c r="G572">
        <v>16898</v>
      </c>
    </row>
    <row r="573" spans="1:7" ht="15" x14ac:dyDescent="0.25">
      <c r="A573" t="s">
        <v>6884</v>
      </c>
      <c r="B573">
        <v>1</v>
      </c>
      <c r="C573">
        <v>635</v>
      </c>
      <c r="D573">
        <v>635</v>
      </c>
      <c r="E573">
        <v>10</v>
      </c>
      <c r="F573">
        <v>10</v>
      </c>
      <c r="G573">
        <v>635</v>
      </c>
    </row>
    <row r="574" spans="1:7" ht="15" x14ac:dyDescent="0.25">
      <c r="A574" t="s">
        <v>6891</v>
      </c>
      <c r="B574">
        <v>2</v>
      </c>
      <c r="C574">
        <v>231</v>
      </c>
      <c r="D574">
        <v>453</v>
      </c>
      <c r="E574">
        <v>31</v>
      </c>
      <c r="F574">
        <v>15.5</v>
      </c>
      <c r="G574">
        <v>231</v>
      </c>
    </row>
    <row r="575" spans="1:7" ht="15" x14ac:dyDescent="0.25">
      <c r="A575" t="s">
        <v>6899</v>
      </c>
      <c r="B575">
        <v>14</v>
      </c>
      <c r="C575">
        <v>36669</v>
      </c>
      <c r="D575">
        <v>500372</v>
      </c>
      <c r="E575">
        <v>9669</v>
      </c>
      <c r="F575">
        <v>690.64285714285711</v>
      </c>
      <c r="G575">
        <v>36679</v>
      </c>
    </row>
    <row r="576" spans="1:7" ht="15" x14ac:dyDescent="0.25">
      <c r="A576" t="s">
        <v>6901</v>
      </c>
      <c r="B576">
        <v>1</v>
      </c>
      <c r="C576">
        <v>125</v>
      </c>
      <c r="D576">
        <v>125</v>
      </c>
      <c r="E576">
        <v>9</v>
      </c>
      <c r="F576">
        <v>9</v>
      </c>
      <c r="G576">
        <v>125</v>
      </c>
    </row>
    <row r="577" spans="1:7" ht="15" x14ac:dyDescent="0.25">
      <c r="A577" t="s">
        <v>6907</v>
      </c>
      <c r="B577">
        <v>1</v>
      </c>
      <c r="C577">
        <v>1691</v>
      </c>
      <c r="D577">
        <v>1691</v>
      </c>
      <c r="E577">
        <v>138</v>
      </c>
      <c r="F577">
        <v>138</v>
      </c>
      <c r="G577">
        <v>1691</v>
      </c>
    </row>
    <row r="578" spans="1:7" ht="15" x14ac:dyDescent="0.25">
      <c r="A578" t="s">
        <v>6912</v>
      </c>
      <c r="B578">
        <v>1</v>
      </c>
      <c r="C578">
        <v>357</v>
      </c>
      <c r="D578">
        <v>357</v>
      </c>
      <c r="E578">
        <v>40</v>
      </c>
      <c r="F578">
        <v>40</v>
      </c>
      <c r="G578">
        <v>357</v>
      </c>
    </row>
    <row r="579" spans="1:7" ht="15" x14ac:dyDescent="0.25">
      <c r="A579" t="s">
        <v>6918</v>
      </c>
      <c r="B579">
        <v>1</v>
      </c>
      <c r="C579">
        <v>23</v>
      </c>
      <c r="D579">
        <v>23</v>
      </c>
      <c r="E579">
        <v>3</v>
      </c>
      <c r="F579">
        <v>3</v>
      </c>
      <c r="G579">
        <v>23</v>
      </c>
    </row>
    <row r="580" spans="1:7" ht="15" x14ac:dyDescent="0.25">
      <c r="A580" t="s">
        <v>6931</v>
      </c>
      <c r="B580">
        <v>1</v>
      </c>
      <c r="D580">
        <v>0</v>
      </c>
      <c r="E580">
        <v>87</v>
      </c>
      <c r="F580">
        <v>87</v>
      </c>
    </row>
    <row r="581" spans="1:7" ht="15" x14ac:dyDescent="0.25">
      <c r="A581" t="s">
        <v>6936</v>
      </c>
      <c r="B581">
        <v>1</v>
      </c>
      <c r="C581">
        <v>54</v>
      </c>
      <c r="D581">
        <v>54</v>
      </c>
      <c r="E581">
        <v>5</v>
      </c>
      <c r="F581">
        <v>5</v>
      </c>
      <c r="G581">
        <v>54</v>
      </c>
    </row>
    <row r="582" spans="1:7" ht="15" x14ac:dyDescent="0.25">
      <c r="A582" t="s">
        <v>6938</v>
      </c>
      <c r="B582">
        <v>1</v>
      </c>
      <c r="C582">
        <v>92</v>
      </c>
      <c r="D582">
        <v>92</v>
      </c>
      <c r="E582">
        <v>22</v>
      </c>
      <c r="F582">
        <v>22</v>
      </c>
      <c r="G582">
        <v>92</v>
      </c>
    </row>
    <row r="583" spans="1:7" ht="15" x14ac:dyDescent="0.25">
      <c r="A583" t="s">
        <v>6946</v>
      </c>
      <c r="B583">
        <v>1</v>
      </c>
      <c r="C583">
        <v>12198</v>
      </c>
      <c r="D583">
        <v>12198</v>
      </c>
      <c r="E583">
        <v>2353</v>
      </c>
      <c r="F583">
        <v>2353</v>
      </c>
      <c r="G583">
        <v>12198</v>
      </c>
    </row>
    <row r="584" spans="1:7" ht="15" x14ac:dyDescent="0.25">
      <c r="A584" t="s">
        <v>6953</v>
      </c>
      <c r="B584">
        <v>1</v>
      </c>
      <c r="C584">
        <v>613</v>
      </c>
      <c r="D584">
        <v>613</v>
      </c>
      <c r="E584">
        <v>28</v>
      </c>
      <c r="F584">
        <v>28</v>
      </c>
      <c r="G584">
        <v>613</v>
      </c>
    </row>
    <row r="585" spans="1:7" ht="15" x14ac:dyDescent="0.25">
      <c r="A585" t="s">
        <v>6963</v>
      </c>
      <c r="B585">
        <v>1</v>
      </c>
      <c r="C585">
        <v>600</v>
      </c>
      <c r="D585">
        <v>600</v>
      </c>
      <c r="E585">
        <v>42</v>
      </c>
      <c r="F585">
        <v>42</v>
      </c>
      <c r="G585">
        <v>600</v>
      </c>
    </row>
    <row r="586" spans="1:7" ht="15" x14ac:dyDescent="0.25">
      <c r="A586" t="s">
        <v>6968</v>
      </c>
      <c r="B586">
        <v>1</v>
      </c>
      <c r="C586">
        <v>908</v>
      </c>
      <c r="D586">
        <v>908</v>
      </c>
      <c r="E586">
        <v>89</v>
      </c>
      <c r="F586">
        <v>89</v>
      </c>
      <c r="G586">
        <v>908</v>
      </c>
    </row>
    <row r="587" spans="1:7" ht="15" x14ac:dyDescent="0.25">
      <c r="A587" t="s">
        <v>6979</v>
      </c>
      <c r="B587">
        <v>1</v>
      </c>
      <c r="C587">
        <v>979</v>
      </c>
      <c r="D587">
        <v>979</v>
      </c>
      <c r="E587">
        <v>74</v>
      </c>
      <c r="F587">
        <v>74</v>
      </c>
      <c r="G587">
        <v>979</v>
      </c>
    </row>
    <row r="588" spans="1:7" ht="15" x14ac:dyDescent="0.25">
      <c r="A588" t="s">
        <v>6984</v>
      </c>
      <c r="B588">
        <v>1</v>
      </c>
      <c r="C588">
        <v>2045</v>
      </c>
      <c r="D588">
        <v>2045</v>
      </c>
      <c r="E588">
        <v>41</v>
      </c>
      <c r="F588">
        <v>41</v>
      </c>
      <c r="G588">
        <v>2045</v>
      </c>
    </row>
    <row r="589" spans="1:7" ht="15" x14ac:dyDescent="0.25">
      <c r="A589" t="s">
        <v>7003</v>
      </c>
      <c r="B589">
        <v>5</v>
      </c>
      <c r="C589">
        <v>24501</v>
      </c>
      <c r="D589">
        <v>118787</v>
      </c>
      <c r="E589">
        <v>5518</v>
      </c>
      <c r="F589">
        <v>1103.5999999999999</v>
      </c>
      <c r="G589">
        <v>24501</v>
      </c>
    </row>
    <row r="590" spans="1:7" ht="15" x14ac:dyDescent="0.25">
      <c r="A590" t="s">
        <v>7010</v>
      </c>
      <c r="B590">
        <v>1</v>
      </c>
      <c r="C590">
        <v>185</v>
      </c>
      <c r="D590">
        <v>185</v>
      </c>
      <c r="E590">
        <v>45</v>
      </c>
      <c r="F590">
        <v>45</v>
      </c>
      <c r="G590">
        <v>185</v>
      </c>
    </row>
    <row r="591" spans="1:7" ht="15" x14ac:dyDescent="0.25">
      <c r="A591" t="s">
        <v>7022</v>
      </c>
      <c r="B591">
        <v>1</v>
      </c>
      <c r="C591">
        <v>1001</v>
      </c>
      <c r="D591">
        <v>1001</v>
      </c>
      <c r="E591">
        <v>18</v>
      </c>
      <c r="F591">
        <v>18</v>
      </c>
      <c r="G591">
        <v>1001</v>
      </c>
    </row>
    <row r="592" spans="1:7" ht="15" x14ac:dyDescent="0.25">
      <c r="A592" t="s">
        <v>7029</v>
      </c>
      <c r="B592">
        <v>1</v>
      </c>
      <c r="C592">
        <v>195</v>
      </c>
      <c r="D592">
        <v>195</v>
      </c>
      <c r="E592">
        <v>80</v>
      </c>
      <c r="F592">
        <v>80</v>
      </c>
      <c r="G592">
        <v>195</v>
      </c>
    </row>
    <row r="593" spans="1:7" ht="15" x14ac:dyDescent="0.25">
      <c r="A593" t="s">
        <v>7042</v>
      </c>
      <c r="B593">
        <v>2</v>
      </c>
      <c r="C593">
        <v>93</v>
      </c>
      <c r="D593">
        <v>184</v>
      </c>
      <c r="E593">
        <v>31</v>
      </c>
      <c r="F593">
        <v>15.5</v>
      </c>
      <c r="G593">
        <v>93</v>
      </c>
    </row>
    <row r="594" spans="1:7" ht="15" x14ac:dyDescent="0.25">
      <c r="A594" t="s">
        <v>7045</v>
      </c>
      <c r="B594">
        <v>1</v>
      </c>
      <c r="D594">
        <v>0</v>
      </c>
      <c r="E594">
        <v>86</v>
      </c>
      <c r="F594">
        <v>86</v>
      </c>
    </row>
    <row r="595" spans="1:7" ht="15" x14ac:dyDescent="0.25">
      <c r="A595" t="s">
        <v>7053</v>
      </c>
      <c r="B595">
        <v>1</v>
      </c>
      <c r="C595">
        <v>101</v>
      </c>
      <c r="D595">
        <v>101</v>
      </c>
      <c r="E595">
        <v>9</v>
      </c>
      <c r="F595">
        <v>9</v>
      </c>
      <c r="G595">
        <v>101</v>
      </c>
    </row>
    <row r="596" spans="1:7" ht="15" x14ac:dyDescent="0.25">
      <c r="A596" t="s">
        <v>7059</v>
      </c>
      <c r="B596">
        <v>1</v>
      </c>
      <c r="C596">
        <v>73</v>
      </c>
      <c r="D596">
        <v>73</v>
      </c>
      <c r="E596">
        <v>42</v>
      </c>
      <c r="F596">
        <v>42</v>
      </c>
      <c r="G596">
        <v>73</v>
      </c>
    </row>
    <row r="597" spans="1:7" ht="15" x14ac:dyDescent="0.25">
      <c r="A597" t="s">
        <v>7065</v>
      </c>
      <c r="B597">
        <v>1</v>
      </c>
      <c r="C597">
        <v>1059</v>
      </c>
      <c r="D597">
        <v>1059</v>
      </c>
      <c r="E597">
        <v>15</v>
      </c>
      <c r="F597">
        <v>15</v>
      </c>
      <c r="G597">
        <v>1059</v>
      </c>
    </row>
    <row r="598" spans="1:7" ht="15" x14ac:dyDescent="0.25">
      <c r="A598" t="s">
        <v>7071</v>
      </c>
      <c r="B598">
        <v>1</v>
      </c>
      <c r="C598">
        <v>113</v>
      </c>
      <c r="D598">
        <v>113</v>
      </c>
      <c r="E598">
        <v>21</v>
      </c>
      <c r="F598">
        <v>21</v>
      </c>
      <c r="G598">
        <v>113</v>
      </c>
    </row>
    <row r="599" spans="1:7" ht="15" x14ac:dyDescent="0.25">
      <c r="A599" t="s">
        <v>7076</v>
      </c>
      <c r="B599">
        <v>1</v>
      </c>
      <c r="C599">
        <v>184</v>
      </c>
      <c r="D599">
        <v>184</v>
      </c>
      <c r="E599">
        <v>61</v>
      </c>
      <c r="F599">
        <v>61</v>
      </c>
      <c r="G599">
        <v>184</v>
      </c>
    </row>
    <row r="600" spans="1:7" ht="15" x14ac:dyDescent="0.25">
      <c r="A600" t="s">
        <v>7090</v>
      </c>
      <c r="B600">
        <v>1</v>
      </c>
      <c r="C600">
        <v>145</v>
      </c>
      <c r="D600">
        <v>145</v>
      </c>
      <c r="E600">
        <v>12</v>
      </c>
      <c r="F600">
        <v>12</v>
      </c>
      <c r="G600">
        <v>145</v>
      </c>
    </row>
    <row r="601" spans="1:7" ht="15" x14ac:dyDescent="0.25">
      <c r="A601" t="s">
        <v>7095</v>
      </c>
      <c r="B601">
        <v>1</v>
      </c>
      <c r="C601">
        <v>459</v>
      </c>
      <c r="D601">
        <v>459</v>
      </c>
      <c r="E601">
        <v>52</v>
      </c>
      <c r="F601">
        <v>52</v>
      </c>
      <c r="G601">
        <v>459</v>
      </c>
    </row>
    <row r="602" spans="1:7" ht="15" x14ac:dyDescent="0.25">
      <c r="A602" t="s">
        <v>7099</v>
      </c>
      <c r="B602">
        <v>1</v>
      </c>
      <c r="C602">
        <v>139</v>
      </c>
      <c r="D602">
        <v>139</v>
      </c>
      <c r="E602">
        <v>54</v>
      </c>
      <c r="F602">
        <v>54</v>
      </c>
      <c r="G602">
        <v>139</v>
      </c>
    </row>
    <row r="603" spans="1:7" ht="15" x14ac:dyDescent="0.25">
      <c r="A603" t="s">
        <v>7107</v>
      </c>
      <c r="B603">
        <v>3</v>
      </c>
      <c r="C603">
        <v>764</v>
      </c>
      <c r="D603">
        <v>2289</v>
      </c>
      <c r="E603">
        <v>235</v>
      </c>
      <c r="F603">
        <v>78.333333333333329</v>
      </c>
      <c r="G603">
        <v>764</v>
      </c>
    </row>
    <row r="604" spans="1:7" ht="15" x14ac:dyDescent="0.25">
      <c r="A604" t="s">
        <v>7113</v>
      </c>
      <c r="B604">
        <v>1</v>
      </c>
      <c r="C604">
        <v>443</v>
      </c>
      <c r="D604">
        <v>443</v>
      </c>
      <c r="E604">
        <v>65</v>
      </c>
      <c r="F604">
        <v>65</v>
      </c>
      <c r="G604">
        <v>443</v>
      </c>
    </row>
    <row r="605" spans="1:7" ht="15" x14ac:dyDescent="0.25">
      <c r="A605" t="s">
        <v>7121</v>
      </c>
      <c r="B605">
        <v>2</v>
      </c>
      <c r="C605">
        <v>322</v>
      </c>
      <c r="D605">
        <v>641</v>
      </c>
      <c r="E605">
        <v>95</v>
      </c>
      <c r="F605">
        <v>47.5</v>
      </c>
      <c r="G605">
        <v>322</v>
      </c>
    </row>
    <row r="606" spans="1:7" ht="15" x14ac:dyDescent="0.25">
      <c r="A606" t="s">
        <v>7127</v>
      </c>
      <c r="B606">
        <v>1</v>
      </c>
      <c r="C606">
        <v>297</v>
      </c>
      <c r="D606">
        <v>297</v>
      </c>
      <c r="E606">
        <v>125</v>
      </c>
      <c r="F606">
        <v>125</v>
      </c>
      <c r="G606">
        <v>297</v>
      </c>
    </row>
    <row r="607" spans="1:7" ht="15" x14ac:dyDescent="0.25">
      <c r="A607" t="s">
        <v>7133</v>
      </c>
      <c r="B607">
        <v>1</v>
      </c>
      <c r="C607">
        <v>228</v>
      </c>
      <c r="D607">
        <v>228</v>
      </c>
      <c r="E607">
        <v>45</v>
      </c>
      <c r="F607">
        <v>45</v>
      </c>
      <c r="G607">
        <v>228</v>
      </c>
    </row>
    <row r="608" spans="1:7" ht="15" x14ac:dyDescent="0.25">
      <c r="A608" t="s">
        <v>7146</v>
      </c>
      <c r="B608">
        <v>1</v>
      </c>
      <c r="C608">
        <v>323</v>
      </c>
      <c r="D608">
        <v>323</v>
      </c>
      <c r="E608">
        <v>52</v>
      </c>
      <c r="F608">
        <v>52</v>
      </c>
      <c r="G608">
        <v>323</v>
      </c>
    </row>
    <row r="609" spans="1:7" ht="15" x14ac:dyDescent="0.25">
      <c r="A609" t="s">
        <v>7152</v>
      </c>
      <c r="B609">
        <v>35</v>
      </c>
      <c r="C609">
        <v>116</v>
      </c>
      <c r="D609">
        <v>4004</v>
      </c>
      <c r="E609">
        <v>799</v>
      </c>
      <c r="F609">
        <v>22.828571428571429</v>
      </c>
      <c r="G609">
        <v>126</v>
      </c>
    </row>
    <row r="610" spans="1:7" ht="15" x14ac:dyDescent="0.25">
      <c r="A610" t="s">
        <v>7156</v>
      </c>
      <c r="B610">
        <v>2</v>
      </c>
      <c r="C610">
        <v>51</v>
      </c>
      <c r="D610">
        <v>101</v>
      </c>
      <c r="E610">
        <v>51</v>
      </c>
      <c r="F610">
        <v>25.5</v>
      </c>
      <c r="G610">
        <v>51</v>
      </c>
    </row>
    <row r="611" spans="1:7" ht="15" x14ac:dyDescent="0.25">
      <c r="A611" t="s">
        <v>7161</v>
      </c>
      <c r="B611">
        <v>1</v>
      </c>
      <c r="C611">
        <v>632</v>
      </c>
      <c r="D611">
        <v>632</v>
      </c>
      <c r="E611">
        <v>31</v>
      </c>
      <c r="F611">
        <v>31</v>
      </c>
      <c r="G611">
        <v>632</v>
      </c>
    </row>
    <row r="612" spans="1:7" ht="15" x14ac:dyDescent="0.25">
      <c r="A612" t="s">
        <v>7174</v>
      </c>
      <c r="B612">
        <v>1</v>
      </c>
      <c r="C612">
        <v>111</v>
      </c>
      <c r="D612">
        <v>111</v>
      </c>
      <c r="E612">
        <v>3</v>
      </c>
      <c r="F612">
        <v>3</v>
      </c>
      <c r="G612">
        <v>111</v>
      </c>
    </row>
    <row r="613" spans="1:7" ht="15" x14ac:dyDescent="0.25">
      <c r="A613" t="s">
        <v>7185</v>
      </c>
      <c r="B613">
        <v>13</v>
      </c>
      <c r="C613">
        <v>677</v>
      </c>
      <c r="D613">
        <v>6217</v>
      </c>
      <c r="E613">
        <v>1286</v>
      </c>
      <c r="F613">
        <v>98.92307692307692</v>
      </c>
      <c r="G613">
        <v>677</v>
      </c>
    </row>
    <row r="614" spans="1:7" ht="15" x14ac:dyDescent="0.25">
      <c r="A614" t="s">
        <v>7196</v>
      </c>
      <c r="B614">
        <v>1</v>
      </c>
      <c r="C614">
        <v>295</v>
      </c>
      <c r="D614">
        <v>295</v>
      </c>
      <c r="E614">
        <v>8</v>
      </c>
      <c r="F614">
        <v>8</v>
      </c>
      <c r="G614">
        <v>295</v>
      </c>
    </row>
    <row r="615" spans="1:7" ht="15" x14ac:dyDescent="0.25">
      <c r="A615" t="s">
        <v>7202</v>
      </c>
      <c r="B615">
        <v>1</v>
      </c>
      <c r="C615">
        <v>2794</v>
      </c>
      <c r="D615">
        <v>2794</v>
      </c>
      <c r="E615">
        <v>32</v>
      </c>
      <c r="F615">
        <v>32</v>
      </c>
      <c r="G615">
        <v>2794</v>
      </c>
    </row>
    <row r="616" spans="1:7" ht="15" x14ac:dyDescent="0.25">
      <c r="A616" t="s">
        <v>7207</v>
      </c>
      <c r="B616">
        <v>1</v>
      </c>
      <c r="C616">
        <v>57</v>
      </c>
      <c r="D616">
        <v>57</v>
      </c>
      <c r="E616">
        <v>21</v>
      </c>
      <c r="F616">
        <v>21</v>
      </c>
      <c r="G616">
        <v>57</v>
      </c>
    </row>
    <row r="617" spans="1:7" ht="15" x14ac:dyDescent="0.25">
      <c r="A617" t="s">
        <v>7219</v>
      </c>
      <c r="B617">
        <v>1</v>
      </c>
      <c r="C617">
        <v>432</v>
      </c>
      <c r="D617">
        <v>432</v>
      </c>
      <c r="E617">
        <v>26</v>
      </c>
      <c r="F617">
        <v>26</v>
      </c>
      <c r="G617">
        <v>432</v>
      </c>
    </row>
    <row r="618" spans="1:7" ht="15" x14ac:dyDescent="0.25">
      <c r="A618" t="s">
        <v>7222</v>
      </c>
      <c r="B618">
        <v>1</v>
      </c>
      <c r="C618">
        <v>341</v>
      </c>
      <c r="D618">
        <v>341</v>
      </c>
      <c r="E618">
        <v>80</v>
      </c>
      <c r="F618">
        <v>80</v>
      </c>
      <c r="G618">
        <v>341</v>
      </c>
    </row>
    <row r="619" spans="1:7" ht="15" x14ac:dyDescent="0.25">
      <c r="A619" t="s">
        <v>7227</v>
      </c>
      <c r="B619">
        <v>1</v>
      </c>
      <c r="C619">
        <v>827</v>
      </c>
      <c r="D619">
        <v>827</v>
      </c>
      <c r="E619">
        <v>89</v>
      </c>
      <c r="F619">
        <v>89</v>
      </c>
      <c r="G619">
        <v>827</v>
      </c>
    </row>
    <row r="620" spans="1:7" ht="15" x14ac:dyDescent="0.25">
      <c r="A620" t="s">
        <v>7232</v>
      </c>
      <c r="B620">
        <v>32</v>
      </c>
      <c r="C620">
        <v>526</v>
      </c>
      <c r="D620">
        <v>14670</v>
      </c>
      <c r="E620">
        <v>1021</v>
      </c>
      <c r="F620">
        <v>31.90625</v>
      </c>
      <c r="G620">
        <v>531</v>
      </c>
    </row>
    <row r="621" spans="1:7" ht="15" x14ac:dyDescent="0.25">
      <c r="A621" t="s">
        <v>7237</v>
      </c>
      <c r="B621">
        <v>1</v>
      </c>
      <c r="C621">
        <v>440</v>
      </c>
      <c r="D621">
        <v>440</v>
      </c>
      <c r="E621">
        <v>79</v>
      </c>
      <c r="F621">
        <v>79</v>
      </c>
      <c r="G621">
        <v>440</v>
      </c>
    </row>
    <row r="622" spans="1:7" ht="15" x14ac:dyDescent="0.25">
      <c r="A622" t="s">
        <v>7241</v>
      </c>
      <c r="B622">
        <v>4</v>
      </c>
      <c r="C622">
        <v>410</v>
      </c>
      <c r="D622">
        <v>1674</v>
      </c>
      <c r="E622">
        <v>74</v>
      </c>
      <c r="F622">
        <v>18.5</v>
      </c>
      <c r="G622">
        <v>427</v>
      </c>
    </row>
    <row r="623" spans="1:7" ht="15" x14ac:dyDescent="0.25">
      <c r="A623" t="s">
        <v>7253</v>
      </c>
      <c r="B623">
        <v>1</v>
      </c>
      <c r="C623">
        <v>388</v>
      </c>
      <c r="D623">
        <v>388</v>
      </c>
      <c r="E623">
        <v>75</v>
      </c>
      <c r="F623">
        <v>75</v>
      </c>
      <c r="G623">
        <v>388</v>
      </c>
    </row>
    <row r="624" spans="1:7" ht="15" x14ac:dyDescent="0.25">
      <c r="A624" t="s">
        <v>7260</v>
      </c>
      <c r="B624">
        <v>1</v>
      </c>
      <c r="C624">
        <v>551</v>
      </c>
      <c r="D624">
        <v>551</v>
      </c>
      <c r="E624">
        <v>136</v>
      </c>
      <c r="F624">
        <v>136</v>
      </c>
      <c r="G624">
        <v>551</v>
      </c>
    </row>
    <row r="625" spans="1:7" ht="15" x14ac:dyDescent="0.25">
      <c r="A625" t="s">
        <v>7276</v>
      </c>
      <c r="B625">
        <v>1</v>
      </c>
      <c r="C625">
        <v>261</v>
      </c>
      <c r="D625">
        <v>261</v>
      </c>
      <c r="E625">
        <v>22</v>
      </c>
      <c r="F625">
        <v>22</v>
      </c>
      <c r="G625">
        <v>261</v>
      </c>
    </row>
    <row r="626" spans="1:7" ht="15" x14ac:dyDescent="0.25">
      <c r="A626" t="s">
        <v>7282</v>
      </c>
      <c r="B626">
        <v>1</v>
      </c>
      <c r="C626">
        <v>606</v>
      </c>
      <c r="D626">
        <v>606</v>
      </c>
      <c r="E626">
        <v>61</v>
      </c>
      <c r="F626">
        <v>61</v>
      </c>
      <c r="G626">
        <v>606</v>
      </c>
    </row>
    <row r="627" spans="1:7" ht="15" x14ac:dyDescent="0.25">
      <c r="A627" t="s">
        <v>7295</v>
      </c>
      <c r="B627">
        <v>1</v>
      </c>
      <c r="C627">
        <v>2151</v>
      </c>
      <c r="D627">
        <v>2151</v>
      </c>
      <c r="E627">
        <v>78</v>
      </c>
      <c r="F627">
        <v>78</v>
      </c>
      <c r="G627">
        <v>2151</v>
      </c>
    </row>
    <row r="628" spans="1:7" ht="15" x14ac:dyDescent="0.25">
      <c r="A628" t="s">
        <v>7302</v>
      </c>
      <c r="B628">
        <v>1</v>
      </c>
      <c r="C628">
        <v>249</v>
      </c>
      <c r="D628">
        <v>249</v>
      </c>
      <c r="E628">
        <v>30</v>
      </c>
      <c r="F628">
        <v>30</v>
      </c>
      <c r="G628">
        <v>249</v>
      </c>
    </row>
    <row r="629" spans="1:7" ht="15" x14ac:dyDescent="0.25">
      <c r="A629" t="s">
        <v>7305</v>
      </c>
      <c r="B629">
        <v>2</v>
      </c>
      <c r="C629">
        <v>246</v>
      </c>
      <c r="D629">
        <v>492</v>
      </c>
      <c r="E629">
        <v>103</v>
      </c>
      <c r="F629">
        <v>51.5</v>
      </c>
      <c r="G629">
        <v>246</v>
      </c>
    </row>
    <row r="630" spans="1:7" ht="15" x14ac:dyDescent="0.25">
      <c r="A630" t="s">
        <v>7311</v>
      </c>
      <c r="B630">
        <v>1</v>
      </c>
      <c r="C630">
        <v>1013</v>
      </c>
      <c r="D630">
        <v>1013</v>
      </c>
      <c r="E630">
        <v>98</v>
      </c>
      <c r="F630">
        <v>98</v>
      </c>
      <c r="G630">
        <v>1013</v>
      </c>
    </row>
    <row r="631" spans="1:7" ht="15" x14ac:dyDescent="0.25">
      <c r="A631" t="s">
        <v>7316</v>
      </c>
      <c r="B631">
        <v>1</v>
      </c>
      <c r="C631">
        <v>142</v>
      </c>
      <c r="D631">
        <v>142</v>
      </c>
      <c r="E631">
        <v>36</v>
      </c>
      <c r="F631">
        <v>36</v>
      </c>
      <c r="G631">
        <v>142</v>
      </c>
    </row>
    <row r="632" spans="1:7" ht="15" x14ac:dyDescent="0.25">
      <c r="A632" t="s">
        <v>7325</v>
      </c>
      <c r="B632">
        <v>2</v>
      </c>
      <c r="C632">
        <v>140</v>
      </c>
      <c r="D632">
        <v>280</v>
      </c>
      <c r="E632">
        <v>72</v>
      </c>
      <c r="F632">
        <v>36</v>
      </c>
      <c r="G632">
        <v>140</v>
      </c>
    </row>
    <row r="633" spans="1:7" ht="15" x14ac:dyDescent="0.25">
      <c r="A633" t="s">
        <v>7331</v>
      </c>
      <c r="B633">
        <v>2</v>
      </c>
      <c r="C633">
        <v>172</v>
      </c>
      <c r="D633">
        <v>328</v>
      </c>
      <c r="E633">
        <v>24</v>
      </c>
      <c r="F633">
        <v>12</v>
      </c>
      <c r="G633">
        <v>172</v>
      </c>
    </row>
    <row r="634" spans="1:7" ht="15" x14ac:dyDescent="0.25">
      <c r="A634" t="s">
        <v>7342</v>
      </c>
      <c r="B634">
        <v>1</v>
      </c>
      <c r="C634">
        <v>1558</v>
      </c>
      <c r="D634">
        <v>1558</v>
      </c>
      <c r="E634">
        <v>50</v>
      </c>
      <c r="F634">
        <v>50</v>
      </c>
      <c r="G634">
        <v>1558</v>
      </c>
    </row>
    <row r="635" spans="1:7" ht="15" x14ac:dyDescent="0.25">
      <c r="A635" t="s">
        <v>7351</v>
      </c>
      <c r="B635">
        <v>1</v>
      </c>
      <c r="C635">
        <v>91</v>
      </c>
      <c r="D635">
        <v>91</v>
      </c>
      <c r="E635">
        <v>14</v>
      </c>
      <c r="F635">
        <v>14</v>
      </c>
      <c r="G635">
        <v>91</v>
      </c>
    </row>
    <row r="636" spans="1:7" ht="15" x14ac:dyDescent="0.25">
      <c r="A636" t="s">
        <v>7358</v>
      </c>
      <c r="B636">
        <v>1</v>
      </c>
      <c r="C636">
        <v>5818</v>
      </c>
      <c r="D636">
        <v>5818</v>
      </c>
      <c r="E636">
        <v>352</v>
      </c>
      <c r="F636">
        <v>352</v>
      </c>
      <c r="G636">
        <v>5818</v>
      </c>
    </row>
    <row r="637" spans="1:7" ht="15" x14ac:dyDescent="0.25">
      <c r="A637" t="s">
        <v>7367</v>
      </c>
      <c r="B637">
        <v>2</v>
      </c>
      <c r="C637">
        <v>3913</v>
      </c>
      <c r="D637">
        <v>7943</v>
      </c>
      <c r="E637">
        <v>178</v>
      </c>
      <c r="F637">
        <v>89</v>
      </c>
      <c r="G637">
        <v>4030</v>
      </c>
    </row>
    <row r="638" spans="1:7" ht="15" x14ac:dyDescent="0.25">
      <c r="A638" t="s">
        <v>7370</v>
      </c>
      <c r="B638">
        <v>1</v>
      </c>
      <c r="C638">
        <v>140</v>
      </c>
      <c r="D638">
        <v>140</v>
      </c>
      <c r="E638">
        <v>51</v>
      </c>
      <c r="F638">
        <v>51</v>
      </c>
      <c r="G638">
        <v>140</v>
      </c>
    </row>
    <row r="639" spans="1:7" ht="15" x14ac:dyDescent="0.25">
      <c r="A639" t="s">
        <v>7376</v>
      </c>
      <c r="B639">
        <v>1</v>
      </c>
      <c r="C639">
        <v>39</v>
      </c>
      <c r="D639">
        <v>39</v>
      </c>
      <c r="E639">
        <v>33</v>
      </c>
      <c r="F639">
        <v>33</v>
      </c>
      <c r="G639">
        <v>39</v>
      </c>
    </row>
    <row r="640" spans="1:7" ht="15" x14ac:dyDescent="0.25">
      <c r="A640" t="s">
        <v>7390</v>
      </c>
      <c r="B640">
        <v>1</v>
      </c>
      <c r="C640">
        <v>269</v>
      </c>
      <c r="D640">
        <v>269</v>
      </c>
      <c r="E640">
        <v>18</v>
      </c>
      <c r="F640">
        <v>18</v>
      </c>
      <c r="G640">
        <v>269</v>
      </c>
    </row>
    <row r="641" spans="1:7" ht="15" x14ac:dyDescent="0.25">
      <c r="A641" t="s">
        <v>7396</v>
      </c>
      <c r="B641">
        <v>1</v>
      </c>
      <c r="C641">
        <v>204</v>
      </c>
      <c r="D641">
        <v>204</v>
      </c>
      <c r="E641">
        <v>23</v>
      </c>
      <c r="F641">
        <v>23</v>
      </c>
      <c r="G641">
        <v>204</v>
      </c>
    </row>
    <row r="642" spans="1:7" ht="15" x14ac:dyDescent="0.25">
      <c r="A642" t="s">
        <v>7408</v>
      </c>
      <c r="B642">
        <v>2</v>
      </c>
      <c r="C642">
        <v>277</v>
      </c>
      <c r="D642">
        <v>554</v>
      </c>
      <c r="E642">
        <v>109</v>
      </c>
      <c r="F642">
        <v>54.5</v>
      </c>
      <c r="G642">
        <v>277</v>
      </c>
    </row>
    <row r="643" spans="1:7" ht="15" x14ac:dyDescent="0.25">
      <c r="A643" t="s">
        <v>7415</v>
      </c>
      <c r="B643">
        <v>4</v>
      </c>
      <c r="C643">
        <v>1218</v>
      </c>
      <c r="D643">
        <v>4691</v>
      </c>
      <c r="E643">
        <v>952</v>
      </c>
      <c r="F643">
        <v>238</v>
      </c>
      <c r="G643">
        <v>1218</v>
      </c>
    </row>
    <row r="644" spans="1:7" ht="15" x14ac:dyDescent="0.25">
      <c r="A644" t="s">
        <v>7421</v>
      </c>
      <c r="B644">
        <v>10</v>
      </c>
      <c r="C644">
        <v>511</v>
      </c>
      <c r="D644">
        <v>5104</v>
      </c>
      <c r="E644">
        <v>907</v>
      </c>
      <c r="F644">
        <v>90.7</v>
      </c>
      <c r="G644">
        <v>513</v>
      </c>
    </row>
    <row r="645" spans="1:7" ht="15" x14ac:dyDescent="0.25">
      <c r="A645" t="s">
        <v>7437</v>
      </c>
      <c r="B645">
        <v>1</v>
      </c>
      <c r="C645">
        <v>371</v>
      </c>
      <c r="D645">
        <v>371</v>
      </c>
      <c r="E645">
        <v>15</v>
      </c>
      <c r="F645">
        <v>15</v>
      </c>
      <c r="G645">
        <v>371</v>
      </c>
    </row>
    <row r="646" spans="1:7" ht="15" x14ac:dyDescent="0.25">
      <c r="A646" t="s">
        <v>7443</v>
      </c>
      <c r="B646">
        <v>1</v>
      </c>
      <c r="C646">
        <v>223</v>
      </c>
      <c r="D646">
        <v>223</v>
      </c>
      <c r="E646">
        <v>5</v>
      </c>
      <c r="F646">
        <v>5</v>
      </c>
      <c r="G646">
        <v>223</v>
      </c>
    </row>
    <row r="647" spans="1:7" ht="15" x14ac:dyDescent="0.25">
      <c r="A647" t="s">
        <v>7452</v>
      </c>
      <c r="B647">
        <v>1</v>
      </c>
      <c r="C647">
        <v>505</v>
      </c>
      <c r="D647">
        <v>505</v>
      </c>
      <c r="E647">
        <v>9</v>
      </c>
      <c r="F647">
        <v>9</v>
      </c>
      <c r="G647">
        <v>505</v>
      </c>
    </row>
    <row r="648" spans="1:7" ht="15" x14ac:dyDescent="0.25">
      <c r="A648" t="s">
        <v>7457</v>
      </c>
      <c r="B648">
        <v>7</v>
      </c>
      <c r="C648">
        <v>7307</v>
      </c>
      <c r="D648">
        <v>47623</v>
      </c>
      <c r="E648">
        <v>1126</v>
      </c>
      <c r="F648">
        <v>160.85714285714286</v>
      </c>
      <c r="G648">
        <v>7307</v>
      </c>
    </row>
    <row r="649" spans="1:7" ht="15" x14ac:dyDescent="0.25">
      <c r="A649" t="s">
        <v>7464</v>
      </c>
      <c r="B649">
        <v>1</v>
      </c>
      <c r="C649">
        <v>357</v>
      </c>
      <c r="D649">
        <v>357</v>
      </c>
      <c r="E649">
        <v>120</v>
      </c>
      <c r="F649">
        <v>120</v>
      </c>
      <c r="G649">
        <v>357</v>
      </c>
    </row>
    <row r="650" spans="1:7" ht="15" x14ac:dyDescent="0.25">
      <c r="A650" t="s">
        <v>7473</v>
      </c>
      <c r="B650">
        <v>1</v>
      </c>
      <c r="C650">
        <v>1344</v>
      </c>
      <c r="D650">
        <v>1344</v>
      </c>
      <c r="E650">
        <v>8</v>
      </c>
      <c r="F650">
        <v>8</v>
      </c>
      <c r="G650">
        <v>1344</v>
      </c>
    </row>
    <row r="651" spans="1:7" ht="15" x14ac:dyDescent="0.25">
      <c r="A651" t="s">
        <v>7478</v>
      </c>
      <c r="B651">
        <v>1</v>
      </c>
      <c r="C651">
        <v>21</v>
      </c>
      <c r="D651">
        <v>21</v>
      </c>
      <c r="E651">
        <v>7</v>
      </c>
      <c r="F651">
        <v>7</v>
      </c>
      <c r="G651">
        <v>21</v>
      </c>
    </row>
    <row r="652" spans="1:7" ht="15" x14ac:dyDescent="0.25">
      <c r="A652" t="s">
        <v>7484</v>
      </c>
      <c r="B652">
        <v>1</v>
      </c>
      <c r="C652">
        <v>221</v>
      </c>
      <c r="D652">
        <v>221</v>
      </c>
      <c r="E652">
        <v>20</v>
      </c>
      <c r="F652">
        <v>20</v>
      </c>
      <c r="G652">
        <v>221</v>
      </c>
    </row>
    <row r="653" spans="1:7" ht="15" x14ac:dyDescent="0.25">
      <c r="A653" t="s">
        <v>7492</v>
      </c>
      <c r="B653">
        <v>1</v>
      </c>
      <c r="C653">
        <v>166</v>
      </c>
      <c r="D653">
        <v>166</v>
      </c>
      <c r="E653">
        <v>47</v>
      </c>
      <c r="F653">
        <v>47</v>
      </c>
      <c r="G653">
        <v>166</v>
      </c>
    </row>
    <row r="654" spans="1:7" ht="15" x14ac:dyDescent="0.25">
      <c r="A654" t="s">
        <v>7496</v>
      </c>
      <c r="B654">
        <v>2</v>
      </c>
      <c r="C654">
        <v>78</v>
      </c>
      <c r="D654">
        <v>156</v>
      </c>
      <c r="E654">
        <v>69</v>
      </c>
      <c r="F654">
        <v>34.5</v>
      </c>
      <c r="G654">
        <v>78</v>
      </c>
    </row>
    <row r="655" spans="1:7" ht="15" x14ac:dyDescent="0.25">
      <c r="A655" t="s">
        <v>7504</v>
      </c>
      <c r="B655">
        <v>1</v>
      </c>
      <c r="C655">
        <v>139</v>
      </c>
      <c r="D655">
        <v>139</v>
      </c>
      <c r="E655">
        <v>20</v>
      </c>
      <c r="F655">
        <v>20</v>
      </c>
      <c r="G655">
        <v>139</v>
      </c>
    </row>
    <row r="656" spans="1:7" ht="15" x14ac:dyDescent="0.25">
      <c r="A656" t="s">
        <v>7511</v>
      </c>
      <c r="B656">
        <v>1</v>
      </c>
      <c r="C656">
        <v>350</v>
      </c>
      <c r="D656">
        <v>350</v>
      </c>
      <c r="E656">
        <v>26</v>
      </c>
      <c r="F656">
        <v>26</v>
      </c>
      <c r="G656">
        <v>350</v>
      </c>
    </row>
    <row r="657" spans="1:7" ht="15" x14ac:dyDescent="0.25">
      <c r="A657" t="s">
        <v>7520</v>
      </c>
      <c r="B657">
        <v>4</v>
      </c>
      <c r="C657">
        <v>55888</v>
      </c>
      <c r="D657">
        <v>219439</v>
      </c>
      <c r="E657">
        <v>4581</v>
      </c>
      <c r="F657">
        <v>1145.25</v>
      </c>
      <c r="G657">
        <v>55888</v>
      </c>
    </row>
    <row r="658" spans="1:7" ht="15" x14ac:dyDescent="0.25">
      <c r="A658" t="s">
        <v>7531</v>
      </c>
      <c r="B658">
        <v>4</v>
      </c>
      <c r="C658">
        <v>100</v>
      </c>
      <c r="D658">
        <v>239</v>
      </c>
      <c r="E658">
        <v>122</v>
      </c>
      <c r="F658">
        <v>30.5</v>
      </c>
      <c r="G658">
        <v>100</v>
      </c>
    </row>
    <row r="659" spans="1:7" ht="15" x14ac:dyDescent="0.25">
      <c r="A659" t="s">
        <v>7540</v>
      </c>
      <c r="B659">
        <v>6</v>
      </c>
      <c r="C659">
        <v>917</v>
      </c>
      <c r="D659">
        <v>5519</v>
      </c>
      <c r="E659">
        <v>267</v>
      </c>
      <c r="F659">
        <v>44.5</v>
      </c>
      <c r="G659">
        <v>923</v>
      </c>
    </row>
    <row r="660" spans="1:7" ht="15" x14ac:dyDescent="0.25">
      <c r="A660" t="s">
        <v>7548</v>
      </c>
      <c r="B660">
        <v>1</v>
      </c>
      <c r="C660">
        <v>156</v>
      </c>
      <c r="D660">
        <v>156</v>
      </c>
      <c r="E660">
        <v>37</v>
      </c>
      <c r="F660">
        <v>37</v>
      </c>
      <c r="G660">
        <v>156</v>
      </c>
    </row>
    <row r="661" spans="1:7" ht="15" x14ac:dyDescent="0.25">
      <c r="A661" t="s">
        <v>7555</v>
      </c>
      <c r="B661">
        <v>1</v>
      </c>
      <c r="C661">
        <v>520</v>
      </c>
      <c r="D661">
        <v>520</v>
      </c>
      <c r="E661">
        <v>21</v>
      </c>
      <c r="F661">
        <v>21</v>
      </c>
      <c r="G661">
        <v>520</v>
      </c>
    </row>
    <row r="662" spans="1:7" ht="15" x14ac:dyDescent="0.25">
      <c r="A662" t="s">
        <v>7561</v>
      </c>
      <c r="B662">
        <v>1</v>
      </c>
      <c r="C662">
        <v>199</v>
      </c>
      <c r="D662">
        <v>199</v>
      </c>
      <c r="E662">
        <v>7</v>
      </c>
      <c r="F662">
        <v>7</v>
      </c>
      <c r="G662">
        <v>199</v>
      </c>
    </row>
    <row r="663" spans="1:7" ht="15" x14ac:dyDescent="0.25">
      <c r="A663" t="s">
        <v>7566</v>
      </c>
      <c r="B663">
        <v>1</v>
      </c>
      <c r="C663">
        <v>3085</v>
      </c>
      <c r="D663">
        <v>3085</v>
      </c>
      <c r="E663">
        <v>78</v>
      </c>
      <c r="F663">
        <v>78</v>
      </c>
      <c r="G663">
        <v>3085</v>
      </c>
    </row>
    <row r="664" spans="1:7" ht="15" x14ac:dyDescent="0.25">
      <c r="A664" t="s">
        <v>7572</v>
      </c>
      <c r="B664">
        <v>1</v>
      </c>
      <c r="C664">
        <v>169</v>
      </c>
      <c r="D664">
        <v>169</v>
      </c>
      <c r="E664">
        <v>12</v>
      </c>
      <c r="F664">
        <v>12</v>
      </c>
      <c r="G664">
        <v>169</v>
      </c>
    </row>
    <row r="665" spans="1:7" ht="15" x14ac:dyDescent="0.25">
      <c r="A665" t="s">
        <v>7578</v>
      </c>
      <c r="B665">
        <v>3</v>
      </c>
      <c r="C665">
        <v>5139</v>
      </c>
      <c r="D665">
        <v>14604</v>
      </c>
      <c r="E665">
        <v>421</v>
      </c>
      <c r="F665">
        <v>140.33333333333334</v>
      </c>
      <c r="G665">
        <v>5139</v>
      </c>
    </row>
    <row r="666" spans="1:7" ht="15" x14ac:dyDescent="0.25">
      <c r="A666" t="s">
        <v>7592</v>
      </c>
      <c r="B666">
        <v>1</v>
      </c>
      <c r="C666">
        <v>113</v>
      </c>
      <c r="D666">
        <v>113</v>
      </c>
      <c r="E666">
        <v>7</v>
      </c>
      <c r="F666">
        <v>7</v>
      </c>
      <c r="G666">
        <v>113</v>
      </c>
    </row>
    <row r="667" spans="1:7" ht="15" x14ac:dyDescent="0.25">
      <c r="A667" t="s">
        <v>7598</v>
      </c>
      <c r="B667">
        <v>1</v>
      </c>
      <c r="C667">
        <v>118</v>
      </c>
      <c r="D667">
        <v>118</v>
      </c>
      <c r="E667">
        <v>21</v>
      </c>
      <c r="F667">
        <v>21</v>
      </c>
      <c r="G667">
        <v>118</v>
      </c>
    </row>
    <row r="668" spans="1:7" ht="15" x14ac:dyDescent="0.25">
      <c r="A668" t="s">
        <v>7603</v>
      </c>
      <c r="B668">
        <v>1</v>
      </c>
      <c r="C668">
        <v>406</v>
      </c>
      <c r="D668">
        <v>406</v>
      </c>
      <c r="E668">
        <v>36</v>
      </c>
      <c r="F668">
        <v>36</v>
      </c>
      <c r="G668">
        <v>406</v>
      </c>
    </row>
    <row r="669" spans="1:7" ht="15" x14ac:dyDescent="0.25">
      <c r="A669" t="s">
        <v>7609</v>
      </c>
      <c r="B669">
        <v>1</v>
      </c>
      <c r="C669">
        <v>53</v>
      </c>
      <c r="D669">
        <v>53</v>
      </c>
      <c r="E669">
        <v>6</v>
      </c>
      <c r="F669">
        <v>6</v>
      </c>
      <c r="G669">
        <v>53</v>
      </c>
    </row>
    <row r="670" spans="1:7" ht="15" x14ac:dyDescent="0.25">
      <c r="A670" t="s">
        <v>7614</v>
      </c>
      <c r="B670">
        <v>1</v>
      </c>
      <c r="C670">
        <v>92</v>
      </c>
      <c r="D670">
        <v>92</v>
      </c>
      <c r="E670">
        <v>25</v>
      </c>
      <c r="F670">
        <v>25</v>
      </c>
      <c r="G670">
        <v>92</v>
      </c>
    </row>
    <row r="671" spans="1:7" ht="15" x14ac:dyDescent="0.25">
      <c r="A671" t="s">
        <v>7618</v>
      </c>
      <c r="B671">
        <v>1</v>
      </c>
      <c r="C671">
        <v>597</v>
      </c>
      <c r="D671">
        <v>597</v>
      </c>
      <c r="E671">
        <v>113</v>
      </c>
      <c r="F671">
        <v>113</v>
      </c>
      <c r="G671">
        <v>597</v>
      </c>
    </row>
    <row r="672" spans="1:7" ht="15" x14ac:dyDescent="0.25">
      <c r="A672" t="s">
        <v>7624</v>
      </c>
      <c r="B672">
        <v>1</v>
      </c>
      <c r="C672">
        <v>245</v>
      </c>
      <c r="D672">
        <v>245</v>
      </c>
      <c r="E672">
        <v>16</v>
      </c>
      <c r="F672">
        <v>16</v>
      </c>
      <c r="G672">
        <v>245</v>
      </c>
    </row>
    <row r="673" spans="1:7" ht="15" x14ac:dyDescent="0.25">
      <c r="A673" t="s">
        <v>7628</v>
      </c>
      <c r="B673">
        <v>1</v>
      </c>
      <c r="C673">
        <v>125</v>
      </c>
      <c r="D673">
        <v>125</v>
      </c>
      <c r="E673">
        <v>28</v>
      </c>
      <c r="F673">
        <v>28</v>
      </c>
      <c r="G673">
        <v>125</v>
      </c>
    </row>
    <row r="674" spans="1:7" ht="15" x14ac:dyDescent="0.25">
      <c r="A674" t="s">
        <v>7633</v>
      </c>
      <c r="B674">
        <v>1</v>
      </c>
      <c r="C674">
        <v>62</v>
      </c>
      <c r="D674">
        <v>62</v>
      </c>
      <c r="E674">
        <v>4</v>
      </c>
      <c r="F674">
        <v>4</v>
      </c>
      <c r="G674">
        <v>62</v>
      </c>
    </row>
    <row r="675" spans="1:7" ht="15" x14ac:dyDescent="0.25">
      <c r="A675" t="s">
        <v>7641</v>
      </c>
      <c r="B675">
        <v>1</v>
      </c>
      <c r="C675">
        <v>263</v>
      </c>
      <c r="D675">
        <v>263</v>
      </c>
      <c r="E675">
        <v>23</v>
      </c>
      <c r="F675">
        <v>23</v>
      </c>
      <c r="G675">
        <v>263</v>
      </c>
    </row>
    <row r="676" spans="1:7" ht="15" x14ac:dyDescent="0.25">
      <c r="A676" t="s">
        <v>7647</v>
      </c>
      <c r="B676">
        <v>17</v>
      </c>
      <c r="C676">
        <v>88</v>
      </c>
      <c r="D676">
        <v>1259</v>
      </c>
      <c r="E676">
        <v>282</v>
      </c>
      <c r="F676">
        <v>16.588235294117649</v>
      </c>
      <c r="G676">
        <v>88</v>
      </c>
    </row>
    <row r="677" spans="1:7" ht="15" x14ac:dyDescent="0.25">
      <c r="A677" t="s">
        <v>7656</v>
      </c>
      <c r="B677">
        <v>1</v>
      </c>
      <c r="D677">
        <v>0</v>
      </c>
      <c r="E677">
        <v>7</v>
      </c>
      <c r="F677">
        <v>7</v>
      </c>
    </row>
    <row r="678" spans="1:7" ht="15" x14ac:dyDescent="0.25">
      <c r="A678" t="s">
        <v>7662</v>
      </c>
      <c r="B678">
        <v>1</v>
      </c>
      <c r="C678">
        <v>16</v>
      </c>
      <c r="D678">
        <v>16</v>
      </c>
      <c r="E678">
        <v>23</v>
      </c>
      <c r="F678">
        <v>23</v>
      </c>
      <c r="G678">
        <v>16</v>
      </c>
    </row>
    <row r="679" spans="1:7" ht="15" x14ac:dyDescent="0.25">
      <c r="A679" t="s">
        <v>7667</v>
      </c>
      <c r="B679">
        <v>1</v>
      </c>
      <c r="C679">
        <v>424</v>
      </c>
      <c r="D679">
        <v>424</v>
      </c>
      <c r="E679">
        <v>16</v>
      </c>
      <c r="F679">
        <v>16</v>
      </c>
      <c r="G679">
        <v>424</v>
      </c>
    </row>
    <row r="680" spans="1:7" ht="15" x14ac:dyDescent="0.25">
      <c r="A680" t="s">
        <v>7673</v>
      </c>
      <c r="B680">
        <v>1</v>
      </c>
      <c r="C680">
        <v>676</v>
      </c>
      <c r="D680">
        <v>676</v>
      </c>
      <c r="E680">
        <v>28</v>
      </c>
      <c r="F680">
        <v>28</v>
      </c>
      <c r="G680">
        <v>676</v>
      </c>
    </row>
    <row r="681" spans="1:7" ht="15" x14ac:dyDescent="0.25">
      <c r="A681" t="s">
        <v>7680</v>
      </c>
      <c r="B681">
        <v>1</v>
      </c>
      <c r="C681">
        <v>275</v>
      </c>
      <c r="D681">
        <v>275</v>
      </c>
      <c r="E681">
        <v>7</v>
      </c>
      <c r="F681">
        <v>7</v>
      </c>
      <c r="G681">
        <v>275</v>
      </c>
    </row>
    <row r="682" spans="1:7" ht="15" x14ac:dyDescent="0.25">
      <c r="A682" t="s">
        <v>7686</v>
      </c>
      <c r="B682">
        <v>1</v>
      </c>
      <c r="C682">
        <v>278</v>
      </c>
      <c r="D682">
        <v>278</v>
      </c>
      <c r="E682">
        <v>16</v>
      </c>
      <c r="F682">
        <v>16</v>
      </c>
      <c r="G682">
        <v>278</v>
      </c>
    </row>
    <row r="683" spans="1:7" ht="15" x14ac:dyDescent="0.25">
      <c r="A683" t="s">
        <v>7693</v>
      </c>
      <c r="B683">
        <v>1</v>
      </c>
      <c r="C683">
        <v>650</v>
      </c>
      <c r="D683">
        <v>650</v>
      </c>
      <c r="E683">
        <v>21</v>
      </c>
      <c r="F683">
        <v>21</v>
      </c>
      <c r="G683">
        <v>650</v>
      </c>
    </row>
    <row r="684" spans="1:7" ht="15" x14ac:dyDescent="0.25">
      <c r="A684" t="s">
        <v>7698</v>
      </c>
      <c r="B684">
        <v>1</v>
      </c>
      <c r="C684">
        <v>836</v>
      </c>
      <c r="D684">
        <v>836</v>
      </c>
      <c r="E684">
        <v>157</v>
      </c>
      <c r="F684">
        <v>157</v>
      </c>
      <c r="G684">
        <v>836</v>
      </c>
    </row>
    <row r="685" spans="1:7" ht="15" x14ac:dyDescent="0.25">
      <c r="A685" t="s">
        <v>7705</v>
      </c>
      <c r="B685">
        <v>1</v>
      </c>
      <c r="C685">
        <v>1094</v>
      </c>
      <c r="D685">
        <v>1094</v>
      </c>
      <c r="E685">
        <v>74</v>
      </c>
      <c r="F685">
        <v>74</v>
      </c>
      <c r="G685">
        <v>1094</v>
      </c>
    </row>
    <row r="686" spans="1:7" ht="15" x14ac:dyDescent="0.25">
      <c r="A686" t="s">
        <v>7712</v>
      </c>
      <c r="B686">
        <v>1</v>
      </c>
      <c r="C686">
        <v>345</v>
      </c>
      <c r="D686">
        <v>345</v>
      </c>
      <c r="E686">
        <v>31</v>
      </c>
      <c r="F686">
        <v>31</v>
      </c>
      <c r="G686">
        <v>345</v>
      </c>
    </row>
    <row r="687" spans="1:7" ht="15" x14ac:dyDescent="0.25">
      <c r="A687" t="s">
        <v>7721</v>
      </c>
      <c r="B687">
        <v>1</v>
      </c>
      <c r="C687">
        <v>481</v>
      </c>
      <c r="D687">
        <v>481</v>
      </c>
      <c r="E687">
        <v>19</v>
      </c>
      <c r="F687">
        <v>19</v>
      </c>
      <c r="G687">
        <v>481</v>
      </c>
    </row>
    <row r="688" spans="1:7" ht="15" x14ac:dyDescent="0.25">
      <c r="A688" t="s">
        <v>7731</v>
      </c>
      <c r="B688">
        <v>1</v>
      </c>
      <c r="C688">
        <v>214</v>
      </c>
      <c r="D688">
        <v>214</v>
      </c>
      <c r="E688">
        <v>61</v>
      </c>
      <c r="F688">
        <v>61</v>
      </c>
      <c r="G688">
        <v>214</v>
      </c>
    </row>
    <row r="689" spans="1:7" ht="15" x14ac:dyDescent="0.25">
      <c r="A689" t="s">
        <v>7739</v>
      </c>
      <c r="B689">
        <v>1</v>
      </c>
      <c r="C689">
        <v>424</v>
      </c>
      <c r="D689">
        <v>424</v>
      </c>
      <c r="E689">
        <v>19</v>
      </c>
      <c r="F689">
        <v>19</v>
      </c>
      <c r="G689">
        <v>424</v>
      </c>
    </row>
    <row r="690" spans="1:7" ht="15" x14ac:dyDescent="0.25">
      <c r="A690" t="s">
        <v>7752</v>
      </c>
      <c r="B690">
        <v>1</v>
      </c>
      <c r="C690">
        <v>137</v>
      </c>
      <c r="D690">
        <v>137</v>
      </c>
      <c r="E690">
        <v>67</v>
      </c>
      <c r="F690">
        <v>67</v>
      </c>
      <c r="G690">
        <v>137</v>
      </c>
    </row>
    <row r="691" spans="1:7" ht="15" x14ac:dyDescent="0.25">
      <c r="A691" t="s">
        <v>7767</v>
      </c>
      <c r="B691">
        <v>2</v>
      </c>
      <c r="C691">
        <v>288</v>
      </c>
      <c r="D691">
        <v>581</v>
      </c>
      <c r="E691">
        <v>68</v>
      </c>
      <c r="F691">
        <v>34</v>
      </c>
      <c r="G691">
        <v>293</v>
      </c>
    </row>
    <row r="692" spans="1:7" ht="15" x14ac:dyDescent="0.25">
      <c r="A692" t="s">
        <v>7775</v>
      </c>
      <c r="B692">
        <v>1</v>
      </c>
      <c r="C692">
        <v>619</v>
      </c>
      <c r="D692">
        <v>619</v>
      </c>
      <c r="E692">
        <v>37</v>
      </c>
      <c r="F692">
        <v>37</v>
      </c>
      <c r="G692">
        <v>619</v>
      </c>
    </row>
    <row r="693" spans="1:7" ht="15" x14ac:dyDescent="0.25">
      <c r="A693" t="s">
        <v>7783</v>
      </c>
      <c r="B693">
        <v>1</v>
      </c>
      <c r="C693">
        <v>306</v>
      </c>
      <c r="D693">
        <v>306</v>
      </c>
      <c r="E693">
        <v>47</v>
      </c>
      <c r="F693">
        <v>47</v>
      </c>
      <c r="G693">
        <v>306</v>
      </c>
    </row>
    <row r="694" spans="1:7" ht="15" x14ac:dyDescent="0.25">
      <c r="A694" t="s">
        <v>7788</v>
      </c>
      <c r="B694">
        <v>1</v>
      </c>
      <c r="C694">
        <v>221</v>
      </c>
      <c r="D694">
        <v>221</v>
      </c>
      <c r="E694">
        <v>27</v>
      </c>
      <c r="F694">
        <v>27</v>
      </c>
      <c r="G694">
        <v>221</v>
      </c>
    </row>
    <row r="695" spans="1:7" ht="15" x14ac:dyDescent="0.25">
      <c r="A695" t="s">
        <v>7793</v>
      </c>
      <c r="B695">
        <v>15</v>
      </c>
      <c r="C695">
        <v>5825</v>
      </c>
      <c r="D695">
        <v>81062</v>
      </c>
      <c r="E695">
        <v>2931</v>
      </c>
      <c r="F695">
        <v>195.4</v>
      </c>
      <c r="G695">
        <v>5829</v>
      </c>
    </row>
    <row r="696" spans="1:7" ht="15" x14ac:dyDescent="0.25">
      <c r="A696" t="s">
        <v>7797</v>
      </c>
      <c r="B696">
        <v>1</v>
      </c>
      <c r="C696">
        <v>216</v>
      </c>
      <c r="D696">
        <v>216</v>
      </c>
      <c r="E696">
        <v>3</v>
      </c>
      <c r="F696">
        <v>3</v>
      </c>
      <c r="G696">
        <v>216</v>
      </c>
    </row>
    <row r="697" spans="1:7" ht="15" x14ac:dyDescent="0.25">
      <c r="A697" t="s">
        <v>7802</v>
      </c>
      <c r="B697">
        <v>9</v>
      </c>
      <c r="C697">
        <v>181</v>
      </c>
      <c r="D697">
        <v>1677</v>
      </c>
      <c r="E697">
        <v>179</v>
      </c>
      <c r="F697">
        <v>19.888888888888889</v>
      </c>
      <c r="G697">
        <v>191</v>
      </c>
    </row>
    <row r="698" spans="1:7" ht="15" x14ac:dyDescent="0.25">
      <c r="A698" t="s">
        <v>7810</v>
      </c>
      <c r="B698">
        <v>1</v>
      </c>
      <c r="C698">
        <v>570</v>
      </c>
      <c r="D698">
        <v>570</v>
      </c>
      <c r="E698">
        <v>47</v>
      </c>
      <c r="F698">
        <v>47</v>
      </c>
      <c r="G698">
        <v>570</v>
      </c>
    </row>
    <row r="699" spans="1:7" ht="15" x14ac:dyDescent="0.25">
      <c r="A699" t="s">
        <v>7815</v>
      </c>
      <c r="B699">
        <v>1</v>
      </c>
      <c r="C699">
        <v>93</v>
      </c>
      <c r="D699">
        <v>93</v>
      </c>
      <c r="E699">
        <v>14</v>
      </c>
      <c r="F699">
        <v>14</v>
      </c>
      <c r="G699">
        <v>93</v>
      </c>
    </row>
    <row r="700" spans="1:7" ht="15" x14ac:dyDescent="0.25">
      <c r="A700" t="s">
        <v>7827</v>
      </c>
      <c r="B700">
        <v>1</v>
      </c>
      <c r="C700">
        <v>957</v>
      </c>
      <c r="D700">
        <v>957</v>
      </c>
      <c r="E700">
        <v>88</v>
      </c>
      <c r="F700">
        <v>88</v>
      </c>
      <c r="G700">
        <v>957</v>
      </c>
    </row>
    <row r="701" spans="1:7" ht="15" x14ac:dyDescent="0.25">
      <c r="A701" t="s">
        <v>7831</v>
      </c>
      <c r="B701">
        <v>1</v>
      </c>
      <c r="C701">
        <v>363</v>
      </c>
      <c r="D701">
        <v>363</v>
      </c>
      <c r="E701">
        <v>21</v>
      </c>
      <c r="F701">
        <v>21</v>
      </c>
      <c r="G701">
        <v>363</v>
      </c>
    </row>
    <row r="702" spans="1:7" ht="15" x14ac:dyDescent="0.25">
      <c r="A702" t="s">
        <v>7837</v>
      </c>
      <c r="B702">
        <v>2</v>
      </c>
      <c r="C702">
        <v>64</v>
      </c>
      <c r="D702">
        <v>126</v>
      </c>
      <c r="E702">
        <v>27</v>
      </c>
      <c r="F702">
        <v>13.5</v>
      </c>
      <c r="G702">
        <v>64</v>
      </c>
    </row>
    <row r="703" spans="1:7" ht="15" x14ac:dyDescent="0.25">
      <c r="A703" t="s">
        <v>7844</v>
      </c>
      <c r="B703">
        <v>12</v>
      </c>
      <c r="C703">
        <v>432</v>
      </c>
      <c r="D703">
        <v>5106</v>
      </c>
      <c r="E703">
        <v>545</v>
      </c>
      <c r="F703">
        <v>45.416666666666664</v>
      </c>
      <c r="G703">
        <v>437</v>
      </c>
    </row>
    <row r="704" spans="1:7" ht="15" x14ac:dyDescent="0.25">
      <c r="A704" t="s">
        <v>7850</v>
      </c>
      <c r="B704">
        <v>2</v>
      </c>
      <c r="C704">
        <v>85</v>
      </c>
      <c r="D704">
        <v>166</v>
      </c>
      <c r="E704">
        <v>16</v>
      </c>
      <c r="F704">
        <v>8</v>
      </c>
      <c r="G704">
        <v>85</v>
      </c>
    </row>
    <row r="705" spans="1:7" ht="15" x14ac:dyDescent="0.25">
      <c r="A705" t="s">
        <v>7856</v>
      </c>
      <c r="B705">
        <v>1</v>
      </c>
      <c r="C705">
        <v>78</v>
      </c>
      <c r="D705">
        <v>78</v>
      </c>
      <c r="E705">
        <v>16</v>
      </c>
      <c r="F705">
        <v>16</v>
      </c>
      <c r="G705">
        <v>78</v>
      </c>
    </row>
    <row r="706" spans="1:7" ht="15" x14ac:dyDescent="0.25">
      <c r="A706" t="s">
        <v>7863</v>
      </c>
      <c r="B706">
        <v>1</v>
      </c>
      <c r="C706">
        <v>2177</v>
      </c>
      <c r="D706">
        <v>2177</v>
      </c>
      <c r="E706">
        <v>56</v>
      </c>
      <c r="F706">
        <v>56</v>
      </c>
      <c r="G706">
        <v>2177</v>
      </c>
    </row>
    <row r="707" spans="1:7" ht="15" x14ac:dyDescent="0.25">
      <c r="A707" t="s">
        <v>7870</v>
      </c>
      <c r="B707">
        <v>1</v>
      </c>
      <c r="C707">
        <v>336</v>
      </c>
      <c r="D707">
        <v>336</v>
      </c>
      <c r="E707">
        <v>45</v>
      </c>
      <c r="F707">
        <v>45</v>
      </c>
      <c r="G707">
        <v>336</v>
      </c>
    </row>
    <row r="708" spans="1:7" ht="15" x14ac:dyDescent="0.25">
      <c r="A708" t="s">
        <v>7880</v>
      </c>
      <c r="B708">
        <v>1</v>
      </c>
      <c r="C708">
        <v>417</v>
      </c>
      <c r="D708">
        <v>417</v>
      </c>
      <c r="E708">
        <v>61</v>
      </c>
      <c r="F708">
        <v>61</v>
      </c>
      <c r="G708">
        <v>417</v>
      </c>
    </row>
    <row r="709" spans="1:7" ht="15" x14ac:dyDescent="0.25">
      <c r="A709" t="s">
        <v>7885</v>
      </c>
      <c r="B709">
        <v>1</v>
      </c>
      <c r="C709">
        <v>140</v>
      </c>
      <c r="D709">
        <v>140</v>
      </c>
      <c r="E709">
        <v>12</v>
      </c>
      <c r="F709">
        <v>12</v>
      </c>
      <c r="G709">
        <v>140</v>
      </c>
    </row>
    <row r="710" spans="1:7" ht="15" x14ac:dyDescent="0.25">
      <c r="A710" t="s">
        <v>7902</v>
      </c>
      <c r="B710">
        <v>1</v>
      </c>
      <c r="C710">
        <v>1241</v>
      </c>
      <c r="D710">
        <v>1241</v>
      </c>
      <c r="E710">
        <v>318</v>
      </c>
      <c r="F710">
        <v>318</v>
      </c>
      <c r="G710">
        <v>1241</v>
      </c>
    </row>
    <row r="711" spans="1:7" ht="15" x14ac:dyDescent="0.25">
      <c r="A711" t="s">
        <v>7909</v>
      </c>
      <c r="B711">
        <v>1</v>
      </c>
      <c r="C711">
        <v>363</v>
      </c>
      <c r="D711">
        <v>363</v>
      </c>
      <c r="E711">
        <v>37</v>
      </c>
      <c r="F711">
        <v>37</v>
      </c>
      <c r="G711">
        <v>363</v>
      </c>
    </row>
    <row r="712" spans="1:7" ht="15" x14ac:dyDescent="0.25">
      <c r="A712" t="s">
        <v>7918</v>
      </c>
      <c r="B712">
        <v>1</v>
      </c>
      <c r="C712">
        <v>336</v>
      </c>
      <c r="D712">
        <v>336</v>
      </c>
      <c r="E712">
        <v>13</v>
      </c>
      <c r="F712">
        <v>13</v>
      </c>
      <c r="G712">
        <v>336</v>
      </c>
    </row>
    <row r="713" spans="1:7" ht="15" x14ac:dyDescent="0.25">
      <c r="A713" t="s">
        <v>7928</v>
      </c>
      <c r="B713">
        <v>3</v>
      </c>
      <c r="C713">
        <v>1013</v>
      </c>
      <c r="D713">
        <v>3033</v>
      </c>
      <c r="E713">
        <v>298</v>
      </c>
      <c r="F713">
        <v>99.333333333333329</v>
      </c>
      <c r="G713">
        <v>1013</v>
      </c>
    </row>
    <row r="714" spans="1:7" ht="15" x14ac:dyDescent="0.25">
      <c r="A714" t="s">
        <v>7933</v>
      </c>
      <c r="B714">
        <v>1</v>
      </c>
      <c r="C714">
        <v>451</v>
      </c>
      <c r="D714">
        <v>451</v>
      </c>
      <c r="E714">
        <v>76</v>
      </c>
      <c r="F714">
        <v>76</v>
      </c>
      <c r="G714">
        <v>451</v>
      </c>
    </row>
    <row r="715" spans="1:7" ht="15" x14ac:dyDescent="0.25">
      <c r="A715" t="s">
        <v>7938</v>
      </c>
      <c r="B715">
        <v>1</v>
      </c>
      <c r="D715">
        <v>0</v>
      </c>
      <c r="E715">
        <v>142</v>
      </c>
      <c r="F715">
        <v>142</v>
      </c>
    </row>
    <row r="716" spans="1:7" ht="15" x14ac:dyDescent="0.25">
      <c r="A716" t="s">
        <v>7943</v>
      </c>
      <c r="B716">
        <v>1</v>
      </c>
      <c r="C716">
        <v>343</v>
      </c>
      <c r="D716">
        <v>343</v>
      </c>
      <c r="E716">
        <v>86</v>
      </c>
      <c r="F716">
        <v>86</v>
      </c>
      <c r="G716">
        <v>343</v>
      </c>
    </row>
    <row r="717" spans="1:7" ht="15" x14ac:dyDescent="0.25">
      <c r="A717" t="s">
        <v>7951</v>
      </c>
      <c r="B717">
        <v>1</v>
      </c>
      <c r="C717">
        <v>151</v>
      </c>
      <c r="D717">
        <v>151</v>
      </c>
      <c r="E717">
        <v>33</v>
      </c>
      <c r="F717">
        <v>33</v>
      </c>
      <c r="G717">
        <v>151</v>
      </c>
    </row>
    <row r="718" spans="1:7" ht="15" x14ac:dyDescent="0.25">
      <c r="A718" t="s">
        <v>7957</v>
      </c>
      <c r="B718">
        <v>1</v>
      </c>
      <c r="C718">
        <v>46</v>
      </c>
      <c r="D718">
        <v>46</v>
      </c>
      <c r="E718">
        <v>6</v>
      </c>
      <c r="F718">
        <v>6</v>
      </c>
      <c r="G718">
        <v>46</v>
      </c>
    </row>
    <row r="719" spans="1:7" ht="15" x14ac:dyDescent="0.25">
      <c r="A719" t="s">
        <v>7963</v>
      </c>
      <c r="B719">
        <v>1</v>
      </c>
      <c r="C719">
        <v>857</v>
      </c>
      <c r="D719">
        <v>857</v>
      </c>
      <c r="E719">
        <v>521</v>
      </c>
      <c r="F719">
        <v>521</v>
      </c>
      <c r="G719">
        <v>857</v>
      </c>
    </row>
    <row r="720" spans="1:7" ht="15" x14ac:dyDescent="0.25">
      <c r="A720" t="s">
        <v>7968</v>
      </c>
      <c r="B720">
        <v>1</v>
      </c>
      <c r="D720">
        <v>0</v>
      </c>
      <c r="E720">
        <v>63</v>
      </c>
      <c r="F720">
        <v>63</v>
      </c>
    </row>
    <row r="721" spans="1:7" ht="15" x14ac:dyDescent="0.25">
      <c r="A721" t="s">
        <v>7973</v>
      </c>
      <c r="B721">
        <v>1</v>
      </c>
      <c r="C721">
        <v>158</v>
      </c>
      <c r="D721">
        <v>158</v>
      </c>
      <c r="E721">
        <v>26</v>
      </c>
      <c r="F721">
        <v>26</v>
      </c>
      <c r="G721">
        <v>158</v>
      </c>
    </row>
    <row r="722" spans="1:7" ht="15" x14ac:dyDescent="0.25">
      <c r="A722" t="s">
        <v>7980</v>
      </c>
      <c r="B722">
        <v>1</v>
      </c>
      <c r="C722">
        <v>17</v>
      </c>
      <c r="D722">
        <v>17</v>
      </c>
      <c r="E722">
        <v>3</v>
      </c>
      <c r="F722">
        <v>3</v>
      </c>
      <c r="G722">
        <v>17</v>
      </c>
    </row>
    <row r="723" spans="1:7" ht="15" x14ac:dyDescent="0.25">
      <c r="A723" t="s">
        <v>7987</v>
      </c>
      <c r="B723">
        <v>9</v>
      </c>
      <c r="C723">
        <v>466</v>
      </c>
      <c r="D723">
        <v>4183</v>
      </c>
      <c r="E723">
        <v>621</v>
      </c>
      <c r="F723">
        <v>69</v>
      </c>
      <c r="G723">
        <v>475</v>
      </c>
    </row>
    <row r="724" spans="1:7" ht="15" x14ac:dyDescent="0.25">
      <c r="A724" t="s">
        <v>7992</v>
      </c>
      <c r="B724">
        <v>1</v>
      </c>
      <c r="C724">
        <v>268</v>
      </c>
      <c r="D724">
        <v>268</v>
      </c>
      <c r="E724">
        <v>20</v>
      </c>
      <c r="F724">
        <v>20</v>
      </c>
      <c r="G724">
        <v>268</v>
      </c>
    </row>
    <row r="725" spans="1:7" ht="15" x14ac:dyDescent="0.25">
      <c r="A725" t="s">
        <v>7996</v>
      </c>
      <c r="B725">
        <v>1</v>
      </c>
      <c r="C725">
        <v>144</v>
      </c>
      <c r="D725">
        <v>144</v>
      </c>
      <c r="E725">
        <v>15</v>
      </c>
      <c r="F725">
        <v>15</v>
      </c>
      <c r="G725">
        <v>144</v>
      </c>
    </row>
    <row r="726" spans="1:7" ht="15" x14ac:dyDescent="0.25">
      <c r="A726" t="s">
        <v>8003</v>
      </c>
      <c r="B726">
        <v>1</v>
      </c>
      <c r="C726">
        <v>450</v>
      </c>
      <c r="D726">
        <v>450</v>
      </c>
      <c r="E726">
        <v>178</v>
      </c>
      <c r="F726">
        <v>178</v>
      </c>
      <c r="G726">
        <v>450</v>
      </c>
    </row>
    <row r="727" spans="1:7" ht="15" x14ac:dyDescent="0.25">
      <c r="A727" t="s">
        <v>8010</v>
      </c>
      <c r="B727">
        <v>1</v>
      </c>
      <c r="C727">
        <v>380</v>
      </c>
      <c r="D727">
        <v>380</v>
      </c>
      <c r="E727">
        <v>23</v>
      </c>
      <c r="F727">
        <v>23</v>
      </c>
      <c r="G727">
        <v>380</v>
      </c>
    </row>
    <row r="728" spans="1:7" ht="15" x14ac:dyDescent="0.25">
      <c r="A728" t="s">
        <v>8015</v>
      </c>
      <c r="B728">
        <v>3</v>
      </c>
      <c r="C728">
        <v>400</v>
      </c>
      <c r="D728">
        <v>1170</v>
      </c>
      <c r="E728">
        <v>225</v>
      </c>
      <c r="F728">
        <v>75</v>
      </c>
      <c r="G728">
        <v>400</v>
      </c>
    </row>
    <row r="729" spans="1:7" ht="15" x14ac:dyDescent="0.25">
      <c r="A729" t="s">
        <v>8023</v>
      </c>
      <c r="B729">
        <v>1</v>
      </c>
      <c r="C729">
        <v>304</v>
      </c>
      <c r="D729">
        <v>304</v>
      </c>
      <c r="E729">
        <v>12</v>
      </c>
      <c r="F729">
        <v>12</v>
      </c>
      <c r="G729">
        <v>304</v>
      </c>
    </row>
    <row r="730" spans="1:7" ht="15" x14ac:dyDescent="0.25">
      <c r="A730" t="s">
        <v>8033</v>
      </c>
      <c r="B730">
        <v>1</v>
      </c>
      <c r="C730">
        <v>352</v>
      </c>
      <c r="D730">
        <v>352</v>
      </c>
      <c r="E730">
        <v>11</v>
      </c>
      <c r="F730">
        <v>11</v>
      </c>
      <c r="G730">
        <v>352</v>
      </c>
    </row>
    <row r="731" spans="1:7" ht="15" x14ac:dyDescent="0.25">
      <c r="A731" t="s">
        <v>8036</v>
      </c>
      <c r="B731">
        <v>1</v>
      </c>
      <c r="C731">
        <v>766</v>
      </c>
      <c r="D731">
        <v>766</v>
      </c>
      <c r="E731">
        <v>107</v>
      </c>
      <c r="F731">
        <v>107</v>
      </c>
      <c r="G731">
        <v>766</v>
      </c>
    </row>
    <row r="732" spans="1:7" ht="15" x14ac:dyDescent="0.25">
      <c r="A732" t="s">
        <v>8043</v>
      </c>
      <c r="B732">
        <v>1</v>
      </c>
      <c r="C732">
        <v>424</v>
      </c>
      <c r="D732">
        <v>424</v>
      </c>
      <c r="E732">
        <v>50</v>
      </c>
      <c r="F732">
        <v>50</v>
      </c>
      <c r="G732">
        <v>424</v>
      </c>
    </row>
    <row r="733" spans="1:7" ht="15" x14ac:dyDescent="0.25">
      <c r="A733" t="s">
        <v>8050</v>
      </c>
      <c r="B733">
        <v>1</v>
      </c>
      <c r="C733">
        <v>3221</v>
      </c>
      <c r="D733">
        <v>3221</v>
      </c>
      <c r="E733">
        <v>83</v>
      </c>
      <c r="F733">
        <v>83</v>
      </c>
      <c r="G733">
        <v>3221</v>
      </c>
    </row>
    <row r="734" spans="1:7" ht="15" x14ac:dyDescent="0.25">
      <c r="A734" t="s">
        <v>8055</v>
      </c>
      <c r="B734">
        <v>1</v>
      </c>
      <c r="C734">
        <v>31</v>
      </c>
      <c r="D734">
        <v>31</v>
      </c>
      <c r="E734">
        <v>36</v>
      </c>
      <c r="F734">
        <v>36</v>
      </c>
      <c r="G734">
        <v>31</v>
      </c>
    </row>
    <row r="735" spans="1:7" ht="15" x14ac:dyDescent="0.25">
      <c r="A735" t="s">
        <v>8061</v>
      </c>
      <c r="B735">
        <v>2</v>
      </c>
      <c r="C735">
        <v>232</v>
      </c>
      <c r="D735">
        <v>456</v>
      </c>
      <c r="E735">
        <v>81</v>
      </c>
      <c r="F735">
        <v>40.5</v>
      </c>
      <c r="G735">
        <v>232</v>
      </c>
    </row>
    <row r="736" spans="1:7" ht="15" x14ac:dyDescent="0.25">
      <c r="A736" t="s">
        <v>8068</v>
      </c>
      <c r="B736">
        <v>1</v>
      </c>
      <c r="C736">
        <v>2368</v>
      </c>
      <c r="D736">
        <v>2368</v>
      </c>
      <c r="E736">
        <v>158</v>
      </c>
      <c r="F736">
        <v>158</v>
      </c>
      <c r="G736">
        <v>2368</v>
      </c>
    </row>
    <row r="737" spans="1:7" ht="15" x14ac:dyDescent="0.25">
      <c r="A737" t="s">
        <v>8078</v>
      </c>
      <c r="B737">
        <v>1</v>
      </c>
      <c r="C737">
        <v>165</v>
      </c>
      <c r="D737">
        <v>165</v>
      </c>
      <c r="E737">
        <v>46</v>
      </c>
      <c r="F737">
        <v>46</v>
      </c>
      <c r="G737">
        <v>165</v>
      </c>
    </row>
    <row r="738" spans="1:7" ht="15" x14ac:dyDescent="0.25">
      <c r="A738" t="s">
        <v>8099</v>
      </c>
      <c r="B738">
        <v>1</v>
      </c>
      <c r="C738">
        <v>596</v>
      </c>
      <c r="D738">
        <v>596</v>
      </c>
      <c r="E738">
        <v>25</v>
      </c>
      <c r="F738">
        <v>25</v>
      </c>
      <c r="G738">
        <v>596</v>
      </c>
    </row>
    <row r="739" spans="1:7" ht="15" x14ac:dyDescent="0.25">
      <c r="A739" t="s">
        <v>8107</v>
      </c>
      <c r="B739">
        <v>3</v>
      </c>
      <c r="C739">
        <v>312</v>
      </c>
      <c r="D739">
        <v>940</v>
      </c>
      <c r="E739">
        <v>99</v>
      </c>
      <c r="F739">
        <v>33</v>
      </c>
      <c r="G739">
        <v>316</v>
      </c>
    </row>
    <row r="740" spans="1:7" ht="15" x14ac:dyDescent="0.25">
      <c r="A740" t="s">
        <v>8113</v>
      </c>
      <c r="B740">
        <v>1</v>
      </c>
      <c r="C740">
        <v>151</v>
      </c>
      <c r="D740">
        <v>151</v>
      </c>
      <c r="E740">
        <v>54</v>
      </c>
      <c r="F740">
        <v>54</v>
      </c>
      <c r="G740">
        <v>151</v>
      </c>
    </row>
    <row r="741" spans="1:7" ht="15" x14ac:dyDescent="0.25">
      <c r="A741" t="s">
        <v>8122</v>
      </c>
      <c r="B741">
        <v>1</v>
      </c>
      <c r="C741">
        <v>355</v>
      </c>
      <c r="D741">
        <v>355</v>
      </c>
      <c r="E741">
        <v>110</v>
      </c>
      <c r="F741">
        <v>110</v>
      </c>
      <c r="G741">
        <v>355</v>
      </c>
    </row>
    <row r="742" spans="1:7" ht="15" x14ac:dyDescent="0.25">
      <c r="A742" t="s">
        <v>8130</v>
      </c>
      <c r="B742">
        <v>1</v>
      </c>
      <c r="C742">
        <v>230</v>
      </c>
      <c r="D742">
        <v>230</v>
      </c>
      <c r="E742">
        <v>27</v>
      </c>
      <c r="F742">
        <v>27</v>
      </c>
      <c r="G742">
        <v>230</v>
      </c>
    </row>
    <row r="743" spans="1:7" ht="15" x14ac:dyDescent="0.25">
      <c r="A743" t="s">
        <v>8135</v>
      </c>
      <c r="B743">
        <v>1</v>
      </c>
      <c r="C743">
        <v>7</v>
      </c>
      <c r="D743">
        <v>7</v>
      </c>
      <c r="E743">
        <v>2</v>
      </c>
      <c r="F743">
        <v>2</v>
      </c>
      <c r="G743">
        <v>7</v>
      </c>
    </row>
    <row r="744" spans="1:7" ht="15" x14ac:dyDescent="0.25">
      <c r="A744" t="s">
        <v>8138</v>
      </c>
      <c r="B744">
        <v>1</v>
      </c>
      <c r="C744">
        <v>194</v>
      </c>
      <c r="D744">
        <v>194</v>
      </c>
      <c r="E744">
        <v>69</v>
      </c>
      <c r="F744">
        <v>69</v>
      </c>
      <c r="G744">
        <v>194</v>
      </c>
    </row>
    <row r="745" spans="1:7" ht="15" x14ac:dyDescent="0.25">
      <c r="A745" t="s">
        <v>8146</v>
      </c>
      <c r="B745">
        <v>1</v>
      </c>
      <c r="C745">
        <v>444</v>
      </c>
      <c r="D745">
        <v>444</v>
      </c>
      <c r="E745">
        <v>3</v>
      </c>
      <c r="F745">
        <v>3</v>
      </c>
      <c r="G745">
        <v>444</v>
      </c>
    </row>
    <row r="746" spans="1:7" ht="15" x14ac:dyDescent="0.25">
      <c r="A746" t="s">
        <v>8153</v>
      </c>
      <c r="B746">
        <v>1</v>
      </c>
      <c r="C746">
        <v>485</v>
      </c>
      <c r="D746">
        <v>485</v>
      </c>
      <c r="E746">
        <v>54</v>
      </c>
      <c r="F746">
        <v>54</v>
      </c>
      <c r="G746">
        <v>485</v>
      </c>
    </row>
    <row r="747" spans="1:7" ht="15" x14ac:dyDescent="0.25">
      <c r="A747" t="s">
        <v>8162</v>
      </c>
      <c r="B747">
        <v>1</v>
      </c>
      <c r="C747">
        <v>68</v>
      </c>
      <c r="D747">
        <v>68</v>
      </c>
      <c r="E747">
        <v>9</v>
      </c>
      <c r="F747">
        <v>9</v>
      </c>
      <c r="G747">
        <v>68</v>
      </c>
    </row>
    <row r="748" spans="1:7" ht="15" x14ac:dyDescent="0.25">
      <c r="A748" t="s">
        <v>8168</v>
      </c>
      <c r="B748">
        <v>3</v>
      </c>
      <c r="C748">
        <v>3585</v>
      </c>
      <c r="D748">
        <v>10757</v>
      </c>
      <c r="E748">
        <v>299</v>
      </c>
      <c r="F748">
        <v>99.666666666666671</v>
      </c>
      <c r="G748">
        <v>3586</v>
      </c>
    </row>
    <row r="749" spans="1:7" ht="15" x14ac:dyDescent="0.25">
      <c r="A749" t="s">
        <v>8175</v>
      </c>
      <c r="B749">
        <v>2</v>
      </c>
      <c r="C749">
        <v>92</v>
      </c>
      <c r="D749">
        <v>169</v>
      </c>
      <c r="E749">
        <v>51</v>
      </c>
      <c r="F749">
        <v>25.5</v>
      </c>
      <c r="G749">
        <v>92</v>
      </c>
    </row>
    <row r="750" spans="1:7" ht="15" x14ac:dyDescent="0.25">
      <c r="A750" t="s">
        <v>8190</v>
      </c>
      <c r="B750">
        <v>1</v>
      </c>
      <c r="C750">
        <v>868</v>
      </c>
      <c r="D750">
        <v>868</v>
      </c>
      <c r="E750">
        <v>45</v>
      </c>
      <c r="F750">
        <v>45</v>
      </c>
      <c r="G750">
        <v>868</v>
      </c>
    </row>
    <row r="751" spans="1:7" ht="15" x14ac:dyDescent="0.25">
      <c r="A751" t="s">
        <v>8193</v>
      </c>
      <c r="B751">
        <v>1</v>
      </c>
      <c r="C751">
        <v>10</v>
      </c>
      <c r="D751">
        <v>10</v>
      </c>
      <c r="E751">
        <v>28</v>
      </c>
      <c r="F751">
        <v>28</v>
      </c>
      <c r="G751">
        <v>10</v>
      </c>
    </row>
    <row r="752" spans="1:7" ht="15" x14ac:dyDescent="0.25">
      <c r="A752" t="s">
        <v>8198</v>
      </c>
      <c r="B752">
        <v>2</v>
      </c>
      <c r="C752">
        <v>254</v>
      </c>
      <c r="D752">
        <v>504</v>
      </c>
      <c r="E752">
        <v>44</v>
      </c>
      <c r="F752">
        <v>22</v>
      </c>
      <c r="G752">
        <v>254</v>
      </c>
    </row>
    <row r="753" spans="1:7" ht="15" x14ac:dyDescent="0.25">
      <c r="A753" t="s">
        <v>8202</v>
      </c>
      <c r="B753">
        <v>5</v>
      </c>
      <c r="C753">
        <v>44182</v>
      </c>
      <c r="D753">
        <v>216548</v>
      </c>
      <c r="E753">
        <v>7132</v>
      </c>
      <c r="F753">
        <v>1426.4</v>
      </c>
      <c r="G753">
        <v>44182</v>
      </c>
    </row>
    <row r="754" spans="1:7" ht="15" x14ac:dyDescent="0.25">
      <c r="A754" t="s">
        <v>8214</v>
      </c>
      <c r="B754">
        <v>1</v>
      </c>
      <c r="C754">
        <v>83</v>
      </c>
      <c r="D754">
        <v>83</v>
      </c>
      <c r="E754">
        <v>3</v>
      </c>
      <c r="F754">
        <v>3</v>
      </c>
      <c r="G754">
        <v>83</v>
      </c>
    </row>
    <row r="755" spans="1:7" ht="15" x14ac:dyDescent="0.25">
      <c r="A755" t="s">
        <v>8219</v>
      </c>
      <c r="B755">
        <v>2</v>
      </c>
      <c r="C755">
        <v>357</v>
      </c>
      <c r="D755">
        <v>714</v>
      </c>
      <c r="E755">
        <v>180</v>
      </c>
      <c r="F755">
        <v>90</v>
      </c>
      <c r="G755">
        <v>357</v>
      </c>
    </row>
    <row r="756" spans="1:7" ht="15" x14ac:dyDescent="0.25">
      <c r="A756" t="s">
        <v>8235</v>
      </c>
      <c r="B756">
        <v>2</v>
      </c>
      <c r="C756">
        <v>1296</v>
      </c>
      <c r="D756">
        <v>2552</v>
      </c>
      <c r="E756">
        <v>758</v>
      </c>
      <c r="F756">
        <v>379</v>
      </c>
      <c r="G756">
        <v>1296</v>
      </c>
    </row>
    <row r="757" spans="1:7" ht="15" x14ac:dyDescent="0.25">
      <c r="A757" t="s">
        <v>8239</v>
      </c>
      <c r="B757">
        <v>1</v>
      </c>
      <c r="C757">
        <v>159</v>
      </c>
      <c r="D757">
        <v>159</v>
      </c>
      <c r="E757">
        <v>24</v>
      </c>
      <c r="F757">
        <v>24</v>
      </c>
      <c r="G757">
        <v>159</v>
      </c>
    </row>
    <row r="758" spans="1:7" ht="15" x14ac:dyDescent="0.25">
      <c r="A758" t="s">
        <v>8242</v>
      </c>
      <c r="B758">
        <v>1</v>
      </c>
      <c r="C758">
        <v>12</v>
      </c>
      <c r="D758">
        <v>12</v>
      </c>
      <c r="E758">
        <v>17</v>
      </c>
      <c r="F758">
        <v>17</v>
      </c>
      <c r="G758">
        <v>12</v>
      </c>
    </row>
    <row r="759" spans="1:7" ht="15" x14ac:dyDescent="0.25">
      <c r="A759" t="s">
        <v>8247</v>
      </c>
      <c r="B759">
        <v>1</v>
      </c>
      <c r="C759">
        <v>144</v>
      </c>
      <c r="D759">
        <v>144</v>
      </c>
      <c r="E759">
        <v>17</v>
      </c>
      <c r="F759">
        <v>17</v>
      </c>
      <c r="G759">
        <v>144</v>
      </c>
    </row>
    <row r="760" spans="1:7" ht="15" x14ac:dyDescent="0.25">
      <c r="A760" t="s">
        <v>8253</v>
      </c>
      <c r="B760">
        <v>1</v>
      </c>
      <c r="C760">
        <v>153</v>
      </c>
      <c r="D760">
        <v>153</v>
      </c>
      <c r="E760">
        <v>23</v>
      </c>
      <c r="F760">
        <v>23</v>
      </c>
      <c r="G760">
        <v>153</v>
      </c>
    </row>
    <row r="761" spans="1:7" ht="15" x14ac:dyDescent="0.25">
      <c r="A761" t="s">
        <v>8258</v>
      </c>
      <c r="B761">
        <v>1</v>
      </c>
      <c r="C761">
        <v>84</v>
      </c>
      <c r="D761">
        <v>84</v>
      </c>
      <c r="E761">
        <v>45</v>
      </c>
      <c r="F761">
        <v>45</v>
      </c>
      <c r="G761">
        <v>84</v>
      </c>
    </row>
    <row r="762" spans="1:7" ht="15" x14ac:dyDescent="0.25">
      <c r="A762" t="s">
        <v>8269</v>
      </c>
      <c r="B762">
        <v>1</v>
      </c>
      <c r="C762">
        <v>356</v>
      </c>
      <c r="D762">
        <v>356</v>
      </c>
      <c r="E762">
        <v>42</v>
      </c>
      <c r="F762">
        <v>42</v>
      </c>
      <c r="G762">
        <v>356</v>
      </c>
    </row>
    <row r="763" spans="1:7" ht="15" x14ac:dyDescent="0.25">
      <c r="A763" t="s">
        <v>8275</v>
      </c>
      <c r="B763">
        <v>1</v>
      </c>
      <c r="C763">
        <v>733</v>
      </c>
      <c r="D763">
        <v>733</v>
      </c>
      <c r="E763">
        <v>32</v>
      </c>
      <c r="F763">
        <v>32</v>
      </c>
      <c r="G763">
        <v>733</v>
      </c>
    </row>
    <row r="764" spans="1:7" ht="15" x14ac:dyDescent="0.25">
      <c r="A764" t="s">
        <v>8278</v>
      </c>
      <c r="B764">
        <v>1</v>
      </c>
      <c r="C764">
        <v>26</v>
      </c>
      <c r="D764">
        <v>26</v>
      </c>
      <c r="E764">
        <v>6</v>
      </c>
      <c r="F764">
        <v>6</v>
      </c>
      <c r="G764">
        <v>26</v>
      </c>
    </row>
    <row r="765" spans="1:7" ht="15" x14ac:dyDescent="0.25">
      <c r="A765" t="s">
        <v>8283</v>
      </c>
      <c r="B765">
        <v>1</v>
      </c>
      <c r="C765">
        <v>111</v>
      </c>
      <c r="D765">
        <v>111</v>
      </c>
      <c r="E765">
        <v>11</v>
      </c>
      <c r="F765">
        <v>11</v>
      </c>
      <c r="G765">
        <v>111</v>
      </c>
    </row>
    <row r="766" spans="1:7" ht="15" x14ac:dyDescent="0.25">
      <c r="A766" t="s">
        <v>8289</v>
      </c>
      <c r="B766">
        <v>1</v>
      </c>
      <c r="C766">
        <v>154</v>
      </c>
      <c r="D766">
        <v>154</v>
      </c>
      <c r="E766">
        <v>8</v>
      </c>
      <c r="F766">
        <v>8</v>
      </c>
      <c r="G766">
        <v>154</v>
      </c>
    </row>
    <row r="767" spans="1:7" ht="15" x14ac:dyDescent="0.25">
      <c r="A767" t="s">
        <v>8297</v>
      </c>
      <c r="B767">
        <v>1</v>
      </c>
      <c r="D767">
        <v>0</v>
      </c>
      <c r="E767">
        <v>55</v>
      </c>
      <c r="F767">
        <v>55</v>
      </c>
    </row>
    <row r="768" spans="1:7" ht="15" x14ac:dyDescent="0.25">
      <c r="A768" t="s">
        <v>8307</v>
      </c>
      <c r="B768">
        <v>4</v>
      </c>
      <c r="C768">
        <v>283</v>
      </c>
      <c r="D768">
        <v>1106</v>
      </c>
      <c r="E768">
        <v>157</v>
      </c>
      <c r="F768">
        <v>39.25</v>
      </c>
      <c r="G768">
        <v>283</v>
      </c>
    </row>
    <row r="769" spans="1:7" ht="15" x14ac:dyDescent="0.25">
      <c r="A769" t="s">
        <v>8312</v>
      </c>
      <c r="B769">
        <v>15</v>
      </c>
      <c r="C769">
        <v>27</v>
      </c>
      <c r="D769">
        <v>313</v>
      </c>
      <c r="E769">
        <v>352</v>
      </c>
      <c r="F769">
        <v>23.466666666666665</v>
      </c>
      <c r="G769">
        <v>28</v>
      </c>
    </row>
    <row r="770" spans="1:7" ht="15" x14ac:dyDescent="0.25">
      <c r="A770" t="s">
        <v>8320</v>
      </c>
      <c r="B770">
        <v>3</v>
      </c>
      <c r="C770">
        <v>2361</v>
      </c>
      <c r="D770">
        <v>7070</v>
      </c>
      <c r="E770">
        <v>206</v>
      </c>
      <c r="F770">
        <v>68.666666666666671</v>
      </c>
      <c r="G770">
        <v>2361</v>
      </c>
    </row>
    <row r="771" spans="1:7" ht="15" x14ac:dyDescent="0.25">
      <c r="A771" t="s">
        <v>8334</v>
      </c>
      <c r="B771">
        <v>1</v>
      </c>
      <c r="C771">
        <v>605</v>
      </c>
      <c r="D771">
        <v>605</v>
      </c>
      <c r="E771">
        <v>80</v>
      </c>
      <c r="F771">
        <v>80</v>
      </c>
      <c r="G771">
        <v>605</v>
      </c>
    </row>
    <row r="772" spans="1:7" ht="15" x14ac:dyDescent="0.25">
      <c r="A772" t="s">
        <v>8341</v>
      </c>
      <c r="B772">
        <v>1</v>
      </c>
      <c r="C772">
        <v>459</v>
      </c>
      <c r="D772">
        <v>459</v>
      </c>
      <c r="E772">
        <v>41</v>
      </c>
      <c r="F772">
        <v>41</v>
      </c>
      <c r="G772">
        <v>459</v>
      </c>
    </row>
    <row r="773" spans="1:7" ht="15" x14ac:dyDescent="0.25">
      <c r="A773" t="s">
        <v>8346</v>
      </c>
      <c r="B773">
        <v>1</v>
      </c>
      <c r="C773">
        <v>28</v>
      </c>
      <c r="D773">
        <v>28</v>
      </c>
      <c r="E773">
        <v>19</v>
      </c>
      <c r="F773">
        <v>19</v>
      </c>
      <c r="G773">
        <v>28</v>
      </c>
    </row>
    <row r="774" spans="1:7" ht="15" x14ac:dyDescent="0.25">
      <c r="A774" t="s">
        <v>8355</v>
      </c>
      <c r="B774">
        <v>1</v>
      </c>
      <c r="C774">
        <v>371</v>
      </c>
      <c r="D774">
        <v>371</v>
      </c>
      <c r="E774">
        <v>37</v>
      </c>
      <c r="F774">
        <v>37</v>
      </c>
      <c r="G774">
        <v>371</v>
      </c>
    </row>
    <row r="775" spans="1:7" ht="15" x14ac:dyDescent="0.25">
      <c r="A775" t="s">
        <v>8362</v>
      </c>
      <c r="B775">
        <v>1</v>
      </c>
      <c r="C775">
        <v>567</v>
      </c>
      <c r="D775">
        <v>567</v>
      </c>
      <c r="E775">
        <v>32</v>
      </c>
      <c r="F775">
        <v>32</v>
      </c>
      <c r="G775">
        <v>567</v>
      </c>
    </row>
    <row r="776" spans="1:7" ht="15" x14ac:dyDescent="0.25">
      <c r="A776" t="s">
        <v>8370</v>
      </c>
      <c r="B776">
        <v>1</v>
      </c>
      <c r="C776">
        <v>746</v>
      </c>
      <c r="D776">
        <v>746</v>
      </c>
      <c r="E776">
        <v>14</v>
      </c>
      <c r="F776">
        <v>14</v>
      </c>
      <c r="G776">
        <v>746</v>
      </c>
    </row>
    <row r="777" spans="1:7" ht="15" x14ac:dyDescent="0.25">
      <c r="A777" t="s">
        <v>8375</v>
      </c>
      <c r="B777">
        <v>1</v>
      </c>
      <c r="C777">
        <v>1185</v>
      </c>
      <c r="D777">
        <v>1185</v>
      </c>
      <c r="E777">
        <v>26</v>
      </c>
      <c r="F777">
        <v>26</v>
      </c>
      <c r="G777">
        <v>1185</v>
      </c>
    </row>
    <row r="778" spans="1:7" ht="15" x14ac:dyDescent="0.25">
      <c r="A778" t="s">
        <v>8386</v>
      </c>
      <c r="B778">
        <v>1</v>
      </c>
      <c r="C778">
        <v>509</v>
      </c>
      <c r="D778">
        <v>509</v>
      </c>
      <c r="E778">
        <v>24</v>
      </c>
      <c r="F778">
        <v>24</v>
      </c>
      <c r="G778">
        <v>509</v>
      </c>
    </row>
    <row r="779" spans="1:7" ht="15" x14ac:dyDescent="0.25">
      <c r="A779" t="s">
        <v>8392</v>
      </c>
      <c r="B779">
        <v>1</v>
      </c>
      <c r="C779">
        <v>1046</v>
      </c>
      <c r="D779">
        <v>1046</v>
      </c>
      <c r="E779">
        <v>25</v>
      </c>
      <c r="F779">
        <v>25</v>
      </c>
      <c r="G779">
        <v>1046</v>
      </c>
    </row>
    <row r="780" spans="1:7" ht="15" x14ac:dyDescent="0.25">
      <c r="A780" t="s">
        <v>8402</v>
      </c>
      <c r="B780">
        <v>1</v>
      </c>
      <c r="C780">
        <v>48</v>
      </c>
      <c r="D780">
        <v>48</v>
      </c>
      <c r="E780">
        <v>3</v>
      </c>
      <c r="F780">
        <v>3</v>
      </c>
      <c r="G780">
        <v>48</v>
      </c>
    </row>
    <row r="781" spans="1:7" ht="15" x14ac:dyDescent="0.25">
      <c r="A781" t="s">
        <v>8408</v>
      </c>
      <c r="B781">
        <v>3</v>
      </c>
      <c r="C781">
        <v>29223</v>
      </c>
      <c r="D781">
        <v>86466</v>
      </c>
      <c r="E781">
        <v>2296</v>
      </c>
      <c r="F781">
        <v>765.33333333333337</v>
      </c>
      <c r="G781">
        <v>29223</v>
      </c>
    </row>
    <row r="782" spans="1:7" ht="15" x14ac:dyDescent="0.25">
      <c r="A782" t="s">
        <v>8411</v>
      </c>
      <c r="B782">
        <v>4</v>
      </c>
      <c r="C782">
        <v>114</v>
      </c>
      <c r="D782">
        <v>439</v>
      </c>
      <c r="E782">
        <v>117</v>
      </c>
      <c r="F782">
        <v>29.25</v>
      </c>
      <c r="G782">
        <v>116</v>
      </c>
    </row>
    <row r="783" spans="1:7" ht="15" x14ac:dyDescent="0.25">
      <c r="A783" t="s">
        <v>8418</v>
      </c>
      <c r="B783">
        <v>1</v>
      </c>
      <c r="C783">
        <v>226</v>
      </c>
      <c r="D783">
        <v>226</v>
      </c>
      <c r="E783">
        <v>27</v>
      </c>
      <c r="F783">
        <v>27</v>
      </c>
      <c r="G783">
        <v>226</v>
      </c>
    </row>
    <row r="784" spans="1:7" ht="15" x14ac:dyDescent="0.25">
      <c r="A784" t="s">
        <v>8423</v>
      </c>
      <c r="B784">
        <v>1</v>
      </c>
      <c r="C784">
        <v>4760</v>
      </c>
      <c r="D784">
        <v>4760</v>
      </c>
      <c r="E784">
        <v>61</v>
      </c>
      <c r="F784">
        <v>61</v>
      </c>
      <c r="G784">
        <v>4760</v>
      </c>
    </row>
    <row r="785" spans="1:7" ht="15" x14ac:dyDescent="0.25">
      <c r="A785" t="s">
        <v>8428</v>
      </c>
      <c r="B785">
        <v>1</v>
      </c>
      <c r="C785">
        <v>203</v>
      </c>
      <c r="D785">
        <v>203</v>
      </c>
      <c r="E785">
        <v>50</v>
      </c>
      <c r="F785">
        <v>50</v>
      </c>
      <c r="G785">
        <v>203</v>
      </c>
    </row>
    <row r="786" spans="1:7" ht="15" x14ac:dyDescent="0.25">
      <c r="A786" t="s">
        <v>8438</v>
      </c>
      <c r="B786">
        <v>1</v>
      </c>
      <c r="C786">
        <v>443</v>
      </c>
      <c r="D786">
        <v>443</v>
      </c>
      <c r="E786">
        <v>48</v>
      </c>
      <c r="F786">
        <v>48</v>
      </c>
      <c r="G786">
        <v>443</v>
      </c>
    </row>
    <row r="787" spans="1:7" ht="15" x14ac:dyDescent="0.25">
      <c r="A787" t="s">
        <v>8445</v>
      </c>
      <c r="B787">
        <v>1</v>
      </c>
      <c r="C787">
        <v>73</v>
      </c>
      <c r="D787">
        <v>73</v>
      </c>
      <c r="E787">
        <v>11</v>
      </c>
      <c r="F787">
        <v>11</v>
      </c>
      <c r="G787">
        <v>73</v>
      </c>
    </row>
    <row r="788" spans="1:7" ht="15" x14ac:dyDescent="0.25">
      <c r="A788" t="s">
        <v>8457</v>
      </c>
      <c r="B788">
        <v>1</v>
      </c>
      <c r="C788">
        <v>541</v>
      </c>
      <c r="D788">
        <v>541</v>
      </c>
      <c r="E788">
        <v>84</v>
      </c>
      <c r="F788">
        <v>84</v>
      </c>
      <c r="G788">
        <v>541</v>
      </c>
    </row>
    <row r="789" spans="1:7" ht="15" x14ac:dyDescent="0.25">
      <c r="A789" t="s">
        <v>8462</v>
      </c>
      <c r="B789">
        <v>1</v>
      </c>
      <c r="C789">
        <v>81</v>
      </c>
      <c r="D789">
        <v>81</v>
      </c>
      <c r="E789">
        <v>5</v>
      </c>
      <c r="F789">
        <v>5</v>
      </c>
      <c r="G789">
        <v>81</v>
      </c>
    </row>
    <row r="790" spans="1:7" ht="15" x14ac:dyDescent="0.25">
      <c r="A790" t="s">
        <v>8470</v>
      </c>
      <c r="B790">
        <v>1</v>
      </c>
      <c r="C790">
        <v>248</v>
      </c>
      <c r="D790">
        <v>248</v>
      </c>
      <c r="E790">
        <v>22</v>
      </c>
      <c r="F790">
        <v>22</v>
      </c>
      <c r="G790">
        <v>248</v>
      </c>
    </row>
    <row r="791" spans="1:7" ht="15" x14ac:dyDescent="0.25">
      <c r="A791" t="s">
        <v>8477</v>
      </c>
      <c r="B791">
        <v>1</v>
      </c>
      <c r="C791">
        <v>86</v>
      </c>
      <c r="D791">
        <v>86</v>
      </c>
      <c r="E791">
        <v>26</v>
      </c>
      <c r="F791">
        <v>26</v>
      </c>
      <c r="G791">
        <v>86</v>
      </c>
    </row>
    <row r="792" spans="1:7" ht="15" x14ac:dyDescent="0.25">
      <c r="A792" t="s">
        <v>8482</v>
      </c>
      <c r="B792">
        <v>1</v>
      </c>
      <c r="C792">
        <v>910</v>
      </c>
      <c r="D792">
        <v>910</v>
      </c>
      <c r="E792">
        <v>2</v>
      </c>
      <c r="F792">
        <v>2</v>
      </c>
      <c r="G792">
        <v>910</v>
      </c>
    </row>
    <row r="793" spans="1:7" ht="15" x14ac:dyDescent="0.25">
      <c r="A793" t="s">
        <v>8491</v>
      </c>
      <c r="B793">
        <v>1</v>
      </c>
      <c r="C793">
        <v>1786</v>
      </c>
      <c r="D793">
        <v>1786</v>
      </c>
      <c r="E793">
        <v>221</v>
      </c>
      <c r="F793">
        <v>221</v>
      </c>
      <c r="G793">
        <v>1786</v>
      </c>
    </row>
    <row r="794" spans="1:7" ht="15" x14ac:dyDescent="0.25">
      <c r="A794" t="s">
        <v>8503</v>
      </c>
      <c r="B794">
        <v>1</v>
      </c>
      <c r="C794">
        <v>1649</v>
      </c>
      <c r="D794">
        <v>1649</v>
      </c>
      <c r="E794">
        <v>5</v>
      </c>
      <c r="F794">
        <v>5</v>
      </c>
      <c r="G794">
        <v>1649</v>
      </c>
    </row>
    <row r="795" spans="1:7" ht="15" x14ac:dyDescent="0.25">
      <c r="A795" t="s">
        <v>8510</v>
      </c>
      <c r="B795">
        <v>1</v>
      </c>
      <c r="C795">
        <v>843</v>
      </c>
      <c r="D795">
        <v>843</v>
      </c>
      <c r="E795">
        <v>64</v>
      </c>
      <c r="F795">
        <v>64</v>
      </c>
      <c r="G795">
        <v>843</v>
      </c>
    </row>
    <row r="796" spans="1:7" ht="15" x14ac:dyDescent="0.25">
      <c r="A796" t="s">
        <v>8530</v>
      </c>
      <c r="B796">
        <v>2</v>
      </c>
      <c r="C796">
        <v>222</v>
      </c>
      <c r="D796">
        <v>443</v>
      </c>
      <c r="E796">
        <v>152</v>
      </c>
      <c r="F796">
        <v>76</v>
      </c>
      <c r="G796">
        <v>222</v>
      </c>
    </row>
    <row r="797" spans="1:7" ht="15" x14ac:dyDescent="0.25">
      <c r="A797" t="s">
        <v>8538</v>
      </c>
      <c r="B797">
        <v>10</v>
      </c>
      <c r="C797">
        <v>5468</v>
      </c>
      <c r="D797">
        <v>55063</v>
      </c>
      <c r="E797">
        <v>4148</v>
      </c>
      <c r="F797">
        <v>414.8</v>
      </c>
      <c r="G797">
        <v>5583</v>
      </c>
    </row>
    <row r="798" spans="1:7" ht="15" x14ac:dyDescent="0.25">
      <c r="A798" t="s">
        <v>8543</v>
      </c>
      <c r="B798">
        <v>1</v>
      </c>
      <c r="C798">
        <v>190</v>
      </c>
      <c r="D798">
        <v>190</v>
      </c>
      <c r="E798">
        <v>50</v>
      </c>
      <c r="F798">
        <v>50</v>
      </c>
      <c r="G798">
        <v>190</v>
      </c>
    </row>
    <row r="799" spans="1:7" ht="15" x14ac:dyDescent="0.25">
      <c r="A799" t="s">
        <v>8549</v>
      </c>
      <c r="B799">
        <v>1</v>
      </c>
      <c r="C799">
        <v>186</v>
      </c>
      <c r="D799">
        <v>186</v>
      </c>
      <c r="E799">
        <v>9</v>
      </c>
      <c r="F799">
        <v>9</v>
      </c>
      <c r="G799">
        <v>186</v>
      </c>
    </row>
    <row r="800" spans="1:7" ht="15" x14ac:dyDescent="0.25">
      <c r="A800" t="s">
        <v>8554</v>
      </c>
      <c r="B800">
        <v>1</v>
      </c>
      <c r="C800">
        <v>995</v>
      </c>
      <c r="D800">
        <v>995</v>
      </c>
      <c r="E800">
        <v>54</v>
      </c>
      <c r="F800">
        <v>54</v>
      </c>
      <c r="G800">
        <v>995</v>
      </c>
    </row>
    <row r="801" spans="1:7" ht="15" x14ac:dyDescent="0.25">
      <c r="A801" t="s">
        <v>8560</v>
      </c>
      <c r="B801">
        <v>1</v>
      </c>
      <c r="C801">
        <v>851</v>
      </c>
      <c r="D801">
        <v>851</v>
      </c>
      <c r="E801">
        <v>67</v>
      </c>
      <c r="F801">
        <v>67</v>
      </c>
      <c r="G801">
        <v>851</v>
      </c>
    </row>
    <row r="802" spans="1:7" ht="15" x14ac:dyDescent="0.25">
      <c r="A802" t="s">
        <v>8566</v>
      </c>
      <c r="B802">
        <v>1</v>
      </c>
      <c r="C802">
        <v>1395</v>
      </c>
      <c r="D802">
        <v>1395</v>
      </c>
      <c r="E802">
        <v>140</v>
      </c>
      <c r="F802">
        <v>140</v>
      </c>
      <c r="G802">
        <v>1395</v>
      </c>
    </row>
    <row r="803" spans="1:7" ht="15" x14ac:dyDescent="0.25">
      <c r="A803" t="s">
        <v>8574</v>
      </c>
      <c r="B803">
        <v>1</v>
      </c>
      <c r="C803">
        <v>635</v>
      </c>
      <c r="D803">
        <v>635</v>
      </c>
      <c r="E803">
        <v>88</v>
      </c>
      <c r="F803">
        <v>88</v>
      </c>
      <c r="G803">
        <v>635</v>
      </c>
    </row>
    <row r="804" spans="1:7" ht="15" x14ac:dyDescent="0.25">
      <c r="A804" t="s">
        <v>8579</v>
      </c>
      <c r="B804">
        <v>1</v>
      </c>
      <c r="C804">
        <v>198</v>
      </c>
      <c r="D804">
        <v>198</v>
      </c>
      <c r="E804">
        <v>3</v>
      </c>
      <c r="F804">
        <v>3</v>
      </c>
      <c r="G804">
        <v>198</v>
      </c>
    </row>
    <row r="805" spans="1:7" ht="15" x14ac:dyDescent="0.25">
      <c r="A805" t="s">
        <v>8588</v>
      </c>
      <c r="B805">
        <v>5</v>
      </c>
      <c r="C805">
        <v>117</v>
      </c>
      <c r="D805">
        <v>573</v>
      </c>
      <c r="E805">
        <v>136</v>
      </c>
      <c r="F805">
        <v>27.2</v>
      </c>
      <c r="G805">
        <v>119</v>
      </c>
    </row>
    <row r="806" spans="1:7" ht="15" x14ac:dyDescent="0.25">
      <c r="A806" t="s">
        <v>8593</v>
      </c>
      <c r="B806">
        <v>1</v>
      </c>
      <c r="C806">
        <v>173</v>
      </c>
      <c r="D806">
        <v>173</v>
      </c>
      <c r="E806">
        <v>24</v>
      </c>
      <c r="F806">
        <v>24</v>
      </c>
      <c r="G806">
        <v>173</v>
      </c>
    </row>
    <row r="807" spans="1:7" ht="15" x14ac:dyDescent="0.25">
      <c r="A807" t="s">
        <v>8608</v>
      </c>
      <c r="B807">
        <v>1</v>
      </c>
      <c r="C807">
        <v>55</v>
      </c>
      <c r="D807">
        <v>55</v>
      </c>
      <c r="E807">
        <v>19</v>
      </c>
      <c r="F807">
        <v>19</v>
      </c>
      <c r="G807">
        <v>55</v>
      </c>
    </row>
    <row r="808" spans="1:7" ht="15" x14ac:dyDescent="0.25">
      <c r="A808" t="s">
        <v>8620</v>
      </c>
      <c r="B808">
        <v>1</v>
      </c>
      <c r="C808">
        <v>126</v>
      </c>
      <c r="D808">
        <v>126</v>
      </c>
      <c r="E808">
        <v>12</v>
      </c>
      <c r="F808">
        <v>12</v>
      </c>
      <c r="G808">
        <v>126</v>
      </c>
    </row>
    <row r="809" spans="1:7" ht="15" x14ac:dyDescent="0.25">
      <c r="A809" t="s">
        <v>8632</v>
      </c>
      <c r="B809">
        <v>1</v>
      </c>
      <c r="C809">
        <v>17</v>
      </c>
      <c r="D809">
        <v>17</v>
      </c>
      <c r="E809">
        <v>8</v>
      </c>
      <c r="F809">
        <v>8</v>
      </c>
      <c r="G809">
        <v>17</v>
      </c>
    </row>
    <row r="810" spans="1:7" ht="15" x14ac:dyDescent="0.25">
      <c r="A810" t="s">
        <v>8635</v>
      </c>
      <c r="B810">
        <v>1</v>
      </c>
      <c r="C810">
        <v>556</v>
      </c>
      <c r="D810">
        <v>556</v>
      </c>
      <c r="E810">
        <v>33</v>
      </c>
      <c r="F810">
        <v>33</v>
      </c>
      <c r="G810">
        <v>556</v>
      </c>
    </row>
    <row r="811" spans="1:7" ht="15" x14ac:dyDescent="0.25">
      <c r="A811" t="s">
        <v>8641</v>
      </c>
      <c r="B811">
        <v>1</v>
      </c>
      <c r="C811">
        <v>2140</v>
      </c>
      <c r="D811">
        <v>2140</v>
      </c>
      <c r="E811">
        <v>94</v>
      </c>
      <c r="F811">
        <v>94</v>
      </c>
      <c r="G811">
        <v>2140</v>
      </c>
    </row>
    <row r="812" spans="1:7" ht="15" x14ac:dyDescent="0.25">
      <c r="A812" t="s">
        <v>8655</v>
      </c>
      <c r="B812">
        <v>1</v>
      </c>
      <c r="C812">
        <v>315</v>
      </c>
      <c r="D812">
        <v>315</v>
      </c>
      <c r="E812">
        <v>59</v>
      </c>
      <c r="F812">
        <v>59</v>
      </c>
      <c r="G812">
        <v>315</v>
      </c>
    </row>
    <row r="813" spans="1:7" ht="15" x14ac:dyDescent="0.25">
      <c r="A813" t="s">
        <v>8661</v>
      </c>
      <c r="B813">
        <v>1</v>
      </c>
      <c r="C813">
        <v>259</v>
      </c>
      <c r="D813">
        <v>259</v>
      </c>
      <c r="E813">
        <v>21</v>
      </c>
      <c r="F813">
        <v>21</v>
      </c>
      <c r="G813">
        <v>259</v>
      </c>
    </row>
    <row r="814" spans="1:7" ht="15" x14ac:dyDescent="0.25">
      <c r="A814" t="s">
        <v>8666</v>
      </c>
      <c r="B814">
        <v>1</v>
      </c>
      <c r="C814">
        <v>5154</v>
      </c>
      <c r="D814">
        <v>5154</v>
      </c>
      <c r="E814">
        <v>1059</v>
      </c>
      <c r="F814">
        <v>1059</v>
      </c>
      <c r="G814">
        <v>5154</v>
      </c>
    </row>
    <row r="815" spans="1:7" ht="15" x14ac:dyDescent="0.25">
      <c r="A815" t="s">
        <v>8670</v>
      </c>
      <c r="B815">
        <v>1</v>
      </c>
      <c r="C815">
        <v>300</v>
      </c>
      <c r="D815">
        <v>300</v>
      </c>
      <c r="E815">
        <v>68</v>
      </c>
      <c r="F815">
        <v>68</v>
      </c>
      <c r="G815">
        <v>300</v>
      </c>
    </row>
    <row r="816" spans="1:7" ht="15" x14ac:dyDescent="0.25">
      <c r="A816" t="s">
        <v>8675</v>
      </c>
      <c r="B816">
        <v>1</v>
      </c>
      <c r="C816">
        <v>188</v>
      </c>
      <c r="D816">
        <v>188</v>
      </c>
      <c r="E816">
        <v>23</v>
      </c>
      <c r="F816">
        <v>23</v>
      </c>
      <c r="G816">
        <v>188</v>
      </c>
    </row>
    <row r="817" spans="1:7" ht="15" x14ac:dyDescent="0.25">
      <c r="A817" t="s">
        <v>8684</v>
      </c>
      <c r="B817">
        <v>1</v>
      </c>
      <c r="C817">
        <v>795</v>
      </c>
      <c r="D817">
        <v>795</v>
      </c>
      <c r="E817">
        <v>18</v>
      </c>
      <c r="F817">
        <v>18</v>
      </c>
      <c r="G817">
        <v>795</v>
      </c>
    </row>
    <row r="818" spans="1:7" ht="15" x14ac:dyDescent="0.25">
      <c r="A818" t="s">
        <v>8691</v>
      </c>
      <c r="B818">
        <v>1</v>
      </c>
      <c r="C818">
        <v>403</v>
      </c>
      <c r="D818">
        <v>403</v>
      </c>
      <c r="E818">
        <v>16</v>
      </c>
      <c r="F818">
        <v>16</v>
      </c>
      <c r="G818">
        <v>403</v>
      </c>
    </row>
    <row r="819" spans="1:7" ht="15" x14ac:dyDescent="0.25">
      <c r="A819" t="s">
        <v>8697</v>
      </c>
      <c r="B819">
        <v>1</v>
      </c>
      <c r="C819">
        <v>31</v>
      </c>
      <c r="D819">
        <v>31</v>
      </c>
      <c r="E819">
        <v>5</v>
      </c>
      <c r="F819">
        <v>5</v>
      </c>
      <c r="G819">
        <v>31</v>
      </c>
    </row>
    <row r="820" spans="1:7" ht="15" x14ac:dyDescent="0.25">
      <c r="A820" t="s">
        <v>8705</v>
      </c>
      <c r="B820">
        <v>5</v>
      </c>
      <c r="C820">
        <v>955</v>
      </c>
      <c r="D820">
        <v>4739</v>
      </c>
      <c r="E820">
        <v>286</v>
      </c>
      <c r="F820">
        <v>57.2</v>
      </c>
      <c r="G820">
        <v>955</v>
      </c>
    </row>
    <row r="821" spans="1:7" ht="15" x14ac:dyDescent="0.25">
      <c r="A821" t="s">
        <v>8714</v>
      </c>
      <c r="B821">
        <v>1</v>
      </c>
      <c r="C821">
        <v>24</v>
      </c>
      <c r="D821">
        <v>24</v>
      </c>
      <c r="E821">
        <v>5</v>
      </c>
      <c r="F821">
        <v>5</v>
      </c>
      <c r="G821">
        <v>24</v>
      </c>
    </row>
    <row r="822" spans="1:7" ht="15" x14ac:dyDescent="0.25">
      <c r="A822" t="s">
        <v>8717</v>
      </c>
      <c r="B822">
        <v>3</v>
      </c>
      <c r="C822">
        <v>1645</v>
      </c>
      <c r="D822">
        <v>4913</v>
      </c>
      <c r="E822">
        <v>471</v>
      </c>
      <c r="F822">
        <v>157</v>
      </c>
      <c r="G822">
        <v>1645</v>
      </c>
    </row>
    <row r="823" spans="1:7" ht="15" x14ac:dyDescent="0.25">
      <c r="A823" t="s">
        <v>8721</v>
      </c>
      <c r="B823">
        <v>1</v>
      </c>
      <c r="C823">
        <v>90</v>
      </c>
      <c r="D823">
        <v>90</v>
      </c>
      <c r="E823">
        <v>15</v>
      </c>
      <c r="F823">
        <v>15</v>
      </c>
      <c r="G823">
        <v>90</v>
      </c>
    </row>
    <row r="824" spans="1:7" ht="15" x14ac:dyDescent="0.25">
      <c r="A824" t="s">
        <v>8728</v>
      </c>
      <c r="B824">
        <v>1</v>
      </c>
      <c r="C824">
        <v>775368</v>
      </c>
      <c r="D824">
        <v>775368</v>
      </c>
      <c r="E824">
        <v>12661</v>
      </c>
      <c r="F824">
        <v>12661</v>
      </c>
      <c r="G824">
        <v>775368</v>
      </c>
    </row>
    <row r="825" spans="1:7" ht="15" x14ac:dyDescent="0.25">
      <c r="A825" t="s">
        <v>8736</v>
      </c>
      <c r="B825">
        <v>1</v>
      </c>
      <c r="C825">
        <v>3132</v>
      </c>
      <c r="D825">
        <v>3132</v>
      </c>
      <c r="E825">
        <v>26</v>
      </c>
      <c r="F825">
        <v>26</v>
      </c>
      <c r="G825">
        <v>3132</v>
      </c>
    </row>
    <row r="826" spans="1:7" ht="15" x14ac:dyDescent="0.25">
      <c r="A826" t="s">
        <v>8741</v>
      </c>
      <c r="B826">
        <v>1</v>
      </c>
      <c r="C826">
        <v>599</v>
      </c>
      <c r="D826">
        <v>599</v>
      </c>
      <c r="E826">
        <v>63</v>
      </c>
      <c r="F826">
        <v>63</v>
      </c>
      <c r="G826">
        <v>599</v>
      </c>
    </row>
    <row r="827" spans="1:7" ht="15" x14ac:dyDescent="0.25">
      <c r="A827" t="s">
        <v>8749</v>
      </c>
      <c r="B827">
        <v>6</v>
      </c>
      <c r="C827">
        <v>476</v>
      </c>
      <c r="D827">
        <v>2774</v>
      </c>
      <c r="E827">
        <v>190</v>
      </c>
      <c r="F827">
        <v>31.666666666666668</v>
      </c>
      <c r="G827">
        <v>486</v>
      </c>
    </row>
    <row r="828" spans="1:7" ht="15" x14ac:dyDescent="0.25">
      <c r="A828" t="s">
        <v>8754</v>
      </c>
      <c r="B828">
        <v>1</v>
      </c>
      <c r="C828">
        <v>10870</v>
      </c>
      <c r="D828">
        <v>10870</v>
      </c>
      <c r="E828">
        <v>106</v>
      </c>
      <c r="F828">
        <v>106</v>
      </c>
      <c r="G828">
        <v>10870</v>
      </c>
    </row>
    <row r="829" spans="1:7" ht="15" x14ac:dyDescent="0.25">
      <c r="A829" t="s">
        <v>8757</v>
      </c>
      <c r="B829">
        <v>1</v>
      </c>
      <c r="C829">
        <v>71</v>
      </c>
      <c r="D829">
        <v>71</v>
      </c>
      <c r="E829">
        <v>16</v>
      </c>
      <c r="F829">
        <v>16</v>
      </c>
      <c r="G829">
        <v>71</v>
      </c>
    </row>
    <row r="830" spans="1:7" ht="15" x14ac:dyDescent="0.25">
      <c r="A830" t="s">
        <v>8761</v>
      </c>
      <c r="B830">
        <v>1</v>
      </c>
      <c r="C830">
        <v>122</v>
      </c>
      <c r="D830">
        <v>122</v>
      </c>
      <c r="E830">
        <v>19</v>
      </c>
      <c r="F830">
        <v>19</v>
      </c>
      <c r="G830">
        <v>122</v>
      </c>
    </row>
    <row r="831" spans="1:7" ht="15" x14ac:dyDescent="0.25">
      <c r="A831" t="s">
        <v>8768</v>
      </c>
      <c r="B831">
        <v>1</v>
      </c>
      <c r="C831">
        <v>966</v>
      </c>
      <c r="D831">
        <v>966</v>
      </c>
      <c r="E831">
        <v>33</v>
      </c>
      <c r="F831">
        <v>33</v>
      </c>
      <c r="G831">
        <v>966</v>
      </c>
    </row>
    <row r="832" spans="1:7" ht="15" x14ac:dyDescent="0.25">
      <c r="A832" t="s">
        <v>8774</v>
      </c>
      <c r="B832">
        <v>1</v>
      </c>
      <c r="C832">
        <v>138</v>
      </c>
      <c r="D832">
        <v>138</v>
      </c>
      <c r="E832">
        <v>6</v>
      </c>
      <c r="F832">
        <v>6</v>
      </c>
      <c r="G832">
        <v>138</v>
      </c>
    </row>
    <row r="833" spans="1:7" ht="15" x14ac:dyDescent="0.25">
      <c r="A833" t="s">
        <v>8780</v>
      </c>
      <c r="B833">
        <v>1</v>
      </c>
      <c r="C833">
        <v>672</v>
      </c>
      <c r="D833">
        <v>672</v>
      </c>
      <c r="E833">
        <v>43</v>
      </c>
      <c r="F833">
        <v>43</v>
      </c>
      <c r="G833">
        <v>672</v>
      </c>
    </row>
    <row r="834" spans="1:7" ht="15" x14ac:dyDescent="0.25">
      <c r="A834" t="s">
        <v>8790</v>
      </c>
      <c r="B834">
        <v>1</v>
      </c>
      <c r="C834">
        <v>349</v>
      </c>
      <c r="D834">
        <v>349</v>
      </c>
      <c r="E834">
        <v>64</v>
      </c>
      <c r="F834">
        <v>64</v>
      </c>
      <c r="G834">
        <v>349</v>
      </c>
    </row>
    <row r="835" spans="1:7" ht="15" x14ac:dyDescent="0.25">
      <c r="A835" t="s">
        <v>8796</v>
      </c>
      <c r="B835">
        <v>1</v>
      </c>
      <c r="C835">
        <v>129</v>
      </c>
      <c r="D835">
        <v>129</v>
      </c>
      <c r="E835">
        <v>9</v>
      </c>
      <c r="F835">
        <v>9</v>
      </c>
      <c r="G835">
        <v>129</v>
      </c>
    </row>
    <row r="836" spans="1:7" ht="15" x14ac:dyDescent="0.25">
      <c r="A836" t="s">
        <v>8805</v>
      </c>
      <c r="B836">
        <v>1</v>
      </c>
      <c r="C836">
        <v>133</v>
      </c>
      <c r="D836">
        <v>133</v>
      </c>
      <c r="E836">
        <v>68</v>
      </c>
      <c r="F836">
        <v>68</v>
      </c>
      <c r="G836">
        <v>133</v>
      </c>
    </row>
    <row r="837" spans="1:7" ht="15" x14ac:dyDescent="0.25">
      <c r="A837" t="s">
        <v>8813</v>
      </c>
      <c r="B837">
        <v>1</v>
      </c>
      <c r="C837">
        <v>165</v>
      </c>
      <c r="D837">
        <v>165</v>
      </c>
      <c r="E837">
        <v>12</v>
      </c>
      <c r="F837">
        <v>12</v>
      </c>
      <c r="G837">
        <v>165</v>
      </c>
    </row>
    <row r="838" spans="1:7" ht="15" x14ac:dyDescent="0.25">
      <c r="A838" t="s">
        <v>8819</v>
      </c>
      <c r="B838">
        <v>1</v>
      </c>
      <c r="C838">
        <v>2175</v>
      </c>
      <c r="D838">
        <v>2175</v>
      </c>
      <c r="E838">
        <v>112</v>
      </c>
      <c r="F838">
        <v>112</v>
      </c>
      <c r="G838">
        <v>2175</v>
      </c>
    </row>
    <row r="839" spans="1:7" ht="15" x14ac:dyDescent="0.25">
      <c r="A839" t="s">
        <v>8825</v>
      </c>
      <c r="B839">
        <v>2</v>
      </c>
      <c r="C839">
        <v>64</v>
      </c>
      <c r="D839">
        <v>128</v>
      </c>
      <c r="E839">
        <v>26</v>
      </c>
      <c r="F839">
        <v>13</v>
      </c>
      <c r="G839">
        <v>64</v>
      </c>
    </row>
    <row r="840" spans="1:7" ht="15" x14ac:dyDescent="0.25">
      <c r="A840" t="s">
        <v>8834</v>
      </c>
      <c r="B840">
        <v>1</v>
      </c>
      <c r="C840">
        <v>2247</v>
      </c>
      <c r="D840">
        <v>2247</v>
      </c>
      <c r="E840">
        <v>88</v>
      </c>
      <c r="F840">
        <v>88</v>
      </c>
      <c r="G840">
        <v>2247</v>
      </c>
    </row>
    <row r="841" spans="1:7" ht="15" x14ac:dyDescent="0.25">
      <c r="A841" t="s">
        <v>8846</v>
      </c>
      <c r="B841">
        <v>1</v>
      </c>
      <c r="C841">
        <v>4517</v>
      </c>
      <c r="D841">
        <v>4517</v>
      </c>
      <c r="E841">
        <v>240</v>
      </c>
      <c r="F841">
        <v>240</v>
      </c>
      <c r="G841">
        <v>4517</v>
      </c>
    </row>
    <row r="842" spans="1:7" ht="15" x14ac:dyDescent="0.25">
      <c r="A842" t="s">
        <v>8854</v>
      </c>
      <c r="B842">
        <v>1</v>
      </c>
      <c r="C842">
        <v>121</v>
      </c>
      <c r="D842">
        <v>121</v>
      </c>
      <c r="E842">
        <v>20</v>
      </c>
      <c r="F842">
        <v>20</v>
      </c>
      <c r="G842">
        <v>121</v>
      </c>
    </row>
    <row r="843" spans="1:7" ht="15" x14ac:dyDescent="0.25">
      <c r="A843" t="s">
        <v>8857</v>
      </c>
      <c r="B843">
        <v>1</v>
      </c>
      <c r="C843">
        <v>150</v>
      </c>
      <c r="D843">
        <v>150</v>
      </c>
      <c r="E843">
        <v>16</v>
      </c>
      <c r="F843">
        <v>16</v>
      </c>
      <c r="G843">
        <v>150</v>
      </c>
    </row>
    <row r="844" spans="1:7" ht="15" x14ac:dyDescent="0.25">
      <c r="A844" t="s">
        <v>8864</v>
      </c>
      <c r="B844">
        <v>1</v>
      </c>
      <c r="C844">
        <v>150</v>
      </c>
      <c r="D844">
        <v>150</v>
      </c>
      <c r="E844">
        <v>27</v>
      </c>
      <c r="F844">
        <v>27</v>
      </c>
      <c r="G844">
        <v>150</v>
      </c>
    </row>
    <row r="845" spans="1:7" ht="15" x14ac:dyDescent="0.25">
      <c r="A845" t="s">
        <v>8872</v>
      </c>
      <c r="B845">
        <v>1</v>
      </c>
      <c r="D845">
        <v>0</v>
      </c>
      <c r="E845">
        <v>12</v>
      </c>
      <c r="F845">
        <v>12</v>
      </c>
    </row>
    <row r="846" spans="1:7" ht="15" x14ac:dyDescent="0.25">
      <c r="A846" t="s">
        <v>8879</v>
      </c>
      <c r="B846">
        <v>1</v>
      </c>
      <c r="C846">
        <v>6833</v>
      </c>
      <c r="D846">
        <v>6833</v>
      </c>
      <c r="E846">
        <v>300</v>
      </c>
      <c r="F846">
        <v>300</v>
      </c>
      <c r="G846">
        <v>6833</v>
      </c>
    </row>
    <row r="847" spans="1:7" ht="15" x14ac:dyDescent="0.25">
      <c r="A847" t="s">
        <v>8883</v>
      </c>
      <c r="B847">
        <v>1</v>
      </c>
      <c r="C847">
        <v>127</v>
      </c>
      <c r="D847">
        <v>127</v>
      </c>
      <c r="E847">
        <v>16</v>
      </c>
      <c r="F847">
        <v>16</v>
      </c>
      <c r="G847">
        <v>127</v>
      </c>
    </row>
    <row r="848" spans="1:7" ht="15" x14ac:dyDescent="0.25">
      <c r="A848" t="s">
        <v>8895</v>
      </c>
      <c r="B848">
        <v>1</v>
      </c>
      <c r="C848">
        <v>937</v>
      </c>
      <c r="D848">
        <v>937</v>
      </c>
      <c r="E848">
        <v>69</v>
      </c>
      <c r="F848">
        <v>69</v>
      </c>
      <c r="G848">
        <v>937</v>
      </c>
    </row>
    <row r="849" spans="1:7" ht="15" x14ac:dyDescent="0.25">
      <c r="A849" t="s">
        <v>8902</v>
      </c>
      <c r="B849">
        <v>1</v>
      </c>
      <c r="C849">
        <v>117</v>
      </c>
      <c r="D849">
        <v>117</v>
      </c>
      <c r="E849">
        <v>5</v>
      </c>
      <c r="F849">
        <v>5</v>
      </c>
      <c r="G849">
        <v>117</v>
      </c>
    </row>
    <row r="850" spans="1:7" ht="15" x14ac:dyDescent="0.25">
      <c r="A850" t="s">
        <v>8909</v>
      </c>
      <c r="B850">
        <v>1</v>
      </c>
      <c r="C850">
        <v>364</v>
      </c>
      <c r="D850">
        <v>364</v>
      </c>
      <c r="E850">
        <v>12</v>
      </c>
      <c r="F850">
        <v>12</v>
      </c>
      <c r="G850">
        <v>364</v>
      </c>
    </row>
    <row r="851" spans="1:7" ht="15" x14ac:dyDescent="0.25">
      <c r="A851" t="s">
        <v>8917</v>
      </c>
      <c r="B851">
        <v>1</v>
      </c>
      <c r="C851">
        <v>216</v>
      </c>
      <c r="D851">
        <v>216</v>
      </c>
      <c r="E851">
        <v>42</v>
      </c>
      <c r="F851">
        <v>42</v>
      </c>
      <c r="G851">
        <v>216</v>
      </c>
    </row>
    <row r="852" spans="1:7" ht="15" x14ac:dyDescent="0.25">
      <c r="A852" t="s">
        <v>8922</v>
      </c>
      <c r="B852">
        <v>1</v>
      </c>
      <c r="C852">
        <v>571</v>
      </c>
      <c r="D852">
        <v>571</v>
      </c>
      <c r="E852">
        <v>43</v>
      </c>
      <c r="F852">
        <v>43</v>
      </c>
      <c r="G852">
        <v>571</v>
      </c>
    </row>
    <row r="853" spans="1:7" ht="15" x14ac:dyDescent="0.25">
      <c r="A853" t="s">
        <v>8927</v>
      </c>
      <c r="B853">
        <v>1</v>
      </c>
      <c r="C853">
        <v>115</v>
      </c>
      <c r="D853">
        <v>115</v>
      </c>
      <c r="E853">
        <v>19</v>
      </c>
      <c r="F853">
        <v>19</v>
      </c>
      <c r="G853">
        <v>115</v>
      </c>
    </row>
    <row r="854" spans="1:7" ht="15" x14ac:dyDescent="0.25">
      <c r="A854" t="s">
        <v>8933</v>
      </c>
      <c r="B854">
        <v>1</v>
      </c>
      <c r="C854">
        <v>120</v>
      </c>
      <c r="D854">
        <v>120</v>
      </c>
      <c r="E854">
        <v>18</v>
      </c>
      <c r="F854">
        <v>18</v>
      </c>
      <c r="G854">
        <v>120</v>
      </c>
    </row>
    <row r="855" spans="1:7" ht="15" x14ac:dyDescent="0.25">
      <c r="A855" t="s">
        <v>8943</v>
      </c>
      <c r="B855">
        <v>2</v>
      </c>
      <c r="C855">
        <v>137</v>
      </c>
      <c r="D855">
        <v>259</v>
      </c>
      <c r="E855">
        <v>75</v>
      </c>
      <c r="F855">
        <v>37.5</v>
      </c>
      <c r="G855">
        <v>137</v>
      </c>
    </row>
    <row r="856" spans="1:7" ht="15" x14ac:dyDescent="0.25">
      <c r="A856" t="s">
        <v>8954</v>
      </c>
      <c r="B856">
        <v>1</v>
      </c>
      <c r="C856">
        <v>326</v>
      </c>
      <c r="D856">
        <v>326</v>
      </c>
      <c r="E856">
        <v>24</v>
      </c>
      <c r="F856">
        <v>24</v>
      </c>
      <c r="G856">
        <v>326</v>
      </c>
    </row>
    <row r="857" spans="1:7" ht="15" x14ac:dyDescent="0.25">
      <c r="A857" t="s">
        <v>8962</v>
      </c>
      <c r="B857">
        <v>1</v>
      </c>
      <c r="C857">
        <v>558</v>
      </c>
      <c r="D857">
        <v>558</v>
      </c>
      <c r="E857">
        <v>78</v>
      </c>
      <c r="F857">
        <v>78</v>
      </c>
      <c r="G857">
        <v>558</v>
      </c>
    </row>
    <row r="858" spans="1:7" ht="15" x14ac:dyDescent="0.25">
      <c r="A858" t="s">
        <v>8970</v>
      </c>
      <c r="B858">
        <v>1</v>
      </c>
      <c r="C858">
        <v>266</v>
      </c>
      <c r="D858">
        <v>266</v>
      </c>
      <c r="E858">
        <v>2</v>
      </c>
      <c r="F858">
        <v>2</v>
      </c>
      <c r="G858">
        <v>266</v>
      </c>
    </row>
    <row r="859" spans="1:7" ht="15" x14ac:dyDescent="0.25">
      <c r="A859" t="s">
        <v>8973</v>
      </c>
      <c r="B859">
        <v>1</v>
      </c>
      <c r="C859">
        <v>312</v>
      </c>
      <c r="D859">
        <v>312</v>
      </c>
      <c r="E859">
        <v>33</v>
      </c>
      <c r="F859">
        <v>33</v>
      </c>
      <c r="G859">
        <v>312</v>
      </c>
    </row>
    <row r="860" spans="1:7" ht="15" x14ac:dyDescent="0.25">
      <c r="A860" t="s">
        <v>8979</v>
      </c>
      <c r="B860">
        <v>1</v>
      </c>
      <c r="C860">
        <v>110</v>
      </c>
      <c r="D860">
        <v>110</v>
      </c>
      <c r="E860">
        <v>44</v>
      </c>
      <c r="F860">
        <v>44</v>
      </c>
      <c r="G860">
        <v>110</v>
      </c>
    </row>
    <row r="861" spans="1:7" ht="15" x14ac:dyDescent="0.25">
      <c r="A861" t="s">
        <v>8988</v>
      </c>
      <c r="B861">
        <v>1</v>
      </c>
      <c r="C861">
        <v>134</v>
      </c>
      <c r="D861">
        <v>134</v>
      </c>
      <c r="E861">
        <v>29</v>
      </c>
      <c r="F861">
        <v>29</v>
      </c>
      <c r="G861">
        <v>134</v>
      </c>
    </row>
    <row r="862" spans="1:7" ht="15" x14ac:dyDescent="0.25">
      <c r="A862" t="s">
        <v>8995</v>
      </c>
      <c r="B862">
        <v>1</v>
      </c>
      <c r="C862">
        <v>307</v>
      </c>
      <c r="D862">
        <v>307</v>
      </c>
      <c r="E862">
        <v>31</v>
      </c>
      <c r="F862">
        <v>31</v>
      </c>
      <c r="G862">
        <v>307</v>
      </c>
    </row>
    <row r="863" spans="1:7" ht="15" x14ac:dyDescent="0.25">
      <c r="A863" t="s">
        <v>9001</v>
      </c>
      <c r="B863">
        <v>1</v>
      </c>
      <c r="C863">
        <v>1284</v>
      </c>
      <c r="D863">
        <v>1284</v>
      </c>
      <c r="E863">
        <v>67</v>
      </c>
      <c r="F863">
        <v>67</v>
      </c>
      <c r="G863">
        <v>1284</v>
      </c>
    </row>
    <row r="864" spans="1:7" ht="15" x14ac:dyDescent="0.25">
      <c r="A864" t="s">
        <v>9008</v>
      </c>
      <c r="B864">
        <v>1</v>
      </c>
      <c r="C864">
        <v>1264</v>
      </c>
      <c r="D864">
        <v>1264</v>
      </c>
      <c r="E864">
        <v>52</v>
      </c>
      <c r="F864">
        <v>52</v>
      </c>
      <c r="G864">
        <v>1264</v>
      </c>
    </row>
    <row r="865" spans="1:7" ht="15" x14ac:dyDescent="0.25">
      <c r="A865" t="s">
        <v>9013</v>
      </c>
      <c r="B865">
        <v>1</v>
      </c>
      <c r="C865">
        <v>3564</v>
      </c>
      <c r="D865">
        <v>3564</v>
      </c>
      <c r="E865">
        <v>51</v>
      </c>
      <c r="F865">
        <v>51</v>
      </c>
      <c r="G865">
        <v>3564</v>
      </c>
    </row>
    <row r="866" spans="1:7" ht="15" x14ac:dyDescent="0.25">
      <c r="A866" t="s">
        <v>9020</v>
      </c>
      <c r="B866">
        <v>1</v>
      </c>
      <c r="C866">
        <v>274</v>
      </c>
      <c r="D866">
        <v>274</v>
      </c>
      <c r="E866">
        <v>13</v>
      </c>
      <c r="F866">
        <v>13</v>
      </c>
      <c r="G866">
        <v>274</v>
      </c>
    </row>
    <row r="867" spans="1:7" ht="15" x14ac:dyDescent="0.25">
      <c r="A867" t="s">
        <v>9029</v>
      </c>
      <c r="B867">
        <v>1</v>
      </c>
      <c r="C867">
        <v>119</v>
      </c>
      <c r="D867">
        <v>119</v>
      </c>
      <c r="E867">
        <v>21</v>
      </c>
      <c r="F867">
        <v>21</v>
      </c>
      <c r="G867">
        <v>119</v>
      </c>
    </row>
    <row r="868" spans="1:7" ht="15" x14ac:dyDescent="0.25">
      <c r="A868" t="s">
        <v>9035</v>
      </c>
      <c r="B868">
        <v>6</v>
      </c>
      <c r="C868">
        <v>672</v>
      </c>
      <c r="D868">
        <v>4079</v>
      </c>
      <c r="E868">
        <v>145</v>
      </c>
      <c r="F868">
        <v>24.166666666666668</v>
      </c>
      <c r="G868">
        <v>699</v>
      </c>
    </row>
    <row r="869" spans="1:7" ht="15" x14ac:dyDescent="0.25">
      <c r="A869" t="s">
        <v>9040</v>
      </c>
      <c r="B869">
        <v>1</v>
      </c>
      <c r="C869">
        <v>636</v>
      </c>
      <c r="D869">
        <v>636</v>
      </c>
      <c r="E869">
        <v>38</v>
      </c>
      <c r="F869">
        <v>38</v>
      </c>
      <c r="G869">
        <v>636</v>
      </c>
    </row>
    <row r="870" spans="1:7" ht="15" x14ac:dyDescent="0.25">
      <c r="A870" t="s">
        <v>9058</v>
      </c>
      <c r="B870">
        <v>1</v>
      </c>
      <c r="D870">
        <v>0</v>
      </c>
      <c r="E870">
        <v>35</v>
      </c>
      <c r="F870">
        <v>35</v>
      </c>
    </row>
    <row r="871" spans="1:7" ht="15" x14ac:dyDescent="0.25">
      <c r="A871" t="s">
        <v>9065</v>
      </c>
      <c r="B871">
        <v>1</v>
      </c>
      <c r="C871">
        <v>106</v>
      </c>
      <c r="D871">
        <v>106</v>
      </c>
      <c r="E871">
        <v>67</v>
      </c>
      <c r="F871">
        <v>67</v>
      </c>
      <c r="G871">
        <v>106</v>
      </c>
    </row>
    <row r="872" spans="1:7" ht="15" x14ac:dyDescent="0.25">
      <c r="A872" t="s">
        <v>9076</v>
      </c>
      <c r="B872">
        <v>1</v>
      </c>
      <c r="C872">
        <v>397867</v>
      </c>
      <c r="D872">
        <v>397867</v>
      </c>
      <c r="E872">
        <v>13779</v>
      </c>
      <c r="F872">
        <v>13779</v>
      </c>
      <c r="G872">
        <v>397867</v>
      </c>
    </row>
    <row r="873" spans="1:7" ht="15" x14ac:dyDescent="0.25">
      <c r="A873" t="s">
        <v>9087</v>
      </c>
      <c r="B873">
        <v>4</v>
      </c>
      <c r="C873">
        <v>87</v>
      </c>
      <c r="D873">
        <v>325</v>
      </c>
      <c r="E873">
        <v>74</v>
      </c>
      <c r="F873">
        <v>18.5</v>
      </c>
      <c r="G873">
        <v>87</v>
      </c>
    </row>
    <row r="874" spans="1:7" ht="15" x14ac:dyDescent="0.25">
      <c r="A874" t="s">
        <v>9093</v>
      </c>
      <c r="B874">
        <v>1</v>
      </c>
      <c r="C874">
        <v>441</v>
      </c>
      <c r="D874">
        <v>441</v>
      </c>
      <c r="E874">
        <v>14</v>
      </c>
      <c r="F874">
        <v>14</v>
      </c>
      <c r="G874">
        <v>441</v>
      </c>
    </row>
    <row r="875" spans="1:7" ht="15" x14ac:dyDescent="0.25">
      <c r="A875" t="s">
        <v>9098</v>
      </c>
      <c r="B875">
        <v>1</v>
      </c>
      <c r="C875">
        <v>4</v>
      </c>
      <c r="D875">
        <v>4</v>
      </c>
      <c r="E875">
        <v>3</v>
      </c>
      <c r="F875">
        <v>3</v>
      </c>
      <c r="G875">
        <v>4</v>
      </c>
    </row>
    <row r="876" spans="1:7" ht="15" x14ac:dyDescent="0.25">
      <c r="A876" t="s">
        <v>9109</v>
      </c>
      <c r="B876">
        <v>1</v>
      </c>
      <c r="C876">
        <v>168</v>
      </c>
      <c r="D876">
        <v>168</v>
      </c>
      <c r="E876">
        <v>11</v>
      </c>
      <c r="F876">
        <v>11</v>
      </c>
      <c r="G876">
        <v>168</v>
      </c>
    </row>
    <row r="877" spans="1:7" ht="15" x14ac:dyDescent="0.25">
      <c r="A877" t="s">
        <v>9115</v>
      </c>
      <c r="B877">
        <v>4</v>
      </c>
      <c r="C877">
        <v>366</v>
      </c>
      <c r="D877">
        <v>1446</v>
      </c>
      <c r="E877">
        <v>315</v>
      </c>
      <c r="F877">
        <v>78.75</v>
      </c>
      <c r="G877">
        <v>366</v>
      </c>
    </row>
    <row r="878" spans="1:7" ht="15" x14ac:dyDescent="0.25">
      <c r="A878" t="s">
        <v>9126</v>
      </c>
      <c r="B878">
        <v>2</v>
      </c>
      <c r="C878">
        <v>193</v>
      </c>
      <c r="D878">
        <v>375</v>
      </c>
      <c r="E878">
        <v>83</v>
      </c>
      <c r="F878">
        <v>41.5</v>
      </c>
      <c r="G878">
        <v>193</v>
      </c>
    </row>
    <row r="879" spans="1:7" ht="15" x14ac:dyDescent="0.25">
      <c r="A879" t="s">
        <v>9132</v>
      </c>
      <c r="B879">
        <v>1</v>
      </c>
      <c r="C879">
        <v>189</v>
      </c>
      <c r="D879">
        <v>189</v>
      </c>
      <c r="E879">
        <v>101</v>
      </c>
      <c r="F879">
        <v>101</v>
      </c>
      <c r="G879">
        <v>189</v>
      </c>
    </row>
    <row r="880" spans="1:7" ht="15" x14ac:dyDescent="0.25">
      <c r="A880" t="s">
        <v>9141</v>
      </c>
      <c r="B880">
        <v>1</v>
      </c>
      <c r="C880">
        <v>377</v>
      </c>
      <c r="D880">
        <v>377</v>
      </c>
      <c r="E880">
        <v>77</v>
      </c>
      <c r="F880">
        <v>77</v>
      </c>
      <c r="G880">
        <v>377</v>
      </c>
    </row>
    <row r="881" spans="1:7" ht="15" x14ac:dyDescent="0.25">
      <c r="A881" t="s">
        <v>9151</v>
      </c>
      <c r="B881">
        <v>1</v>
      </c>
      <c r="C881">
        <v>79</v>
      </c>
      <c r="D881">
        <v>79</v>
      </c>
      <c r="E881">
        <v>30</v>
      </c>
      <c r="F881">
        <v>30</v>
      </c>
      <c r="G881">
        <v>79</v>
      </c>
    </row>
    <row r="882" spans="1:7" ht="15" x14ac:dyDescent="0.25">
      <c r="A882" t="s">
        <v>9155</v>
      </c>
      <c r="B882">
        <v>1</v>
      </c>
      <c r="C882">
        <v>146</v>
      </c>
      <c r="D882">
        <v>146</v>
      </c>
      <c r="E882">
        <v>25</v>
      </c>
      <c r="F882">
        <v>25</v>
      </c>
      <c r="G882">
        <v>146</v>
      </c>
    </row>
    <row r="883" spans="1:7" ht="15" x14ac:dyDescent="0.25">
      <c r="A883" t="s">
        <v>9159</v>
      </c>
      <c r="B883">
        <v>1</v>
      </c>
      <c r="D883">
        <v>0</v>
      </c>
      <c r="E883">
        <v>19</v>
      </c>
      <c r="F883">
        <v>19</v>
      </c>
    </row>
    <row r="884" spans="1:7" ht="15" x14ac:dyDescent="0.25">
      <c r="A884" t="s">
        <v>9166</v>
      </c>
      <c r="B884">
        <v>1</v>
      </c>
      <c r="C884">
        <v>287</v>
      </c>
      <c r="D884">
        <v>287</v>
      </c>
      <c r="E884">
        <v>12</v>
      </c>
      <c r="F884">
        <v>12</v>
      </c>
      <c r="G884">
        <v>287</v>
      </c>
    </row>
    <row r="885" spans="1:7" ht="15" x14ac:dyDescent="0.25">
      <c r="A885" t="s">
        <v>9172</v>
      </c>
      <c r="B885">
        <v>1</v>
      </c>
      <c r="C885">
        <v>271</v>
      </c>
      <c r="D885">
        <v>271</v>
      </c>
      <c r="E885">
        <v>35</v>
      </c>
      <c r="F885">
        <v>35</v>
      </c>
      <c r="G885">
        <v>271</v>
      </c>
    </row>
    <row r="886" spans="1:7" ht="15" x14ac:dyDescent="0.25">
      <c r="A886" t="s">
        <v>9184</v>
      </c>
      <c r="B886">
        <v>1</v>
      </c>
      <c r="C886">
        <v>701</v>
      </c>
      <c r="D886">
        <v>701</v>
      </c>
      <c r="E886">
        <v>61</v>
      </c>
      <c r="F886">
        <v>61</v>
      </c>
      <c r="G886">
        <v>701</v>
      </c>
    </row>
    <row r="887" spans="1:7" ht="15" x14ac:dyDescent="0.25">
      <c r="A887" t="s">
        <v>9190</v>
      </c>
      <c r="B887">
        <v>3</v>
      </c>
      <c r="C887">
        <v>93</v>
      </c>
      <c r="D887">
        <v>150</v>
      </c>
      <c r="E887">
        <v>20</v>
      </c>
      <c r="F887">
        <v>6.666666666666667</v>
      </c>
      <c r="G887">
        <v>93</v>
      </c>
    </row>
    <row r="888" spans="1:7" ht="15" x14ac:dyDescent="0.25">
      <c r="A888" t="s">
        <v>9196</v>
      </c>
      <c r="B888">
        <v>1</v>
      </c>
      <c r="C888">
        <v>598</v>
      </c>
      <c r="D888">
        <v>598</v>
      </c>
      <c r="E888">
        <v>137</v>
      </c>
      <c r="F888">
        <v>137</v>
      </c>
      <c r="G888">
        <v>598</v>
      </c>
    </row>
    <row r="889" spans="1:7" ht="15" x14ac:dyDescent="0.25">
      <c r="A889" t="s">
        <v>9202</v>
      </c>
      <c r="B889">
        <v>7</v>
      </c>
      <c r="C889">
        <v>1308</v>
      </c>
      <c r="D889">
        <v>9166</v>
      </c>
      <c r="E889">
        <v>631</v>
      </c>
      <c r="F889">
        <v>90.142857142857139</v>
      </c>
      <c r="G889">
        <v>1312</v>
      </c>
    </row>
    <row r="890" spans="1:7" ht="15" x14ac:dyDescent="0.25">
      <c r="A890" t="s">
        <v>9213</v>
      </c>
      <c r="B890">
        <v>2</v>
      </c>
      <c r="C890">
        <v>740</v>
      </c>
      <c r="D890">
        <v>1475</v>
      </c>
      <c r="E890">
        <v>108</v>
      </c>
      <c r="F890">
        <v>54</v>
      </c>
      <c r="G890">
        <v>740</v>
      </c>
    </row>
    <row r="891" spans="1:7" ht="15" x14ac:dyDescent="0.25">
      <c r="A891" t="s">
        <v>9225</v>
      </c>
      <c r="B891">
        <v>1</v>
      </c>
      <c r="C891">
        <v>490</v>
      </c>
      <c r="D891">
        <v>490</v>
      </c>
      <c r="E891">
        <v>29</v>
      </c>
      <c r="F891">
        <v>29</v>
      </c>
      <c r="G891">
        <v>490</v>
      </c>
    </row>
    <row r="892" spans="1:7" ht="15" x14ac:dyDescent="0.25">
      <c r="A892" t="s">
        <v>9231</v>
      </c>
      <c r="B892">
        <v>2</v>
      </c>
      <c r="C892">
        <v>841</v>
      </c>
      <c r="D892">
        <v>1666</v>
      </c>
      <c r="E892">
        <v>166</v>
      </c>
      <c r="F892">
        <v>83</v>
      </c>
      <c r="G892">
        <v>841</v>
      </c>
    </row>
    <row r="893" spans="1:7" ht="15" x14ac:dyDescent="0.25">
      <c r="A893" t="s">
        <v>9237</v>
      </c>
      <c r="B893">
        <v>1</v>
      </c>
      <c r="C893">
        <v>2</v>
      </c>
      <c r="D893">
        <v>2</v>
      </c>
      <c r="E893">
        <v>5</v>
      </c>
      <c r="F893">
        <v>5</v>
      </c>
      <c r="G893">
        <v>2</v>
      </c>
    </row>
    <row r="894" spans="1:7" ht="15" x14ac:dyDescent="0.25">
      <c r="A894" t="s">
        <v>9245</v>
      </c>
      <c r="B894">
        <v>1</v>
      </c>
      <c r="C894">
        <v>1547</v>
      </c>
      <c r="D894">
        <v>1547</v>
      </c>
      <c r="E894">
        <v>37</v>
      </c>
      <c r="F894">
        <v>37</v>
      </c>
      <c r="G894">
        <v>1547</v>
      </c>
    </row>
    <row r="895" spans="1:7" ht="15" x14ac:dyDescent="0.25">
      <c r="A895" t="s">
        <v>9252</v>
      </c>
      <c r="B895">
        <v>2</v>
      </c>
      <c r="C895">
        <v>814</v>
      </c>
      <c r="D895">
        <v>1628</v>
      </c>
      <c r="E895">
        <v>148</v>
      </c>
      <c r="F895">
        <v>74</v>
      </c>
      <c r="G895">
        <v>814</v>
      </c>
    </row>
    <row r="896" spans="1:7" ht="15" x14ac:dyDescent="0.25">
      <c r="A896" t="s">
        <v>9261</v>
      </c>
      <c r="B896">
        <v>1</v>
      </c>
      <c r="C896">
        <v>300</v>
      </c>
      <c r="D896">
        <v>300</v>
      </c>
      <c r="E896">
        <v>19</v>
      </c>
      <c r="F896">
        <v>19</v>
      </c>
      <c r="G896">
        <v>300</v>
      </c>
    </row>
    <row r="897" spans="1:7" ht="15" x14ac:dyDescent="0.25">
      <c r="A897" t="s">
        <v>9270</v>
      </c>
      <c r="B897">
        <v>1</v>
      </c>
      <c r="C897">
        <v>588</v>
      </c>
      <c r="D897">
        <v>588</v>
      </c>
      <c r="E897">
        <v>19</v>
      </c>
      <c r="F897">
        <v>19</v>
      </c>
      <c r="G897">
        <v>588</v>
      </c>
    </row>
    <row r="898" spans="1:7" ht="15" x14ac:dyDescent="0.25">
      <c r="A898" t="s">
        <v>9281</v>
      </c>
      <c r="B898">
        <v>1</v>
      </c>
      <c r="C898">
        <v>1016</v>
      </c>
      <c r="D898">
        <v>1016</v>
      </c>
      <c r="E898">
        <v>33</v>
      </c>
      <c r="F898">
        <v>33</v>
      </c>
      <c r="G898">
        <v>1016</v>
      </c>
    </row>
    <row r="899" spans="1:7" ht="15" x14ac:dyDescent="0.25">
      <c r="A899" t="s">
        <v>9293</v>
      </c>
      <c r="B899">
        <v>1</v>
      </c>
      <c r="C899">
        <v>403</v>
      </c>
      <c r="D899">
        <v>403</v>
      </c>
      <c r="E899">
        <v>35</v>
      </c>
      <c r="F899">
        <v>35</v>
      </c>
      <c r="G899">
        <v>403</v>
      </c>
    </row>
    <row r="900" spans="1:7" ht="15" x14ac:dyDescent="0.25">
      <c r="A900" t="s">
        <v>9304</v>
      </c>
      <c r="B900">
        <v>2</v>
      </c>
      <c r="C900">
        <v>262</v>
      </c>
      <c r="D900">
        <v>519</v>
      </c>
      <c r="E900">
        <v>67</v>
      </c>
      <c r="F900">
        <v>33.5</v>
      </c>
      <c r="G900">
        <v>262</v>
      </c>
    </row>
    <row r="901" spans="1:7" ht="15" x14ac:dyDescent="0.25">
      <c r="A901" t="s">
        <v>9310</v>
      </c>
      <c r="B901">
        <v>1</v>
      </c>
      <c r="C901">
        <v>321</v>
      </c>
      <c r="D901">
        <v>321</v>
      </c>
      <c r="E901">
        <v>34</v>
      </c>
      <c r="F901">
        <v>34</v>
      </c>
      <c r="G901">
        <v>321</v>
      </c>
    </row>
    <row r="902" spans="1:7" ht="15" x14ac:dyDescent="0.25">
      <c r="A902" t="s">
        <v>9321</v>
      </c>
      <c r="B902">
        <v>1</v>
      </c>
      <c r="C902">
        <v>491</v>
      </c>
      <c r="D902">
        <v>491</v>
      </c>
      <c r="E902">
        <v>63</v>
      </c>
      <c r="F902">
        <v>63</v>
      </c>
      <c r="G902">
        <v>491</v>
      </c>
    </row>
    <row r="903" spans="1:7" ht="15" x14ac:dyDescent="0.25">
      <c r="A903" t="s">
        <v>9329</v>
      </c>
      <c r="B903">
        <v>1</v>
      </c>
      <c r="C903">
        <v>1158</v>
      </c>
      <c r="D903">
        <v>1158</v>
      </c>
      <c r="E903">
        <v>123</v>
      </c>
      <c r="F903">
        <v>123</v>
      </c>
      <c r="G903">
        <v>1158</v>
      </c>
    </row>
    <row r="904" spans="1:7" ht="15" x14ac:dyDescent="0.25">
      <c r="A904" t="s">
        <v>9346</v>
      </c>
      <c r="B904">
        <v>1</v>
      </c>
      <c r="C904">
        <v>3856</v>
      </c>
      <c r="D904">
        <v>3856</v>
      </c>
      <c r="E904">
        <v>520</v>
      </c>
      <c r="F904">
        <v>520</v>
      </c>
      <c r="G904">
        <v>3856</v>
      </c>
    </row>
    <row r="905" spans="1:7" ht="15" x14ac:dyDescent="0.25">
      <c r="A905" t="s">
        <v>9356</v>
      </c>
      <c r="B905">
        <v>1</v>
      </c>
      <c r="C905">
        <v>193</v>
      </c>
      <c r="D905">
        <v>193</v>
      </c>
      <c r="E905">
        <v>43</v>
      </c>
      <c r="F905">
        <v>43</v>
      </c>
      <c r="G905">
        <v>193</v>
      </c>
    </row>
    <row r="906" spans="1:7" ht="15" x14ac:dyDescent="0.25">
      <c r="A906" t="s">
        <v>9362</v>
      </c>
      <c r="B906">
        <v>1</v>
      </c>
      <c r="C906">
        <v>948</v>
      </c>
      <c r="D906">
        <v>948</v>
      </c>
      <c r="E906">
        <v>114</v>
      </c>
      <c r="F906">
        <v>114</v>
      </c>
      <c r="G906">
        <v>948</v>
      </c>
    </row>
    <row r="907" spans="1:7" ht="15" x14ac:dyDescent="0.25">
      <c r="A907" t="s">
        <v>9377</v>
      </c>
      <c r="B907">
        <v>1</v>
      </c>
      <c r="C907">
        <v>346</v>
      </c>
      <c r="D907">
        <v>346</v>
      </c>
      <c r="E907">
        <v>35</v>
      </c>
      <c r="F907">
        <v>35</v>
      </c>
      <c r="G907">
        <v>346</v>
      </c>
    </row>
    <row r="908" spans="1:7" ht="15" x14ac:dyDescent="0.25">
      <c r="A908" t="s">
        <v>9380</v>
      </c>
      <c r="B908">
        <v>1</v>
      </c>
      <c r="C908">
        <v>38</v>
      </c>
      <c r="D908">
        <v>38</v>
      </c>
      <c r="E908">
        <v>7</v>
      </c>
      <c r="F908">
        <v>7</v>
      </c>
      <c r="G908">
        <v>38</v>
      </c>
    </row>
    <row r="909" spans="1:7" ht="15" x14ac:dyDescent="0.25">
      <c r="A909" t="s">
        <v>9387</v>
      </c>
      <c r="B909">
        <v>1</v>
      </c>
      <c r="C909">
        <v>87</v>
      </c>
      <c r="D909">
        <v>87</v>
      </c>
      <c r="E909">
        <v>51</v>
      </c>
      <c r="F909">
        <v>51</v>
      </c>
      <c r="G909">
        <v>87</v>
      </c>
    </row>
    <row r="910" spans="1:7" ht="15" x14ac:dyDescent="0.25">
      <c r="A910" t="s">
        <v>9394</v>
      </c>
      <c r="B910">
        <v>1</v>
      </c>
      <c r="C910">
        <v>738</v>
      </c>
      <c r="D910">
        <v>738</v>
      </c>
      <c r="E910">
        <v>97</v>
      </c>
      <c r="F910">
        <v>97</v>
      </c>
      <c r="G910">
        <v>738</v>
      </c>
    </row>
    <row r="911" spans="1:7" ht="15" x14ac:dyDescent="0.25">
      <c r="A911" t="s">
        <v>9404</v>
      </c>
      <c r="B911">
        <v>1</v>
      </c>
      <c r="C911">
        <v>187</v>
      </c>
      <c r="D911">
        <v>187</v>
      </c>
      <c r="E911">
        <v>6</v>
      </c>
      <c r="F911">
        <v>6</v>
      </c>
      <c r="G911">
        <v>187</v>
      </c>
    </row>
    <row r="912" spans="1:7" ht="15" x14ac:dyDescent="0.25">
      <c r="A912" t="s">
        <v>9410</v>
      </c>
      <c r="B912">
        <v>2</v>
      </c>
      <c r="C912">
        <v>1177</v>
      </c>
      <c r="D912">
        <v>2353</v>
      </c>
      <c r="E912">
        <v>349</v>
      </c>
      <c r="F912">
        <v>174.5</v>
      </c>
      <c r="G912">
        <v>1177</v>
      </c>
    </row>
    <row r="913" spans="1:7" ht="15" x14ac:dyDescent="0.25">
      <c r="A913" t="s">
        <v>9414</v>
      </c>
      <c r="B913">
        <v>1</v>
      </c>
      <c r="C913">
        <v>85</v>
      </c>
      <c r="D913">
        <v>85</v>
      </c>
      <c r="E913">
        <v>42</v>
      </c>
      <c r="F913">
        <v>42</v>
      </c>
      <c r="G913">
        <v>85</v>
      </c>
    </row>
    <row r="914" spans="1:7" ht="15" x14ac:dyDescent="0.25">
      <c r="A914" t="s">
        <v>9419</v>
      </c>
      <c r="B914">
        <v>1</v>
      </c>
      <c r="C914">
        <v>731</v>
      </c>
      <c r="D914">
        <v>731</v>
      </c>
      <c r="E914">
        <v>92</v>
      </c>
      <c r="F914">
        <v>92</v>
      </c>
      <c r="G914">
        <v>731</v>
      </c>
    </row>
    <row r="915" spans="1:7" ht="15" x14ac:dyDescent="0.25">
      <c r="A915" t="s">
        <v>9425</v>
      </c>
      <c r="B915">
        <v>1</v>
      </c>
      <c r="C915">
        <v>45</v>
      </c>
      <c r="D915">
        <v>45</v>
      </c>
      <c r="E915">
        <v>2</v>
      </c>
      <c r="F915">
        <v>2</v>
      </c>
      <c r="G915">
        <v>45</v>
      </c>
    </row>
    <row r="916" spans="1:7" ht="15" x14ac:dyDescent="0.25">
      <c r="A916" t="s">
        <v>9431</v>
      </c>
      <c r="B916">
        <v>1</v>
      </c>
      <c r="C916">
        <v>3586</v>
      </c>
      <c r="D916">
        <v>3586</v>
      </c>
      <c r="E916">
        <v>613</v>
      </c>
      <c r="F916">
        <v>613</v>
      </c>
      <c r="G916">
        <v>3586</v>
      </c>
    </row>
    <row r="917" spans="1:7" ht="15" x14ac:dyDescent="0.25">
      <c r="A917" t="s">
        <v>9438</v>
      </c>
      <c r="B917">
        <v>2</v>
      </c>
      <c r="C917">
        <v>53</v>
      </c>
      <c r="D917">
        <v>106</v>
      </c>
      <c r="E917">
        <v>32</v>
      </c>
      <c r="F917">
        <v>16</v>
      </c>
      <c r="G917">
        <v>53</v>
      </c>
    </row>
    <row r="918" spans="1:7" ht="15" x14ac:dyDescent="0.25">
      <c r="A918" t="s">
        <v>9446</v>
      </c>
      <c r="B918">
        <v>1</v>
      </c>
      <c r="C918">
        <v>123</v>
      </c>
      <c r="D918">
        <v>123</v>
      </c>
      <c r="E918">
        <v>17</v>
      </c>
      <c r="F918">
        <v>17</v>
      </c>
      <c r="G918">
        <v>123</v>
      </c>
    </row>
    <row r="919" spans="1:7" ht="15" x14ac:dyDescent="0.25">
      <c r="A919" t="s">
        <v>9450</v>
      </c>
      <c r="B919">
        <v>1</v>
      </c>
      <c r="C919">
        <v>12582</v>
      </c>
      <c r="D919">
        <v>12582</v>
      </c>
      <c r="E919">
        <v>300</v>
      </c>
      <c r="F919">
        <v>300</v>
      </c>
      <c r="G919">
        <v>12582</v>
      </c>
    </row>
    <row r="920" spans="1:7" ht="15" x14ac:dyDescent="0.25">
      <c r="A920" t="s">
        <v>9455</v>
      </c>
      <c r="B920">
        <v>1</v>
      </c>
      <c r="C920">
        <v>212</v>
      </c>
      <c r="D920">
        <v>212</v>
      </c>
      <c r="E920">
        <v>36</v>
      </c>
      <c r="F920">
        <v>36</v>
      </c>
      <c r="G920">
        <v>212</v>
      </c>
    </row>
    <row r="921" spans="1:7" ht="15" x14ac:dyDescent="0.25">
      <c r="A921" t="s">
        <v>9466</v>
      </c>
      <c r="B921">
        <v>1</v>
      </c>
      <c r="C921">
        <v>99</v>
      </c>
      <c r="D921">
        <v>99</v>
      </c>
      <c r="E921">
        <v>16</v>
      </c>
      <c r="F921">
        <v>16</v>
      </c>
      <c r="G921">
        <v>99</v>
      </c>
    </row>
    <row r="922" spans="1:7" ht="15" x14ac:dyDescent="0.25">
      <c r="A922" t="s">
        <v>9473</v>
      </c>
      <c r="B922">
        <v>1</v>
      </c>
      <c r="C922">
        <v>415</v>
      </c>
      <c r="D922">
        <v>415</v>
      </c>
      <c r="E922">
        <v>25</v>
      </c>
      <c r="F922">
        <v>25</v>
      </c>
      <c r="G922">
        <v>415</v>
      </c>
    </row>
    <row r="923" spans="1:7" ht="15" x14ac:dyDescent="0.25">
      <c r="A923" t="s">
        <v>9480</v>
      </c>
      <c r="B923">
        <v>1</v>
      </c>
      <c r="C923">
        <v>167</v>
      </c>
      <c r="D923">
        <v>167</v>
      </c>
      <c r="E923">
        <v>18</v>
      </c>
      <c r="F923">
        <v>18</v>
      </c>
      <c r="G923">
        <v>167</v>
      </c>
    </row>
    <row r="924" spans="1:7" ht="15" x14ac:dyDescent="0.25">
      <c r="A924" t="s">
        <v>9485</v>
      </c>
      <c r="B924">
        <v>1</v>
      </c>
      <c r="C924">
        <v>99</v>
      </c>
      <c r="D924">
        <v>99</v>
      </c>
      <c r="E924">
        <v>5</v>
      </c>
      <c r="F924">
        <v>5</v>
      </c>
      <c r="G924">
        <v>99</v>
      </c>
    </row>
    <row r="925" spans="1:7" ht="15" x14ac:dyDescent="0.25">
      <c r="A925" t="s">
        <v>9492</v>
      </c>
      <c r="B925">
        <v>1</v>
      </c>
      <c r="C925">
        <v>122</v>
      </c>
      <c r="D925">
        <v>122</v>
      </c>
      <c r="E925">
        <v>3</v>
      </c>
      <c r="F925">
        <v>3</v>
      </c>
      <c r="G925">
        <v>122</v>
      </c>
    </row>
    <row r="926" spans="1:7" ht="15" x14ac:dyDescent="0.25">
      <c r="A926" t="s">
        <v>9497</v>
      </c>
      <c r="B926">
        <v>2</v>
      </c>
      <c r="C926">
        <v>2803</v>
      </c>
      <c r="D926">
        <v>5611</v>
      </c>
      <c r="E926">
        <v>189</v>
      </c>
      <c r="F926">
        <v>94.5</v>
      </c>
      <c r="G926">
        <v>2808</v>
      </c>
    </row>
    <row r="927" spans="1:7" ht="15" x14ac:dyDescent="0.25">
      <c r="A927" t="s">
        <v>9501</v>
      </c>
      <c r="B927">
        <v>1</v>
      </c>
      <c r="D927">
        <v>0</v>
      </c>
      <c r="E927">
        <v>87</v>
      </c>
      <c r="F927">
        <v>87</v>
      </c>
    </row>
    <row r="928" spans="1:7" ht="15" x14ac:dyDescent="0.25">
      <c r="A928" t="s">
        <v>9510</v>
      </c>
      <c r="B928">
        <v>1</v>
      </c>
      <c r="C928">
        <v>328</v>
      </c>
      <c r="D928">
        <v>328</v>
      </c>
      <c r="E928">
        <v>36</v>
      </c>
      <c r="F928">
        <v>36</v>
      </c>
      <c r="G928">
        <v>328</v>
      </c>
    </row>
    <row r="929" spans="1:7" ht="15" x14ac:dyDescent="0.25">
      <c r="A929" t="s">
        <v>9514</v>
      </c>
      <c r="B929">
        <v>1</v>
      </c>
      <c r="C929">
        <v>40952</v>
      </c>
      <c r="D929">
        <v>40952</v>
      </c>
      <c r="E929">
        <v>1375</v>
      </c>
      <c r="F929">
        <v>1375</v>
      </c>
      <c r="G929">
        <v>40952</v>
      </c>
    </row>
    <row r="930" spans="1:7" ht="15" x14ac:dyDescent="0.25">
      <c r="A930" t="s">
        <v>9518</v>
      </c>
      <c r="B930">
        <v>1</v>
      </c>
      <c r="C930">
        <v>126</v>
      </c>
      <c r="D930">
        <v>126</v>
      </c>
      <c r="E930">
        <v>24</v>
      </c>
      <c r="F930">
        <v>24</v>
      </c>
      <c r="G930">
        <v>126</v>
      </c>
    </row>
    <row r="931" spans="1:7" ht="15" x14ac:dyDescent="0.25">
      <c r="A931" t="s">
        <v>9523</v>
      </c>
      <c r="B931">
        <v>2</v>
      </c>
      <c r="C931">
        <v>204</v>
      </c>
      <c r="D931">
        <v>384</v>
      </c>
      <c r="E931">
        <v>122</v>
      </c>
      <c r="F931">
        <v>61</v>
      </c>
      <c r="G931">
        <v>204</v>
      </c>
    </row>
    <row r="932" spans="1:7" ht="15" x14ac:dyDescent="0.25">
      <c r="A932" t="s">
        <v>9537</v>
      </c>
      <c r="B932">
        <v>1</v>
      </c>
      <c r="C932">
        <v>168</v>
      </c>
      <c r="D932">
        <v>168</v>
      </c>
      <c r="E932">
        <v>39</v>
      </c>
      <c r="F932">
        <v>39</v>
      </c>
      <c r="G932">
        <v>168</v>
      </c>
    </row>
    <row r="933" spans="1:7" ht="15" x14ac:dyDescent="0.25">
      <c r="A933" t="s">
        <v>9550</v>
      </c>
      <c r="B933">
        <v>1</v>
      </c>
      <c r="C933">
        <v>740</v>
      </c>
      <c r="D933">
        <v>740</v>
      </c>
      <c r="E933">
        <v>34</v>
      </c>
      <c r="F933">
        <v>34</v>
      </c>
      <c r="G933">
        <v>740</v>
      </c>
    </row>
    <row r="934" spans="1:7" ht="15" x14ac:dyDescent="0.25">
      <c r="A934" t="s">
        <v>9560</v>
      </c>
      <c r="B934">
        <v>1</v>
      </c>
      <c r="D934">
        <v>0</v>
      </c>
      <c r="E934">
        <v>26</v>
      </c>
      <c r="F934">
        <v>26</v>
      </c>
    </row>
    <row r="935" spans="1:7" ht="15" x14ac:dyDescent="0.25">
      <c r="A935" t="s">
        <v>9567</v>
      </c>
      <c r="B935">
        <v>1</v>
      </c>
      <c r="C935">
        <v>676</v>
      </c>
      <c r="D935">
        <v>676</v>
      </c>
      <c r="E935">
        <v>6</v>
      </c>
      <c r="F935">
        <v>6</v>
      </c>
      <c r="G935">
        <v>676</v>
      </c>
    </row>
    <row r="936" spans="1:7" ht="15" x14ac:dyDescent="0.25">
      <c r="A936" t="s">
        <v>9572</v>
      </c>
      <c r="B936">
        <v>1</v>
      </c>
      <c r="C936">
        <v>115</v>
      </c>
      <c r="D936">
        <v>115</v>
      </c>
      <c r="E936">
        <v>26</v>
      </c>
      <c r="F936">
        <v>26</v>
      </c>
      <c r="G936">
        <v>115</v>
      </c>
    </row>
    <row r="937" spans="1:7" ht="15" x14ac:dyDescent="0.25">
      <c r="A937" t="s">
        <v>9588</v>
      </c>
      <c r="B937">
        <v>1</v>
      </c>
      <c r="C937">
        <v>123</v>
      </c>
      <c r="D937">
        <v>123</v>
      </c>
      <c r="E937">
        <v>34</v>
      </c>
      <c r="F937">
        <v>34</v>
      </c>
      <c r="G937">
        <v>123</v>
      </c>
    </row>
    <row r="938" spans="1:7" ht="15" x14ac:dyDescent="0.25">
      <c r="A938" t="s">
        <v>9594</v>
      </c>
      <c r="B938">
        <v>1</v>
      </c>
      <c r="C938">
        <v>1436</v>
      </c>
      <c r="D938">
        <v>1436</v>
      </c>
      <c r="E938">
        <v>34</v>
      </c>
      <c r="F938">
        <v>34</v>
      </c>
      <c r="G938">
        <v>1436</v>
      </c>
    </row>
    <row r="939" spans="1:7" ht="15" x14ac:dyDescent="0.25">
      <c r="A939" t="s">
        <v>9604</v>
      </c>
      <c r="B939">
        <v>1</v>
      </c>
      <c r="C939">
        <v>177</v>
      </c>
      <c r="D939">
        <v>177</v>
      </c>
      <c r="E939">
        <v>18</v>
      </c>
      <c r="F939">
        <v>18</v>
      </c>
      <c r="G939">
        <v>177</v>
      </c>
    </row>
    <row r="940" spans="1:7" ht="15" x14ac:dyDescent="0.25">
      <c r="A940" t="s">
        <v>9611</v>
      </c>
      <c r="B940">
        <v>1</v>
      </c>
      <c r="C940">
        <v>291</v>
      </c>
      <c r="D940">
        <v>291</v>
      </c>
      <c r="E940">
        <v>15</v>
      </c>
      <c r="F940">
        <v>15</v>
      </c>
      <c r="G940">
        <v>291</v>
      </c>
    </row>
    <row r="941" spans="1:7" ht="15" x14ac:dyDescent="0.25">
      <c r="A941" t="s">
        <v>9617</v>
      </c>
      <c r="B941">
        <v>1</v>
      </c>
      <c r="C941">
        <v>175</v>
      </c>
      <c r="D941">
        <v>175</v>
      </c>
      <c r="E941">
        <v>25</v>
      </c>
      <c r="F941">
        <v>25</v>
      </c>
      <c r="G941">
        <v>175</v>
      </c>
    </row>
    <row r="942" spans="1:7" ht="15" x14ac:dyDescent="0.25">
      <c r="A942" t="s">
        <v>9625</v>
      </c>
      <c r="B942">
        <v>1</v>
      </c>
      <c r="C942">
        <v>756</v>
      </c>
      <c r="D942">
        <v>756</v>
      </c>
      <c r="E942">
        <v>157</v>
      </c>
      <c r="F942">
        <v>157</v>
      </c>
      <c r="G942">
        <v>756</v>
      </c>
    </row>
    <row r="943" spans="1:7" ht="15" x14ac:dyDescent="0.25">
      <c r="A943" t="s">
        <v>9633</v>
      </c>
      <c r="B943">
        <v>1</v>
      </c>
      <c r="C943">
        <v>21763</v>
      </c>
      <c r="D943">
        <v>21763</v>
      </c>
      <c r="E943">
        <v>1293</v>
      </c>
      <c r="F943">
        <v>1293</v>
      </c>
      <c r="G943">
        <v>21763</v>
      </c>
    </row>
    <row r="944" spans="1:7" ht="15" x14ac:dyDescent="0.25">
      <c r="A944" t="s">
        <v>9639</v>
      </c>
      <c r="B944">
        <v>1</v>
      </c>
      <c r="C944">
        <v>631</v>
      </c>
      <c r="D944">
        <v>631</v>
      </c>
      <c r="E944">
        <v>39</v>
      </c>
      <c r="F944">
        <v>39</v>
      </c>
      <c r="G944">
        <v>631</v>
      </c>
    </row>
    <row r="945" spans="1:7" ht="15" x14ac:dyDescent="0.25">
      <c r="A945" t="s">
        <v>9654</v>
      </c>
      <c r="B945">
        <v>1</v>
      </c>
      <c r="C945">
        <v>9202</v>
      </c>
      <c r="D945">
        <v>9202</v>
      </c>
      <c r="E945">
        <v>132</v>
      </c>
      <c r="F945">
        <v>132</v>
      </c>
      <c r="G945">
        <v>9202</v>
      </c>
    </row>
    <row r="946" spans="1:7" ht="15" x14ac:dyDescent="0.25">
      <c r="A946" t="s">
        <v>9661</v>
      </c>
      <c r="B946">
        <v>1</v>
      </c>
      <c r="C946">
        <v>401</v>
      </c>
      <c r="D946">
        <v>401</v>
      </c>
      <c r="E946">
        <v>43</v>
      </c>
      <c r="F946">
        <v>43</v>
      </c>
      <c r="G946">
        <v>401</v>
      </c>
    </row>
    <row r="947" spans="1:7" ht="15" x14ac:dyDescent="0.25">
      <c r="A947" t="s">
        <v>9666</v>
      </c>
      <c r="B947">
        <v>1</v>
      </c>
      <c r="C947">
        <v>165</v>
      </c>
      <c r="D947">
        <v>165</v>
      </c>
      <c r="E947">
        <v>40</v>
      </c>
      <c r="F947">
        <v>40</v>
      </c>
      <c r="G947">
        <v>165</v>
      </c>
    </row>
    <row r="948" spans="1:7" ht="15" x14ac:dyDescent="0.25">
      <c r="A948" t="s">
        <v>9674</v>
      </c>
      <c r="B948">
        <v>1</v>
      </c>
      <c r="C948">
        <v>405</v>
      </c>
      <c r="D948">
        <v>405</v>
      </c>
      <c r="E948">
        <v>60</v>
      </c>
      <c r="F948">
        <v>60</v>
      </c>
      <c r="G948">
        <v>405</v>
      </c>
    </row>
    <row r="949" spans="1:7" ht="15" x14ac:dyDescent="0.25">
      <c r="A949" t="s">
        <v>9689</v>
      </c>
      <c r="B949">
        <v>1</v>
      </c>
      <c r="C949">
        <v>253</v>
      </c>
      <c r="D949">
        <v>253</v>
      </c>
      <c r="E949">
        <v>7</v>
      </c>
      <c r="F949">
        <v>7</v>
      </c>
      <c r="G949">
        <v>253</v>
      </c>
    </row>
    <row r="950" spans="1:7" ht="15" x14ac:dyDescent="0.25">
      <c r="A950" t="s">
        <v>9693</v>
      </c>
      <c r="B950">
        <v>1</v>
      </c>
      <c r="C950">
        <v>1411</v>
      </c>
      <c r="D950">
        <v>1411</v>
      </c>
      <c r="E950">
        <v>122</v>
      </c>
      <c r="F950">
        <v>122</v>
      </c>
      <c r="G950">
        <v>1411</v>
      </c>
    </row>
    <row r="951" spans="1:7" ht="15" x14ac:dyDescent="0.25">
      <c r="A951" t="s">
        <v>9699</v>
      </c>
      <c r="B951">
        <v>1</v>
      </c>
      <c r="C951">
        <v>879</v>
      </c>
      <c r="D951">
        <v>879</v>
      </c>
      <c r="E951">
        <v>71</v>
      </c>
      <c r="F951">
        <v>71</v>
      </c>
      <c r="G951">
        <v>879</v>
      </c>
    </row>
    <row r="952" spans="1:7" ht="15" x14ac:dyDescent="0.25">
      <c r="A952" t="s">
        <v>9705</v>
      </c>
      <c r="B952">
        <v>1</v>
      </c>
      <c r="D952">
        <v>0</v>
      </c>
      <c r="E952">
        <v>50</v>
      </c>
      <c r="F952">
        <v>50</v>
      </c>
    </row>
    <row r="953" spans="1:7" ht="15" x14ac:dyDescent="0.25">
      <c r="A953" t="s">
        <v>9711</v>
      </c>
      <c r="B953">
        <v>1</v>
      </c>
      <c r="C953">
        <v>113</v>
      </c>
      <c r="D953">
        <v>113</v>
      </c>
      <c r="E953">
        <v>23</v>
      </c>
      <c r="F953">
        <v>23</v>
      </c>
      <c r="G953">
        <v>113</v>
      </c>
    </row>
    <row r="954" spans="1:7" ht="15" x14ac:dyDescent="0.25">
      <c r="A954" t="s">
        <v>9720</v>
      </c>
      <c r="B954">
        <v>1</v>
      </c>
      <c r="C954">
        <v>287</v>
      </c>
      <c r="D954">
        <v>287</v>
      </c>
      <c r="E954">
        <v>20</v>
      </c>
      <c r="F954">
        <v>20</v>
      </c>
      <c r="G954">
        <v>287</v>
      </c>
    </row>
    <row r="955" spans="1:7" ht="15" x14ac:dyDescent="0.25">
      <c r="A955" t="s">
        <v>9724</v>
      </c>
      <c r="B955">
        <v>1</v>
      </c>
      <c r="C955">
        <v>6</v>
      </c>
      <c r="D955">
        <v>6</v>
      </c>
      <c r="E955">
        <v>3</v>
      </c>
      <c r="F955">
        <v>3</v>
      </c>
      <c r="G955">
        <v>6</v>
      </c>
    </row>
    <row r="956" spans="1:7" ht="15" x14ac:dyDescent="0.25">
      <c r="A956" t="s">
        <v>9741</v>
      </c>
      <c r="B956">
        <v>1</v>
      </c>
      <c r="C956">
        <v>4846</v>
      </c>
      <c r="D956">
        <v>4846</v>
      </c>
      <c r="E956">
        <v>74</v>
      </c>
      <c r="F956">
        <v>74</v>
      </c>
      <c r="G956">
        <v>4846</v>
      </c>
    </row>
    <row r="957" spans="1:7" ht="15" x14ac:dyDescent="0.25">
      <c r="A957" t="s">
        <v>9744</v>
      </c>
      <c r="B957">
        <v>1</v>
      </c>
      <c r="C957">
        <v>155</v>
      </c>
      <c r="D957">
        <v>155</v>
      </c>
      <c r="E957">
        <v>11</v>
      </c>
      <c r="F957">
        <v>11</v>
      </c>
      <c r="G957">
        <v>155</v>
      </c>
    </row>
    <row r="958" spans="1:7" ht="15" x14ac:dyDescent="0.25">
      <c r="A958" t="s">
        <v>9756</v>
      </c>
      <c r="B958">
        <v>1</v>
      </c>
      <c r="C958">
        <v>55</v>
      </c>
      <c r="D958">
        <v>55</v>
      </c>
      <c r="E958">
        <v>33</v>
      </c>
      <c r="F958">
        <v>33</v>
      </c>
      <c r="G958">
        <v>55</v>
      </c>
    </row>
    <row r="959" spans="1:7" ht="15" x14ac:dyDescent="0.25">
      <c r="A959" t="s">
        <v>9763</v>
      </c>
      <c r="B959">
        <v>2</v>
      </c>
      <c r="C959">
        <v>3917</v>
      </c>
      <c r="D959">
        <v>7753</v>
      </c>
      <c r="E959">
        <v>85</v>
      </c>
      <c r="F959">
        <v>42.5</v>
      </c>
      <c r="G959">
        <v>3917</v>
      </c>
    </row>
    <row r="960" spans="1:7" ht="15" x14ac:dyDescent="0.25">
      <c r="A960" t="s">
        <v>9767</v>
      </c>
      <c r="B960">
        <v>1</v>
      </c>
      <c r="C960">
        <v>710</v>
      </c>
      <c r="D960">
        <v>710</v>
      </c>
      <c r="E960">
        <v>76</v>
      </c>
      <c r="F960">
        <v>76</v>
      </c>
      <c r="G960">
        <v>710</v>
      </c>
    </row>
    <row r="961" spans="1:7" ht="15" x14ac:dyDescent="0.25">
      <c r="A961" t="s">
        <v>9775</v>
      </c>
      <c r="B961">
        <v>1</v>
      </c>
      <c r="C961">
        <v>418</v>
      </c>
      <c r="D961">
        <v>418</v>
      </c>
      <c r="E961">
        <v>28</v>
      </c>
      <c r="F961">
        <v>28</v>
      </c>
      <c r="G961">
        <v>418</v>
      </c>
    </row>
    <row r="962" spans="1:7" ht="15" x14ac:dyDescent="0.25">
      <c r="A962" t="s">
        <v>9778</v>
      </c>
      <c r="B962">
        <v>1</v>
      </c>
      <c r="C962">
        <v>842</v>
      </c>
      <c r="D962">
        <v>842</v>
      </c>
      <c r="E962">
        <v>72</v>
      </c>
      <c r="F962">
        <v>72</v>
      </c>
      <c r="G962">
        <v>842</v>
      </c>
    </row>
    <row r="963" spans="1:7" ht="15" x14ac:dyDescent="0.25">
      <c r="A963" t="s">
        <v>9783</v>
      </c>
      <c r="B963">
        <v>1</v>
      </c>
      <c r="C963">
        <v>171</v>
      </c>
      <c r="D963">
        <v>171</v>
      </c>
      <c r="E963">
        <v>15</v>
      </c>
      <c r="F963">
        <v>15</v>
      </c>
      <c r="G963">
        <v>171</v>
      </c>
    </row>
    <row r="964" spans="1:7" ht="15" x14ac:dyDescent="0.25">
      <c r="A964" t="s">
        <v>9791</v>
      </c>
      <c r="B964">
        <v>1</v>
      </c>
      <c r="C964">
        <v>483</v>
      </c>
      <c r="D964">
        <v>483</v>
      </c>
      <c r="E964">
        <v>27</v>
      </c>
      <c r="F964">
        <v>27</v>
      </c>
      <c r="G964">
        <v>483</v>
      </c>
    </row>
    <row r="965" spans="1:7" ht="15" x14ac:dyDescent="0.25">
      <c r="A965" t="s">
        <v>9799</v>
      </c>
      <c r="B965">
        <v>1</v>
      </c>
      <c r="C965">
        <v>122</v>
      </c>
      <c r="D965">
        <v>122</v>
      </c>
      <c r="E965">
        <v>110</v>
      </c>
      <c r="F965">
        <v>110</v>
      </c>
      <c r="G965">
        <v>122</v>
      </c>
    </row>
    <row r="966" spans="1:7" ht="15" x14ac:dyDescent="0.25">
      <c r="A966" t="s">
        <v>9807</v>
      </c>
      <c r="B966">
        <v>1</v>
      </c>
      <c r="C966">
        <v>58</v>
      </c>
      <c r="D966">
        <v>58</v>
      </c>
      <c r="E966">
        <v>11</v>
      </c>
      <c r="F966">
        <v>11</v>
      </c>
      <c r="G966">
        <v>58</v>
      </c>
    </row>
    <row r="967" spans="1:7" ht="15" x14ac:dyDescent="0.25">
      <c r="A967" t="s">
        <v>9814</v>
      </c>
      <c r="B967">
        <v>1</v>
      </c>
      <c r="C967">
        <v>1256</v>
      </c>
      <c r="D967">
        <v>1256</v>
      </c>
      <c r="E967">
        <v>98</v>
      </c>
      <c r="F967">
        <v>98</v>
      </c>
      <c r="G967">
        <v>1256</v>
      </c>
    </row>
    <row r="968" spans="1:7" ht="15" x14ac:dyDescent="0.25">
      <c r="A968" t="s">
        <v>9819</v>
      </c>
      <c r="B968">
        <v>1</v>
      </c>
      <c r="C968">
        <v>579</v>
      </c>
      <c r="D968">
        <v>579</v>
      </c>
      <c r="E968">
        <v>15</v>
      </c>
      <c r="F968">
        <v>15</v>
      </c>
      <c r="G968">
        <v>579</v>
      </c>
    </row>
    <row r="969" spans="1:7" ht="15" x14ac:dyDescent="0.25">
      <c r="A969" t="s">
        <v>9823</v>
      </c>
      <c r="B969">
        <v>1</v>
      </c>
      <c r="C969">
        <v>670</v>
      </c>
      <c r="D969">
        <v>670</v>
      </c>
      <c r="E969">
        <v>69</v>
      </c>
      <c r="F969">
        <v>69</v>
      </c>
      <c r="G969">
        <v>670</v>
      </c>
    </row>
    <row r="970" spans="1:7" ht="15" x14ac:dyDescent="0.25">
      <c r="A970" t="s">
        <v>9827</v>
      </c>
      <c r="B970">
        <v>1</v>
      </c>
      <c r="C970">
        <v>533</v>
      </c>
      <c r="D970">
        <v>533</v>
      </c>
      <c r="E970">
        <v>11</v>
      </c>
      <c r="F970">
        <v>11</v>
      </c>
      <c r="G970">
        <v>533</v>
      </c>
    </row>
    <row r="971" spans="1:7" ht="15" x14ac:dyDescent="0.25">
      <c r="A971" t="s">
        <v>9837</v>
      </c>
      <c r="B971">
        <v>1</v>
      </c>
      <c r="C971">
        <v>311</v>
      </c>
      <c r="D971">
        <v>311</v>
      </c>
      <c r="E971">
        <v>62</v>
      </c>
      <c r="F971">
        <v>62</v>
      </c>
      <c r="G971">
        <v>311</v>
      </c>
    </row>
    <row r="972" spans="1:7" ht="15" x14ac:dyDescent="0.25">
      <c r="A972" t="s">
        <v>9842</v>
      </c>
      <c r="B972">
        <v>1</v>
      </c>
      <c r="D972">
        <v>0</v>
      </c>
      <c r="E972">
        <v>12</v>
      </c>
      <c r="F972">
        <v>12</v>
      </c>
    </row>
    <row r="973" spans="1:7" ht="15" x14ac:dyDescent="0.25">
      <c r="A973" t="s">
        <v>9845</v>
      </c>
      <c r="B973">
        <v>1</v>
      </c>
      <c r="C973">
        <v>277</v>
      </c>
      <c r="D973">
        <v>277</v>
      </c>
      <c r="E973">
        <v>20</v>
      </c>
      <c r="F973">
        <v>20</v>
      </c>
      <c r="G973">
        <v>277</v>
      </c>
    </row>
    <row r="974" spans="1:7" ht="15" x14ac:dyDescent="0.25">
      <c r="A974" t="s">
        <v>9851</v>
      </c>
      <c r="B974">
        <v>1</v>
      </c>
      <c r="C974">
        <v>188</v>
      </c>
      <c r="D974">
        <v>188</v>
      </c>
      <c r="E974">
        <v>30</v>
      </c>
      <c r="F974">
        <v>30</v>
      </c>
      <c r="G974">
        <v>188</v>
      </c>
    </row>
    <row r="975" spans="1:7" ht="15" x14ac:dyDescent="0.25">
      <c r="A975" t="s">
        <v>9859</v>
      </c>
      <c r="B975">
        <v>1</v>
      </c>
      <c r="C975">
        <v>532</v>
      </c>
      <c r="D975">
        <v>532</v>
      </c>
      <c r="E975">
        <v>30</v>
      </c>
      <c r="F975">
        <v>30</v>
      </c>
      <c r="G975">
        <v>532</v>
      </c>
    </row>
    <row r="976" spans="1:7" ht="15" x14ac:dyDescent="0.25">
      <c r="A976" t="s">
        <v>9866</v>
      </c>
      <c r="B976">
        <v>1</v>
      </c>
      <c r="C976">
        <v>1191</v>
      </c>
      <c r="D976">
        <v>1191</v>
      </c>
      <c r="E976">
        <v>9</v>
      </c>
      <c r="F976">
        <v>9</v>
      </c>
      <c r="G976">
        <v>1191</v>
      </c>
    </row>
    <row r="977" spans="1:7" ht="15" x14ac:dyDescent="0.25">
      <c r="A977" t="s">
        <v>9873</v>
      </c>
      <c r="B977">
        <v>2</v>
      </c>
      <c r="C977">
        <v>1726</v>
      </c>
      <c r="D977">
        <v>3440</v>
      </c>
      <c r="E977">
        <v>177</v>
      </c>
      <c r="F977">
        <v>88.5</v>
      </c>
      <c r="G977">
        <v>1726</v>
      </c>
    </row>
    <row r="978" spans="1:7" ht="15" x14ac:dyDescent="0.25">
      <c r="A978" t="s">
        <v>9879</v>
      </c>
      <c r="B978">
        <v>1</v>
      </c>
      <c r="C978">
        <v>376</v>
      </c>
      <c r="D978">
        <v>376</v>
      </c>
      <c r="E978">
        <v>21</v>
      </c>
      <c r="F978">
        <v>21</v>
      </c>
      <c r="G978">
        <v>376</v>
      </c>
    </row>
    <row r="979" spans="1:7" ht="15" x14ac:dyDescent="0.25">
      <c r="A979" t="s">
        <v>9891</v>
      </c>
      <c r="B979">
        <v>1</v>
      </c>
      <c r="C979">
        <v>365</v>
      </c>
      <c r="D979">
        <v>365</v>
      </c>
      <c r="E979">
        <v>41</v>
      </c>
      <c r="F979">
        <v>41</v>
      </c>
      <c r="G979">
        <v>365</v>
      </c>
    </row>
    <row r="980" spans="1:7" ht="15" x14ac:dyDescent="0.25">
      <c r="A980" t="s">
        <v>9900</v>
      </c>
      <c r="B980">
        <v>2</v>
      </c>
      <c r="C980">
        <v>410</v>
      </c>
      <c r="D980">
        <v>822</v>
      </c>
      <c r="E980">
        <v>75</v>
      </c>
      <c r="F980">
        <v>37.5</v>
      </c>
      <c r="G980">
        <v>412</v>
      </c>
    </row>
    <row r="981" spans="1:7" ht="15" x14ac:dyDescent="0.25">
      <c r="A981" t="s">
        <v>9915</v>
      </c>
      <c r="B981">
        <v>1</v>
      </c>
      <c r="C981">
        <v>234</v>
      </c>
      <c r="D981">
        <v>234</v>
      </c>
      <c r="E981">
        <v>33</v>
      </c>
      <c r="F981">
        <v>33</v>
      </c>
      <c r="G981">
        <v>234</v>
      </c>
    </row>
    <row r="982" spans="1:7" ht="15" x14ac:dyDescent="0.25">
      <c r="A982" t="s">
        <v>9927</v>
      </c>
      <c r="B982">
        <v>1</v>
      </c>
      <c r="C982">
        <v>481</v>
      </c>
      <c r="D982">
        <v>481</v>
      </c>
      <c r="E982">
        <v>54</v>
      </c>
      <c r="F982">
        <v>54</v>
      </c>
      <c r="G982">
        <v>481</v>
      </c>
    </row>
    <row r="983" spans="1:7" ht="15" x14ac:dyDescent="0.25">
      <c r="A983" t="s">
        <v>9933</v>
      </c>
      <c r="B983">
        <v>2</v>
      </c>
      <c r="C983">
        <v>133</v>
      </c>
      <c r="D983">
        <v>266</v>
      </c>
      <c r="E983">
        <v>88</v>
      </c>
      <c r="F983">
        <v>44</v>
      </c>
      <c r="G983">
        <v>133</v>
      </c>
    </row>
    <row r="984" spans="1:7" ht="15" x14ac:dyDescent="0.25">
      <c r="A984" t="s">
        <v>9943</v>
      </c>
      <c r="B984">
        <v>1</v>
      </c>
      <c r="C984">
        <v>336</v>
      </c>
      <c r="D984">
        <v>336</v>
      </c>
      <c r="E984">
        <v>35</v>
      </c>
      <c r="F984">
        <v>35</v>
      </c>
      <c r="G984">
        <v>336</v>
      </c>
    </row>
    <row r="985" spans="1:7" ht="15" x14ac:dyDescent="0.25">
      <c r="A985" t="s">
        <v>9950</v>
      </c>
      <c r="B985">
        <v>1</v>
      </c>
      <c r="C985">
        <v>3233</v>
      </c>
      <c r="D985">
        <v>3233</v>
      </c>
      <c r="E985">
        <v>40</v>
      </c>
      <c r="F985">
        <v>40</v>
      </c>
      <c r="G985">
        <v>3233</v>
      </c>
    </row>
    <row r="986" spans="1:7" ht="15" x14ac:dyDescent="0.25">
      <c r="A986" t="s">
        <v>9956</v>
      </c>
      <c r="B986">
        <v>1</v>
      </c>
      <c r="C986">
        <v>4957</v>
      </c>
      <c r="D986">
        <v>4957</v>
      </c>
      <c r="E986">
        <v>207</v>
      </c>
      <c r="F986">
        <v>207</v>
      </c>
      <c r="G986">
        <v>4957</v>
      </c>
    </row>
    <row r="987" spans="1:7" ht="15" x14ac:dyDescent="0.25">
      <c r="A987" t="s">
        <v>9972</v>
      </c>
      <c r="B987">
        <v>1</v>
      </c>
      <c r="C987">
        <v>154</v>
      </c>
      <c r="D987">
        <v>154</v>
      </c>
      <c r="E987">
        <v>41</v>
      </c>
      <c r="F987">
        <v>41</v>
      </c>
      <c r="G987">
        <v>154</v>
      </c>
    </row>
    <row r="988" spans="1:7" ht="15" x14ac:dyDescent="0.25">
      <c r="A988" t="s">
        <v>9980</v>
      </c>
      <c r="B988">
        <v>1</v>
      </c>
      <c r="C988">
        <v>376</v>
      </c>
      <c r="D988">
        <v>376</v>
      </c>
      <c r="E988">
        <v>21</v>
      </c>
      <c r="F988">
        <v>21</v>
      </c>
      <c r="G988">
        <v>376</v>
      </c>
    </row>
    <row r="989" spans="1:7" ht="15" x14ac:dyDescent="0.25">
      <c r="A989" t="s">
        <v>9988</v>
      </c>
      <c r="B989">
        <v>1</v>
      </c>
      <c r="C989">
        <v>265</v>
      </c>
      <c r="D989">
        <v>265</v>
      </c>
      <c r="E989">
        <v>32</v>
      </c>
      <c r="F989">
        <v>32</v>
      </c>
      <c r="G989">
        <v>265</v>
      </c>
    </row>
    <row r="990" spans="1:7" ht="15" x14ac:dyDescent="0.25">
      <c r="A990" t="s">
        <v>10006</v>
      </c>
      <c r="B990">
        <v>1</v>
      </c>
      <c r="C990">
        <v>869</v>
      </c>
      <c r="D990">
        <v>869</v>
      </c>
      <c r="E990">
        <v>129</v>
      </c>
      <c r="F990">
        <v>129</v>
      </c>
      <c r="G990">
        <v>869</v>
      </c>
    </row>
    <row r="991" spans="1:7" ht="15" x14ac:dyDescent="0.25">
      <c r="A991" t="s">
        <v>10013</v>
      </c>
      <c r="B991">
        <v>1</v>
      </c>
      <c r="C991">
        <v>113</v>
      </c>
      <c r="D991">
        <v>113</v>
      </c>
      <c r="E991">
        <v>24</v>
      </c>
      <c r="F991">
        <v>24</v>
      </c>
      <c r="G991">
        <v>113</v>
      </c>
    </row>
    <row r="992" spans="1:7" ht="15" x14ac:dyDescent="0.25">
      <c r="A992" t="s">
        <v>10016</v>
      </c>
      <c r="B992">
        <v>1</v>
      </c>
      <c r="C992">
        <v>164</v>
      </c>
      <c r="D992">
        <v>164</v>
      </c>
      <c r="E992">
        <v>29</v>
      </c>
      <c r="F992">
        <v>29</v>
      </c>
      <c r="G992">
        <v>164</v>
      </c>
    </row>
    <row r="993" spans="1:7" ht="15" x14ac:dyDescent="0.25">
      <c r="A993" t="s">
        <v>10022</v>
      </c>
      <c r="B993">
        <v>2</v>
      </c>
      <c r="C993">
        <v>63</v>
      </c>
      <c r="D993">
        <v>109</v>
      </c>
      <c r="E993">
        <v>67</v>
      </c>
      <c r="F993">
        <v>33.5</v>
      </c>
      <c r="G993">
        <v>63</v>
      </c>
    </row>
    <row r="994" spans="1:7" ht="15" x14ac:dyDescent="0.25">
      <c r="A994" t="s">
        <v>10033</v>
      </c>
      <c r="B994">
        <v>4</v>
      </c>
      <c r="C994">
        <v>811</v>
      </c>
      <c r="D994">
        <v>3242</v>
      </c>
      <c r="E994">
        <v>179</v>
      </c>
      <c r="F994">
        <v>44.75</v>
      </c>
      <c r="G994">
        <v>811</v>
      </c>
    </row>
    <row r="995" spans="1:7" ht="15" x14ac:dyDescent="0.25">
      <c r="A995" t="s">
        <v>10039</v>
      </c>
      <c r="B995">
        <v>1</v>
      </c>
      <c r="C995">
        <v>206</v>
      </c>
      <c r="D995">
        <v>206</v>
      </c>
      <c r="E995">
        <v>16</v>
      </c>
      <c r="F995">
        <v>16</v>
      </c>
      <c r="G995">
        <v>206</v>
      </c>
    </row>
    <row r="996" spans="1:7" ht="15" x14ac:dyDescent="0.25">
      <c r="A996" t="s">
        <v>10045</v>
      </c>
      <c r="B996">
        <v>1</v>
      </c>
      <c r="C996">
        <v>265</v>
      </c>
      <c r="D996">
        <v>265</v>
      </c>
      <c r="E996">
        <v>31</v>
      </c>
      <c r="F996">
        <v>31</v>
      </c>
      <c r="G996">
        <v>265</v>
      </c>
    </row>
    <row r="997" spans="1:7" ht="15" x14ac:dyDescent="0.25">
      <c r="A997" t="s">
        <v>10066</v>
      </c>
      <c r="B997">
        <v>1</v>
      </c>
      <c r="C997">
        <v>98</v>
      </c>
      <c r="D997">
        <v>98</v>
      </c>
      <c r="E997">
        <v>10</v>
      </c>
      <c r="F997">
        <v>10</v>
      </c>
      <c r="G997">
        <v>98</v>
      </c>
    </row>
    <row r="998" spans="1:7" ht="15" x14ac:dyDescent="0.25">
      <c r="A998" t="s">
        <v>10071</v>
      </c>
      <c r="B998">
        <v>1</v>
      </c>
      <c r="D998">
        <v>0</v>
      </c>
      <c r="E998">
        <v>39</v>
      </c>
      <c r="F998">
        <v>39</v>
      </c>
    </row>
    <row r="999" spans="1:7" ht="15" x14ac:dyDescent="0.25">
      <c r="A999" t="s">
        <v>10075</v>
      </c>
      <c r="B999">
        <v>1</v>
      </c>
      <c r="C999">
        <v>112</v>
      </c>
      <c r="D999">
        <v>112</v>
      </c>
      <c r="E999">
        <v>8</v>
      </c>
      <c r="F999">
        <v>8</v>
      </c>
      <c r="G999">
        <v>112</v>
      </c>
    </row>
    <row r="1000" spans="1:7" ht="15" x14ac:dyDescent="0.25">
      <c r="A1000" t="s">
        <v>10089</v>
      </c>
      <c r="B1000">
        <v>1</v>
      </c>
      <c r="C1000">
        <v>262</v>
      </c>
      <c r="D1000">
        <v>262</v>
      </c>
      <c r="E1000">
        <v>37</v>
      </c>
      <c r="F1000">
        <v>37</v>
      </c>
      <c r="G1000">
        <v>262</v>
      </c>
    </row>
    <row r="1001" spans="1:7" ht="15" x14ac:dyDescent="0.25">
      <c r="A1001" t="s">
        <v>10097</v>
      </c>
      <c r="B1001">
        <v>1</v>
      </c>
      <c r="C1001">
        <v>199</v>
      </c>
      <c r="D1001">
        <v>199</v>
      </c>
      <c r="E1001">
        <v>29</v>
      </c>
      <c r="F1001">
        <v>29</v>
      </c>
      <c r="G1001">
        <v>199</v>
      </c>
    </row>
    <row r="1002" spans="1:7" ht="15" x14ac:dyDescent="0.25">
      <c r="A1002" t="s">
        <v>10106</v>
      </c>
      <c r="B1002">
        <v>1</v>
      </c>
      <c r="C1002">
        <v>735</v>
      </c>
      <c r="D1002">
        <v>735</v>
      </c>
      <c r="E1002">
        <v>27</v>
      </c>
      <c r="F1002">
        <v>27</v>
      </c>
      <c r="G1002">
        <v>735</v>
      </c>
    </row>
    <row r="1003" spans="1:7" ht="15" x14ac:dyDescent="0.25">
      <c r="A1003" t="s">
        <v>10116</v>
      </c>
      <c r="B1003">
        <v>1</v>
      </c>
      <c r="C1003">
        <v>94</v>
      </c>
      <c r="D1003">
        <v>94</v>
      </c>
      <c r="E1003">
        <v>30</v>
      </c>
      <c r="F1003">
        <v>30</v>
      </c>
      <c r="G1003">
        <v>94</v>
      </c>
    </row>
    <row r="1004" spans="1:7" ht="15" x14ac:dyDescent="0.25">
      <c r="A1004" t="s">
        <v>10123</v>
      </c>
      <c r="B1004">
        <v>1</v>
      </c>
      <c r="C1004">
        <v>4415</v>
      </c>
      <c r="D1004">
        <v>4415</v>
      </c>
      <c r="E1004">
        <v>250</v>
      </c>
      <c r="F1004">
        <v>250</v>
      </c>
      <c r="G1004">
        <v>4415</v>
      </c>
    </row>
    <row r="1005" spans="1:7" ht="15" x14ac:dyDescent="0.25">
      <c r="A1005" t="s">
        <v>10130</v>
      </c>
      <c r="B1005">
        <v>1</v>
      </c>
      <c r="C1005">
        <v>2717</v>
      </c>
      <c r="D1005">
        <v>2717</v>
      </c>
      <c r="E1005">
        <v>26</v>
      </c>
      <c r="F1005">
        <v>26</v>
      </c>
      <c r="G1005">
        <v>2717</v>
      </c>
    </row>
    <row r="1006" spans="1:7" ht="15" x14ac:dyDescent="0.25">
      <c r="A1006" t="s">
        <v>10139</v>
      </c>
      <c r="B1006">
        <v>1</v>
      </c>
      <c r="C1006">
        <v>32</v>
      </c>
      <c r="D1006">
        <v>32</v>
      </c>
      <c r="E1006">
        <v>23</v>
      </c>
      <c r="F1006">
        <v>23</v>
      </c>
      <c r="G1006">
        <v>32</v>
      </c>
    </row>
    <row r="1007" spans="1:7" ht="15" x14ac:dyDescent="0.25">
      <c r="A1007" t="s">
        <v>10143</v>
      </c>
      <c r="B1007">
        <v>1</v>
      </c>
      <c r="C1007">
        <v>114</v>
      </c>
      <c r="D1007">
        <v>114</v>
      </c>
      <c r="E1007">
        <v>19</v>
      </c>
      <c r="F1007">
        <v>19</v>
      </c>
      <c r="G1007">
        <v>114</v>
      </c>
    </row>
    <row r="1008" spans="1:7" ht="15" x14ac:dyDescent="0.25">
      <c r="A1008" t="s">
        <v>10149</v>
      </c>
      <c r="B1008">
        <v>1</v>
      </c>
      <c r="C1008">
        <v>215</v>
      </c>
      <c r="D1008">
        <v>215</v>
      </c>
      <c r="E1008">
        <v>14</v>
      </c>
      <c r="F1008">
        <v>14</v>
      </c>
      <c r="G1008">
        <v>215</v>
      </c>
    </row>
    <row r="1009" spans="1:7" ht="15" x14ac:dyDescent="0.25">
      <c r="A1009" t="s">
        <v>10156</v>
      </c>
      <c r="B1009">
        <v>1</v>
      </c>
      <c r="C1009">
        <v>61</v>
      </c>
      <c r="D1009">
        <v>61</v>
      </c>
      <c r="E1009">
        <v>18</v>
      </c>
      <c r="F1009">
        <v>18</v>
      </c>
      <c r="G1009">
        <v>61</v>
      </c>
    </row>
    <row r="1010" spans="1:7" ht="15" x14ac:dyDescent="0.25">
      <c r="A1010" t="s">
        <v>10163</v>
      </c>
      <c r="B1010">
        <v>1</v>
      </c>
      <c r="C1010">
        <v>41</v>
      </c>
      <c r="D1010">
        <v>41</v>
      </c>
      <c r="E1010">
        <v>7</v>
      </c>
      <c r="F1010">
        <v>7</v>
      </c>
      <c r="G1010">
        <v>41</v>
      </c>
    </row>
    <row r="1011" spans="1:7" ht="15" x14ac:dyDescent="0.25">
      <c r="A1011" t="s">
        <v>10173</v>
      </c>
      <c r="B1011">
        <v>1</v>
      </c>
      <c r="C1011">
        <v>8</v>
      </c>
      <c r="D1011">
        <v>8</v>
      </c>
      <c r="E1011">
        <v>0</v>
      </c>
      <c r="F1011">
        <v>0</v>
      </c>
      <c r="G1011">
        <v>8</v>
      </c>
    </row>
    <row r="1012" spans="1:7" ht="15" x14ac:dyDescent="0.25">
      <c r="A1012" t="s">
        <v>10178</v>
      </c>
      <c r="B1012">
        <v>1</v>
      </c>
      <c r="C1012">
        <v>1077</v>
      </c>
      <c r="D1012">
        <v>1077</v>
      </c>
      <c r="E1012">
        <v>38</v>
      </c>
      <c r="F1012">
        <v>38</v>
      </c>
      <c r="G1012">
        <v>1077</v>
      </c>
    </row>
    <row r="1013" spans="1:7" ht="15" x14ac:dyDescent="0.25">
      <c r="A1013" t="s">
        <v>10196</v>
      </c>
      <c r="B1013">
        <v>1</v>
      </c>
      <c r="C1013">
        <v>5056</v>
      </c>
      <c r="D1013">
        <v>5056</v>
      </c>
      <c r="E1013">
        <v>40</v>
      </c>
      <c r="F1013">
        <v>40</v>
      </c>
      <c r="G1013">
        <v>5056</v>
      </c>
    </row>
    <row r="1014" spans="1:7" ht="15" x14ac:dyDescent="0.25">
      <c r="A1014" t="s">
        <v>10202</v>
      </c>
      <c r="B1014">
        <v>1</v>
      </c>
      <c r="C1014">
        <v>149</v>
      </c>
      <c r="D1014">
        <v>149</v>
      </c>
      <c r="E1014">
        <v>18</v>
      </c>
      <c r="F1014">
        <v>18</v>
      </c>
      <c r="G1014">
        <v>149</v>
      </c>
    </row>
    <row r="1015" spans="1:7" ht="15" x14ac:dyDescent="0.25">
      <c r="A1015" t="s">
        <v>10209</v>
      </c>
      <c r="B1015">
        <v>1</v>
      </c>
      <c r="C1015">
        <v>856</v>
      </c>
      <c r="D1015">
        <v>856</v>
      </c>
      <c r="E1015">
        <v>73</v>
      </c>
      <c r="F1015">
        <v>73</v>
      </c>
      <c r="G1015">
        <v>856</v>
      </c>
    </row>
    <row r="1016" spans="1:7" ht="15" x14ac:dyDescent="0.25">
      <c r="A1016" t="s">
        <v>10213</v>
      </c>
      <c r="B1016">
        <v>1</v>
      </c>
      <c r="C1016">
        <v>1931</v>
      </c>
      <c r="D1016">
        <v>1931</v>
      </c>
      <c r="E1016">
        <v>62</v>
      </c>
      <c r="F1016">
        <v>62</v>
      </c>
      <c r="G1016">
        <v>1931</v>
      </c>
    </row>
    <row r="1017" spans="1:7" ht="15" x14ac:dyDescent="0.25">
      <c r="A1017" t="s">
        <v>10220</v>
      </c>
      <c r="B1017">
        <v>1</v>
      </c>
      <c r="C1017">
        <v>493</v>
      </c>
      <c r="D1017">
        <v>493</v>
      </c>
      <c r="E1017">
        <v>16</v>
      </c>
      <c r="F1017">
        <v>16</v>
      </c>
      <c r="G1017">
        <v>493</v>
      </c>
    </row>
    <row r="1018" spans="1:7" ht="15" x14ac:dyDescent="0.25">
      <c r="A1018" t="s">
        <v>10226</v>
      </c>
      <c r="B1018">
        <v>1</v>
      </c>
      <c r="C1018">
        <v>61</v>
      </c>
      <c r="D1018">
        <v>61</v>
      </c>
      <c r="E1018">
        <v>18</v>
      </c>
      <c r="F1018">
        <v>18</v>
      </c>
      <c r="G1018">
        <v>61</v>
      </c>
    </row>
    <row r="1019" spans="1:7" ht="15" x14ac:dyDescent="0.25">
      <c r="A1019" t="s">
        <v>10237</v>
      </c>
      <c r="B1019">
        <v>1</v>
      </c>
      <c r="C1019">
        <v>103</v>
      </c>
      <c r="D1019">
        <v>103</v>
      </c>
      <c r="E1019">
        <v>21</v>
      </c>
      <c r="F1019">
        <v>21</v>
      </c>
      <c r="G1019">
        <v>103</v>
      </c>
    </row>
    <row r="1020" spans="1:7" ht="15" x14ac:dyDescent="0.25">
      <c r="A1020" t="s">
        <v>10243</v>
      </c>
      <c r="B1020">
        <v>1</v>
      </c>
      <c r="C1020">
        <v>19782</v>
      </c>
      <c r="D1020">
        <v>19782</v>
      </c>
      <c r="E1020">
        <v>193</v>
      </c>
      <c r="F1020">
        <v>193</v>
      </c>
      <c r="G1020">
        <v>19782</v>
      </c>
    </row>
    <row r="1021" spans="1:7" ht="15" x14ac:dyDescent="0.25">
      <c r="A1021" t="s">
        <v>10251</v>
      </c>
      <c r="B1021">
        <v>1</v>
      </c>
      <c r="C1021">
        <v>524</v>
      </c>
      <c r="D1021">
        <v>524</v>
      </c>
      <c r="E1021">
        <v>15</v>
      </c>
      <c r="F1021">
        <v>15</v>
      </c>
      <c r="G1021">
        <v>524</v>
      </c>
    </row>
    <row r="1022" spans="1:7" ht="15" x14ac:dyDescent="0.25">
      <c r="A1022" t="s">
        <v>10260</v>
      </c>
      <c r="B1022">
        <v>2</v>
      </c>
      <c r="C1022">
        <v>1731</v>
      </c>
      <c r="D1022">
        <v>3476</v>
      </c>
      <c r="E1022">
        <v>159</v>
      </c>
      <c r="F1022">
        <v>79.5</v>
      </c>
      <c r="G1022">
        <v>1745</v>
      </c>
    </row>
    <row r="1023" spans="1:7" ht="15" x14ac:dyDescent="0.25">
      <c r="A1023" t="s">
        <v>10265</v>
      </c>
      <c r="B1023">
        <v>1</v>
      </c>
      <c r="C1023">
        <v>491</v>
      </c>
      <c r="D1023">
        <v>491</v>
      </c>
      <c r="E1023">
        <v>28</v>
      </c>
      <c r="F1023">
        <v>28</v>
      </c>
      <c r="G1023">
        <v>491</v>
      </c>
    </row>
    <row r="1024" spans="1:7" ht="15" x14ac:dyDescent="0.25">
      <c r="A1024" t="s">
        <v>10277</v>
      </c>
      <c r="B1024">
        <v>1</v>
      </c>
      <c r="C1024">
        <v>948</v>
      </c>
      <c r="D1024">
        <v>948</v>
      </c>
      <c r="E1024">
        <v>6</v>
      </c>
      <c r="F1024">
        <v>6</v>
      </c>
      <c r="G1024">
        <v>948</v>
      </c>
    </row>
    <row r="1025" spans="1:7" ht="15" x14ac:dyDescent="0.25">
      <c r="A1025" t="s">
        <v>10282</v>
      </c>
      <c r="B1025">
        <v>1</v>
      </c>
      <c r="C1025">
        <v>12</v>
      </c>
      <c r="D1025">
        <v>12</v>
      </c>
      <c r="E1025">
        <v>28</v>
      </c>
      <c r="F1025">
        <v>28</v>
      </c>
      <c r="G1025">
        <v>12</v>
      </c>
    </row>
    <row r="1026" spans="1:7" ht="15" x14ac:dyDescent="0.25">
      <c r="A1026" t="s">
        <v>10287</v>
      </c>
      <c r="B1026">
        <v>1</v>
      </c>
      <c r="C1026">
        <v>116</v>
      </c>
      <c r="D1026">
        <v>116</v>
      </c>
      <c r="E1026">
        <v>11</v>
      </c>
      <c r="F1026">
        <v>11</v>
      </c>
      <c r="G1026">
        <v>116</v>
      </c>
    </row>
    <row r="1027" spans="1:7" ht="15" x14ac:dyDescent="0.25">
      <c r="A1027" t="s">
        <v>10292</v>
      </c>
      <c r="B1027">
        <v>4</v>
      </c>
      <c r="C1027">
        <v>162</v>
      </c>
      <c r="D1027">
        <v>655</v>
      </c>
      <c r="E1027">
        <v>38</v>
      </c>
      <c r="F1027">
        <v>9.5</v>
      </c>
      <c r="G1027">
        <v>165</v>
      </c>
    </row>
    <row r="1028" spans="1:7" ht="15" x14ac:dyDescent="0.25">
      <c r="A1028" t="s">
        <v>10308</v>
      </c>
      <c r="B1028">
        <v>1</v>
      </c>
      <c r="C1028">
        <v>271</v>
      </c>
      <c r="D1028">
        <v>271</v>
      </c>
      <c r="E1028">
        <v>87</v>
      </c>
      <c r="F1028">
        <v>87</v>
      </c>
      <c r="G1028">
        <v>271</v>
      </c>
    </row>
    <row r="1029" spans="1:7" ht="15" x14ac:dyDescent="0.25">
      <c r="A1029" t="s">
        <v>10313</v>
      </c>
      <c r="B1029">
        <v>1</v>
      </c>
      <c r="C1029">
        <v>1029</v>
      </c>
      <c r="D1029">
        <v>1029</v>
      </c>
      <c r="E1029">
        <v>58</v>
      </c>
      <c r="F1029">
        <v>58</v>
      </c>
      <c r="G1029">
        <v>1029</v>
      </c>
    </row>
    <row r="1030" spans="1:7" ht="15" x14ac:dyDescent="0.25">
      <c r="A1030" t="s">
        <v>10316</v>
      </c>
      <c r="B1030">
        <v>1</v>
      </c>
      <c r="C1030">
        <v>114</v>
      </c>
      <c r="D1030">
        <v>114</v>
      </c>
      <c r="E1030">
        <v>13</v>
      </c>
      <c r="F1030">
        <v>13</v>
      </c>
      <c r="G1030">
        <v>114</v>
      </c>
    </row>
    <row r="1031" spans="1:7" ht="15" x14ac:dyDescent="0.25">
      <c r="A1031" t="s">
        <v>10322</v>
      </c>
      <c r="B1031">
        <v>1</v>
      </c>
      <c r="C1031">
        <v>286</v>
      </c>
      <c r="D1031">
        <v>286</v>
      </c>
      <c r="E1031">
        <v>41</v>
      </c>
      <c r="F1031">
        <v>41</v>
      </c>
      <c r="G1031">
        <v>286</v>
      </c>
    </row>
    <row r="1032" spans="1:7" ht="15" x14ac:dyDescent="0.25">
      <c r="A1032" t="s">
        <v>10332</v>
      </c>
      <c r="B1032">
        <v>1</v>
      </c>
      <c r="C1032">
        <v>1111</v>
      </c>
      <c r="D1032">
        <v>1111</v>
      </c>
      <c r="E1032">
        <v>255</v>
      </c>
      <c r="F1032">
        <v>255</v>
      </c>
      <c r="G1032">
        <v>1111</v>
      </c>
    </row>
    <row r="1033" spans="1:7" ht="15" x14ac:dyDescent="0.25">
      <c r="A1033" t="s">
        <v>10341</v>
      </c>
      <c r="B1033">
        <v>1</v>
      </c>
      <c r="C1033">
        <v>762</v>
      </c>
      <c r="D1033">
        <v>762</v>
      </c>
      <c r="E1033">
        <v>132</v>
      </c>
      <c r="F1033">
        <v>132</v>
      </c>
      <c r="G1033">
        <v>762</v>
      </c>
    </row>
    <row r="1034" spans="1:7" ht="15" x14ac:dyDescent="0.25">
      <c r="A1034" t="s">
        <v>10347</v>
      </c>
      <c r="B1034">
        <v>2</v>
      </c>
      <c r="C1034">
        <v>6679</v>
      </c>
      <c r="D1034">
        <v>6679</v>
      </c>
      <c r="E1034">
        <v>414</v>
      </c>
      <c r="F1034">
        <v>207</v>
      </c>
      <c r="G1034">
        <v>6679</v>
      </c>
    </row>
    <row r="1035" spans="1:7" ht="15" x14ac:dyDescent="0.25">
      <c r="A1035" t="s">
        <v>10354</v>
      </c>
      <c r="B1035">
        <v>1</v>
      </c>
      <c r="C1035">
        <v>410</v>
      </c>
      <c r="D1035">
        <v>410</v>
      </c>
      <c r="E1035">
        <v>0</v>
      </c>
      <c r="F1035">
        <v>0</v>
      </c>
      <c r="G1035">
        <v>410</v>
      </c>
    </row>
    <row r="1036" spans="1:7" ht="15" x14ac:dyDescent="0.25">
      <c r="A1036" t="s">
        <v>10360</v>
      </c>
      <c r="B1036">
        <v>1</v>
      </c>
      <c r="C1036">
        <v>365</v>
      </c>
      <c r="D1036">
        <v>365</v>
      </c>
      <c r="E1036">
        <v>46</v>
      </c>
      <c r="F1036">
        <v>46</v>
      </c>
      <c r="G1036">
        <v>365</v>
      </c>
    </row>
    <row r="1037" spans="1:7" ht="15" x14ac:dyDescent="0.25">
      <c r="A1037" t="s">
        <v>10370</v>
      </c>
      <c r="B1037">
        <v>1</v>
      </c>
      <c r="D1037">
        <v>0</v>
      </c>
      <c r="E1037">
        <v>14</v>
      </c>
      <c r="F1037">
        <v>14</v>
      </c>
    </row>
    <row r="1038" spans="1:7" ht="15" x14ac:dyDescent="0.25">
      <c r="A1038" t="s">
        <v>10377</v>
      </c>
      <c r="B1038">
        <v>3</v>
      </c>
      <c r="C1038">
        <v>196</v>
      </c>
      <c r="D1038">
        <v>575</v>
      </c>
      <c r="E1038">
        <v>85</v>
      </c>
      <c r="F1038">
        <v>28.333333333333332</v>
      </c>
      <c r="G1038">
        <v>196</v>
      </c>
    </row>
    <row r="1039" spans="1:7" ht="15" x14ac:dyDescent="0.25">
      <c r="A1039" t="s">
        <v>10381</v>
      </c>
      <c r="B1039">
        <v>1</v>
      </c>
      <c r="C1039">
        <v>534</v>
      </c>
      <c r="D1039">
        <v>534</v>
      </c>
      <c r="E1039">
        <v>72</v>
      </c>
      <c r="F1039">
        <v>72</v>
      </c>
      <c r="G1039">
        <v>534</v>
      </c>
    </row>
    <row r="1040" spans="1:7" ht="15" x14ac:dyDescent="0.25">
      <c r="A1040" t="s">
        <v>10388</v>
      </c>
      <c r="B1040">
        <v>5</v>
      </c>
      <c r="C1040">
        <v>270</v>
      </c>
      <c r="D1040">
        <v>1355</v>
      </c>
      <c r="E1040">
        <v>131</v>
      </c>
      <c r="F1040">
        <v>26.2</v>
      </c>
      <c r="G1040">
        <v>276</v>
      </c>
    </row>
    <row r="1041" spans="1:7" ht="15" x14ac:dyDescent="0.25">
      <c r="A1041" t="s">
        <v>10396</v>
      </c>
      <c r="B1041">
        <v>2</v>
      </c>
      <c r="C1041">
        <v>123</v>
      </c>
      <c r="D1041">
        <v>244</v>
      </c>
      <c r="E1041">
        <v>95</v>
      </c>
      <c r="F1041">
        <v>47.5</v>
      </c>
      <c r="G1041">
        <v>123</v>
      </c>
    </row>
    <row r="1042" spans="1:7" ht="15" x14ac:dyDescent="0.25">
      <c r="A1042" t="s">
        <v>10402</v>
      </c>
      <c r="B1042">
        <v>1</v>
      </c>
      <c r="C1042">
        <v>85</v>
      </c>
      <c r="D1042">
        <v>85</v>
      </c>
      <c r="E1042">
        <v>9</v>
      </c>
      <c r="F1042">
        <v>9</v>
      </c>
      <c r="G1042">
        <v>85</v>
      </c>
    </row>
    <row r="1043" spans="1:7" ht="15" x14ac:dyDescent="0.25">
      <c r="A1043" t="s">
        <v>10423</v>
      </c>
      <c r="B1043">
        <v>3</v>
      </c>
      <c r="C1043">
        <v>20659</v>
      </c>
      <c r="D1043">
        <v>60743</v>
      </c>
      <c r="E1043">
        <v>2315</v>
      </c>
      <c r="F1043">
        <v>771.66666666666663</v>
      </c>
      <c r="G1043">
        <v>20659</v>
      </c>
    </row>
    <row r="1044" spans="1:7" ht="15" x14ac:dyDescent="0.25">
      <c r="A1044" t="s">
        <v>10430</v>
      </c>
      <c r="B1044">
        <v>1</v>
      </c>
      <c r="C1044">
        <v>740</v>
      </c>
      <c r="D1044">
        <v>740</v>
      </c>
      <c r="E1044">
        <v>25</v>
      </c>
      <c r="F1044">
        <v>25</v>
      </c>
      <c r="G1044">
        <v>740</v>
      </c>
    </row>
    <row r="1045" spans="1:7" ht="15" x14ac:dyDescent="0.25">
      <c r="A1045" t="s">
        <v>10433</v>
      </c>
      <c r="B1045">
        <v>1</v>
      </c>
      <c r="C1045">
        <v>1484</v>
      </c>
      <c r="D1045">
        <v>1484</v>
      </c>
      <c r="E1045">
        <v>90</v>
      </c>
      <c r="F1045">
        <v>90</v>
      </c>
      <c r="G1045">
        <v>1484</v>
      </c>
    </row>
    <row r="1046" spans="1:7" ht="15" x14ac:dyDescent="0.25">
      <c r="A1046" t="s">
        <v>10443</v>
      </c>
      <c r="B1046">
        <v>1</v>
      </c>
      <c r="C1046">
        <v>116</v>
      </c>
      <c r="D1046">
        <v>116</v>
      </c>
      <c r="E1046">
        <v>35</v>
      </c>
      <c r="F1046">
        <v>35</v>
      </c>
      <c r="G1046">
        <v>116</v>
      </c>
    </row>
    <row r="1047" spans="1:7" ht="15" x14ac:dyDescent="0.25">
      <c r="A1047" t="s">
        <v>10448</v>
      </c>
      <c r="B1047">
        <v>1</v>
      </c>
      <c r="C1047">
        <v>14674</v>
      </c>
      <c r="D1047">
        <v>14674</v>
      </c>
      <c r="E1047">
        <v>60</v>
      </c>
      <c r="F1047">
        <v>60</v>
      </c>
      <c r="G1047">
        <v>14674</v>
      </c>
    </row>
    <row r="1048" spans="1:7" ht="15" x14ac:dyDescent="0.25">
      <c r="A1048" t="s">
        <v>10454</v>
      </c>
      <c r="B1048">
        <v>1</v>
      </c>
      <c r="C1048">
        <v>85</v>
      </c>
      <c r="D1048">
        <v>85</v>
      </c>
      <c r="E1048">
        <v>26</v>
      </c>
      <c r="F1048">
        <v>26</v>
      </c>
      <c r="G1048">
        <v>85</v>
      </c>
    </row>
    <row r="1049" spans="1:7" ht="15" x14ac:dyDescent="0.25">
      <c r="A1049" t="s">
        <v>10460</v>
      </c>
      <c r="B1049">
        <v>1</v>
      </c>
      <c r="C1049">
        <v>17774</v>
      </c>
      <c r="D1049">
        <v>17774</v>
      </c>
      <c r="E1049">
        <v>1702</v>
      </c>
      <c r="F1049">
        <v>1702</v>
      </c>
      <c r="G1049">
        <v>17774</v>
      </c>
    </row>
    <row r="1050" spans="1:7" ht="15" x14ac:dyDescent="0.25">
      <c r="A1050" t="s">
        <v>10469</v>
      </c>
      <c r="B1050">
        <v>1</v>
      </c>
      <c r="C1050">
        <v>534</v>
      </c>
      <c r="D1050">
        <v>534</v>
      </c>
      <c r="E1050">
        <v>14</v>
      </c>
      <c r="F1050">
        <v>14</v>
      </c>
      <c r="G1050">
        <v>534</v>
      </c>
    </row>
    <row r="1051" spans="1:7" ht="15" x14ac:dyDescent="0.25">
      <c r="A1051" t="s">
        <v>10476</v>
      </c>
      <c r="B1051">
        <v>1</v>
      </c>
      <c r="C1051">
        <v>27896</v>
      </c>
      <c r="D1051">
        <v>27896</v>
      </c>
      <c r="E1051">
        <v>424</v>
      </c>
      <c r="F1051">
        <v>424</v>
      </c>
      <c r="G1051">
        <v>27896</v>
      </c>
    </row>
    <row r="1052" spans="1:7" ht="15" x14ac:dyDescent="0.25">
      <c r="A1052" t="s">
        <v>10487</v>
      </c>
      <c r="B1052">
        <v>1</v>
      </c>
      <c r="C1052">
        <v>1493</v>
      </c>
      <c r="D1052">
        <v>1493</v>
      </c>
      <c r="E1052">
        <v>43</v>
      </c>
      <c r="F1052">
        <v>43</v>
      </c>
      <c r="G1052">
        <v>1493</v>
      </c>
    </row>
    <row r="1053" spans="1:7" ht="15" x14ac:dyDescent="0.25">
      <c r="A1053" t="s">
        <v>10500</v>
      </c>
      <c r="B1053">
        <v>1</v>
      </c>
      <c r="C1053">
        <v>217</v>
      </c>
      <c r="D1053">
        <v>217</v>
      </c>
      <c r="E1053">
        <v>129</v>
      </c>
      <c r="F1053">
        <v>129</v>
      </c>
      <c r="G1053">
        <v>217</v>
      </c>
    </row>
    <row r="1054" spans="1:7" ht="15" x14ac:dyDescent="0.25">
      <c r="A1054" t="s">
        <v>10505</v>
      </c>
      <c r="B1054">
        <v>1</v>
      </c>
      <c r="C1054">
        <v>451</v>
      </c>
      <c r="D1054">
        <v>451</v>
      </c>
      <c r="E1054">
        <v>38</v>
      </c>
      <c r="F1054">
        <v>38</v>
      </c>
      <c r="G1054">
        <v>451</v>
      </c>
    </row>
    <row r="1055" spans="1:7" ht="15" x14ac:dyDescent="0.25">
      <c r="A1055" t="s">
        <v>10510</v>
      </c>
      <c r="B1055">
        <v>1</v>
      </c>
      <c r="C1055">
        <v>257</v>
      </c>
      <c r="D1055">
        <v>257</v>
      </c>
      <c r="E1055">
        <v>6</v>
      </c>
      <c r="F1055">
        <v>6</v>
      </c>
      <c r="G1055">
        <v>257</v>
      </c>
    </row>
    <row r="1056" spans="1:7" ht="15" x14ac:dyDescent="0.25">
      <c r="A1056" t="s">
        <v>10521</v>
      </c>
      <c r="B1056">
        <v>1</v>
      </c>
      <c r="C1056">
        <v>297</v>
      </c>
      <c r="D1056">
        <v>297</v>
      </c>
      <c r="E1056">
        <v>13</v>
      </c>
      <c r="F1056">
        <v>13</v>
      </c>
      <c r="G1056">
        <v>297</v>
      </c>
    </row>
    <row r="1057" spans="1:7" ht="15" x14ac:dyDescent="0.25">
      <c r="A1057" t="s">
        <v>10528</v>
      </c>
      <c r="B1057">
        <v>1</v>
      </c>
      <c r="C1057">
        <v>470</v>
      </c>
      <c r="D1057">
        <v>470</v>
      </c>
      <c r="E1057">
        <v>46</v>
      </c>
      <c r="F1057">
        <v>46</v>
      </c>
      <c r="G1057">
        <v>470</v>
      </c>
    </row>
    <row r="1058" spans="1:7" ht="15" x14ac:dyDescent="0.25">
      <c r="A1058" t="s">
        <v>10533</v>
      </c>
      <c r="B1058">
        <v>1</v>
      </c>
      <c r="C1058">
        <v>242</v>
      </c>
      <c r="D1058">
        <v>242</v>
      </c>
      <c r="E1058">
        <v>51</v>
      </c>
      <c r="F1058">
        <v>51</v>
      </c>
      <c r="G1058">
        <v>242</v>
      </c>
    </row>
    <row r="1059" spans="1:7" ht="15" x14ac:dyDescent="0.25">
      <c r="A1059" t="s">
        <v>10539</v>
      </c>
      <c r="B1059">
        <v>2</v>
      </c>
      <c r="C1059">
        <v>236</v>
      </c>
      <c r="D1059">
        <v>469</v>
      </c>
      <c r="E1059">
        <v>58</v>
      </c>
      <c r="F1059">
        <v>29</v>
      </c>
      <c r="G1059">
        <v>236</v>
      </c>
    </row>
    <row r="1060" spans="1:7" ht="15" x14ac:dyDescent="0.25">
      <c r="A1060" t="s">
        <v>10543</v>
      </c>
      <c r="B1060">
        <v>1</v>
      </c>
      <c r="C1060">
        <v>654</v>
      </c>
      <c r="D1060">
        <v>654</v>
      </c>
      <c r="E1060">
        <v>89</v>
      </c>
      <c r="F1060">
        <v>89</v>
      </c>
      <c r="G1060">
        <v>654</v>
      </c>
    </row>
    <row r="1061" spans="1:7" ht="15" x14ac:dyDescent="0.25">
      <c r="A1061" t="s">
        <v>10550</v>
      </c>
      <c r="B1061">
        <v>1</v>
      </c>
      <c r="C1061">
        <v>706</v>
      </c>
      <c r="D1061">
        <v>706</v>
      </c>
      <c r="E1061">
        <v>62</v>
      </c>
      <c r="F1061">
        <v>62</v>
      </c>
      <c r="G1061">
        <v>706</v>
      </c>
    </row>
    <row r="1062" spans="1:7" ht="15" x14ac:dyDescent="0.25">
      <c r="A1062" t="s">
        <v>10554</v>
      </c>
      <c r="B1062">
        <v>3</v>
      </c>
      <c r="C1062">
        <v>147</v>
      </c>
      <c r="D1062">
        <v>445</v>
      </c>
      <c r="E1062">
        <v>67</v>
      </c>
      <c r="F1062">
        <v>22.333333333333332</v>
      </c>
      <c r="G1062">
        <v>149</v>
      </c>
    </row>
    <row r="1063" spans="1:7" ht="15" x14ac:dyDescent="0.25">
      <c r="A1063" t="s">
        <v>10558</v>
      </c>
      <c r="B1063">
        <v>2</v>
      </c>
      <c r="C1063">
        <v>235</v>
      </c>
      <c r="D1063">
        <v>471</v>
      </c>
      <c r="E1063">
        <v>37</v>
      </c>
      <c r="F1063">
        <v>18.5</v>
      </c>
      <c r="G1063">
        <v>236</v>
      </c>
    </row>
    <row r="1064" spans="1:7" ht="15" x14ac:dyDescent="0.25">
      <c r="A1064" t="s">
        <v>10565</v>
      </c>
      <c r="B1064">
        <v>1</v>
      </c>
      <c r="C1064">
        <v>328</v>
      </c>
      <c r="D1064">
        <v>328</v>
      </c>
      <c r="E1064">
        <v>19</v>
      </c>
      <c r="F1064">
        <v>19</v>
      </c>
      <c r="G1064">
        <v>328</v>
      </c>
    </row>
    <row r="1065" spans="1:7" ht="15" x14ac:dyDescent="0.25">
      <c r="A1065" t="s">
        <v>10574</v>
      </c>
      <c r="B1065">
        <v>1</v>
      </c>
      <c r="C1065">
        <v>1239</v>
      </c>
      <c r="D1065">
        <v>1239</v>
      </c>
      <c r="E1065">
        <v>194</v>
      </c>
      <c r="F1065">
        <v>194</v>
      </c>
      <c r="G1065">
        <v>1239</v>
      </c>
    </row>
    <row r="1066" spans="1:7" ht="15" x14ac:dyDescent="0.25">
      <c r="A1066" t="s">
        <v>10580</v>
      </c>
      <c r="B1066">
        <v>1</v>
      </c>
      <c r="C1066">
        <v>348</v>
      </c>
      <c r="D1066">
        <v>348</v>
      </c>
      <c r="E1066">
        <v>30</v>
      </c>
      <c r="F1066">
        <v>30</v>
      </c>
      <c r="G1066">
        <v>348</v>
      </c>
    </row>
    <row r="1067" spans="1:7" ht="15" x14ac:dyDescent="0.25">
      <c r="A1067" t="s">
        <v>10587</v>
      </c>
      <c r="B1067">
        <v>2</v>
      </c>
      <c r="C1067">
        <v>452</v>
      </c>
      <c r="D1067">
        <v>837</v>
      </c>
      <c r="E1067">
        <v>18</v>
      </c>
      <c r="F1067">
        <v>9</v>
      </c>
      <c r="G1067">
        <v>452</v>
      </c>
    </row>
    <row r="1068" spans="1:7" ht="15" x14ac:dyDescent="0.25">
      <c r="A1068" t="s">
        <v>10591</v>
      </c>
      <c r="B1068">
        <v>1</v>
      </c>
      <c r="C1068">
        <v>272</v>
      </c>
      <c r="D1068">
        <v>272</v>
      </c>
      <c r="E1068">
        <v>2</v>
      </c>
      <c r="F1068">
        <v>2</v>
      </c>
      <c r="G1068">
        <v>272</v>
      </c>
    </row>
    <row r="1069" spans="1:7" ht="15" x14ac:dyDescent="0.25">
      <c r="A1069" t="s">
        <v>10602</v>
      </c>
      <c r="B1069">
        <v>1</v>
      </c>
      <c r="C1069">
        <v>5216</v>
      </c>
      <c r="D1069">
        <v>5216</v>
      </c>
      <c r="E1069">
        <v>258</v>
      </c>
      <c r="F1069">
        <v>258</v>
      </c>
      <c r="G1069">
        <v>5216</v>
      </c>
    </row>
    <row r="1070" spans="1:7" ht="15" x14ac:dyDescent="0.25">
      <c r="A1070" t="s">
        <v>10608</v>
      </c>
      <c r="B1070">
        <v>1</v>
      </c>
      <c r="C1070">
        <v>381</v>
      </c>
      <c r="D1070">
        <v>381</v>
      </c>
      <c r="E1070">
        <v>32</v>
      </c>
      <c r="F1070">
        <v>32</v>
      </c>
      <c r="G1070">
        <v>381</v>
      </c>
    </row>
    <row r="1071" spans="1:7" ht="15" x14ac:dyDescent="0.25">
      <c r="A1071" t="s">
        <v>10616</v>
      </c>
      <c r="B1071">
        <v>1</v>
      </c>
      <c r="C1071">
        <v>1706</v>
      </c>
      <c r="D1071">
        <v>1706</v>
      </c>
      <c r="E1071">
        <v>248</v>
      </c>
      <c r="F1071">
        <v>248</v>
      </c>
      <c r="G1071">
        <v>1706</v>
      </c>
    </row>
    <row r="1072" spans="1:7" ht="15" x14ac:dyDescent="0.25">
      <c r="A1072" t="s">
        <v>10621</v>
      </c>
      <c r="B1072">
        <v>1</v>
      </c>
      <c r="C1072">
        <v>219</v>
      </c>
      <c r="D1072">
        <v>219</v>
      </c>
      <c r="E1072">
        <v>19</v>
      </c>
      <c r="F1072">
        <v>19</v>
      </c>
      <c r="G1072">
        <v>219</v>
      </c>
    </row>
    <row r="1073" spans="1:7" ht="15" x14ac:dyDescent="0.25">
      <c r="A1073" t="s">
        <v>10628</v>
      </c>
      <c r="B1073">
        <v>1</v>
      </c>
      <c r="C1073">
        <v>18</v>
      </c>
      <c r="D1073">
        <v>18</v>
      </c>
      <c r="E1073">
        <v>19</v>
      </c>
      <c r="F1073">
        <v>19</v>
      </c>
      <c r="G1073">
        <v>18</v>
      </c>
    </row>
    <row r="1074" spans="1:7" ht="15" x14ac:dyDescent="0.25">
      <c r="A1074" t="s">
        <v>10641</v>
      </c>
      <c r="B1074">
        <v>1</v>
      </c>
      <c r="C1074">
        <v>45200</v>
      </c>
      <c r="D1074">
        <v>45200</v>
      </c>
      <c r="E1074">
        <v>241</v>
      </c>
      <c r="F1074">
        <v>241</v>
      </c>
      <c r="G1074">
        <v>45200</v>
      </c>
    </row>
    <row r="1075" spans="1:7" ht="15" x14ac:dyDescent="0.25">
      <c r="A1075" t="s">
        <v>10645</v>
      </c>
      <c r="B1075">
        <v>1</v>
      </c>
      <c r="C1075">
        <v>433</v>
      </c>
      <c r="D1075">
        <v>433</v>
      </c>
      <c r="E1075">
        <v>7</v>
      </c>
      <c r="F1075">
        <v>7</v>
      </c>
      <c r="G1075">
        <v>433</v>
      </c>
    </row>
    <row r="1076" spans="1:7" ht="15" x14ac:dyDescent="0.25">
      <c r="A1076" t="s">
        <v>10652</v>
      </c>
      <c r="B1076">
        <v>1</v>
      </c>
      <c r="C1076">
        <v>200</v>
      </c>
      <c r="D1076">
        <v>200</v>
      </c>
      <c r="E1076">
        <v>60</v>
      </c>
      <c r="F1076">
        <v>60</v>
      </c>
      <c r="G1076">
        <v>200</v>
      </c>
    </row>
    <row r="1077" spans="1:7" ht="15" x14ac:dyDescent="0.25">
      <c r="A1077" t="s">
        <v>10663</v>
      </c>
      <c r="B1077">
        <v>1</v>
      </c>
      <c r="C1077">
        <v>6294</v>
      </c>
      <c r="D1077">
        <v>6294</v>
      </c>
      <c r="E1077">
        <v>67</v>
      </c>
      <c r="F1077">
        <v>67</v>
      </c>
      <c r="G1077">
        <v>6294</v>
      </c>
    </row>
    <row r="1078" spans="1:7" ht="15" x14ac:dyDescent="0.25">
      <c r="A1078" t="s">
        <v>10674</v>
      </c>
      <c r="B1078">
        <v>1</v>
      </c>
      <c r="C1078">
        <v>214</v>
      </c>
      <c r="D1078">
        <v>214</v>
      </c>
      <c r="E1078">
        <v>26</v>
      </c>
      <c r="F1078">
        <v>26</v>
      </c>
      <c r="G1078">
        <v>214</v>
      </c>
    </row>
    <row r="1079" spans="1:7" ht="15" x14ac:dyDescent="0.25">
      <c r="A1079" t="s">
        <v>10685</v>
      </c>
      <c r="B1079">
        <v>1</v>
      </c>
      <c r="C1079">
        <v>132</v>
      </c>
      <c r="D1079">
        <v>132</v>
      </c>
      <c r="E1079">
        <v>6</v>
      </c>
      <c r="F1079">
        <v>6</v>
      </c>
      <c r="G1079">
        <v>132</v>
      </c>
    </row>
    <row r="1080" spans="1:7" ht="15" x14ac:dyDescent="0.25">
      <c r="A1080" t="s">
        <v>10693</v>
      </c>
      <c r="B1080">
        <v>1</v>
      </c>
      <c r="C1080">
        <v>215</v>
      </c>
      <c r="D1080">
        <v>215</v>
      </c>
      <c r="E1080">
        <v>14</v>
      </c>
      <c r="F1080">
        <v>14</v>
      </c>
      <c r="G1080">
        <v>215</v>
      </c>
    </row>
    <row r="1081" spans="1:7" ht="15" x14ac:dyDescent="0.25">
      <c r="A1081" t="s">
        <v>10699</v>
      </c>
      <c r="B1081">
        <v>1</v>
      </c>
      <c r="C1081">
        <v>42</v>
      </c>
      <c r="D1081">
        <v>42</v>
      </c>
      <c r="E1081">
        <v>22</v>
      </c>
      <c r="F1081">
        <v>22</v>
      </c>
      <c r="G1081">
        <v>42</v>
      </c>
    </row>
    <row r="1082" spans="1:7" ht="15" x14ac:dyDescent="0.25">
      <c r="A1082" t="s">
        <v>10704</v>
      </c>
      <c r="B1082">
        <v>1</v>
      </c>
      <c r="C1082">
        <v>134</v>
      </c>
      <c r="D1082">
        <v>134</v>
      </c>
      <c r="E1082">
        <v>16</v>
      </c>
      <c r="F1082">
        <v>16</v>
      </c>
      <c r="G1082">
        <v>134</v>
      </c>
    </row>
    <row r="1083" spans="1:7" ht="15" x14ac:dyDescent="0.25">
      <c r="A1083" t="s">
        <v>10707</v>
      </c>
      <c r="B1083">
        <v>1</v>
      </c>
      <c r="D1083">
        <v>0</v>
      </c>
      <c r="E1083">
        <v>135</v>
      </c>
      <c r="F1083">
        <v>135</v>
      </c>
    </row>
    <row r="1084" spans="1:7" ht="15" x14ac:dyDescent="0.25">
      <c r="A1084" t="s">
        <v>10715</v>
      </c>
      <c r="B1084">
        <v>1</v>
      </c>
      <c r="C1084">
        <v>208</v>
      </c>
      <c r="D1084">
        <v>208</v>
      </c>
      <c r="E1084">
        <v>42</v>
      </c>
      <c r="F1084">
        <v>42</v>
      </c>
      <c r="G1084">
        <v>208</v>
      </c>
    </row>
    <row r="1085" spans="1:7" ht="15" x14ac:dyDescent="0.25">
      <c r="A1085" t="s">
        <v>10722</v>
      </c>
      <c r="B1085">
        <v>1</v>
      </c>
      <c r="C1085">
        <v>1070</v>
      </c>
      <c r="D1085">
        <v>1070</v>
      </c>
      <c r="E1085">
        <v>74</v>
      </c>
      <c r="F1085">
        <v>74</v>
      </c>
      <c r="G1085">
        <v>1070</v>
      </c>
    </row>
    <row r="1086" spans="1:7" ht="15" x14ac:dyDescent="0.25">
      <c r="A1086" t="s">
        <v>10729</v>
      </c>
      <c r="B1086">
        <v>1</v>
      </c>
      <c r="C1086">
        <v>1943</v>
      </c>
      <c r="D1086">
        <v>1943</v>
      </c>
      <c r="E1086">
        <v>87</v>
      </c>
      <c r="F1086">
        <v>87</v>
      </c>
      <c r="G1086">
        <v>1943</v>
      </c>
    </row>
    <row r="1087" spans="1:7" ht="15" x14ac:dyDescent="0.25">
      <c r="A1087" t="s">
        <v>10736</v>
      </c>
      <c r="B1087">
        <v>7</v>
      </c>
      <c r="C1087">
        <v>188</v>
      </c>
      <c r="D1087">
        <v>1305</v>
      </c>
      <c r="E1087">
        <v>56</v>
      </c>
      <c r="F1087">
        <v>8</v>
      </c>
      <c r="G1087">
        <v>188</v>
      </c>
    </row>
    <row r="1088" spans="1:7" ht="15" x14ac:dyDescent="0.25">
      <c r="A1088" t="s">
        <v>10744</v>
      </c>
      <c r="B1088">
        <v>4</v>
      </c>
      <c r="C1088">
        <v>274</v>
      </c>
      <c r="D1088">
        <v>939</v>
      </c>
      <c r="E1088">
        <v>119</v>
      </c>
      <c r="F1088">
        <v>29.75</v>
      </c>
      <c r="G1088">
        <v>274</v>
      </c>
    </row>
    <row r="1089" spans="1:7" ht="15" x14ac:dyDescent="0.25">
      <c r="A1089" t="s">
        <v>10747</v>
      </c>
      <c r="B1089">
        <v>1</v>
      </c>
      <c r="C1089">
        <v>458</v>
      </c>
      <c r="D1089">
        <v>458</v>
      </c>
      <c r="E1089">
        <v>9</v>
      </c>
      <c r="F1089">
        <v>9</v>
      </c>
      <c r="G1089">
        <v>458</v>
      </c>
    </row>
    <row r="1090" spans="1:7" ht="15" x14ac:dyDescent="0.25">
      <c r="A1090" t="s">
        <v>10753</v>
      </c>
      <c r="B1090">
        <v>1</v>
      </c>
      <c r="C1090">
        <v>336</v>
      </c>
      <c r="D1090">
        <v>336</v>
      </c>
      <c r="E1090">
        <v>14</v>
      </c>
      <c r="F1090">
        <v>14</v>
      </c>
      <c r="G1090">
        <v>336</v>
      </c>
    </row>
    <row r="1091" spans="1:7" ht="15" x14ac:dyDescent="0.25">
      <c r="A1091" t="s">
        <v>10756</v>
      </c>
      <c r="B1091">
        <v>1</v>
      </c>
      <c r="C1091">
        <v>315</v>
      </c>
      <c r="D1091">
        <v>315</v>
      </c>
      <c r="E1091">
        <v>12</v>
      </c>
      <c r="F1091">
        <v>12</v>
      </c>
      <c r="G1091">
        <v>315</v>
      </c>
    </row>
    <row r="1092" spans="1:7" ht="15" x14ac:dyDescent="0.25">
      <c r="A1092" t="s">
        <v>10760</v>
      </c>
      <c r="B1092">
        <v>2</v>
      </c>
      <c r="C1092">
        <v>52</v>
      </c>
      <c r="D1092">
        <v>104</v>
      </c>
      <c r="E1092">
        <v>90</v>
      </c>
      <c r="F1092">
        <v>45</v>
      </c>
      <c r="G1092">
        <v>52</v>
      </c>
    </row>
    <row r="1093" spans="1:7" ht="15" x14ac:dyDescent="0.25">
      <c r="A1093" t="s">
        <v>10764</v>
      </c>
      <c r="B1093">
        <v>1</v>
      </c>
      <c r="C1093">
        <v>2172</v>
      </c>
      <c r="D1093">
        <v>2172</v>
      </c>
      <c r="E1093">
        <v>121</v>
      </c>
      <c r="F1093">
        <v>121</v>
      </c>
      <c r="G1093">
        <v>2172</v>
      </c>
    </row>
    <row r="1094" spans="1:7" ht="15" x14ac:dyDescent="0.25">
      <c r="A1094" t="s">
        <v>10771</v>
      </c>
      <c r="B1094">
        <v>1</v>
      </c>
      <c r="D1094">
        <v>0</v>
      </c>
      <c r="E1094">
        <v>28</v>
      </c>
      <c r="F1094">
        <v>28</v>
      </c>
    </row>
    <row r="1095" spans="1:7" ht="15" x14ac:dyDescent="0.25">
      <c r="A1095" t="s">
        <v>10785</v>
      </c>
      <c r="B1095">
        <v>1</v>
      </c>
      <c r="C1095">
        <v>10475</v>
      </c>
      <c r="D1095">
        <v>10475</v>
      </c>
      <c r="E1095">
        <v>55</v>
      </c>
      <c r="F1095">
        <v>55</v>
      </c>
      <c r="G1095">
        <v>10475</v>
      </c>
    </row>
    <row r="1096" spans="1:7" ht="15" x14ac:dyDescent="0.25">
      <c r="A1096" t="s">
        <v>10791</v>
      </c>
      <c r="B1096">
        <v>1</v>
      </c>
      <c r="C1096">
        <v>1244</v>
      </c>
      <c r="D1096">
        <v>1244</v>
      </c>
      <c r="E1096">
        <v>89</v>
      </c>
      <c r="F1096">
        <v>89</v>
      </c>
      <c r="G1096">
        <v>1244</v>
      </c>
    </row>
    <row r="1097" spans="1:7" ht="15" x14ac:dyDescent="0.25">
      <c r="A1097" t="s">
        <v>10800</v>
      </c>
      <c r="B1097">
        <v>1</v>
      </c>
      <c r="C1097">
        <v>501</v>
      </c>
      <c r="D1097">
        <v>501</v>
      </c>
      <c r="E1097">
        <v>89</v>
      </c>
      <c r="F1097">
        <v>89</v>
      </c>
      <c r="G1097">
        <v>501</v>
      </c>
    </row>
    <row r="1098" spans="1:7" ht="15" x14ac:dyDescent="0.25">
      <c r="A1098" t="s">
        <v>10807</v>
      </c>
      <c r="B1098">
        <v>1</v>
      </c>
      <c r="C1098">
        <v>814</v>
      </c>
      <c r="D1098">
        <v>814</v>
      </c>
      <c r="E1098">
        <v>21</v>
      </c>
      <c r="F1098">
        <v>21</v>
      </c>
      <c r="G1098">
        <v>814</v>
      </c>
    </row>
    <row r="1099" spans="1:7" ht="15" x14ac:dyDescent="0.25">
      <c r="A1099" t="s">
        <v>10810</v>
      </c>
      <c r="B1099">
        <v>1</v>
      </c>
      <c r="C1099">
        <v>559</v>
      </c>
      <c r="D1099">
        <v>559</v>
      </c>
      <c r="E1099">
        <v>59</v>
      </c>
      <c r="F1099">
        <v>59</v>
      </c>
      <c r="G1099">
        <v>559</v>
      </c>
    </row>
    <row r="1100" spans="1:7" ht="15" x14ac:dyDescent="0.25">
      <c r="A1100" t="s">
        <v>10819</v>
      </c>
      <c r="B1100">
        <v>2</v>
      </c>
      <c r="C1100">
        <v>559</v>
      </c>
      <c r="D1100">
        <v>1115</v>
      </c>
      <c r="E1100">
        <v>70</v>
      </c>
      <c r="F1100">
        <v>35</v>
      </c>
      <c r="G1100">
        <v>559</v>
      </c>
    </row>
    <row r="1101" spans="1:7" ht="15" x14ac:dyDescent="0.25">
      <c r="A1101" t="s">
        <v>10827</v>
      </c>
      <c r="B1101">
        <v>2</v>
      </c>
      <c r="C1101">
        <v>2167</v>
      </c>
      <c r="D1101">
        <v>4338</v>
      </c>
      <c r="E1101">
        <v>58</v>
      </c>
      <c r="F1101">
        <v>29</v>
      </c>
      <c r="G1101">
        <v>2171</v>
      </c>
    </row>
    <row r="1102" spans="1:7" ht="15" x14ac:dyDescent="0.25">
      <c r="A1102" t="s">
        <v>10831</v>
      </c>
      <c r="B1102">
        <v>1</v>
      </c>
      <c r="C1102">
        <v>87</v>
      </c>
      <c r="D1102">
        <v>87</v>
      </c>
      <c r="E1102">
        <v>12</v>
      </c>
      <c r="F1102">
        <v>12</v>
      </c>
      <c r="G1102">
        <v>87</v>
      </c>
    </row>
    <row r="1103" spans="1:7" ht="15" x14ac:dyDescent="0.25">
      <c r="A1103" t="s">
        <v>10834</v>
      </c>
      <c r="B1103">
        <v>1</v>
      </c>
      <c r="C1103">
        <v>1003</v>
      </c>
      <c r="D1103">
        <v>1003</v>
      </c>
      <c r="E1103">
        <v>49</v>
      </c>
      <c r="F1103">
        <v>49</v>
      </c>
      <c r="G1103">
        <v>1003</v>
      </c>
    </row>
    <row r="1104" spans="1:7" ht="15" x14ac:dyDescent="0.25">
      <c r="A1104" t="s">
        <v>10842</v>
      </c>
      <c r="B1104">
        <v>2</v>
      </c>
      <c r="C1104">
        <v>159</v>
      </c>
      <c r="D1104">
        <v>322</v>
      </c>
      <c r="E1104">
        <v>78</v>
      </c>
      <c r="F1104">
        <v>39</v>
      </c>
      <c r="G1104">
        <v>163</v>
      </c>
    </row>
    <row r="1105" spans="1:7" ht="15" x14ac:dyDescent="0.25">
      <c r="A1105" t="s">
        <v>10860</v>
      </c>
      <c r="B1105">
        <v>1</v>
      </c>
      <c r="C1105">
        <v>1264</v>
      </c>
      <c r="D1105">
        <v>1264</v>
      </c>
      <c r="E1105">
        <v>61</v>
      </c>
      <c r="F1105">
        <v>61</v>
      </c>
      <c r="G1105">
        <v>1264</v>
      </c>
    </row>
    <row r="1106" spans="1:7" ht="15" x14ac:dyDescent="0.25">
      <c r="A1106" t="s">
        <v>10866</v>
      </c>
      <c r="B1106">
        <v>1</v>
      </c>
      <c r="C1106">
        <v>823</v>
      </c>
      <c r="D1106">
        <v>823</v>
      </c>
      <c r="E1106">
        <v>32</v>
      </c>
      <c r="F1106">
        <v>32</v>
      </c>
      <c r="G1106">
        <v>823</v>
      </c>
    </row>
    <row r="1107" spans="1:7" ht="15" x14ac:dyDescent="0.25">
      <c r="A1107" t="s">
        <v>10879</v>
      </c>
      <c r="B1107">
        <v>1</v>
      </c>
      <c r="C1107">
        <v>873</v>
      </c>
      <c r="D1107">
        <v>873</v>
      </c>
      <c r="E1107">
        <v>77</v>
      </c>
      <c r="F1107">
        <v>77</v>
      </c>
      <c r="G1107">
        <v>873</v>
      </c>
    </row>
    <row r="1108" spans="1:7" ht="15" x14ac:dyDescent="0.25">
      <c r="A1108" t="s">
        <v>10890</v>
      </c>
      <c r="B1108">
        <v>1</v>
      </c>
      <c r="C1108">
        <v>659</v>
      </c>
      <c r="D1108">
        <v>659</v>
      </c>
      <c r="E1108">
        <v>15</v>
      </c>
      <c r="F1108">
        <v>15</v>
      </c>
      <c r="G1108">
        <v>659</v>
      </c>
    </row>
    <row r="1109" spans="1:7" ht="15" x14ac:dyDescent="0.25">
      <c r="A1109" t="s">
        <v>10897</v>
      </c>
      <c r="B1109">
        <v>1</v>
      </c>
      <c r="C1109">
        <v>479</v>
      </c>
      <c r="D1109">
        <v>479</v>
      </c>
      <c r="E1109">
        <v>29</v>
      </c>
      <c r="F1109">
        <v>29</v>
      </c>
      <c r="G1109">
        <v>479</v>
      </c>
    </row>
    <row r="1110" spans="1:7" ht="15" x14ac:dyDescent="0.25">
      <c r="A1110" t="s">
        <v>10902</v>
      </c>
      <c r="B1110">
        <v>1</v>
      </c>
      <c r="C1110">
        <v>189</v>
      </c>
      <c r="D1110">
        <v>189</v>
      </c>
      <c r="E1110">
        <v>22</v>
      </c>
      <c r="F1110">
        <v>22</v>
      </c>
      <c r="G1110">
        <v>189</v>
      </c>
    </row>
    <row r="1111" spans="1:7" ht="15" x14ac:dyDescent="0.25">
      <c r="A1111" t="s">
        <v>10907</v>
      </c>
      <c r="B1111">
        <v>1</v>
      </c>
      <c r="C1111">
        <v>356</v>
      </c>
      <c r="D1111">
        <v>356</v>
      </c>
      <c r="E1111">
        <v>92</v>
      </c>
      <c r="F1111">
        <v>92</v>
      </c>
      <c r="G1111">
        <v>356</v>
      </c>
    </row>
    <row r="1112" spans="1:7" ht="15" x14ac:dyDescent="0.25">
      <c r="A1112" t="s">
        <v>10912</v>
      </c>
      <c r="B1112">
        <v>1</v>
      </c>
      <c r="C1112">
        <v>263</v>
      </c>
      <c r="D1112">
        <v>263</v>
      </c>
      <c r="E1112">
        <v>13</v>
      </c>
      <c r="F1112">
        <v>13</v>
      </c>
      <c r="G1112">
        <v>263</v>
      </c>
    </row>
    <row r="1113" spans="1:7" ht="15" x14ac:dyDescent="0.25">
      <c r="A1113" t="s">
        <v>10929</v>
      </c>
      <c r="B1113">
        <v>2</v>
      </c>
      <c r="C1113">
        <v>362</v>
      </c>
      <c r="D1113">
        <v>718</v>
      </c>
      <c r="E1113">
        <v>61</v>
      </c>
      <c r="F1113">
        <v>30.5</v>
      </c>
      <c r="G1113">
        <v>362</v>
      </c>
    </row>
    <row r="1114" spans="1:7" ht="15" x14ac:dyDescent="0.25">
      <c r="A1114" t="s">
        <v>10936</v>
      </c>
      <c r="B1114">
        <v>1</v>
      </c>
      <c r="C1114">
        <v>338</v>
      </c>
      <c r="D1114">
        <v>338</v>
      </c>
      <c r="E1114">
        <v>86</v>
      </c>
      <c r="F1114">
        <v>86</v>
      </c>
      <c r="G1114">
        <v>338</v>
      </c>
    </row>
    <row r="1115" spans="1:7" ht="15" x14ac:dyDescent="0.25">
      <c r="A1115" t="s">
        <v>10943</v>
      </c>
      <c r="B1115">
        <v>1</v>
      </c>
      <c r="C1115">
        <v>223</v>
      </c>
      <c r="D1115">
        <v>223</v>
      </c>
      <c r="E1115">
        <v>69</v>
      </c>
      <c r="F1115">
        <v>69</v>
      </c>
      <c r="G1115">
        <v>223</v>
      </c>
    </row>
    <row r="1116" spans="1:7" ht="15" x14ac:dyDescent="0.25">
      <c r="A1116" t="s">
        <v>10949</v>
      </c>
      <c r="B1116">
        <v>1</v>
      </c>
      <c r="D1116">
        <v>0</v>
      </c>
      <c r="E1116">
        <v>58</v>
      </c>
      <c r="F1116">
        <v>58</v>
      </c>
    </row>
    <row r="1117" spans="1:7" ht="15" x14ac:dyDescent="0.25">
      <c r="A1117" t="s">
        <v>10963</v>
      </c>
      <c r="B1117">
        <v>1</v>
      </c>
      <c r="C1117">
        <v>40</v>
      </c>
      <c r="D1117">
        <v>40</v>
      </c>
      <c r="E1117">
        <v>4</v>
      </c>
      <c r="F1117">
        <v>4</v>
      </c>
      <c r="G1117">
        <v>40</v>
      </c>
    </row>
    <row r="1118" spans="1:7" ht="15" x14ac:dyDescent="0.25">
      <c r="A1118" t="s">
        <v>10968</v>
      </c>
      <c r="B1118">
        <v>1</v>
      </c>
      <c r="C1118">
        <v>299</v>
      </c>
      <c r="D1118">
        <v>299</v>
      </c>
      <c r="E1118">
        <v>33</v>
      </c>
      <c r="F1118">
        <v>33</v>
      </c>
      <c r="G1118">
        <v>299</v>
      </c>
    </row>
    <row r="1119" spans="1:7" ht="15" x14ac:dyDescent="0.25">
      <c r="A1119" t="s">
        <v>10987</v>
      </c>
      <c r="B1119">
        <v>1</v>
      </c>
      <c r="C1119">
        <v>77</v>
      </c>
      <c r="D1119">
        <v>77</v>
      </c>
      <c r="E1119">
        <v>4</v>
      </c>
      <c r="F1119">
        <v>4</v>
      </c>
      <c r="G1119">
        <v>77</v>
      </c>
    </row>
    <row r="1120" spans="1:7" ht="15" x14ac:dyDescent="0.25">
      <c r="A1120" t="s">
        <v>10994</v>
      </c>
      <c r="B1120">
        <v>1</v>
      </c>
      <c r="C1120">
        <v>119</v>
      </c>
      <c r="D1120">
        <v>119</v>
      </c>
      <c r="E1120">
        <v>33</v>
      </c>
      <c r="F1120">
        <v>33</v>
      </c>
      <c r="G1120">
        <v>119</v>
      </c>
    </row>
    <row r="1121" spans="1:7" ht="15" x14ac:dyDescent="0.25">
      <c r="A1121" t="s">
        <v>11000</v>
      </c>
      <c r="B1121">
        <v>1</v>
      </c>
      <c r="C1121">
        <v>198</v>
      </c>
      <c r="D1121">
        <v>198</v>
      </c>
      <c r="E1121">
        <v>17</v>
      </c>
      <c r="F1121">
        <v>17</v>
      </c>
      <c r="G1121">
        <v>198</v>
      </c>
    </row>
    <row r="1122" spans="1:7" ht="15" x14ac:dyDescent="0.25">
      <c r="A1122" t="s">
        <v>11003</v>
      </c>
      <c r="B1122">
        <v>1</v>
      </c>
      <c r="C1122">
        <v>372</v>
      </c>
      <c r="D1122">
        <v>372</v>
      </c>
      <c r="E1122">
        <v>9</v>
      </c>
      <c r="F1122">
        <v>9</v>
      </c>
      <c r="G1122">
        <v>372</v>
      </c>
    </row>
    <row r="1123" spans="1:7" ht="15" x14ac:dyDescent="0.25">
      <c r="A1123" t="s">
        <v>11008</v>
      </c>
      <c r="B1123">
        <v>1</v>
      </c>
      <c r="C1123">
        <v>182</v>
      </c>
      <c r="D1123">
        <v>182</v>
      </c>
      <c r="E1123">
        <v>35</v>
      </c>
      <c r="F1123">
        <v>35</v>
      </c>
      <c r="G1123">
        <v>182</v>
      </c>
    </row>
    <row r="1124" spans="1:7" ht="15" x14ac:dyDescent="0.25">
      <c r="A1124" t="s">
        <v>11028</v>
      </c>
      <c r="B1124">
        <v>1</v>
      </c>
      <c r="C1124">
        <v>53</v>
      </c>
      <c r="D1124">
        <v>53</v>
      </c>
      <c r="E1124">
        <v>15</v>
      </c>
      <c r="F1124">
        <v>15</v>
      </c>
      <c r="G1124">
        <v>53</v>
      </c>
    </row>
    <row r="1125" spans="1:7" ht="15" x14ac:dyDescent="0.25">
      <c r="A1125" t="s">
        <v>11036</v>
      </c>
      <c r="B1125">
        <v>1</v>
      </c>
      <c r="C1125">
        <v>325</v>
      </c>
      <c r="D1125">
        <v>325</v>
      </c>
      <c r="E1125">
        <v>104</v>
      </c>
      <c r="F1125">
        <v>104</v>
      </c>
      <c r="G1125">
        <v>325</v>
      </c>
    </row>
    <row r="1126" spans="1:7" ht="15" x14ac:dyDescent="0.25">
      <c r="A1126" t="s">
        <v>11050</v>
      </c>
      <c r="B1126">
        <v>1</v>
      </c>
      <c r="C1126">
        <v>426</v>
      </c>
      <c r="D1126">
        <v>426</v>
      </c>
      <c r="E1126">
        <v>80</v>
      </c>
      <c r="F1126">
        <v>80</v>
      </c>
      <c r="G1126">
        <v>426</v>
      </c>
    </row>
    <row r="1127" spans="1:7" ht="15" x14ac:dyDescent="0.25">
      <c r="A1127" t="s">
        <v>11057</v>
      </c>
      <c r="B1127">
        <v>1</v>
      </c>
      <c r="C1127">
        <v>1298</v>
      </c>
      <c r="D1127">
        <v>1298</v>
      </c>
      <c r="E1127">
        <v>137</v>
      </c>
      <c r="F1127">
        <v>137</v>
      </c>
      <c r="G1127">
        <v>1298</v>
      </c>
    </row>
    <row r="1128" spans="1:7" ht="15" x14ac:dyDescent="0.25">
      <c r="A1128" t="s">
        <v>11064</v>
      </c>
      <c r="B1128">
        <v>1</v>
      </c>
      <c r="C1128">
        <v>458</v>
      </c>
      <c r="D1128">
        <v>458</v>
      </c>
      <c r="E1128">
        <v>100</v>
      </c>
      <c r="F1128">
        <v>100</v>
      </c>
      <c r="G1128">
        <v>458</v>
      </c>
    </row>
    <row r="1129" spans="1:7" ht="15" x14ac:dyDescent="0.25">
      <c r="A1129" t="s">
        <v>11070</v>
      </c>
      <c r="B1129">
        <v>1</v>
      </c>
      <c r="C1129">
        <v>459</v>
      </c>
      <c r="D1129">
        <v>459</v>
      </c>
      <c r="E1129">
        <v>21</v>
      </c>
      <c r="F1129">
        <v>21</v>
      </c>
      <c r="G1129">
        <v>459</v>
      </c>
    </row>
    <row r="1130" spans="1:7" ht="15" x14ac:dyDescent="0.25">
      <c r="A1130" t="s">
        <v>11076</v>
      </c>
      <c r="B1130">
        <v>1</v>
      </c>
      <c r="C1130">
        <v>888</v>
      </c>
      <c r="D1130">
        <v>888</v>
      </c>
      <c r="E1130">
        <v>84</v>
      </c>
      <c r="F1130">
        <v>84</v>
      </c>
      <c r="G1130">
        <v>888</v>
      </c>
    </row>
    <row r="1131" spans="1:7" ht="15" x14ac:dyDescent="0.25">
      <c r="A1131" t="s">
        <v>11082</v>
      </c>
      <c r="B1131">
        <v>3</v>
      </c>
      <c r="C1131">
        <v>1037</v>
      </c>
      <c r="D1131">
        <v>3062</v>
      </c>
      <c r="E1131">
        <v>272</v>
      </c>
      <c r="F1131">
        <v>90.666666666666671</v>
      </c>
      <c r="G1131">
        <v>1037</v>
      </c>
    </row>
    <row r="1132" spans="1:7" ht="15" x14ac:dyDescent="0.25">
      <c r="A1132" t="s">
        <v>11098</v>
      </c>
      <c r="B1132">
        <v>1</v>
      </c>
      <c r="C1132">
        <v>522</v>
      </c>
      <c r="D1132">
        <v>522</v>
      </c>
      <c r="E1132">
        <v>48</v>
      </c>
      <c r="F1132">
        <v>48</v>
      </c>
      <c r="G1132">
        <v>522</v>
      </c>
    </row>
    <row r="1133" spans="1:7" ht="15" x14ac:dyDescent="0.25">
      <c r="A1133" t="s">
        <v>11101</v>
      </c>
      <c r="B1133">
        <v>1</v>
      </c>
      <c r="C1133">
        <v>1262</v>
      </c>
      <c r="D1133">
        <v>1262</v>
      </c>
      <c r="E1133">
        <v>97</v>
      </c>
      <c r="F1133">
        <v>97</v>
      </c>
      <c r="G1133">
        <v>1262</v>
      </c>
    </row>
    <row r="1134" spans="1:7" ht="15" x14ac:dyDescent="0.25">
      <c r="A1134" t="s">
        <v>11114</v>
      </c>
      <c r="B1134">
        <v>1</v>
      </c>
      <c r="C1134">
        <v>161</v>
      </c>
      <c r="D1134">
        <v>161</v>
      </c>
      <c r="E1134">
        <v>36</v>
      </c>
      <c r="F1134">
        <v>36</v>
      </c>
      <c r="G1134">
        <v>161</v>
      </c>
    </row>
    <row r="1135" spans="1:7" ht="15" x14ac:dyDescent="0.25">
      <c r="A1135" t="s">
        <v>11118</v>
      </c>
      <c r="B1135">
        <v>1</v>
      </c>
      <c r="C1135">
        <v>83</v>
      </c>
      <c r="D1135">
        <v>83</v>
      </c>
      <c r="E1135">
        <v>7</v>
      </c>
      <c r="F1135">
        <v>7</v>
      </c>
      <c r="G1135">
        <v>83</v>
      </c>
    </row>
    <row r="1136" spans="1:7" ht="15" x14ac:dyDescent="0.25">
      <c r="A1136" t="s">
        <v>11122</v>
      </c>
      <c r="B1136">
        <v>1</v>
      </c>
      <c r="C1136">
        <v>803</v>
      </c>
      <c r="D1136">
        <v>803</v>
      </c>
      <c r="E1136">
        <v>50</v>
      </c>
      <c r="F1136">
        <v>50</v>
      </c>
      <c r="G1136">
        <v>803</v>
      </c>
    </row>
    <row r="1137" spans="1:7" ht="15" x14ac:dyDescent="0.25">
      <c r="A1137" t="s">
        <v>11128</v>
      </c>
      <c r="B1137">
        <v>1</v>
      </c>
      <c r="C1137">
        <v>27</v>
      </c>
      <c r="D1137">
        <v>27</v>
      </c>
      <c r="E1137">
        <v>4</v>
      </c>
      <c r="F1137">
        <v>4</v>
      </c>
      <c r="G1137">
        <v>27</v>
      </c>
    </row>
    <row r="1138" spans="1:7" ht="15" x14ac:dyDescent="0.25">
      <c r="A1138" t="s">
        <v>11132</v>
      </c>
      <c r="B1138">
        <v>3</v>
      </c>
      <c r="C1138">
        <v>1124</v>
      </c>
      <c r="D1138">
        <v>3291</v>
      </c>
      <c r="E1138">
        <v>192</v>
      </c>
      <c r="F1138">
        <v>64</v>
      </c>
      <c r="G1138">
        <v>1127</v>
      </c>
    </row>
    <row r="1139" spans="1:7" ht="15" x14ac:dyDescent="0.25">
      <c r="A1139" t="s">
        <v>11138</v>
      </c>
      <c r="B1139">
        <v>1</v>
      </c>
      <c r="C1139">
        <v>102</v>
      </c>
      <c r="D1139">
        <v>102</v>
      </c>
      <c r="E1139">
        <v>5</v>
      </c>
      <c r="F1139">
        <v>5</v>
      </c>
      <c r="G1139">
        <v>102</v>
      </c>
    </row>
    <row r="1140" spans="1:7" ht="15" x14ac:dyDescent="0.25">
      <c r="A1140" t="s">
        <v>11147</v>
      </c>
      <c r="B1140">
        <v>1</v>
      </c>
      <c r="C1140">
        <v>214</v>
      </c>
      <c r="D1140">
        <v>214</v>
      </c>
      <c r="E1140">
        <v>37</v>
      </c>
      <c r="F1140">
        <v>37</v>
      </c>
      <c r="G1140">
        <v>214</v>
      </c>
    </row>
    <row r="1141" spans="1:7" ht="15" x14ac:dyDescent="0.25">
      <c r="A1141" t="s">
        <v>11154</v>
      </c>
      <c r="B1141">
        <v>1</v>
      </c>
      <c r="C1141">
        <v>161</v>
      </c>
      <c r="D1141">
        <v>161</v>
      </c>
      <c r="E1141">
        <v>47</v>
      </c>
      <c r="F1141">
        <v>47</v>
      </c>
      <c r="G1141">
        <v>161</v>
      </c>
    </row>
    <row r="1142" spans="1:7" ht="15" x14ac:dyDescent="0.25">
      <c r="A1142" t="s">
        <v>11158</v>
      </c>
      <c r="B1142">
        <v>1</v>
      </c>
      <c r="C1142">
        <v>233</v>
      </c>
      <c r="D1142">
        <v>233</v>
      </c>
      <c r="E1142">
        <v>19</v>
      </c>
      <c r="F1142">
        <v>19</v>
      </c>
      <c r="G1142">
        <v>233</v>
      </c>
    </row>
    <row r="1143" spans="1:7" ht="15" x14ac:dyDescent="0.25">
      <c r="A1143" t="s">
        <v>11164</v>
      </c>
      <c r="B1143">
        <v>1</v>
      </c>
      <c r="C1143">
        <v>205</v>
      </c>
      <c r="D1143">
        <v>205</v>
      </c>
      <c r="E1143">
        <v>14</v>
      </c>
      <c r="F1143">
        <v>14</v>
      </c>
      <c r="G1143">
        <v>205</v>
      </c>
    </row>
    <row r="1144" spans="1:7" ht="15" x14ac:dyDescent="0.25">
      <c r="A1144" t="s">
        <v>11168</v>
      </c>
      <c r="B1144">
        <v>1</v>
      </c>
      <c r="C1144">
        <v>428</v>
      </c>
      <c r="D1144">
        <v>428</v>
      </c>
      <c r="E1144">
        <v>39</v>
      </c>
      <c r="F1144">
        <v>39</v>
      </c>
      <c r="G1144">
        <v>428</v>
      </c>
    </row>
    <row r="1145" spans="1:7" ht="15" x14ac:dyDescent="0.25">
      <c r="A1145" t="s">
        <v>11179</v>
      </c>
      <c r="B1145">
        <v>1</v>
      </c>
      <c r="C1145">
        <v>381</v>
      </c>
      <c r="D1145">
        <v>381</v>
      </c>
      <c r="E1145">
        <v>97</v>
      </c>
      <c r="F1145">
        <v>97</v>
      </c>
      <c r="G1145">
        <v>381</v>
      </c>
    </row>
    <row r="1146" spans="1:7" ht="15" x14ac:dyDescent="0.25">
      <c r="A1146" t="s">
        <v>11191</v>
      </c>
      <c r="B1146">
        <v>1</v>
      </c>
      <c r="C1146">
        <v>1285</v>
      </c>
      <c r="D1146">
        <v>1285</v>
      </c>
      <c r="E1146">
        <v>96</v>
      </c>
      <c r="F1146">
        <v>96</v>
      </c>
      <c r="G1146">
        <v>1285</v>
      </c>
    </row>
    <row r="1147" spans="1:7" ht="15" x14ac:dyDescent="0.25">
      <c r="A1147" t="s">
        <v>11202</v>
      </c>
      <c r="B1147">
        <v>1</v>
      </c>
      <c r="C1147">
        <v>159</v>
      </c>
      <c r="D1147">
        <v>159</v>
      </c>
      <c r="E1147">
        <v>36</v>
      </c>
      <c r="F1147">
        <v>36</v>
      </c>
      <c r="G1147">
        <v>159</v>
      </c>
    </row>
    <row r="1148" spans="1:7" ht="15" x14ac:dyDescent="0.25">
      <c r="A1148" t="s">
        <v>11209</v>
      </c>
      <c r="B1148">
        <v>1</v>
      </c>
      <c r="C1148">
        <v>2322</v>
      </c>
      <c r="D1148">
        <v>2322</v>
      </c>
      <c r="E1148">
        <v>133</v>
      </c>
      <c r="F1148">
        <v>133</v>
      </c>
      <c r="G1148">
        <v>2322</v>
      </c>
    </row>
    <row r="1149" spans="1:7" ht="15" x14ac:dyDescent="0.25">
      <c r="A1149" t="s">
        <v>11216</v>
      </c>
      <c r="B1149">
        <v>1</v>
      </c>
      <c r="C1149">
        <v>332</v>
      </c>
      <c r="D1149">
        <v>332</v>
      </c>
      <c r="E1149">
        <v>65</v>
      </c>
      <c r="F1149">
        <v>65</v>
      </c>
      <c r="G1149">
        <v>332</v>
      </c>
    </row>
    <row r="1150" spans="1:7" ht="15" x14ac:dyDescent="0.25">
      <c r="A1150" t="s">
        <v>11223</v>
      </c>
      <c r="B1150">
        <v>1</v>
      </c>
      <c r="C1150">
        <v>480</v>
      </c>
      <c r="D1150">
        <v>480</v>
      </c>
      <c r="E1150">
        <v>33</v>
      </c>
      <c r="F1150">
        <v>33</v>
      </c>
      <c r="G1150">
        <v>480</v>
      </c>
    </row>
    <row r="1151" spans="1:7" ht="15" x14ac:dyDescent="0.25">
      <c r="A1151" t="s">
        <v>11230</v>
      </c>
      <c r="B1151">
        <v>1</v>
      </c>
      <c r="C1151">
        <v>213</v>
      </c>
      <c r="D1151">
        <v>213</v>
      </c>
      <c r="E1151">
        <v>57</v>
      </c>
      <c r="F1151">
        <v>57</v>
      </c>
      <c r="G1151">
        <v>213</v>
      </c>
    </row>
    <row r="1152" spans="1:7" ht="15" x14ac:dyDescent="0.25">
      <c r="A1152" t="s">
        <v>11244</v>
      </c>
      <c r="B1152">
        <v>1</v>
      </c>
      <c r="C1152">
        <v>1836</v>
      </c>
      <c r="D1152">
        <v>1836</v>
      </c>
      <c r="E1152">
        <v>129</v>
      </c>
      <c r="F1152">
        <v>129</v>
      </c>
      <c r="G1152">
        <v>1836</v>
      </c>
    </row>
    <row r="1153" spans="1:7" ht="15" x14ac:dyDescent="0.25">
      <c r="A1153" t="s">
        <v>11250</v>
      </c>
      <c r="B1153">
        <v>1</v>
      </c>
      <c r="C1153">
        <v>487</v>
      </c>
      <c r="D1153">
        <v>487</v>
      </c>
      <c r="E1153">
        <v>80</v>
      </c>
      <c r="F1153">
        <v>80</v>
      </c>
      <c r="G1153">
        <v>487</v>
      </c>
    </row>
    <row r="1154" spans="1:7" ht="15" x14ac:dyDescent="0.25">
      <c r="A1154" t="s">
        <v>11258</v>
      </c>
      <c r="B1154">
        <v>1</v>
      </c>
      <c r="C1154">
        <v>218</v>
      </c>
      <c r="D1154">
        <v>218</v>
      </c>
      <c r="E1154">
        <v>53</v>
      </c>
      <c r="F1154">
        <v>53</v>
      </c>
      <c r="G1154">
        <v>218</v>
      </c>
    </row>
    <row r="1155" spans="1:7" ht="15" x14ac:dyDescent="0.25">
      <c r="A1155" t="s">
        <v>11267</v>
      </c>
      <c r="B1155">
        <v>1</v>
      </c>
      <c r="C1155">
        <v>92</v>
      </c>
      <c r="D1155">
        <v>92</v>
      </c>
      <c r="E1155">
        <v>21</v>
      </c>
      <c r="F1155">
        <v>21</v>
      </c>
      <c r="G1155">
        <v>92</v>
      </c>
    </row>
    <row r="1156" spans="1:7" ht="15" x14ac:dyDescent="0.25">
      <c r="A1156" t="s">
        <v>11273</v>
      </c>
      <c r="B1156">
        <v>1</v>
      </c>
      <c r="C1156">
        <v>87</v>
      </c>
      <c r="D1156">
        <v>87</v>
      </c>
      <c r="E1156">
        <v>34</v>
      </c>
      <c r="F1156">
        <v>34</v>
      </c>
      <c r="G1156">
        <v>87</v>
      </c>
    </row>
    <row r="1157" spans="1:7" ht="15" x14ac:dyDescent="0.25">
      <c r="A1157" t="s">
        <v>11279</v>
      </c>
      <c r="B1157">
        <v>1</v>
      </c>
      <c r="C1157">
        <v>260</v>
      </c>
      <c r="D1157">
        <v>260</v>
      </c>
      <c r="E1157">
        <v>32</v>
      </c>
      <c r="F1157">
        <v>32</v>
      </c>
      <c r="G1157">
        <v>260</v>
      </c>
    </row>
    <row r="1158" spans="1:7" ht="15" x14ac:dyDescent="0.25">
      <c r="A1158" t="s">
        <v>11288</v>
      </c>
      <c r="B1158">
        <v>1</v>
      </c>
      <c r="C1158">
        <v>300</v>
      </c>
      <c r="D1158">
        <v>300</v>
      </c>
      <c r="E1158">
        <v>72</v>
      </c>
      <c r="F1158">
        <v>72</v>
      </c>
      <c r="G1158">
        <v>300</v>
      </c>
    </row>
    <row r="1159" spans="1:7" ht="15" x14ac:dyDescent="0.25">
      <c r="A1159" t="s">
        <v>11299</v>
      </c>
      <c r="B1159">
        <v>1</v>
      </c>
      <c r="C1159">
        <v>364</v>
      </c>
      <c r="D1159">
        <v>364</v>
      </c>
      <c r="E1159">
        <v>46</v>
      </c>
      <c r="F1159">
        <v>46</v>
      </c>
      <c r="G1159">
        <v>364</v>
      </c>
    </row>
    <row r="1160" spans="1:7" ht="15" x14ac:dyDescent="0.25">
      <c r="A1160" t="s">
        <v>11310</v>
      </c>
      <c r="B1160">
        <v>2</v>
      </c>
      <c r="C1160">
        <v>28607</v>
      </c>
      <c r="D1160">
        <v>57212</v>
      </c>
      <c r="E1160">
        <v>50</v>
      </c>
      <c r="F1160">
        <v>25</v>
      </c>
      <c r="G1160">
        <v>28607</v>
      </c>
    </row>
    <row r="1161" spans="1:7" ht="15" x14ac:dyDescent="0.25">
      <c r="A1161" t="s">
        <v>11328</v>
      </c>
      <c r="B1161">
        <v>1</v>
      </c>
      <c r="C1161">
        <v>501</v>
      </c>
      <c r="D1161">
        <v>501</v>
      </c>
      <c r="E1161">
        <v>16</v>
      </c>
      <c r="F1161">
        <v>16</v>
      </c>
      <c r="G1161">
        <v>501</v>
      </c>
    </row>
    <row r="1162" spans="1:7" ht="15" x14ac:dyDescent="0.25">
      <c r="A1162" t="s">
        <v>11335</v>
      </c>
      <c r="B1162">
        <v>1</v>
      </c>
      <c r="C1162">
        <v>3969</v>
      </c>
      <c r="D1162">
        <v>3969</v>
      </c>
      <c r="E1162">
        <v>59</v>
      </c>
      <c r="F1162">
        <v>59</v>
      </c>
      <c r="G1162">
        <v>3969</v>
      </c>
    </row>
    <row r="1163" spans="1:7" ht="15" x14ac:dyDescent="0.25">
      <c r="A1163" t="s">
        <v>11343</v>
      </c>
      <c r="B1163">
        <v>1</v>
      </c>
      <c r="C1163">
        <v>19</v>
      </c>
      <c r="D1163">
        <v>19</v>
      </c>
      <c r="E1163">
        <v>4</v>
      </c>
      <c r="F1163">
        <v>4</v>
      </c>
      <c r="G1163">
        <v>19</v>
      </c>
    </row>
    <row r="1164" spans="1:7" ht="15" x14ac:dyDescent="0.25">
      <c r="A1164" t="s">
        <v>11350</v>
      </c>
      <c r="B1164">
        <v>1</v>
      </c>
      <c r="C1164">
        <v>1186</v>
      </c>
      <c r="D1164">
        <v>1186</v>
      </c>
      <c r="E1164">
        <v>47</v>
      </c>
      <c r="F1164">
        <v>47</v>
      </c>
      <c r="G1164">
        <v>1186</v>
      </c>
    </row>
    <row r="1165" spans="1:7" ht="15" x14ac:dyDescent="0.25">
      <c r="A1165" t="s">
        <v>11353</v>
      </c>
      <c r="B1165">
        <v>1</v>
      </c>
      <c r="C1165">
        <v>420</v>
      </c>
      <c r="D1165">
        <v>420</v>
      </c>
      <c r="E1165">
        <v>29</v>
      </c>
      <c r="F1165">
        <v>29</v>
      </c>
      <c r="G1165">
        <v>420</v>
      </c>
    </row>
    <row r="1166" spans="1:7" ht="15" x14ac:dyDescent="0.25">
      <c r="A1166" t="s">
        <v>11356</v>
      </c>
      <c r="B1166">
        <v>1</v>
      </c>
      <c r="C1166">
        <v>1023</v>
      </c>
      <c r="D1166">
        <v>1023</v>
      </c>
      <c r="E1166">
        <v>20</v>
      </c>
      <c r="F1166">
        <v>20</v>
      </c>
      <c r="G1166">
        <v>1023</v>
      </c>
    </row>
    <row r="1167" spans="1:7" ht="15" x14ac:dyDescent="0.25">
      <c r="A1167" t="s">
        <v>11359</v>
      </c>
      <c r="B1167">
        <v>2</v>
      </c>
      <c r="C1167">
        <v>279</v>
      </c>
      <c r="D1167">
        <v>550</v>
      </c>
      <c r="E1167">
        <v>48</v>
      </c>
      <c r="F1167">
        <v>24</v>
      </c>
      <c r="G1167">
        <v>279</v>
      </c>
    </row>
    <row r="1168" spans="1:7" ht="15" x14ac:dyDescent="0.25">
      <c r="A1168" t="s">
        <v>11364</v>
      </c>
      <c r="B1168">
        <v>1</v>
      </c>
      <c r="C1168">
        <v>211</v>
      </c>
      <c r="D1168">
        <v>211</v>
      </c>
      <c r="E1168">
        <v>51</v>
      </c>
      <c r="F1168">
        <v>51</v>
      </c>
      <c r="G1168">
        <v>211</v>
      </c>
    </row>
    <row r="1169" spans="1:7" ht="15" x14ac:dyDescent="0.25">
      <c r="A1169" t="s">
        <v>11370</v>
      </c>
      <c r="B1169">
        <v>1</v>
      </c>
      <c r="C1169">
        <v>335</v>
      </c>
      <c r="D1169">
        <v>335</v>
      </c>
      <c r="E1169">
        <v>10</v>
      </c>
      <c r="F1169">
        <v>10</v>
      </c>
      <c r="G1169">
        <v>335</v>
      </c>
    </row>
    <row r="1170" spans="1:7" ht="15" x14ac:dyDescent="0.25">
      <c r="A1170" t="s">
        <v>11383</v>
      </c>
      <c r="B1170">
        <v>1</v>
      </c>
      <c r="C1170">
        <v>1244</v>
      </c>
      <c r="D1170">
        <v>1244</v>
      </c>
      <c r="E1170">
        <v>42</v>
      </c>
      <c r="F1170">
        <v>42</v>
      </c>
      <c r="G1170">
        <v>1244</v>
      </c>
    </row>
    <row r="1171" spans="1:7" ht="15" x14ac:dyDescent="0.25">
      <c r="A1171" t="s">
        <v>11390</v>
      </c>
      <c r="B1171">
        <v>1</v>
      </c>
      <c r="C1171">
        <v>219</v>
      </c>
      <c r="D1171">
        <v>219</v>
      </c>
      <c r="E1171">
        <v>48</v>
      </c>
      <c r="F1171">
        <v>48</v>
      </c>
      <c r="G1171">
        <v>219</v>
      </c>
    </row>
    <row r="1172" spans="1:7" ht="15" x14ac:dyDescent="0.25">
      <c r="A1172" t="s">
        <v>11396</v>
      </c>
      <c r="B1172">
        <v>1</v>
      </c>
      <c r="C1172">
        <v>562</v>
      </c>
      <c r="D1172">
        <v>562</v>
      </c>
      <c r="E1172">
        <v>103</v>
      </c>
      <c r="F1172">
        <v>103</v>
      </c>
      <c r="G1172">
        <v>562</v>
      </c>
    </row>
    <row r="1173" spans="1:7" ht="15" x14ac:dyDescent="0.25">
      <c r="A1173" t="s">
        <v>11401</v>
      </c>
      <c r="B1173">
        <v>2</v>
      </c>
      <c r="C1173">
        <v>2212</v>
      </c>
      <c r="D1173">
        <v>4383</v>
      </c>
      <c r="E1173">
        <v>225</v>
      </c>
      <c r="F1173">
        <v>112.5</v>
      </c>
      <c r="G1173">
        <v>2212</v>
      </c>
    </row>
    <row r="1174" spans="1:7" ht="15" x14ac:dyDescent="0.25">
      <c r="A1174" t="s">
        <v>11409</v>
      </c>
      <c r="B1174">
        <v>1</v>
      </c>
      <c r="C1174">
        <v>110</v>
      </c>
      <c r="D1174">
        <v>110</v>
      </c>
      <c r="E1174">
        <v>21</v>
      </c>
      <c r="F1174">
        <v>21</v>
      </c>
      <c r="G1174">
        <v>110</v>
      </c>
    </row>
    <row r="1175" spans="1:7" ht="15" x14ac:dyDescent="0.25">
      <c r="A1175" t="s">
        <v>11415</v>
      </c>
      <c r="B1175">
        <v>1</v>
      </c>
      <c r="C1175">
        <v>1143</v>
      </c>
      <c r="D1175">
        <v>1143</v>
      </c>
      <c r="E1175">
        <v>25</v>
      </c>
      <c r="F1175">
        <v>25</v>
      </c>
      <c r="G1175">
        <v>1143</v>
      </c>
    </row>
    <row r="1176" spans="1:7" ht="15" x14ac:dyDescent="0.25">
      <c r="A1176" t="s">
        <v>11420</v>
      </c>
      <c r="B1176">
        <v>2</v>
      </c>
      <c r="C1176">
        <v>513</v>
      </c>
      <c r="D1176">
        <v>1018</v>
      </c>
      <c r="E1176">
        <v>100</v>
      </c>
      <c r="F1176">
        <v>50</v>
      </c>
      <c r="G1176">
        <v>513</v>
      </c>
    </row>
    <row r="1177" spans="1:7" ht="15" x14ac:dyDescent="0.25">
      <c r="A1177" t="s">
        <v>11425</v>
      </c>
      <c r="B1177">
        <v>1</v>
      </c>
      <c r="C1177">
        <v>414</v>
      </c>
      <c r="D1177">
        <v>414</v>
      </c>
      <c r="E1177">
        <v>45</v>
      </c>
      <c r="F1177">
        <v>45</v>
      </c>
      <c r="G1177">
        <v>414</v>
      </c>
    </row>
    <row r="1178" spans="1:7" ht="15" x14ac:dyDescent="0.25">
      <c r="A1178" t="s">
        <v>11430</v>
      </c>
      <c r="B1178">
        <v>1</v>
      </c>
      <c r="C1178">
        <v>193</v>
      </c>
      <c r="D1178">
        <v>193</v>
      </c>
      <c r="E1178">
        <v>45</v>
      </c>
      <c r="F1178">
        <v>45</v>
      </c>
      <c r="G1178">
        <v>193</v>
      </c>
    </row>
    <row r="1179" spans="1:7" ht="15" x14ac:dyDescent="0.25">
      <c r="A1179" t="s">
        <v>11436</v>
      </c>
      <c r="B1179">
        <v>1</v>
      </c>
      <c r="C1179">
        <v>3897</v>
      </c>
      <c r="D1179">
        <v>3897</v>
      </c>
      <c r="E1179">
        <v>60</v>
      </c>
      <c r="F1179">
        <v>60</v>
      </c>
      <c r="G1179">
        <v>3897</v>
      </c>
    </row>
    <row r="1180" spans="1:7" ht="15" x14ac:dyDescent="0.25">
      <c r="A1180" t="s">
        <v>11441</v>
      </c>
      <c r="B1180">
        <v>1</v>
      </c>
      <c r="C1180">
        <v>246</v>
      </c>
      <c r="D1180">
        <v>246</v>
      </c>
      <c r="E1180">
        <v>148</v>
      </c>
      <c r="F1180">
        <v>148</v>
      </c>
      <c r="G1180">
        <v>246</v>
      </c>
    </row>
    <row r="1181" spans="1:7" ht="15" x14ac:dyDescent="0.25">
      <c r="A1181" t="s">
        <v>11448</v>
      </c>
      <c r="B1181">
        <v>1</v>
      </c>
      <c r="C1181">
        <v>62</v>
      </c>
      <c r="D1181">
        <v>62</v>
      </c>
      <c r="E1181">
        <v>14</v>
      </c>
      <c r="F1181">
        <v>14</v>
      </c>
      <c r="G1181">
        <v>62</v>
      </c>
    </row>
    <row r="1182" spans="1:7" ht="15" x14ac:dyDescent="0.25">
      <c r="A1182" t="s">
        <v>11453</v>
      </c>
      <c r="B1182">
        <v>1</v>
      </c>
      <c r="D1182">
        <v>0</v>
      </c>
      <c r="E1182">
        <v>229</v>
      </c>
      <c r="F1182">
        <v>229</v>
      </c>
    </row>
    <row r="1183" spans="1:7" ht="15" x14ac:dyDescent="0.25">
      <c r="A1183" t="s">
        <v>11462</v>
      </c>
      <c r="B1183">
        <v>2</v>
      </c>
      <c r="C1183">
        <v>13</v>
      </c>
      <c r="D1183">
        <v>15</v>
      </c>
      <c r="E1183">
        <v>53</v>
      </c>
      <c r="F1183">
        <v>26.5</v>
      </c>
      <c r="G1183">
        <v>13</v>
      </c>
    </row>
    <row r="1184" spans="1:7" ht="15" x14ac:dyDescent="0.25">
      <c r="A1184" t="s">
        <v>11468</v>
      </c>
      <c r="B1184">
        <v>1</v>
      </c>
      <c r="D1184">
        <v>0</v>
      </c>
      <c r="E1184">
        <v>19</v>
      </c>
      <c r="F1184">
        <v>19</v>
      </c>
    </row>
    <row r="1185" spans="1:7" ht="15" x14ac:dyDescent="0.25">
      <c r="A1185" t="s">
        <v>11476</v>
      </c>
      <c r="B1185">
        <v>1</v>
      </c>
      <c r="C1185">
        <v>142</v>
      </c>
      <c r="D1185">
        <v>142</v>
      </c>
      <c r="E1185">
        <v>29</v>
      </c>
      <c r="F1185">
        <v>29</v>
      </c>
      <c r="G1185">
        <v>142</v>
      </c>
    </row>
    <row r="1186" spans="1:7" ht="15" x14ac:dyDescent="0.25">
      <c r="A1186" t="s">
        <v>11483</v>
      </c>
      <c r="B1186">
        <v>2</v>
      </c>
      <c r="C1186">
        <v>1891</v>
      </c>
      <c r="D1186">
        <v>3811</v>
      </c>
      <c r="E1186">
        <v>46</v>
      </c>
      <c r="F1186">
        <v>23</v>
      </c>
      <c r="G1186">
        <v>1920</v>
      </c>
    </row>
    <row r="1187" spans="1:7" ht="15" x14ac:dyDescent="0.25">
      <c r="A1187" t="s">
        <v>11494</v>
      </c>
      <c r="B1187">
        <v>1</v>
      </c>
      <c r="C1187">
        <v>1169</v>
      </c>
      <c r="D1187">
        <v>1169</v>
      </c>
      <c r="E1187">
        <v>36</v>
      </c>
      <c r="F1187">
        <v>36</v>
      </c>
      <c r="G1187">
        <v>1169</v>
      </c>
    </row>
    <row r="1188" spans="1:7" ht="15" x14ac:dyDescent="0.25">
      <c r="A1188" t="s">
        <v>11503</v>
      </c>
      <c r="B1188">
        <v>8</v>
      </c>
      <c r="C1188">
        <v>378</v>
      </c>
      <c r="D1188">
        <v>2606</v>
      </c>
      <c r="E1188">
        <v>362</v>
      </c>
      <c r="F1188">
        <v>45.25</v>
      </c>
      <c r="G1188">
        <v>380</v>
      </c>
    </row>
    <row r="1189" spans="1:7" ht="15" x14ac:dyDescent="0.25">
      <c r="A1189" t="s">
        <v>11511</v>
      </c>
      <c r="B1189">
        <v>1</v>
      </c>
      <c r="C1189">
        <v>1020</v>
      </c>
      <c r="D1189">
        <v>1020</v>
      </c>
      <c r="E1189">
        <v>132</v>
      </c>
      <c r="F1189">
        <v>132</v>
      </c>
      <c r="G1189">
        <v>1020</v>
      </c>
    </row>
    <row r="1190" spans="1:7" ht="15" x14ac:dyDescent="0.25">
      <c r="A1190" t="s">
        <v>11517</v>
      </c>
      <c r="B1190">
        <v>1</v>
      </c>
      <c r="C1190">
        <v>429</v>
      </c>
      <c r="D1190">
        <v>429</v>
      </c>
      <c r="E1190">
        <v>13</v>
      </c>
      <c r="F1190">
        <v>13</v>
      </c>
      <c r="G1190">
        <v>429</v>
      </c>
    </row>
    <row r="1191" spans="1:7" ht="15" x14ac:dyDescent="0.25">
      <c r="A1191" t="s">
        <v>11523</v>
      </c>
      <c r="B1191">
        <v>1</v>
      </c>
      <c r="C1191">
        <v>205</v>
      </c>
      <c r="D1191">
        <v>205</v>
      </c>
      <c r="E1191">
        <v>36</v>
      </c>
      <c r="F1191">
        <v>36</v>
      </c>
      <c r="G1191">
        <v>205</v>
      </c>
    </row>
    <row r="1192" spans="1:7" ht="15" x14ac:dyDescent="0.25">
      <c r="A1192" t="s">
        <v>11533</v>
      </c>
      <c r="B1192">
        <v>1</v>
      </c>
      <c r="C1192">
        <v>3047</v>
      </c>
      <c r="D1192">
        <v>3047</v>
      </c>
      <c r="E1192">
        <v>36</v>
      </c>
      <c r="F1192">
        <v>36</v>
      </c>
      <c r="G1192">
        <v>3047</v>
      </c>
    </row>
    <row r="1193" spans="1:7" ht="15" x14ac:dyDescent="0.25">
      <c r="A1193" t="s">
        <v>11536</v>
      </c>
      <c r="B1193">
        <v>1</v>
      </c>
      <c r="C1193">
        <v>333</v>
      </c>
      <c r="D1193">
        <v>333</v>
      </c>
      <c r="E1193">
        <v>32</v>
      </c>
      <c r="F1193">
        <v>32</v>
      </c>
      <c r="G1193">
        <v>333</v>
      </c>
    </row>
    <row r="1194" spans="1:7" ht="15" x14ac:dyDescent="0.25">
      <c r="A1194" t="s">
        <v>11541</v>
      </c>
      <c r="B1194">
        <v>1</v>
      </c>
      <c r="C1194">
        <v>103</v>
      </c>
      <c r="D1194">
        <v>103</v>
      </c>
      <c r="E1194">
        <v>9</v>
      </c>
      <c r="F1194">
        <v>9</v>
      </c>
      <c r="G1194">
        <v>103</v>
      </c>
    </row>
    <row r="1195" spans="1:7" ht="15" x14ac:dyDescent="0.25">
      <c r="A1195" t="s">
        <v>11545</v>
      </c>
      <c r="B1195">
        <v>1</v>
      </c>
      <c r="C1195">
        <v>1242</v>
      </c>
      <c r="D1195">
        <v>1242</v>
      </c>
      <c r="E1195">
        <v>35</v>
      </c>
      <c r="F1195">
        <v>35</v>
      </c>
      <c r="G1195">
        <v>1242</v>
      </c>
    </row>
    <row r="1196" spans="1:7" ht="15" x14ac:dyDescent="0.25">
      <c r="A1196" t="s">
        <v>11552</v>
      </c>
      <c r="B1196">
        <v>1</v>
      </c>
      <c r="C1196">
        <v>293</v>
      </c>
      <c r="D1196">
        <v>293</v>
      </c>
      <c r="E1196">
        <v>41</v>
      </c>
      <c r="F1196">
        <v>41</v>
      </c>
      <c r="G1196">
        <v>293</v>
      </c>
    </row>
    <row r="1197" spans="1:7" ht="15" x14ac:dyDescent="0.25">
      <c r="A1197" t="s">
        <v>11559</v>
      </c>
      <c r="B1197">
        <v>1</v>
      </c>
      <c r="C1197">
        <v>2733</v>
      </c>
      <c r="D1197">
        <v>2733</v>
      </c>
      <c r="E1197">
        <v>88</v>
      </c>
      <c r="F1197">
        <v>88</v>
      </c>
      <c r="G1197">
        <v>2733</v>
      </c>
    </row>
    <row r="1198" spans="1:7" ht="15" x14ac:dyDescent="0.25">
      <c r="A1198" t="s">
        <v>11563</v>
      </c>
      <c r="B1198">
        <v>1</v>
      </c>
      <c r="C1198">
        <v>511</v>
      </c>
      <c r="D1198">
        <v>511</v>
      </c>
      <c r="E1198">
        <v>42</v>
      </c>
      <c r="F1198">
        <v>42</v>
      </c>
      <c r="G1198">
        <v>511</v>
      </c>
    </row>
    <row r="1199" spans="1:7" ht="15" x14ac:dyDescent="0.25">
      <c r="A1199" t="s">
        <v>11567</v>
      </c>
      <c r="B1199">
        <v>1</v>
      </c>
      <c r="C1199">
        <v>2093</v>
      </c>
      <c r="D1199">
        <v>2093</v>
      </c>
      <c r="E1199">
        <v>44</v>
      </c>
      <c r="F1199">
        <v>44</v>
      </c>
      <c r="G1199">
        <v>2093</v>
      </c>
    </row>
    <row r="1200" spans="1:7" ht="15" x14ac:dyDescent="0.25">
      <c r="A1200" t="s">
        <v>11574</v>
      </c>
      <c r="B1200">
        <v>1</v>
      </c>
      <c r="C1200">
        <v>61</v>
      </c>
      <c r="D1200">
        <v>61</v>
      </c>
      <c r="E1200">
        <v>5</v>
      </c>
      <c r="F1200">
        <v>5</v>
      </c>
      <c r="G1200">
        <v>61</v>
      </c>
    </row>
    <row r="1201" spans="1:7" ht="15" x14ac:dyDescent="0.25">
      <c r="A1201" t="s">
        <v>11583</v>
      </c>
      <c r="B1201">
        <v>1</v>
      </c>
      <c r="C1201">
        <v>1600</v>
      </c>
      <c r="D1201">
        <v>1600</v>
      </c>
      <c r="E1201">
        <v>80</v>
      </c>
      <c r="F1201">
        <v>80</v>
      </c>
      <c r="G1201">
        <v>1600</v>
      </c>
    </row>
    <row r="1202" spans="1:7" ht="15" x14ac:dyDescent="0.25">
      <c r="A1202" t="s">
        <v>11589</v>
      </c>
      <c r="B1202">
        <v>1</v>
      </c>
      <c r="C1202">
        <v>76</v>
      </c>
      <c r="D1202">
        <v>76</v>
      </c>
      <c r="E1202">
        <v>7</v>
      </c>
      <c r="F1202">
        <v>7</v>
      </c>
      <c r="G1202">
        <v>76</v>
      </c>
    </row>
    <row r="1203" spans="1:7" ht="15" x14ac:dyDescent="0.25">
      <c r="A1203" t="s">
        <v>11595</v>
      </c>
      <c r="B1203">
        <v>1</v>
      </c>
      <c r="C1203">
        <v>368</v>
      </c>
      <c r="D1203">
        <v>368</v>
      </c>
      <c r="E1203">
        <v>55</v>
      </c>
      <c r="F1203">
        <v>55</v>
      </c>
      <c r="G1203">
        <v>368</v>
      </c>
    </row>
    <row r="1204" spans="1:7" ht="15" x14ac:dyDescent="0.25">
      <c r="A1204" t="s">
        <v>11602</v>
      </c>
      <c r="B1204">
        <v>1</v>
      </c>
      <c r="C1204">
        <v>5042</v>
      </c>
      <c r="D1204">
        <v>5042</v>
      </c>
      <c r="E1204">
        <v>114</v>
      </c>
      <c r="F1204">
        <v>114</v>
      </c>
      <c r="G1204">
        <v>5042</v>
      </c>
    </row>
    <row r="1205" spans="1:7" ht="15" x14ac:dyDescent="0.25">
      <c r="A1205" t="s">
        <v>11607</v>
      </c>
      <c r="B1205">
        <v>2</v>
      </c>
      <c r="C1205">
        <v>363</v>
      </c>
      <c r="D1205">
        <v>363</v>
      </c>
      <c r="E1205">
        <v>49</v>
      </c>
      <c r="F1205">
        <v>24.5</v>
      </c>
      <c r="G1205">
        <v>363</v>
      </c>
    </row>
    <row r="1206" spans="1:7" ht="15" x14ac:dyDescent="0.25">
      <c r="A1206" t="s">
        <v>11616</v>
      </c>
      <c r="B1206">
        <v>1</v>
      </c>
      <c r="C1206">
        <v>321</v>
      </c>
      <c r="D1206">
        <v>321</v>
      </c>
      <c r="E1206">
        <v>16</v>
      </c>
      <c r="F1206">
        <v>16</v>
      </c>
      <c r="G1206">
        <v>321</v>
      </c>
    </row>
    <row r="1207" spans="1:7" ht="15" x14ac:dyDescent="0.25">
      <c r="A1207" t="s">
        <v>11623</v>
      </c>
      <c r="B1207">
        <v>1</v>
      </c>
      <c r="C1207">
        <v>62</v>
      </c>
      <c r="D1207">
        <v>62</v>
      </c>
      <c r="E1207">
        <v>11</v>
      </c>
      <c r="F1207">
        <v>11</v>
      </c>
      <c r="G1207">
        <v>62</v>
      </c>
    </row>
    <row r="1208" spans="1:7" ht="15" x14ac:dyDescent="0.25">
      <c r="A1208" t="s">
        <v>11628</v>
      </c>
      <c r="B1208">
        <v>1</v>
      </c>
      <c r="C1208">
        <v>771</v>
      </c>
      <c r="D1208">
        <v>771</v>
      </c>
      <c r="E1208">
        <v>46</v>
      </c>
      <c r="F1208">
        <v>46</v>
      </c>
      <c r="G1208">
        <v>771</v>
      </c>
    </row>
    <row r="1209" spans="1:7" ht="15" x14ac:dyDescent="0.25">
      <c r="A1209" t="s">
        <v>11637</v>
      </c>
      <c r="B1209">
        <v>4</v>
      </c>
      <c r="C1209">
        <v>604</v>
      </c>
      <c r="D1209">
        <v>2372</v>
      </c>
      <c r="E1209">
        <v>158</v>
      </c>
      <c r="F1209">
        <v>39.5</v>
      </c>
      <c r="G1209">
        <v>604</v>
      </c>
    </row>
    <row r="1210" spans="1:7" ht="15" x14ac:dyDescent="0.25">
      <c r="A1210" t="s">
        <v>11643</v>
      </c>
      <c r="B1210">
        <v>1</v>
      </c>
      <c r="C1210">
        <v>2931</v>
      </c>
      <c r="D1210">
        <v>2931</v>
      </c>
      <c r="E1210">
        <v>173</v>
      </c>
      <c r="F1210">
        <v>173</v>
      </c>
      <c r="G1210">
        <v>2931</v>
      </c>
    </row>
    <row r="1211" spans="1:7" ht="15" x14ac:dyDescent="0.25">
      <c r="A1211" t="s">
        <v>11660</v>
      </c>
      <c r="B1211">
        <v>1</v>
      </c>
      <c r="C1211">
        <v>314</v>
      </c>
      <c r="D1211">
        <v>314</v>
      </c>
      <c r="E1211">
        <v>90</v>
      </c>
      <c r="F1211">
        <v>90</v>
      </c>
      <c r="G1211">
        <v>314</v>
      </c>
    </row>
    <row r="1212" spans="1:7" ht="15" x14ac:dyDescent="0.25">
      <c r="A1212" t="s">
        <v>11677</v>
      </c>
      <c r="B1212">
        <v>1</v>
      </c>
      <c r="C1212">
        <v>713</v>
      </c>
      <c r="D1212">
        <v>713</v>
      </c>
      <c r="E1212">
        <v>157</v>
      </c>
      <c r="F1212">
        <v>157</v>
      </c>
      <c r="G1212">
        <v>713</v>
      </c>
    </row>
    <row r="1213" spans="1:7" ht="15" x14ac:dyDescent="0.25">
      <c r="A1213" t="s">
        <v>11683</v>
      </c>
      <c r="B1213">
        <v>1</v>
      </c>
      <c r="C1213">
        <v>1279</v>
      </c>
      <c r="D1213">
        <v>1279</v>
      </c>
      <c r="E1213">
        <v>160</v>
      </c>
      <c r="F1213">
        <v>160</v>
      </c>
      <c r="G1213">
        <v>1279</v>
      </c>
    </row>
    <row r="1214" spans="1:7" ht="15" x14ac:dyDescent="0.25">
      <c r="A1214" t="s">
        <v>11693</v>
      </c>
      <c r="B1214">
        <v>1</v>
      </c>
      <c r="C1214">
        <v>59</v>
      </c>
      <c r="D1214">
        <v>59</v>
      </c>
      <c r="E1214">
        <v>23</v>
      </c>
      <c r="F1214">
        <v>23</v>
      </c>
      <c r="G1214">
        <v>59</v>
      </c>
    </row>
    <row r="1215" spans="1:7" ht="15" x14ac:dyDescent="0.25">
      <c r="A1215" t="s">
        <v>11701</v>
      </c>
      <c r="B1215">
        <v>4</v>
      </c>
      <c r="C1215">
        <v>147</v>
      </c>
      <c r="D1215">
        <v>586</v>
      </c>
      <c r="E1215">
        <v>253</v>
      </c>
      <c r="F1215">
        <v>63.25</v>
      </c>
      <c r="G1215">
        <v>151</v>
      </c>
    </row>
    <row r="1216" spans="1:7" ht="15" x14ac:dyDescent="0.25">
      <c r="A1216" t="s">
        <v>11707</v>
      </c>
      <c r="B1216">
        <v>1</v>
      </c>
      <c r="C1216">
        <v>616</v>
      </c>
      <c r="D1216">
        <v>616</v>
      </c>
      <c r="E1216">
        <v>1</v>
      </c>
      <c r="F1216">
        <v>1</v>
      </c>
      <c r="G1216">
        <v>616</v>
      </c>
    </row>
    <row r="1217" spans="1:7" ht="15" x14ac:dyDescent="0.25">
      <c r="A1217" t="s">
        <v>11720</v>
      </c>
      <c r="B1217">
        <v>1</v>
      </c>
      <c r="C1217">
        <v>17604</v>
      </c>
      <c r="D1217">
        <v>17604</v>
      </c>
      <c r="E1217">
        <v>701</v>
      </c>
      <c r="F1217">
        <v>701</v>
      </c>
      <c r="G1217">
        <v>17604</v>
      </c>
    </row>
    <row r="1218" spans="1:7" ht="15" x14ac:dyDescent="0.25">
      <c r="A1218" t="s">
        <v>11727</v>
      </c>
      <c r="B1218">
        <v>3</v>
      </c>
      <c r="C1218">
        <v>1758</v>
      </c>
      <c r="D1218">
        <v>4822</v>
      </c>
      <c r="E1218">
        <v>799</v>
      </c>
      <c r="F1218">
        <v>266.33333333333331</v>
      </c>
      <c r="G1218">
        <v>1758</v>
      </c>
    </row>
    <row r="1219" spans="1:7" ht="15" x14ac:dyDescent="0.25">
      <c r="A1219" t="s">
        <v>11733</v>
      </c>
      <c r="B1219">
        <v>1</v>
      </c>
      <c r="C1219">
        <v>320</v>
      </c>
      <c r="D1219">
        <v>320</v>
      </c>
      <c r="E1219">
        <v>54</v>
      </c>
      <c r="F1219">
        <v>54</v>
      </c>
      <c r="G1219">
        <v>320</v>
      </c>
    </row>
    <row r="1220" spans="1:7" ht="15" x14ac:dyDescent="0.25">
      <c r="A1220" t="s">
        <v>11738</v>
      </c>
      <c r="B1220">
        <v>1</v>
      </c>
      <c r="C1220">
        <v>363</v>
      </c>
      <c r="D1220">
        <v>363</v>
      </c>
      <c r="E1220">
        <v>31</v>
      </c>
      <c r="F1220">
        <v>31</v>
      </c>
      <c r="G1220">
        <v>363</v>
      </c>
    </row>
    <row r="1221" spans="1:7" ht="15" x14ac:dyDescent="0.25">
      <c r="A1221" t="s">
        <v>11751</v>
      </c>
      <c r="B1221">
        <v>1</v>
      </c>
      <c r="C1221">
        <v>316</v>
      </c>
      <c r="D1221">
        <v>316</v>
      </c>
      <c r="E1221">
        <v>52</v>
      </c>
      <c r="F1221">
        <v>52</v>
      </c>
      <c r="G1221">
        <v>316</v>
      </c>
    </row>
    <row r="1222" spans="1:7" ht="15" x14ac:dyDescent="0.25">
      <c r="A1222" t="s">
        <v>11764</v>
      </c>
      <c r="B1222">
        <v>1</v>
      </c>
      <c r="C1222">
        <v>121</v>
      </c>
      <c r="D1222">
        <v>121</v>
      </c>
      <c r="E1222">
        <v>45</v>
      </c>
      <c r="F1222">
        <v>45</v>
      </c>
      <c r="G1222">
        <v>121</v>
      </c>
    </row>
    <row r="1223" spans="1:7" ht="15" x14ac:dyDescent="0.25">
      <c r="A1223" t="s">
        <v>11780</v>
      </c>
      <c r="B1223">
        <v>1</v>
      </c>
      <c r="C1223">
        <v>294</v>
      </c>
      <c r="D1223">
        <v>294</v>
      </c>
      <c r="E1223">
        <v>47</v>
      </c>
      <c r="F1223">
        <v>47</v>
      </c>
      <c r="G1223">
        <v>294</v>
      </c>
    </row>
    <row r="1224" spans="1:7" ht="15" x14ac:dyDescent="0.25">
      <c r="A1224" t="s">
        <v>11786</v>
      </c>
      <c r="B1224">
        <v>1</v>
      </c>
      <c r="C1224">
        <v>328</v>
      </c>
      <c r="D1224">
        <v>328</v>
      </c>
      <c r="E1224">
        <v>53</v>
      </c>
      <c r="F1224">
        <v>53</v>
      </c>
      <c r="G1224">
        <v>328</v>
      </c>
    </row>
    <row r="1225" spans="1:7" ht="15" x14ac:dyDescent="0.25">
      <c r="A1225" t="s">
        <v>11789</v>
      </c>
      <c r="B1225">
        <v>1</v>
      </c>
      <c r="C1225">
        <v>233</v>
      </c>
      <c r="D1225">
        <v>233</v>
      </c>
      <c r="E1225">
        <v>13</v>
      </c>
      <c r="F1225">
        <v>13</v>
      </c>
      <c r="G1225">
        <v>233</v>
      </c>
    </row>
    <row r="1226" spans="1:7" ht="15" x14ac:dyDescent="0.25">
      <c r="A1226" t="s">
        <v>11797</v>
      </c>
      <c r="B1226">
        <v>1</v>
      </c>
      <c r="C1226">
        <v>299</v>
      </c>
      <c r="D1226">
        <v>299</v>
      </c>
      <c r="E1226">
        <v>83</v>
      </c>
      <c r="F1226">
        <v>83</v>
      </c>
      <c r="G1226">
        <v>299</v>
      </c>
    </row>
    <row r="1227" spans="1:7" ht="15" x14ac:dyDescent="0.25">
      <c r="A1227" t="s">
        <v>11815</v>
      </c>
      <c r="B1227">
        <v>1</v>
      </c>
      <c r="D1227">
        <v>0</v>
      </c>
      <c r="E1227">
        <v>7</v>
      </c>
      <c r="F1227">
        <v>7</v>
      </c>
    </row>
    <row r="1228" spans="1:7" ht="15" x14ac:dyDescent="0.25">
      <c r="A1228" t="s">
        <v>11828</v>
      </c>
      <c r="B1228">
        <v>2</v>
      </c>
      <c r="C1228">
        <v>52566</v>
      </c>
      <c r="D1228">
        <v>103669</v>
      </c>
      <c r="E1228">
        <v>3405</v>
      </c>
      <c r="F1228">
        <v>1702.5</v>
      </c>
      <c r="G1228">
        <v>52566</v>
      </c>
    </row>
    <row r="1229" spans="1:7" ht="15" x14ac:dyDescent="0.25">
      <c r="A1229" t="s">
        <v>11835</v>
      </c>
      <c r="B1229">
        <v>1</v>
      </c>
      <c r="C1229">
        <v>147</v>
      </c>
      <c r="D1229">
        <v>147</v>
      </c>
      <c r="E1229">
        <v>38</v>
      </c>
      <c r="F1229">
        <v>38</v>
      </c>
      <c r="G1229">
        <v>147</v>
      </c>
    </row>
    <row r="1230" spans="1:7" ht="15" x14ac:dyDescent="0.25">
      <c r="A1230" t="s">
        <v>11842</v>
      </c>
      <c r="B1230">
        <v>1</v>
      </c>
      <c r="C1230">
        <v>223</v>
      </c>
      <c r="D1230">
        <v>223</v>
      </c>
      <c r="E1230">
        <v>1</v>
      </c>
      <c r="F1230">
        <v>1</v>
      </c>
      <c r="G1230">
        <v>223</v>
      </c>
    </row>
    <row r="1231" spans="1:7" ht="15" x14ac:dyDescent="0.25">
      <c r="A1231" t="s">
        <v>11849</v>
      </c>
      <c r="B1231">
        <v>1</v>
      </c>
      <c r="C1231">
        <v>257</v>
      </c>
      <c r="D1231">
        <v>257</v>
      </c>
      <c r="E1231">
        <v>28</v>
      </c>
      <c r="F1231">
        <v>28</v>
      </c>
      <c r="G1231">
        <v>257</v>
      </c>
    </row>
    <row r="1232" spans="1:7" ht="15" x14ac:dyDescent="0.25">
      <c r="A1232" t="s">
        <v>11855</v>
      </c>
      <c r="B1232">
        <v>2</v>
      </c>
      <c r="C1232">
        <v>12866</v>
      </c>
      <c r="D1232">
        <v>25761</v>
      </c>
      <c r="E1232">
        <v>1866</v>
      </c>
      <c r="F1232">
        <v>933</v>
      </c>
      <c r="G1232">
        <v>12895</v>
      </c>
    </row>
    <row r="1233" spans="1:7" ht="15" x14ac:dyDescent="0.25">
      <c r="A1233" t="s">
        <v>11862</v>
      </c>
      <c r="B1233">
        <v>1</v>
      </c>
      <c r="D1233">
        <v>0</v>
      </c>
      <c r="E1233">
        <v>11</v>
      </c>
      <c r="F1233">
        <v>11</v>
      </c>
    </row>
    <row r="1234" spans="1:7" ht="15" x14ac:dyDescent="0.25">
      <c r="A1234" t="s">
        <v>11868</v>
      </c>
      <c r="B1234">
        <v>1</v>
      </c>
      <c r="C1234">
        <v>192</v>
      </c>
      <c r="D1234">
        <v>192</v>
      </c>
      <c r="E1234">
        <v>10</v>
      </c>
      <c r="F1234">
        <v>10</v>
      </c>
      <c r="G1234">
        <v>192</v>
      </c>
    </row>
    <row r="1235" spans="1:7" ht="15" x14ac:dyDescent="0.25">
      <c r="A1235" t="s">
        <v>11873</v>
      </c>
      <c r="B1235">
        <v>1</v>
      </c>
      <c r="C1235">
        <v>247</v>
      </c>
      <c r="D1235">
        <v>247</v>
      </c>
      <c r="E1235">
        <v>13</v>
      </c>
      <c r="F1235">
        <v>13</v>
      </c>
      <c r="G1235">
        <v>247</v>
      </c>
    </row>
    <row r="1236" spans="1:7" ht="15" x14ac:dyDescent="0.25">
      <c r="A1236" t="s">
        <v>11877</v>
      </c>
      <c r="B1236">
        <v>1</v>
      </c>
      <c r="C1236">
        <v>598</v>
      </c>
      <c r="D1236">
        <v>598</v>
      </c>
      <c r="E1236">
        <v>23</v>
      </c>
      <c r="F1236">
        <v>23</v>
      </c>
      <c r="G1236">
        <v>598</v>
      </c>
    </row>
    <row r="1237" spans="1:7" ht="15" x14ac:dyDescent="0.25">
      <c r="A1237" t="s">
        <v>11882</v>
      </c>
      <c r="B1237">
        <v>1</v>
      </c>
      <c r="C1237">
        <v>176</v>
      </c>
      <c r="D1237">
        <v>176</v>
      </c>
      <c r="E1237">
        <v>5</v>
      </c>
      <c r="F1237">
        <v>5</v>
      </c>
      <c r="G1237">
        <v>176</v>
      </c>
    </row>
    <row r="1238" spans="1:7" ht="15" x14ac:dyDescent="0.25">
      <c r="A1238" t="s">
        <v>11885</v>
      </c>
      <c r="B1238">
        <v>1</v>
      </c>
      <c r="C1238">
        <v>1233</v>
      </c>
      <c r="D1238">
        <v>1233</v>
      </c>
      <c r="E1238">
        <v>6</v>
      </c>
      <c r="F1238">
        <v>6</v>
      </c>
      <c r="G1238">
        <v>1233</v>
      </c>
    </row>
    <row r="1239" spans="1:7" ht="15" x14ac:dyDescent="0.25">
      <c r="A1239" t="s">
        <v>11888</v>
      </c>
      <c r="B1239">
        <v>1</v>
      </c>
      <c r="C1239">
        <v>689</v>
      </c>
      <c r="D1239">
        <v>689</v>
      </c>
      <c r="E1239">
        <v>39</v>
      </c>
      <c r="F1239">
        <v>39</v>
      </c>
      <c r="G1239">
        <v>689</v>
      </c>
    </row>
    <row r="1240" spans="1:7" ht="15" x14ac:dyDescent="0.25">
      <c r="A1240" t="s">
        <v>11894</v>
      </c>
      <c r="B1240">
        <v>1</v>
      </c>
      <c r="C1240">
        <v>541</v>
      </c>
      <c r="D1240">
        <v>541</v>
      </c>
      <c r="E1240">
        <v>56</v>
      </c>
      <c r="F1240">
        <v>56</v>
      </c>
      <c r="G1240">
        <v>541</v>
      </c>
    </row>
    <row r="1241" spans="1:7" ht="15" x14ac:dyDescent="0.25">
      <c r="A1241" t="s">
        <v>11900</v>
      </c>
      <c r="B1241">
        <v>3</v>
      </c>
      <c r="C1241">
        <v>167</v>
      </c>
      <c r="D1241">
        <v>501</v>
      </c>
      <c r="E1241">
        <v>102</v>
      </c>
      <c r="F1241">
        <v>34</v>
      </c>
      <c r="G1241">
        <v>167</v>
      </c>
    </row>
    <row r="1242" spans="1:7" ht="15" x14ac:dyDescent="0.25">
      <c r="A1242" t="s">
        <v>11912</v>
      </c>
      <c r="B1242">
        <v>1</v>
      </c>
      <c r="C1242">
        <v>23</v>
      </c>
      <c r="D1242">
        <v>23</v>
      </c>
      <c r="E1242">
        <v>13</v>
      </c>
      <c r="F1242">
        <v>13</v>
      </c>
      <c r="G1242">
        <v>23</v>
      </c>
    </row>
    <row r="1243" spans="1:7" ht="15" x14ac:dyDescent="0.25">
      <c r="A1243" t="s">
        <v>11918</v>
      </c>
      <c r="B1243">
        <v>1</v>
      </c>
      <c r="C1243">
        <v>510</v>
      </c>
      <c r="D1243">
        <v>510</v>
      </c>
      <c r="E1243">
        <v>38</v>
      </c>
      <c r="F1243">
        <v>38</v>
      </c>
      <c r="G1243">
        <v>510</v>
      </c>
    </row>
    <row r="1244" spans="1:7" ht="15" x14ac:dyDescent="0.25">
      <c r="A1244" t="s">
        <v>11925</v>
      </c>
      <c r="B1244">
        <v>1</v>
      </c>
      <c r="C1244">
        <v>414</v>
      </c>
      <c r="D1244">
        <v>414</v>
      </c>
      <c r="E1244">
        <v>41</v>
      </c>
      <c r="F1244">
        <v>41</v>
      </c>
      <c r="G1244">
        <v>414</v>
      </c>
    </row>
    <row r="1245" spans="1:7" ht="15" x14ac:dyDescent="0.25">
      <c r="A1245" t="s">
        <v>11931</v>
      </c>
      <c r="B1245">
        <v>1</v>
      </c>
      <c r="C1245">
        <v>20</v>
      </c>
      <c r="D1245">
        <v>20</v>
      </c>
      <c r="E1245">
        <v>18</v>
      </c>
      <c r="F1245">
        <v>18</v>
      </c>
      <c r="G1245">
        <v>20</v>
      </c>
    </row>
    <row r="1246" spans="1:7" ht="15" x14ac:dyDescent="0.25">
      <c r="A1246" t="s">
        <v>11966</v>
      </c>
      <c r="B1246">
        <v>1</v>
      </c>
      <c r="C1246">
        <v>237</v>
      </c>
      <c r="D1246">
        <v>237</v>
      </c>
      <c r="E1246">
        <v>34</v>
      </c>
      <c r="F1246">
        <v>34</v>
      </c>
      <c r="G1246">
        <v>237</v>
      </c>
    </row>
    <row r="1247" spans="1:7" ht="15" x14ac:dyDescent="0.25">
      <c r="A1247" t="s">
        <v>11971</v>
      </c>
      <c r="B1247">
        <v>1</v>
      </c>
      <c r="C1247">
        <v>2615</v>
      </c>
      <c r="D1247">
        <v>2615</v>
      </c>
      <c r="E1247">
        <v>114</v>
      </c>
      <c r="F1247">
        <v>114</v>
      </c>
      <c r="G1247">
        <v>2615</v>
      </c>
    </row>
    <row r="1248" spans="1:7" ht="15" x14ac:dyDescent="0.25">
      <c r="A1248" t="s">
        <v>11978</v>
      </c>
      <c r="B1248">
        <v>5</v>
      </c>
      <c r="C1248">
        <v>151752</v>
      </c>
      <c r="D1248">
        <v>755270</v>
      </c>
      <c r="E1248">
        <v>10055</v>
      </c>
      <c r="F1248">
        <v>2011</v>
      </c>
      <c r="G1248">
        <v>151752</v>
      </c>
    </row>
    <row r="1249" spans="1:7" ht="15" x14ac:dyDescent="0.25">
      <c r="A1249" t="s">
        <v>11981</v>
      </c>
      <c r="B1249">
        <v>1</v>
      </c>
      <c r="C1249">
        <v>284</v>
      </c>
      <c r="D1249">
        <v>284</v>
      </c>
      <c r="E1249">
        <v>46</v>
      </c>
      <c r="F1249">
        <v>46</v>
      </c>
      <c r="G1249">
        <v>284</v>
      </c>
    </row>
    <row r="1250" spans="1:7" ht="15" x14ac:dyDescent="0.25">
      <c r="A1250" t="s">
        <v>11989</v>
      </c>
      <c r="B1250">
        <v>1</v>
      </c>
      <c r="C1250">
        <v>386</v>
      </c>
      <c r="D1250">
        <v>386</v>
      </c>
      <c r="E1250">
        <v>21</v>
      </c>
      <c r="F1250">
        <v>21</v>
      </c>
      <c r="G1250">
        <v>386</v>
      </c>
    </row>
    <row r="1251" spans="1:7" ht="15" x14ac:dyDescent="0.25">
      <c r="A1251" t="s">
        <v>11995</v>
      </c>
      <c r="B1251">
        <v>1</v>
      </c>
      <c r="C1251">
        <v>250</v>
      </c>
      <c r="D1251">
        <v>250</v>
      </c>
      <c r="E1251">
        <v>73</v>
      </c>
      <c r="F1251">
        <v>73</v>
      </c>
      <c r="G1251">
        <v>250</v>
      </c>
    </row>
    <row r="1252" spans="1:7" ht="15" x14ac:dyDescent="0.25">
      <c r="A1252" t="s">
        <v>11999</v>
      </c>
      <c r="B1252">
        <v>1</v>
      </c>
      <c r="C1252">
        <v>328</v>
      </c>
      <c r="D1252">
        <v>328</v>
      </c>
      <c r="E1252">
        <v>10</v>
      </c>
      <c r="F1252">
        <v>10</v>
      </c>
      <c r="G1252">
        <v>328</v>
      </c>
    </row>
    <row r="1253" spans="1:7" ht="15" x14ac:dyDescent="0.25">
      <c r="A1253" t="s">
        <v>12005</v>
      </c>
      <c r="B1253">
        <v>1</v>
      </c>
      <c r="C1253">
        <v>247</v>
      </c>
      <c r="D1253">
        <v>247</v>
      </c>
      <c r="E1253">
        <v>47</v>
      </c>
      <c r="F1253">
        <v>47</v>
      </c>
      <c r="G1253">
        <v>247</v>
      </c>
    </row>
    <row r="1254" spans="1:7" ht="15" x14ac:dyDescent="0.25">
      <c r="A1254" t="s">
        <v>12010</v>
      </c>
      <c r="B1254">
        <v>1</v>
      </c>
      <c r="C1254">
        <v>605</v>
      </c>
      <c r="D1254">
        <v>605</v>
      </c>
      <c r="E1254">
        <v>42</v>
      </c>
      <c r="F1254">
        <v>42</v>
      </c>
      <c r="G1254">
        <v>605</v>
      </c>
    </row>
    <row r="1255" spans="1:7" ht="15" x14ac:dyDescent="0.25">
      <c r="A1255" t="s">
        <v>12015</v>
      </c>
      <c r="B1255">
        <v>1</v>
      </c>
      <c r="D1255">
        <v>0</v>
      </c>
      <c r="E1255">
        <v>6</v>
      </c>
      <c r="F1255">
        <v>6</v>
      </c>
    </row>
    <row r="1256" spans="1:7" ht="15" x14ac:dyDescent="0.25">
      <c r="A1256" t="s">
        <v>12019</v>
      </c>
      <c r="B1256">
        <v>2</v>
      </c>
      <c r="C1256">
        <v>291</v>
      </c>
      <c r="D1256">
        <v>582</v>
      </c>
      <c r="E1256">
        <v>50</v>
      </c>
      <c r="F1256">
        <v>25</v>
      </c>
      <c r="G1256">
        <v>291</v>
      </c>
    </row>
    <row r="1257" spans="1:7" ht="15" x14ac:dyDescent="0.25">
      <c r="A1257" t="s">
        <v>12024</v>
      </c>
      <c r="B1257">
        <v>1</v>
      </c>
      <c r="C1257">
        <v>92</v>
      </c>
      <c r="D1257">
        <v>92</v>
      </c>
      <c r="E1257">
        <v>34</v>
      </c>
      <c r="F1257">
        <v>34</v>
      </c>
      <c r="G1257">
        <v>92</v>
      </c>
    </row>
    <row r="1258" spans="1:7" ht="15" x14ac:dyDescent="0.25">
      <c r="A1258" t="s">
        <v>12029</v>
      </c>
      <c r="B1258">
        <v>1</v>
      </c>
      <c r="C1258">
        <v>358</v>
      </c>
      <c r="D1258">
        <v>358</v>
      </c>
      <c r="E1258">
        <v>7</v>
      </c>
      <c r="F1258">
        <v>7</v>
      </c>
      <c r="G1258">
        <v>358</v>
      </c>
    </row>
    <row r="1259" spans="1:7" ht="15" x14ac:dyDescent="0.25">
      <c r="A1259" t="s">
        <v>12038</v>
      </c>
      <c r="B1259">
        <v>3</v>
      </c>
      <c r="C1259">
        <v>280</v>
      </c>
      <c r="D1259">
        <v>841</v>
      </c>
      <c r="E1259">
        <v>33</v>
      </c>
      <c r="F1259">
        <v>11</v>
      </c>
      <c r="G1259">
        <v>283</v>
      </c>
    </row>
    <row r="1260" spans="1:7" ht="15" x14ac:dyDescent="0.25">
      <c r="A1260" t="s">
        <v>12054</v>
      </c>
      <c r="B1260">
        <v>1</v>
      </c>
      <c r="C1260">
        <v>509</v>
      </c>
      <c r="D1260">
        <v>509</v>
      </c>
      <c r="E1260">
        <v>70</v>
      </c>
      <c r="F1260">
        <v>70</v>
      </c>
      <c r="G1260">
        <v>509</v>
      </c>
    </row>
    <row r="1261" spans="1:7" ht="15" x14ac:dyDescent="0.25">
      <c r="A1261" t="s">
        <v>12065</v>
      </c>
      <c r="B1261">
        <v>1</v>
      </c>
      <c r="C1261">
        <v>786</v>
      </c>
      <c r="D1261">
        <v>786</v>
      </c>
      <c r="E1261">
        <v>31</v>
      </c>
      <c r="F1261">
        <v>31</v>
      </c>
      <c r="G1261">
        <v>786</v>
      </c>
    </row>
    <row r="1262" spans="1:7" ht="15" x14ac:dyDescent="0.25">
      <c r="A1262" t="s">
        <v>12072</v>
      </c>
      <c r="B1262">
        <v>1</v>
      </c>
      <c r="C1262">
        <v>179</v>
      </c>
      <c r="D1262">
        <v>179</v>
      </c>
      <c r="E1262">
        <v>64</v>
      </c>
      <c r="F1262">
        <v>64</v>
      </c>
      <c r="G1262">
        <v>179</v>
      </c>
    </row>
    <row r="1263" spans="1:7" ht="15" x14ac:dyDescent="0.25">
      <c r="A1263" t="s">
        <v>12082</v>
      </c>
      <c r="B1263">
        <v>1</v>
      </c>
      <c r="C1263">
        <v>164</v>
      </c>
      <c r="D1263">
        <v>164</v>
      </c>
      <c r="E1263">
        <v>33</v>
      </c>
      <c r="F1263">
        <v>33</v>
      </c>
      <c r="G1263">
        <v>164</v>
      </c>
    </row>
    <row r="1264" spans="1:7" ht="15" x14ac:dyDescent="0.25">
      <c r="A1264" t="s">
        <v>12087</v>
      </c>
      <c r="B1264">
        <v>1</v>
      </c>
      <c r="C1264">
        <v>393</v>
      </c>
      <c r="D1264">
        <v>393</v>
      </c>
      <c r="E1264">
        <v>142</v>
      </c>
      <c r="F1264">
        <v>142</v>
      </c>
      <c r="G1264">
        <v>393</v>
      </c>
    </row>
    <row r="1265" spans="1:7" ht="15" x14ac:dyDescent="0.25">
      <c r="A1265" t="s">
        <v>12102</v>
      </c>
      <c r="B1265">
        <v>1</v>
      </c>
      <c r="C1265">
        <v>125</v>
      </c>
      <c r="D1265">
        <v>125</v>
      </c>
      <c r="E1265">
        <v>39</v>
      </c>
      <c r="F1265">
        <v>39</v>
      </c>
      <c r="G1265">
        <v>125</v>
      </c>
    </row>
    <row r="1266" spans="1:7" ht="15" x14ac:dyDescent="0.25">
      <c r="A1266" t="s">
        <v>12119</v>
      </c>
      <c r="B1266">
        <v>1</v>
      </c>
      <c r="C1266">
        <v>77</v>
      </c>
      <c r="D1266">
        <v>77</v>
      </c>
      <c r="E1266">
        <v>32</v>
      </c>
      <c r="F1266">
        <v>32</v>
      </c>
      <c r="G1266">
        <v>77</v>
      </c>
    </row>
    <row r="1267" spans="1:7" ht="15" x14ac:dyDescent="0.25">
      <c r="A1267" t="s">
        <v>12124</v>
      </c>
      <c r="B1267">
        <v>1</v>
      </c>
      <c r="C1267">
        <v>1793</v>
      </c>
      <c r="D1267">
        <v>1793</v>
      </c>
      <c r="E1267">
        <v>199</v>
      </c>
      <c r="F1267">
        <v>199</v>
      </c>
      <c r="G1267">
        <v>1793</v>
      </c>
    </row>
    <row r="1268" spans="1:7" ht="15" x14ac:dyDescent="0.25">
      <c r="A1268" t="s">
        <v>12130</v>
      </c>
      <c r="B1268">
        <v>1</v>
      </c>
      <c r="C1268">
        <v>431</v>
      </c>
      <c r="D1268">
        <v>431</v>
      </c>
      <c r="E1268">
        <v>43</v>
      </c>
      <c r="F1268">
        <v>43</v>
      </c>
      <c r="G1268">
        <v>431</v>
      </c>
    </row>
    <row r="1269" spans="1:7" ht="15" x14ac:dyDescent="0.25">
      <c r="A1269" t="s">
        <v>12137</v>
      </c>
      <c r="B1269">
        <v>1</v>
      </c>
      <c r="C1269">
        <v>564</v>
      </c>
      <c r="D1269">
        <v>564</v>
      </c>
      <c r="E1269">
        <v>35</v>
      </c>
      <c r="F1269">
        <v>35</v>
      </c>
      <c r="G1269">
        <v>564</v>
      </c>
    </row>
    <row r="1270" spans="1:7" ht="15" x14ac:dyDescent="0.25">
      <c r="A1270" t="s">
        <v>12145</v>
      </c>
      <c r="B1270">
        <v>1</v>
      </c>
      <c r="C1270">
        <v>473</v>
      </c>
      <c r="D1270">
        <v>473</v>
      </c>
      <c r="E1270">
        <v>97</v>
      </c>
      <c r="F1270">
        <v>97</v>
      </c>
      <c r="G1270">
        <v>473</v>
      </c>
    </row>
    <row r="1271" spans="1:7" ht="15" x14ac:dyDescent="0.25">
      <c r="A1271" t="s">
        <v>12159</v>
      </c>
      <c r="B1271">
        <v>1</v>
      </c>
      <c r="C1271">
        <v>309</v>
      </c>
      <c r="D1271">
        <v>309</v>
      </c>
      <c r="E1271">
        <v>47</v>
      </c>
      <c r="F1271">
        <v>47</v>
      </c>
      <c r="G1271">
        <v>309</v>
      </c>
    </row>
    <row r="1272" spans="1:7" ht="15" x14ac:dyDescent="0.25">
      <c r="A1272" t="s">
        <v>12163</v>
      </c>
      <c r="B1272">
        <v>1</v>
      </c>
      <c r="C1272">
        <v>103</v>
      </c>
      <c r="D1272">
        <v>103</v>
      </c>
      <c r="E1272">
        <v>21</v>
      </c>
      <c r="F1272">
        <v>21</v>
      </c>
      <c r="G1272">
        <v>103</v>
      </c>
    </row>
    <row r="1273" spans="1:7" ht="15" x14ac:dyDescent="0.25">
      <c r="A1273" t="s">
        <v>12176</v>
      </c>
      <c r="B1273">
        <v>1</v>
      </c>
      <c r="C1273">
        <v>424</v>
      </c>
      <c r="D1273">
        <v>424</v>
      </c>
      <c r="E1273">
        <v>57</v>
      </c>
      <c r="F1273">
        <v>57</v>
      </c>
      <c r="G1273">
        <v>424</v>
      </c>
    </row>
    <row r="1274" spans="1:7" ht="15" x14ac:dyDescent="0.25">
      <c r="A1274" t="s">
        <v>12180</v>
      </c>
      <c r="B1274">
        <v>1</v>
      </c>
      <c r="C1274">
        <v>274</v>
      </c>
      <c r="D1274">
        <v>274</v>
      </c>
      <c r="E1274">
        <v>15</v>
      </c>
      <c r="F1274">
        <v>15</v>
      </c>
      <c r="G1274">
        <v>274</v>
      </c>
    </row>
    <row r="1275" spans="1:7" ht="15" x14ac:dyDescent="0.25">
      <c r="A1275" t="s">
        <v>12187</v>
      </c>
      <c r="B1275">
        <v>1</v>
      </c>
      <c r="C1275">
        <v>330</v>
      </c>
      <c r="D1275">
        <v>330</v>
      </c>
      <c r="E1275">
        <v>11</v>
      </c>
      <c r="F1275">
        <v>11</v>
      </c>
      <c r="G1275">
        <v>330</v>
      </c>
    </row>
    <row r="1276" spans="1:7" ht="15" x14ac:dyDescent="0.25">
      <c r="A1276" t="s">
        <v>12196</v>
      </c>
      <c r="B1276">
        <v>1</v>
      </c>
      <c r="C1276">
        <v>53</v>
      </c>
      <c r="D1276">
        <v>53</v>
      </c>
      <c r="E1276">
        <v>108</v>
      </c>
      <c r="F1276">
        <v>108</v>
      </c>
      <c r="G1276">
        <v>53</v>
      </c>
    </row>
    <row r="1277" spans="1:7" ht="15" x14ac:dyDescent="0.25">
      <c r="A1277" t="s">
        <v>12201</v>
      </c>
      <c r="B1277">
        <v>1</v>
      </c>
      <c r="C1277">
        <v>2340</v>
      </c>
      <c r="D1277">
        <v>2340</v>
      </c>
      <c r="E1277">
        <v>290</v>
      </c>
      <c r="F1277">
        <v>290</v>
      </c>
      <c r="G1277">
        <v>2340</v>
      </c>
    </row>
    <row r="1278" spans="1:7" ht="15" x14ac:dyDescent="0.25">
      <c r="A1278" t="s">
        <v>12206</v>
      </c>
      <c r="B1278">
        <v>1</v>
      </c>
      <c r="C1278">
        <v>12135</v>
      </c>
      <c r="D1278">
        <v>12135</v>
      </c>
      <c r="E1278">
        <v>50</v>
      </c>
      <c r="F1278">
        <v>50</v>
      </c>
      <c r="G1278">
        <v>12135</v>
      </c>
    </row>
    <row r="1279" spans="1:7" ht="15" x14ac:dyDescent="0.25">
      <c r="A1279" t="s">
        <v>12210</v>
      </c>
      <c r="B1279">
        <v>1</v>
      </c>
      <c r="C1279">
        <v>165</v>
      </c>
      <c r="D1279">
        <v>165</v>
      </c>
      <c r="E1279">
        <v>14</v>
      </c>
      <c r="F1279">
        <v>14</v>
      </c>
      <c r="G1279">
        <v>165</v>
      </c>
    </row>
    <row r="1280" spans="1:7" ht="15" x14ac:dyDescent="0.25">
      <c r="A1280" t="s">
        <v>12215</v>
      </c>
      <c r="B1280">
        <v>1</v>
      </c>
      <c r="C1280">
        <v>739</v>
      </c>
      <c r="D1280">
        <v>739</v>
      </c>
      <c r="E1280">
        <v>60</v>
      </c>
      <c r="F1280">
        <v>60</v>
      </c>
      <c r="G1280">
        <v>739</v>
      </c>
    </row>
    <row r="1281" spans="1:7" ht="15" x14ac:dyDescent="0.25">
      <c r="A1281" t="s">
        <v>12221</v>
      </c>
      <c r="B1281">
        <v>1</v>
      </c>
      <c r="C1281">
        <v>327</v>
      </c>
      <c r="D1281">
        <v>327</v>
      </c>
      <c r="E1281">
        <v>67</v>
      </c>
      <c r="F1281">
        <v>67</v>
      </c>
      <c r="G1281">
        <v>327</v>
      </c>
    </row>
    <row r="1282" spans="1:7" ht="15" x14ac:dyDescent="0.25">
      <c r="A1282" t="s">
        <v>12225</v>
      </c>
      <c r="B1282">
        <v>1</v>
      </c>
      <c r="C1282">
        <v>480</v>
      </c>
      <c r="D1282">
        <v>480</v>
      </c>
      <c r="E1282">
        <v>35</v>
      </c>
      <c r="F1282">
        <v>35</v>
      </c>
      <c r="G1282">
        <v>480</v>
      </c>
    </row>
    <row r="1283" spans="1:7" ht="15" x14ac:dyDescent="0.25">
      <c r="A1283" t="s">
        <v>12232</v>
      </c>
      <c r="B1283">
        <v>1</v>
      </c>
      <c r="C1283">
        <v>690</v>
      </c>
      <c r="D1283">
        <v>690</v>
      </c>
      <c r="E1283">
        <v>48</v>
      </c>
      <c r="F1283">
        <v>48</v>
      </c>
      <c r="G1283">
        <v>690</v>
      </c>
    </row>
    <row r="1284" spans="1:7" ht="15" x14ac:dyDescent="0.25">
      <c r="A1284" t="s">
        <v>12236</v>
      </c>
      <c r="B1284">
        <v>1</v>
      </c>
      <c r="C1284">
        <v>343</v>
      </c>
      <c r="D1284">
        <v>343</v>
      </c>
      <c r="E1284">
        <v>59</v>
      </c>
      <c r="F1284">
        <v>59</v>
      </c>
      <c r="G1284">
        <v>343</v>
      </c>
    </row>
    <row r="1285" spans="1:7" ht="15" x14ac:dyDescent="0.25">
      <c r="A1285" t="s">
        <v>12241</v>
      </c>
      <c r="B1285">
        <v>1</v>
      </c>
      <c r="C1285">
        <v>790</v>
      </c>
      <c r="D1285">
        <v>790</v>
      </c>
      <c r="E1285">
        <v>62</v>
      </c>
      <c r="F1285">
        <v>62</v>
      </c>
      <c r="G1285">
        <v>790</v>
      </c>
    </row>
    <row r="1286" spans="1:7" ht="15" x14ac:dyDescent="0.25">
      <c r="A1286" t="s">
        <v>12247</v>
      </c>
      <c r="B1286">
        <v>1</v>
      </c>
      <c r="C1286">
        <v>1059</v>
      </c>
      <c r="D1286">
        <v>1059</v>
      </c>
      <c r="E1286">
        <v>29</v>
      </c>
      <c r="F1286">
        <v>29</v>
      </c>
      <c r="G1286">
        <v>1059</v>
      </c>
    </row>
    <row r="1287" spans="1:7" ht="15" x14ac:dyDescent="0.25">
      <c r="A1287" t="s">
        <v>12254</v>
      </c>
      <c r="B1287">
        <v>1</v>
      </c>
      <c r="C1287">
        <v>96</v>
      </c>
      <c r="D1287">
        <v>96</v>
      </c>
      <c r="E1287">
        <v>8</v>
      </c>
      <c r="F1287">
        <v>8</v>
      </c>
      <c r="G1287">
        <v>96</v>
      </c>
    </row>
    <row r="1288" spans="1:7" ht="15" x14ac:dyDescent="0.25">
      <c r="A1288" t="s">
        <v>12262</v>
      </c>
      <c r="B1288">
        <v>1</v>
      </c>
      <c r="C1288">
        <v>49</v>
      </c>
      <c r="D1288">
        <v>49</v>
      </c>
      <c r="E1288">
        <v>56</v>
      </c>
      <c r="F1288">
        <v>56</v>
      </c>
      <c r="G1288">
        <v>49</v>
      </c>
    </row>
    <row r="1289" spans="1:7" ht="15" x14ac:dyDescent="0.25">
      <c r="A1289" t="s">
        <v>12271</v>
      </c>
      <c r="B1289">
        <v>2</v>
      </c>
      <c r="C1289">
        <v>264</v>
      </c>
      <c r="D1289">
        <v>528</v>
      </c>
      <c r="E1289">
        <v>85</v>
      </c>
      <c r="F1289">
        <v>42.5</v>
      </c>
      <c r="G1289">
        <v>264</v>
      </c>
    </row>
    <row r="1290" spans="1:7" ht="15" x14ac:dyDescent="0.25">
      <c r="A1290" t="s">
        <v>12277</v>
      </c>
      <c r="B1290">
        <v>1</v>
      </c>
      <c r="C1290">
        <v>610</v>
      </c>
      <c r="D1290">
        <v>610</v>
      </c>
      <c r="E1290">
        <v>98</v>
      </c>
      <c r="F1290">
        <v>98</v>
      </c>
      <c r="G1290">
        <v>610</v>
      </c>
    </row>
    <row r="1291" spans="1:7" ht="15" x14ac:dyDescent="0.25">
      <c r="A1291" t="s">
        <v>12284</v>
      </c>
      <c r="B1291">
        <v>1</v>
      </c>
      <c r="C1291">
        <v>692</v>
      </c>
      <c r="D1291">
        <v>692</v>
      </c>
      <c r="E1291">
        <v>30</v>
      </c>
      <c r="F1291">
        <v>30</v>
      </c>
      <c r="G1291">
        <v>692</v>
      </c>
    </row>
    <row r="1292" spans="1:7" ht="15" x14ac:dyDescent="0.25">
      <c r="A1292" t="s">
        <v>12291</v>
      </c>
      <c r="B1292">
        <v>1</v>
      </c>
      <c r="C1292">
        <v>140</v>
      </c>
      <c r="D1292">
        <v>140</v>
      </c>
      <c r="E1292">
        <v>18</v>
      </c>
      <c r="F1292">
        <v>18</v>
      </c>
      <c r="G1292">
        <v>140</v>
      </c>
    </row>
    <row r="1293" spans="1:7" ht="15" x14ac:dyDescent="0.25">
      <c r="A1293" t="s">
        <v>12296</v>
      </c>
      <c r="B1293">
        <v>1</v>
      </c>
      <c r="C1293">
        <v>106</v>
      </c>
      <c r="D1293">
        <v>106</v>
      </c>
      <c r="E1293">
        <v>17</v>
      </c>
      <c r="F1293">
        <v>17</v>
      </c>
      <c r="G1293">
        <v>106</v>
      </c>
    </row>
    <row r="1294" spans="1:7" ht="15" x14ac:dyDescent="0.25">
      <c r="A1294" t="s">
        <v>12304</v>
      </c>
      <c r="B1294">
        <v>1</v>
      </c>
      <c r="C1294">
        <v>554</v>
      </c>
      <c r="D1294">
        <v>554</v>
      </c>
      <c r="E1294">
        <v>42</v>
      </c>
      <c r="F1294">
        <v>42</v>
      </c>
      <c r="G1294">
        <v>554</v>
      </c>
    </row>
    <row r="1295" spans="1:7" ht="15" x14ac:dyDescent="0.25">
      <c r="A1295" t="s">
        <v>12317</v>
      </c>
      <c r="B1295">
        <v>1</v>
      </c>
      <c r="C1295">
        <v>115</v>
      </c>
      <c r="D1295">
        <v>115</v>
      </c>
      <c r="E1295">
        <v>55</v>
      </c>
      <c r="F1295">
        <v>55</v>
      </c>
      <c r="G1295">
        <v>115</v>
      </c>
    </row>
    <row r="1296" spans="1:7" ht="15" x14ac:dyDescent="0.25">
      <c r="A1296" t="s">
        <v>12323</v>
      </c>
      <c r="B1296">
        <v>2</v>
      </c>
      <c r="C1296">
        <v>428</v>
      </c>
      <c r="D1296">
        <v>855</v>
      </c>
      <c r="E1296">
        <v>31</v>
      </c>
      <c r="F1296">
        <v>15.5</v>
      </c>
      <c r="G1296">
        <v>428</v>
      </c>
    </row>
    <row r="1297" spans="1:7" ht="15" x14ac:dyDescent="0.25">
      <c r="A1297" t="s">
        <v>12339</v>
      </c>
      <c r="B1297">
        <v>1</v>
      </c>
      <c r="C1297">
        <v>359</v>
      </c>
      <c r="D1297">
        <v>359</v>
      </c>
      <c r="E1297">
        <v>102</v>
      </c>
      <c r="F1297">
        <v>102</v>
      </c>
      <c r="G1297">
        <v>359</v>
      </c>
    </row>
    <row r="1298" spans="1:7" ht="15" x14ac:dyDescent="0.25">
      <c r="A1298" t="s">
        <v>12359</v>
      </c>
      <c r="B1298">
        <v>1</v>
      </c>
      <c r="C1298">
        <v>1132</v>
      </c>
      <c r="D1298">
        <v>1132</v>
      </c>
      <c r="E1298">
        <v>100</v>
      </c>
      <c r="F1298">
        <v>100</v>
      </c>
      <c r="G1298">
        <v>1132</v>
      </c>
    </row>
    <row r="1299" spans="1:7" ht="15" x14ac:dyDescent="0.25">
      <c r="A1299" t="s">
        <v>12371</v>
      </c>
      <c r="B1299">
        <v>1</v>
      </c>
      <c r="C1299">
        <v>699</v>
      </c>
      <c r="D1299">
        <v>699</v>
      </c>
      <c r="E1299">
        <v>163</v>
      </c>
      <c r="F1299">
        <v>163</v>
      </c>
      <c r="G1299">
        <v>699</v>
      </c>
    </row>
    <row r="1300" spans="1:7" ht="15" x14ac:dyDescent="0.25">
      <c r="A1300" t="s">
        <v>12377</v>
      </c>
      <c r="B1300">
        <v>2</v>
      </c>
      <c r="C1300">
        <v>130</v>
      </c>
      <c r="D1300">
        <v>252</v>
      </c>
      <c r="E1300">
        <v>64</v>
      </c>
      <c r="F1300">
        <v>32</v>
      </c>
      <c r="G1300">
        <v>130</v>
      </c>
    </row>
    <row r="1301" spans="1:7" ht="15" x14ac:dyDescent="0.25">
      <c r="A1301" t="s">
        <v>12383</v>
      </c>
      <c r="B1301">
        <v>1</v>
      </c>
      <c r="C1301">
        <v>220</v>
      </c>
      <c r="D1301">
        <v>220</v>
      </c>
      <c r="E1301">
        <v>70</v>
      </c>
      <c r="F1301">
        <v>70</v>
      </c>
      <c r="G1301">
        <v>220</v>
      </c>
    </row>
    <row r="1302" spans="1:7" ht="15" x14ac:dyDescent="0.25">
      <c r="A1302" t="s">
        <v>12391</v>
      </c>
      <c r="B1302">
        <v>1</v>
      </c>
      <c r="C1302">
        <v>278</v>
      </c>
      <c r="D1302">
        <v>278</v>
      </c>
      <c r="E1302">
        <v>45</v>
      </c>
      <c r="F1302">
        <v>45</v>
      </c>
      <c r="G1302">
        <v>278</v>
      </c>
    </row>
    <row r="1303" spans="1:7" ht="15" x14ac:dyDescent="0.25">
      <c r="A1303" t="s">
        <v>12422</v>
      </c>
      <c r="B1303">
        <v>1</v>
      </c>
      <c r="C1303">
        <v>1147</v>
      </c>
      <c r="D1303">
        <v>1147</v>
      </c>
      <c r="E1303">
        <v>130</v>
      </c>
      <c r="F1303">
        <v>130</v>
      </c>
      <c r="G1303">
        <v>1147</v>
      </c>
    </row>
    <row r="1304" spans="1:7" ht="15" x14ac:dyDescent="0.25">
      <c r="A1304" t="s">
        <v>12425</v>
      </c>
      <c r="B1304">
        <v>3</v>
      </c>
      <c r="C1304">
        <v>5</v>
      </c>
      <c r="D1304">
        <v>13</v>
      </c>
      <c r="E1304">
        <v>25</v>
      </c>
      <c r="F1304">
        <v>8.3333333333333339</v>
      </c>
      <c r="G1304">
        <v>5</v>
      </c>
    </row>
    <row r="1305" spans="1:7" ht="15" x14ac:dyDescent="0.25">
      <c r="A1305" t="s">
        <v>12432</v>
      </c>
      <c r="B1305">
        <v>1</v>
      </c>
      <c r="C1305">
        <v>67</v>
      </c>
      <c r="D1305">
        <v>67</v>
      </c>
      <c r="E1305">
        <v>29</v>
      </c>
      <c r="F1305">
        <v>29</v>
      </c>
      <c r="G1305">
        <v>67</v>
      </c>
    </row>
    <row r="1306" spans="1:7" ht="15" x14ac:dyDescent="0.25">
      <c r="A1306" t="s">
        <v>12437</v>
      </c>
      <c r="B1306">
        <v>1</v>
      </c>
      <c r="C1306">
        <v>554</v>
      </c>
      <c r="D1306">
        <v>554</v>
      </c>
      <c r="E1306">
        <v>16</v>
      </c>
      <c r="F1306">
        <v>16</v>
      </c>
      <c r="G1306">
        <v>554</v>
      </c>
    </row>
    <row r="1307" spans="1:7" ht="15" x14ac:dyDescent="0.25">
      <c r="A1307" t="s">
        <v>12454</v>
      </c>
      <c r="B1307">
        <v>1</v>
      </c>
      <c r="C1307">
        <v>121</v>
      </c>
      <c r="D1307">
        <v>121</v>
      </c>
      <c r="E1307">
        <v>6</v>
      </c>
      <c r="F1307">
        <v>6</v>
      </c>
      <c r="G1307">
        <v>121</v>
      </c>
    </row>
    <row r="1308" spans="1:7" ht="15" x14ac:dyDescent="0.25">
      <c r="A1308" t="s">
        <v>12459</v>
      </c>
      <c r="B1308">
        <v>1</v>
      </c>
      <c r="C1308">
        <v>778</v>
      </c>
      <c r="D1308">
        <v>778</v>
      </c>
      <c r="E1308">
        <v>1</v>
      </c>
      <c r="F1308">
        <v>1</v>
      </c>
      <c r="G1308">
        <v>778</v>
      </c>
    </row>
    <row r="1309" spans="1:7" ht="15" x14ac:dyDescent="0.25">
      <c r="A1309" t="s">
        <v>12463</v>
      </c>
      <c r="B1309">
        <v>2</v>
      </c>
      <c r="C1309">
        <v>459</v>
      </c>
      <c r="D1309">
        <v>920</v>
      </c>
      <c r="E1309">
        <v>65</v>
      </c>
      <c r="F1309">
        <v>32.5</v>
      </c>
      <c r="G1309">
        <v>461</v>
      </c>
    </row>
    <row r="1310" spans="1:7" ht="15" x14ac:dyDescent="0.25">
      <c r="A1310" t="s">
        <v>12470</v>
      </c>
      <c r="B1310">
        <v>1</v>
      </c>
      <c r="C1310">
        <v>1203</v>
      </c>
      <c r="D1310">
        <v>1203</v>
      </c>
      <c r="E1310">
        <v>86</v>
      </c>
      <c r="F1310">
        <v>86</v>
      </c>
      <c r="G1310">
        <v>1203</v>
      </c>
    </row>
    <row r="1311" spans="1:7" ht="15" x14ac:dyDescent="0.25">
      <c r="A1311" t="s">
        <v>12477</v>
      </c>
      <c r="B1311">
        <v>1</v>
      </c>
      <c r="D1311">
        <v>0</v>
      </c>
      <c r="E1311">
        <v>33</v>
      </c>
      <c r="F1311">
        <v>33</v>
      </c>
    </row>
    <row r="1312" spans="1:7" ht="15" x14ac:dyDescent="0.25">
      <c r="A1312" t="s">
        <v>12483</v>
      </c>
      <c r="B1312">
        <v>1</v>
      </c>
      <c r="C1312">
        <v>2352</v>
      </c>
      <c r="D1312">
        <v>2352</v>
      </c>
      <c r="E1312">
        <v>157</v>
      </c>
      <c r="F1312">
        <v>157</v>
      </c>
      <c r="G1312">
        <v>2352</v>
      </c>
    </row>
    <row r="1313" spans="1:7" ht="15" x14ac:dyDescent="0.25">
      <c r="A1313" t="s">
        <v>12490</v>
      </c>
      <c r="B1313">
        <v>1</v>
      </c>
      <c r="C1313">
        <v>263</v>
      </c>
      <c r="D1313">
        <v>263</v>
      </c>
      <c r="E1313">
        <v>53</v>
      </c>
      <c r="F1313">
        <v>53</v>
      </c>
      <c r="G1313">
        <v>263</v>
      </c>
    </row>
    <row r="1314" spans="1:7" ht="15" x14ac:dyDescent="0.25">
      <c r="A1314" t="s">
        <v>12495</v>
      </c>
      <c r="B1314">
        <v>3</v>
      </c>
      <c r="C1314">
        <v>546</v>
      </c>
      <c r="D1314">
        <v>1638</v>
      </c>
      <c r="E1314">
        <v>182</v>
      </c>
      <c r="F1314">
        <v>60.666666666666664</v>
      </c>
      <c r="G1314">
        <v>546</v>
      </c>
    </row>
    <row r="1315" spans="1:7" ht="15" x14ac:dyDescent="0.25">
      <c r="A1315" t="s">
        <v>12505</v>
      </c>
      <c r="B1315">
        <v>1</v>
      </c>
      <c r="C1315">
        <v>411</v>
      </c>
      <c r="D1315">
        <v>411</v>
      </c>
      <c r="E1315">
        <v>39</v>
      </c>
      <c r="F1315">
        <v>39</v>
      </c>
      <c r="G1315">
        <v>411</v>
      </c>
    </row>
    <row r="1316" spans="1:7" ht="15" x14ac:dyDescent="0.25">
      <c r="A1316" t="s">
        <v>12512</v>
      </c>
      <c r="B1316">
        <v>1</v>
      </c>
      <c r="D1316">
        <v>0</v>
      </c>
      <c r="E1316">
        <v>229</v>
      </c>
      <c r="F1316">
        <v>229</v>
      </c>
    </row>
    <row r="1317" spans="1:7" ht="15" x14ac:dyDescent="0.25">
      <c r="A1317" t="s">
        <v>12526</v>
      </c>
      <c r="B1317">
        <v>5</v>
      </c>
      <c r="C1317">
        <v>142</v>
      </c>
      <c r="D1317">
        <v>698</v>
      </c>
      <c r="E1317">
        <v>80</v>
      </c>
      <c r="F1317">
        <v>16</v>
      </c>
      <c r="G1317">
        <v>142</v>
      </c>
    </row>
    <row r="1318" spans="1:7" ht="15" x14ac:dyDescent="0.25">
      <c r="A1318" t="s">
        <v>12536</v>
      </c>
      <c r="B1318">
        <v>1</v>
      </c>
      <c r="C1318">
        <v>188</v>
      </c>
      <c r="D1318">
        <v>188</v>
      </c>
      <c r="E1318">
        <v>18</v>
      </c>
      <c r="F1318">
        <v>18</v>
      </c>
      <c r="G1318">
        <v>188</v>
      </c>
    </row>
    <row r="1319" spans="1:7" ht="15" x14ac:dyDescent="0.25">
      <c r="A1319" t="s">
        <v>12540</v>
      </c>
      <c r="B1319">
        <v>1</v>
      </c>
      <c r="C1319">
        <v>190</v>
      </c>
      <c r="D1319">
        <v>190</v>
      </c>
      <c r="E1319">
        <v>20</v>
      </c>
      <c r="F1319">
        <v>20</v>
      </c>
      <c r="G1319">
        <v>190</v>
      </c>
    </row>
    <row r="1320" spans="1:7" ht="15" x14ac:dyDescent="0.25">
      <c r="A1320" t="s">
        <v>12547</v>
      </c>
      <c r="B1320">
        <v>1</v>
      </c>
      <c r="C1320">
        <v>186</v>
      </c>
      <c r="D1320">
        <v>186</v>
      </c>
      <c r="E1320">
        <v>27</v>
      </c>
      <c r="F1320">
        <v>27</v>
      </c>
      <c r="G1320">
        <v>186</v>
      </c>
    </row>
    <row r="1321" spans="1:7" ht="15" x14ac:dyDescent="0.25">
      <c r="A1321" t="s">
        <v>12550</v>
      </c>
      <c r="B1321">
        <v>9</v>
      </c>
      <c r="C1321">
        <v>915</v>
      </c>
      <c r="D1321">
        <v>7771</v>
      </c>
      <c r="E1321">
        <v>557</v>
      </c>
      <c r="F1321">
        <v>61.888888888888886</v>
      </c>
      <c r="G1321">
        <v>915</v>
      </c>
    </row>
    <row r="1322" spans="1:7" ht="15" x14ac:dyDescent="0.25">
      <c r="A1322" t="s">
        <v>12557</v>
      </c>
      <c r="B1322">
        <v>1</v>
      </c>
      <c r="C1322">
        <v>105</v>
      </c>
      <c r="D1322">
        <v>105</v>
      </c>
      <c r="E1322">
        <v>7</v>
      </c>
      <c r="F1322">
        <v>7</v>
      </c>
      <c r="G1322">
        <v>105</v>
      </c>
    </row>
    <row r="1323" spans="1:7" ht="15" x14ac:dyDescent="0.25">
      <c r="A1323" t="s">
        <v>12566</v>
      </c>
      <c r="B1323">
        <v>1</v>
      </c>
      <c r="C1323">
        <v>283</v>
      </c>
      <c r="D1323">
        <v>283</v>
      </c>
      <c r="E1323">
        <v>78</v>
      </c>
      <c r="F1323">
        <v>78</v>
      </c>
      <c r="G1323">
        <v>283</v>
      </c>
    </row>
    <row r="1324" spans="1:7" ht="15" x14ac:dyDescent="0.25">
      <c r="A1324" t="s">
        <v>12573</v>
      </c>
      <c r="B1324">
        <v>1</v>
      </c>
      <c r="C1324">
        <v>172</v>
      </c>
      <c r="D1324">
        <v>172</v>
      </c>
      <c r="E1324">
        <v>11</v>
      </c>
      <c r="F1324">
        <v>11</v>
      </c>
      <c r="G1324">
        <v>172</v>
      </c>
    </row>
    <row r="1325" spans="1:7" ht="15" x14ac:dyDescent="0.25">
      <c r="A1325" t="s">
        <v>12576</v>
      </c>
      <c r="B1325">
        <v>1</v>
      </c>
      <c r="C1325">
        <v>646</v>
      </c>
      <c r="D1325">
        <v>646</v>
      </c>
      <c r="E1325">
        <v>16</v>
      </c>
      <c r="F1325">
        <v>16</v>
      </c>
      <c r="G1325">
        <v>646</v>
      </c>
    </row>
    <row r="1326" spans="1:7" ht="15" x14ac:dyDescent="0.25">
      <c r="A1326" t="s">
        <v>12582</v>
      </c>
      <c r="B1326">
        <v>1</v>
      </c>
      <c r="C1326">
        <v>34</v>
      </c>
      <c r="D1326">
        <v>34</v>
      </c>
      <c r="E1326">
        <v>22</v>
      </c>
      <c r="F1326">
        <v>22</v>
      </c>
      <c r="G1326">
        <v>34</v>
      </c>
    </row>
    <row r="1327" spans="1:7" ht="15" x14ac:dyDescent="0.25">
      <c r="A1327" t="s">
        <v>12589</v>
      </c>
      <c r="B1327">
        <v>1</v>
      </c>
      <c r="C1327">
        <v>49</v>
      </c>
      <c r="D1327">
        <v>49</v>
      </c>
      <c r="E1327">
        <v>18</v>
      </c>
      <c r="F1327">
        <v>18</v>
      </c>
      <c r="G1327">
        <v>49</v>
      </c>
    </row>
    <row r="1328" spans="1:7" ht="15" x14ac:dyDescent="0.25">
      <c r="A1328" t="s">
        <v>12594</v>
      </c>
      <c r="B1328">
        <v>1</v>
      </c>
      <c r="C1328">
        <v>359</v>
      </c>
      <c r="D1328">
        <v>359</v>
      </c>
      <c r="E1328">
        <v>61</v>
      </c>
      <c r="F1328">
        <v>61</v>
      </c>
      <c r="G1328">
        <v>359</v>
      </c>
    </row>
    <row r="1329" spans="1:7" ht="15" x14ac:dyDescent="0.25">
      <c r="A1329" t="s">
        <v>12600</v>
      </c>
      <c r="B1329">
        <v>1</v>
      </c>
      <c r="C1329">
        <v>52</v>
      </c>
      <c r="D1329">
        <v>52</v>
      </c>
      <c r="E1329">
        <v>51</v>
      </c>
      <c r="F1329">
        <v>51</v>
      </c>
      <c r="G1329">
        <v>52</v>
      </c>
    </row>
    <row r="1330" spans="1:7" ht="15" x14ac:dyDescent="0.25">
      <c r="A1330" t="s">
        <v>12606</v>
      </c>
      <c r="B1330">
        <v>3</v>
      </c>
      <c r="C1330">
        <v>239</v>
      </c>
      <c r="D1330">
        <v>618</v>
      </c>
      <c r="E1330">
        <v>59</v>
      </c>
      <c r="F1330">
        <v>19.666666666666668</v>
      </c>
      <c r="G1330">
        <v>239</v>
      </c>
    </row>
    <row r="1331" spans="1:7" ht="15" x14ac:dyDescent="0.25">
      <c r="A1331" t="s">
        <v>12613</v>
      </c>
      <c r="B1331">
        <v>1</v>
      </c>
      <c r="C1331">
        <v>2485</v>
      </c>
      <c r="D1331">
        <v>2485</v>
      </c>
      <c r="E1331">
        <v>362</v>
      </c>
      <c r="F1331">
        <v>362</v>
      </c>
      <c r="G1331">
        <v>2485</v>
      </c>
    </row>
    <row r="1332" spans="1:7" ht="15" x14ac:dyDescent="0.25">
      <c r="A1332" t="s">
        <v>12616</v>
      </c>
      <c r="B1332">
        <v>2</v>
      </c>
      <c r="C1332">
        <v>503</v>
      </c>
      <c r="D1332">
        <v>1005</v>
      </c>
      <c r="E1332">
        <v>126</v>
      </c>
      <c r="F1332">
        <v>63</v>
      </c>
      <c r="G1332">
        <v>503</v>
      </c>
    </row>
    <row r="1333" spans="1:7" ht="15" x14ac:dyDescent="0.25">
      <c r="A1333" t="s">
        <v>12623</v>
      </c>
      <c r="B1333">
        <v>12</v>
      </c>
      <c r="C1333">
        <v>50</v>
      </c>
      <c r="D1333">
        <v>420</v>
      </c>
      <c r="E1333">
        <v>118</v>
      </c>
      <c r="F1333">
        <v>9.8333333333333339</v>
      </c>
      <c r="G1333">
        <v>50</v>
      </c>
    </row>
    <row r="1334" spans="1:7" ht="15" x14ac:dyDescent="0.25">
      <c r="A1334" t="s">
        <v>12628</v>
      </c>
      <c r="B1334">
        <v>1</v>
      </c>
      <c r="C1334">
        <v>1223</v>
      </c>
      <c r="D1334">
        <v>1223</v>
      </c>
      <c r="E1334">
        <v>142</v>
      </c>
      <c r="F1334">
        <v>142</v>
      </c>
      <c r="G1334">
        <v>1223</v>
      </c>
    </row>
    <row r="1335" spans="1:7" ht="15" x14ac:dyDescent="0.25">
      <c r="A1335" t="s">
        <v>12638</v>
      </c>
      <c r="B1335">
        <v>1</v>
      </c>
      <c r="C1335">
        <v>149</v>
      </c>
      <c r="D1335">
        <v>149</v>
      </c>
      <c r="E1335">
        <v>47</v>
      </c>
      <c r="F1335">
        <v>47</v>
      </c>
      <c r="G1335">
        <v>149</v>
      </c>
    </row>
    <row r="1336" spans="1:7" ht="15" x14ac:dyDescent="0.25">
      <c r="A1336" t="s">
        <v>12642</v>
      </c>
      <c r="B1336">
        <v>2</v>
      </c>
      <c r="C1336">
        <v>2485</v>
      </c>
      <c r="D1336">
        <v>4970</v>
      </c>
      <c r="E1336">
        <v>175</v>
      </c>
      <c r="F1336">
        <v>87.5</v>
      </c>
      <c r="G1336">
        <v>2485</v>
      </c>
    </row>
    <row r="1337" spans="1:7" ht="15" x14ac:dyDescent="0.25">
      <c r="A1337" t="s">
        <v>12654</v>
      </c>
      <c r="B1337">
        <v>1</v>
      </c>
      <c r="C1337">
        <v>770</v>
      </c>
      <c r="D1337">
        <v>770</v>
      </c>
      <c r="E1337">
        <v>32</v>
      </c>
      <c r="F1337">
        <v>32</v>
      </c>
      <c r="G1337">
        <v>770</v>
      </c>
    </row>
    <row r="1338" spans="1:7" ht="15" x14ac:dyDescent="0.25">
      <c r="A1338" t="s">
        <v>12662</v>
      </c>
      <c r="B1338">
        <v>1</v>
      </c>
      <c r="C1338">
        <v>7059</v>
      </c>
      <c r="D1338">
        <v>7059</v>
      </c>
      <c r="E1338">
        <v>65</v>
      </c>
      <c r="F1338">
        <v>65</v>
      </c>
      <c r="G1338">
        <v>7059</v>
      </c>
    </row>
    <row r="1339" spans="1:7" ht="15" x14ac:dyDescent="0.25">
      <c r="A1339" t="s">
        <v>12673</v>
      </c>
      <c r="B1339">
        <v>2</v>
      </c>
      <c r="C1339">
        <v>716</v>
      </c>
      <c r="D1339">
        <v>1430</v>
      </c>
      <c r="E1339">
        <v>134</v>
      </c>
      <c r="F1339">
        <v>67</v>
      </c>
      <c r="G1339">
        <v>716</v>
      </c>
    </row>
    <row r="1340" spans="1:7" ht="15" x14ac:dyDescent="0.25">
      <c r="A1340" t="s">
        <v>12682</v>
      </c>
      <c r="B1340">
        <v>1</v>
      </c>
      <c r="C1340">
        <v>3240</v>
      </c>
      <c r="D1340">
        <v>3240</v>
      </c>
      <c r="E1340">
        <v>100</v>
      </c>
      <c r="F1340">
        <v>100</v>
      </c>
      <c r="G1340">
        <v>3240</v>
      </c>
    </row>
    <row r="1341" spans="1:7" ht="15" x14ac:dyDescent="0.25">
      <c r="A1341" t="s">
        <v>12688</v>
      </c>
      <c r="B1341">
        <v>1</v>
      </c>
      <c r="C1341">
        <v>352</v>
      </c>
      <c r="D1341">
        <v>352</v>
      </c>
      <c r="E1341">
        <v>21</v>
      </c>
      <c r="F1341">
        <v>21</v>
      </c>
      <c r="G1341">
        <v>352</v>
      </c>
    </row>
    <row r="1342" spans="1:7" ht="15" x14ac:dyDescent="0.25">
      <c r="A1342" t="s">
        <v>12707</v>
      </c>
      <c r="B1342">
        <v>1</v>
      </c>
      <c r="C1342">
        <v>160</v>
      </c>
      <c r="D1342">
        <v>160</v>
      </c>
      <c r="E1342">
        <v>65</v>
      </c>
      <c r="F1342">
        <v>65</v>
      </c>
      <c r="G1342">
        <v>160</v>
      </c>
    </row>
    <row r="1343" spans="1:7" ht="15" x14ac:dyDescent="0.25">
      <c r="A1343" t="s">
        <v>12711</v>
      </c>
      <c r="B1343">
        <v>1</v>
      </c>
      <c r="C1343">
        <v>121</v>
      </c>
      <c r="D1343">
        <v>121</v>
      </c>
      <c r="E1343">
        <v>17</v>
      </c>
      <c r="F1343">
        <v>17</v>
      </c>
      <c r="G1343">
        <v>121</v>
      </c>
    </row>
    <row r="1344" spans="1:7" ht="15" x14ac:dyDescent="0.25">
      <c r="A1344" t="s">
        <v>12715</v>
      </c>
      <c r="B1344">
        <v>1</v>
      </c>
      <c r="C1344">
        <v>618</v>
      </c>
      <c r="D1344">
        <v>618</v>
      </c>
      <c r="E1344">
        <v>47</v>
      </c>
      <c r="F1344">
        <v>47</v>
      </c>
      <c r="G1344">
        <v>618</v>
      </c>
    </row>
    <row r="1345" spans="1:7" ht="15" x14ac:dyDescent="0.25">
      <c r="A1345" t="s">
        <v>12733</v>
      </c>
      <c r="B1345">
        <v>1</v>
      </c>
      <c r="C1345">
        <v>498</v>
      </c>
      <c r="D1345">
        <v>498</v>
      </c>
      <c r="E1345">
        <v>109</v>
      </c>
      <c r="F1345">
        <v>109</v>
      </c>
      <c r="G1345">
        <v>498</v>
      </c>
    </row>
    <row r="1346" spans="1:7" ht="15" x14ac:dyDescent="0.25">
      <c r="A1346" t="s">
        <v>12737</v>
      </c>
      <c r="B1346">
        <v>1</v>
      </c>
      <c r="C1346">
        <v>900</v>
      </c>
      <c r="D1346">
        <v>900</v>
      </c>
      <c r="E1346">
        <v>21</v>
      </c>
      <c r="F1346">
        <v>21</v>
      </c>
      <c r="G1346">
        <v>900</v>
      </c>
    </row>
    <row r="1347" spans="1:7" ht="15" x14ac:dyDescent="0.25">
      <c r="A1347" t="s">
        <v>12743</v>
      </c>
      <c r="B1347">
        <v>1</v>
      </c>
      <c r="C1347">
        <v>410</v>
      </c>
      <c r="D1347">
        <v>410</v>
      </c>
      <c r="E1347">
        <v>20</v>
      </c>
      <c r="F1347">
        <v>20</v>
      </c>
      <c r="G1347">
        <v>410</v>
      </c>
    </row>
    <row r="1348" spans="1:7" ht="15" x14ac:dyDescent="0.25">
      <c r="A1348" t="s">
        <v>12753</v>
      </c>
      <c r="B1348">
        <v>1</v>
      </c>
      <c r="C1348">
        <v>1506</v>
      </c>
      <c r="D1348">
        <v>1506</v>
      </c>
      <c r="E1348">
        <v>101</v>
      </c>
      <c r="F1348">
        <v>101</v>
      </c>
      <c r="G1348">
        <v>1506</v>
      </c>
    </row>
    <row r="1349" spans="1:7" ht="15" x14ac:dyDescent="0.25">
      <c r="A1349" t="s">
        <v>12758</v>
      </c>
      <c r="B1349">
        <v>1</v>
      </c>
      <c r="C1349">
        <v>175</v>
      </c>
      <c r="D1349">
        <v>175</v>
      </c>
      <c r="E1349">
        <v>32</v>
      </c>
      <c r="F1349">
        <v>32</v>
      </c>
      <c r="G1349">
        <v>175</v>
      </c>
    </row>
    <row r="1350" spans="1:7" ht="15" x14ac:dyDescent="0.25">
      <c r="A1350" t="s">
        <v>12765</v>
      </c>
      <c r="B1350">
        <v>1</v>
      </c>
      <c r="C1350">
        <v>120</v>
      </c>
      <c r="D1350">
        <v>120</v>
      </c>
      <c r="E1350">
        <v>30</v>
      </c>
      <c r="F1350">
        <v>30</v>
      </c>
      <c r="G1350">
        <v>120</v>
      </c>
    </row>
    <row r="1351" spans="1:7" ht="15" x14ac:dyDescent="0.25">
      <c r="A1351" t="s">
        <v>12775</v>
      </c>
      <c r="B1351">
        <v>1</v>
      </c>
      <c r="C1351">
        <v>64</v>
      </c>
      <c r="D1351">
        <v>64</v>
      </c>
      <c r="E1351">
        <v>22</v>
      </c>
      <c r="F1351">
        <v>22</v>
      </c>
      <c r="G1351">
        <v>64</v>
      </c>
    </row>
    <row r="1352" spans="1:7" ht="15" x14ac:dyDescent="0.25">
      <c r="A1352" t="s">
        <v>12783</v>
      </c>
      <c r="B1352">
        <v>1</v>
      </c>
      <c r="C1352">
        <v>481</v>
      </c>
      <c r="D1352">
        <v>481</v>
      </c>
      <c r="E1352">
        <v>80</v>
      </c>
      <c r="F1352">
        <v>80</v>
      </c>
      <c r="G1352">
        <v>481</v>
      </c>
    </row>
    <row r="1353" spans="1:7" ht="15" x14ac:dyDescent="0.25">
      <c r="A1353" t="s">
        <v>12790</v>
      </c>
      <c r="B1353">
        <v>1</v>
      </c>
      <c r="C1353">
        <v>2058</v>
      </c>
      <c r="D1353">
        <v>2058</v>
      </c>
      <c r="E1353">
        <v>71</v>
      </c>
      <c r="F1353">
        <v>71</v>
      </c>
      <c r="G1353">
        <v>2058</v>
      </c>
    </row>
    <row r="1354" spans="1:7" ht="15" x14ac:dyDescent="0.25">
      <c r="A1354" t="s">
        <v>12796</v>
      </c>
      <c r="B1354">
        <v>2</v>
      </c>
      <c r="C1354">
        <v>186</v>
      </c>
      <c r="D1354">
        <v>373</v>
      </c>
      <c r="E1354">
        <v>82</v>
      </c>
      <c r="F1354">
        <v>41</v>
      </c>
      <c r="G1354">
        <v>187</v>
      </c>
    </row>
    <row r="1355" spans="1:7" ht="15" x14ac:dyDescent="0.25">
      <c r="A1355" t="s">
        <v>12805</v>
      </c>
      <c r="B1355">
        <v>1</v>
      </c>
      <c r="C1355">
        <v>338</v>
      </c>
      <c r="D1355">
        <v>338</v>
      </c>
      <c r="E1355">
        <v>51</v>
      </c>
      <c r="F1355">
        <v>51</v>
      </c>
      <c r="G1355">
        <v>338</v>
      </c>
    </row>
    <row r="1356" spans="1:7" ht="15" x14ac:dyDescent="0.25">
      <c r="A1356" t="s">
        <v>12814</v>
      </c>
      <c r="B1356">
        <v>1</v>
      </c>
      <c r="C1356">
        <v>440</v>
      </c>
      <c r="D1356">
        <v>440</v>
      </c>
      <c r="E1356">
        <v>18</v>
      </c>
      <c r="F1356">
        <v>18</v>
      </c>
      <c r="G1356">
        <v>440</v>
      </c>
    </row>
    <row r="1357" spans="1:7" ht="15" x14ac:dyDescent="0.25">
      <c r="A1357" t="s">
        <v>12821</v>
      </c>
      <c r="B1357">
        <v>1</v>
      </c>
      <c r="C1357">
        <v>1254</v>
      </c>
      <c r="D1357">
        <v>1254</v>
      </c>
      <c r="E1357">
        <v>1</v>
      </c>
      <c r="F1357">
        <v>1</v>
      </c>
      <c r="G1357">
        <v>1254</v>
      </c>
    </row>
    <row r="1358" spans="1:7" ht="15" x14ac:dyDescent="0.25">
      <c r="A1358" t="s">
        <v>12826</v>
      </c>
      <c r="B1358">
        <v>3</v>
      </c>
      <c r="C1358">
        <v>201</v>
      </c>
      <c r="D1358">
        <v>611</v>
      </c>
      <c r="E1358">
        <v>44</v>
      </c>
      <c r="F1358">
        <v>14.666666666666666</v>
      </c>
      <c r="G1358">
        <v>206</v>
      </c>
    </row>
    <row r="1359" spans="1:7" ht="15" x14ac:dyDescent="0.25">
      <c r="A1359" t="s">
        <v>12833</v>
      </c>
      <c r="B1359">
        <v>1</v>
      </c>
      <c r="C1359">
        <v>74</v>
      </c>
      <c r="D1359">
        <v>74</v>
      </c>
      <c r="E1359">
        <v>18</v>
      </c>
      <c r="F1359">
        <v>18</v>
      </c>
      <c r="G1359">
        <v>74</v>
      </c>
    </row>
    <row r="1360" spans="1:7" ht="15" x14ac:dyDescent="0.25">
      <c r="A1360" t="s">
        <v>12840</v>
      </c>
      <c r="B1360">
        <v>1</v>
      </c>
      <c r="C1360">
        <v>952</v>
      </c>
      <c r="D1360">
        <v>952</v>
      </c>
      <c r="E1360">
        <v>31</v>
      </c>
      <c r="F1360">
        <v>31</v>
      </c>
      <c r="G1360">
        <v>952</v>
      </c>
    </row>
    <row r="1361" spans="1:7" ht="15" x14ac:dyDescent="0.25">
      <c r="A1361" t="s">
        <v>12845</v>
      </c>
      <c r="B1361">
        <v>1</v>
      </c>
      <c r="C1361">
        <v>461</v>
      </c>
      <c r="D1361">
        <v>461</v>
      </c>
      <c r="E1361">
        <v>10</v>
      </c>
      <c r="F1361">
        <v>10</v>
      </c>
      <c r="G1361">
        <v>461</v>
      </c>
    </row>
    <row r="1362" spans="1:7" ht="15" x14ac:dyDescent="0.25">
      <c r="A1362" t="s">
        <v>12848</v>
      </c>
      <c r="B1362">
        <v>1</v>
      </c>
      <c r="C1362">
        <v>469</v>
      </c>
      <c r="D1362">
        <v>469</v>
      </c>
      <c r="E1362">
        <v>29</v>
      </c>
      <c r="F1362">
        <v>29</v>
      </c>
      <c r="G1362">
        <v>469</v>
      </c>
    </row>
    <row r="1363" spans="1:7" ht="15" x14ac:dyDescent="0.25">
      <c r="A1363" t="s">
        <v>12856</v>
      </c>
      <c r="B1363">
        <v>2</v>
      </c>
      <c r="C1363">
        <v>547</v>
      </c>
      <c r="D1363">
        <v>1088</v>
      </c>
      <c r="E1363">
        <v>52</v>
      </c>
      <c r="F1363">
        <v>26</v>
      </c>
      <c r="G1363">
        <v>547</v>
      </c>
    </row>
    <row r="1364" spans="1:7" ht="15" x14ac:dyDescent="0.25">
      <c r="A1364" t="s">
        <v>12862</v>
      </c>
      <c r="B1364">
        <v>1</v>
      </c>
      <c r="C1364">
        <v>333</v>
      </c>
      <c r="D1364">
        <v>333</v>
      </c>
      <c r="E1364">
        <v>39</v>
      </c>
      <c r="F1364">
        <v>39</v>
      </c>
      <c r="G1364">
        <v>333</v>
      </c>
    </row>
    <row r="1365" spans="1:7" ht="15" x14ac:dyDescent="0.25">
      <c r="A1365" t="s">
        <v>12865</v>
      </c>
      <c r="B1365">
        <v>2</v>
      </c>
      <c r="C1365">
        <v>6571</v>
      </c>
      <c r="D1365">
        <v>11794</v>
      </c>
      <c r="E1365">
        <v>1666</v>
      </c>
      <c r="F1365">
        <v>833</v>
      </c>
      <c r="G1365">
        <v>6571</v>
      </c>
    </row>
    <row r="1366" spans="1:7" ht="15" x14ac:dyDescent="0.25">
      <c r="A1366" t="s">
        <v>12877</v>
      </c>
      <c r="B1366">
        <v>1</v>
      </c>
      <c r="C1366">
        <v>119</v>
      </c>
      <c r="D1366">
        <v>119</v>
      </c>
      <c r="E1366">
        <v>8</v>
      </c>
      <c r="F1366">
        <v>8</v>
      </c>
      <c r="G1366">
        <v>119</v>
      </c>
    </row>
    <row r="1367" spans="1:7" ht="15" x14ac:dyDescent="0.25">
      <c r="A1367" t="s">
        <v>12883</v>
      </c>
      <c r="B1367">
        <v>1</v>
      </c>
      <c r="C1367">
        <v>13586</v>
      </c>
      <c r="D1367">
        <v>13586</v>
      </c>
      <c r="E1367">
        <v>233</v>
      </c>
      <c r="F1367">
        <v>233</v>
      </c>
      <c r="G1367">
        <v>13586</v>
      </c>
    </row>
    <row r="1368" spans="1:7" ht="15" x14ac:dyDescent="0.25">
      <c r="A1368" t="s">
        <v>12891</v>
      </c>
      <c r="B1368">
        <v>1</v>
      </c>
      <c r="C1368">
        <v>360</v>
      </c>
      <c r="D1368">
        <v>360</v>
      </c>
      <c r="E1368">
        <v>19</v>
      </c>
      <c r="F1368">
        <v>19</v>
      </c>
      <c r="G1368">
        <v>360</v>
      </c>
    </row>
    <row r="1369" spans="1:7" ht="15" x14ac:dyDescent="0.25">
      <c r="A1369" t="s">
        <v>12896</v>
      </c>
      <c r="B1369">
        <v>1</v>
      </c>
      <c r="C1369">
        <v>232</v>
      </c>
      <c r="D1369">
        <v>232</v>
      </c>
      <c r="E1369">
        <v>29</v>
      </c>
      <c r="F1369">
        <v>29</v>
      </c>
      <c r="G1369">
        <v>232</v>
      </c>
    </row>
    <row r="1370" spans="1:7" ht="15" x14ac:dyDescent="0.25">
      <c r="A1370" t="s">
        <v>12900</v>
      </c>
      <c r="B1370">
        <v>1</v>
      </c>
      <c r="C1370">
        <v>102</v>
      </c>
      <c r="D1370">
        <v>102</v>
      </c>
      <c r="E1370">
        <v>21</v>
      </c>
      <c r="F1370">
        <v>21</v>
      </c>
      <c r="G1370">
        <v>102</v>
      </c>
    </row>
    <row r="1371" spans="1:7" ht="15" x14ac:dyDescent="0.25">
      <c r="A1371" t="s">
        <v>12917</v>
      </c>
      <c r="B1371">
        <v>1</v>
      </c>
      <c r="C1371">
        <v>69</v>
      </c>
      <c r="D1371">
        <v>69</v>
      </c>
      <c r="E1371">
        <v>32</v>
      </c>
      <c r="F1371">
        <v>32</v>
      </c>
      <c r="G1371">
        <v>69</v>
      </c>
    </row>
    <row r="1372" spans="1:7" ht="15" x14ac:dyDescent="0.25">
      <c r="A1372" t="s">
        <v>12925</v>
      </c>
      <c r="B1372">
        <v>1</v>
      </c>
      <c r="C1372">
        <v>2713</v>
      </c>
      <c r="D1372">
        <v>2713</v>
      </c>
      <c r="E1372">
        <v>52</v>
      </c>
      <c r="F1372">
        <v>52</v>
      </c>
      <c r="G1372">
        <v>2713</v>
      </c>
    </row>
    <row r="1373" spans="1:7" ht="15" x14ac:dyDescent="0.25">
      <c r="A1373" t="s">
        <v>12931</v>
      </c>
      <c r="B1373">
        <v>1</v>
      </c>
      <c r="C1373">
        <v>148</v>
      </c>
      <c r="D1373">
        <v>148</v>
      </c>
      <c r="E1373">
        <v>22</v>
      </c>
      <c r="F1373">
        <v>22</v>
      </c>
      <c r="G1373">
        <v>148</v>
      </c>
    </row>
    <row r="1374" spans="1:7" ht="15" x14ac:dyDescent="0.25">
      <c r="A1374" t="s">
        <v>12939</v>
      </c>
      <c r="B1374">
        <v>1</v>
      </c>
      <c r="C1374">
        <v>723</v>
      </c>
      <c r="D1374">
        <v>723</v>
      </c>
      <c r="E1374">
        <v>102</v>
      </c>
      <c r="F1374">
        <v>102</v>
      </c>
      <c r="G1374">
        <v>723</v>
      </c>
    </row>
    <row r="1375" spans="1:7" ht="15" x14ac:dyDescent="0.25">
      <c r="A1375" t="s">
        <v>12946</v>
      </c>
      <c r="B1375">
        <v>1</v>
      </c>
      <c r="C1375">
        <v>1547</v>
      </c>
      <c r="D1375">
        <v>1547</v>
      </c>
      <c r="E1375">
        <v>61</v>
      </c>
      <c r="F1375">
        <v>61</v>
      </c>
      <c r="G1375">
        <v>1547</v>
      </c>
    </row>
    <row r="1376" spans="1:7" ht="15" x14ac:dyDescent="0.25">
      <c r="A1376" t="s">
        <v>12950</v>
      </c>
      <c r="B1376">
        <v>1</v>
      </c>
      <c r="C1376">
        <v>701</v>
      </c>
      <c r="D1376">
        <v>701</v>
      </c>
      <c r="E1376">
        <v>28</v>
      </c>
      <c r="F1376">
        <v>28</v>
      </c>
      <c r="G1376">
        <v>701</v>
      </c>
    </row>
    <row r="1377" spans="1:7" ht="15" x14ac:dyDescent="0.25">
      <c r="A1377" t="s">
        <v>12958</v>
      </c>
      <c r="B1377">
        <v>1</v>
      </c>
      <c r="D1377">
        <v>0</v>
      </c>
      <c r="E1377">
        <v>5</v>
      </c>
      <c r="F1377">
        <v>5</v>
      </c>
    </row>
    <row r="1378" spans="1:7" ht="15" x14ac:dyDescent="0.25">
      <c r="A1378" t="s">
        <v>12963</v>
      </c>
      <c r="B1378">
        <v>1</v>
      </c>
      <c r="C1378">
        <v>135</v>
      </c>
      <c r="D1378">
        <v>135</v>
      </c>
      <c r="E1378">
        <v>0</v>
      </c>
      <c r="F1378">
        <v>0</v>
      </c>
      <c r="G1378">
        <v>135</v>
      </c>
    </row>
    <row r="1379" spans="1:7" ht="15" x14ac:dyDescent="0.25">
      <c r="A1379" t="s">
        <v>12969</v>
      </c>
      <c r="B1379">
        <v>1</v>
      </c>
      <c r="C1379">
        <v>63</v>
      </c>
      <c r="D1379">
        <v>63</v>
      </c>
      <c r="E1379">
        <v>28</v>
      </c>
      <c r="F1379">
        <v>28</v>
      </c>
      <c r="G1379">
        <v>63</v>
      </c>
    </row>
    <row r="1380" spans="1:7" ht="15" x14ac:dyDescent="0.25">
      <c r="A1380" t="s">
        <v>12978</v>
      </c>
      <c r="B1380">
        <v>1</v>
      </c>
      <c r="C1380">
        <v>82</v>
      </c>
      <c r="D1380">
        <v>82</v>
      </c>
      <c r="E1380">
        <v>36</v>
      </c>
      <c r="F1380">
        <v>36</v>
      </c>
      <c r="G1380">
        <v>82</v>
      </c>
    </row>
    <row r="1381" spans="1:7" ht="15" x14ac:dyDescent="0.25">
      <c r="A1381" t="s">
        <v>12986</v>
      </c>
      <c r="B1381">
        <v>1</v>
      </c>
      <c r="C1381">
        <v>134</v>
      </c>
      <c r="D1381">
        <v>134</v>
      </c>
      <c r="E1381">
        <v>10</v>
      </c>
      <c r="F1381">
        <v>10</v>
      </c>
      <c r="G1381">
        <v>134</v>
      </c>
    </row>
    <row r="1382" spans="1:7" ht="15" x14ac:dyDescent="0.25">
      <c r="A1382" t="s">
        <v>12997</v>
      </c>
      <c r="B1382">
        <v>1</v>
      </c>
      <c r="C1382">
        <v>998</v>
      </c>
      <c r="D1382">
        <v>998</v>
      </c>
      <c r="E1382">
        <v>154</v>
      </c>
      <c r="F1382">
        <v>154</v>
      </c>
      <c r="G1382">
        <v>998</v>
      </c>
    </row>
    <row r="1383" spans="1:7" ht="15" x14ac:dyDescent="0.25">
      <c r="A1383" t="s">
        <v>13002</v>
      </c>
      <c r="B1383">
        <v>1</v>
      </c>
      <c r="D1383">
        <v>0</v>
      </c>
      <c r="E1383">
        <v>132</v>
      </c>
      <c r="F1383">
        <v>132</v>
      </c>
    </row>
    <row r="1384" spans="1:7" ht="15" x14ac:dyDescent="0.25">
      <c r="A1384" t="s">
        <v>13010</v>
      </c>
      <c r="B1384">
        <v>1</v>
      </c>
      <c r="C1384">
        <v>1122</v>
      </c>
      <c r="D1384">
        <v>1122</v>
      </c>
      <c r="E1384">
        <v>67</v>
      </c>
      <c r="F1384">
        <v>67</v>
      </c>
      <c r="G1384">
        <v>1122</v>
      </c>
    </row>
    <row r="1385" spans="1:7" ht="15" x14ac:dyDescent="0.25">
      <c r="A1385" t="s">
        <v>13018</v>
      </c>
      <c r="B1385">
        <v>1</v>
      </c>
      <c r="C1385">
        <v>136</v>
      </c>
      <c r="D1385">
        <v>136</v>
      </c>
      <c r="E1385">
        <v>3</v>
      </c>
      <c r="F1385">
        <v>3</v>
      </c>
      <c r="G1385">
        <v>136</v>
      </c>
    </row>
    <row r="1386" spans="1:7" ht="15" x14ac:dyDescent="0.25">
      <c r="A1386" t="s">
        <v>13027</v>
      </c>
      <c r="B1386">
        <v>1</v>
      </c>
      <c r="C1386">
        <v>147</v>
      </c>
      <c r="D1386">
        <v>147</v>
      </c>
      <c r="E1386">
        <v>26</v>
      </c>
      <c r="F1386">
        <v>26</v>
      </c>
      <c r="G1386">
        <v>147</v>
      </c>
    </row>
    <row r="1387" spans="1:7" ht="15" x14ac:dyDescent="0.25">
      <c r="A1387" t="s">
        <v>13034</v>
      </c>
      <c r="B1387">
        <v>1</v>
      </c>
      <c r="C1387">
        <v>76</v>
      </c>
      <c r="D1387">
        <v>76</v>
      </c>
      <c r="E1387">
        <v>18</v>
      </c>
      <c r="F1387">
        <v>18</v>
      </c>
      <c r="G1387">
        <v>76</v>
      </c>
    </row>
    <row r="1388" spans="1:7" ht="15" x14ac:dyDescent="0.25">
      <c r="A1388" t="s">
        <v>13041</v>
      </c>
      <c r="B1388">
        <v>1</v>
      </c>
      <c r="C1388">
        <v>63</v>
      </c>
      <c r="D1388">
        <v>63</v>
      </c>
      <c r="E1388">
        <v>15</v>
      </c>
      <c r="F1388">
        <v>15</v>
      </c>
      <c r="G1388">
        <v>63</v>
      </c>
    </row>
    <row r="1389" spans="1:7" ht="15" x14ac:dyDescent="0.25">
      <c r="A1389" t="s">
        <v>13050</v>
      </c>
      <c r="B1389">
        <v>1</v>
      </c>
      <c r="C1389">
        <v>512</v>
      </c>
      <c r="D1389">
        <v>512</v>
      </c>
      <c r="E1389">
        <v>123</v>
      </c>
      <c r="F1389">
        <v>123</v>
      </c>
      <c r="G1389">
        <v>512</v>
      </c>
    </row>
    <row r="1390" spans="1:7" ht="15" x14ac:dyDescent="0.25">
      <c r="A1390" t="s">
        <v>13053</v>
      </c>
      <c r="B1390">
        <v>5</v>
      </c>
      <c r="C1390">
        <v>603</v>
      </c>
      <c r="D1390">
        <v>2899</v>
      </c>
      <c r="E1390">
        <v>94</v>
      </c>
      <c r="F1390">
        <v>18.8</v>
      </c>
      <c r="G1390">
        <v>603</v>
      </c>
    </row>
    <row r="1391" spans="1:7" ht="15" x14ac:dyDescent="0.25">
      <c r="A1391" t="s">
        <v>13059</v>
      </c>
      <c r="B1391">
        <v>6</v>
      </c>
      <c r="C1391">
        <v>202</v>
      </c>
      <c r="D1391">
        <v>1198</v>
      </c>
      <c r="E1391">
        <v>185</v>
      </c>
      <c r="F1391">
        <v>30.833333333333332</v>
      </c>
      <c r="G1391">
        <v>202</v>
      </c>
    </row>
    <row r="1392" spans="1:7" ht="15" x14ac:dyDescent="0.25">
      <c r="A1392" t="s">
        <v>13065</v>
      </c>
      <c r="B1392">
        <v>1</v>
      </c>
      <c r="C1392">
        <v>11</v>
      </c>
      <c r="D1392">
        <v>11</v>
      </c>
      <c r="E1392">
        <v>13</v>
      </c>
      <c r="F1392">
        <v>13</v>
      </c>
      <c r="G1392">
        <v>11</v>
      </c>
    </row>
    <row r="1393" spans="1:7" ht="15" x14ac:dyDescent="0.25">
      <c r="A1393" t="s">
        <v>13072</v>
      </c>
      <c r="B1393">
        <v>1</v>
      </c>
      <c r="C1393">
        <v>341</v>
      </c>
      <c r="D1393">
        <v>341</v>
      </c>
      <c r="E1393">
        <v>29</v>
      </c>
      <c r="F1393">
        <v>29</v>
      </c>
      <c r="G1393">
        <v>341</v>
      </c>
    </row>
    <row r="1394" spans="1:7" ht="15" x14ac:dyDescent="0.25">
      <c r="A1394" t="s">
        <v>13080</v>
      </c>
      <c r="B1394">
        <v>2</v>
      </c>
      <c r="C1394">
        <v>78</v>
      </c>
      <c r="D1394">
        <v>156</v>
      </c>
      <c r="E1394">
        <v>21</v>
      </c>
      <c r="F1394">
        <v>10.5</v>
      </c>
      <c r="G1394">
        <v>78</v>
      </c>
    </row>
    <row r="1395" spans="1:7" ht="15" x14ac:dyDescent="0.25">
      <c r="A1395" t="s">
        <v>13095</v>
      </c>
      <c r="B1395">
        <v>2</v>
      </c>
      <c r="C1395">
        <v>15063</v>
      </c>
      <c r="D1395">
        <v>30055</v>
      </c>
      <c r="E1395">
        <v>305</v>
      </c>
      <c r="F1395">
        <v>152.5</v>
      </c>
      <c r="G1395">
        <v>15063</v>
      </c>
    </row>
    <row r="1396" spans="1:7" ht="15" x14ac:dyDescent="0.25">
      <c r="A1396" t="s">
        <v>13102</v>
      </c>
      <c r="B1396">
        <v>1</v>
      </c>
      <c r="C1396">
        <v>268</v>
      </c>
      <c r="D1396">
        <v>268</v>
      </c>
      <c r="E1396">
        <v>25</v>
      </c>
      <c r="F1396">
        <v>25</v>
      </c>
      <c r="G1396">
        <v>268</v>
      </c>
    </row>
    <row r="1397" spans="1:7" ht="15" x14ac:dyDescent="0.25">
      <c r="A1397" t="s">
        <v>13107</v>
      </c>
      <c r="B1397">
        <v>1</v>
      </c>
      <c r="C1397">
        <v>766</v>
      </c>
      <c r="D1397">
        <v>766</v>
      </c>
      <c r="E1397">
        <v>108</v>
      </c>
      <c r="F1397">
        <v>108</v>
      </c>
      <c r="G1397">
        <v>766</v>
      </c>
    </row>
    <row r="1398" spans="1:7" ht="15" x14ac:dyDescent="0.25">
      <c r="A1398" t="s">
        <v>13114</v>
      </c>
      <c r="B1398">
        <v>1</v>
      </c>
      <c r="C1398">
        <v>1611</v>
      </c>
      <c r="D1398">
        <v>1611</v>
      </c>
      <c r="E1398">
        <v>54</v>
      </c>
      <c r="F1398">
        <v>54</v>
      </c>
      <c r="G1398">
        <v>1611</v>
      </c>
    </row>
    <row r="1399" spans="1:7" ht="15" x14ac:dyDescent="0.25">
      <c r="A1399" t="s">
        <v>13119</v>
      </c>
      <c r="B1399">
        <v>1</v>
      </c>
      <c r="C1399">
        <v>6746</v>
      </c>
      <c r="D1399">
        <v>6746</v>
      </c>
      <c r="E1399">
        <v>40</v>
      </c>
      <c r="F1399">
        <v>40</v>
      </c>
      <c r="G1399">
        <v>6746</v>
      </c>
    </row>
    <row r="1400" spans="1:7" ht="15" x14ac:dyDescent="0.25">
      <c r="A1400" t="s">
        <v>13124</v>
      </c>
      <c r="B1400">
        <v>1</v>
      </c>
      <c r="C1400">
        <v>887</v>
      </c>
      <c r="D1400">
        <v>887</v>
      </c>
      <c r="E1400">
        <v>126</v>
      </c>
      <c r="F1400">
        <v>126</v>
      </c>
      <c r="G1400">
        <v>887</v>
      </c>
    </row>
    <row r="1401" spans="1:7" ht="15" x14ac:dyDescent="0.25">
      <c r="A1401" t="s">
        <v>13131</v>
      </c>
      <c r="B1401">
        <v>1</v>
      </c>
      <c r="C1401">
        <v>389</v>
      </c>
      <c r="D1401">
        <v>389</v>
      </c>
      <c r="E1401">
        <v>119</v>
      </c>
      <c r="F1401">
        <v>119</v>
      </c>
      <c r="G1401">
        <v>389</v>
      </c>
    </row>
    <row r="1402" spans="1:7" ht="15" x14ac:dyDescent="0.25">
      <c r="A1402" t="s">
        <v>13143</v>
      </c>
      <c r="B1402">
        <v>1</v>
      </c>
      <c r="C1402">
        <v>45</v>
      </c>
      <c r="D1402">
        <v>45</v>
      </c>
      <c r="E1402">
        <v>19</v>
      </c>
      <c r="F1402">
        <v>19</v>
      </c>
      <c r="G1402">
        <v>45</v>
      </c>
    </row>
    <row r="1403" spans="1:7" ht="15" x14ac:dyDescent="0.25">
      <c r="A1403" t="s">
        <v>13151</v>
      </c>
      <c r="B1403">
        <v>1</v>
      </c>
      <c r="C1403">
        <v>2</v>
      </c>
      <c r="D1403">
        <v>2</v>
      </c>
      <c r="E1403">
        <v>17</v>
      </c>
      <c r="F1403">
        <v>17</v>
      </c>
      <c r="G1403">
        <v>2</v>
      </c>
    </row>
    <row r="1404" spans="1:7" ht="15" x14ac:dyDescent="0.25">
      <c r="A1404" t="s">
        <v>13157</v>
      </c>
      <c r="B1404">
        <v>1</v>
      </c>
      <c r="C1404">
        <v>304</v>
      </c>
      <c r="D1404">
        <v>304</v>
      </c>
      <c r="E1404">
        <v>73</v>
      </c>
      <c r="F1404">
        <v>73</v>
      </c>
      <c r="G1404">
        <v>304</v>
      </c>
    </row>
    <row r="1405" spans="1:7" ht="15" x14ac:dyDescent="0.25">
      <c r="A1405" t="s">
        <v>13165</v>
      </c>
      <c r="B1405">
        <v>1</v>
      </c>
      <c r="C1405">
        <v>591</v>
      </c>
      <c r="D1405">
        <v>591</v>
      </c>
      <c r="E1405">
        <v>21</v>
      </c>
      <c r="F1405">
        <v>21</v>
      </c>
      <c r="G1405">
        <v>591</v>
      </c>
    </row>
    <row r="1406" spans="1:7" ht="15" x14ac:dyDescent="0.25">
      <c r="A1406" t="s">
        <v>13174</v>
      </c>
      <c r="B1406">
        <v>1</v>
      </c>
      <c r="C1406">
        <v>2639</v>
      </c>
      <c r="D1406">
        <v>2639</v>
      </c>
      <c r="E1406">
        <v>186</v>
      </c>
      <c r="F1406">
        <v>186</v>
      </c>
      <c r="G1406">
        <v>2639</v>
      </c>
    </row>
    <row r="1407" spans="1:7" ht="15" x14ac:dyDescent="0.25">
      <c r="A1407" t="s">
        <v>13187</v>
      </c>
      <c r="B1407">
        <v>1</v>
      </c>
      <c r="C1407">
        <v>412</v>
      </c>
      <c r="D1407">
        <v>412</v>
      </c>
      <c r="E1407">
        <v>93</v>
      </c>
      <c r="F1407">
        <v>93</v>
      </c>
      <c r="G1407">
        <v>412</v>
      </c>
    </row>
    <row r="1408" spans="1:7" ht="15" x14ac:dyDescent="0.25">
      <c r="A1408" t="s">
        <v>13209</v>
      </c>
      <c r="B1408">
        <v>1</v>
      </c>
      <c r="C1408">
        <v>139</v>
      </c>
      <c r="D1408">
        <v>139</v>
      </c>
      <c r="E1408">
        <v>53</v>
      </c>
      <c r="F1408">
        <v>53</v>
      </c>
      <c r="G1408">
        <v>139</v>
      </c>
    </row>
    <row r="1409" spans="1:7" ht="15" x14ac:dyDescent="0.25">
      <c r="A1409" t="s">
        <v>13217</v>
      </c>
      <c r="B1409">
        <v>1</v>
      </c>
      <c r="C1409">
        <v>324</v>
      </c>
      <c r="D1409">
        <v>324</v>
      </c>
      <c r="E1409">
        <v>30</v>
      </c>
      <c r="F1409">
        <v>30</v>
      </c>
      <c r="G1409">
        <v>324</v>
      </c>
    </row>
    <row r="1410" spans="1:7" ht="15" x14ac:dyDescent="0.25">
      <c r="A1410" t="s">
        <v>13225</v>
      </c>
      <c r="B1410">
        <v>1</v>
      </c>
      <c r="C1410">
        <v>482</v>
      </c>
      <c r="D1410">
        <v>482</v>
      </c>
      <c r="E1410">
        <v>64</v>
      </c>
      <c r="F1410">
        <v>64</v>
      </c>
      <c r="G1410">
        <v>482</v>
      </c>
    </row>
    <row r="1411" spans="1:7" ht="15" x14ac:dyDescent="0.25">
      <c r="A1411" t="s">
        <v>13237</v>
      </c>
      <c r="B1411">
        <v>1</v>
      </c>
      <c r="C1411">
        <v>171</v>
      </c>
      <c r="D1411">
        <v>171</v>
      </c>
      <c r="E1411">
        <v>19</v>
      </c>
      <c r="F1411">
        <v>19</v>
      </c>
      <c r="G1411">
        <v>171</v>
      </c>
    </row>
    <row r="1412" spans="1:7" ht="15" x14ac:dyDescent="0.25">
      <c r="A1412" t="s">
        <v>13244</v>
      </c>
      <c r="B1412">
        <v>1</v>
      </c>
      <c r="C1412">
        <v>286</v>
      </c>
      <c r="D1412">
        <v>286</v>
      </c>
      <c r="E1412">
        <v>11</v>
      </c>
      <c r="F1412">
        <v>11</v>
      </c>
      <c r="G1412">
        <v>286</v>
      </c>
    </row>
    <row r="1413" spans="1:7" ht="15" x14ac:dyDescent="0.25">
      <c r="A1413" t="s">
        <v>13250</v>
      </c>
      <c r="B1413">
        <v>2</v>
      </c>
      <c r="C1413">
        <v>707</v>
      </c>
      <c r="D1413">
        <v>1391</v>
      </c>
      <c r="E1413">
        <v>204</v>
      </c>
      <c r="F1413">
        <v>102</v>
      </c>
      <c r="G1413">
        <v>707</v>
      </c>
    </row>
    <row r="1414" spans="1:7" ht="15" x14ac:dyDescent="0.25">
      <c r="A1414" t="s">
        <v>13255</v>
      </c>
      <c r="B1414">
        <v>1</v>
      </c>
      <c r="C1414">
        <v>425</v>
      </c>
      <c r="D1414">
        <v>425</v>
      </c>
      <c r="E1414">
        <v>17</v>
      </c>
      <c r="F1414">
        <v>17</v>
      </c>
      <c r="G1414">
        <v>425</v>
      </c>
    </row>
    <row r="1415" spans="1:7" ht="15" x14ac:dyDescent="0.25">
      <c r="A1415" t="s">
        <v>13261</v>
      </c>
      <c r="B1415">
        <v>1</v>
      </c>
      <c r="C1415">
        <v>82</v>
      </c>
      <c r="D1415">
        <v>82</v>
      </c>
      <c r="E1415">
        <v>28</v>
      </c>
      <c r="F1415">
        <v>28</v>
      </c>
      <c r="G1415">
        <v>82</v>
      </c>
    </row>
    <row r="1416" spans="1:7" ht="15" x14ac:dyDescent="0.25">
      <c r="A1416" t="s">
        <v>13265</v>
      </c>
      <c r="B1416">
        <v>1</v>
      </c>
      <c r="C1416">
        <v>529</v>
      </c>
      <c r="D1416">
        <v>529</v>
      </c>
      <c r="E1416">
        <v>63</v>
      </c>
      <c r="F1416">
        <v>63</v>
      </c>
      <c r="G1416">
        <v>529</v>
      </c>
    </row>
    <row r="1417" spans="1:7" ht="15" x14ac:dyDescent="0.25">
      <c r="A1417" t="s">
        <v>13271</v>
      </c>
      <c r="B1417">
        <v>1</v>
      </c>
      <c r="C1417">
        <v>344</v>
      </c>
      <c r="D1417">
        <v>344</v>
      </c>
      <c r="E1417">
        <v>58</v>
      </c>
      <c r="F1417">
        <v>58</v>
      </c>
      <c r="G1417">
        <v>344</v>
      </c>
    </row>
    <row r="1418" spans="1:7" ht="15" x14ac:dyDescent="0.25">
      <c r="A1418" t="s">
        <v>13277</v>
      </c>
      <c r="B1418">
        <v>1</v>
      </c>
      <c r="C1418">
        <v>377</v>
      </c>
      <c r="D1418">
        <v>377</v>
      </c>
      <c r="E1418">
        <v>9</v>
      </c>
      <c r="F1418">
        <v>9</v>
      </c>
      <c r="G1418">
        <v>377</v>
      </c>
    </row>
    <row r="1419" spans="1:7" ht="15" x14ac:dyDescent="0.25">
      <c r="A1419" t="s">
        <v>13287</v>
      </c>
      <c r="B1419">
        <v>1</v>
      </c>
      <c r="C1419">
        <v>407</v>
      </c>
      <c r="D1419">
        <v>407</v>
      </c>
      <c r="E1419">
        <v>19</v>
      </c>
      <c r="F1419">
        <v>19</v>
      </c>
      <c r="G1419">
        <v>407</v>
      </c>
    </row>
    <row r="1420" spans="1:7" ht="15" x14ac:dyDescent="0.25">
      <c r="A1420" t="s">
        <v>13293</v>
      </c>
      <c r="B1420">
        <v>1</v>
      </c>
      <c r="C1420">
        <v>8</v>
      </c>
      <c r="D1420">
        <v>8</v>
      </c>
      <c r="E1420">
        <v>10</v>
      </c>
      <c r="F1420">
        <v>10</v>
      </c>
      <c r="G1420">
        <v>8</v>
      </c>
    </row>
    <row r="1421" spans="1:7" ht="15" x14ac:dyDescent="0.25">
      <c r="A1421" t="s">
        <v>13303</v>
      </c>
      <c r="B1421">
        <v>1</v>
      </c>
      <c r="C1421">
        <v>110</v>
      </c>
      <c r="D1421">
        <v>110</v>
      </c>
      <c r="E1421">
        <v>12</v>
      </c>
      <c r="F1421">
        <v>12</v>
      </c>
      <c r="G1421">
        <v>110</v>
      </c>
    </row>
    <row r="1422" spans="1:7" ht="15" x14ac:dyDescent="0.25">
      <c r="A1422" t="s">
        <v>13313</v>
      </c>
      <c r="B1422">
        <v>1</v>
      </c>
      <c r="C1422">
        <v>764</v>
      </c>
      <c r="D1422">
        <v>764</v>
      </c>
      <c r="E1422">
        <v>24</v>
      </c>
      <c r="F1422">
        <v>24</v>
      </c>
      <c r="G1422">
        <v>764</v>
      </c>
    </row>
    <row r="1423" spans="1:7" ht="15" x14ac:dyDescent="0.25">
      <c r="A1423" t="s">
        <v>13320</v>
      </c>
      <c r="B1423">
        <v>1</v>
      </c>
      <c r="C1423">
        <v>252</v>
      </c>
      <c r="D1423">
        <v>252</v>
      </c>
      <c r="E1423">
        <v>47</v>
      </c>
      <c r="F1423">
        <v>47</v>
      </c>
      <c r="G1423">
        <v>252</v>
      </c>
    </row>
    <row r="1424" spans="1:7" ht="15" x14ac:dyDescent="0.25">
      <c r="A1424" t="s">
        <v>13325</v>
      </c>
      <c r="B1424">
        <v>1</v>
      </c>
      <c r="C1424">
        <v>79</v>
      </c>
      <c r="D1424">
        <v>79</v>
      </c>
      <c r="E1424">
        <v>22</v>
      </c>
      <c r="F1424">
        <v>22</v>
      </c>
      <c r="G1424">
        <v>79</v>
      </c>
    </row>
    <row r="1425" spans="1:7" ht="15" x14ac:dyDescent="0.25">
      <c r="A1425" t="s">
        <v>13346</v>
      </c>
      <c r="B1425">
        <v>1</v>
      </c>
      <c r="C1425">
        <v>1293</v>
      </c>
      <c r="D1425">
        <v>1293</v>
      </c>
      <c r="E1425">
        <v>130</v>
      </c>
      <c r="F1425">
        <v>130</v>
      </c>
      <c r="G1425">
        <v>1293</v>
      </c>
    </row>
    <row r="1426" spans="1:7" ht="15" x14ac:dyDescent="0.25">
      <c r="A1426" t="s">
        <v>13351</v>
      </c>
      <c r="B1426">
        <v>1</v>
      </c>
      <c r="C1426">
        <v>36</v>
      </c>
      <c r="D1426">
        <v>36</v>
      </c>
      <c r="E1426">
        <v>15</v>
      </c>
      <c r="F1426">
        <v>15</v>
      </c>
      <c r="G1426">
        <v>36</v>
      </c>
    </row>
    <row r="1427" spans="1:7" ht="15" x14ac:dyDescent="0.25">
      <c r="A1427" t="s">
        <v>13367</v>
      </c>
      <c r="B1427">
        <v>1</v>
      </c>
      <c r="C1427">
        <v>116</v>
      </c>
      <c r="D1427">
        <v>116</v>
      </c>
      <c r="E1427">
        <v>12</v>
      </c>
      <c r="F1427">
        <v>12</v>
      </c>
      <c r="G1427">
        <v>116</v>
      </c>
    </row>
    <row r="1428" spans="1:7" ht="15" x14ac:dyDescent="0.25">
      <c r="A1428" t="s">
        <v>13376</v>
      </c>
      <c r="B1428">
        <v>1</v>
      </c>
      <c r="C1428">
        <v>1517</v>
      </c>
      <c r="D1428">
        <v>1517</v>
      </c>
      <c r="E1428">
        <v>85</v>
      </c>
      <c r="F1428">
        <v>85</v>
      </c>
      <c r="G1428">
        <v>1517</v>
      </c>
    </row>
    <row r="1429" spans="1:7" ht="15" x14ac:dyDescent="0.25">
      <c r="A1429" t="s">
        <v>13379</v>
      </c>
      <c r="B1429">
        <v>1</v>
      </c>
      <c r="C1429">
        <v>1476</v>
      </c>
      <c r="D1429">
        <v>1476</v>
      </c>
      <c r="E1429">
        <v>98</v>
      </c>
      <c r="F1429">
        <v>98</v>
      </c>
      <c r="G1429">
        <v>1476</v>
      </c>
    </row>
    <row r="1430" spans="1:7" ht="15" x14ac:dyDescent="0.25">
      <c r="A1430" t="s">
        <v>13389</v>
      </c>
      <c r="B1430">
        <v>1</v>
      </c>
      <c r="C1430">
        <v>8</v>
      </c>
      <c r="D1430">
        <v>8</v>
      </c>
      <c r="E1430">
        <v>1</v>
      </c>
      <c r="F1430">
        <v>1</v>
      </c>
      <c r="G1430">
        <v>8</v>
      </c>
    </row>
    <row r="1431" spans="1:7" ht="15" x14ac:dyDescent="0.25">
      <c r="A1431" t="s">
        <v>13394</v>
      </c>
      <c r="B1431">
        <v>1</v>
      </c>
      <c r="C1431">
        <v>114</v>
      </c>
      <c r="D1431">
        <v>114</v>
      </c>
      <c r="E1431">
        <v>10</v>
      </c>
      <c r="F1431">
        <v>10</v>
      </c>
      <c r="G1431">
        <v>114</v>
      </c>
    </row>
    <row r="1432" spans="1:7" ht="15" x14ac:dyDescent="0.25">
      <c r="A1432" t="s">
        <v>13400</v>
      </c>
      <c r="B1432">
        <v>1</v>
      </c>
      <c r="C1432">
        <v>90</v>
      </c>
      <c r="D1432">
        <v>90</v>
      </c>
      <c r="E1432">
        <v>11</v>
      </c>
      <c r="F1432">
        <v>11</v>
      </c>
      <c r="G1432">
        <v>90</v>
      </c>
    </row>
    <row r="1433" spans="1:7" ht="15" x14ac:dyDescent="0.25">
      <c r="A1433" t="s">
        <v>13404</v>
      </c>
      <c r="B1433">
        <v>1</v>
      </c>
      <c r="C1433">
        <v>156</v>
      </c>
      <c r="D1433">
        <v>156</v>
      </c>
      <c r="E1433">
        <v>12</v>
      </c>
      <c r="F1433">
        <v>12</v>
      </c>
      <c r="G1433">
        <v>156</v>
      </c>
    </row>
    <row r="1434" spans="1:7" ht="15" x14ac:dyDescent="0.25">
      <c r="A1434" t="s">
        <v>13411</v>
      </c>
      <c r="B1434">
        <v>1</v>
      </c>
      <c r="C1434">
        <v>37</v>
      </c>
      <c r="D1434">
        <v>37</v>
      </c>
      <c r="E1434">
        <v>19</v>
      </c>
      <c r="F1434">
        <v>19</v>
      </c>
      <c r="G1434">
        <v>37</v>
      </c>
    </row>
    <row r="1435" spans="1:7" ht="15" x14ac:dyDescent="0.25">
      <c r="A1435" t="s">
        <v>13416</v>
      </c>
      <c r="B1435">
        <v>1</v>
      </c>
      <c r="C1435">
        <v>48</v>
      </c>
      <c r="D1435">
        <v>48</v>
      </c>
      <c r="E1435">
        <v>24</v>
      </c>
      <c r="F1435">
        <v>24</v>
      </c>
      <c r="G1435">
        <v>48</v>
      </c>
    </row>
    <row r="1436" spans="1:7" ht="15" x14ac:dyDescent="0.25">
      <c r="A1436" t="s">
        <v>13422</v>
      </c>
      <c r="B1436">
        <v>1</v>
      </c>
      <c r="C1436">
        <v>33</v>
      </c>
      <c r="D1436">
        <v>33</v>
      </c>
      <c r="E1436">
        <v>12</v>
      </c>
      <c r="F1436">
        <v>12</v>
      </c>
      <c r="G1436">
        <v>33</v>
      </c>
    </row>
    <row r="1437" spans="1:7" ht="15" x14ac:dyDescent="0.25">
      <c r="A1437" t="s">
        <v>13431</v>
      </c>
      <c r="B1437">
        <v>1</v>
      </c>
      <c r="C1437">
        <v>97</v>
      </c>
      <c r="D1437">
        <v>97</v>
      </c>
      <c r="E1437">
        <v>45</v>
      </c>
      <c r="F1437">
        <v>45</v>
      </c>
      <c r="G1437">
        <v>97</v>
      </c>
    </row>
    <row r="1438" spans="1:7" ht="15" x14ac:dyDescent="0.25">
      <c r="A1438" t="s">
        <v>13437</v>
      </c>
      <c r="B1438">
        <v>1</v>
      </c>
      <c r="C1438">
        <v>183</v>
      </c>
      <c r="D1438">
        <v>183</v>
      </c>
      <c r="E1438">
        <v>34</v>
      </c>
      <c r="F1438">
        <v>34</v>
      </c>
      <c r="G1438">
        <v>183</v>
      </c>
    </row>
    <row r="1439" spans="1:7" ht="15" x14ac:dyDescent="0.25">
      <c r="A1439" t="s">
        <v>13444</v>
      </c>
      <c r="B1439">
        <v>1</v>
      </c>
      <c r="C1439">
        <v>149</v>
      </c>
      <c r="D1439">
        <v>149</v>
      </c>
      <c r="E1439">
        <v>34</v>
      </c>
      <c r="F1439">
        <v>34</v>
      </c>
      <c r="G1439">
        <v>149</v>
      </c>
    </row>
    <row r="1440" spans="1:7" ht="15" x14ac:dyDescent="0.25">
      <c r="A1440" t="s">
        <v>13452</v>
      </c>
      <c r="B1440">
        <v>1</v>
      </c>
      <c r="C1440">
        <v>1066</v>
      </c>
      <c r="D1440">
        <v>1066</v>
      </c>
      <c r="E1440">
        <v>57</v>
      </c>
      <c r="F1440">
        <v>57</v>
      </c>
      <c r="G1440">
        <v>1066</v>
      </c>
    </row>
    <row r="1441" spans="1:7" ht="15" x14ac:dyDescent="0.25">
      <c r="A1441" t="s">
        <v>13458</v>
      </c>
      <c r="B1441">
        <v>1</v>
      </c>
      <c r="C1441">
        <v>138</v>
      </c>
      <c r="D1441">
        <v>138</v>
      </c>
      <c r="E1441">
        <v>18</v>
      </c>
      <c r="F1441">
        <v>18</v>
      </c>
      <c r="G1441">
        <v>138</v>
      </c>
    </row>
    <row r="1442" spans="1:7" ht="15" x14ac:dyDescent="0.25">
      <c r="A1442" t="s">
        <v>13464</v>
      </c>
      <c r="B1442">
        <v>1</v>
      </c>
      <c r="C1442">
        <v>754</v>
      </c>
      <c r="D1442">
        <v>754</v>
      </c>
      <c r="E1442">
        <v>44</v>
      </c>
      <c r="F1442">
        <v>44</v>
      </c>
      <c r="G1442">
        <v>754</v>
      </c>
    </row>
    <row r="1443" spans="1:7" ht="15" x14ac:dyDescent="0.25">
      <c r="A1443" t="s">
        <v>13473</v>
      </c>
      <c r="B1443">
        <v>1</v>
      </c>
      <c r="C1443">
        <v>207</v>
      </c>
      <c r="D1443">
        <v>207</v>
      </c>
      <c r="E1443">
        <v>61</v>
      </c>
      <c r="F1443">
        <v>61</v>
      </c>
      <c r="G1443">
        <v>207</v>
      </c>
    </row>
    <row r="1444" spans="1:7" ht="15" x14ac:dyDescent="0.25">
      <c r="A1444" t="s">
        <v>13486</v>
      </c>
      <c r="B1444">
        <v>1</v>
      </c>
      <c r="C1444">
        <v>62</v>
      </c>
      <c r="D1444">
        <v>62</v>
      </c>
      <c r="E1444">
        <v>15</v>
      </c>
      <c r="F1444">
        <v>15</v>
      </c>
      <c r="G1444">
        <v>62</v>
      </c>
    </row>
    <row r="1445" spans="1:7" ht="15" x14ac:dyDescent="0.25">
      <c r="A1445" t="s">
        <v>13493</v>
      </c>
      <c r="B1445">
        <v>1</v>
      </c>
      <c r="C1445">
        <v>1045</v>
      </c>
      <c r="D1445">
        <v>1045</v>
      </c>
      <c r="E1445">
        <v>138</v>
      </c>
      <c r="F1445">
        <v>138</v>
      </c>
      <c r="G1445">
        <v>1045</v>
      </c>
    </row>
    <row r="1446" spans="1:7" ht="15" x14ac:dyDescent="0.25">
      <c r="A1446" t="s">
        <v>13501</v>
      </c>
      <c r="B1446">
        <v>1</v>
      </c>
      <c r="C1446">
        <v>232</v>
      </c>
      <c r="D1446">
        <v>232</v>
      </c>
      <c r="E1446">
        <v>25</v>
      </c>
      <c r="F1446">
        <v>25</v>
      </c>
      <c r="G1446">
        <v>232</v>
      </c>
    </row>
    <row r="1447" spans="1:7" ht="15" x14ac:dyDescent="0.25">
      <c r="A1447" t="s">
        <v>13506</v>
      </c>
      <c r="B1447">
        <v>1</v>
      </c>
      <c r="C1447">
        <v>442</v>
      </c>
      <c r="D1447">
        <v>442</v>
      </c>
      <c r="E1447">
        <v>98</v>
      </c>
      <c r="F1447">
        <v>98</v>
      </c>
      <c r="G1447">
        <v>442</v>
      </c>
    </row>
    <row r="1448" spans="1:7" ht="15" x14ac:dyDescent="0.25">
      <c r="A1448" t="s">
        <v>13512</v>
      </c>
      <c r="B1448">
        <v>1</v>
      </c>
      <c r="C1448">
        <v>521</v>
      </c>
      <c r="D1448">
        <v>521</v>
      </c>
      <c r="E1448">
        <v>26</v>
      </c>
      <c r="F1448">
        <v>26</v>
      </c>
      <c r="G1448">
        <v>521</v>
      </c>
    </row>
    <row r="1449" spans="1:7" ht="15" x14ac:dyDescent="0.25">
      <c r="A1449" t="s">
        <v>13518</v>
      </c>
      <c r="B1449">
        <v>1</v>
      </c>
      <c r="C1449">
        <v>3066</v>
      </c>
      <c r="D1449">
        <v>3066</v>
      </c>
      <c r="E1449">
        <v>201</v>
      </c>
      <c r="F1449">
        <v>201</v>
      </c>
      <c r="G1449">
        <v>3066</v>
      </c>
    </row>
    <row r="1450" spans="1:7" ht="15" x14ac:dyDescent="0.25">
      <c r="A1450" t="s">
        <v>13531</v>
      </c>
      <c r="B1450">
        <v>2</v>
      </c>
      <c r="C1450">
        <v>176</v>
      </c>
      <c r="D1450">
        <v>353</v>
      </c>
      <c r="E1450">
        <v>126</v>
      </c>
      <c r="F1450">
        <v>63</v>
      </c>
      <c r="G1450">
        <v>177</v>
      </c>
    </row>
    <row r="1451" spans="1:7" ht="15" x14ac:dyDescent="0.25">
      <c r="A1451" t="s">
        <v>13537</v>
      </c>
      <c r="B1451">
        <v>1</v>
      </c>
      <c r="C1451">
        <v>125</v>
      </c>
      <c r="D1451">
        <v>125</v>
      </c>
      <c r="E1451">
        <v>18</v>
      </c>
      <c r="F1451">
        <v>18</v>
      </c>
      <c r="G1451">
        <v>125</v>
      </c>
    </row>
    <row r="1452" spans="1:7" ht="15" x14ac:dyDescent="0.25">
      <c r="A1452" t="s">
        <v>13542</v>
      </c>
      <c r="B1452">
        <v>1</v>
      </c>
      <c r="C1452">
        <v>496</v>
      </c>
      <c r="D1452">
        <v>496</v>
      </c>
      <c r="E1452">
        <v>25</v>
      </c>
      <c r="F1452">
        <v>25</v>
      </c>
      <c r="G1452">
        <v>496</v>
      </c>
    </row>
    <row r="1453" spans="1:7" ht="15" x14ac:dyDescent="0.25">
      <c r="A1453" t="s">
        <v>13548</v>
      </c>
      <c r="B1453">
        <v>1</v>
      </c>
      <c r="C1453">
        <v>805</v>
      </c>
      <c r="D1453">
        <v>805</v>
      </c>
      <c r="E1453">
        <v>126</v>
      </c>
      <c r="F1453">
        <v>126</v>
      </c>
      <c r="G1453">
        <v>805</v>
      </c>
    </row>
    <row r="1454" spans="1:7" ht="15" x14ac:dyDescent="0.25">
      <c r="A1454" t="s">
        <v>13555</v>
      </c>
      <c r="B1454">
        <v>1</v>
      </c>
      <c r="D1454">
        <v>0</v>
      </c>
      <c r="E1454">
        <v>30</v>
      </c>
      <c r="F1454">
        <v>30</v>
      </c>
    </row>
    <row r="1455" spans="1:7" ht="15" x14ac:dyDescent="0.25">
      <c r="A1455" t="s">
        <v>13563</v>
      </c>
      <c r="B1455">
        <v>2</v>
      </c>
      <c r="C1455">
        <v>409</v>
      </c>
      <c r="D1455">
        <v>806</v>
      </c>
      <c r="E1455">
        <v>154</v>
      </c>
      <c r="F1455">
        <v>77</v>
      </c>
      <c r="G1455">
        <v>409</v>
      </c>
    </row>
    <row r="1456" spans="1:7" ht="15" x14ac:dyDescent="0.25">
      <c r="A1456" t="s">
        <v>13568</v>
      </c>
      <c r="B1456">
        <v>1</v>
      </c>
      <c r="C1456">
        <v>5265</v>
      </c>
      <c r="D1456">
        <v>5265</v>
      </c>
      <c r="E1456">
        <v>619</v>
      </c>
      <c r="F1456">
        <v>619</v>
      </c>
      <c r="G1456">
        <v>5265</v>
      </c>
    </row>
    <row r="1457" spans="1:7" ht="15" x14ac:dyDescent="0.25">
      <c r="A1457" t="s">
        <v>13575</v>
      </c>
      <c r="B1457">
        <v>1</v>
      </c>
      <c r="C1457">
        <v>758</v>
      </c>
      <c r="D1457">
        <v>758</v>
      </c>
      <c r="E1457">
        <v>15</v>
      </c>
      <c r="F1457">
        <v>15</v>
      </c>
      <c r="G1457">
        <v>758</v>
      </c>
    </row>
    <row r="1458" spans="1:7" ht="15" x14ac:dyDescent="0.25">
      <c r="A1458" t="s">
        <v>13580</v>
      </c>
      <c r="B1458">
        <v>6</v>
      </c>
      <c r="C1458">
        <v>181</v>
      </c>
      <c r="D1458">
        <v>1089</v>
      </c>
      <c r="E1458">
        <v>65</v>
      </c>
      <c r="F1458">
        <v>10.833333333333334</v>
      </c>
      <c r="G1458">
        <v>182</v>
      </c>
    </row>
    <row r="1459" spans="1:7" ht="15" x14ac:dyDescent="0.25">
      <c r="A1459" t="s">
        <v>13585</v>
      </c>
      <c r="B1459">
        <v>1</v>
      </c>
      <c r="C1459">
        <v>1246</v>
      </c>
      <c r="D1459">
        <v>1246</v>
      </c>
      <c r="E1459">
        <v>71</v>
      </c>
      <c r="F1459">
        <v>71</v>
      </c>
      <c r="G1459">
        <v>1246</v>
      </c>
    </row>
    <row r="1460" spans="1:7" ht="15" x14ac:dyDescent="0.25">
      <c r="A1460" t="s">
        <v>13591</v>
      </c>
      <c r="B1460">
        <v>1</v>
      </c>
      <c r="C1460">
        <v>848</v>
      </c>
      <c r="D1460">
        <v>848</v>
      </c>
      <c r="E1460">
        <v>48</v>
      </c>
      <c r="F1460">
        <v>48</v>
      </c>
      <c r="G1460">
        <v>848</v>
      </c>
    </row>
    <row r="1461" spans="1:7" ht="15" x14ac:dyDescent="0.25">
      <c r="A1461" t="s">
        <v>13597</v>
      </c>
      <c r="B1461">
        <v>1</v>
      </c>
      <c r="C1461">
        <v>459</v>
      </c>
      <c r="D1461">
        <v>459</v>
      </c>
      <c r="E1461">
        <v>26</v>
      </c>
      <c r="F1461">
        <v>26</v>
      </c>
      <c r="G1461">
        <v>459</v>
      </c>
    </row>
    <row r="1462" spans="1:7" ht="15" x14ac:dyDescent="0.25">
      <c r="A1462" t="s">
        <v>13605</v>
      </c>
      <c r="B1462">
        <v>1</v>
      </c>
      <c r="C1462">
        <v>146</v>
      </c>
      <c r="D1462">
        <v>146</v>
      </c>
      <c r="E1462">
        <v>38</v>
      </c>
      <c r="F1462">
        <v>38</v>
      </c>
      <c r="G1462">
        <v>146</v>
      </c>
    </row>
    <row r="1463" spans="1:7" ht="15" x14ac:dyDescent="0.25">
      <c r="A1463" t="s">
        <v>13616</v>
      </c>
      <c r="B1463">
        <v>1</v>
      </c>
      <c r="C1463">
        <v>1998</v>
      </c>
      <c r="D1463">
        <v>1998</v>
      </c>
      <c r="E1463">
        <v>36</v>
      </c>
      <c r="F1463">
        <v>36</v>
      </c>
      <c r="G1463">
        <v>1998</v>
      </c>
    </row>
    <row r="1464" spans="1:7" ht="15" x14ac:dyDescent="0.25">
      <c r="A1464" t="s">
        <v>13623</v>
      </c>
      <c r="B1464">
        <v>2</v>
      </c>
      <c r="C1464">
        <v>1466</v>
      </c>
      <c r="D1464">
        <v>2930</v>
      </c>
      <c r="E1464">
        <v>239</v>
      </c>
      <c r="F1464">
        <v>119.5</v>
      </c>
      <c r="G1464">
        <v>1466</v>
      </c>
    </row>
    <row r="1465" spans="1:7" ht="15" x14ac:dyDescent="0.25">
      <c r="A1465" t="s">
        <v>13627</v>
      </c>
      <c r="B1465">
        <v>1</v>
      </c>
      <c r="C1465">
        <v>29</v>
      </c>
      <c r="D1465">
        <v>29</v>
      </c>
      <c r="E1465">
        <v>23</v>
      </c>
      <c r="F1465">
        <v>23</v>
      </c>
      <c r="G1465">
        <v>29</v>
      </c>
    </row>
    <row r="1466" spans="1:7" ht="15" x14ac:dyDescent="0.25">
      <c r="A1466" t="s">
        <v>13630</v>
      </c>
      <c r="B1466">
        <v>1</v>
      </c>
      <c r="C1466">
        <v>305</v>
      </c>
      <c r="D1466">
        <v>305</v>
      </c>
      <c r="E1466">
        <v>43</v>
      </c>
      <c r="F1466">
        <v>43</v>
      </c>
      <c r="G1466">
        <v>305</v>
      </c>
    </row>
    <row r="1467" spans="1:7" ht="15" x14ac:dyDescent="0.25">
      <c r="A1467" t="s">
        <v>13637</v>
      </c>
      <c r="B1467">
        <v>3</v>
      </c>
      <c r="C1467">
        <v>368</v>
      </c>
      <c r="D1467">
        <v>1096</v>
      </c>
      <c r="E1467">
        <v>120</v>
      </c>
      <c r="F1467">
        <v>40</v>
      </c>
      <c r="G1467">
        <v>368</v>
      </c>
    </row>
    <row r="1468" spans="1:7" ht="15" x14ac:dyDescent="0.25">
      <c r="A1468" t="s">
        <v>13642</v>
      </c>
      <c r="B1468">
        <v>4</v>
      </c>
      <c r="C1468">
        <v>5358</v>
      </c>
      <c r="D1468">
        <v>21401</v>
      </c>
      <c r="E1468">
        <v>846</v>
      </c>
      <c r="F1468">
        <v>211.5</v>
      </c>
      <c r="G1468">
        <v>5358</v>
      </c>
    </row>
    <row r="1469" spans="1:7" ht="15" x14ac:dyDescent="0.25">
      <c r="A1469" t="s">
        <v>13649</v>
      </c>
      <c r="B1469">
        <v>1</v>
      </c>
      <c r="C1469">
        <v>87</v>
      </c>
      <c r="D1469">
        <v>87</v>
      </c>
      <c r="E1469">
        <v>45</v>
      </c>
      <c r="F1469">
        <v>45</v>
      </c>
      <c r="G1469">
        <v>87</v>
      </c>
    </row>
    <row r="1470" spans="1:7" ht="15" x14ac:dyDescent="0.25">
      <c r="A1470" t="s">
        <v>13655</v>
      </c>
      <c r="B1470">
        <v>1</v>
      </c>
      <c r="C1470">
        <v>682</v>
      </c>
      <c r="D1470">
        <v>682</v>
      </c>
      <c r="E1470">
        <v>45</v>
      </c>
      <c r="F1470">
        <v>45</v>
      </c>
      <c r="G1470">
        <v>682</v>
      </c>
    </row>
    <row r="1471" spans="1:7" ht="15" x14ac:dyDescent="0.25">
      <c r="A1471" t="s">
        <v>13670</v>
      </c>
      <c r="B1471">
        <v>1</v>
      </c>
      <c r="C1471">
        <v>81</v>
      </c>
      <c r="D1471">
        <v>81</v>
      </c>
      <c r="E1471">
        <v>11</v>
      </c>
      <c r="F1471">
        <v>11</v>
      </c>
      <c r="G1471">
        <v>81</v>
      </c>
    </row>
    <row r="1472" spans="1:7" ht="15" x14ac:dyDescent="0.25">
      <c r="A1472" t="s">
        <v>13681</v>
      </c>
      <c r="B1472">
        <v>1</v>
      </c>
      <c r="C1472">
        <v>323</v>
      </c>
      <c r="D1472">
        <v>323</v>
      </c>
      <c r="E1472">
        <v>61</v>
      </c>
      <c r="F1472">
        <v>61</v>
      </c>
      <c r="G1472">
        <v>323</v>
      </c>
    </row>
    <row r="1473" spans="1:7" ht="15" x14ac:dyDescent="0.25">
      <c r="A1473" t="s">
        <v>13685</v>
      </c>
      <c r="B1473">
        <v>2</v>
      </c>
      <c r="C1473">
        <v>20</v>
      </c>
      <c r="D1473">
        <v>38</v>
      </c>
      <c r="E1473">
        <v>2</v>
      </c>
      <c r="F1473">
        <v>1</v>
      </c>
      <c r="G1473">
        <v>20</v>
      </c>
    </row>
    <row r="1474" spans="1:7" ht="15" x14ac:dyDescent="0.25">
      <c r="A1474" t="s">
        <v>13694</v>
      </c>
      <c r="B1474">
        <v>1</v>
      </c>
      <c r="C1474">
        <v>73</v>
      </c>
      <c r="D1474">
        <v>73</v>
      </c>
      <c r="E1474">
        <v>23</v>
      </c>
      <c r="F1474">
        <v>23</v>
      </c>
      <c r="G1474">
        <v>73</v>
      </c>
    </row>
    <row r="1475" spans="1:7" ht="15" x14ac:dyDescent="0.25">
      <c r="A1475" t="s">
        <v>13702</v>
      </c>
      <c r="B1475">
        <v>1</v>
      </c>
      <c r="C1475">
        <v>503</v>
      </c>
      <c r="D1475">
        <v>503</v>
      </c>
      <c r="E1475">
        <v>21</v>
      </c>
      <c r="F1475">
        <v>21</v>
      </c>
      <c r="G1475">
        <v>503</v>
      </c>
    </row>
    <row r="1476" spans="1:7" ht="15" x14ac:dyDescent="0.25">
      <c r="A1476" t="s">
        <v>13707</v>
      </c>
      <c r="B1476">
        <v>1</v>
      </c>
      <c r="C1476">
        <v>145</v>
      </c>
      <c r="D1476">
        <v>145</v>
      </c>
      <c r="E1476">
        <v>42</v>
      </c>
      <c r="F1476">
        <v>42</v>
      </c>
      <c r="G1476">
        <v>145</v>
      </c>
    </row>
    <row r="1477" spans="1:7" ht="15" x14ac:dyDescent="0.25">
      <c r="A1477" t="s">
        <v>13713</v>
      </c>
      <c r="B1477">
        <v>1</v>
      </c>
      <c r="C1477">
        <v>519</v>
      </c>
      <c r="D1477">
        <v>519</v>
      </c>
      <c r="E1477">
        <v>25</v>
      </c>
      <c r="F1477">
        <v>25</v>
      </c>
      <c r="G1477">
        <v>519</v>
      </c>
    </row>
    <row r="1478" spans="1:7" ht="15" x14ac:dyDescent="0.25">
      <c r="A1478" t="s">
        <v>13717</v>
      </c>
      <c r="B1478">
        <v>1</v>
      </c>
      <c r="C1478">
        <v>492</v>
      </c>
      <c r="D1478">
        <v>492</v>
      </c>
      <c r="E1478">
        <v>14</v>
      </c>
      <c r="F1478">
        <v>14</v>
      </c>
      <c r="G1478">
        <v>492</v>
      </c>
    </row>
    <row r="1479" spans="1:7" ht="15" x14ac:dyDescent="0.25">
      <c r="A1479" t="s">
        <v>13723</v>
      </c>
      <c r="B1479">
        <v>1</v>
      </c>
      <c r="C1479">
        <v>220</v>
      </c>
      <c r="D1479">
        <v>220</v>
      </c>
      <c r="E1479">
        <v>20</v>
      </c>
      <c r="F1479">
        <v>20</v>
      </c>
      <c r="G1479">
        <v>220</v>
      </c>
    </row>
    <row r="1480" spans="1:7" ht="15" x14ac:dyDescent="0.25">
      <c r="A1480" t="s">
        <v>13727</v>
      </c>
      <c r="B1480">
        <v>1</v>
      </c>
      <c r="C1480">
        <v>3255</v>
      </c>
      <c r="D1480">
        <v>3255</v>
      </c>
      <c r="E1480">
        <v>127</v>
      </c>
      <c r="F1480">
        <v>127</v>
      </c>
      <c r="G1480">
        <v>3255</v>
      </c>
    </row>
    <row r="1481" spans="1:7" ht="15" x14ac:dyDescent="0.25">
      <c r="A1481" t="s">
        <v>13734</v>
      </c>
      <c r="B1481">
        <v>1</v>
      </c>
      <c r="C1481">
        <v>333</v>
      </c>
      <c r="D1481">
        <v>333</v>
      </c>
      <c r="E1481">
        <v>22</v>
      </c>
      <c r="F1481">
        <v>22</v>
      </c>
      <c r="G1481">
        <v>333</v>
      </c>
    </row>
    <row r="1482" spans="1:7" ht="15" x14ac:dyDescent="0.25">
      <c r="A1482" t="s">
        <v>13747</v>
      </c>
      <c r="B1482">
        <v>1</v>
      </c>
      <c r="C1482">
        <v>6076</v>
      </c>
      <c r="D1482">
        <v>6076</v>
      </c>
      <c r="E1482">
        <v>32</v>
      </c>
      <c r="F1482">
        <v>32</v>
      </c>
      <c r="G1482">
        <v>6076</v>
      </c>
    </row>
    <row r="1483" spans="1:7" ht="15" x14ac:dyDescent="0.25">
      <c r="A1483" t="s">
        <v>13755</v>
      </c>
      <c r="B1483">
        <v>2</v>
      </c>
      <c r="C1483">
        <v>176</v>
      </c>
      <c r="D1483">
        <v>322</v>
      </c>
      <c r="E1483">
        <v>68</v>
      </c>
      <c r="F1483">
        <v>34</v>
      </c>
      <c r="G1483">
        <v>176</v>
      </c>
    </row>
    <row r="1484" spans="1:7" ht="15" x14ac:dyDescent="0.25">
      <c r="A1484" t="s">
        <v>13764</v>
      </c>
      <c r="B1484">
        <v>1</v>
      </c>
      <c r="C1484">
        <v>980</v>
      </c>
      <c r="D1484">
        <v>980</v>
      </c>
      <c r="E1484">
        <v>25</v>
      </c>
      <c r="F1484">
        <v>25</v>
      </c>
      <c r="G1484">
        <v>980</v>
      </c>
    </row>
    <row r="1485" spans="1:7" ht="15" x14ac:dyDescent="0.25">
      <c r="A1485" t="s">
        <v>13767</v>
      </c>
      <c r="B1485">
        <v>2</v>
      </c>
      <c r="C1485">
        <v>196</v>
      </c>
      <c r="D1485">
        <v>391</v>
      </c>
      <c r="E1485">
        <v>132</v>
      </c>
      <c r="F1485">
        <v>66</v>
      </c>
      <c r="G1485">
        <v>196</v>
      </c>
    </row>
    <row r="1486" spans="1:7" ht="15" x14ac:dyDescent="0.25">
      <c r="A1486" t="s">
        <v>13773</v>
      </c>
      <c r="B1486">
        <v>1</v>
      </c>
      <c r="C1486">
        <v>203</v>
      </c>
      <c r="D1486">
        <v>203</v>
      </c>
      <c r="E1486">
        <v>18</v>
      </c>
      <c r="F1486">
        <v>18</v>
      </c>
      <c r="G1486">
        <v>203</v>
      </c>
    </row>
    <row r="1487" spans="1:7" ht="15" x14ac:dyDescent="0.25">
      <c r="A1487" t="s">
        <v>13780</v>
      </c>
      <c r="B1487">
        <v>1</v>
      </c>
      <c r="C1487">
        <v>579</v>
      </c>
      <c r="D1487">
        <v>579</v>
      </c>
      <c r="E1487">
        <v>187</v>
      </c>
      <c r="F1487">
        <v>187</v>
      </c>
      <c r="G1487">
        <v>579</v>
      </c>
    </row>
    <row r="1488" spans="1:7" ht="15" x14ac:dyDescent="0.25">
      <c r="A1488" t="s">
        <v>13786</v>
      </c>
      <c r="B1488">
        <v>1</v>
      </c>
      <c r="C1488">
        <v>178</v>
      </c>
      <c r="D1488">
        <v>178</v>
      </c>
      <c r="E1488">
        <v>24</v>
      </c>
      <c r="F1488">
        <v>24</v>
      </c>
      <c r="G1488">
        <v>178</v>
      </c>
    </row>
    <row r="1489" spans="1:7" ht="15" x14ac:dyDescent="0.25">
      <c r="A1489" t="s">
        <v>13803</v>
      </c>
      <c r="B1489">
        <v>1</v>
      </c>
      <c r="C1489">
        <v>457</v>
      </c>
      <c r="D1489">
        <v>457</v>
      </c>
      <c r="E1489">
        <v>20</v>
      </c>
      <c r="F1489">
        <v>20</v>
      </c>
      <c r="G1489">
        <v>457</v>
      </c>
    </row>
    <row r="1490" spans="1:7" ht="15" x14ac:dyDescent="0.25">
      <c r="A1490" t="s">
        <v>13809</v>
      </c>
      <c r="B1490">
        <v>1</v>
      </c>
      <c r="C1490">
        <v>386</v>
      </c>
      <c r="D1490">
        <v>386</v>
      </c>
      <c r="E1490">
        <v>12</v>
      </c>
      <c r="F1490">
        <v>12</v>
      </c>
      <c r="G1490">
        <v>386</v>
      </c>
    </row>
    <row r="1491" spans="1:7" ht="15" x14ac:dyDescent="0.25">
      <c r="A1491" t="s">
        <v>13825</v>
      </c>
      <c r="B1491">
        <v>2</v>
      </c>
      <c r="C1491">
        <v>191</v>
      </c>
      <c r="D1491">
        <v>382</v>
      </c>
      <c r="E1491">
        <v>30</v>
      </c>
      <c r="F1491">
        <v>15</v>
      </c>
      <c r="G1491">
        <v>191</v>
      </c>
    </row>
    <row r="1492" spans="1:7" ht="15" x14ac:dyDescent="0.25">
      <c r="A1492" t="s">
        <v>13831</v>
      </c>
      <c r="B1492">
        <v>1</v>
      </c>
      <c r="C1492">
        <v>503</v>
      </c>
      <c r="D1492">
        <v>503</v>
      </c>
      <c r="E1492">
        <v>25</v>
      </c>
      <c r="F1492">
        <v>25</v>
      </c>
      <c r="G1492">
        <v>503</v>
      </c>
    </row>
    <row r="1493" spans="1:7" ht="15" x14ac:dyDescent="0.25">
      <c r="A1493" t="s">
        <v>13844</v>
      </c>
      <c r="B1493">
        <v>2</v>
      </c>
      <c r="C1493">
        <v>1773</v>
      </c>
      <c r="D1493">
        <v>3503</v>
      </c>
      <c r="E1493">
        <v>443</v>
      </c>
      <c r="F1493">
        <v>221.5</v>
      </c>
      <c r="G1493">
        <v>1773</v>
      </c>
    </row>
    <row r="1494" spans="1:7" ht="15" x14ac:dyDescent="0.25">
      <c r="A1494" t="s">
        <v>13850</v>
      </c>
      <c r="B1494">
        <v>1</v>
      </c>
      <c r="C1494">
        <v>3717</v>
      </c>
      <c r="D1494">
        <v>3717</v>
      </c>
      <c r="E1494">
        <v>90</v>
      </c>
      <c r="F1494">
        <v>90</v>
      </c>
      <c r="G1494">
        <v>3717</v>
      </c>
    </row>
    <row r="1495" spans="1:7" ht="15" x14ac:dyDescent="0.25">
      <c r="A1495" t="s">
        <v>13854</v>
      </c>
      <c r="B1495">
        <v>1</v>
      </c>
      <c r="C1495">
        <v>53</v>
      </c>
      <c r="D1495">
        <v>53</v>
      </c>
      <c r="E1495">
        <v>14</v>
      </c>
      <c r="F1495">
        <v>14</v>
      </c>
      <c r="G1495">
        <v>53</v>
      </c>
    </row>
    <row r="1496" spans="1:7" ht="15" x14ac:dyDescent="0.25">
      <c r="A1496" t="s">
        <v>13860</v>
      </c>
      <c r="B1496">
        <v>1</v>
      </c>
      <c r="C1496">
        <v>37266</v>
      </c>
      <c r="D1496">
        <v>37266</v>
      </c>
      <c r="E1496">
        <v>2124</v>
      </c>
      <c r="F1496">
        <v>2124</v>
      </c>
      <c r="G1496">
        <v>37266</v>
      </c>
    </row>
    <row r="1497" spans="1:7" ht="15" x14ac:dyDescent="0.25">
      <c r="A1497" t="s">
        <v>13863</v>
      </c>
      <c r="B1497">
        <v>1</v>
      </c>
      <c r="C1497">
        <v>190</v>
      </c>
      <c r="D1497">
        <v>190</v>
      </c>
      <c r="E1497">
        <v>11</v>
      </c>
      <c r="F1497">
        <v>11</v>
      </c>
      <c r="G1497">
        <v>190</v>
      </c>
    </row>
    <row r="1498" spans="1:7" ht="15" x14ac:dyDescent="0.25">
      <c r="A1498" t="s">
        <v>13870</v>
      </c>
      <c r="B1498">
        <v>1</v>
      </c>
      <c r="C1498">
        <v>156</v>
      </c>
      <c r="D1498">
        <v>156</v>
      </c>
      <c r="E1498">
        <v>27</v>
      </c>
      <c r="F1498">
        <v>27</v>
      </c>
      <c r="G1498">
        <v>156</v>
      </c>
    </row>
    <row r="1499" spans="1:7" ht="15" x14ac:dyDescent="0.25">
      <c r="A1499" t="s">
        <v>13879</v>
      </c>
      <c r="B1499">
        <v>1</v>
      </c>
      <c r="C1499">
        <v>510</v>
      </c>
      <c r="D1499">
        <v>510</v>
      </c>
      <c r="E1499">
        <v>26</v>
      </c>
      <c r="F1499">
        <v>26</v>
      </c>
      <c r="G1499">
        <v>510</v>
      </c>
    </row>
    <row r="1500" spans="1:7" ht="15" x14ac:dyDescent="0.25">
      <c r="A1500" t="s">
        <v>13888</v>
      </c>
      <c r="B1500">
        <v>1</v>
      </c>
      <c r="C1500">
        <v>61</v>
      </c>
      <c r="D1500">
        <v>61</v>
      </c>
      <c r="E1500">
        <v>49</v>
      </c>
      <c r="F1500">
        <v>49</v>
      </c>
      <c r="G1500">
        <v>61</v>
      </c>
    </row>
    <row r="1501" spans="1:7" ht="15" x14ac:dyDescent="0.25">
      <c r="A1501" t="s">
        <v>13895</v>
      </c>
      <c r="B1501">
        <v>2</v>
      </c>
      <c r="C1501">
        <v>15</v>
      </c>
      <c r="D1501">
        <v>30</v>
      </c>
      <c r="E1501">
        <v>11</v>
      </c>
      <c r="F1501">
        <v>5.5</v>
      </c>
      <c r="G1501">
        <v>15</v>
      </c>
    </row>
    <row r="1502" spans="1:7" ht="15" x14ac:dyDescent="0.25">
      <c r="A1502" t="s">
        <v>13899</v>
      </c>
      <c r="B1502">
        <v>1</v>
      </c>
      <c r="D1502">
        <v>0</v>
      </c>
      <c r="E1502">
        <v>18</v>
      </c>
      <c r="F1502">
        <v>18</v>
      </c>
    </row>
    <row r="1503" spans="1:7" ht="15" x14ac:dyDescent="0.25">
      <c r="A1503" t="s">
        <v>13906</v>
      </c>
      <c r="B1503">
        <v>1</v>
      </c>
      <c r="C1503">
        <v>551</v>
      </c>
      <c r="D1503">
        <v>551</v>
      </c>
      <c r="E1503">
        <v>19</v>
      </c>
      <c r="F1503">
        <v>19</v>
      </c>
      <c r="G1503">
        <v>551</v>
      </c>
    </row>
    <row r="1504" spans="1:7" ht="15" x14ac:dyDescent="0.25">
      <c r="A1504" t="s">
        <v>13909</v>
      </c>
      <c r="B1504">
        <v>1</v>
      </c>
      <c r="C1504">
        <v>581</v>
      </c>
      <c r="D1504">
        <v>581</v>
      </c>
      <c r="E1504">
        <v>14</v>
      </c>
      <c r="F1504">
        <v>14</v>
      </c>
      <c r="G1504">
        <v>581</v>
      </c>
    </row>
    <row r="1505" spans="1:7" ht="15" x14ac:dyDescent="0.25">
      <c r="A1505" t="s">
        <v>13913</v>
      </c>
      <c r="B1505">
        <v>2</v>
      </c>
      <c r="C1505">
        <v>1443</v>
      </c>
      <c r="D1505">
        <v>2857</v>
      </c>
      <c r="E1505">
        <v>25</v>
      </c>
      <c r="F1505">
        <v>12.5</v>
      </c>
      <c r="G1505">
        <v>1443</v>
      </c>
    </row>
    <row r="1506" spans="1:7" ht="15" x14ac:dyDescent="0.25">
      <c r="A1506" t="s">
        <v>13920</v>
      </c>
      <c r="B1506">
        <v>1</v>
      </c>
      <c r="C1506">
        <v>110</v>
      </c>
      <c r="D1506">
        <v>110</v>
      </c>
      <c r="E1506">
        <v>4</v>
      </c>
      <c r="F1506">
        <v>4</v>
      </c>
      <c r="G1506">
        <v>110</v>
      </c>
    </row>
    <row r="1507" spans="1:7" ht="15" x14ac:dyDescent="0.25">
      <c r="A1507" t="s">
        <v>13926</v>
      </c>
      <c r="B1507">
        <v>1</v>
      </c>
      <c r="C1507">
        <v>106</v>
      </c>
      <c r="D1507">
        <v>106</v>
      </c>
      <c r="E1507">
        <v>22</v>
      </c>
      <c r="F1507">
        <v>22</v>
      </c>
      <c r="G1507">
        <v>106</v>
      </c>
    </row>
    <row r="1508" spans="1:7" ht="15" x14ac:dyDescent="0.25">
      <c r="A1508" t="s">
        <v>13933</v>
      </c>
      <c r="B1508">
        <v>1</v>
      </c>
      <c r="C1508">
        <v>723</v>
      </c>
      <c r="D1508">
        <v>723</v>
      </c>
      <c r="E1508">
        <v>63</v>
      </c>
      <c r="F1508">
        <v>63</v>
      </c>
      <c r="G1508">
        <v>723</v>
      </c>
    </row>
    <row r="1509" spans="1:7" ht="15" x14ac:dyDescent="0.25">
      <c r="A1509" t="s">
        <v>13939</v>
      </c>
      <c r="B1509">
        <v>1</v>
      </c>
      <c r="C1509">
        <v>363</v>
      </c>
      <c r="D1509">
        <v>363</v>
      </c>
      <c r="E1509">
        <v>15</v>
      </c>
      <c r="F1509">
        <v>15</v>
      </c>
      <c r="G1509">
        <v>363</v>
      </c>
    </row>
    <row r="1510" spans="1:7" ht="15" x14ac:dyDescent="0.25">
      <c r="A1510" t="s">
        <v>13945</v>
      </c>
      <c r="B1510">
        <v>1</v>
      </c>
      <c r="C1510">
        <v>434</v>
      </c>
      <c r="D1510">
        <v>434</v>
      </c>
      <c r="E1510">
        <v>93</v>
      </c>
      <c r="F1510">
        <v>93</v>
      </c>
      <c r="G1510">
        <v>434</v>
      </c>
    </row>
    <row r="1511" spans="1:7" ht="15" x14ac:dyDescent="0.25">
      <c r="A1511" t="s">
        <v>13952</v>
      </c>
      <c r="B1511">
        <v>1</v>
      </c>
      <c r="C1511">
        <v>301</v>
      </c>
      <c r="D1511">
        <v>301</v>
      </c>
      <c r="E1511">
        <v>54</v>
      </c>
      <c r="F1511">
        <v>54</v>
      </c>
      <c r="G1511">
        <v>301</v>
      </c>
    </row>
    <row r="1512" spans="1:7" ht="15" x14ac:dyDescent="0.25">
      <c r="A1512" t="s">
        <v>13959</v>
      </c>
      <c r="B1512">
        <v>1</v>
      </c>
      <c r="C1512">
        <v>361</v>
      </c>
      <c r="D1512">
        <v>361</v>
      </c>
      <c r="E1512">
        <v>9</v>
      </c>
      <c r="F1512">
        <v>9</v>
      </c>
      <c r="G1512">
        <v>361</v>
      </c>
    </row>
    <row r="1513" spans="1:7" ht="15" x14ac:dyDescent="0.25">
      <c r="A1513" t="s">
        <v>13964</v>
      </c>
      <c r="B1513">
        <v>1</v>
      </c>
      <c r="C1513">
        <v>2139</v>
      </c>
      <c r="D1513">
        <v>2139</v>
      </c>
      <c r="E1513">
        <v>263</v>
      </c>
      <c r="F1513">
        <v>263</v>
      </c>
      <c r="G1513">
        <v>2139</v>
      </c>
    </row>
    <row r="1514" spans="1:7" ht="15" x14ac:dyDescent="0.25">
      <c r="A1514" t="s">
        <v>13968</v>
      </c>
      <c r="B1514">
        <v>1</v>
      </c>
      <c r="C1514">
        <v>183</v>
      </c>
      <c r="D1514">
        <v>183</v>
      </c>
      <c r="E1514">
        <v>26</v>
      </c>
      <c r="F1514">
        <v>26</v>
      </c>
      <c r="G1514">
        <v>183</v>
      </c>
    </row>
    <row r="1515" spans="1:7" ht="15" x14ac:dyDescent="0.25">
      <c r="A1515" t="s">
        <v>13973</v>
      </c>
      <c r="B1515">
        <v>1</v>
      </c>
      <c r="C1515">
        <v>244</v>
      </c>
      <c r="D1515">
        <v>244</v>
      </c>
      <c r="E1515">
        <v>8</v>
      </c>
      <c r="F1515">
        <v>8</v>
      </c>
      <c r="G1515">
        <v>244</v>
      </c>
    </row>
    <row r="1516" spans="1:7" ht="15" x14ac:dyDescent="0.25">
      <c r="A1516" t="s">
        <v>13977</v>
      </c>
      <c r="B1516">
        <v>2</v>
      </c>
      <c r="C1516">
        <v>289</v>
      </c>
      <c r="D1516">
        <v>576</v>
      </c>
      <c r="E1516">
        <v>87</v>
      </c>
      <c r="F1516">
        <v>43.5</v>
      </c>
      <c r="G1516">
        <v>289</v>
      </c>
    </row>
    <row r="1517" spans="1:7" ht="15" x14ac:dyDescent="0.25">
      <c r="A1517" t="s">
        <v>14002</v>
      </c>
      <c r="B1517">
        <v>1</v>
      </c>
      <c r="C1517">
        <v>136</v>
      </c>
      <c r="D1517">
        <v>136</v>
      </c>
      <c r="E1517">
        <v>26</v>
      </c>
      <c r="F1517">
        <v>26</v>
      </c>
      <c r="G1517">
        <v>136</v>
      </c>
    </row>
    <row r="1518" spans="1:7" ht="15" x14ac:dyDescent="0.25">
      <c r="A1518" t="s">
        <v>14009</v>
      </c>
      <c r="B1518">
        <v>4</v>
      </c>
      <c r="C1518">
        <v>27205</v>
      </c>
      <c r="D1518">
        <v>108710</v>
      </c>
      <c r="E1518">
        <v>670</v>
      </c>
      <c r="F1518">
        <v>167.5</v>
      </c>
      <c r="G1518">
        <v>27205</v>
      </c>
    </row>
    <row r="1519" spans="1:7" ht="15" x14ac:dyDescent="0.25">
      <c r="A1519" t="s">
        <v>14015</v>
      </c>
      <c r="B1519">
        <v>1</v>
      </c>
      <c r="C1519">
        <v>104</v>
      </c>
      <c r="D1519">
        <v>104</v>
      </c>
      <c r="E1519">
        <v>50</v>
      </c>
      <c r="F1519">
        <v>50</v>
      </c>
      <c r="G1519">
        <v>104</v>
      </c>
    </row>
    <row r="1520" spans="1:7" ht="15" x14ac:dyDescent="0.25">
      <c r="A1520" t="s">
        <v>14021</v>
      </c>
      <c r="B1520">
        <v>2</v>
      </c>
      <c r="C1520">
        <v>736</v>
      </c>
      <c r="D1520">
        <v>1463</v>
      </c>
      <c r="E1520">
        <v>86</v>
      </c>
      <c r="F1520">
        <v>43</v>
      </c>
      <c r="G1520">
        <v>736</v>
      </c>
    </row>
    <row r="1521" spans="1:7" ht="15" x14ac:dyDescent="0.25">
      <c r="A1521" t="s">
        <v>14031</v>
      </c>
      <c r="B1521">
        <v>1</v>
      </c>
      <c r="C1521">
        <v>257</v>
      </c>
      <c r="D1521">
        <v>257</v>
      </c>
      <c r="E1521">
        <v>11</v>
      </c>
      <c r="F1521">
        <v>11</v>
      </c>
      <c r="G1521">
        <v>257</v>
      </c>
    </row>
    <row r="1522" spans="1:7" ht="15" x14ac:dyDescent="0.25">
      <c r="A1522" t="s">
        <v>14041</v>
      </c>
      <c r="B1522">
        <v>1</v>
      </c>
      <c r="C1522">
        <v>1123</v>
      </c>
      <c r="D1522">
        <v>1123</v>
      </c>
      <c r="E1522">
        <v>156</v>
      </c>
      <c r="F1522">
        <v>156</v>
      </c>
      <c r="G1522">
        <v>1123</v>
      </c>
    </row>
    <row r="1523" spans="1:7" ht="15" x14ac:dyDescent="0.25">
      <c r="A1523" t="s">
        <v>14047</v>
      </c>
      <c r="B1523">
        <v>2</v>
      </c>
      <c r="C1523">
        <v>229</v>
      </c>
      <c r="D1523">
        <v>458</v>
      </c>
      <c r="E1523">
        <v>56</v>
      </c>
      <c r="F1523">
        <v>28</v>
      </c>
      <c r="G1523">
        <v>229</v>
      </c>
    </row>
    <row r="1524" spans="1:7" ht="15" x14ac:dyDescent="0.25">
      <c r="A1524" t="s">
        <v>14059</v>
      </c>
      <c r="B1524">
        <v>1</v>
      </c>
      <c r="C1524">
        <v>68</v>
      </c>
      <c r="D1524">
        <v>68</v>
      </c>
      <c r="E1524">
        <v>22</v>
      </c>
      <c r="F1524">
        <v>22</v>
      </c>
      <c r="G1524">
        <v>68</v>
      </c>
    </row>
    <row r="1525" spans="1:7" ht="15" x14ac:dyDescent="0.25">
      <c r="A1525" t="s">
        <v>14063</v>
      </c>
      <c r="B1525">
        <v>1</v>
      </c>
      <c r="C1525">
        <v>157</v>
      </c>
      <c r="D1525">
        <v>157</v>
      </c>
      <c r="E1525">
        <v>12</v>
      </c>
      <c r="F1525">
        <v>12</v>
      </c>
      <c r="G1525">
        <v>157</v>
      </c>
    </row>
    <row r="1526" spans="1:7" ht="15" x14ac:dyDescent="0.25">
      <c r="A1526" t="s">
        <v>14068</v>
      </c>
      <c r="B1526">
        <v>1</v>
      </c>
      <c r="C1526">
        <v>913</v>
      </c>
      <c r="D1526">
        <v>913</v>
      </c>
      <c r="E1526">
        <v>26</v>
      </c>
      <c r="F1526">
        <v>26</v>
      </c>
      <c r="G1526">
        <v>913</v>
      </c>
    </row>
    <row r="1527" spans="1:7" ht="15" x14ac:dyDescent="0.25">
      <c r="A1527" t="s">
        <v>14073</v>
      </c>
      <c r="B1527">
        <v>1</v>
      </c>
      <c r="C1527">
        <v>727</v>
      </c>
      <c r="D1527">
        <v>727</v>
      </c>
      <c r="E1527">
        <v>39</v>
      </c>
      <c r="F1527">
        <v>39</v>
      </c>
      <c r="G1527">
        <v>727</v>
      </c>
    </row>
    <row r="1528" spans="1:7" ht="15" x14ac:dyDescent="0.25">
      <c r="A1528" t="s">
        <v>14079</v>
      </c>
      <c r="B1528">
        <v>1</v>
      </c>
      <c r="C1528">
        <v>325</v>
      </c>
      <c r="D1528">
        <v>325</v>
      </c>
      <c r="E1528">
        <v>17</v>
      </c>
      <c r="F1528">
        <v>17</v>
      </c>
      <c r="G1528">
        <v>325</v>
      </c>
    </row>
    <row r="1529" spans="1:7" ht="15" x14ac:dyDescent="0.25">
      <c r="A1529" t="s">
        <v>14086</v>
      </c>
      <c r="B1529">
        <v>1</v>
      </c>
      <c r="C1529">
        <v>70</v>
      </c>
      <c r="D1529">
        <v>70</v>
      </c>
      <c r="E1529">
        <v>5</v>
      </c>
      <c r="F1529">
        <v>5</v>
      </c>
      <c r="G1529">
        <v>70</v>
      </c>
    </row>
    <row r="1530" spans="1:7" ht="15" x14ac:dyDescent="0.25">
      <c r="A1530" t="s">
        <v>14091</v>
      </c>
      <c r="B1530">
        <v>1</v>
      </c>
      <c r="C1530">
        <v>101</v>
      </c>
      <c r="D1530">
        <v>101</v>
      </c>
      <c r="E1530">
        <v>13</v>
      </c>
      <c r="F1530">
        <v>13</v>
      </c>
      <c r="G1530">
        <v>101</v>
      </c>
    </row>
    <row r="1531" spans="1:7" ht="15" x14ac:dyDescent="0.25">
      <c r="A1531" t="s">
        <v>14098</v>
      </c>
      <c r="B1531">
        <v>1</v>
      </c>
      <c r="C1531">
        <v>195</v>
      </c>
      <c r="D1531">
        <v>195</v>
      </c>
      <c r="E1531">
        <v>6</v>
      </c>
      <c r="F1531">
        <v>6</v>
      </c>
      <c r="G1531">
        <v>195</v>
      </c>
    </row>
    <row r="1532" spans="1:7" ht="15" x14ac:dyDescent="0.25">
      <c r="A1532" t="s">
        <v>14105</v>
      </c>
      <c r="B1532">
        <v>1</v>
      </c>
      <c r="C1532">
        <v>4869</v>
      </c>
      <c r="D1532">
        <v>4869</v>
      </c>
      <c r="E1532">
        <v>4</v>
      </c>
      <c r="F1532">
        <v>4</v>
      </c>
      <c r="G1532">
        <v>4869</v>
      </c>
    </row>
    <row r="1533" spans="1:7" ht="15" x14ac:dyDescent="0.25">
      <c r="A1533" t="s">
        <v>14109</v>
      </c>
      <c r="B1533">
        <v>1</v>
      </c>
      <c r="C1533">
        <v>12629</v>
      </c>
      <c r="D1533">
        <v>12629</v>
      </c>
      <c r="E1533">
        <v>9</v>
      </c>
      <c r="F1533">
        <v>9</v>
      </c>
      <c r="G1533">
        <v>12629</v>
      </c>
    </row>
    <row r="1534" spans="1:7" ht="15" x14ac:dyDescent="0.25">
      <c r="A1534" t="s">
        <v>14114</v>
      </c>
      <c r="B1534">
        <v>1</v>
      </c>
      <c r="C1534">
        <v>606</v>
      </c>
      <c r="D1534">
        <v>606</v>
      </c>
      <c r="E1534">
        <v>18</v>
      </c>
      <c r="F1534">
        <v>18</v>
      </c>
      <c r="G1534">
        <v>606</v>
      </c>
    </row>
    <row r="1535" spans="1:7" ht="15" x14ac:dyDescent="0.25">
      <c r="A1535" t="s">
        <v>14123</v>
      </c>
      <c r="B1535">
        <v>1</v>
      </c>
      <c r="C1535">
        <v>2058</v>
      </c>
      <c r="D1535">
        <v>2058</v>
      </c>
      <c r="E1535">
        <v>49</v>
      </c>
      <c r="F1535">
        <v>49</v>
      </c>
      <c r="G1535">
        <v>2058</v>
      </c>
    </row>
    <row r="1536" spans="1:7" ht="15" x14ac:dyDescent="0.25">
      <c r="A1536" t="s">
        <v>14128</v>
      </c>
      <c r="B1536">
        <v>4</v>
      </c>
      <c r="C1536">
        <v>11816</v>
      </c>
      <c r="D1536">
        <v>47219</v>
      </c>
      <c r="E1536">
        <v>234</v>
      </c>
      <c r="F1536">
        <v>58.5</v>
      </c>
      <c r="G1536">
        <v>11817</v>
      </c>
    </row>
    <row r="1537" spans="1:7" ht="15" x14ac:dyDescent="0.25">
      <c r="A1537" t="s">
        <v>14132</v>
      </c>
      <c r="B1537">
        <v>1</v>
      </c>
      <c r="C1537">
        <v>1078</v>
      </c>
      <c r="D1537">
        <v>1078</v>
      </c>
      <c r="E1537">
        <v>92</v>
      </c>
      <c r="F1537">
        <v>92</v>
      </c>
      <c r="G1537">
        <v>1078</v>
      </c>
    </row>
    <row r="1538" spans="1:7" ht="15" x14ac:dyDescent="0.25">
      <c r="A1538" t="s">
        <v>14138</v>
      </c>
      <c r="B1538">
        <v>1</v>
      </c>
      <c r="C1538">
        <v>220</v>
      </c>
      <c r="D1538">
        <v>220</v>
      </c>
      <c r="E1538">
        <v>30</v>
      </c>
      <c r="F1538">
        <v>30</v>
      </c>
      <c r="G1538">
        <v>220</v>
      </c>
    </row>
    <row r="1539" spans="1:7" ht="15" x14ac:dyDescent="0.25">
      <c r="A1539" t="s">
        <v>14142</v>
      </c>
      <c r="B1539">
        <v>1</v>
      </c>
      <c r="C1539">
        <v>432</v>
      </c>
      <c r="D1539">
        <v>432</v>
      </c>
      <c r="E1539">
        <v>48</v>
      </c>
      <c r="F1539">
        <v>48</v>
      </c>
      <c r="G1539">
        <v>432</v>
      </c>
    </row>
    <row r="1540" spans="1:7" ht="15" x14ac:dyDescent="0.25">
      <c r="A1540" t="s">
        <v>14155</v>
      </c>
      <c r="B1540">
        <v>1</v>
      </c>
      <c r="C1540">
        <v>58</v>
      </c>
      <c r="D1540">
        <v>58</v>
      </c>
      <c r="E1540">
        <v>14</v>
      </c>
      <c r="F1540">
        <v>14</v>
      </c>
      <c r="G1540">
        <v>58</v>
      </c>
    </row>
    <row r="1541" spans="1:7" ht="15" x14ac:dyDescent="0.25">
      <c r="A1541" t="s">
        <v>14159</v>
      </c>
      <c r="B1541">
        <v>1</v>
      </c>
      <c r="C1541">
        <v>497</v>
      </c>
      <c r="D1541">
        <v>497</v>
      </c>
      <c r="E1541">
        <v>44</v>
      </c>
      <c r="F1541">
        <v>44</v>
      </c>
      <c r="G1541">
        <v>497</v>
      </c>
    </row>
    <row r="1542" spans="1:7" ht="15" x14ac:dyDescent="0.25">
      <c r="A1542" t="s">
        <v>14162</v>
      </c>
      <c r="B1542">
        <v>1</v>
      </c>
      <c r="C1542">
        <v>1720</v>
      </c>
      <c r="D1542">
        <v>1720</v>
      </c>
      <c r="E1542">
        <v>23</v>
      </c>
      <c r="F1542">
        <v>23</v>
      </c>
      <c r="G1542">
        <v>1720</v>
      </c>
    </row>
    <row r="1543" spans="1:7" ht="15" x14ac:dyDescent="0.25">
      <c r="A1543" t="s">
        <v>14177</v>
      </c>
      <c r="B1543">
        <v>1</v>
      </c>
      <c r="C1543">
        <v>195</v>
      </c>
      <c r="D1543">
        <v>195</v>
      </c>
      <c r="E1543">
        <v>27</v>
      </c>
      <c r="F1543">
        <v>27</v>
      </c>
      <c r="G1543">
        <v>195</v>
      </c>
    </row>
    <row r="1544" spans="1:7" ht="15" x14ac:dyDescent="0.25">
      <c r="A1544" t="s">
        <v>14180</v>
      </c>
      <c r="B1544">
        <v>2</v>
      </c>
      <c r="C1544">
        <v>254</v>
      </c>
      <c r="D1544">
        <v>474</v>
      </c>
      <c r="E1544">
        <v>47</v>
      </c>
      <c r="F1544">
        <v>23.5</v>
      </c>
      <c r="G1544">
        <v>254</v>
      </c>
    </row>
    <row r="1545" spans="1:7" ht="15" x14ac:dyDescent="0.25">
      <c r="A1545" t="s">
        <v>14186</v>
      </c>
      <c r="B1545">
        <v>2</v>
      </c>
      <c r="C1545">
        <v>111</v>
      </c>
      <c r="D1545">
        <v>221</v>
      </c>
      <c r="E1545">
        <v>35</v>
      </c>
      <c r="F1545">
        <v>17.5</v>
      </c>
      <c r="G1545">
        <v>111</v>
      </c>
    </row>
    <row r="1546" spans="1:7" ht="15" x14ac:dyDescent="0.25">
      <c r="A1546" t="s">
        <v>14194</v>
      </c>
      <c r="B1546">
        <v>1</v>
      </c>
      <c r="C1546">
        <v>445</v>
      </c>
      <c r="D1546">
        <v>445</v>
      </c>
      <c r="E1546">
        <v>20</v>
      </c>
      <c r="F1546">
        <v>20</v>
      </c>
      <c r="G1546">
        <v>445</v>
      </c>
    </row>
    <row r="1547" spans="1:7" ht="15" x14ac:dyDescent="0.25">
      <c r="A1547" t="s">
        <v>14200</v>
      </c>
      <c r="B1547">
        <v>1</v>
      </c>
      <c r="C1547">
        <v>6384</v>
      </c>
      <c r="D1547">
        <v>6384</v>
      </c>
      <c r="E1547">
        <v>80</v>
      </c>
      <c r="F1547">
        <v>80</v>
      </c>
      <c r="G1547">
        <v>6384</v>
      </c>
    </row>
    <row r="1548" spans="1:7" ht="15" x14ac:dyDescent="0.25">
      <c r="A1548" t="s">
        <v>14206</v>
      </c>
      <c r="B1548">
        <v>3</v>
      </c>
      <c r="C1548">
        <v>157</v>
      </c>
      <c r="D1548">
        <v>428</v>
      </c>
      <c r="E1548">
        <v>88</v>
      </c>
      <c r="F1548">
        <v>29.333333333333332</v>
      </c>
      <c r="G1548">
        <v>157</v>
      </c>
    </row>
    <row r="1549" spans="1:7" ht="15" x14ac:dyDescent="0.25">
      <c r="A1549" t="s">
        <v>14212</v>
      </c>
      <c r="B1549">
        <v>1</v>
      </c>
      <c r="C1549">
        <v>281</v>
      </c>
      <c r="D1549">
        <v>281</v>
      </c>
      <c r="E1549">
        <v>11</v>
      </c>
      <c r="F1549">
        <v>11</v>
      </c>
      <c r="G1549">
        <v>281</v>
      </c>
    </row>
    <row r="1550" spans="1:7" ht="15" x14ac:dyDescent="0.25">
      <c r="A1550" t="s">
        <v>14215</v>
      </c>
      <c r="B1550">
        <v>1</v>
      </c>
      <c r="C1550">
        <v>179</v>
      </c>
      <c r="D1550">
        <v>179</v>
      </c>
      <c r="E1550">
        <v>31</v>
      </c>
      <c r="F1550">
        <v>31</v>
      </c>
      <c r="G1550">
        <v>179</v>
      </c>
    </row>
    <row r="1551" spans="1:7" ht="15" x14ac:dyDescent="0.25">
      <c r="A1551" t="s">
        <v>14223</v>
      </c>
      <c r="B1551">
        <v>2</v>
      </c>
      <c r="C1551">
        <v>377</v>
      </c>
      <c r="D1551">
        <v>661</v>
      </c>
      <c r="E1551">
        <v>215</v>
      </c>
      <c r="F1551">
        <v>107.5</v>
      </c>
      <c r="G1551">
        <v>377</v>
      </c>
    </row>
    <row r="1552" spans="1:7" ht="15" x14ac:dyDescent="0.25">
      <c r="A1552" t="s">
        <v>14229</v>
      </c>
      <c r="B1552">
        <v>1</v>
      </c>
      <c r="C1552">
        <v>441</v>
      </c>
      <c r="D1552">
        <v>441</v>
      </c>
      <c r="E1552">
        <v>18</v>
      </c>
      <c r="F1552">
        <v>18</v>
      </c>
      <c r="G1552">
        <v>441</v>
      </c>
    </row>
    <row r="1553" spans="1:7" ht="15" x14ac:dyDescent="0.25">
      <c r="A1553" t="s">
        <v>14235</v>
      </c>
      <c r="B1553">
        <v>1</v>
      </c>
      <c r="C1553">
        <v>430</v>
      </c>
      <c r="D1553">
        <v>430</v>
      </c>
      <c r="E1553">
        <v>51</v>
      </c>
      <c r="F1553">
        <v>51</v>
      </c>
      <c r="G1553">
        <v>430</v>
      </c>
    </row>
    <row r="1554" spans="1:7" ht="15" x14ac:dyDescent="0.25">
      <c r="A1554" t="s">
        <v>14244</v>
      </c>
      <c r="B1554">
        <v>1</v>
      </c>
      <c r="C1554">
        <v>193</v>
      </c>
      <c r="D1554">
        <v>193</v>
      </c>
      <c r="E1554">
        <v>37</v>
      </c>
      <c r="F1554">
        <v>37</v>
      </c>
      <c r="G1554">
        <v>193</v>
      </c>
    </row>
    <row r="1555" spans="1:7" ht="15" x14ac:dyDescent="0.25">
      <c r="A1555" t="s">
        <v>14253</v>
      </c>
      <c r="B1555">
        <v>1</v>
      </c>
      <c r="C1555">
        <v>231</v>
      </c>
      <c r="D1555">
        <v>231</v>
      </c>
      <c r="E1555">
        <v>29</v>
      </c>
      <c r="F1555">
        <v>29</v>
      </c>
      <c r="G1555">
        <v>231</v>
      </c>
    </row>
    <row r="1556" spans="1:7" ht="15" x14ac:dyDescent="0.25">
      <c r="A1556" t="s">
        <v>14256</v>
      </c>
      <c r="B1556">
        <v>1</v>
      </c>
      <c r="C1556">
        <v>68</v>
      </c>
      <c r="D1556">
        <v>68</v>
      </c>
      <c r="E1556">
        <v>36</v>
      </c>
      <c r="F1556">
        <v>36</v>
      </c>
      <c r="G1556">
        <v>68</v>
      </c>
    </row>
    <row r="1557" spans="1:7" ht="15" x14ac:dyDescent="0.25">
      <c r="A1557" t="s">
        <v>14261</v>
      </c>
      <c r="B1557">
        <v>3</v>
      </c>
      <c r="C1557">
        <v>290</v>
      </c>
      <c r="D1557">
        <v>873</v>
      </c>
      <c r="E1557">
        <v>21</v>
      </c>
      <c r="F1557">
        <v>7</v>
      </c>
      <c r="G1557">
        <v>294</v>
      </c>
    </row>
    <row r="1558" spans="1:7" ht="15" x14ac:dyDescent="0.25">
      <c r="A1558" t="s">
        <v>14265</v>
      </c>
      <c r="B1558">
        <v>1</v>
      </c>
      <c r="C1558">
        <v>1411</v>
      </c>
      <c r="D1558">
        <v>1411</v>
      </c>
      <c r="E1558">
        <v>136</v>
      </c>
      <c r="F1558">
        <v>136</v>
      </c>
      <c r="G1558">
        <v>1411</v>
      </c>
    </row>
    <row r="1559" spans="1:7" ht="15" x14ac:dyDescent="0.25">
      <c r="A1559" t="s">
        <v>14272</v>
      </c>
      <c r="B1559">
        <v>1</v>
      </c>
      <c r="C1559">
        <v>915</v>
      </c>
      <c r="D1559">
        <v>915</v>
      </c>
      <c r="E1559">
        <v>27</v>
      </c>
      <c r="F1559">
        <v>27</v>
      </c>
      <c r="G1559">
        <v>915</v>
      </c>
    </row>
    <row r="1560" spans="1:7" ht="15" x14ac:dyDescent="0.25">
      <c r="A1560" t="s">
        <v>14275</v>
      </c>
      <c r="B1560">
        <v>1</v>
      </c>
      <c r="C1560">
        <v>569</v>
      </c>
      <c r="D1560">
        <v>569</v>
      </c>
      <c r="E1560">
        <v>19</v>
      </c>
      <c r="F1560">
        <v>19</v>
      </c>
      <c r="G1560">
        <v>569</v>
      </c>
    </row>
    <row r="1561" spans="1:7" ht="15" x14ac:dyDescent="0.25">
      <c r="A1561" t="s">
        <v>14280</v>
      </c>
      <c r="B1561">
        <v>1</v>
      </c>
      <c r="C1561">
        <v>119</v>
      </c>
      <c r="D1561">
        <v>119</v>
      </c>
      <c r="E1561">
        <v>5</v>
      </c>
      <c r="F1561">
        <v>5</v>
      </c>
      <c r="G1561">
        <v>119</v>
      </c>
    </row>
    <row r="1562" spans="1:7" ht="15" x14ac:dyDescent="0.25">
      <c r="A1562" t="s">
        <v>14292</v>
      </c>
      <c r="B1562">
        <v>1</v>
      </c>
      <c r="C1562">
        <v>201</v>
      </c>
      <c r="D1562">
        <v>201</v>
      </c>
      <c r="E1562">
        <v>8</v>
      </c>
      <c r="F1562">
        <v>8</v>
      </c>
      <c r="G1562">
        <v>201</v>
      </c>
    </row>
    <row r="1563" spans="1:7" ht="15" x14ac:dyDescent="0.25">
      <c r="A1563" t="s">
        <v>14304</v>
      </c>
      <c r="B1563">
        <v>1</v>
      </c>
      <c r="C1563">
        <v>593</v>
      </c>
      <c r="D1563">
        <v>593</v>
      </c>
      <c r="E1563">
        <v>11</v>
      </c>
      <c r="F1563">
        <v>11</v>
      </c>
      <c r="G1563">
        <v>593</v>
      </c>
    </row>
    <row r="1564" spans="1:7" ht="15" x14ac:dyDescent="0.25">
      <c r="A1564" t="s">
        <v>14310</v>
      </c>
      <c r="B1564">
        <v>1</v>
      </c>
      <c r="C1564">
        <v>158</v>
      </c>
      <c r="D1564">
        <v>158</v>
      </c>
      <c r="E1564">
        <v>23</v>
      </c>
      <c r="F1564">
        <v>23</v>
      </c>
      <c r="G1564">
        <v>158</v>
      </c>
    </row>
    <row r="1565" spans="1:7" ht="15" x14ac:dyDescent="0.25">
      <c r="A1565" t="s">
        <v>14316</v>
      </c>
      <c r="B1565">
        <v>1</v>
      </c>
      <c r="C1565">
        <v>76</v>
      </c>
      <c r="D1565">
        <v>76</v>
      </c>
      <c r="E1565">
        <v>17</v>
      </c>
      <c r="F1565">
        <v>17</v>
      </c>
      <c r="G1565">
        <v>76</v>
      </c>
    </row>
    <row r="1566" spans="1:7" ht="15" x14ac:dyDescent="0.25">
      <c r="A1566" t="s">
        <v>14322</v>
      </c>
      <c r="B1566">
        <v>5</v>
      </c>
      <c r="C1566">
        <v>3213</v>
      </c>
      <c r="D1566">
        <v>16006</v>
      </c>
      <c r="E1566">
        <v>212</v>
      </c>
      <c r="F1566">
        <v>42.4</v>
      </c>
      <c r="G1566">
        <v>3213</v>
      </c>
    </row>
    <row r="1567" spans="1:7" ht="15" x14ac:dyDescent="0.25">
      <c r="A1567" t="s">
        <v>14329</v>
      </c>
      <c r="B1567">
        <v>1</v>
      </c>
      <c r="C1567">
        <v>15619</v>
      </c>
      <c r="D1567">
        <v>15619</v>
      </c>
      <c r="E1567">
        <v>125</v>
      </c>
      <c r="F1567">
        <v>125</v>
      </c>
      <c r="G1567">
        <v>15619</v>
      </c>
    </row>
    <row r="1568" spans="1:7" ht="15" x14ac:dyDescent="0.25">
      <c r="A1568" t="s">
        <v>14337</v>
      </c>
      <c r="B1568">
        <v>1</v>
      </c>
      <c r="C1568">
        <v>578</v>
      </c>
      <c r="D1568">
        <v>578</v>
      </c>
      <c r="E1568">
        <v>34</v>
      </c>
      <c r="F1568">
        <v>34</v>
      </c>
      <c r="G1568">
        <v>578</v>
      </c>
    </row>
    <row r="1569" spans="1:7" ht="15" x14ac:dyDescent="0.25">
      <c r="A1569" t="s">
        <v>14349</v>
      </c>
      <c r="B1569">
        <v>1</v>
      </c>
      <c r="C1569">
        <v>530</v>
      </c>
      <c r="D1569">
        <v>530</v>
      </c>
      <c r="E1569">
        <v>10</v>
      </c>
      <c r="F1569">
        <v>10</v>
      </c>
      <c r="G1569">
        <v>530</v>
      </c>
    </row>
    <row r="1570" spans="1:7" ht="15" x14ac:dyDescent="0.25">
      <c r="A1570" t="s">
        <v>14356</v>
      </c>
      <c r="B1570">
        <v>2</v>
      </c>
      <c r="C1570">
        <v>1000</v>
      </c>
      <c r="D1570">
        <v>1000</v>
      </c>
      <c r="E1570">
        <v>47</v>
      </c>
      <c r="F1570">
        <v>23.5</v>
      </c>
      <c r="G1570">
        <v>1000</v>
      </c>
    </row>
    <row r="1571" spans="1:7" ht="15" x14ac:dyDescent="0.25">
      <c r="A1571" t="s">
        <v>14381</v>
      </c>
      <c r="B1571">
        <v>1</v>
      </c>
      <c r="C1571">
        <v>86</v>
      </c>
      <c r="D1571">
        <v>86</v>
      </c>
      <c r="E1571">
        <v>5</v>
      </c>
      <c r="F1571">
        <v>5</v>
      </c>
      <c r="G1571">
        <v>86</v>
      </c>
    </row>
    <row r="1572" spans="1:7" ht="15" x14ac:dyDescent="0.25">
      <c r="A1572" t="s">
        <v>14386</v>
      </c>
      <c r="B1572">
        <v>1</v>
      </c>
      <c r="C1572">
        <v>302</v>
      </c>
      <c r="D1572">
        <v>302</v>
      </c>
      <c r="E1572">
        <v>22</v>
      </c>
      <c r="F1572">
        <v>22</v>
      </c>
      <c r="G1572">
        <v>302</v>
      </c>
    </row>
    <row r="1573" spans="1:7" ht="15" x14ac:dyDescent="0.25">
      <c r="A1573" t="s">
        <v>14394</v>
      </c>
      <c r="B1573">
        <v>1</v>
      </c>
      <c r="C1573">
        <v>599</v>
      </c>
      <c r="D1573">
        <v>599</v>
      </c>
      <c r="E1573">
        <v>24</v>
      </c>
      <c r="F1573">
        <v>24</v>
      </c>
      <c r="G1573">
        <v>599</v>
      </c>
    </row>
    <row r="1574" spans="1:7" ht="15" x14ac:dyDescent="0.25">
      <c r="A1574" t="s">
        <v>14403</v>
      </c>
      <c r="B1574">
        <v>1</v>
      </c>
      <c r="C1574">
        <v>98</v>
      </c>
      <c r="D1574">
        <v>98</v>
      </c>
      <c r="E1574">
        <v>6</v>
      </c>
      <c r="F1574">
        <v>6</v>
      </c>
      <c r="G1574">
        <v>98</v>
      </c>
    </row>
    <row r="1575" spans="1:7" ht="15" x14ac:dyDescent="0.25">
      <c r="A1575" t="s">
        <v>14409</v>
      </c>
      <c r="B1575">
        <v>3</v>
      </c>
      <c r="C1575">
        <v>211</v>
      </c>
      <c r="D1575">
        <v>631</v>
      </c>
      <c r="E1575">
        <v>61</v>
      </c>
      <c r="F1575">
        <v>20.333333333333332</v>
      </c>
      <c r="G1575">
        <v>211</v>
      </c>
    </row>
    <row r="1576" spans="1:7" ht="15" x14ac:dyDescent="0.25">
      <c r="A1576" t="s">
        <v>14413</v>
      </c>
      <c r="B1576">
        <v>2</v>
      </c>
      <c r="C1576">
        <v>103</v>
      </c>
      <c r="D1576">
        <v>207</v>
      </c>
      <c r="E1576">
        <v>31</v>
      </c>
      <c r="F1576">
        <v>15.5</v>
      </c>
      <c r="G1576">
        <v>104</v>
      </c>
    </row>
    <row r="1577" spans="1:7" ht="15" x14ac:dyDescent="0.25">
      <c r="A1577" t="s">
        <v>14417</v>
      </c>
      <c r="B1577">
        <v>1</v>
      </c>
      <c r="C1577">
        <v>91</v>
      </c>
      <c r="D1577">
        <v>91</v>
      </c>
      <c r="E1577">
        <v>29</v>
      </c>
      <c r="F1577">
        <v>29</v>
      </c>
      <c r="G1577">
        <v>91</v>
      </c>
    </row>
    <row r="1578" spans="1:7" ht="15" x14ac:dyDescent="0.25">
      <c r="A1578" t="s">
        <v>14422</v>
      </c>
      <c r="B1578">
        <v>1</v>
      </c>
      <c r="C1578">
        <v>408</v>
      </c>
      <c r="D1578">
        <v>408</v>
      </c>
      <c r="E1578">
        <v>19</v>
      </c>
      <c r="F1578">
        <v>19</v>
      </c>
      <c r="G1578">
        <v>408</v>
      </c>
    </row>
    <row r="1579" spans="1:7" ht="15" x14ac:dyDescent="0.25">
      <c r="A1579" t="s">
        <v>14429</v>
      </c>
      <c r="B1579">
        <v>1</v>
      </c>
      <c r="C1579">
        <v>497</v>
      </c>
      <c r="D1579">
        <v>497</v>
      </c>
      <c r="E1579">
        <v>55</v>
      </c>
      <c r="F1579">
        <v>55</v>
      </c>
      <c r="G1579">
        <v>497</v>
      </c>
    </row>
    <row r="1580" spans="1:7" ht="15" x14ac:dyDescent="0.25">
      <c r="A1580" t="s">
        <v>14435</v>
      </c>
      <c r="B1580">
        <v>1</v>
      </c>
      <c r="C1580">
        <v>22</v>
      </c>
      <c r="D1580">
        <v>22</v>
      </c>
      <c r="E1580">
        <v>12</v>
      </c>
      <c r="F1580">
        <v>12</v>
      </c>
      <c r="G1580">
        <v>22</v>
      </c>
    </row>
    <row r="1581" spans="1:7" ht="15" x14ac:dyDescent="0.25">
      <c r="A1581" t="s">
        <v>14450</v>
      </c>
      <c r="B1581">
        <v>1</v>
      </c>
      <c r="D1581">
        <v>0</v>
      </c>
      <c r="E1581">
        <v>27</v>
      </c>
      <c r="F1581">
        <v>27</v>
      </c>
    </row>
    <row r="1582" spans="1:7" ht="15" x14ac:dyDescent="0.25">
      <c r="A1582" t="s">
        <v>14462</v>
      </c>
      <c r="B1582">
        <v>1</v>
      </c>
      <c r="C1582">
        <v>908</v>
      </c>
      <c r="D1582">
        <v>908</v>
      </c>
      <c r="E1582">
        <v>61</v>
      </c>
      <c r="F1582">
        <v>61</v>
      </c>
      <c r="G1582">
        <v>908</v>
      </c>
    </row>
    <row r="1583" spans="1:7" ht="15" x14ac:dyDescent="0.25">
      <c r="A1583" t="s">
        <v>14467</v>
      </c>
      <c r="B1583">
        <v>1</v>
      </c>
      <c r="C1583">
        <v>162</v>
      </c>
      <c r="D1583">
        <v>162</v>
      </c>
      <c r="E1583">
        <v>38</v>
      </c>
      <c r="F1583">
        <v>38</v>
      </c>
      <c r="G1583">
        <v>162</v>
      </c>
    </row>
    <row r="1584" spans="1:7" ht="15" x14ac:dyDescent="0.25">
      <c r="A1584" t="s">
        <v>14471</v>
      </c>
      <c r="B1584">
        <v>1</v>
      </c>
      <c r="C1584">
        <v>99</v>
      </c>
      <c r="D1584">
        <v>99</v>
      </c>
      <c r="E1584">
        <v>6</v>
      </c>
      <c r="F1584">
        <v>6</v>
      </c>
      <c r="G1584">
        <v>99</v>
      </c>
    </row>
    <row r="1585" spans="1:7" ht="15" x14ac:dyDescent="0.25">
      <c r="A1585" t="s">
        <v>14477</v>
      </c>
      <c r="B1585">
        <v>1</v>
      </c>
      <c r="C1585">
        <v>88754</v>
      </c>
      <c r="D1585">
        <v>88754</v>
      </c>
      <c r="E1585">
        <v>4555</v>
      </c>
      <c r="F1585">
        <v>4555</v>
      </c>
      <c r="G1585">
        <v>88754</v>
      </c>
    </row>
    <row r="1586" spans="1:7" ht="15" x14ac:dyDescent="0.25">
      <c r="A1586" t="s">
        <v>14485</v>
      </c>
      <c r="B1586">
        <v>2</v>
      </c>
      <c r="C1586">
        <v>112</v>
      </c>
      <c r="D1586">
        <v>224</v>
      </c>
      <c r="E1586">
        <v>99</v>
      </c>
      <c r="F1586">
        <v>49.5</v>
      </c>
      <c r="G1586">
        <v>112</v>
      </c>
    </row>
    <row r="1587" spans="1:7" ht="15" x14ac:dyDescent="0.25">
      <c r="A1587" t="s">
        <v>14494</v>
      </c>
      <c r="B1587">
        <v>1</v>
      </c>
      <c r="C1587">
        <v>815</v>
      </c>
      <c r="D1587">
        <v>815</v>
      </c>
      <c r="E1587">
        <v>29</v>
      </c>
      <c r="F1587">
        <v>29</v>
      </c>
      <c r="G1587">
        <v>815</v>
      </c>
    </row>
    <row r="1588" spans="1:7" ht="15" x14ac:dyDescent="0.25">
      <c r="A1588" t="s">
        <v>14499</v>
      </c>
      <c r="B1588">
        <v>1</v>
      </c>
      <c r="C1588">
        <v>86</v>
      </c>
      <c r="D1588">
        <v>86</v>
      </c>
      <c r="E1588">
        <v>40</v>
      </c>
      <c r="F1588">
        <v>40</v>
      </c>
      <c r="G1588">
        <v>86</v>
      </c>
    </row>
    <row r="1589" spans="1:7" ht="15" x14ac:dyDescent="0.25">
      <c r="A1589" t="s">
        <v>14504</v>
      </c>
      <c r="B1589">
        <v>1</v>
      </c>
      <c r="C1589">
        <v>221</v>
      </c>
      <c r="D1589">
        <v>221</v>
      </c>
      <c r="E1589">
        <v>13</v>
      </c>
      <c r="F1589">
        <v>13</v>
      </c>
      <c r="G1589">
        <v>221</v>
      </c>
    </row>
    <row r="1590" spans="1:7" ht="15" x14ac:dyDescent="0.25">
      <c r="A1590" t="s">
        <v>14511</v>
      </c>
      <c r="B1590">
        <v>1</v>
      </c>
      <c r="C1590">
        <v>256</v>
      </c>
      <c r="D1590">
        <v>256</v>
      </c>
      <c r="E1590">
        <v>64</v>
      </c>
      <c r="F1590">
        <v>64</v>
      </c>
      <c r="G1590">
        <v>256</v>
      </c>
    </row>
    <row r="1591" spans="1:7" ht="15" x14ac:dyDescent="0.25">
      <c r="A1591" t="s">
        <v>14514</v>
      </c>
      <c r="B1591">
        <v>1</v>
      </c>
      <c r="C1591">
        <v>2291</v>
      </c>
      <c r="D1591">
        <v>2291</v>
      </c>
      <c r="E1591">
        <v>120</v>
      </c>
      <c r="F1591">
        <v>120</v>
      </c>
      <c r="G1591">
        <v>2291</v>
      </c>
    </row>
    <row r="1592" spans="1:7" ht="15" x14ac:dyDescent="0.25">
      <c r="A1592" t="s">
        <v>14520</v>
      </c>
      <c r="B1592">
        <v>1</v>
      </c>
      <c r="C1592">
        <v>148</v>
      </c>
      <c r="D1592">
        <v>148</v>
      </c>
      <c r="E1592">
        <v>40</v>
      </c>
      <c r="F1592">
        <v>40</v>
      </c>
      <c r="G1592">
        <v>148</v>
      </c>
    </row>
    <row r="1593" spans="1:7" ht="15" x14ac:dyDescent="0.25">
      <c r="A1593" t="s">
        <v>14523</v>
      </c>
      <c r="B1593">
        <v>1</v>
      </c>
      <c r="C1593">
        <v>765</v>
      </c>
      <c r="D1593">
        <v>765</v>
      </c>
      <c r="E1593">
        <v>11</v>
      </c>
      <c r="F1593">
        <v>11</v>
      </c>
      <c r="G1593">
        <v>765</v>
      </c>
    </row>
    <row r="1594" spans="1:7" ht="15" x14ac:dyDescent="0.25">
      <c r="A1594" t="s">
        <v>14533</v>
      </c>
      <c r="B1594">
        <v>1</v>
      </c>
      <c r="C1594">
        <v>277</v>
      </c>
      <c r="D1594">
        <v>277</v>
      </c>
      <c r="E1594">
        <v>8</v>
      </c>
      <c r="F1594">
        <v>8</v>
      </c>
      <c r="G1594">
        <v>277</v>
      </c>
    </row>
    <row r="1595" spans="1:7" ht="15" x14ac:dyDescent="0.25">
      <c r="A1595" t="s">
        <v>14537</v>
      </c>
      <c r="B1595">
        <v>1</v>
      </c>
      <c r="C1595">
        <v>669</v>
      </c>
      <c r="D1595">
        <v>669</v>
      </c>
      <c r="E1595">
        <v>52</v>
      </c>
      <c r="F1595">
        <v>52</v>
      </c>
      <c r="G1595">
        <v>669</v>
      </c>
    </row>
    <row r="1596" spans="1:7" ht="15" x14ac:dyDescent="0.25">
      <c r="A1596" t="s">
        <v>14547</v>
      </c>
      <c r="B1596">
        <v>1</v>
      </c>
      <c r="C1596">
        <v>134</v>
      </c>
      <c r="D1596">
        <v>134</v>
      </c>
      <c r="E1596">
        <v>12</v>
      </c>
      <c r="F1596">
        <v>12</v>
      </c>
      <c r="G1596">
        <v>134</v>
      </c>
    </row>
    <row r="1597" spans="1:7" ht="15" x14ac:dyDescent="0.25">
      <c r="A1597" t="s">
        <v>14553</v>
      </c>
      <c r="B1597">
        <v>1</v>
      </c>
      <c r="C1597">
        <v>510</v>
      </c>
      <c r="D1597">
        <v>510</v>
      </c>
      <c r="E1597">
        <v>20</v>
      </c>
      <c r="F1597">
        <v>20</v>
      </c>
      <c r="G1597">
        <v>510</v>
      </c>
    </row>
    <row r="1598" spans="1:7" ht="15" x14ac:dyDescent="0.25">
      <c r="A1598" t="s">
        <v>14567</v>
      </c>
      <c r="B1598">
        <v>3</v>
      </c>
      <c r="C1598">
        <v>635</v>
      </c>
      <c r="D1598">
        <v>1859</v>
      </c>
      <c r="E1598">
        <v>270</v>
      </c>
      <c r="F1598">
        <v>90</v>
      </c>
      <c r="G1598">
        <v>635</v>
      </c>
    </row>
    <row r="1599" spans="1:7" ht="15" x14ac:dyDescent="0.25">
      <c r="A1599" t="s">
        <v>14575</v>
      </c>
      <c r="B1599">
        <v>1</v>
      </c>
      <c r="C1599">
        <v>105</v>
      </c>
      <c r="D1599">
        <v>105</v>
      </c>
      <c r="E1599">
        <v>41</v>
      </c>
      <c r="F1599">
        <v>41</v>
      </c>
      <c r="G1599">
        <v>105</v>
      </c>
    </row>
    <row r="1600" spans="1:7" ht="15" x14ac:dyDescent="0.25">
      <c r="A1600" t="s">
        <v>14589</v>
      </c>
      <c r="B1600">
        <v>1</v>
      </c>
      <c r="C1600">
        <v>535</v>
      </c>
      <c r="D1600">
        <v>535</v>
      </c>
      <c r="E1600">
        <v>10</v>
      </c>
      <c r="F1600">
        <v>10</v>
      </c>
      <c r="G1600">
        <v>535</v>
      </c>
    </row>
    <row r="1601" spans="1:7" ht="15" x14ac:dyDescent="0.25">
      <c r="A1601" t="s">
        <v>14596</v>
      </c>
      <c r="B1601">
        <v>1</v>
      </c>
      <c r="C1601">
        <v>67</v>
      </c>
      <c r="D1601">
        <v>67</v>
      </c>
      <c r="E1601">
        <v>12</v>
      </c>
      <c r="F1601">
        <v>12</v>
      </c>
      <c r="G1601">
        <v>67</v>
      </c>
    </row>
    <row r="1602" spans="1:7" ht="15" x14ac:dyDescent="0.25">
      <c r="A1602" t="s">
        <v>14599</v>
      </c>
      <c r="B1602">
        <v>1</v>
      </c>
      <c r="C1602">
        <v>220</v>
      </c>
      <c r="D1602">
        <v>220</v>
      </c>
      <c r="E1602">
        <v>29</v>
      </c>
      <c r="F1602">
        <v>29</v>
      </c>
      <c r="G1602">
        <v>220</v>
      </c>
    </row>
    <row r="1603" spans="1:7" ht="15" x14ac:dyDescent="0.25">
      <c r="A1603" t="s">
        <v>14608</v>
      </c>
      <c r="B1603">
        <v>1</v>
      </c>
      <c r="C1603">
        <v>430</v>
      </c>
      <c r="D1603">
        <v>430</v>
      </c>
      <c r="E1603">
        <v>16</v>
      </c>
      <c r="F1603">
        <v>16</v>
      </c>
      <c r="G1603">
        <v>430</v>
      </c>
    </row>
    <row r="1604" spans="1:7" ht="15" x14ac:dyDescent="0.25">
      <c r="A1604" t="s">
        <v>14614</v>
      </c>
      <c r="B1604">
        <v>1</v>
      </c>
      <c r="C1604">
        <v>321</v>
      </c>
      <c r="D1604">
        <v>321</v>
      </c>
      <c r="E1604">
        <v>64</v>
      </c>
      <c r="F1604">
        <v>64</v>
      </c>
      <c r="G1604">
        <v>321</v>
      </c>
    </row>
    <row r="1605" spans="1:7" ht="15" x14ac:dyDescent="0.25">
      <c r="A1605" t="s">
        <v>14618</v>
      </c>
      <c r="B1605">
        <v>1</v>
      </c>
      <c r="C1605">
        <v>498</v>
      </c>
      <c r="D1605">
        <v>498</v>
      </c>
      <c r="E1605">
        <v>38</v>
      </c>
      <c r="F1605">
        <v>38</v>
      </c>
      <c r="G1605">
        <v>498</v>
      </c>
    </row>
    <row r="1606" spans="1:7" ht="15" x14ac:dyDescent="0.25">
      <c r="A1606" t="s">
        <v>14624</v>
      </c>
      <c r="B1606">
        <v>1</v>
      </c>
      <c r="C1606">
        <v>314</v>
      </c>
      <c r="D1606">
        <v>314</v>
      </c>
      <c r="E1606">
        <v>33</v>
      </c>
      <c r="F1606">
        <v>33</v>
      </c>
      <c r="G1606">
        <v>314</v>
      </c>
    </row>
    <row r="1607" spans="1:7" ht="15" x14ac:dyDescent="0.25">
      <c r="A1607" t="s">
        <v>14630</v>
      </c>
      <c r="B1607">
        <v>1</v>
      </c>
      <c r="C1607">
        <v>68</v>
      </c>
      <c r="D1607">
        <v>68</v>
      </c>
      <c r="E1607">
        <v>29</v>
      </c>
      <c r="F1607">
        <v>29</v>
      </c>
      <c r="G1607">
        <v>68</v>
      </c>
    </row>
    <row r="1608" spans="1:7" ht="15" x14ac:dyDescent="0.25">
      <c r="A1608" t="s">
        <v>14639</v>
      </c>
      <c r="B1608">
        <v>1</v>
      </c>
      <c r="C1608">
        <v>2014</v>
      </c>
      <c r="D1608">
        <v>2014</v>
      </c>
      <c r="E1608">
        <v>41</v>
      </c>
      <c r="F1608">
        <v>41</v>
      </c>
      <c r="G1608">
        <v>2014</v>
      </c>
    </row>
    <row r="1609" spans="1:7" ht="15" x14ac:dyDescent="0.25">
      <c r="A1609" t="s">
        <v>14645</v>
      </c>
      <c r="B1609">
        <v>1</v>
      </c>
      <c r="C1609">
        <v>816</v>
      </c>
      <c r="D1609">
        <v>816</v>
      </c>
      <c r="E1609">
        <v>112</v>
      </c>
      <c r="F1609">
        <v>112</v>
      </c>
      <c r="G1609">
        <v>816</v>
      </c>
    </row>
    <row r="1610" spans="1:7" ht="15" x14ac:dyDescent="0.25">
      <c r="A1610" t="s">
        <v>14656</v>
      </c>
      <c r="B1610">
        <v>1</v>
      </c>
      <c r="C1610">
        <v>438</v>
      </c>
      <c r="D1610">
        <v>438</v>
      </c>
      <c r="E1610">
        <v>28</v>
      </c>
      <c r="F1610">
        <v>28</v>
      </c>
      <c r="G1610">
        <v>438</v>
      </c>
    </row>
    <row r="1611" spans="1:7" ht="15" x14ac:dyDescent="0.25">
      <c r="A1611" t="s">
        <v>14659</v>
      </c>
      <c r="B1611">
        <v>1</v>
      </c>
      <c r="C1611">
        <v>640</v>
      </c>
      <c r="D1611">
        <v>640</v>
      </c>
      <c r="E1611">
        <v>67</v>
      </c>
      <c r="F1611">
        <v>67</v>
      </c>
      <c r="G1611">
        <v>640</v>
      </c>
    </row>
    <row r="1612" spans="1:7" ht="15" x14ac:dyDescent="0.25">
      <c r="A1612" t="s">
        <v>14666</v>
      </c>
      <c r="B1612">
        <v>1</v>
      </c>
      <c r="C1612">
        <v>2917</v>
      </c>
      <c r="D1612">
        <v>2917</v>
      </c>
      <c r="E1612">
        <v>151</v>
      </c>
      <c r="F1612">
        <v>151</v>
      </c>
      <c r="G1612">
        <v>2917</v>
      </c>
    </row>
    <row r="1613" spans="1:7" ht="15" x14ac:dyDescent="0.25">
      <c r="A1613" t="s">
        <v>14672</v>
      </c>
      <c r="B1613">
        <v>1</v>
      </c>
      <c r="C1613">
        <v>1191</v>
      </c>
      <c r="D1613">
        <v>1191</v>
      </c>
      <c r="E1613">
        <v>52</v>
      </c>
      <c r="F1613">
        <v>52</v>
      </c>
      <c r="G1613">
        <v>1191</v>
      </c>
    </row>
    <row r="1614" spans="1:7" ht="15" x14ac:dyDescent="0.25">
      <c r="A1614" t="s">
        <v>14681</v>
      </c>
      <c r="B1614">
        <v>1</v>
      </c>
      <c r="C1614">
        <v>1950</v>
      </c>
      <c r="D1614">
        <v>1950</v>
      </c>
      <c r="E1614">
        <v>314</v>
      </c>
      <c r="F1614">
        <v>314</v>
      </c>
      <c r="G1614">
        <v>1950</v>
      </c>
    </row>
    <row r="1615" spans="1:7" ht="15" x14ac:dyDescent="0.25">
      <c r="A1615" t="s">
        <v>14686</v>
      </c>
      <c r="B1615">
        <v>1</v>
      </c>
      <c r="C1615">
        <v>330</v>
      </c>
      <c r="D1615">
        <v>330</v>
      </c>
      <c r="E1615">
        <v>3</v>
      </c>
      <c r="F1615">
        <v>3</v>
      </c>
      <c r="G1615">
        <v>330</v>
      </c>
    </row>
    <row r="1616" spans="1:7" ht="15" x14ac:dyDescent="0.25">
      <c r="A1616" t="s">
        <v>14696</v>
      </c>
      <c r="B1616">
        <v>1</v>
      </c>
      <c r="C1616">
        <v>646</v>
      </c>
      <c r="D1616">
        <v>646</v>
      </c>
      <c r="E1616">
        <v>64</v>
      </c>
      <c r="F1616">
        <v>64</v>
      </c>
      <c r="G1616">
        <v>646</v>
      </c>
    </row>
    <row r="1617" spans="1:7" ht="15" x14ac:dyDescent="0.25">
      <c r="A1617" t="s">
        <v>14702</v>
      </c>
      <c r="B1617">
        <v>1</v>
      </c>
      <c r="C1617">
        <v>4101</v>
      </c>
      <c r="D1617">
        <v>4101</v>
      </c>
      <c r="E1617">
        <v>42</v>
      </c>
      <c r="F1617">
        <v>42</v>
      </c>
      <c r="G1617">
        <v>4101</v>
      </c>
    </row>
    <row r="1618" spans="1:7" ht="15" x14ac:dyDescent="0.25">
      <c r="A1618" t="s">
        <v>14705</v>
      </c>
      <c r="B1618">
        <v>1</v>
      </c>
      <c r="C1618">
        <v>2933</v>
      </c>
      <c r="D1618">
        <v>2933</v>
      </c>
      <c r="E1618">
        <v>84</v>
      </c>
      <c r="F1618">
        <v>84</v>
      </c>
      <c r="G1618">
        <v>2933</v>
      </c>
    </row>
    <row r="1619" spans="1:7" ht="15" x14ac:dyDescent="0.25">
      <c r="A1619" t="s">
        <v>14710</v>
      </c>
      <c r="B1619">
        <v>1</v>
      </c>
      <c r="C1619">
        <v>536</v>
      </c>
      <c r="D1619">
        <v>536</v>
      </c>
      <c r="E1619">
        <v>37</v>
      </c>
      <c r="F1619">
        <v>37</v>
      </c>
      <c r="G1619">
        <v>536</v>
      </c>
    </row>
    <row r="1620" spans="1:7" ht="15" x14ac:dyDescent="0.25">
      <c r="A1620" t="s">
        <v>14719</v>
      </c>
      <c r="B1620">
        <v>1</v>
      </c>
      <c r="C1620">
        <v>68</v>
      </c>
      <c r="D1620">
        <v>68</v>
      </c>
      <c r="E1620">
        <v>15</v>
      </c>
      <c r="F1620">
        <v>15</v>
      </c>
      <c r="G1620">
        <v>68</v>
      </c>
    </row>
    <row r="1621" spans="1:7" ht="15" x14ac:dyDescent="0.25">
      <c r="A1621" t="s">
        <v>14723</v>
      </c>
      <c r="B1621">
        <v>2</v>
      </c>
      <c r="C1621">
        <v>306</v>
      </c>
      <c r="D1621">
        <v>614</v>
      </c>
      <c r="E1621">
        <v>77</v>
      </c>
      <c r="F1621">
        <v>38.5</v>
      </c>
      <c r="G1621">
        <v>308</v>
      </c>
    </row>
    <row r="1622" spans="1:7" ht="15" x14ac:dyDescent="0.25">
      <c r="A1622" t="s">
        <v>14734</v>
      </c>
      <c r="B1622">
        <v>1</v>
      </c>
      <c r="C1622">
        <v>205</v>
      </c>
      <c r="D1622">
        <v>205</v>
      </c>
      <c r="E1622">
        <v>30</v>
      </c>
      <c r="F1622">
        <v>30</v>
      </c>
      <c r="G1622">
        <v>205</v>
      </c>
    </row>
    <row r="1623" spans="1:7" ht="15" x14ac:dyDescent="0.25">
      <c r="A1623" t="s">
        <v>14740</v>
      </c>
      <c r="B1623">
        <v>1</v>
      </c>
      <c r="C1623">
        <v>546</v>
      </c>
      <c r="D1623">
        <v>546</v>
      </c>
      <c r="E1623">
        <v>55</v>
      </c>
      <c r="F1623">
        <v>55</v>
      </c>
      <c r="G1623">
        <v>546</v>
      </c>
    </row>
    <row r="1624" spans="1:7" ht="15" x14ac:dyDescent="0.25">
      <c r="A1624" t="s">
        <v>14763</v>
      </c>
      <c r="B1624">
        <v>1</v>
      </c>
      <c r="C1624">
        <v>184</v>
      </c>
      <c r="D1624">
        <v>184</v>
      </c>
      <c r="E1624">
        <v>8</v>
      </c>
      <c r="F1624">
        <v>8</v>
      </c>
      <c r="G1624">
        <v>184</v>
      </c>
    </row>
    <row r="1625" spans="1:7" ht="15" x14ac:dyDescent="0.25">
      <c r="A1625" t="s">
        <v>14767</v>
      </c>
      <c r="B1625">
        <v>2</v>
      </c>
      <c r="C1625">
        <v>475</v>
      </c>
      <c r="D1625">
        <v>948</v>
      </c>
      <c r="E1625">
        <v>136</v>
      </c>
      <c r="F1625">
        <v>68</v>
      </c>
      <c r="G1625">
        <v>475</v>
      </c>
    </row>
    <row r="1626" spans="1:7" ht="15" x14ac:dyDescent="0.25">
      <c r="A1626" t="s">
        <v>14774</v>
      </c>
      <c r="B1626">
        <v>1</v>
      </c>
      <c r="C1626">
        <v>1217</v>
      </c>
      <c r="D1626">
        <v>1217</v>
      </c>
      <c r="E1626">
        <v>27</v>
      </c>
      <c r="F1626">
        <v>27</v>
      </c>
      <c r="G1626">
        <v>1217</v>
      </c>
    </row>
    <row r="1627" spans="1:7" ht="15" x14ac:dyDescent="0.25">
      <c r="A1627" t="s">
        <v>14781</v>
      </c>
      <c r="B1627">
        <v>1</v>
      </c>
      <c r="C1627">
        <v>662</v>
      </c>
      <c r="D1627">
        <v>662</v>
      </c>
      <c r="E1627">
        <v>50</v>
      </c>
      <c r="F1627">
        <v>50</v>
      </c>
      <c r="G1627">
        <v>662</v>
      </c>
    </row>
    <row r="1628" spans="1:7" ht="15" x14ac:dyDescent="0.25">
      <c r="A1628" t="s">
        <v>14787</v>
      </c>
      <c r="B1628">
        <v>1</v>
      </c>
      <c r="C1628">
        <v>4483</v>
      </c>
      <c r="D1628">
        <v>4483</v>
      </c>
      <c r="E1628">
        <v>78</v>
      </c>
      <c r="F1628">
        <v>78</v>
      </c>
      <c r="G1628">
        <v>4483</v>
      </c>
    </row>
    <row r="1629" spans="1:7" ht="15" x14ac:dyDescent="0.25">
      <c r="A1629" t="s">
        <v>14795</v>
      </c>
      <c r="B1629">
        <v>1</v>
      </c>
      <c r="C1629">
        <v>1145</v>
      </c>
      <c r="D1629">
        <v>1145</v>
      </c>
      <c r="E1629">
        <v>177</v>
      </c>
      <c r="F1629">
        <v>177</v>
      </c>
      <c r="G1629">
        <v>1145</v>
      </c>
    </row>
    <row r="1630" spans="1:7" ht="15" x14ac:dyDescent="0.25">
      <c r="A1630" t="s">
        <v>14798</v>
      </c>
      <c r="B1630">
        <v>1</v>
      </c>
      <c r="C1630">
        <v>1386</v>
      </c>
      <c r="D1630">
        <v>1386</v>
      </c>
      <c r="E1630">
        <v>69</v>
      </c>
      <c r="F1630">
        <v>69</v>
      </c>
      <c r="G1630">
        <v>1386</v>
      </c>
    </row>
    <row r="1631" spans="1:7" ht="15" x14ac:dyDescent="0.25">
      <c r="A1631" t="s">
        <v>14806</v>
      </c>
      <c r="B1631">
        <v>1</v>
      </c>
      <c r="C1631">
        <v>77</v>
      </c>
      <c r="D1631">
        <v>77</v>
      </c>
      <c r="E1631">
        <v>40</v>
      </c>
      <c r="F1631">
        <v>40</v>
      </c>
      <c r="G1631">
        <v>77</v>
      </c>
    </row>
    <row r="1632" spans="1:7" ht="15" x14ac:dyDescent="0.25">
      <c r="A1632" t="s">
        <v>14813</v>
      </c>
      <c r="B1632">
        <v>1</v>
      </c>
      <c r="C1632">
        <v>1173</v>
      </c>
      <c r="D1632">
        <v>1173</v>
      </c>
      <c r="E1632">
        <v>31</v>
      </c>
      <c r="F1632">
        <v>31</v>
      </c>
      <c r="G1632">
        <v>1173</v>
      </c>
    </row>
    <row r="1633" spans="1:7" ht="15" x14ac:dyDescent="0.25">
      <c r="A1633" t="s">
        <v>14820</v>
      </c>
      <c r="B1633">
        <v>1</v>
      </c>
      <c r="C1633">
        <v>26</v>
      </c>
      <c r="D1633">
        <v>26</v>
      </c>
      <c r="E1633">
        <v>15</v>
      </c>
      <c r="F1633">
        <v>15</v>
      </c>
      <c r="G1633">
        <v>26</v>
      </c>
    </row>
    <row r="1634" spans="1:7" ht="15" x14ac:dyDescent="0.25">
      <c r="A1634" t="s">
        <v>14825</v>
      </c>
      <c r="B1634">
        <v>1</v>
      </c>
      <c r="C1634">
        <v>530</v>
      </c>
      <c r="D1634">
        <v>530</v>
      </c>
      <c r="E1634">
        <v>29</v>
      </c>
      <c r="F1634">
        <v>29</v>
      </c>
      <c r="G1634">
        <v>530</v>
      </c>
    </row>
    <row r="1635" spans="1:7" ht="15" x14ac:dyDescent="0.25">
      <c r="A1635" t="s">
        <v>14832</v>
      </c>
      <c r="B1635">
        <v>1</v>
      </c>
      <c r="C1635">
        <v>417</v>
      </c>
      <c r="D1635">
        <v>417</v>
      </c>
      <c r="E1635">
        <v>56</v>
      </c>
      <c r="F1635">
        <v>56</v>
      </c>
      <c r="G1635">
        <v>417</v>
      </c>
    </row>
    <row r="1636" spans="1:7" ht="15" x14ac:dyDescent="0.25">
      <c r="A1636" t="s">
        <v>14842</v>
      </c>
      <c r="B1636">
        <v>2</v>
      </c>
      <c r="C1636">
        <v>746</v>
      </c>
      <c r="D1636">
        <v>1497</v>
      </c>
      <c r="E1636">
        <v>67</v>
      </c>
      <c r="F1636">
        <v>33.5</v>
      </c>
      <c r="G1636">
        <v>751</v>
      </c>
    </row>
    <row r="1637" spans="1:7" ht="15" x14ac:dyDescent="0.25">
      <c r="A1637" t="s">
        <v>14850</v>
      </c>
      <c r="B1637">
        <v>1</v>
      </c>
      <c r="C1637">
        <v>161</v>
      </c>
      <c r="D1637">
        <v>161</v>
      </c>
      <c r="E1637">
        <v>21</v>
      </c>
      <c r="F1637">
        <v>21</v>
      </c>
      <c r="G1637">
        <v>161</v>
      </c>
    </row>
    <row r="1638" spans="1:7" ht="15" x14ac:dyDescent="0.25">
      <c r="A1638" t="s">
        <v>14856</v>
      </c>
      <c r="B1638">
        <v>1</v>
      </c>
      <c r="C1638">
        <v>692</v>
      </c>
      <c r="D1638">
        <v>692</v>
      </c>
      <c r="E1638">
        <v>95</v>
      </c>
      <c r="F1638">
        <v>95</v>
      </c>
      <c r="G1638">
        <v>692</v>
      </c>
    </row>
    <row r="1639" spans="1:7" ht="15" x14ac:dyDescent="0.25">
      <c r="A1639" t="s">
        <v>14864</v>
      </c>
      <c r="B1639">
        <v>1</v>
      </c>
      <c r="C1639">
        <v>1164</v>
      </c>
      <c r="D1639">
        <v>1164</v>
      </c>
      <c r="E1639">
        <v>139</v>
      </c>
      <c r="F1639">
        <v>139</v>
      </c>
      <c r="G1639">
        <v>1164</v>
      </c>
    </row>
    <row r="1640" spans="1:7" ht="15" x14ac:dyDescent="0.25">
      <c r="A1640" t="s">
        <v>14869</v>
      </c>
      <c r="B1640">
        <v>2</v>
      </c>
      <c r="C1640">
        <v>1360</v>
      </c>
      <c r="D1640">
        <v>2720</v>
      </c>
      <c r="E1640">
        <v>124</v>
      </c>
      <c r="F1640">
        <v>62</v>
      </c>
      <c r="G1640">
        <v>1360</v>
      </c>
    </row>
    <row r="1641" spans="1:7" ht="15" x14ac:dyDescent="0.25">
      <c r="A1641" t="s">
        <v>14876</v>
      </c>
      <c r="B1641">
        <v>1</v>
      </c>
      <c r="C1641">
        <v>984</v>
      </c>
      <c r="D1641">
        <v>984</v>
      </c>
      <c r="E1641">
        <v>45</v>
      </c>
      <c r="F1641">
        <v>45</v>
      </c>
      <c r="G1641">
        <v>984</v>
      </c>
    </row>
    <row r="1642" spans="1:7" ht="15" x14ac:dyDescent="0.25">
      <c r="A1642" t="s">
        <v>14889</v>
      </c>
      <c r="B1642">
        <v>1</v>
      </c>
      <c r="C1642">
        <v>193</v>
      </c>
      <c r="D1642">
        <v>193</v>
      </c>
      <c r="E1642">
        <v>23</v>
      </c>
      <c r="F1642">
        <v>23</v>
      </c>
      <c r="G1642">
        <v>193</v>
      </c>
    </row>
    <row r="1643" spans="1:7" ht="15" x14ac:dyDescent="0.25">
      <c r="A1643" t="s">
        <v>14895</v>
      </c>
      <c r="B1643">
        <v>1</v>
      </c>
      <c r="C1643">
        <v>19094</v>
      </c>
      <c r="D1643">
        <v>19094</v>
      </c>
      <c r="E1643">
        <v>285</v>
      </c>
      <c r="F1643">
        <v>285</v>
      </c>
      <c r="G1643">
        <v>19094</v>
      </c>
    </row>
    <row r="1644" spans="1:7" ht="15" x14ac:dyDescent="0.25">
      <c r="A1644" t="s">
        <v>14900</v>
      </c>
      <c r="B1644">
        <v>3</v>
      </c>
      <c r="C1644">
        <v>46703</v>
      </c>
      <c r="D1644">
        <v>139683</v>
      </c>
      <c r="E1644">
        <v>1650</v>
      </c>
      <c r="F1644">
        <v>550</v>
      </c>
      <c r="G1644">
        <v>46703</v>
      </c>
    </row>
    <row r="1645" spans="1:7" ht="15" x14ac:dyDescent="0.25">
      <c r="A1645" t="s">
        <v>14906</v>
      </c>
      <c r="B1645">
        <v>1</v>
      </c>
      <c r="C1645">
        <v>1645</v>
      </c>
      <c r="D1645">
        <v>1645</v>
      </c>
      <c r="E1645">
        <v>140</v>
      </c>
      <c r="F1645">
        <v>140</v>
      </c>
      <c r="G1645">
        <v>1645</v>
      </c>
    </row>
    <row r="1646" spans="1:7" ht="15" x14ac:dyDescent="0.25">
      <c r="A1646" t="s">
        <v>14911</v>
      </c>
      <c r="B1646">
        <v>1</v>
      </c>
      <c r="C1646">
        <v>142</v>
      </c>
      <c r="D1646">
        <v>142</v>
      </c>
      <c r="E1646">
        <v>41</v>
      </c>
      <c r="F1646">
        <v>41</v>
      </c>
      <c r="G1646">
        <v>142</v>
      </c>
    </row>
    <row r="1647" spans="1:7" ht="15" x14ac:dyDescent="0.25">
      <c r="A1647" t="s">
        <v>14915</v>
      </c>
      <c r="B1647">
        <v>3</v>
      </c>
      <c r="C1647">
        <v>5842</v>
      </c>
      <c r="D1647">
        <v>17198</v>
      </c>
      <c r="E1647">
        <v>3396</v>
      </c>
      <c r="F1647">
        <v>1132</v>
      </c>
      <c r="G1647">
        <v>5842</v>
      </c>
    </row>
    <row r="1648" spans="1:7" ht="15" x14ac:dyDescent="0.25">
      <c r="A1648" t="s">
        <v>14922</v>
      </c>
      <c r="B1648">
        <v>1</v>
      </c>
      <c r="C1648">
        <v>1029</v>
      </c>
      <c r="D1648">
        <v>1029</v>
      </c>
      <c r="E1648">
        <v>18</v>
      </c>
      <c r="F1648">
        <v>18</v>
      </c>
      <c r="G1648">
        <v>1029</v>
      </c>
    </row>
    <row r="1649" spans="1:7" ht="15" x14ac:dyDescent="0.25">
      <c r="A1649" t="s">
        <v>14932</v>
      </c>
      <c r="B1649">
        <v>1</v>
      </c>
      <c r="C1649">
        <v>563</v>
      </c>
      <c r="D1649">
        <v>563</v>
      </c>
      <c r="E1649">
        <v>32</v>
      </c>
      <c r="F1649">
        <v>32</v>
      </c>
      <c r="G1649">
        <v>563</v>
      </c>
    </row>
    <row r="1650" spans="1:7" ht="15" x14ac:dyDescent="0.25">
      <c r="A1650" t="s">
        <v>14941</v>
      </c>
      <c r="B1650">
        <v>1</v>
      </c>
      <c r="C1650">
        <v>135</v>
      </c>
      <c r="D1650">
        <v>135</v>
      </c>
      <c r="E1650">
        <v>32</v>
      </c>
      <c r="F1650">
        <v>32</v>
      </c>
      <c r="G1650">
        <v>135</v>
      </c>
    </row>
    <row r="1651" spans="1:7" ht="15" x14ac:dyDescent="0.25">
      <c r="A1651" t="s">
        <v>14950</v>
      </c>
      <c r="B1651">
        <v>1</v>
      </c>
      <c r="C1651">
        <v>999</v>
      </c>
      <c r="D1651">
        <v>999</v>
      </c>
      <c r="E1651">
        <v>111</v>
      </c>
      <c r="F1651">
        <v>111</v>
      </c>
      <c r="G1651">
        <v>999</v>
      </c>
    </row>
    <row r="1652" spans="1:7" ht="15" x14ac:dyDescent="0.25">
      <c r="A1652" t="s">
        <v>14955</v>
      </c>
      <c r="B1652">
        <v>1</v>
      </c>
      <c r="C1652">
        <v>561</v>
      </c>
      <c r="D1652">
        <v>561</v>
      </c>
      <c r="E1652">
        <v>138</v>
      </c>
      <c r="F1652">
        <v>138</v>
      </c>
      <c r="G1652">
        <v>561</v>
      </c>
    </row>
    <row r="1653" spans="1:7" ht="15" x14ac:dyDescent="0.25">
      <c r="A1653" t="s">
        <v>14969</v>
      </c>
      <c r="B1653">
        <v>1</v>
      </c>
      <c r="C1653">
        <v>134</v>
      </c>
      <c r="D1653">
        <v>134</v>
      </c>
      <c r="E1653">
        <v>53</v>
      </c>
      <c r="F1653">
        <v>53</v>
      </c>
      <c r="G1653">
        <v>134</v>
      </c>
    </row>
    <row r="1654" spans="1:7" ht="15" x14ac:dyDescent="0.25">
      <c r="A1654" t="s">
        <v>14974</v>
      </c>
      <c r="B1654">
        <v>2</v>
      </c>
      <c r="C1654">
        <v>57</v>
      </c>
      <c r="D1654">
        <v>75</v>
      </c>
      <c r="E1654">
        <v>80</v>
      </c>
      <c r="F1654">
        <v>40</v>
      </c>
      <c r="G1654">
        <v>57</v>
      </c>
    </row>
    <row r="1655" spans="1:7" ht="15" x14ac:dyDescent="0.25">
      <c r="A1655" t="s">
        <v>14981</v>
      </c>
      <c r="B1655">
        <v>1</v>
      </c>
      <c r="C1655">
        <v>127</v>
      </c>
      <c r="D1655">
        <v>127</v>
      </c>
      <c r="E1655">
        <v>6</v>
      </c>
      <c r="F1655">
        <v>6</v>
      </c>
      <c r="G1655">
        <v>127</v>
      </c>
    </row>
    <row r="1656" spans="1:7" ht="15" x14ac:dyDescent="0.25">
      <c r="A1656" t="s">
        <v>14986</v>
      </c>
      <c r="B1656">
        <v>1</v>
      </c>
      <c r="C1656">
        <v>2505</v>
      </c>
      <c r="D1656">
        <v>2505</v>
      </c>
      <c r="E1656">
        <v>29</v>
      </c>
      <c r="F1656">
        <v>29</v>
      </c>
      <c r="G1656">
        <v>2505</v>
      </c>
    </row>
    <row r="1657" spans="1:7" ht="15" x14ac:dyDescent="0.25">
      <c r="A1657" t="s">
        <v>14993</v>
      </c>
      <c r="B1657">
        <v>3</v>
      </c>
      <c r="C1657">
        <v>508</v>
      </c>
      <c r="D1657">
        <v>1527</v>
      </c>
      <c r="E1657">
        <v>178</v>
      </c>
      <c r="F1657">
        <v>59.333333333333336</v>
      </c>
      <c r="G1657">
        <v>510</v>
      </c>
    </row>
    <row r="1658" spans="1:7" ht="15" x14ac:dyDescent="0.25">
      <c r="A1658" t="s">
        <v>15002</v>
      </c>
      <c r="B1658">
        <v>1</v>
      </c>
      <c r="C1658">
        <v>435</v>
      </c>
      <c r="D1658">
        <v>435</v>
      </c>
      <c r="E1658">
        <v>16</v>
      </c>
      <c r="F1658">
        <v>16</v>
      </c>
      <c r="G1658">
        <v>435</v>
      </c>
    </row>
    <row r="1659" spans="1:7" ht="15" x14ac:dyDescent="0.25">
      <c r="A1659" t="s">
        <v>15008</v>
      </c>
      <c r="B1659">
        <v>1</v>
      </c>
      <c r="C1659">
        <v>698</v>
      </c>
      <c r="D1659">
        <v>698</v>
      </c>
      <c r="E1659">
        <v>22</v>
      </c>
      <c r="F1659">
        <v>22</v>
      </c>
      <c r="G1659">
        <v>698</v>
      </c>
    </row>
    <row r="1660" spans="1:7" ht="15" x14ac:dyDescent="0.25">
      <c r="A1660" t="s">
        <v>15014</v>
      </c>
      <c r="B1660">
        <v>1</v>
      </c>
      <c r="C1660">
        <v>197</v>
      </c>
      <c r="D1660">
        <v>197</v>
      </c>
      <c r="E1660">
        <v>31</v>
      </c>
      <c r="F1660">
        <v>31</v>
      </c>
      <c r="G1660">
        <v>197</v>
      </c>
    </row>
    <row r="1661" spans="1:7" ht="15" x14ac:dyDescent="0.25">
      <c r="A1661" t="s">
        <v>15019</v>
      </c>
      <c r="B1661">
        <v>1</v>
      </c>
      <c r="C1661">
        <v>435</v>
      </c>
      <c r="D1661">
        <v>435</v>
      </c>
      <c r="E1661">
        <v>93</v>
      </c>
      <c r="F1661">
        <v>93</v>
      </c>
      <c r="G1661">
        <v>435</v>
      </c>
    </row>
    <row r="1662" spans="1:7" ht="15" x14ac:dyDescent="0.25">
      <c r="A1662" t="s">
        <v>15025</v>
      </c>
      <c r="B1662">
        <v>1</v>
      </c>
      <c r="C1662">
        <v>555</v>
      </c>
      <c r="D1662">
        <v>555</v>
      </c>
      <c r="E1662">
        <v>12</v>
      </c>
      <c r="F1662">
        <v>12</v>
      </c>
      <c r="G1662">
        <v>555</v>
      </c>
    </row>
    <row r="1663" spans="1:7" ht="15" x14ac:dyDescent="0.25">
      <c r="A1663" t="s">
        <v>15031</v>
      </c>
      <c r="B1663">
        <v>1</v>
      </c>
      <c r="C1663">
        <v>754</v>
      </c>
      <c r="D1663">
        <v>754</v>
      </c>
      <c r="E1663">
        <v>32</v>
      </c>
      <c r="F1663">
        <v>32</v>
      </c>
      <c r="G1663">
        <v>754</v>
      </c>
    </row>
    <row r="1664" spans="1:7" ht="15" x14ac:dyDescent="0.25">
      <c r="A1664" t="s">
        <v>15036</v>
      </c>
      <c r="B1664">
        <v>1</v>
      </c>
      <c r="C1664">
        <v>806</v>
      </c>
      <c r="D1664">
        <v>806</v>
      </c>
      <c r="E1664">
        <v>30</v>
      </c>
      <c r="F1664">
        <v>30</v>
      </c>
      <c r="G1664">
        <v>806</v>
      </c>
    </row>
    <row r="1665" spans="1:7" ht="15" x14ac:dyDescent="0.25">
      <c r="A1665" t="s">
        <v>15042</v>
      </c>
      <c r="B1665">
        <v>1</v>
      </c>
      <c r="C1665">
        <v>262</v>
      </c>
      <c r="D1665">
        <v>262</v>
      </c>
      <c r="E1665">
        <v>24</v>
      </c>
      <c r="F1665">
        <v>24</v>
      </c>
      <c r="G1665">
        <v>262</v>
      </c>
    </row>
    <row r="1666" spans="1:7" ht="15" x14ac:dyDescent="0.25">
      <c r="A1666" t="s">
        <v>15055</v>
      </c>
      <c r="B1666">
        <v>1</v>
      </c>
      <c r="C1666">
        <v>1156</v>
      </c>
      <c r="D1666">
        <v>1156</v>
      </c>
      <c r="E1666">
        <v>88</v>
      </c>
      <c r="F1666">
        <v>88</v>
      </c>
      <c r="G1666">
        <v>1156</v>
      </c>
    </row>
    <row r="1667" spans="1:7" ht="15" x14ac:dyDescent="0.25">
      <c r="A1667" t="s">
        <v>15058</v>
      </c>
      <c r="B1667">
        <v>1</v>
      </c>
      <c r="C1667">
        <v>20</v>
      </c>
      <c r="D1667">
        <v>20</v>
      </c>
      <c r="E1667">
        <v>12</v>
      </c>
      <c r="F1667">
        <v>12</v>
      </c>
      <c r="G1667">
        <v>20</v>
      </c>
    </row>
    <row r="1668" spans="1:7" ht="15" x14ac:dyDescent="0.25">
      <c r="A1668" t="s">
        <v>15065</v>
      </c>
      <c r="B1668">
        <v>1</v>
      </c>
      <c r="C1668">
        <v>694</v>
      </c>
      <c r="D1668">
        <v>694</v>
      </c>
      <c r="E1668">
        <v>105</v>
      </c>
      <c r="F1668">
        <v>105</v>
      </c>
      <c r="G1668">
        <v>694</v>
      </c>
    </row>
    <row r="1669" spans="1:7" ht="15" x14ac:dyDescent="0.25">
      <c r="A1669" t="s">
        <v>15086</v>
      </c>
      <c r="B1669">
        <v>1</v>
      </c>
      <c r="C1669">
        <v>604</v>
      </c>
      <c r="D1669">
        <v>604</v>
      </c>
      <c r="E1669">
        <v>9</v>
      </c>
      <c r="F1669">
        <v>9</v>
      </c>
      <c r="G1669">
        <v>604</v>
      </c>
    </row>
    <row r="1670" spans="1:7" ht="15" x14ac:dyDescent="0.25">
      <c r="A1670" t="s">
        <v>15092</v>
      </c>
      <c r="B1670">
        <v>1</v>
      </c>
      <c r="C1670">
        <v>830</v>
      </c>
      <c r="D1670">
        <v>830</v>
      </c>
      <c r="E1670">
        <v>122</v>
      </c>
      <c r="F1670">
        <v>122</v>
      </c>
      <c r="G1670">
        <v>830</v>
      </c>
    </row>
    <row r="1671" spans="1:7" ht="15" x14ac:dyDescent="0.25">
      <c r="A1671" t="s">
        <v>15096</v>
      </c>
      <c r="B1671">
        <v>1</v>
      </c>
      <c r="C1671">
        <v>208</v>
      </c>
      <c r="D1671">
        <v>208</v>
      </c>
      <c r="E1671">
        <v>7</v>
      </c>
      <c r="F1671">
        <v>7</v>
      </c>
      <c r="G1671">
        <v>208</v>
      </c>
    </row>
    <row r="1672" spans="1:7" ht="15" x14ac:dyDescent="0.25">
      <c r="A1672" t="s">
        <v>15105</v>
      </c>
      <c r="B1672">
        <v>1</v>
      </c>
      <c r="C1672">
        <v>2018</v>
      </c>
      <c r="D1672">
        <v>2018</v>
      </c>
      <c r="E1672">
        <v>85</v>
      </c>
      <c r="F1672">
        <v>85</v>
      </c>
      <c r="G1672">
        <v>2018</v>
      </c>
    </row>
    <row r="1673" spans="1:7" ht="15" x14ac:dyDescent="0.25">
      <c r="A1673" t="s">
        <v>15113</v>
      </c>
      <c r="B1673">
        <v>1</v>
      </c>
      <c r="C1673">
        <v>265</v>
      </c>
      <c r="D1673">
        <v>265</v>
      </c>
      <c r="E1673">
        <v>29</v>
      </c>
      <c r="F1673">
        <v>29</v>
      </c>
      <c r="G1673">
        <v>265</v>
      </c>
    </row>
    <row r="1674" spans="1:7" ht="15" x14ac:dyDescent="0.25">
      <c r="A1674" t="s">
        <v>15118</v>
      </c>
      <c r="B1674">
        <v>1</v>
      </c>
      <c r="C1674">
        <v>13726</v>
      </c>
      <c r="D1674">
        <v>13726</v>
      </c>
      <c r="E1674">
        <v>12</v>
      </c>
      <c r="F1674">
        <v>12</v>
      </c>
      <c r="G1674">
        <v>13726</v>
      </c>
    </row>
    <row r="1675" spans="1:7" ht="15" x14ac:dyDescent="0.25">
      <c r="A1675" t="s">
        <v>15122</v>
      </c>
      <c r="B1675">
        <v>1</v>
      </c>
      <c r="C1675">
        <v>221</v>
      </c>
      <c r="D1675">
        <v>221</v>
      </c>
      <c r="E1675">
        <v>52</v>
      </c>
      <c r="F1675">
        <v>52</v>
      </c>
      <c r="G1675">
        <v>221</v>
      </c>
    </row>
    <row r="1676" spans="1:7" ht="15" x14ac:dyDescent="0.25">
      <c r="A1676" t="s">
        <v>15128</v>
      </c>
      <c r="B1676">
        <v>1</v>
      </c>
      <c r="C1676">
        <v>56</v>
      </c>
      <c r="D1676">
        <v>56</v>
      </c>
      <c r="E1676">
        <v>14</v>
      </c>
      <c r="F1676">
        <v>14</v>
      </c>
      <c r="G1676">
        <v>56</v>
      </c>
    </row>
    <row r="1677" spans="1:7" ht="15" x14ac:dyDescent="0.25">
      <c r="A1677" t="s">
        <v>15134</v>
      </c>
      <c r="B1677">
        <v>1</v>
      </c>
      <c r="C1677">
        <v>853</v>
      </c>
      <c r="D1677">
        <v>853</v>
      </c>
      <c r="E1677">
        <v>17</v>
      </c>
      <c r="F1677">
        <v>17</v>
      </c>
      <c r="G1677">
        <v>853</v>
      </c>
    </row>
    <row r="1678" spans="1:7" ht="15" x14ac:dyDescent="0.25">
      <c r="A1678" t="s">
        <v>15142</v>
      </c>
      <c r="B1678">
        <v>1</v>
      </c>
      <c r="C1678">
        <v>186</v>
      </c>
      <c r="D1678">
        <v>186</v>
      </c>
      <c r="E1678">
        <v>24</v>
      </c>
      <c r="F1678">
        <v>24</v>
      </c>
      <c r="G1678">
        <v>186</v>
      </c>
    </row>
    <row r="1679" spans="1:7" ht="15" x14ac:dyDescent="0.25">
      <c r="A1679" t="s">
        <v>15151</v>
      </c>
      <c r="B1679">
        <v>2</v>
      </c>
      <c r="C1679">
        <v>14</v>
      </c>
      <c r="D1679">
        <v>26</v>
      </c>
      <c r="E1679">
        <v>10</v>
      </c>
      <c r="F1679">
        <v>5</v>
      </c>
      <c r="G1679">
        <v>14</v>
      </c>
    </row>
    <row r="1680" spans="1:7" ht="15" x14ac:dyDescent="0.25">
      <c r="A1680" t="s">
        <v>15159</v>
      </c>
      <c r="B1680">
        <v>4</v>
      </c>
      <c r="C1680">
        <v>1970</v>
      </c>
      <c r="D1680">
        <v>5902</v>
      </c>
      <c r="E1680">
        <v>115</v>
      </c>
      <c r="F1680">
        <v>28.75</v>
      </c>
      <c r="G1680">
        <v>1970</v>
      </c>
    </row>
    <row r="1681" spans="1:7" ht="15" x14ac:dyDescent="0.25">
      <c r="A1681" t="s">
        <v>15170</v>
      </c>
      <c r="B1681">
        <v>1</v>
      </c>
      <c r="C1681">
        <v>415</v>
      </c>
      <c r="D1681">
        <v>415</v>
      </c>
      <c r="E1681">
        <v>62</v>
      </c>
      <c r="F1681">
        <v>62</v>
      </c>
      <c r="G1681">
        <v>415</v>
      </c>
    </row>
    <row r="1682" spans="1:7" ht="15" x14ac:dyDescent="0.25">
      <c r="A1682" t="s">
        <v>15174</v>
      </c>
      <c r="B1682">
        <v>1</v>
      </c>
      <c r="C1682">
        <v>120</v>
      </c>
      <c r="D1682">
        <v>120</v>
      </c>
      <c r="E1682">
        <v>45</v>
      </c>
      <c r="F1682">
        <v>45</v>
      </c>
      <c r="G1682">
        <v>120</v>
      </c>
    </row>
    <row r="1683" spans="1:7" ht="15" x14ac:dyDescent="0.25">
      <c r="A1683" t="s">
        <v>15182</v>
      </c>
      <c r="B1683">
        <v>10</v>
      </c>
      <c r="C1683">
        <v>744</v>
      </c>
      <c r="D1683">
        <v>7376</v>
      </c>
      <c r="E1683">
        <v>904</v>
      </c>
      <c r="F1683">
        <v>90.4</v>
      </c>
      <c r="G1683">
        <v>744</v>
      </c>
    </row>
    <row r="1684" spans="1:7" ht="15" x14ac:dyDescent="0.25">
      <c r="A1684" t="s">
        <v>15191</v>
      </c>
      <c r="B1684">
        <v>1</v>
      </c>
      <c r="C1684">
        <v>230</v>
      </c>
      <c r="D1684">
        <v>230</v>
      </c>
      <c r="E1684">
        <v>22</v>
      </c>
      <c r="F1684">
        <v>22</v>
      </c>
      <c r="G1684">
        <v>230</v>
      </c>
    </row>
    <row r="1685" spans="1:7" ht="15" x14ac:dyDescent="0.25">
      <c r="A1685" t="s">
        <v>15197</v>
      </c>
      <c r="B1685">
        <v>1</v>
      </c>
      <c r="C1685">
        <v>130</v>
      </c>
      <c r="D1685">
        <v>130</v>
      </c>
      <c r="E1685">
        <v>8</v>
      </c>
      <c r="F1685">
        <v>8</v>
      </c>
      <c r="G1685">
        <v>130</v>
      </c>
    </row>
    <row r="1686" spans="1:7" ht="15" x14ac:dyDescent="0.25">
      <c r="A1686" t="s">
        <v>15206</v>
      </c>
      <c r="B1686">
        <v>18</v>
      </c>
      <c r="C1686">
        <v>62431</v>
      </c>
      <c r="D1686">
        <v>1107091</v>
      </c>
      <c r="E1686">
        <v>23652</v>
      </c>
      <c r="F1686">
        <v>1314</v>
      </c>
      <c r="G1686">
        <v>62431</v>
      </c>
    </row>
    <row r="1687" spans="1:7" ht="15" x14ac:dyDescent="0.25">
      <c r="A1687" t="s">
        <v>15209</v>
      </c>
      <c r="B1687">
        <v>1</v>
      </c>
      <c r="C1687">
        <v>47</v>
      </c>
      <c r="D1687">
        <v>47</v>
      </c>
      <c r="E1687">
        <v>19</v>
      </c>
      <c r="F1687">
        <v>19</v>
      </c>
      <c r="G1687">
        <v>47</v>
      </c>
    </row>
    <row r="1688" spans="1:7" ht="15" x14ac:dyDescent="0.25">
      <c r="A1688" t="s">
        <v>15215</v>
      </c>
      <c r="B1688">
        <v>3</v>
      </c>
      <c r="C1688">
        <v>57835</v>
      </c>
      <c r="D1688">
        <v>171536</v>
      </c>
      <c r="E1688">
        <v>4802</v>
      </c>
      <c r="F1688">
        <v>1600.6666666666667</v>
      </c>
      <c r="G1688">
        <v>57835</v>
      </c>
    </row>
    <row r="1689" spans="1:7" ht="15" x14ac:dyDescent="0.25">
      <c r="A1689" t="s">
        <v>15223</v>
      </c>
      <c r="B1689">
        <v>1</v>
      </c>
      <c r="C1689">
        <v>86</v>
      </c>
      <c r="D1689">
        <v>86</v>
      </c>
      <c r="E1689">
        <v>17</v>
      </c>
      <c r="F1689">
        <v>17</v>
      </c>
      <c r="G1689">
        <v>86</v>
      </c>
    </row>
    <row r="1690" spans="1:7" ht="15" x14ac:dyDescent="0.25">
      <c r="A1690" t="s">
        <v>15229</v>
      </c>
      <c r="B1690">
        <v>1</v>
      </c>
      <c r="C1690">
        <v>550</v>
      </c>
      <c r="D1690">
        <v>550</v>
      </c>
      <c r="E1690">
        <v>22</v>
      </c>
      <c r="F1690">
        <v>22</v>
      </c>
      <c r="G1690">
        <v>550</v>
      </c>
    </row>
    <row r="1691" spans="1:7" ht="15" x14ac:dyDescent="0.25">
      <c r="A1691" t="s">
        <v>15232</v>
      </c>
      <c r="B1691">
        <v>1</v>
      </c>
      <c r="C1691">
        <v>190</v>
      </c>
      <c r="D1691">
        <v>190</v>
      </c>
      <c r="E1691">
        <v>59</v>
      </c>
      <c r="F1691">
        <v>59</v>
      </c>
      <c r="G1691">
        <v>190</v>
      </c>
    </row>
    <row r="1692" spans="1:7" ht="15" x14ac:dyDescent="0.25">
      <c r="A1692" t="s">
        <v>15238</v>
      </c>
      <c r="B1692">
        <v>1</v>
      </c>
      <c r="C1692">
        <v>46</v>
      </c>
      <c r="D1692">
        <v>46</v>
      </c>
      <c r="E1692">
        <v>1</v>
      </c>
      <c r="F1692">
        <v>1</v>
      </c>
      <c r="G1692">
        <v>46</v>
      </c>
    </row>
    <row r="1693" spans="1:7" ht="15" x14ac:dyDescent="0.25">
      <c r="A1693" t="s">
        <v>15241</v>
      </c>
      <c r="B1693">
        <v>1</v>
      </c>
      <c r="C1693">
        <v>173</v>
      </c>
      <c r="D1693">
        <v>173</v>
      </c>
      <c r="E1693">
        <v>31</v>
      </c>
      <c r="F1693">
        <v>31</v>
      </c>
      <c r="G1693">
        <v>173</v>
      </c>
    </row>
    <row r="1694" spans="1:7" ht="15" x14ac:dyDescent="0.25">
      <c r="A1694" t="s">
        <v>15252</v>
      </c>
      <c r="B1694">
        <v>1</v>
      </c>
      <c r="C1694">
        <v>497</v>
      </c>
      <c r="D1694">
        <v>497</v>
      </c>
      <c r="E1694">
        <v>32</v>
      </c>
      <c r="F1694">
        <v>32</v>
      </c>
      <c r="G1694">
        <v>497</v>
      </c>
    </row>
    <row r="1695" spans="1:7" ht="15" x14ac:dyDescent="0.25">
      <c r="A1695" t="s">
        <v>15255</v>
      </c>
      <c r="B1695">
        <v>1</v>
      </c>
      <c r="C1695">
        <v>1181</v>
      </c>
      <c r="D1695">
        <v>1181</v>
      </c>
      <c r="E1695">
        <v>90</v>
      </c>
      <c r="F1695">
        <v>90</v>
      </c>
      <c r="G1695">
        <v>1181</v>
      </c>
    </row>
    <row r="1696" spans="1:7" ht="15" x14ac:dyDescent="0.25">
      <c r="A1696" t="s">
        <v>15263</v>
      </c>
      <c r="B1696">
        <v>2</v>
      </c>
      <c r="C1696">
        <v>157</v>
      </c>
      <c r="D1696">
        <v>295</v>
      </c>
      <c r="E1696">
        <v>33</v>
      </c>
      <c r="F1696">
        <v>16.5</v>
      </c>
      <c r="G1696">
        <v>157</v>
      </c>
    </row>
    <row r="1697" spans="1:7" ht="15" x14ac:dyDescent="0.25">
      <c r="A1697" t="s">
        <v>15269</v>
      </c>
      <c r="B1697">
        <v>1</v>
      </c>
      <c r="C1697">
        <v>1223</v>
      </c>
      <c r="D1697">
        <v>1223</v>
      </c>
      <c r="E1697">
        <v>34</v>
      </c>
      <c r="F1697">
        <v>34</v>
      </c>
      <c r="G1697">
        <v>1223</v>
      </c>
    </row>
    <row r="1698" spans="1:7" ht="15" x14ac:dyDescent="0.25">
      <c r="A1698" t="s">
        <v>15275</v>
      </c>
      <c r="B1698">
        <v>1</v>
      </c>
      <c r="C1698">
        <v>14619</v>
      </c>
      <c r="D1698">
        <v>14619</v>
      </c>
      <c r="E1698">
        <v>125</v>
      </c>
      <c r="F1698">
        <v>125</v>
      </c>
      <c r="G1698">
        <v>14619</v>
      </c>
    </row>
    <row r="1699" spans="1:7" ht="15" x14ac:dyDescent="0.25">
      <c r="A1699" t="s">
        <v>15278</v>
      </c>
      <c r="B1699">
        <v>1</v>
      </c>
      <c r="C1699">
        <v>403</v>
      </c>
      <c r="D1699">
        <v>403</v>
      </c>
      <c r="E1699">
        <v>67</v>
      </c>
      <c r="F1699">
        <v>67</v>
      </c>
      <c r="G1699">
        <v>403</v>
      </c>
    </row>
    <row r="1700" spans="1:7" ht="15" x14ac:dyDescent="0.25">
      <c r="A1700" t="s">
        <v>15283</v>
      </c>
      <c r="B1700">
        <v>1</v>
      </c>
      <c r="C1700">
        <v>2604</v>
      </c>
      <c r="D1700">
        <v>2604</v>
      </c>
      <c r="E1700">
        <v>129</v>
      </c>
      <c r="F1700">
        <v>129</v>
      </c>
      <c r="G1700">
        <v>2604</v>
      </c>
    </row>
    <row r="1701" spans="1:7" ht="15" x14ac:dyDescent="0.25">
      <c r="A1701" t="s">
        <v>15290</v>
      </c>
      <c r="B1701">
        <v>1</v>
      </c>
      <c r="C1701">
        <v>1109</v>
      </c>
      <c r="D1701">
        <v>1109</v>
      </c>
      <c r="E1701">
        <v>65</v>
      </c>
      <c r="F1701">
        <v>65</v>
      </c>
      <c r="G1701">
        <v>1109</v>
      </c>
    </row>
    <row r="1702" spans="1:7" ht="15" x14ac:dyDescent="0.25">
      <c r="A1702" t="s">
        <v>15294</v>
      </c>
      <c r="B1702">
        <v>1</v>
      </c>
      <c r="C1702">
        <v>559</v>
      </c>
      <c r="D1702">
        <v>559</v>
      </c>
      <c r="E1702">
        <v>427</v>
      </c>
      <c r="F1702">
        <v>427</v>
      </c>
      <c r="G1702">
        <v>559</v>
      </c>
    </row>
    <row r="1703" spans="1:7" ht="15" x14ac:dyDescent="0.25">
      <c r="A1703" t="s">
        <v>15303</v>
      </c>
      <c r="B1703">
        <v>1</v>
      </c>
      <c r="C1703">
        <v>174</v>
      </c>
      <c r="D1703">
        <v>174</v>
      </c>
      <c r="E1703">
        <v>30</v>
      </c>
      <c r="F1703">
        <v>30</v>
      </c>
      <c r="G1703">
        <v>174</v>
      </c>
    </row>
    <row r="1704" spans="1:7" ht="15" x14ac:dyDescent="0.25">
      <c r="A1704" t="s">
        <v>15310</v>
      </c>
      <c r="B1704">
        <v>1</v>
      </c>
      <c r="C1704">
        <v>1644</v>
      </c>
      <c r="D1704">
        <v>1644</v>
      </c>
      <c r="E1704">
        <v>103</v>
      </c>
      <c r="F1704">
        <v>103</v>
      </c>
      <c r="G1704">
        <v>1644</v>
      </c>
    </row>
    <row r="1705" spans="1:7" ht="15" x14ac:dyDescent="0.25">
      <c r="A1705" t="s">
        <v>15318</v>
      </c>
      <c r="B1705">
        <v>1</v>
      </c>
      <c r="C1705">
        <v>284</v>
      </c>
      <c r="D1705">
        <v>284</v>
      </c>
      <c r="E1705">
        <v>31</v>
      </c>
      <c r="F1705">
        <v>31</v>
      </c>
      <c r="G1705">
        <v>284</v>
      </c>
    </row>
    <row r="1706" spans="1:7" ht="15" x14ac:dyDescent="0.25">
      <c r="A1706" t="s">
        <v>15323</v>
      </c>
      <c r="B1706">
        <v>1</v>
      </c>
      <c r="C1706">
        <v>255</v>
      </c>
      <c r="D1706">
        <v>255</v>
      </c>
      <c r="E1706">
        <v>29</v>
      </c>
      <c r="F1706">
        <v>29</v>
      </c>
      <c r="G1706">
        <v>255</v>
      </c>
    </row>
    <row r="1707" spans="1:7" ht="15" x14ac:dyDescent="0.25">
      <c r="A1707" t="s">
        <v>15327</v>
      </c>
      <c r="B1707">
        <v>1</v>
      </c>
      <c r="C1707">
        <v>149</v>
      </c>
      <c r="D1707">
        <v>149</v>
      </c>
      <c r="E1707">
        <v>25</v>
      </c>
      <c r="F1707">
        <v>25</v>
      </c>
      <c r="G1707">
        <v>149</v>
      </c>
    </row>
    <row r="1708" spans="1:7" ht="15" x14ac:dyDescent="0.25">
      <c r="A1708" t="s">
        <v>15331</v>
      </c>
      <c r="B1708">
        <v>1</v>
      </c>
      <c r="C1708">
        <v>50</v>
      </c>
      <c r="D1708">
        <v>50</v>
      </c>
      <c r="E1708">
        <v>25</v>
      </c>
      <c r="F1708">
        <v>25</v>
      </c>
      <c r="G1708">
        <v>50</v>
      </c>
    </row>
    <row r="1709" spans="1:7" ht="15" x14ac:dyDescent="0.25">
      <c r="A1709" t="s">
        <v>15337</v>
      </c>
      <c r="B1709">
        <v>1</v>
      </c>
      <c r="C1709">
        <v>368</v>
      </c>
      <c r="D1709">
        <v>368</v>
      </c>
      <c r="E1709">
        <v>69</v>
      </c>
      <c r="F1709">
        <v>69</v>
      </c>
      <c r="G1709">
        <v>368</v>
      </c>
    </row>
    <row r="1710" spans="1:7" ht="15" x14ac:dyDescent="0.25">
      <c r="A1710" t="s">
        <v>15343</v>
      </c>
      <c r="B1710">
        <v>1</v>
      </c>
      <c r="C1710">
        <v>180</v>
      </c>
      <c r="D1710">
        <v>180</v>
      </c>
      <c r="E1710">
        <v>16</v>
      </c>
      <c r="F1710">
        <v>16</v>
      </c>
      <c r="G1710">
        <v>180</v>
      </c>
    </row>
    <row r="1711" spans="1:7" ht="15" x14ac:dyDescent="0.25">
      <c r="A1711" t="s">
        <v>15347</v>
      </c>
      <c r="B1711">
        <v>1</v>
      </c>
      <c r="C1711">
        <v>239</v>
      </c>
      <c r="D1711">
        <v>239</v>
      </c>
      <c r="E1711">
        <v>63</v>
      </c>
      <c r="F1711">
        <v>63</v>
      </c>
      <c r="G1711">
        <v>239</v>
      </c>
    </row>
    <row r="1712" spans="1:7" ht="15" x14ac:dyDescent="0.25">
      <c r="A1712" t="s">
        <v>15360</v>
      </c>
      <c r="B1712">
        <v>1</v>
      </c>
      <c r="C1712">
        <v>185</v>
      </c>
      <c r="D1712">
        <v>185</v>
      </c>
      <c r="E1712">
        <v>47</v>
      </c>
      <c r="F1712">
        <v>47</v>
      </c>
      <c r="G1712">
        <v>185</v>
      </c>
    </row>
    <row r="1713" spans="1:7" ht="15" x14ac:dyDescent="0.25">
      <c r="A1713" t="s">
        <v>15368</v>
      </c>
      <c r="B1713">
        <v>1</v>
      </c>
      <c r="C1713">
        <v>2443</v>
      </c>
      <c r="D1713">
        <v>2443</v>
      </c>
      <c r="E1713">
        <v>40</v>
      </c>
      <c r="F1713">
        <v>40</v>
      </c>
      <c r="G1713">
        <v>2443</v>
      </c>
    </row>
    <row r="1714" spans="1:7" ht="15" x14ac:dyDescent="0.25">
      <c r="A1714" t="s">
        <v>15384</v>
      </c>
      <c r="B1714">
        <v>1</v>
      </c>
      <c r="C1714">
        <v>248</v>
      </c>
      <c r="D1714">
        <v>248</v>
      </c>
      <c r="E1714">
        <v>33</v>
      </c>
      <c r="F1714">
        <v>33</v>
      </c>
      <c r="G1714">
        <v>248</v>
      </c>
    </row>
    <row r="1715" spans="1:7" ht="15" x14ac:dyDescent="0.25">
      <c r="A1715" t="s">
        <v>15392</v>
      </c>
      <c r="B1715">
        <v>1</v>
      </c>
      <c r="C1715">
        <v>219</v>
      </c>
      <c r="D1715">
        <v>219</v>
      </c>
      <c r="E1715">
        <v>66</v>
      </c>
      <c r="F1715">
        <v>66</v>
      </c>
      <c r="G1715">
        <v>219</v>
      </c>
    </row>
    <row r="1716" spans="1:7" ht="15" x14ac:dyDescent="0.25">
      <c r="A1716" t="s">
        <v>15396</v>
      </c>
      <c r="B1716">
        <v>1</v>
      </c>
      <c r="C1716">
        <v>1720</v>
      </c>
      <c r="D1716">
        <v>1720</v>
      </c>
      <c r="E1716">
        <v>113</v>
      </c>
      <c r="F1716">
        <v>113</v>
      </c>
      <c r="G1716">
        <v>1720</v>
      </c>
    </row>
    <row r="1717" spans="1:7" ht="15" x14ac:dyDescent="0.25">
      <c r="A1717" t="s">
        <v>15403</v>
      </c>
      <c r="B1717">
        <v>1</v>
      </c>
      <c r="C1717">
        <v>656</v>
      </c>
      <c r="D1717">
        <v>656</v>
      </c>
      <c r="E1717">
        <v>29</v>
      </c>
      <c r="F1717">
        <v>29</v>
      </c>
      <c r="G1717">
        <v>656</v>
      </c>
    </row>
    <row r="1718" spans="1:7" ht="15" x14ac:dyDescent="0.25">
      <c r="A1718" t="s">
        <v>15410</v>
      </c>
      <c r="B1718">
        <v>1</v>
      </c>
      <c r="C1718">
        <v>1298</v>
      </c>
      <c r="D1718">
        <v>1298</v>
      </c>
      <c r="E1718">
        <v>75</v>
      </c>
      <c r="F1718">
        <v>75</v>
      </c>
      <c r="G1718">
        <v>1298</v>
      </c>
    </row>
    <row r="1719" spans="1:7" ht="15" x14ac:dyDescent="0.25">
      <c r="A1719" t="s">
        <v>15417</v>
      </c>
      <c r="B1719">
        <v>1</v>
      </c>
      <c r="C1719">
        <v>66</v>
      </c>
      <c r="D1719">
        <v>66</v>
      </c>
      <c r="E1719">
        <v>12</v>
      </c>
      <c r="F1719">
        <v>12</v>
      </c>
      <c r="G1719">
        <v>66</v>
      </c>
    </row>
    <row r="1720" spans="1:7" ht="15" x14ac:dyDescent="0.25">
      <c r="A1720" t="s">
        <v>15423</v>
      </c>
      <c r="B1720">
        <v>1</v>
      </c>
      <c r="C1720">
        <v>1866</v>
      </c>
      <c r="D1720">
        <v>1866</v>
      </c>
      <c r="E1720">
        <v>11</v>
      </c>
      <c r="F1720">
        <v>11</v>
      </c>
      <c r="G1720">
        <v>1866</v>
      </c>
    </row>
    <row r="1721" spans="1:7" ht="15" x14ac:dyDescent="0.25">
      <c r="A1721" t="s">
        <v>15441</v>
      </c>
      <c r="B1721">
        <v>1</v>
      </c>
      <c r="C1721">
        <v>217</v>
      </c>
      <c r="D1721">
        <v>217</v>
      </c>
      <c r="E1721">
        <v>30</v>
      </c>
      <c r="F1721">
        <v>30</v>
      </c>
      <c r="G1721">
        <v>217</v>
      </c>
    </row>
    <row r="1722" spans="1:7" ht="15" x14ac:dyDescent="0.25">
      <c r="A1722" t="s">
        <v>15448</v>
      </c>
      <c r="B1722">
        <v>1</v>
      </c>
      <c r="C1722">
        <v>314</v>
      </c>
      <c r="D1722">
        <v>314</v>
      </c>
      <c r="E1722">
        <v>25</v>
      </c>
      <c r="F1722">
        <v>25</v>
      </c>
      <c r="G1722">
        <v>314</v>
      </c>
    </row>
    <row r="1723" spans="1:7" ht="15" x14ac:dyDescent="0.25">
      <c r="A1723" t="s">
        <v>15460</v>
      </c>
      <c r="B1723">
        <v>1</v>
      </c>
      <c r="C1723">
        <v>99</v>
      </c>
      <c r="D1723">
        <v>99</v>
      </c>
      <c r="E1723">
        <v>8</v>
      </c>
      <c r="F1723">
        <v>8</v>
      </c>
      <c r="G1723">
        <v>99</v>
      </c>
    </row>
    <row r="1724" spans="1:7" ht="15" x14ac:dyDescent="0.25">
      <c r="A1724" t="s">
        <v>15468</v>
      </c>
      <c r="B1724">
        <v>1</v>
      </c>
      <c r="C1724">
        <v>92</v>
      </c>
      <c r="D1724">
        <v>92</v>
      </c>
      <c r="E1724">
        <v>2</v>
      </c>
      <c r="F1724">
        <v>2</v>
      </c>
      <c r="G1724">
        <v>92</v>
      </c>
    </row>
    <row r="1725" spans="1:7" ht="15" x14ac:dyDescent="0.25">
      <c r="A1725" t="s">
        <v>15473</v>
      </c>
      <c r="B1725">
        <v>1</v>
      </c>
      <c r="C1725">
        <v>570</v>
      </c>
      <c r="D1725">
        <v>570</v>
      </c>
      <c r="E1725">
        <v>49</v>
      </c>
      <c r="F1725">
        <v>49</v>
      </c>
      <c r="G1725">
        <v>570</v>
      </c>
    </row>
    <row r="1726" spans="1:7" ht="15" x14ac:dyDescent="0.25">
      <c r="A1726" t="s">
        <v>15477</v>
      </c>
      <c r="B1726">
        <v>1</v>
      </c>
      <c r="C1726">
        <v>8555</v>
      </c>
      <c r="D1726">
        <v>8555</v>
      </c>
      <c r="E1726">
        <v>1059</v>
      </c>
      <c r="F1726">
        <v>1059</v>
      </c>
      <c r="G1726">
        <v>8555</v>
      </c>
    </row>
    <row r="1727" spans="1:7" ht="15" x14ac:dyDescent="0.25">
      <c r="A1727" t="s">
        <v>15480</v>
      </c>
      <c r="B1727">
        <v>1</v>
      </c>
      <c r="C1727">
        <v>1760</v>
      </c>
      <c r="D1727">
        <v>1760</v>
      </c>
      <c r="E1727">
        <v>31</v>
      </c>
      <c r="F1727">
        <v>31</v>
      </c>
      <c r="G1727">
        <v>1760</v>
      </c>
    </row>
    <row r="1728" spans="1:7" ht="15" x14ac:dyDescent="0.25">
      <c r="A1728" t="s">
        <v>15486</v>
      </c>
      <c r="B1728">
        <v>1</v>
      </c>
      <c r="C1728">
        <v>2569</v>
      </c>
      <c r="D1728">
        <v>2569</v>
      </c>
      <c r="E1728">
        <v>14</v>
      </c>
      <c r="F1728">
        <v>14</v>
      </c>
      <c r="G1728">
        <v>2569</v>
      </c>
    </row>
    <row r="1729" spans="1:7" ht="15" x14ac:dyDescent="0.25">
      <c r="A1729" t="s">
        <v>15491</v>
      </c>
      <c r="B1729">
        <v>1</v>
      </c>
      <c r="C1729">
        <v>115</v>
      </c>
      <c r="D1729">
        <v>115</v>
      </c>
      <c r="E1729">
        <v>31</v>
      </c>
      <c r="F1729">
        <v>31</v>
      </c>
      <c r="G1729">
        <v>115</v>
      </c>
    </row>
    <row r="1730" spans="1:7" ht="15" x14ac:dyDescent="0.25">
      <c r="A1730" t="s">
        <v>15496</v>
      </c>
      <c r="B1730">
        <v>1</v>
      </c>
      <c r="C1730">
        <v>416</v>
      </c>
      <c r="D1730">
        <v>416</v>
      </c>
      <c r="E1730">
        <v>33</v>
      </c>
      <c r="F1730">
        <v>33</v>
      </c>
      <c r="G1730">
        <v>416</v>
      </c>
    </row>
    <row r="1731" spans="1:7" ht="15" x14ac:dyDescent="0.25">
      <c r="A1731" t="s">
        <v>15501</v>
      </c>
      <c r="B1731">
        <v>1</v>
      </c>
      <c r="C1731">
        <v>270</v>
      </c>
      <c r="D1731">
        <v>270</v>
      </c>
      <c r="E1731">
        <v>45</v>
      </c>
      <c r="F1731">
        <v>45</v>
      </c>
      <c r="G1731">
        <v>270</v>
      </c>
    </row>
    <row r="1732" spans="1:7" ht="15" x14ac:dyDescent="0.25">
      <c r="A1732" t="s">
        <v>15509</v>
      </c>
      <c r="B1732">
        <v>1</v>
      </c>
      <c r="C1732">
        <v>191</v>
      </c>
      <c r="D1732">
        <v>191</v>
      </c>
      <c r="E1732">
        <v>61</v>
      </c>
      <c r="F1732">
        <v>61</v>
      </c>
      <c r="G1732">
        <v>191</v>
      </c>
    </row>
    <row r="1733" spans="1:7" ht="15" x14ac:dyDescent="0.25">
      <c r="A1733" t="s">
        <v>15513</v>
      </c>
      <c r="B1733">
        <v>1</v>
      </c>
      <c r="C1733">
        <v>13</v>
      </c>
      <c r="D1733">
        <v>13</v>
      </c>
      <c r="E1733">
        <v>2</v>
      </c>
      <c r="F1733">
        <v>2</v>
      </c>
      <c r="G1733">
        <v>13</v>
      </c>
    </row>
    <row r="1734" spans="1:7" ht="15" x14ac:dyDescent="0.25">
      <c r="A1734" t="s">
        <v>15536</v>
      </c>
      <c r="B1734">
        <v>1</v>
      </c>
      <c r="C1734">
        <v>38</v>
      </c>
      <c r="D1734">
        <v>38</v>
      </c>
      <c r="E1734">
        <v>17</v>
      </c>
      <c r="F1734">
        <v>17</v>
      </c>
      <c r="G1734">
        <v>38</v>
      </c>
    </row>
    <row r="1735" spans="1:7" ht="15" x14ac:dyDescent="0.25">
      <c r="A1735" t="s">
        <v>15542</v>
      </c>
      <c r="B1735">
        <v>1</v>
      </c>
      <c r="C1735">
        <v>191</v>
      </c>
      <c r="D1735">
        <v>191</v>
      </c>
      <c r="E1735">
        <v>14</v>
      </c>
      <c r="F1735">
        <v>14</v>
      </c>
      <c r="G1735">
        <v>191</v>
      </c>
    </row>
    <row r="1736" spans="1:7" ht="15" x14ac:dyDescent="0.25">
      <c r="A1736" t="s">
        <v>15549</v>
      </c>
      <c r="B1736">
        <v>1</v>
      </c>
      <c r="C1736">
        <v>89</v>
      </c>
      <c r="D1736">
        <v>89</v>
      </c>
      <c r="E1736">
        <v>29</v>
      </c>
      <c r="F1736">
        <v>29</v>
      </c>
      <c r="G1736">
        <v>89</v>
      </c>
    </row>
    <row r="1737" spans="1:7" ht="15" x14ac:dyDescent="0.25">
      <c r="A1737" t="s">
        <v>15554</v>
      </c>
      <c r="B1737">
        <v>1</v>
      </c>
      <c r="C1737">
        <v>1036</v>
      </c>
      <c r="D1737">
        <v>1036</v>
      </c>
      <c r="E1737">
        <v>86</v>
      </c>
      <c r="F1737">
        <v>86</v>
      </c>
      <c r="G1737">
        <v>1036</v>
      </c>
    </row>
    <row r="1738" spans="1:7" ht="15" x14ac:dyDescent="0.25">
      <c r="A1738" t="s">
        <v>15561</v>
      </c>
      <c r="B1738">
        <v>1</v>
      </c>
      <c r="C1738">
        <v>1781</v>
      </c>
      <c r="D1738">
        <v>1781</v>
      </c>
      <c r="E1738">
        <v>69</v>
      </c>
      <c r="F1738">
        <v>69</v>
      </c>
      <c r="G1738">
        <v>1781</v>
      </c>
    </row>
    <row r="1739" spans="1:7" ht="15" x14ac:dyDescent="0.25">
      <c r="A1739" t="s">
        <v>15568</v>
      </c>
      <c r="B1739">
        <v>1</v>
      </c>
      <c r="C1739">
        <v>1582</v>
      </c>
      <c r="D1739">
        <v>1582</v>
      </c>
      <c r="E1739">
        <v>81</v>
      </c>
      <c r="F1739">
        <v>81</v>
      </c>
      <c r="G1739">
        <v>1582</v>
      </c>
    </row>
    <row r="1740" spans="1:7" ht="15" x14ac:dyDescent="0.25">
      <c r="A1740" t="s">
        <v>15573</v>
      </c>
      <c r="B1740">
        <v>1</v>
      </c>
      <c r="C1740">
        <v>681</v>
      </c>
      <c r="D1740">
        <v>681</v>
      </c>
      <c r="E1740">
        <v>50</v>
      </c>
      <c r="F1740">
        <v>50</v>
      </c>
      <c r="G1740">
        <v>681</v>
      </c>
    </row>
    <row r="1741" spans="1:7" ht="15" x14ac:dyDescent="0.25">
      <c r="A1741" t="s">
        <v>15578</v>
      </c>
      <c r="B1741">
        <v>1</v>
      </c>
      <c r="C1741">
        <v>69</v>
      </c>
      <c r="D1741">
        <v>69</v>
      </c>
      <c r="E1741">
        <v>26</v>
      </c>
      <c r="F1741">
        <v>26</v>
      </c>
      <c r="G1741">
        <v>69</v>
      </c>
    </row>
    <row r="1742" spans="1:7" ht="15" x14ac:dyDescent="0.25">
      <c r="A1742" t="s">
        <v>15583</v>
      </c>
      <c r="B1742">
        <v>1</v>
      </c>
      <c r="C1742">
        <v>315</v>
      </c>
      <c r="D1742">
        <v>315</v>
      </c>
      <c r="E1742">
        <v>32</v>
      </c>
      <c r="F1742">
        <v>32</v>
      </c>
      <c r="G1742">
        <v>315</v>
      </c>
    </row>
    <row r="1743" spans="1:7" ht="15" x14ac:dyDescent="0.25">
      <c r="A1743" t="s">
        <v>15591</v>
      </c>
      <c r="B1743">
        <v>1</v>
      </c>
      <c r="C1743">
        <v>1172</v>
      </c>
      <c r="D1743">
        <v>1172</v>
      </c>
      <c r="E1743">
        <v>38</v>
      </c>
      <c r="F1743">
        <v>38</v>
      </c>
      <c r="G1743">
        <v>1172</v>
      </c>
    </row>
    <row r="1744" spans="1:7" ht="15" x14ac:dyDescent="0.25">
      <c r="A1744" t="s">
        <v>15599</v>
      </c>
      <c r="B1744">
        <v>1</v>
      </c>
      <c r="C1744">
        <v>130</v>
      </c>
      <c r="D1744">
        <v>130</v>
      </c>
      <c r="E1744">
        <v>22</v>
      </c>
      <c r="F1744">
        <v>22</v>
      </c>
      <c r="G1744">
        <v>130</v>
      </c>
    </row>
    <row r="1745" spans="1:7" ht="15" x14ac:dyDescent="0.25">
      <c r="A1745" t="s">
        <v>15607</v>
      </c>
      <c r="B1745">
        <v>1</v>
      </c>
      <c r="C1745">
        <v>357</v>
      </c>
      <c r="D1745">
        <v>357</v>
      </c>
      <c r="E1745">
        <v>51</v>
      </c>
      <c r="F1745">
        <v>51</v>
      </c>
      <c r="G1745">
        <v>357</v>
      </c>
    </row>
    <row r="1746" spans="1:7" ht="15" x14ac:dyDescent="0.25">
      <c r="A1746" t="s">
        <v>15611</v>
      </c>
      <c r="B1746">
        <v>1</v>
      </c>
      <c r="C1746">
        <v>4</v>
      </c>
      <c r="D1746">
        <v>4</v>
      </c>
      <c r="E1746">
        <v>2</v>
      </c>
      <c r="F1746">
        <v>2</v>
      </c>
      <c r="G1746">
        <v>4</v>
      </c>
    </row>
    <row r="1747" spans="1:7" ht="15" x14ac:dyDescent="0.25">
      <c r="A1747" t="s">
        <v>15614</v>
      </c>
      <c r="B1747">
        <v>1</v>
      </c>
      <c r="C1747">
        <v>390</v>
      </c>
      <c r="D1747">
        <v>390</v>
      </c>
      <c r="E1747">
        <v>57</v>
      </c>
      <c r="F1747">
        <v>57</v>
      </c>
      <c r="G1747">
        <v>390</v>
      </c>
    </row>
    <row r="1748" spans="1:7" ht="15" x14ac:dyDescent="0.25">
      <c r="A1748" t="s">
        <v>15619</v>
      </c>
      <c r="B1748">
        <v>1</v>
      </c>
      <c r="C1748">
        <v>522</v>
      </c>
      <c r="D1748">
        <v>522</v>
      </c>
      <c r="E1748">
        <v>79</v>
      </c>
      <c r="F1748">
        <v>79</v>
      </c>
      <c r="G1748">
        <v>522</v>
      </c>
    </row>
    <row r="1749" spans="1:7" ht="15" x14ac:dyDescent="0.25">
      <c r="A1749" t="s">
        <v>15624</v>
      </c>
      <c r="B1749">
        <v>1</v>
      </c>
      <c r="C1749">
        <v>554</v>
      </c>
      <c r="D1749">
        <v>554</v>
      </c>
      <c r="E1749">
        <v>20</v>
      </c>
      <c r="F1749">
        <v>20</v>
      </c>
      <c r="G1749">
        <v>554</v>
      </c>
    </row>
    <row r="1750" spans="1:7" ht="15" x14ac:dyDescent="0.25">
      <c r="A1750" t="s">
        <v>15639</v>
      </c>
      <c r="B1750">
        <v>1</v>
      </c>
      <c r="C1750">
        <v>223</v>
      </c>
      <c r="D1750">
        <v>223</v>
      </c>
      <c r="E1750">
        <v>42</v>
      </c>
      <c r="F1750">
        <v>42</v>
      </c>
      <c r="G1750">
        <v>223</v>
      </c>
    </row>
    <row r="1751" spans="1:7" ht="15" x14ac:dyDescent="0.25">
      <c r="A1751" t="s">
        <v>15647</v>
      </c>
      <c r="B1751">
        <v>1</v>
      </c>
      <c r="C1751">
        <v>14331</v>
      </c>
      <c r="D1751">
        <v>14331</v>
      </c>
      <c r="E1751">
        <v>468</v>
      </c>
      <c r="F1751">
        <v>468</v>
      </c>
      <c r="G1751">
        <v>14331</v>
      </c>
    </row>
    <row r="1752" spans="1:7" ht="15" x14ac:dyDescent="0.25">
      <c r="A1752" t="s">
        <v>15656</v>
      </c>
      <c r="B1752">
        <v>1</v>
      </c>
      <c r="C1752">
        <v>1104</v>
      </c>
      <c r="D1752">
        <v>1104</v>
      </c>
      <c r="E1752">
        <v>26</v>
      </c>
      <c r="F1752">
        <v>26</v>
      </c>
      <c r="G1752">
        <v>1104</v>
      </c>
    </row>
    <row r="1753" spans="1:7" ht="15" x14ac:dyDescent="0.25">
      <c r="A1753" t="s">
        <v>15659</v>
      </c>
      <c r="B1753">
        <v>1</v>
      </c>
      <c r="C1753">
        <v>191</v>
      </c>
      <c r="D1753">
        <v>191</v>
      </c>
      <c r="E1753">
        <v>45</v>
      </c>
      <c r="F1753">
        <v>45</v>
      </c>
      <c r="G1753">
        <v>191</v>
      </c>
    </row>
    <row r="1754" spans="1:7" ht="15" x14ac:dyDescent="0.25">
      <c r="A1754" t="s">
        <v>15662</v>
      </c>
      <c r="B1754">
        <v>1</v>
      </c>
      <c r="C1754">
        <v>1545</v>
      </c>
      <c r="D1754">
        <v>1545</v>
      </c>
      <c r="E1754">
        <v>36</v>
      </c>
      <c r="F1754">
        <v>36</v>
      </c>
      <c r="G1754">
        <v>1545</v>
      </c>
    </row>
    <row r="1755" spans="1:7" ht="15" x14ac:dyDescent="0.25">
      <c r="A1755" t="s">
        <v>15677</v>
      </c>
      <c r="B1755">
        <v>1</v>
      </c>
      <c r="C1755">
        <v>1762</v>
      </c>
      <c r="D1755">
        <v>1762</v>
      </c>
      <c r="E1755">
        <v>28</v>
      </c>
      <c r="F1755">
        <v>28</v>
      </c>
      <c r="G1755">
        <v>1762</v>
      </c>
    </row>
    <row r="1756" spans="1:7" ht="15" x14ac:dyDescent="0.25">
      <c r="A1756" t="s">
        <v>15686</v>
      </c>
      <c r="B1756">
        <v>1</v>
      </c>
      <c r="C1756">
        <v>3697</v>
      </c>
      <c r="D1756">
        <v>3697</v>
      </c>
      <c r="E1756">
        <v>101</v>
      </c>
      <c r="F1756">
        <v>101</v>
      </c>
      <c r="G1756">
        <v>3697</v>
      </c>
    </row>
    <row r="1757" spans="1:7" ht="15" x14ac:dyDescent="0.25">
      <c r="A1757" t="s">
        <v>15689</v>
      </c>
      <c r="B1757">
        <v>1</v>
      </c>
      <c r="C1757">
        <v>42</v>
      </c>
      <c r="D1757">
        <v>42</v>
      </c>
      <c r="E1757">
        <v>13</v>
      </c>
      <c r="F1757">
        <v>13</v>
      </c>
      <c r="G1757">
        <v>42</v>
      </c>
    </row>
    <row r="1758" spans="1:7" ht="15" x14ac:dyDescent="0.25">
      <c r="A1758" t="s">
        <v>15694</v>
      </c>
      <c r="B1758">
        <v>1</v>
      </c>
      <c r="C1758">
        <v>101</v>
      </c>
      <c r="D1758">
        <v>101</v>
      </c>
      <c r="E1758">
        <v>41</v>
      </c>
      <c r="F1758">
        <v>41</v>
      </c>
      <c r="G1758">
        <v>101</v>
      </c>
    </row>
    <row r="1759" spans="1:7" ht="15" x14ac:dyDescent="0.25">
      <c r="A1759" t="s">
        <v>15699</v>
      </c>
      <c r="B1759">
        <v>1</v>
      </c>
      <c r="C1759">
        <v>245</v>
      </c>
      <c r="D1759">
        <v>245</v>
      </c>
      <c r="E1759">
        <v>47</v>
      </c>
      <c r="F1759">
        <v>47</v>
      </c>
      <c r="G1759">
        <v>245</v>
      </c>
    </row>
    <row r="1760" spans="1:7" ht="15" x14ac:dyDescent="0.25">
      <c r="A1760" t="s">
        <v>15706</v>
      </c>
      <c r="B1760">
        <v>1</v>
      </c>
      <c r="C1760">
        <v>157</v>
      </c>
      <c r="D1760">
        <v>157</v>
      </c>
      <c r="E1760">
        <v>23</v>
      </c>
      <c r="F1760">
        <v>23</v>
      </c>
      <c r="G1760">
        <v>157</v>
      </c>
    </row>
    <row r="1761" spans="1:7" ht="15" x14ac:dyDescent="0.25">
      <c r="A1761" t="s">
        <v>15717</v>
      </c>
      <c r="B1761">
        <v>1</v>
      </c>
      <c r="C1761">
        <v>77</v>
      </c>
      <c r="D1761">
        <v>77</v>
      </c>
      <c r="E1761">
        <v>6</v>
      </c>
      <c r="F1761">
        <v>6</v>
      </c>
      <c r="G1761">
        <v>77</v>
      </c>
    </row>
    <row r="1762" spans="1:7" ht="15" x14ac:dyDescent="0.25">
      <c r="A1762" t="s">
        <v>15731</v>
      </c>
      <c r="B1762">
        <v>1</v>
      </c>
      <c r="C1762">
        <v>96</v>
      </c>
      <c r="D1762">
        <v>96</v>
      </c>
      <c r="E1762">
        <v>33</v>
      </c>
      <c r="F1762">
        <v>33</v>
      </c>
      <c r="G1762">
        <v>96</v>
      </c>
    </row>
    <row r="1763" spans="1:7" ht="15" x14ac:dyDescent="0.25">
      <c r="A1763" t="s">
        <v>15740</v>
      </c>
      <c r="B1763">
        <v>1</v>
      </c>
      <c r="C1763">
        <v>1774</v>
      </c>
      <c r="D1763">
        <v>1774</v>
      </c>
      <c r="E1763">
        <v>80</v>
      </c>
      <c r="F1763">
        <v>80</v>
      </c>
      <c r="G1763">
        <v>1774</v>
      </c>
    </row>
    <row r="1764" spans="1:7" ht="15" x14ac:dyDescent="0.25">
      <c r="A1764" t="s">
        <v>15744</v>
      </c>
      <c r="B1764">
        <v>1</v>
      </c>
      <c r="C1764">
        <v>40</v>
      </c>
      <c r="D1764">
        <v>40</v>
      </c>
      <c r="E1764">
        <v>3</v>
      </c>
      <c r="F1764">
        <v>3</v>
      </c>
      <c r="G1764">
        <v>40</v>
      </c>
    </row>
    <row r="1765" spans="1:7" ht="15" x14ac:dyDescent="0.25">
      <c r="A1765" t="s">
        <v>15749</v>
      </c>
      <c r="B1765">
        <v>1</v>
      </c>
      <c r="C1765">
        <v>1782</v>
      </c>
      <c r="D1765">
        <v>1782</v>
      </c>
      <c r="E1765">
        <v>56</v>
      </c>
      <c r="F1765">
        <v>56</v>
      </c>
      <c r="G1765">
        <v>1782</v>
      </c>
    </row>
    <row r="1766" spans="1:7" ht="15" x14ac:dyDescent="0.25">
      <c r="A1766" t="s">
        <v>15767</v>
      </c>
      <c r="B1766">
        <v>1</v>
      </c>
      <c r="C1766">
        <v>77</v>
      </c>
      <c r="D1766">
        <v>77</v>
      </c>
      <c r="E1766">
        <v>4</v>
      </c>
      <c r="F1766">
        <v>4</v>
      </c>
      <c r="G1766">
        <v>77</v>
      </c>
    </row>
    <row r="1767" spans="1:7" ht="15" x14ac:dyDescent="0.25">
      <c r="A1767" t="s">
        <v>15773</v>
      </c>
      <c r="B1767">
        <v>1</v>
      </c>
      <c r="C1767">
        <v>466</v>
      </c>
      <c r="D1767">
        <v>466</v>
      </c>
      <c r="E1767">
        <v>38</v>
      </c>
      <c r="F1767">
        <v>38</v>
      </c>
      <c r="G1767">
        <v>466</v>
      </c>
    </row>
    <row r="1768" spans="1:7" ht="15" x14ac:dyDescent="0.25">
      <c r="A1768" t="s">
        <v>15780</v>
      </c>
      <c r="B1768">
        <v>1</v>
      </c>
      <c r="C1768">
        <v>286</v>
      </c>
      <c r="D1768">
        <v>286</v>
      </c>
      <c r="E1768">
        <v>58</v>
      </c>
      <c r="F1768">
        <v>58</v>
      </c>
      <c r="G1768">
        <v>286</v>
      </c>
    </row>
    <row r="1769" spans="1:7" ht="15" x14ac:dyDescent="0.25">
      <c r="A1769" t="s">
        <v>15783</v>
      </c>
      <c r="B1769">
        <v>1</v>
      </c>
      <c r="C1769">
        <v>1538</v>
      </c>
      <c r="D1769">
        <v>1538</v>
      </c>
      <c r="E1769">
        <v>95</v>
      </c>
      <c r="F1769">
        <v>95</v>
      </c>
      <c r="G1769">
        <v>1538</v>
      </c>
    </row>
    <row r="1770" spans="1:7" ht="15" x14ac:dyDescent="0.25">
      <c r="A1770" t="s">
        <v>15790</v>
      </c>
      <c r="B1770">
        <v>1</v>
      </c>
      <c r="C1770">
        <v>33</v>
      </c>
      <c r="D1770">
        <v>33</v>
      </c>
      <c r="E1770">
        <v>27</v>
      </c>
      <c r="F1770">
        <v>27</v>
      </c>
      <c r="G1770">
        <v>33</v>
      </c>
    </row>
    <row r="1771" spans="1:7" ht="15" x14ac:dyDescent="0.25">
      <c r="A1771" t="s">
        <v>15801</v>
      </c>
      <c r="B1771">
        <v>10</v>
      </c>
      <c r="C1771">
        <v>207</v>
      </c>
      <c r="D1771">
        <v>2082</v>
      </c>
      <c r="E1771">
        <v>260</v>
      </c>
      <c r="F1771">
        <v>26</v>
      </c>
      <c r="G1771">
        <v>209</v>
      </c>
    </row>
    <row r="1772" spans="1:7" ht="15" x14ac:dyDescent="0.25">
      <c r="A1772" t="s">
        <v>15816</v>
      </c>
      <c r="B1772">
        <v>1</v>
      </c>
      <c r="C1772">
        <v>219</v>
      </c>
      <c r="D1772">
        <v>219</v>
      </c>
      <c r="E1772">
        <v>35</v>
      </c>
      <c r="F1772">
        <v>35</v>
      </c>
      <c r="G1772">
        <v>219</v>
      </c>
    </row>
    <row r="1773" spans="1:7" ht="15" x14ac:dyDescent="0.25">
      <c r="A1773" t="s">
        <v>15829</v>
      </c>
      <c r="B1773">
        <v>1</v>
      </c>
      <c r="C1773">
        <v>615</v>
      </c>
      <c r="D1773">
        <v>615</v>
      </c>
      <c r="E1773">
        <v>74</v>
      </c>
      <c r="F1773">
        <v>74</v>
      </c>
      <c r="G1773">
        <v>615</v>
      </c>
    </row>
    <row r="1774" spans="1:7" ht="15" x14ac:dyDescent="0.25">
      <c r="A1774" t="s">
        <v>15835</v>
      </c>
      <c r="B1774">
        <v>1</v>
      </c>
      <c r="C1774">
        <v>568</v>
      </c>
      <c r="D1774">
        <v>568</v>
      </c>
      <c r="E1774">
        <v>74</v>
      </c>
      <c r="F1774">
        <v>74</v>
      </c>
      <c r="G1774">
        <v>568</v>
      </c>
    </row>
    <row r="1775" spans="1:7" ht="15" x14ac:dyDescent="0.25">
      <c r="A1775" t="s">
        <v>15842</v>
      </c>
      <c r="B1775">
        <v>3</v>
      </c>
      <c r="C1775">
        <v>420</v>
      </c>
      <c r="D1775">
        <v>1240</v>
      </c>
      <c r="E1775">
        <v>174</v>
      </c>
      <c r="F1775">
        <v>58</v>
      </c>
      <c r="G1775">
        <v>420</v>
      </c>
    </row>
    <row r="1776" spans="1:7" ht="15" x14ac:dyDescent="0.25">
      <c r="A1776" t="s">
        <v>15846</v>
      </c>
      <c r="B1776">
        <v>1</v>
      </c>
      <c r="C1776">
        <v>7</v>
      </c>
      <c r="D1776">
        <v>7</v>
      </c>
      <c r="E1776">
        <v>18</v>
      </c>
      <c r="F1776">
        <v>18</v>
      </c>
      <c r="G1776">
        <v>7</v>
      </c>
    </row>
    <row r="1777" spans="1:7" ht="15" x14ac:dyDescent="0.25">
      <c r="A1777" t="s">
        <v>15850</v>
      </c>
      <c r="B1777">
        <v>1</v>
      </c>
      <c r="C1777">
        <v>291</v>
      </c>
      <c r="D1777">
        <v>291</v>
      </c>
      <c r="E1777">
        <v>53</v>
      </c>
      <c r="F1777">
        <v>53</v>
      </c>
      <c r="G1777">
        <v>291</v>
      </c>
    </row>
    <row r="1778" spans="1:7" ht="15" x14ac:dyDescent="0.25">
      <c r="A1778" t="s">
        <v>15856</v>
      </c>
      <c r="B1778">
        <v>1</v>
      </c>
      <c r="C1778">
        <v>308</v>
      </c>
      <c r="D1778">
        <v>308</v>
      </c>
      <c r="E1778">
        <v>5</v>
      </c>
      <c r="F1778">
        <v>5</v>
      </c>
      <c r="G1778">
        <v>308</v>
      </c>
    </row>
    <row r="1779" spans="1:7" ht="15" x14ac:dyDescent="0.25">
      <c r="A1779" t="s">
        <v>15868</v>
      </c>
      <c r="B1779">
        <v>1</v>
      </c>
      <c r="C1779">
        <v>266</v>
      </c>
      <c r="D1779">
        <v>266</v>
      </c>
      <c r="E1779">
        <v>38</v>
      </c>
      <c r="F1779">
        <v>38</v>
      </c>
      <c r="G1779">
        <v>266</v>
      </c>
    </row>
    <row r="1780" spans="1:7" ht="15" x14ac:dyDescent="0.25">
      <c r="A1780" t="s">
        <v>15875</v>
      </c>
      <c r="B1780">
        <v>1</v>
      </c>
      <c r="C1780">
        <v>68</v>
      </c>
      <c r="D1780">
        <v>68</v>
      </c>
      <c r="E1780">
        <v>11</v>
      </c>
      <c r="F1780">
        <v>11</v>
      </c>
      <c r="G1780">
        <v>68</v>
      </c>
    </row>
    <row r="1781" spans="1:7" ht="15" x14ac:dyDescent="0.25">
      <c r="A1781" t="s">
        <v>15879</v>
      </c>
      <c r="B1781">
        <v>2</v>
      </c>
      <c r="C1781">
        <v>1877</v>
      </c>
      <c r="D1781">
        <v>3726</v>
      </c>
      <c r="E1781">
        <v>1750</v>
      </c>
      <c r="F1781">
        <v>875</v>
      </c>
      <c r="G1781">
        <v>1877</v>
      </c>
    </row>
    <row r="1782" spans="1:7" ht="15" x14ac:dyDescent="0.25">
      <c r="A1782" t="s">
        <v>15888</v>
      </c>
      <c r="B1782">
        <v>1</v>
      </c>
      <c r="C1782">
        <v>643</v>
      </c>
      <c r="D1782">
        <v>643</v>
      </c>
      <c r="E1782">
        <v>24</v>
      </c>
      <c r="F1782">
        <v>24</v>
      </c>
      <c r="G1782">
        <v>643</v>
      </c>
    </row>
    <row r="1783" spans="1:7" ht="15" x14ac:dyDescent="0.25">
      <c r="A1783" t="s">
        <v>15894</v>
      </c>
      <c r="B1783">
        <v>1</v>
      </c>
      <c r="C1783">
        <v>1241</v>
      </c>
      <c r="D1783">
        <v>1241</v>
      </c>
      <c r="E1783">
        <v>191</v>
      </c>
      <c r="F1783">
        <v>191</v>
      </c>
      <c r="G1783">
        <v>1241</v>
      </c>
    </row>
    <row r="1784" spans="1:7" ht="15" x14ac:dyDescent="0.25">
      <c r="A1784" t="s">
        <v>15909</v>
      </c>
      <c r="B1784">
        <v>1</v>
      </c>
      <c r="C1784">
        <v>434</v>
      </c>
      <c r="D1784">
        <v>434</v>
      </c>
      <c r="E1784">
        <v>41</v>
      </c>
      <c r="F1784">
        <v>41</v>
      </c>
      <c r="G1784">
        <v>434</v>
      </c>
    </row>
    <row r="1785" spans="1:7" ht="15" x14ac:dyDescent="0.25">
      <c r="A1785" t="s">
        <v>15916</v>
      </c>
      <c r="B1785">
        <v>1</v>
      </c>
      <c r="C1785">
        <v>1521</v>
      </c>
      <c r="D1785">
        <v>1521</v>
      </c>
      <c r="E1785">
        <v>38</v>
      </c>
      <c r="F1785">
        <v>38</v>
      </c>
      <c r="G1785">
        <v>1521</v>
      </c>
    </row>
    <row r="1786" spans="1:7" ht="15" x14ac:dyDescent="0.25">
      <c r="A1786" t="s">
        <v>15921</v>
      </c>
      <c r="B1786">
        <v>1</v>
      </c>
      <c r="C1786">
        <v>415</v>
      </c>
      <c r="D1786">
        <v>415</v>
      </c>
      <c r="E1786">
        <v>14</v>
      </c>
      <c r="F1786">
        <v>14</v>
      </c>
      <c r="G1786">
        <v>415</v>
      </c>
    </row>
    <row r="1787" spans="1:7" ht="15" x14ac:dyDescent="0.25">
      <c r="A1787" t="s">
        <v>15931</v>
      </c>
      <c r="B1787">
        <v>1</v>
      </c>
      <c r="C1787">
        <v>137</v>
      </c>
      <c r="D1787">
        <v>137</v>
      </c>
      <c r="E1787">
        <v>3</v>
      </c>
      <c r="F1787">
        <v>3</v>
      </c>
      <c r="G1787">
        <v>137</v>
      </c>
    </row>
    <row r="1788" spans="1:7" ht="15" x14ac:dyDescent="0.25">
      <c r="A1788" t="s">
        <v>15939</v>
      </c>
      <c r="B1788">
        <v>1</v>
      </c>
      <c r="C1788">
        <v>659</v>
      </c>
      <c r="D1788">
        <v>659</v>
      </c>
      <c r="E1788">
        <v>13</v>
      </c>
      <c r="F1788">
        <v>13</v>
      </c>
      <c r="G1788">
        <v>659</v>
      </c>
    </row>
    <row r="1789" spans="1:7" ht="15" x14ac:dyDescent="0.25">
      <c r="A1789" t="s">
        <v>15943</v>
      </c>
      <c r="B1789">
        <v>1</v>
      </c>
      <c r="C1789">
        <v>483</v>
      </c>
      <c r="D1789">
        <v>483</v>
      </c>
      <c r="E1789">
        <v>33</v>
      </c>
      <c r="F1789">
        <v>33</v>
      </c>
      <c r="G1789">
        <v>483</v>
      </c>
    </row>
    <row r="1790" spans="1:7" ht="15" x14ac:dyDescent="0.25">
      <c r="A1790" t="s">
        <v>15947</v>
      </c>
      <c r="B1790">
        <v>1</v>
      </c>
      <c r="C1790">
        <v>302</v>
      </c>
      <c r="D1790">
        <v>302</v>
      </c>
      <c r="E1790">
        <v>22</v>
      </c>
      <c r="F1790">
        <v>22</v>
      </c>
      <c r="G1790">
        <v>302</v>
      </c>
    </row>
    <row r="1791" spans="1:7" ht="15" x14ac:dyDescent="0.25">
      <c r="A1791" t="s">
        <v>15954</v>
      </c>
      <c r="B1791">
        <v>1</v>
      </c>
      <c r="C1791">
        <v>154</v>
      </c>
      <c r="D1791">
        <v>154</v>
      </c>
      <c r="E1791">
        <v>2</v>
      </c>
      <c r="F1791">
        <v>2</v>
      </c>
      <c r="G1791">
        <v>154</v>
      </c>
    </row>
    <row r="1792" spans="1:7" ht="15" x14ac:dyDescent="0.25">
      <c r="A1792" t="s">
        <v>15958</v>
      </c>
      <c r="B1792">
        <v>1</v>
      </c>
      <c r="C1792">
        <v>1090</v>
      </c>
      <c r="D1792">
        <v>1090</v>
      </c>
      <c r="E1792">
        <v>33</v>
      </c>
      <c r="F1792">
        <v>33</v>
      </c>
      <c r="G1792">
        <v>1090</v>
      </c>
    </row>
    <row r="1793" spans="1:7" ht="15" x14ac:dyDescent="0.25">
      <c r="A1793" t="s">
        <v>15962</v>
      </c>
      <c r="B1793">
        <v>1</v>
      </c>
      <c r="C1793">
        <v>241</v>
      </c>
      <c r="D1793">
        <v>241</v>
      </c>
      <c r="E1793">
        <v>19</v>
      </c>
      <c r="F1793">
        <v>19</v>
      </c>
      <c r="G1793">
        <v>241</v>
      </c>
    </row>
    <row r="1794" spans="1:7" ht="15" x14ac:dyDescent="0.25">
      <c r="A1794" t="s">
        <v>15967</v>
      </c>
      <c r="B1794">
        <v>1</v>
      </c>
      <c r="C1794">
        <v>24156</v>
      </c>
      <c r="D1794">
        <v>24156</v>
      </c>
      <c r="E1794">
        <v>112</v>
      </c>
      <c r="F1794">
        <v>112</v>
      </c>
      <c r="G1794">
        <v>24156</v>
      </c>
    </row>
    <row r="1795" spans="1:7" ht="15" x14ac:dyDescent="0.25">
      <c r="A1795" t="s">
        <v>15977</v>
      </c>
      <c r="B1795">
        <v>1</v>
      </c>
      <c r="C1795">
        <v>372</v>
      </c>
      <c r="D1795">
        <v>372</v>
      </c>
      <c r="E1795">
        <v>34</v>
      </c>
      <c r="F1795">
        <v>34</v>
      </c>
      <c r="G1795">
        <v>372</v>
      </c>
    </row>
    <row r="1796" spans="1:7" ht="15" x14ac:dyDescent="0.25">
      <c r="A1796" t="s">
        <v>15980</v>
      </c>
      <c r="B1796">
        <v>1</v>
      </c>
      <c r="C1796">
        <v>76</v>
      </c>
      <c r="D1796">
        <v>76</v>
      </c>
      <c r="E1796">
        <v>6</v>
      </c>
      <c r="F1796">
        <v>6</v>
      </c>
      <c r="G1796">
        <v>76</v>
      </c>
    </row>
    <row r="1797" spans="1:7" ht="15" x14ac:dyDescent="0.25">
      <c r="A1797" t="s">
        <v>15985</v>
      </c>
      <c r="B1797">
        <v>1</v>
      </c>
      <c r="C1797">
        <v>592</v>
      </c>
      <c r="D1797">
        <v>592</v>
      </c>
      <c r="E1797">
        <v>111</v>
      </c>
      <c r="F1797">
        <v>111</v>
      </c>
      <c r="G1797">
        <v>592</v>
      </c>
    </row>
    <row r="1798" spans="1:7" ht="15" x14ac:dyDescent="0.25">
      <c r="A1798" t="s">
        <v>15992</v>
      </c>
      <c r="B1798">
        <v>1</v>
      </c>
      <c r="C1798">
        <v>156</v>
      </c>
      <c r="D1798">
        <v>156</v>
      </c>
      <c r="E1798">
        <v>10</v>
      </c>
      <c r="F1798">
        <v>10</v>
      </c>
      <c r="G1798">
        <v>156</v>
      </c>
    </row>
    <row r="1799" spans="1:7" ht="15" x14ac:dyDescent="0.25">
      <c r="A1799" t="s">
        <v>15997</v>
      </c>
      <c r="B1799">
        <v>1</v>
      </c>
      <c r="C1799">
        <v>272</v>
      </c>
      <c r="D1799">
        <v>272</v>
      </c>
      <c r="E1799">
        <v>71</v>
      </c>
      <c r="F1799">
        <v>71</v>
      </c>
      <c r="G1799">
        <v>272</v>
      </c>
    </row>
    <row r="1800" spans="1:7" ht="15" x14ac:dyDescent="0.25">
      <c r="A1800" t="s">
        <v>16003</v>
      </c>
      <c r="B1800">
        <v>4</v>
      </c>
      <c r="C1800">
        <v>1573</v>
      </c>
      <c r="D1800">
        <v>6226</v>
      </c>
      <c r="E1800">
        <v>123</v>
      </c>
      <c r="F1800">
        <v>30.75</v>
      </c>
      <c r="G1800">
        <v>1573</v>
      </c>
    </row>
    <row r="1801" spans="1:7" ht="15" x14ac:dyDescent="0.25">
      <c r="A1801" t="s">
        <v>16015</v>
      </c>
      <c r="B1801">
        <v>1</v>
      </c>
      <c r="C1801">
        <v>4269</v>
      </c>
      <c r="D1801">
        <v>4269</v>
      </c>
      <c r="E1801">
        <v>221</v>
      </c>
      <c r="F1801">
        <v>221</v>
      </c>
      <c r="G1801">
        <v>4269</v>
      </c>
    </row>
    <row r="1802" spans="1:7" ht="15" x14ac:dyDescent="0.25">
      <c r="A1802" t="s">
        <v>16024</v>
      </c>
      <c r="B1802">
        <v>1</v>
      </c>
      <c r="C1802">
        <v>6</v>
      </c>
      <c r="D1802">
        <v>6</v>
      </c>
      <c r="E1802">
        <v>21</v>
      </c>
      <c r="F1802">
        <v>21</v>
      </c>
      <c r="G1802">
        <v>6</v>
      </c>
    </row>
    <row r="1803" spans="1:7" ht="15" x14ac:dyDescent="0.25">
      <c r="A1803" t="s">
        <v>16033</v>
      </c>
      <c r="B1803">
        <v>1</v>
      </c>
      <c r="C1803">
        <v>70</v>
      </c>
      <c r="D1803">
        <v>70</v>
      </c>
      <c r="E1803">
        <v>12</v>
      </c>
      <c r="F1803">
        <v>12</v>
      </c>
      <c r="G1803">
        <v>70</v>
      </c>
    </row>
    <row r="1804" spans="1:7" ht="15" x14ac:dyDescent="0.25">
      <c r="A1804" t="s">
        <v>16039</v>
      </c>
      <c r="B1804">
        <v>1</v>
      </c>
      <c r="C1804">
        <v>103</v>
      </c>
      <c r="D1804">
        <v>103</v>
      </c>
      <c r="E1804">
        <v>7</v>
      </c>
      <c r="F1804">
        <v>7</v>
      </c>
      <c r="G1804">
        <v>103</v>
      </c>
    </row>
    <row r="1805" spans="1:7" ht="15" x14ac:dyDescent="0.25">
      <c r="A1805" t="s">
        <v>16044</v>
      </c>
      <c r="B1805">
        <v>1</v>
      </c>
      <c r="C1805">
        <v>192</v>
      </c>
      <c r="D1805">
        <v>192</v>
      </c>
      <c r="E1805">
        <v>67</v>
      </c>
      <c r="F1805">
        <v>67</v>
      </c>
      <c r="G1805">
        <v>192</v>
      </c>
    </row>
    <row r="1806" spans="1:7" ht="15" x14ac:dyDescent="0.25">
      <c r="A1806" t="s">
        <v>16052</v>
      </c>
      <c r="B1806">
        <v>2</v>
      </c>
      <c r="C1806">
        <v>468</v>
      </c>
      <c r="D1806">
        <v>936</v>
      </c>
      <c r="E1806">
        <v>108</v>
      </c>
      <c r="F1806">
        <v>54</v>
      </c>
      <c r="G1806">
        <v>468</v>
      </c>
    </row>
    <row r="1807" spans="1:7" ht="15" x14ac:dyDescent="0.25">
      <c r="A1807" t="s">
        <v>16065</v>
      </c>
      <c r="B1807">
        <v>2</v>
      </c>
      <c r="C1807">
        <v>639</v>
      </c>
      <c r="D1807">
        <v>1273</v>
      </c>
      <c r="E1807">
        <v>188</v>
      </c>
      <c r="F1807">
        <v>94</v>
      </c>
      <c r="G1807">
        <v>639</v>
      </c>
    </row>
    <row r="1808" spans="1:7" ht="15" x14ac:dyDescent="0.25">
      <c r="A1808" t="s">
        <v>16073</v>
      </c>
      <c r="B1808">
        <v>2</v>
      </c>
      <c r="C1808">
        <v>1650</v>
      </c>
      <c r="D1808">
        <v>3289</v>
      </c>
      <c r="E1808">
        <v>46</v>
      </c>
      <c r="F1808">
        <v>23</v>
      </c>
      <c r="G1808">
        <v>1650</v>
      </c>
    </row>
    <row r="1809" spans="1:7" ht="15" x14ac:dyDescent="0.25">
      <c r="A1809" t="s">
        <v>16078</v>
      </c>
      <c r="B1809">
        <v>2</v>
      </c>
      <c r="C1809">
        <v>380</v>
      </c>
      <c r="D1809">
        <v>756</v>
      </c>
      <c r="E1809">
        <v>31</v>
      </c>
      <c r="F1809">
        <v>15.5</v>
      </c>
      <c r="G1809">
        <v>380</v>
      </c>
    </row>
    <row r="1810" spans="1:7" ht="15" x14ac:dyDescent="0.25">
      <c r="A1810" t="s">
        <v>16082</v>
      </c>
      <c r="B1810">
        <v>2</v>
      </c>
      <c r="C1810">
        <v>1064</v>
      </c>
      <c r="D1810">
        <v>2116</v>
      </c>
      <c r="E1810">
        <v>215</v>
      </c>
      <c r="F1810">
        <v>107.5</v>
      </c>
      <c r="G1810">
        <v>1064</v>
      </c>
    </row>
    <row r="1811" spans="1:7" ht="15" x14ac:dyDescent="0.25">
      <c r="A1811" t="s">
        <v>16090</v>
      </c>
      <c r="B1811">
        <v>1</v>
      </c>
      <c r="C1811">
        <v>125</v>
      </c>
      <c r="D1811">
        <v>125</v>
      </c>
      <c r="E1811">
        <v>18</v>
      </c>
      <c r="F1811">
        <v>18</v>
      </c>
      <c r="G1811">
        <v>125</v>
      </c>
    </row>
    <row r="1812" spans="1:7" ht="15" x14ac:dyDescent="0.25">
      <c r="A1812" t="s">
        <v>16094</v>
      </c>
      <c r="B1812">
        <v>1</v>
      </c>
      <c r="C1812">
        <v>304</v>
      </c>
      <c r="D1812">
        <v>304</v>
      </c>
      <c r="E1812">
        <v>27</v>
      </c>
      <c r="F1812">
        <v>27</v>
      </c>
      <c r="G1812">
        <v>304</v>
      </c>
    </row>
    <row r="1813" spans="1:7" ht="15" x14ac:dyDescent="0.25">
      <c r="A1813" t="s">
        <v>16101</v>
      </c>
      <c r="B1813">
        <v>1</v>
      </c>
      <c r="C1813">
        <v>171</v>
      </c>
      <c r="D1813">
        <v>171</v>
      </c>
      <c r="E1813">
        <v>34</v>
      </c>
      <c r="F1813">
        <v>34</v>
      </c>
      <c r="G1813">
        <v>171</v>
      </c>
    </row>
    <row r="1814" spans="1:7" ht="15" x14ac:dyDescent="0.25">
      <c r="A1814" t="s">
        <v>16110</v>
      </c>
      <c r="B1814">
        <v>1</v>
      </c>
      <c r="C1814">
        <v>221</v>
      </c>
      <c r="D1814">
        <v>221</v>
      </c>
      <c r="E1814">
        <v>35</v>
      </c>
      <c r="F1814">
        <v>35</v>
      </c>
      <c r="G1814">
        <v>221</v>
      </c>
    </row>
    <row r="1815" spans="1:7" ht="15" x14ac:dyDescent="0.25">
      <c r="A1815" t="s">
        <v>16114</v>
      </c>
      <c r="B1815">
        <v>1</v>
      </c>
      <c r="C1815">
        <v>181</v>
      </c>
      <c r="D1815">
        <v>181</v>
      </c>
      <c r="E1815">
        <v>47</v>
      </c>
      <c r="F1815">
        <v>47</v>
      </c>
      <c r="G1815">
        <v>181</v>
      </c>
    </row>
    <row r="1816" spans="1:7" ht="15" x14ac:dyDescent="0.25">
      <c r="A1816" t="s">
        <v>16120</v>
      </c>
      <c r="B1816">
        <v>1</v>
      </c>
      <c r="C1816">
        <v>22188</v>
      </c>
      <c r="D1816">
        <v>22188</v>
      </c>
      <c r="E1816">
        <v>19</v>
      </c>
      <c r="F1816">
        <v>19</v>
      </c>
      <c r="G1816">
        <v>22188</v>
      </c>
    </row>
    <row r="1817" spans="1:7" ht="15" x14ac:dyDescent="0.25">
      <c r="A1817" t="s">
        <v>16127</v>
      </c>
      <c r="B1817">
        <v>2</v>
      </c>
      <c r="C1817">
        <v>133</v>
      </c>
      <c r="D1817">
        <v>259</v>
      </c>
      <c r="E1817">
        <v>70</v>
      </c>
      <c r="F1817">
        <v>35</v>
      </c>
      <c r="G1817">
        <v>133</v>
      </c>
    </row>
    <row r="1818" spans="1:7" ht="15" x14ac:dyDescent="0.25">
      <c r="A1818" t="s">
        <v>16134</v>
      </c>
      <c r="B1818">
        <v>1</v>
      </c>
      <c r="C1818">
        <v>390</v>
      </c>
      <c r="D1818">
        <v>390</v>
      </c>
      <c r="E1818">
        <v>35</v>
      </c>
      <c r="F1818">
        <v>35</v>
      </c>
      <c r="G1818">
        <v>390</v>
      </c>
    </row>
    <row r="1819" spans="1:7" ht="15" x14ac:dyDescent="0.25">
      <c r="A1819" t="s">
        <v>16140</v>
      </c>
      <c r="B1819">
        <v>1</v>
      </c>
      <c r="C1819">
        <v>224</v>
      </c>
      <c r="D1819">
        <v>224</v>
      </c>
      <c r="E1819">
        <v>48</v>
      </c>
      <c r="F1819">
        <v>48</v>
      </c>
      <c r="G1819">
        <v>224</v>
      </c>
    </row>
    <row r="1820" spans="1:7" ht="15" x14ac:dyDescent="0.25">
      <c r="A1820" t="s">
        <v>16145</v>
      </c>
      <c r="B1820">
        <v>2</v>
      </c>
      <c r="C1820">
        <v>660</v>
      </c>
      <c r="D1820">
        <v>1317</v>
      </c>
      <c r="E1820">
        <v>86</v>
      </c>
      <c r="F1820">
        <v>43</v>
      </c>
      <c r="G1820">
        <v>660</v>
      </c>
    </row>
    <row r="1821" spans="1:7" ht="15" x14ac:dyDescent="0.25">
      <c r="A1821" t="s">
        <v>16155</v>
      </c>
      <c r="B1821">
        <v>3</v>
      </c>
      <c r="C1821">
        <v>1230</v>
      </c>
      <c r="D1821">
        <v>3747</v>
      </c>
      <c r="E1821">
        <v>358</v>
      </c>
      <c r="F1821">
        <v>119.33333333333333</v>
      </c>
      <c r="G1821">
        <v>1277</v>
      </c>
    </row>
    <row r="1822" spans="1:7" ht="15" x14ac:dyDescent="0.25">
      <c r="A1822" t="s">
        <v>16162</v>
      </c>
      <c r="B1822">
        <v>1</v>
      </c>
      <c r="C1822">
        <v>234</v>
      </c>
      <c r="D1822">
        <v>234</v>
      </c>
      <c r="E1822">
        <v>14</v>
      </c>
      <c r="F1822">
        <v>14</v>
      </c>
      <c r="G1822">
        <v>234</v>
      </c>
    </row>
    <row r="1823" spans="1:7" ht="15" x14ac:dyDescent="0.25">
      <c r="A1823" t="s">
        <v>16167</v>
      </c>
      <c r="B1823">
        <v>1</v>
      </c>
      <c r="C1823">
        <v>405</v>
      </c>
      <c r="D1823">
        <v>405</v>
      </c>
      <c r="E1823">
        <v>46</v>
      </c>
      <c r="F1823">
        <v>46</v>
      </c>
      <c r="G1823">
        <v>405</v>
      </c>
    </row>
    <row r="1824" spans="1:7" ht="15" x14ac:dyDescent="0.25">
      <c r="A1824" t="s">
        <v>16173</v>
      </c>
      <c r="B1824">
        <v>2</v>
      </c>
      <c r="C1824">
        <v>335</v>
      </c>
      <c r="D1824">
        <v>662</v>
      </c>
      <c r="E1824">
        <v>98</v>
      </c>
      <c r="F1824">
        <v>49</v>
      </c>
      <c r="G1824">
        <v>335</v>
      </c>
    </row>
    <row r="1825" spans="1:7" ht="15" x14ac:dyDescent="0.25">
      <c r="A1825" t="s">
        <v>16179</v>
      </c>
      <c r="B1825">
        <v>1</v>
      </c>
      <c r="C1825">
        <v>837</v>
      </c>
      <c r="D1825">
        <v>837</v>
      </c>
      <c r="E1825">
        <v>32</v>
      </c>
      <c r="F1825">
        <v>32</v>
      </c>
      <c r="G1825">
        <v>837</v>
      </c>
    </row>
    <row r="1826" spans="1:7" ht="15" x14ac:dyDescent="0.25">
      <c r="A1826" t="s">
        <v>16185</v>
      </c>
      <c r="B1826">
        <v>1</v>
      </c>
      <c r="D1826">
        <v>0</v>
      </c>
      <c r="E1826">
        <v>59</v>
      </c>
      <c r="F1826">
        <v>59</v>
      </c>
    </row>
    <row r="1827" spans="1:7" ht="15" x14ac:dyDescent="0.25">
      <c r="A1827" t="s">
        <v>16191</v>
      </c>
      <c r="B1827">
        <v>1</v>
      </c>
      <c r="C1827">
        <v>1445</v>
      </c>
      <c r="D1827">
        <v>1445</v>
      </c>
      <c r="E1827">
        <v>49</v>
      </c>
      <c r="F1827">
        <v>49</v>
      </c>
      <c r="G1827">
        <v>1445</v>
      </c>
    </row>
    <row r="1828" spans="1:7" ht="15" x14ac:dyDescent="0.25">
      <c r="A1828" t="s">
        <v>16199</v>
      </c>
      <c r="B1828">
        <v>1</v>
      </c>
      <c r="C1828">
        <v>2492</v>
      </c>
      <c r="D1828">
        <v>2492</v>
      </c>
      <c r="E1828">
        <v>61</v>
      </c>
      <c r="F1828">
        <v>61</v>
      </c>
      <c r="G1828">
        <v>2492</v>
      </c>
    </row>
    <row r="1829" spans="1:7" ht="15" x14ac:dyDescent="0.25">
      <c r="A1829" t="s">
        <v>16204</v>
      </c>
      <c r="B1829">
        <v>1</v>
      </c>
      <c r="D1829">
        <v>0</v>
      </c>
      <c r="E1829">
        <v>22</v>
      </c>
      <c r="F1829">
        <v>22</v>
      </c>
    </row>
    <row r="1830" spans="1:7" ht="15" x14ac:dyDescent="0.25">
      <c r="A1830" t="s">
        <v>16207</v>
      </c>
      <c r="B1830">
        <v>1</v>
      </c>
      <c r="C1830">
        <v>126</v>
      </c>
      <c r="D1830">
        <v>126</v>
      </c>
      <c r="E1830">
        <v>29</v>
      </c>
      <c r="F1830">
        <v>29</v>
      </c>
      <c r="G1830">
        <v>126</v>
      </c>
    </row>
    <row r="1831" spans="1:7" ht="15" x14ac:dyDescent="0.25">
      <c r="A1831" t="s">
        <v>16214</v>
      </c>
      <c r="B1831">
        <v>1</v>
      </c>
      <c r="C1831">
        <v>450</v>
      </c>
      <c r="D1831">
        <v>450</v>
      </c>
      <c r="E1831">
        <v>25</v>
      </c>
      <c r="F1831">
        <v>25</v>
      </c>
      <c r="G1831">
        <v>450</v>
      </c>
    </row>
    <row r="1832" spans="1:7" ht="15" x14ac:dyDescent="0.25">
      <c r="A1832" t="s">
        <v>16218</v>
      </c>
      <c r="B1832">
        <v>1</v>
      </c>
      <c r="C1832">
        <v>4</v>
      </c>
      <c r="D1832">
        <v>4</v>
      </c>
      <c r="E1832">
        <v>9</v>
      </c>
      <c r="F1832">
        <v>9</v>
      </c>
      <c r="G1832">
        <v>4</v>
      </c>
    </row>
    <row r="1833" spans="1:7" ht="15" x14ac:dyDescent="0.25">
      <c r="A1833" t="s">
        <v>16223</v>
      </c>
      <c r="B1833">
        <v>1</v>
      </c>
      <c r="C1833">
        <v>50</v>
      </c>
      <c r="D1833">
        <v>50</v>
      </c>
      <c r="E1833">
        <v>9</v>
      </c>
      <c r="F1833">
        <v>9</v>
      </c>
      <c r="G1833">
        <v>50</v>
      </c>
    </row>
    <row r="1834" spans="1:7" ht="15" x14ac:dyDescent="0.25">
      <c r="A1834" t="s">
        <v>16228</v>
      </c>
      <c r="B1834">
        <v>1</v>
      </c>
      <c r="C1834">
        <v>177</v>
      </c>
      <c r="D1834">
        <v>177</v>
      </c>
      <c r="E1834">
        <v>10</v>
      </c>
      <c r="F1834">
        <v>10</v>
      </c>
      <c r="G1834">
        <v>177</v>
      </c>
    </row>
    <row r="1835" spans="1:7" ht="15" x14ac:dyDescent="0.25">
      <c r="A1835" t="s">
        <v>16234</v>
      </c>
      <c r="B1835">
        <v>1</v>
      </c>
      <c r="C1835">
        <v>79</v>
      </c>
      <c r="D1835">
        <v>79</v>
      </c>
      <c r="E1835">
        <v>43</v>
      </c>
      <c r="F1835">
        <v>43</v>
      </c>
      <c r="G1835">
        <v>79</v>
      </c>
    </row>
    <row r="1836" spans="1:7" ht="15" x14ac:dyDescent="0.25">
      <c r="A1836" t="s">
        <v>16240</v>
      </c>
      <c r="B1836">
        <v>1</v>
      </c>
      <c r="C1836">
        <v>1779</v>
      </c>
      <c r="D1836">
        <v>1779</v>
      </c>
      <c r="E1836">
        <v>69</v>
      </c>
      <c r="F1836">
        <v>69</v>
      </c>
      <c r="G1836">
        <v>1779</v>
      </c>
    </row>
    <row r="1837" spans="1:7" ht="15" x14ac:dyDescent="0.25">
      <c r="A1837" t="s">
        <v>16264</v>
      </c>
      <c r="B1837">
        <v>1</v>
      </c>
      <c r="C1837">
        <v>3421</v>
      </c>
      <c r="D1837">
        <v>3421</v>
      </c>
      <c r="E1837">
        <v>55</v>
      </c>
      <c r="F1837">
        <v>55</v>
      </c>
      <c r="G1837">
        <v>3421</v>
      </c>
    </row>
    <row r="1838" spans="1:7" ht="15" x14ac:dyDescent="0.25">
      <c r="A1838" t="s">
        <v>16273</v>
      </c>
      <c r="B1838">
        <v>1</v>
      </c>
      <c r="C1838">
        <v>81</v>
      </c>
      <c r="D1838">
        <v>81</v>
      </c>
      <c r="E1838">
        <v>22</v>
      </c>
      <c r="F1838">
        <v>22</v>
      </c>
      <c r="G1838">
        <v>81</v>
      </c>
    </row>
    <row r="1839" spans="1:7" ht="15" x14ac:dyDescent="0.25">
      <c r="A1839" t="s">
        <v>16283</v>
      </c>
      <c r="B1839">
        <v>1</v>
      </c>
      <c r="C1839">
        <v>397</v>
      </c>
      <c r="D1839">
        <v>397</v>
      </c>
      <c r="E1839">
        <v>11</v>
      </c>
      <c r="F1839">
        <v>11</v>
      </c>
      <c r="G1839">
        <v>397</v>
      </c>
    </row>
    <row r="1840" spans="1:7" ht="15" x14ac:dyDescent="0.25">
      <c r="A1840" t="s">
        <v>16287</v>
      </c>
      <c r="B1840">
        <v>1</v>
      </c>
      <c r="C1840">
        <v>312</v>
      </c>
      <c r="D1840">
        <v>312</v>
      </c>
      <c r="E1840">
        <v>69</v>
      </c>
      <c r="F1840">
        <v>69</v>
      </c>
      <c r="G1840">
        <v>312</v>
      </c>
    </row>
    <row r="1841" spans="1:7" ht="15" x14ac:dyDescent="0.25">
      <c r="A1841" t="s">
        <v>16291</v>
      </c>
      <c r="B1841">
        <v>1</v>
      </c>
      <c r="C1841">
        <v>326</v>
      </c>
      <c r="D1841">
        <v>326</v>
      </c>
      <c r="E1841">
        <v>3</v>
      </c>
      <c r="F1841">
        <v>3</v>
      </c>
      <c r="G1841">
        <v>326</v>
      </c>
    </row>
    <row r="1842" spans="1:7" ht="15" x14ac:dyDescent="0.25">
      <c r="A1842" t="s">
        <v>16296</v>
      </c>
      <c r="B1842">
        <v>2</v>
      </c>
      <c r="C1842">
        <v>1788</v>
      </c>
      <c r="D1842">
        <v>3554</v>
      </c>
      <c r="E1842">
        <v>75</v>
      </c>
      <c r="F1842">
        <v>37.5</v>
      </c>
      <c r="G1842">
        <v>1788</v>
      </c>
    </row>
    <row r="1843" spans="1:7" ht="15" x14ac:dyDescent="0.25">
      <c r="A1843" t="s">
        <v>16303</v>
      </c>
      <c r="B1843">
        <v>1</v>
      </c>
      <c r="C1843">
        <v>441</v>
      </c>
      <c r="D1843">
        <v>441</v>
      </c>
      <c r="E1843">
        <v>57</v>
      </c>
      <c r="F1843">
        <v>57</v>
      </c>
      <c r="G1843">
        <v>441</v>
      </c>
    </row>
    <row r="1844" spans="1:7" ht="15" x14ac:dyDescent="0.25">
      <c r="A1844" t="s">
        <v>16314</v>
      </c>
      <c r="B1844">
        <v>1</v>
      </c>
      <c r="C1844">
        <v>107</v>
      </c>
      <c r="D1844">
        <v>107</v>
      </c>
      <c r="E1844">
        <v>31</v>
      </c>
      <c r="F1844">
        <v>31</v>
      </c>
      <c r="G1844">
        <v>107</v>
      </c>
    </row>
    <row r="1845" spans="1:7" ht="15" x14ac:dyDescent="0.25">
      <c r="A1845" t="s">
        <v>16319</v>
      </c>
      <c r="B1845">
        <v>1</v>
      </c>
      <c r="C1845">
        <v>8</v>
      </c>
      <c r="D1845">
        <v>8</v>
      </c>
      <c r="E1845">
        <v>33</v>
      </c>
      <c r="F1845">
        <v>33</v>
      </c>
      <c r="G1845">
        <v>8</v>
      </c>
    </row>
    <row r="1846" spans="1:7" ht="15" x14ac:dyDescent="0.25">
      <c r="A1846" t="s">
        <v>16325</v>
      </c>
      <c r="B1846">
        <v>1</v>
      </c>
      <c r="C1846">
        <v>165</v>
      </c>
      <c r="D1846">
        <v>165</v>
      </c>
      <c r="E1846">
        <v>18</v>
      </c>
      <c r="F1846">
        <v>18</v>
      </c>
      <c r="G1846">
        <v>165</v>
      </c>
    </row>
    <row r="1847" spans="1:7" ht="15" x14ac:dyDescent="0.25">
      <c r="A1847" t="s">
        <v>16331</v>
      </c>
      <c r="B1847">
        <v>1</v>
      </c>
      <c r="C1847">
        <v>10</v>
      </c>
      <c r="D1847">
        <v>10</v>
      </c>
      <c r="E1847">
        <v>14</v>
      </c>
      <c r="F1847">
        <v>14</v>
      </c>
      <c r="G1847">
        <v>10</v>
      </c>
    </row>
    <row r="1848" spans="1:7" ht="15" x14ac:dyDescent="0.25">
      <c r="A1848" t="s">
        <v>16337</v>
      </c>
      <c r="B1848">
        <v>1</v>
      </c>
      <c r="C1848">
        <v>47</v>
      </c>
      <c r="D1848">
        <v>47</v>
      </c>
      <c r="E1848">
        <v>37</v>
      </c>
      <c r="F1848">
        <v>37</v>
      </c>
      <c r="G1848">
        <v>47</v>
      </c>
    </row>
    <row r="1849" spans="1:7" ht="15" x14ac:dyDescent="0.25">
      <c r="A1849" t="s">
        <v>16344</v>
      </c>
      <c r="B1849">
        <v>1</v>
      </c>
      <c r="C1849">
        <v>685</v>
      </c>
      <c r="D1849">
        <v>685</v>
      </c>
      <c r="E1849">
        <v>33</v>
      </c>
      <c r="F1849">
        <v>33</v>
      </c>
      <c r="G1849">
        <v>685</v>
      </c>
    </row>
    <row r="1850" spans="1:7" ht="15" x14ac:dyDescent="0.25">
      <c r="A1850" t="s">
        <v>16349</v>
      </c>
      <c r="B1850">
        <v>1</v>
      </c>
      <c r="C1850">
        <v>436</v>
      </c>
      <c r="D1850">
        <v>436</v>
      </c>
      <c r="E1850">
        <v>11</v>
      </c>
      <c r="F1850">
        <v>11</v>
      </c>
      <c r="G1850">
        <v>436</v>
      </c>
    </row>
    <row r="1851" spans="1:7" ht="15" x14ac:dyDescent="0.25">
      <c r="A1851" t="s">
        <v>16353</v>
      </c>
      <c r="B1851">
        <v>1</v>
      </c>
      <c r="C1851">
        <v>2357</v>
      </c>
      <c r="D1851">
        <v>2357</v>
      </c>
      <c r="E1851">
        <v>55</v>
      </c>
      <c r="F1851">
        <v>55</v>
      </c>
      <c r="G1851">
        <v>2357</v>
      </c>
    </row>
    <row r="1852" spans="1:7" ht="15" x14ac:dyDescent="0.25">
      <c r="A1852" t="s">
        <v>16358</v>
      </c>
      <c r="B1852">
        <v>1</v>
      </c>
      <c r="C1852">
        <v>2140</v>
      </c>
      <c r="D1852">
        <v>2140</v>
      </c>
      <c r="E1852">
        <v>21</v>
      </c>
      <c r="F1852">
        <v>21</v>
      </c>
      <c r="G1852">
        <v>2140</v>
      </c>
    </row>
    <row r="1853" spans="1:7" ht="15" x14ac:dyDescent="0.25">
      <c r="A1853" t="s">
        <v>16366</v>
      </c>
      <c r="B1853">
        <v>1</v>
      </c>
      <c r="C1853">
        <v>25450</v>
      </c>
      <c r="D1853">
        <v>25450</v>
      </c>
      <c r="E1853">
        <v>824</v>
      </c>
      <c r="F1853">
        <v>824</v>
      </c>
      <c r="G1853">
        <v>25450</v>
      </c>
    </row>
    <row r="1854" spans="1:7" ht="15" x14ac:dyDescent="0.25">
      <c r="A1854" t="s">
        <v>16369</v>
      </c>
      <c r="B1854">
        <v>1</v>
      </c>
      <c r="C1854">
        <v>843</v>
      </c>
      <c r="D1854">
        <v>843</v>
      </c>
      <c r="E1854">
        <v>39</v>
      </c>
      <c r="F1854">
        <v>39</v>
      </c>
      <c r="G1854">
        <v>843</v>
      </c>
    </row>
    <row r="1855" spans="1:7" ht="15" x14ac:dyDescent="0.25">
      <c r="A1855" t="s">
        <v>16375</v>
      </c>
      <c r="B1855">
        <v>1</v>
      </c>
      <c r="C1855">
        <v>3255</v>
      </c>
      <c r="D1855">
        <v>3255</v>
      </c>
      <c r="E1855">
        <v>117</v>
      </c>
      <c r="F1855">
        <v>117</v>
      </c>
      <c r="G1855">
        <v>3255</v>
      </c>
    </row>
    <row r="1856" spans="1:7" ht="15" x14ac:dyDescent="0.25">
      <c r="A1856" t="s">
        <v>16384</v>
      </c>
      <c r="B1856">
        <v>1</v>
      </c>
      <c r="C1856">
        <v>13356</v>
      </c>
      <c r="D1856">
        <v>13356</v>
      </c>
      <c r="E1856">
        <v>16</v>
      </c>
      <c r="F1856">
        <v>16</v>
      </c>
      <c r="G1856">
        <v>13356</v>
      </c>
    </row>
    <row r="1857" spans="1:7" ht="15" x14ac:dyDescent="0.25">
      <c r="A1857" t="s">
        <v>16398</v>
      </c>
      <c r="B1857">
        <v>2</v>
      </c>
      <c r="C1857">
        <v>118</v>
      </c>
      <c r="D1857">
        <v>235</v>
      </c>
      <c r="E1857">
        <v>16</v>
      </c>
      <c r="F1857">
        <v>8</v>
      </c>
      <c r="G1857">
        <v>118</v>
      </c>
    </row>
    <row r="1858" spans="1:7" ht="15" x14ac:dyDescent="0.25">
      <c r="A1858" t="s">
        <v>16401</v>
      </c>
      <c r="B1858">
        <v>3</v>
      </c>
      <c r="C1858">
        <v>305</v>
      </c>
      <c r="D1858">
        <v>899</v>
      </c>
      <c r="E1858">
        <v>65</v>
      </c>
      <c r="F1858">
        <v>21.666666666666668</v>
      </c>
      <c r="G1858">
        <v>305</v>
      </c>
    </row>
    <row r="1859" spans="1:7" ht="15" x14ac:dyDescent="0.25">
      <c r="A1859" t="s">
        <v>16408</v>
      </c>
      <c r="B1859">
        <v>1</v>
      </c>
      <c r="C1859">
        <v>362</v>
      </c>
      <c r="D1859">
        <v>362</v>
      </c>
      <c r="E1859">
        <v>23</v>
      </c>
      <c r="F1859">
        <v>23</v>
      </c>
      <c r="G1859">
        <v>362</v>
      </c>
    </row>
    <row r="1860" spans="1:7" ht="15" x14ac:dyDescent="0.25">
      <c r="A1860" t="s">
        <v>16418</v>
      </c>
      <c r="B1860">
        <v>1</v>
      </c>
      <c r="C1860">
        <v>10</v>
      </c>
      <c r="D1860">
        <v>10</v>
      </c>
      <c r="E1860">
        <v>2</v>
      </c>
      <c r="F1860">
        <v>2</v>
      </c>
      <c r="G1860">
        <v>10</v>
      </c>
    </row>
    <row r="1861" spans="1:7" ht="15" x14ac:dyDescent="0.25">
      <c r="A1861" t="s">
        <v>16421</v>
      </c>
      <c r="B1861">
        <v>1</v>
      </c>
      <c r="C1861">
        <v>5618</v>
      </c>
      <c r="D1861">
        <v>5618</v>
      </c>
      <c r="E1861">
        <v>210</v>
      </c>
      <c r="F1861">
        <v>210</v>
      </c>
      <c r="G1861">
        <v>5618</v>
      </c>
    </row>
    <row r="1862" spans="1:7" ht="15" x14ac:dyDescent="0.25">
      <c r="A1862" t="s">
        <v>16440</v>
      </c>
      <c r="B1862">
        <v>1</v>
      </c>
      <c r="C1862">
        <v>1171</v>
      </c>
      <c r="D1862">
        <v>1171</v>
      </c>
      <c r="E1862">
        <v>87</v>
      </c>
      <c r="F1862">
        <v>87</v>
      </c>
      <c r="G1862">
        <v>1171</v>
      </c>
    </row>
    <row r="1863" spans="1:7" ht="15" x14ac:dyDescent="0.25">
      <c r="A1863" t="s">
        <v>16449</v>
      </c>
      <c r="B1863">
        <v>1</v>
      </c>
      <c r="C1863">
        <v>271</v>
      </c>
      <c r="D1863">
        <v>271</v>
      </c>
      <c r="E1863">
        <v>30</v>
      </c>
      <c r="F1863">
        <v>30</v>
      </c>
      <c r="G1863">
        <v>271</v>
      </c>
    </row>
    <row r="1864" spans="1:7" ht="15" x14ac:dyDescent="0.25">
      <c r="A1864" t="s">
        <v>16455</v>
      </c>
      <c r="B1864">
        <v>1</v>
      </c>
      <c r="C1864">
        <v>156</v>
      </c>
      <c r="D1864">
        <v>156</v>
      </c>
      <c r="E1864">
        <v>42</v>
      </c>
      <c r="F1864">
        <v>42</v>
      </c>
      <c r="G1864">
        <v>156</v>
      </c>
    </row>
    <row r="1865" spans="1:7" ht="15" x14ac:dyDescent="0.25">
      <c r="A1865" t="s">
        <v>16459</v>
      </c>
      <c r="B1865">
        <v>1</v>
      </c>
      <c r="C1865">
        <v>70</v>
      </c>
      <c r="D1865">
        <v>70</v>
      </c>
      <c r="E1865">
        <v>15</v>
      </c>
      <c r="F1865">
        <v>15</v>
      </c>
      <c r="G1865">
        <v>70</v>
      </c>
    </row>
    <row r="1866" spans="1:7" ht="15" x14ac:dyDescent="0.25">
      <c r="A1866" t="s">
        <v>16472</v>
      </c>
      <c r="B1866">
        <v>1</v>
      </c>
      <c r="C1866">
        <v>7318</v>
      </c>
      <c r="D1866">
        <v>7318</v>
      </c>
      <c r="E1866">
        <v>381</v>
      </c>
      <c r="F1866">
        <v>381</v>
      </c>
      <c r="G1866">
        <v>7318</v>
      </c>
    </row>
    <row r="1867" spans="1:7" ht="15" x14ac:dyDescent="0.25">
      <c r="A1867" t="s">
        <v>16478</v>
      </c>
      <c r="B1867">
        <v>1</v>
      </c>
      <c r="C1867">
        <v>2138</v>
      </c>
      <c r="D1867">
        <v>2138</v>
      </c>
      <c r="E1867">
        <v>98</v>
      </c>
      <c r="F1867">
        <v>98</v>
      </c>
      <c r="G1867">
        <v>2138</v>
      </c>
    </row>
    <row r="1868" spans="1:7" ht="15" x14ac:dyDescent="0.25">
      <c r="A1868" t="s">
        <v>16484</v>
      </c>
      <c r="B1868">
        <v>1</v>
      </c>
      <c r="C1868">
        <v>90</v>
      </c>
      <c r="D1868">
        <v>90</v>
      </c>
      <c r="E1868">
        <v>20</v>
      </c>
      <c r="F1868">
        <v>20</v>
      </c>
      <c r="G1868">
        <v>90</v>
      </c>
    </row>
    <row r="1869" spans="1:7" ht="15" x14ac:dyDescent="0.25">
      <c r="A1869" t="s">
        <v>16491</v>
      </c>
      <c r="B1869">
        <v>1</v>
      </c>
      <c r="C1869">
        <v>779</v>
      </c>
      <c r="D1869">
        <v>779</v>
      </c>
      <c r="E1869">
        <v>34</v>
      </c>
      <c r="F1869">
        <v>34</v>
      </c>
      <c r="G1869">
        <v>779</v>
      </c>
    </row>
    <row r="1870" spans="1:7" ht="15" x14ac:dyDescent="0.25">
      <c r="A1870" t="s">
        <v>16500</v>
      </c>
      <c r="B1870">
        <v>1</v>
      </c>
      <c r="C1870">
        <v>440</v>
      </c>
      <c r="D1870">
        <v>440</v>
      </c>
      <c r="E1870">
        <v>159</v>
      </c>
      <c r="F1870">
        <v>159</v>
      </c>
      <c r="G1870">
        <v>440</v>
      </c>
    </row>
    <row r="1871" spans="1:7" ht="15" x14ac:dyDescent="0.25">
      <c r="A1871" t="s">
        <v>16510</v>
      </c>
      <c r="B1871">
        <v>1</v>
      </c>
      <c r="C1871">
        <v>847</v>
      </c>
      <c r="D1871">
        <v>847</v>
      </c>
      <c r="E1871">
        <v>173</v>
      </c>
      <c r="F1871">
        <v>173</v>
      </c>
      <c r="G1871">
        <v>847</v>
      </c>
    </row>
    <row r="1872" spans="1:7" ht="15" x14ac:dyDescent="0.25">
      <c r="A1872" t="s">
        <v>16518</v>
      </c>
      <c r="B1872">
        <v>1</v>
      </c>
      <c r="C1872">
        <v>137</v>
      </c>
      <c r="D1872">
        <v>137</v>
      </c>
      <c r="E1872">
        <v>39</v>
      </c>
      <c r="F1872">
        <v>39</v>
      </c>
      <c r="G1872">
        <v>137</v>
      </c>
    </row>
    <row r="1873" spans="1:7" ht="15" x14ac:dyDescent="0.25">
      <c r="A1873" t="s">
        <v>16524</v>
      </c>
      <c r="B1873">
        <v>1</v>
      </c>
      <c r="C1873">
        <v>1147</v>
      </c>
      <c r="D1873">
        <v>1147</v>
      </c>
      <c r="E1873">
        <v>12</v>
      </c>
      <c r="F1873">
        <v>12</v>
      </c>
      <c r="G1873">
        <v>1147</v>
      </c>
    </row>
    <row r="1874" spans="1:7" ht="15" x14ac:dyDescent="0.25">
      <c r="A1874" t="s">
        <v>16528</v>
      </c>
      <c r="B1874">
        <v>1</v>
      </c>
      <c r="C1874">
        <v>192</v>
      </c>
      <c r="D1874">
        <v>192</v>
      </c>
      <c r="E1874">
        <v>13</v>
      </c>
      <c r="F1874">
        <v>13</v>
      </c>
      <c r="G1874">
        <v>192</v>
      </c>
    </row>
    <row r="1875" spans="1:7" ht="15" x14ac:dyDescent="0.25">
      <c r="A1875" t="s">
        <v>16539</v>
      </c>
      <c r="B1875">
        <v>1</v>
      </c>
      <c r="C1875">
        <v>124</v>
      </c>
      <c r="D1875">
        <v>124</v>
      </c>
      <c r="E1875">
        <v>24</v>
      </c>
      <c r="F1875">
        <v>24</v>
      </c>
      <c r="G1875">
        <v>124</v>
      </c>
    </row>
    <row r="1876" spans="1:7" ht="15" x14ac:dyDescent="0.25">
      <c r="A1876" t="s">
        <v>16547</v>
      </c>
      <c r="B1876">
        <v>2</v>
      </c>
      <c r="C1876">
        <v>332</v>
      </c>
      <c r="D1876">
        <v>638</v>
      </c>
      <c r="E1876">
        <v>10</v>
      </c>
      <c r="F1876">
        <v>5</v>
      </c>
      <c r="G1876">
        <v>332</v>
      </c>
    </row>
    <row r="1877" spans="1:7" ht="15" x14ac:dyDescent="0.25">
      <c r="A1877" t="s">
        <v>16562</v>
      </c>
      <c r="B1877">
        <v>1</v>
      </c>
      <c r="C1877">
        <v>715</v>
      </c>
      <c r="D1877">
        <v>715</v>
      </c>
      <c r="E1877">
        <v>51</v>
      </c>
      <c r="F1877">
        <v>51</v>
      </c>
      <c r="G1877">
        <v>715</v>
      </c>
    </row>
    <row r="1878" spans="1:7" ht="15" x14ac:dyDescent="0.25">
      <c r="A1878" t="s">
        <v>16569</v>
      </c>
      <c r="B1878">
        <v>1</v>
      </c>
      <c r="C1878">
        <v>2187</v>
      </c>
      <c r="D1878">
        <v>2187</v>
      </c>
      <c r="E1878">
        <v>163</v>
      </c>
      <c r="F1878">
        <v>163</v>
      </c>
      <c r="G1878">
        <v>2187</v>
      </c>
    </row>
    <row r="1879" spans="1:7" ht="15" x14ac:dyDescent="0.25">
      <c r="A1879" t="s">
        <v>16572</v>
      </c>
      <c r="B1879">
        <v>2</v>
      </c>
      <c r="C1879">
        <v>185</v>
      </c>
      <c r="D1879">
        <v>374</v>
      </c>
      <c r="E1879">
        <v>69</v>
      </c>
      <c r="F1879">
        <v>34.5</v>
      </c>
      <c r="G1879">
        <v>189</v>
      </c>
    </row>
    <row r="1880" spans="1:7" ht="15" x14ac:dyDescent="0.25">
      <c r="A1880" t="s">
        <v>16578</v>
      </c>
      <c r="B1880">
        <v>1</v>
      </c>
      <c r="C1880">
        <v>847</v>
      </c>
      <c r="D1880">
        <v>847</v>
      </c>
      <c r="E1880">
        <v>61</v>
      </c>
      <c r="F1880">
        <v>61</v>
      </c>
      <c r="G1880">
        <v>847</v>
      </c>
    </row>
    <row r="1881" spans="1:7" ht="15" x14ac:dyDescent="0.25">
      <c r="A1881" t="s">
        <v>16585</v>
      </c>
      <c r="B1881">
        <v>1</v>
      </c>
      <c r="C1881">
        <v>1621</v>
      </c>
      <c r="D1881">
        <v>1621</v>
      </c>
      <c r="E1881">
        <v>176</v>
      </c>
      <c r="F1881">
        <v>176</v>
      </c>
      <c r="G1881">
        <v>1621</v>
      </c>
    </row>
    <row r="1882" spans="1:7" ht="15" x14ac:dyDescent="0.25">
      <c r="A1882" t="s">
        <v>16612</v>
      </c>
      <c r="B1882">
        <v>1</v>
      </c>
      <c r="C1882">
        <v>252</v>
      </c>
      <c r="D1882">
        <v>252</v>
      </c>
      <c r="E1882">
        <v>36</v>
      </c>
      <c r="F1882">
        <v>36</v>
      </c>
      <c r="G1882">
        <v>252</v>
      </c>
    </row>
    <row r="1883" spans="1:7" ht="15" x14ac:dyDescent="0.25">
      <c r="A1883" t="s">
        <v>16620</v>
      </c>
      <c r="B1883">
        <v>1</v>
      </c>
      <c r="C1883">
        <v>38</v>
      </c>
      <c r="D1883">
        <v>38</v>
      </c>
      <c r="E1883">
        <v>17</v>
      </c>
      <c r="F1883">
        <v>17</v>
      </c>
      <c r="G1883">
        <v>38</v>
      </c>
    </row>
    <row r="1884" spans="1:7" ht="15" x14ac:dyDescent="0.25">
      <c r="A1884" t="s">
        <v>16626</v>
      </c>
      <c r="B1884">
        <v>1</v>
      </c>
      <c r="C1884">
        <v>295</v>
      </c>
      <c r="D1884">
        <v>295</v>
      </c>
      <c r="E1884">
        <v>50</v>
      </c>
      <c r="F1884">
        <v>50</v>
      </c>
      <c r="G1884">
        <v>295</v>
      </c>
    </row>
    <row r="1885" spans="1:7" ht="15" x14ac:dyDescent="0.25">
      <c r="A1885" t="s">
        <v>16636</v>
      </c>
      <c r="B1885">
        <v>1</v>
      </c>
      <c r="C1885">
        <v>121</v>
      </c>
      <c r="D1885">
        <v>121</v>
      </c>
      <c r="E1885">
        <v>35</v>
      </c>
      <c r="F1885">
        <v>35</v>
      </c>
      <c r="G1885">
        <v>121</v>
      </c>
    </row>
    <row r="1886" spans="1:7" ht="15" x14ac:dyDescent="0.25">
      <c r="A1886" t="s">
        <v>16644</v>
      </c>
      <c r="B1886">
        <v>1</v>
      </c>
      <c r="C1886">
        <v>109</v>
      </c>
      <c r="D1886">
        <v>109</v>
      </c>
      <c r="E1886">
        <v>49</v>
      </c>
      <c r="F1886">
        <v>49</v>
      </c>
      <c r="G1886">
        <v>109</v>
      </c>
    </row>
    <row r="1887" spans="1:7" ht="15" x14ac:dyDescent="0.25">
      <c r="A1887" t="s">
        <v>16649</v>
      </c>
      <c r="B1887">
        <v>1</v>
      </c>
      <c r="C1887">
        <v>87</v>
      </c>
      <c r="D1887">
        <v>87</v>
      </c>
      <c r="E1887">
        <v>22</v>
      </c>
      <c r="F1887">
        <v>22</v>
      </c>
      <c r="G1887">
        <v>87</v>
      </c>
    </row>
    <row r="1888" spans="1:7" ht="15" x14ac:dyDescent="0.25">
      <c r="A1888" t="s">
        <v>16661</v>
      </c>
      <c r="B1888">
        <v>1</v>
      </c>
      <c r="C1888">
        <v>1575</v>
      </c>
      <c r="D1888">
        <v>1575</v>
      </c>
      <c r="E1888">
        <v>247</v>
      </c>
      <c r="F1888">
        <v>247</v>
      </c>
      <c r="G1888">
        <v>1575</v>
      </c>
    </row>
    <row r="1889" spans="1:7" ht="15" x14ac:dyDescent="0.25">
      <c r="A1889" t="s">
        <v>16670</v>
      </c>
      <c r="B1889">
        <v>1</v>
      </c>
      <c r="C1889">
        <v>218</v>
      </c>
      <c r="D1889">
        <v>218</v>
      </c>
      <c r="E1889">
        <v>21</v>
      </c>
      <c r="F1889">
        <v>21</v>
      </c>
      <c r="G1889">
        <v>218</v>
      </c>
    </row>
    <row r="1890" spans="1:7" ht="15" x14ac:dyDescent="0.25">
      <c r="A1890" t="s">
        <v>16677</v>
      </c>
      <c r="B1890">
        <v>1</v>
      </c>
      <c r="C1890">
        <v>368</v>
      </c>
      <c r="D1890">
        <v>368</v>
      </c>
      <c r="E1890">
        <v>12</v>
      </c>
      <c r="F1890">
        <v>12</v>
      </c>
      <c r="G1890">
        <v>368</v>
      </c>
    </row>
    <row r="1891" spans="1:7" ht="15" x14ac:dyDescent="0.25">
      <c r="A1891" t="s">
        <v>16682</v>
      </c>
      <c r="B1891">
        <v>1</v>
      </c>
      <c r="C1891">
        <v>582</v>
      </c>
      <c r="D1891">
        <v>582</v>
      </c>
      <c r="E1891">
        <v>40</v>
      </c>
      <c r="F1891">
        <v>40</v>
      </c>
      <c r="G1891">
        <v>582</v>
      </c>
    </row>
    <row r="1892" spans="1:7" ht="15" x14ac:dyDescent="0.25">
      <c r="A1892" t="s">
        <v>16686</v>
      </c>
      <c r="B1892">
        <v>5</v>
      </c>
      <c r="C1892">
        <v>76</v>
      </c>
      <c r="D1892">
        <v>380</v>
      </c>
      <c r="E1892">
        <v>59</v>
      </c>
      <c r="F1892">
        <v>11.8</v>
      </c>
      <c r="G1892">
        <v>76</v>
      </c>
    </row>
    <row r="1893" spans="1:7" ht="15" x14ac:dyDescent="0.25">
      <c r="A1893" t="s">
        <v>16695</v>
      </c>
      <c r="B1893">
        <v>1</v>
      </c>
      <c r="C1893">
        <v>51</v>
      </c>
      <c r="D1893">
        <v>51</v>
      </c>
      <c r="E1893">
        <v>11</v>
      </c>
      <c r="F1893">
        <v>11</v>
      </c>
      <c r="G1893">
        <v>51</v>
      </c>
    </row>
    <row r="1894" spans="1:7" ht="15" x14ac:dyDescent="0.25">
      <c r="A1894" t="s">
        <v>16702</v>
      </c>
      <c r="B1894">
        <v>1</v>
      </c>
      <c r="C1894">
        <v>534</v>
      </c>
      <c r="D1894">
        <v>534</v>
      </c>
      <c r="E1894">
        <v>20</v>
      </c>
      <c r="F1894">
        <v>20</v>
      </c>
      <c r="G1894">
        <v>534</v>
      </c>
    </row>
    <row r="1895" spans="1:7" ht="15" x14ac:dyDescent="0.25">
      <c r="A1895" t="s">
        <v>16706</v>
      </c>
      <c r="B1895">
        <v>2</v>
      </c>
      <c r="C1895">
        <v>637</v>
      </c>
      <c r="D1895">
        <v>1261</v>
      </c>
      <c r="E1895">
        <v>85</v>
      </c>
      <c r="F1895">
        <v>42.5</v>
      </c>
      <c r="G1895">
        <v>637</v>
      </c>
    </row>
    <row r="1896" spans="1:7" ht="15" x14ac:dyDescent="0.25">
      <c r="A1896" t="s">
        <v>16718</v>
      </c>
      <c r="B1896">
        <v>1</v>
      </c>
      <c r="C1896">
        <v>514</v>
      </c>
      <c r="D1896">
        <v>514</v>
      </c>
      <c r="E1896">
        <v>30</v>
      </c>
      <c r="F1896">
        <v>30</v>
      </c>
      <c r="G1896">
        <v>514</v>
      </c>
    </row>
    <row r="1897" spans="1:7" ht="15" x14ac:dyDescent="0.25">
      <c r="A1897" t="s">
        <v>16730</v>
      </c>
      <c r="B1897">
        <v>1</v>
      </c>
      <c r="C1897">
        <v>1233</v>
      </c>
      <c r="D1897">
        <v>1233</v>
      </c>
      <c r="E1897">
        <v>78</v>
      </c>
      <c r="F1897">
        <v>78</v>
      </c>
      <c r="G1897">
        <v>1233</v>
      </c>
    </row>
    <row r="1898" spans="1:7" ht="15" x14ac:dyDescent="0.25">
      <c r="A1898" t="s">
        <v>16733</v>
      </c>
      <c r="B1898">
        <v>1</v>
      </c>
      <c r="C1898">
        <v>1113</v>
      </c>
      <c r="D1898">
        <v>1113</v>
      </c>
      <c r="E1898">
        <v>115</v>
      </c>
      <c r="F1898">
        <v>115</v>
      </c>
      <c r="G1898">
        <v>1113</v>
      </c>
    </row>
    <row r="1899" spans="1:7" ht="15" x14ac:dyDescent="0.25">
      <c r="A1899" t="s">
        <v>16738</v>
      </c>
      <c r="B1899">
        <v>1</v>
      </c>
      <c r="C1899">
        <v>277</v>
      </c>
      <c r="D1899">
        <v>277</v>
      </c>
      <c r="E1899">
        <v>8</v>
      </c>
      <c r="F1899">
        <v>8</v>
      </c>
      <c r="G1899">
        <v>277</v>
      </c>
    </row>
    <row r="1900" spans="1:7" ht="15" x14ac:dyDescent="0.25">
      <c r="A1900" t="s">
        <v>16744</v>
      </c>
      <c r="B1900">
        <v>1</v>
      </c>
      <c r="C1900">
        <v>669</v>
      </c>
      <c r="D1900">
        <v>669</v>
      </c>
      <c r="E1900">
        <v>188</v>
      </c>
      <c r="F1900">
        <v>188</v>
      </c>
      <c r="G1900">
        <v>669</v>
      </c>
    </row>
    <row r="1901" spans="1:7" ht="15" x14ac:dyDescent="0.25">
      <c r="A1901" t="s">
        <v>16751</v>
      </c>
      <c r="B1901">
        <v>1</v>
      </c>
      <c r="C1901">
        <v>23</v>
      </c>
      <c r="D1901">
        <v>23</v>
      </c>
      <c r="E1901">
        <v>8</v>
      </c>
      <c r="F1901">
        <v>8</v>
      </c>
      <c r="G1901">
        <v>23</v>
      </c>
    </row>
    <row r="1902" spans="1:7" ht="15" x14ac:dyDescent="0.25">
      <c r="A1902" t="s">
        <v>16757</v>
      </c>
      <c r="B1902">
        <v>1</v>
      </c>
      <c r="C1902">
        <v>333</v>
      </c>
      <c r="D1902">
        <v>333</v>
      </c>
      <c r="E1902">
        <v>11</v>
      </c>
      <c r="F1902">
        <v>11</v>
      </c>
      <c r="G1902">
        <v>333</v>
      </c>
    </row>
    <row r="1903" spans="1:7" ht="15" x14ac:dyDescent="0.25">
      <c r="A1903" t="s">
        <v>16762</v>
      </c>
      <c r="B1903">
        <v>1</v>
      </c>
      <c r="C1903">
        <v>174</v>
      </c>
      <c r="D1903">
        <v>174</v>
      </c>
      <c r="E1903">
        <v>17</v>
      </c>
      <c r="F1903">
        <v>17</v>
      </c>
      <c r="G1903">
        <v>174</v>
      </c>
    </row>
    <row r="1904" spans="1:7" ht="15" x14ac:dyDescent="0.25">
      <c r="A1904" t="s">
        <v>16767</v>
      </c>
      <c r="B1904">
        <v>1</v>
      </c>
      <c r="C1904">
        <v>582</v>
      </c>
      <c r="D1904">
        <v>582</v>
      </c>
      <c r="E1904">
        <v>58</v>
      </c>
      <c r="F1904">
        <v>58</v>
      </c>
      <c r="G1904">
        <v>582</v>
      </c>
    </row>
    <row r="1905" spans="1:7" ht="15" x14ac:dyDescent="0.25">
      <c r="A1905" t="s">
        <v>16774</v>
      </c>
      <c r="B1905">
        <v>1</v>
      </c>
      <c r="C1905">
        <v>126</v>
      </c>
      <c r="D1905">
        <v>126</v>
      </c>
      <c r="E1905">
        <v>14</v>
      </c>
      <c r="F1905">
        <v>14</v>
      </c>
      <c r="G1905">
        <v>126</v>
      </c>
    </row>
    <row r="1906" spans="1:7" ht="15" x14ac:dyDescent="0.25">
      <c r="A1906" t="s">
        <v>16785</v>
      </c>
      <c r="B1906">
        <v>1</v>
      </c>
      <c r="C1906">
        <v>328</v>
      </c>
      <c r="D1906">
        <v>328</v>
      </c>
      <c r="E1906">
        <v>10</v>
      </c>
      <c r="F1906">
        <v>10</v>
      </c>
      <c r="G1906">
        <v>328</v>
      </c>
    </row>
    <row r="1907" spans="1:7" ht="15" x14ac:dyDescent="0.25">
      <c r="A1907" t="s">
        <v>16790</v>
      </c>
      <c r="B1907">
        <v>1</v>
      </c>
      <c r="C1907">
        <v>186</v>
      </c>
      <c r="D1907">
        <v>186</v>
      </c>
      <c r="E1907">
        <v>3</v>
      </c>
      <c r="F1907">
        <v>3</v>
      </c>
      <c r="G1907">
        <v>186</v>
      </c>
    </row>
    <row r="1908" spans="1:7" ht="15" x14ac:dyDescent="0.25">
      <c r="A1908" t="s">
        <v>16799</v>
      </c>
      <c r="B1908">
        <v>1</v>
      </c>
      <c r="C1908">
        <v>552</v>
      </c>
      <c r="D1908">
        <v>552</v>
      </c>
      <c r="E1908">
        <v>43</v>
      </c>
      <c r="F1908">
        <v>43</v>
      </c>
      <c r="G1908">
        <v>552</v>
      </c>
    </row>
    <row r="1909" spans="1:7" ht="15" x14ac:dyDescent="0.25">
      <c r="A1909" t="s">
        <v>16806</v>
      </c>
      <c r="B1909">
        <v>1</v>
      </c>
      <c r="C1909">
        <v>596</v>
      </c>
      <c r="D1909">
        <v>596</v>
      </c>
      <c r="E1909">
        <v>19</v>
      </c>
      <c r="F1909">
        <v>19</v>
      </c>
      <c r="G1909">
        <v>596</v>
      </c>
    </row>
    <row r="1910" spans="1:7" ht="15" x14ac:dyDescent="0.25">
      <c r="A1910" t="s">
        <v>16810</v>
      </c>
      <c r="B1910">
        <v>1</v>
      </c>
      <c r="C1910">
        <v>64</v>
      </c>
      <c r="D1910">
        <v>64</v>
      </c>
      <c r="E1910">
        <v>20</v>
      </c>
      <c r="F1910">
        <v>20</v>
      </c>
      <c r="G1910">
        <v>64</v>
      </c>
    </row>
    <row r="1911" spans="1:7" ht="15" x14ac:dyDescent="0.25">
      <c r="A1911" t="s">
        <v>16816</v>
      </c>
      <c r="B1911">
        <v>1</v>
      </c>
      <c r="C1911">
        <v>7418</v>
      </c>
      <c r="D1911">
        <v>7418</v>
      </c>
      <c r="E1911">
        <v>340</v>
      </c>
      <c r="F1911">
        <v>340</v>
      </c>
      <c r="G1911">
        <v>7418</v>
      </c>
    </row>
    <row r="1912" spans="1:7" ht="15" x14ac:dyDescent="0.25">
      <c r="A1912" t="s">
        <v>16837</v>
      </c>
      <c r="B1912">
        <v>1</v>
      </c>
      <c r="C1912">
        <v>1046</v>
      </c>
      <c r="D1912">
        <v>1046</v>
      </c>
      <c r="E1912">
        <v>35</v>
      </c>
      <c r="F1912">
        <v>35</v>
      </c>
      <c r="G1912">
        <v>1046</v>
      </c>
    </row>
    <row r="1913" spans="1:7" ht="15" x14ac:dyDescent="0.25">
      <c r="A1913" t="s">
        <v>16843</v>
      </c>
      <c r="B1913">
        <v>1</v>
      </c>
      <c r="C1913">
        <v>108</v>
      </c>
      <c r="D1913">
        <v>108</v>
      </c>
      <c r="E1913">
        <v>4</v>
      </c>
      <c r="F1913">
        <v>4</v>
      </c>
      <c r="G1913">
        <v>108</v>
      </c>
    </row>
    <row r="1914" spans="1:7" ht="15" x14ac:dyDescent="0.25">
      <c r="A1914" t="s">
        <v>16851</v>
      </c>
      <c r="B1914">
        <v>1</v>
      </c>
      <c r="C1914">
        <v>671</v>
      </c>
      <c r="D1914">
        <v>671</v>
      </c>
      <c r="E1914">
        <v>50</v>
      </c>
      <c r="F1914">
        <v>50</v>
      </c>
      <c r="G1914">
        <v>671</v>
      </c>
    </row>
    <row r="1915" spans="1:7" ht="15" x14ac:dyDescent="0.25">
      <c r="A1915" t="s">
        <v>16856</v>
      </c>
      <c r="B1915">
        <v>1</v>
      </c>
      <c r="C1915">
        <v>240</v>
      </c>
      <c r="D1915">
        <v>240</v>
      </c>
      <c r="E1915">
        <v>61</v>
      </c>
      <c r="F1915">
        <v>61</v>
      </c>
      <c r="G1915">
        <v>240</v>
      </c>
    </row>
    <row r="1916" spans="1:7" ht="15" x14ac:dyDescent="0.25">
      <c r="A1916" t="s">
        <v>16863</v>
      </c>
      <c r="B1916">
        <v>1</v>
      </c>
      <c r="C1916">
        <v>111</v>
      </c>
      <c r="D1916">
        <v>111</v>
      </c>
      <c r="E1916">
        <v>38</v>
      </c>
      <c r="F1916">
        <v>38</v>
      </c>
      <c r="G1916">
        <v>111</v>
      </c>
    </row>
    <row r="1917" spans="1:7" ht="15" x14ac:dyDescent="0.25">
      <c r="A1917" t="s">
        <v>16870</v>
      </c>
      <c r="B1917">
        <v>1</v>
      </c>
      <c r="C1917">
        <v>497</v>
      </c>
      <c r="D1917">
        <v>497</v>
      </c>
      <c r="E1917">
        <v>40</v>
      </c>
      <c r="F1917">
        <v>40</v>
      </c>
      <c r="G1917">
        <v>497</v>
      </c>
    </row>
    <row r="1918" spans="1:7" ht="15" x14ac:dyDescent="0.25">
      <c r="A1918" t="s">
        <v>16877</v>
      </c>
      <c r="B1918">
        <v>1</v>
      </c>
      <c r="C1918">
        <v>193</v>
      </c>
      <c r="D1918">
        <v>193</v>
      </c>
      <c r="E1918">
        <v>24</v>
      </c>
      <c r="F1918">
        <v>24</v>
      </c>
      <c r="G1918">
        <v>193</v>
      </c>
    </row>
    <row r="1919" spans="1:7" ht="15" x14ac:dyDescent="0.25">
      <c r="A1919" t="s">
        <v>16882</v>
      </c>
      <c r="B1919">
        <v>1</v>
      </c>
      <c r="C1919">
        <v>274</v>
      </c>
      <c r="D1919">
        <v>274</v>
      </c>
      <c r="E1919">
        <v>13</v>
      </c>
      <c r="F1919">
        <v>13</v>
      </c>
      <c r="G1919">
        <v>274</v>
      </c>
    </row>
    <row r="1920" spans="1:7" ht="15" x14ac:dyDescent="0.25">
      <c r="A1920" t="s">
        <v>16890</v>
      </c>
      <c r="B1920">
        <v>1</v>
      </c>
      <c r="C1920">
        <v>333</v>
      </c>
      <c r="D1920">
        <v>333</v>
      </c>
      <c r="E1920">
        <v>63</v>
      </c>
      <c r="F1920">
        <v>63</v>
      </c>
      <c r="G1920">
        <v>333</v>
      </c>
    </row>
    <row r="1921" spans="1:7" ht="15" x14ac:dyDescent="0.25">
      <c r="A1921" t="s">
        <v>16897</v>
      </c>
      <c r="B1921">
        <v>1</v>
      </c>
      <c r="C1921">
        <v>898</v>
      </c>
      <c r="D1921">
        <v>898</v>
      </c>
      <c r="E1921">
        <v>138</v>
      </c>
      <c r="F1921">
        <v>138</v>
      </c>
      <c r="G1921">
        <v>898</v>
      </c>
    </row>
    <row r="1922" spans="1:7" ht="15" x14ac:dyDescent="0.25">
      <c r="A1922" t="s">
        <v>16903</v>
      </c>
      <c r="B1922">
        <v>1</v>
      </c>
      <c r="C1922">
        <v>376</v>
      </c>
      <c r="D1922">
        <v>376</v>
      </c>
      <c r="E1922">
        <v>13</v>
      </c>
      <c r="F1922">
        <v>13</v>
      </c>
      <c r="G1922">
        <v>376</v>
      </c>
    </row>
    <row r="1923" spans="1:7" ht="15" x14ac:dyDescent="0.25">
      <c r="A1923" t="s">
        <v>16910</v>
      </c>
      <c r="B1923">
        <v>1</v>
      </c>
      <c r="C1923">
        <v>135</v>
      </c>
      <c r="D1923">
        <v>135</v>
      </c>
      <c r="E1923">
        <v>58</v>
      </c>
      <c r="F1923">
        <v>58</v>
      </c>
      <c r="G1923">
        <v>135</v>
      </c>
    </row>
    <row r="1924" spans="1:7" ht="15" x14ac:dyDescent="0.25">
      <c r="A1924" t="s">
        <v>16924</v>
      </c>
      <c r="B1924">
        <v>1</v>
      </c>
      <c r="C1924">
        <v>369</v>
      </c>
      <c r="D1924">
        <v>369</v>
      </c>
      <c r="E1924">
        <v>106</v>
      </c>
      <c r="F1924">
        <v>106</v>
      </c>
      <c r="G1924">
        <v>369</v>
      </c>
    </row>
    <row r="1925" spans="1:7" ht="15" x14ac:dyDescent="0.25">
      <c r="A1925" t="s">
        <v>16930</v>
      </c>
      <c r="B1925">
        <v>1</v>
      </c>
      <c r="C1925">
        <v>468</v>
      </c>
      <c r="D1925">
        <v>468</v>
      </c>
      <c r="E1925">
        <v>21</v>
      </c>
      <c r="F1925">
        <v>21</v>
      </c>
      <c r="G1925">
        <v>468</v>
      </c>
    </row>
    <row r="1926" spans="1:7" ht="15" x14ac:dyDescent="0.25">
      <c r="A1926" t="s">
        <v>16942</v>
      </c>
      <c r="B1926">
        <v>1</v>
      </c>
      <c r="C1926">
        <v>295</v>
      </c>
      <c r="D1926">
        <v>295</v>
      </c>
      <c r="E1926">
        <v>59</v>
      </c>
      <c r="F1926">
        <v>59</v>
      </c>
      <c r="G1926">
        <v>295</v>
      </c>
    </row>
    <row r="1927" spans="1:7" ht="15" x14ac:dyDescent="0.25">
      <c r="A1927" t="s">
        <v>16955</v>
      </c>
      <c r="B1927">
        <v>1</v>
      </c>
      <c r="C1927">
        <v>653</v>
      </c>
      <c r="D1927">
        <v>653</v>
      </c>
      <c r="E1927">
        <v>39</v>
      </c>
      <c r="F1927">
        <v>39</v>
      </c>
      <c r="G1927">
        <v>653</v>
      </c>
    </row>
    <row r="1928" spans="1:7" ht="15" x14ac:dyDescent="0.25">
      <c r="A1928" t="s">
        <v>16960</v>
      </c>
      <c r="B1928">
        <v>1</v>
      </c>
      <c r="C1928">
        <v>483</v>
      </c>
      <c r="D1928">
        <v>483</v>
      </c>
      <c r="E1928">
        <v>42</v>
      </c>
      <c r="F1928">
        <v>42</v>
      </c>
      <c r="G1928">
        <v>483</v>
      </c>
    </row>
    <row r="1929" spans="1:7" ht="15" x14ac:dyDescent="0.25">
      <c r="A1929" t="s">
        <v>16964</v>
      </c>
      <c r="B1929">
        <v>1</v>
      </c>
      <c r="C1929">
        <v>834</v>
      </c>
      <c r="D1929">
        <v>834</v>
      </c>
      <c r="E1929">
        <v>31</v>
      </c>
      <c r="F1929">
        <v>31</v>
      </c>
      <c r="G1929">
        <v>834</v>
      </c>
    </row>
    <row r="1930" spans="1:7" ht="15" x14ac:dyDescent="0.25">
      <c r="A1930" t="s">
        <v>16968</v>
      </c>
      <c r="B1930">
        <v>1</v>
      </c>
      <c r="C1930">
        <v>131</v>
      </c>
      <c r="D1930">
        <v>131</v>
      </c>
      <c r="E1930">
        <v>21</v>
      </c>
      <c r="F1930">
        <v>21</v>
      </c>
      <c r="G1930">
        <v>131</v>
      </c>
    </row>
    <row r="1931" spans="1:7" ht="15" x14ac:dyDescent="0.25">
      <c r="A1931" t="s">
        <v>16971</v>
      </c>
      <c r="B1931">
        <v>1</v>
      </c>
      <c r="C1931">
        <v>137</v>
      </c>
      <c r="D1931">
        <v>137</v>
      </c>
      <c r="E1931">
        <v>21</v>
      </c>
      <c r="F1931">
        <v>21</v>
      </c>
      <c r="G1931">
        <v>137</v>
      </c>
    </row>
    <row r="1932" spans="1:7" ht="15" x14ac:dyDescent="0.25">
      <c r="A1932" t="s">
        <v>16980</v>
      </c>
      <c r="B1932">
        <v>3</v>
      </c>
      <c r="C1932">
        <v>101</v>
      </c>
      <c r="D1932">
        <v>267</v>
      </c>
      <c r="E1932">
        <v>146</v>
      </c>
      <c r="F1932">
        <v>48.666666666666664</v>
      </c>
      <c r="G1932">
        <v>101</v>
      </c>
    </row>
    <row r="1933" spans="1:7" ht="15" x14ac:dyDescent="0.25">
      <c r="A1933" t="s">
        <v>16992</v>
      </c>
      <c r="B1933">
        <v>4</v>
      </c>
      <c r="C1933">
        <v>44</v>
      </c>
      <c r="D1933">
        <v>135</v>
      </c>
      <c r="E1933">
        <v>43</v>
      </c>
      <c r="F1933">
        <v>10.75</v>
      </c>
      <c r="G1933">
        <v>44</v>
      </c>
    </row>
    <row r="1934" spans="1:7" ht="15" x14ac:dyDescent="0.25">
      <c r="A1934" t="s">
        <v>17003</v>
      </c>
      <c r="B1934">
        <v>1</v>
      </c>
      <c r="C1934">
        <v>176</v>
      </c>
      <c r="D1934">
        <v>176</v>
      </c>
      <c r="E1934">
        <v>26</v>
      </c>
      <c r="F1934">
        <v>26</v>
      </c>
      <c r="G1934">
        <v>176</v>
      </c>
    </row>
    <row r="1935" spans="1:7" ht="15" x14ac:dyDescent="0.25">
      <c r="A1935" t="s">
        <v>17011</v>
      </c>
      <c r="B1935">
        <v>1</v>
      </c>
      <c r="C1935">
        <v>10342</v>
      </c>
      <c r="D1935">
        <v>10342</v>
      </c>
      <c r="E1935">
        <v>804</v>
      </c>
      <c r="F1935">
        <v>804</v>
      </c>
      <c r="G1935">
        <v>10342</v>
      </c>
    </row>
    <row r="1936" spans="1:7" ht="15" x14ac:dyDescent="0.25">
      <c r="A1936" t="s">
        <v>17017</v>
      </c>
      <c r="B1936">
        <v>1</v>
      </c>
      <c r="C1936">
        <v>1084</v>
      </c>
      <c r="D1936">
        <v>1084</v>
      </c>
      <c r="E1936">
        <v>38</v>
      </c>
      <c r="F1936">
        <v>38</v>
      </c>
      <c r="G1936">
        <v>1084</v>
      </c>
    </row>
    <row r="1937" spans="1:7" ht="15" x14ac:dyDescent="0.25">
      <c r="A1937" t="s">
        <v>17024</v>
      </c>
      <c r="B1937">
        <v>1</v>
      </c>
      <c r="C1937">
        <v>6480</v>
      </c>
      <c r="D1937">
        <v>6480</v>
      </c>
      <c r="E1937">
        <v>433</v>
      </c>
      <c r="F1937">
        <v>433</v>
      </c>
      <c r="G1937">
        <v>6480</v>
      </c>
    </row>
    <row r="1938" spans="1:7" ht="15" x14ac:dyDescent="0.25">
      <c r="A1938" t="s">
        <v>17029</v>
      </c>
      <c r="B1938">
        <v>1</v>
      </c>
      <c r="C1938">
        <v>743</v>
      </c>
      <c r="D1938">
        <v>743</v>
      </c>
      <c r="E1938">
        <v>76</v>
      </c>
      <c r="F1938">
        <v>76</v>
      </c>
      <c r="G1938">
        <v>743</v>
      </c>
    </row>
    <row r="1939" spans="1:7" ht="15" x14ac:dyDescent="0.25">
      <c r="A1939" t="s">
        <v>17038</v>
      </c>
      <c r="B1939">
        <v>1</v>
      </c>
      <c r="C1939">
        <v>608</v>
      </c>
      <c r="D1939">
        <v>608</v>
      </c>
      <c r="E1939">
        <v>46</v>
      </c>
      <c r="F1939">
        <v>46</v>
      </c>
      <c r="G1939">
        <v>608</v>
      </c>
    </row>
    <row r="1940" spans="1:7" ht="15" x14ac:dyDescent="0.25">
      <c r="A1940" t="s">
        <v>17048</v>
      </c>
      <c r="B1940">
        <v>1</v>
      </c>
      <c r="C1940">
        <v>429</v>
      </c>
      <c r="D1940">
        <v>429</v>
      </c>
      <c r="E1940">
        <v>13</v>
      </c>
      <c r="F1940">
        <v>13</v>
      </c>
      <c r="G1940">
        <v>429</v>
      </c>
    </row>
    <row r="1941" spans="1:7" ht="15" x14ac:dyDescent="0.25">
      <c r="A1941" t="s">
        <v>17056</v>
      </c>
      <c r="B1941">
        <v>1</v>
      </c>
      <c r="C1941">
        <v>288</v>
      </c>
      <c r="D1941">
        <v>288</v>
      </c>
      <c r="E1941">
        <v>95</v>
      </c>
      <c r="F1941">
        <v>95</v>
      </c>
      <c r="G1941">
        <v>288</v>
      </c>
    </row>
    <row r="1942" spans="1:7" ht="15" x14ac:dyDescent="0.25">
      <c r="A1942" t="s">
        <v>17068</v>
      </c>
      <c r="B1942">
        <v>1</v>
      </c>
      <c r="C1942">
        <v>271</v>
      </c>
      <c r="D1942">
        <v>271</v>
      </c>
      <c r="E1942">
        <v>24</v>
      </c>
      <c r="F1942">
        <v>24</v>
      </c>
      <c r="G1942">
        <v>271</v>
      </c>
    </row>
    <row r="1943" spans="1:7" ht="15" x14ac:dyDescent="0.25">
      <c r="A1943" t="s">
        <v>17072</v>
      </c>
      <c r="B1943">
        <v>1</v>
      </c>
      <c r="C1943">
        <v>80</v>
      </c>
      <c r="D1943">
        <v>80</v>
      </c>
      <c r="E1943">
        <v>85</v>
      </c>
      <c r="F1943">
        <v>85</v>
      </c>
      <c r="G1943">
        <v>80</v>
      </c>
    </row>
    <row r="1944" spans="1:7" ht="15" x14ac:dyDescent="0.25">
      <c r="A1944" t="s">
        <v>17078</v>
      </c>
      <c r="B1944">
        <v>1</v>
      </c>
      <c r="C1944">
        <v>277</v>
      </c>
      <c r="D1944">
        <v>277</v>
      </c>
      <c r="E1944">
        <v>42</v>
      </c>
      <c r="F1944">
        <v>42</v>
      </c>
      <c r="G1944">
        <v>277</v>
      </c>
    </row>
    <row r="1945" spans="1:7" ht="15" x14ac:dyDescent="0.25">
      <c r="A1945" t="s">
        <v>17083</v>
      </c>
      <c r="B1945">
        <v>1</v>
      </c>
      <c r="C1945">
        <v>210</v>
      </c>
      <c r="D1945">
        <v>210</v>
      </c>
      <c r="E1945">
        <v>22</v>
      </c>
      <c r="F1945">
        <v>22</v>
      </c>
      <c r="G1945">
        <v>210</v>
      </c>
    </row>
    <row r="1946" spans="1:7" ht="15" x14ac:dyDescent="0.25">
      <c r="A1946" t="s">
        <v>17086</v>
      </c>
      <c r="B1946">
        <v>7</v>
      </c>
      <c r="C1946">
        <v>65</v>
      </c>
      <c r="D1946">
        <v>419</v>
      </c>
      <c r="E1946">
        <v>148</v>
      </c>
      <c r="F1946">
        <v>21.142857142857142</v>
      </c>
      <c r="G1946">
        <v>65</v>
      </c>
    </row>
    <row r="1947" spans="1:7" ht="15" x14ac:dyDescent="0.25">
      <c r="A1947" t="s">
        <v>17092</v>
      </c>
      <c r="B1947">
        <v>1</v>
      </c>
      <c r="C1947">
        <v>526</v>
      </c>
      <c r="D1947">
        <v>526</v>
      </c>
      <c r="E1947">
        <v>52</v>
      </c>
      <c r="F1947">
        <v>52</v>
      </c>
      <c r="G1947">
        <v>526</v>
      </c>
    </row>
    <row r="1948" spans="1:7" ht="15" x14ac:dyDescent="0.25">
      <c r="A1948" t="s">
        <v>17112</v>
      </c>
      <c r="B1948">
        <v>1</v>
      </c>
      <c r="C1948">
        <v>1288</v>
      </c>
      <c r="D1948">
        <v>1288</v>
      </c>
      <c r="E1948">
        <v>80</v>
      </c>
      <c r="F1948">
        <v>80</v>
      </c>
      <c r="G1948">
        <v>1288</v>
      </c>
    </row>
    <row r="1949" spans="1:7" ht="15" x14ac:dyDescent="0.25">
      <c r="A1949" t="s">
        <v>17118</v>
      </c>
      <c r="B1949">
        <v>1</v>
      </c>
      <c r="C1949">
        <v>1</v>
      </c>
      <c r="D1949">
        <v>1</v>
      </c>
      <c r="E1949">
        <v>2</v>
      </c>
      <c r="F1949">
        <v>2</v>
      </c>
      <c r="G1949">
        <v>1</v>
      </c>
    </row>
    <row r="1950" spans="1:7" ht="15" x14ac:dyDescent="0.25">
      <c r="A1950" t="s">
        <v>17123</v>
      </c>
      <c r="B1950">
        <v>1</v>
      </c>
      <c r="C1950">
        <v>921</v>
      </c>
      <c r="D1950">
        <v>921</v>
      </c>
      <c r="E1950">
        <v>54</v>
      </c>
      <c r="F1950">
        <v>54</v>
      </c>
      <c r="G1950">
        <v>921</v>
      </c>
    </row>
    <row r="1951" spans="1:7" ht="15" x14ac:dyDescent="0.25">
      <c r="A1951" t="s">
        <v>17127</v>
      </c>
      <c r="B1951">
        <v>1</v>
      </c>
      <c r="C1951">
        <v>91</v>
      </c>
      <c r="D1951">
        <v>91</v>
      </c>
      <c r="E1951">
        <v>13</v>
      </c>
      <c r="F1951">
        <v>13</v>
      </c>
      <c r="G1951">
        <v>91</v>
      </c>
    </row>
    <row r="1952" spans="1:7" ht="15" x14ac:dyDescent="0.25">
      <c r="A1952" t="s">
        <v>17133</v>
      </c>
      <c r="B1952">
        <v>1</v>
      </c>
      <c r="C1952">
        <v>1729</v>
      </c>
      <c r="D1952">
        <v>1729</v>
      </c>
      <c r="E1952">
        <v>10</v>
      </c>
      <c r="F1952">
        <v>10</v>
      </c>
      <c r="G1952">
        <v>1729</v>
      </c>
    </row>
    <row r="1953" spans="1:7" ht="15" x14ac:dyDescent="0.25">
      <c r="A1953" t="s">
        <v>17135</v>
      </c>
      <c r="B1953">
        <v>1</v>
      </c>
      <c r="C1953">
        <v>941</v>
      </c>
      <c r="D1953">
        <v>941</v>
      </c>
      <c r="E1953">
        <v>139</v>
      </c>
      <c r="F1953">
        <v>139</v>
      </c>
      <c r="G1953">
        <v>941</v>
      </c>
    </row>
    <row r="1954" spans="1:7" ht="15" x14ac:dyDescent="0.25">
      <c r="A1954" t="s">
        <v>17142</v>
      </c>
      <c r="B1954">
        <v>1</v>
      </c>
      <c r="C1954">
        <v>87</v>
      </c>
      <c r="D1954">
        <v>87</v>
      </c>
      <c r="E1954">
        <v>34</v>
      </c>
      <c r="F1954">
        <v>34</v>
      </c>
      <c r="G1954">
        <v>87</v>
      </c>
    </row>
    <row r="1955" spans="1:7" ht="15" x14ac:dyDescent="0.25">
      <c r="A1955" t="s">
        <v>17147</v>
      </c>
      <c r="B1955">
        <v>1</v>
      </c>
      <c r="C1955">
        <v>528</v>
      </c>
      <c r="D1955">
        <v>528</v>
      </c>
      <c r="E1955">
        <v>40</v>
      </c>
      <c r="F1955">
        <v>40</v>
      </c>
      <c r="G1955">
        <v>528</v>
      </c>
    </row>
    <row r="1956" spans="1:7" ht="15" x14ac:dyDescent="0.25">
      <c r="A1956" t="s">
        <v>17151</v>
      </c>
      <c r="B1956">
        <v>1</v>
      </c>
      <c r="C1956">
        <v>63</v>
      </c>
      <c r="D1956">
        <v>63</v>
      </c>
      <c r="E1956">
        <v>6</v>
      </c>
      <c r="F1956">
        <v>6</v>
      </c>
      <c r="G1956">
        <v>63</v>
      </c>
    </row>
    <row r="1957" spans="1:7" ht="15" x14ac:dyDescent="0.25">
      <c r="A1957" t="s">
        <v>17155</v>
      </c>
      <c r="B1957">
        <v>1</v>
      </c>
      <c r="C1957">
        <v>67</v>
      </c>
      <c r="D1957">
        <v>67</v>
      </c>
      <c r="E1957">
        <v>5</v>
      </c>
      <c r="F1957">
        <v>5</v>
      </c>
      <c r="G1957">
        <v>67</v>
      </c>
    </row>
    <row r="1958" spans="1:7" ht="15" x14ac:dyDescent="0.25">
      <c r="A1958" t="s">
        <v>17158</v>
      </c>
      <c r="B1958">
        <v>24</v>
      </c>
      <c r="C1958">
        <v>376</v>
      </c>
      <c r="D1958">
        <v>9064</v>
      </c>
      <c r="E1958">
        <v>1323</v>
      </c>
      <c r="F1958">
        <v>55.125</v>
      </c>
      <c r="G1958">
        <v>389</v>
      </c>
    </row>
    <row r="1959" spans="1:7" ht="15" x14ac:dyDescent="0.25">
      <c r="A1959" t="s">
        <v>17163</v>
      </c>
      <c r="B1959">
        <v>1</v>
      </c>
      <c r="C1959">
        <v>11</v>
      </c>
      <c r="D1959">
        <v>11</v>
      </c>
      <c r="E1959">
        <v>6</v>
      </c>
      <c r="F1959">
        <v>6</v>
      </c>
      <c r="G1959">
        <v>11</v>
      </c>
    </row>
    <row r="1960" spans="1:7" ht="15" x14ac:dyDescent="0.25">
      <c r="A1960" t="s">
        <v>17172</v>
      </c>
      <c r="B1960">
        <v>1</v>
      </c>
      <c r="C1960">
        <v>322</v>
      </c>
      <c r="D1960">
        <v>322</v>
      </c>
      <c r="E1960">
        <v>16</v>
      </c>
      <c r="F1960">
        <v>16</v>
      </c>
      <c r="G1960">
        <v>322</v>
      </c>
    </row>
    <row r="1961" spans="1:7" ht="15" x14ac:dyDescent="0.25">
      <c r="A1961" t="s">
        <v>17177</v>
      </c>
      <c r="B1961">
        <v>5</v>
      </c>
      <c r="C1961">
        <v>213</v>
      </c>
      <c r="D1961">
        <v>718</v>
      </c>
      <c r="E1961">
        <v>239</v>
      </c>
      <c r="F1961">
        <v>47.8</v>
      </c>
      <c r="G1961">
        <v>213</v>
      </c>
    </row>
    <row r="1962" spans="1:7" ht="15" x14ac:dyDescent="0.25">
      <c r="A1962" t="s">
        <v>17184</v>
      </c>
      <c r="B1962">
        <v>1</v>
      </c>
      <c r="C1962">
        <v>58</v>
      </c>
      <c r="D1962">
        <v>58</v>
      </c>
      <c r="E1962">
        <v>15</v>
      </c>
      <c r="F1962">
        <v>15</v>
      </c>
      <c r="G1962">
        <v>58</v>
      </c>
    </row>
    <row r="1963" spans="1:7" ht="15" x14ac:dyDescent="0.25">
      <c r="A1963" t="s">
        <v>17189</v>
      </c>
      <c r="B1963">
        <v>1</v>
      </c>
      <c r="C1963">
        <v>409</v>
      </c>
      <c r="D1963">
        <v>409</v>
      </c>
      <c r="E1963">
        <v>55</v>
      </c>
      <c r="F1963">
        <v>55</v>
      </c>
      <c r="G1963">
        <v>409</v>
      </c>
    </row>
    <row r="1964" spans="1:7" ht="15" x14ac:dyDescent="0.25">
      <c r="A1964" t="s">
        <v>17195</v>
      </c>
      <c r="B1964">
        <v>1</v>
      </c>
      <c r="C1964">
        <v>239</v>
      </c>
      <c r="D1964">
        <v>239</v>
      </c>
      <c r="E1964">
        <v>35</v>
      </c>
      <c r="F1964">
        <v>35</v>
      </c>
      <c r="G1964">
        <v>239</v>
      </c>
    </row>
    <row r="1965" spans="1:7" ht="15" x14ac:dyDescent="0.25">
      <c r="A1965" t="s">
        <v>17206</v>
      </c>
      <c r="B1965">
        <v>1</v>
      </c>
      <c r="C1965">
        <v>15</v>
      </c>
      <c r="D1965">
        <v>15</v>
      </c>
      <c r="E1965">
        <v>4</v>
      </c>
      <c r="F1965">
        <v>4</v>
      </c>
      <c r="G1965">
        <v>15</v>
      </c>
    </row>
    <row r="1966" spans="1:7" ht="15" x14ac:dyDescent="0.25">
      <c r="A1966" t="s">
        <v>17216</v>
      </c>
      <c r="B1966">
        <v>5</v>
      </c>
      <c r="C1966">
        <v>46</v>
      </c>
      <c r="D1966">
        <v>231</v>
      </c>
      <c r="E1966">
        <v>74</v>
      </c>
      <c r="F1966">
        <v>14.8</v>
      </c>
      <c r="G1966">
        <v>50</v>
      </c>
    </row>
    <row r="1967" spans="1:7" ht="15" x14ac:dyDescent="0.25">
      <c r="A1967" t="s">
        <v>17228</v>
      </c>
      <c r="B1967">
        <v>1</v>
      </c>
      <c r="C1967">
        <v>174</v>
      </c>
      <c r="D1967">
        <v>174</v>
      </c>
      <c r="E1967">
        <v>8</v>
      </c>
      <c r="F1967">
        <v>8</v>
      </c>
      <c r="G1967">
        <v>174</v>
      </c>
    </row>
    <row r="1968" spans="1:7" ht="15" x14ac:dyDescent="0.25">
      <c r="A1968" t="s">
        <v>17234</v>
      </c>
      <c r="B1968">
        <v>1</v>
      </c>
      <c r="C1968">
        <v>459</v>
      </c>
      <c r="D1968">
        <v>459</v>
      </c>
      <c r="E1968">
        <v>22</v>
      </c>
      <c r="F1968">
        <v>22</v>
      </c>
      <c r="G1968">
        <v>459</v>
      </c>
    </row>
    <row r="1969" spans="1:7" ht="15" x14ac:dyDescent="0.25">
      <c r="A1969" t="s">
        <v>17239</v>
      </c>
      <c r="B1969">
        <v>1</v>
      </c>
      <c r="C1969">
        <v>621</v>
      </c>
      <c r="D1969">
        <v>621</v>
      </c>
      <c r="E1969">
        <v>39</v>
      </c>
      <c r="F1969">
        <v>39</v>
      </c>
      <c r="G1969">
        <v>621</v>
      </c>
    </row>
    <row r="1970" spans="1:7" ht="15" x14ac:dyDescent="0.25">
      <c r="A1970" t="s">
        <v>17244</v>
      </c>
      <c r="B1970">
        <v>1</v>
      </c>
      <c r="C1970">
        <v>1668</v>
      </c>
      <c r="D1970">
        <v>1668</v>
      </c>
      <c r="E1970">
        <v>49</v>
      </c>
      <c r="F1970">
        <v>49</v>
      </c>
      <c r="G1970">
        <v>1668</v>
      </c>
    </row>
    <row r="1971" spans="1:7" ht="15" x14ac:dyDescent="0.25">
      <c r="A1971" t="s">
        <v>17251</v>
      </c>
      <c r="B1971">
        <v>1</v>
      </c>
      <c r="C1971">
        <v>28</v>
      </c>
      <c r="D1971">
        <v>28</v>
      </c>
      <c r="E1971">
        <v>9</v>
      </c>
      <c r="F1971">
        <v>9</v>
      </c>
      <c r="G1971">
        <v>28</v>
      </c>
    </row>
    <row r="1972" spans="1:7" ht="15" x14ac:dyDescent="0.25">
      <c r="A1972" t="s">
        <v>17256</v>
      </c>
      <c r="B1972">
        <v>1</v>
      </c>
      <c r="C1972">
        <v>944</v>
      </c>
      <c r="D1972">
        <v>944</v>
      </c>
      <c r="E1972">
        <v>95</v>
      </c>
      <c r="F1972">
        <v>95</v>
      </c>
      <c r="G1972">
        <v>944</v>
      </c>
    </row>
    <row r="1973" spans="1:7" ht="15" x14ac:dyDescent="0.25">
      <c r="A1973" t="s">
        <v>17263</v>
      </c>
      <c r="B1973">
        <v>1</v>
      </c>
      <c r="C1973">
        <v>602</v>
      </c>
      <c r="D1973">
        <v>602</v>
      </c>
      <c r="E1973">
        <v>130</v>
      </c>
      <c r="F1973">
        <v>130</v>
      </c>
      <c r="G1973">
        <v>602</v>
      </c>
    </row>
    <row r="1974" spans="1:7" ht="15" x14ac:dyDescent="0.25">
      <c r="A1974" t="s">
        <v>17277</v>
      </c>
      <c r="B1974">
        <v>1</v>
      </c>
      <c r="C1974">
        <v>277</v>
      </c>
      <c r="D1974">
        <v>277</v>
      </c>
      <c r="E1974">
        <v>34</v>
      </c>
      <c r="F1974">
        <v>34</v>
      </c>
      <c r="G1974">
        <v>277</v>
      </c>
    </row>
    <row r="1975" spans="1:7" ht="15" x14ac:dyDescent="0.25">
      <c r="A1975" t="s">
        <v>17290</v>
      </c>
      <c r="B1975">
        <v>1</v>
      </c>
      <c r="C1975">
        <v>554</v>
      </c>
      <c r="D1975">
        <v>554</v>
      </c>
      <c r="E1975">
        <v>8</v>
      </c>
      <c r="F1975">
        <v>8</v>
      </c>
      <c r="G1975">
        <v>554</v>
      </c>
    </row>
    <row r="1976" spans="1:7" ht="15" x14ac:dyDescent="0.25">
      <c r="A1976" t="s">
        <v>17298</v>
      </c>
      <c r="B1976">
        <v>1</v>
      </c>
      <c r="C1976">
        <v>516</v>
      </c>
      <c r="D1976">
        <v>516</v>
      </c>
      <c r="E1976">
        <v>76</v>
      </c>
      <c r="F1976">
        <v>76</v>
      </c>
      <c r="G1976">
        <v>516</v>
      </c>
    </row>
    <row r="1977" spans="1:7" ht="15" x14ac:dyDescent="0.25">
      <c r="A1977" t="s">
        <v>17312</v>
      </c>
      <c r="B1977">
        <v>1</v>
      </c>
      <c r="C1977">
        <v>408</v>
      </c>
      <c r="D1977">
        <v>408</v>
      </c>
      <c r="E1977">
        <v>106</v>
      </c>
      <c r="F1977">
        <v>106</v>
      </c>
      <c r="G1977">
        <v>408</v>
      </c>
    </row>
    <row r="1978" spans="1:7" ht="15" x14ac:dyDescent="0.25">
      <c r="A1978" t="s">
        <v>17316</v>
      </c>
      <c r="B1978">
        <v>1</v>
      </c>
      <c r="C1978">
        <v>88</v>
      </c>
      <c r="D1978">
        <v>88</v>
      </c>
      <c r="E1978">
        <v>11</v>
      </c>
      <c r="F1978">
        <v>11</v>
      </c>
      <c r="G1978">
        <v>88</v>
      </c>
    </row>
    <row r="1979" spans="1:7" ht="15" x14ac:dyDescent="0.25">
      <c r="A1979" t="s">
        <v>17327</v>
      </c>
      <c r="B1979">
        <v>1</v>
      </c>
      <c r="C1979">
        <v>188</v>
      </c>
      <c r="D1979">
        <v>188</v>
      </c>
      <c r="E1979">
        <v>13</v>
      </c>
      <c r="F1979">
        <v>13</v>
      </c>
      <c r="G1979">
        <v>188</v>
      </c>
    </row>
    <row r="1980" spans="1:7" ht="15" x14ac:dyDescent="0.25">
      <c r="A1980" t="s">
        <v>17338</v>
      </c>
      <c r="B1980">
        <v>2</v>
      </c>
      <c r="C1980">
        <v>31</v>
      </c>
      <c r="D1980">
        <v>64</v>
      </c>
      <c r="E1980">
        <v>76</v>
      </c>
      <c r="F1980">
        <v>38</v>
      </c>
      <c r="G1980">
        <v>33</v>
      </c>
    </row>
    <row r="1981" spans="1:7" ht="15" x14ac:dyDescent="0.25">
      <c r="A1981" t="s">
        <v>17343</v>
      </c>
      <c r="B1981">
        <v>2</v>
      </c>
      <c r="C1981">
        <v>141</v>
      </c>
      <c r="D1981">
        <v>270</v>
      </c>
      <c r="E1981">
        <v>72</v>
      </c>
      <c r="F1981">
        <v>36</v>
      </c>
      <c r="G1981">
        <v>141</v>
      </c>
    </row>
    <row r="1982" spans="1:7" ht="15" x14ac:dyDescent="0.25">
      <c r="A1982" t="s">
        <v>17347</v>
      </c>
      <c r="B1982">
        <v>1</v>
      </c>
      <c r="C1982">
        <v>275</v>
      </c>
      <c r="D1982">
        <v>275</v>
      </c>
      <c r="E1982">
        <v>54</v>
      </c>
      <c r="F1982">
        <v>54</v>
      </c>
      <c r="G1982">
        <v>275</v>
      </c>
    </row>
    <row r="1983" spans="1:7" ht="15" x14ac:dyDescent="0.25">
      <c r="A1983" t="s">
        <v>17361</v>
      </c>
      <c r="B1983">
        <v>1</v>
      </c>
      <c r="C1983">
        <v>50</v>
      </c>
      <c r="D1983">
        <v>50</v>
      </c>
      <c r="E1983">
        <v>10</v>
      </c>
      <c r="F1983">
        <v>10</v>
      </c>
      <c r="G1983">
        <v>50</v>
      </c>
    </row>
    <row r="1984" spans="1:7" ht="15" x14ac:dyDescent="0.25">
      <c r="A1984" t="s">
        <v>17365</v>
      </c>
      <c r="B1984">
        <v>2</v>
      </c>
      <c r="C1984">
        <v>11</v>
      </c>
      <c r="D1984">
        <v>16</v>
      </c>
      <c r="E1984">
        <v>27</v>
      </c>
      <c r="F1984">
        <v>13.5</v>
      </c>
      <c r="G1984">
        <v>11</v>
      </c>
    </row>
    <row r="1985" spans="1:7" ht="15" x14ac:dyDescent="0.25">
      <c r="A1985" t="s">
        <v>17375</v>
      </c>
      <c r="B1985">
        <v>2</v>
      </c>
      <c r="C1985">
        <v>202</v>
      </c>
      <c r="D1985">
        <v>202</v>
      </c>
      <c r="E1985">
        <v>54</v>
      </c>
      <c r="F1985">
        <v>27</v>
      </c>
      <c r="G1985">
        <v>202</v>
      </c>
    </row>
    <row r="1986" spans="1:7" ht="15" x14ac:dyDescent="0.25">
      <c r="A1986" t="s">
        <v>17383</v>
      </c>
      <c r="B1986">
        <v>1</v>
      </c>
      <c r="C1986">
        <v>163</v>
      </c>
      <c r="D1986">
        <v>163</v>
      </c>
      <c r="E1986">
        <v>17</v>
      </c>
      <c r="F1986">
        <v>17</v>
      </c>
      <c r="G1986">
        <v>163</v>
      </c>
    </row>
    <row r="1987" spans="1:7" ht="15" x14ac:dyDescent="0.25">
      <c r="A1987" t="s">
        <v>17393</v>
      </c>
      <c r="B1987">
        <v>1</v>
      </c>
      <c r="C1987">
        <v>402</v>
      </c>
      <c r="D1987">
        <v>402</v>
      </c>
      <c r="E1987">
        <v>58</v>
      </c>
      <c r="F1987">
        <v>58</v>
      </c>
      <c r="G1987">
        <v>402</v>
      </c>
    </row>
    <row r="1988" spans="1:7" ht="15" x14ac:dyDescent="0.25">
      <c r="A1988" t="s">
        <v>17399</v>
      </c>
      <c r="B1988">
        <v>1</v>
      </c>
      <c r="C1988">
        <v>2067</v>
      </c>
      <c r="D1988">
        <v>2067</v>
      </c>
      <c r="E1988">
        <v>77</v>
      </c>
      <c r="F1988">
        <v>77</v>
      </c>
      <c r="G1988">
        <v>2067</v>
      </c>
    </row>
    <row r="1989" spans="1:7" ht="15" x14ac:dyDescent="0.25">
      <c r="A1989" t="s">
        <v>17406</v>
      </c>
      <c r="B1989">
        <v>1</v>
      </c>
      <c r="C1989">
        <v>1185</v>
      </c>
      <c r="D1989">
        <v>1185</v>
      </c>
      <c r="E1989">
        <v>126</v>
      </c>
      <c r="F1989">
        <v>126</v>
      </c>
      <c r="G1989">
        <v>1185</v>
      </c>
    </row>
    <row r="1990" spans="1:7" ht="15" x14ac:dyDescent="0.25">
      <c r="A1990" t="s">
        <v>17415</v>
      </c>
      <c r="B1990">
        <v>1</v>
      </c>
      <c r="C1990">
        <v>2236</v>
      </c>
      <c r="D1990">
        <v>2236</v>
      </c>
      <c r="E1990">
        <v>199</v>
      </c>
      <c r="F1990">
        <v>199</v>
      </c>
      <c r="G1990">
        <v>2236</v>
      </c>
    </row>
    <row r="1991" spans="1:7" ht="15" x14ac:dyDescent="0.25">
      <c r="A1991" t="s">
        <v>17423</v>
      </c>
      <c r="B1991">
        <v>1</v>
      </c>
      <c r="C1991">
        <v>940</v>
      </c>
      <c r="D1991">
        <v>940</v>
      </c>
      <c r="E1991">
        <v>22</v>
      </c>
      <c r="F1991">
        <v>22</v>
      </c>
      <c r="G1991">
        <v>940</v>
      </c>
    </row>
    <row r="1992" spans="1:7" ht="15" x14ac:dyDescent="0.25">
      <c r="A1992" t="s">
        <v>17430</v>
      </c>
      <c r="B1992">
        <v>1</v>
      </c>
      <c r="C1992">
        <v>1149</v>
      </c>
      <c r="D1992">
        <v>1149</v>
      </c>
      <c r="E1992">
        <v>23</v>
      </c>
      <c r="F1992">
        <v>23</v>
      </c>
      <c r="G1992">
        <v>1149</v>
      </c>
    </row>
    <row r="1993" spans="1:7" ht="15" x14ac:dyDescent="0.25">
      <c r="A1993" t="s">
        <v>17443</v>
      </c>
      <c r="B1993">
        <v>1</v>
      </c>
      <c r="C1993">
        <v>612</v>
      </c>
      <c r="D1993">
        <v>612</v>
      </c>
      <c r="E1993">
        <v>62</v>
      </c>
      <c r="F1993">
        <v>62</v>
      </c>
      <c r="G1993">
        <v>612</v>
      </c>
    </row>
    <row r="1994" spans="1:7" ht="15" x14ac:dyDescent="0.25">
      <c r="A1994" t="s">
        <v>17449</v>
      </c>
      <c r="B1994">
        <v>1</v>
      </c>
      <c r="C1994">
        <v>530</v>
      </c>
      <c r="D1994">
        <v>530</v>
      </c>
      <c r="E1994">
        <v>26</v>
      </c>
      <c r="F1994">
        <v>26</v>
      </c>
      <c r="G1994">
        <v>530</v>
      </c>
    </row>
    <row r="1995" spans="1:7" ht="15" x14ac:dyDescent="0.25">
      <c r="A1995" t="s">
        <v>17456</v>
      </c>
      <c r="B1995">
        <v>1</v>
      </c>
      <c r="D1995">
        <v>0</v>
      </c>
      <c r="E1995">
        <v>741</v>
      </c>
      <c r="F1995">
        <v>741</v>
      </c>
    </row>
    <row r="1996" spans="1:7" ht="15" x14ac:dyDescent="0.25">
      <c r="A1996" t="s">
        <v>17467</v>
      </c>
      <c r="B1996">
        <v>1</v>
      </c>
      <c r="C1996">
        <v>266</v>
      </c>
      <c r="D1996">
        <v>266</v>
      </c>
      <c r="E1996">
        <v>63</v>
      </c>
      <c r="F1996">
        <v>63</v>
      </c>
      <c r="G1996">
        <v>266</v>
      </c>
    </row>
    <row r="1997" spans="1:7" ht="15" x14ac:dyDescent="0.25">
      <c r="A1997" t="s">
        <v>17471</v>
      </c>
      <c r="B1997">
        <v>1</v>
      </c>
      <c r="D1997">
        <v>0</v>
      </c>
      <c r="E1997">
        <v>63</v>
      </c>
      <c r="F1997">
        <v>63</v>
      </c>
    </row>
    <row r="1998" spans="1:7" ht="15" x14ac:dyDescent="0.25">
      <c r="A1998" t="s">
        <v>17480</v>
      </c>
      <c r="B1998">
        <v>1</v>
      </c>
      <c r="C1998">
        <v>398</v>
      </c>
      <c r="D1998">
        <v>398</v>
      </c>
      <c r="E1998">
        <v>67</v>
      </c>
      <c r="F1998">
        <v>67</v>
      </c>
      <c r="G1998">
        <v>398</v>
      </c>
    </row>
    <row r="1999" spans="1:7" ht="15" x14ac:dyDescent="0.25">
      <c r="A1999" t="s">
        <v>17496</v>
      </c>
      <c r="B1999">
        <v>1</v>
      </c>
      <c r="C1999">
        <v>772</v>
      </c>
      <c r="D1999">
        <v>772</v>
      </c>
      <c r="E1999">
        <v>28</v>
      </c>
      <c r="F1999">
        <v>28</v>
      </c>
      <c r="G1999">
        <v>772</v>
      </c>
    </row>
    <row r="2000" spans="1:7" ht="15" x14ac:dyDescent="0.25">
      <c r="A2000" t="s">
        <v>17506</v>
      </c>
      <c r="B2000">
        <v>1</v>
      </c>
      <c r="C2000">
        <v>112</v>
      </c>
      <c r="D2000">
        <v>112</v>
      </c>
      <c r="E2000">
        <v>9</v>
      </c>
      <c r="F2000">
        <v>9</v>
      </c>
      <c r="G2000">
        <v>112</v>
      </c>
    </row>
    <row r="2001" spans="1:7" ht="15" x14ac:dyDescent="0.25">
      <c r="A2001" t="s">
        <v>17513</v>
      </c>
      <c r="B2001">
        <v>1</v>
      </c>
      <c r="C2001">
        <v>62</v>
      </c>
      <c r="D2001">
        <v>62</v>
      </c>
      <c r="E2001">
        <v>37</v>
      </c>
      <c r="F2001">
        <v>37</v>
      </c>
      <c r="G2001">
        <v>62</v>
      </c>
    </row>
    <row r="2002" spans="1:7" ht="15" x14ac:dyDescent="0.25">
      <c r="A2002" t="s">
        <v>17517</v>
      </c>
      <c r="B2002">
        <v>1</v>
      </c>
      <c r="C2002">
        <v>1237</v>
      </c>
      <c r="D2002">
        <v>1237</v>
      </c>
      <c r="E2002">
        <v>218</v>
      </c>
      <c r="F2002">
        <v>218</v>
      </c>
      <c r="G2002">
        <v>1237</v>
      </c>
    </row>
    <row r="2003" spans="1:7" ht="15" x14ac:dyDescent="0.25">
      <c r="A2003" t="s">
        <v>17531</v>
      </c>
      <c r="B2003">
        <v>1</v>
      </c>
      <c r="C2003">
        <v>133</v>
      </c>
      <c r="D2003">
        <v>133</v>
      </c>
      <c r="E2003">
        <v>46</v>
      </c>
      <c r="F2003">
        <v>46</v>
      </c>
      <c r="G2003">
        <v>133</v>
      </c>
    </row>
    <row r="2004" spans="1:7" ht="15" x14ac:dyDescent="0.25">
      <c r="A2004" t="s">
        <v>17539</v>
      </c>
      <c r="B2004">
        <v>1</v>
      </c>
      <c r="C2004">
        <v>173</v>
      </c>
      <c r="D2004">
        <v>173</v>
      </c>
      <c r="E2004">
        <v>2</v>
      </c>
      <c r="F2004">
        <v>2</v>
      </c>
      <c r="G2004">
        <v>173</v>
      </c>
    </row>
    <row r="2005" spans="1:7" ht="15" x14ac:dyDescent="0.25">
      <c r="A2005" t="s">
        <v>17543</v>
      </c>
      <c r="B2005">
        <v>1</v>
      </c>
      <c r="C2005">
        <v>295</v>
      </c>
      <c r="D2005">
        <v>295</v>
      </c>
      <c r="E2005">
        <v>68</v>
      </c>
      <c r="F2005">
        <v>68</v>
      </c>
      <c r="G2005">
        <v>295</v>
      </c>
    </row>
    <row r="2006" spans="1:7" ht="15" x14ac:dyDescent="0.25">
      <c r="A2006" t="s">
        <v>17550</v>
      </c>
      <c r="B2006">
        <v>1</v>
      </c>
      <c r="C2006">
        <v>339</v>
      </c>
      <c r="D2006">
        <v>339</v>
      </c>
      <c r="E2006">
        <v>15</v>
      </c>
      <c r="F2006">
        <v>15</v>
      </c>
      <c r="G2006">
        <v>339</v>
      </c>
    </row>
    <row r="2007" spans="1:7" ht="15" x14ac:dyDescent="0.25">
      <c r="A2007" t="s">
        <v>17563</v>
      </c>
      <c r="B2007">
        <v>1</v>
      </c>
      <c r="C2007">
        <v>143</v>
      </c>
      <c r="D2007">
        <v>143</v>
      </c>
      <c r="E2007">
        <v>20</v>
      </c>
      <c r="F2007">
        <v>20</v>
      </c>
      <c r="G2007">
        <v>143</v>
      </c>
    </row>
    <row r="2008" spans="1:7" ht="15" x14ac:dyDescent="0.25">
      <c r="A2008" t="s">
        <v>17570</v>
      </c>
      <c r="B2008">
        <v>1</v>
      </c>
      <c r="C2008">
        <v>259</v>
      </c>
      <c r="D2008">
        <v>259</v>
      </c>
      <c r="E2008">
        <v>27</v>
      </c>
      <c r="F2008">
        <v>27</v>
      </c>
      <c r="G2008">
        <v>259</v>
      </c>
    </row>
    <row r="2009" spans="1:7" ht="15" x14ac:dyDescent="0.25">
      <c r="A2009" t="s">
        <v>17578</v>
      </c>
      <c r="B2009">
        <v>1</v>
      </c>
      <c r="C2009">
        <v>590</v>
      </c>
      <c r="D2009">
        <v>590</v>
      </c>
      <c r="E2009">
        <v>0</v>
      </c>
      <c r="F2009">
        <v>0</v>
      </c>
      <c r="G2009">
        <v>590</v>
      </c>
    </row>
    <row r="2010" spans="1:7" ht="15" x14ac:dyDescent="0.25">
      <c r="A2010" t="s">
        <v>17584</v>
      </c>
      <c r="B2010">
        <v>1</v>
      </c>
      <c r="C2010">
        <v>242</v>
      </c>
      <c r="D2010">
        <v>242</v>
      </c>
      <c r="E2010">
        <v>61</v>
      </c>
      <c r="F2010">
        <v>61</v>
      </c>
      <c r="G2010">
        <v>242</v>
      </c>
    </row>
    <row r="2011" spans="1:7" ht="15" x14ac:dyDescent="0.25">
      <c r="A2011" t="s">
        <v>17595</v>
      </c>
      <c r="B2011">
        <v>1</v>
      </c>
      <c r="C2011">
        <v>228</v>
      </c>
      <c r="D2011">
        <v>228</v>
      </c>
      <c r="E2011">
        <v>48</v>
      </c>
      <c r="F2011">
        <v>48</v>
      </c>
      <c r="G2011">
        <v>228</v>
      </c>
    </row>
    <row r="2012" spans="1:7" ht="15" x14ac:dyDescent="0.25">
      <c r="A2012" t="s">
        <v>17600</v>
      </c>
      <c r="B2012">
        <v>1</v>
      </c>
      <c r="D2012">
        <v>0</v>
      </c>
      <c r="E2012">
        <v>43</v>
      </c>
      <c r="F2012">
        <v>43</v>
      </c>
    </row>
    <row r="2013" spans="1:7" ht="15" x14ac:dyDescent="0.25">
      <c r="A2013" t="s">
        <v>17606</v>
      </c>
      <c r="B2013">
        <v>1</v>
      </c>
      <c r="C2013">
        <v>126</v>
      </c>
      <c r="D2013">
        <v>126</v>
      </c>
      <c r="E2013">
        <v>34</v>
      </c>
      <c r="F2013">
        <v>34</v>
      </c>
      <c r="G2013">
        <v>126</v>
      </c>
    </row>
    <row r="2014" spans="1:7" ht="15" x14ac:dyDescent="0.25">
      <c r="A2014" t="s">
        <v>17617</v>
      </c>
      <c r="B2014">
        <v>1</v>
      </c>
      <c r="C2014">
        <v>124</v>
      </c>
      <c r="D2014">
        <v>124</v>
      </c>
      <c r="E2014">
        <v>29</v>
      </c>
      <c r="F2014">
        <v>29</v>
      </c>
      <c r="G2014">
        <v>124</v>
      </c>
    </row>
    <row r="2015" spans="1:7" ht="15" x14ac:dyDescent="0.25">
      <c r="A2015" t="s">
        <v>17623</v>
      </c>
      <c r="B2015">
        <v>1</v>
      </c>
      <c r="C2015">
        <v>447</v>
      </c>
      <c r="D2015">
        <v>447</v>
      </c>
      <c r="E2015">
        <v>31</v>
      </c>
      <c r="F2015">
        <v>31</v>
      </c>
      <c r="G2015">
        <v>447</v>
      </c>
    </row>
    <row r="2016" spans="1:7" ht="15" x14ac:dyDescent="0.25">
      <c r="A2016" t="s">
        <v>17629</v>
      </c>
      <c r="B2016">
        <v>2</v>
      </c>
      <c r="C2016">
        <v>98</v>
      </c>
      <c r="D2016">
        <v>190</v>
      </c>
      <c r="E2016">
        <v>108</v>
      </c>
      <c r="F2016">
        <v>54</v>
      </c>
      <c r="G2016">
        <v>98</v>
      </c>
    </row>
    <row r="2017" spans="1:7" ht="15" x14ac:dyDescent="0.25">
      <c r="A2017" t="s">
        <v>17636</v>
      </c>
      <c r="B2017">
        <v>1</v>
      </c>
      <c r="C2017">
        <v>155</v>
      </c>
      <c r="D2017">
        <v>155</v>
      </c>
      <c r="E2017">
        <v>4</v>
      </c>
      <c r="F2017">
        <v>4</v>
      </c>
      <c r="G2017">
        <v>155</v>
      </c>
    </row>
    <row r="2018" spans="1:7" ht="15" x14ac:dyDescent="0.25">
      <c r="A2018" t="s">
        <v>17642</v>
      </c>
      <c r="B2018">
        <v>1</v>
      </c>
      <c r="C2018">
        <v>12648</v>
      </c>
      <c r="D2018">
        <v>12648</v>
      </c>
      <c r="E2018">
        <v>17</v>
      </c>
      <c r="F2018">
        <v>17</v>
      </c>
      <c r="G2018">
        <v>12648</v>
      </c>
    </row>
    <row r="2019" spans="1:7" ht="15" x14ac:dyDescent="0.25">
      <c r="A2019" t="s">
        <v>17649</v>
      </c>
      <c r="B2019">
        <v>1</v>
      </c>
      <c r="D2019">
        <v>0</v>
      </c>
      <c r="E2019">
        <v>44</v>
      </c>
      <c r="F2019">
        <v>44</v>
      </c>
    </row>
    <row r="2020" spans="1:7" ht="15" x14ac:dyDescent="0.25">
      <c r="A2020" t="s">
        <v>17656</v>
      </c>
      <c r="B2020">
        <v>1</v>
      </c>
      <c r="C2020">
        <v>233</v>
      </c>
      <c r="D2020">
        <v>233</v>
      </c>
      <c r="E2020">
        <v>54</v>
      </c>
      <c r="F2020">
        <v>54</v>
      </c>
      <c r="G2020">
        <v>233</v>
      </c>
    </row>
    <row r="2021" spans="1:7" ht="15" x14ac:dyDescent="0.25">
      <c r="A2021" t="s">
        <v>17672</v>
      </c>
      <c r="B2021">
        <v>1</v>
      </c>
      <c r="C2021">
        <v>625</v>
      </c>
      <c r="D2021">
        <v>625</v>
      </c>
      <c r="E2021">
        <v>36</v>
      </c>
      <c r="F2021">
        <v>36</v>
      </c>
      <c r="G2021">
        <v>625</v>
      </c>
    </row>
    <row r="2022" spans="1:7" ht="15" x14ac:dyDescent="0.25">
      <c r="A2022" t="s">
        <v>17679</v>
      </c>
      <c r="B2022">
        <v>1</v>
      </c>
      <c r="C2022">
        <v>575</v>
      </c>
      <c r="D2022">
        <v>575</v>
      </c>
      <c r="E2022">
        <v>23</v>
      </c>
      <c r="F2022">
        <v>23</v>
      </c>
      <c r="G2022">
        <v>575</v>
      </c>
    </row>
    <row r="2023" spans="1:7" ht="15" x14ac:dyDescent="0.25">
      <c r="A2023" t="s">
        <v>17684</v>
      </c>
      <c r="B2023">
        <v>1</v>
      </c>
      <c r="C2023">
        <v>539</v>
      </c>
      <c r="D2023">
        <v>539</v>
      </c>
      <c r="E2023">
        <v>47</v>
      </c>
      <c r="F2023">
        <v>47</v>
      </c>
      <c r="G2023">
        <v>539</v>
      </c>
    </row>
    <row r="2024" spans="1:7" ht="15" x14ac:dyDescent="0.25">
      <c r="A2024" t="s">
        <v>17687</v>
      </c>
      <c r="B2024">
        <v>2</v>
      </c>
      <c r="C2024">
        <v>157</v>
      </c>
      <c r="D2024">
        <v>315</v>
      </c>
      <c r="E2024">
        <v>60</v>
      </c>
      <c r="F2024">
        <v>30</v>
      </c>
      <c r="G2024">
        <v>158</v>
      </c>
    </row>
    <row r="2025" spans="1:7" ht="15" x14ac:dyDescent="0.25">
      <c r="A2025" t="s">
        <v>17695</v>
      </c>
      <c r="B2025">
        <v>2</v>
      </c>
      <c r="C2025">
        <v>253</v>
      </c>
      <c r="D2025">
        <v>502</v>
      </c>
      <c r="E2025">
        <v>39</v>
      </c>
      <c r="F2025">
        <v>19.5</v>
      </c>
      <c r="G2025">
        <v>253</v>
      </c>
    </row>
    <row r="2026" spans="1:7" ht="15" x14ac:dyDescent="0.25">
      <c r="A2026" t="s">
        <v>17702</v>
      </c>
      <c r="B2026">
        <v>1</v>
      </c>
      <c r="C2026">
        <v>853</v>
      </c>
      <c r="D2026">
        <v>853</v>
      </c>
      <c r="E2026">
        <v>35</v>
      </c>
      <c r="F2026">
        <v>35</v>
      </c>
      <c r="G2026">
        <v>853</v>
      </c>
    </row>
    <row r="2027" spans="1:7" ht="15" x14ac:dyDescent="0.25">
      <c r="A2027" t="s">
        <v>17725</v>
      </c>
      <c r="B2027">
        <v>1</v>
      </c>
      <c r="C2027">
        <v>166</v>
      </c>
      <c r="D2027">
        <v>166</v>
      </c>
      <c r="E2027">
        <v>39</v>
      </c>
      <c r="F2027">
        <v>39</v>
      </c>
      <c r="G2027">
        <v>166</v>
      </c>
    </row>
    <row r="2028" spans="1:7" ht="15" x14ac:dyDescent="0.25">
      <c r="A2028" t="s">
        <v>17731</v>
      </c>
      <c r="B2028">
        <v>1</v>
      </c>
      <c r="C2028">
        <v>144</v>
      </c>
      <c r="D2028">
        <v>144</v>
      </c>
      <c r="E2028">
        <v>15</v>
      </c>
      <c r="F2028">
        <v>15</v>
      </c>
      <c r="G2028">
        <v>144</v>
      </c>
    </row>
    <row r="2029" spans="1:7" ht="15" x14ac:dyDescent="0.25">
      <c r="A2029" t="s">
        <v>17738</v>
      </c>
      <c r="B2029">
        <v>14</v>
      </c>
      <c r="C2029">
        <v>69080</v>
      </c>
      <c r="D2029">
        <v>967676</v>
      </c>
      <c r="E2029">
        <v>227</v>
      </c>
      <c r="F2029">
        <v>16.214285714285715</v>
      </c>
      <c r="G2029">
        <v>69194</v>
      </c>
    </row>
    <row r="2030" spans="1:7" ht="15" x14ac:dyDescent="0.25">
      <c r="A2030" t="s">
        <v>17752</v>
      </c>
      <c r="B2030">
        <v>1</v>
      </c>
      <c r="C2030">
        <v>5645</v>
      </c>
      <c r="D2030">
        <v>5645</v>
      </c>
      <c r="E2030">
        <v>20</v>
      </c>
      <c r="F2030">
        <v>20</v>
      </c>
      <c r="G2030">
        <v>5645</v>
      </c>
    </row>
    <row r="2031" spans="1:7" ht="15" x14ac:dyDescent="0.25">
      <c r="A2031" t="s">
        <v>17762</v>
      </c>
      <c r="B2031">
        <v>1</v>
      </c>
      <c r="C2031">
        <v>2260</v>
      </c>
      <c r="D2031">
        <v>2260</v>
      </c>
      <c r="E2031">
        <v>204</v>
      </c>
      <c r="F2031">
        <v>204</v>
      </c>
      <c r="G2031">
        <v>2260</v>
      </c>
    </row>
    <row r="2032" spans="1:7" ht="15" x14ac:dyDescent="0.25">
      <c r="A2032" t="s">
        <v>17770</v>
      </c>
      <c r="B2032">
        <v>1</v>
      </c>
      <c r="C2032">
        <v>238</v>
      </c>
      <c r="D2032">
        <v>238</v>
      </c>
      <c r="E2032">
        <v>34</v>
      </c>
      <c r="F2032">
        <v>34</v>
      </c>
      <c r="G2032">
        <v>238</v>
      </c>
    </row>
    <row r="2033" spans="1:7" ht="15" x14ac:dyDescent="0.25">
      <c r="A2033" t="s">
        <v>17773</v>
      </c>
      <c r="B2033">
        <v>1</v>
      </c>
      <c r="C2033">
        <v>244</v>
      </c>
      <c r="D2033">
        <v>244</v>
      </c>
      <c r="E2033">
        <v>11</v>
      </c>
      <c r="F2033">
        <v>11</v>
      </c>
      <c r="G2033">
        <v>244</v>
      </c>
    </row>
    <row r="2034" spans="1:7" ht="15" x14ac:dyDescent="0.25">
      <c r="A2034" t="s">
        <v>17778</v>
      </c>
      <c r="B2034">
        <v>1</v>
      </c>
      <c r="C2034">
        <v>296</v>
      </c>
      <c r="D2034">
        <v>296</v>
      </c>
      <c r="E2034">
        <v>56</v>
      </c>
      <c r="F2034">
        <v>56</v>
      </c>
      <c r="G2034">
        <v>296</v>
      </c>
    </row>
    <row r="2035" spans="1:7" ht="15" x14ac:dyDescent="0.25">
      <c r="A2035" t="s">
        <v>17783</v>
      </c>
      <c r="B2035">
        <v>1</v>
      </c>
      <c r="C2035">
        <v>156</v>
      </c>
      <c r="D2035">
        <v>156</v>
      </c>
      <c r="E2035">
        <v>49</v>
      </c>
      <c r="F2035">
        <v>49</v>
      </c>
      <c r="G2035">
        <v>156</v>
      </c>
    </row>
    <row r="2036" spans="1:7" ht="15" x14ac:dyDescent="0.25">
      <c r="A2036" t="s">
        <v>17790</v>
      </c>
      <c r="B2036">
        <v>1</v>
      </c>
      <c r="C2036">
        <v>464</v>
      </c>
      <c r="D2036">
        <v>464</v>
      </c>
      <c r="E2036">
        <v>26</v>
      </c>
      <c r="F2036">
        <v>26</v>
      </c>
      <c r="G2036">
        <v>464</v>
      </c>
    </row>
    <row r="2037" spans="1:7" ht="15" x14ac:dyDescent="0.25">
      <c r="A2037" t="s">
        <v>17795</v>
      </c>
      <c r="B2037">
        <v>1</v>
      </c>
      <c r="C2037">
        <v>575</v>
      </c>
      <c r="D2037">
        <v>575</v>
      </c>
      <c r="E2037">
        <v>59</v>
      </c>
      <c r="F2037">
        <v>59</v>
      </c>
      <c r="G2037">
        <v>575</v>
      </c>
    </row>
    <row r="2038" spans="1:7" ht="15" x14ac:dyDescent="0.25">
      <c r="A2038" t="s">
        <v>17819</v>
      </c>
      <c r="B2038">
        <v>1</v>
      </c>
      <c r="C2038">
        <v>122</v>
      </c>
      <c r="D2038">
        <v>122</v>
      </c>
      <c r="E2038">
        <v>23</v>
      </c>
      <c r="F2038">
        <v>23</v>
      </c>
      <c r="G2038">
        <v>122</v>
      </c>
    </row>
    <row r="2039" spans="1:7" ht="15" x14ac:dyDescent="0.25">
      <c r="A2039" t="s">
        <v>17822</v>
      </c>
      <c r="B2039">
        <v>1</v>
      </c>
      <c r="C2039">
        <v>660</v>
      </c>
      <c r="D2039">
        <v>660</v>
      </c>
      <c r="E2039">
        <v>35</v>
      </c>
      <c r="F2039">
        <v>35</v>
      </c>
      <c r="G2039">
        <v>660</v>
      </c>
    </row>
    <row r="2040" spans="1:7" ht="15" x14ac:dyDescent="0.25">
      <c r="A2040" t="s">
        <v>17828</v>
      </c>
      <c r="B2040">
        <v>1</v>
      </c>
      <c r="C2040">
        <v>364</v>
      </c>
      <c r="D2040">
        <v>364</v>
      </c>
      <c r="E2040">
        <v>30</v>
      </c>
      <c r="F2040">
        <v>30</v>
      </c>
      <c r="G2040">
        <v>364</v>
      </c>
    </row>
    <row r="2041" spans="1:7" ht="15" x14ac:dyDescent="0.25">
      <c r="A2041" t="s">
        <v>17836</v>
      </c>
      <c r="B2041">
        <v>1</v>
      </c>
      <c r="C2041">
        <v>491</v>
      </c>
      <c r="D2041">
        <v>491</v>
      </c>
      <c r="E2041">
        <v>63</v>
      </c>
      <c r="F2041">
        <v>63</v>
      </c>
      <c r="G2041">
        <v>491</v>
      </c>
    </row>
    <row r="2042" spans="1:7" ht="15" x14ac:dyDescent="0.25">
      <c r="A2042" t="s">
        <v>17841</v>
      </c>
      <c r="B2042">
        <v>1</v>
      </c>
      <c r="C2042">
        <v>1217</v>
      </c>
      <c r="D2042">
        <v>1217</v>
      </c>
      <c r="E2042">
        <v>93</v>
      </c>
      <c r="F2042">
        <v>93</v>
      </c>
      <c r="G2042">
        <v>1217</v>
      </c>
    </row>
    <row r="2043" spans="1:7" ht="15" x14ac:dyDescent="0.25">
      <c r="A2043" t="s">
        <v>17849</v>
      </c>
      <c r="B2043">
        <v>1</v>
      </c>
      <c r="C2043">
        <v>2539</v>
      </c>
      <c r="D2043">
        <v>2539</v>
      </c>
      <c r="E2043">
        <v>57</v>
      </c>
      <c r="F2043">
        <v>57</v>
      </c>
      <c r="G2043">
        <v>2539</v>
      </c>
    </row>
    <row r="2044" spans="1:7" ht="15" x14ac:dyDescent="0.25">
      <c r="A2044" t="s">
        <v>17854</v>
      </c>
      <c r="B2044">
        <v>1</v>
      </c>
      <c r="C2044">
        <v>359</v>
      </c>
      <c r="D2044">
        <v>359</v>
      </c>
      <c r="E2044">
        <v>24</v>
      </c>
      <c r="F2044">
        <v>24</v>
      </c>
      <c r="G2044">
        <v>359</v>
      </c>
    </row>
    <row r="2045" spans="1:7" ht="15" x14ac:dyDescent="0.25">
      <c r="A2045" t="s">
        <v>17863</v>
      </c>
      <c r="B2045">
        <v>2</v>
      </c>
      <c r="C2045">
        <v>1148</v>
      </c>
      <c r="D2045">
        <v>2302</v>
      </c>
      <c r="E2045">
        <v>59</v>
      </c>
      <c r="F2045">
        <v>29.5</v>
      </c>
      <c r="G2045">
        <v>1154</v>
      </c>
    </row>
    <row r="2046" spans="1:7" ht="15" x14ac:dyDescent="0.25">
      <c r="A2046" t="s">
        <v>17870</v>
      </c>
      <c r="B2046">
        <v>2</v>
      </c>
      <c r="C2046">
        <v>2676</v>
      </c>
      <c r="D2046">
        <v>5314</v>
      </c>
      <c r="E2046">
        <v>1030</v>
      </c>
      <c r="F2046">
        <v>515</v>
      </c>
      <c r="G2046">
        <v>2676</v>
      </c>
    </row>
    <row r="2047" spans="1:7" ht="15" x14ac:dyDescent="0.25">
      <c r="A2047" t="s">
        <v>17884</v>
      </c>
      <c r="B2047">
        <v>1</v>
      </c>
      <c r="C2047">
        <v>342</v>
      </c>
      <c r="D2047">
        <v>342</v>
      </c>
      <c r="E2047">
        <v>157</v>
      </c>
      <c r="F2047">
        <v>157</v>
      </c>
      <c r="G2047">
        <v>342</v>
      </c>
    </row>
    <row r="2048" spans="1:7" ht="15" x14ac:dyDescent="0.25">
      <c r="A2048" t="s">
        <v>17889</v>
      </c>
      <c r="B2048">
        <v>1</v>
      </c>
      <c r="C2048">
        <v>12</v>
      </c>
      <c r="D2048">
        <v>12</v>
      </c>
      <c r="E2048">
        <v>6</v>
      </c>
      <c r="F2048">
        <v>6</v>
      </c>
      <c r="G2048">
        <v>12</v>
      </c>
    </row>
    <row r="2049" spans="1:7" ht="15" x14ac:dyDescent="0.25">
      <c r="A2049" t="s">
        <v>17898</v>
      </c>
      <c r="B2049">
        <v>1</v>
      </c>
      <c r="C2049">
        <v>264</v>
      </c>
      <c r="D2049">
        <v>264</v>
      </c>
      <c r="E2049">
        <v>44</v>
      </c>
      <c r="F2049">
        <v>44</v>
      </c>
      <c r="G2049">
        <v>264</v>
      </c>
    </row>
    <row r="2050" spans="1:7" ht="15" x14ac:dyDescent="0.25">
      <c r="A2050" t="s">
        <v>17902</v>
      </c>
      <c r="B2050">
        <v>1</v>
      </c>
      <c r="C2050">
        <v>92</v>
      </c>
      <c r="D2050">
        <v>92</v>
      </c>
      <c r="E2050">
        <v>2</v>
      </c>
      <c r="F2050">
        <v>2</v>
      </c>
      <c r="G2050">
        <v>92</v>
      </c>
    </row>
    <row r="2051" spans="1:7" ht="15" x14ac:dyDescent="0.25">
      <c r="A2051" t="s">
        <v>17916</v>
      </c>
      <c r="B2051">
        <v>1</v>
      </c>
      <c r="C2051">
        <v>113</v>
      </c>
      <c r="D2051">
        <v>113</v>
      </c>
      <c r="E2051">
        <v>7</v>
      </c>
      <c r="F2051">
        <v>7</v>
      </c>
      <c r="G2051">
        <v>113</v>
      </c>
    </row>
    <row r="2052" spans="1:7" ht="15" x14ac:dyDescent="0.25">
      <c r="A2052" t="s">
        <v>17933</v>
      </c>
      <c r="B2052">
        <v>1</v>
      </c>
      <c r="C2052">
        <v>235</v>
      </c>
      <c r="D2052">
        <v>235</v>
      </c>
      <c r="E2052">
        <v>47</v>
      </c>
      <c r="F2052">
        <v>47</v>
      </c>
      <c r="G2052">
        <v>235</v>
      </c>
    </row>
    <row r="2053" spans="1:7" ht="15" x14ac:dyDescent="0.25">
      <c r="A2053" t="s">
        <v>17937</v>
      </c>
      <c r="B2053">
        <v>1</v>
      </c>
      <c r="C2053">
        <v>80</v>
      </c>
      <c r="D2053">
        <v>80</v>
      </c>
      <c r="E2053">
        <v>44</v>
      </c>
      <c r="F2053">
        <v>44</v>
      </c>
      <c r="G2053">
        <v>80</v>
      </c>
    </row>
    <row r="2054" spans="1:7" ht="15" x14ac:dyDescent="0.25">
      <c r="A2054" t="s">
        <v>17944</v>
      </c>
      <c r="B2054">
        <v>1</v>
      </c>
      <c r="C2054">
        <v>173</v>
      </c>
      <c r="D2054">
        <v>173</v>
      </c>
      <c r="E2054">
        <v>14</v>
      </c>
      <c r="F2054">
        <v>14</v>
      </c>
      <c r="G2054">
        <v>173</v>
      </c>
    </row>
    <row r="2055" spans="1:7" ht="15" x14ac:dyDescent="0.25">
      <c r="A2055" t="s">
        <v>17948</v>
      </c>
      <c r="B2055">
        <v>1</v>
      </c>
      <c r="C2055">
        <v>283</v>
      </c>
      <c r="D2055">
        <v>283</v>
      </c>
      <c r="E2055">
        <v>12</v>
      </c>
      <c r="F2055">
        <v>12</v>
      </c>
      <c r="G2055">
        <v>283</v>
      </c>
    </row>
    <row r="2056" spans="1:7" ht="15" x14ac:dyDescent="0.25">
      <c r="A2056" t="s">
        <v>17952</v>
      </c>
      <c r="B2056">
        <v>2</v>
      </c>
      <c r="C2056">
        <v>4384</v>
      </c>
      <c r="D2056">
        <v>8768</v>
      </c>
      <c r="E2056">
        <v>221</v>
      </c>
      <c r="F2056">
        <v>110.5</v>
      </c>
      <c r="G2056">
        <v>4384</v>
      </c>
    </row>
    <row r="2057" spans="1:7" ht="15" x14ac:dyDescent="0.25">
      <c r="A2057" t="s">
        <v>17959</v>
      </c>
      <c r="B2057">
        <v>1</v>
      </c>
      <c r="C2057">
        <v>136</v>
      </c>
      <c r="D2057">
        <v>136</v>
      </c>
      <c r="E2057">
        <v>14</v>
      </c>
      <c r="F2057">
        <v>14</v>
      </c>
      <c r="G2057">
        <v>136</v>
      </c>
    </row>
    <row r="2058" spans="1:7" ht="15" x14ac:dyDescent="0.25">
      <c r="A2058" t="s">
        <v>17974</v>
      </c>
      <c r="B2058">
        <v>1</v>
      </c>
      <c r="C2058">
        <v>140</v>
      </c>
      <c r="D2058">
        <v>140</v>
      </c>
      <c r="E2058">
        <v>48</v>
      </c>
      <c r="F2058">
        <v>48</v>
      </c>
      <c r="G2058">
        <v>140</v>
      </c>
    </row>
    <row r="2059" spans="1:7" ht="15" x14ac:dyDescent="0.25">
      <c r="A2059" t="s">
        <v>17977</v>
      </c>
      <c r="B2059">
        <v>2</v>
      </c>
      <c r="C2059">
        <v>417</v>
      </c>
      <c r="D2059">
        <v>819</v>
      </c>
      <c r="E2059">
        <v>122</v>
      </c>
      <c r="F2059">
        <v>61</v>
      </c>
      <c r="G2059">
        <v>417</v>
      </c>
    </row>
    <row r="2060" spans="1:7" ht="15" x14ac:dyDescent="0.25">
      <c r="A2060" t="s">
        <v>17984</v>
      </c>
      <c r="B2060">
        <v>1</v>
      </c>
      <c r="C2060">
        <v>391</v>
      </c>
      <c r="D2060">
        <v>391</v>
      </c>
      <c r="E2060">
        <v>49</v>
      </c>
      <c r="F2060">
        <v>49</v>
      </c>
      <c r="G2060">
        <v>391</v>
      </c>
    </row>
    <row r="2061" spans="1:7" ht="15" x14ac:dyDescent="0.25">
      <c r="A2061" t="s">
        <v>17997</v>
      </c>
      <c r="B2061">
        <v>1</v>
      </c>
      <c r="C2061">
        <v>306</v>
      </c>
      <c r="D2061">
        <v>306</v>
      </c>
      <c r="E2061">
        <v>47</v>
      </c>
      <c r="F2061">
        <v>47</v>
      </c>
      <c r="G2061">
        <v>306</v>
      </c>
    </row>
    <row r="2062" spans="1:7" ht="15" x14ac:dyDescent="0.25">
      <c r="A2062" t="s">
        <v>18004</v>
      </c>
      <c r="B2062">
        <v>3</v>
      </c>
      <c r="C2062">
        <v>324</v>
      </c>
      <c r="D2062">
        <v>915</v>
      </c>
      <c r="E2062">
        <v>137</v>
      </c>
      <c r="F2062">
        <v>45.666666666666664</v>
      </c>
      <c r="G2062">
        <v>324</v>
      </c>
    </row>
    <row r="2063" spans="1:7" ht="15" x14ac:dyDescent="0.25">
      <c r="A2063" t="s">
        <v>18015</v>
      </c>
      <c r="B2063">
        <v>1</v>
      </c>
      <c r="C2063">
        <v>84</v>
      </c>
      <c r="D2063">
        <v>84</v>
      </c>
      <c r="E2063">
        <v>21</v>
      </c>
      <c r="F2063">
        <v>21</v>
      </c>
      <c r="G2063">
        <v>84</v>
      </c>
    </row>
    <row r="2064" spans="1:7" ht="15" x14ac:dyDescent="0.25">
      <c r="A2064" t="s">
        <v>18022</v>
      </c>
      <c r="B2064">
        <v>1</v>
      </c>
      <c r="C2064">
        <v>204</v>
      </c>
      <c r="D2064">
        <v>204</v>
      </c>
      <c r="E2064">
        <v>22</v>
      </c>
      <c r="F2064">
        <v>22</v>
      </c>
      <c r="G2064">
        <v>204</v>
      </c>
    </row>
    <row r="2065" spans="1:7" ht="15" x14ac:dyDescent="0.25">
      <c r="A2065" t="s">
        <v>18042</v>
      </c>
      <c r="B2065">
        <v>1</v>
      </c>
      <c r="C2065">
        <v>162</v>
      </c>
      <c r="D2065">
        <v>162</v>
      </c>
      <c r="E2065">
        <v>6</v>
      </c>
      <c r="F2065">
        <v>6</v>
      </c>
      <c r="G2065">
        <v>162</v>
      </c>
    </row>
    <row r="2066" spans="1:7" ht="15" x14ac:dyDescent="0.25">
      <c r="A2066" t="s">
        <v>18045</v>
      </c>
      <c r="B2066">
        <v>1</v>
      </c>
      <c r="C2066">
        <v>45</v>
      </c>
      <c r="D2066">
        <v>45</v>
      </c>
      <c r="E2066">
        <v>46</v>
      </c>
      <c r="F2066">
        <v>46</v>
      </c>
      <c r="G2066">
        <v>45</v>
      </c>
    </row>
    <row r="2067" spans="1:7" ht="15" x14ac:dyDescent="0.25">
      <c r="A2067" t="s">
        <v>18053</v>
      </c>
      <c r="B2067">
        <v>1</v>
      </c>
      <c r="C2067">
        <v>605</v>
      </c>
      <c r="D2067">
        <v>605</v>
      </c>
      <c r="E2067">
        <v>81</v>
      </c>
      <c r="F2067">
        <v>81</v>
      </c>
      <c r="G2067">
        <v>605</v>
      </c>
    </row>
    <row r="2068" spans="1:7" ht="15" x14ac:dyDescent="0.25">
      <c r="A2068" t="s">
        <v>18060</v>
      </c>
      <c r="B2068">
        <v>1</v>
      </c>
      <c r="C2068">
        <v>3962</v>
      </c>
      <c r="D2068">
        <v>3962</v>
      </c>
      <c r="E2068">
        <v>148</v>
      </c>
      <c r="F2068">
        <v>148</v>
      </c>
      <c r="G2068">
        <v>3962</v>
      </c>
    </row>
    <row r="2069" spans="1:7" ht="15" x14ac:dyDescent="0.25">
      <c r="A2069" t="s">
        <v>18067</v>
      </c>
      <c r="B2069">
        <v>1</v>
      </c>
      <c r="C2069">
        <v>96</v>
      </c>
      <c r="D2069">
        <v>96</v>
      </c>
      <c r="E2069">
        <v>33</v>
      </c>
      <c r="F2069">
        <v>33</v>
      </c>
      <c r="G2069">
        <v>96</v>
      </c>
    </row>
    <row r="2070" spans="1:7" ht="15" x14ac:dyDescent="0.25">
      <c r="A2070" t="s">
        <v>18073</v>
      </c>
      <c r="B2070">
        <v>1</v>
      </c>
      <c r="C2070">
        <v>164</v>
      </c>
      <c r="D2070">
        <v>164</v>
      </c>
      <c r="E2070">
        <v>19</v>
      </c>
      <c r="F2070">
        <v>19</v>
      </c>
      <c r="G2070">
        <v>164</v>
      </c>
    </row>
    <row r="2071" spans="1:7" ht="15" x14ac:dyDescent="0.25">
      <c r="A2071" t="s">
        <v>18084</v>
      </c>
      <c r="B2071">
        <v>1</v>
      </c>
      <c r="C2071">
        <v>939</v>
      </c>
      <c r="D2071">
        <v>939</v>
      </c>
      <c r="E2071">
        <v>68</v>
      </c>
      <c r="F2071">
        <v>68</v>
      </c>
      <c r="G2071">
        <v>939</v>
      </c>
    </row>
    <row r="2072" spans="1:7" ht="15" x14ac:dyDescent="0.25">
      <c r="A2072" t="s">
        <v>18089</v>
      </c>
      <c r="B2072">
        <v>1</v>
      </c>
      <c r="C2072">
        <v>82</v>
      </c>
      <c r="D2072">
        <v>82</v>
      </c>
      <c r="E2072">
        <v>11</v>
      </c>
      <c r="F2072">
        <v>11</v>
      </c>
      <c r="G2072">
        <v>82</v>
      </c>
    </row>
    <row r="2073" spans="1:7" ht="15" x14ac:dyDescent="0.25">
      <c r="A2073" t="s">
        <v>18096</v>
      </c>
      <c r="B2073">
        <v>1</v>
      </c>
      <c r="C2073">
        <v>503</v>
      </c>
      <c r="D2073">
        <v>503</v>
      </c>
      <c r="E2073">
        <v>101</v>
      </c>
      <c r="F2073">
        <v>101</v>
      </c>
      <c r="G2073">
        <v>503</v>
      </c>
    </row>
    <row r="2074" spans="1:7" ht="15" x14ac:dyDescent="0.25">
      <c r="A2074" t="s">
        <v>18101</v>
      </c>
      <c r="B2074">
        <v>1</v>
      </c>
      <c r="C2074">
        <v>279</v>
      </c>
      <c r="D2074">
        <v>279</v>
      </c>
      <c r="E2074">
        <v>22</v>
      </c>
      <c r="F2074">
        <v>22</v>
      </c>
      <c r="G2074">
        <v>279</v>
      </c>
    </row>
    <row r="2075" spans="1:7" ht="15" x14ac:dyDescent="0.25">
      <c r="A2075" t="s">
        <v>18108</v>
      </c>
      <c r="B2075">
        <v>1</v>
      </c>
      <c r="C2075">
        <v>253</v>
      </c>
      <c r="D2075">
        <v>253</v>
      </c>
      <c r="E2075">
        <v>19</v>
      </c>
      <c r="F2075">
        <v>19</v>
      </c>
      <c r="G2075">
        <v>253</v>
      </c>
    </row>
    <row r="2076" spans="1:7" ht="15" x14ac:dyDescent="0.25">
      <c r="A2076" t="s">
        <v>18116</v>
      </c>
      <c r="B2076">
        <v>1</v>
      </c>
      <c r="C2076">
        <v>457</v>
      </c>
      <c r="D2076">
        <v>457</v>
      </c>
      <c r="E2076">
        <v>11</v>
      </c>
      <c r="F2076">
        <v>11</v>
      </c>
      <c r="G2076">
        <v>457</v>
      </c>
    </row>
    <row r="2077" spans="1:7" ht="15" x14ac:dyDescent="0.25">
      <c r="A2077" t="s">
        <v>18126</v>
      </c>
      <c r="B2077">
        <v>1</v>
      </c>
      <c r="C2077">
        <v>3303</v>
      </c>
      <c r="D2077">
        <v>3303</v>
      </c>
      <c r="E2077">
        <v>77</v>
      </c>
      <c r="F2077">
        <v>77</v>
      </c>
      <c r="G2077">
        <v>3303</v>
      </c>
    </row>
    <row r="2078" spans="1:7" ht="15" x14ac:dyDescent="0.25">
      <c r="A2078" t="s">
        <v>18140</v>
      </c>
      <c r="B2078">
        <v>1</v>
      </c>
      <c r="C2078">
        <v>147</v>
      </c>
      <c r="D2078">
        <v>147</v>
      </c>
      <c r="E2078">
        <v>0</v>
      </c>
      <c r="F2078">
        <v>0</v>
      </c>
      <c r="G2078">
        <v>147</v>
      </c>
    </row>
    <row r="2079" spans="1:7" ht="15" x14ac:dyDescent="0.25">
      <c r="A2079" t="s">
        <v>18143</v>
      </c>
      <c r="B2079">
        <v>4</v>
      </c>
      <c r="C2079">
        <v>227</v>
      </c>
      <c r="D2079">
        <v>756</v>
      </c>
      <c r="E2079">
        <v>212</v>
      </c>
      <c r="F2079">
        <v>53</v>
      </c>
      <c r="G2079">
        <v>227</v>
      </c>
    </row>
    <row r="2080" spans="1:7" ht="15" x14ac:dyDescent="0.25">
      <c r="A2080" t="s">
        <v>18151</v>
      </c>
      <c r="B2080">
        <v>1</v>
      </c>
      <c r="C2080">
        <v>487</v>
      </c>
      <c r="D2080">
        <v>487</v>
      </c>
      <c r="E2080">
        <v>24</v>
      </c>
      <c r="F2080">
        <v>24</v>
      </c>
      <c r="G2080">
        <v>487</v>
      </c>
    </row>
    <row r="2081" spans="1:7" ht="15" x14ac:dyDescent="0.25">
      <c r="A2081" t="s">
        <v>18156</v>
      </c>
      <c r="B2081">
        <v>1</v>
      </c>
      <c r="C2081">
        <v>540</v>
      </c>
      <c r="D2081">
        <v>540</v>
      </c>
      <c r="E2081">
        <v>8</v>
      </c>
      <c r="F2081">
        <v>8</v>
      </c>
      <c r="G2081">
        <v>540</v>
      </c>
    </row>
    <row r="2082" spans="1:7" ht="15" x14ac:dyDescent="0.25">
      <c r="A2082" t="s">
        <v>18160</v>
      </c>
      <c r="B2082">
        <v>1</v>
      </c>
      <c r="C2082">
        <v>17543</v>
      </c>
      <c r="D2082">
        <v>17543</v>
      </c>
      <c r="E2082">
        <v>918</v>
      </c>
      <c r="F2082">
        <v>918</v>
      </c>
      <c r="G2082">
        <v>17543</v>
      </c>
    </row>
    <row r="2083" spans="1:7" ht="15" x14ac:dyDescent="0.25">
      <c r="A2083" t="s">
        <v>18166</v>
      </c>
      <c r="B2083">
        <v>1</v>
      </c>
      <c r="C2083">
        <v>2</v>
      </c>
      <c r="D2083">
        <v>2</v>
      </c>
      <c r="E2083">
        <v>10</v>
      </c>
      <c r="F2083">
        <v>10</v>
      </c>
      <c r="G2083">
        <v>2</v>
      </c>
    </row>
    <row r="2084" spans="1:7" ht="15" x14ac:dyDescent="0.25">
      <c r="A2084" t="s">
        <v>18169</v>
      </c>
      <c r="B2084">
        <v>1</v>
      </c>
      <c r="C2084">
        <v>216</v>
      </c>
      <c r="D2084">
        <v>216</v>
      </c>
      <c r="E2084">
        <v>5</v>
      </c>
      <c r="F2084">
        <v>5</v>
      </c>
      <c r="G2084">
        <v>216</v>
      </c>
    </row>
    <row r="2085" spans="1:7" ht="15" x14ac:dyDescent="0.25">
      <c r="A2085" t="s">
        <v>18184</v>
      </c>
      <c r="B2085">
        <v>1</v>
      </c>
      <c r="C2085">
        <v>199</v>
      </c>
      <c r="D2085">
        <v>199</v>
      </c>
      <c r="E2085">
        <v>54</v>
      </c>
      <c r="F2085">
        <v>54</v>
      </c>
      <c r="G2085">
        <v>199</v>
      </c>
    </row>
    <row r="2086" spans="1:7" ht="15" x14ac:dyDescent="0.25">
      <c r="A2086" t="s">
        <v>18193</v>
      </c>
      <c r="B2086">
        <v>1</v>
      </c>
      <c r="C2086">
        <v>190</v>
      </c>
      <c r="D2086">
        <v>190</v>
      </c>
      <c r="E2086">
        <v>24</v>
      </c>
      <c r="F2086">
        <v>24</v>
      </c>
      <c r="G2086">
        <v>190</v>
      </c>
    </row>
    <row r="2087" spans="1:7" ht="15" x14ac:dyDescent="0.25">
      <c r="A2087" t="s">
        <v>18200</v>
      </c>
      <c r="B2087">
        <v>1</v>
      </c>
      <c r="C2087">
        <v>509</v>
      </c>
      <c r="D2087">
        <v>509</v>
      </c>
      <c r="E2087">
        <v>95</v>
      </c>
      <c r="F2087">
        <v>95</v>
      </c>
      <c r="G2087">
        <v>509</v>
      </c>
    </row>
    <row r="2088" spans="1:7" ht="15" x14ac:dyDescent="0.25">
      <c r="A2088" t="s">
        <v>18207</v>
      </c>
      <c r="B2088">
        <v>1</v>
      </c>
      <c r="C2088">
        <v>209</v>
      </c>
      <c r="D2088">
        <v>209</v>
      </c>
      <c r="E2088">
        <v>36</v>
      </c>
      <c r="F2088">
        <v>36</v>
      </c>
      <c r="G2088">
        <v>209</v>
      </c>
    </row>
    <row r="2089" spans="1:7" ht="15" x14ac:dyDescent="0.25">
      <c r="A2089" t="s">
        <v>18211</v>
      </c>
      <c r="B2089">
        <v>1</v>
      </c>
      <c r="C2089">
        <v>213</v>
      </c>
      <c r="D2089">
        <v>213</v>
      </c>
      <c r="E2089">
        <v>1</v>
      </c>
      <c r="F2089">
        <v>1</v>
      </c>
      <c r="G2089">
        <v>213</v>
      </c>
    </row>
    <row r="2090" spans="1:7" ht="15" x14ac:dyDescent="0.25">
      <c r="A2090" t="s">
        <v>18216</v>
      </c>
      <c r="B2090">
        <v>1</v>
      </c>
      <c r="C2090">
        <v>527</v>
      </c>
      <c r="D2090">
        <v>527</v>
      </c>
      <c r="E2090">
        <v>27</v>
      </c>
      <c r="F2090">
        <v>27</v>
      </c>
      <c r="G2090">
        <v>527</v>
      </c>
    </row>
    <row r="2091" spans="1:7" ht="15" x14ac:dyDescent="0.25">
      <c r="A2091" t="s">
        <v>18221</v>
      </c>
      <c r="B2091">
        <v>1</v>
      </c>
      <c r="C2091">
        <v>275</v>
      </c>
      <c r="D2091">
        <v>275</v>
      </c>
      <c r="E2091">
        <v>68</v>
      </c>
      <c r="F2091">
        <v>68</v>
      </c>
      <c r="G2091">
        <v>275</v>
      </c>
    </row>
    <row r="2092" spans="1:7" ht="15" x14ac:dyDescent="0.25">
      <c r="A2092" t="s">
        <v>18229</v>
      </c>
      <c r="B2092">
        <v>1</v>
      </c>
      <c r="C2092">
        <v>245</v>
      </c>
      <c r="D2092">
        <v>245</v>
      </c>
      <c r="E2092">
        <v>13</v>
      </c>
      <c r="F2092">
        <v>13</v>
      </c>
      <c r="G2092">
        <v>245</v>
      </c>
    </row>
    <row r="2093" spans="1:7" ht="15" x14ac:dyDescent="0.25">
      <c r="A2093" t="s">
        <v>18235</v>
      </c>
      <c r="B2093">
        <v>1</v>
      </c>
      <c r="C2093">
        <v>145</v>
      </c>
      <c r="D2093">
        <v>145</v>
      </c>
      <c r="E2093">
        <v>27</v>
      </c>
      <c r="F2093">
        <v>27</v>
      </c>
      <c r="G2093">
        <v>145</v>
      </c>
    </row>
    <row r="2094" spans="1:7" ht="15" x14ac:dyDescent="0.25">
      <c r="A2094" t="s">
        <v>18238</v>
      </c>
      <c r="B2094">
        <v>1</v>
      </c>
      <c r="D2094">
        <v>0</v>
      </c>
      <c r="E2094">
        <v>6</v>
      </c>
      <c r="F2094">
        <v>6</v>
      </c>
    </row>
    <row r="2095" spans="1:7" ht="15" x14ac:dyDescent="0.25">
      <c r="A2095" t="s">
        <v>18243</v>
      </c>
      <c r="B2095">
        <v>1</v>
      </c>
      <c r="C2095">
        <v>570</v>
      </c>
      <c r="D2095">
        <v>570</v>
      </c>
      <c r="E2095">
        <v>56</v>
      </c>
      <c r="F2095">
        <v>56</v>
      </c>
      <c r="G2095">
        <v>570</v>
      </c>
    </row>
    <row r="2096" spans="1:7" ht="15" x14ac:dyDescent="0.25">
      <c r="A2096" t="s">
        <v>18254</v>
      </c>
      <c r="B2096">
        <v>2</v>
      </c>
      <c r="C2096">
        <v>188</v>
      </c>
      <c r="D2096">
        <v>378</v>
      </c>
      <c r="E2096">
        <v>39</v>
      </c>
      <c r="F2096">
        <v>19.5</v>
      </c>
      <c r="G2096">
        <v>190</v>
      </c>
    </row>
    <row r="2097" spans="1:7" ht="15" x14ac:dyDescent="0.25">
      <c r="A2097" t="s">
        <v>18266</v>
      </c>
      <c r="B2097">
        <v>1</v>
      </c>
      <c r="C2097">
        <v>407</v>
      </c>
      <c r="D2097">
        <v>407</v>
      </c>
      <c r="E2097">
        <v>29</v>
      </c>
      <c r="F2097">
        <v>29</v>
      </c>
      <c r="G2097">
        <v>407</v>
      </c>
    </row>
    <row r="2098" spans="1:7" ht="15" x14ac:dyDescent="0.25">
      <c r="A2098" t="s">
        <v>18276</v>
      </c>
      <c r="B2098">
        <v>1</v>
      </c>
      <c r="D2098">
        <v>0</v>
      </c>
      <c r="E2098">
        <v>14</v>
      </c>
      <c r="F2098">
        <v>14</v>
      </c>
    </row>
    <row r="2099" spans="1:7" ht="15" x14ac:dyDescent="0.25">
      <c r="A2099" t="s">
        <v>18280</v>
      </c>
      <c r="B2099">
        <v>1</v>
      </c>
      <c r="C2099">
        <v>1873</v>
      </c>
      <c r="D2099">
        <v>1873</v>
      </c>
      <c r="E2099">
        <v>61</v>
      </c>
      <c r="F2099">
        <v>61</v>
      </c>
      <c r="G2099">
        <v>1873</v>
      </c>
    </row>
    <row r="2100" spans="1:7" ht="15" x14ac:dyDescent="0.25">
      <c r="A2100" t="s">
        <v>18287</v>
      </c>
      <c r="B2100">
        <v>4</v>
      </c>
      <c r="C2100">
        <v>1195</v>
      </c>
      <c r="D2100">
        <v>4758</v>
      </c>
      <c r="E2100">
        <v>480</v>
      </c>
      <c r="F2100">
        <v>120</v>
      </c>
      <c r="G2100">
        <v>1198</v>
      </c>
    </row>
    <row r="2101" spans="1:7" ht="15" x14ac:dyDescent="0.25">
      <c r="A2101" t="s">
        <v>18296</v>
      </c>
      <c r="B2101">
        <v>1</v>
      </c>
      <c r="C2101">
        <v>985</v>
      </c>
      <c r="D2101">
        <v>985</v>
      </c>
      <c r="E2101">
        <v>284</v>
      </c>
      <c r="F2101">
        <v>284</v>
      </c>
      <c r="G2101">
        <v>985</v>
      </c>
    </row>
    <row r="2102" spans="1:7" ht="15" x14ac:dyDescent="0.25">
      <c r="A2102" t="s">
        <v>18299</v>
      </c>
      <c r="B2102">
        <v>1</v>
      </c>
      <c r="C2102">
        <v>430</v>
      </c>
      <c r="D2102">
        <v>430</v>
      </c>
      <c r="E2102">
        <v>8</v>
      </c>
      <c r="F2102">
        <v>8</v>
      </c>
      <c r="G2102">
        <v>430</v>
      </c>
    </row>
    <row r="2103" spans="1:7" ht="15" x14ac:dyDescent="0.25">
      <c r="A2103" t="s">
        <v>18309</v>
      </c>
      <c r="B2103">
        <v>21</v>
      </c>
      <c r="C2103">
        <v>50</v>
      </c>
      <c r="D2103">
        <v>466</v>
      </c>
      <c r="E2103">
        <v>388</v>
      </c>
      <c r="F2103">
        <v>18.476190476190474</v>
      </c>
      <c r="G2103">
        <v>51</v>
      </c>
    </row>
    <row r="2104" spans="1:7" ht="15" x14ac:dyDescent="0.25">
      <c r="A2104" t="s">
        <v>18312</v>
      </c>
      <c r="B2104">
        <v>1</v>
      </c>
      <c r="C2104">
        <v>382</v>
      </c>
      <c r="D2104">
        <v>382</v>
      </c>
      <c r="E2104">
        <v>24</v>
      </c>
      <c r="F2104">
        <v>24</v>
      </c>
      <c r="G2104">
        <v>382</v>
      </c>
    </row>
    <row r="2105" spans="1:7" ht="15" x14ac:dyDescent="0.25">
      <c r="A2105" t="s">
        <v>18317</v>
      </c>
      <c r="B2105">
        <v>1</v>
      </c>
      <c r="C2105">
        <v>317</v>
      </c>
      <c r="D2105">
        <v>317</v>
      </c>
      <c r="E2105">
        <v>65</v>
      </c>
      <c r="F2105">
        <v>65</v>
      </c>
      <c r="G2105">
        <v>317</v>
      </c>
    </row>
    <row r="2106" spans="1:7" ht="15" x14ac:dyDescent="0.25">
      <c r="A2106" t="s">
        <v>18327</v>
      </c>
      <c r="B2106">
        <v>1</v>
      </c>
      <c r="C2106">
        <v>219</v>
      </c>
      <c r="D2106">
        <v>219</v>
      </c>
      <c r="E2106">
        <v>12</v>
      </c>
      <c r="F2106">
        <v>12</v>
      </c>
      <c r="G2106">
        <v>219</v>
      </c>
    </row>
    <row r="2107" spans="1:7" ht="15" x14ac:dyDescent="0.25">
      <c r="A2107" t="s">
        <v>18332</v>
      </c>
      <c r="B2107">
        <v>3</v>
      </c>
      <c r="C2107">
        <v>848</v>
      </c>
      <c r="D2107">
        <v>2575</v>
      </c>
      <c r="E2107">
        <v>95</v>
      </c>
      <c r="F2107">
        <v>31.666666666666668</v>
      </c>
      <c r="G2107">
        <v>867</v>
      </c>
    </row>
    <row r="2108" spans="1:7" ht="15" x14ac:dyDescent="0.25">
      <c r="A2108" t="s">
        <v>18339</v>
      </c>
      <c r="B2108">
        <v>1</v>
      </c>
      <c r="C2108">
        <v>171</v>
      </c>
      <c r="D2108">
        <v>171</v>
      </c>
      <c r="E2108">
        <v>39</v>
      </c>
      <c r="F2108">
        <v>39</v>
      </c>
      <c r="G2108">
        <v>171</v>
      </c>
    </row>
    <row r="2109" spans="1:7" ht="15" x14ac:dyDescent="0.25">
      <c r="A2109" t="s">
        <v>18344</v>
      </c>
      <c r="B2109">
        <v>1</v>
      </c>
      <c r="C2109">
        <v>557</v>
      </c>
      <c r="D2109">
        <v>557</v>
      </c>
      <c r="E2109">
        <v>31</v>
      </c>
      <c r="F2109">
        <v>31</v>
      </c>
      <c r="G2109">
        <v>557</v>
      </c>
    </row>
    <row r="2110" spans="1:7" ht="15" x14ac:dyDescent="0.25">
      <c r="A2110" t="s">
        <v>18348</v>
      </c>
      <c r="B2110">
        <v>1</v>
      </c>
      <c r="C2110">
        <v>51</v>
      </c>
      <c r="D2110">
        <v>51</v>
      </c>
      <c r="E2110">
        <v>11</v>
      </c>
      <c r="F2110">
        <v>11</v>
      </c>
      <c r="G2110">
        <v>51</v>
      </c>
    </row>
    <row r="2111" spans="1:7" ht="15" x14ac:dyDescent="0.25">
      <c r="A2111" t="s">
        <v>18365</v>
      </c>
      <c r="B2111">
        <v>1</v>
      </c>
      <c r="C2111">
        <v>1235</v>
      </c>
      <c r="D2111">
        <v>1235</v>
      </c>
      <c r="E2111">
        <v>73</v>
      </c>
      <c r="F2111">
        <v>73</v>
      </c>
      <c r="G2111">
        <v>1235</v>
      </c>
    </row>
    <row r="2112" spans="1:7" ht="15" x14ac:dyDescent="0.25">
      <c r="A2112" t="s">
        <v>18372</v>
      </c>
      <c r="B2112">
        <v>1</v>
      </c>
      <c r="C2112">
        <v>651</v>
      </c>
      <c r="D2112">
        <v>651</v>
      </c>
      <c r="E2112">
        <v>16</v>
      </c>
      <c r="F2112">
        <v>16</v>
      </c>
      <c r="G2112">
        <v>651</v>
      </c>
    </row>
    <row r="2113" spans="1:7" ht="15" x14ac:dyDescent="0.25">
      <c r="A2113" t="s">
        <v>18378</v>
      </c>
      <c r="B2113">
        <v>1</v>
      </c>
      <c r="C2113">
        <v>275</v>
      </c>
      <c r="D2113">
        <v>275</v>
      </c>
      <c r="E2113">
        <v>51</v>
      </c>
      <c r="F2113">
        <v>51</v>
      </c>
      <c r="G2113">
        <v>275</v>
      </c>
    </row>
    <row r="2114" spans="1:7" ht="15" x14ac:dyDescent="0.25">
      <c r="A2114" t="s">
        <v>18387</v>
      </c>
      <c r="B2114">
        <v>1</v>
      </c>
      <c r="C2114">
        <v>259</v>
      </c>
      <c r="D2114">
        <v>259</v>
      </c>
      <c r="E2114">
        <v>40</v>
      </c>
      <c r="F2114">
        <v>40</v>
      </c>
      <c r="G2114">
        <v>259</v>
      </c>
    </row>
    <row r="2115" spans="1:7" ht="15" x14ac:dyDescent="0.25">
      <c r="A2115" t="s">
        <v>18407</v>
      </c>
      <c r="B2115">
        <v>1</v>
      </c>
      <c r="C2115">
        <v>96</v>
      </c>
      <c r="D2115">
        <v>96</v>
      </c>
      <c r="E2115">
        <v>11</v>
      </c>
      <c r="F2115">
        <v>11</v>
      </c>
      <c r="G2115">
        <v>96</v>
      </c>
    </row>
    <row r="2116" spans="1:7" ht="15" x14ac:dyDescent="0.25">
      <c r="A2116" t="s">
        <v>18428</v>
      </c>
      <c r="B2116">
        <v>1</v>
      </c>
      <c r="C2116">
        <v>188</v>
      </c>
      <c r="D2116">
        <v>188</v>
      </c>
      <c r="E2116">
        <v>58</v>
      </c>
      <c r="F2116">
        <v>58</v>
      </c>
      <c r="G2116">
        <v>188</v>
      </c>
    </row>
    <row r="2117" spans="1:7" ht="15" x14ac:dyDescent="0.25">
      <c r="A2117" t="s">
        <v>18436</v>
      </c>
      <c r="B2117">
        <v>1</v>
      </c>
      <c r="C2117">
        <v>240</v>
      </c>
      <c r="D2117">
        <v>240</v>
      </c>
      <c r="E2117">
        <v>8</v>
      </c>
      <c r="F2117">
        <v>8</v>
      </c>
      <c r="G2117">
        <v>240</v>
      </c>
    </row>
    <row r="2118" spans="1:7" ht="15" x14ac:dyDescent="0.25">
      <c r="A2118" t="s">
        <v>18451</v>
      </c>
      <c r="B2118">
        <v>2</v>
      </c>
      <c r="C2118">
        <v>175</v>
      </c>
      <c r="D2118">
        <v>348</v>
      </c>
      <c r="E2118">
        <v>42</v>
      </c>
      <c r="F2118">
        <v>21</v>
      </c>
      <c r="G2118">
        <v>175</v>
      </c>
    </row>
    <row r="2119" spans="1:7" ht="15" x14ac:dyDescent="0.25">
      <c r="A2119" t="s">
        <v>18464</v>
      </c>
      <c r="B2119">
        <v>1</v>
      </c>
      <c r="C2119">
        <v>430</v>
      </c>
      <c r="D2119">
        <v>430</v>
      </c>
      <c r="E2119">
        <v>41</v>
      </c>
      <c r="F2119">
        <v>41</v>
      </c>
      <c r="G2119">
        <v>430</v>
      </c>
    </row>
    <row r="2120" spans="1:7" ht="15" x14ac:dyDescent="0.25">
      <c r="A2120" t="s">
        <v>18476</v>
      </c>
      <c r="B2120">
        <v>1</v>
      </c>
      <c r="C2120">
        <v>117</v>
      </c>
      <c r="D2120">
        <v>117</v>
      </c>
      <c r="E2120">
        <v>25</v>
      </c>
      <c r="F2120">
        <v>25</v>
      </c>
      <c r="G2120">
        <v>117</v>
      </c>
    </row>
    <row r="2121" spans="1:7" ht="15" x14ac:dyDescent="0.25">
      <c r="A2121" t="s">
        <v>18482</v>
      </c>
      <c r="B2121">
        <v>1</v>
      </c>
      <c r="C2121">
        <v>56</v>
      </c>
      <c r="D2121">
        <v>56</v>
      </c>
      <c r="E2121">
        <v>3</v>
      </c>
      <c r="F2121">
        <v>3</v>
      </c>
      <c r="G2121">
        <v>56</v>
      </c>
    </row>
    <row r="2122" spans="1:7" ht="15" x14ac:dyDescent="0.25">
      <c r="A2122" t="s">
        <v>18487</v>
      </c>
      <c r="B2122">
        <v>1</v>
      </c>
      <c r="C2122">
        <v>278</v>
      </c>
      <c r="D2122">
        <v>278</v>
      </c>
      <c r="E2122">
        <v>33</v>
      </c>
      <c r="F2122">
        <v>33</v>
      </c>
      <c r="G2122">
        <v>278</v>
      </c>
    </row>
    <row r="2123" spans="1:7" ht="15" x14ac:dyDescent="0.25">
      <c r="A2123" t="s">
        <v>18492</v>
      </c>
      <c r="B2123">
        <v>1</v>
      </c>
      <c r="C2123">
        <v>580</v>
      </c>
      <c r="D2123">
        <v>580</v>
      </c>
      <c r="E2123">
        <v>27</v>
      </c>
      <c r="F2123">
        <v>27</v>
      </c>
      <c r="G2123">
        <v>580</v>
      </c>
    </row>
    <row r="2124" spans="1:7" ht="15" x14ac:dyDescent="0.25">
      <c r="A2124" t="s">
        <v>18497</v>
      </c>
      <c r="B2124">
        <v>1</v>
      </c>
      <c r="C2124">
        <v>127</v>
      </c>
      <c r="D2124">
        <v>127</v>
      </c>
      <c r="E2124">
        <v>17</v>
      </c>
      <c r="F2124">
        <v>17</v>
      </c>
      <c r="G2124">
        <v>127</v>
      </c>
    </row>
    <row r="2125" spans="1:7" ht="15" x14ac:dyDescent="0.25">
      <c r="A2125" t="s">
        <v>18505</v>
      </c>
      <c r="B2125">
        <v>1</v>
      </c>
      <c r="C2125">
        <v>678</v>
      </c>
      <c r="D2125">
        <v>678</v>
      </c>
      <c r="E2125">
        <v>143</v>
      </c>
      <c r="F2125">
        <v>143</v>
      </c>
      <c r="G2125">
        <v>678</v>
      </c>
    </row>
    <row r="2126" spans="1:7" ht="15" x14ac:dyDescent="0.25">
      <c r="A2126" t="s">
        <v>18513</v>
      </c>
      <c r="B2126">
        <v>1</v>
      </c>
      <c r="C2126">
        <v>360</v>
      </c>
      <c r="D2126">
        <v>360</v>
      </c>
      <c r="E2126">
        <v>9</v>
      </c>
      <c r="F2126">
        <v>9</v>
      </c>
      <c r="G2126">
        <v>360</v>
      </c>
    </row>
    <row r="2127" spans="1:7" ht="15" x14ac:dyDescent="0.25">
      <c r="A2127" t="s">
        <v>18516</v>
      </c>
      <c r="B2127">
        <v>1</v>
      </c>
      <c r="C2127">
        <v>8</v>
      </c>
      <c r="D2127">
        <v>8</v>
      </c>
      <c r="E2127">
        <v>1</v>
      </c>
      <c r="F2127">
        <v>1</v>
      </c>
      <c r="G2127">
        <v>8</v>
      </c>
    </row>
    <row r="2128" spans="1:7" ht="15" x14ac:dyDescent="0.25">
      <c r="A2128" t="s">
        <v>18520</v>
      </c>
      <c r="B2128">
        <v>1</v>
      </c>
      <c r="C2128">
        <v>929</v>
      </c>
      <c r="D2128">
        <v>929</v>
      </c>
      <c r="E2128">
        <v>103</v>
      </c>
      <c r="F2128">
        <v>103</v>
      </c>
      <c r="G2128">
        <v>929</v>
      </c>
    </row>
    <row r="2129" spans="1:7" ht="15" x14ac:dyDescent="0.25">
      <c r="A2129" t="s">
        <v>18527</v>
      </c>
      <c r="B2129">
        <v>1</v>
      </c>
      <c r="C2129">
        <v>259</v>
      </c>
      <c r="D2129">
        <v>259</v>
      </c>
      <c r="E2129">
        <v>23</v>
      </c>
      <c r="F2129">
        <v>23</v>
      </c>
      <c r="G2129">
        <v>259</v>
      </c>
    </row>
    <row r="2130" spans="1:7" ht="15" x14ac:dyDescent="0.25">
      <c r="A2130" t="s">
        <v>18532</v>
      </c>
      <c r="B2130">
        <v>1</v>
      </c>
      <c r="C2130">
        <v>4</v>
      </c>
      <c r="D2130">
        <v>4</v>
      </c>
      <c r="E2130">
        <v>1</v>
      </c>
      <c r="F2130">
        <v>1</v>
      </c>
      <c r="G2130">
        <v>4</v>
      </c>
    </row>
    <row r="2131" spans="1:7" ht="15" x14ac:dyDescent="0.25">
      <c r="A2131" t="s">
        <v>18537</v>
      </c>
      <c r="B2131">
        <v>1</v>
      </c>
      <c r="C2131">
        <v>408</v>
      </c>
      <c r="D2131">
        <v>408</v>
      </c>
      <c r="E2131">
        <v>18</v>
      </c>
      <c r="F2131">
        <v>18</v>
      </c>
      <c r="G2131">
        <v>408</v>
      </c>
    </row>
    <row r="2132" spans="1:7" ht="15" x14ac:dyDescent="0.25">
      <c r="A2132" t="s">
        <v>18546</v>
      </c>
      <c r="B2132">
        <v>1</v>
      </c>
      <c r="C2132">
        <v>410</v>
      </c>
      <c r="D2132">
        <v>410</v>
      </c>
      <c r="E2132">
        <v>16</v>
      </c>
      <c r="F2132">
        <v>16</v>
      </c>
      <c r="G2132">
        <v>410</v>
      </c>
    </row>
    <row r="2133" spans="1:7" ht="15" x14ac:dyDescent="0.25">
      <c r="A2133" t="s">
        <v>18554</v>
      </c>
      <c r="B2133">
        <v>1</v>
      </c>
      <c r="C2133">
        <v>480</v>
      </c>
      <c r="D2133">
        <v>480</v>
      </c>
      <c r="E2133">
        <v>14</v>
      </c>
      <c r="F2133">
        <v>14</v>
      </c>
      <c r="G2133">
        <v>480</v>
      </c>
    </row>
    <row r="2134" spans="1:7" ht="15" x14ac:dyDescent="0.25">
      <c r="A2134" t="s">
        <v>18559</v>
      </c>
      <c r="B2134">
        <v>1</v>
      </c>
      <c r="C2134">
        <v>1033</v>
      </c>
      <c r="D2134">
        <v>1033</v>
      </c>
      <c r="E2134">
        <v>47</v>
      </c>
      <c r="F2134">
        <v>47</v>
      </c>
      <c r="G2134">
        <v>1033</v>
      </c>
    </row>
    <row r="2135" spans="1:7" ht="15" x14ac:dyDescent="0.25">
      <c r="A2135" t="s">
        <v>18564</v>
      </c>
      <c r="B2135">
        <v>1</v>
      </c>
      <c r="C2135">
        <v>481</v>
      </c>
      <c r="D2135">
        <v>481</v>
      </c>
      <c r="E2135">
        <v>24</v>
      </c>
      <c r="F2135">
        <v>24</v>
      </c>
      <c r="G2135">
        <v>481</v>
      </c>
    </row>
    <row r="2136" spans="1:7" ht="15" x14ac:dyDescent="0.25">
      <c r="A2136" t="s">
        <v>18573</v>
      </c>
      <c r="B2136">
        <v>2</v>
      </c>
      <c r="C2136">
        <v>484</v>
      </c>
      <c r="D2136">
        <v>959</v>
      </c>
      <c r="E2136">
        <v>344</v>
      </c>
      <c r="F2136">
        <v>172</v>
      </c>
      <c r="G2136">
        <v>484</v>
      </c>
    </row>
    <row r="2137" spans="1:7" ht="15" x14ac:dyDescent="0.25">
      <c r="A2137" t="s">
        <v>18577</v>
      </c>
      <c r="B2137">
        <v>1</v>
      </c>
      <c r="C2137">
        <v>472</v>
      </c>
      <c r="D2137">
        <v>472</v>
      </c>
      <c r="E2137">
        <v>75</v>
      </c>
      <c r="F2137">
        <v>75</v>
      </c>
      <c r="G2137">
        <v>472</v>
      </c>
    </row>
    <row r="2138" spans="1:7" ht="15" x14ac:dyDescent="0.25">
      <c r="A2138" t="s">
        <v>18584</v>
      </c>
      <c r="B2138">
        <v>1</v>
      </c>
      <c r="C2138">
        <v>348</v>
      </c>
      <c r="D2138">
        <v>348</v>
      </c>
      <c r="E2138">
        <v>41</v>
      </c>
      <c r="F2138">
        <v>41</v>
      </c>
      <c r="G2138">
        <v>348</v>
      </c>
    </row>
    <row r="2139" spans="1:7" ht="15" x14ac:dyDescent="0.25">
      <c r="A2139" t="s">
        <v>18605</v>
      </c>
      <c r="B2139">
        <v>1</v>
      </c>
      <c r="C2139">
        <v>244</v>
      </c>
      <c r="D2139">
        <v>244</v>
      </c>
      <c r="E2139">
        <v>31</v>
      </c>
      <c r="F2139">
        <v>31</v>
      </c>
      <c r="G2139">
        <v>244</v>
      </c>
    </row>
    <row r="2140" spans="1:7" ht="15" x14ac:dyDescent="0.25">
      <c r="A2140" t="s">
        <v>18612</v>
      </c>
      <c r="B2140">
        <v>3</v>
      </c>
      <c r="C2140">
        <v>360</v>
      </c>
      <c r="D2140">
        <v>1086</v>
      </c>
      <c r="E2140">
        <v>97</v>
      </c>
      <c r="F2140">
        <v>32.333333333333336</v>
      </c>
      <c r="G2140">
        <v>365</v>
      </c>
    </row>
    <row r="2141" spans="1:7" ht="15" x14ac:dyDescent="0.25">
      <c r="A2141" t="s">
        <v>18617</v>
      </c>
      <c r="B2141">
        <v>1</v>
      </c>
      <c r="C2141">
        <v>956</v>
      </c>
      <c r="D2141">
        <v>956</v>
      </c>
      <c r="E2141">
        <v>18</v>
      </c>
      <c r="F2141">
        <v>18</v>
      </c>
      <c r="G2141">
        <v>956</v>
      </c>
    </row>
    <row r="2142" spans="1:7" ht="15" x14ac:dyDescent="0.25">
      <c r="A2142" t="s">
        <v>18627</v>
      </c>
      <c r="B2142">
        <v>1</v>
      </c>
      <c r="C2142">
        <v>240</v>
      </c>
      <c r="D2142">
        <v>240</v>
      </c>
      <c r="E2142">
        <v>50</v>
      </c>
      <c r="F2142">
        <v>50</v>
      </c>
      <c r="G2142">
        <v>240</v>
      </c>
    </row>
    <row r="2143" spans="1:7" ht="15" x14ac:dyDescent="0.25">
      <c r="A2143" t="s">
        <v>18633</v>
      </c>
      <c r="B2143">
        <v>1</v>
      </c>
      <c r="C2143">
        <v>497</v>
      </c>
      <c r="D2143">
        <v>497</v>
      </c>
      <c r="E2143">
        <v>89</v>
      </c>
      <c r="F2143">
        <v>89</v>
      </c>
      <c r="G2143">
        <v>497</v>
      </c>
    </row>
    <row r="2144" spans="1:7" ht="15" x14ac:dyDescent="0.25">
      <c r="A2144" t="s">
        <v>18641</v>
      </c>
      <c r="B2144">
        <v>1</v>
      </c>
      <c r="C2144">
        <v>456</v>
      </c>
      <c r="D2144">
        <v>456</v>
      </c>
      <c r="E2144">
        <v>25</v>
      </c>
      <c r="F2144">
        <v>25</v>
      </c>
      <c r="G2144">
        <v>456</v>
      </c>
    </row>
    <row r="2145" spans="1:7" ht="15" x14ac:dyDescent="0.25">
      <c r="A2145" t="s">
        <v>18650</v>
      </c>
      <c r="B2145">
        <v>1</v>
      </c>
      <c r="C2145">
        <v>43</v>
      </c>
      <c r="D2145">
        <v>43</v>
      </c>
      <c r="E2145">
        <v>13</v>
      </c>
      <c r="F2145">
        <v>13</v>
      </c>
      <c r="G2145">
        <v>43</v>
      </c>
    </row>
    <row r="2146" spans="1:7" ht="15" x14ac:dyDescent="0.25">
      <c r="A2146" t="s">
        <v>18659</v>
      </c>
      <c r="B2146">
        <v>1</v>
      </c>
      <c r="C2146">
        <v>199</v>
      </c>
      <c r="D2146">
        <v>199</v>
      </c>
      <c r="E2146">
        <v>36</v>
      </c>
      <c r="F2146">
        <v>36</v>
      </c>
      <c r="G2146">
        <v>199</v>
      </c>
    </row>
    <row r="2147" spans="1:7" ht="15" x14ac:dyDescent="0.25">
      <c r="A2147" t="s">
        <v>18667</v>
      </c>
      <c r="B2147">
        <v>1</v>
      </c>
      <c r="C2147">
        <v>350</v>
      </c>
      <c r="D2147">
        <v>350</v>
      </c>
      <c r="E2147">
        <v>0</v>
      </c>
      <c r="F2147">
        <v>0</v>
      </c>
      <c r="G2147">
        <v>350</v>
      </c>
    </row>
    <row r="2148" spans="1:7" ht="15" x14ac:dyDescent="0.25">
      <c r="A2148" t="s">
        <v>18672</v>
      </c>
      <c r="B2148">
        <v>1</v>
      </c>
      <c r="C2148">
        <v>904</v>
      </c>
      <c r="D2148">
        <v>904</v>
      </c>
      <c r="E2148">
        <v>35</v>
      </c>
      <c r="F2148">
        <v>35</v>
      </c>
      <c r="G2148">
        <v>904</v>
      </c>
    </row>
    <row r="2149" spans="1:7" ht="15" x14ac:dyDescent="0.25">
      <c r="A2149" t="s">
        <v>18686</v>
      </c>
      <c r="B2149">
        <v>1</v>
      </c>
      <c r="C2149">
        <v>170</v>
      </c>
      <c r="D2149">
        <v>170</v>
      </c>
      <c r="E2149">
        <v>178</v>
      </c>
      <c r="F2149">
        <v>178</v>
      </c>
      <c r="G2149">
        <v>170</v>
      </c>
    </row>
    <row r="2150" spans="1:7" ht="15" x14ac:dyDescent="0.25">
      <c r="A2150" t="s">
        <v>18689</v>
      </c>
      <c r="B2150">
        <v>1</v>
      </c>
      <c r="C2150">
        <v>84</v>
      </c>
      <c r="D2150">
        <v>84</v>
      </c>
      <c r="E2150">
        <v>22</v>
      </c>
      <c r="F2150">
        <v>22</v>
      </c>
      <c r="G2150">
        <v>84</v>
      </c>
    </row>
    <row r="2151" spans="1:7" ht="15" x14ac:dyDescent="0.25">
      <c r="A2151" t="s">
        <v>18697</v>
      </c>
      <c r="B2151">
        <v>1</v>
      </c>
      <c r="C2151">
        <v>257</v>
      </c>
      <c r="D2151">
        <v>257</v>
      </c>
      <c r="E2151">
        <v>32</v>
      </c>
      <c r="F2151">
        <v>32</v>
      </c>
      <c r="G2151">
        <v>257</v>
      </c>
    </row>
    <row r="2152" spans="1:7" ht="15" x14ac:dyDescent="0.25">
      <c r="A2152" t="s">
        <v>18703</v>
      </c>
      <c r="B2152">
        <v>1</v>
      </c>
      <c r="C2152">
        <v>10847</v>
      </c>
      <c r="D2152">
        <v>10847</v>
      </c>
      <c r="E2152">
        <v>164</v>
      </c>
      <c r="F2152">
        <v>164</v>
      </c>
      <c r="G2152">
        <v>10847</v>
      </c>
    </row>
    <row r="2153" spans="1:7" ht="15" x14ac:dyDescent="0.25">
      <c r="A2153" t="s">
        <v>18710</v>
      </c>
      <c r="B2153">
        <v>1</v>
      </c>
      <c r="C2153">
        <v>291</v>
      </c>
      <c r="D2153">
        <v>291</v>
      </c>
      <c r="E2153">
        <v>15</v>
      </c>
      <c r="F2153">
        <v>15</v>
      </c>
      <c r="G2153">
        <v>291</v>
      </c>
    </row>
    <row r="2154" spans="1:7" ht="15" x14ac:dyDescent="0.25">
      <c r="A2154" t="s">
        <v>18717</v>
      </c>
      <c r="B2154">
        <v>1</v>
      </c>
      <c r="C2154">
        <v>75</v>
      </c>
      <c r="D2154">
        <v>75</v>
      </c>
      <c r="E2154">
        <v>17</v>
      </c>
      <c r="F2154">
        <v>17</v>
      </c>
      <c r="G2154">
        <v>75</v>
      </c>
    </row>
    <row r="2155" spans="1:7" ht="15" x14ac:dyDescent="0.25">
      <c r="A2155" t="s">
        <v>18723</v>
      </c>
      <c r="B2155">
        <v>1</v>
      </c>
      <c r="C2155">
        <v>90</v>
      </c>
      <c r="D2155">
        <v>90</v>
      </c>
      <c r="E2155">
        <v>27</v>
      </c>
      <c r="F2155">
        <v>27</v>
      </c>
      <c r="G2155">
        <v>90</v>
      </c>
    </row>
    <row r="2156" spans="1:7" ht="15" x14ac:dyDescent="0.25">
      <c r="A2156" t="s">
        <v>18729</v>
      </c>
      <c r="B2156">
        <v>1</v>
      </c>
      <c r="C2156">
        <v>348</v>
      </c>
      <c r="D2156">
        <v>348</v>
      </c>
      <c r="E2156">
        <v>21</v>
      </c>
      <c r="F2156">
        <v>21</v>
      </c>
      <c r="G2156">
        <v>348</v>
      </c>
    </row>
    <row r="2157" spans="1:7" ht="15" x14ac:dyDescent="0.25">
      <c r="A2157" t="s">
        <v>18734</v>
      </c>
      <c r="B2157">
        <v>1</v>
      </c>
      <c r="C2157">
        <v>2270</v>
      </c>
      <c r="D2157">
        <v>2270</v>
      </c>
      <c r="E2157">
        <v>245</v>
      </c>
      <c r="F2157">
        <v>245</v>
      </c>
      <c r="G2157">
        <v>2270</v>
      </c>
    </row>
    <row r="2158" spans="1:7" ht="15" x14ac:dyDescent="0.25">
      <c r="A2158" t="s">
        <v>18744</v>
      </c>
      <c r="B2158">
        <v>1</v>
      </c>
      <c r="C2158">
        <v>264</v>
      </c>
      <c r="D2158">
        <v>264</v>
      </c>
      <c r="E2158">
        <v>31</v>
      </c>
      <c r="F2158">
        <v>31</v>
      </c>
      <c r="G2158">
        <v>264</v>
      </c>
    </row>
    <row r="2159" spans="1:7" ht="15" x14ac:dyDescent="0.25">
      <c r="A2159" t="s">
        <v>18752</v>
      </c>
      <c r="B2159">
        <v>1</v>
      </c>
      <c r="D2159">
        <v>0</v>
      </c>
      <c r="E2159">
        <v>64</v>
      </c>
      <c r="F2159">
        <v>64</v>
      </c>
    </row>
    <row r="2160" spans="1:7" ht="15" x14ac:dyDescent="0.25">
      <c r="A2160" t="s">
        <v>18757</v>
      </c>
      <c r="B2160">
        <v>1</v>
      </c>
      <c r="C2160">
        <v>2622</v>
      </c>
      <c r="D2160">
        <v>2622</v>
      </c>
      <c r="E2160">
        <v>371</v>
      </c>
      <c r="F2160">
        <v>371</v>
      </c>
      <c r="G2160">
        <v>2622</v>
      </c>
    </row>
    <row r="2161" spans="1:7" ht="15" x14ac:dyDescent="0.25">
      <c r="A2161" t="s">
        <v>18769</v>
      </c>
      <c r="B2161">
        <v>1</v>
      </c>
      <c r="C2161">
        <v>88</v>
      </c>
      <c r="D2161">
        <v>88</v>
      </c>
      <c r="E2161">
        <v>36</v>
      </c>
      <c r="F2161">
        <v>36</v>
      </c>
      <c r="G2161">
        <v>88</v>
      </c>
    </row>
    <row r="2162" spans="1:7" ht="15" x14ac:dyDescent="0.25">
      <c r="A2162" t="s">
        <v>18774</v>
      </c>
      <c r="B2162">
        <v>1</v>
      </c>
      <c r="C2162">
        <v>488</v>
      </c>
      <c r="D2162">
        <v>488</v>
      </c>
      <c r="E2162">
        <v>81</v>
      </c>
      <c r="F2162">
        <v>81</v>
      </c>
      <c r="G2162">
        <v>488</v>
      </c>
    </row>
    <row r="2163" spans="1:7" ht="15" x14ac:dyDescent="0.25">
      <c r="A2163" t="s">
        <v>18781</v>
      </c>
      <c r="B2163">
        <v>1</v>
      </c>
      <c r="C2163">
        <v>110</v>
      </c>
      <c r="D2163">
        <v>110</v>
      </c>
      <c r="E2163">
        <v>24</v>
      </c>
      <c r="F2163">
        <v>24</v>
      </c>
      <c r="G2163">
        <v>110</v>
      </c>
    </row>
    <row r="2164" spans="1:7" ht="15" x14ac:dyDescent="0.25">
      <c r="A2164" t="s">
        <v>18785</v>
      </c>
      <c r="B2164">
        <v>1</v>
      </c>
      <c r="C2164">
        <v>1556</v>
      </c>
      <c r="D2164">
        <v>1556</v>
      </c>
      <c r="E2164">
        <v>84</v>
      </c>
      <c r="F2164">
        <v>84</v>
      </c>
      <c r="G2164">
        <v>1556</v>
      </c>
    </row>
    <row r="2165" spans="1:7" ht="15" x14ac:dyDescent="0.25">
      <c r="A2165" t="s">
        <v>18790</v>
      </c>
      <c r="B2165">
        <v>1</v>
      </c>
      <c r="C2165">
        <v>162</v>
      </c>
      <c r="D2165">
        <v>162</v>
      </c>
      <c r="E2165">
        <v>49</v>
      </c>
      <c r="F2165">
        <v>49</v>
      </c>
      <c r="G2165">
        <v>162</v>
      </c>
    </row>
    <row r="2166" spans="1:7" ht="15" x14ac:dyDescent="0.25">
      <c r="A2166" t="s">
        <v>18795</v>
      </c>
      <c r="B2166">
        <v>1</v>
      </c>
      <c r="C2166">
        <v>238</v>
      </c>
      <c r="D2166">
        <v>238</v>
      </c>
      <c r="E2166">
        <v>6</v>
      </c>
      <c r="F2166">
        <v>6</v>
      </c>
      <c r="G2166">
        <v>238</v>
      </c>
    </row>
    <row r="2167" spans="1:7" ht="15" x14ac:dyDescent="0.25">
      <c r="A2167" t="s">
        <v>18799</v>
      </c>
      <c r="B2167">
        <v>1</v>
      </c>
      <c r="C2167">
        <v>226</v>
      </c>
      <c r="D2167">
        <v>226</v>
      </c>
      <c r="E2167">
        <v>47</v>
      </c>
      <c r="F2167">
        <v>47</v>
      </c>
      <c r="G2167">
        <v>226</v>
      </c>
    </row>
    <row r="2168" spans="1:7" ht="15" x14ac:dyDescent="0.25">
      <c r="A2168" t="s">
        <v>18806</v>
      </c>
      <c r="B2168">
        <v>1</v>
      </c>
      <c r="C2168">
        <v>208</v>
      </c>
      <c r="D2168">
        <v>208</v>
      </c>
      <c r="E2168">
        <v>11</v>
      </c>
      <c r="F2168">
        <v>11</v>
      </c>
      <c r="G2168">
        <v>208</v>
      </c>
    </row>
    <row r="2169" spans="1:7" ht="15" x14ac:dyDescent="0.25">
      <c r="A2169" t="s">
        <v>18810</v>
      </c>
      <c r="B2169">
        <v>1</v>
      </c>
      <c r="C2169">
        <v>52</v>
      </c>
      <c r="D2169">
        <v>52</v>
      </c>
      <c r="E2169">
        <v>16</v>
      </c>
      <c r="F2169">
        <v>16</v>
      </c>
      <c r="G2169">
        <v>52</v>
      </c>
    </row>
    <row r="2170" spans="1:7" ht="15" x14ac:dyDescent="0.25">
      <c r="A2170" t="s">
        <v>18817</v>
      </c>
      <c r="B2170">
        <v>1</v>
      </c>
      <c r="C2170">
        <v>268</v>
      </c>
      <c r="D2170">
        <v>268</v>
      </c>
      <c r="E2170">
        <v>38</v>
      </c>
      <c r="F2170">
        <v>38</v>
      </c>
      <c r="G2170">
        <v>268</v>
      </c>
    </row>
    <row r="2171" spans="1:7" ht="15" x14ac:dyDescent="0.25">
      <c r="A2171" t="s">
        <v>18821</v>
      </c>
      <c r="B2171">
        <v>1</v>
      </c>
      <c r="C2171">
        <v>263</v>
      </c>
      <c r="D2171">
        <v>263</v>
      </c>
      <c r="E2171">
        <v>5</v>
      </c>
      <c r="F2171">
        <v>5</v>
      </c>
      <c r="G2171">
        <v>263</v>
      </c>
    </row>
    <row r="2172" spans="1:7" ht="15" x14ac:dyDescent="0.25">
      <c r="A2172" t="s">
        <v>18835</v>
      </c>
      <c r="B2172">
        <v>1</v>
      </c>
      <c r="C2172">
        <v>130</v>
      </c>
      <c r="D2172">
        <v>130</v>
      </c>
      <c r="E2172">
        <v>43</v>
      </c>
      <c r="F2172">
        <v>43</v>
      </c>
      <c r="G2172">
        <v>130</v>
      </c>
    </row>
    <row r="2173" spans="1:7" ht="15" x14ac:dyDescent="0.25">
      <c r="A2173" t="s">
        <v>18844</v>
      </c>
      <c r="B2173">
        <v>1</v>
      </c>
      <c r="C2173">
        <v>915</v>
      </c>
      <c r="D2173">
        <v>915</v>
      </c>
      <c r="E2173">
        <v>83</v>
      </c>
      <c r="F2173">
        <v>83</v>
      </c>
      <c r="G2173">
        <v>915</v>
      </c>
    </row>
    <row r="2174" spans="1:7" ht="15" x14ac:dyDescent="0.25">
      <c r="A2174" t="s">
        <v>18855</v>
      </c>
      <c r="B2174">
        <v>1</v>
      </c>
      <c r="C2174">
        <v>223</v>
      </c>
      <c r="D2174">
        <v>223</v>
      </c>
      <c r="E2174">
        <v>17</v>
      </c>
      <c r="F2174">
        <v>17</v>
      </c>
      <c r="G2174">
        <v>223</v>
      </c>
    </row>
    <row r="2175" spans="1:7" ht="15" x14ac:dyDescent="0.25">
      <c r="A2175" t="s">
        <v>18863</v>
      </c>
      <c r="B2175">
        <v>1</v>
      </c>
      <c r="C2175">
        <v>1613</v>
      </c>
      <c r="D2175">
        <v>1613</v>
      </c>
      <c r="E2175">
        <v>8</v>
      </c>
      <c r="F2175">
        <v>8</v>
      </c>
      <c r="G2175">
        <v>1613</v>
      </c>
    </row>
    <row r="2176" spans="1:7" ht="15" x14ac:dyDescent="0.25">
      <c r="A2176" t="s">
        <v>18868</v>
      </c>
      <c r="B2176">
        <v>1</v>
      </c>
      <c r="C2176">
        <v>504</v>
      </c>
      <c r="D2176">
        <v>504</v>
      </c>
      <c r="E2176">
        <v>78</v>
      </c>
      <c r="F2176">
        <v>78</v>
      </c>
      <c r="G2176">
        <v>504</v>
      </c>
    </row>
    <row r="2177" spans="1:7" ht="15" x14ac:dyDescent="0.25">
      <c r="A2177" t="s">
        <v>18876</v>
      </c>
      <c r="B2177">
        <v>2</v>
      </c>
      <c r="C2177">
        <v>477</v>
      </c>
      <c r="D2177">
        <v>954</v>
      </c>
      <c r="E2177">
        <v>77</v>
      </c>
      <c r="F2177">
        <v>38.5</v>
      </c>
      <c r="G2177">
        <v>477</v>
      </c>
    </row>
    <row r="2178" spans="1:7" ht="15" x14ac:dyDescent="0.25">
      <c r="A2178" t="s">
        <v>18887</v>
      </c>
      <c r="B2178">
        <v>1</v>
      </c>
      <c r="C2178">
        <v>168</v>
      </c>
      <c r="D2178">
        <v>168</v>
      </c>
      <c r="E2178">
        <v>28</v>
      </c>
      <c r="F2178">
        <v>28</v>
      </c>
      <c r="G2178">
        <v>168</v>
      </c>
    </row>
    <row r="2179" spans="1:7" ht="15" x14ac:dyDescent="0.25">
      <c r="A2179" t="s">
        <v>18891</v>
      </c>
      <c r="B2179">
        <v>1</v>
      </c>
      <c r="C2179">
        <v>2972</v>
      </c>
      <c r="D2179">
        <v>2972</v>
      </c>
      <c r="E2179">
        <v>412</v>
      </c>
      <c r="F2179">
        <v>412</v>
      </c>
      <c r="G2179">
        <v>2972</v>
      </c>
    </row>
    <row r="2180" spans="1:7" ht="15" x14ac:dyDescent="0.25">
      <c r="A2180" t="s">
        <v>18897</v>
      </c>
      <c r="B2180">
        <v>1</v>
      </c>
      <c r="C2180">
        <v>724</v>
      </c>
      <c r="D2180">
        <v>724</v>
      </c>
      <c r="E2180">
        <v>50</v>
      </c>
      <c r="F2180">
        <v>50</v>
      </c>
      <c r="G2180">
        <v>724</v>
      </c>
    </row>
    <row r="2181" spans="1:7" ht="15" x14ac:dyDescent="0.25">
      <c r="A2181" t="s">
        <v>18902</v>
      </c>
      <c r="B2181">
        <v>1</v>
      </c>
      <c r="C2181">
        <v>334</v>
      </c>
      <c r="D2181">
        <v>334</v>
      </c>
      <c r="E2181">
        <v>39</v>
      </c>
      <c r="F2181">
        <v>39</v>
      </c>
      <c r="G2181">
        <v>334</v>
      </c>
    </row>
    <row r="2182" spans="1:7" ht="15" x14ac:dyDescent="0.25">
      <c r="A2182" t="s">
        <v>18907</v>
      </c>
      <c r="B2182">
        <v>1</v>
      </c>
      <c r="C2182">
        <v>211</v>
      </c>
      <c r="D2182">
        <v>211</v>
      </c>
      <c r="E2182">
        <v>25</v>
      </c>
      <c r="F2182">
        <v>25</v>
      </c>
      <c r="G2182">
        <v>211</v>
      </c>
    </row>
    <row r="2183" spans="1:7" ht="15" x14ac:dyDescent="0.25">
      <c r="A2183" t="s">
        <v>18912</v>
      </c>
      <c r="B2183">
        <v>1</v>
      </c>
      <c r="C2183">
        <v>114</v>
      </c>
      <c r="D2183">
        <v>114</v>
      </c>
      <c r="E2183">
        <v>12</v>
      </c>
      <c r="F2183">
        <v>12</v>
      </c>
      <c r="G2183">
        <v>114</v>
      </c>
    </row>
    <row r="2184" spans="1:7" ht="15" x14ac:dyDescent="0.25">
      <c r="A2184" t="s">
        <v>18918</v>
      </c>
      <c r="B2184">
        <v>1</v>
      </c>
      <c r="C2184">
        <v>243</v>
      </c>
      <c r="D2184">
        <v>243</v>
      </c>
      <c r="E2184">
        <v>47</v>
      </c>
      <c r="F2184">
        <v>47</v>
      </c>
      <c r="G2184">
        <v>243</v>
      </c>
    </row>
    <row r="2185" spans="1:7" ht="15" x14ac:dyDescent="0.25">
      <c r="A2185" t="s">
        <v>18925</v>
      </c>
      <c r="B2185">
        <v>1</v>
      </c>
      <c r="D2185">
        <v>0</v>
      </c>
      <c r="E2185">
        <v>30</v>
      </c>
      <c r="F2185">
        <v>30</v>
      </c>
    </row>
    <row r="2186" spans="1:7" ht="15" x14ac:dyDescent="0.25">
      <c r="A2186" t="s">
        <v>18931</v>
      </c>
      <c r="B2186">
        <v>1</v>
      </c>
      <c r="C2186">
        <v>257</v>
      </c>
      <c r="D2186">
        <v>257</v>
      </c>
      <c r="E2186">
        <v>18</v>
      </c>
      <c r="F2186">
        <v>18</v>
      </c>
      <c r="G2186">
        <v>257</v>
      </c>
    </row>
    <row r="2187" spans="1:7" ht="15" x14ac:dyDescent="0.25">
      <c r="A2187" t="s">
        <v>18935</v>
      </c>
      <c r="B2187">
        <v>1</v>
      </c>
      <c r="C2187">
        <v>212</v>
      </c>
      <c r="D2187">
        <v>212</v>
      </c>
      <c r="E2187">
        <v>30</v>
      </c>
      <c r="F2187">
        <v>30</v>
      </c>
      <c r="G2187">
        <v>212</v>
      </c>
    </row>
    <row r="2188" spans="1:7" ht="15" x14ac:dyDescent="0.25">
      <c r="A2188" t="s">
        <v>18941</v>
      </c>
      <c r="B2188">
        <v>1</v>
      </c>
      <c r="C2188">
        <v>407</v>
      </c>
      <c r="D2188">
        <v>407</v>
      </c>
      <c r="E2188">
        <v>4</v>
      </c>
      <c r="F2188">
        <v>4</v>
      </c>
      <c r="G2188">
        <v>407</v>
      </c>
    </row>
    <row r="2189" spans="1:7" ht="15" x14ac:dyDescent="0.25">
      <c r="A2189" t="s">
        <v>18946</v>
      </c>
      <c r="B2189">
        <v>2</v>
      </c>
      <c r="C2189">
        <v>720</v>
      </c>
      <c r="D2189">
        <v>1413</v>
      </c>
      <c r="E2189">
        <v>54</v>
      </c>
      <c r="F2189">
        <v>27</v>
      </c>
      <c r="G2189">
        <v>720</v>
      </c>
    </row>
    <row r="2190" spans="1:7" ht="15" x14ac:dyDescent="0.25">
      <c r="A2190" t="s">
        <v>18950</v>
      </c>
      <c r="B2190">
        <v>1</v>
      </c>
      <c r="C2190">
        <v>1071</v>
      </c>
      <c r="D2190">
        <v>1071</v>
      </c>
      <c r="E2190">
        <v>157</v>
      </c>
      <c r="F2190">
        <v>157</v>
      </c>
      <c r="G2190">
        <v>1071</v>
      </c>
    </row>
    <row r="2191" spans="1:7" ht="15" x14ac:dyDescent="0.25">
      <c r="A2191" t="s">
        <v>18956</v>
      </c>
      <c r="B2191">
        <v>1</v>
      </c>
      <c r="C2191">
        <v>95</v>
      </c>
      <c r="D2191">
        <v>95</v>
      </c>
      <c r="E2191">
        <v>11</v>
      </c>
      <c r="F2191">
        <v>11</v>
      </c>
      <c r="G2191">
        <v>95</v>
      </c>
    </row>
    <row r="2192" spans="1:7" ht="15" x14ac:dyDescent="0.25">
      <c r="A2192" t="s">
        <v>18962</v>
      </c>
      <c r="B2192">
        <v>1</v>
      </c>
      <c r="C2192">
        <v>2201</v>
      </c>
      <c r="D2192">
        <v>2201</v>
      </c>
      <c r="E2192">
        <v>126</v>
      </c>
      <c r="F2192">
        <v>126</v>
      </c>
      <c r="G2192">
        <v>2201</v>
      </c>
    </row>
    <row r="2193" spans="1:7" ht="15" x14ac:dyDescent="0.25">
      <c r="A2193" t="s">
        <v>18966</v>
      </c>
      <c r="B2193">
        <v>1</v>
      </c>
      <c r="C2193">
        <v>1091</v>
      </c>
      <c r="D2193">
        <v>1091</v>
      </c>
      <c r="E2193">
        <v>39</v>
      </c>
      <c r="F2193">
        <v>39</v>
      </c>
      <c r="G2193">
        <v>1091</v>
      </c>
    </row>
    <row r="2194" spans="1:7" ht="15" x14ac:dyDescent="0.25">
      <c r="A2194" t="s">
        <v>18969</v>
      </c>
      <c r="B2194">
        <v>1</v>
      </c>
      <c r="C2194">
        <v>172</v>
      </c>
      <c r="D2194">
        <v>172</v>
      </c>
      <c r="E2194">
        <v>5</v>
      </c>
      <c r="F2194">
        <v>5</v>
      </c>
      <c r="G2194">
        <v>172</v>
      </c>
    </row>
    <row r="2195" spans="1:7" ht="15" x14ac:dyDescent="0.25">
      <c r="A2195" t="s">
        <v>18972</v>
      </c>
      <c r="B2195">
        <v>1</v>
      </c>
      <c r="C2195">
        <v>501</v>
      </c>
      <c r="D2195">
        <v>501</v>
      </c>
      <c r="E2195">
        <v>142</v>
      </c>
      <c r="F2195">
        <v>142</v>
      </c>
      <c r="G2195">
        <v>501</v>
      </c>
    </row>
    <row r="2196" spans="1:7" ht="15" x14ac:dyDescent="0.25">
      <c r="A2196" t="s">
        <v>18976</v>
      </c>
      <c r="B2196">
        <v>1</v>
      </c>
      <c r="C2196">
        <v>614</v>
      </c>
      <c r="D2196">
        <v>614</v>
      </c>
      <c r="E2196">
        <v>94</v>
      </c>
      <c r="F2196">
        <v>94</v>
      </c>
      <c r="G2196">
        <v>614</v>
      </c>
    </row>
    <row r="2197" spans="1:7" ht="15" x14ac:dyDescent="0.25">
      <c r="A2197" t="s">
        <v>18980</v>
      </c>
      <c r="B2197">
        <v>1</v>
      </c>
      <c r="C2197">
        <v>1724</v>
      </c>
      <c r="D2197">
        <v>1724</v>
      </c>
      <c r="E2197">
        <v>17</v>
      </c>
      <c r="F2197">
        <v>17</v>
      </c>
      <c r="G2197">
        <v>1724</v>
      </c>
    </row>
    <row r="2198" spans="1:7" ht="15" x14ac:dyDescent="0.25">
      <c r="A2198" t="s">
        <v>18991</v>
      </c>
      <c r="B2198">
        <v>1</v>
      </c>
      <c r="C2198">
        <v>241</v>
      </c>
      <c r="D2198">
        <v>241</v>
      </c>
      <c r="E2198">
        <v>20</v>
      </c>
      <c r="F2198">
        <v>20</v>
      </c>
      <c r="G2198">
        <v>241</v>
      </c>
    </row>
    <row r="2199" spans="1:7" ht="15" x14ac:dyDescent="0.25">
      <c r="A2199" t="s">
        <v>18998</v>
      </c>
      <c r="B2199">
        <v>1</v>
      </c>
      <c r="C2199">
        <v>1411</v>
      </c>
      <c r="D2199">
        <v>1411</v>
      </c>
      <c r="E2199">
        <v>58</v>
      </c>
      <c r="F2199">
        <v>58</v>
      </c>
      <c r="G2199">
        <v>1411</v>
      </c>
    </row>
    <row r="2200" spans="1:7" ht="15" x14ac:dyDescent="0.25">
      <c r="A2200" t="s">
        <v>19007</v>
      </c>
      <c r="B2200">
        <v>1</v>
      </c>
      <c r="C2200">
        <v>148</v>
      </c>
      <c r="D2200">
        <v>148</v>
      </c>
      <c r="E2200">
        <v>47</v>
      </c>
      <c r="F2200">
        <v>47</v>
      </c>
      <c r="G2200">
        <v>148</v>
      </c>
    </row>
    <row r="2201" spans="1:7" ht="15" x14ac:dyDescent="0.25">
      <c r="A2201" t="s">
        <v>19011</v>
      </c>
      <c r="B2201">
        <v>2</v>
      </c>
      <c r="C2201">
        <v>50</v>
      </c>
      <c r="D2201">
        <v>100</v>
      </c>
      <c r="E2201">
        <v>56</v>
      </c>
      <c r="F2201">
        <v>28</v>
      </c>
      <c r="G2201">
        <v>50</v>
      </c>
    </row>
    <row r="2202" spans="1:7" ht="15" x14ac:dyDescent="0.25">
      <c r="A2202" t="s">
        <v>19018</v>
      </c>
      <c r="B2202">
        <v>9</v>
      </c>
      <c r="C2202">
        <v>2310</v>
      </c>
      <c r="D2202">
        <v>20790</v>
      </c>
      <c r="E2202">
        <v>233</v>
      </c>
      <c r="F2202">
        <v>25.888888888888889</v>
      </c>
      <c r="G2202">
        <v>2310</v>
      </c>
    </row>
    <row r="2203" spans="1:7" ht="15" x14ac:dyDescent="0.25">
      <c r="A2203" t="s">
        <v>19049</v>
      </c>
      <c r="B2203">
        <v>1</v>
      </c>
      <c r="C2203">
        <v>317</v>
      </c>
      <c r="D2203">
        <v>317</v>
      </c>
      <c r="E2203">
        <v>54</v>
      </c>
      <c r="F2203">
        <v>54</v>
      </c>
      <c r="G2203">
        <v>317</v>
      </c>
    </row>
    <row r="2204" spans="1:7" ht="15" x14ac:dyDescent="0.25">
      <c r="A2204" t="s">
        <v>19053</v>
      </c>
      <c r="B2204">
        <v>1</v>
      </c>
      <c r="C2204">
        <v>295</v>
      </c>
      <c r="D2204">
        <v>295</v>
      </c>
      <c r="E2204">
        <v>42</v>
      </c>
      <c r="F2204">
        <v>42</v>
      </c>
      <c r="G2204">
        <v>295</v>
      </c>
    </row>
    <row r="2205" spans="1:7" ht="15" x14ac:dyDescent="0.25">
      <c r="A2205" t="s">
        <v>19059</v>
      </c>
      <c r="B2205">
        <v>1</v>
      </c>
      <c r="C2205">
        <v>303</v>
      </c>
      <c r="D2205">
        <v>303</v>
      </c>
      <c r="E2205">
        <v>14</v>
      </c>
      <c r="F2205">
        <v>14</v>
      </c>
      <c r="G2205">
        <v>303</v>
      </c>
    </row>
    <row r="2206" spans="1:7" ht="15" x14ac:dyDescent="0.25">
      <c r="A2206" t="s">
        <v>19064</v>
      </c>
      <c r="B2206">
        <v>3</v>
      </c>
      <c r="C2206">
        <v>187</v>
      </c>
      <c r="D2206">
        <v>556</v>
      </c>
      <c r="E2206">
        <v>130</v>
      </c>
      <c r="F2206">
        <v>43.333333333333336</v>
      </c>
      <c r="G2206">
        <v>188</v>
      </c>
    </row>
    <row r="2207" spans="1:7" ht="15" x14ac:dyDescent="0.25">
      <c r="A2207" t="s">
        <v>19069</v>
      </c>
      <c r="B2207">
        <v>1</v>
      </c>
      <c r="C2207">
        <v>157</v>
      </c>
      <c r="D2207">
        <v>157</v>
      </c>
      <c r="E2207">
        <v>13</v>
      </c>
      <c r="F2207">
        <v>13</v>
      </c>
      <c r="G2207">
        <v>157</v>
      </c>
    </row>
    <row r="2208" spans="1:7" ht="15" x14ac:dyDescent="0.25">
      <c r="A2208" t="s">
        <v>19075</v>
      </c>
      <c r="B2208">
        <v>1</v>
      </c>
      <c r="C2208">
        <v>64</v>
      </c>
      <c r="D2208">
        <v>64</v>
      </c>
      <c r="E2208">
        <v>7</v>
      </c>
      <c r="F2208">
        <v>7</v>
      </c>
      <c r="G2208">
        <v>64</v>
      </c>
    </row>
    <row r="2209" spans="1:7" ht="15" x14ac:dyDescent="0.25">
      <c r="A2209" t="s">
        <v>19080</v>
      </c>
      <c r="B2209">
        <v>1</v>
      </c>
      <c r="C2209">
        <v>310</v>
      </c>
      <c r="D2209">
        <v>310</v>
      </c>
      <c r="E2209">
        <v>153</v>
      </c>
      <c r="F2209">
        <v>153</v>
      </c>
      <c r="G2209">
        <v>310</v>
      </c>
    </row>
    <row r="2210" spans="1:7" ht="15" x14ac:dyDescent="0.25">
      <c r="A2210" t="s">
        <v>19088</v>
      </c>
      <c r="B2210">
        <v>1</v>
      </c>
      <c r="C2210">
        <v>271</v>
      </c>
      <c r="D2210">
        <v>271</v>
      </c>
      <c r="E2210">
        <v>40</v>
      </c>
      <c r="F2210">
        <v>40</v>
      </c>
      <c r="G2210">
        <v>271</v>
      </c>
    </row>
    <row r="2211" spans="1:7" ht="15" x14ac:dyDescent="0.25">
      <c r="A2211" t="s">
        <v>19093</v>
      </c>
      <c r="B2211">
        <v>1</v>
      </c>
      <c r="C2211">
        <v>233</v>
      </c>
      <c r="D2211">
        <v>233</v>
      </c>
      <c r="E2211">
        <v>16</v>
      </c>
      <c r="F2211">
        <v>16</v>
      </c>
      <c r="G2211">
        <v>233</v>
      </c>
    </row>
    <row r="2212" spans="1:7" ht="15" x14ac:dyDescent="0.25">
      <c r="A2212" t="s">
        <v>19106</v>
      </c>
      <c r="B2212">
        <v>1</v>
      </c>
      <c r="C2212">
        <v>404</v>
      </c>
      <c r="D2212">
        <v>404</v>
      </c>
      <c r="E2212">
        <v>36</v>
      </c>
      <c r="F2212">
        <v>36</v>
      </c>
      <c r="G2212">
        <v>404</v>
      </c>
    </row>
    <row r="2213" spans="1:7" ht="15" x14ac:dyDescent="0.25">
      <c r="A2213" t="s">
        <v>19114</v>
      </c>
      <c r="B2213">
        <v>1</v>
      </c>
      <c r="C2213">
        <v>5</v>
      </c>
      <c r="D2213">
        <v>5</v>
      </c>
      <c r="E2213">
        <v>8</v>
      </c>
      <c r="F2213">
        <v>8</v>
      </c>
      <c r="G2213">
        <v>5</v>
      </c>
    </row>
    <row r="2214" spans="1:7" ht="15" x14ac:dyDescent="0.25">
      <c r="A2214" t="s">
        <v>19125</v>
      </c>
      <c r="B2214">
        <v>1</v>
      </c>
      <c r="C2214">
        <v>10133</v>
      </c>
      <c r="D2214">
        <v>10133</v>
      </c>
      <c r="E2214">
        <v>104</v>
      </c>
      <c r="F2214">
        <v>104</v>
      </c>
      <c r="G2214">
        <v>10133</v>
      </c>
    </row>
    <row r="2215" spans="1:7" ht="15" x14ac:dyDescent="0.25">
      <c r="A2215" t="s">
        <v>19132</v>
      </c>
      <c r="B2215">
        <v>3</v>
      </c>
      <c r="C2215">
        <v>191</v>
      </c>
      <c r="D2215">
        <v>572</v>
      </c>
      <c r="E2215">
        <v>110</v>
      </c>
      <c r="F2215">
        <v>36.666666666666664</v>
      </c>
      <c r="G2215">
        <v>191</v>
      </c>
    </row>
    <row r="2216" spans="1:7" ht="15" x14ac:dyDescent="0.25">
      <c r="A2216" t="s">
        <v>19139</v>
      </c>
      <c r="B2216">
        <v>1</v>
      </c>
      <c r="C2216">
        <v>417</v>
      </c>
      <c r="D2216">
        <v>417</v>
      </c>
      <c r="E2216">
        <v>22</v>
      </c>
      <c r="F2216">
        <v>22</v>
      </c>
      <c r="G2216">
        <v>417</v>
      </c>
    </row>
    <row r="2217" spans="1:7" ht="15" x14ac:dyDescent="0.25">
      <c r="A2217" t="s">
        <v>19145</v>
      </c>
      <c r="B2217">
        <v>1</v>
      </c>
      <c r="C2217">
        <v>60</v>
      </c>
      <c r="D2217">
        <v>60</v>
      </c>
      <c r="E2217">
        <v>6</v>
      </c>
      <c r="F2217">
        <v>6</v>
      </c>
      <c r="G2217">
        <v>60</v>
      </c>
    </row>
    <row r="2218" spans="1:7" ht="15" x14ac:dyDescent="0.25">
      <c r="A2218" t="s">
        <v>19152</v>
      </c>
      <c r="B2218">
        <v>2</v>
      </c>
      <c r="C2218">
        <v>246</v>
      </c>
      <c r="D2218">
        <v>493</v>
      </c>
      <c r="E2218">
        <v>28</v>
      </c>
      <c r="F2218">
        <v>14</v>
      </c>
      <c r="G2218">
        <v>247</v>
      </c>
    </row>
    <row r="2219" spans="1:7" ht="15" x14ac:dyDescent="0.25">
      <c r="A2219" t="s">
        <v>19161</v>
      </c>
      <c r="B2219">
        <v>1</v>
      </c>
      <c r="C2219">
        <v>252</v>
      </c>
      <c r="D2219">
        <v>252</v>
      </c>
      <c r="E2219">
        <v>26</v>
      </c>
      <c r="F2219">
        <v>26</v>
      </c>
      <c r="G2219">
        <v>252</v>
      </c>
    </row>
    <row r="2220" spans="1:7" ht="15" x14ac:dyDescent="0.25">
      <c r="A2220" t="s">
        <v>19173</v>
      </c>
      <c r="B2220">
        <v>1</v>
      </c>
      <c r="C2220">
        <v>1245</v>
      </c>
      <c r="D2220">
        <v>1245</v>
      </c>
      <c r="E2220">
        <v>94</v>
      </c>
      <c r="F2220">
        <v>94</v>
      </c>
      <c r="G2220">
        <v>1245</v>
      </c>
    </row>
    <row r="2221" spans="1:7" ht="15" x14ac:dyDescent="0.25">
      <c r="A2221" t="s">
        <v>19178</v>
      </c>
      <c r="B2221">
        <v>1</v>
      </c>
      <c r="C2221">
        <v>450</v>
      </c>
      <c r="D2221">
        <v>450</v>
      </c>
      <c r="E2221">
        <v>133</v>
      </c>
      <c r="F2221">
        <v>133</v>
      </c>
      <c r="G2221">
        <v>450</v>
      </c>
    </row>
    <row r="2222" spans="1:7" ht="15" x14ac:dyDescent="0.25">
      <c r="A2222" t="s">
        <v>19184</v>
      </c>
      <c r="B2222">
        <v>1</v>
      </c>
      <c r="C2222">
        <v>16</v>
      </c>
      <c r="D2222">
        <v>16</v>
      </c>
      <c r="E2222">
        <v>9</v>
      </c>
      <c r="F2222">
        <v>9</v>
      </c>
      <c r="G2222">
        <v>16</v>
      </c>
    </row>
    <row r="2223" spans="1:7" ht="15" x14ac:dyDescent="0.25">
      <c r="A2223" t="s">
        <v>19191</v>
      </c>
      <c r="B2223">
        <v>1</v>
      </c>
      <c r="C2223">
        <v>1533</v>
      </c>
      <c r="D2223">
        <v>1533</v>
      </c>
      <c r="E2223">
        <v>40</v>
      </c>
      <c r="F2223">
        <v>40</v>
      </c>
      <c r="G2223">
        <v>1533</v>
      </c>
    </row>
    <row r="2224" spans="1:7" ht="15" x14ac:dyDescent="0.25">
      <c r="A2224" t="s">
        <v>19198</v>
      </c>
      <c r="B2224">
        <v>1</v>
      </c>
      <c r="C2224">
        <v>569</v>
      </c>
      <c r="D2224">
        <v>569</v>
      </c>
      <c r="E2224">
        <v>148</v>
      </c>
      <c r="F2224">
        <v>148</v>
      </c>
      <c r="G2224">
        <v>569</v>
      </c>
    </row>
    <row r="2225" spans="1:7" ht="15" x14ac:dyDescent="0.25">
      <c r="A2225" t="s">
        <v>19203</v>
      </c>
      <c r="B2225">
        <v>1</v>
      </c>
      <c r="C2225">
        <v>520</v>
      </c>
      <c r="D2225">
        <v>520</v>
      </c>
      <c r="E2225">
        <v>38</v>
      </c>
      <c r="F2225">
        <v>38</v>
      </c>
      <c r="G2225">
        <v>520</v>
      </c>
    </row>
    <row r="2226" spans="1:7" ht="15" x14ac:dyDescent="0.25">
      <c r="A2226" t="s">
        <v>19208</v>
      </c>
      <c r="B2226">
        <v>1</v>
      </c>
      <c r="C2226">
        <v>140</v>
      </c>
      <c r="D2226">
        <v>140</v>
      </c>
      <c r="E2226">
        <v>24</v>
      </c>
      <c r="F2226">
        <v>24</v>
      </c>
      <c r="G2226">
        <v>140</v>
      </c>
    </row>
    <row r="2227" spans="1:7" ht="15" x14ac:dyDescent="0.25">
      <c r="A2227" t="s">
        <v>19217</v>
      </c>
      <c r="B2227">
        <v>1</v>
      </c>
      <c r="C2227">
        <v>2451</v>
      </c>
      <c r="D2227">
        <v>2451</v>
      </c>
      <c r="E2227">
        <v>66</v>
      </c>
      <c r="F2227">
        <v>66</v>
      </c>
      <c r="G2227">
        <v>2451</v>
      </c>
    </row>
    <row r="2228" spans="1:7" ht="15" x14ac:dyDescent="0.25">
      <c r="A2228" t="s">
        <v>19224</v>
      </c>
      <c r="B2228">
        <v>1</v>
      </c>
      <c r="C2228">
        <v>798</v>
      </c>
      <c r="D2228">
        <v>798</v>
      </c>
      <c r="E2228">
        <v>78</v>
      </c>
      <c r="F2228">
        <v>78</v>
      </c>
      <c r="G2228">
        <v>798</v>
      </c>
    </row>
    <row r="2229" spans="1:7" ht="15" x14ac:dyDescent="0.25">
      <c r="A2229" t="s">
        <v>19233</v>
      </c>
      <c r="B2229">
        <v>1</v>
      </c>
      <c r="C2229">
        <v>488</v>
      </c>
      <c r="D2229">
        <v>488</v>
      </c>
      <c r="E2229">
        <v>77</v>
      </c>
      <c r="F2229">
        <v>77</v>
      </c>
      <c r="G2229">
        <v>488</v>
      </c>
    </row>
    <row r="2230" spans="1:7" ht="15" x14ac:dyDescent="0.25">
      <c r="A2230" t="s">
        <v>19239</v>
      </c>
      <c r="B2230">
        <v>1</v>
      </c>
      <c r="C2230">
        <v>129</v>
      </c>
      <c r="D2230">
        <v>129</v>
      </c>
      <c r="E2230">
        <v>15</v>
      </c>
      <c r="F2230">
        <v>15</v>
      </c>
      <c r="G2230">
        <v>129</v>
      </c>
    </row>
    <row r="2231" spans="1:7" ht="15" x14ac:dyDescent="0.25">
      <c r="A2231" t="s">
        <v>19243</v>
      </c>
      <c r="B2231">
        <v>1</v>
      </c>
      <c r="C2231">
        <v>2246</v>
      </c>
      <c r="D2231">
        <v>2246</v>
      </c>
      <c r="E2231">
        <v>266</v>
      </c>
      <c r="F2231">
        <v>266</v>
      </c>
      <c r="G2231">
        <v>2246</v>
      </c>
    </row>
    <row r="2232" spans="1:7" ht="15" x14ac:dyDescent="0.25">
      <c r="A2232" t="s">
        <v>19255</v>
      </c>
      <c r="B2232">
        <v>1</v>
      </c>
      <c r="C2232">
        <v>416</v>
      </c>
      <c r="D2232">
        <v>416</v>
      </c>
      <c r="E2232">
        <v>7</v>
      </c>
      <c r="F2232">
        <v>7</v>
      </c>
      <c r="G2232">
        <v>416</v>
      </c>
    </row>
    <row r="2233" spans="1:7" ht="15" x14ac:dyDescent="0.25">
      <c r="A2233" t="s">
        <v>19258</v>
      </c>
      <c r="B2233">
        <v>1</v>
      </c>
      <c r="C2233">
        <v>261</v>
      </c>
      <c r="D2233">
        <v>261</v>
      </c>
      <c r="E2233">
        <v>17</v>
      </c>
      <c r="F2233">
        <v>17</v>
      </c>
      <c r="G2233">
        <v>261</v>
      </c>
    </row>
    <row r="2234" spans="1:7" ht="15" x14ac:dyDescent="0.25">
      <c r="A2234" t="s">
        <v>19264</v>
      </c>
      <c r="B2234">
        <v>1</v>
      </c>
      <c r="C2234">
        <v>1708</v>
      </c>
      <c r="D2234">
        <v>1708</v>
      </c>
      <c r="E2234">
        <v>8</v>
      </c>
      <c r="F2234">
        <v>8</v>
      </c>
      <c r="G2234">
        <v>1708</v>
      </c>
    </row>
    <row r="2235" spans="1:7" ht="15" x14ac:dyDescent="0.25">
      <c r="A2235" t="s">
        <v>19273</v>
      </c>
      <c r="B2235">
        <v>1</v>
      </c>
      <c r="C2235">
        <v>65</v>
      </c>
      <c r="D2235">
        <v>65</v>
      </c>
      <c r="E2235">
        <v>29</v>
      </c>
      <c r="F2235">
        <v>29</v>
      </c>
      <c r="G2235">
        <v>65</v>
      </c>
    </row>
    <row r="2236" spans="1:7" ht="15" x14ac:dyDescent="0.25">
      <c r="A2236" t="s">
        <v>19293</v>
      </c>
      <c r="B2236">
        <v>1</v>
      </c>
      <c r="C2236">
        <v>2405</v>
      </c>
      <c r="D2236">
        <v>2405</v>
      </c>
      <c r="E2236">
        <v>23</v>
      </c>
      <c r="F2236">
        <v>23</v>
      </c>
      <c r="G2236">
        <v>2405</v>
      </c>
    </row>
    <row r="2237" spans="1:7" ht="15" x14ac:dyDescent="0.25">
      <c r="A2237" t="s">
        <v>19300</v>
      </c>
      <c r="B2237">
        <v>1</v>
      </c>
      <c r="C2237">
        <v>193</v>
      </c>
      <c r="D2237">
        <v>193</v>
      </c>
      <c r="E2237">
        <v>28</v>
      </c>
      <c r="F2237">
        <v>28</v>
      </c>
      <c r="G2237">
        <v>193</v>
      </c>
    </row>
    <row r="2238" spans="1:7" ht="15" x14ac:dyDescent="0.25">
      <c r="A2238" t="s">
        <v>19308</v>
      </c>
      <c r="B2238">
        <v>6</v>
      </c>
      <c r="C2238">
        <v>347</v>
      </c>
      <c r="D2238">
        <v>2055</v>
      </c>
      <c r="E2238">
        <v>552</v>
      </c>
      <c r="F2238">
        <v>92</v>
      </c>
      <c r="G2238">
        <v>350</v>
      </c>
    </row>
    <row r="2239" spans="1:7" ht="15" x14ac:dyDescent="0.25">
      <c r="A2239" t="s">
        <v>19314</v>
      </c>
      <c r="B2239">
        <v>1</v>
      </c>
      <c r="C2239">
        <v>1526</v>
      </c>
      <c r="D2239">
        <v>1526</v>
      </c>
      <c r="E2239">
        <v>59</v>
      </c>
      <c r="F2239">
        <v>59</v>
      </c>
      <c r="G2239">
        <v>1526</v>
      </c>
    </row>
    <row r="2240" spans="1:7" ht="15" x14ac:dyDescent="0.25">
      <c r="A2240" t="s">
        <v>19321</v>
      </c>
      <c r="B2240">
        <v>1</v>
      </c>
      <c r="C2240">
        <v>3840</v>
      </c>
      <c r="D2240">
        <v>3840</v>
      </c>
      <c r="E2240">
        <v>84</v>
      </c>
      <c r="F2240">
        <v>84</v>
      </c>
      <c r="G2240">
        <v>3840</v>
      </c>
    </row>
    <row r="2241" spans="1:7" ht="15" x14ac:dyDescent="0.25">
      <c r="A2241" t="s">
        <v>19324</v>
      </c>
      <c r="B2241">
        <v>1</v>
      </c>
      <c r="C2241">
        <v>347</v>
      </c>
      <c r="D2241">
        <v>347</v>
      </c>
      <c r="E2241">
        <v>53</v>
      </c>
      <c r="F2241">
        <v>53</v>
      </c>
      <c r="G2241">
        <v>347</v>
      </c>
    </row>
    <row r="2242" spans="1:7" ht="15" x14ac:dyDescent="0.25">
      <c r="A2242" t="s">
        <v>19343</v>
      </c>
      <c r="B2242">
        <v>2</v>
      </c>
      <c r="C2242">
        <v>34</v>
      </c>
      <c r="D2242">
        <v>53</v>
      </c>
      <c r="E2242">
        <v>170</v>
      </c>
      <c r="F2242">
        <v>85</v>
      </c>
      <c r="G2242">
        <v>34</v>
      </c>
    </row>
    <row r="2243" spans="1:7" ht="15" x14ac:dyDescent="0.25">
      <c r="A2243" t="s">
        <v>19349</v>
      </c>
      <c r="B2243">
        <v>1</v>
      </c>
      <c r="C2243">
        <v>119</v>
      </c>
      <c r="D2243">
        <v>119</v>
      </c>
      <c r="E2243">
        <v>19</v>
      </c>
      <c r="F2243">
        <v>19</v>
      </c>
      <c r="G2243">
        <v>119</v>
      </c>
    </row>
    <row r="2244" spans="1:7" ht="15" x14ac:dyDescent="0.25">
      <c r="A2244" t="s">
        <v>19352</v>
      </c>
      <c r="B2244">
        <v>1</v>
      </c>
      <c r="C2244">
        <v>75</v>
      </c>
      <c r="D2244">
        <v>75</v>
      </c>
      <c r="E2244">
        <v>24</v>
      </c>
      <c r="F2244">
        <v>24</v>
      </c>
      <c r="G2244">
        <v>75</v>
      </c>
    </row>
    <row r="2245" spans="1:7" ht="15" x14ac:dyDescent="0.25">
      <c r="A2245" t="s">
        <v>19358</v>
      </c>
      <c r="B2245">
        <v>1</v>
      </c>
      <c r="C2245">
        <v>33</v>
      </c>
      <c r="D2245">
        <v>33</v>
      </c>
      <c r="E2245">
        <v>13</v>
      </c>
      <c r="F2245">
        <v>13</v>
      </c>
      <c r="G2245">
        <v>33</v>
      </c>
    </row>
    <row r="2246" spans="1:7" ht="15" x14ac:dyDescent="0.25">
      <c r="A2246" t="s">
        <v>19367</v>
      </c>
      <c r="B2246">
        <v>1</v>
      </c>
      <c r="C2246">
        <v>175</v>
      </c>
      <c r="D2246">
        <v>175</v>
      </c>
      <c r="E2246">
        <v>24</v>
      </c>
      <c r="F2246">
        <v>24</v>
      </c>
      <c r="G2246">
        <v>175</v>
      </c>
    </row>
    <row r="2247" spans="1:7" ht="15" x14ac:dyDescent="0.25">
      <c r="A2247" t="s">
        <v>19371</v>
      </c>
      <c r="B2247">
        <v>1</v>
      </c>
      <c r="C2247">
        <v>722</v>
      </c>
      <c r="D2247">
        <v>722</v>
      </c>
      <c r="E2247">
        <v>130</v>
      </c>
      <c r="F2247">
        <v>130</v>
      </c>
      <c r="G2247">
        <v>722</v>
      </c>
    </row>
    <row r="2248" spans="1:7" ht="15" x14ac:dyDescent="0.25">
      <c r="A2248" t="s">
        <v>19377</v>
      </c>
      <c r="B2248">
        <v>1</v>
      </c>
      <c r="C2248">
        <v>28</v>
      </c>
      <c r="D2248">
        <v>28</v>
      </c>
      <c r="E2248">
        <v>5</v>
      </c>
      <c r="F2248">
        <v>5</v>
      </c>
      <c r="G2248">
        <v>28</v>
      </c>
    </row>
    <row r="2249" spans="1:7" ht="15" x14ac:dyDescent="0.25">
      <c r="A2249" t="s">
        <v>19383</v>
      </c>
      <c r="B2249">
        <v>1</v>
      </c>
      <c r="C2249">
        <v>175</v>
      </c>
      <c r="D2249">
        <v>175</v>
      </c>
      <c r="E2249">
        <v>17</v>
      </c>
      <c r="F2249">
        <v>17</v>
      </c>
      <c r="G2249">
        <v>175</v>
      </c>
    </row>
    <row r="2250" spans="1:7" ht="15" x14ac:dyDescent="0.25">
      <c r="A2250" t="s">
        <v>19387</v>
      </c>
      <c r="B2250">
        <v>1</v>
      </c>
      <c r="C2250">
        <v>411</v>
      </c>
      <c r="D2250">
        <v>411</v>
      </c>
      <c r="E2250">
        <v>92</v>
      </c>
      <c r="F2250">
        <v>92</v>
      </c>
      <c r="G2250">
        <v>411</v>
      </c>
    </row>
    <row r="2251" spans="1:7" ht="15" x14ac:dyDescent="0.25">
      <c r="A2251" t="s">
        <v>19395</v>
      </c>
      <c r="B2251">
        <v>1</v>
      </c>
      <c r="C2251">
        <v>106</v>
      </c>
      <c r="D2251">
        <v>106</v>
      </c>
      <c r="E2251">
        <v>16</v>
      </c>
      <c r="F2251">
        <v>16</v>
      </c>
      <c r="G2251">
        <v>106</v>
      </c>
    </row>
    <row r="2252" spans="1:7" ht="15" x14ac:dyDescent="0.25">
      <c r="A2252" t="s">
        <v>19399</v>
      </c>
      <c r="B2252">
        <v>1</v>
      </c>
      <c r="C2252">
        <v>26</v>
      </c>
      <c r="D2252">
        <v>26</v>
      </c>
      <c r="E2252">
        <v>6</v>
      </c>
      <c r="F2252">
        <v>6</v>
      </c>
      <c r="G2252">
        <v>26</v>
      </c>
    </row>
    <row r="2253" spans="1:7" ht="15" x14ac:dyDescent="0.25">
      <c r="A2253" t="s">
        <v>19408</v>
      </c>
      <c r="B2253">
        <v>1</v>
      </c>
      <c r="C2253">
        <v>8</v>
      </c>
      <c r="D2253">
        <v>8</v>
      </c>
      <c r="E2253">
        <v>23</v>
      </c>
      <c r="F2253">
        <v>23</v>
      </c>
      <c r="G2253">
        <v>8</v>
      </c>
    </row>
    <row r="2254" spans="1:7" ht="15" x14ac:dyDescent="0.25">
      <c r="A2254" t="s">
        <v>19419</v>
      </c>
      <c r="B2254">
        <v>1</v>
      </c>
      <c r="C2254">
        <v>132</v>
      </c>
      <c r="D2254">
        <v>132</v>
      </c>
      <c r="E2254">
        <v>23</v>
      </c>
      <c r="F2254">
        <v>23</v>
      </c>
      <c r="G2254">
        <v>132</v>
      </c>
    </row>
    <row r="2255" spans="1:7" ht="15" x14ac:dyDescent="0.25">
      <c r="A2255" t="s">
        <v>19422</v>
      </c>
      <c r="B2255">
        <v>1</v>
      </c>
      <c r="C2255">
        <v>0</v>
      </c>
      <c r="D2255">
        <v>0</v>
      </c>
      <c r="E2255">
        <v>2</v>
      </c>
      <c r="F2255">
        <v>2</v>
      </c>
      <c r="G2255">
        <v>0</v>
      </c>
    </row>
    <row r="2256" spans="1:7" ht="15" x14ac:dyDescent="0.25">
      <c r="A2256" t="s">
        <v>19425</v>
      </c>
      <c r="B2256">
        <v>1</v>
      </c>
      <c r="C2256">
        <v>306</v>
      </c>
      <c r="D2256">
        <v>306</v>
      </c>
      <c r="E2256">
        <v>16</v>
      </c>
      <c r="F2256">
        <v>16</v>
      </c>
      <c r="G2256">
        <v>306</v>
      </c>
    </row>
    <row r="2257" spans="1:7" ht="15" x14ac:dyDescent="0.25">
      <c r="A2257" t="s">
        <v>19437</v>
      </c>
      <c r="B2257">
        <v>2</v>
      </c>
      <c r="C2257">
        <v>195</v>
      </c>
      <c r="D2257">
        <v>390</v>
      </c>
      <c r="E2257">
        <v>33</v>
      </c>
      <c r="F2257">
        <v>16.5</v>
      </c>
      <c r="G2257">
        <v>195</v>
      </c>
    </row>
    <row r="2258" spans="1:7" ht="15" x14ac:dyDescent="0.25">
      <c r="A2258" t="s">
        <v>19442</v>
      </c>
      <c r="B2258">
        <v>1</v>
      </c>
      <c r="C2258">
        <v>418</v>
      </c>
      <c r="D2258">
        <v>418</v>
      </c>
      <c r="E2258">
        <v>60</v>
      </c>
      <c r="F2258">
        <v>60</v>
      </c>
      <c r="G2258">
        <v>418</v>
      </c>
    </row>
    <row r="2259" spans="1:7" ht="15" x14ac:dyDescent="0.25">
      <c r="A2259" t="s">
        <v>19452</v>
      </c>
      <c r="B2259">
        <v>1</v>
      </c>
      <c r="C2259">
        <v>243</v>
      </c>
      <c r="D2259">
        <v>243</v>
      </c>
      <c r="E2259">
        <v>7</v>
      </c>
      <c r="F2259">
        <v>7</v>
      </c>
      <c r="G2259">
        <v>243</v>
      </c>
    </row>
    <row r="2260" spans="1:7" ht="15" x14ac:dyDescent="0.25">
      <c r="A2260" t="s">
        <v>19458</v>
      </c>
      <c r="B2260">
        <v>1</v>
      </c>
      <c r="C2260">
        <v>1001</v>
      </c>
      <c r="D2260">
        <v>1001</v>
      </c>
      <c r="E2260">
        <v>85</v>
      </c>
      <c r="F2260">
        <v>85</v>
      </c>
      <c r="G2260">
        <v>1001</v>
      </c>
    </row>
    <row r="2261" spans="1:7" ht="15" x14ac:dyDescent="0.25">
      <c r="A2261" t="s">
        <v>19463</v>
      </c>
      <c r="B2261">
        <v>1</v>
      </c>
      <c r="C2261">
        <v>325</v>
      </c>
      <c r="D2261">
        <v>325</v>
      </c>
      <c r="E2261">
        <v>16</v>
      </c>
      <c r="F2261">
        <v>16</v>
      </c>
      <c r="G2261">
        <v>325</v>
      </c>
    </row>
    <row r="2262" spans="1:7" ht="15" x14ac:dyDescent="0.25">
      <c r="A2262" t="s">
        <v>19476</v>
      </c>
      <c r="B2262">
        <v>1</v>
      </c>
      <c r="C2262">
        <v>241</v>
      </c>
      <c r="D2262">
        <v>241</v>
      </c>
      <c r="E2262">
        <v>24</v>
      </c>
      <c r="F2262">
        <v>24</v>
      </c>
      <c r="G2262">
        <v>241</v>
      </c>
    </row>
    <row r="2263" spans="1:7" ht="15" x14ac:dyDescent="0.25">
      <c r="A2263" t="s">
        <v>19485</v>
      </c>
      <c r="B2263">
        <v>1</v>
      </c>
      <c r="C2263">
        <v>474</v>
      </c>
      <c r="D2263">
        <v>474</v>
      </c>
      <c r="E2263">
        <v>10</v>
      </c>
      <c r="F2263">
        <v>10</v>
      </c>
      <c r="G2263">
        <v>474</v>
      </c>
    </row>
    <row r="2264" spans="1:7" ht="15" x14ac:dyDescent="0.25">
      <c r="A2264" t="s">
        <v>19494</v>
      </c>
      <c r="B2264">
        <v>2</v>
      </c>
      <c r="C2264">
        <v>224</v>
      </c>
      <c r="D2264">
        <v>445</v>
      </c>
      <c r="E2264">
        <v>76</v>
      </c>
      <c r="F2264">
        <v>38</v>
      </c>
      <c r="G2264">
        <v>224</v>
      </c>
    </row>
    <row r="2265" spans="1:7" ht="15" x14ac:dyDescent="0.25">
      <c r="A2265" t="s">
        <v>19515</v>
      </c>
      <c r="B2265">
        <v>1</v>
      </c>
      <c r="C2265">
        <v>2</v>
      </c>
      <c r="D2265">
        <v>2</v>
      </c>
      <c r="E2265">
        <v>9</v>
      </c>
      <c r="F2265">
        <v>9</v>
      </c>
      <c r="G2265">
        <v>2</v>
      </c>
    </row>
    <row r="2266" spans="1:7" ht="15" x14ac:dyDescent="0.25">
      <c r="A2266" t="s">
        <v>19519</v>
      </c>
      <c r="B2266">
        <v>1</v>
      </c>
      <c r="C2266">
        <v>1275</v>
      </c>
      <c r="D2266">
        <v>1275</v>
      </c>
      <c r="E2266">
        <v>35</v>
      </c>
      <c r="F2266">
        <v>35</v>
      </c>
      <c r="G2266">
        <v>1275</v>
      </c>
    </row>
    <row r="2267" spans="1:7" ht="15" x14ac:dyDescent="0.25">
      <c r="A2267" t="s">
        <v>19525</v>
      </c>
      <c r="B2267">
        <v>1</v>
      </c>
      <c r="C2267">
        <v>188</v>
      </c>
      <c r="D2267">
        <v>188</v>
      </c>
      <c r="E2267">
        <v>38</v>
      </c>
      <c r="F2267">
        <v>38</v>
      </c>
      <c r="G2267">
        <v>188</v>
      </c>
    </row>
    <row r="2268" spans="1:7" ht="15" x14ac:dyDescent="0.25">
      <c r="A2268" t="s">
        <v>19529</v>
      </c>
      <c r="B2268">
        <v>1</v>
      </c>
      <c r="C2268">
        <v>5</v>
      </c>
      <c r="D2268">
        <v>5</v>
      </c>
      <c r="E2268">
        <v>7</v>
      </c>
      <c r="F2268">
        <v>7</v>
      </c>
      <c r="G2268">
        <v>5</v>
      </c>
    </row>
    <row r="2269" spans="1:7" ht="15" x14ac:dyDescent="0.25">
      <c r="A2269" t="s">
        <v>19534</v>
      </c>
      <c r="B2269">
        <v>1</v>
      </c>
      <c r="C2269">
        <v>116</v>
      </c>
      <c r="D2269">
        <v>116</v>
      </c>
      <c r="E2269">
        <v>14</v>
      </c>
      <c r="F2269">
        <v>14</v>
      </c>
      <c r="G2269">
        <v>116</v>
      </c>
    </row>
    <row r="2270" spans="1:7" ht="15" x14ac:dyDescent="0.25">
      <c r="A2270" t="s">
        <v>19540</v>
      </c>
      <c r="B2270">
        <v>1</v>
      </c>
      <c r="C2270">
        <v>63</v>
      </c>
      <c r="D2270">
        <v>63</v>
      </c>
      <c r="E2270">
        <v>20</v>
      </c>
      <c r="F2270">
        <v>20</v>
      </c>
      <c r="G2270">
        <v>63</v>
      </c>
    </row>
    <row r="2271" spans="1:7" ht="15" x14ac:dyDescent="0.25">
      <c r="A2271" t="s">
        <v>19547</v>
      </c>
      <c r="B2271">
        <v>1</v>
      </c>
      <c r="C2271">
        <v>523</v>
      </c>
      <c r="D2271">
        <v>523</v>
      </c>
      <c r="E2271">
        <v>73</v>
      </c>
      <c r="F2271">
        <v>73</v>
      </c>
      <c r="G2271">
        <v>523</v>
      </c>
    </row>
    <row r="2272" spans="1:7" ht="15" x14ac:dyDescent="0.25">
      <c r="A2272" t="s">
        <v>19551</v>
      </c>
      <c r="B2272">
        <v>1</v>
      </c>
      <c r="C2272">
        <v>817</v>
      </c>
      <c r="D2272">
        <v>817</v>
      </c>
      <c r="E2272">
        <v>40</v>
      </c>
      <c r="F2272">
        <v>40</v>
      </c>
      <c r="G2272">
        <v>817</v>
      </c>
    </row>
    <row r="2273" spans="1:7" ht="15" x14ac:dyDescent="0.25">
      <c r="A2273" t="s">
        <v>19559</v>
      </c>
      <c r="B2273">
        <v>1</v>
      </c>
      <c r="C2273">
        <v>63690</v>
      </c>
      <c r="D2273">
        <v>63690</v>
      </c>
      <c r="E2273">
        <v>1866</v>
      </c>
      <c r="F2273">
        <v>1866</v>
      </c>
      <c r="G2273">
        <v>63690</v>
      </c>
    </row>
    <row r="2274" spans="1:7" ht="15" x14ac:dyDescent="0.25">
      <c r="A2274" t="s">
        <v>19570</v>
      </c>
      <c r="B2274">
        <v>1</v>
      </c>
      <c r="C2274">
        <v>462</v>
      </c>
      <c r="D2274">
        <v>462</v>
      </c>
      <c r="E2274">
        <v>109</v>
      </c>
      <c r="F2274">
        <v>109</v>
      </c>
      <c r="G2274">
        <v>462</v>
      </c>
    </row>
    <row r="2275" spans="1:7" ht="15" x14ac:dyDescent="0.25">
      <c r="A2275" t="s">
        <v>19578</v>
      </c>
      <c r="B2275">
        <v>1</v>
      </c>
      <c r="C2275">
        <v>268</v>
      </c>
      <c r="D2275">
        <v>268</v>
      </c>
      <c r="E2275">
        <v>4</v>
      </c>
      <c r="F2275">
        <v>4</v>
      </c>
      <c r="G2275">
        <v>268</v>
      </c>
    </row>
    <row r="2276" spans="1:7" ht="15" x14ac:dyDescent="0.25">
      <c r="A2276" t="s">
        <v>19584</v>
      </c>
      <c r="B2276">
        <v>1</v>
      </c>
      <c r="C2276">
        <v>442</v>
      </c>
      <c r="D2276">
        <v>442</v>
      </c>
      <c r="E2276">
        <v>17</v>
      </c>
      <c r="F2276">
        <v>17</v>
      </c>
      <c r="G2276">
        <v>442</v>
      </c>
    </row>
    <row r="2277" spans="1:7" ht="15" x14ac:dyDescent="0.25">
      <c r="A2277" t="s">
        <v>19591</v>
      </c>
      <c r="B2277">
        <v>1</v>
      </c>
      <c r="C2277">
        <v>232</v>
      </c>
      <c r="D2277">
        <v>232</v>
      </c>
      <c r="E2277">
        <v>15</v>
      </c>
      <c r="F2277">
        <v>15</v>
      </c>
      <c r="G2277">
        <v>232</v>
      </c>
    </row>
    <row r="2278" spans="1:7" ht="15" x14ac:dyDescent="0.25">
      <c r="A2278" t="s">
        <v>19606</v>
      </c>
      <c r="B2278">
        <v>1</v>
      </c>
      <c r="C2278">
        <v>59</v>
      </c>
      <c r="D2278">
        <v>59</v>
      </c>
      <c r="E2278">
        <v>26</v>
      </c>
      <c r="F2278">
        <v>26</v>
      </c>
      <c r="G2278">
        <v>59</v>
      </c>
    </row>
    <row r="2279" spans="1:7" ht="15" x14ac:dyDescent="0.25">
      <c r="A2279" t="s">
        <v>19622</v>
      </c>
      <c r="B2279">
        <v>1</v>
      </c>
      <c r="C2279">
        <v>339</v>
      </c>
      <c r="D2279">
        <v>339</v>
      </c>
      <c r="E2279">
        <v>50</v>
      </c>
      <c r="F2279">
        <v>50</v>
      </c>
      <c r="G2279">
        <v>339</v>
      </c>
    </row>
    <row r="2280" spans="1:7" ht="15" x14ac:dyDescent="0.25">
      <c r="A2280" t="s">
        <v>19630</v>
      </c>
      <c r="B2280">
        <v>1</v>
      </c>
      <c r="C2280">
        <v>60</v>
      </c>
      <c r="D2280">
        <v>60</v>
      </c>
      <c r="E2280">
        <v>13</v>
      </c>
      <c r="F2280">
        <v>13</v>
      </c>
      <c r="G2280">
        <v>60</v>
      </c>
    </row>
    <row r="2281" spans="1:7" ht="15" x14ac:dyDescent="0.25">
      <c r="A2281" t="s">
        <v>19639</v>
      </c>
      <c r="B2281">
        <v>7</v>
      </c>
      <c r="C2281">
        <v>11</v>
      </c>
      <c r="D2281">
        <v>60</v>
      </c>
      <c r="E2281">
        <v>88</v>
      </c>
      <c r="F2281">
        <v>12.571428571428571</v>
      </c>
      <c r="G2281">
        <v>11</v>
      </c>
    </row>
    <row r="2282" spans="1:7" ht="15" x14ac:dyDescent="0.25">
      <c r="A2282" t="s">
        <v>19644</v>
      </c>
      <c r="B2282">
        <v>1</v>
      </c>
      <c r="C2282">
        <v>345</v>
      </c>
      <c r="D2282">
        <v>345</v>
      </c>
      <c r="E2282">
        <v>61</v>
      </c>
      <c r="F2282">
        <v>61</v>
      </c>
      <c r="G2282">
        <v>345</v>
      </c>
    </row>
    <row r="2283" spans="1:7" ht="15" x14ac:dyDescent="0.25">
      <c r="A2283" t="s">
        <v>19656</v>
      </c>
      <c r="B2283">
        <v>1</v>
      </c>
      <c r="C2283">
        <v>1120</v>
      </c>
      <c r="D2283">
        <v>1120</v>
      </c>
      <c r="E2283">
        <v>232</v>
      </c>
      <c r="F2283">
        <v>232</v>
      </c>
      <c r="G2283">
        <v>1120</v>
      </c>
    </row>
    <row r="2284" spans="1:7" ht="15" x14ac:dyDescent="0.25">
      <c r="A2284" t="s">
        <v>19661</v>
      </c>
      <c r="B2284">
        <v>1</v>
      </c>
      <c r="C2284">
        <v>785</v>
      </c>
      <c r="D2284">
        <v>785</v>
      </c>
      <c r="E2284">
        <v>406</v>
      </c>
      <c r="F2284">
        <v>406</v>
      </c>
      <c r="G2284">
        <v>785</v>
      </c>
    </row>
    <row r="2285" spans="1:7" ht="15" x14ac:dyDescent="0.25">
      <c r="A2285" t="s">
        <v>19672</v>
      </c>
      <c r="B2285">
        <v>1</v>
      </c>
      <c r="C2285">
        <v>1368</v>
      </c>
      <c r="D2285">
        <v>1368</v>
      </c>
      <c r="E2285">
        <v>82</v>
      </c>
      <c r="F2285">
        <v>82</v>
      </c>
      <c r="G2285">
        <v>1368</v>
      </c>
    </row>
    <row r="2286" spans="1:7" ht="15" x14ac:dyDescent="0.25">
      <c r="A2286" t="s">
        <v>19683</v>
      </c>
      <c r="B2286">
        <v>1</v>
      </c>
      <c r="C2286">
        <v>39</v>
      </c>
      <c r="D2286">
        <v>39</v>
      </c>
      <c r="E2286">
        <v>59</v>
      </c>
      <c r="F2286">
        <v>59</v>
      </c>
      <c r="G2286">
        <v>39</v>
      </c>
    </row>
    <row r="2287" spans="1:7" ht="15" x14ac:dyDescent="0.25">
      <c r="A2287" t="s">
        <v>19696</v>
      </c>
      <c r="B2287">
        <v>3</v>
      </c>
      <c r="C2287">
        <v>101</v>
      </c>
      <c r="D2287">
        <v>298</v>
      </c>
      <c r="E2287">
        <v>111</v>
      </c>
      <c r="F2287">
        <v>37</v>
      </c>
      <c r="G2287">
        <v>101</v>
      </c>
    </row>
    <row r="2288" spans="1:7" ht="15" x14ac:dyDescent="0.25">
      <c r="A2288" t="s">
        <v>19708</v>
      </c>
      <c r="B2288">
        <v>1</v>
      </c>
      <c r="C2288">
        <v>42</v>
      </c>
      <c r="D2288">
        <v>42</v>
      </c>
      <c r="E2288">
        <v>11</v>
      </c>
      <c r="F2288">
        <v>11</v>
      </c>
      <c r="G2288">
        <v>42</v>
      </c>
    </row>
    <row r="2289" spans="1:7" ht="15" x14ac:dyDescent="0.25">
      <c r="A2289" t="s">
        <v>19717</v>
      </c>
      <c r="B2289">
        <v>6</v>
      </c>
      <c r="C2289">
        <v>290</v>
      </c>
      <c r="D2289">
        <v>1437</v>
      </c>
      <c r="E2289">
        <v>261</v>
      </c>
      <c r="F2289">
        <v>43.5</v>
      </c>
      <c r="G2289">
        <v>293</v>
      </c>
    </row>
    <row r="2290" spans="1:7" ht="15" x14ac:dyDescent="0.25">
      <c r="A2290" t="s">
        <v>19725</v>
      </c>
      <c r="B2290">
        <v>1</v>
      </c>
      <c r="C2290">
        <v>150</v>
      </c>
      <c r="D2290">
        <v>150</v>
      </c>
      <c r="E2290">
        <v>41</v>
      </c>
      <c r="F2290">
        <v>41</v>
      </c>
      <c r="G2290">
        <v>150</v>
      </c>
    </row>
    <row r="2291" spans="1:7" ht="15" x14ac:dyDescent="0.25">
      <c r="A2291" t="s">
        <v>19733</v>
      </c>
      <c r="B2291">
        <v>1</v>
      </c>
      <c r="C2291">
        <v>70</v>
      </c>
      <c r="D2291">
        <v>70</v>
      </c>
      <c r="E2291">
        <v>18</v>
      </c>
      <c r="F2291">
        <v>18</v>
      </c>
      <c r="G2291">
        <v>70</v>
      </c>
    </row>
    <row r="2292" spans="1:7" ht="15" x14ac:dyDescent="0.25">
      <c r="A2292" t="s">
        <v>19740</v>
      </c>
      <c r="B2292">
        <v>1</v>
      </c>
      <c r="C2292">
        <v>13</v>
      </c>
      <c r="D2292">
        <v>13</v>
      </c>
      <c r="E2292">
        <v>12</v>
      </c>
      <c r="F2292">
        <v>12</v>
      </c>
      <c r="G2292">
        <v>13</v>
      </c>
    </row>
    <row r="2293" spans="1:7" ht="15" x14ac:dyDescent="0.25">
      <c r="A2293" t="s">
        <v>19746</v>
      </c>
      <c r="B2293">
        <v>1</v>
      </c>
      <c r="C2293">
        <v>108</v>
      </c>
      <c r="D2293">
        <v>108</v>
      </c>
      <c r="E2293">
        <v>4</v>
      </c>
      <c r="F2293">
        <v>4</v>
      </c>
      <c r="G2293">
        <v>108</v>
      </c>
    </row>
    <row r="2294" spans="1:7" ht="15" x14ac:dyDescent="0.25">
      <c r="A2294" t="s">
        <v>19753</v>
      </c>
      <c r="B2294">
        <v>1</v>
      </c>
      <c r="C2294">
        <v>66</v>
      </c>
      <c r="D2294">
        <v>66</v>
      </c>
      <c r="E2294">
        <v>7</v>
      </c>
      <c r="F2294">
        <v>7</v>
      </c>
      <c r="G2294">
        <v>66</v>
      </c>
    </row>
    <row r="2295" spans="1:7" ht="15" x14ac:dyDescent="0.25">
      <c r="A2295" t="s">
        <v>19760</v>
      </c>
      <c r="B2295">
        <v>1</v>
      </c>
      <c r="C2295">
        <v>528</v>
      </c>
      <c r="D2295">
        <v>528</v>
      </c>
      <c r="E2295">
        <v>61</v>
      </c>
      <c r="F2295">
        <v>61</v>
      </c>
      <c r="G2295">
        <v>528</v>
      </c>
    </row>
    <row r="2296" spans="1:7" ht="15" x14ac:dyDescent="0.25">
      <c r="A2296" t="s">
        <v>19764</v>
      </c>
      <c r="B2296">
        <v>1</v>
      </c>
      <c r="C2296">
        <v>27979</v>
      </c>
      <c r="D2296">
        <v>27979</v>
      </c>
      <c r="E2296">
        <v>879</v>
      </c>
      <c r="F2296">
        <v>879</v>
      </c>
      <c r="G2296">
        <v>27979</v>
      </c>
    </row>
    <row r="2297" spans="1:7" ht="15" x14ac:dyDescent="0.25">
      <c r="A2297" t="s">
        <v>19770</v>
      </c>
      <c r="B2297">
        <v>1</v>
      </c>
      <c r="C2297">
        <v>359</v>
      </c>
      <c r="D2297">
        <v>359</v>
      </c>
      <c r="E2297">
        <v>24</v>
      </c>
      <c r="F2297">
        <v>24</v>
      </c>
      <c r="G2297">
        <v>359</v>
      </c>
    </row>
    <row r="2298" spans="1:7" ht="15" x14ac:dyDescent="0.25">
      <c r="A2298" t="s">
        <v>19780</v>
      </c>
      <c r="B2298">
        <v>1</v>
      </c>
      <c r="C2298">
        <v>336</v>
      </c>
      <c r="D2298">
        <v>336</v>
      </c>
      <c r="E2298">
        <v>56</v>
      </c>
      <c r="F2298">
        <v>56</v>
      </c>
      <c r="G2298">
        <v>336</v>
      </c>
    </row>
    <row r="2299" spans="1:7" ht="15" x14ac:dyDescent="0.25">
      <c r="A2299" t="s">
        <v>19793</v>
      </c>
      <c r="B2299">
        <v>1</v>
      </c>
      <c r="C2299">
        <v>883</v>
      </c>
      <c r="D2299">
        <v>883</v>
      </c>
      <c r="E2299">
        <v>33</v>
      </c>
      <c r="F2299">
        <v>33</v>
      </c>
      <c r="G2299">
        <v>883</v>
      </c>
    </row>
    <row r="2300" spans="1:7" ht="15" x14ac:dyDescent="0.25">
      <c r="A2300" t="s">
        <v>19797</v>
      </c>
      <c r="B2300">
        <v>1</v>
      </c>
      <c r="C2300">
        <v>236</v>
      </c>
      <c r="D2300">
        <v>236</v>
      </c>
      <c r="E2300">
        <v>3</v>
      </c>
      <c r="F2300">
        <v>3</v>
      </c>
      <c r="G2300">
        <v>236</v>
      </c>
    </row>
    <row r="2301" spans="1:7" ht="15" x14ac:dyDescent="0.25">
      <c r="A2301" t="s">
        <v>19803</v>
      </c>
      <c r="B2301">
        <v>1</v>
      </c>
      <c r="C2301">
        <v>428</v>
      </c>
      <c r="D2301">
        <v>428</v>
      </c>
      <c r="E2301">
        <v>20</v>
      </c>
      <c r="F2301">
        <v>20</v>
      </c>
      <c r="G2301">
        <v>428</v>
      </c>
    </row>
    <row r="2302" spans="1:7" ht="15" x14ac:dyDescent="0.25">
      <c r="A2302" t="s">
        <v>19807</v>
      </c>
      <c r="B2302">
        <v>1</v>
      </c>
      <c r="C2302">
        <v>23792</v>
      </c>
      <c r="D2302">
        <v>23792</v>
      </c>
      <c r="E2302">
        <v>200</v>
      </c>
      <c r="F2302">
        <v>200</v>
      </c>
      <c r="G2302">
        <v>23792</v>
      </c>
    </row>
    <row r="2303" spans="1:7" ht="15" x14ac:dyDescent="0.25">
      <c r="A2303" t="s">
        <v>19814</v>
      </c>
      <c r="B2303">
        <v>1</v>
      </c>
      <c r="C2303">
        <v>139</v>
      </c>
      <c r="D2303">
        <v>139</v>
      </c>
      <c r="E2303">
        <v>19</v>
      </c>
      <c r="F2303">
        <v>19</v>
      </c>
      <c r="G2303">
        <v>139</v>
      </c>
    </row>
    <row r="2304" spans="1:7" ht="15" x14ac:dyDescent="0.25">
      <c r="A2304" t="s">
        <v>19824</v>
      </c>
      <c r="B2304">
        <v>1</v>
      </c>
      <c r="C2304">
        <v>27</v>
      </c>
      <c r="D2304">
        <v>27</v>
      </c>
      <c r="E2304">
        <v>3</v>
      </c>
      <c r="F2304">
        <v>3</v>
      </c>
      <c r="G2304">
        <v>27</v>
      </c>
    </row>
    <row r="2305" spans="1:7" ht="15" x14ac:dyDescent="0.25">
      <c r="A2305" t="s">
        <v>19832</v>
      </c>
      <c r="B2305">
        <v>1</v>
      </c>
      <c r="C2305">
        <v>548</v>
      </c>
      <c r="D2305">
        <v>548</v>
      </c>
      <c r="E2305">
        <v>22</v>
      </c>
      <c r="F2305">
        <v>22</v>
      </c>
      <c r="G2305">
        <v>548</v>
      </c>
    </row>
    <row r="2306" spans="1:7" ht="15" x14ac:dyDescent="0.25">
      <c r="A2306" t="s">
        <v>19843</v>
      </c>
      <c r="B2306">
        <v>1</v>
      </c>
      <c r="C2306">
        <v>416</v>
      </c>
      <c r="D2306">
        <v>416</v>
      </c>
      <c r="E2306">
        <v>22</v>
      </c>
      <c r="F2306">
        <v>22</v>
      </c>
      <c r="G2306">
        <v>416</v>
      </c>
    </row>
    <row r="2307" spans="1:7" ht="15" x14ac:dyDescent="0.25">
      <c r="A2307" t="s">
        <v>19847</v>
      </c>
      <c r="B2307">
        <v>1</v>
      </c>
      <c r="C2307">
        <v>597</v>
      </c>
      <c r="D2307">
        <v>597</v>
      </c>
      <c r="E2307">
        <v>37</v>
      </c>
      <c r="F2307">
        <v>37</v>
      </c>
      <c r="G2307">
        <v>597</v>
      </c>
    </row>
    <row r="2308" spans="1:7" ht="15" x14ac:dyDescent="0.25">
      <c r="A2308" t="s">
        <v>19860</v>
      </c>
      <c r="B2308">
        <v>1</v>
      </c>
      <c r="C2308">
        <v>269</v>
      </c>
      <c r="D2308">
        <v>269</v>
      </c>
      <c r="E2308">
        <v>32</v>
      </c>
      <c r="F2308">
        <v>32</v>
      </c>
      <c r="G2308">
        <v>269</v>
      </c>
    </row>
    <row r="2309" spans="1:7" ht="15" x14ac:dyDescent="0.25">
      <c r="A2309" t="s">
        <v>19870</v>
      </c>
      <c r="B2309">
        <v>1</v>
      </c>
      <c r="C2309">
        <v>598</v>
      </c>
      <c r="D2309">
        <v>598</v>
      </c>
      <c r="E2309">
        <v>70</v>
      </c>
      <c r="F2309">
        <v>70</v>
      </c>
      <c r="G2309">
        <v>598</v>
      </c>
    </row>
    <row r="2310" spans="1:7" ht="15" x14ac:dyDescent="0.25">
      <c r="A2310" t="s">
        <v>19873</v>
      </c>
      <c r="B2310">
        <v>1</v>
      </c>
      <c r="C2310">
        <v>25</v>
      </c>
      <c r="D2310">
        <v>25</v>
      </c>
      <c r="E2310">
        <v>15</v>
      </c>
      <c r="F2310">
        <v>15</v>
      </c>
      <c r="G2310">
        <v>25</v>
      </c>
    </row>
    <row r="2311" spans="1:7" ht="15" x14ac:dyDescent="0.25">
      <c r="A2311" t="s">
        <v>19879</v>
      </c>
      <c r="B2311">
        <v>1</v>
      </c>
      <c r="C2311">
        <v>477</v>
      </c>
      <c r="D2311">
        <v>477</v>
      </c>
      <c r="E2311">
        <v>65</v>
      </c>
      <c r="F2311">
        <v>65</v>
      </c>
      <c r="G2311">
        <v>477</v>
      </c>
    </row>
    <row r="2312" spans="1:7" ht="15" x14ac:dyDescent="0.25">
      <c r="A2312" t="s">
        <v>19885</v>
      </c>
      <c r="B2312">
        <v>1</v>
      </c>
      <c r="C2312">
        <v>255</v>
      </c>
      <c r="D2312">
        <v>255</v>
      </c>
      <c r="E2312">
        <v>32</v>
      </c>
      <c r="F2312">
        <v>32</v>
      </c>
      <c r="G2312">
        <v>255</v>
      </c>
    </row>
    <row r="2313" spans="1:7" ht="15" x14ac:dyDescent="0.25">
      <c r="A2313" t="s">
        <v>19897</v>
      </c>
      <c r="B2313">
        <v>1</v>
      </c>
      <c r="C2313">
        <v>1535</v>
      </c>
      <c r="D2313">
        <v>1535</v>
      </c>
      <c r="E2313">
        <v>212</v>
      </c>
      <c r="F2313">
        <v>212</v>
      </c>
      <c r="G2313">
        <v>1535</v>
      </c>
    </row>
    <row r="2314" spans="1:7" ht="15" x14ac:dyDescent="0.25">
      <c r="A2314" t="s">
        <v>19906</v>
      </c>
      <c r="B2314">
        <v>1</v>
      </c>
      <c r="C2314">
        <v>514</v>
      </c>
      <c r="D2314">
        <v>514</v>
      </c>
      <c r="E2314">
        <v>36</v>
      </c>
      <c r="F2314">
        <v>36</v>
      </c>
      <c r="G2314">
        <v>514</v>
      </c>
    </row>
    <row r="2315" spans="1:7" ht="15" x14ac:dyDescent="0.25">
      <c r="A2315" t="s">
        <v>19914</v>
      </c>
      <c r="B2315">
        <v>1</v>
      </c>
      <c r="C2315">
        <v>1227</v>
      </c>
      <c r="D2315">
        <v>1227</v>
      </c>
      <c r="E2315">
        <v>89</v>
      </c>
      <c r="F2315">
        <v>89</v>
      </c>
      <c r="G2315">
        <v>1227</v>
      </c>
    </row>
    <row r="2316" spans="1:7" ht="15" x14ac:dyDescent="0.25">
      <c r="A2316" t="s">
        <v>19920</v>
      </c>
      <c r="B2316">
        <v>4</v>
      </c>
      <c r="C2316">
        <v>46</v>
      </c>
      <c r="D2316">
        <v>180</v>
      </c>
      <c r="E2316">
        <v>30</v>
      </c>
      <c r="F2316">
        <v>7.5</v>
      </c>
      <c r="G2316">
        <v>47</v>
      </c>
    </row>
    <row r="2317" spans="1:7" ht="15" x14ac:dyDescent="0.25">
      <c r="A2317" t="s">
        <v>19928</v>
      </c>
      <c r="B2317">
        <v>1</v>
      </c>
      <c r="C2317">
        <v>89</v>
      </c>
      <c r="D2317">
        <v>89</v>
      </c>
      <c r="E2317">
        <v>15</v>
      </c>
      <c r="F2317">
        <v>15</v>
      </c>
      <c r="G2317">
        <v>89</v>
      </c>
    </row>
    <row r="2318" spans="1:7" ht="15" x14ac:dyDescent="0.25">
      <c r="A2318" t="s">
        <v>19937</v>
      </c>
      <c r="B2318">
        <v>1</v>
      </c>
      <c r="C2318">
        <v>0</v>
      </c>
      <c r="D2318">
        <v>0</v>
      </c>
      <c r="E2318">
        <v>9</v>
      </c>
      <c r="F2318">
        <v>9</v>
      </c>
      <c r="G2318">
        <v>0</v>
      </c>
    </row>
    <row r="2319" spans="1:7" ht="15" x14ac:dyDescent="0.25">
      <c r="A2319" t="s">
        <v>19944</v>
      </c>
      <c r="B2319">
        <v>1</v>
      </c>
      <c r="C2319">
        <v>317</v>
      </c>
      <c r="D2319">
        <v>317</v>
      </c>
      <c r="E2319">
        <v>15</v>
      </c>
      <c r="F2319">
        <v>15</v>
      </c>
      <c r="G2319">
        <v>317</v>
      </c>
    </row>
    <row r="2320" spans="1:7" ht="15" x14ac:dyDescent="0.25">
      <c r="A2320" t="s">
        <v>19947</v>
      </c>
      <c r="B2320">
        <v>1</v>
      </c>
      <c r="C2320">
        <v>140</v>
      </c>
      <c r="D2320">
        <v>140</v>
      </c>
      <c r="E2320">
        <v>36</v>
      </c>
      <c r="F2320">
        <v>36</v>
      </c>
      <c r="G2320">
        <v>140</v>
      </c>
    </row>
    <row r="2321" spans="1:7" ht="15" x14ac:dyDescent="0.25">
      <c r="A2321" t="s">
        <v>19957</v>
      </c>
      <c r="B2321">
        <v>1</v>
      </c>
      <c r="C2321">
        <v>740</v>
      </c>
      <c r="D2321">
        <v>740</v>
      </c>
      <c r="E2321">
        <v>20</v>
      </c>
      <c r="F2321">
        <v>20</v>
      </c>
      <c r="G2321">
        <v>740</v>
      </c>
    </row>
    <row r="2322" spans="1:7" ht="15" x14ac:dyDescent="0.25">
      <c r="A2322" t="s">
        <v>19967</v>
      </c>
      <c r="B2322">
        <v>1</v>
      </c>
      <c r="C2322">
        <v>80</v>
      </c>
      <c r="D2322">
        <v>80</v>
      </c>
      <c r="E2322">
        <v>4</v>
      </c>
      <c r="F2322">
        <v>4</v>
      </c>
      <c r="G2322">
        <v>80</v>
      </c>
    </row>
    <row r="2323" spans="1:7" ht="15" x14ac:dyDescent="0.25">
      <c r="A2323" t="s">
        <v>19972</v>
      </c>
      <c r="B2323">
        <v>1</v>
      </c>
      <c r="C2323">
        <v>304</v>
      </c>
      <c r="D2323">
        <v>304</v>
      </c>
      <c r="E2323">
        <v>42</v>
      </c>
      <c r="F2323">
        <v>42</v>
      </c>
      <c r="G2323">
        <v>304</v>
      </c>
    </row>
    <row r="2324" spans="1:7" ht="15" x14ac:dyDescent="0.25">
      <c r="A2324" t="s">
        <v>19978</v>
      </c>
      <c r="B2324">
        <v>1</v>
      </c>
      <c r="C2324">
        <v>782</v>
      </c>
      <c r="D2324">
        <v>782</v>
      </c>
      <c r="E2324">
        <v>135</v>
      </c>
      <c r="F2324">
        <v>135</v>
      </c>
      <c r="G2324">
        <v>782</v>
      </c>
    </row>
    <row r="2325" spans="1:7" ht="15" x14ac:dyDescent="0.25">
      <c r="A2325" t="s">
        <v>19984</v>
      </c>
      <c r="B2325">
        <v>1</v>
      </c>
      <c r="C2325">
        <v>168</v>
      </c>
      <c r="D2325">
        <v>168</v>
      </c>
      <c r="E2325">
        <v>22</v>
      </c>
      <c r="F2325">
        <v>22</v>
      </c>
      <c r="G2325">
        <v>168</v>
      </c>
    </row>
    <row r="2326" spans="1:7" ht="15" x14ac:dyDescent="0.25">
      <c r="A2326" t="s">
        <v>19990</v>
      </c>
      <c r="B2326">
        <v>1</v>
      </c>
      <c r="C2326">
        <v>496</v>
      </c>
      <c r="D2326">
        <v>496</v>
      </c>
      <c r="E2326">
        <v>25</v>
      </c>
      <c r="F2326">
        <v>25</v>
      </c>
      <c r="G2326">
        <v>496</v>
      </c>
    </row>
    <row r="2327" spans="1:7" ht="15" x14ac:dyDescent="0.25">
      <c r="A2327" t="s">
        <v>19996</v>
      </c>
      <c r="B2327">
        <v>1</v>
      </c>
      <c r="C2327">
        <v>10337</v>
      </c>
      <c r="D2327">
        <v>10337</v>
      </c>
      <c r="E2327">
        <v>435</v>
      </c>
      <c r="F2327">
        <v>435</v>
      </c>
      <c r="G2327">
        <v>10337</v>
      </c>
    </row>
    <row r="2328" spans="1:7" ht="15" x14ac:dyDescent="0.25">
      <c r="A2328" t="s">
        <v>20000</v>
      </c>
      <c r="B2328">
        <v>1</v>
      </c>
      <c r="C2328">
        <v>686</v>
      </c>
      <c r="D2328">
        <v>686</v>
      </c>
      <c r="E2328">
        <v>14</v>
      </c>
      <c r="F2328">
        <v>14</v>
      </c>
      <c r="G2328">
        <v>686</v>
      </c>
    </row>
    <row r="2329" spans="1:7" ht="15" x14ac:dyDescent="0.25">
      <c r="A2329" t="s">
        <v>20007</v>
      </c>
      <c r="B2329">
        <v>1</v>
      </c>
      <c r="C2329">
        <v>396</v>
      </c>
      <c r="D2329">
        <v>396</v>
      </c>
      <c r="E2329">
        <v>64</v>
      </c>
      <c r="F2329">
        <v>64</v>
      </c>
      <c r="G2329">
        <v>396</v>
      </c>
    </row>
    <row r="2330" spans="1:7" ht="15" x14ac:dyDescent="0.25">
      <c r="A2330" t="s">
        <v>20013</v>
      </c>
      <c r="B2330">
        <v>1</v>
      </c>
      <c r="C2330">
        <v>64</v>
      </c>
      <c r="D2330">
        <v>64</v>
      </c>
      <c r="E2330">
        <v>22</v>
      </c>
      <c r="F2330">
        <v>22</v>
      </c>
      <c r="G2330">
        <v>64</v>
      </c>
    </row>
    <row r="2331" spans="1:7" ht="15" x14ac:dyDescent="0.25">
      <c r="A2331" t="s">
        <v>20020</v>
      </c>
      <c r="B2331">
        <v>1</v>
      </c>
      <c r="D2331">
        <v>0</v>
      </c>
      <c r="E2331">
        <v>19</v>
      </c>
      <c r="F2331">
        <v>19</v>
      </c>
    </row>
    <row r="2332" spans="1:7" ht="15" x14ac:dyDescent="0.25">
      <c r="A2332" t="s">
        <v>20025</v>
      </c>
      <c r="B2332">
        <v>4</v>
      </c>
      <c r="C2332">
        <v>168</v>
      </c>
      <c r="D2332">
        <v>659</v>
      </c>
      <c r="E2332">
        <v>96</v>
      </c>
      <c r="F2332">
        <v>24</v>
      </c>
      <c r="G2332">
        <v>168</v>
      </c>
    </row>
    <row r="2333" spans="1:7" ht="15" x14ac:dyDescent="0.25">
      <c r="A2333" t="s">
        <v>20031</v>
      </c>
      <c r="B2333">
        <v>1</v>
      </c>
      <c r="C2333">
        <v>7753</v>
      </c>
      <c r="D2333">
        <v>7753</v>
      </c>
      <c r="E2333">
        <v>205</v>
      </c>
      <c r="F2333">
        <v>205</v>
      </c>
      <c r="G2333">
        <v>7753</v>
      </c>
    </row>
    <row r="2334" spans="1:7" ht="15" x14ac:dyDescent="0.25">
      <c r="A2334" t="s">
        <v>20040</v>
      </c>
      <c r="B2334">
        <v>1</v>
      </c>
      <c r="C2334">
        <v>144</v>
      </c>
      <c r="D2334">
        <v>144</v>
      </c>
      <c r="E2334">
        <v>6</v>
      </c>
      <c r="F2334">
        <v>6</v>
      </c>
      <c r="G2334">
        <v>144</v>
      </c>
    </row>
    <row r="2335" spans="1:7" ht="15" x14ac:dyDescent="0.25">
      <c r="A2335" t="s">
        <v>20053</v>
      </c>
      <c r="B2335">
        <v>1</v>
      </c>
      <c r="C2335">
        <v>11</v>
      </c>
      <c r="D2335">
        <v>11</v>
      </c>
      <c r="E2335">
        <v>7</v>
      </c>
      <c r="F2335">
        <v>7</v>
      </c>
      <c r="G2335">
        <v>11</v>
      </c>
    </row>
    <row r="2336" spans="1:7" ht="15" x14ac:dyDescent="0.25">
      <c r="A2336" t="s">
        <v>20061</v>
      </c>
      <c r="B2336">
        <v>1</v>
      </c>
      <c r="C2336">
        <v>6132</v>
      </c>
      <c r="D2336">
        <v>6132</v>
      </c>
      <c r="E2336">
        <v>1142</v>
      </c>
      <c r="F2336">
        <v>1142</v>
      </c>
      <c r="G2336">
        <v>6132</v>
      </c>
    </row>
    <row r="2337" spans="1:7" ht="15" x14ac:dyDescent="0.25">
      <c r="A2337" t="s">
        <v>20068</v>
      </c>
      <c r="B2337">
        <v>1</v>
      </c>
      <c r="C2337">
        <v>5869</v>
      </c>
      <c r="D2337">
        <v>5869</v>
      </c>
      <c r="E2337">
        <v>187</v>
      </c>
      <c r="F2337">
        <v>187</v>
      </c>
      <c r="G2337">
        <v>5869</v>
      </c>
    </row>
    <row r="2338" spans="1:7" ht="15" x14ac:dyDescent="0.25">
      <c r="A2338" t="s">
        <v>20075</v>
      </c>
      <c r="B2338">
        <v>1</v>
      </c>
      <c r="C2338">
        <v>499</v>
      </c>
      <c r="D2338">
        <v>499</v>
      </c>
      <c r="E2338">
        <v>32</v>
      </c>
      <c r="F2338">
        <v>32</v>
      </c>
      <c r="G2338">
        <v>499</v>
      </c>
    </row>
    <row r="2339" spans="1:7" ht="15" x14ac:dyDescent="0.25">
      <c r="A2339" t="s">
        <v>20083</v>
      </c>
      <c r="B2339">
        <v>1</v>
      </c>
      <c r="C2339">
        <v>88</v>
      </c>
      <c r="D2339">
        <v>88</v>
      </c>
      <c r="E2339">
        <v>10</v>
      </c>
      <c r="F2339">
        <v>10</v>
      </c>
      <c r="G2339">
        <v>88</v>
      </c>
    </row>
    <row r="2340" spans="1:7" ht="15" x14ac:dyDescent="0.25">
      <c r="A2340" t="s">
        <v>20086</v>
      </c>
      <c r="B2340">
        <v>1</v>
      </c>
      <c r="C2340">
        <v>173</v>
      </c>
      <c r="D2340">
        <v>173</v>
      </c>
      <c r="E2340">
        <v>35</v>
      </c>
      <c r="F2340">
        <v>35</v>
      </c>
      <c r="G2340">
        <v>173</v>
      </c>
    </row>
    <row r="2341" spans="1:7" ht="15" x14ac:dyDescent="0.25">
      <c r="A2341" t="s">
        <v>20089</v>
      </c>
      <c r="B2341">
        <v>1</v>
      </c>
      <c r="C2341">
        <v>393</v>
      </c>
      <c r="D2341">
        <v>393</v>
      </c>
      <c r="E2341">
        <v>32</v>
      </c>
      <c r="F2341">
        <v>32</v>
      </c>
      <c r="G2341">
        <v>393</v>
      </c>
    </row>
    <row r="2342" spans="1:7" ht="15" x14ac:dyDescent="0.25">
      <c r="A2342" t="s">
        <v>20098</v>
      </c>
      <c r="B2342">
        <v>1</v>
      </c>
      <c r="C2342">
        <v>379</v>
      </c>
      <c r="D2342">
        <v>379</v>
      </c>
      <c r="E2342">
        <v>18</v>
      </c>
      <c r="F2342">
        <v>18</v>
      </c>
      <c r="G2342">
        <v>379</v>
      </c>
    </row>
    <row r="2343" spans="1:7" ht="15" x14ac:dyDescent="0.25">
      <c r="A2343" t="s">
        <v>20102</v>
      </c>
      <c r="B2343">
        <v>1</v>
      </c>
      <c r="C2343">
        <v>1277</v>
      </c>
      <c r="D2343">
        <v>1277</v>
      </c>
      <c r="E2343">
        <v>32</v>
      </c>
      <c r="F2343">
        <v>32</v>
      </c>
      <c r="G2343">
        <v>1277</v>
      </c>
    </row>
    <row r="2344" spans="1:7" ht="15" x14ac:dyDescent="0.25">
      <c r="A2344" t="s">
        <v>20127</v>
      </c>
      <c r="B2344">
        <v>1</v>
      </c>
      <c r="C2344">
        <v>162</v>
      </c>
      <c r="D2344">
        <v>162</v>
      </c>
      <c r="E2344">
        <v>25</v>
      </c>
      <c r="F2344">
        <v>25</v>
      </c>
      <c r="G2344">
        <v>162</v>
      </c>
    </row>
    <row r="2345" spans="1:7" ht="15" x14ac:dyDescent="0.25">
      <c r="A2345" t="s">
        <v>20132</v>
      </c>
      <c r="B2345">
        <v>1</v>
      </c>
      <c r="C2345">
        <v>108</v>
      </c>
      <c r="D2345">
        <v>108</v>
      </c>
      <c r="E2345">
        <v>31</v>
      </c>
      <c r="F2345">
        <v>31</v>
      </c>
      <c r="G2345">
        <v>108</v>
      </c>
    </row>
    <row r="2346" spans="1:7" ht="15" x14ac:dyDescent="0.25">
      <c r="A2346" t="s">
        <v>20143</v>
      </c>
      <c r="B2346">
        <v>1</v>
      </c>
      <c r="C2346">
        <v>734</v>
      </c>
      <c r="D2346">
        <v>734</v>
      </c>
      <c r="E2346">
        <v>41</v>
      </c>
      <c r="F2346">
        <v>41</v>
      </c>
      <c r="G2346">
        <v>734</v>
      </c>
    </row>
    <row r="2347" spans="1:7" ht="15" x14ac:dyDescent="0.25">
      <c r="A2347" t="s">
        <v>20151</v>
      </c>
      <c r="B2347">
        <v>6</v>
      </c>
      <c r="C2347">
        <v>57</v>
      </c>
      <c r="D2347">
        <v>332</v>
      </c>
      <c r="E2347">
        <v>186</v>
      </c>
      <c r="F2347">
        <v>31</v>
      </c>
      <c r="G2347">
        <v>58</v>
      </c>
    </row>
    <row r="2348" spans="1:7" ht="15" x14ac:dyDescent="0.25">
      <c r="A2348" t="s">
        <v>20164</v>
      </c>
      <c r="B2348">
        <v>1</v>
      </c>
      <c r="C2348">
        <v>255</v>
      </c>
      <c r="D2348">
        <v>255</v>
      </c>
      <c r="E2348">
        <v>19</v>
      </c>
      <c r="F2348">
        <v>19</v>
      </c>
      <c r="G2348">
        <v>255</v>
      </c>
    </row>
    <row r="2349" spans="1:7" ht="15" x14ac:dyDescent="0.25">
      <c r="A2349" t="s">
        <v>20167</v>
      </c>
      <c r="B2349">
        <v>1</v>
      </c>
      <c r="C2349">
        <v>22505</v>
      </c>
      <c r="D2349">
        <v>22505</v>
      </c>
      <c r="E2349">
        <v>12</v>
      </c>
      <c r="F2349">
        <v>12</v>
      </c>
      <c r="G2349">
        <v>22505</v>
      </c>
    </row>
    <row r="2350" spans="1:7" ht="15" x14ac:dyDescent="0.25">
      <c r="A2350" t="s">
        <v>20171</v>
      </c>
      <c r="B2350">
        <v>1</v>
      </c>
      <c r="C2350">
        <v>241</v>
      </c>
      <c r="D2350">
        <v>241</v>
      </c>
      <c r="E2350">
        <v>18</v>
      </c>
      <c r="F2350">
        <v>18</v>
      </c>
      <c r="G2350">
        <v>241</v>
      </c>
    </row>
    <row r="2351" spans="1:7" ht="15" x14ac:dyDescent="0.25">
      <c r="A2351" t="s">
        <v>20191</v>
      </c>
      <c r="B2351">
        <v>1</v>
      </c>
      <c r="C2351">
        <v>172</v>
      </c>
      <c r="D2351">
        <v>172</v>
      </c>
      <c r="E2351">
        <v>5</v>
      </c>
      <c r="F2351">
        <v>5</v>
      </c>
      <c r="G2351">
        <v>172</v>
      </c>
    </row>
    <row r="2352" spans="1:7" ht="15" x14ac:dyDescent="0.25">
      <c r="A2352" t="s">
        <v>20194</v>
      </c>
      <c r="B2352">
        <v>1</v>
      </c>
      <c r="C2352">
        <v>240</v>
      </c>
      <c r="D2352">
        <v>240</v>
      </c>
      <c r="E2352">
        <v>16</v>
      </c>
      <c r="F2352">
        <v>16</v>
      </c>
      <c r="G2352">
        <v>240</v>
      </c>
    </row>
    <row r="2353" spans="1:7" ht="15" x14ac:dyDescent="0.25">
      <c r="A2353" t="s">
        <v>20200</v>
      </c>
      <c r="B2353">
        <v>2</v>
      </c>
      <c r="C2353">
        <v>381</v>
      </c>
      <c r="D2353">
        <v>717</v>
      </c>
      <c r="E2353">
        <v>130</v>
      </c>
      <c r="F2353">
        <v>65</v>
      </c>
      <c r="G2353">
        <v>381</v>
      </c>
    </row>
    <row r="2354" spans="1:7" ht="15" x14ac:dyDescent="0.25">
      <c r="A2354" t="s">
        <v>20212</v>
      </c>
      <c r="B2354">
        <v>1</v>
      </c>
      <c r="C2354">
        <v>276</v>
      </c>
      <c r="D2354">
        <v>276</v>
      </c>
      <c r="E2354">
        <v>12</v>
      </c>
      <c r="F2354">
        <v>12</v>
      </c>
      <c r="G2354">
        <v>276</v>
      </c>
    </row>
    <row r="2355" spans="1:7" ht="15" x14ac:dyDescent="0.25">
      <c r="A2355" t="s">
        <v>20224</v>
      </c>
      <c r="B2355">
        <v>2</v>
      </c>
      <c r="C2355">
        <v>773</v>
      </c>
      <c r="D2355">
        <v>1544</v>
      </c>
      <c r="E2355">
        <v>21</v>
      </c>
      <c r="F2355">
        <v>10.5</v>
      </c>
      <c r="G2355">
        <v>773</v>
      </c>
    </row>
    <row r="2356" spans="1:7" ht="15" x14ac:dyDescent="0.25">
      <c r="A2356" t="s">
        <v>20236</v>
      </c>
      <c r="B2356">
        <v>1</v>
      </c>
      <c r="C2356">
        <v>228</v>
      </c>
      <c r="D2356">
        <v>228</v>
      </c>
      <c r="E2356">
        <v>18</v>
      </c>
      <c r="F2356">
        <v>18</v>
      </c>
      <c r="G2356">
        <v>228</v>
      </c>
    </row>
    <row r="2357" spans="1:7" ht="15" x14ac:dyDescent="0.25">
      <c r="A2357" t="s">
        <v>20239</v>
      </c>
      <c r="B2357">
        <v>1</v>
      </c>
      <c r="C2357">
        <v>26</v>
      </c>
      <c r="D2357">
        <v>26</v>
      </c>
      <c r="E2357">
        <v>22</v>
      </c>
      <c r="F2357">
        <v>22</v>
      </c>
      <c r="G2357">
        <v>26</v>
      </c>
    </row>
    <row r="2358" spans="1:7" ht="15" x14ac:dyDescent="0.25">
      <c r="A2358" t="s">
        <v>20254</v>
      </c>
      <c r="B2358">
        <v>1</v>
      </c>
      <c r="C2358">
        <v>1318</v>
      </c>
      <c r="D2358">
        <v>1318</v>
      </c>
      <c r="E2358">
        <v>175</v>
      </c>
      <c r="F2358">
        <v>175</v>
      </c>
      <c r="G2358">
        <v>1318</v>
      </c>
    </row>
    <row r="2359" spans="1:7" ht="15" x14ac:dyDescent="0.25">
      <c r="A2359" t="s">
        <v>20258</v>
      </c>
      <c r="B2359">
        <v>1</v>
      </c>
      <c r="C2359">
        <v>1065</v>
      </c>
      <c r="D2359">
        <v>1065</v>
      </c>
      <c r="E2359">
        <v>57</v>
      </c>
      <c r="F2359">
        <v>57</v>
      </c>
      <c r="G2359">
        <v>1065</v>
      </c>
    </row>
    <row r="2360" spans="1:7" ht="15" x14ac:dyDescent="0.25">
      <c r="A2360" t="s">
        <v>20268</v>
      </c>
      <c r="B2360">
        <v>1</v>
      </c>
      <c r="C2360">
        <v>238</v>
      </c>
      <c r="D2360">
        <v>238</v>
      </c>
      <c r="E2360">
        <v>0</v>
      </c>
      <c r="F2360">
        <v>0</v>
      </c>
      <c r="G2360">
        <v>238</v>
      </c>
    </row>
    <row r="2361" spans="1:7" ht="15" x14ac:dyDescent="0.25">
      <c r="A2361" t="s">
        <v>20275</v>
      </c>
      <c r="B2361">
        <v>1</v>
      </c>
      <c r="C2361">
        <v>37</v>
      </c>
      <c r="D2361">
        <v>37</v>
      </c>
      <c r="E2361">
        <v>14</v>
      </c>
      <c r="F2361">
        <v>14</v>
      </c>
      <c r="G2361">
        <v>37</v>
      </c>
    </row>
    <row r="2362" spans="1:7" ht="15" x14ac:dyDescent="0.25">
      <c r="A2362" t="s">
        <v>20281</v>
      </c>
      <c r="B2362">
        <v>1</v>
      </c>
      <c r="C2362">
        <v>886</v>
      </c>
      <c r="D2362">
        <v>886</v>
      </c>
      <c r="E2362">
        <v>33</v>
      </c>
      <c r="F2362">
        <v>33</v>
      </c>
      <c r="G2362">
        <v>886</v>
      </c>
    </row>
    <row r="2363" spans="1:7" ht="15" x14ac:dyDescent="0.25">
      <c r="A2363" t="s">
        <v>20287</v>
      </c>
      <c r="B2363">
        <v>2</v>
      </c>
      <c r="C2363">
        <v>475</v>
      </c>
      <c r="D2363">
        <v>940</v>
      </c>
      <c r="E2363">
        <v>102</v>
      </c>
      <c r="F2363">
        <v>51</v>
      </c>
      <c r="G2363">
        <v>475</v>
      </c>
    </row>
    <row r="2364" spans="1:7" ht="15" x14ac:dyDescent="0.25">
      <c r="A2364" t="s">
        <v>20292</v>
      </c>
      <c r="B2364">
        <v>1</v>
      </c>
      <c r="C2364">
        <v>271</v>
      </c>
      <c r="D2364">
        <v>271</v>
      </c>
      <c r="E2364">
        <v>16</v>
      </c>
      <c r="F2364">
        <v>16</v>
      </c>
      <c r="G2364">
        <v>271</v>
      </c>
    </row>
    <row r="2365" spans="1:7" ht="15" x14ac:dyDescent="0.25">
      <c r="A2365" t="s">
        <v>20296</v>
      </c>
      <c r="B2365">
        <v>1</v>
      </c>
      <c r="C2365">
        <v>200</v>
      </c>
      <c r="D2365">
        <v>200</v>
      </c>
      <c r="E2365">
        <v>20</v>
      </c>
      <c r="F2365">
        <v>20</v>
      </c>
      <c r="G2365">
        <v>200</v>
      </c>
    </row>
    <row r="2366" spans="1:7" ht="15" x14ac:dyDescent="0.25">
      <c r="A2366" t="s">
        <v>20303</v>
      </c>
      <c r="B2366">
        <v>1</v>
      </c>
      <c r="C2366">
        <v>418</v>
      </c>
      <c r="D2366">
        <v>418</v>
      </c>
      <c r="E2366">
        <v>61</v>
      </c>
      <c r="F2366">
        <v>61</v>
      </c>
      <c r="G2366">
        <v>418</v>
      </c>
    </row>
    <row r="2367" spans="1:7" ht="15" x14ac:dyDescent="0.25">
      <c r="A2367" t="s">
        <v>20310</v>
      </c>
      <c r="B2367">
        <v>1</v>
      </c>
      <c r="C2367">
        <v>276</v>
      </c>
      <c r="D2367">
        <v>276</v>
      </c>
      <c r="E2367">
        <v>20</v>
      </c>
      <c r="F2367">
        <v>20</v>
      </c>
      <c r="G2367">
        <v>276</v>
      </c>
    </row>
    <row r="2368" spans="1:7" ht="15" x14ac:dyDescent="0.25">
      <c r="A2368" t="s">
        <v>20315</v>
      </c>
      <c r="B2368">
        <v>1</v>
      </c>
      <c r="C2368">
        <v>1073</v>
      </c>
      <c r="D2368">
        <v>1073</v>
      </c>
      <c r="E2368">
        <v>37</v>
      </c>
      <c r="F2368">
        <v>37</v>
      </c>
      <c r="G2368">
        <v>1073</v>
      </c>
    </row>
    <row r="2369" spans="1:7" ht="15" x14ac:dyDescent="0.25">
      <c r="A2369" t="s">
        <v>20321</v>
      </c>
      <c r="B2369">
        <v>1</v>
      </c>
      <c r="C2369">
        <v>1105</v>
      </c>
      <c r="D2369">
        <v>1105</v>
      </c>
      <c r="E2369">
        <v>218</v>
      </c>
      <c r="F2369">
        <v>218</v>
      </c>
      <c r="G2369">
        <v>1105</v>
      </c>
    </row>
    <row r="2370" spans="1:7" ht="15" x14ac:dyDescent="0.25">
      <c r="A2370" t="s">
        <v>20327</v>
      </c>
      <c r="B2370">
        <v>1</v>
      </c>
      <c r="C2370">
        <v>119</v>
      </c>
      <c r="D2370">
        <v>119</v>
      </c>
      <c r="E2370">
        <v>9</v>
      </c>
      <c r="F2370">
        <v>9</v>
      </c>
      <c r="G2370">
        <v>119</v>
      </c>
    </row>
    <row r="2371" spans="1:7" ht="15" x14ac:dyDescent="0.25">
      <c r="A2371" t="s">
        <v>20338</v>
      </c>
      <c r="B2371">
        <v>1</v>
      </c>
      <c r="C2371">
        <v>397</v>
      </c>
      <c r="D2371">
        <v>397</v>
      </c>
      <c r="E2371">
        <v>27</v>
      </c>
      <c r="F2371">
        <v>27</v>
      </c>
      <c r="G2371">
        <v>397</v>
      </c>
    </row>
    <row r="2372" spans="1:7" ht="15" x14ac:dyDescent="0.25">
      <c r="A2372" t="s">
        <v>20344</v>
      </c>
      <c r="B2372">
        <v>1</v>
      </c>
      <c r="C2372">
        <v>159</v>
      </c>
      <c r="D2372">
        <v>159</v>
      </c>
      <c r="E2372">
        <v>35</v>
      </c>
      <c r="F2372">
        <v>35</v>
      </c>
      <c r="G2372">
        <v>159</v>
      </c>
    </row>
    <row r="2373" spans="1:7" ht="15" x14ac:dyDescent="0.25">
      <c r="A2373" t="s">
        <v>20349</v>
      </c>
      <c r="B2373">
        <v>1</v>
      </c>
      <c r="C2373">
        <v>286</v>
      </c>
      <c r="D2373">
        <v>286</v>
      </c>
      <c r="E2373">
        <v>16</v>
      </c>
      <c r="F2373">
        <v>16</v>
      </c>
      <c r="G2373">
        <v>286</v>
      </c>
    </row>
    <row r="2374" spans="1:7" ht="15" x14ac:dyDescent="0.25">
      <c r="A2374" t="s">
        <v>20368</v>
      </c>
      <c r="B2374">
        <v>1</v>
      </c>
      <c r="C2374">
        <v>67</v>
      </c>
      <c r="D2374">
        <v>67</v>
      </c>
      <c r="E2374">
        <v>7</v>
      </c>
      <c r="F2374">
        <v>7</v>
      </c>
      <c r="G2374">
        <v>67</v>
      </c>
    </row>
    <row r="2375" spans="1:7" ht="15" x14ac:dyDescent="0.25">
      <c r="A2375" t="s">
        <v>20375</v>
      </c>
      <c r="B2375">
        <v>1</v>
      </c>
      <c r="C2375">
        <v>239</v>
      </c>
      <c r="D2375">
        <v>239</v>
      </c>
      <c r="E2375">
        <v>18</v>
      </c>
      <c r="F2375">
        <v>18</v>
      </c>
      <c r="G2375">
        <v>239</v>
      </c>
    </row>
    <row r="2376" spans="1:7" ht="15" x14ac:dyDescent="0.25">
      <c r="A2376" t="s">
        <v>20379</v>
      </c>
      <c r="B2376">
        <v>1</v>
      </c>
      <c r="C2376">
        <v>10547</v>
      </c>
      <c r="D2376">
        <v>10547</v>
      </c>
      <c r="E2376">
        <v>709</v>
      </c>
      <c r="F2376">
        <v>709</v>
      </c>
      <c r="G2376">
        <v>10547</v>
      </c>
    </row>
    <row r="2377" spans="1:7" ht="15" x14ac:dyDescent="0.25">
      <c r="A2377" t="s">
        <v>20385</v>
      </c>
      <c r="B2377">
        <v>1</v>
      </c>
      <c r="C2377">
        <v>346</v>
      </c>
      <c r="D2377">
        <v>346</v>
      </c>
      <c r="E2377">
        <v>33</v>
      </c>
      <c r="F2377">
        <v>33</v>
      </c>
      <c r="G2377">
        <v>346</v>
      </c>
    </row>
    <row r="2378" spans="1:7" ht="15" x14ac:dyDescent="0.25">
      <c r="A2378" t="s">
        <v>20390</v>
      </c>
      <c r="B2378">
        <v>1</v>
      </c>
      <c r="C2378">
        <v>583</v>
      </c>
      <c r="D2378">
        <v>583</v>
      </c>
      <c r="E2378">
        <v>51</v>
      </c>
      <c r="F2378">
        <v>51</v>
      </c>
      <c r="G2378">
        <v>583</v>
      </c>
    </row>
    <row r="2379" spans="1:7" ht="15" x14ac:dyDescent="0.25">
      <c r="A2379" t="s">
        <v>20398</v>
      </c>
      <c r="B2379">
        <v>1</v>
      </c>
      <c r="C2379">
        <v>485</v>
      </c>
      <c r="D2379">
        <v>485</v>
      </c>
      <c r="E2379">
        <v>35</v>
      </c>
      <c r="F2379">
        <v>35</v>
      </c>
      <c r="G2379">
        <v>485</v>
      </c>
    </row>
    <row r="2380" spans="1:7" ht="15" x14ac:dyDescent="0.25">
      <c r="A2380" t="s">
        <v>20403</v>
      </c>
      <c r="B2380">
        <v>2</v>
      </c>
      <c r="C2380">
        <v>33</v>
      </c>
      <c r="D2380">
        <v>64</v>
      </c>
      <c r="E2380">
        <v>20</v>
      </c>
      <c r="F2380">
        <v>10</v>
      </c>
      <c r="G2380">
        <v>33</v>
      </c>
    </row>
    <row r="2381" spans="1:7" ht="15" x14ac:dyDescent="0.25">
      <c r="A2381" t="s">
        <v>20411</v>
      </c>
      <c r="B2381">
        <v>1</v>
      </c>
      <c r="C2381">
        <v>474</v>
      </c>
      <c r="D2381">
        <v>474</v>
      </c>
      <c r="E2381">
        <v>71</v>
      </c>
      <c r="F2381">
        <v>71</v>
      </c>
      <c r="G2381">
        <v>474</v>
      </c>
    </row>
    <row r="2382" spans="1:7" ht="15" x14ac:dyDescent="0.25">
      <c r="A2382" t="s">
        <v>20418</v>
      </c>
      <c r="B2382">
        <v>2</v>
      </c>
      <c r="C2382">
        <v>305</v>
      </c>
      <c r="D2382">
        <v>609</v>
      </c>
      <c r="E2382">
        <v>38</v>
      </c>
      <c r="F2382">
        <v>19</v>
      </c>
      <c r="G2382">
        <v>305</v>
      </c>
    </row>
    <row r="2383" spans="1:7" ht="15" x14ac:dyDescent="0.25">
      <c r="A2383" t="s">
        <v>20433</v>
      </c>
      <c r="B2383">
        <v>1</v>
      </c>
      <c r="C2383">
        <v>1311</v>
      </c>
      <c r="D2383">
        <v>1311</v>
      </c>
      <c r="E2383">
        <v>51</v>
      </c>
      <c r="F2383">
        <v>51</v>
      </c>
      <c r="G2383">
        <v>1311</v>
      </c>
    </row>
    <row r="2384" spans="1:7" ht="15" x14ac:dyDescent="0.25">
      <c r="A2384" t="s">
        <v>20440</v>
      </c>
      <c r="B2384">
        <v>1</v>
      </c>
      <c r="C2384">
        <v>284</v>
      </c>
      <c r="D2384">
        <v>284</v>
      </c>
      <c r="E2384">
        <v>15</v>
      </c>
      <c r="F2384">
        <v>15</v>
      </c>
      <c r="G2384">
        <v>284</v>
      </c>
    </row>
    <row r="2385" spans="1:7" ht="15" x14ac:dyDescent="0.25">
      <c r="A2385" t="s">
        <v>20448</v>
      </c>
      <c r="B2385">
        <v>1</v>
      </c>
      <c r="C2385">
        <v>485</v>
      </c>
      <c r="D2385">
        <v>485</v>
      </c>
      <c r="E2385">
        <v>28</v>
      </c>
      <c r="F2385">
        <v>28</v>
      </c>
      <c r="G2385">
        <v>485</v>
      </c>
    </row>
    <row r="2386" spans="1:7" ht="15" x14ac:dyDescent="0.25">
      <c r="A2386" t="s">
        <v>20454</v>
      </c>
      <c r="B2386">
        <v>1</v>
      </c>
      <c r="C2386">
        <v>253</v>
      </c>
      <c r="D2386">
        <v>253</v>
      </c>
      <c r="E2386">
        <v>35</v>
      </c>
      <c r="F2386">
        <v>35</v>
      </c>
      <c r="G2386">
        <v>253</v>
      </c>
    </row>
    <row r="2387" spans="1:7" ht="15" x14ac:dyDescent="0.25">
      <c r="A2387" t="s">
        <v>20478</v>
      </c>
      <c r="B2387">
        <v>1</v>
      </c>
      <c r="C2387">
        <v>251</v>
      </c>
      <c r="D2387">
        <v>251</v>
      </c>
      <c r="E2387">
        <v>10</v>
      </c>
      <c r="F2387">
        <v>10</v>
      </c>
      <c r="G2387">
        <v>251</v>
      </c>
    </row>
    <row r="2388" spans="1:7" ht="15" x14ac:dyDescent="0.25">
      <c r="A2388" t="s">
        <v>20481</v>
      </c>
      <c r="B2388">
        <v>1</v>
      </c>
      <c r="C2388">
        <v>921</v>
      </c>
      <c r="D2388">
        <v>921</v>
      </c>
      <c r="E2388">
        <v>134</v>
      </c>
      <c r="F2388">
        <v>134</v>
      </c>
      <c r="G2388">
        <v>921</v>
      </c>
    </row>
    <row r="2389" spans="1:7" ht="15" x14ac:dyDescent="0.25">
      <c r="A2389" t="s">
        <v>20485</v>
      </c>
      <c r="B2389">
        <v>1</v>
      </c>
      <c r="C2389">
        <v>282</v>
      </c>
      <c r="D2389">
        <v>282</v>
      </c>
      <c r="E2389">
        <v>48</v>
      </c>
      <c r="F2389">
        <v>48</v>
      </c>
      <c r="G2389">
        <v>282</v>
      </c>
    </row>
    <row r="2390" spans="1:7" ht="15" x14ac:dyDescent="0.25">
      <c r="A2390" t="s">
        <v>20498</v>
      </c>
      <c r="B2390">
        <v>3</v>
      </c>
      <c r="C2390">
        <v>926</v>
      </c>
      <c r="D2390">
        <v>2784</v>
      </c>
      <c r="E2390">
        <v>83</v>
      </c>
      <c r="F2390">
        <v>27.666666666666668</v>
      </c>
      <c r="G2390">
        <v>930</v>
      </c>
    </row>
    <row r="2391" spans="1:7" ht="15" x14ac:dyDescent="0.25">
      <c r="A2391" t="s">
        <v>20509</v>
      </c>
      <c r="B2391">
        <v>1</v>
      </c>
      <c r="C2391">
        <v>42</v>
      </c>
      <c r="D2391">
        <v>42</v>
      </c>
      <c r="E2391">
        <v>29</v>
      </c>
      <c r="F2391">
        <v>29</v>
      </c>
      <c r="G2391">
        <v>42</v>
      </c>
    </row>
    <row r="2392" spans="1:7" ht="15" x14ac:dyDescent="0.25">
      <c r="A2392" t="s">
        <v>20522</v>
      </c>
      <c r="B2392">
        <v>3</v>
      </c>
      <c r="C2392">
        <v>324</v>
      </c>
      <c r="D2392">
        <v>647</v>
      </c>
      <c r="E2392">
        <v>109</v>
      </c>
      <c r="F2392">
        <v>36.333333333333336</v>
      </c>
      <c r="G2392">
        <v>324</v>
      </c>
    </row>
    <row r="2393" spans="1:7" ht="15" x14ac:dyDescent="0.25">
      <c r="A2393" t="s">
        <v>20528</v>
      </c>
      <c r="B2393">
        <v>1</v>
      </c>
      <c r="C2393">
        <v>490</v>
      </c>
      <c r="D2393">
        <v>490</v>
      </c>
      <c r="E2393">
        <v>102</v>
      </c>
      <c r="F2393">
        <v>102</v>
      </c>
      <c r="G2393">
        <v>490</v>
      </c>
    </row>
    <row r="2394" spans="1:7" ht="15" x14ac:dyDescent="0.25">
      <c r="A2394" t="s">
        <v>20536</v>
      </c>
      <c r="B2394">
        <v>6</v>
      </c>
      <c r="C2394">
        <v>382</v>
      </c>
      <c r="D2394">
        <v>2282</v>
      </c>
      <c r="E2394">
        <v>206</v>
      </c>
      <c r="F2394">
        <v>34.333333333333336</v>
      </c>
      <c r="G2394">
        <v>382</v>
      </c>
    </row>
    <row r="2395" spans="1:7" ht="15" x14ac:dyDescent="0.25">
      <c r="A2395" t="s">
        <v>20541</v>
      </c>
      <c r="B2395">
        <v>1</v>
      </c>
      <c r="C2395">
        <v>300</v>
      </c>
      <c r="D2395">
        <v>300</v>
      </c>
      <c r="E2395">
        <v>76</v>
      </c>
      <c r="F2395">
        <v>76</v>
      </c>
      <c r="G2395">
        <v>300</v>
      </c>
    </row>
    <row r="2396" spans="1:7" ht="15" x14ac:dyDescent="0.25">
      <c r="A2396" t="s">
        <v>20546</v>
      </c>
      <c r="B2396">
        <v>1</v>
      </c>
      <c r="C2396">
        <v>1393</v>
      </c>
      <c r="D2396">
        <v>1393</v>
      </c>
      <c r="E2396">
        <v>128</v>
      </c>
      <c r="F2396">
        <v>128</v>
      </c>
      <c r="G2396">
        <v>1393</v>
      </c>
    </row>
    <row r="2397" spans="1:7" ht="15" x14ac:dyDescent="0.25">
      <c r="A2397" t="s">
        <v>20553</v>
      </c>
      <c r="B2397">
        <v>1</v>
      </c>
      <c r="C2397">
        <v>261</v>
      </c>
      <c r="D2397">
        <v>261</v>
      </c>
      <c r="E2397">
        <v>19</v>
      </c>
      <c r="F2397">
        <v>19</v>
      </c>
      <c r="G2397">
        <v>261</v>
      </c>
    </row>
    <row r="2398" spans="1:7" ht="15" x14ac:dyDescent="0.25">
      <c r="A2398" t="s">
        <v>20559</v>
      </c>
      <c r="B2398">
        <v>1</v>
      </c>
      <c r="C2398">
        <v>180</v>
      </c>
      <c r="D2398">
        <v>180</v>
      </c>
      <c r="E2398">
        <v>22</v>
      </c>
      <c r="F2398">
        <v>22</v>
      </c>
      <c r="G2398">
        <v>180</v>
      </c>
    </row>
    <row r="2399" spans="1:7" ht="15" x14ac:dyDescent="0.25">
      <c r="A2399" t="s">
        <v>20565</v>
      </c>
      <c r="B2399">
        <v>1</v>
      </c>
      <c r="C2399">
        <v>131</v>
      </c>
      <c r="D2399">
        <v>131</v>
      </c>
      <c r="E2399">
        <v>14</v>
      </c>
      <c r="F2399">
        <v>14</v>
      </c>
      <c r="G2399">
        <v>131</v>
      </c>
    </row>
    <row r="2400" spans="1:7" ht="15" x14ac:dyDescent="0.25">
      <c r="A2400" t="s">
        <v>20578</v>
      </c>
      <c r="B2400">
        <v>1</v>
      </c>
      <c r="C2400">
        <v>391</v>
      </c>
      <c r="D2400">
        <v>391</v>
      </c>
      <c r="E2400">
        <v>41</v>
      </c>
      <c r="F2400">
        <v>41</v>
      </c>
      <c r="G2400">
        <v>391</v>
      </c>
    </row>
    <row r="2401" spans="1:7" ht="15" x14ac:dyDescent="0.25">
      <c r="A2401" t="s">
        <v>20585</v>
      </c>
      <c r="B2401">
        <v>1</v>
      </c>
      <c r="C2401">
        <v>231</v>
      </c>
      <c r="D2401">
        <v>231</v>
      </c>
      <c r="E2401">
        <v>23</v>
      </c>
      <c r="F2401">
        <v>23</v>
      </c>
      <c r="G2401">
        <v>231</v>
      </c>
    </row>
    <row r="2402" spans="1:7" ht="15" x14ac:dyDescent="0.25">
      <c r="A2402" t="s">
        <v>20595</v>
      </c>
      <c r="B2402">
        <v>1</v>
      </c>
      <c r="C2402">
        <v>347</v>
      </c>
      <c r="D2402">
        <v>347</v>
      </c>
      <c r="E2402">
        <v>32</v>
      </c>
      <c r="F2402">
        <v>32</v>
      </c>
      <c r="G2402">
        <v>347</v>
      </c>
    </row>
    <row r="2403" spans="1:7" ht="15" x14ac:dyDescent="0.25">
      <c r="A2403" t="s">
        <v>20602</v>
      </c>
      <c r="B2403">
        <v>4</v>
      </c>
      <c r="C2403">
        <v>96</v>
      </c>
      <c r="D2403">
        <v>381</v>
      </c>
      <c r="E2403">
        <v>108</v>
      </c>
      <c r="F2403">
        <v>27</v>
      </c>
      <c r="G2403">
        <v>96</v>
      </c>
    </row>
    <row r="2404" spans="1:7" ht="15" x14ac:dyDescent="0.25">
      <c r="A2404" t="s">
        <v>20619</v>
      </c>
      <c r="B2404">
        <v>1</v>
      </c>
      <c r="C2404">
        <v>62</v>
      </c>
      <c r="D2404">
        <v>62</v>
      </c>
      <c r="E2404">
        <v>6</v>
      </c>
      <c r="F2404">
        <v>6</v>
      </c>
      <c r="G2404">
        <v>62</v>
      </c>
    </row>
    <row r="2405" spans="1:7" ht="15" x14ac:dyDescent="0.25">
      <c r="A2405" t="s">
        <v>20624</v>
      </c>
      <c r="B2405">
        <v>1</v>
      </c>
      <c r="C2405">
        <v>682</v>
      </c>
      <c r="D2405">
        <v>682</v>
      </c>
      <c r="E2405">
        <v>74</v>
      </c>
      <c r="F2405">
        <v>74</v>
      </c>
      <c r="G2405">
        <v>682</v>
      </c>
    </row>
    <row r="2406" spans="1:7" ht="15" x14ac:dyDescent="0.25">
      <c r="A2406" t="s">
        <v>20632</v>
      </c>
      <c r="B2406">
        <v>1</v>
      </c>
      <c r="C2406">
        <v>43</v>
      </c>
      <c r="D2406">
        <v>43</v>
      </c>
      <c r="E2406">
        <v>0</v>
      </c>
      <c r="F2406">
        <v>0</v>
      </c>
      <c r="G2406">
        <v>43</v>
      </c>
    </row>
    <row r="2407" spans="1:7" ht="15" x14ac:dyDescent="0.25">
      <c r="A2407" t="s">
        <v>20636</v>
      </c>
      <c r="B2407">
        <v>1</v>
      </c>
      <c r="C2407">
        <v>506</v>
      </c>
      <c r="D2407">
        <v>506</v>
      </c>
      <c r="E2407">
        <v>24</v>
      </c>
      <c r="F2407">
        <v>24</v>
      </c>
      <c r="G2407">
        <v>506</v>
      </c>
    </row>
    <row r="2408" spans="1:7" ht="15" x14ac:dyDescent="0.25">
      <c r="A2408" t="s">
        <v>20641</v>
      </c>
      <c r="B2408">
        <v>1</v>
      </c>
      <c r="C2408">
        <v>508</v>
      </c>
      <c r="D2408">
        <v>508</v>
      </c>
      <c r="E2408">
        <v>31</v>
      </c>
      <c r="F2408">
        <v>31</v>
      </c>
      <c r="G2408">
        <v>508</v>
      </c>
    </row>
    <row r="2409" spans="1:7" ht="15" x14ac:dyDescent="0.25">
      <c r="A2409" t="s">
        <v>20647</v>
      </c>
      <c r="B2409">
        <v>1</v>
      </c>
      <c r="C2409">
        <v>583</v>
      </c>
      <c r="D2409">
        <v>583</v>
      </c>
      <c r="E2409">
        <v>25</v>
      </c>
      <c r="F2409">
        <v>25</v>
      </c>
      <c r="G2409">
        <v>583</v>
      </c>
    </row>
    <row r="2410" spans="1:7" ht="15" x14ac:dyDescent="0.25">
      <c r="A2410" t="s">
        <v>20654</v>
      </c>
      <c r="B2410">
        <v>1</v>
      </c>
      <c r="C2410">
        <v>250</v>
      </c>
      <c r="D2410">
        <v>250</v>
      </c>
      <c r="E2410">
        <v>18</v>
      </c>
      <c r="F2410">
        <v>18</v>
      </c>
      <c r="G2410">
        <v>250</v>
      </c>
    </row>
    <row r="2411" spans="1:7" ht="15" x14ac:dyDescent="0.25">
      <c r="A2411" t="s">
        <v>20658</v>
      </c>
      <c r="B2411">
        <v>1</v>
      </c>
      <c r="C2411">
        <v>507</v>
      </c>
      <c r="D2411">
        <v>507</v>
      </c>
      <c r="E2411">
        <v>204</v>
      </c>
      <c r="F2411">
        <v>204</v>
      </c>
      <c r="G2411">
        <v>507</v>
      </c>
    </row>
    <row r="2412" spans="1:7" ht="15" x14ac:dyDescent="0.25">
      <c r="A2412" t="s">
        <v>20666</v>
      </c>
      <c r="B2412">
        <v>1</v>
      </c>
      <c r="C2412">
        <v>203</v>
      </c>
      <c r="D2412">
        <v>203</v>
      </c>
      <c r="E2412">
        <v>17</v>
      </c>
      <c r="F2412">
        <v>17</v>
      </c>
      <c r="G2412">
        <v>203</v>
      </c>
    </row>
    <row r="2413" spans="1:7" ht="15" x14ac:dyDescent="0.25">
      <c r="A2413" t="s">
        <v>20673</v>
      </c>
      <c r="B2413">
        <v>1</v>
      </c>
      <c r="C2413">
        <v>1</v>
      </c>
      <c r="D2413">
        <v>1</v>
      </c>
      <c r="E2413">
        <v>1</v>
      </c>
      <c r="F2413">
        <v>1</v>
      </c>
      <c r="G2413">
        <v>1</v>
      </c>
    </row>
    <row r="2414" spans="1:7" ht="15" x14ac:dyDescent="0.25">
      <c r="A2414" t="s">
        <v>20682</v>
      </c>
      <c r="B2414">
        <v>1</v>
      </c>
      <c r="C2414">
        <v>369</v>
      </c>
      <c r="D2414">
        <v>369</v>
      </c>
      <c r="E2414">
        <v>31</v>
      </c>
      <c r="F2414">
        <v>31</v>
      </c>
      <c r="G2414">
        <v>369</v>
      </c>
    </row>
    <row r="2415" spans="1:7" ht="15" x14ac:dyDescent="0.25">
      <c r="A2415" t="s">
        <v>20686</v>
      </c>
      <c r="B2415">
        <v>1</v>
      </c>
      <c r="C2415">
        <v>494</v>
      </c>
      <c r="D2415">
        <v>494</v>
      </c>
      <c r="E2415">
        <v>47</v>
      </c>
      <c r="F2415">
        <v>47</v>
      </c>
      <c r="G2415">
        <v>494</v>
      </c>
    </row>
    <row r="2416" spans="1:7" ht="15" x14ac:dyDescent="0.25">
      <c r="A2416" t="s">
        <v>20693</v>
      </c>
      <c r="B2416">
        <v>1</v>
      </c>
      <c r="C2416">
        <v>318</v>
      </c>
      <c r="D2416">
        <v>318</v>
      </c>
      <c r="E2416">
        <v>84</v>
      </c>
      <c r="F2416">
        <v>84</v>
      </c>
      <c r="G2416">
        <v>318</v>
      </c>
    </row>
    <row r="2417" spans="1:7" ht="15" x14ac:dyDescent="0.25">
      <c r="A2417" t="s">
        <v>20699</v>
      </c>
      <c r="B2417">
        <v>1</v>
      </c>
      <c r="C2417">
        <v>86</v>
      </c>
      <c r="D2417">
        <v>86</v>
      </c>
      <c r="E2417">
        <v>24</v>
      </c>
      <c r="F2417">
        <v>24</v>
      </c>
      <c r="G2417">
        <v>86</v>
      </c>
    </row>
    <row r="2418" spans="1:7" ht="15" x14ac:dyDescent="0.25">
      <c r="A2418" t="s">
        <v>20705</v>
      </c>
      <c r="B2418">
        <v>1</v>
      </c>
      <c r="D2418">
        <v>0</v>
      </c>
      <c r="E2418">
        <v>17</v>
      </c>
      <c r="F2418">
        <v>17</v>
      </c>
    </row>
    <row r="2419" spans="1:7" ht="15" x14ac:dyDescent="0.25">
      <c r="A2419" t="s">
        <v>20708</v>
      </c>
      <c r="B2419">
        <v>1</v>
      </c>
      <c r="C2419">
        <v>721</v>
      </c>
      <c r="D2419">
        <v>721</v>
      </c>
      <c r="E2419">
        <v>160</v>
      </c>
      <c r="F2419">
        <v>160</v>
      </c>
      <c r="G2419">
        <v>721</v>
      </c>
    </row>
    <row r="2420" spans="1:7" ht="15" x14ac:dyDescent="0.25">
      <c r="A2420" t="s">
        <v>20714</v>
      </c>
      <c r="B2420">
        <v>1</v>
      </c>
      <c r="C2420">
        <v>202</v>
      </c>
      <c r="D2420">
        <v>202</v>
      </c>
      <c r="E2420">
        <v>20</v>
      </c>
      <c r="F2420">
        <v>20</v>
      </c>
      <c r="G2420">
        <v>202</v>
      </c>
    </row>
    <row r="2421" spans="1:7" ht="15" x14ac:dyDescent="0.25">
      <c r="A2421" t="s">
        <v>20720</v>
      </c>
      <c r="B2421">
        <v>2</v>
      </c>
      <c r="C2421">
        <v>1674</v>
      </c>
      <c r="D2421">
        <v>3326</v>
      </c>
      <c r="E2421">
        <v>309</v>
      </c>
      <c r="F2421">
        <v>154.5</v>
      </c>
      <c r="G2421">
        <v>1674</v>
      </c>
    </row>
    <row r="2422" spans="1:7" ht="15" x14ac:dyDescent="0.25">
      <c r="A2422" t="s">
        <v>20724</v>
      </c>
      <c r="B2422">
        <v>1</v>
      </c>
      <c r="C2422">
        <v>17</v>
      </c>
      <c r="D2422">
        <v>17</v>
      </c>
      <c r="E2422">
        <v>8</v>
      </c>
      <c r="F2422">
        <v>8</v>
      </c>
      <c r="G2422">
        <v>17</v>
      </c>
    </row>
    <row r="2423" spans="1:7" ht="15" x14ac:dyDescent="0.25">
      <c r="A2423" t="s">
        <v>20727</v>
      </c>
      <c r="B2423">
        <v>1</v>
      </c>
      <c r="C2423">
        <v>131</v>
      </c>
      <c r="D2423">
        <v>131</v>
      </c>
      <c r="E2423">
        <v>45</v>
      </c>
      <c r="F2423">
        <v>45</v>
      </c>
      <c r="G2423">
        <v>131</v>
      </c>
    </row>
    <row r="2424" spans="1:7" ht="15" x14ac:dyDescent="0.25">
      <c r="A2424" t="s">
        <v>20736</v>
      </c>
      <c r="B2424">
        <v>1</v>
      </c>
      <c r="C2424">
        <v>128</v>
      </c>
      <c r="D2424">
        <v>128</v>
      </c>
      <c r="E2424">
        <v>64</v>
      </c>
      <c r="F2424">
        <v>64</v>
      </c>
      <c r="G2424">
        <v>128</v>
      </c>
    </row>
    <row r="2425" spans="1:7" ht="15" x14ac:dyDescent="0.25">
      <c r="A2425" t="s">
        <v>20744</v>
      </c>
      <c r="B2425">
        <v>1</v>
      </c>
      <c r="C2425">
        <v>1701</v>
      </c>
      <c r="D2425">
        <v>1701</v>
      </c>
      <c r="E2425">
        <v>105</v>
      </c>
      <c r="F2425">
        <v>105</v>
      </c>
      <c r="G2425">
        <v>1701</v>
      </c>
    </row>
    <row r="2426" spans="1:7" ht="15" x14ac:dyDescent="0.25">
      <c r="A2426" t="s">
        <v>20758</v>
      </c>
      <c r="B2426">
        <v>1</v>
      </c>
      <c r="C2426">
        <v>329</v>
      </c>
      <c r="D2426">
        <v>329</v>
      </c>
      <c r="E2426">
        <v>31</v>
      </c>
      <c r="F2426">
        <v>31</v>
      </c>
      <c r="G2426">
        <v>329</v>
      </c>
    </row>
    <row r="2427" spans="1:7" ht="15" x14ac:dyDescent="0.25">
      <c r="A2427" t="s">
        <v>20768</v>
      </c>
      <c r="B2427">
        <v>1</v>
      </c>
      <c r="C2427">
        <v>472</v>
      </c>
      <c r="D2427">
        <v>472</v>
      </c>
      <c r="E2427">
        <v>29</v>
      </c>
      <c r="F2427">
        <v>29</v>
      </c>
      <c r="G2427">
        <v>472</v>
      </c>
    </row>
    <row r="2428" spans="1:7" ht="15" x14ac:dyDescent="0.25">
      <c r="A2428" t="s">
        <v>20773</v>
      </c>
      <c r="B2428">
        <v>1</v>
      </c>
      <c r="C2428">
        <v>119</v>
      </c>
      <c r="D2428">
        <v>119</v>
      </c>
      <c r="E2428">
        <v>14</v>
      </c>
      <c r="F2428">
        <v>14</v>
      </c>
      <c r="G2428">
        <v>119</v>
      </c>
    </row>
    <row r="2429" spans="1:7" ht="15" x14ac:dyDescent="0.25">
      <c r="A2429" t="s">
        <v>20779</v>
      </c>
      <c r="B2429">
        <v>1</v>
      </c>
      <c r="C2429">
        <v>78</v>
      </c>
      <c r="D2429">
        <v>78</v>
      </c>
      <c r="E2429">
        <v>21</v>
      </c>
      <c r="F2429">
        <v>21</v>
      </c>
      <c r="G2429">
        <v>78</v>
      </c>
    </row>
    <row r="2430" spans="1:7" ht="15" x14ac:dyDescent="0.25">
      <c r="A2430" t="s">
        <v>20784</v>
      </c>
      <c r="B2430">
        <v>1</v>
      </c>
      <c r="C2430">
        <v>409</v>
      </c>
      <c r="D2430">
        <v>409</v>
      </c>
      <c r="E2430">
        <v>54</v>
      </c>
      <c r="F2430">
        <v>54</v>
      </c>
      <c r="G2430">
        <v>409</v>
      </c>
    </row>
    <row r="2431" spans="1:7" ht="15" x14ac:dyDescent="0.25">
      <c r="A2431" t="s">
        <v>20789</v>
      </c>
      <c r="B2431">
        <v>1</v>
      </c>
      <c r="C2431">
        <v>156</v>
      </c>
      <c r="D2431">
        <v>156</v>
      </c>
      <c r="E2431">
        <v>38</v>
      </c>
      <c r="F2431">
        <v>38</v>
      </c>
      <c r="G2431">
        <v>156</v>
      </c>
    </row>
    <row r="2432" spans="1:7" ht="15" x14ac:dyDescent="0.25">
      <c r="A2432" t="s">
        <v>20809</v>
      </c>
      <c r="B2432">
        <v>1</v>
      </c>
      <c r="C2432">
        <v>216</v>
      </c>
      <c r="D2432">
        <v>216</v>
      </c>
      <c r="E2432">
        <v>26</v>
      </c>
      <c r="F2432">
        <v>26</v>
      </c>
      <c r="G2432">
        <v>216</v>
      </c>
    </row>
    <row r="2433" spans="1:7" ht="15" x14ac:dyDescent="0.25">
      <c r="A2433" t="s">
        <v>20817</v>
      </c>
      <c r="B2433">
        <v>1</v>
      </c>
      <c r="D2433">
        <v>0</v>
      </c>
      <c r="E2433">
        <v>5</v>
      </c>
      <c r="F2433">
        <v>5</v>
      </c>
    </row>
    <row r="2434" spans="1:7" ht="15" x14ac:dyDescent="0.25">
      <c r="A2434" t="s">
        <v>20823</v>
      </c>
      <c r="B2434">
        <v>1</v>
      </c>
      <c r="C2434">
        <v>299</v>
      </c>
      <c r="D2434">
        <v>299</v>
      </c>
      <c r="E2434">
        <v>10</v>
      </c>
      <c r="F2434">
        <v>10</v>
      </c>
      <c r="G2434">
        <v>299</v>
      </c>
    </row>
    <row r="2435" spans="1:7" ht="15" x14ac:dyDescent="0.25">
      <c r="A2435" t="s">
        <v>20828</v>
      </c>
      <c r="B2435">
        <v>1</v>
      </c>
      <c r="C2435">
        <v>139</v>
      </c>
      <c r="D2435">
        <v>139</v>
      </c>
      <c r="E2435">
        <v>11</v>
      </c>
      <c r="F2435">
        <v>11</v>
      </c>
      <c r="G2435">
        <v>139</v>
      </c>
    </row>
    <row r="2436" spans="1:7" ht="15" x14ac:dyDescent="0.25">
      <c r="A2436" t="s">
        <v>20835</v>
      </c>
      <c r="B2436">
        <v>1</v>
      </c>
      <c r="C2436">
        <v>172</v>
      </c>
      <c r="D2436">
        <v>172</v>
      </c>
      <c r="E2436">
        <v>11</v>
      </c>
      <c r="F2436">
        <v>11</v>
      </c>
      <c r="G2436">
        <v>172</v>
      </c>
    </row>
    <row r="2437" spans="1:7" ht="15" x14ac:dyDescent="0.25">
      <c r="A2437" t="s">
        <v>20841</v>
      </c>
      <c r="B2437">
        <v>1</v>
      </c>
      <c r="C2437">
        <v>197</v>
      </c>
      <c r="D2437">
        <v>197</v>
      </c>
      <c r="E2437">
        <v>27</v>
      </c>
      <c r="F2437">
        <v>27</v>
      </c>
      <c r="G2437">
        <v>197</v>
      </c>
    </row>
    <row r="2438" spans="1:7" ht="15" x14ac:dyDescent="0.25">
      <c r="A2438" t="s">
        <v>20846</v>
      </c>
      <c r="B2438">
        <v>1</v>
      </c>
      <c r="C2438">
        <v>341</v>
      </c>
      <c r="D2438">
        <v>341</v>
      </c>
      <c r="E2438">
        <v>19</v>
      </c>
      <c r="F2438">
        <v>19</v>
      </c>
      <c r="G2438">
        <v>341</v>
      </c>
    </row>
    <row r="2439" spans="1:7" ht="15" x14ac:dyDescent="0.25">
      <c r="A2439" t="s">
        <v>20852</v>
      </c>
      <c r="B2439">
        <v>1</v>
      </c>
      <c r="C2439">
        <v>326</v>
      </c>
      <c r="D2439">
        <v>326</v>
      </c>
      <c r="E2439">
        <v>14</v>
      </c>
      <c r="F2439">
        <v>14</v>
      </c>
      <c r="G2439">
        <v>326</v>
      </c>
    </row>
    <row r="2440" spans="1:7" ht="15" x14ac:dyDescent="0.25">
      <c r="A2440" t="s">
        <v>20864</v>
      </c>
      <c r="B2440">
        <v>1</v>
      </c>
      <c r="C2440">
        <v>778</v>
      </c>
      <c r="D2440">
        <v>778</v>
      </c>
      <c r="E2440">
        <v>86</v>
      </c>
      <c r="F2440">
        <v>86</v>
      </c>
      <c r="G2440">
        <v>778</v>
      </c>
    </row>
    <row r="2441" spans="1:7" ht="15" x14ac:dyDescent="0.25">
      <c r="A2441" t="s">
        <v>20872</v>
      </c>
      <c r="B2441">
        <v>2</v>
      </c>
      <c r="C2441">
        <v>442</v>
      </c>
      <c r="D2441">
        <v>718</v>
      </c>
      <c r="E2441">
        <v>44</v>
      </c>
      <c r="F2441">
        <v>22</v>
      </c>
      <c r="G2441">
        <v>442</v>
      </c>
    </row>
    <row r="2442" spans="1:7" ht="15" x14ac:dyDescent="0.25">
      <c r="A2442" t="s">
        <v>20877</v>
      </c>
      <c r="B2442">
        <v>1</v>
      </c>
      <c r="C2442">
        <v>134</v>
      </c>
      <c r="D2442">
        <v>134</v>
      </c>
      <c r="E2442">
        <v>11</v>
      </c>
      <c r="F2442">
        <v>11</v>
      </c>
      <c r="G2442">
        <v>134</v>
      </c>
    </row>
    <row r="2443" spans="1:7" ht="15" x14ac:dyDescent="0.25">
      <c r="A2443" t="s">
        <v>20885</v>
      </c>
      <c r="B2443">
        <v>1</v>
      </c>
      <c r="C2443">
        <v>3146</v>
      </c>
      <c r="D2443">
        <v>3146</v>
      </c>
      <c r="E2443">
        <v>379</v>
      </c>
      <c r="F2443">
        <v>379</v>
      </c>
      <c r="G2443">
        <v>3146</v>
      </c>
    </row>
    <row r="2444" spans="1:7" ht="15" x14ac:dyDescent="0.25">
      <c r="A2444" t="s">
        <v>20891</v>
      </c>
      <c r="B2444">
        <v>1</v>
      </c>
      <c r="D2444">
        <v>0</v>
      </c>
      <c r="E2444">
        <v>75</v>
      </c>
      <c r="F2444">
        <v>75</v>
      </c>
    </row>
    <row r="2445" spans="1:7" ht="15" x14ac:dyDescent="0.25">
      <c r="A2445" t="s">
        <v>20898</v>
      </c>
      <c r="B2445">
        <v>2</v>
      </c>
      <c r="C2445">
        <v>437</v>
      </c>
      <c r="D2445">
        <v>868</v>
      </c>
      <c r="E2445">
        <v>137</v>
      </c>
      <c r="F2445">
        <v>68.5</v>
      </c>
      <c r="G2445">
        <v>437</v>
      </c>
    </row>
    <row r="2446" spans="1:7" ht="15" x14ac:dyDescent="0.25">
      <c r="A2446" t="s">
        <v>20910</v>
      </c>
      <c r="B2446">
        <v>1</v>
      </c>
      <c r="C2446">
        <v>259</v>
      </c>
      <c r="D2446">
        <v>259</v>
      </c>
      <c r="E2446">
        <v>16</v>
      </c>
      <c r="F2446">
        <v>16</v>
      </c>
      <c r="G2446">
        <v>259</v>
      </c>
    </row>
    <row r="2447" spans="1:7" ht="15" x14ac:dyDescent="0.25">
      <c r="A2447" t="s">
        <v>20916</v>
      </c>
      <c r="B2447">
        <v>1</v>
      </c>
      <c r="C2447">
        <v>254</v>
      </c>
      <c r="D2447">
        <v>254</v>
      </c>
      <c r="E2447">
        <v>19</v>
      </c>
      <c r="F2447">
        <v>19</v>
      </c>
      <c r="G2447">
        <v>254</v>
      </c>
    </row>
    <row r="2448" spans="1:7" ht="15" x14ac:dyDescent="0.25">
      <c r="A2448" t="s">
        <v>20921</v>
      </c>
      <c r="B2448">
        <v>1</v>
      </c>
      <c r="C2448">
        <v>3</v>
      </c>
      <c r="D2448">
        <v>3</v>
      </c>
      <c r="E2448">
        <v>10</v>
      </c>
      <c r="F2448">
        <v>10</v>
      </c>
      <c r="G2448">
        <v>3</v>
      </c>
    </row>
    <row r="2449" spans="1:7" ht="15" x14ac:dyDescent="0.25">
      <c r="A2449" t="s">
        <v>20927</v>
      </c>
      <c r="B2449">
        <v>1</v>
      </c>
      <c r="C2449">
        <v>265</v>
      </c>
      <c r="D2449">
        <v>265</v>
      </c>
      <c r="E2449">
        <v>28</v>
      </c>
      <c r="F2449">
        <v>28</v>
      </c>
      <c r="G2449">
        <v>265</v>
      </c>
    </row>
    <row r="2450" spans="1:7" ht="15" x14ac:dyDescent="0.25">
      <c r="A2450" t="s">
        <v>20933</v>
      </c>
      <c r="B2450">
        <v>1</v>
      </c>
      <c r="C2450">
        <v>264</v>
      </c>
      <c r="D2450">
        <v>264</v>
      </c>
      <c r="E2450">
        <v>14</v>
      </c>
      <c r="F2450">
        <v>14</v>
      </c>
      <c r="G2450">
        <v>264</v>
      </c>
    </row>
    <row r="2451" spans="1:7" ht="15" x14ac:dyDescent="0.25">
      <c r="A2451" t="s">
        <v>20940</v>
      </c>
      <c r="B2451">
        <v>1</v>
      </c>
      <c r="C2451">
        <v>386</v>
      </c>
      <c r="D2451">
        <v>386</v>
      </c>
      <c r="E2451">
        <v>85</v>
      </c>
      <c r="F2451">
        <v>85</v>
      </c>
      <c r="G2451">
        <v>386</v>
      </c>
    </row>
    <row r="2452" spans="1:7" ht="15" x14ac:dyDescent="0.25">
      <c r="A2452" t="s">
        <v>20943</v>
      </c>
      <c r="B2452">
        <v>1</v>
      </c>
      <c r="C2452">
        <v>205</v>
      </c>
      <c r="D2452">
        <v>205</v>
      </c>
      <c r="E2452">
        <v>6</v>
      </c>
      <c r="F2452">
        <v>6</v>
      </c>
      <c r="G2452">
        <v>205</v>
      </c>
    </row>
    <row r="2453" spans="1:7" ht="15" x14ac:dyDescent="0.25">
      <c r="A2453" t="s">
        <v>20948</v>
      </c>
      <c r="B2453">
        <v>1</v>
      </c>
      <c r="C2453">
        <v>520</v>
      </c>
      <c r="D2453">
        <v>520</v>
      </c>
      <c r="E2453">
        <v>11</v>
      </c>
      <c r="F2453">
        <v>11</v>
      </c>
      <c r="G2453">
        <v>520</v>
      </c>
    </row>
    <row r="2454" spans="1:7" ht="15" x14ac:dyDescent="0.25">
      <c r="A2454" t="s">
        <v>20955</v>
      </c>
      <c r="B2454">
        <v>1</v>
      </c>
      <c r="C2454">
        <v>316</v>
      </c>
      <c r="D2454">
        <v>316</v>
      </c>
      <c r="E2454">
        <v>45</v>
      </c>
      <c r="F2454">
        <v>45</v>
      </c>
      <c r="G2454">
        <v>316</v>
      </c>
    </row>
    <row r="2455" spans="1:7" ht="15" x14ac:dyDescent="0.25">
      <c r="A2455" t="s">
        <v>20961</v>
      </c>
      <c r="B2455">
        <v>1</v>
      </c>
      <c r="C2455">
        <v>498</v>
      </c>
      <c r="D2455">
        <v>498</v>
      </c>
      <c r="E2455">
        <v>46</v>
      </c>
      <c r="F2455">
        <v>46</v>
      </c>
      <c r="G2455">
        <v>498</v>
      </c>
    </row>
    <row r="2456" spans="1:7" ht="15" x14ac:dyDescent="0.25">
      <c r="A2456" t="s">
        <v>20973</v>
      </c>
      <c r="B2456">
        <v>1</v>
      </c>
      <c r="C2456">
        <v>1090</v>
      </c>
      <c r="D2456">
        <v>1090</v>
      </c>
      <c r="E2456">
        <v>6</v>
      </c>
      <c r="F2456">
        <v>6</v>
      </c>
      <c r="G2456">
        <v>1090</v>
      </c>
    </row>
    <row r="2457" spans="1:7" ht="15" x14ac:dyDescent="0.25">
      <c r="A2457" t="s">
        <v>20989</v>
      </c>
      <c r="B2457">
        <v>3</v>
      </c>
      <c r="C2457">
        <v>1481</v>
      </c>
      <c r="D2457">
        <v>4307</v>
      </c>
      <c r="E2457">
        <v>440</v>
      </c>
      <c r="F2457">
        <v>146.66666666666666</v>
      </c>
      <c r="G2457">
        <v>1481</v>
      </c>
    </row>
    <row r="2458" spans="1:7" ht="15" x14ac:dyDescent="0.25">
      <c r="A2458" t="s">
        <v>20996</v>
      </c>
      <c r="B2458">
        <v>1</v>
      </c>
      <c r="C2458">
        <v>811</v>
      </c>
      <c r="D2458">
        <v>811</v>
      </c>
      <c r="E2458">
        <v>8</v>
      </c>
      <c r="F2458">
        <v>8</v>
      </c>
      <c r="G2458">
        <v>811</v>
      </c>
    </row>
    <row r="2459" spans="1:7" ht="15" x14ac:dyDescent="0.25">
      <c r="A2459" t="s">
        <v>21002</v>
      </c>
      <c r="B2459">
        <v>1</v>
      </c>
      <c r="C2459">
        <v>478</v>
      </c>
      <c r="D2459">
        <v>478</v>
      </c>
      <c r="E2459">
        <v>42</v>
      </c>
      <c r="F2459">
        <v>42</v>
      </c>
      <c r="G2459">
        <v>478</v>
      </c>
    </row>
    <row r="2460" spans="1:7" ht="15" x14ac:dyDescent="0.25">
      <c r="A2460" t="s">
        <v>21007</v>
      </c>
      <c r="B2460">
        <v>1</v>
      </c>
      <c r="C2460">
        <v>243</v>
      </c>
      <c r="D2460">
        <v>243</v>
      </c>
      <c r="E2460">
        <v>49</v>
      </c>
      <c r="F2460">
        <v>49</v>
      </c>
      <c r="G2460">
        <v>243</v>
      </c>
    </row>
    <row r="2461" spans="1:7" ht="15" x14ac:dyDescent="0.25">
      <c r="A2461" t="s">
        <v>21011</v>
      </c>
      <c r="B2461">
        <v>1</v>
      </c>
      <c r="C2461">
        <v>6161</v>
      </c>
      <c r="D2461">
        <v>6161</v>
      </c>
      <c r="E2461">
        <v>633</v>
      </c>
      <c r="F2461">
        <v>633</v>
      </c>
      <c r="G2461">
        <v>6161</v>
      </c>
    </row>
    <row r="2462" spans="1:7" ht="15" x14ac:dyDescent="0.25">
      <c r="A2462" t="s">
        <v>21017</v>
      </c>
      <c r="B2462">
        <v>1</v>
      </c>
      <c r="C2462">
        <v>265</v>
      </c>
      <c r="D2462">
        <v>265</v>
      </c>
      <c r="E2462">
        <v>44</v>
      </c>
      <c r="F2462">
        <v>44</v>
      </c>
      <c r="G2462">
        <v>265</v>
      </c>
    </row>
    <row r="2463" spans="1:7" ht="15" x14ac:dyDescent="0.25">
      <c r="A2463" t="s">
        <v>21027</v>
      </c>
      <c r="B2463">
        <v>1</v>
      </c>
      <c r="C2463">
        <v>367</v>
      </c>
      <c r="D2463">
        <v>367</v>
      </c>
      <c r="E2463">
        <v>35</v>
      </c>
      <c r="F2463">
        <v>35</v>
      </c>
      <c r="G2463">
        <v>367</v>
      </c>
    </row>
    <row r="2464" spans="1:7" ht="15" x14ac:dyDescent="0.25">
      <c r="A2464" t="s">
        <v>21031</v>
      </c>
      <c r="B2464">
        <v>1</v>
      </c>
      <c r="C2464">
        <v>164684</v>
      </c>
      <c r="D2464">
        <v>164684</v>
      </c>
      <c r="E2464">
        <v>5406</v>
      </c>
      <c r="F2464">
        <v>5406</v>
      </c>
      <c r="G2464">
        <v>164684</v>
      </c>
    </row>
    <row r="2465" spans="1:7" ht="15" x14ac:dyDescent="0.25">
      <c r="A2465" t="s">
        <v>21036</v>
      </c>
      <c r="B2465">
        <v>1</v>
      </c>
      <c r="C2465">
        <v>327</v>
      </c>
      <c r="D2465">
        <v>327</v>
      </c>
      <c r="E2465">
        <v>27</v>
      </c>
      <c r="F2465">
        <v>27</v>
      </c>
      <c r="G2465">
        <v>327</v>
      </c>
    </row>
    <row r="2466" spans="1:7" ht="15" x14ac:dyDescent="0.25">
      <c r="A2466" t="s">
        <v>21041</v>
      </c>
      <c r="B2466">
        <v>1</v>
      </c>
      <c r="C2466">
        <v>220</v>
      </c>
      <c r="D2466">
        <v>220</v>
      </c>
      <c r="E2466">
        <v>13</v>
      </c>
      <c r="F2466">
        <v>13</v>
      </c>
      <c r="G2466">
        <v>220</v>
      </c>
    </row>
    <row r="2467" spans="1:7" ht="15" x14ac:dyDescent="0.25">
      <c r="A2467" t="s">
        <v>21045</v>
      </c>
      <c r="B2467">
        <v>1</v>
      </c>
      <c r="C2467">
        <v>482</v>
      </c>
      <c r="D2467">
        <v>482</v>
      </c>
      <c r="E2467">
        <v>32</v>
      </c>
      <c r="F2467">
        <v>32</v>
      </c>
      <c r="G2467">
        <v>482</v>
      </c>
    </row>
    <row r="2468" spans="1:7" ht="15" x14ac:dyDescent="0.25">
      <c r="A2468" t="s">
        <v>21050</v>
      </c>
      <c r="B2468">
        <v>1</v>
      </c>
      <c r="C2468">
        <v>688</v>
      </c>
      <c r="D2468">
        <v>688</v>
      </c>
      <c r="E2468">
        <v>122</v>
      </c>
      <c r="F2468">
        <v>122</v>
      </c>
      <c r="G2468">
        <v>688</v>
      </c>
    </row>
    <row r="2469" spans="1:7" ht="15" x14ac:dyDescent="0.25">
      <c r="A2469" t="s">
        <v>21060</v>
      </c>
      <c r="B2469">
        <v>1</v>
      </c>
      <c r="C2469">
        <v>1006</v>
      </c>
      <c r="D2469">
        <v>1006</v>
      </c>
      <c r="E2469">
        <v>33</v>
      </c>
      <c r="F2469">
        <v>33</v>
      </c>
      <c r="G2469">
        <v>1006</v>
      </c>
    </row>
    <row r="2470" spans="1:7" ht="15" x14ac:dyDescent="0.25">
      <c r="A2470" t="s">
        <v>21071</v>
      </c>
      <c r="B2470">
        <v>1</v>
      </c>
      <c r="C2470">
        <v>201</v>
      </c>
      <c r="D2470">
        <v>201</v>
      </c>
      <c r="E2470">
        <v>20</v>
      </c>
      <c r="F2470">
        <v>20</v>
      </c>
      <c r="G2470">
        <v>201</v>
      </c>
    </row>
    <row r="2471" spans="1:7" ht="15" x14ac:dyDescent="0.25">
      <c r="A2471" t="s">
        <v>21078</v>
      </c>
      <c r="B2471">
        <v>1</v>
      </c>
      <c r="C2471">
        <v>361</v>
      </c>
      <c r="D2471">
        <v>361</v>
      </c>
      <c r="E2471">
        <v>50</v>
      </c>
      <c r="F2471">
        <v>50</v>
      </c>
      <c r="G2471">
        <v>361</v>
      </c>
    </row>
    <row r="2472" spans="1:7" ht="15" x14ac:dyDescent="0.25">
      <c r="A2472" t="s">
        <v>21090</v>
      </c>
      <c r="B2472">
        <v>1</v>
      </c>
      <c r="C2472">
        <v>1472</v>
      </c>
      <c r="D2472">
        <v>1472</v>
      </c>
      <c r="E2472">
        <v>39</v>
      </c>
      <c r="F2472">
        <v>39</v>
      </c>
      <c r="G2472">
        <v>1472</v>
      </c>
    </row>
    <row r="2473" spans="1:7" ht="15" x14ac:dyDescent="0.25">
      <c r="A2473" t="s">
        <v>21093</v>
      </c>
      <c r="B2473">
        <v>1</v>
      </c>
      <c r="C2473">
        <v>355</v>
      </c>
      <c r="D2473">
        <v>355</v>
      </c>
      <c r="E2473">
        <v>40</v>
      </c>
      <c r="F2473">
        <v>40</v>
      </c>
      <c r="G2473">
        <v>355</v>
      </c>
    </row>
    <row r="2474" spans="1:7" ht="15" x14ac:dyDescent="0.25">
      <c r="A2474" t="s">
        <v>21120</v>
      </c>
      <c r="B2474">
        <v>1</v>
      </c>
      <c r="C2474">
        <v>481</v>
      </c>
      <c r="D2474">
        <v>481</v>
      </c>
      <c r="E2474">
        <v>34</v>
      </c>
      <c r="F2474">
        <v>34</v>
      </c>
      <c r="G2474">
        <v>481</v>
      </c>
    </row>
    <row r="2475" spans="1:7" ht="15" x14ac:dyDescent="0.25">
      <c r="A2475" t="s">
        <v>21131</v>
      </c>
      <c r="B2475">
        <v>1</v>
      </c>
      <c r="C2475">
        <v>629</v>
      </c>
      <c r="D2475">
        <v>629</v>
      </c>
      <c r="E2475">
        <v>32</v>
      </c>
      <c r="F2475">
        <v>32</v>
      </c>
      <c r="G2475">
        <v>629</v>
      </c>
    </row>
    <row r="2476" spans="1:7" ht="15" x14ac:dyDescent="0.25">
      <c r="A2476" t="s">
        <v>21139</v>
      </c>
      <c r="B2476">
        <v>1</v>
      </c>
      <c r="C2476">
        <v>218</v>
      </c>
      <c r="D2476">
        <v>218</v>
      </c>
      <c r="E2476">
        <v>16</v>
      </c>
      <c r="F2476">
        <v>16</v>
      </c>
      <c r="G2476">
        <v>218</v>
      </c>
    </row>
    <row r="2477" spans="1:7" ht="15" x14ac:dyDescent="0.25">
      <c r="A2477" t="s">
        <v>21145</v>
      </c>
      <c r="B2477">
        <v>1</v>
      </c>
      <c r="C2477">
        <v>12</v>
      </c>
      <c r="D2477">
        <v>12</v>
      </c>
      <c r="E2477">
        <v>28</v>
      </c>
      <c r="F2477">
        <v>28</v>
      </c>
      <c r="G2477">
        <v>12</v>
      </c>
    </row>
    <row r="2478" spans="1:7" ht="15" x14ac:dyDescent="0.25">
      <c r="A2478" t="s">
        <v>21153</v>
      </c>
      <c r="B2478">
        <v>1</v>
      </c>
      <c r="C2478">
        <v>1028</v>
      </c>
      <c r="D2478">
        <v>1028</v>
      </c>
      <c r="E2478">
        <v>43</v>
      </c>
      <c r="F2478">
        <v>43</v>
      </c>
      <c r="G2478">
        <v>1028</v>
      </c>
    </row>
    <row r="2479" spans="1:7" ht="15" x14ac:dyDescent="0.25">
      <c r="A2479" t="s">
        <v>21158</v>
      </c>
      <c r="B2479">
        <v>1</v>
      </c>
      <c r="C2479">
        <v>17762</v>
      </c>
      <c r="D2479">
        <v>17762</v>
      </c>
      <c r="E2479">
        <v>771</v>
      </c>
      <c r="F2479">
        <v>771</v>
      </c>
      <c r="G2479">
        <v>17762</v>
      </c>
    </row>
    <row r="2480" spans="1:7" ht="15" x14ac:dyDescent="0.25">
      <c r="A2480" t="s">
        <v>21165</v>
      </c>
      <c r="B2480">
        <v>1</v>
      </c>
      <c r="C2480">
        <v>145</v>
      </c>
      <c r="D2480">
        <v>145</v>
      </c>
      <c r="E2480">
        <v>32</v>
      </c>
      <c r="F2480">
        <v>32</v>
      </c>
      <c r="G2480">
        <v>145</v>
      </c>
    </row>
    <row r="2481" spans="1:7" ht="15" x14ac:dyDescent="0.25">
      <c r="A2481" t="s">
        <v>21171</v>
      </c>
      <c r="B2481">
        <v>1</v>
      </c>
      <c r="C2481">
        <v>41</v>
      </c>
      <c r="D2481">
        <v>41</v>
      </c>
      <c r="E2481">
        <v>42</v>
      </c>
      <c r="F2481">
        <v>42</v>
      </c>
      <c r="G2481">
        <v>41</v>
      </c>
    </row>
    <row r="2482" spans="1:7" ht="15" x14ac:dyDescent="0.25">
      <c r="A2482" t="s">
        <v>21175</v>
      </c>
      <c r="B2482">
        <v>1</v>
      </c>
      <c r="C2482">
        <v>129</v>
      </c>
      <c r="D2482">
        <v>129</v>
      </c>
      <c r="E2482">
        <v>7</v>
      </c>
      <c r="F2482">
        <v>7</v>
      </c>
      <c r="G2482">
        <v>129</v>
      </c>
    </row>
    <row r="2483" spans="1:7" ht="15" x14ac:dyDescent="0.25">
      <c r="A2483" t="s">
        <v>21183</v>
      </c>
      <c r="B2483">
        <v>1</v>
      </c>
      <c r="C2483">
        <v>1186</v>
      </c>
      <c r="D2483">
        <v>1186</v>
      </c>
      <c r="E2483">
        <v>197</v>
      </c>
      <c r="F2483">
        <v>197</v>
      </c>
      <c r="G2483">
        <v>1186</v>
      </c>
    </row>
    <row r="2484" spans="1:7" ht="15" x14ac:dyDescent="0.25">
      <c r="A2484" t="s">
        <v>21188</v>
      </c>
      <c r="B2484">
        <v>1</v>
      </c>
      <c r="C2484">
        <v>328</v>
      </c>
      <c r="D2484">
        <v>328</v>
      </c>
      <c r="E2484">
        <v>62</v>
      </c>
      <c r="F2484">
        <v>62</v>
      </c>
      <c r="G2484">
        <v>328</v>
      </c>
    </row>
    <row r="2485" spans="1:7" ht="15" x14ac:dyDescent="0.25">
      <c r="A2485" t="s">
        <v>21193</v>
      </c>
      <c r="B2485">
        <v>1</v>
      </c>
      <c r="C2485">
        <v>566</v>
      </c>
      <c r="D2485">
        <v>566</v>
      </c>
      <c r="E2485">
        <v>33</v>
      </c>
      <c r="F2485">
        <v>33</v>
      </c>
      <c r="G2485">
        <v>566</v>
      </c>
    </row>
    <row r="2486" spans="1:7" ht="15" x14ac:dyDescent="0.25">
      <c r="A2486" t="s">
        <v>21200</v>
      </c>
      <c r="B2486">
        <v>1</v>
      </c>
      <c r="C2486">
        <v>263</v>
      </c>
      <c r="D2486">
        <v>263</v>
      </c>
      <c r="E2486">
        <v>14</v>
      </c>
      <c r="F2486">
        <v>14</v>
      </c>
      <c r="G2486">
        <v>263</v>
      </c>
    </row>
    <row r="2487" spans="1:7" ht="15" x14ac:dyDescent="0.25">
      <c r="A2487" t="s">
        <v>21207</v>
      </c>
      <c r="B2487">
        <v>1</v>
      </c>
      <c r="C2487">
        <v>1062</v>
      </c>
      <c r="D2487">
        <v>1062</v>
      </c>
      <c r="E2487">
        <v>5</v>
      </c>
      <c r="F2487">
        <v>5</v>
      </c>
      <c r="G2487">
        <v>1062</v>
      </c>
    </row>
    <row r="2488" spans="1:7" ht="15" x14ac:dyDescent="0.25">
      <c r="A2488" t="s">
        <v>21210</v>
      </c>
      <c r="B2488">
        <v>1</v>
      </c>
      <c r="C2488">
        <v>422</v>
      </c>
      <c r="D2488">
        <v>422</v>
      </c>
      <c r="E2488">
        <v>22</v>
      </c>
      <c r="F2488">
        <v>22</v>
      </c>
      <c r="G2488">
        <v>422</v>
      </c>
    </row>
    <row r="2489" spans="1:7" ht="15" x14ac:dyDescent="0.25">
      <c r="A2489" t="s">
        <v>21219</v>
      </c>
      <c r="B2489">
        <v>1</v>
      </c>
      <c r="C2489">
        <v>281</v>
      </c>
      <c r="D2489">
        <v>281</v>
      </c>
      <c r="E2489">
        <v>36</v>
      </c>
      <c r="F2489">
        <v>36</v>
      </c>
      <c r="G2489">
        <v>281</v>
      </c>
    </row>
    <row r="2490" spans="1:7" ht="15" x14ac:dyDescent="0.25">
      <c r="A2490" t="s">
        <v>21234</v>
      </c>
      <c r="B2490">
        <v>1</v>
      </c>
      <c r="C2490">
        <v>185</v>
      </c>
      <c r="D2490">
        <v>185</v>
      </c>
      <c r="E2490">
        <v>11</v>
      </c>
      <c r="F2490">
        <v>11</v>
      </c>
      <c r="G2490">
        <v>185</v>
      </c>
    </row>
    <row r="2491" spans="1:7" ht="15" x14ac:dyDescent="0.25">
      <c r="A2491" t="s">
        <v>21237</v>
      </c>
      <c r="B2491">
        <v>1</v>
      </c>
      <c r="C2491">
        <v>855</v>
      </c>
      <c r="D2491">
        <v>855</v>
      </c>
      <c r="E2491">
        <v>13</v>
      </c>
      <c r="F2491">
        <v>13</v>
      </c>
      <c r="G2491">
        <v>855</v>
      </c>
    </row>
    <row r="2492" spans="1:7" ht="15" x14ac:dyDescent="0.25">
      <c r="A2492" t="s">
        <v>21255</v>
      </c>
      <c r="B2492">
        <v>1</v>
      </c>
      <c r="C2492">
        <v>171</v>
      </c>
      <c r="D2492">
        <v>171</v>
      </c>
      <c r="E2492">
        <v>34</v>
      </c>
      <c r="F2492">
        <v>34</v>
      </c>
      <c r="G2492">
        <v>171</v>
      </c>
    </row>
    <row r="2493" spans="1:7" ht="15" x14ac:dyDescent="0.25">
      <c r="A2493" t="s">
        <v>21261</v>
      </c>
      <c r="B2493">
        <v>2</v>
      </c>
      <c r="C2493">
        <v>190</v>
      </c>
      <c r="D2493">
        <v>381</v>
      </c>
      <c r="E2493">
        <v>18</v>
      </c>
      <c r="F2493">
        <v>9</v>
      </c>
      <c r="G2493">
        <v>191</v>
      </c>
    </row>
    <row r="2494" spans="1:7" ht="15" x14ac:dyDescent="0.25">
      <c r="A2494" t="s">
        <v>21265</v>
      </c>
      <c r="B2494">
        <v>1</v>
      </c>
      <c r="C2494">
        <v>282</v>
      </c>
      <c r="D2494">
        <v>282</v>
      </c>
      <c r="E2494">
        <v>52</v>
      </c>
      <c r="F2494">
        <v>52</v>
      </c>
      <c r="G2494">
        <v>282</v>
      </c>
    </row>
    <row r="2495" spans="1:7" ht="15" x14ac:dyDescent="0.25">
      <c r="A2495" t="s">
        <v>21271</v>
      </c>
      <c r="B2495">
        <v>2</v>
      </c>
      <c r="C2495">
        <v>1209</v>
      </c>
      <c r="D2495">
        <v>2016</v>
      </c>
      <c r="E2495">
        <v>262</v>
      </c>
      <c r="F2495">
        <v>131</v>
      </c>
      <c r="G2495">
        <v>1209</v>
      </c>
    </row>
    <row r="2496" spans="1:7" ht="15" x14ac:dyDescent="0.25">
      <c r="A2496" t="s">
        <v>21281</v>
      </c>
      <c r="B2496">
        <v>1</v>
      </c>
      <c r="C2496">
        <v>901</v>
      </c>
      <c r="D2496">
        <v>901</v>
      </c>
      <c r="E2496">
        <v>29</v>
      </c>
      <c r="F2496">
        <v>29</v>
      </c>
      <c r="G2496">
        <v>901</v>
      </c>
    </row>
    <row r="2497" spans="1:7" ht="15" x14ac:dyDescent="0.25">
      <c r="A2497" t="s">
        <v>21293</v>
      </c>
      <c r="B2497">
        <v>1</v>
      </c>
      <c r="C2497">
        <v>496</v>
      </c>
      <c r="D2497">
        <v>496</v>
      </c>
      <c r="E2497">
        <v>33</v>
      </c>
      <c r="F2497">
        <v>33</v>
      </c>
      <c r="G2497">
        <v>496</v>
      </c>
    </row>
    <row r="2498" spans="1:7" ht="15" x14ac:dyDescent="0.25">
      <c r="A2498" t="s">
        <v>21304</v>
      </c>
      <c r="B2498">
        <v>1</v>
      </c>
      <c r="C2498">
        <v>328</v>
      </c>
      <c r="D2498">
        <v>328</v>
      </c>
      <c r="E2498">
        <v>29</v>
      </c>
      <c r="F2498">
        <v>29</v>
      </c>
      <c r="G2498">
        <v>328</v>
      </c>
    </row>
    <row r="2499" spans="1:7" ht="15" x14ac:dyDescent="0.25">
      <c r="A2499" t="s">
        <v>21313</v>
      </c>
      <c r="B2499">
        <v>1</v>
      </c>
      <c r="C2499">
        <v>950</v>
      </c>
      <c r="D2499">
        <v>950</v>
      </c>
      <c r="E2499">
        <v>32</v>
      </c>
      <c r="F2499">
        <v>32</v>
      </c>
      <c r="G2499">
        <v>950</v>
      </c>
    </row>
    <row r="2500" spans="1:7" ht="15" x14ac:dyDescent="0.25">
      <c r="A2500" t="s">
        <v>21337</v>
      </c>
      <c r="B2500">
        <v>1</v>
      </c>
      <c r="C2500">
        <v>81</v>
      </c>
      <c r="D2500">
        <v>81</v>
      </c>
      <c r="E2500">
        <v>4</v>
      </c>
      <c r="F2500">
        <v>4</v>
      </c>
      <c r="G2500">
        <v>81</v>
      </c>
    </row>
    <row r="2501" spans="1:7" ht="15" x14ac:dyDescent="0.25">
      <c r="A2501" t="s">
        <v>21352</v>
      </c>
      <c r="B2501">
        <v>1</v>
      </c>
      <c r="C2501">
        <v>1618</v>
      </c>
      <c r="D2501">
        <v>1618</v>
      </c>
      <c r="E2501">
        <v>77</v>
      </c>
      <c r="F2501">
        <v>77</v>
      </c>
      <c r="G2501">
        <v>1618</v>
      </c>
    </row>
    <row r="2502" spans="1:7" ht="15" x14ac:dyDescent="0.25">
      <c r="A2502" t="s">
        <v>21359</v>
      </c>
      <c r="B2502">
        <v>1</v>
      </c>
      <c r="C2502">
        <v>530</v>
      </c>
      <c r="D2502">
        <v>530</v>
      </c>
      <c r="E2502">
        <v>13</v>
      </c>
      <c r="F2502">
        <v>13</v>
      </c>
      <c r="G2502">
        <v>530</v>
      </c>
    </row>
    <row r="2503" spans="1:7" ht="15" x14ac:dyDescent="0.25">
      <c r="A2503" t="s">
        <v>21365</v>
      </c>
      <c r="B2503">
        <v>1</v>
      </c>
      <c r="C2503">
        <v>148</v>
      </c>
      <c r="D2503">
        <v>148</v>
      </c>
      <c r="E2503">
        <v>10</v>
      </c>
      <c r="F2503">
        <v>10</v>
      </c>
      <c r="G2503">
        <v>148</v>
      </c>
    </row>
    <row r="2504" spans="1:7" ht="15" x14ac:dyDescent="0.25">
      <c r="A2504" t="s">
        <v>21373</v>
      </c>
      <c r="B2504">
        <v>1</v>
      </c>
      <c r="C2504">
        <v>217</v>
      </c>
      <c r="D2504">
        <v>217</v>
      </c>
      <c r="E2504">
        <v>38</v>
      </c>
      <c r="F2504">
        <v>38</v>
      </c>
      <c r="G2504">
        <v>217</v>
      </c>
    </row>
    <row r="2505" spans="1:7" ht="15" x14ac:dyDescent="0.25">
      <c r="A2505" t="s">
        <v>21380</v>
      </c>
      <c r="B2505">
        <v>1</v>
      </c>
      <c r="C2505">
        <v>833</v>
      </c>
      <c r="D2505">
        <v>833</v>
      </c>
      <c r="E2505">
        <v>71</v>
      </c>
      <c r="F2505">
        <v>71</v>
      </c>
      <c r="G2505">
        <v>833</v>
      </c>
    </row>
    <row r="2506" spans="1:7" ht="15" x14ac:dyDescent="0.25">
      <c r="A2506" t="s">
        <v>21388</v>
      </c>
      <c r="B2506">
        <v>1</v>
      </c>
      <c r="C2506">
        <v>74</v>
      </c>
      <c r="D2506">
        <v>74</v>
      </c>
      <c r="E2506">
        <v>2</v>
      </c>
      <c r="F2506">
        <v>2</v>
      </c>
      <c r="G2506">
        <v>74</v>
      </c>
    </row>
    <row r="2507" spans="1:7" ht="15" x14ac:dyDescent="0.25">
      <c r="A2507" t="s">
        <v>21400</v>
      </c>
      <c r="B2507">
        <v>1</v>
      </c>
      <c r="D2507">
        <v>0</v>
      </c>
      <c r="E2507">
        <v>131</v>
      </c>
      <c r="F2507">
        <v>131</v>
      </c>
    </row>
    <row r="2508" spans="1:7" ht="15" x14ac:dyDescent="0.25">
      <c r="A2508" t="s">
        <v>21408</v>
      </c>
      <c r="B2508">
        <v>1</v>
      </c>
      <c r="C2508">
        <v>164</v>
      </c>
      <c r="D2508">
        <v>164</v>
      </c>
      <c r="E2508">
        <v>10</v>
      </c>
      <c r="F2508">
        <v>10</v>
      </c>
      <c r="G2508">
        <v>164</v>
      </c>
    </row>
    <row r="2509" spans="1:7" ht="15" x14ac:dyDescent="0.25">
      <c r="A2509" t="s">
        <v>21413</v>
      </c>
      <c r="B2509">
        <v>1</v>
      </c>
      <c r="C2509">
        <v>374</v>
      </c>
      <c r="D2509">
        <v>374</v>
      </c>
      <c r="E2509">
        <v>122</v>
      </c>
      <c r="F2509">
        <v>122</v>
      </c>
      <c r="G2509">
        <v>374</v>
      </c>
    </row>
    <row r="2510" spans="1:7" ht="15" x14ac:dyDescent="0.25">
      <c r="A2510" t="s">
        <v>21417</v>
      </c>
      <c r="B2510">
        <v>1</v>
      </c>
      <c r="C2510">
        <v>1327</v>
      </c>
      <c r="D2510">
        <v>1327</v>
      </c>
      <c r="E2510">
        <v>111</v>
      </c>
      <c r="F2510">
        <v>111</v>
      </c>
      <c r="G2510">
        <v>1327</v>
      </c>
    </row>
    <row r="2511" spans="1:7" ht="15" x14ac:dyDescent="0.25">
      <c r="A2511" t="s">
        <v>21421</v>
      </c>
      <c r="B2511">
        <v>1</v>
      </c>
      <c r="C2511">
        <v>396</v>
      </c>
      <c r="D2511">
        <v>396</v>
      </c>
      <c r="E2511">
        <v>48</v>
      </c>
      <c r="F2511">
        <v>48</v>
      </c>
      <c r="G2511">
        <v>396</v>
      </c>
    </row>
    <row r="2512" spans="1:7" ht="15" x14ac:dyDescent="0.25">
      <c r="A2512" t="s">
        <v>21428</v>
      </c>
      <c r="B2512">
        <v>1</v>
      </c>
      <c r="C2512">
        <v>209</v>
      </c>
      <c r="D2512">
        <v>209</v>
      </c>
      <c r="E2512">
        <v>16</v>
      </c>
      <c r="F2512">
        <v>16</v>
      </c>
      <c r="G2512">
        <v>209</v>
      </c>
    </row>
    <row r="2513" spans="1:7" ht="15" x14ac:dyDescent="0.25">
      <c r="A2513" t="s">
        <v>21433</v>
      </c>
      <c r="B2513">
        <v>1</v>
      </c>
      <c r="C2513">
        <v>221</v>
      </c>
      <c r="D2513">
        <v>221</v>
      </c>
      <c r="E2513">
        <v>26</v>
      </c>
      <c r="F2513">
        <v>26</v>
      </c>
      <c r="G2513">
        <v>221</v>
      </c>
    </row>
    <row r="2514" spans="1:7" ht="15" x14ac:dyDescent="0.25">
      <c r="A2514" t="s">
        <v>21439</v>
      </c>
      <c r="B2514">
        <v>1</v>
      </c>
      <c r="C2514">
        <v>688</v>
      </c>
      <c r="D2514">
        <v>688</v>
      </c>
      <c r="E2514">
        <v>33</v>
      </c>
      <c r="F2514">
        <v>33</v>
      </c>
      <c r="G2514">
        <v>688</v>
      </c>
    </row>
    <row r="2515" spans="1:7" ht="15" x14ac:dyDescent="0.25">
      <c r="A2515" t="s">
        <v>21450</v>
      </c>
      <c r="B2515">
        <v>1</v>
      </c>
      <c r="C2515">
        <v>133</v>
      </c>
      <c r="D2515">
        <v>133</v>
      </c>
      <c r="E2515">
        <v>7</v>
      </c>
      <c r="F2515">
        <v>7</v>
      </c>
      <c r="G2515">
        <v>133</v>
      </c>
    </row>
    <row r="2516" spans="1:7" ht="15" x14ac:dyDescent="0.25">
      <c r="A2516" t="s">
        <v>21460</v>
      </c>
      <c r="B2516">
        <v>1</v>
      </c>
      <c r="C2516">
        <v>590</v>
      </c>
      <c r="D2516">
        <v>590</v>
      </c>
      <c r="E2516">
        <v>81</v>
      </c>
      <c r="F2516">
        <v>81</v>
      </c>
      <c r="G2516">
        <v>590</v>
      </c>
    </row>
    <row r="2517" spans="1:7" ht="15" x14ac:dyDescent="0.25">
      <c r="A2517" t="s">
        <v>21467</v>
      </c>
      <c r="B2517">
        <v>1</v>
      </c>
      <c r="C2517">
        <v>90</v>
      </c>
      <c r="D2517">
        <v>90</v>
      </c>
      <c r="E2517">
        <v>15</v>
      </c>
      <c r="F2517">
        <v>15</v>
      </c>
      <c r="G2517">
        <v>90</v>
      </c>
    </row>
    <row r="2518" spans="1:7" ht="15" x14ac:dyDescent="0.25">
      <c r="A2518" t="s">
        <v>21474</v>
      </c>
      <c r="B2518">
        <v>1</v>
      </c>
      <c r="D2518">
        <v>0</v>
      </c>
      <c r="E2518">
        <v>74</v>
      </c>
      <c r="F2518">
        <v>74</v>
      </c>
    </row>
    <row r="2519" spans="1:7" ht="15" x14ac:dyDescent="0.25">
      <c r="A2519" t="s">
        <v>21482</v>
      </c>
      <c r="B2519">
        <v>1</v>
      </c>
      <c r="C2519">
        <v>439</v>
      </c>
      <c r="D2519">
        <v>439</v>
      </c>
      <c r="E2519">
        <v>34</v>
      </c>
      <c r="F2519">
        <v>34</v>
      </c>
      <c r="G2519">
        <v>439</v>
      </c>
    </row>
    <row r="2520" spans="1:7" ht="15" x14ac:dyDescent="0.25">
      <c r="A2520" t="s">
        <v>21488</v>
      </c>
      <c r="B2520">
        <v>1</v>
      </c>
      <c r="C2520">
        <v>1120</v>
      </c>
      <c r="D2520">
        <v>1120</v>
      </c>
      <c r="E2520">
        <v>171</v>
      </c>
      <c r="F2520">
        <v>171</v>
      </c>
      <c r="G2520">
        <v>1120</v>
      </c>
    </row>
    <row r="2521" spans="1:7" ht="15" x14ac:dyDescent="0.25">
      <c r="A2521" t="s">
        <v>21501</v>
      </c>
      <c r="B2521">
        <v>1</v>
      </c>
      <c r="C2521">
        <v>612</v>
      </c>
      <c r="D2521">
        <v>612</v>
      </c>
      <c r="E2521">
        <v>24</v>
      </c>
      <c r="F2521">
        <v>24</v>
      </c>
      <c r="G2521">
        <v>612</v>
      </c>
    </row>
    <row r="2522" spans="1:7" ht="15" x14ac:dyDescent="0.25">
      <c r="A2522" t="s">
        <v>21508</v>
      </c>
      <c r="B2522">
        <v>1</v>
      </c>
      <c r="C2522">
        <v>875</v>
      </c>
      <c r="D2522">
        <v>875</v>
      </c>
      <c r="E2522">
        <v>127</v>
      </c>
      <c r="F2522">
        <v>127</v>
      </c>
      <c r="G2522">
        <v>875</v>
      </c>
    </row>
    <row r="2523" spans="1:7" ht="15" x14ac:dyDescent="0.25">
      <c r="A2523" t="s">
        <v>21514</v>
      </c>
      <c r="B2523">
        <v>1</v>
      </c>
      <c r="C2523">
        <v>412</v>
      </c>
      <c r="D2523">
        <v>412</v>
      </c>
      <c r="E2523">
        <v>30</v>
      </c>
      <c r="F2523">
        <v>30</v>
      </c>
      <c r="G2523">
        <v>412</v>
      </c>
    </row>
    <row r="2524" spans="1:7" ht="15" x14ac:dyDescent="0.25">
      <c r="A2524" t="s">
        <v>21521</v>
      </c>
      <c r="B2524">
        <v>1</v>
      </c>
      <c r="C2524">
        <v>314</v>
      </c>
      <c r="D2524">
        <v>314</v>
      </c>
      <c r="E2524">
        <v>27</v>
      </c>
      <c r="F2524">
        <v>27</v>
      </c>
      <c r="G2524">
        <v>314</v>
      </c>
    </row>
    <row r="2525" spans="1:7" ht="15" x14ac:dyDescent="0.25">
      <c r="A2525" t="s">
        <v>21532</v>
      </c>
      <c r="B2525">
        <v>1</v>
      </c>
      <c r="C2525">
        <v>836</v>
      </c>
      <c r="D2525">
        <v>836</v>
      </c>
      <c r="E2525">
        <v>33</v>
      </c>
      <c r="F2525">
        <v>33</v>
      </c>
      <c r="G2525">
        <v>836</v>
      </c>
    </row>
    <row r="2526" spans="1:7" ht="15" x14ac:dyDescent="0.25">
      <c r="A2526" t="s">
        <v>21535</v>
      </c>
      <c r="B2526">
        <v>1</v>
      </c>
      <c r="C2526">
        <v>761</v>
      </c>
      <c r="D2526">
        <v>761</v>
      </c>
      <c r="E2526">
        <v>72</v>
      </c>
      <c r="F2526">
        <v>72</v>
      </c>
      <c r="G2526">
        <v>761</v>
      </c>
    </row>
    <row r="2527" spans="1:7" ht="15" x14ac:dyDescent="0.25">
      <c r="A2527" t="s">
        <v>21541</v>
      </c>
      <c r="B2527">
        <v>1</v>
      </c>
      <c r="C2527">
        <v>1133</v>
      </c>
      <c r="D2527">
        <v>1133</v>
      </c>
      <c r="E2527">
        <v>27</v>
      </c>
      <c r="F2527">
        <v>27</v>
      </c>
      <c r="G2527">
        <v>1133</v>
      </c>
    </row>
    <row r="2528" spans="1:7" ht="15" x14ac:dyDescent="0.25">
      <c r="A2528" t="s">
        <v>21551</v>
      </c>
      <c r="B2528">
        <v>2</v>
      </c>
      <c r="C2528">
        <v>757</v>
      </c>
      <c r="D2528">
        <v>1517</v>
      </c>
      <c r="E2528">
        <v>149</v>
      </c>
      <c r="F2528">
        <v>74.5</v>
      </c>
      <c r="G2528">
        <v>760</v>
      </c>
    </row>
    <row r="2529" spans="1:7" ht="15" x14ac:dyDescent="0.25">
      <c r="A2529" t="s">
        <v>21556</v>
      </c>
      <c r="B2529">
        <v>1</v>
      </c>
      <c r="C2529">
        <v>2758</v>
      </c>
      <c r="D2529">
        <v>2758</v>
      </c>
      <c r="E2529">
        <v>125</v>
      </c>
      <c r="F2529">
        <v>125</v>
      </c>
      <c r="G2529">
        <v>2758</v>
      </c>
    </row>
    <row r="2530" spans="1:7" ht="15" x14ac:dyDescent="0.25">
      <c r="A2530" t="s">
        <v>21559</v>
      </c>
      <c r="B2530">
        <v>1</v>
      </c>
      <c r="C2530">
        <v>117</v>
      </c>
      <c r="D2530">
        <v>117</v>
      </c>
      <c r="E2530">
        <v>14</v>
      </c>
      <c r="F2530">
        <v>14</v>
      </c>
      <c r="G2530">
        <v>117</v>
      </c>
    </row>
    <row r="2531" spans="1:7" ht="15" x14ac:dyDescent="0.25">
      <c r="A2531" t="s">
        <v>21563</v>
      </c>
      <c r="B2531">
        <v>1</v>
      </c>
      <c r="C2531">
        <v>1921</v>
      </c>
      <c r="D2531">
        <v>1921</v>
      </c>
      <c r="E2531">
        <v>110</v>
      </c>
      <c r="F2531">
        <v>110</v>
      </c>
      <c r="G2531">
        <v>1921</v>
      </c>
    </row>
    <row r="2532" spans="1:7" ht="15" x14ac:dyDescent="0.25">
      <c r="A2532" t="s">
        <v>21570</v>
      </c>
      <c r="B2532">
        <v>1</v>
      </c>
      <c r="C2532">
        <v>219</v>
      </c>
      <c r="D2532">
        <v>219</v>
      </c>
      <c r="E2532">
        <v>10</v>
      </c>
      <c r="F2532">
        <v>10</v>
      </c>
      <c r="G2532">
        <v>219</v>
      </c>
    </row>
    <row r="2533" spans="1:7" ht="15" x14ac:dyDescent="0.25">
      <c r="A2533" t="s">
        <v>21578</v>
      </c>
      <c r="B2533">
        <v>1</v>
      </c>
      <c r="C2533">
        <v>74</v>
      </c>
      <c r="D2533">
        <v>74</v>
      </c>
      <c r="E2533">
        <v>7</v>
      </c>
      <c r="F2533">
        <v>7</v>
      </c>
      <c r="G2533">
        <v>74</v>
      </c>
    </row>
    <row r="2534" spans="1:7" ht="15" x14ac:dyDescent="0.25">
      <c r="A2534" t="s">
        <v>21582</v>
      </c>
      <c r="B2534">
        <v>1</v>
      </c>
      <c r="C2534">
        <v>185</v>
      </c>
      <c r="D2534">
        <v>185</v>
      </c>
      <c r="E2534">
        <v>22</v>
      </c>
      <c r="F2534">
        <v>22</v>
      </c>
      <c r="G2534">
        <v>185</v>
      </c>
    </row>
    <row r="2535" spans="1:7" ht="15" x14ac:dyDescent="0.25">
      <c r="A2535" t="s">
        <v>21587</v>
      </c>
      <c r="B2535">
        <v>1</v>
      </c>
      <c r="C2535">
        <v>2438</v>
      </c>
      <c r="D2535">
        <v>2438</v>
      </c>
      <c r="E2535">
        <v>66</v>
      </c>
      <c r="F2535">
        <v>66</v>
      </c>
      <c r="G2535">
        <v>2438</v>
      </c>
    </row>
    <row r="2536" spans="1:7" ht="15" x14ac:dyDescent="0.25">
      <c r="A2536" t="s">
        <v>21593</v>
      </c>
      <c r="B2536">
        <v>1</v>
      </c>
      <c r="C2536">
        <v>319</v>
      </c>
      <c r="D2536">
        <v>319</v>
      </c>
      <c r="E2536">
        <v>11</v>
      </c>
      <c r="F2536">
        <v>11</v>
      </c>
      <c r="G2536">
        <v>319</v>
      </c>
    </row>
    <row r="2537" spans="1:7" ht="15" x14ac:dyDescent="0.25">
      <c r="A2537" t="s">
        <v>21597</v>
      </c>
      <c r="B2537">
        <v>3</v>
      </c>
      <c r="C2537">
        <v>146</v>
      </c>
      <c r="D2537">
        <v>411</v>
      </c>
      <c r="E2537">
        <v>145</v>
      </c>
      <c r="F2537">
        <v>48.333333333333336</v>
      </c>
      <c r="G2537">
        <v>146</v>
      </c>
    </row>
    <row r="2538" spans="1:7" ht="15" x14ac:dyDescent="0.25">
      <c r="A2538" t="s">
        <v>21602</v>
      </c>
      <c r="B2538">
        <v>2</v>
      </c>
      <c r="C2538">
        <v>219</v>
      </c>
      <c r="D2538">
        <v>438</v>
      </c>
      <c r="E2538">
        <v>56</v>
      </c>
      <c r="F2538">
        <v>28</v>
      </c>
      <c r="G2538">
        <v>219</v>
      </c>
    </row>
    <row r="2539" spans="1:7" ht="15" x14ac:dyDescent="0.25">
      <c r="A2539" t="s">
        <v>21613</v>
      </c>
      <c r="B2539">
        <v>1</v>
      </c>
      <c r="C2539">
        <v>544</v>
      </c>
      <c r="D2539">
        <v>544</v>
      </c>
      <c r="E2539">
        <v>130</v>
      </c>
      <c r="F2539">
        <v>130</v>
      </c>
      <c r="G2539">
        <v>544</v>
      </c>
    </row>
    <row r="2540" spans="1:7" ht="15" x14ac:dyDescent="0.25">
      <c r="A2540" t="s">
        <v>21620</v>
      </c>
      <c r="B2540">
        <v>1</v>
      </c>
      <c r="C2540">
        <v>20</v>
      </c>
      <c r="D2540">
        <v>20</v>
      </c>
      <c r="E2540">
        <v>8</v>
      </c>
      <c r="F2540">
        <v>8</v>
      </c>
      <c r="G2540">
        <v>20</v>
      </c>
    </row>
    <row r="2541" spans="1:7" ht="15" x14ac:dyDescent="0.25">
      <c r="A2541" t="s">
        <v>21629</v>
      </c>
      <c r="B2541">
        <v>1</v>
      </c>
      <c r="C2541">
        <v>604</v>
      </c>
      <c r="D2541">
        <v>604</v>
      </c>
      <c r="E2541">
        <v>46</v>
      </c>
      <c r="F2541">
        <v>46</v>
      </c>
      <c r="G2541">
        <v>604</v>
      </c>
    </row>
    <row r="2542" spans="1:7" ht="15" x14ac:dyDescent="0.25">
      <c r="A2542" t="s">
        <v>21635</v>
      </c>
      <c r="B2542">
        <v>1</v>
      </c>
      <c r="C2542">
        <v>2983</v>
      </c>
      <c r="D2542">
        <v>2983</v>
      </c>
      <c r="E2542">
        <v>24</v>
      </c>
      <c r="F2542">
        <v>24</v>
      </c>
      <c r="G2542">
        <v>2983</v>
      </c>
    </row>
    <row r="2543" spans="1:7" ht="15" x14ac:dyDescent="0.25">
      <c r="A2543" t="s">
        <v>21643</v>
      </c>
      <c r="B2543">
        <v>1</v>
      </c>
      <c r="C2543">
        <v>153</v>
      </c>
      <c r="D2543">
        <v>153</v>
      </c>
      <c r="E2543">
        <v>10</v>
      </c>
      <c r="F2543">
        <v>10</v>
      </c>
      <c r="G2543">
        <v>153</v>
      </c>
    </row>
    <row r="2544" spans="1:7" ht="15" x14ac:dyDescent="0.25">
      <c r="A2544" t="s">
        <v>21647</v>
      </c>
      <c r="B2544">
        <v>1</v>
      </c>
      <c r="C2544">
        <v>1141</v>
      </c>
      <c r="D2544">
        <v>1141</v>
      </c>
      <c r="E2544">
        <v>66</v>
      </c>
      <c r="F2544">
        <v>66</v>
      </c>
      <c r="G2544">
        <v>1141</v>
      </c>
    </row>
    <row r="2545" spans="1:7" ht="15" x14ac:dyDescent="0.25">
      <c r="A2545" t="s">
        <v>21653</v>
      </c>
      <c r="B2545">
        <v>1</v>
      </c>
      <c r="C2545">
        <v>740</v>
      </c>
      <c r="D2545">
        <v>740</v>
      </c>
      <c r="E2545">
        <v>11</v>
      </c>
      <c r="F2545">
        <v>11</v>
      </c>
      <c r="G2545">
        <v>740</v>
      </c>
    </row>
    <row r="2546" spans="1:7" ht="15" x14ac:dyDescent="0.25">
      <c r="A2546" t="s">
        <v>21658</v>
      </c>
      <c r="B2546">
        <v>1</v>
      </c>
      <c r="C2546">
        <v>341</v>
      </c>
      <c r="D2546">
        <v>341</v>
      </c>
      <c r="E2546">
        <v>20</v>
      </c>
      <c r="F2546">
        <v>20</v>
      </c>
      <c r="G2546">
        <v>341</v>
      </c>
    </row>
    <row r="2547" spans="1:7" ht="15" x14ac:dyDescent="0.25">
      <c r="A2547" t="s">
        <v>21663</v>
      </c>
      <c r="B2547">
        <v>1</v>
      </c>
      <c r="C2547">
        <v>833</v>
      </c>
      <c r="D2547">
        <v>833</v>
      </c>
      <c r="E2547">
        <v>42</v>
      </c>
      <c r="F2547">
        <v>42</v>
      </c>
      <c r="G2547">
        <v>833</v>
      </c>
    </row>
    <row r="2548" spans="1:7" ht="15" x14ac:dyDescent="0.25">
      <c r="A2548" t="s">
        <v>21667</v>
      </c>
      <c r="B2548">
        <v>1</v>
      </c>
      <c r="C2548">
        <v>64</v>
      </c>
      <c r="D2548">
        <v>64</v>
      </c>
      <c r="E2548">
        <v>9</v>
      </c>
      <c r="F2548">
        <v>9</v>
      </c>
      <c r="G2548">
        <v>64</v>
      </c>
    </row>
    <row r="2549" spans="1:7" ht="15" x14ac:dyDescent="0.25">
      <c r="A2549" t="s">
        <v>21670</v>
      </c>
      <c r="B2549">
        <v>1</v>
      </c>
      <c r="C2549">
        <v>262</v>
      </c>
      <c r="D2549">
        <v>262</v>
      </c>
      <c r="E2549">
        <v>71</v>
      </c>
      <c r="F2549">
        <v>71</v>
      </c>
      <c r="G2549">
        <v>262</v>
      </c>
    </row>
    <row r="2550" spans="1:7" ht="15" x14ac:dyDescent="0.25">
      <c r="A2550" t="s">
        <v>21673</v>
      </c>
      <c r="B2550">
        <v>2</v>
      </c>
      <c r="C2550">
        <v>1328</v>
      </c>
      <c r="D2550">
        <v>2651</v>
      </c>
      <c r="E2550">
        <v>230</v>
      </c>
      <c r="F2550">
        <v>115</v>
      </c>
      <c r="G2550">
        <v>1328</v>
      </c>
    </row>
    <row r="2551" spans="1:7" ht="15" x14ac:dyDescent="0.25">
      <c r="A2551" t="s">
        <v>21679</v>
      </c>
      <c r="B2551">
        <v>1</v>
      </c>
      <c r="C2551">
        <v>162</v>
      </c>
      <c r="D2551">
        <v>162</v>
      </c>
      <c r="E2551">
        <v>11</v>
      </c>
      <c r="F2551">
        <v>11</v>
      </c>
      <c r="G2551">
        <v>162</v>
      </c>
    </row>
    <row r="2552" spans="1:7" ht="15" x14ac:dyDescent="0.25">
      <c r="A2552" t="s">
        <v>21686</v>
      </c>
      <c r="B2552">
        <v>1</v>
      </c>
      <c r="C2552">
        <v>18041</v>
      </c>
      <c r="D2552">
        <v>18041</v>
      </c>
      <c r="E2552">
        <v>254</v>
      </c>
      <c r="F2552">
        <v>254</v>
      </c>
      <c r="G2552">
        <v>18041</v>
      </c>
    </row>
    <row r="2553" spans="1:7" ht="15" x14ac:dyDescent="0.25">
      <c r="A2553" t="s">
        <v>21698</v>
      </c>
      <c r="B2553">
        <v>1</v>
      </c>
      <c r="C2553">
        <v>196</v>
      </c>
      <c r="D2553">
        <v>196</v>
      </c>
      <c r="E2553">
        <v>22</v>
      </c>
      <c r="F2553">
        <v>22</v>
      </c>
      <c r="G2553">
        <v>196</v>
      </c>
    </row>
    <row r="2554" spans="1:7" ht="15" x14ac:dyDescent="0.25">
      <c r="A2554" t="s">
        <v>21705</v>
      </c>
      <c r="B2554">
        <v>1</v>
      </c>
      <c r="C2554">
        <v>664</v>
      </c>
      <c r="D2554">
        <v>664</v>
      </c>
      <c r="E2554">
        <v>36</v>
      </c>
      <c r="F2554">
        <v>36</v>
      </c>
      <c r="G2554">
        <v>664</v>
      </c>
    </row>
    <row r="2555" spans="1:7" ht="15" x14ac:dyDescent="0.25">
      <c r="A2555" t="s">
        <v>21711</v>
      </c>
      <c r="B2555">
        <v>1</v>
      </c>
      <c r="C2555">
        <v>126</v>
      </c>
      <c r="D2555">
        <v>126</v>
      </c>
      <c r="E2555">
        <v>10</v>
      </c>
      <c r="F2555">
        <v>10</v>
      </c>
      <c r="G2555">
        <v>126</v>
      </c>
    </row>
    <row r="2556" spans="1:7" ht="15" x14ac:dyDescent="0.25">
      <c r="A2556" t="s">
        <v>21722</v>
      </c>
      <c r="B2556">
        <v>1</v>
      </c>
      <c r="C2556">
        <v>259</v>
      </c>
      <c r="D2556">
        <v>259</v>
      </c>
      <c r="E2556">
        <v>39</v>
      </c>
      <c r="F2556">
        <v>39</v>
      </c>
      <c r="G2556">
        <v>259</v>
      </c>
    </row>
    <row r="2557" spans="1:7" ht="15" x14ac:dyDescent="0.25">
      <c r="A2557" t="s">
        <v>21732</v>
      </c>
      <c r="B2557">
        <v>1</v>
      </c>
      <c r="C2557">
        <v>8353</v>
      </c>
      <c r="D2557">
        <v>8353</v>
      </c>
      <c r="E2557">
        <v>164</v>
      </c>
      <c r="F2557">
        <v>164</v>
      </c>
      <c r="G2557">
        <v>8353</v>
      </c>
    </row>
    <row r="2558" spans="1:7" ht="15" x14ac:dyDescent="0.25">
      <c r="A2558" t="s">
        <v>21737</v>
      </c>
      <c r="B2558">
        <v>1</v>
      </c>
      <c r="C2558">
        <v>623</v>
      </c>
      <c r="D2558">
        <v>623</v>
      </c>
      <c r="E2558">
        <v>111</v>
      </c>
      <c r="F2558">
        <v>111</v>
      </c>
      <c r="G2558">
        <v>623</v>
      </c>
    </row>
    <row r="2559" spans="1:7" ht="15" x14ac:dyDescent="0.25">
      <c r="A2559" t="s">
        <v>21745</v>
      </c>
      <c r="B2559">
        <v>1</v>
      </c>
      <c r="C2559">
        <v>278</v>
      </c>
      <c r="D2559">
        <v>278</v>
      </c>
      <c r="E2559">
        <v>36</v>
      </c>
      <c r="F2559">
        <v>36</v>
      </c>
      <c r="G2559">
        <v>278</v>
      </c>
    </row>
    <row r="2560" spans="1:7" ht="15" x14ac:dyDescent="0.25">
      <c r="A2560" t="s">
        <v>21762</v>
      </c>
      <c r="B2560">
        <v>2</v>
      </c>
      <c r="C2560">
        <v>45</v>
      </c>
      <c r="D2560">
        <v>90</v>
      </c>
      <c r="E2560">
        <v>15</v>
      </c>
      <c r="F2560">
        <v>7.5</v>
      </c>
      <c r="G2560">
        <v>45</v>
      </c>
    </row>
    <row r="2561" spans="1:7" ht="15" x14ac:dyDescent="0.25">
      <c r="A2561" t="s">
        <v>21768</v>
      </c>
      <c r="B2561">
        <v>1</v>
      </c>
      <c r="C2561">
        <v>243</v>
      </c>
      <c r="D2561">
        <v>243</v>
      </c>
      <c r="E2561">
        <v>53</v>
      </c>
      <c r="F2561">
        <v>53</v>
      </c>
      <c r="G2561">
        <v>243</v>
      </c>
    </row>
    <row r="2562" spans="1:7" ht="15" x14ac:dyDescent="0.25">
      <c r="A2562" t="s">
        <v>21774</v>
      </c>
      <c r="B2562">
        <v>2</v>
      </c>
      <c r="C2562">
        <v>188</v>
      </c>
      <c r="D2562">
        <v>361</v>
      </c>
      <c r="E2562">
        <v>41</v>
      </c>
      <c r="F2562">
        <v>20.5</v>
      </c>
      <c r="G2562">
        <v>188</v>
      </c>
    </row>
    <row r="2563" spans="1:7" ht="15" x14ac:dyDescent="0.25">
      <c r="A2563" t="s">
        <v>21785</v>
      </c>
      <c r="B2563">
        <v>1</v>
      </c>
      <c r="C2563">
        <v>184</v>
      </c>
      <c r="D2563">
        <v>184</v>
      </c>
      <c r="E2563">
        <v>19</v>
      </c>
      <c r="F2563">
        <v>19</v>
      </c>
      <c r="G2563">
        <v>184</v>
      </c>
    </row>
    <row r="2564" spans="1:7" ht="15" x14ac:dyDescent="0.25">
      <c r="A2564" t="s">
        <v>21791</v>
      </c>
      <c r="B2564">
        <v>1</v>
      </c>
      <c r="C2564">
        <v>556</v>
      </c>
      <c r="D2564">
        <v>556</v>
      </c>
      <c r="E2564">
        <v>65</v>
      </c>
      <c r="F2564">
        <v>65</v>
      </c>
      <c r="G2564">
        <v>556</v>
      </c>
    </row>
    <row r="2565" spans="1:7" ht="15" x14ac:dyDescent="0.25">
      <c r="A2565" t="s">
        <v>21798</v>
      </c>
      <c r="B2565">
        <v>1</v>
      </c>
      <c r="C2565">
        <v>113</v>
      </c>
      <c r="D2565">
        <v>113</v>
      </c>
      <c r="E2565">
        <v>18</v>
      </c>
      <c r="F2565">
        <v>18</v>
      </c>
      <c r="G2565">
        <v>113</v>
      </c>
    </row>
    <row r="2566" spans="1:7" ht="15" x14ac:dyDescent="0.25">
      <c r="A2566" t="s">
        <v>21802</v>
      </c>
      <c r="B2566">
        <v>1</v>
      </c>
      <c r="C2566">
        <v>2129</v>
      </c>
      <c r="D2566">
        <v>2129</v>
      </c>
      <c r="E2566">
        <v>11</v>
      </c>
      <c r="F2566">
        <v>11</v>
      </c>
      <c r="G2566">
        <v>2129</v>
      </c>
    </row>
    <row r="2567" spans="1:7" ht="15" x14ac:dyDescent="0.25">
      <c r="A2567" t="s">
        <v>21807</v>
      </c>
      <c r="B2567">
        <v>1</v>
      </c>
      <c r="C2567">
        <v>162</v>
      </c>
      <c r="D2567">
        <v>162</v>
      </c>
      <c r="E2567">
        <v>22</v>
      </c>
      <c r="F2567">
        <v>22</v>
      </c>
      <c r="G2567">
        <v>162</v>
      </c>
    </row>
    <row r="2568" spans="1:7" ht="15" x14ac:dyDescent="0.25">
      <c r="A2568" t="s">
        <v>21815</v>
      </c>
      <c r="B2568">
        <v>1</v>
      </c>
      <c r="C2568">
        <v>407</v>
      </c>
      <c r="D2568">
        <v>407</v>
      </c>
      <c r="E2568">
        <v>63</v>
      </c>
      <c r="F2568">
        <v>63</v>
      </c>
      <c r="G2568">
        <v>407</v>
      </c>
    </row>
    <row r="2569" spans="1:7" ht="15" x14ac:dyDescent="0.25">
      <c r="A2569" t="s">
        <v>21823</v>
      </c>
      <c r="B2569">
        <v>1</v>
      </c>
      <c r="C2569">
        <v>39</v>
      </c>
      <c r="D2569">
        <v>39</v>
      </c>
      <c r="E2569">
        <v>17</v>
      </c>
      <c r="F2569">
        <v>17</v>
      </c>
      <c r="G2569">
        <v>39</v>
      </c>
    </row>
    <row r="2570" spans="1:7" ht="15" x14ac:dyDescent="0.25">
      <c r="A2570" t="s">
        <v>21830</v>
      </c>
      <c r="B2570">
        <v>2</v>
      </c>
      <c r="C2570">
        <v>167</v>
      </c>
      <c r="D2570">
        <v>333</v>
      </c>
      <c r="E2570">
        <v>53</v>
      </c>
      <c r="F2570">
        <v>26.5</v>
      </c>
      <c r="G2570">
        <v>167</v>
      </c>
    </row>
    <row r="2571" spans="1:7" ht="15" x14ac:dyDescent="0.25">
      <c r="A2571" t="s">
        <v>21838</v>
      </c>
      <c r="B2571">
        <v>1</v>
      </c>
      <c r="C2571">
        <v>1766</v>
      </c>
      <c r="D2571">
        <v>1766</v>
      </c>
      <c r="E2571">
        <v>50</v>
      </c>
      <c r="F2571">
        <v>50</v>
      </c>
      <c r="G2571">
        <v>1766</v>
      </c>
    </row>
    <row r="2572" spans="1:7" ht="15" x14ac:dyDescent="0.25">
      <c r="A2572" t="s">
        <v>21842</v>
      </c>
      <c r="B2572">
        <v>1</v>
      </c>
      <c r="C2572">
        <v>4892</v>
      </c>
      <c r="D2572">
        <v>4892</v>
      </c>
      <c r="E2572">
        <v>659</v>
      </c>
      <c r="F2572">
        <v>659</v>
      </c>
      <c r="G2572">
        <v>4892</v>
      </c>
    </row>
    <row r="2573" spans="1:7" ht="15" x14ac:dyDescent="0.25">
      <c r="A2573" t="s">
        <v>21848</v>
      </c>
      <c r="B2573">
        <v>1</v>
      </c>
      <c r="C2573">
        <v>169</v>
      </c>
      <c r="D2573">
        <v>169</v>
      </c>
      <c r="E2573">
        <v>29</v>
      </c>
      <c r="F2573">
        <v>29</v>
      </c>
      <c r="G2573">
        <v>169</v>
      </c>
    </row>
    <row r="2574" spans="1:7" ht="15" x14ac:dyDescent="0.25">
      <c r="A2574" t="s">
        <v>21854</v>
      </c>
      <c r="B2574">
        <v>1</v>
      </c>
      <c r="C2574">
        <v>370</v>
      </c>
      <c r="D2574">
        <v>370</v>
      </c>
      <c r="E2574">
        <v>124</v>
      </c>
      <c r="F2574">
        <v>124</v>
      </c>
      <c r="G2574">
        <v>370</v>
      </c>
    </row>
    <row r="2575" spans="1:7" ht="15" x14ac:dyDescent="0.25">
      <c r="A2575" t="s">
        <v>21861</v>
      </c>
      <c r="B2575">
        <v>2</v>
      </c>
      <c r="C2575">
        <v>225</v>
      </c>
      <c r="D2575">
        <v>466</v>
      </c>
      <c r="E2575">
        <v>35</v>
      </c>
      <c r="F2575">
        <v>17.5</v>
      </c>
      <c r="G2575">
        <v>241</v>
      </c>
    </row>
    <row r="2576" spans="1:7" ht="15" x14ac:dyDescent="0.25">
      <c r="A2576" t="s">
        <v>21866</v>
      </c>
      <c r="B2576">
        <v>1</v>
      </c>
      <c r="C2576">
        <v>296</v>
      </c>
      <c r="D2576">
        <v>296</v>
      </c>
      <c r="E2576">
        <v>57</v>
      </c>
      <c r="F2576">
        <v>57</v>
      </c>
      <c r="G2576">
        <v>296</v>
      </c>
    </row>
    <row r="2577" spans="1:7" ht="15" x14ac:dyDescent="0.25">
      <c r="A2577" t="s">
        <v>21876</v>
      </c>
      <c r="B2577">
        <v>1</v>
      </c>
      <c r="C2577">
        <v>509</v>
      </c>
      <c r="D2577">
        <v>509</v>
      </c>
      <c r="E2577">
        <v>15</v>
      </c>
      <c r="F2577">
        <v>15</v>
      </c>
      <c r="G2577">
        <v>509</v>
      </c>
    </row>
    <row r="2578" spans="1:7" ht="15" x14ac:dyDescent="0.25">
      <c r="A2578" t="s">
        <v>21889</v>
      </c>
      <c r="B2578">
        <v>1</v>
      </c>
      <c r="C2578">
        <v>6252</v>
      </c>
      <c r="D2578">
        <v>6252</v>
      </c>
      <c r="E2578">
        <v>53</v>
      </c>
      <c r="F2578">
        <v>53</v>
      </c>
      <c r="G2578">
        <v>6252</v>
      </c>
    </row>
    <row r="2579" spans="1:7" ht="15" x14ac:dyDescent="0.25">
      <c r="A2579" t="s">
        <v>21893</v>
      </c>
      <c r="B2579">
        <v>1</v>
      </c>
      <c r="C2579">
        <v>1124</v>
      </c>
      <c r="D2579">
        <v>1124</v>
      </c>
      <c r="E2579">
        <v>56</v>
      </c>
      <c r="F2579">
        <v>56</v>
      </c>
      <c r="G2579">
        <v>1124</v>
      </c>
    </row>
    <row r="2580" spans="1:7" ht="15" x14ac:dyDescent="0.25">
      <c r="A2580" t="s">
        <v>21899</v>
      </c>
      <c r="B2580">
        <v>1</v>
      </c>
      <c r="C2580">
        <v>17697</v>
      </c>
      <c r="D2580">
        <v>17697</v>
      </c>
      <c r="E2580">
        <v>176</v>
      </c>
      <c r="F2580">
        <v>176</v>
      </c>
      <c r="G2580">
        <v>17697</v>
      </c>
    </row>
    <row r="2581" spans="1:7" ht="15" x14ac:dyDescent="0.25">
      <c r="A2581" t="s">
        <v>21906</v>
      </c>
      <c r="B2581">
        <v>1</v>
      </c>
      <c r="C2581">
        <v>64</v>
      </c>
      <c r="D2581">
        <v>64</v>
      </c>
      <c r="E2581">
        <v>22</v>
      </c>
      <c r="F2581">
        <v>22</v>
      </c>
      <c r="G2581">
        <v>64</v>
      </c>
    </row>
    <row r="2582" spans="1:7" ht="15" x14ac:dyDescent="0.25">
      <c r="A2582" t="s">
        <v>21917</v>
      </c>
      <c r="B2582">
        <v>1</v>
      </c>
      <c r="C2582">
        <v>132</v>
      </c>
      <c r="D2582">
        <v>132</v>
      </c>
      <c r="E2582">
        <v>24</v>
      </c>
      <c r="F2582">
        <v>24</v>
      </c>
      <c r="G2582">
        <v>132</v>
      </c>
    </row>
    <row r="2583" spans="1:7" ht="15" x14ac:dyDescent="0.25">
      <c r="A2583" t="s">
        <v>21927</v>
      </c>
      <c r="B2583">
        <v>1</v>
      </c>
      <c r="C2583">
        <v>424</v>
      </c>
      <c r="D2583">
        <v>424</v>
      </c>
      <c r="E2583">
        <v>2</v>
      </c>
      <c r="F2583">
        <v>2</v>
      </c>
      <c r="G2583">
        <v>424</v>
      </c>
    </row>
    <row r="2584" spans="1:7" ht="15" x14ac:dyDescent="0.25">
      <c r="A2584" t="s">
        <v>21933</v>
      </c>
      <c r="B2584">
        <v>1</v>
      </c>
      <c r="C2584">
        <v>472</v>
      </c>
      <c r="D2584">
        <v>472</v>
      </c>
      <c r="E2584">
        <v>34</v>
      </c>
      <c r="F2584">
        <v>34</v>
      </c>
      <c r="G2584">
        <v>472</v>
      </c>
    </row>
    <row r="2585" spans="1:7" ht="15" x14ac:dyDescent="0.25">
      <c r="A2585" t="s">
        <v>21944</v>
      </c>
      <c r="B2585">
        <v>1</v>
      </c>
      <c r="C2585">
        <v>226</v>
      </c>
      <c r="D2585">
        <v>226</v>
      </c>
      <c r="E2585">
        <v>7</v>
      </c>
      <c r="F2585">
        <v>7</v>
      </c>
      <c r="G2585">
        <v>226</v>
      </c>
    </row>
    <row r="2586" spans="1:7" ht="15" x14ac:dyDescent="0.25">
      <c r="A2586" t="s">
        <v>21952</v>
      </c>
      <c r="B2586">
        <v>1</v>
      </c>
      <c r="C2586">
        <v>270</v>
      </c>
      <c r="D2586">
        <v>270</v>
      </c>
      <c r="E2586">
        <v>57</v>
      </c>
      <c r="F2586">
        <v>57</v>
      </c>
      <c r="G2586">
        <v>270</v>
      </c>
    </row>
    <row r="2587" spans="1:7" ht="15" x14ac:dyDescent="0.25">
      <c r="A2587" t="s">
        <v>21957</v>
      </c>
      <c r="B2587">
        <v>1</v>
      </c>
      <c r="C2587">
        <v>202</v>
      </c>
      <c r="D2587">
        <v>202</v>
      </c>
      <c r="E2587">
        <v>17</v>
      </c>
      <c r="F2587">
        <v>17</v>
      </c>
      <c r="G2587">
        <v>202</v>
      </c>
    </row>
    <row r="2588" spans="1:7" ht="15" x14ac:dyDescent="0.25">
      <c r="A2588" t="s">
        <v>21962</v>
      </c>
      <c r="B2588">
        <v>1</v>
      </c>
      <c r="C2588">
        <v>151</v>
      </c>
      <c r="D2588">
        <v>151</v>
      </c>
      <c r="E2588">
        <v>7</v>
      </c>
      <c r="F2588">
        <v>7</v>
      </c>
      <c r="G2588">
        <v>151</v>
      </c>
    </row>
    <row r="2589" spans="1:7" ht="15" x14ac:dyDescent="0.25">
      <c r="A2589" t="s">
        <v>21966</v>
      </c>
      <c r="B2589">
        <v>1</v>
      </c>
      <c r="C2589">
        <v>187</v>
      </c>
      <c r="D2589">
        <v>187</v>
      </c>
      <c r="E2589">
        <v>50</v>
      </c>
      <c r="F2589">
        <v>50</v>
      </c>
      <c r="G2589">
        <v>187</v>
      </c>
    </row>
    <row r="2590" spans="1:7" ht="15" x14ac:dyDescent="0.25">
      <c r="A2590" t="s">
        <v>21973</v>
      </c>
      <c r="B2590">
        <v>1</v>
      </c>
      <c r="C2590">
        <v>720</v>
      </c>
      <c r="D2590">
        <v>720</v>
      </c>
      <c r="E2590">
        <v>65</v>
      </c>
      <c r="F2590">
        <v>65</v>
      </c>
      <c r="G2590">
        <v>720</v>
      </c>
    </row>
    <row r="2591" spans="1:7" ht="15" x14ac:dyDescent="0.25">
      <c r="A2591" t="s">
        <v>21984</v>
      </c>
      <c r="B2591">
        <v>1</v>
      </c>
      <c r="C2591">
        <v>396</v>
      </c>
      <c r="D2591">
        <v>396</v>
      </c>
      <c r="E2591">
        <v>23</v>
      </c>
      <c r="F2591">
        <v>23</v>
      </c>
      <c r="G2591">
        <v>396</v>
      </c>
    </row>
    <row r="2592" spans="1:7" ht="15" x14ac:dyDescent="0.25">
      <c r="A2592" t="s">
        <v>21987</v>
      </c>
      <c r="B2592">
        <v>1</v>
      </c>
      <c r="C2592">
        <v>3932</v>
      </c>
      <c r="D2592">
        <v>3932</v>
      </c>
      <c r="E2592">
        <v>47</v>
      </c>
      <c r="F2592">
        <v>47</v>
      </c>
      <c r="G2592">
        <v>3932</v>
      </c>
    </row>
    <row r="2593" spans="1:7" ht="15" x14ac:dyDescent="0.25">
      <c r="A2593" t="s">
        <v>21997</v>
      </c>
      <c r="B2593">
        <v>1</v>
      </c>
      <c r="C2593">
        <v>1069</v>
      </c>
      <c r="D2593">
        <v>1069</v>
      </c>
      <c r="E2593">
        <v>77</v>
      </c>
      <c r="F2593">
        <v>77</v>
      </c>
      <c r="G2593">
        <v>1069</v>
      </c>
    </row>
    <row r="2594" spans="1:7" ht="15" x14ac:dyDescent="0.25">
      <c r="A2594" t="s">
        <v>22005</v>
      </c>
      <c r="B2594">
        <v>1</v>
      </c>
      <c r="C2594">
        <v>267</v>
      </c>
      <c r="D2594">
        <v>267</v>
      </c>
      <c r="E2594">
        <v>22</v>
      </c>
      <c r="F2594">
        <v>22</v>
      </c>
      <c r="G2594">
        <v>267</v>
      </c>
    </row>
    <row r="2595" spans="1:7" ht="15" x14ac:dyDescent="0.25">
      <c r="A2595" t="s">
        <v>22016</v>
      </c>
      <c r="B2595">
        <v>1</v>
      </c>
      <c r="C2595">
        <v>216</v>
      </c>
      <c r="D2595">
        <v>216</v>
      </c>
      <c r="E2595">
        <v>13</v>
      </c>
      <c r="F2595">
        <v>13</v>
      </c>
      <c r="G2595">
        <v>216</v>
      </c>
    </row>
    <row r="2596" spans="1:7" ht="15" x14ac:dyDescent="0.25">
      <c r="A2596" t="s">
        <v>22022</v>
      </c>
      <c r="B2596">
        <v>1</v>
      </c>
      <c r="C2596">
        <v>713</v>
      </c>
      <c r="D2596">
        <v>713</v>
      </c>
      <c r="E2596">
        <v>68</v>
      </c>
      <c r="F2596">
        <v>68</v>
      </c>
      <c r="G2596">
        <v>713</v>
      </c>
    </row>
    <row r="2597" spans="1:7" ht="15" x14ac:dyDescent="0.25">
      <c r="A2597" t="s">
        <v>22032</v>
      </c>
      <c r="B2597">
        <v>1</v>
      </c>
      <c r="C2597">
        <v>10056</v>
      </c>
      <c r="D2597">
        <v>10056</v>
      </c>
      <c r="E2597">
        <v>70</v>
      </c>
      <c r="F2597">
        <v>70</v>
      </c>
      <c r="G2597">
        <v>10056</v>
      </c>
    </row>
    <row r="2598" spans="1:7" ht="15" x14ac:dyDescent="0.25">
      <c r="A2598" t="s">
        <v>22039</v>
      </c>
      <c r="B2598">
        <v>1</v>
      </c>
      <c r="C2598">
        <v>336</v>
      </c>
      <c r="D2598">
        <v>336</v>
      </c>
      <c r="E2598">
        <v>16</v>
      </c>
      <c r="F2598">
        <v>16</v>
      </c>
      <c r="G2598">
        <v>336</v>
      </c>
    </row>
    <row r="2599" spans="1:7" ht="15" x14ac:dyDescent="0.25">
      <c r="A2599" t="s">
        <v>22057</v>
      </c>
      <c r="B2599">
        <v>1</v>
      </c>
      <c r="C2599">
        <v>606</v>
      </c>
      <c r="D2599">
        <v>606</v>
      </c>
      <c r="E2599">
        <v>193</v>
      </c>
      <c r="F2599">
        <v>193</v>
      </c>
      <c r="G2599">
        <v>606</v>
      </c>
    </row>
    <row r="2600" spans="1:7" ht="15" x14ac:dyDescent="0.25">
      <c r="A2600" t="s">
        <v>22061</v>
      </c>
      <c r="B2600">
        <v>1</v>
      </c>
      <c r="D2600">
        <v>0</v>
      </c>
      <c r="E2600">
        <v>12</v>
      </c>
      <c r="F2600">
        <v>12</v>
      </c>
    </row>
    <row r="2601" spans="1:7" ht="15" x14ac:dyDescent="0.25">
      <c r="A2601" t="s">
        <v>22068</v>
      </c>
      <c r="B2601">
        <v>1</v>
      </c>
      <c r="C2601">
        <v>129</v>
      </c>
      <c r="D2601">
        <v>129</v>
      </c>
      <c r="E2601">
        <v>27</v>
      </c>
      <c r="F2601">
        <v>27</v>
      </c>
      <c r="G2601">
        <v>129</v>
      </c>
    </row>
    <row r="2602" spans="1:7" ht="15" x14ac:dyDescent="0.25">
      <c r="A2602" t="s">
        <v>22090</v>
      </c>
      <c r="B2602">
        <v>1</v>
      </c>
      <c r="C2602">
        <v>340</v>
      </c>
      <c r="D2602">
        <v>340</v>
      </c>
      <c r="E2602">
        <v>76</v>
      </c>
      <c r="F2602">
        <v>76</v>
      </c>
      <c r="G2602">
        <v>340</v>
      </c>
    </row>
    <row r="2603" spans="1:7" ht="15" x14ac:dyDescent="0.25">
      <c r="A2603" t="s">
        <v>22094</v>
      </c>
      <c r="B2603">
        <v>1</v>
      </c>
      <c r="C2603">
        <v>347</v>
      </c>
      <c r="D2603">
        <v>347</v>
      </c>
      <c r="E2603">
        <v>19</v>
      </c>
      <c r="F2603">
        <v>19</v>
      </c>
      <c r="G2603">
        <v>347</v>
      </c>
    </row>
    <row r="2604" spans="1:7" ht="15" x14ac:dyDescent="0.25">
      <c r="A2604" t="s">
        <v>22099</v>
      </c>
      <c r="B2604">
        <v>1</v>
      </c>
      <c r="C2604">
        <v>3951</v>
      </c>
      <c r="D2604">
        <v>3951</v>
      </c>
      <c r="E2604">
        <v>238</v>
      </c>
      <c r="F2604">
        <v>238</v>
      </c>
      <c r="G2604">
        <v>3951</v>
      </c>
    </row>
    <row r="2605" spans="1:7" ht="15" x14ac:dyDescent="0.25">
      <c r="A2605" t="s">
        <v>22102</v>
      </c>
      <c r="B2605">
        <v>1</v>
      </c>
      <c r="C2605">
        <v>226</v>
      </c>
      <c r="D2605">
        <v>226</v>
      </c>
      <c r="E2605">
        <v>26</v>
      </c>
      <c r="F2605">
        <v>26</v>
      </c>
      <c r="G2605">
        <v>226</v>
      </c>
    </row>
    <row r="2606" spans="1:7" ht="15" x14ac:dyDescent="0.25">
      <c r="A2606" t="s">
        <v>22110</v>
      </c>
      <c r="B2606">
        <v>1</v>
      </c>
      <c r="C2606">
        <v>348</v>
      </c>
      <c r="D2606">
        <v>348</v>
      </c>
      <c r="E2606">
        <v>26</v>
      </c>
      <c r="F2606">
        <v>26</v>
      </c>
      <c r="G2606">
        <v>348</v>
      </c>
    </row>
    <row r="2607" spans="1:7" ht="15" x14ac:dyDescent="0.25">
      <c r="A2607" t="s">
        <v>22118</v>
      </c>
      <c r="B2607">
        <v>1</v>
      </c>
      <c r="C2607">
        <v>261</v>
      </c>
      <c r="D2607">
        <v>261</v>
      </c>
      <c r="E2607">
        <v>29</v>
      </c>
      <c r="F2607">
        <v>29</v>
      </c>
      <c r="G2607">
        <v>261</v>
      </c>
    </row>
    <row r="2608" spans="1:7" ht="15" x14ac:dyDescent="0.25">
      <c r="A2608" t="s">
        <v>22121</v>
      </c>
      <c r="B2608">
        <v>1</v>
      </c>
      <c r="C2608">
        <v>87</v>
      </c>
      <c r="D2608">
        <v>87</v>
      </c>
      <c r="E2608">
        <v>10</v>
      </c>
      <c r="F2608">
        <v>10</v>
      </c>
      <c r="G2608">
        <v>87</v>
      </c>
    </row>
    <row r="2609" spans="1:7" ht="15" x14ac:dyDescent="0.25">
      <c r="A2609" t="s">
        <v>22129</v>
      </c>
      <c r="B2609">
        <v>1</v>
      </c>
      <c r="C2609">
        <v>176</v>
      </c>
      <c r="D2609">
        <v>176</v>
      </c>
      <c r="E2609">
        <v>6</v>
      </c>
      <c r="F2609">
        <v>6</v>
      </c>
      <c r="G2609">
        <v>176</v>
      </c>
    </row>
    <row r="2610" spans="1:7" ht="15" x14ac:dyDescent="0.25">
      <c r="A2610" t="s">
        <v>22135</v>
      </c>
      <c r="B2610">
        <v>1</v>
      </c>
      <c r="C2610">
        <v>1039</v>
      </c>
      <c r="D2610">
        <v>1039</v>
      </c>
      <c r="E2610">
        <v>67</v>
      </c>
      <c r="F2610">
        <v>67</v>
      </c>
      <c r="G2610">
        <v>1039</v>
      </c>
    </row>
    <row r="2611" spans="1:7" ht="15" x14ac:dyDescent="0.25">
      <c r="A2611" t="s">
        <v>22141</v>
      </c>
      <c r="B2611">
        <v>1</v>
      </c>
      <c r="C2611">
        <v>136</v>
      </c>
      <c r="D2611">
        <v>136</v>
      </c>
      <c r="E2611">
        <v>4</v>
      </c>
      <c r="F2611">
        <v>4</v>
      </c>
      <c r="G2611">
        <v>136</v>
      </c>
    </row>
    <row r="2612" spans="1:7" ht="15" x14ac:dyDescent="0.25">
      <c r="A2612" t="s">
        <v>22145</v>
      </c>
      <c r="B2612">
        <v>1</v>
      </c>
      <c r="C2612">
        <v>564</v>
      </c>
      <c r="D2612">
        <v>564</v>
      </c>
      <c r="E2612">
        <v>39</v>
      </c>
      <c r="F2612">
        <v>39</v>
      </c>
      <c r="G2612">
        <v>564</v>
      </c>
    </row>
    <row r="2613" spans="1:7" ht="15" x14ac:dyDescent="0.25">
      <c r="A2613" t="s">
        <v>22150</v>
      </c>
      <c r="B2613">
        <v>1</v>
      </c>
      <c r="C2613">
        <v>98</v>
      </c>
      <c r="D2613">
        <v>98</v>
      </c>
      <c r="E2613">
        <v>29</v>
      </c>
      <c r="F2613">
        <v>29</v>
      </c>
      <c r="G2613">
        <v>98</v>
      </c>
    </row>
    <row r="2614" spans="1:7" ht="15" x14ac:dyDescent="0.25">
      <c r="A2614" t="s">
        <v>22156</v>
      </c>
      <c r="B2614">
        <v>1</v>
      </c>
      <c r="C2614">
        <v>185</v>
      </c>
      <c r="D2614">
        <v>185</v>
      </c>
      <c r="E2614">
        <v>9</v>
      </c>
      <c r="F2614">
        <v>9</v>
      </c>
      <c r="G2614">
        <v>185</v>
      </c>
    </row>
    <row r="2615" spans="1:7" ht="15" x14ac:dyDescent="0.25">
      <c r="A2615" t="s">
        <v>22161</v>
      </c>
      <c r="B2615">
        <v>1</v>
      </c>
      <c r="C2615">
        <v>1167</v>
      </c>
      <c r="D2615">
        <v>1167</v>
      </c>
      <c r="E2615">
        <v>225</v>
      </c>
      <c r="F2615">
        <v>225</v>
      </c>
      <c r="G2615">
        <v>1167</v>
      </c>
    </row>
    <row r="2616" spans="1:7" ht="15" x14ac:dyDescent="0.25">
      <c r="A2616" t="s">
        <v>22167</v>
      </c>
      <c r="B2616">
        <v>1</v>
      </c>
      <c r="C2616">
        <v>214</v>
      </c>
      <c r="D2616">
        <v>214</v>
      </c>
      <c r="E2616">
        <v>10</v>
      </c>
      <c r="F2616">
        <v>10</v>
      </c>
      <c r="G2616">
        <v>214</v>
      </c>
    </row>
    <row r="2617" spans="1:7" ht="15" x14ac:dyDescent="0.25">
      <c r="A2617" t="s">
        <v>22179</v>
      </c>
      <c r="B2617">
        <v>1</v>
      </c>
      <c r="C2617">
        <v>329</v>
      </c>
      <c r="D2617">
        <v>329</v>
      </c>
      <c r="E2617">
        <v>79</v>
      </c>
      <c r="F2617">
        <v>79</v>
      </c>
      <c r="G2617">
        <v>329</v>
      </c>
    </row>
    <row r="2618" spans="1:7" ht="15" x14ac:dyDescent="0.25">
      <c r="A2618" t="s">
        <v>22188</v>
      </c>
      <c r="B2618">
        <v>1</v>
      </c>
      <c r="C2618">
        <v>250</v>
      </c>
      <c r="D2618">
        <v>250</v>
      </c>
      <c r="E2618">
        <v>36</v>
      </c>
      <c r="F2618">
        <v>36</v>
      </c>
      <c r="G2618">
        <v>250</v>
      </c>
    </row>
    <row r="2619" spans="1:7" ht="15" x14ac:dyDescent="0.25">
      <c r="A2619" t="s">
        <v>22195</v>
      </c>
      <c r="B2619">
        <v>1</v>
      </c>
      <c r="C2619">
        <v>12003</v>
      </c>
      <c r="D2619">
        <v>12003</v>
      </c>
      <c r="E2619">
        <v>93</v>
      </c>
      <c r="F2619">
        <v>93</v>
      </c>
      <c r="G2619">
        <v>12003</v>
      </c>
    </row>
    <row r="2620" spans="1:7" ht="15" x14ac:dyDescent="0.25">
      <c r="A2620" t="s">
        <v>22201</v>
      </c>
      <c r="B2620">
        <v>2</v>
      </c>
      <c r="C2620">
        <v>785</v>
      </c>
      <c r="D2620">
        <v>1563</v>
      </c>
      <c r="E2620">
        <v>121</v>
      </c>
      <c r="F2620">
        <v>60.5</v>
      </c>
      <c r="G2620">
        <v>785</v>
      </c>
    </row>
    <row r="2621" spans="1:7" ht="15" x14ac:dyDescent="0.25">
      <c r="A2621" t="s">
        <v>22209</v>
      </c>
      <c r="B2621">
        <v>1</v>
      </c>
      <c r="C2621">
        <v>169</v>
      </c>
      <c r="D2621">
        <v>169</v>
      </c>
      <c r="E2621">
        <v>19</v>
      </c>
      <c r="F2621">
        <v>19</v>
      </c>
      <c r="G2621">
        <v>169</v>
      </c>
    </row>
    <row r="2622" spans="1:7" ht="15" x14ac:dyDescent="0.25">
      <c r="A2622" t="s">
        <v>22214</v>
      </c>
      <c r="B2622">
        <v>1</v>
      </c>
      <c r="C2622">
        <v>921</v>
      </c>
      <c r="D2622">
        <v>921</v>
      </c>
      <c r="E2622">
        <v>33</v>
      </c>
      <c r="F2622">
        <v>33</v>
      </c>
      <c r="G2622">
        <v>921</v>
      </c>
    </row>
    <row r="2623" spans="1:7" ht="15" x14ac:dyDescent="0.25">
      <c r="A2623" t="s">
        <v>22221</v>
      </c>
      <c r="B2623">
        <v>1</v>
      </c>
      <c r="C2623">
        <v>353</v>
      </c>
      <c r="D2623">
        <v>353</v>
      </c>
      <c r="E2623">
        <v>33</v>
      </c>
      <c r="F2623">
        <v>33</v>
      </c>
      <c r="G2623">
        <v>353</v>
      </c>
    </row>
    <row r="2624" spans="1:7" ht="15" x14ac:dyDescent="0.25">
      <c r="A2624" t="s">
        <v>22227</v>
      </c>
      <c r="B2624">
        <v>1</v>
      </c>
      <c r="C2624">
        <v>2</v>
      </c>
      <c r="D2624">
        <v>2</v>
      </c>
      <c r="E2624">
        <v>2</v>
      </c>
      <c r="F2624">
        <v>2</v>
      </c>
      <c r="G2624">
        <v>2</v>
      </c>
    </row>
    <row r="2625" spans="1:7" ht="15" x14ac:dyDescent="0.25">
      <c r="A2625" t="s">
        <v>22233</v>
      </c>
      <c r="B2625">
        <v>1</v>
      </c>
      <c r="C2625">
        <v>142</v>
      </c>
      <c r="D2625">
        <v>142</v>
      </c>
      <c r="E2625">
        <v>121</v>
      </c>
      <c r="F2625">
        <v>121</v>
      </c>
      <c r="G2625">
        <v>142</v>
      </c>
    </row>
    <row r="2626" spans="1:7" ht="15" x14ac:dyDescent="0.25">
      <c r="A2626" t="s">
        <v>22238</v>
      </c>
      <c r="B2626">
        <v>1</v>
      </c>
      <c r="C2626">
        <v>1044</v>
      </c>
      <c r="D2626">
        <v>1044</v>
      </c>
      <c r="E2626">
        <v>37</v>
      </c>
      <c r="F2626">
        <v>37</v>
      </c>
      <c r="G2626">
        <v>1044</v>
      </c>
    </row>
    <row r="2627" spans="1:7" ht="15" x14ac:dyDescent="0.25">
      <c r="A2627" t="s">
        <v>22247</v>
      </c>
      <c r="B2627">
        <v>1</v>
      </c>
      <c r="C2627">
        <v>793</v>
      </c>
      <c r="D2627">
        <v>793</v>
      </c>
      <c r="E2627">
        <v>142</v>
      </c>
      <c r="F2627">
        <v>142</v>
      </c>
      <c r="G2627">
        <v>793</v>
      </c>
    </row>
    <row r="2628" spans="1:7" ht="15" x14ac:dyDescent="0.25">
      <c r="A2628" t="s">
        <v>22254</v>
      </c>
      <c r="B2628">
        <v>1</v>
      </c>
      <c r="C2628">
        <v>133</v>
      </c>
      <c r="D2628">
        <v>133</v>
      </c>
      <c r="E2628">
        <v>25</v>
      </c>
      <c r="F2628">
        <v>25</v>
      </c>
      <c r="G2628">
        <v>133</v>
      </c>
    </row>
    <row r="2629" spans="1:7" ht="15" x14ac:dyDescent="0.25">
      <c r="A2629" t="s">
        <v>22265</v>
      </c>
      <c r="B2629">
        <v>1</v>
      </c>
      <c r="C2629">
        <v>131</v>
      </c>
      <c r="D2629">
        <v>131</v>
      </c>
      <c r="E2629">
        <v>9</v>
      </c>
      <c r="F2629">
        <v>9</v>
      </c>
      <c r="G2629">
        <v>131</v>
      </c>
    </row>
    <row r="2630" spans="1:7" ht="15" x14ac:dyDescent="0.25">
      <c r="A2630" t="s">
        <v>22288</v>
      </c>
      <c r="B2630">
        <v>1</v>
      </c>
      <c r="C2630">
        <v>546</v>
      </c>
      <c r="D2630">
        <v>546</v>
      </c>
      <c r="E2630">
        <v>45</v>
      </c>
      <c r="F2630">
        <v>45</v>
      </c>
      <c r="G2630">
        <v>546</v>
      </c>
    </row>
    <row r="2631" spans="1:7" ht="15" x14ac:dyDescent="0.25">
      <c r="A2631" t="s">
        <v>22292</v>
      </c>
      <c r="B2631">
        <v>1</v>
      </c>
      <c r="C2631">
        <v>433</v>
      </c>
      <c r="D2631">
        <v>433</v>
      </c>
      <c r="E2631">
        <v>15</v>
      </c>
      <c r="F2631">
        <v>15</v>
      </c>
      <c r="G2631">
        <v>433</v>
      </c>
    </row>
    <row r="2632" spans="1:7" ht="15" x14ac:dyDescent="0.25">
      <c r="A2632" t="s">
        <v>22298</v>
      </c>
      <c r="B2632">
        <v>1</v>
      </c>
      <c r="C2632">
        <v>195</v>
      </c>
      <c r="D2632">
        <v>195</v>
      </c>
      <c r="E2632">
        <v>56</v>
      </c>
      <c r="F2632">
        <v>56</v>
      </c>
      <c r="G2632">
        <v>195</v>
      </c>
    </row>
    <row r="2633" spans="1:7" ht="15" x14ac:dyDescent="0.25">
      <c r="A2633" t="s">
        <v>22303</v>
      </c>
      <c r="B2633">
        <v>1</v>
      </c>
      <c r="C2633">
        <v>2440</v>
      </c>
      <c r="D2633">
        <v>2440</v>
      </c>
      <c r="E2633">
        <v>191</v>
      </c>
      <c r="F2633">
        <v>191</v>
      </c>
      <c r="G2633">
        <v>2440</v>
      </c>
    </row>
    <row r="2634" spans="1:7" ht="15" x14ac:dyDescent="0.25">
      <c r="A2634" t="s">
        <v>22310</v>
      </c>
      <c r="B2634">
        <v>1</v>
      </c>
      <c r="C2634">
        <v>382</v>
      </c>
      <c r="D2634">
        <v>382</v>
      </c>
      <c r="E2634">
        <v>37</v>
      </c>
      <c r="F2634">
        <v>37</v>
      </c>
      <c r="G2634">
        <v>382</v>
      </c>
    </row>
    <row r="2635" spans="1:7" ht="15" x14ac:dyDescent="0.25">
      <c r="A2635" t="s">
        <v>22315</v>
      </c>
      <c r="B2635">
        <v>1</v>
      </c>
      <c r="C2635">
        <v>339</v>
      </c>
      <c r="D2635">
        <v>339</v>
      </c>
      <c r="E2635">
        <v>47</v>
      </c>
      <c r="F2635">
        <v>47</v>
      </c>
      <c r="G2635">
        <v>339</v>
      </c>
    </row>
    <row r="2636" spans="1:7" ht="15" x14ac:dyDescent="0.25">
      <c r="A2636" t="s">
        <v>22330</v>
      </c>
      <c r="B2636">
        <v>1</v>
      </c>
      <c r="C2636">
        <v>396</v>
      </c>
      <c r="D2636">
        <v>396</v>
      </c>
      <c r="E2636">
        <v>25</v>
      </c>
      <c r="F2636">
        <v>25</v>
      </c>
      <c r="G2636">
        <v>396</v>
      </c>
    </row>
    <row r="2637" spans="1:7" ht="15" x14ac:dyDescent="0.25">
      <c r="A2637" t="s">
        <v>22336</v>
      </c>
      <c r="B2637">
        <v>1</v>
      </c>
      <c r="C2637">
        <v>61</v>
      </c>
      <c r="D2637">
        <v>61</v>
      </c>
      <c r="E2637">
        <v>12</v>
      </c>
      <c r="F2637">
        <v>12</v>
      </c>
      <c r="G2637">
        <v>61</v>
      </c>
    </row>
    <row r="2638" spans="1:7" ht="15" x14ac:dyDescent="0.25">
      <c r="A2638" t="s">
        <v>22341</v>
      </c>
      <c r="B2638">
        <v>1</v>
      </c>
      <c r="C2638">
        <v>1326</v>
      </c>
      <c r="D2638">
        <v>1326</v>
      </c>
      <c r="E2638">
        <v>26</v>
      </c>
      <c r="F2638">
        <v>26</v>
      </c>
      <c r="G2638">
        <v>1326</v>
      </c>
    </row>
    <row r="2639" spans="1:7" ht="15" x14ac:dyDescent="0.25">
      <c r="A2639" t="s">
        <v>22358</v>
      </c>
      <c r="B2639">
        <v>1</v>
      </c>
      <c r="C2639">
        <v>377</v>
      </c>
      <c r="D2639">
        <v>377</v>
      </c>
      <c r="E2639">
        <v>46</v>
      </c>
      <c r="F2639">
        <v>46</v>
      </c>
      <c r="G2639">
        <v>377</v>
      </c>
    </row>
    <row r="2640" spans="1:7" ht="15" x14ac:dyDescent="0.25">
      <c r="A2640" t="s">
        <v>22372</v>
      </c>
      <c r="B2640">
        <v>1</v>
      </c>
      <c r="C2640">
        <v>440</v>
      </c>
      <c r="D2640">
        <v>440</v>
      </c>
      <c r="E2640">
        <v>30</v>
      </c>
      <c r="F2640">
        <v>30</v>
      </c>
      <c r="G2640">
        <v>440</v>
      </c>
    </row>
    <row r="2641" spans="1:7" ht="15" x14ac:dyDescent="0.25">
      <c r="A2641" t="s">
        <v>22387</v>
      </c>
      <c r="B2641">
        <v>1</v>
      </c>
      <c r="C2641">
        <v>1043</v>
      </c>
      <c r="D2641">
        <v>1043</v>
      </c>
      <c r="E2641">
        <v>112</v>
      </c>
      <c r="F2641">
        <v>112</v>
      </c>
      <c r="G2641">
        <v>1043</v>
      </c>
    </row>
    <row r="2642" spans="1:7" ht="15" x14ac:dyDescent="0.25">
      <c r="A2642" t="s">
        <v>22402</v>
      </c>
      <c r="B2642">
        <v>1</v>
      </c>
      <c r="C2642">
        <v>52</v>
      </c>
      <c r="D2642">
        <v>52</v>
      </c>
      <c r="E2642">
        <v>6</v>
      </c>
      <c r="F2642">
        <v>6</v>
      </c>
      <c r="G2642">
        <v>52</v>
      </c>
    </row>
    <row r="2643" spans="1:7" ht="15" x14ac:dyDescent="0.25">
      <c r="A2643" t="s">
        <v>22405</v>
      </c>
      <c r="B2643">
        <v>1</v>
      </c>
      <c r="C2643">
        <v>380</v>
      </c>
      <c r="D2643">
        <v>380</v>
      </c>
      <c r="E2643">
        <v>27</v>
      </c>
      <c r="F2643">
        <v>27</v>
      </c>
      <c r="G2643">
        <v>380</v>
      </c>
    </row>
    <row r="2644" spans="1:7" ht="15" x14ac:dyDescent="0.25">
      <c r="A2644" t="s">
        <v>22414</v>
      </c>
      <c r="B2644">
        <v>1</v>
      </c>
      <c r="C2644">
        <v>110</v>
      </c>
      <c r="D2644">
        <v>110</v>
      </c>
      <c r="E2644">
        <v>7</v>
      </c>
      <c r="F2644">
        <v>7</v>
      </c>
      <c r="G2644">
        <v>110</v>
      </c>
    </row>
    <row r="2645" spans="1:7" ht="15" x14ac:dyDescent="0.25">
      <c r="A2645" t="s">
        <v>22430</v>
      </c>
      <c r="B2645">
        <v>1</v>
      </c>
      <c r="C2645">
        <v>103</v>
      </c>
      <c r="D2645">
        <v>103</v>
      </c>
      <c r="E2645">
        <v>17</v>
      </c>
      <c r="F2645">
        <v>17</v>
      </c>
      <c r="G2645">
        <v>103</v>
      </c>
    </row>
    <row r="2646" spans="1:7" ht="15" x14ac:dyDescent="0.25">
      <c r="A2646" t="s">
        <v>22438</v>
      </c>
      <c r="B2646">
        <v>1</v>
      </c>
      <c r="C2646">
        <v>0</v>
      </c>
      <c r="D2646">
        <v>0</v>
      </c>
      <c r="E2646">
        <v>1</v>
      </c>
      <c r="F2646">
        <v>1</v>
      </c>
      <c r="G2646">
        <v>0</v>
      </c>
    </row>
    <row r="2647" spans="1:7" ht="15" x14ac:dyDescent="0.25">
      <c r="A2647" t="s">
        <v>22442</v>
      </c>
      <c r="B2647">
        <v>1</v>
      </c>
      <c r="C2647">
        <v>1598</v>
      </c>
      <c r="D2647">
        <v>1598</v>
      </c>
      <c r="E2647">
        <v>86</v>
      </c>
      <c r="F2647">
        <v>86</v>
      </c>
      <c r="G2647">
        <v>1598</v>
      </c>
    </row>
    <row r="2648" spans="1:7" ht="15" x14ac:dyDescent="0.25">
      <c r="A2648" t="s">
        <v>22456</v>
      </c>
      <c r="B2648">
        <v>1</v>
      </c>
      <c r="C2648">
        <v>322</v>
      </c>
      <c r="D2648">
        <v>322</v>
      </c>
      <c r="E2648">
        <v>8</v>
      </c>
      <c r="F2648">
        <v>8</v>
      </c>
      <c r="G2648">
        <v>322</v>
      </c>
    </row>
    <row r="2649" spans="1:7" ht="15" x14ac:dyDescent="0.25">
      <c r="A2649" t="s">
        <v>22460</v>
      </c>
      <c r="B2649">
        <v>1</v>
      </c>
      <c r="C2649">
        <v>315</v>
      </c>
      <c r="D2649">
        <v>315</v>
      </c>
      <c r="E2649">
        <v>22</v>
      </c>
      <c r="F2649">
        <v>22</v>
      </c>
      <c r="G2649">
        <v>315</v>
      </c>
    </row>
    <row r="2650" spans="1:7" ht="15" x14ac:dyDescent="0.25">
      <c r="A2650" t="s">
        <v>22466</v>
      </c>
      <c r="B2650">
        <v>1</v>
      </c>
      <c r="C2650">
        <v>580</v>
      </c>
      <c r="D2650">
        <v>580</v>
      </c>
      <c r="E2650">
        <v>72</v>
      </c>
      <c r="F2650">
        <v>72</v>
      </c>
      <c r="G2650">
        <v>580</v>
      </c>
    </row>
    <row r="2651" spans="1:7" ht="15" x14ac:dyDescent="0.25">
      <c r="A2651" t="s">
        <v>22474</v>
      </c>
      <c r="B2651">
        <v>1</v>
      </c>
      <c r="C2651">
        <v>167</v>
      </c>
      <c r="D2651">
        <v>167</v>
      </c>
      <c r="E2651">
        <v>14</v>
      </c>
      <c r="F2651">
        <v>14</v>
      </c>
      <c r="G2651">
        <v>167</v>
      </c>
    </row>
    <row r="2652" spans="1:7" ht="15" x14ac:dyDescent="0.25">
      <c r="A2652" t="s">
        <v>22482</v>
      </c>
      <c r="B2652">
        <v>1</v>
      </c>
      <c r="C2652">
        <v>1525</v>
      </c>
      <c r="D2652">
        <v>1525</v>
      </c>
      <c r="E2652">
        <v>132</v>
      </c>
      <c r="F2652">
        <v>132</v>
      </c>
      <c r="G2652">
        <v>1525</v>
      </c>
    </row>
    <row r="2653" spans="1:7" ht="15" x14ac:dyDescent="0.25">
      <c r="A2653" t="s">
        <v>22494</v>
      </c>
      <c r="B2653">
        <v>1</v>
      </c>
      <c r="C2653">
        <v>655</v>
      </c>
      <c r="D2653">
        <v>655</v>
      </c>
      <c r="E2653">
        <v>59</v>
      </c>
      <c r="F2653">
        <v>59</v>
      </c>
      <c r="G2653">
        <v>655</v>
      </c>
    </row>
    <row r="2654" spans="1:7" ht="15" x14ac:dyDescent="0.25">
      <c r="A2654" t="s">
        <v>22500</v>
      </c>
      <c r="B2654">
        <v>1</v>
      </c>
      <c r="C2654">
        <v>182</v>
      </c>
      <c r="D2654">
        <v>182</v>
      </c>
      <c r="E2654">
        <v>21</v>
      </c>
      <c r="F2654">
        <v>21</v>
      </c>
      <c r="G2654">
        <v>182</v>
      </c>
    </row>
    <row r="2655" spans="1:7" ht="15" x14ac:dyDescent="0.25">
      <c r="A2655" t="s">
        <v>22510</v>
      </c>
      <c r="B2655">
        <v>2</v>
      </c>
      <c r="C2655">
        <v>359</v>
      </c>
      <c r="D2655">
        <v>359</v>
      </c>
      <c r="E2655">
        <v>46</v>
      </c>
      <c r="F2655">
        <v>23</v>
      </c>
      <c r="G2655">
        <v>359</v>
      </c>
    </row>
    <row r="2656" spans="1:7" ht="15" x14ac:dyDescent="0.25">
      <c r="A2656" t="s">
        <v>22518</v>
      </c>
      <c r="B2656">
        <v>3</v>
      </c>
      <c r="C2656">
        <v>260</v>
      </c>
      <c r="D2656">
        <v>741</v>
      </c>
      <c r="E2656">
        <v>167</v>
      </c>
      <c r="F2656">
        <v>55.666666666666664</v>
      </c>
      <c r="G2656">
        <v>260</v>
      </c>
    </row>
    <row r="2657" spans="1:7" ht="15" x14ac:dyDescent="0.25">
      <c r="A2657" t="s">
        <v>22524</v>
      </c>
      <c r="B2657">
        <v>1</v>
      </c>
      <c r="C2657">
        <v>839</v>
      </c>
      <c r="D2657">
        <v>839</v>
      </c>
      <c r="E2657">
        <v>67</v>
      </c>
      <c r="F2657">
        <v>67</v>
      </c>
      <c r="G2657">
        <v>839</v>
      </c>
    </row>
    <row r="2658" spans="1:7" ht="15" x14ac:dyDescent="0.25">
      <c r="A2658" t="s">
        <v>22528</v>
      </c>
      <c r="B2658">
        <v>1</v>
      </c>
      <c r="C2658">
        <v>110</v>
      </c>
      <c r="D2658">
        <v>110</v>
      </c>
      <c r="E2658">
        <v>4</v>
      </c>
      <c r="F2658">
        <v>4</v>
      </c>
      <c r="G2658">
        <v>110</v>
      </c>
    </row>
    <row r="2659" spans="1:7" ht="15" x14ac:dyDescent="0.25">
      <c r="A2659" t="s">
        <v>22546</v>
      </c>
      <c r="B2659">
        <v>1</v>
      </c>
      <c r="C2659">
        <v>241</v>
      </c>
      <c r="D2659">
        <v>241</v>
      </c>
      <c r="E2659">
        <v>17</v>
      </c>
      <c r="F2659">
        <v>17</v>
      </c>
      <c r="G2659">
        <v>241</v>
      </c>
    </row>
    <row r="2660" spans="1:7" ht="15" x14ac:dyDescent="0.25">
      <c r="A2660" t="s">
        <v>22553</v>
      </c>
      <c r="B2660">
        <v>1</v>
      </c>
      <c r="C2660">
        <v>205</v>
      </c>
      <c r="D2660">
        <v>205</v>
      </c>
      <c r="E2660">
        <v>23</v>
      </c>
      <c r="F2660">
        <v>23</v>
      </c>
      <c r="G2660">
        <v>205</v>
      </c>
    </row>
    <row r="2661" spans="1:7" ht="15" x14ac:dyDescent="0.25">
      <c r="A2661" t="s">
        <v>22563</v>
      </c>
      <c r="B2661">
        <v>2</v>
      </c>
      <c r="C2661">
        <v>6167</v>
      </c>
      <c r="D2661">
        <v>12294</v>
      </c>
      <c r="E2661">
        <v>766</v>
      </c>
      <c r="F2661">
        <v>383</v>
      </c>
      <c r="G2661">
        <v>6167</v>
      </c>
    </row>
    <row r="2662" spans="1:7" ht="15" x14ac:dyDescent="0.25">
      <c r="A2662" t="s">
        <v>22568</v>
      </c>
      <c r="B2662">
        <v>1</v>
      </c>
      <c r="C2662">
        <v>226</v>
      </c>
      <c r="D2662">
        <v>226</v>
      </c>
      <c r="E2662">
        <v>25</v>
      </c>
      <c r="F2662">
        <v>25</v>
      </c>
      <c r="G2662">
        <v>226</v>
      </c>
    </row>
    <row r="2663" spans="1:7" ht="15" x14ac:dyDescent="0.25">
      <c r="A2663" t="s">
        <v>22572</v>
      </c>
      <c r="B2663">
        <v>1</v>
      </c>
      <c r="C2663">
        <v>903</v>
      </c>
      <c r="D2663">
        <v>903</v>
      </c>
      <c r="E2663">
        <v>15</v>
      </c>
      <c r="F2663">
        <v>15</v>
      </c>
      <c r="G2663">
        <v>903</v>
      </c>
    </row>
    <row r="2664" spans="1:7" ht="15" x14ac:dyDescent="0.25">
      <c r="A2664" t="s">
        <v>22578</v>
      </c>
      <c r="B2664">
        <v>2</v>
      </c>
      <c r="C2664">
        <v>191</v>
      </c>
      <c r="D2664">
        <v>382</v>
      </c>
      <c r="E2664">
        <v>90</v>
      </c>
      <c r="F2664">
        <v>45</v>
      </c>
      <c r="G2664">
        <v>191</v>
      </c>
    </row>
    <row r="2665" spans="1:7" ht="15" x14ac:dyDescent="0.25">
      <c r="A2665" t="s">
        <v>22585</v>
      </c>
      <c r="B2665">
        <v>1</v>
      </c>
      <c r="C2665">
        <v>4267</v>
      </c>
      <c r="D2665">
        <v>4267</v>
      </c>
      <c r="E2665">
        <v>89</v>
      </c>
      <c r="F2665">
        <v>89</v>
      </c>
      <c r="G2665">
        <v>4267</v>
      </c>
    </row>
    <row r="2666" spans="1:7" ht="15" x14ac:dyDescent="0.25">
      <c r="A2666" t="s">
        <v>22592</v>
      </c>
      <c r="B2666">
        <v>1</v>
      </c>
      <c r="C2666">
        <v>2447</v>
      </c>
      <c r="D2666">
        <v>2447</v>
      </c>
      <c r="E2666">
        <v>71</v>
      </c>
      <c r="F2666">
        <v>71</v>
      </c>
      <c r="G2666">
        <v>2447</v>
      </c>
    </row>
    <row r="2667" spans="1:7" ht="15" x14ac:dyDescent="0.25">
      <c r="A2667" t="s">
        <v>22596</v>
      </c>
      <c r="B2667">
        <v>1</v>
      </c>
      <c r="C2667">
        <v>854</v>
      </c>
      <c r="D2667">
        <v>854</v>
      </c>
      <c r="E2667">
        <v>368</v>
      </c>
      <c r="F2667">
        <v>368</v>
      </c>
      <c r="G2667">
        <v>854</v>
      </c>
    </row>
    <row r="2668" spans="1:7" ht="15" x14ac:dyDescent="0.25">
      <c r="A2668" t="s">
        <v>22602</v>
      </c>
      <c r="B2668">
        <v>1</v>
      </c>
      <c r="C2668">
        <v>724</v>
      </c>
      <c r="D2668">
        <v>724</v>
      </c>
      <c r="E2668">
        <v>8</v>
      </c>
      <c r="F2668">
        <v>8</v>
      </c>
      <c r="G2668">
        <v>724</v>
      </c>
    </row>
    <row r="2669" spans="1:7" ht="15" x14ac:dyDescent="0.25">
      <c r="A2669" t="s">
        <v>22607</v>
      </c>
      <c r="B2669">
        <v>1</v>
      </c>
      <c r="C2669">
        <v>235</v>
      </c>
      <c r="D2669">
        <v>235</v>
      </c>
      <c r="E2669">
        <v>22</v>
      </c>
      <c r="F2669">
        <v>22</v>
      </c>
      <c r="G2669">
        <v>235</v>
      </c>
    </row>
    <row r="2670" spans="1:7" ht="15" x14ac:dyDescent="0.25">
      <c r="A2670" t="s">
        <v>22613</v>
      </c>
      <c r="B2670">
        <v>1</v>
      </c>
      <c r="C2670">
        <v>6419</v>
      </c>
      <c r="D2670">
        <v>6419</v>
      </c>
      <c r="E2670">
        <v>489</v>
      </c>
      <c r="F2670">
        <v>489</v>
      </c>
      <c r="G2670">
        <v>6419</v>
      </c>
    </row>
    <row r="2671" spans="1:7" ht="15" x14ac:dyDescent="0.25">
      <c r="A2671" t="s">
        <v>22624</v>
      </c>
      <c r="B2671">
        <v>2</v>
      </c>
      <c r="C2671">
        <v>172</v>
      </c>
      <c r="D2671">
        <v>337</v>
      </c>
      <c r="E2671">
        <v>61</v>
      </c>
      <c r="F2671">
        <v>30.5</v>
      </c>
      <c r="G2671">
        <v>172</v>
      </c>
    </row>
    <row r="2672" spans="1:7" ht="15" x14ac:dyDescent="0.25">
      <c r="A2672" t="s">
        <v>22631</v>
      </c>
      <c r="B2672">
        <v>1</v>
      </c>
      <c r="C2672">
        <v>83</v>
      </c>
      <c r="D2672">
        <v>83</v>
      </c>
      <c r="E2672">
        <v>11</v>
      </c>
      <c r="F2672">
        <v>11</v>
      </c>
      <c r="G2672">
        <v>83</v>
      </c>
    </row>
    <row r="2673" spans="1:7" ht="15" x14ac:dyDescent="0.25">
      <c r="A2673" t="s">
        <v>22643</v>
      </c>
      <c r="B2673">
        <v>1</v>
      </c>
      <c r="C2673">
        <v>2298</v>
      </c>
      <c r="D2673">
        <v>2298</v>
      </c>
      <c r="E2673">
        <v>89</v>
      </c>
      <c r="F2673">
        <v>89</v>
      </c>
      <c r="G2673">
        <v>2298</v>
      </c>
    </row>
    <row r="2674" spans="1:7" ht="15" x14ac:dyDescent="0.25">
      <c r="A2674" t="s">
        <v>22650</v>
      </c>
      <c r="B2674">
        <v>2</v>
      </c>
      <c r="C2674">
        <v>17</v>
      </c>
      <c r="D2674">
        <v>33</v>
      </c>
      <c r="E2674">
        <v>18</v>
      </c>
      <c r="F2674">
        <v>9</v>
      </c>
      <c r="G2674">
        <v>17</v>
      </c>
    </row>
    <row r="2675" spans="1:7" ht="15" x14ac:dyDescent="0.25">
      <c r="A2675" t="s">
        <v>22656</v>
      </c>
      <c r="B2675">
        <v>1</v>
      </c>
      <c r="C2675">
        <v>893</v>
      </c>
      <c r="D2675">
        <v>893</v>
      </c>
      <c r="E2675">
        <v>110</v>
      </c>
      <c r="F2675">
        <v>110</v>
      </c>
      <c r="G2675">
        <v>893</v>
      </c>
    </row>
    <row r="2676" spans="1:7" ht="15" x14ac:dyDescent="0.25">
      <c r="A2676" t="s">
        <v>22664</v>
      </c>
      <c r="B2676">
        <v>1</v>
      </c>
      <c r="C2676">
        <v>499</v>
      </c>
      <c r="D2676">
        <v>499</v>
      </c>
      <c r="E2676">
        <v>65</v>
      </c>
      <c r="F2676">
        <v>65</v>
      </c>
      <c r="G2676">
        <v>499</v>
      </c>
    </row>
    <row r="2677" spans="1:7" ht="15" x14ac:dyDescent="0.25">
      <c r="A2677" t="s">
        <v>22672</v>
      </c>
      <c r="B2677">
        <v>1</v>
      </c>
      <c r="C2677">
        <v>142</v>
      </c>
      <c r="D2677">
        <v>142</v>
      </c>
      <c r="E2677">
        <v>31</v>
      </c>
      <c r="F2677">
        <v>31</v>
      </c>
      <c r="G2677">
        <v>142</v>
      </c>
    </row>
    <row r="2678" spans="1:7" ht="15" x14ac:dyDescent="0.25">
      <c r="A2678" t="s">
        <v>22690</v>
      </c>
      <c r="B2678">
        <v>1</v>
      </c>
      <c r="C2678">
        <v>307</v>
      </c>
      <c r="D2678">
        <v>307</v>
      </c>
      <c r="E2678">
        <v>37</v>
      </c>
      <c r="F2678">
        <v>37</v>
      </c>
      <c r="G2678">
        <v>307</v>
      </c>
    </row>
    <row r="2679" spans="1:7" ht="15" x14ac:dyDescent="0.25">
      <c r="A2679" t="s">
        <v>22697</v>
      </c>
      <c r="B2679">
        <v>1</v>
      </c>
      <c r="C2679">
        <v>1001</v>
      </c>
      <c r="D2679">
        <v>1001</v>
      </c>
      <c r="E2679">
        <v>44</v>
      </c>
      <c r="F2679">
        <v>44</v>
      </c>
      <c r="G2679">
        <v>1001</v>
      </c>
    </row>
    <row r="2680" spans="1:7" ht="15" x14ac:dyDescent="0.25">
      <c r="A2680" t="s">
        <v>22702</v>
      </c>
      <c r="B2680">
        <v>1</v>
      </c>
      <c r="C2680">
        <v>298</v>
      </c>
      <c r="D2680">
        <v>298</v>
      </c>
      <c r="E2680">
        <v>30</v>
      </c>
      <c r="F2680">
        <v>30</v>
      </c>
      <c r="G2680">
        <v>298</v>
      </c>
    </row>
    <row r="2681" spans="1:7" ht="15" x14ac:dyDescent="0.25">
      <c r="A2681" t="s">
        <v>22708</v>
      </c>
      <c r="B2681">
        <v>1</v>
      </c>
      <c r="C2681">
        <v>371</v>
      </c>
      <c r="D2681">
        <v>371</v>
      </c>
      <c r="E2681">
        <v>62</v>
      </c>
      <c r="F2681">
        <v>62</v>
      </c>
      <c r="G2681">
        <v>371</v>
      </c>
    </row>
    <row r="2682" spans="1:7" ht="15" x14ac:dyDescent="0.25">
      <c r="A2682" t="s">
        <v>22714</v>
      </c>
      <c r="B2682">
        <v>1</v>
      </c>
      <c r="C2682">
        <v>85</v>
      </c>
      <c r="D2682">
        <v>85</v>
      </c>
      <c r="E2682">
        <v>5</v>
      </c>
      <c r="F2682">
        <v>5</v>
      </c>
      <c r="G2682">
        <v>85</v>
      </c>
    </row>
    <row r="2683" spans="1:7" ht="15" x14ac:dyDescent="0.25">
      <c r="A2683" t="s">
        <v>22722</v>
      </c>
      <c r="B2683">
        <v>1</v>
      </c>
      <c r="C2683">
        <v>42</v>
      </c>
      <c r="D2683">
        <v>42</v>
      </c>
      <c r="E2683">
        <v>31</v>
      </c>
      <c r="F2683">
        <v>31</v>
      </c>
      <c r="G2683">
        <v>42</v>
      </c>
    </row>
    <row r="2684" spans="1:7" ht="15" x14ac:dyDescent="0.25">
      <c r="A2684" t="s">
        <v>22733</v>
      </c>
      <c r="B2684">
        <v>1</v>
      </c>
      <c r="C2684">
        <v>446</v>
      </c>
      <c r="D2684">
        <v>446</v>
      </c>
      <c r="E2684">
        <v>43</v>
      </c>
      <c r="F2684">
        <v>43</v>
      </c>
      <c r="G2684">
        <v>446</v>
      </c>
    </row>
    <row r="2685" spans="1:7" ht="15" x14ac:dyDescent="0.25">
      <c r="A2685" t="s">
        <v>22741</v>
      </c>
      <c r="B2685">
        <v>1</v>
      </c>
      <c r="C2685">
        <v>271</v>
      </c>
      <c r="D2685">
        <v>271</v>
      </c>
      <c r="E2685">
        <v>43</v>
      </c>
      <c r="F2685">
        <v>43</v>
      </c>
      <c r="G2685">
        <v>271</v>
      </c>
    </row>
    <row r="2686" spans="1:7" ht="15" x14ac:dyDescent="0.25">
      <c r="A2686" t="s">
        <v>22748</v>
      </c>
      <c r="B2686">
        <v>1</v>
      </c>
      <c r="C2686">
        <v>520</v>
      </c>
      <c r="D2686">
        <v>520</v>
      </c>
      <c r="E2686">
        <v>24</v>
      </c>
      <c r="F2686">
        <v>24</v>
      </c>
      <c r="G2686">
        <v>520</v>
      </c>
    </row>
    <row r="2687" spans="1:7" ht="15" x14ac:dyDescent="0.25">
      <c r="A2687" t="s">
        <v>22754</v>
      </c>
      <c r="B2687">
        <v>1</v>
      </c>
      <c r="C2687">
        <v>702</v>
      </c>
      <c r="D2687">
        <v>702</v>
      </c>
      <c r="E2687">
        <v>36</v>
      </c>
      <c r="F2687">
        <v>36</v>
      </c>
      <c r="G2687">
        <v>702</v>
      </c>
    </row>
    <row r="2688" spans="1:7" ht="15" x14ac:dyDescent="0.25">
      <c r="A2688" t="s">
        <v>22762</v>
      </c>
      <c r="B2688">
        <v>1</v>
      </c>
      <c r="C2688">
        <v>364</v>
      </c>
      <c r="D2688">
        <v>364</v>
      </c>
      <c r="E2688">
        <v>20</v>
      </c>
      <c r="F2688">
        <v>20</v>
      </c>
      <c r="G2688">
        <v>364</v>
      </c>
    </row>
    <row r="2689" spans="1:7" ht="15" x14ac:dyDescent="0.25">
      <c r="A2689" t="s">
        <v>22768</v>
      </c>
      <c r="B2689">
        <v>1</v>
      </c>
      <c r="C2689">
        <v>808</v>
      </c>
      <c r="D2689">
        <v>808</v>
      </c>
      <c r="E2689">
        <v>27</v>
      </c>
      <c r="F2689">
        <v>27</v>
      </c>
      <c r="G2689">
        <v>808</v>
      </c>
    </row>
    <row r="2690" spans="1:7" ht="15" x14ac:dyDescent="0.25">
      <c r="A2690" t="s">
        <v>22780</v>
      </c>
      <c r="B2690">
        <v>1</v>
      </c>
      <c r="C2690">
        <v>83</v>
      </c>
      <c r="D2690">
        <v>83</v>
      </c>
      <c r="E2690">
        <v>21</v>
      </c>
      <c r="F2690">
        <v>21</v>
      </c>
      <c r="G2690">
        <v>83</v>
      </c>
    </row>
    <row r="2691" spans="1:7" ht="15" x14ac:dyDescent="0.25">
      <c r="A2691" t="s">
        <v>22785</v>
      </c>
      <c r="B2691">
        <v>1</v>
      </c>
      <c r="C2691">
        <v>71</v>
      </c>
      <c r="D2691">
        <v>71</v>
      </c>
      <c r="E2691">
        <v>18</v>
      </c>
      <c r="F2691">
        <v>18</v>
      </c>
      <c r="G2691">
        <v>71</v>
      </c>
    </row>
    <row r="2692" spans="1:7" ht="15" x14ac:dyDescent="0.25">
      <c r="A2692" t="s">
        <v>22789</v>
      </c>
      <c r="B2692">
        <v>1</v>
      </c>
      <c r="C2692">
        <v>49</v>
      </c>
      <c r="D2692">
        <v>49</v>
      </c>
      <c r="E2692">
        <v>7</v>
      </c>
      <c r="F2692">
        <v>7</v>
      </c>
      <c r="G2692">
        <v>49</v>
      </c>
    </row>
    <row r="2693" spans="1:7" ht="15" x14ac:dyDescent="0.25">
      <c r="A2693" t="s">
        <v>22798</v>
      </c>
      <c r="B2693">
        <v>1</v>
      </c>
      <c r="D2693">
        <v>0</v>
      </c>
      <c r="E2693">
        <v>126</v>
      </c>
      <c r="F2693">
        <v>126</v>
      </c>
    </row>
    <row r="2694" spans="1:7" ht="15" x14ac:dyDescent="0.25">
      <c r="A2694" t="s">
        <v>22801</v>
      </c>
      <c r="B2694">
        <v>1</v>
      </c>
      <c r="C2694">
        <v>227</v>
      </c>
      <c r="D2694">
        <v>227</v>
      </c>
      <c r="E2694">
        <v>22</v>
      </c>
      <c r="F2694">
        <v>22</v>
      </c>
      <c r="G2694">
        <v>227</v>
      </c>
    </row>
    <row r="2695" spans="1:7" ht="15" x14ac:dyDescent="0.25">
      <c r="A2695" t="s">
        <v>22810</v>
      </c>
      <c r="B2695">
        <v>1</v>
      </c>
      <c r="C2695">
        <v>788</v>
      </c>
      <c r="D2695">
        <v>788</v>
      </c>
      <c r="E2695">
        <v>81</v>
      </c>
      <c r="F2695">
        <v>81</v>
      </c>
      <c r="G2695">
        <v>788</v>
      </c>
    </row>
    <row r="2696" spans="1:7" ht="15" x14ac:dyDescent="0.25">
      <c r="A2696" t="s">
        <v>22814</v>
      </c>
      <c r="B2696">
        <v>1</v>
      </c>
      <c r="C2696">
        <v>68</v>
      </c>
      <c r="D2696">
        <v>68</v>
      </c>
      <c r="E2696">
        <v>20</v>
      </c>
      <c r="F2696">
        <v>20</v>
      </c>
      <c r="G2696">
        <v>68</v>
      </c>
    </row>
    <row r="2697" spans="1:7" ht="15" x14ac:dyDescent="0.25">
      <c r="A2697" t="s">
        <v>22820</v>
      </c>
      <c r="B2697">
        <v>1</v>
      </c>
      <c r="C2697">
        <v>370</v>
      </c>
      <c r="D2697">
        <v>370</v>
      </c>
      <c r="E2697">
        <v>162</v>
      </c>
      <c r="F2697">
        <v>162</v>
      </c>
      <c r="G2697">
        <v>370</v>
      </c>
    </row>
    <row r="2698" spans="1:7" ht="15" x14ac:dyDescent="0.25">
      <c r="A2698" t="s">
        <v>22837</v>
      </c>
      <c r="B2698">
        <v>1</v>
      </c>
      <c r="C2698">
        <v>363</v>
      </c>
      <c r="D2698">
        <v>363</v>
      </c>
      <c r="E2698">
        <v>53</v>
      </c>
      <c r="F2698">
        <v>53</v>
      </c>
      <c r="G2698">
        <v>363</v>
      </c>
    </row>
    <row r="2699" spans="1:7" ht="15" x14ac:dyDescent="0.25">
      <c r="A2699" t="s">
        <v>22844</v>
      </c>
      <c r="B2699">
        <v>1</v>
      </c>
      <c r="C2699">
        <v>343</v>
      </c>
      <c r="D2699">
        <v>343</v>
      </c>
      <c r="E2699">
        <v>116</v>
      </c>
      <c r="F2699">
        <v>116</v>
      </c>
      <c r="G2699">
        <v>343</v>
      </c>
    </row>
    <row r="2700" spans="1:7" ht="15" x14ac:dyDescent="0.25">
      <c r="A2700" t="s">
        <v>22850</v>
      </c>
      <c r="B2700">
        <v>1</v>
      </c>
      <c r="C2700">
        <v>588</v>
      </c>
      <c r="D2700">
        <v>588</v>
      </c>
      <c r="E2700">
        <v>90</v>
      </c>
      <c r="F2700">
        <v>90</v>
      </c>
      <c r="G2700">
        <v>588</v>
      </c>
    </row>
    <row r="2701" spans="1:7" ht="15" x14ac:dyDescent="0.25">
      <c r="A2701" t="s">
        <v>22857</v>
      </c>
      <c r="B2701">
        <v>1</v>
      </c>
      <c r="C2701">
        <v>635</v>
      </c>
      <c r="D2701">
        <v>635</v>
      </c>
      <c r="E2701">
        <v>22</v>
      </c>
      <c r="F2701">
        <v>22</v>
      </c>
      <c r="G2701">
        <v>635</v>
      </c>
    </row>
    <row r="2702" spans="1:7" ht="15" x14ac:dyDescent="0.25">
      <c r="A2702" t="s">
        <v>22863</v>
      </c>
      <c r="B2702">
        <v>1</v>
      </c>
      <c r="C2702">
        <v>104</v>
      </c>
      <c r="D2702">
        <v>104</v>
      </c>
      <c r="E2702">
        <v>7</v>
      </c>
      <c r="F2702">
        <v>7</v>
      </c>
      <c r="G2702">
        <v>104</v>
      </c>
    </row>
    <row r="2703" spans="1:7" ht="15" x14ac:dyDescent="0.25">
      <c r="A2703" t="s">
        <v>22872</v>
      </c>
      <c r="B2703">
        <v>1</v>
      </c>
      <c r="C2703">
        <v>1076</v>
      </c>
      <c r="D2703">
        <v>1076</v>
      </c>
      <c r="E2703">
        <v>30</v>
      </c>
      <c r="F2703">
        <v>30</v>
      </c>
      <c r="G2703">
        <v>1076</v>
      </c>
    </row>
    <row r="2704" spans="1:7" ht="15" x14ac:dyDescent="0.25">
      <c r="A2704" t="s">
        <v>22888</v>
      </c>
      <c r="B2704">
        <v>1</v>
      </c>
      <c r="C2704">
        <v>602</v>
      </c>
      <c r="D2704">
        <v>602</v>
      </c>
      <c r="E2704">
        <v>30</v>
      </c>
      <c r="F2704">
        <v>30</v>
      </c>
      <c r="G2704">
        <v>602</v>
      </c>
    </row>
    <row r="2705" spans="1:7" ht="15" x14ac:dyDescent="0.25">
      <c r="A2705" t="s">
        <v>22897</v>
      </c>
      <c r="B2705">
        <v>1</v>
      </c>
      <c r="C2705">
        <v>322</v>
      </c>
      <c r="D2705">
        <v>322</v>
      </c>
      <c r="E2705">
        <v>23</v>
      </c>
      <c r="F2705">
        <v>23</v>
      </c>
      <c r="G2705">
        <v>322</v>
      </c>
    </row>
    <row r="2706" spans="1:7" ht="15" x14ac:dyDescent="0.25">
      <c r="A2706" t="s">
        <v>22912</v>
      </c>
      <c r="B2706">
        <v>1</v>
      </c>
      <c r="C2706">
        <v>192</v>
      </c>
      <c r="D2706">
        <v>192</v>
      </c>
      <c r="E2706">
        <v>47</v>
      </c>
      <c r="F2706">
        <v>47</v>
      </c>
      <c r="G2706">
        <v>192</v>
      </c>
    </row>
    <row r="2707" spans="1:7" ht="15" x14ac:dyDescent="0.25">
      <c r="A2707" t="s">
        <v>22925</v>
      </c>
      <c r="B2707">
        <v>1</v>
      </c>
      <c r="C2707">
        <v>42</v>
      </c>
      <c r="D2707">
        <v>42</v>
      </c>
      <c r="E2707">
        <v>9</v>
      </c>
      <c r="F2707">
        <v>9</v>
      </c>
      <c r="G2707">
        <v>42</v>
      </c>
    </row>
    <row r="2708" spans="1:7" ht="15" x14ac:dyDescent="0.25">
      <c r="A2708" t="s">
        <v>22932</v>
      </c>
      <c r="B2708">
        <v>1</v>
      </c>
      <c r="C2708">
        <v>750</v>
      </c>
      <c r="D2708">
        <v>750</v>
      </c>
      <c r="E2708">
        <v>61</v>
      </c>
      <c r="F2708">
        <v>61</v>
      </c>
      <c r="G2708">
        <v>750</v>
      </c>
    </row>
    <row r="2709" spans="1:7" ht="15" x14ac:dyDescent="0.25">
      <c r="A2709" t="s">
        <v>22938</v>
      </c>
      <c r="B2709">
        <v>1</v>
      </c>
      <c r="C2709">
        <v>308</v>
      </c>
      <c r="D2709">
        <v>308</v>
      </c>
      <c r="E2709">
        <v>40</v>
      </c>
      <c r="F2709">
        <v>40</v>
      </c>
      <c r="G2709">
        <v>308</v>
      </c>
    </row>
    <row r="2710" spans="1:7" ht="15" x14ac:dyDescent="0.25">
      <c r="A2710" t="s">
        <v>22944</v>
      </c>
      <c r="B2710">
        <v>1</v>
      </c>
      <c r="C2710">
        <v>941</v>
      </c>
      <c r="D2710">
        <v>941</v>
      </c>
      <c r="E2710">
        <v>41</v>
      </c>
      <c r="F2710">
        <v>41</v>
      </c>
      <c r="G2710">
        <v>941</v>
      </c>
    </row>
    <row r="2711" spans="1:7" ht="15" x14ac:dyDescent="0.25">
      <c r="A2711" t="s">
        <v>22948</v>
      </c>
      <c r="B2711">
        <v>1</v>
      </c>
      <c r="C2711">
        <v>1757</v>
      </c>
      <c r="D2711">
        <v>1757</v>
      </c>
      <c r="E2711">
        <v>44</v>
      </c>
      <c r="F2711">
        <v>44</v>
      </c>
      <c r="G2711">
        <v>1757</v>
      </c>
    </row>
    <row r="2712" spans="1:7" ht="15" x14ac:dyDescent="0.25">
      <c r="A2712" t="s">
        <v>22951</v>
      </c>
      <c r="B2712">
        <v>1</v>
      </c>
      <c r="C2712">
        <v>482</v>
      </c>
      <c r="D2712">
        <v>482</v>
      </c>
      <c r="E2712">
        <v>26</v>
      </c>
      <c r="F2712">
        <v>26</v>
      </c>
      <c r="G2712">
        <v>482</v>
      </c>
    </row>
    <row r="2713" spans="1:7" ht="15" x14ac:dyDescent="0.25">
      <c r="A2713" t="s">
        <v>22959</v>
      </c>
      <c r="B2713">
        <v>1</v>
      </c>
      <c r="C2713">
        <v>22</v>
      </c>
      <c r="D2713">
        <v>22</v>
      </c>
      <c r="E2713">
        <v>6</v>
      </c>
      <c r="F2713">
        <v>6</v>
      </c>
      <c r="G2713">
        <v>22</v>
      </c>
    </row>
    <row r="2714" spans="1:7" ht="15" x14ac:dyDescent="0.25">
      <c r="A2714" t="s">
        <v>22964</v>
      </c>
      <c r="B2714">
        <v>1</v>
      </c>
      <c r="C2714">
        <v>261</v>
      </c>
      <c r="D2714">
        <v>261</v>
      </c>
      <c r="E2714">
        <v>0</v>
      </c>
      <c r="F2714">
        <v>0</v>
      </c>
      <c r="G2714">
        <v>261</v>
      </c>
    </row>
    <row r="2715" spans="1:7" ht="15" x14ac:dyDescent="0.25">
      <c r="A2715" t="s">
        <v>22974</v>
      </c>
      <c r="B2715">
        <v>1</v>
      </c>
      <c r="C2715">
        <v>776</v>
      </c>
      <c r="D2715">
        <v>776</v>
      </c>
      <c r="E2715">
        <v>32</v>
      </c>
      <c r="F2715">
        <v>32</v>
      </c>
      <c r="G2715">
        <v>776</v>
      </c>
    </row>
    <row r="2716" spans="1:7" ht="15" x14ac:dyDescent="0.25">
      <c r="A2716" t="s">
        <v>22981</v>
      </c>
      <c r="B2716">
        <v>1</v>
      </c>
      <c r="C2716">
        <v>480</v>
      </c>
      <c r="D2716">
        <v>480</v>
      </c>
      <c r="E2716">
        <v>40</v>
      </c>
      <c r="F2716">
        <v>40</v>
      </c>
      <c r="G2716">
        <v>480</v>
      </c>
    </row>
    <row r="2717" spans="1:7" ht="15" x14ac:dyDescent="0.25">
      <c r="A2717" t="s">
        <v>22998</v>
      </c>
      <c r="B2717">
        <v>1</v>
      </c>
      <c r="C2717">
        <v>1007</v>
      </c>
      <c r="D2717">
        <v>1007</v>
      </c>
      <c r="E2717">
        <v>22</v>
      </c>
      <c r="F2717">
        <v>22</v>
      </c>
      <c r="G2717">
        <v>1007</v>
      </c>
    </row>
    <row r="2718" spans="1:7" ht="15" x14ac:dyDescent="0.25">
      <c r="A2718" t="s">
        <v>23002</v>
      </c>
      <c r="B2718">
        <v>1</v>
      </c>
      <c r="C2718">
        <v>110</v>
      </c>
      <c r="D2718">
        <v>110</v>
      </c>
      <c r="E2718">
        <v>8</v>
      </c>
      <c r="F2718">
        <v>8</v>
      </c>
      <c r="G2718">
        <v>110</v>
      </c>
    </row>
    <row r="2719" spans="1:7" ht="15" x14ac:dyDescent="0.25">
      <c r="A2719" t="s">
        <v>23008</v>
      </c>
      <c r="B2719">
        <v>1</v>
      </c>
      <c r="C2719">
        <v>100</v>
      </c>
      <c r="D2719">
        <v>100</v>
      </c>
      <c r="E2719">
        <v>27</v>
      </c>
      <c r="F2719">
        <v>27</v>
      </c>
      <c r="G2719">
        <v>100</v>
      </c>
    </row>
    <row r="2720" spans="1:7" ht="15" x14ac:dyDescent="0.25">
      <c r="A2720" t="s">
        <v>23014</v>
      </c>
      <c r="B2720">
        <v>2</v>
      </c>
      <c r="C2720">
        <v>62</v>
      </c>
      <c r="D2720">
        <v>62</v>
      </c>
      <c r="E2720">
        <v>36</v>
      </c>
      <c r="F2720">
        <v>18</v>
      </c>
      <c r="G2720">
        <v>62</v>
      </c>
    </row>
    <row r="2721" spans="1:7" ht="15" x14ac:dyDescent="0.25">
      <c r="A2721" t="s">
        <v>23020</v>
      </c>
      <c r="B2721">
        <v>1</v>
      </c>
      <c r="C2721">
        <v>423</v>
      </c>
      <c r="D2721">
        <v>423</v>
      </c>
      <c r="E2721">
        <v>29</v>
      </c>
      <c r="F2721">
        <v>29</v>
      </c>
      <c r="G2721">
        <v>423</v>
      </c>
    </row>
    <row r="2722" spans="1:7" ht="15" x14ac:dyDescent="0.25">
      <c r="A2722" t="s">
        <v>23025</v>
      </c>
      <c r="B2722">
        <v>1</v>
      </c>
      <c r="C2722">
        <v>1124</v>
      </c>
      <c r="D2722">
        <v>1124</v>
      </c>
      <c r="E2722">
        <v>224</v>
      </c>
      <c r="F2722">
        <v>224</v>
      </c>
      <c r="G2722">
        <v>1124</v>
      </c>
    </row>
    <row r="2723" spans="1:7" ht="15" x14ac:dyDescent="0.25">
      <c r="A2723" t="s">
        <v>23029</v>
      </c>
      <c r="B2723">
        <v>1</v>
      </c>
      <c r="C2723">
        <v>117</v>
      </c>
      <c r="D2723">
        <v>117</v>
      </c>
      <c r="E2723">
        <v>32</v>
      </c>
      <c r="F2723">
        <v>32</v>
      </c>
      <c r="G2723">
        <v>117</v>
      </c>
    </row>
    <row r="2724" spans="1:7" ht="15" x14ac:dyDescent="0.25">
      <c r="A2724" t="s">
        <v>23037</v>
      </c>
      <c r="B2724">
        <v>2</v>
      </c>
      <c r="C2724">
        <v>232</v>
      </c>
      <c r="D2724">
        <v>463</v>
      </c>
      <c r="E2724">
        <v>27</v>
      </c>
      <c r="F2724">
        <v>13.5</v>
      </c>
      <c r="G2724">
        <v>232</v>
      </c>
    </row>
    <row r="2725" spans="1:7" ht="15" x14ac:dyDescent="0.25">
      <c r="A2725" t="s">
        <v>23051</v>
      </c>
      <c r="B2725">
        <v>2</v>
      </c>
      <c r="C2725">
        <v>746</v>
      </c>
      <c r="D2725">
        <v>1489</v>
      </c>
      <c r="E2725">
        <v>90</v>
      </c>
      <c r="F2725">
        <v>45</v>
      </c>
      <c r="G2725">
        <v>746</v>
      </c>
    </row>
    <row r="2726" spans="1:7" ht="15" x14ac:dyDescent="0.25">
      <c r="A2726" t="s">
        <v>23062</v>
      </c>
      <c r="B2726">
        <v>1</v>
      </c>
      <c r="C2726">
        <v>59</v>
      </c>
      <c r="D2726">
        <v>59</v>
      </c>
      <c r="E2726">
        <v>26</v>
      </c>
      <c r="F2726">
        <v>26</v>
      </c>
      <c r="G2726">
        <v>59</v>
      </c>
    </row>
    <row r="2727" spans="1:7" ht="15" x14ac:dyDescent="0.25">
      <c r="A2727" t="s">
        <v>23069</v>
      </c>
      <c r="B2727">
        <v>1</v>
      </c>
      <c r="C2727">
        <v>490</v>
      </c>
      <c r="D2727">
        <v>490</v>
      </c>
      <c r="E2727">
        <v>58</v>
      </c>
      <c r="F2727">
        <v>58</v>
      </c>
      <c r="G2727">
        <v>490</v>
      </c>
    </row>
    <row r="2728" spans="1:7" ht="15" x14ac:dyDescent="0.25">
      <c r="A2728" t="s">
        <v>23078</v>
      </c>
      <c r="B2728">
        <v>1</v>
      </c>
      <c r="C2728">
        <v>500</v>
      </c>
      <c r="D2728">
        <v>500</v>
      </c>
      <c r="E2728">
        <v>56</v>
      </c>
      <c r="F2728">
        <v>56</v>
      </c>
      <c r="G2728">
        <v>500</v>
      </c>
    </row>
    <row r="2729" spans="1:7" ht="15" x14ac:dyDescent="0.25">
      <c r="A2729" t="s">
        <v>23095</v>
      </c>
      <c r="B2729">
        <v>1</v>
      </c>
      <c r="C2729">
        <v>4011</v>
      </c>
      <c r="D2729">
        <v>4011</v>
      </c>
      <c r="E2729">
        <v>153</v>
      </c>
      <c r="F2729">
        <v>153</v>
      </c>
      <c r="G2729">
        <v>4011</v>
      </c>
    </row>
    <row r="2730" spans="1:7" ht="15" x14ac:dyDescent="0.25">
      <c r="A2730" t="s">
        <v>23099</v>
      </c>
      <c r="B2730">
        <v>1</v>
      </c>
      <c r="C2730">
        <v>207</v>
      </c>
      <c r="D2730">
        <v>207</v>
      </c>
      <c r="E2730">
        <v>21</v>
      </c>
      <c r="F2730">
        <v>21</v>
      </c>
      <c r="G2730">
        <v>207</v>
      </c>
    </row>
    <row r="2731" spans="1:7" ht="15" x14ac:dyDescent="0.25">
      <c r="A2731" t="s">
        <v>23103</v>
      </c>
      <c r="B2731">
        <v>1</v>
      </c>
      <c r="C2731">
        <v>762</v>
      </c>
      <c r="D2731">
        <v>762</v>
      </c>
      <c r="E2731">
        <v>27</v>
      </c>
      <c r="F2731">
        <v>27</v>
      </c>
      <c r="G2731">
        <v>762</v>
      </c>
    </row>
    <row r="2732" spans="1:7" ht="15" x14ac:dyDescent="0.25">
      <c r="A2732" t="s">
        <v>23107</v>
      </c>
      <c r="B2732">
        <v>1</v>
      </c>
      <c r="C2732">
        <v>204</v>
      </c>
      <c r="D2732">
        <v>204</v>
      </c>
      <c r="E2732">
        <v>27</v>
      </c>
      <c r="F2732">
        <v>27</v>
      </c>
      <c r="G2732">
        <v>204</v>
      </c>
    </row>
    <row r="2733" spans="1:7" ht="15" x14ac:dyDescent="0.25">
      <c r="A2733" t="s">
        <v>23112</v>
      </c>
      <c r="B2733">
        <v>2</v>
      </c>
      <c r="C2733">
        <v>194</v>
      </c>
      <c r="D2733">
        <v>388</v>
      </c>
      <c r="E2733">
        <v>90</v>
      </c>
      <c r="F2733">
        <v>45</v>
      </c>
      <c r="G2733">
        <v>194</v>
      </c>
    </row>
    <row r="2734" spans="1:7" ht="15" x14ac:dyDescent="0.25">
      <c r="A2734" t="s">
        <v>23124</v>
      </c>
      <c r="B2734">
        <v>1</v>
      </c>
      <c r="C2734">
        <v>356</v>
      </c>
      <c r="D2734">
        <v>356</v>
      </c>
      <c r="E2734">
        <v>76</v>
      </c>
      <c r="F2734">
        <v>76</v>
      </c>
      <c r="G2734">
        <v>356</v>
      </c>
    </row>
    <row r="2735" spans="1:7" ht="15" x14ac:dyDescent="0.25">
      <c r="A2735" t="s">
        <v>23132</v>
      </c>
      <c r="B2735">
        <v>3</v>
      </c>
      <c r="C2735">
        <v>296</v>
      </c>
      <c r="D2735">
        <v>874</v>
      </c>
      <c r="E2735">
        <v>203</v>
      </c>
      <c r="F2735">
        <v>67.666666666666671</v>
      </c>
      <c r="G2735">
        <v>296</v>
      </c>
    </row>
    <row r="2736" spans="1:7" ht="15" x14ac:dyDescent="0.25">
      <c r="A2736" t="s">
        <v>23139</v>
      </c>
      <c r="B2736">
        <v>1</v>
      </c>
      <c r="C2736">
        <v>4</v>
      </c>
      <c r="D2736">
        <v>4</v>
      </c>
      <c r="E2736">
        <v>0</v>
      </c>
      <c r="F2736">
        <v>0</v>
      </c>
      <c r="G2736">
        <v>4</v>
      </c>
    </row>
    <row r="2737" spans="1:7" ht="15" x14ac:dyDescent="0.25">
      <c r="A2737" t="s">
        <v>23144</v>
      </c>
      <c r="B2737">
        <v>1</v>
      </c>
      <c r="C2737">
        <v>745</v>
      </c>
      <c r="D2737">
        <v>745</v>
      </c>
      <c r="E2737">
        <v>71</v>
      </c>
      <c r="F2737">
        <v>71</v>
      </c>
      <c r="G2737">
        <v>745</v>
      </c>
    </row>
    <row r="2738" spans="1:7" ht="15" x14ac:dyDescent="0.25">
      <c r="A2738" t="s">
        <v>23149</v>
      </c>
      <c r="B2738">
        <v>1</v>
      </c>
      <c r="C2738">
        <v>79</v>
      </c>
      <c r="D2738">
        <v>79</v>
      </c>
      <c r="E2738">
        <v>39</v>
      </c>
      <c r="F2738">
        <v>39</v>
      </c>
      <c r="G2738">
        <v>79</v>
      </c>
    </row>
    <row r="2739" spans="1:7" ht="15" x14ac:dyDescent="0.25">
      <c r="A2739" t="s">
        <v>23161</v>
      </c>
      <c r="B2739">
        <v>1</v>
      </c>
      <c r="C2739">
        <v>102</v>
      </c>
      <c r="D2739">
        <v>102</v>
      </c>
      <c r="E2739">
        <v>9</v>
      </c>
      <c r="F2739">
        <v>9</v>
      </c>
      <c r="G2739">
        <v>102</v>
      </c>
    </row>
    <row r="2740" spans="1:7" ht="15" x14ac:dyDescent="0.25">
      <c r="A2740" t="s">
        <v>23164</v>
      </c>
      <c r="B2740">
        <v>1</v>
      </c>
      <c r="C2740">
        <v>501</v>
      </c>
      <c r="D2740">
        <v>501</v>
      </c>
      <c r="E2740">
        <v>38</v>
      </c>
      <c r="F2740">
        <v>38</v>
      </c>
      <c r="G2740">
        <v>501</v>
      </c>
    </row>
    <row r="2741" spans="1:7" ht="15" x14ac:dyDescent="0.25">
      <c r="A2741" t="s">
        <v>23170</v>
      </c>
      <c r="B2741">
        <v>2</v>
      </c>
      <c r="C2741">
        <v>167</v>
      </c>
      <c r="D2741">
        <v>322</v>
      </c>
      <c r="E2741">
        <v>73</v>
      </c>
      <c r="F2741">
        <v>36.5</v>
      </c>
      <c r="G2741">
        <v>167</v>
      </c>
    </row>
    <row r="2742" spans="1:7" ht="15" x14ac:dyDescent="0.25">
      <c r="A2742" t="s">
        <v>23174</v>
      </c>
      <c r="B2742">
        <v>1</v>
      </c>
      <c r="C2742">
        <v>107</v>
      </c>
      <c r="D2742">
        <v>107</v>
      </c>
      <c r="E2742">
        <v>15</v>
      </c>
      <c r="F2742">
        <v>15</v>
      </c>
      <c r="G2742">
        <v>107</v>
      </c>
    </row>
    <row r="2743" spans="1:7" ht="15" x14ac:dyDescent="0.25">
      <c r="A2743" t="s">
        <v>23181</v>
      </c>
      <c r="B2743">
        <v>1</v>
      </c>
      <c r="C2743">
        <v>76</v>
      </c>
      <c r="D2743">
        <v>76</v>
      </c>
      <c r="E2743">
        <v>14</v>
      </c>
      <c r="F2743">
        <v>14</v>
      </c>
      <c r="G2743">
        <v>76</v>
      </c>
    </row>
    <row r="2744" spans="1:7" ht="15" x14ac:dyDescent="0.25">
      <c r="A2744" t="s">
        <v>23194</v>
      </c>
      <c r="B2744">
        <v>1</v>
      </c>
      <c r="C2744">
        <v>148</v>
      </c>
      <c r="D2744">
        <v>148</v>
      </c>
      <c r="E2744">
        <v>25</v>
      </c>
      <c r="F2744">
        <v>25</v>
      </c>
      <c r="G2744">
        <v>148</v>
      </c>
    </row>
    <row r="2745" spans="1:7" ht="15" x14ac:dyDescent="0.25">
      <c r="A2745" t="s">
        <v>23199</v>
      </c>
      <c r="B2745">
        <v>1</v>
      </c>
      <c r="C2745">
        <v>162</v>
      </c>
      <c r="D2745">
        <v>162</v>
      </c>
      <c r="E2745">
        <v>23</v>
      </c>
      <c r="F2745">
        <v>23</v>
      </c>
      <c r="G2745">
        <v>162</v>
      </c>
    </row>
    <row r="2746" spans="1:7" ht="15" x14ac:dyDescent="0.25">
      <c r="A2746" t="s">
        <v>23222</v>
      </c>
      <c r="B2746">
        <v>1</v>
      </c>
      <c r="C2746">
        <v>591</v>
      </c>
      <c r="D2746">
        <v>591</v>
      </c>
      <c r="E2746">
        <v>10</v>
      </c>
      <c r="F2746">
        <v>10</v>
      </c>
      <c r="G2746">
        <v>591</v>
      </c>
    </row>
    <row r="2747" spans="1:7" ht="15" x14ac:dyDescent="0.25">
      <c r="A2747" t="s">
        <v>23227</v>
      </c>
      <c r="B2747">
        <v>1</v>
      </c>
      <c r="C2747">
        <v>289</v>
      </c>
      <c r="D2747">
        <v>289</v>
      </c>
      <c r="E2747">
        <v>10</v>
      </c>
      <c r="F2747">
        <v>10</v>
      </c>
      <c r="G2747">
        <v>289</v>
      </c>
    </row>
    <row r="2748" spans="1:7" ht="15" x14ac:dyDescent="0.25">
      <c r="A2748" t="s">
        <v>23237</v>
      </c>
      <c r="B2748">
        <v>1</v>
      </c>
      <c r="C2748">
        <v>2497</v>
      </c>
      <c r="D2748">
        <v>2497</v>
      </c>
      <c r="E2748">
        <v>100</v>
      </c>
      <c r="F2748">
        <v>100</v>
      </c>
      <c r="G2748">
        <v>2497</v>
      </c>
    </row>
    <row r="2749" spans="1:7" ht="15" x14ac:dyDescent="0.25">
      <c r="A2749" t="s">
        <v>23250</v>
      </c>
      <c r="B2749">
        <v>1</v>
      </c>
      <c r="C2749">
        <v>172</v>
      </c>
      <c r="D2749">
        <v>172</v>
      </c>
      <c r="E2749">
        <v>46</v>
      </c>
      <c r="F2749">
        <v>46</v>
      </c>
      <c r="G2749">
        <v>172</v>
      </c>
    </row>
    <row r="2750" spans="1:7" ht="15" x14ac:dyDescent="0.25">
      <c r="A2750" t="s">
        <v>23256</v>
      </c>
      <c r="B2750">
        <v>1</v>
      </c>
      <c r="C2750">
        <v>941</v>
      </c>
      <c r="D2750">
        <v>941</v>
      </c>
      <c r="E2750">
        <v>62</v>
      </c>
      <c r="F2750">
        <v>62</v>
      </c>
      <c r="G2750">
        <v>941</v>
      </c>
    </row>
    <row r="2751" spans="1:7" ht="15" x14ac:dyDescent="0.25">
      <c r="A2751" t="s">
        <v>23268</v>
      </c>
      <c r="B2751">
        <v>1</v>
      </c>
      <c r="C2751">
        <v>711</v>
      </c>
      <c r="D2751">
        <v>711</v>
      </c>
      <c r="E2751">
        <v>50</v>
      </c>
      <c r="F2751">
        <v>50</v>
      </c>
      <c r="G2751">
        <v>711</v>
      </c>
    </row>
    <row r="2752" spans="1:7" ht="15" x14ac:dyDescent="0.25">
      <c r="A2752" t="s">
        <v>23274</v>
      </c>
      <c r="B2752">
        <v>1</v>
      </c>
      <c r="C2752">
        <v>264</v>
      </c>
      <c r="D2752">
        <v>264</v>
      </c>
      <c r="E2752">
        <v>30</v>
      </c>
      <c r="F2752">
        <v>30</v>
      </c>
      <c r="G2752">
        <v>264</v>
      </c>
    </row>
    <row r="2753" spans="1:7" ht="15" x14ac:dyDescent="0.25">
      <c r="A2753" t="s">
        <v>23279</v>
      </c>
      <c r="B2753">
        <v>1</v>
      </c>
      <c r="C2753">
        <v>373</v>
      </c>
      <c r="D2753">
        <v>373</v>
      </c>
      <c r="E2753">
        <v>23</v>
      </c>
      <c r="F2753">
        <v>23</v>
      </c>
      <c r="G2753">
        <v>373</v>
      </c>
    </row>
    <row r="2754" spans="1:7" ht="15" x14ac:dyDescent="0.25">
      <c r="A2754" t="s">
        <v>23282</v>
      </c>
      <c r="B2754">
        <v>1</v>
      </c>
      <c r="C2754">
        <v>205</v>
      </c>
      <c r="D2754">
        <v>205</v>
      </c>
      <c r="E2754">
        <v>16</v>
      </c>
      <c r="F2754">
        <v>16</v>
      </c>
      <c r="G2754">
        <v>205</v>
      </c>
    </row>
    <row r="2755" spans="1:7" ht="15" x14ac:dyDescent="0.25">
      <c r="A2755" t="s">
        <v>23289</v>
      </c>
      <c r="B2755">
        <v>1</v>
      </c>
      <c r="C2755">
        <v>95</v>
      </c>
      <c r="D2755">
        <v>95</v>
      </c>
      <c r="E2755">
        <v>21</v>
      </c>
      <c r="F2755">
        <v>21</v>
      </c>
      <c r="G2755">
        <v>95</v>
      </c>
    </row>
    <row r="2756" spans="1:7" ht="15" x14ac:dyDescent="0.25">
      <c r="A2756" t="s">
        <v>23297</v>
      </c>
      <c r="B2756">
        <v>1</v>
      </c>
      <c r="C2756">
        <v>400</v>
      </c>
      <c r="D2756">
        <v>400</v>
      </c>
      <c r="E2756">
        <v>80</v>
      </c>
      <c r="F2756">
        <v>80</v>
      </c>
      <c r="G2756">
        <v>400</v>
      </c>
    </row>
    <row r="2757" spans="1:7" ht="15" x14ac:dyDescent="0.25">
      <c r="A2757" t="s">
        <v>23301</v>
      </c>
      <c r="B2757">
        <v>1</v>
      </c>
      <c r="C2757">
        <v>94</v>
      </c>
      <c r="D2757">
        <v>94</v>
      </c>
      <c r="E2757">
        <v>35</v>
      </c>
      <c r="F2757">
        <v>35</v>
      </c>
      <c r="G2757">
        <v>94</v>
      </c>
    </row>
    <row r="2758" spans="1:7" ht="15" x14ac:dyDescent="0.25">
      <c r="A2758" t="s">
        <v>23307</v>
      </c>
      <c r="B2758">
        <v>1</v>
      </c>
      <c r="C2758">
        <v>3957</v>
      </c>
      <c r="D2758">
        <v>3957</v>
      </c>
      <c r="E2758">
        <v>65</v>
      </c>
      <c r="F2758">
        <v>65</v>
      </c>
      <c r="G2758">
        <v>3957</v>
      </c>
    </row>
    <row r="2759" spans="1:7" ht="15" x14ac:dyDescent="0.25">
      <c r="A2759" t="s">
        <v>23324</v>
      </c>
      <c r="B2759">
        <v>1</v>
      </c>
      <c r="C2759">
        <v>248</v>
      </c>
      <c r="D2759">
        <v>248</v>
      </c>
      <c r="E2759">
        <v>24</v>
      </c>
      <c r="F2759">
        <v>24</v>
      </c>
      <c r="G2759">
        <v>248</v>
      </c>
    </row>
    <row r="2760" spans="1:7" ht="15" x14ac:dyDescent="0.25">
      <c r="A2760" t="s">
        <v>23331</v>
      </c>
      <c r="B2760">
        <v>1</v>
      </c>
      <c r="C2760">
        <v>116</v>
      </c>
      <c r="D2760">
        <v>116</v>
      </c>
      <c r="E2760">
        <v>5</v>
      </c>
      <c r="F2760">
        <v>5</v>
      </c>
      <c r="G2760">
        <v>116</v>
      </c>
    </row>
    <row r="2761" spans="1:7" ht="15" x14ac:dyDescent="0.25">
      <c r="A2761" t="s">
        <v>23333</v>
      </c>
      <c r="B2761">
        <v>1</v>
      </c>
      <c r="C2761">
        <v>113</v>
      </c>
      <c r="D2761">
        <v>113</v>
      </c>
      <c r="E2761">
        <v>30</v>
      </c>
      <c r="F2761">
        <v>30</v>
      </c>
      <c r="G2761">
        <v>113</v>
      </c>
    </row>
    <row r="2762" spans="1:7" ht="15" x14ac:dyDescent="0.25">
      <c r="A2762" t="s">
        <v>23337</v>
      </c>
      <c r="B2762">
        <v>5</v>
      </c>
      <c r="C2762">
        <v>85</v>
      </c>
      <c r="D2762">
        <v>409</v>
      </c>
      <c r="E2762">
        <v>126</v>
      </c>
      <c r="F2762">
        <v>25.2</v>
      </c>
      <c r="G2762">
        <v>85</v>
      </c>
    </row>
    <row r="2763" spans="1:7" ht="15" x14ac:dyDescent="0.25">
      <c r="A2763" t="s">
        <v>23343</v>
      </c>
      <c r="B2763">
        <v>1</v>
      </c>
      <c r="C2763">
        <v>80</v>
      </c>
      <c r="D2763">
        <v>80</v>
      </c>
      <c r="E2763">
        <v>9</v>
      </c>
      <c r="F2763">
        <v>9</v>
      </c>
      <c r="G2763">
        <v>80</v>
      </c>
    </row>
    <row r="2764" spans="1:7" ht="15" x14ac:dyDescent="0.25">
      <c r="A2764" t="s">
        <v>23349</v>
      </c>
      <c r="B2764">
        <v>1</v>
      </c>
      <c r="C2764">
        <v>326</v>
      </c>
      <c r="D2764">
        <v>326</v>
      </c>
      <c r="E2764">
        <v>21</v>
      </c>
      <c r="F2764">
        <v>21</v>
      </c>
      <c r="G2764">
        <v>326</v>
      </c>
    </row>
    <row r="2765" spans="1:7" ht="15" x14ac:dyDescent="0.25">
      <c r="A2765" t="s">
        <v>23355</v>
      </c>
      <c r="B2765">
        <v>1</v>
      </c>
      <c r="C2765">
        <v>1031</v>
      </c>
      <c r="D2765">
        <v>1031</v>
      </c>
      <c r="E2765">
        <v>58</v>
      </c>
      <c r="F2765">
        <v>58</v>
      </c>
      <c r="G2765">
        <v>1031</v>
      </c>
    </row>
    <row r="2766" spans="1:7" ht="15" x14ac:dyDescent="0.25">
      <c r="A2766" t="s">
        <v>23366</v>
      </c>
      <c r="B2766">
        <v>1</v>
      </c>
      <c r="C2766">
        <v>538</v>
      </c>
      <c r="D2766">
        <v>538</v>
      </c>
      <c r="E2766">
        <v>28</v>
      </c>
      <c r="F2766">
        <v>28</v>
      </c>
      <c r="G2766">
        <v>538</v>
      </c>
    </row>
    <row r="2767" spans="1:7" ht="15" x14ac:dyDescent="0.25">
      <c r="A2767" t="s">
        <v>23370</v>
      </c>
      <c r="B2767">
        <v>1</v>
      </c>
      <c r="C2767">
        <v>585</v>
      </c>
      <c r="D2767">
        <v>585</v>
      </c>
      <c r="E2767">
        <v>85</v>
      </c>
      <c r="F2767">
        <v>85</v>
      </c>
      <c r="G2767">
        <v>585</v>
      </c>
    </row>
    <row r="2768" spans="1:7" ht="15" x14ac:dyDescent="0.25">
      <c r="A2768" t="s">
        <v>23374</v>
      </c>
      <c r="B2768">
        <v>1</v>
      </c>
      <c r="C2768">
        <v>241</v>
      </c>
      <c r="D2768">
        <v>241</v>
      </c>
      <c r="E2768">
        <v>17</v>
      </c>
      <c r="F2768">
        <v>17</v>
      </c>
      <c r="G2768">
        <v>241</v>
      </c>
    </row>
    <row r="2769" spans="1:7" ht="15" x14ac:dyDescent="0.25">
      <c r="A2769" t="s">
        <v>23384</v>
      </c>
      <c r="B2769">
        <v>2</v>
      </c>
      <c r="C2769">
        <v>1814</v>
      </c>
      <c r="D2769">
        <v>3632</v>
      </c>
      <c r="E2769">
        <v>45</v>
      </c>
      <c r="F2769">
        <v>22.5</v>
      </c>
      <c r="G2769">
        <v>1818</v>
      </c>
    </row>
    <row r="2770" spans="1:7" ht="15" x14ac:dyDescent="0.25">
      <c r="A2770" t="s">
        <v>23396</v>
      </c>
      <c r="B2770">
        <v>1</v>
      </c>
      <c r="C2770">
        <v>893</v>
      </c>
      <c r="D2770">
        <v>893</v>
      </c>
      <c r="E2770">
        <v>69</v>
      </c>
      <c r="F2770">
        <v>69</v>
      </c>
      <c r="G2770">
        <v>893</v>
      </c>
    </row>
    <row r="2771" spans="1:7" ht="15" x14ac:dyDescent="0.25">
      <c r="A2771" t="s">
        <v>23400</v>
      </c>
      <c r="B2771">
        <v>1</v>
      </c>
      <c r="C2771">
        <v>236</v>
      </c>
      <c r="D2771">
        <v>236</v>
      </c>
      <c r="E2771">
        <v>14</v>
      </c>
      <c r="F2771">
        <v>14</v>
      </c>
      <c r="G2771">
        <v>236</v>
      </c>
    </row>
    <row r="2772" spans="1:7" ht="15" x14ac:dyDescent="0.25">
      <c r="A2772" t="s">
        <v>23408</v>
      </c>
      <c r="B2772">
        <v>1</v>
      </c>
      <c r="C2772">
        <v>95</v>
      </c>
      <c r="D2772">
        <v>95</v>
      </c>
      <c r="E2772">
        <v>11</v>
      </c>
      <c r="F2772">
        <v>11</v>
      </c>
      <c r="G2772">
        <v>95</v>
      </c>
    </row>
    <row r="2773" spans="1:7" ht="15" x14ac:dyDescent="0.25">
      <c r="A2773" t="s">
        <v>23415</v>
      </c>
      <c r="B2773">
        <v>1</v>
      </c>
      <c r="C2773">
        <v>349</v>
      </c>
      <c r="D2773">
        <v>349</v>
      </c>
      <c r="E2773">
        <v>23</v>
      </c>
      <c r="F2773">
        <v>23</v>
      </c>
      <c r="G2773">
        <v>349</v>
      </c>
    </row>
    <row r="2774" spans="1:7" ht="15" x14ac:dyDescent="0.25">
      <c r="A2774" t="s">
        <v>23419</v>
      </c>
      <c r="B2774">
        <v>1</v>
      </c>
      <c r="C2774">
        <v>140</v>
      </c>
      <c r="D2774">
        <v>140</v>
      </c>
      <c r="E2774">
        <v>31</v>
      </c>
      <c r="F2774">
        <v>31</v>
      </c>
      <c r="G2774">
        <v>140</v>
      </c>
    </row>
    <row r="2775" spans="1:7" ht="15" x14ac:dyDescent="0.25">
      <c r="A2775" t="s">
        <v>23428</v>
      </c>
      <c r="B2775">
        <v>1</v>
      </c>
      <c r="C2775">
        <v>51</v>
      </c>
      <c r="D2775">
        <v>51</v>
      </c>
      <c r="E2775">
        <v>10</v>
      </c>
      <c r="F2775">
        <v>10</v>
      </c>
      <c r="G2775">
        <v>51</v>
      </c>
    </row>
    <row r="2776" spans="1:7" ht="15" x14ac:dyDescent="0.25">
      <c r="A2776" t="s">
        <v>23432</v>
      </c>
      <c r="B2776">
        <v>1</v>
      </c>
      <c r="C2776">
        <v>188</v>
      </c>
      <c r="D2776">
        <v>188</v>
      </c>
      <c r="E2776">
        <v>9</v>
      </c>
      <c r="F2776">
        <v>9</v>
      </c>
      <c r="G2776">
        <v>188</v>
      </c>
    </row>
    <row r="2777" spans="1:7" ht="15" x14ac:dyDescent="0.25">
      <c r="A2777" t="s">
        <v>23435</v>
      </c>
      <c r="B2777">
        <v>1</v>
      </c>
      <c r="C2777">
        <v>380</v>
      </c>
      <c r="D2777">
        <v>380</v>
      </c>
      <c r="E2777">
        <v>55</v>
      </c>
      <c r="F2777">
        <v>55</v>
      </c>
      <c r="G2777">
        <v>380</v>
      </c>
    </row>
    <row r="2778" spans="1:7" ht="15" x14ac:dyDescent="0.25">
      <c r="A2778" t="s">
        <v>23440</v>
      </c>
      <c r="B2778">
        <v>1</v>
      </c>
      <c r="C2778">
        <v>165</v>
      </c>
      <c r="D2778">
        <v>165</v>
      </c>
      <c r="E2778">
        <v>48</v>
      </c>
      <c r="F2778">
        <v>48</v>
      </c>
      <c r="G2778">
        <v>165</v>
      </c>
    </row>
    <row r="2779" spans="1:7" ht="15" x14ac:dyDescent="0.25">
      <c r="A2779" t="s">
        <v>23445</v>
      </c>
      <c r="B2779">
        <v>1</v>
      </c>
      <c r="C2779">
        <v>124</v>
      </c>
      <c r="D2779">
        <v>124</v>
      </c>
      <c r="E2779">
        <v>7</v>
      </c>
      <c r="F2779">
        <v>7</v>
      </c>
      <c r="G2779">
        <v>124</v>
      </c>
    </row>
    <row r="2780" spans="1:7" ht="15" x14ac:dyDescent="0.25">
      <c r="A2780" t="s">
        <v>23457</v>
      </c>
      <c r="B2780">
        <v>1</v>
      </c>
      <c r="C2780">
        <v>61</v>
      </c>
      <c r="D2780">
        <v>61</v>
      </c>
      <c r="E2780">
        <v>9</v>
      </c>
      <c r="F2780">
        <v>9</v>
      </c>
      <c r="G2780">
        <v>61</v>
      </c>
    </row>
    <row r="2781" spans="1:7" ht="15" x14ac:dyDescent="0.25">
      <c r="A2781" t="s">
        <v>23466</v>
      </c>
      <c r="B2781">
        <v>1</v>
      </c>
      <c r="C2781">
        <v>274</v>
      </c>
      <c r="D2781">
        <v>274</v>
      </c>
      <c r="E2781">
        <v>53</v>
      </c>
      <c r="F2781">
        <v>53</v>
      </c>
      <c r="G2781">
        <v>274</v>
      </c>
    </row>
    <row r="2782" spans="1:7" ht="15" x14ac:dyDescent="0.25">
      <c r="A2782" t="s">
        <v>23475</v>
      </c>
      <c r="B2782">
        <v>1</v>
      </c>
      <c r="C2782">
        <v>376</v>
      </c>
      <c r="D2782">
        <v>376</v>
      </c>
      <c r="E2782">
        <v>100</v>
      </c>
      <c r="F2782">
        <v>100</v>
      </c>
      <c r="G2782">
        <v>376</v>
      </c>
    </row>
    <row r="2783" spans="1:7" ht="15" x14ac:dyDescent="0.25">
      <c r="A2783" t="s">
        <v>23480</v>
      </c>
      <c r="B2783">
        <v>1</v>
      </c>
      <c r="C2783">
        <v>633</v>
      </c>
      <c r="D2783">
        <v>633</v>
      </c>
      <c r="E2783">
        <v>33</v>
      </c>
      <c r="F2783">
        <v>33</v>
      </c>
      <c r="G2783">
        <v>633</v>
      </c>
    </row>
    <row r="2784" spans="1:7" ht="15" x14ac:dyDescent="0.25">
      <c r="A2784" t="s">
        <v>23485</v>
      </c>
      <c r="B2784">
        <v>1</v>
      </c>
      <c r="C2784">
        <v>184</v>
      </c>
      <c r="D2784">
        <v>184</v>
      </c>
      <c r="E2784">
        <v>63</v>
      </c>
      <c r="F2784">
        <v>63</v>
      </c>
      <c r="G2784">
        <v>184</v>
      </c>
    </row>
    <row r="2785" spans="1:7" ht="15" x14ac:dyDescent="0.25">
      <c r="A2785" t="s">
        <v>23490</v>
      </c>
      <c r="B2785">
        <v>1</v>
      </c>
      <c r="C2785">
        <v>219</v>
      </c>
      <c r="D2785">
        <v>219</v>
      </c>
      <c r="E2785">
        <v>69</v>
      </c>
      <c r="F2785">
        <v>69</v>
      </c>
      <c r="G2785">
        <v>219</v>
      </c>
    </row>
    <row r="2786" spans="1:7" ht="15" x14ac:dyDescent="0.25">
      <c r="A2786" t="s">
        <v>23496</v>
      </c>
      <c r="B2786">
        <v>1</v>
      </c>
      <c r="C2786">
        <v>283</v>
      </c>
      <c r="D2786">
        <v>283</v>
      </c>
      <c r="E2786">
        <v>37</v>
      </c>
      <c r="F2786">
        <v>37</v>
      </c>
      <c r="G2786">
        <v>283</v>
      </c>
    </row>
    <row r="2787" spans="1:7" ht="15" x14ac:dyDescent="0.25">
      <c r="A2787" t="s">
        <v>23500</v>
      </c>
      <c r="B2787">
        <v>1</v>
      </c>
      <c r="C2787">
        <v>39</v>
      </c>
      <c r="D2787">
        <v>39</v>
      </c>
      <c r="E2787">
        <v>12</v>
      </c>
      <c r="F2787">
        <v>12</v>
      </c>
      <c r="G2787">
        <v>39</v>
      </c>
    </row>
    <row r="2788" spans="1:7" ht="15" x14ac:dyDescent="0.25">
      <c r="A2788" t="s">
        <v>23507</v>
      </c>
      <c r="B2788">
        <v>1</v>
      </c>
      <c r="C2788">
        <v>762</v>
      </c>
      <c r="D2788">
        <v>762</v>
      </c>
      <c r="E2788">
        <v>30</v>
      </c>
      <c r="F2788">
        <v>30</v>
      </c>
      <c r="G2788">
        <v>762</v>
      </c>
    </row>
    <row r="2789" spans="1:7" ht="15" x14ac:dyDescent="0.25">
      <c r="A2789" t="s">
        <v>23513</v>
      </c>
      <c r="B2789">
        <v>1</v>
      </c>
      <c r="C2789">
        <v>1771</v>
      </c>
      <c r="D2789">
        <v>1771</v>
      </c>
      <c r="E2789">
        <v>96</v>
      </c>
      <c r="F2789">
        <v>96</v>
      </c>
      <c r="G2789">
        <v>1771</v>
      </c>
    </row>
    <row r="2790" spans="1:7" ht="15" x14ac:dyDescent="0.25">
      <c r="A2790" t="s">
        <v>23521</v>
      </c>
      <c r="B2790">
        <v>1</v>
      </c>
      <c r="C2790">
        <v>2851</v>
      </c>
      <c r="D2790">
        <v>2851</v>
      </c>
      <c r="E2790">
        <v>1127</v>
      </c>
      <c r="F2790">
        <v>1127</v>
      </c>
      <c r="G2790">
        <v>2851</v>
      </c>
    </row>
    <row r="2791" spans="1:7" ht="15" x14ac:dyDescent="0.25">
      <c r="A2791" t="s">
        <v>23525</v>
      </c>
      <c r="B2791">
        <v>1</v>
      </c>
      <c r="C2791">
        <v>214</v>
      </c>
      <c r="D2791">
        <v>214</v>
      </c>
      <c r="E2791">
        <v>23</v>
      </c>
      <c r="F2791">
        <v>23</v>
      </c>
      <c r="G2791">
        <v>214</v>
      </c>
    </row>
    <row r="2792" spans="1:7" ht="15" x14ac:dyDescent="0.25">
      <c r="A2792" t="s">
        <v>23530</v>
      </c>
      <c r="B2792">
        <v>1</v>
      </c>
      <c r="C2792">
        <v>1027</v>
      </c>
      <c r="D2792">
        <v>1027</v>
      </c>
      <c r="E2792">
        <v>28</v>
      </c>
      <c r="F2792">
        <v>28</v>
      </c>
      <c r="G2792">
        <v>1027</v>
      </c>
    </row>
    <row r="2793" spans="1:7" ht="15" x14ac:dyDescent="0.25">
      <c r="A2793" t="s">
        <v>23542</v>
      </c>
      <c r="B2793">
        <v>2</v>
      </c>
      <c r="C2793">
        <v>124</v>
      </c>
      <c r="D2793">
        <v>248</v>
      </c>
      <c r="E2793">
        <v>36</v>
      </c>
      <c r="F2793">
        <v>18</v>
      </c>
      <c r="G2793">
        <v>124</v>
      </c>
    </row>
    <row r="2794" spans="1:7" ht="15" x14ac:dyDescent="0.25">
      <c r="A2794" t="s">
        <v>23547</v>
      </c>
      <c r="B2794">
        <v>2</v>
      </c>
      <c r="C2794">
        <v>41</v>
      </c>
      <c r="D2794">
        <v>83</v>
      </c>
      <c r="E2794">
        <v>30</v>
      </c>
      <c r="F2794">
        <v>15</v>
      </c>
      <c r="G2794">
        <v>42</v>
      </c>
    </row>
    <row r="2795" spans="1:7" ht="15" x14ac:dyDescent="0.25">
      <c r="A2795" t="s">
        <v>23549</v>
      </c>
      <c r="B2795">
        <v>1</v>
      </c>
      <c r="C2795">
        <v>198</v>
      </c>
      <c r="D2795">
        <v>198</v>
      </c>
      <c r="E2795">
        <v>15</v>
      </c>
      <c r="F2795">
        <v>15</v>
      </c>
      <c r="G2795">
        <v>198</v>
      </c>
    </row>
    <row r="2796" spans="1:7" ht="15" x14ac:dyDescent="0.25">
      <c r="A2796" t="s">
        <v>23554</v>
      </c>
      <c r="B2796">
        <v>1</v>
      </c>
      <c r="C2796">
        <v>6633</v>
      </c>
      <c r="D2796">
        <v>6633</v>
      </c>
      <c r="E2796">
        <v>39</v>
      </c>
      <c r="F2796">
        <v>39</v>
      </c>
      <c r="G2796">
        <v>6633</v>
      </c>
    </row>
    <row r="2797" spans="1:7" ht="15" x14ac:dyDescent="0.25">
      <c r="A2797" t="s">
        <v>23560</v>
      </c>
      <c r="B2797">
        <v>1</v>
      </c>
      <c r="C2797">
        <v>873</v>
      </c>
      <c r="D2797">
        <v>873</v>
      </c>
      <c r="E2797">
        <v>114</v>
      </c>
      <c r="F2797">
        <v>114</v>
      </c>
      <c r="G2797">
        <v>873</v>
      </c>
    </row>
    <row r="2798" spans="1:7" ht="15" x14ac:dyDescent="0.25">
      <c r="A2798" t="s">
        <v>23567</v>
      </c>
      <c r="B2798">
        <v>1</v>
      </c>
      <c r="C2798">
        <v>19</v>
      </c>
      <c r="D2798">
        <v>19</v>
      </c>
      <c r="E2798">
        <v>9</v>
      </c>
      <c r="F2798">
        <v>9</v>
      </c>
      <c r="G2798">
        <v>19</v>
      </c>
    </row>
    <row r="2799" spans="1:7" ht="15" x14ac:dyDescent="0.25">
      <c r="A2799" t="s">
        <v>23575</v>
      </c>
      <c r="B2799">
        <v>1</v>
      </c>
      <c r="C2799">
        <v>57</v>
      </c>
      <c r="D2799">
        <v>57</v>
      </c>
      <c r="E2799">
        <v>18</v>
      </c>
      <c r="F2799">
        <v>18</v>
      </c>
      <c r="G2799">
        <v>57</v>
      </c>
    </row>
    <row r="2800" spans="1:7" ht="15" x14ac:dyDescent="0.25">
      <c r="A2800" t="s">
        <v>23585</v>
      </c>
      <c r="B2800">
        <v>1</v>
      </c>
      <c r="D2800">
        <v>0</v>
      </c>
      <c r="E2800">
        <v>55</v>
      </c>
      <c r="F2800">
        <v>55</v>
      </c>
    </row>
    <row r="2801" spans="1:7" ht="15" x14ac:dyDescent="0.25">
      <c r="A2801" t="s">
        <v>23595</v>
      </c>
      <c r="B2801">
        <v>2</v>
      </c>
      <c r="C2801">
        <v>261</v>
      </c>
      <c r="D2801">
        <v>525</v>
      </c>
      <c r="E2801">
        <v>88</v>
      </c>
      <c r="F2801">
        <v>44</v>
      </c>
      <c r="G2801">
        <v>264</v>
      </c>
    </row>
    <row r="2802" spans="1:7" ht="15" x14ac:dyDescent="0.25">
      <c r="A2802" t="s">
        <v>23609</v>
      </c>
      <c r="B2802">
        <v>1</v>
      </c>
      <c r="C2802">
        <v>402</v>
      </c>
      <c r="D2802">
        <v>402</v>
      </c>
      <c r="E2802">
        <v>44</v>
      </c>
      <c r="F2802">
        <v>44</v>
      </c>
      <c r="G2802">
        <v>402</v>
      </c>
    </row>
    <row r="2803" spans="1:7" ht="15" x14ac:dyDescent="0.25">
      <c r="A2803" t="s">
        <v>23613</v>
      </c>
      <c r="B2803">
        <v>1</v>
      </c>
      <c r="C2803">
        <v>245</v>
      </c>
      <c r="D2803">
        <v>245</v>
      </c>
      <c r="E2803">
        <v>19</v>
      </c>
      <c r="F2803">
        <v>19</v>
      </c>
      <c r="G2803">
        <v>245</v>
      </c>
    </row>
    <row r="2804" spans="1:7" ht="15" x14ac:dyDescent="0.25">
      <c r="A2804" t="s">
        <v>23618</v>
      </c>
      <c r="B2804">
        <v>1</v>
      </c>
      <c r="C2804">
        <v>130</v>
      </c>
      <c r="D2804">
        <v>130</v>
      </c>
      <c r="E2804">
        <v>20</v>
      </c>
      <c r="F2804">
        <v>20</v>
      </c>
      <c r="G2804">
        <v>130</v>
      </c>
    </row>
    <row r="2805" spans="1:7" ht="15" x14ac:dyDescent="0.25">
      <c r="A2805" t="s">
        <v>23624</v>
      </c>
      <c r="B2805">
        <v>1</v>
      </c>
      <c r="C2805">
        <v>527</v>
      </c>
      <c r="D2805">
        <v>527</v>
      </c>
      <c r="E2805">
        <v>46</v>
      </c>
      <c r="F2805">
        <v>46</v>
      </c>
      <c r="G2805">
        <v>527</v>
      </c>
    </row>
    <row r="2806" spans="1:7" ht="15" x14ac:dyDescent="0.25">
      <c r="A2806" t="s">
        <v>23632</v>
      </c>
      <c r="B2806">
        <v>1</v>
      </c>
      <c r="C2806">
        <v>823</v>
      </c>
      <c r="D2806">
        <v>823</v>
      </c>
      <c r="E2806">
        <v>27</v>
      </c>
      <c r="F2806">
        <v>27</v>
      </c>
      <c r="G2806">
        <v>823</v>
      </c>
    </row>
    <row r="2807" spans="1:7" ht="15" x14ac:dyDescent="0.25">
      <c r="A2807" t="s">
        <v>23635</v>
      </c>
      <c r="B2807">
        <v>1</v>
      </c>
      <c r="C2807">
        <v>1134</v>
      </c>
      <c r="D2807">
        <v>1134</v>
      </c>
      <c r="E2807">
        <v>106</v>
      </c>
      <c r="F2807">
        <v>106</v>
      </c>
      <c r="G2807">
        <v>1134</v>
      </c>
    </row>
    <row r="2808" spans="1:7" ht="15" x14ac:dyDescent="0.25">
      <c r="A2808" t="s">
        <v>23639</v>
      </c>
      <c r="B2808">
        <v>1</v>
      </c>
      <c r="C2808">
        <v>4392</v>
      </c>
      <c r="D2808">
        <v>4392</v>
      </c>
      <c r="E2808">
        <v>45</v>
      </c>
      <c r="F2808">
        <v>45</v>
      </c>
      <c r="G2808">
        <v>4392</v>
      </c>
    </row>
    <row r="2809" spans="1:7" ht="15" x14ac:dyDescent="0.25">
      <c r="A2809" t="s">
        <v>23643</v>
      </c>
      <c r="B2809">
        <v>1</v>
      </c>
      <c r="C2809">
        <v>574</v>
      </c>
      <c r="D2809">
        <v>574</v>
      </c>
      <c r="E2809">
        <v>17</v>
      </c>
      <c r="F2809">
        <v>17</v>
      </c>
      <c r="G2809">
        <v>574</v>
      </c>
    </row>
    <row r="2810" spans="1:7" ht="15" x14ac:dyDescent="0.25">
      <c r="A2810" t="s">
        <v>23652</v>
      </c>
      <c r="B2810">
        <v>1</v>
      </c>
      <c r="C2810">
        <v>60</v>
      </c>
      <c r="D2810">
        <v>60</v>
      </c>
      <c r="E2810">
        <v>2</v>
      </c>
      <c r="F2810">
        <v>2</v>
      </c>
      <c r="G2810">
        <v>60</v>
      </c>
    </row>
    <row r="2811" spans="1:7" ht="15" x14ac:dyDescent="0.25">
      <c r="A2811" t="s">
        <v>23659</v>
      </c>
      <c r="B2811">
        <v>1</v>
      </c>
      <c r="C2811">
        <v>3375</v>
      </c>
      <c r="D2811">
        <v>3375</v>
      </c>
      <c r="E2811">
        <v>71</v>
      </c>
      <c r="F2811">
        <v>71</v>
      </c>
      <c r="G2811">
        <v>3375</v>
      </c>
    </row>
    <row r="2812" spans="1:7" ht="15" x14ac:dyDescent="0.25">
      <c r="A2812" t="s">
        <v>23672</v>
      </c>
      <c r="B2812">
        <v>1</v>
      </c>
      <c r="C2812">
        <v>169</v>
      </c>
      <c r="D2812">
        <v>169</v>
      </c>
      <c r="E2812">
        <v>78</v>
      </c>
      <c r="F2812">
        <v>78</v>
      </c>
      <c r="G2812">
        <v>169</v>
      </c>
    </row>
    <row r="2813" spans="1:7" ht="15" x14ac:dyDescent="0.25">
      <c r="A2813" t="s">
        <v>23680</v>
      </c>
      <c r="B2813">
        <v>1</v>
      </c>
      <c r="C2813">
        <v>238</v>
      </c>
      <c r="D2813">
        <v>238</v>
      </c>
      <c r="E2813">
        <v>81</v>
      </c>
      <c r="F2813">
        <v>81</v>
      </c>
      <c r="G2813">
        <v>238</v>
      </c>
    </row>
    <row r="2814" spans="1:7" ht="15" x14ac:dyDescent="0.25">
      <c r="A2814" t="s">
        <v>23683</v>
      </c>
      <c r="B2814">
        <v>1</v>
      </c>
      <c r="D2814">
        <v>0</v>
      </c>
      <c r="E2814">
        <v>17</v>
      </c>
      <c r="F2814">
        <v>17</v>
      </c>
    </row>
    <row r="2815" spans="1:7" ht="15" x14ac:dyDescent="0.25">
      <c r="A2815" t="s">
        <v>23690</v>
      </c>
      <c r="B2815">
        <v>1</v>
      </c>
      <c r="C2815">
        <v>22</v>
      </c>
      <c r="D2815">
        <v>22</v>
      </c>
      <c r="E2815">
        <v>16</v>
      </c>
      <c r="F2815">
        <v>16</v>
      </c>
      <c r="G2815">
        <v>22</v>
      </c>
    </row>
    <row r="2816" spans="1:7" ht="15" x14ac:dyDescent="0.25">
      <c r="A2816" t="s">
        <v>23696</v>
      </c>
      <c r="B2816">
        <v>1</v>
      </c>
      <c r="C2816">
        <v>1</v>
      </c>
      <c r="D2816">
        <v>1</v>
      </c>
      <c r="E2816">
        <v>6</v>
      </c>
      <c r="F2816">
        <v>6</v>
      </c>
      <c r="G2816">
        <v>1</v>
      </c>
    </row>
    <row r="2817" spans="1:7" ht="15" x14ac:dyDescent="0.25">
      <c r="A2817" t="s">
        <v>23701</v>
      </c>
      <c r="B2817">
        <v>1</v>
      </c>
      <c r="C2817">
        <v>819</v>
      </c>
      <c r="D2817">
        <v>819</v>
      </c>
      <c r="E2817">
        <v>57</v>
      </c>
      <c r="F2817">
        <v>57</v>
      </c>
      <c r="G2817">
        <v>819</v>
      </c>
    </row>
    <row r="2818" spans="1:7" ht="15" x14ac:dyDescent="0.25">
      <c r="A2818" t="s">
        <v>23716</v>
      </c>
      <c r="B2818">
        <v>3</v>
      </c>
      <c r="C2818">
        <v>58</v>
      </c>
      <c r="D2818">
        <v>178</v>
      </c>
      <c r="E2818">
        <v>24</v>
      </c>
      <c r="F2818">
        <v>8</v>
      </c>
      <c r="G2818">
        <v>60</v>
      </c>
    </row>
    <row r="2819" spans="1:7" ht="15" x14ac:dyDescent="0.25">
      <c r="A2819" t="s">
        <v>23724</v>
      </c>
      <c r="B2819">
        <v>1</v>
      </c>
      <c r="C2819">
        <v>12</v>
      </c>
      <c r="D2819">
        <v>12</v>
      </c>
      <c r="E2819">
        <v>13</v>
      </c>
      <c r="F2819">
        <v>13</v>
      </c>
      <c r="G2819">
        <v>12</v>
      </c>
    </row>
    <row r="2820" spans="1:7" ht="15" x14ac:dyDescent="0.25">
      <c r="A2820" t="s">
        <v>23730</v>
      </c>
      <c r="B2820">
        <v>1</v>
      </c>
      <c r="C2820">
        <v>50</v>
      </c>
      <c r="D2820">
        <v>50</v>
      </c>
      <c r="E2820">
        <v>9</v>
      </c>
      <c r="F2820">
        <v>9</v>
      </c>
      <c r="G2820">
        <v>50</v>
      </c>
    </row>
    <row r="2821" spans="1:7" ht="15" x14ac:dyDescent="0.25">
      <c r="A2821" t="s">
        <v>23746</v>
      </c>
      <c r="B2821">
        <v>1</v>
      </c>
      <c r="C2821">
        <v>0</v>
      </c>
      <c r="D2821">
        <v>0</v>
      </c>
      <c r="E2821">
        <v>0</v>
      </c>
      <c r="F2821">
        <v>0</v>
      </c>
      <c r="G2821">
        <v>0</v>
      </c>
    </row>
    <row r="2822" spans="1:7" ht="15" x14ac:dyDescent="0.25">
      <c r="A2822" t="s">
        <v>23772</v>
      </c>
      <c r="B2822">
        <v>1</v>
      </c>
      <c r="C2822">
        <v>296</v>
      </c>
      <c r="D2822">
        <v>296</v>
      </c>
      <c r="E2822">
        <v>48</v>
      </c>
      <c r="F2822">
        <v>48</v>
      </c>
      <c r="G2822">
        <v>296</v>
      </c>
    </row>
    <row r="2823" spans="1:7" ht="15" x14ac:dyDescent="0.25">
      <c r="A2823" t="s">
        <v>23777</v>
      </c>
      <c r="B2823">
        <v>2</v>
      </c>
      <c r="C2823">
        <v>583</v>
      </c>
      <c r="D2823">
        <v>1168</v>
      </c>
      <c r="E2823">
        <v>69</v>
      </c>
      <c r="F2823">
        <v>34.5</v>
      </c>
      <c r="G2823">
        <v>585</v>
      </c>
    </row>
    <row r="2824" spans="1:7" ht="15" x14ac:dyDescent="0.25">
      <c r="A2824" t="s">
        <v>23793</v>
      </c>
      <c r="B2824">
        <v>1</v>
      </c>
      <c r="C2824">
        <v>224</v>
      </c>
      <c r="D2824">
        <v>224</v>
      </c>
      <c r="E2824">
        <v>7</v>
      </c>
      <c r="F2824">
        <v>7</v>
      </c>
      <c r="G2824">
        <v>224</v>
      </c>
    </row>
    <row r="2825" spans="1:7" ht="15" x14ac:dyDescent="0.25">
      <c r="A2825" t="s">
        <v>23799</v>
      </c>
      <c r="B2825">
        <v>1</v>
      </c>
      <c r="C2825">
        <v>253</v>
      </c>
      <c r="D2825">
        <v>253</v>
      </c>
      <c r="E2825">
        <v>47</v>
      </c>
      <c r="F2825">
        <v>47</v>
      </c>
      <c r="G2825">
        <v>253</v>
      </c>
    </row>
    <row r="2826" spans="1:7" ht="15" x14ac:dyDescent="0.25">
      <c r="A2826" t="s">
        <v>23809</v>
      </c>
      <c r="B2826">
        <v>1</v>
      </c>
      <c r="C2826">
        <v>703</v>
      </c>
      <c r="D2826">
        <v>703</v>
      </c>
      <c r="E2826">
        <v>37</v>
      </c>
      <c r="F2826">
        <v>37</v>
      </c>
      <c r="G2826">
        <v>703</v>
      </c>
    </row>
    <row r="2827" spans="1:7" ht="15" x14ac:dyDescent="0.25">
      <c r="A2827" t="s">
        <v>23820</v>
      </c>
      <c r="B2827">
        <v>1</v>
      </c>
      <c r="C2827">
        <v>930</v>
      </c>
      <c r="D2827">
        <v>930</v>
      </c>
      <c r="E2827">
        <v>165</v>
      </c>
      <c r="F2827">
        <v>165</v>
      </c>
      <c r="G2827">
        <v>930</v>
      </c>
    </row>
    <row r="2828" spans="1:7" ht="15" x14ac:dyDescent="0.25">
      <c r="A2828" t="s">
        <v>23825</v>
      </c>
      <c r="B2828">
        <v>1</v>
      </c>
      <c r="C2828">
        <v>122</v>
      </c>
      <c r="D2828">
        <v>122</v>
      </c>
      <c r="E2828">
        <v>42</v>
      </c>
      <c r="F2828">
        <v>42</v>
      </c>
      <c r="G2828">
        <v>122</v>
      </c>
    </row>
    <row r="2829" spans="1:7" ht="15" x14ac:dyDescent="0.25">
      <c r="A2829" t="s">
        <v>23829</v>
      </c>
      <c r="B2829">
        <v>2</v>
      </c>
      <c r="C2829">
        <v>435</v>
      </c>
      <c r="D2829">
        <v>859</v>
      </c>
      <c r="E2829">
        <v>54</v>
      </c>
      <c r="F2829">
        <v>27</v>
      </c>
      <c r="G2829">
        <v>435</v>
      </c>
    </row>
    <row r="2830" spans="1:7" ht="15" x14ac:dyDescent="0.25">
      <c r="A2830" t="s">
        <v>23836</v>
      </c>
      <c r="B2830">
        <v>1</v>
      </c>
      <c r="C2830">
        <v>61</v>
      </c>
      <c r="D2830">
        <v>61</v>
      </c>
      <c r="E2830">
        <v>15</v>
      </c>
      <c r="F2830">
        <v>15</v>
      </c>
      <c r="G2830">
        <v>61</v>
      </c>
    </row>
    <row r="2831" spans="1:7" ht="15" x14ac:dyDescent="0.25">
      <c r="A2831" t="s">
        <v>23842</v>
      </c>
      <c r="B2831">
        <v>1</v>
      </c>
      <c r="C2831">
        <v>110</v>
      </c>
      <c r="D2831">
        <v>110</v>
      </c>
      <c r="E2831">
        <v>41</v>
      </c>
      <c r="F2831">
        <v>41</v>
      </c>
      <c r="G2831">
        <v>110</v>
      </c>
    </row>
    <row r="2832" spans="1:7" ht="15" x14ac:dyDescent="0.25">
      <c r="A2832" t="s">
        <v>23848</v>
      </c>
      <c r="B2832">
        <v>1</v>
      </c>
      <c r="C2832">
        <v>196</v>
      </c>
      <c r="D2832">
        <v>196</v>
      </c>
      <c r="E2832">
        <v>23</v>
      </c>
      <c r="F2832">
        <v>23</v>
      </c>
      <c r="G2832">
        <v>196</v>
      </c>
    </row>
    <row r="2833" spans="1:7" ht="15" x14ac:dyDescent="0.25">
      <c r="A2833" t="s">
        <v>23856</v>
      </c>
      <c r="B2833">
        <v>1</v>
      </c>
      <c r="C2833">
        <v>263</v>
      </c>
      <c r="D2833">
        <v>263</v>
      </c>
      <c r="E2833">
        <v>66</v>
      </c>
      <c r="F2833">
        <v>66</v>
      </c>
      <c r="G2833">
        <v>263</v>
      </c>
    </row>
    <row r="2834" spans="1:7" ht="15" x14ac:dyDescent="0.25">
      <c r="A2834" t="s">
        <v>23861</v>
      </c>
      <c r="B2834">
        <v>1</v>
      </c>
      <c r="C2834">
        <v>249</v>
      </c>
      <c r="D2834">
        <v>249</v>
      </c>
      <c r="E2834">
        <v>74</v>
      </c>
      <c r="F2834">
        <v>74</v>
      </c>
      <c r="G2834">
        <v>249</v>
      </c>
    </row>
    <row r="2835" spans="1:7" ht="15" x14ac:dyDescent="0.25">
      <c r="A2835" t="s">
        <v>23870</v>
      </c>
      <c r="B2835">
        <v>1</v>
      </c>
      <c r="C2835">
        <v>313</v>
      </c>
      <c r="D2835">
        <v>313</v>
      </c>
      <c r="E2835">
        <v>60</v>
      </c>
      <c r="F2835">
        <v>60</v>
      </c>
      <c r="G2835">
        <v>313</v>
      </c>
    </row>
    <row r="2836" spans="1:7" ht="15" x14ac:dyDescent="0.25">
      <c r="A2836" t="s">
        <v>23874</v>
      </c>
      <c r="B2836">
        <v>1</v>
      </c>
      <c r="C2836">
        <v>462</v>
      </c>
      <c r="D2836">
        <v>462</v>
      </c>
      <c r="E2836">
        <v>22</v>
      </c>
      <c r="F2836">
        <v>22</v>
      </c>
      <c r="G2836">
        <v>462</v>
      </c>
    </row>
    <row r="2837" spans="1:7" ht="15" x14ac:dyDescent="0.25">
      <c r="A2837" t="s">
        <v>23878</v>
      </c>
      <c r="B2837">
        <v>1</v>
      </c>
      <c r="C2837">
        <v>115</v>
      </c>
      <c r="D2837">
        <v>115</v>
      </c>
      <c r="E2837">
        <v>37</v>
      </c>
      <c r="F2837">
        <v>37</v>
      </c>
      <c r="G2837">
        <v>115</v>
      </c>
    </row>
    <row r="2838" spans="1:7" ht="15" x14ac:dyDescent="0.25">
      <c r="A2838" t="s">
        <v>23888</v>
      </c>
      <c r="B2838">
        <v>2</v>
      </c>
      <c r="C2838">
        <v>21</v>
      </c>
      <c r="D2838">
        <v>42</v>
      </c>
      <c r="E2838">
        <v>19</v>
      </c>
      <c r="F2838">
        <v>9.5</v>
      </c>
      <c r="G2838">
        <v>21</v>
      </c>
    </row>
    <row r="2839" spans="1:7" ht="15" x14ac:dyDescent="0.25">
      <c r="A2839" t="s">
        <v>23898</v>
      </c>
      <c r="B2839">
        <v>1</v>
      </c>
      <c r="C2839">
        <v>50</v>
      </c>
      <c r="D2839">
        <v>50</v>
      </c>
      <c r="E2839">
        <v>13</v>
      </c>
      <c r="F2839">
        <v>13</v>
      </c>
      <c r="G2839">
        <v>50</v>
      </c>
    </row>
    <row r="2840" spans="1:7" ht="15" x14ac:dyDescent="0.25">
      <c r="A2840" t="s">
        <v>23914</v>
      </c>
      <c r="B2840">
        <v>1</v>
      </c>
      <c r="C2840">
        <v>288</v>
      </c>
      <c r="D2840">
        <v>288</v>
      </c>
      <c r="E2840">
        <v>91</v>
      </c>
      <c r="F2840">
        <v>91</v>
      </c>
      <c r="G2840">
        <v>288</v>
      </c>
    </row>
    <row r="2841" spans="1:7" ht="15" x14ac:dyDescent="0.25">
      <c r="A2841" t="s">
        <v>23917</v>
      </c>
      <c r="B2841">
        <v>1</v>
      </c>
      <c r="C2841">
        <v>269</v>
      </c>
      <c r="D2841">
        <v>269</v>
      </c>
      <c r="E2841">
        <v>34</v>
      </c>
      <c r="F2841">
        <v>34</v>
      </c>
      <c r="G2841">
        <v>269</v>
      </c>
    </row>
    <row r="2842" spans="1:7" ht="15" x14ac:dyDescent="0.25">
      <c r="A2842" t="s">
        <v>23929</v>
      </c>
      <c r="B2842">
        <v>1</v>
      </c>
      <c r="C2842">
        <v>90</v>
      </c>
      <c r="D2842">
        <v>90</v>
      </c>
      <c r="E2842">
        <v>27</v>
      </c>
      <c r="F2842">
        <v>27</v>
      </c>
      <c r="G2842">
        <v>90</v>
      </c>
    </row>
    <row r="2843" spans="1:7" ht="15" x14ac:dyDescent="0.25">
      <c r="A2843" t="s">
        <v>23934</v>
      </c>
      <c r="B2843">
        <v>1</v>
      </c>
      <c r="C2843">
        <v>383</v>
      </c>
      <c r="D2843">
        <v>383</v>
      </c>
      <c r="E2843">
        <v>19</v>
      </c>
      <c r="F2843">
        <v>19</v>
      </c>
      <c r="G2843">
        <v>383</v>
      </c>
    </row>
    <row r="2844" spans="1:7" ht="15" x14ac:dyDescent="0.25">
      <c r="A2844" t="s">
        <v>23948</v>
      </c>
      <c r="B2844">
        <v>1</v>
      </c>
      <c r="C2844">
        <v>320</v>
      </c>
      <c r="D2844">
        <v>320</v>
      </c>
      <c r="E2844">
        <v>19</v>
      </c>
      <c r="F2844">
        <v>19</v>
      </c>
      <c r="G2844">
        <v>320</v>
      </c>
    </row>
    <row r="2845" spans="1:7" ht="15" x14ac:dyDescent="0.25">
      <c r="A2845" t="s">
        <v>23953</v>
      </c>
      <c r="B2845">
        <v>1</v>
      </c>
      <c r="C2845">
        <v>116</v>
      </c>
      <c r="D2845">
        <v>116</v>
      </c>
      <c r="E2845">
        <v>11</v>
      </c>
      <c r="F2845">
        <v>11</v>
      </c>
      <c r="G2845">
        <v>116</v>
      </c>
    </row>
    <row r="2846" spans="1:7" ht="15" x14ac:dyDescent="0.25">
      <c r="A2846" t="s">
        <v>23959</v>
      </c>
      <c r="B2846">
        <v>1</v>
      </c>
      <c r="C2846">
        <v>385</v>
      </c>
      <c r="D2846">
        <v>385</v>
      </c>
      <c r="E2846">
        <v>56</v>
      </c>
      <c r="F2846">
        <v>56</v>
      </c>
      <c r="G2846">
        <v>385</v>
      </c>
    </row>
    <row r="2847" spans="1:7" ht="15" x14ac:dyDescent="0.25">
      <c r="A2847" t="s">
        <v>23963</v>
      </c>
      <c r="B2847">
        <v>1</v>
      </c>
      <c r="C2847">
        <v>306</v>
      </c>
      <c r="D2847">
        <v>306</v>
      </c>
      <c r="E2847">
        <v>87</v>
      </c>
      <c r="F2847">
        <v>87</v>
      </c>
      <c r="G2847">
        <v>306</v>
      </c>
    </row>
    <row r="2848" spans="1:7" ht="15" x14ac:dyDescent="0.25">
      <c r="A2848" t="s">
        <v>23970</v>
      </c>
      <c r="B2848">
        <v>1</v>
      </c>
      <c r="C2848">
        <v>19830</v>
      </c>
      <c r="D2848">
        <v>19830</v>
      </c>
      <c r="E2848">
        <v>2193</v>
      </c>
      <c r="F2848">
        <v>2193</v>
      </c>
      <c r="G2848">
        <v>19830</v>
      </c>
    </row>
    <row r="2849" spans="1:7" ht="15" x14ac:dyDescent="0.25">
      <c r="A2849" t="s">
        <v>23981</v>
      </c>
      <c r="B2849">
        <v>1</v>
      </c>
      <c r="C2849">
        <v>319</v>
      </c>
      <c r="D2849">
        <v>319</v>
      </c>
      <c r="E2849">
        <v>100</v>
      </c>
      <c r="F2849">
        <v>100</v>
      </c>
      <c r="G2849">
        <v>319</v>
      </c>
    </row>
    <row r="2850" spans="1:7" ht="15" x14ac:dyDescent="0.25">
      <c r="A2850" t="s">
        <v>23988</v>
      </c>
      <c r="B2850">
        <v>1</v>
      </c>
      <c r="C2850">
        <v>152</v>
      </c>
      <c r="D2850">
        <v>152</v>
      </c>
      <c r="E2850">
        <v>66</v>
      </c>
      <c r="F2850">
        <v>66</v>
      </c>
      <c r="G2850">
        <v>152</v>
      </c>
    </row>
    <row r="2851" spans="1:7" ht="15" x14ac:dyDescent="0.25">
      <c r="A2851" t="s">
        <v>23996</v>
      </c>
      <c r="B2851">
        <v>1</v>
      </c>
      <c r="C2851">
        <v>266</v>
      </c>
      <c r="D2851">
        <v>266</v>
      </c>
      <c r="E2851">
        <v>71</v>
      </c>
      <c r="F2851">
        <v>71</v>
      </c>
      <c r="G2851">
        <v>266</v>
      </c>
    </row>
    <row r="2852" spans="1:7" ht="15" x14ac:dyDescent="0.25">
      <c r="A2852" t="s">
        <v>24002</v>
      </c>
      <c r="B2852">
        <v>1</v>
      </c>
      <c r="C2852">
        <v>176</v>
      </c>
      <c r="D2852">
        <v>176</v>
      </c>
      <c r="E2852">
        <v>26</v>
      </c>
      <c r="F2852">
        <v>26</v>
      </c>
      <c r="G2852">
        <v>176</v>
      </c>
    </row>
    <row r="2853" spans="1:7" ht="15" x14ac:dyDescent="0.25">
      <c r="A2853" t="s">
        <v>24008</v>
      </c>
      <c r="B2853">
        <v>1</v>
      </c>
      <c r="C2853">
        <v>203</v>
      </c>
      <c r="D2853">
        <v>203</v>
      </c>
      <c r="E2853">
        <v>37</v>
      </c>
      <c r="F2853">
        <v>37</v>
      </c>
      <c r="G2853">
        <v>203</v>
      </c>
    </row>
    <row r="2854" spans="1:7" ht="15" x14ac:dyDescent="0.25">
      <c r="A2854" t="s">
        <v>24014</v>
      </c>
      <c r="B2854">
        <v>1</v>
      </c>
      <c r="C2854">
        <v>219</v>
      </c>
      <c r="D2854">
        <v>219</v>
      </c>
      <c r="E2854">
        <v>29</v>
      </c>
      <c r="F2854">
        <v>29</v>
      </c>
      <c r="G2854">
        <v>219</v>
      </c>
    </row>
    <row r="2855" spans="1:7" ht="15" x14ac:dyDescent="0.25">
      <c r="A2855" t="s">
        <v>24019</v>
      </c>
      <c r="B2855">
        <v>1</v>
      </c>
      <c r="C2855">
        <v>23</v>
      </c>
      <c r="D2855">
        <v>23</v>
      </c>
      <c r="E2855">
        <v>6</v>
      </c>
      <c r="F2855">
        <v>6</v>
      </c>
      <c r="G2855">
        <v>23</v>
      </c>
    </row>
    <row r="2856" spans="1:7" ht="15" x14ac:dyDescent="0.25">
      <c r="A2856" t="s">
        <v>24023</v>
      </c>
      <c r="B2856">
        <v>4</v>
      </c>
      <c r="C2856">
        <v>472</v>
      </c>
      <c r="D2856">
        <v>1864</v>
      </c>
      <c r="E2856">
        <v>273</v>
      </c>
      <c r="F2856">
        <v>68.25</v>
      </c>
      <c r="G2856">
        <v>472</v>
      </c>
    </row>
    <row r="2857" spans="1:7" ht="15" x14ac:dyDescent="0.25">
      <c r="A2857" t="s">
        <v>24029</v>
      </c>
      <c r="B2857">
        <v>1</v>
      </c>
      <c r="C2857">
        <v>825</v>
      </c>
      <c r="D2857">
        <v>825</v>
      </c>
      <c r="E2857">
        <v>14</v>
      </c>
      <c r="F2857">
        <v>14</v>
      </c>
      <c r="G2857">
        <v>825</v>
      </c>
    </row>
    <row r="2858" spans="1:7" ht="15" x14ac:dyDescent="0.25">
      <c r="A2858" t="s">
        <v>24034</v>
      </c>
      <c r="B2858">
        <v>1</v>
      </c>
      <c r="C2858">
        <v>236</v>
      </c>
      <c r="D2858">
        <v>236</v>
      </c>
      <c r="E2858">
        <v>13</v>
      </c>
      <c r="F2858">
        <v>13</v>
      </c>
      <c r="G2858">
        <v>236</v>
      </c>
    </row>
    <row r="2859" spans="1:7" ht="15" x14ac:dyDescent="0.25">
      <c r="A2859" t="s">
        <v>24042</v>
      </c>
      <c r="B2859">
        <v>1</v>
      </c>
      <c r="C2859">
        <v>338</v>
      </c>
      <c r="D2859">
        <v>338</v>
      </c>
      <c r="E2859">
        <v>47</v>
      </c>
      <c r="F2859">
        <v>47</v>
      </c>
      <c r="G2859">
        <v>338</v>
      </c>
    </row>
    <row r="2860" spans="1:7" ht="15" x14ac:dyDescent="0.25">
      <c r="A2860" t="s">
        <v>24053</v>
      </c>
      <c r="B2860">
        <v>1</v>
      </c>
      <c r="C2860">
        <v>1255</v>
      </c>
      <c r="D2860">
        <v>1255</v>
      </c>
      <c r="E2860">
        <v>19</v>
      </c>
      <c r="F2860">
        <v>19</v>
      </c>
      <c r="G2860">
        <v>1255</v>
      </c>
    </row>
    <row r="2861" spans="1:7" ht="15" x14ac:dyDescent="0.25">
      <c r="A2861" t="s">
        <v>24063</v>
      </c>
      <c r="B2861">
        <v>1</v>
      </c>
      <c r="D2861">
        <v>0</v>
      </c>
      <c r="E2861">
        <v>37</v>
      </c>
      <c r="F2861">
        <v>37</v>
      </c>
    </row>
    <row r="2862" spans="1:7" ht="15" x14ac:dyDescent="0.25">
      <c r="A2862" t="s">
        <v>24068</v>
      </c>
      <c r="B2862">
        <v>1</v>
      </c>
      <c r="C2862">
        <v>331</v>
      </c>
      <c r="D2862">
        <v>331</v>
      </c>
      <c r="E2862">
        <v>12</v>
      </c>
      <c r="F2862">
        <v>12</v>
      </c>
      <c r="G2862">
        <v>331</v>
      </c>
    </row>
    <row r="2863" spans="1:7" ht="15" x14ac:dyDescent="0.25">
      <c r="A2863" t="s">
        <v>24082</v>
      </c>
      <c r="B2863">
        <v>2</v>
      </c>
      <c r="C2863">
        <v>143</v>
      </c>
      <c r="D2863">
        <v>284</v>
      </c>
      <c r="E2863">
        <v>65</v>
      </c>
      <c r="F2863">
        <v>32.5</v>
      </c>
      <c r="G2863">
        <v>143</v>
      </c>
    </row>
    <row r="2864" spans="1:7" ht="15" x14ac:dyDescent="0.25">
      <c r="A2864" t="s">
        <v>24088</v>
      </c>
      <c r="B2864">
        <v>1</v>
      </c>
      <c r="C2864">
        <v>117</v>
      </c>
      <c r="D2864">
        <v>117</v>
      </c>
      <c r="E2864">
        <v>22</v>
      </c>
      <c r="F2864">
        <v>22</v>
      </c>
      <c r="G2864">
        <v>117</v>
      </c>
    </row>
    <row r="2865" spans="1:7" ht="15" x14ac:dyDescent="0.25">
      <c r="A2865" t="s">
        <v>24096</v>
      </c>
      <c r="B2865">
        <v>1</v>
      </c>
      <c r="C2865">
        <v>289</v>
      </c>
      <c r="D2865">
        <v>289</v>
      </c>
      <c r="E2865">
        <v>32</v>
      </c>
      <c r="F2865">
        <v>32</v>
      </c>
      <c r="G2865">
        <v>289</v>
      </c>
    </row>
    <row r="2866" spans="1:7" ht="15" x14ac:dyDescent="0.25">
      <c r="A2866" t="s">
        <v>24099</v>
      </c>
      <c r="B2866">
        <v>1</v>
      </c>
      <c r="C2866">
        <v>516</v>
      </c>
      <c r="D2866">
        <v>516</v>
      </c>
      <c r="E2866">
        <v>9</v>
      </c>
      <c r="F2866">
        <v>9</v>
      </c>
      <c r="G2866">
        <v>516</v>
      </c>
    </row>
    <row r="2867" spans="1:7" ht="15" x14ac:dyDescent="0.25">
      <c r="A2867" t="s">
        <v>24111</v>
      </c>
      <c r="B2867">
        <v>1</v>
      </c>
      <c r="C2867">
        <v>544</v>
      </c>
      <c r="D2867">
        <v>544</v>
      </c>
      <c r="E2867">
        <v>10</v>
      </c>
      <c r="F2867">
        <v>10</v>
      </c>
      <c r="G2867">
        <v>544</v>
      </c>
    </row>
    <row r="2868" spans="1:7" ht="15" x14ac:dyDescent="0.25">
      <c r="A2868" t="s">
        <v>24115</v>
      </c>
      <c r="B2868">
        <v>4</v>
      </c>
      <c r="C2868">
        <v>29</v>
      </c>
      <c r="D2868">
        <v>98</v>
      </c>
      <c r="E2868">
        <v>110</v>
      </c>
      <c r="F2868">
        <v>27.5</v>
      </c>
      <c r="G2868">
        <v>29</v>
      </c>
    </row>
    <row r="2869" spans="1:7" ht="15" x14ac:dyDescent="0.25">
      <c r="A2869" t="s">
        <v>24118</v>
      </c>
      <c r="B2869">
        <v>1</v>
      </c>
      <c r="C2869">
        <v>459</v>
      </c>
      <c r="D2869">
        <v>459</v>
      </c>
      <c r="E2869">
        <v>25</v>
      </c>
      <c r="F2869">
        <v>25</v>
      </c>
      <c r="G2869">
        <v>459</v>
      </c>
    </row>
    <row r="2870" spans="1:7" ht="15" x14ac:dyDescent="0.25">
      <c r="A2870" t="s">
        <v>24125</v>
      </c>
      <c r="B2870">
        <v>1</v>
      </c>
      <c r="C2870">
        <v>15340</v>
      </c>
      <c r="D2870">
        <v>15340</v>
      </c>
      <c r="E2870">
        <v>60</v>
      </c>
      <c r="F2870">
        <v>60</v>
      </c>
      <c r="G2870">
        <v>15340</v>
      </c>
    </row>
    <row r="2871" spans="1:7" ht="15" x14ac:dyDescent="0.25">
      <c r="A2871" t="s">
        <v>24128</v>
      </c>
      <c r="B2871">
        <v>1</v>
      </c>
      <c r="C2871">
        <v>131</v>
      </c>
      <c r="D2871">
        <v>131</v>
      </c>
      <c r="E2871">
        <v>11</v>
      </c>
      <c r="F2871">
        <v>11</v>
      </c>
      <c r="G2871">
        <v>131</v>
      </c>
    </row>
    <row r="2872" spans="1:7" ht="15" x14ac:dyDescent="0.25">
      <c r="A2872" t="s">
        <v>24137</v>
      </c>
      <c r="B2872">
        <v>1</v>
      </c>
      <c r="C2872">
        <v>304</v>
      </c>
      <c r="D2872">
        <v>304</v>
      </c>
      <c r="E2872">
        <v>27</v>
      </c>
      <c r="F2872">
        <v>27</v>
      </c>
      <c r="G2872">
        <v>304</v>
      </c>
    </row>
    <row r="2873" spans="1:7" ht="15" x14ac:dyDescent="0.25">
      <c r="A2873" t="s">
        <v>24151</v>
      </c>
      <c r="B2873">
        <v>1</v>
      </c>
      <c r="C2873">
        <v>1571</v>
      </c>
      <c r="D2873">
        <v>1571</v>
      </c>
      <c r="E2873">
        <v>23</v>
      </c>
      <c r="F2873">
        <v>23</v>
      </c>
      <c r="G2873">
        <v>1571</v>
      </c>
    </row>
    <row r="2874" spans="1:7" ht="15" x14ac:dyDescent="0.25">
      <c r="A2874" t="s">
        <v>24158</v>
      </c>
      <c r="B2874">
        <v>1</v>
      </c>
      <c r="C2874">
        <v>118</v>
      </c>
      <c r="D2874">
        <v>118</v>
      </c>
      <c r="E2874">
        <v>3</v>
      </c>
      <c r="F2874">
        <v>3</v>
      </c>
      <c r="G2874">
        <v>118</v>
      </c>
    </row>
    <row r="2875" spans="1:7" ht="15" x14ac:dyDescent="0.25">
      <c r="A2875" t="s">
        <v>24164</v>
      </c>
      <c r="B2875">
        <v>1</v>
      </c>
      <c r="C2875">
        <v>294</v>
      </c>
      <c r="D2875">
        <v>294</v>
      </c>
      <c r="E2875">
        <v>39</v>
      </c>
      <c r="F2875">
        <v>39</v>
      </c>
      <c r="G2875">
        <v>294</v>
      </c>
    </row>
    <row r="2876" spans="1:7" ht="15" x14ac:dyDescent="0.25">
      <c r="A2876" t="s">
        <v>24168</v>
      </c>
      <c r="B2876">
        <v>1</v>
      </c>
      <c r="C2876">
        <v>1809</v>
      </c>
      <c r="D2876">
        <v>1809</v>
      </c>
      <c r="E2876">
        <v>13</v>
      </c>
      <c r="F2876">
        <v>13</v>
      </c>
      <c r="G2876">
        <v>1809</v>
      </c>
    </row>
    <row r="2877" spans="1:7" ht="15" x14ac:dyDescent="0.25">
      <c r="A2877" t="s">
        <v>24173</v>
      </c>
      <c r="B2877">
        <v>1</v>
      </c>
      <c r="C2877">
        <v>391</v>
      </c>
      <c r="D2877">
        <v>391</v>
      </c>
      <c r="E2877">
        <v>142</v>
      </c>
      <c r="F2877">
        <v>142</v>
      </c>
      <c r="G2877">
        <v>391</v>
      </c>
    </row>
    <row r="2878" spans="1:7" ht="15" x14ac:dyDescent="0.25">
      <c r="A2878" t="s">
        <v>24179</v>
      </c>
      <c r="B2878">
        <v>1</v>
      </c>
      <c r="C2878">
        <v>68</v>
      </c>
      <c r="D2878">
        <v>68</v>
      </c>
      <c r="E2878">
        <v>40</v>
      </c>
      <c r="F2878">
        <v>40</v>
      </c>
      <c r="G2878">
        <v>68</v>
      </c>
    </row>
    <row r="2879" spans="1:7" ht="15" x14ac:dyDescent="0.25">
      <c r="A2879" t="s">
        <v>24187</v>
      </c>
      <c r="B2879">
        <v>1</v>
      </c>
      <c r="C2879">
        <v>413</v>
      </c>
      <c r="D2879">
        <v>413</v>
      </c>
      <c r="E2879">
        <v>42</v>
      </c>
      <c r="F2879">
        <v>42</v>
      </c>
      <c r="G2879">
        <v>413</v>
      </c>
    </row>
    <row r="2880" spans="1:7" ht="15" x14ac:dyDescent="0.25">
      <c r="A2880" t="s">
        <v>24195</v>
      </c>
      <c r="B2880">
        <v>1</v>
      </c>
      <c r="C2880">
        <v>151</v>
      </c>
      <c r="D2880">
        <v>151</v>
      </c>
      <c r="E2880">
        <v>72</v>
      </c>
      <c r="F2880">
        <v>72</v>
      </c>
      <c r="G2880">
        <v>151</v>
      </c>
    </row>
    <row r="2881" spans="1:7" ht="15" x14ac:dyDescent="0.25">
      <c r="A2881" t="s">
        <v>24208</v>
      </c>
      <c r="B2881">
        <v>1</v>
      </c>
      <c r="C2881">
        <v>564</v>
      </c>
      <c r="D2881">
        <v>564</v>
      </c>
      <c r="E2881">
        <v>80</v>
      </c>
      <c r="F2881">
        <v>80</v>
      </c>
      <c r="G2881">
        <v>564</v>
      </c>
    </row>
    <row r="2882" spans="1:7" ht="15" x14ac:dyDescent="0.25">
      <c r="A2882" t="s">
        <v>24212</v>
      </c>
      <c r="B2882">
        <v>1</v>
      </c>
      <c r="C2882">
        <v>305</v>
      </c>
      <c r="D2882">
        <v>305</v>
      </c>
      <c r="E2882">
        <v>39</v>
      </c>
      <c r="F2882">
        <v>39</v>
      </c>
      <c r="G2882">
        <v>305</v>
      </c>
    </row>
    <row r="2883" spans="1:7" ht="15" x14ac:dyDescent="0.25">
      <c r="A2883" t="s">
        <v>24226</v>
      </c>
      <c r="B2883">
        <v>1</v>
      </c>
      <c r="C2883">
        <v>322</v>
      </c>
      <c r="D2883">
        <v>322</v>
      </c>
      <c r="E2883">
        <v>12</v>
      </c>
      <c r="F2883">
        <v>12</v>
      </c>
      <c r="G2883">
        <v>322</v>
      </c>
    </row>
    <row r="2884" spans="1:7" ht="15" x14ac:dyDescent="0.25">
      <c r="A2884" t="s">
        <v>24231</v>
      </c>
      <c r="B2884">
        <v>1</v>
      </c>
      <c r="C2884">
        <v>56</v>
      </c>
      <c r="D2884">
        <v>56</v>
      </c>
      <c r="E2884">
        <v>7</v>
      </c>
      <c r="F2884">
        <v>7</v>
      </c>
      <c r="G2884">
        <v>56</v>
      </c>
    </row>
    <row r="2885" spans="1:7" ht="15" x14ac:dyDescent="0.25">
      <c r="A2885" t="s">
        <v>24237</v>
      </c>
      <c r="B2885">
        <v>1</v>
      </c>
      <c r="C2885">
        <v>620</v>
      </c>
      <c r="D2885">
        <v>620</v>
      </c>
      <c r="E2885">
        <v>120</v>
      </c>
      <c r="F2885">
        <v>120</v>
      </c>
      <c r="G2885">
        <v>620</v>
      </c>
    </row>
    <row r="2886" spans="1:7" ht="15" x14ac:dyDescent="0.25">
      <c r="A2886" t="s">
        <v>24242</v>
      </c>
      <c r="B2886">
        <v>1</v>
      </c>
      <c r="C2886">
        <v>292</v>
      </c>
      <c r="D2886">
        <v>292</v>
      </c>
      <c r="E2886">
        <v>33</v>
      </c>
      <c r="F2886">
        <v>33</v>
      </c>
      <c r="G2886">
        <v>292</v>
      </c>
    </row>
    <row r="2887" spans="1:7" ht="15" x14ac:dyDescent="0.25">
      <c r="A2887" t="s">
        <v>24246</v>
      </c>
      <c r="B2887">
        <v>1</v>
      </c>
      <c r="C2887">
        <v>228</v>
      </c>
      <c r="D2887">
        <v>228</v>
      </c>
      <c r="E2887">
        <v>16</v>
      </c>
      <c r="F2887">
        <v>16</v>
      </c>
      <c r="G2887">
        <v>228</v>
      </c>
    </row>
    <row r="2888" spans="1:7" ht="15" x14ac:dyDescent="0.25">
      <c r="A2888" t="s">
        <v>24254</v>
      </c>
      <c r="B2888">
        <v>1</v>
      </c>
      <c r="C2888">
        <v>464</v>
      </c>
      <c r="D2888">
        <v>464</v>
      </c>
      <c r="E2888">
        <v>29</v>
      </c>
      <c r="F2888">
        <v>29</v>
      </c>
      <c r="G2888">
        <v>464</v>
      </c>
    </row>
    <row r="2889" spans="1:7" ht="15" x14ac:dyDescent="0.25">
      <c r="A2889" t="s">
        <v>24262</v>
      </c>
      <c r="B2889">
        <v>1</v>
      </c>
      <c r="C2889">
        <v>218</v>
      </c>
      <c r="D2889">
        <v>218</v>
      </c>
      <c r="E2889">
        <v>14</v>
      </c>
      <c r="F2889">
        <v>14</v>
      </c>
      <c r="G2889">
        <v>218</v>
      </c>
    </row>
    <row r="2890" spans="1:7" ht="15" x14ac:dyDescent="0.25">
      <c r="A2890" t="s">
        <v>24267</v>
      </c>
      <c r="B2890">
        <v>1</v>
      </c>
      <c r="C2890">
        <v>111</v>
      </c>
      <c r="D2890">
        <v>111</v>
      </c>
      <c r="E2890">
        <v>4</v>
      </c>
      <c r="F2890">
        <v>4</v>
      </c>
      <c r="G2890">
        <v>111</v>
      </c>
    </row>
    <row r="2891" spans="1:7" ht="15" x14ac:dyDescent="0.25">
      <c r="A2891" t="s">
        <v>24271</v>
      </c>
      <c r="B2891">
        <v>1</v>
      </c>
      <c r="C2891">
        <v>36</v>
      </c>
      <c r="D2891">
        <v>36</v>
      </c>
      <c r="E2891">
        <v>32</v>
      </c>
      <c r="F2891">
        <v>32</v>
      </c>
      <c r="G2891">
        <v>36</v>
      </c>
    </row>
    <row r="2892" spans="1:7" ht="15" x14ac:dyDescent="0.25">
      <c r="A2892" t="s">
        <v>24276</v>
      </c>
      <c r="B2892">
        <v>1</v>
      </c>
      <c r="D2892">
        <v>0</v>
      </c>
      <c r="E2892">
        <v>1</v>
      </c>
      <c r="F2892">
        <v>1</v>
      </c>
    </row>
    <row r="2893" spans="1:7" ht="15" x14ac:dyDescent="0.25">
      <c r="A2893" t="s">
        <v>24280</v>
      </c>
      <c r="B2893">
        <v>1</v>
      </c>
      <c r="C2893">
        <v>1089</v>
      </c>
      <c r="D2893">
        <v>1089</v>
      </c>
      <c r="E2893">
        <v>92</v>
      </c>
      <c r="F2893">
        <v>92</v>
      </c>
      <c r="G2893">
        <v>1089</v>
      </c>
    </row>
    <row r="2894" spans="1:7" ht="15" x14ac:dyDescent="0.25">
      <c r="A2894" t="s">
        <v>24285</v>
      </c>
      <c r="B2894">
        <v>1</v>
      </c>
      <c r="C2894">
        <v>582</v>
      </c>
      <c r="D2894">
        <v>582</v>
      </c>
      <c r="E2894">
        <v>65</v>
      </c>
      <c r="F2894">
        <v>65</v>
      </c>
      <c r="G2894">
        <v>582</v>
      </c>
    </row>
    <row r="2895" spans="1:7" ht="15" x14ac:dyDescent="0.25">
      <c r="A2895" t="s">
        <v>24290</v>
      </c>
      <c r="B2895">
        <v>1</v>
      </c>
      <c r="C2895">
        <v>164</v>
      </c>
      <c r="D2895">
        <v>164</v>
      </c>
      <c r="E2895">
        <v>16</v>
      </c>
      <c r="F2895">
        <v>16</v>
      </c>
      <c r="G2895">
        <v>164</v>
      </c>
    </row>
    <row r="2896" spans="1:7" ht="15" x14ac:dyDescent="0.25">
      <c r="A2896" t="s">
        <v>24295</v>
      </c>
      <c r="B2896">
        <v>2</v>
      </c>
      <c r="C2896">
        <v>292</v>
      </c>
      <c r="D2896">
        <v>574</v>
      </c>
      <c r="E2896">
        <v>122</v>
      </c>
      <c r="F2896">
        <v>61</v>
      </c>
      <c r="G2896">
        <v>292</v>
      </c>
    </row>
    <row r="2897" spans="1:7" ht="15" x14ac:dyDescent="0.25">
      <c r="A2897" t="s">
        <v>24299</v>
      </c>
      <c r="B2897">
        <v>1</v>
      </c>
      <c r="C2897">
        <v>92</v>
      </c>
      <c r="D2897">
        <v>92</v>
      </c>
      <c r="E2897">
        <v>37</v>
      </c>
      <c r="F2897">
        <v>37</v>
      </c>
      <c r="G2897">
        <v>92</v>
      </c>
    </row>
    <row r="2898" spans="1:7" ht="15" x14ac:dyDescent="0.25">
      <c r="A2898" t="s">
        <v>24304</v>
      </c>
      <c r="B2898">
        <v>1</v>
      </c>
      <c r="C2898">
        <v>162</v>
      </c>
      <c r="D2898">
        <v>162</v>
      </c>
      <c r="E2898">
        <v>8</v>
      </c>
      <c r="F2898">
        <v>8</v>
      </c>
      <c r="G2898">
        <v>162</v>
      </c>
    </row>
    <row r="2899" spans="1:7" ht="15" x14ac:dyDescent="0.25">
      <c r="A2899" t="s">
        <v>24309</v>
      </c>
      <c r="B2899">
        <v>1</v>
      </c>
      <c r="C2899">
        <v>189</v>
      </c>
      <c r="D2899">
        <v>189</v>
      </c>
      <c r="E2899">
        <v>94</v>
      </c>
      <c r="F2899">
        <v>94</v>
      </c>
      <c r="G2899">
        <v>189</v>
      </c>
    </row>
    <row r="2900" spans="1:7" ht="15" x14ac:dyDescent="0.25">
      <c r="A2900" t="s">
        <v>24314</v>
      </c>
      <c r="B2900">
        <v>1</v>
      </c>
      <c r="C2900">
        <v>8868</v>
      </c>
      <c r="D2900">
        <v>8868</v>
      </c>
      <c r="E2900">
        <v>41</v>
      </c>
      <c r="F2900">
        <v>41</v>
      </c>
      <c r="G2900">
        <v>8868</v>
      </c>
    </row>
    <row r="2901" spans="1:7" ht="15" x14ac:dyDescent="0.25">
      <c r="A2901" t="s">
        <v>24320</v>
      </c>
      <c r="B2901">
        <v>1</v>
      </c>
      <c r="C2901">
        <v>3002</v>
      </c>
      <c r="D2901">
        <v>3002</v>
      </c>
      <c r="E2901">
        <v>152</v>
      </c>
      <c r="F2901">
        <v>152</v>
      </c>
      <c r="G2901">
        <v>3002</v>
      </c>
    </row>
    <row r="2902" spans="1:7" ht="15" x14ac:dyDescent="0.25">
      <c r="A2902" t="s">
        <v>24329</v>
      </c>
      <c r="B2902">
        <v>1</v>
      </c>
      <c r="C2902">
        <v>192</v>
      </c>
      <c r="D2902">
        <v>192</v>
      </c>
      <c r="E2902">
        <v>7</v>
      </c>
      <c r="F2902">
        <v>7</v>
      </c>
      <c r="G2902">
        <v>192</v>
      </c>
    </row>
    <row r="2903" spans="1:7" ht="15" x14ac:dyDescent="0.25">
      <c r="A2903" t="s">
        <v>24333</v>
      </c>
      <c r="B2903">
        <v>1</v>
      </c>
      <c r="C2903">
        <v>671</v>
      </c>
      <c r="D2903">
        <v>671</v>
      </c>
      <c r="E2903">
        <v>0</v>
      </c>
      <c r="F2903">
        <v>0</v>
      </c>
      <c r="G2903">
        <v>671</v>
      </c>
    </row>
    <row r="2904" spans="1:7" ht="15" x14ac:dyDescent="0.25">
      <c r="A2904" t="s">
        <v>24340</v>
      </c>
      <c r="B2904">
        <v>1</v>
      </c>
      <c r="C2904">
        <v>202</v>
      </c>
      <c r="D2904">
        <v>202</v>
      </c>
      <c r="E2904">
        <v>23</v>
      </c>
      <c r="F2904">
        <v>23</v>
      </c>
      <c r="G2904">
        <v>202</v>
      </c>
    </row>
    <row r="2905" spans="1:7" ht="15" x14ac:dyDescent="0.25">
      <c r="A2905" t="s">
        <v>24346</v>
      </c>
      <c r="B2905">
        <v>1</v>
      </c>
      <c r="C2905">
        <v>16</v>
      </c>
      <c r="D2905">
        <v>16</v>
      </c>
      <c r="E2905">
        <v>11</v>
      </c>
      <c r="F2905">
        <v>11</v>
      </c>
      <c r="G2905">
        <v>16</v>
      </c>
    </row>
    <row r="2906" spans="1:7" ht="15" x14ac:dyDescent="0.25">
      <c r="A2906" t="s">
        <v>24354</v>
      </c>
      <c r="B2906">
        <v>1</v>
      </c>
      <c r="C2906">
        <v>801</v>
      </c>
      <c r="D2906">
        <v>801</v>
      </c>
      <c r="E2906">
        <v>46</v>
      </c>
      <c r="F2906">
        <v>46</v>
      </c>
      <c r="G2906">
        <v>801</v>
      </c>
    </row>
    <row r="2907" spans="1:7" ht="15" x14ac:dyDescent="0.25">
      <c r="A2907" t="s">
        <v>24359</v>
      </c>
      <c r="B2907">
        <v>1</v>
      </c>
      <c r="C2907">
        <v>252</v>
      </c>
      <c r="D2907">
        <v>252</v>
      </c>
      <c r="E2907">
        <v>35</v>
      </c>
      <c r="F2907">
        <v>35</v>
      </c>
      <c r="G2907">
        <v>252</v>
      </c>
    </row>
    <row r="2908" spans="1:7" ht="15" x14ac:dyDescent="0.25">
      <c r="A2908" t="s">
        <v>24364</v>
      </c>
      <c r="B2908">
        <v>2</v>
      </c>
      <c r="C2908">
        <v>118</v>
      </c>
      <c r="D2908">
        <v>214</v>
      </c>
      <c r="E2908">
        <v>40</v>
      </c>
      <c r="F2908">
        <v>20</v>
      </c>
      <c r="G2908">
        <v>118</v>
      </c>
    </row>
    <row r="2909" spans="1:7" ht="15" x14ac:dyDescent="0.25">
      <c r="A2909" t="s">
        <v>24371</v>
      </c>
      <c r="B2909">
        <v>1</v>
      </c>
      <c r="C2909">
        <v>654</v>
      </c>
      <c r="D2909">
        <v>654</v>
      </c>
      <c r="E2909">
        <v>32</v>
      </c>
      <c r="F2909">
        <v>32</v>
      </c>
      <c r="G2909">
        <v>654</v>
      </c>
    </row>
    <row r="2910" spans="1:7" ht="15" x14ac:dyDescent="0.25">
      <c r="A2910" t="s">
        <v>24375</v>
      </c>
      <c r="B2910">
        <v>1</v>
      </c>
      <c r="C2910">
        <v>8</v>
      </c>
      <c r="D2910">
        <v>8</v>
      </c>
      <c r="E2910">
        <v>6</v>
      </c>
      <c r="F2910">
        <v>6</v>
      </c>
      <c r="G2910">
        <v>8</v>
      </c>
    </row>
    <row r="2911" spans="1:7" ht="15" x14ac:dyDescent="0.25">
      <c r="A2911" t="s">
        <v>24379</v>
      </c>
      <c r="B2911">
        <v>1</v>
      </c>
      <c r="C2911">
        <v>235</v>
      </c>
      <c r="D2911">
        <v>235</v>
      </c>
      <c r="E2911">
        <v>19</v>
      </c>
      <c r="F2911">
        <v>19</v>
      </c>
      <c r="G2911">
        <v>235</v>
      </c>
    </row>
    <row r="2912" spans="1:7" ht="15" x14ac:dyDescent="0.25">
      <c r="A2912" t="s">
        <v>24383</v>
      </c>
      <c r="B2912">
        <v>1</v>
      </c>
      <c r="C2912">
        <v>736</v>
      </c>
      <c r="D2912">
        <v>736</v>
      </c>
      <c r="E2912">
        <v>43</v>
      </c>
      <c r="F2912">
        <v>43</v>
      </c>
      <c r="G2912">
        <v>736</v>
      </c>
    </row>
    <row r="2913" spans="1:7" ht="15" x14ac:dyDescent="0.25">
      <c r="A2913" t="s">
        <v>24389</v>
      </c>
      <c r="B2913">
        <v>1</v>
      </c>
      <c r="C2913">
        <v>306</v>
      </c>
      <c r="D2913">
        <v>306</v>
      </c>
      <c r="E2913">
        <v>52</v>
      </c>
      <c r="F2913">
        <v>52</v>
      </c>
      <c r="G2913">
        <v>306</v>
      </c>
    </row>
    <row r="2914" spans="1:7" ht="15" x14ac:dyDescent="0.25">
      <c r="A2914" t="s">
        <v>24394</v>
      </c>
      <c r="B2914">
        <v>1</v>
      </c>
      <c r="C2914">
        <v>882</v>
      </c>
      <c r="D2914">
        <v>882</v>
      </c>
      <c r="E2914">
        <v>167</v>
      </c>
      <c r="F2914">
        <v>167</v>
      </c>
      <c r="G2914">
        <v>882</v>
      </c>
    </row>
    <row r="2915" spans="1:7" ht="15" x14ac:dyDescent="0.25">
      <c r="A2915" t="s">
        <v>24399</v>
      </c>
      <c r="B2915">
        <v>1</v>
      </c>
      <c r="C2915">
        <v>9676</v>
      </c>
      <c r="D2915">
        <v>9676</v>
      </c>
      <c r="E2915">
        <v>211</v>
      </c>
      <c r="F2915">
        <v>211</v>
      </c>
      <c r="G2915">
        <v>9676</v>
      </c>
    </row>
    <row r="2916" spans="1:7" ht="15" x14ac:dyDescent="0.25">
      <c r="A2916" t="s">
        <v>24406</v>
      </c>
      <c r="B2916">
        <v>1</v>
      </c>
      <c r="C2916">
        <v>1385</v>
      </c>
      <c r="D2916">
        <v>1385</v>
      </c>
      <c r="E2916">
        <v>26</v>
      </c>
      <c r="F2916">
        <v>26</v>
      </c>
      <c r="G2916">
        <v>1385</v>
      </c>
    </row>
    <row r="2917" spans="1:7" ht="15" x14ac:dyDescent="0.25">
      <c r="A2917" t="s">
        <v>24411</v>
      </c>
      <c r="B2917">
        <v>1</v>
      </c>
      <c r="C2917">
        <v>11</v>
      </c>
      <c r="D2917">
        <v>11</v>
      </c>
      <c r="E2917">
        <v>8</v>
      </c>
      <c r="F2917">
        <v>8</v>
      </c>
      <c r="G2917">
        <v>11</v>
      </c>
    </row>
    <row r="2918" spans="1:7" ht="15" x14ac:dyDescent="0.25">
      <c r="A2918" t="s">
        <v>24423</v>
      </c>
      <c r="B2918">
        <v>1</v>
      </c>
      <c r="C2918">
        <v>17</v>
      </c>
      <c r="D2918">
        <v>17</v>
      </c>
      <c r="E2918">
        <v>9</v>
      </c>
      <c r="F2918">
        <v>9</v>
      </c>
      <c r="G2918">
        <v>17</v>
      </c>
    </row>
    <row r="2919" spans="1:7" ht="15" x14ac:dyDescent="0.25">
      <c r="A2919" t="s">
        <v>24430</v>
      </c>
      <c r="B2919">
        <v>1</v>
      </c>
      <c r="C2919">
        <v>183</v>
      </c>
      <c r="D2919">
        <v>183</v>
      </c>
      <c r="E2919">
        <v>53</v>
      </c>
      <c r="F2919">
        <v>53</v>
      </c>
      <c r="G2919">
        <v>183</v>
      </c>
    </row>
    <row r="2920" spans="1:7" ht="15" x14ac:dyDescent="0.25">
      <c r="A2920" t="s">
        <v>24435</v>
      </c>
      <c r="B2920">
        <v>1</v>
      </c>
      <c r="C2920">
        <v>28</v>
      </c>
      <c r="D2920">
        <v>28</v>
      </c>
      <c r="E2920">
        <v>6</v>
      </c>
      <c r="F2920">
        <v>6</v>
      </c>
      <c r="G2920">
        <v>28</v>
      </c>
    </row>
    <row r="2921" spans="1:7" ht="15" x14ac:dyDescent="0.25">
      <c r="A2921" t="s">
        <v>24440</v>
      </c>
      <c r="B2921">
        <v>1</v>
      </c>
      <c r="C2921">
        <v>293</v>
      </c>
      <c r="D2921">
        <v>293</v>
      </c>
      <c r="E2921">
        <v>58</v>
      </c>
      <c r="F2921">
        <v>58</v>
      </c>
      <c r="G2921">
        <v>293</v>
      </c>
    </row>
    <row r="2922" spans="1:7" ht="15" x14ac:dyDescent="0.25">
      <c r="A2922" t="s">
        <v>24445</v>
      </c>
      <c r="B2922">
        <v>1</v>
      </c>
      <c r="D2922">
        <v>0</v>
      </c>
      <c r="E2922">
        <v>52</v>
      </c>
      <c r="F2922">
        <v>52</v>
      </c>
    </row>
    <row r="2923" spans="1:7" ht="15" x14ac:dyDescent="0.25">
      <c r="A2923" t="s">
        <v>24453</v>
      </c>
      <c r="B2923">
        <v>1</v>
      </c>
      <c r="C2923">
        <v>256</v>
      </c>
      <c r="D2923">
        <v>256</v>
      </c>
      <c r="E2923">
        <v>75</v>
      </c>
      <c r="F2923">
        <v>75</v>
      </c>
      <c r="G2923">
        <v>256</v>
      </c>
    </row>
    <row r="2924" spans="1:7" ht="15" x14ac:dyDescent="0.25">
      <c r="A2924" t="s">
        <v>24461</v>
      </c>
      <c r="B2924">
        <v>2</v>
      </c>
      <c r="C2924">
        <v>547</v>
      </c>
      <c r="D2924">
        <v>1092</v>
      </c>
      <c r="E2924">
        <v>162</v>
      </c>
      <c r="F2924">
        <v>81</v>
      </c>
      <c r="G2924">
        <v>547</v>
      </c>
    </row>
    <row r="2925" spans="1:7" ht="15" x14ac:dyDescent="0.25">
      <c r="A2925" t="s">
        <v>24464</v>
      </c>
      <c r="B2925">
        <v>1</v>
      </c>
      <c r="C2925">
        <v>139</v>
      </c>
      <c r="D2925">
        <v>139</v>
      </c>
      <c r="E2925">
        <v>39</v>
      </c>
      <c r="F2925">
        <v>39</v>
      </c>
      <c r="G2925">
        <v>139</v>
      </c>
    </row>
    <row r="2926" spans="1:7" ht="15" x14ac:dyDescent="0.25">
      <c r="A2926" t="s">
        <v>24481</v>
      </c>
      <c r="B2926">
        <v>1</v>
      </c>
      <c r="C2926">
        <v>474</v>
      </c>
      <c r="D2926">
        <v>474</v>
      </c>
      <c r="E2926">
        <v>11</v>
      </c>
      <c r="F2926">
        <v>11</v>
      </c>
      <c r="G2926">
        <v>474</v>
      </c>
    </row>
    <row r="2927" spans="1:7" ht="15" x14ac:dyDescent="0.25">
      <c r="A2927" t="s">
        <v>24494</v>
      </c>
      <c r="B2927">
        <v>1</v>
      </c>
      <c r="C2927">
        <v>57</v>
      </c>
      <c r="D2927">
        <v>57</v>
      </c>
      <c r="E2927">
        <v>9</v>
      </c>
      <c r="F2927">
        <v>9</v>
      </c>
      <c r="G2927">
        <v>57</v>
      </c>
    </row>
    <row r="2928" spans="1:7" ht="15" x14ac:dyDescent="0.25">
      <c r="A2928" t="s">
        <v>24499</v>
      </c>
      <c r="B2928">
        <v>1</v>
      </c>
      <c r="C2928">
        <v>336</v>
      </c>
      <c r="D2928">
        <v>336</v>
      </c>
      <c r="E2928">
        <v>17</v>
      </c>
      <c r="F2928">
        <v>17</v>
      </c>
      <c r="G2928">
        <v>336</v>
      </c>
    </row>
    <row r="2929" spans="1:7" ht="15" x14ac:dyDescent="0.25">
      <c r="A2929" t="s">
        <v>24502</v>
      </c>
      <c r="B2929">
        <v>1</v>
      </c>
      <c r="C2929">
        <v>40</v>
      </c>
      <c r="D2929">
        <v>40</v>
      </c>
      <c r="E2929">
        <v>12</v>
      </c>
      <c r="F2929">
        <v>12</v>
      </c>
      <c r="G2929">
        <v>40</v>
      </c>
    </row>
    <row r="2930" spans="1:7" ht="15" x14ac:dyDescent="0.25">
      <c r="A2930" t="s">
        <v>24507</v>
      </c>
      <c r="B2930">
        <v>1</v>
      </c>
      <c r="C2930">
        <v>147</v>
      </c>
      <c r="D2930">
        <v>147</v>
      </c>
      <c r="E2930">
        <v>65</v>
      </c>
      <c r="F2930">
        <v>65</v>
      </c>
      <c r="G2930">
        <v>147</v>
      </c>
    </row>
    <row r="2931" spans="1:7" ht="15" x14ac:dyDescent="0.25">
      <c r="A2931" t="s">
        <v>24514</v>
      </c>
      <c r="B2931">
        <v>4</v>
      </c>
      <c r="C2931">
        <v>236</v>
      </c>
      <c r="D2931">
        <v>959</v>
      </c>
      <c r="E2931">
        <v>91</v>
      </c>
      <c r="F2931">
        <v>22.75</v>
      </c>
      <c r="G2931">
        <v>241</v>
      </c>
    </row>
    <row r="2932" spans="1:7" ht="15" x14ac:dyDescent="0.25">
      <c r="A2932" t="s">
        <v>24523</v>
      </c>
      <c r="B2932">
        <v>1</v>
      </c>
      <c r="C2932">
        <v>266</v>
      </c>
      <c r="D2932">
        <v>266</v>
      </c>
      <c r="E2932">
        <v>102</v>
      </c>
      <c r="F2932">
        <v>102</v>
      </c>
      <c r="G2932">
        <v>266</v>
      </c>
    </row>
    <row r="2933" spans="1:7" ht="15" x14ac:dyDescent="0.25">
      <c r="A2933" t="s">
        <v>24540</v>
      </c>
      <c r="B2933">
        <v>1</v>
      </c>
      <c r="C2933">
        <v>59</v>
      </c>
      <c r="D2933">
        <v>59</v>
      </c>
      <c r="E2933">
        <v>38</v>
      </c>
      <c r="F2933">
        <v>38</v>
      </c>
      <c r="G2933">
        <v>59</v>
      </c>
    </row>
    <row r="2934" spans="1:7" ht="15" x14ac:dyDescent="0.25">
      <c r="A2934" t="s">
        <v>24569</v>
      </c>
      <c r="B2934">
        <v>1</v>
      </c>
      <c r="C2934">
        <v>223</v>
      </c>
      <c r="D2934">
        <v>223</v>
      </c>
      <c r="E2934">
        <v>45</v>
      </c>
      <c r="F2934">
        <v>45</v>
      </c>
      <c r="G2934">
        <v>223</v>
      </c>
    </row>
    <row r="2935" spans="1:7" ht="15" x14ac:dyDescent="0.25">
      <c r="A2935" t="s">
        <v>24572</v>
      </c>
      <c r="B2935">
        <v>1</v>
      </c>
      <c r="C2935">
        <v>436</v>
      </c>
      <c r="D2935">
        <v>436</v>
      </c>
      <c r="E2935">
        <v>32</v>
      </c>
      <c r="F2935">
        <v>32</v>
      </c>
      <c r="G2935">
        <v>436</v>
      </c>
    </row>
    <row r="2936" spans="1:7" ht="15" x14ac:dyDescent="0.25">
      <c r="A2936" t="s">
        <v>24578</v>
      </c>
      <c r="B2936">
        <v>1</v>
      </c>
      <c r="C2936">
        <v>906</v>
      </c>
      <c r="D2936">
        <v>906</v>
      </c>
      <c r="E2936">
        <v>36</v>
      </c>
      <c r="F2936">
        <v>36</v>
      </c>
      <c r="G2936">
        <v>906</v>
      </c>
    </row>
    <row r="2937" spans="1:7" ht="15" x14ac:dyDescent="0.25">
      <c r="A2937" t="s">
        <v>24585</v>
      </c>
      <c r="B2937">
        <v>3</v>
      </c>
      <c r="C2937">
        <v>373</v>
      </c>
      <c r="D2937">
        <v>1123</v>
      </c>
      <c r="E2937">
        <v>117</v>
      </c>
      <c r="F2937">
        <v>39</v>
      </c>
      <c r="G2937">
        <v>376</v>
      </c>
    </row>
    <row r="2938" spans="1:7" ht="15" x14ac:dyDescent="0.25">
      <c r="A2938" t="s">
        <v>24590</v>
      </c>
      <c r="B2938">
        <v>1</v>
      </c>
      <c r="C2938">
        <v>382</v>
      </c>
      <c r="D2938">
        <v>382</v>
      </c>
      <c r="E2938">
        <v>83</v>
      </c>
      <c r="F2938">
        <v>83</v>
      </c>
      <c r="G2938">
        <v>382</v>
      </c>
    </row>
    <row r="2939" spans="1:7" ht="15" x14ac:dyDescent="0.25">
      <c r="A2939" t="s">
        <v>24600</v>
      </c>
      <c r="B2939">
        <v>1</v>
      </c>
      <c r="C2939">
        <v>60</v>
      </c>
      <c r="D2939">
        <v>60</v>
      </c>
      <c r="E2939">
        <v>20</v>
      </c>
      <c r="F2939">
        <v>20</v>
      </c>
      <c r="G2939">
        <v>60</v>
      </c>
    </row>
    <row r="2940" spans="1:7" ht="15" x14ac:dyDescent="0.25">
      <c r="A2940" t="s">
        <v>24605</v>
      </c>
      <c r="B2940">
        <v>1</v>
      </c>
      <c r="C2940">
        <v>381</v>
      </c>
      <c r="D2940">
        <v>381</v>
      </c>
      <c r="E2940">
        <v>60</v>
      </c>
      <c r="F2940">
        <v>60</v>
      </c>
      <c r="G2940">
        <v>381</v>
      </c>
    </row>
    <row r="2941" spans="1:7" ht="15" x14ac:dyDescent="0.25">
      <c r="A2941" t="s">
        <v>24613</v>
      </c>
      <c r="B2941">
        <v>1</v>
      </c>
      <c r="C2941">
        <v>216</v>
      </c>
      <c r="D2941">
        <v>216</v>
      </c>
      <c r="E2941">
        <v>35</v>
      </c>
      <c r="F2941">
        <v>35</v>
      </c>
      <c r="G2941">
        <v>216</v>
      </c>
    </row>
    <row r="2942" spans="1:7" ht="15" x14ac:dyDescent="0.25">
      <c r="A2942" t="s">
        <v>24620</v>
      </c>
      <c r="B2942">
        <v>1</v>
      </c>
      <c r="C2942">
        <v>966</v>
      </c>
      <c r="D2942">
        <v>966</v>
      </c>
      <c r="E2942">
        <v>72</v>
      </c>
      <c r="F2942">
        <v>72</v>
      </c>
      <c r="G2942">
        <v>966</v>
      </c>
    </row>
    <row r="2943" spans="1:7" ht="15" x14ac:dyDescent="0.25">
      <c r="A2943" t="s">
        <v>24631</v>
      </c>
      <c r="B2943">
        <v>1</v>
      </c>
      <c r="C2943">
        <v>124</v>
      </c>
      <c r="D2943">
        <v>124</v>
      </c>
      <c r="E2943">
        <v>24</v>
      </c>
      <c r="F2943">
        <v>24</v>
      </c>
      <c r="G2943">
        <v>124</v>
      </c>
    </row>
    <row r="2944" spans="1:7" ht="15" x14ac:dyDescent="0.25">
      <c r="A2944" t="s">
        <v>24634</v>
      </c>
      <c r="B2944">
        <v>1</v>
      </c>
      <c r="C2944">
        <v>874</v>
      </c>
      <c r="D2944">
        <v>874</v>
      </c>
      <c r="E2944">
        <v>70</v>
      </c>
      <c r="F2944">
        <v>70</v>
      </c>
      <c r="G2944">
        <v>874</v>
      </c>
    </row>
    <row r="2945" spans="1:7" ht="15" x14ac:dyDescent="0.25">
      <c r="A2945" t="s">
        <v>24647</v>
      </c>
      <c r="B2945">
        <v>2</v>
      </c>
      <c r="C2945">
        <v>816</v>
      </c>
      <c r="D2945">
        <v>1582</v>
      </c>
      <c r="E2945">
        <v>152</v>
      </c>
      <c r="F2945">
        <v>76</v>
      </c>
      <c r="G2945">
        <v>816</v>
      </c>
    </row>
    <row r="2946" spans="1:7" ht="15" x14ac:dyDescent="0.25">
      <c r="A2946" t="s">
        <v>24653</v>
      </c>
      <c r="B2946">
        <v>1</v>
      </c>
      <c r="C2946">
        <v>424</v>
      </c>
      <c r="D2946">
        <v>424</v>
      </c>
      <c r="E2946">
        <v>29</v>
      </c>
      <c r="F2946">
        <v>29</v>
      </c>
      <c r="G2946">
        <v>424</v>
      </c>
    </row>
    <row r="2947" spans="1:7" ht="15" x14ac:dyDescent="0.25">
      <c r="A2947" t="s">
        <v>24657</v>
      </c>
      <c r="B2947">
        <v>1</v>
      </c>
      <c r="C2947">
        <v>46</v>
      </c>
      <c r="D2947">
        <v>46</v>
      </c>
      <c r="E2947">
        <v>3</v>
      </c>
      <c r="F2947">
        <v>3</v>
      </c>
      <c r="G2947">
        <v>46</v>
      </c>
    </row>
    <row r="2948" spans="1:7" ht="15" x14ac:dyDescent="0.25">
      <c r="A2948" t="s">
        <v>24664</v>
      </c>
      <c r="B2948">
        <v>1</v>
      </c>
      <c r="C2948">
        <v>19</v>
      </c>
      <c r="D2948">
        <v>19</v>
      </c>
      <c r="E2948">
        <v>3</v>
      </c>
      <c r="F2948">
        <v>3</v>
      </c>
      <c r="G2948">
        <v>19</v>
      </c>
    </row>
    <row r="2949" spans="1:7" ht="15" x14ac:dyDescent="0.25">
      <c r="A2949" t="s">
        <v>24670</v>
      </c>
      <c r="B2949">
        <v>1</v>
      </c>
      <c r="C2949">
        <v>230</v>
      </c>
      <c r="D2949">
        <v>230</v>
      </c>
      <c r="E2949">
        <v>25</v>
      </c>
      <c r="F2949">
        <v>25</v>
      </c>
      <c r="G2949">
        <v>230</v>
      </c>
    </row>
    <row r="2950" spans="1:7" ht="15" x14ac:dyDescent="0.25">
      <c r="A2950" t="s">
        <v>24685</v>
      </c>
      <c r="B2950">
        <v>1</v>
      </c>
      <c r="C2950">
        <v>430</v>
      </c>
      <c r="D2950">
        <v>430</v>
      </c>
      <c r="E2950">
        <v>25</v>
      </c>
      <c r="F2950">
        <v>25</v>
      </c>
      <c r="G2950">
        <v>430</v>
      </c>
    </row>
    <row r="2951" spans="1:7" ht="15" x14ac:dyDescent="0.25">
      <c r="A2951" t="s">
        <v>24690</v>
      </c>
      <c r="B2951">
        <v>3</v>
      </c>
      <c r="C2951">
        <v>441</v>
      </c>
      <c r="D2951">
        <v>1318</v>
      </c>
      <c r="E2951">
        <v>226</v>
      </c>
      <c r="F2951">
        <v>75.333333333333329</v>
      </c>
      <c r="G2951">
        <v>441</v>
      </c>
    </row>
    <row r="2952" spans="1:7" ht="15" x14ac:dyDescent="0.25">
      <c r="A2952" t="s">
        <v>24696</v>
      </c>
      <c r="B2952">
        <v>1</v>
      </c>
      <c r="C2952">
        <v>108</v>
      </c>
      <c r="D2952">
        <v>108</v>
      </c>
      <c r="E2952">
        <v>23</v>
      </c>
      <c r="F2952">
        <v>23</v>
      </c>
      <c r="G2952">
        <v>108</v>
      </c>
    </row>
    <row r="2953" spans="1:7" ht="15" x14ac:dyDescent="0.25">
      <c r="A2953" t="s">
        <v>24712</v>
      </c>
      <c r="B2953">
        <v>1</v>
      </c>
      <c r="C2953">
        <v>1829</v>
      </c>
      <c r="D2953">
        <v>1829</v>
      </c>
      <c r="E2953">
        <v>88</v>
      </c>
      <c r="F2953">
        <v>88</v>
      </c>
      <c r="G2953">
        <v>1829</v>
      </c>
    </row>
    <row r="2954" spans="1:7" ht="15" x14ac:dyDescent="0.25">
      <c r="A2954" t="s">
        <v>24718</v>
      </c>
      <c r="B2954">
        <v>1</v>
      </c>
      <c r="C2954">
        <v>213</v>
      </c>
      <c r="D2954">
        <v>213</v>
      </c>
      <c r="E2954">
        <v>59</v>
      </c>
      <c r="F2954">
        <v>59</v>
      </c>
      <c r="G2954">
        <v>213</v>
      </c>
    </row>
    <row r="2955" spans="1:7" ht="15" x14ac:dyDescent="0.25">
      <c r="A2955" t="s">
        <v>24726</v>
      </c>
      <c r="B2955">
        <v>1</v>
      </c>
      <c r="C2955">
        <v>103</v>
      </c>
      <c r="D2955">
        <v>103</v>
      </c>
      <c r="E2955">
        <v>49</v>
      </c>
      <c r="F2955">
        <v>49</v>
      </c>
      <c r="G2955">
        <v>103</v>
      </c>
    </row>
    <row r="2956" spans="1:7" ht="15" x14ac:dyDescent="0.25">
      <c r="A2956" t="s">
        <v>24732</v>
      </c>
      <c r="B2956">
        <v>1</v>
      </c>
      <c r="C2956">
        <v>642</v>
      </c>
      <c r="D2956">
        <v>642</v>
      </c>
      <c r="E2956">
        <v>43</v>
      </c>
      <c r="F2956">
        <v>43</v>
      </c>
      <c r="G2956">
        <v>642</v>
      </c>
    </row>
    <row r="2957" spans="1:7" ht="15" x14ac:dyDescent="0.25">
      <c r="A2957" t="s">
        <v>24740</v>
      </c>
      <c r="B2957">
        <v>1</v>
      </c>
      <c r="C2957">
        <v>231</v>
      </c>
      <c r="D2957">
        <v>231</v>
      </c>
      <c r="E2957">
        <v>16</v>
      </c>
      <c r="F2957">
        <v>16</v>
      </c>
      <c r="G2957">
        <v>231</v>
      </c>
    </row>
    <row r="2958" spans="1:7" ht="15" x14ac:dyDescent="0.25">
      <c r="A2958" t="s">
        <v>24747</v>
      </c>
      <c r="B2958">
        <v>1</v>
      </c>
      <c r="C2958">
        <v>721</v>
      </c>
      <c r="D2958">
        <v>721</v>
      </c>
      <c r="E2958">
        <v>18</v>
      </c>
      <c r="F2958">
        <v>18</v>
      </c>
      <c r="G2958">
        <v>721</v>
      </c>
    </row>
    <row r="2959" spans="1:7" ht="15" x14ac:dyDescent="0.25">
      <c r="A2959" t="s">
        <v>24754</v>
      </c>
      <c r="B2959">
        <v>1</v>
      </c>
      <c r="C2959">
        <v>484</v>
      </c>
      <c r="D2959">
        <v>484</v>
      </c>
      <c r="E2959">
        <v>45</v>
      </c>
      <c r="F2959">
        <v>45</v>
      </c>
      <c r="G2959">
        <v>484</v>
      </c>
    </row>
    <row r="2960" spans="1:7" ht="15" x14ac:dyDescent="0.25">
      <c r="A2960" t="s">
        <v>24762</v>
      </c>
      <c r="B2960">
        <v>1</v>
      </c>
      <c r="C2960">
        <v>566</v>
      </c>
      <c r="D2960">
        <v>566</v>
      </c>
      <c r="E2960">
        <v>74</v>
      </c>
      <c r="F2960">
        <v>74</v>
      </c>
      <c r="G2960">
        <v>566</v>
      </c>
    </row>
    <row r="2961" spans="1:7" ht="15" x14ac:dyDescent="0.25">
      <c r="A2961" t="s">
        <v>24771</v>
      </c>
      <c r="B2961">
        <v>1</v>
      </c>
      <c r="C2961">
        <v>276</v>
      </c>
      <c r="D2961">
        <v>276</v>
      </c>
      <c r="E2961">
        <v>20</v>
      </c>
      <c r="F2961">
        <v>20</v>
      </c>
      <c r="G2961">
        <v>276</v>
      </c>
    </row>
    <row r="2962" spans="1:7" ht="15" x14ac:dyDescent="0.25">
      <c r="A2962" t="s">
        <v>24778</v>
      </c>
      <c r="B2962">
        <v>1</v>
      </c>
      <c r="C2962">
        <v>391</v>
      </c>
      <c r="D2962">
        <v>391</v>
      </c>
      <c r="E2962">
        <v>132</v>
      </c>
      <c r="F2962">
        <v>132</v>
      </c>
      <c r="G2962">
        <v>391</v>
      </c>
    </row>
    <row r="2963" spans="1:7" ht="15" x14ac:dyDescent="0.25">
      <c r="A2963" t="s">
        <v>24784</v>
      </c>
      <c r="B2963">
        <v>2</v>
      </c>
      <c r="C2963">
        <v>2632</v>
      </c>
      <c r="D2963">
        <v>5257</v>
      </c>
      <c r="E2963">
        <v>51</v>
      </c>
      <c r="F2963">
        <v>25.5</v>
      </c>
      <c r="G2963">
        <v>2632</v>
      </c>
    </row>
    <row r="2964" spans="1:7" ht="15" x14ac:dyDescent="0.25">
      <c r="A2964" t="s">
        <v>24789</v>
      </c>
      <c r="B2964">
        <v>1</v>
      </c>
      <c r="C2964">
        <v>268</v>
      </c>
      <c r="D2964">
        <v>268</v>
      </c>
      <c r="E2964">
        <v>37</v>
      </c>
      <c r="F2964">
        <v>37</v>
      </c>
      <c r="G2964">
        <v>268</v>
      </c>
    </row>
    <row r="2965" spans="1:7" ht="15" x14ac:dyDescent="0.25">
      <c r="A2965" t="s">
        <v>24797</v>
      </c>
      <c r="B2965">
        <v>1</v>
      </c>
      <c r="C2965">
        <v>230</v>
      </c>
      <c r="D2965">
        <v>230</v>
      </c>
      <c r="E2965">
        <v>15</v>
      </c>
      <c r="F2965">
        <v>15</v>
      </c>
      <c r="G2965">
        <v>230</v>
      </c>
    </row>
    <row r="2966" spans="1:7" ht="15" x14ac:dyDescent="0.25">
      <c r="A2966" t="s">
        <v>24803</v>
      </c>
      <c r="B2966">
        <v>1</v>
      </c>
      <c r="C2966">
        <v>532</v>
      </c>
      <c r="D2966">
        <v>532</v>
      </c>
      <c r="E2966">
        <v>7</v>
      </c>
      <c r="F2966">
        <v>7</v>
      </c>
      <c r="G2966">
        <v>532</v>
      </c>
    </row>
    <row r="2967" spans="1:7" ht="15" x14ac:dyDescent="0.25">
      <c r="A2967" t="s">
        <v>24808</v>
      </c>
      <c r="B2967">
        <v>1</v>
      </c>
      <c r="C2967">
        <v>72</v>
      </c>
      <c r="D2967">
        <v>72</v>
      </c>
      <c r="E2967">
        <v>59</v>
      </c>
      <c r="F2967">
        <v>59</v>
      </c>
      <c r="G2967">
        <v>72</v>
      </c>
    </row>
    <row r="2968" spans="1:7" ht="15" x14ac:dyDescent="0.25">
      <c r="A2968" t="s">
        <v>24821</v>
      </c>
      <c r="B2968">
        <v>1</v>
      </c>
      <c r="C2968">
        <v>108</v>
      </c>
      <c r="D2968">
        <v>108</v>
      </c>
      <c r="E2968">
        <v>35</v>
      </c>
      <c r="F2968">
        <v>35</v>
      </c>
      <c r="G2968">
        <v>108</v>
      </c>
    </row>
    <row r="2969" spans="1:7" ht="15" x14ac:dyDescent="0.25">
      <c r="A2969" t="s">
        <v>24826</v>
      </c>
      <c r="B2969">
        <v>1</v>
      </c>
      <c r="C2969">
        <v>485</v>
      </c>
      <c r="D2969">
        <v>485</v>
      </c>
      <c r="E2969">
        <v>39</v>
      </c>
      <c r="F2969">
        <v>39</v>
      </c>
      <c r="G2969">
        <v>485</v>
      </c>
    </row>
    <row r="2970" spans="1:7" ht="15" x14ac:dyDescent="0.25">
      <c r="A2970" t="s">
        <v>24830</v>
      </c>
      <c r="B2970">
        <v>1</v>
      </c>
      <c r="C2970">
        <v>194</v>
      </c>
      <c r="D2970">
        <v>194</v>
      </c>
      <c r="E2970">
        <v>10</v>
      </c>
      <c r="F2970">
        <v>10</v>
      </c>
      <c r="G2970">
        <v>194</v>
      </c>
    </row>
    <row r="2971" spans="1:7" ht="15" x14ac:dyDescent="0.25">
      <c r="A2971" t="s">
        <v>24842</v>
      </c>
      <c r="B2971">
        <v>1</v>
      </c>
      <c r="C2971">
        <v>77</v>
      </c>
      <c r="D2971">
        <v>77</v>
      </c>
      <c r="E2971">
        <v>12</v>
      </c>
      <c r="F2971">
        <v>12</v>
      </c>
      <c r="G2971">
        <v>77</v>
      </c>
    </row>
    <row r="2972" spans="1:7" ht="15" x14ac:dyDescent="0.25">
      <c r="A2972" t="s">
        <v>24845</v>
      </c>
      <c r="B2972">
        <v>1</v>
      </c>
      <c r="C2972">
        <v>447</v>
      </c>
      <c r="D2972">
        <v>447</v>
      </c>
      <c r="E2972">
        <v>12</v>
      </c>
      <c r="F2972">
        <v>12</v>
      </c>
      <c r="G2972">
        <v>447</v>
      </c>
    </row>
    <row r="2973" spans="1:7" ht="15" x14ac:dyDescent="0.25">
      <c r="A2973" t="s">
        <v>24868</v>
      </c>
      <c r="B2973">
        <v>1</v>
      </c>
      <c r="C2973">
        <v>88</v>
      </c>
      <c r="D2973">
        <v>88</v>
      </c>
      <c r="E2973">
        <v>7</v>
      </c>
      <c r="F2973">
        <v>7</v>
      </c>
      <c r="G2973">
        <v>88</v>
      </c>
    </row>
    <row r="2974" spans="1:7" ht="15" x14ac:dyDescent="0.25">
      <c r="A2974" t="s">
        <v>24872</v>
      </c>
      <c r="B2974">
        <v>1</v>
      </c>
      <c r="C2974">
        <v>458</v>
      </c>
      <c r="D2974">
        <v>458</v>
      </c>
      <c r="E2974">
        <v>59</v>
      </c>
      <c r="F2974">
        <v>59</v>
      </c>
      <c r="G2974">
        <v>458</v>
      </c>
    </row>
    <row r="2975" spans="1:7" ht="15" x14ac:dyDescent="0.25">
      <c r="A2975" t="s">
        <v>24877</v>
      </c>
      <c r="B2975">
        <v>3</v>
      </c>
      <c r="C2975">
        <v>26244</v>
      </c>
      <c r="D2975">
        <v>78727</v>
      </c>
      <c r="E2975">
        <v>85</v>
      </c>
      <c r="F2975">
        <v>28.333333333333332</v>
      </c>
      <c r="G2975">
        <v>26244</v>
      </c>
    </row>
    <row r="2976" spans="1:7" ht="15" x14ac:dyDescent="0.25">
      <c r="A2976" t="s">
        <v>24881</v>
      </c>
      <c r="B2976">
        <v>1</v>
      </c>
      <c r="D2976">
        <v>0</v>
      </c>
      <c r="E2976">
        <v>614</v>
      </c>
      <c r="F2976">
        <v>614</v>
      </c>
    </row>
    <row r="2977" spans="1:7" ht="15" x14ac:dyDescent="0.25">
      <c r="A2977" t="s">
        <v>24891</v>
      </c>
      <c r="B2977">
        <v>1</v>
      </c>
      <c r="C2977">
        <v>97</v>
      </c>
      <c r="D2977">
        <v>97</v>
      </c>
      <c r="E2977">
        <v>12</v>
      </c>
      <c r="F2977">
        <v>12</v>
      </c>
      <c r="G2977">
        <v>97</v>
      </c>
    </row>
    <row r="2978" spans="1:7" ht="15" x14ac:dyDescent="0.25">
      <c r="A2978" t="s">
        <v>24907</v>
      </c>
      <c r="B2978">
        <v>1</v>
      </c>
      <c r="C2978">
        <v>246</v>
      </c>
      <c r="D2978">
        <v>246</v>
      </c>
      <c r="E2978">
        <v>22</v>
      </c>
      <c r="F2978">
        <v>22</v>
      </c>
      <c r="G2978">
        <v>246</v>
      </c>
    </row>
    <row r="2979" spans="1:7" ht="15" x14ac:dyDescent="0.25">
      <c r="A2979" t="s">
        <v>24914</v>
      </c>
      <c r="B2979">
        <v>1</v>
      </c>
      <c r="C2979">
        <v>448</v>
      </c>
      <c r="D2979">
        <v>448</v>
      </c>
      <c r="E2979">
        <v>71</v>
      </c>
      <c r="F2979">
        <v>71</v>
      </c>
      <c r="G2979">
        <v>448</v>
      </c>
    </row>
    <row r="2980" spans="1:7" ht="15" x14ac:dyDescent="0.25">
      <c r="A2980" t="s">
        <v>24920</v>
      </c>
      <c r="B2980">
        <v>1</v>
      </c>
      <c r="C2980">
        <v>61552</v>
      </c>
      <c r="D2980">
        <v>61552</v>
      </c>
      <c r="E2980">
        <v>334</v>
      </c>
      <c r="F2980">
        <v>334</v>
      </c>
      <c r="G2980">
        <v>61552</v>
      </c>
    </row>
    <row r="2981" spans="1:7" ht="15" x14ac:dyDescent="0.25">
      <c r="A2981" t="s">
        <v>24925</v>
      </c>
      <c r="B2981">
        <v>1</v>
      </c>
      <c r="C2981">
        <v>463</v>
      </c>
      <c r="D2981">
        <v>463</v>
      </c>
      <c r="E2981">
        <v>56</v>
      </c>
      <c r="F2981">
        <v>56</v>
      </c>
      <c r="G2981">
        <v>463</v>
      </c>
    </row>
    <row r="2982" spans="1:7" ht="15" x14ac:dyDescent="0.25">
      <c r="A2982" t="s">
        <v>24929</v>
      </c>
      <c r="B2982">
        <v>1</v>
      </c>
      <c r="D2982">
        <v>0</v>
      </c>
      <c r="E2982">
        <v>33</v>
      </c>
      <c r="F2982">
        <v>33</v>
      </c>
    </row>
    <row r="2983" spans="1:7" ht="15" x14ac:dyDescent="0.25">
      <c r="A2983" t="s">
        <v>24935</v>
      </c>
      <c r="B2983">
        <v>1</v>
      </c>
      <c r="C2983">
        <v>157</v>
      </c>
      <c r="D2983">
        <v>157</v>
      </c>
      <c r="E2983">
        <v>18</v>
      </c>
      <c r="F2983">
        <v>18</v>
      </c>
      <c r="G2983">
        <v>157</v>
      </c>
    </row>
    <row r="2984" spans="1:7" ht="15" x14ac:dyDescent="0.25">
      <c r="A2984" t="s">
        <v>24940</v>
      </c>
      <c r="B2984">
        <v>7</v>
      </c>
      <c r="C2984">
        <v>21</v>
      </c>
      <c r="D2984">
        <v>70</v>
      </c>
      <c r="E2984">
        <v>78</v>
      </c>
      <c r="F2984">
        <v>11.142857142857142</v>
      </c>
      <c r="G2984">
        <v>21</v>
      </c>
    </row>
    <row r="2985" spans="1:7" ht="15" x14ac:dyDescent="0.25">
      <c r="A2985" t="s">
        <v>24945</v>
      </c>
      <c r="B2985">
        <v>1</v>
      </c>
      <c r="C2985">
        <v>61</v>
      </c>
      <c r="D2985">
        <v>61</v>
      </c>
      <c r="E2985">
        <v>38</v>
      </c>
      <c r="F2985">
        <v>38</v>
      </c>
      <c r="G2985">
        <v>61</v>
      </c>
    </row>
    <row r="2986" spans="1:7" ht="15" x14ac:dyDescent="0.25">
      <c r="A2986" t="s">
        <v>24958</v>
      </c>
      <c r="B2986">
        <v>1</v>
      </c>
      <c r="C2986">
        <v>425</v>
      </c>
      <c r="D2986">
        <v>425</v>
      </c>
      <c r="E2986">
        <v>22</v>
      </c>
      <c r="F2986">
        <v>22</v>
      </c>
      <c r="G2986">
        <v>425</v>
      </c>
    </row>
    <row r="2987" spans="1:7" ht="15" x14ac:dyDescent="0.25">
      <c r="A2987" t="s">
        <v>24964</v>
      </c>
      <c r="B2987">
        <v>1</v>
      </c>
      <c r="C2987">
        <v>62</v>
      </c>
      <c r="D2987">
        <v>62</v>
      </c>
      <c r="E2987">
        <v>38</v>
      </c>
      <c r="F2987">
        <v>38</v>
      </c>
      <c r="G2987">
        <v>62</v>
      </c>
    </row>
    <row r="2988" spans="1:7" ht="15" x14ac:dyDescent="0.25">
      <c r="A2988" t="s">
        <v>24969</v>
      </c>
      <c r="B2988">
        <v>2</v>
      </c>
      <c r="C2988">
        <v>122</v>
      </c>
      <c r="D2988">
        <v>239</v>
      </c>
      <c r="E2988">
        <v>122</v>
      </c>
      <c r="F2988">
        <v>61</v>
      </c>
      <c r="G2988">
        <v>122</v>
      </c>
    </row>
    <row r="2989" spans="1:7" ht="15" x14ac:dyDescent="0.25">
      <c r="A2989" t="s">
        <v>24975</v>
      </c>
      <c r="B2989">
        <v>1</v>
      </c>
      <c r="C2989">
        <v>269</v>
      </c>
      <c r="D2989">
        <v>269</v>
      </c>
      <c r="E2989">
        <v>45</v>
      </c>
      <c r="F2989">
        <v>45</v>
      </c>
      <c r="G2989">
        <v>269</v>
      </c>
    </row>
    <row r="2990" spans="1:7" ht="15" x14ac:dyDescent="0.25">
      <c r="A2990" t="s">
        <v>24981</v>
      </c>
      <c r="B2990">
        <v>1</v>
      </c>
      <c r="C2990">
        <v>377</v>
      </c>
      <c r="D2990">
        <v>377</v>
      </c>
      <c r="E2990">
        <v>25</v>
      </c>
      <c r="F2990">
        <v>25</v>
      </c>
      <c r="G2990">
        <v>377</v>
      </c>
    </row>
    <row r="2991" spans="1:7" ht="15" x14ac:dyDescent="0.25">
      <c r="A2991" t="s">
        <v>24986</v>
      </c>
      <c r="B2991">
        <v>1</v>
      </c>
      <c r="C2991">
        <v>219</v>
      </c>
      <c r="D2991">
        <v>219</v>
      </c>
      <c r="E2991">
        <v>21</v>
      </c>
      <c r="F2991">
        <v>21</v>
      </c>
      <c r="G2991">
        <v>219</v>
      </c>
    </row>
    <row r="2992" spans="1:7" ht="15" x14ac:dyDescent="0.25">
      <c r="A2992" t="s">
        <v>24993</v>
      </c>
      <c r="B2992">
        <v>1</v>
      </c>
      <c r="C2992">
        <v>122</v>
      </c>
      <c r="D2992">
        <v>122</v>
      </c>
      <c r="E2992">
        <v>27</v>
      </c>
      <c r="F2992">
        <v>27</v>
      </c>
      <c r="G2992">
        <v>122</v>
      </c>
    </row>
    <row r="2993" spans="1:7" ht="15" x14ac:dyDescent="0.25">
      <c r="A2993" t="s">
        <v>24998</v>
      </c>
      <c r="B2993">
        <v>1</v>
      </c>
      <c r="C2993">
        <v>306</v>
      </c>
      <c r="D2993">
        <v>306</v>
      </c>
      <c r="E2993">
        <v>16</v>
      </c>
      <c r="F2993">
        <v>16</v>
      </c>
      <c r="G2993">
        <v>306</v>
      </c>
    </row>
    <row r="2994" spans="1:7" ht="15" x14ac:dyDescent="0.25">
      <c r="A2994" t="s">
        <v>25008</v>
      </c>
      <c r="B2994">
        <v>1</v>
      </c>
      <c r="C2994">
        <v>186</v>
      </c>
      <c r="D2994">
        <v>186</v>
      </c>
      <c r="E2994">
        <v>16</v>
      </c>
      <c r="F2994">
        <v>16</v>
      </c>
      <c r="G2994">
        <v>186</v>
      </c>
    </row>
    <row r="2995" spans="1:7" ht="15" x14ac:dyDescent="0.25">
      <c r="A2995" t="s">
        <v>25012</v>
      </c>
      <c r="B2995">
        <v>1</v>
      </c>
      <c r="C2995">
        <v>371</v>
      </c>
      <c r="D2995">
        <v>371</v>
      </c>
      <c r="E2995">
        <v>112</v>
      </c>
      <c r="F2995">
        <v>112</v>
      </c>
      <c r="G2995">
        <v>371</v>
      </c>
    </row>
    <row r="2996" spans="1:7" ht="15" x14ac:dyDescent="0.25">
      <c r="A2996" t="s">
        <v>25017</v>
      </c>
      <c r="B2996">
        <v>1</v>
      </c>
      <c r="C2996">
        <v>750</v>
      </c>
      <c r="D2996">
        <v>750</v>
      </c>
      <c r="E2996">
        <v>32</v>
      </c>
      <c r="F2996">
        <v>32</v>
      </c>
      <c r="G2996">
        <v>750</v>
      </c>
    </row>
    <row r="2997" spans="1:7" ht="15" x14ac:dyDescent="0.25">
      <c r="A2997" t="s">
        <v>25024</v>
      </c>
      <c r="B2997">
        <v>1</v>
      </c>
      <c r="C2997">
        <v>328</v>
      </c>
      <c r="D2997">
        <v>328</v>
      </c>
      <c r="E2997">
        <v>33</v>
      </c>
      <c r="F2997">
        <v>33</v>
      </c>
      <c r="G2997">
        <v>328</v>
      </c>
    </row>
    <row r="2998" spans="1:7" ht="15" x14ac:dyDescent="0.25">
      <c r="A2998" t="s">
        <v>25036</v>
      </c>
      <c r="B2998">
        <v>1</v>
      </c>
      <c r="C2998">
        <v>390</v>
      </c>
      <c r="D2998">
        <v>390</v>
      </c>
      <c r="E2998">
        <v>23</v>
      </c>
      <c r="F2998">
        <v>23</v>
      </c>
      <c r="G2998">
        <v>390</v>
      </c>
    </row>
    <row r="2999" spans="1:7" ht="15" x14ac:dyDescent="0.25">
      <c r="A2999" t="s">
        <v>25040</v>
      </c>
      <c r="B2999">
        <v>1</v>
      </c>
      <c r="C2999">
        <v>76</v>
      </c>
      <c r="D2999">
        <v>76</v>
      </c>
      <c r="E2999">
        <v>5</v>
      </c>
      <c r="F2999">
        <v>5</v>
      </c>
      <c r="G2999">
        <v>76</v>
      </c>
    </row>
    <row r="3000" spans="1:7" ht="15" x14ac:dyDescent="0.25">
      <c r="A3000" t="s">
        <v>25043</v>
      </c>
      <c r="B3000">
        <v>1</v>
      </c>
      <c r="C3000">
        <v>1310</v>
      </c>
      <c r="D3000">
        <v>1310</v>
      </c>
      <c r="E3000">
        <v>63</v>
      </c>
      <c r="F3000">
        <v>63</v>
      </c>
      <c r="G3000">
        <v>1310</v>
      </c>
    </row>
    <row r="3001" spans="1:7" ht="15" x14ac:dyDescent="0.25">
      <c r="A3001" t="s">
        <v>25059</v>
      </c>
      <c r="B3001">
        <v>1</v>
      </c>
      <c r="C3001">
        <v>253</v>
      </c>
      <c r="D3001">
        <v>253</v>
      </c>
      <c r="E3001">
        <v>12</v>
      </c>
      <c r="F3001">
        <v>12</v>
      </c>
      <c r="G3001">
        <v>253</v>
      </c>
    </row>
    <row r="3002" spans="1:7" ht="15" x14ac:dyDescent="0.25">
      <c r="A3002" t="s">
        <v>25064</v>
      </c>
      <c r="B3002">
        <v>1</v>
      </c>
      <c r="C3002">
        <v>796</v>
      </c>
      <c r="D3002">
        <v>796</v>
      </c>
      <c r="E3002">
        <v>95</v>
      </c>
      <c r="F3002">
        <v>95</v>
      </c>
      <c r="G3002">
        <v>796</v>
      </c>
    </row>
    <row r="3003" spans="1:7" ht="15" x14ac:dyDescent="0.25">
      <c r="A3003" t="s">
        <v>25075</v>
      </c>
      <c r="B3003">
        <v>1</v>
      </c>
      <c r="C3003">
        <v>43</v>
      </c>
      <c r="D3003">
        <v>43</v>
      </c>
      <c r="E3003">
        <v>17</v>
      </c>
      <c r="F3003">
        <v>17</v>
      </c>
      <c r="G3003">
        <v>43</v>
      </c>
    </row>
    <row r="3004" spans="1:7" ht="15" x14ac:dyDescent="0.25">
      <c r="A3004" t="s">
        <v>25079</v>
      </c>
      <c r="B3004">
        <v>1</v>
      </c>
      <c r="C3004">
        <v>914</v>
      </c>
      <c r="D3004">
        <v>914</v>
      </c>
      <c r="E3004">
        <v>119</v>
      </c>
      <c r="F3004">
        <v>119</v>
      </c>
      <c r="G3004">
        <v>914</v>
      </c>
    </row>
    <row r="3005" spans="1:7" ht="15" x14ac:dyDescent="0.25">
      <c r="A3005" t="s">
        <v>25088</v>
      </c>
      <c r="B3005">
        <v>1</v>
      </c>
      <c r="C3005">
        <v>564</v>
      </c>
      <c r="D3005">
        <v>564</v>
      </c>
      <c r="E3005">
        <v>18</v>
      </c>
      <c r="F3005">
        <v>18</v>
      </c>
      <c r="G3005">
        <v>564</v>
      </c>
    </row>
    <row r="3006" spans="1:7" ht="15" x14ac:dyDescent="0.25">
      <c r="A3006" t="s">
        <v>25094</v>
      </c>
      <c r="B3006">
        <v>1</v>
      </c>
      <c r="C3006">
        <v>497</v>
      </c>
      <c r="D3006">
        <v>497</v>
      </c>
      <c r="E3006">
        <v>30</v>
      </c>
      <c r="F3006">
        <v>30</v>
      </c>
      <c r="G3006">
        <v>497</v>
      </c>
    </row>
    <row r="3007" spans="1:7" ht="15" x14ac:dyDescent="0.25">
      <c r="A3007" t="s">
        <v>25104</v>
      </c>
      <c r="B3007">
        <v>1</v>
      </c>
      <c r="C3007">
        <v>969</v>
      </c>
      <c r="D3007">
        <v>969</v>
      </c>
      <c r="E3007">
        <v>75</v>
      </c>
      <c r="F3007">
        <v>75</v>
      </c>
      <c r="G3007">
        <v>969</v>
      </c>
    </row>
    <row r="3008" spans="1:7" ht="15" x14ac:dyDescent="0.25">
      <c r="A3008" t="s">
        <v>25110</v>
      </c>
      <c r="B3008">
        <v>1</v>
      </c>
      <c r="C3008">
        <v>689</v>
      </c>
      <c r="D3008">
        <v>689</v>
      </c>
      <c r="E3008">
        <v>85</v>
      </c>
      <c r="F3008">
        <v>85</v>
      </c>
      <c r="G3008">
        <v>689</v>
      </c>
    </row>
    <row r="3009" spans="1:7" ht="15" x14ac:dyDescent="0.25">
      <c r="A3009" t="s">
        <v>25112</v>
      </c>
      <c r="B3009">
        <v>1</v>
      </c>
      <c r="C3009">
        <v>271</v>
      </c>
      <c r="D3009">
        <v>271</v>
      </c>
      <c r="E3009">
        <v>10</v>
      </c>
      <c r="F3009">
        <v>10</v>
      </c>
      <c r="G3009">
        <v>271</v>
      </c>
    </row>
    <row r="3010" spans="1:7" ht="15" x14ac:dyDescent="0.25">
      <c r="A3010" t="s">
        <v>25123</v>
      </c>
      <c r="B3010">
        <v>1</v>
      </c>
      <c r="C3010">
        <v>1684</v>
      </c>
      <c r="D3010">
        <v>1684</v>
      </c>
      <c r="E3010">
        <v>122</v>
      </c>
      <c r="F3010">
        <v>122</v>
      </c>
      <c r="G3010">
        <v>1684</v>
      </c>
    </row>
    <row r="3011" spans="1:7" ht="15" x14ac:dyDescent="0.25">
      <c r="A3011" t="s">
        <v>25130</v>
      </c>
      <c r="B3011">
        <v>1</v>
      </c>
      <c r="C3011">
        <v>505</v>
      </c>
      <c r="D3011">
        <v>505</v>
      </c>
      <c r="E3011">
        <v>92</v>
      </c>
      <c r="F3011">
        <v>92</v>
      </c>
      <c r="G3011">
        <v>505</v>
      </c>
    </row>
    <row r="3012" spans="1:7" ht="15" x14ac:dyDescent="0.25">
      <c r="A3012" t="s">
        <v>25142</v>
      </c>
      <c r="B3012">
        <v>1</v>
      </c>
      <c r="C3012">
        <v>109</v>
      </c>
      <c r="D3012">
        <v>109</v>
      </c>
      <c r="E3012">
        <v>7</v>
      </c>
      <c r="F3012">
        <v>7</v>
      </c>
      <c r="G3012">
        <v>109</v>
      </c>
    </row>
    <row r="3013" spans="1:7" ht="15" x14ac:dyDescent="0.25">
      <c r="A3013" t="s">
        <v>25148</v>
      </c>
      <c r="B3013">
        <v>1</v>
      </c>
      <c r="C3013">
        <v>822</v>
      </c>
      <c r="D3013">
        <v>822</v>
      </c>
      <c r="E3013">
        <v>82</v>
      </c>
      <c r="F3013">
        <v>82</v>
      </c>
      <c r="G3013">
        <v>822</v>
      </c>
    </row>
    <row r="3014" spans="1:7" ht="15" x14ac:dyDescent="0.25">
      <c r="A3014" t="s">
        <v>25153</v>
      </c>
      <c r="B3014">
        <v>1</v>
      </c>
      <c r="C3014">
        <v>417</v>
      </c>
      <c r="D3014">
        <v>417</v>
      </c>
      <c r="E3014">
        <v>29</v>
      </c>
      <c r="F3014">
        <v>29</v>
      </c>
      <c r="G3014">
        <v>417</v>
      </c>
    </row>
    <row r="3015" spans="1:7" ht="15" x14ac:dyDescent="0.25">
      <c r="A3015" t="s">
        <v>25158</v>
      </c>
      <c r="B3015">
        <v>1</v>
      </c>
      <c r="C3015">
        <v>352</v>
      </c>
      <c r="D3015">
        <v>352</v>
      </c>
      <c r="E3015">
        <v>33</v>
      </c>
      <c r="F3015">
        <v>33</v>
      </c>
      <c r="G3015">
        <v>352</v>
      </c>
    </row>
    <row r="3016" spans="1:7" ht="15" x14ac:dyDescent="0.25">
      <c r="A3016" t="s">
        <v>25167</v>
      </c>
      <c r="B3016">
        <v>1</v>
      </c>
      <c r="C3016">
        <v>5939</v>
      </c>
      <c r="D3016">
        <v>5939</v>
      </c>
      <c r="E3016">
        <v>112</v>
      </c>
      <c r="F3016">
        <v>112</v>
      </c>
      <c r="G3016">
        <v>5939</v>
      </c>
    </row>
    <row r="3017" spans="1:7" ht="15" x14ac:dyDescent="0.25">
      <c r="A3017" t="s">
        <v>25177</v>
      </c>
      <c r="B3017">
        <v>1</v>
      </c>
      <c r="C3017">
        <v>11</v>
      </c>
      <c r="D3017">
        <v>11</v>
      </c>
      <c r="E3017">
        <v>7</v>
      </c>
      <c r="F3017">
        <v>7</v>
      </c>
      <c r="G3017">
        <v>11</v>
      </c>
    </row>
    <row r="3018" spans="1:7" ht="15" x14ac:dyDescent="0.25">
      <c r="A3018" t="s">
        <v>25184</v>
      </c>
      <c r="B3018">
        <v>1</v>
      </c>
      <c r="C3018">
        <v>485</v>
      </c>
      <c r="D3018">
        <v>485</v>
      </c>
      <c r="E3018">
        <v>14</v>
      </c>
      <c r="F3018">
        <v>14</v>
      </c>
      <c r="G3018">
        <v>485</v>
      </c>
    </row>
    <row r="3019" spans="1:7" ht="15" x14ac:dyDescent="0.25">
      <c r="A3019" t="s">
        <v>25206</v>
      </c>
      <c r="B3019">
        <v>1</v>
      </c>
      <c r="C3019">
        <v>161</v>
      </c>
      <c r="D3019">
        <v>161</v>
      </c>
      <c r="E3019">
        <v>38</v>
      </c>
      <c r="F3019">
        <v>38</v>
      </c>
      <c r="G3019">
        <v>161</v>
      </c>
    </row>
    <row r="3020" spans="1:7" ht="15" x14ac:dyDescent="0.25">
      <c r="A3020" t="s">
        <v>25220</v>
      </c>
      <c r="B3020">
        <v>1</v>
      </c>
      <c r="C3020">
        <v>323</v>
      </c>
      <c r="D3020">
        <v>323</v>
      </c>
      <c r="E3020">
        <v>81</v>
      </c>
      <c r="F3020">
        <v>81</v>
      </c>
      <c r="G3020">
        <v>323</v>
      </c>
    </row>
    <row r="3021" spans="1:7" ht="15" x14ac:dyDescent="0.25">
      <c r="A3021" t="s">
        <v>25227</v>
      </c>
      <c r="B3021">
        <v>2</v>
      </c>
      <c r="C3021">
        <v>3916</v>
      </c>
      <c r="D3021">
        <v>7496</v>
      </c>
      <c r="E3021">
        <v>225</v>
      </c>
      <c r="F3021">
        <v>112.5</v>
      </c>
      <c r="G3021">
        <v>3916</v>
      </c>
    </row>
    <row r="3022" spans="1:7" ht="15" x14ac:dyDescent="0.25">
      <c r="A3022" t="s">
        <v>25232</v>
      </c>
      <c r="B3022">
        <v>2</v>
      </c>
      <c r="C3022">
        <v>2791</v>
      </c>
      <c r="D3022">
        <v>4413</v>
      </c>
      <c r="E3022">
        <v>6377</v>
      </c>
      <c r="F3022">
        <v>3188.5</v>
      </c>
      <c r="G3022">
        <v>2791</v>
      </c>
    </row>
    <row r="3023" spans="1:7" ht="15" x14ac:dyDescent="0.25">
      <c r="A3023" t="s">
        <v>25234</v>
      </c>
      <c r="B3023">
        <v>1</v>
      </c>
      <c r="C3023">
        <v>657</v>
      </c>
      <c r="D3023">
        <v>657</v>
      </c>
      <c r="E3023">
        <v>27</v>
      </c>
      <c r="F3023">
        <v>27</v>
      </c>
      <c r="G3023">
        <v>657</v>
      </c>
    </row>
    <row r="3024" spans="1:7" ht="15" x14ac:dyDescent="0.25">
      <c r="A3024" t="s">
        <v>25241</v>
      </c>
      <c r="B3024">
        <v>3</v>
      </c>
      <c r="C3024">
        <v>4397</v>
      </c>
      <c r="D3024">
        <v>13183</v>
      </c>
      <c r="E3024">
        <v>159</v>
      </c>
      <c r="F3024">
        <v>53</v>
      </c>
      <c r="G3024">
        <v>4397</v>
      </c>
    </row>
    <row r="3025" spans="1:7" ht="15" x14ac:dyDescent="0.25">
      <c r="A3025" t="s">
        <v>25246</v>
      </c>
      <c r="B3025">
        <v>1</v>
      </c>
      <c r="C3025">
        <v>2196</v>
      </c>
      <c r="D3025">
        <v>2196</v>
      </c>
      <c r="E3025">
        <v>41</v>
      </c>
      <c r="F3025">
        <v>41</v>
      </c>
      <c r="G3025">
        <v>2196</v>
      </c>
    </row>
    <row r="3026" spans="1:7" ht="15" x14ac:dyDescent="0.25">
      <c r="A3026" t="s">
        <v>25265</v>
      </c>
      <c r="B3026">
        <v>1</v>
      </c>
      <c r="C3026">
        <v>810</v>
      </c>
      <c r="D3026">
        <v>810</v>
      </c>
      <c r="E3026">
        <v>71</v>
      </c>
      <c r="F3026">
        <v>71</v>
      </c>
      <c r="G3026">
        <v>810</v>
      </c>
    </row>
    <row r="3027" spans="1:7" ht="15" x14ac:dyDescent="0.25">
      <c r="A3027" t="s">
        <v>25271</v>
      </c>
      <c r="B3027">
        <v>1</v>
      </c>
      <c r="C3027">
        <v>1437</v>
      </c>
      <c r="D3027">
        <v>1437</v>
      </c>
      <c r="E3027">
        <v>6</v>
      </c>
      <c r="F3027">
        <v>6</v>
      </c>
      <c r="G3027">
        <v>1437</v>
      </c>
    </row>
    <row r="3028" spans="1:7" ht="15" x14ac:dyDescent="0.25">
      <c r="A3028" t="s">
        <v>25274</v>
      </c>
      <c r="B3028">
        <v>1</v>
      </c>
      <c r="C3028">
        <v>901</v>
      </c>
      <c r="D3028">
        <v>901</v>
      </c>
      <c r="E3028">
        <v>65</v>
      </c>
      <c r="F3028">
        <v>65</v>
      </c>
      <c r="G3028">
        <v>901</v>
      </c>
    </row>
    <row r="3029" spans="1:7" ht="15" x14ac:dyDescent="0.25">
      <c r="A3029" t="s">
        <v>25285</v>
      </c>
      <c r="B3029">
        <v>1</v>
      </c>
      <c r="C3029">
        <v>228</v>
      </c>
      <c r="D3029">
        <v>228</v>
      </c>
      <c r="E3029">
        <v>19</v>
      </c>
      <c r="F3029">
        <v>19</v>
      </c>
      <c r="G3029">
        <v>228</v>
      </c>
    </row>
    <row r="3030" spans="1:7" ht="15" x14ac:dyDescent="0.25">
      <c r="A3030" t="s">
        <v>25293</v>
      </c>
      <c r="B3030">
        <v>1</v>
      </c>
      <c r="C3030">
        <v>994</v>
      </c>
      <c r="D3030">
        <v>994</v>
      </c>
      <c r="E3030">
        <v>36</v>
      </c>
      <c r="F3030">
        <v>36</v>
      </c>
      <c r="G3030">
        <v>994</v>
      </c>
    </row>
    <row r="3031" spans="1:7" ht="15" x14ac:dyDescent="0.25">
      <c r="A3031" t="s">
        <v>25297</v>
      </c>
      <c r="B3031">
        <v>1</v>
      </c>
      <c r="C3031">
        <v>153</v>
      </c>
      <c r="D3031">
        <v>153</v>
      </c>
      <c r="E3031">
        <v>5</v>
      </c>
      <c r="F3031">
        <v>5</v>
      </c>
      <c r="G3031">
        <v>153</v>
      </c>
    </row>
    <row r="3032" spans="1:7" ht="15" x14ac:dyDescent="0.25">
      <c r="A3032" t="s">
        <v>25303</v>
      </c>
      <c r="B3032">
        <v>1</v>
      </c>
      <c r="C3032">
        <v>456</v>
      </c>
      <c r="D3032">
        <v>456</v>
      </c>
      <c r="E3032">
        <v>39</v>
      </c>
      <c r="F3032">
        <v>39</v>
      </c>
      <c r="G3032">
        <v>456</v>
      </c>
    </row>
    <row r="3033" spans="1:7" ht="15" x14ac:dyDescent="0.25">
      <c r="A3033" t="s">
        <v>25308</v>
      </c>
      <c r="B3033">
        <v>1</v>
      </c>
      <c r="D3033">
        <v>0</v>
      </c>
      <c r="E3033">
        <v>12</v>
      </c>
      <c r="F3033">
        <v>12</v>
      </c>
    </row>
    <row r="3034" spans="1:7" ht="15" x14ac:dyDescent="0.25">
      <c r="A3034" t="s">
        <v>25314</v>
      </c>
      <c r="B3034">
        <v>1</v>
      </c>
      <c r="C3034">
        <v>263</v>
      </c>
      <c r="D3034">
        <v>263</v>
      </c>
      <c r="E3034">
        <v>42</v>
      </c>
      <c r="F3034">
        <v>42</v>
      </c>
      <c r="G3034">
        <v>263</v>
      </c>
    </row>
    <row r="3035" spans="1:7" ht="15" x14ac:dyDescent="0.25">
      <c r="A3035" t="s">
        <v>25332</v>
      </c>
      <c r="B3035">
        <v>1</v>
      </c>
      <c r="C3035">
        <v>370</v>
      </c>
      <c r="D3035">
        <v>370</v>
      </c>
      <c r="E3035">
        <v>105</v>
      </c>
      <c r="F3035">
        <v>105</v>
      </c>
      <c r="G3035">
        <v>370</v>
      </c>
    </row>
    <row r="3036" spans="1:7" ht="15" x14ac:dyDescent="0.25">
      <c r="A3036" t="s">
        <v>25347</v>
      </c>
      <c r="B3036">
        <v>1</v>
      </c>
      <c r="C3036">
        <v>343</v>
      </c>
      <c r="D3036">
        <v>343</v>
      </c>
      <c r="E3036">
        <v>94</v>
      </c>
      <c r="F3036">
        <v>94</v>
      </c>
      <c r="G3036">
        <v>343</v>
      </c>
    </row>
    <row r="3037" spans="1:7" ht="15" x14ac:dyDescent="0.25">
      <c r="A3037" t="s">
        <v>25353</v>
      </c>
      <c r="B3037">
        <v>1</v>
      </c>
      <c r="C3037">
        <v>404</v>
      </c>
      <c r="D3037">
        <v>404</v>
      </c>
      <c r="E3037">
        <v>63</v>
      </c>
      <c r="F3037">
        <v>63</v>
      </c>
      <c r="G3037">
        <v>404</v>
      </c>
    </row>
    <row r="3038" spans="1:7" ht="15" x14ac:dyDescent="0.25">
      <c r="A3038" t="s">
        <v>25356</v>
      </c>
      <c r="B3038">
        <v>1</v>
      </c>
      <c r="C3038">
        <v>211</v>
      </c>
      <c r="D3038">
        <v>211</v>
      </c>
      <c r="E3038">
        <v>0</v>
      </c>
      <c r="F3038">
        <v>0</v>
      </c>
      <c r="G3038">
        <v>211</v>
      </c>
    </row>
    <row r="3039" spans="1:7" ht="15" x14ac:dyDescent="0.25">
      <c r="A3039" t="s">
        <v>25366</v>
      </c>
      <c r="B3039">
        <v>1</v>
      </c>
      <c r="C3039">
        <v>10416</v>
      </c>
      <c r="D3039">
        <v>10416</v>
      </c>
      <c r="E3039">
        <v>263</v>
      </c>
      <c r="F3039">
        <v>263</v>
      </c>
      <c r="G3039">
        <v>10416</v>
      </c>
    </row>
    <row r="3040" spans="1:7" ht="15" x14ac:dyDescent="0.25">
      <c r="A3040" t="s">
        <v>25371</v>
      </c>
      <c r="B3040">
        <v>1</v>
      </c>
      <c r="C3040">
        <v>860</v>
      </c>
      <c r="D3040">
        <v>860</v>
      </c>
      <c r="E3040">
        <v>22</v>
      </c>
      <c r="F3040">
        <v>22</v>
      </c>
      <c r="G3040">
        <v>860</v>
      </c>
    </row>
    <row r="3041" spans="1:7" ht="15" x14ac:dyDescent="0.25">
      <c r="A3041" t="s">
        <v>25386</v>
      </c>
      <c r="B3041">
        <v>1</v>
      </c>
      <c r="C3041">
        <v>532</v>
      </c>
      <c r="D3041">
        <v>532</v>
      </c>
      <c r="E3041">
        <v>48</v>
      </c>
      <c r="F3041">
        <v>48</v>
      </c>
      <c r="G3041">
        <v>532</v>
      </c>
    </row>
    <row r="3042" spans="1:7" ht="15" x14ac:dyDescent="0.25">
      <c r="A3042" t="s">
        <v>25399</v>
      </c>
      <c r="B3042">
        <v>1</v>
      </c>
      <c r="C3042">
        <v>755</v>
      </c>
      <c r="D3042">
        <v>755</v>
      </c>
      <c r="E3042">
        <v>47</v>
      </c>
      <c r="F3042">
        <v>47</v>
      </c>
      <c r="G3042">
        <v>755</v>
      </c>
    </row>
    <row r="3043" spans="1:7" ht="15" x14ac:dyDescent="0.25">
      <c r="A3043" t="s">
        <v>25414</v>
      </c>
      <c r="B3043">
        <v>1</v>
      </c>
      <c r="C3043">
        <v>538</v>
      </c>
      <c r="D3043">
        <v>538</v>
      </c>
      <c r="E3043">
        <v>97</v>
      </c>
      <c r="F3043">
        <v>97</v>
      </c>
      <c r="G3043">
        <v>538</v>
      </c>
    </row>
    <row r="3044" spans="1:7" ht="15" x14ac:dyDescent="0.25">
      <c r="A3044" t="s">
        <v>25421</v>
      </c>
      <c r="B3044">
        <v>1</v>
      </c>
      <c r="C3044">
        <v>530</v>
      </c>
      <c r="D3044">
        <v>530</v>
      </c>
      <c r="E3044">
        <v>7</v>
      </c>
      <c r="F3044">
        <v>7</v>
      </c>
      <c r="G3044">
        <v>530</v>
      </c>
    </row>
    <row r="3045" spans="1:7" ht="15" x14ac:dyDescent="0.25">
      <c r="A3045" t="s">
        <v>25429</v>
      </c>
      <c r="B3045">
        <v>1</v>
      </c>
      <c r="D3045">
        <v>0</v>
      </c>
      <c r="E3045">
        <v>376</v>
      </c>
      <c r="F3045">
        <v>376</v>
      </c>
    </row>
    <row r="3046" spans="1:7" ht="15" x14ac:dyDescent="0.25">
      <c r="A3046" t="s">
        <v>25433</v>
      </c>
      <c r="B3046">
        <v>1</v>
      </c>
      <c r="C3046">
        <v>275</v>
      </c>
      <c r="D3046">
        <v>275</v>
      </c>
      <c r="E3046">
        <v>10</v>
      </c>
      <c r="F3046">
        <v>10</v>
      </c>
      <c r="G3046">
        <v>275</v>
      </c>
    </row>
    <row r="3047" spans="1:7" ht="15" x14ac:dyDescent="0.25">
      <c r="A3047" t="s">
        <v>25445</v>
      </c>
      <c r="B3047">
        <v>1</v>
      </c>
      <c r="C3047">
        <v>102</v>
      </c>
      <c r="D3047">
        <v>102</v>
      </c>
      <c r="E3047">
        <v>8</v>
      </c>
      <c r="F3047">
        <v>8</v>
      </c>
      <c r="G3047">
        <v>102</v>
      </c>
    </row>
    <row r="3048" spans="1:7" ht="15" x14ac:dyDescent="0.25">
      <c r="A3048" t="s">
        <v>25469</v>
      </c>
      <c r="B3048">
        <v>2</v>
      </c>
      <c r="C3048">
        <v>346</v>
      </c>
      <c r="D3048">
        <v>681</v>
      </c>
      <c r="E3048">
        <v>66</v>
      </c>
      <c r="F3048">
        <v>33</v>
      </c>
      <c r="G3048">
        <v>346</v>
      </c>
    </row>
    <row r="3049" spans="1:7" ht="15" x14ac:dyDescent="0.25">
      <c r="A3049" t="s">
        <v>25477</v>
      </c>
      <c r="B3049">
        <v>1</v>
      </c>
      <c r="C3049">
        <v>752</v>
      </c>
      <c r="D3049">
        <v>752</v>
      </c>
      <c r="E3049">
        <v>49</v>
      </c>
      <c r="F3049">
        <v>49</v>
      </c>
      <c r="G3049">
        <v>752</v>
      </c>
    </row>
    <row r="3050" spans="1:7" ht="15" x14ac:dyDescent="0.25">
      <c r="A3050" t="s">
        <v>25495</v>
      </c>
      <c r="B3050">
        <v>1</v>
      </c>
      <c r="C3050">
        <v>1125</v>
      </c>
      <c r="D3050">
        <v>1125</v>
      </c>
      <c r="E3050">
        <v>13</v>
      </c>
      <c r="F3050">
        <v>13</v>
      </c>
      <c r="G3050">
        <v>1125</v>
      </c>
    </row>
    <row r="3051" spans="1:7" ht="15" x14ac:dyDescent="0.25">
      <c r="A3051" t="s">
        <v>25501</v>
      </c>
      <c r="B3051">
        <v>1</v>
      </c>
      <c r="C3051">
        <v>45</v>
      </c>
      <c r="D3051">
        <v>45</v>
      </c>
      <c r="E3051">
        <v>34</v>
      </c>
      <c r="F3051">
        <v>34</v>
      </c>
      <c r="G3051">
        <v>45</v>
      </c>
    </row>
    <row r="3052" spans="1:7" ht="15" x14ac:dyDescent="0.25">
      <c r="A3052" t="s">
        <v>25507</v>
      </c>
      <c r="B3052">
        <v>1</v>
      </c>
      <c r="C3052">
        <v>227</v>
      </c>
      <c r="D3052">
        <v>227</v>
      </c>
      <c r="E3052">
        <v>105</v>
      </c>
      <c r="F3052">
        <v>105</v>
      </c>
      <c r="G3052">
        <v>227</v>
      </c>
    </row>
    <row r="3053" spans="1:7" ht="15" x14ac:dyDescent="0.25">
      <c r="A3053" t="s">
        <v>25510</v>
      </c>
      <c r="B3053">
        <v>1</v>
      </c>
      <c r="C3053">
        <v>802</v>
      </c>
      <c r="D3053">
        <v>802</v>
      </c>
      <c r="E3053">
        <v>108</v>
      </c>
      <c r="F3053">
        <v>108</v>
      </c>
      <c r="G3053">
        <v>802</v>
      </c>
    </row>
    <row r="3054" spans="1:7" ht="15" x14ac:dyDescent="0.25">
      <c r="A3054" t="s">
        <v>25514</v>
      </c>
      <c r="B3054">
        <v>1</v>
      </c>
      <c r="D3054">
        <v>0</v>
      </c>
      <c r="E3054">
        <v>146</v>
      </c>
      <c r="F3054">
        <v>146</v>
      </c>
    </row>
    <row r="3055" spans="1:7" ht="15" x14ac:dyDescent="0.25">
      <c r="A3055" t="s">
        <v>25519</v>
      </c>
      <c r="B3055">
        <v>1</v>
      </c>
      <c r="C3055">
        <v>753</v>
      </c>
      <c r="D3055">
        <v>753</v>
      </c>
      <c r="E3055">
        <v>60</v>
      </c>
      <c r="F3055">
        <v>60</v>
      </c>
      <c r="G3055">
        <v>753</v>
      </c>
    </row>
    <row r="3056" spans="1:7" ht="15" x14ac:dyDescent="0.25">
      <c r="A3056" t="s">
        <v>25534</v>
      </c>
      <c r="B3056">
        <v>1</v>
      </c>
      <c r="C3056">
        <v>217</v>
      </c>
      <c r="D3056">
        <v>217</v>
      </c>
      <c r="E3056">
        <v>29</v>
      </c>
      <c r="F3056">
        <v>29</v>
      </c>
      <c r="G3056">
        <v>217</v>
      </c>
    </row>
    <row r="3057" spans="1:7" ht="15" x14ac:dyDescent="0.25">
      <c r="A3057" t="s">
        <v>25541</v>
      </c>
      <c r="B3057">
        <v>2</v>
      </c>
      <c r="C3057">
        <v>921</v>
      </c>
      <c r="D3057">
        <v>921</v>
      </c>
      <c r="E3057">
        <v>75</v>
      </c>
      <c r="F3057">
        <v>37.5</v>
      </c>
      <c r="G3057">
        <v>921</v>
      </c>
    </row>
    <row r="3058" spans="1:7" ht="15" x14ac:dyDescent="0.25">
      <c r="A3058" t="s">
        <v>25553</v>
      </c>
      <c r="B3058">
        <v>1</v>
      </c>
      <c r="C3058">
        <v>70</v>
      </c>
      <c r="D3058">
        <v>70</v>
      </c>
      <c r="E3058">
        <v>16</v>
      </c>
      <c r="F3058">
        <v>16</v>
      </c>
      <c r="G3058">
        <v>70</v>
      </c>
    </row>
    <row r="3059" spans="1:7" ht="15" x14ac:dyDescent="0.25">
      <c r="A3059" t="s">
        <v>25559</v>
      </c>
      <c r="B3059">
        <v>1</v>
      </c>
      <c r="C3059">
        <v>503</v>
      </c>
      <c r="D3059">
        <v>503</v>
      </c>
      <c r="E3059">
        <v>32</v>
      </c>
      <c r="F3059">
        <v>32</v>
      </c>
      <c r="G3059">
        <v>503</v>
      </c>
    </row>
    <row r="3060" spans="1:7" ht="15" x14ac:dyDescent="0.25">
      <c r="A3060" t="s">
        <v>25573</v>
      </c>
      <c r="B3060">
        <v>1</v>
      </c>
      <c r="C3060">
        <v>81</v>
      </c>
      <c r="D3060">
        <v>81</v>
      </c>
      <c r="E3060">
        <v>3</v>
      </c>
      <c r="F3060">
        <v>3</v>
      </c>
      <c r="G3060">
        <v>81</v>
      </c>
    </row>
    <row r="3061" spans="1:7" ht="15" x14ac:dyDescent="0.25">
      <c r="A3061" t="s">
        <v>25587</v>
      </c>
      <c r="B3061">
        <v>1</v>
      </c>
      <c r="C3061">
        <v>189</v>
      </c>
      <c r="D3061">
        <v>189</v>
      </c>
      <c r="E3061">
        <v>22</v>
      </c>
      <c r="F3061">
        <v>22</v>
      </c>
      <c r="G3061">
        <v>189</v>
      </c>
    </row>
    <row r="3062" spans="1:7" ht="15" x14ac:dyDescent="0.25">
      <c r="A3062" t="s">
        <v>25594</v>
      </c>
      <c r="B3062">
        <v>1</v>
      </c>
      <c r="C3062">
        <v>294</v>
      </c>
      <c r="D3062">
        <v>294</v>
      </c>
      <c r="E3062">
        <v>102</v>
      </c>
      <c r="F3062">
        <v>102</v>
      </c>
      <c r="G3062">
        <v>294</v>
      </c>
    </row>
    <row r="3063" spans="1:7" ht="15" x14ac:dyDescent="0.25">
      <c r="A3063" t="s">
        <v>25601</v>
      </c>
      <c r="B3063">
        <v>1</v>
      </c>
      <c r="C3063">
        <v>36</v>
      </c>
      <c r="D3063">
        <v>36</v>
      </c>
      <c r="E3063">
        <v>15</v>
      </c>
      <c r="F3063">
        <v>15</v>
      </c>
      <c r="G3063">
        <v>36</v>
      </c>
    </row>
    <row r="3064" spans="1:7" ht="15" x14ac:dyDescent="0.25">
      <c r="A3064" t="s">
        <v>25607</v>
      </c>
      <c r="B3064">
        <v>1</v>
      </c>
      <c r="C3064">
        <v>52</v>
      </c>
      <c r="D3064">
        <v>52</v>
      </c>
      <c r="E3064">
        <v>9</v>
      </c>
      <c r="F3064">
        <v>9</v>
      </c>
      <c r="G3064">
        <v>52</v>
      </c>
    </row>
    <row r="3065" spans="1:7" ht="15" x14ac:dyDescent="0.25">
      <c r="A3065" t="s">
        <v>25611</v>
      </c>
      <c r="B3065">
        <v>1</v>
      </c>
      <c r="C3065">
        <v>111</v>
      </c>
      <c r="D3065">
        <v>111</v>
      </c>
      <c r="E3065">
        <v>18</v>
      </c>
      <c r="F3065">
        <v>18</v>
      </c>
      <c r="G3065">
        <v>111</v>
      </c>
    </row>
    <row r="3066" spans="1:7" ht="15" x14ac:dyDescent="0.25">
      <c r="A3066" t="s">
        <v>25615</v>
      </c>
      <c r="B3066">
        <v>1</v>
      </c>
      <c r="C3066">
        <v>79</v>
      </c>
      <c r="D3066">
        <v>79</v>
      </c>
      <c r="E3066">
        <v>6</v>
      </c>
      <c r="F3066">
        <v>6</v>
      </c>
      <c r="G3066">
        <v>79</v>
      </c>
    </row>
    <row r="3067" spans="1:7" ht="15" x14ac:dyDescent="0.25">
      <c r="A3067" t="s">
        <v>25628</v>
      </c>
      <c r="B3067">
        <v>1</v>
      </c>
      <c r="C3067">
        <v>471</v>
      </c>
      <c r="D3067">
        <v>471</v>
      </c>
      <c r="E3067">
        <v>71</v>
      </c>
      <c r="F3067">
        <v>71</v>
      </c>
      <c r="G3067">
        <v>471</v>
      </c>
    </row>
    <row r="3068" spans="1:7" ht="15" x14ac:dyDescent="0.25">
      <c r="A3068" t="s">
        <v>25634</v>
      </c>
      <c r="B3068">
        <v>1</v>
      </c>
      <c r="C3068">
        <v>116</v>
      </c>
      <c r="D3068">
        <v>116</v>
      </c>
      <c r="E3068">
        <v>8</v>
      </c>
      <c r="F3068">
        <v>8</v>
      </c>
      <c r="G3068">
        <v>116</v>
      </c>
    </row>
    <row r="3069" spans="1:7" ht="15" x14ac:dyDescent="0.25">
      <c r="A3069" t="s">
        <v>25643</v>
      </c>
      <c r="B3069">
        <v>1</v>
      </c>
      <c r="C3069">
        <v>155</v>
      </c>
      <c r="D3069">
        <v>155</v>
      </c>
      <c r="E3069">
        <v>48</v>
      </c>
      <c r="F3069">
        <v>48</v>
      </c>
      <c r="G3069">
        <v>155</v>
      </c>
    </row>
    <row r="3070" spans="1:7" ht="15" x14ac:dyDescent="0.25">
      <c r="A3070" t="s">
        <v>25648</v>
      </c>
      <c r="B3070">
        <v>1</v>
      </c>
      <c r="C3070">
        <v>660</v>
      </c>
      <c r="D3070">
        <v>660</v>
      </c>
      <c r="E3070">
        <v>95</v>
      </c>
      <c r="F3070">
        <v>95</v>
      </c>
      <c r="G3070">
        <v>660</v>
      </c>
    </row>
    <row r="3071" spans="1:7" ht="15" x14ac:dyDescent="0.25">
      <c r="A3071" t="s">
        <v>25653</v>
      </c>
      <c r="B3071">
        <v>1</v>
      </c>
      <c r="C3071">
        <v>591</v>
      </c>
      <c r="D3071">
        <v>591</v>
      </c>
      <c r="E3071">
        <v>157</v>
      </c>
      <c r="F3071">
        <v>157</v>
      </c>
      <c r="G3071">
        <v>591</v>
      </c>
    </row>
    <row r="3072" spans="1:7" ht="15" x14ac:dyDescent="0.25">
      <c r="A3072" t="s">
        <v>25657</v>
      </c>
      <c r="B3072">
        <v>1</v>
      </c>
      <c r="C3072">
        <v>443</v>
      </c>
      <c r="D3072">
        <v>443</v>
      </c>
      <c r="E3072">
        <v>25</v>
      </c>
      <c r="F3072">
        <v>25</v>
      </c>
      <c r="G3072">
        <v>443</v>
      </c>
    </row>
    <row r="3073" spans="1:7" ht="15" x14ac:dyDescent="0.25">
      <c r="A3073" t="s">
        <v>25664</v>
      </c>
      <c r="B3073">
        <v>1</v>
      </c>
      <c r="C3073">
        <v>8</v>
      </c>
      <c r="D3073">
        <v>8</v>
      </c>
      <c r="E3073">
        <v>11</v>
      </c>
      <c r="F3073">
        <v>11</v>
      </c>
      <c r="G3073">
        <v>8</v>
      </c>
    </row>
    <row r="3074" spans="1:7" ht="15" x14ac:dyDescent="0.25">
      <c r="A3074" t="s">
        <v>25671</v>
      </c>
      <c r="B3074">
        <v>1</v>
      </c>
      <c r="C3074">
        <v>2346</v>
      </c>
      <c r="D3074">
        <v>2346</v>
      </c>
      <c r="E3074">
        <v>135</v>
      </c>
      <c r="F3074">
        <v>135</v>
      </c>
      <c r="G3074">
        <v>2346</v>
      </c>
    </row>
    <row r="3075" spans="1:7" ht="15" x14ac:dyDescent="0.25">
      <c r="A3075" t="s">
        <v>25676</v>
      </c>
      <c r="B3075">
        <v>1</v>
      </c>
      <c r="C3075">
        <v>211</v>
      </c>
      <c r="D3075">
        <v>211</v>
      </c>
      <c r="E3075">
        <v>54</v>
      </c>
      <c r="F3075">
        <v>54</v>
      </c>
      <c r="G3075">
        <v>211</v>
      </c>
    </row>
    <row r="3076" spans="1:7" ht="15" x14ac:dyDescent="0.25">
      <c r="A3076" t="s">
        <v>25684</v>
      </c>
      <c r="B3076">
        <v>1</v>
      </c>
      <c r="C3076">
        <v>207</v>
      </c>
      <c r="D3076">
        <v>207</v>
      </c>
      <c r="E3076">
        <v>40</v>
      </c>
      <c r="F3076">
        <v>40</v>
      </c>
      <c r="G3076">
        <v>207</v>
      </c>
    </row>
    <row r="3077" spans="1:7" ht="15" x14ac:dyDescent="0.25">
      <c r="A3077" t="s">
        <v>25701</v>
      </c>
      <c r="B3077">
        <v>1</v>
      </c>
      <c r="C3077">
        <v>947</v>
      </c>
      <c r="D3077">
        <v>947</v>
      </c>
      <c r="E3077">
        <v>66</v>
      </c>
      <c r="F3077">
        <v>66</v>
      </c>
      <c r="G3077">
        <v>947</v>
      </c>
    </row>
    <row r="3078" spans="1:7" ht="15" x14ac:dyDescent="0.25">
      <c r="A3078" t="s">
        <v>25708</v>
      </c>
      <c r="B3078">
        <v>1</v>
      </c>
      <c r="C3078">
        <v>1031</v>
      </c>
      <c r="D3078">
        <v>1031</v>
      </c>
      <c r="E3078">
        <v>17</v>
      </c>
      <c r="F3078">
        <v>17</v>
      </c>
      <c r="G3078">
        <v>1031</v>
      </c>
    </row>
    <row r="3079" spans="1:7" ht="15" x14ac:dyDescent="0.25">
      <c r="A3079" t="s">
        <v>25720</v>
      </c>
      <c r="B3079">
        <v>1</v>
      </c>
      <c r="C3079">
        <v>331</v>
      </c>
      <c r="D3079">
        <v>331</v>
      </c>
      <c r="E3079">
        <v>56</v>
      </c>
      <c r="F3079">
        <v>56</v>
      </c>
      <c r="G3079">
        <v>331</v>
      </c>
    </row>
    <row r="3080" spans="1:7" ht="15" x14ac:dyDescent="0.25">
      <c r="A3080" t="s">
        <v>25731</v>
      </c>
      <c r="B3080">
        <v>1</v>
      </c>
      <c r="C3080">
        <v>69</v>
      </c>
      <c r="D3080">
        <v>69</v>
      </c>
      <c r="E3080">
        <v>2</v>
      </c>
      <c r="F3080">
        <v>2</v>
      </c>
      <c r="G3080">
        <v>69</v>
      </c>
    </row>
    <row r="3081" spans="1:7" ht="15" x14ac:dyDescent="0.25">
      <c r="A3081" t="s">
        <v>25744</v>
      </c>
      <c r="B3081">
        <v>1</v>
      </c>
      <c r="C3081">
        <v>186</v>
      </c>
      <c r="D3081">
        <v>186</v>
      </c>
      <c r="E3081">
        <v>7</v>
      </c>
      <c r="F3081">
        <v>7</v>
      </c>
      <c r="G3081">
        <v>186</v>
      </c>
    </row>
    <row r="3082" spans="1:7" ht="15" x14ac:dyDescent="0.25">
      <c r="A3082" t="s">
        <v>25752</v>
      </c>
      <c r="B3082">
        <v>1</v>
      </c>
      <c r="C3082">
        <v>131</v>
      </c>
      <c r="D3082">
        <v>131</v>
      </c>
      <c r="E3082">
        <v>43</v>
      </c>
      <c r="F3082">
        <v>43</v>
      </c>
      <c r="G3082">
        <v>131</v>
      </c>
    </row>
    <row r="3083" spans="1:7" ht="15" x14ac:dyDescent="0.25">
      <c r="A3083" t="s">
        <v>25768</v>
      </c>
      <c r="B3083">
        <v>3</v>
      </c>
      <c r="C3083">
        <v>137</v>
      </c>
      <c r="D3083">
        <v>411</v>
      </c>
      <c r="E3083">
        <v>42</v>
      </c>
      <c r="F3083">
        <v>14</v>
      </c>
      <c r="G3083">
        <v>137</v>
      </c>
    </row>
    <row r="3084" spans="1:7" ht="15" x14ac:dyDescent="0.25">
      <c r="A3084" t="s">
        <v>25773</v>
      </c>
      <c r="B3084">
        <v>1</v>
      </c>
      <c r="C3084">
        <v>305</v>
      </c>
      <c r="D3084">
        <v>305</v>
      </c>
      <c r="E3084">
        <v>26</v>
      </c>
      <c r="F3084">
        <v>26</v>
      </c>
      <c r="G3084">
        <v>305</v>
      </c>
    </row>
    <row r="3085" spans="1:7" ht="15" x14ac:dyDescent="0.25">
      <c r="A3085" t="s">
        <v>25788</v>
      </c>
      <c r="B3085">
        <v>1</v>
      </c>
      <c r="C3085">
        <v>706</v>
      </c>
      <c r="D3085">
        <v>706</v>
      </c>
      <c r="E3085">
        <v>36</v>
      </c>
      <c r="F3085">
        <v>36</v>
      </c>
      <c r="G3085">
        <v>706</v>
      </c>
    </row>
    <row r="3086" spans="1:7" ht="15" x14ac:dyDescent="0.25">
      <c r="A3086" t="s">
        <v>25792</v>
      </c>
      <c r="B3086">
        <v>1</v>
      </c>
      <c r="C3086">
        <v>364</v>
      </c>
      <c r="D3086">
        <v>364</v>
      </c>
      <c r="E3086">
        <v>12</v>
      </c>
      <c r="F3086">
        <v>12</v>
      </c>
      <c r="G3086">
        <v>364</v>
      </c>
    </row>
    <row r="3087" spans="1:7" ht="15" x14ac:dyDescent="0.25">
      <c r="A3087" t="s">
        <v>25799</v>
      </c>
      <c r="B3087">
        <v>1</v>
      </c>
      <c r="C3087">
        <v>767</v>
      </c>
      <c r="D3087">
        <v>767</v>
      </c>
      <c r="E3087">
        <v>43</v>
      </c>
      <c r="F3087">
        <v>43</v>
      </c>
      <c r="G3087">
        <v>767</v>
      </c>
    </row>
    <row r="3088" spans="1:7" ht="15" x14ac:dyDescent="0.25">
      <c r="A3088" t="s">
        <v>25809</v>
      </c>
      <c r="B3088">
        <v>1</v>
      </c>
      <c r="C3088">
        <v>512</v>
      </c>
      <c r="D3088">
        <v>512</v>
      </c>
      <c r="E3088">
        <v>89</v>
      </c>
      <c r="F3088">
        <v>89</v>
      </c>
      <c r="G3088">
        <v>512</v>
      </c>
    </row>
    <row r="3089" spans="1:7" ht="15" x14ac:dyDescent="0.25">
      <c r="A3089" t="s">
        <v>25817</v>
      </c>
      <c r="B3089">
        <v>2</v>
      </c>
      <c r="C3089">
        <v>681</v>
      </c>
      <c r="D3089">
        <v>1359</v>
      </c>
      <c r="E3089">
        <v>295</v>
      </c>
      <c r="F3089">
        <v>147.5</v>
      </c>
      <c r="G3089">
        <v>681</v>
      </c>
    </row>
    <row r="3090" spans="1:7" ht="15" x14ac:dyDescent="0.25">
      <c r="A3090" t="s">
        <v>25824</v>
      </c>
      <c r="B3090">
        <v>1</v>
      </c>
      <c r="C3090">
        <v>297</v>
      </c>
      <c r="D3090">
        <v>297</v>
      </c>
      <c r="E3090">
        <v>17</v>
      </c>
      <c r="F3090">
        <v>17</v>
      </c>
      <c r="G3090">
        <v>297</v>
      </c>
    </row>
    <row r="3091" spans="1:7" ht="15" x14ac:dyDescent="0.25">
      <c r="A3091" t="s">
        <v>25830</v>
      </c>
      <c r="B3091">
        <v>1</v>
      </c>
      <c r="D3091">
        <v>0</v>
      </c>
      <c r="E3091">
        <v>14</v>
      </c>
      <c r="F3091">
        <v>14</v>
      </c>
    </row>
    <row r="3092" spans="1:7" ht="15" x14ac:dyDescent="0.25">
      <c r="A3092" t="s">
        <v>25834</v>
      </c>
      <c r="B3092">
        <v>1</v>
      </c>
      <c r="C3092">
        <v>266</v>
      </c>
      <c r="D3092">
        <v>266</v>
      </c>
      <c r="E3092">
        <v>137</v>
      </c>
      <c r="F3092">
        <v>137</v>
      </c>
      <c r="G3092">
        <v>266</v>
      </c>
    </row>
    <row r="3093" spans="1:7" ht="15" x14ac:dyDescent="0.25">
      <c r="A3093" t="s">
        <v>25843</v>
      </c>
      <c r="B3093">
        <v>1</v>
      </c>
      <c r="C3093">
        <v>346</v>
      </c>
      <c r="D3093">
        <v>346</v>
      </c>
      <c r="E3093">
        <v>43</v>
      </c>
      <c r="F3093">
        <v>43</v>
      </c>
      <c r="G3093">
        <v>346</v>
      </c>
    </row>
    <row r="3094" spans="1:7" ht="15" x14ac:dyDescent="0.25">
      <c r="A3094" t="s">
        <v>25850</v>
      </c>
      <c r="B3094">
        <v>1</v>
      </c>
      <c r="C3094">
        <v>433</v>
      </c>
      <c r="D3094">
        <v>433</v>
      </c>
      <c r="E3094">
        <v>30</v>
      </c>
      <c r="F3094">
        <v>30</v>
      </c>
      <c r="G3094">
        <v>433</v>
      </c>
    </row>
    <row r="3095" spans="1:7" ht="15" x14ac:dyDescent="0.25">
      <c r="A3095" t="s">
        <v>25857</v>
      </c>
      <c r="B3095">
        <v>1</v>
      </c>
      <c r="C3095">
        <v>409</v>
      </c>
      <c r="D3095">
        <v>409</v>
      </c>
      <c r="E3095">
        <v>13</v>
      </c>
      <c r="F3095">
        <v>13</v>
      </c>
      <c r="G3095">
        <v>409</v>
      </c>
    </row>
    <row r="3096" spans="1:7" ht="15" x14ac:dyDescent="0.25">
      <c r="A3096" t="s">
        <v>25867</v>
      </c>
      <c r="B3096">
        <v>1</v>
      </c>
      <c r="C3096">
        <v>4458</v>
      </c>
      <c r="D3096">
        <v>4458</v>
      </c>
      <c r="E3096">
        <v>134</v>
      </c>
      <c r="F3096">
        <v>134</v>
      </c>
      <c r="G3096">
        <v>4458</v>
      </c>
    </row>
    <row r="3097" spans="1:7" ht="15" x14ac:dyDescent="0.25">
      <c r="A3097" t="s">
        <v>25872</v>
      </c>
      <c r="B3097">
        <v>1</v>
      </c>
      <c r="C3097">
        <v>671</v>
      </c>
      <c r="D3097">
        <v>671</v>
      </c>
      <c r="E3097">
        <v>34</v>
      </c>
      <c r="F3097">
        <v>34</v>
      </c>
      <c r="G3097">
        <v>671</v>
      </c>
    </row>
    <row r="3098" spans="1:7" ht="15" x14ac:dyDescent="0.25">
      <c r="A3098" t="s">
        <v>25878</v>
      </c>
      <c r="B3098">
        <v>1</v>
      </c>
      <c r="C3098">
        <v>32</v>
      </c>
      <c r="D3098">
        <v>32</v>
      </c>
      <c r="E3098">
        <v>43</v>
      </c>
      <c r="F3098">
        <v>43</v>
      </c>
      <c r="G3098">
        <v>32</v>
      </c>
    </row>
    <row r="3099" spans="1:7" ht="15" x14ac:dyDescent="0.25">
      <c r="A3099" t="s">
        <v>25884</v>
      </c>
      <c r="B3099">
        <v>1</v>
      </c>
      <c r="C3099">
        <v>369</v>
      </c>
      <c r="D3099">
        <v>369</v>
      </c>
      <c r="E3099">
        <v>73</v>
      </c>
      <c r="F3099">
        <v>73</v>
      </c>
      <c r="G3099">
        <v>369</v>
      </c>
    </row>
    <row r="3100" spans="1:7" ht="15" x14ac:dyDescent="0.25">
      <c r="A3100" t="s">
        <v>25889</v>
      </c>
      <c r="B3100">
        <v>1</v>
      </c>
      <c r="C3100">
        <v>273</v>
      </c>
      <c r="D3100">
        <v>273</v>
      </c>
      <c r="E3100">
        <v>49</v>
      </c>
      <c r="F3100">
        <v>49</v>
      </c>
      <c r="G3100">
        <v>273</v>
      </c>
    </row>
    <row r="3101" spans="1:7" ht="15" x14ac:dyDescent="0.25">
      <c r="A3101" t="s">
        <v>25894</v>
      </c>
      <c r="B3101">
        <v>1</v>
      </c>
      <c r="C3101">
        <v>386</v>
      </c>
      <c r="D3101">
        <v>386</v>
      </c>
      <c r="E3101">
        <v>33</v>
      </c>
      <c r="F3101">
        <v>33</v>
      </c>
      <c r="G3101">
        <v>386</v>
      </c>
    </row>
    <row r="3102" spans="1:7" ht="15" x14ac:dyDescent="0.25">
      <c r="A3102" t="s">
        <v>25901</v>
      </c>
      <c r="B3102">
        <v>8</v>
      </c>
      <c r="C3102">
        <v>461</v>
      </c>
      <c r="D3102">
        <v>3616</v>
      </c>
      <c r="E3102">
        <v>386</v>
      </c>
      <c r="F3102">
        <v>48.25</v>
      </c>
      <c r="G3102">
        <v>467</v>
      </c>
    </row>
    <row r="3103" spans="1:7" ht="15" x14ac:dyDescent="0.25">
      <c r="A3103" t="s">
        <v>25907</v>
      </c>
      <c r="B3103">
        <v>1</v>
      </c>
      <c r="D3103">
        <v>0</v>
      </c>
      <c r="E3103">
        <v>22</v>
      </c>
      <c r="F3103">
        <v>22</v>
      </c>
    </row>
    <row r="3104" spans="1:7" ht="15" x14ac:dyDescent="0.25">
      <c r="A3104" t="s">
        <v>25914</v>
      </c>
      <c r="B3104">
        <v>1</v>
      </c>
      <c r="C3104">
        <v>105</v>
      </c>
      <c r="D3104">
        <v>105</v>
      </c>
      <c r="E3104">
        <v>4</v>
      </c>
      <c r="F3104">
        <v>4</v>
      </c>
      <c r="G3104">
        <v>105</v>
      </c>
    </row>
    <row r="3105" spans="1:7" ht="15" x14ac:dyDescent="0.25">
      <c r="A3105" t="s">
        <v>25917</v>
      </c>
      <c r="B3105">
        <v>1</v>
      </c>
      <c r="C3105">
        <v>317</v>
      </c>
      <c r="D3105">
        <v>317</v>
      </c>
      <c r="E3105">
        <v>53</v>
      </c>
      <c r="F3105">
        <v>53</v>
      </c>
      <c r="G3105">
        <v>317</v>
      </c>
    </row>
    <row r="3106" spans="1:7" ht="15" x14ac:dyDescent="0.25">
      <c r="A3106" t="s">
        <v>25922</v>
      </c>
      <c r="B3106">
        <v>1</v>
      </c>
      <c r="C3106">
        <v>2028</v>
      </c>
      <c r="D3106">
        <v>2028</v>
      </c>
      <c r="E3106">
        <v>18</v>
      </c>
      <c r="F3106">
        <v>18</v>
      </c>
      <c r="G3106">
        <v>2028</v>
      </c>
    </row>
    <row r="3107" spans="1:7" ht="15" x14ac:dyDescent="0.25">
      <c r="A3107" t="s">
        <v>25934</v>
      </c>
      <c r="B3107">
        <v>1</v>
      </c>
      <c r="C3107">
        <v>159</v>
      </c>
      <c r="D3107">
        <v>159</v>
      </c>
      <c r="E3107">
        <v>26</v>
      </c>
      <c r="F3107">
        <v>26</v>
      </c>
      <c r="G3107">
        <v>159</v>
      </c>
    </row>
    <row r="3108" spans="1:7" ht="15" x14ac:dyDescent="0.25">
      <c r="A3108" t="s">
        <v>25939</v>
      </c>
      <c r="B3108">
        <v>1</v>
      </c>
      <c r="C3108">
        <v>195404</v>
      </c>
      <c r="D3108">
        <v>195404</v>
      </c>
      <c r="E3108">
        <v>3574</v>
      </c>
      <c r="F3108">
        <v>3574</v>
      </c>
      <c r="G3108">
        <v>195404</v>
      </c>
    </row>
    <row r="3109" spans="1:7" ht="15" x14ac:dyDescent="0.25">
      <c r="A3109" t="s">
        <v>25945</v>
      </c>
      <c r="B3109">
        <v>1</v>
      </c>
      <c r="C3109">
        <v>1950</v>
      </c>
      <c r="D3109">
        <v>1950</v>
      </c>
      <c r="E3109">
        <v>76</v>
      </c>
      <c r="F3109">
        <v>76</v>
      </c>
      <c r="G3109">
        <v>1950</v>
      </c>
    </row>
    <row r="3110" spans="1:7" ht="15" x14ac:dyDescent="0.25">
      <c r="A3110" t="s">
        <v>25950</v>
      </c>
      <c r="B3110">
        <v>1</v>
      </c>
      <c r="C3110">
        <v>154</v>
      </c>
      <c r="D3110">
        <v>154</v>
      </c>
      <c r="E3110">
        <v>28</v>
      </c>
      <c r="F3110">
        <v>28</v>
      </c>
      <c r="G3110">
        <v>154</v>
      </c>
    </row>
    <row r="3111" spans="1:7" ht="15" x14ac:dyDescent="0.25">
      <c r="A3111" t="s">
        <v>25955</v>
      </c>
      <c r="B3111">
        <v>1</v>
      </c>
      <c r="C3111">
        <v>203</v>
      </c>
      <c r="D3111">
        <v>203</v>
      </c>
      <c r="E3111">
        <v>3</v>
      </c>
      <c r="F3111">
        <v>3</v>
      </c>
      <c r="G3111">
        <v>203</v>
      </c>
    </row>
    <row r="3112" spans="1:7" ht="15" x14ac:dyDescent="0.25">
      <c r="A3112" t="s">
        <v>25965</v>
      </c>
      <c r="B3112">
        <v>1</v>
      </c>
      <c r="C3112">
        <v>272</v>
      </c>
      <c r="D3112">
        <v>272</v>
      </c>
      <c r="E3112">
        <v>94</v>
      </c>
      <c r="F3112">
        <v>94</v>
      </c>
      <c r="G3112">
        <v>272</v>
      </c>
    </row>
    <row r="3113" spans="1:7" ht="15" x14ac:dyDescent="0.25">
      <c r="A3113" t="s">
        <v>25971</v>
      </c>
      <c r="B3113">
        <v>1</v>
      </c>
      <c r="C3113">
        <v>58</v>
      </c>
      <c r="D3113">
        <v>58</v>
      </c>
      <c r="E3113">
        <v>16</v>
      </c>
      <c r="F3113">
        <v>16</v>
      </c>
      <c r="G3113">
        <v>58</v>
      </c>
    </row>
    <row r="3114" spans="1:7" ht="15" x14ac:dyDescent="0.25">
      <c r="A3114" t="s">
        <v>25977</v>
      </c>
      <c r="B3114">
        <v>1</v>
      </c>
      <c r="C3114">
        <v>391</v>
      </c>
      <c r="D3114">
        <v>391</v>
      </c>
      <c r="E3114">
        <v>21</v>
      </c>
      <c r="F3114">
        <v>21</v>
      </c>
      <c r="G3114">
        <v>391</v>
      </c>
    </row>
    <row r="3115" spans="1:7" ht="15" x14ac:dyDescent="0.25">
      <c r="A3115" t="s">
        <v>25983</v>
      </c>
      <c r="B3115">
        <v>1</v>
      </c>
      <c r="C3115">
        <v>294</v>
      </c>
      <c r="D3115">
        <v>294</v>
      </c>
      <c r="E3115">
        <v>22</v>
      </c>
      <c r="F3115">
        <v>22</v>
      </c>
      <c r="G3115">
        <v>294</v>
      </c>
    </row>
    <row r="3116" spans="1:7" ht="15" x14ac:dyDescent="0.25">
      <c r="A3116" t="s">
        <v>25999</v>
      </c>
      <c r="B3116">
        <v>1</v>
      </c>
      <c r="C3116">
        <v>500</v>
      </c>
      <c r="D3116">
        <v>500</v>
      </c>
      <c r="E3116">
        <v>100</v>
      </c>
      <c r="F3116">
        <v>100</v>
      </c>
      <c r="G3116">
        <v>500</v>
      </c>
    </row>
    <row r="3117" spans="1:7" ht="15" x14ac:dyDescent="0.25">
      <c r="A3117" t="s">
        <v>26005</v>
      </c>
      <c r="B3117">
        <v>1</v>
      </c>
      <c r="C3117">
        <v>777</v>
      </c>
      <c r="D3117">
        <v>777</v>
      </c>
      <c r="E3117">
        <v>62</v>
      </c>
      <c r="F3117">
        <v>62</v>
      </c>
      <c r="G3117">
        <v>777</v>
      </c>
    </row>
    <row r="3118" spans="1:7" ht="15" x14ac:dyDescent="0.25">
      <c r="A3118" t="s">
        <v>26012</v>
      </c>
      <c r="B3118">
        <v>1</v>
      </c>
      <c r="C3118">
        <v>95</v>
      </c>
      <c r="D3118">
        <v>95</v>
      </c>
      <c r="E3118">
        <v>21</v>
      </c>
      <c r="F3118">
        <v>21</v>
      </c>
      <c r="G3118">
        <v>95</v>
      </c>
    </row>
    <row r="3119" spans="1:7" ht="15" x14ac:dyDescent="0.25">
      <c r="A3119" t="s">
        <v>26026</v>
      </c>
      <c r="B3119">
        <v>1</v>
      </c>
      <c r="C3119">
        <v>271</v>
      </c>
      <c r="D3119">
        <v>271</v>
      </c>
      <c r="E3119">
        <v>25</v>
      </c>
      <c r="F3119">
        <v>25</v>
      </c>
      <c r="G3119">
        <v>271</v>
      </c>
    </row>
    <row r="3120" spans="1:7" ht="15" x14ac:dyDescent="0.25">
      <c r="A3120" t="s">
        <v>26035</v>
      </c>
      <c r="B3120">
        <v>1</v>
      </c>
      <c r="C3120">
        <v>655</v>
      </c>
      <c r="D3120">
        <v>655</v>
      </c>
      <c r="E3120">
        <v>31</v>
      </c>
      <c r="F3120">
        <v>31</v>
      </c>
      <c r="G3120">
        <v>655</v>
      </c>
    </row>
    <row r="3121" spans="1:7" ht="15" x14ac:dyDescent="0.25">
      <c r="A3121" t="s">
        <v>26040</v>
      </c>
      <c r="B3121">
        <v>1</v>
      </c>
      <c r="C3121">
        <v>163</v>
      </c>
      <c r="D3121">
        <v>163</v>
      </c>
      <c r="E3121">
        <v>19</v>
      </c>
      <c r="F3121">
        <v>19</v>
      </c>
      <c r="G3121">
        <v>163</v>
      </c>
    </row>
    <row r="3122" spans="1:7" ht="15" x14ac:dyDescent="0.25">
      <c r="A3122" t="s">
        <v>26047</v>
      </c>
      <c r="B3122">
        <v>1</v>
      </c>
      <c r="C3122">
        <v>1102</v>
      </c>
      <c r="D3122">
        <v>1102</v>
      </c>
      <c r="E3122">
        <v>20</v>
      </c>
      <c r="F3122">
        <v>20</v>
      </c>
      <c r="G3122">
        <v>1102</v>
      </c>
    </row>
    <row r="3123" spans="1:7" ht="15" x14ac:dyDescent="0.25">
      <c r="A3123" t="s">
        <v>26056</v>
      </c>
      <c r="B3123">
        <v>1</v>
      </c>
      <c r="C3123">
        <v>62</v>
      </c>
      <c r="D3123">
        <v>62</v>
      </c>
      <c r="E3123">
        <v>11</v>
      </c>
      <c r="F3123">
        <v>11</v>
      </c>
      <c r="G3123">
        <v>62</v>
      </c>
    </row>
    <row r="3124" spans="1:7" ht="15" x14ac:dyDescent="0.25">
      <c r="A3124" t="s">
        <v>26065</v>
      </c>
      <c r="B3124">
        <v>1</v>
      </c>
      <c r="C3124">
        <v>175</v>
      </c>
      <c r="D3124">
        <v>175</v>
      </c>
      <c r="E3124">
        <v>28</v>
      </c>
      <c r="F3124">
        <v>28</v>
      </c>
      <c r="G3124">
        <v>175</v>
      </c>
    </row>
    <row r="3125" spans="1:7" ht="15" x14ac:dyDescent="0.25">
      <c r="A3125" t="s">
        <v>26080</v>
      </c>
      <c r="B3125">
        <v>1</v>
      </c>
      <c r="C3125">
        <v>412</v>
      </c>
      <c r="D3125">
        <v>412</v>
      </c>
      <c r="E3125">
        <v>60</v>
      </c>
      <c r="F3125">
        <v>60</v>
      </c>
      <c r="G3125">
        <v>412</v>
      </c>
    </row>
    <row r="3126" spans="1:7" ht="15" x14ac:dyDescent="0.25">
      <c r="A3126" t="s">
        <v>26087</v>
      </c>
      <c r="B3126">
        <v>1</v>
      </c>
      <c r="C3126">
        <v>1158</v>
      </c>
      <c r="D3126">
        <v>1158</v>
      </c>
      <c r="E3126">
        <v>104</v>
      </c>
      <c r="F3126">
        <v>104</v>
      </c>
      <c r="G3126">
        <v>1158</v>
      </c>
    </row>
    <row r="3127" spans="1:7" ht="15" x14ac:dyDescent="0.25">
      <c r="A3127" t="s">
        <v>26091</v>
      </c>
      <c r="B3127">
        <v>1</v>
      </c>
      <c r="C3127">
        <v>202</v>
      </c>
      <c r="D3127">
        <v>202</v>
      </c>
      <c r="E3127">
        <v>9</v>
      </c>
      <c r="F3127">
        <v>9</v>
      </c>
      <c r="G3127">
        <v>202</v>
      </c>
    </row>
    <row r="3128" spans="1:7" ht="15" x14ac:dyDescent="0.25">
      <c r="A3128" t="s">
        <v>26106</v>
      </c>
      <c r="B3128">
        <v>1</v>
      </c>
      <c r="C3128">
        <v>43</v>
      </c>
      <c r="D3128">
        <v>43</v>
      </c>
      <c r="E3128">
        <v>8</v>
      </c>
      <c r="F3128">
        <v>8</v>
      </c>
      <c r="G3128">
        <v>43</v>
      </c>
    </row>
    <row r="3129" spans="1:7" ht="15" x14ac:dyDescent="0.25">
      <c r="A3129" t="s">
        <v>26111</v>
      </c>
      <c r="B3129">
        <v>1</v>
      </c>
      <c r="C3129">
        <v>79</v>
      </c>
      <c r="D3129">
        <v>79</v>
      </c>
      <c r="E3129">
        <v>13</v>
      </c>
      <c r="F3129">
        <v>13</v>
      </c>
      <c r="G3129">
        <v>79</v>
      </c>
    </row>
    <row r="3130" spans="1:7" ht="15" x14ac:dyDescent="0.25">
      <c r="A3130" t="s">
        <v>26115</v>
      </c>
      <c r="B3130">
        <v>1</v>
      </c>
      <c r="C3130">
        <v>55</v>
      </c>
      <c r="D3130">
        <v>55</v>
      </c>
      <c r="E3130">
        <v>47</v>
      </c>
      <c r="F3130">
        <v>47</v>
      </c>
      <c r="G3130">
        <v>55</v>
      </c>
    </row>
    <row r="3131" spans="1:7" ht="15" x14ac:dyDescent="0.25">
      <c r="A3131" t="s">
        <v>26120</v>
      </c>
      <c r="B3131">
        <v>1</v>
      </c>
      <c r="C3131">
        <v>152</v>
      </c>
      <c r="D3131">
        <v>152</v>
      </c>
      <c r="E3131">
        <v>25</v>
      </c>
      <c r="F3131">
        <v>25</v>
      </c>
      <c r="G3131">
        <v>152</v>
      </c>
    </row>
    <row r="3132" spans="1:7" ht="15" x14ac:dyDescent="0.25">
      <c r="A3132" t="s">
        <v>26124</v>
      </c>
      <c r="B3132">
        <v>1</v>
      </c>
      <c r="C3132">
        <v>764</v>
      </c>
      <c r="D3132">
        <v>764</v>
      </c>
      <c r="E3132">
        <v>42</v>
      </c>
      <c r="F3132">
        <v>42</v>
      </c>
      <c r="G3132">
        <v>764</v>
      </c>
    </row>
    <row r="3133" spans="1:7" ht="15" x14ac:dyDescent="0.25">
      <c r="A3133" t="s">
        <v>26130</v>
      </c>
      <c r="B3133">
        <v>1</v>
      </c>
      <c r="C3133">
        <v>269</v>
      </c>
      <c r="D3133">
        <v>269</v>
      </c>
      <c r="E3133">
        <v>20</v>
      </c>
      <c r="F3133">
        <v>20</v>
      </c>
      <c r="G3133">
        <v>269</v>
      </c>
    </row>
    <row r="3134" spans="1:7" ht="15" x14ac:dyDescent="0.25">
      <c r="A3134" t="s">
        <v>26136</v>
      </c>
      <c r="B3134">
        <v>2</v>
      </c>
      <c r="C3134">
        <v>423</v>
      </c>
      <c r="D3134">
        <v>842</v>
      </c>
      <c r="E3134">
        <v>200</v>
      </c>
      <c r="F3134">
        <v>100</v>
      </c>
      <c r="G3134">
        <v>423</v>
      </c>
    </row>
    <row r="3135" spans="1:7" ht="15" x14ac:dyDescent="0.25">
      <c r="A3135" t="s">
        <v>26142</v>
      </c>
      <c r="B3135">
        <v>1</v>
      </c>
      <c r="C3135">
        <v>105</v>
      </c>
      <c r="D3135">
        <v>105</v>
      </c>
      <c r="E3135">
        <v>31</v>
      </c>
      <c r="F3135">
        <v>31</v>
      </c>
      <c r="G3135">
        <v>105</v>
      </c>
    </row>
    <row r="3136" spans="1:7" ht="15" x14ac:dyDescent="0.25">
      <c r="A3136" t="s">
        <v>26147</v>
      </c>
      <c r="B3136">
        <v>1</v>
      </c>
      <c r="C3136">
        <v>1355</v>
      </c>
      <c r="D3136">
        <v>1355</v>
      </c>
      <c r="E3136">
        <v>75</v>
      </c>
      <c r="F3136">
        <v>75</v>
      </c>
      <c r="G3136">
        <v>1355</v>
      </c>
    </row>
    <row r="3137" spans="1:7" ht="15" x14ac:dyDescent="0.25">
      <c r="A3137" t="s">
        <v>26158</v>
      </c>
      <c r="B3137">
        <v>1</v>
      </c>
      <c r="C3137">
        <v>230</v>
      </c>
      <c r="D3137">
        <v>230</v>
      </c>
      <c r="E3137">
        <v>11</v>
      </c>
      <c r="F3137">
        <v>11</v>
      </c>
      <c r="G3137">
        <v>230</v>
      </c>
    </row>
    <row r="3138" spans="1:7" ht="15" x14ac:dyDescent="0.25">
      <c r="A3138" t="s">
        <v>26161</v>
      </c>
      <c r="B3138">
        <v>1</v>
      </c>
      <c r="C3138">
        <v>115</v>
      </c>
      <c r="D3138">
        <v>115</v>
      </c>
      <c r="E3138">
        <v>24</v>
      </c>
      <c r="F3138">
        <v>24</v>
      </c>
      <c r="G3138">
        <v>115</v>
      </c>
    </row>
    <row r="3139" spans="1:7" ht="15" x14ac:dyDescent="0.25">
      <c r="A3139" t="s">
        <v>26165</v>
      </c>
      <c r="B3139">
        <v>1</v>
      </c>
      <c r="C3139">
        <v>313</v>
      </c>
      <c r="D3139">
        <v>313</v>
      </c>
      <c r="E3139">
        <v>19</v>
      </c>
      <c r="F3139">
        <v>19</v>
      </c>
      <c r="G3139">
        <v>313</v>
      </c>
    </row>
    <row r="3140" spans="1:7" ht="15" x14ac:dyDescent="0.25">
      <c r="A3140" t="s">
        <v>26173</v>
      </c>
      <c r="B3140">
        <v>1</v>
      </c>
      <c r="C3140">
        <v>74</v>
      </c>
      <c r="D3140">
        <v>74</v>
      </c>
      <c r="E3140">
        <v>17</v>
      </c>
      <c r="F3140">
        <v>17</v>
      </c>
      <c r="G3140">
        <v>74</v>
      </c>
    </row>
    <row r="3141" spans="1:7" ht="15" x14ac:dyDescent="0.25">
      <c r="A3141" t="s">
        <v>26177</v>
      </c>
      <c r="B3141">
        <v>1</v>
      </c>
      <c r="C3141">
        <v>79</v>
      </c>
      <c r="D3141">
        <v>79</v>
      </c>
      <c r="E3141">
        <v>9</v>
      </c>
      <c r="F3141">
        <v>9</v>
      </c>
      <c r="G3141">
        <v>79</v>
      </c>
    </row>
    <row r="3142" spans="1:7" ht="15" x14ac:dyDescent="0.25">
      <c r="A3142" t="s">
        <v>26187</v>
      </c>
      <c r="B3142">
        <v>1</v>
      </c>
      <c r="C3142">
        <v>507</v>
      </c>
      <c r="D3142">
        <v>507</v>
      </c>
      <c r="E3142">
        <v>100</v>
      </c>
      <c r="F3142">
        <v>100</v>
      </c>
      <c r="G3142">
        <v>507</v>
      </c>
    </row>
    <row r="3143" spans="1:7" ht="15" x14ac:dyDescent="0.25">
      <c r="A3143" t="s">
        <v>26192</v>
      </c>
      <c r="B3143">
        <v>1</v>
      </c>
      <c r="C3143">
        <v>1289</v>
      </c>
      <c r="D3143">
        <v>1289</v>
      </c>
      <c r="E3143">
        <v>90</v>
      </c>
      <c r="F3143">
        <v>90</v>
      </c>
      <c r="G3143">
        <v>1289</v>
      </c>
    </row>
    <row r="3144" spans="1:7" ht="15" x14ac:dyDescent="0.25">
      <c r="A3144" t="s">
        <v>26200</v>
      </c>
      <c r="B3144">
        <v>1</v>
      </c>
      <c r="C3144">
        <v>259</v>
      </c>
      <c r="D3144">
        <v>259</v>
      </c>
      <c r="E3144">
        <v>41</v>
      </c>
      <c r="F3144">
        <v>41</v>
      </c>
      <c r="G3144">
        <v>259</v>
      </c>
    </row>
    <row r="3145" spans="1:7" ht="15" x14ac:dyDescent="0.25">
      <c r="A3145" t="s">
        <v>26206</v>
      </c>
      <c r="B3145">
        <v>1</v>
      </c>
      <c r="C3145">
        <v>209</v>
      </c>
      <c r="D3145">
        <v>209</v>
      </c>
      <c r="E3145">
        <v>23</v>
      </c>
      <c r="F3145">
        <v>23</v>
      </c>
      <c r="G3145">
        <v>209</v>
      </c>
    </row>
    <row r="3146" spans="1:7" ht="15" x14ac:dyDescent="0.25">
      <c r="A3146" t="s">
        <v>26212</v>
      </c>
      <c r="B3146">
        <v>1</v>
      </c>
      <c r="C3146">
        <v>206</v>
      </c>
      <c r="D3146">
        <v>206</v>
      </c>
      <c r="E3146">
        <v>9</v>
      </c>
      <c r="F3146">
        <v>9</v>
      </c>
      <c r="G3146">
        <v>206</v>
      </c>
    </row>
    <row r="3147" spans="1:7" ht="15" x14ac:dyDescent="0.25">
      <c r="A3147" t="s">
        <v>26217</v>
      </c>
      <c r="B3147">
        <v>1</v>
      </c>
      <c r="C3147">
        <v>247</v>
      </c>
      <c r="D3147">
        <v>247</v>
      </c>
      <c r="E3147">
        <v>44</v>
      </c>
      <c r="F3147">
        <v>44</v>
      </c>
      <c r="G3147">
        <v>247</v>
      </c>
    </row>
    <row r="3148" spans="1:7" ht="15" x14ac:dyDescent="0.25">
      <c r="A3148" t="s">
        <v>26230</v>
      </c>
      <c r="B3148">
        <v>1</v>
      </c>
      <c r="C3148">
        <v>279</v>
      </c>
      <c r="D3148">
        <v>279</v>
      </c>
      <c r="E3148">
        <v>52</v>
      </c>
      <c r="F3148">
        <v>52</v>
      </c>
      <c r="G3148">
        <v>279</v>
      </c>
    </row>
    <row r="3149" spans="1:7" ht="15" x14ac:dyDescent="0.25">
      <c r="A3149" t="s">
        <v>26236</v>
      </c>
      <c r="B3149">
        <v>1</v>
      </c>
      <c r="C3149">
        <v>1503</v>
      </c>
      <c r="D3149">
        <v>1503</v>
      </c>
      <c r="E3149">
        <v>41</v>
      </c>
      <c r="F3149">
        <v>41</v>
      </c>
      <c r="G3149">
        <v>1503</v>
      </c>
    </row>
    <row r="3150" spans="1:7" ht="15" x14ac:dyDescent="0.25">
      <c r="A3150" t="s">
        <v>26244</v>
      </c>
      <c r="B3150">
        <v>1</v>
      </c>
      <c r="C3150">
        <v>55</v>
      </c>
      <c r="D3150">
        <v>55</v>
      </c>
      <c r="E3150">
        <v>5</v>
      </c>
      <c r="F3150">
        <v>5</v>
      </c>
      <c r="G3150">
        <v>55</v>
      </c>
    </row>
    <row r="3151" spans="1:7" ht="15" x14ac:dyDescent="0.25">
      <c r="A3151" t="s">
        <v>26250</v>
      </c>
      <c r="B3151">
        <v>1</v>
      </c>
      <c r="C3151">
        <v>218</v>
      </c>
      <c r="D3151">
        <v>218</v>
      </c>
      <c r="E3151">
        <v>33</v>
      </c>
      <c r="F3151">
        <v>33</v>
      </c>
      <c r="G3151">
        <v>218</v>
      </c>
    </row>
    <row r="3152" spans="1:7" ht="15" x14ac:dyDescent="0.25">
      <c r="A3152" t="s">
        <v>26256</v>
      </c>
      <c r="B3152">
        <v>1</v>
      </c>
      <c r="C3152">
        <v>353</v>
      </c>
      <c r="D3152">
        <v>353</v>
      </c>
      <c r="E3152">
        <v>16</v>
      </c>
      <c r="F3152">
        <v>16</v>
      </c>
      <c r="G3152">
        <v>353</v>
      </c>
    </row>
    <row r="3153" spans="1:7" ht="15" x14ac:dyDescent="0.25">
      <c r="A3153" t="s">
        <v>26262</v>
      </c>
      <c r="B3153">
        <v>1</v>
      </c>
      <c r="C3153">
        <v>3360</v>
      </c>
      <c r="D3153">
        <v>3360</v>
      </c>
      <c r="E3153">
        <v>73</v>
      </c>
      <c r="F3153">
        <v>73</v>
      </c>
      <c r="G3153">
        <v>3360</v>
      </c>
    </row>
    <row r="3154" spans="1:7" ht="15" x14ac:dyDescent="0.25">
      <c r="A3154" t="s">
        <v>26266</v>
      </c>
      <c r="B3154">
        <v>1</v>
      </c>
      <c r="C3154">
        <v>352</v>
      </c>
      <c r="D3154">
        <v>352</v>
      </c>
      <c r="E3154">
        <v>41</v>
      </c>
      <c r="F3154">
        <v>41</v>
      </c>
      <c r="G3154">
        <v>352</v>
      </c>
    </row>
    <row r="3155" spans="1:7" ht="15" x14ac:dyDescent="0.25">
      <c r="A3155" t="s">
        <v>26270</v>
      </c>
      <c r="B3155">
        <v>1</v>
      </c>
      <c r="C3155">
        <v>258</v>
      </c>
      <c r="D3155">
        <v>258</v>
      </c>
      <c r="E3155">
        <v>25</v>
      </c>
      <c r="F3155">
        <v>25</v>
      </c>
      <c r="G3155">
        <v>258</v>
      </c>
    </row>
    <row r="3156" spans="1:7" ht="15" x14ac:dyDescent="0.25">
      <c r="A3156" t="s">
        <v>26274</v>
      </c>
      <c r="B3156">
        <v>1</v>
      </c>
      <c r="C3156">
        <v>145</v>
      </c>
      <c r="D3156">
        <v>145</v>
      </c>
      <c r="E3156">
        <v>10</v>
      </c>
      <c r="F3156">
        <v>10</v>
      </c>
      <c r="G3156">
        <v>145</v>
      </c>
    </row>
    <row r="3157" spans="1:7" ht="15" x14ac:dyDescent="0.25">
      <c r="A3157" t="s">
        <v>26278</v>
      </c>
      <c r="B3157">
        <v>1</v>
      </c>
      <c r="C3157">
        <v>56</v>
      </c>
      <c r="D3157">
        <v>56</v>
      </c>
      <c r="E3157">
        <v>15</v>
      </c>
      <c r="F3157">
        <v>15</v>
      </c>
      <c r="G3157">
        <v>56</v>
      </c>
    </row>
    <row r="3158" spans="1:7" ht="15" x14ac:dyDescent="0.25">
      <c r="A3158" t="s">
        <v>26284</v>
      </c>
      <c r="B3158">
        <v>1</v>
      </c>
      <c r="C3158">
        <v>293</v>
      </c>
      <c r="D3158">
        <v>293</v>
      </c>
      <c r="E3158">
        <v>137</v>
      </c>
      <c r="F3158">
        <v>137</v>
      </c>
      <c r="G3158">
        <v>293</v>
      </c>
    </row>
    <row r="3159" spans="1:7" ht="15" x14ac:dyDescent="0.25">
      <c r="A3159" t="s">
        <v>26287</v>
      </c>
      <c r="B3159">
        <v>1</v>
      </c>
      <c r="C3159">
        <v>95</v>
      </c>
      <c r="D3159">
        <v>95</v>
      </c>
      <c r="E3159">
        <v>29</v>
      </c>
      <c r="F3159">
        <v>29</v>
      </c>
      <c r="G3159">
        <v>95</v>
      </c>
    </row>
    <row r="3160" spans="1:7" ht="15" x14ac:dyDescent="0.25">
      <c r="A3160" t="s">
        <v>26294</v>
      </c>
      <c r="B3160">
        <v>1</v>
      </c>
      <c r="C3160">
        <v>306</v>
      </c>
      <c r="D3160">
        <v>306</v>
      </c>
      <c r="E3160">
        <v>43</v>
      </c>
      <c r="F3160">
        <v>43</v>
      </c>
      <c r="G3160">
        <v>306</v>
      </c>
    </row>
    <row r="3161" spans="1:7" ht="15" x14ac:dyDescent="0.25">
      <c r="A3161" t="s">
        <v>26299</v>
      </c>
      <c r="B3161">
        <v>1</v>
      </c>
      <c r="C3161">
        <v>161</v>
      </c>
      <c r="D3161">
        <v>161</v>
      </c>
      <c r="E3161">
        <v>46</v>
      </c>
      <c r="F3161">
        <v>46</v>
      </c>
      <c r="G3161">
        <v>161</v>
      </c>
    </row>
    <row r="3162" spans="1:7" ht="15" x14ac:dyDescent="0.25">
      <c r="A3162" t="s">
        <v>26304</v>
      </c>
      <c r="B3162">
        <v>1</v>
      </c>
      <c r="C3162">
        <v>369</v>
      </c>
      <c r="D3162">
        <v>369</v>
      </c>
      <c r="E3162">
        <v>39</v>
      </c>
      <c r="F3162">
        <v>39</v>
      </c>
      <c r="G3162">
        <v>369</v>
      </c>
    </row>
    <row r="3163" spans="1:7" ht="15" x14ac:dyDescent="0.25">
      <c r="A3163" t="s">
        <v>26311</v>
      </c>
      <c r="B3163">
        <v>1</v>
      </c>
      <c r="C3163">
        <v>615</v>
      </c>
      <c r="D3163">
        <v>615</v>
      </c>
      <c r="E3163">
        <v>53</v>
      </c>
      <c r="F3163">
        <v>53</v>
      </c>
      <c r="G3163">
        <v>615</v>
      </c>
    </row>
    <row r="3164" spans="1:7" ht="15" x14ac:dyDescent="0.25">
      <c r="A3164" t="s">
        <v>26316</v>
      </c>
      <c r="B3164">
        <v>1</v>
      </c>
      <c r="C3164">
        <v>464</v>
      </c>
      <c r="D3164">
        <v>464</v>
      </c>
      <c r="E3164">
        <v>36</v>
      </c>
      <c r="F3164">
        <v>36</v>
      </c>
      <c r="G3164">
        <v>464</v>
      </c>
    </row>
    <row r="3165" spans="1:7" ht="15" x14ac:dyDescent="0.25">
      <c r="A3165" t="s">
        <v>26321</v>
      </c>
      <c r="B3165">
        <v>1</v>
      </c>
      <c r="C3165">
        <v>446</v>
      </c>
      <c r="D3165">
        <v>446</v>
      </c>
      <c r="E3165">
        <v>19</v>
      </c>
      <c r="F3165">
        <v>19</v>
      </c>
      <c r="G3165">
        <v>446</v>
      </c>
    </row>
    <row r="3166" spans="1:7" ht="15" x14ac:dyDescent="0.25">
      <c r="A3166" t="s">
        <v>26337</v>
      </c>
      <c r="B3166">
        <v>1</v>
      </c>
      <c r="C3166">
        <v>306</v>
      </c>
      <c r="D3166">
        <v>306</v>
      </c>
      <c r="E3166">
        <v>16</v>
      </c>
      <c r="F3166">
        <v>16</v>
      </c>
      <c r="G3166">
        <v>306</v>
      </c>
    </row>
    <row r="3167" spans="1:7" ht="15" x14ac:dyDescent="0.25">
      <c r="A3167" t="s">
        <v>26343</v>
      </c>
      <c r="B3167">
        <v>1</v>
      </c>
      <c r="C3167">
        <v>476</v>
      </c>
      <c r="D3167">
        <v>476</v>
      </c>
      <c r="E3167">
        <v>23</v>
      </c>
      <c r="F3167">
        <v>23</v>
      </c>
      <c r="G3167">
        <v>476</v>
      </c>
    </row>
    <row r="3168" spans="1:7" ht="15" x14ac:dyDescent="0.25">
      <c r="A3168" t="s">
        <v>26350</v>
      </c>
      <c r="B3168">
        <v>1</v>
      </c>
      <c r="C3168">
        <v>66</v>
      </c>
      <c r="D3168">
        <v>66</v>
      </c>
      <c r="E3168">
        <v>20</v>
      </c>
      <c r="F3168">
        <v>20</v>
      </c>
      <c r="G3168">
        <v>66</v>
      </c>
    </row>
    <row r="3169" spans="1:7" ht="15" x14ac:dyDescent="0.25">
      <c r="A3169" t="s">
        <v>26356</v>
      </c>
      <c r="B3169">
        <v>1</v>
      </c>
      <c r="C3169">
        <v>385</v>
      </c>
      <c r="D3169">
        <v>385</v>
      </c>
      <c r="E3169">
        <v>90</v>
      </c>
      <c r="F3169">
        <v>90</v>
      </c>
      <c r="G3169">
        <v>385</v>
      </c>
    </row>
    <row r="3170" spans="1:7" ht="15" x14ac:dyDescent="0.25">
      <c r="A3170" t="s">
        <v>26361</v>
      </c>
      <c r="B3170">
        <v>1</v>
      </c>
      <c r="C3170">
        <v>5887</v>
      </c>
      <c r="D3170">
        <v>5887</v>
      </c>
      <c r="E3170">
        <v>472</v>
      </c>
      <c r="F3170">
        <v>472</v>
      </c>
      <c r="G3170">
        <v>5887</v>
      </c>
    </row>
    <row r="3171" spans="1:7" ht="15" x14ac:dyDescent="0.25">
      <c r="A3171" t="s">
        <v>26367</v>
      </c>
      <c r="B3171">
        <v>1</v>
      </c>
      <c r="C3171">
        <v>219</v>
      </c>
      <c r="D3171">
        <v>219</v>
      </c>
      <c r="E3171">
        <v>44</v>
      </c>
      <c r="F3171">
        <v>44</v>
      </c>
      <c r="G3171">
        <v>219</v>
      </c>
    </row>
    <row r="3172" spans="1:7" ht="15" x14ac:dyDescent="0.25">
      <c r="A3172" t="s">
        <v>26372</v>
      </c>
      <c r="B3172">
        <v>1</v>
      </c>
      <c r="C3172">
        <v>552</v>
      </c>
      <c r="D3172">
        <v>552</v>
      </c>
      <c r="E3172">
        <v>33</v>
      </c>
      <c r="F3172">
        <v>33</v>
      </c>
      <c r="G3172">
        <v>552</v>
      </c>
    </row>
    <row r="3173" spans="1:7" ht="15" x14ac:dyDescent="0.25">
      <c r="A3173" t="s">
        <v>26390</v>
      </c>
      <c r="B3173">
        <v>1</v>
      </c>
      <c r="C3173">
        <v>84</v>
      </c>
      <c r="D3173">
        <v>84</v>
      </c>
      <c r="E3173">
        <v>13</v>
      </c>
      <c r="F3173">
        <v>13</v>
      </c>
      <c r="G3173">
        <v>84</v>
      </c>
    </row>
    <row r="3174" spans="1:7" ht="15" x14ac:dyDescent="0.25">
      <c r="A3174" t="s">
        <v>26407</v>
      </c>
      <c r="B3174">
        <v>1</v>
      </c>
      <c r="C3174">
        <v>984</v>
      </c>
      <c r="D3174">
        <v>984</v>
      </c>
      <c r="E3174">
        <v>85</v>
      </c>
      <c r="F3174">
        <v>85</v>
      </c>
      <c r="G3174">
        <v>984</v>
      </c>
    </row>
    <row r="3175" spans="1:7" ht="15" x14ac:dyDescent="0.25">
      <c r="A3175" t="s">
        <v>26413</v>
      </c>
      <c r="B3175">
        <v>1</v>
      </c>
      <c r="C3175">
        <v>304</v>
      </c>
      <c r="D3175">
        <v>304</v>
      </c>
      <c r="E3175">
        <v>21</v>
      </c>
      <c r="F3175">
        <v>21</v>
      </c>
      <c r="G3175">
        <v>304</v>
      </c>
    </row>
    <row r="3176" spans="1:7" ht="15" x14ac:dyDescent="0.25">
      <c r="A3176" t="s">
        <v>26420</v>
      </c>
      <c r="B3176">
        <v>8</v>
      </c>
      <c r="C3176">
        <v>84</v>
      </c>
      <c r="D3176">
        <v>360</v>
      </c>
      <c r="E3176">
        <v>264</v>
      </c>
      <c r="F3176">
        <v>33</v>
      </c>
      <c r="G3176">
        <v>84</v>
      </c>
    </row>
    <row r="3177" spans="1:7" ht="15" x14ac:dyDescent="0.25">
      <c r="A3177" t="s">
        <v>26424</v>
      </c>
      <c r="B3177">
        <v>1</v>
      </c>
      <c r="C3177">
        <v>985</v>
      </c>
      <c r="D3177">
        <v>985</v>
      </c>
      <c r="E3177">
        <v>71</v>
      </c>
      <c r="F3177">
        <v>71</v>
      </c>
      <c r="G3177">
        <v>985</v>
      </c>
    </row>
    <row r="3178" spans="1:7" ht="15" x14ac:dyDescent="0.25">
      <c r="A3178" t="s">
        <v>26431</v>
      </c>
      <c r="B3178">
        <v>1</v>
      </c>
      <c r="C3178">
        <v>2961</v>
      </c>
      <c r="D3178">
        <v>2961</v>
      </c>
      <c r="E3178">
        <v>111</v>
      </c>
      <c r="F3178">
        <v>111</v>
      </c>
      <c r="G3178">
        <v>2961</v>
      </c>
    </row>
    <row r="3179" spans="1:7" ht="15" x14ac:dyDescent="0.25">
      <c r="A3179" t="s">
        <v>26434</v>
      </c>
      <c r="B3179">
        <v>3</v>
      </c>
      <c r="C3179">
        <v>143</v>
      </c>
      <c r="D3179">
        <v>430</v>
      </c>
      <c r="E3179">
        <v>78</v>
      </c>
      <c r="F3179">
        <v>26</v>
      </c>
      <c r="G3179">
        <v>144</v>
      </c>
    </row>
    <row r="3180" spans="1:7" ht="15" x14ac:dyDescent="0.25">
      <c r="A3180" t="s">
        <v>26440</v>
      </c>
      <c r="B3180">
        <v>1</v>
      </c>
      <c r="C3180">
        <v>706</v>
      </c>
      <c r="D3180">
        <v>706</v>
      </c>
      <c r="E3180">
        <v>24</v>
      </c>
      <c r="F3180">
        <v>24</v>
      </c>
      <c r="G3180">
        <v>706</v>
      </c>
    </row>
    <row r="3181" spans="1:7" ht="15" x14ac:dyDescent="0.25">
      <c r="A3181" t="s">
        <v>26445</v>
      </c>
      <c r="B3181">
        <v>1</v>
      </c>
      <c r="C3181">
        <v>283</v>
      </c>
      <c r="D3181">
        <v>283</v>
      </c>
      <c r="E3181">
        <v>45</v>
      </c>
      <c r="F3181">
        <v>45</v>
      </c>
      <c r="G3181">
        <v>283</v>
      </c>
    </row>
    <row r="3182" spans="1:7" ht="15" x14ac:dyDescent="0.25">
      <c r="A3182" t="s">
        <v>26459</v>
      </c>
      <c r="B3182">
        <v>1</v>
      </c>
      <c r="C3182">
        <v>155</v>
      </c>
      <c r="D3182">
        <v>155</v>
      </c>
      <c r="E3182">
        <v>48</v>
      </c>
      <c r="F3182">
        <v>48</v>
      </c>
      <c r="G3182">
        <v>155</v>
      </c>
    </row>
    <row r="3183" spans="1:7" ht="15" x14ac:dyDescent="0.25">
      <c r="A3183" t="s">
        <v>26462</v>
      </c>
      <c r="B3183">
        <v>1</v>
      </c>
      <c r="C3183">
        <v>258</v>
      </c>
      <c r="D3183">
        <v>258</v>
      </c>
      <c r="E3183">
        <v>27</v>
      </c>
      <c r="F3183">
        <v>27</v>
      </c>
      <c r="G3183">
        <v>258</v>
      </c>
    </row>
    <row r="3184" spans="1:7" ht="15" x14ac:dyDescent="0.25">
      <c r="A3184" t="s">
        <v>26466</v>
      </c>
      <c r="B3184">
        <v>1</v>
      </c>
      <c r="C3184">
        <v>194</v>
      </c>
      <c r="D3184">
        <v>194</v>
      </c>
      <c r="E3184">
        <v>14</v>
      </c>
      <c r="F3184">
        <v>14</v>
      </c>
      <c r="G3184">
        <v>194</v>
      </c>
    </row>
    <row r="3185" spans="1:7" ht="15" x14ac:dyDescent="0.25">
      <c r="A3185" t="s">
        <v>26470</v>
      </c>
      <c r="B3185">
        <v>1</v>
      </c>
      <c r="C3185">
        <v>436</v>
      </c>
      <c r="D3185">
        <v>436</v>
      </c>
      <c r="E3185">
        <v>50</v>
      </c>
      <c r="F3185">
        <v>50</v>
      </c>
      <c r="G3185">
        <v>436</v>
      </c>
    </row>
    <row r="3186" spans="1:7" ht="15" x14ac:dyDescent="0.25">
      <c r="A3186" t="s">
        <v>26475</v>
      </c>
      <c r="B3186">
        <v>1</v>
      </c>
      <c r="C3186">
        <v>136</v>
      </c>
      <c r="D3186">
        <v>136</v>
      </c>
      <c r="E3186">
        <v>9</v>
      </c>
      <c r="F3186">
        <v>9</v>
      </c>
      <c r="G3186">
        <v>136</v>
      </c>
    </row>
    <row r="3187" spans="1:7" ht="15" x14ac:dyDescent="0.25">
      <c r="A3187" t="s">
        <v>26480</v>
      </c>
      <c r="B3187">
        <v>1</v>
      </c>
      <c r="C3187">
        <v>89</v>
      </c>
      <c r="D3187">
        <v>89</v>
      </c>
      <c r="E3187">
        <v>15</v>
      </c>
      <c r="F3187">
        <v>15</v>
      </c>
      <c r="G3187">
        <v>89</v>
      </c>
    </row>
    <row r="3188" spans="1:7" ht="15" x14ac:dyDescent="0.25">
      <c r="A3188" t="s">
        <v>26484</v>
      </c>
      <c r="B3188">
        <v>1</v>
      </c>
      <c r="C3188">
        <v>505</v>
      </c>
      <c r="D3188">
        <v>505</v>
      </c>
      <c r="E3188">
        <v>58</v>
      </c>
      <c r="F3188">
        <v>58</v>
      </c>
      <c r="G3188">
        <v>505</v>
      </c>
    </row>
    <row r="3189" spans="1:7" ht="15" x14ac:dyDescent="0.25">
      <c r="A3189" t="s">
        <v>26489</v>
      </c>
      <c r="B3189">
        <v>1</v>
      </c>
      <c r="C3189">
        <v>253</v>
      </c>
      <c r="D3189">
        <v>253</v>
      </c>
      <c r="E3189">
        <v>19</v>
      </c>
      <c r="F3189">
        <v>19</v>
      </c>
      <c r="G3189">
        <v>253</v>
      </c>
    </row>
    <row r="3190" spans="1:7" ht="15" x14ac:dyDescent="0.25">
      <c r="A3190" t="s">
        <v>26494</v>
      </c>
      <c r="B3190">
        <v>1</v>
      </c>
      <c r="C3190">
        <v>192</v>
      </c>
      <c r="D3190">
        <v>192</v>
      </c>
      <c r="E3190">
        <v>22</v>
      </c>
      <c r="F3190">
        <v>22</v>
      </c>
      <c r="G3190">
        <v>192</v>
      </c>
    </row>
    <row r="3191" spans="1:7" ht="15" x14ac:dyDescent="0.25">
      <c r="A3191" t="s">
        <v>26501</v>
      </c>
      <c r="B3191">
        <v>1</v>
      </c>
      <c r="C3191">
        <v>2044</v>
      </c>
      <c r="D3191">
        <v>2044</v>
      </c>
      <c r="E3191">
        <v>20</v>
      </c>
      <c r="F3191">
        <v>20</v>
      </c>
      <c r="G3191">
        <v>2044</v>
      </c>
    </row>
    <row r="3192" spans="1:7" ht="15" x14ac:dyDescent="0.25">
      <c r="A3192" t="s">
        <v>26506</v>
      </c>
      <c r="B3192">
        <v>1</v>
      </c>
      <c r="C3192">
        <v>306</v>
      </c>
      <c r="D3192">
        <v>306</v>
      </c>
      <c r="E3192">
        <v>96</v>
      </c>
      <c r="F3192">
        <v>96</v>
      </c>
      <c r="G3192">
        <v>306</v>
      </c>
    </row>
    <row r="3193" spans="1:7" ht="15" x14ac:dyDescent="0.25">
      <c r="A3193" t="s">
        <v>26511</v>
      </c>
      <c r="B3193">
        <v>1</v>
      </c>
      <c r="C3193">
        <v>90</v>
      </c>
      <c r="D3193">
        <v>90</v>
      </c>
      <c r="E3193">
        <v>8</v>
      </c>
      <c r="F3193">
        <v>8</v>
      </c>
      <c r="G3193">
        <v>90</v>
      </c>
    </row>
    <row r="3194" spans="1:7" ht="15" x14ac:dyDescent="0.25">
      <c r="A3194" t="s">
        <v>26518</v>
      </c>
      <c r="B3194">
        <v>1</v>
      </c>
      <c r="C3194">
        <v>473</v>
      </c>
      <c r="D3194">
        <v>473</v>
      </c>
      <c r="E3194">
        <v>170</v>
      </c>
      <c r="F3194">
        <v>170</v>
      </c>
      <c r="G3194">
        <v>473</v>
      </c>
    </row>
    <row r="3195" spans="1:7" ht="15" x14ac:dyDescent="0.25">
      <c r="A3195" t="s">
        <v>26529</v>
      </c>
      <c r="B3195">
        <v>2</v>
      </c>
      <c r="C3195">
        <v>191</v>
      </c>
      <c r="D3195">
        <v>381</v>
      </c>
      <c r="E3195">
        <v>29</v>
      </c>
      <c r="F3195">
        <v>14.5</v>
      </c>
      <c r="G3195">
        <v>191</v>
      </c>
    </row>
    <row r="3196" spans="1:7" ht="15" x14ac:dyDescent="0.25">
      <c r="A3196" t="s">
        <v>26536</v>
      </c>
      <c r="B3196">
        <v>1</v>
      </c>
      <c r="C3196">
        <v>477</v>
      </c>
      <c r="D3196">
        <v>477</v>
      </c>
      <c r="E3196">
        <v>69</v>
      </c>
      <c r="F3196">
        <v>69</v>
      </c>
      <c r="G3196">
        <v>477</v>
      </c>
    </row>
    <row r="3197" spans="1:7" ht="15" x14ac:dyDescent="0.25">
      <c r="A3197" t="s">
        <v>26553</v>
      </c>
      <c r="B3197">
        <v>1</v>
      </c>
      <c r="C3197">
        <v>1824</v>
      </c>
      <c r="D3197">
        <v>1824</v>
      </c>
      <c r="E3197">
        <v>597</v>
      </c>
      <c r="F3197">
        <v>597</v>
      </c>
      <c r="G3197">
        <v>1824</v>
      </c>
    </row>
    <row r="3198" spans="1:7" ht="15" x14ac:dyDescent="0.25">
      <c r="A3198" t="s">
        <v>26560</v>
      </c>
      <c r="B3198">
        <v>1</v>
      </c>
      <c r="C3198">
        <v>312</v>
      </c>
      <c r="D3198">
        <v>312</v>
      </c>
      <c r="E3198">
        <v>3</v>
      </c>
      <c r="F3198">
        <v>3</v>
      </c>
      <c r="G3198">
        <v>312</v>
      </c>
    </row>
    <row r="3199" spans="1:7" ht="15" x14ac:dyDescent="0.25">
      <c r="A3199" t="s">
        <v>26568</v>
      </c>
      <c r="B3199">
        <v>6</v>
      </c>
      <c r="C3199">
        <v>1681</v>
      </c>
      <c r="D3199">
        <v>10061</v>
      </c>
      <c r="E3199">
        <v>693</v>
      </c>
      <c r="F3199">
        <v>115.5</v>
      </c>
      <c r="G3199">
        <v>1681</v>
      </c>
    </row>
    <row r="3200" spans="1:7" ht="15" x14ac:dyDescent="0.25">
      <c r="A3200" t="s">
        <v>26573</v>
      </c>
      <c r="B3200">
        <v>1</v>
      </c>
      <c r="C3200">
        <v>649</v>
      </c>
      <c r="D3200">
        <v>649</v>
      </c>
      <c r="E3200">
        <v>33</v>
      </c>
      <c r="F3200">
        <v>33</v>
      </c>
      <c r="G3200">
        <v>649</v>
      </c>
    </row>
    <row r="3201" spans="1:7" ht="15" x14ac:dyDescent="0.25">
      <c r="A3201" t="s">
        <v>26582</v>
      </c>
      <c r="B3201">
        <v>1</v>
      </c>
      <c r="C3201">
        <v>280</v>
      </c>
      <c r="D3201">
        <v>280</v>
      </c>
      <c r="E3201">
        <v>34</v>
      </c>
      <c r="F3201">
        <v>34</v>
      </c>
      <c r="G3201">
        <v>280</v>
      </c>
    </row>
    <row r="3202" spans="1:7" ht="15" x14ac:dyDescent="0.25">
      <c r="A3202" t="s">
        <v>26605</v>
      </c>
      <c r="B3202">
        <v>1</v>
      </c>
      <c r="C3202">
        <v>7846</v>
      </c>
      <c r="D3202">
        <v>7846</v>
      </c>
      <c r="E3202">
        <v>126</v>
      </c>
      <c r="F3202">
        <v>126</v>
      </c>
      <c r="G3202">
        <v>7846</v>
      </c>
    </row>
    <row r="3203" spans="1:7" ht="15" x14ac:dyDescent="0.25">
      <c r="A3203" t="s">
        <v>26610</v>
      </c>
      <c r="B3203">
        <v>2</v>
      </c>
      <c r="C3203">
        <v>175</v>
      </c>
      <c r="D3203">
        <v>350</v>
      </c>
      <c r="E3203">
        <v>26</v>
      </c>
      <c r="F3203">
        <v>13</v>
      </c>
      <c r="G3203">
        <v>175</v>
      </c>
    </row>
    <row r="3204" spans="1:7" ht="15" x14ac:dyDescent="0.25">
      <c r="A3204" t="s">
        <v>26617</v>
      </c>
      <c r="B3204">
        <v>1</v>
      </c>
      <c r="C3204">
        <v>1458</v>
      </c>
      <c r="D3204">
        <v>1458</v>
      </c>
      <c r="E3204">
        <v>66</v>
      </c>
      <c r="F3204">
        <v>66</v>
      </c>
      <c r="G3204">
        <v>1458</v>
      </c>
    </row>
    <row r="3205" spans="1:7" ht="15" x14ac:dyDescent="0.25">
      <c r="A3205" t="s">
        <v>26625</v>
      </c>
      <c r="B3205">
        <v>1</v>
      </c>
      <c r="C3205">
        <v>150</v>
      </c>
      <c r="D3205">
        <v>150</v>
      </c>
      <c r="E3205">
        <v>40</v>
      </c>
      <c r="F3205">
        <v>40</v>
      </c>
      <c r="G3205">
        <v>150</v>
      </c>
    </row>
    <row r="3206" spans="1:7" ht="15" x14ac:dyDescent="0.25">
      <c r="A3206" t="s">
        <v>26643</v>
      </c>
      <c r="B3206">
        <v>1</v>
      </c>
      <c r="C3206">
        <v>412</v>
      </c>
      <c r="D3206">
        <v>412</v>
      </c>
      <c r="E3206">
        <v>29</v>
      </c>
      <c r="F3206">
        <v>29</v>
      </c>
      <c r="G3206">
        <v>412</v>
      </c>
    </row>
    <row r="3207" spans="1:7" ht="15" x14ac:dyDescent="0.25">
      <c r="A3207" t="s">
        <v>26649</v>
      </c>
      <c r="B3207">
        <v>1</v>
      </c>
      <c r="C3207">
        <v>373</v>
      </c>
      <c r="D3207">
        <v>373</v>
      </c>
      <c r="E3207">
        <v>14</v>
      </c>
      <c r="F3207">
        <v>14</v>
      </c>
      <c r="G3207">
        <v>373</v>
      </c>
    </row>
    <row r="3208" spans="1:7" ht="15" x14ac:dyDescent="0.25">
      <c r="A3208" t="s">
        <v>26657</v>
      </c>
      <c r="B3208">
        <v>1</v>
      </c>
      <c r="C3208">
        <v>97</v>
      </c>
      <c r="D3208">
        <v>97</v>
      </c>
      <c r="E3208">
        <v>9</v>
      </c>
      <c r="F3208">
        <v>9</v>
      </c>
      <c r="G3208">
        <v>97</v>
      </c>
    </row>
    <row r="3209" spans="1:7" ht="15" x14ac:dyDescent="0.25">
      <c r="A3209" t="s">
        <v>26673</v>
      </c>
      <c r="B3209">
        <v>1</v>
      </c>
      <c r="C3209">
        <v>1200</v>
      </c>
      <c r="D3209">
        <v>1200</v>
      </c>
      <c r="E3209">
        <v>41</v>
      </c>
      <c r="F3209">
        <v>41</v>
      </c>
      <c r="G3209">
        <v>1200</v>
      </c>
    </row>
    <row r="3210" spans="1:7" ht="15" x14ac:dyDescent="0.25">
      <c r="A3210" t="s">
        <v>26678</v>
      </c>
      <c r="B3210">
        <v>1</v>
      </c>
      <c r="C3210">
        <v>3111</v>
      </c>
      <c r="D3210">
        <v>3111</v>
      </c>
      <c r="E3210">
        <v>287</v>
      </c>
      <c r="F3210">
        <v>287</v>
      </c>
      <c r="G3210">
        <v>3111</v>
      </c>
    </row>
    <row r="3211" spans="1:7" ht="15" x14ac:dyDescent="0.25">
      <c r="A3211" t="s">
        <v>26683</v>
      </c>
      <c r="B3211">
        <v>1</v>
      </c>
      <c r="C3211">
        <v>2425</v>
      </c>
      <c r="D3211">
        <v>2425</v>
      </c>
      <c r="E3211">
        <v>93</v>
      </c>
      <c r="F3211">
        <v>93</v>
      </c>
      <c r="G3211">
        <v>2425</v>
      </c>
    </row>
    <row r="3212" spans="1:7" ht="15" x14ac:dyDescent="0.25">
      <c r="A3212" t="s">
        <v>26687</v>
      </c>
      <c r="B3212">
        <v>1</v>
      </c>
      <c r="C3212">
        <v>29</v>
      </c>
      <c r="D3212">
        <v>29</v>
      </c>
      <c r="E3212">
        <v>10</v>
      </c>
      <c r="F3212">
        <v>10</v>
      </c>
      <c r="G3212">
        <v>29</v>
      </c>
    </row>
    <row r="3213" spans="1:7" ht="15" x14ac:dyDescent="0.25">
      <c r="A3213" t="s">
        <v>26692</v>
      </c>
      <c r="B3213">
        <v>1</v>
      </c>
      <c r="C3213">
        <v>617</v>
      </c>
      <c r="D3213">
        <v>617</v>
      </c>
      <c r="E3213">
        <v>45</v>
      </c>
      <c r="F3213">
        <v>45</v>
      </c>
      <c r="G3213">
        <v>617</v>
      </c>
    </row>
    <row r="3214" spans="1:7" ht="15" x14ac:dyDescent="0.25">
      <c r="A3214" t="s">
        <v>26696</v>
      </c>
      <c r="B3214">
        <v>1</v>
      </c>
      <c r="C3214">
        <v>5595</v>
      </c>
      <c r="D3214">
        <v>5595</v>
      </c>
      <c r="E3214">
        <v>48</v>
      </c>
      <c r="F3214">
        <v>48</v>
      </c>
      <c r="G3214">
        <v>5595</v>
      </c>
    </row>
    <row r="3215" spans="1:7" ht="15" x14ac:dyDescent="0.25">
      <c r="A3215" t="s">
        <v>26702</v>
      </c>
      <c r="B3215">
        <v>1</v>
      </c>
      <c r="C3215">
        <v>1609</v>
      </c>
      <c r="D3215">
        <v>1609</v>
      </c>
      <c r="E3215">
        <v>204</v>
      </c>
      <c r="F3215">
        <v>204</v>
      </c>
      <c r="G3215">
        <v>1609</v>
      </c>
    </row>
    <row r="3216" spans="1:7" ht="15" x14ac:dyDescent="0.25">
      <c r="A3216" t="s">
        <v>26713</v>
      </c>
      <c r="B3216">
        <v>1</v>
      </c>
      <c r="C3216">
        <v>393</v>
      </c>
      <c r="D3216">
        <v>393</v>
      </c>
      <c r="E3216">
        <v>20</v>
      </c>
      <c r="F3216">
        <v>20</v>
      </c>
      <c r="G3216">
        <v>393</v>
      </c>
    </row>
    <row r="3217" spans="1:7" ht="15" x14ac:dyDescent="0.25">
      <c r="A3217" t="s">
        <v>26720</v>
      </c>
      <c r="B3217">
        <v>1</v>
      </c>
      <c r="C3217">
        <v>9817</v>
      </c>
      <c r="D3217">
        <v>9817</v>
      </c>
      <c r="E3217">
        <v>76</v>
      </c>
      <c r="F3217">
        <v>76</v>
      </c>
      <c r="G3217">
        <v>9817</v>
      </c>
    </row>
    <row r="3218" spans="1:7" ht="15" x14ac:dyDescent="0.25">
      <c r="A3218" t="s">
        <v>26727</v>
      </c>
      <c r="B3218">
        <v>1</v>
      </c>
      <c r="C3218">
        <v>655</v>
      </c>
      <c r="D3218">
        <v>655</v>
      </c>
      <c r="E3218">
        <v>43</v>
      </c>
      <c r="F3218">
        <v>43</v>
      </c>
      <c r="G3218">
        <v>655</v>
      </c>
    </row>
    <row r="3219" spans="1:7" ht="15" x14ac:dyDescent="0.25">
      <c r="A3219" t="s">
        <v>26730</v>
      </c>
      <c r="B3219">
        <v>1</v>
      </c>
      <c r="C3219">
        <v>572</v>
      </c>
      <c r="D3219">
        <v>572</v>
      </c>
      <c r="E3219">
        <v>35</v>
      </c>
      <c r="F3219">
        <v>35</v>
      </c>
      <c r="G3219">
        <v>572</v>
      </c>
    </row>
    <row r="3220" spans="1:7" ht="15" x14ac:dyDescent="0.25">
      <c r="A3220" t="s">
        <v>26735</v>
      </c>
      <c r="B3220">
        <v>1</v>
      </c>
      <c r="C3220">
        <v>856</v>
      </c>
      <c r="D3220">
        <v>856</v>
      </c>
      <c r="E3220">
        <v>14</v>
      </c>
      <c r="F3220">
        <v>14</v>
      </c>
      <c r="G3220">
        <v>856</v>
      </c>
    </row>
    <row r="3221" spans="1:7" ht="15" x14ac:dyDescent="0.25">
      <c r="A3221" t="s">
        <v>26738</v>
      </c>
      <c r="B3221">
        <v>1</v>
      </c>
      <c r="C3221">
        <v>27</v>
      </c>
      <c r="D3221">
        <v>27</v>
      </c>
      <c r="E3221">
        <v>18</v>
      </c>
      <c r="F3221">
        <v>18</v>
      </c>
      <c r="G3221">
        <v>27</v>
      </c>
    </row>
    <row r="3222" spans="1:7" ht="15" x14ac:dyDescent="0.25">
      <c r="A3222" t="s">
        <v>26743</v>
      </c>
      <c r="B3222">
        <v>1</v>
      </c>
      <c r="C3222">
        <v>905</v>
      </c>
      <c r="D3222">
        <v>905</v>
      </c>
      <c r="E3222">
        <v>161</v>
      </c>
      <c r="F3222">
        <v>161</v>
      </c>
      <c r="G3222">
        <v>905</v>
      </c>
    </row>
    <row r="3223" spans="1:7" ht="15" x14ac:dyDescent="0.25">
      <c r="A3223" t="s">
        <v>26749</v>
      </c>
      <c r="B3223">
        <v>1</v>
      </c>
      <c r="C3223">
        <v>128</v>
      </c>
      <c r="D3223">
        <v>128</v>
      </c>
      <c r="E3223">
        <v>9</v>
      </c>
      <c r="F3223">
        <v>9</v>
      </c>
      <c r="G3223">
        <v>128</v>
      </c>
    </row>
    <row r="3224" spans="1:7" ht="15" x14ac:dyDescent="0.25">
      <c r="A3224" t="s">
        <v>26752</v>
      </c>
      <c r="B3224">
        <v>1</v>
      </c>
      <c r="C3224">
        <v>143</v>
      </c>
      <c r="D3224">
        <v>143</v>
      </c>
      <c r="E3224">
        <v>42</v>
      </c>
      <c r="F3224">
        <v>42</v>
      </c>
      <c r="G3224">
        <v>143</v>
      </c>
    </row>
    <row r="3225" spans="1:7" ht="15" x14ac:dyDescent="0.25">
      <c r="A3225" t="s">
        <v>26762</v>
      </c>
      <c r="B3225">
        <v>1</v>
      </c>
      <c r="C3225">
        <v>260</v>
      </c>
      <c r="D3225">
        <v>260</v>
      </c>
      <c r="E3225">
        <v>61</v>
      </c>
      <c r="F3225">
        <v>61</v>
      </c>
      <c r="G3225">
        <v>260</v>
      </c>
    </row>
    <row r="3226" spans="1:7" ht="15" x14ac:dyDescent="0.25">
      <c r="A3226" t="s">
        <v>26774</v>
      </c>
      <c r="B3226">
        <v>1</v>
      </c>
      <c r="C3226">
        <v>315</v>
      </c>
      <c r="D3226">
        <v>315</v>
      </c>
      <c r="E3226">
        <v>18</v>
      </c>
      <c r="F3226">
        <v>18</v>
      </c>
      <c r="G3226">
        <v>315</v>
      </c>
    </row>
    <row r="3227" spans="1:7" ht="15" x14ac:dyDescent="0.25">
      <c r="A3227" t="s">
        <v>26780</v>
      </c>
      <c r="B3227">
        <v>1</v>
      </c>
      <c r="C3227">
        <v>323</v>
      </c>
      <c r="D3227">
        <v>323</v>
      </c>
      <c r="E3227">
        <v>36</v>
      </c>
      <c r="F3227">
        <v>36</v>
      </c>
      <c r="G3227">
        <v>323</v>
      </c>
    </row>
    <row r="3228" spans="1:7" ht="15" x14ac:dyDescent="0.25">
      <c r="A3228" t="s">
        <v>26786</v>
      </c>
      <c r="B3228">
        <v>1</v>
      </c>
      <c r="C3228">
        <v>494</v>
      </c>
      <c r="D3228">
        <v>494</v>
      </c>
      <c r="E3228">
        <v>28</v>
      </c>
      <c r="F3228">
        <v>28</v>
      </c>
      <c r="G3228">
        <v>494</v>
      </c>
    </row>
    <row r="3229" spans="1:7" ht="15" x14ac:dyDescent="0.25">
      <c r="A3229" t="s">
        <v>26792</v>
      </c>
      <c r="B3229">
        <v>1</v>
      </c>
      <c r="C3229">
        <v>660</v>
      </c>
      <c r="D3229">
        <v>660</v>
      </c>
      <c r="E3229">
        <v>31</v>
      </c>
      <c r="F3229">
        <v>31</v>
      </c>
      <c r="G3229">
        <v>660</v>
      </c>
    </row>
    <row r="3230" spans="1:7" ht="15" x14ac:dyDescent="0.25">
      <c r="A3230" t="s">
        <v>26798</v>
      </c>
      <c r="B3230">
        <v>1</v>
      </c>
      <c r="C3230">
        <v>622</v>
      </c>
      <c r="D3230">
        <v>622</v>
      </c>
      <c r="E3230">
        <v>77</v>
      </c>
      <c r="F3230">
        <v>77</v>
      </c>
      <c r="G3230">
        <v>622</v>
      </c>
    </row>
    <row r="3231" spans="1:7" ht="15" x14ac:dyDescent="0.25">
      <c r="A3231" t="s">
        <v>26813</v>
      </c>
      <c r="B3231">
        <v>1</v>
      </c>
      <c r="C3231">
        <v>4100</v>
      </c>
      <c r="D3231">
        <v>4100</v>
      </c>
      <c r="E3231">
        <v>91</v>
      </c>
      <c r="F3231">
        <v>91</v>
      </c>
      <c r="G3231">
        <v>4100</v>
      </c>
    </row>
    <row r="3232" spans="1:7" ht="15" x14ac:dyDescent="0.25">
      <c r="A3232" t="s">
        <v>26820</v>
      </c>
      <c r="B3232">
        <v>1</v>
      </c>
      <c r="C3232">
        <v>333</v>
      </c>
      <c r="D3232">
        <v>333</v>
      </c>
      <c r="E3232">
        <v>32</v>
      </c>
      <c r="F3232">
        <v>32</v>
      </c>
      <c r="G3232">
        <v>333</v>
      </c>
    </row>
    <row r="3233" spans="1:7" ht="15" x14ac:dyDescent="0.25">
      <c r="A3233" t="s">
        <v>26826</v>
      </c>
      <c r="B3233">
        <v>1</v>
      </c>
      <c r="C3233">
        <v>1700</v>
      </c>
      <c r="D3233">
        <v>1700</v>
      </c>
      <c r="E3233">
        <v>70</v>
      </c>
      <c r="F3233">
        <v>70</v>
      </c>
      <c r="G3233">
        <v>1700</v>
      </c>
    </row>
    <row r="3234" spans="1:7" ht="15" x14ac:dyDescent="0.25">
      <c r="A3234" t="s">
        <v>26832</v>
      </c>
      <c r="B3234">
        <v>1</v>
      </c>
      <c r="C3234">
        <v>145</v>
      </c>
      <c r="D3234">
        <v>145</v>
      </c>
      <c r="E3234">
        <v>21</v>
      </c>
      <c r="F3234">
        <v>21</v>
      </c>
      <c r="G3234">
        <v>145</v>
      </c>
    </row>
    <row r="3235" spans="1:7" ht="15" x14ac:dyDescent="0.25">
      <c r="A3235" t="s">
        <v>26839</v>
      </c>
      <c r="B3235">
        <v>1</v>
      </c>
      <c r="C3235">
        <v>485</v>
      </c>
      <c r="D3235">
        <v>485</v>
      </c>
      <c r="E3235">
        <v>49</v>
      </c>
      <c r="F3235">
        <v>49</v>
      </c>
      <c r="G3235">
        <v>485</v>
      </c>
    </row>
    <row r="3236" spans="1:7" ht="15" x14ac:dyDescent="0.25">
      <c r="A3236" t="s">
        <v>26846</v>
      </c>
      <c r="B3236">
        <v>1</v>
      </c>
      <c r="C3236">
        <v>396</v>
      </c>
      <c r="D3236">
        <v>396</v>
      </c>
      <c r="E3236">
        <v>11</v>
      </c>
      <c r="F3236">
        <v>11</v>
      </c>
      <c r="G3236">
        <v>396</v>
      </c>
    </row>
    <row r="3237" spans="1:7" ht="15" x14ac:dyDescent="0.25">
      <c r="A3237" t="s">
        <v>26850</v>
      </c>
      <c r="B3237">
        <v>1</v>
      </c>
      <c r="C3237">
        <v>99</v>
      </c>
      <c r="D3237">
        <v>99</v>
      </c>
      <c r="E3237">
        <v>32</v>
      </c>
      <c r="F3237">
        <v>32</v>
      </c>
      <c r="G3237">
        <v>99</v>
      </c>
    </row>
    <row r="3238" spans="1:7" ht="15" x14ac:dyDescent="0.25">
      <c r="A3238" t="s">
        <v>26859</v>
      </c>
      <c r="B3238">
        <v>1</v>
      </c>
      <c r="C3238">
        <v>129</v>
      </c>
      <c r="D3238">
        <v>129</v>
      </c>
      <c r="E3238">
        <v>53</v>
      </c>
      <c r="F3238">
        <v>53</v>
      </c>
      <c r="G3238">
        <v>129</v>
      </c>
    </row>
    <row r="3239" spans="1:7" ht="15" x14ac:dyDescent="0.25">
      <c r="A3239" t="s">
        <v>26864</v>
      </c>
      <c r="B3239">
        <v>1</v>
      </c>
      <c r="C3239">
        <v>52</v>
      </c>
      <c r="D3239">
        <v>52</v>
      </c>
      <c r="E3239">
        <v>17</v>
      </c>
      <c r="F3239">
        <v>17</v>
      </c>
      <c r="G3239">
        <v>52</v>
      </c>
    </row>
    <row r="3240" spans="1:7" ht="15" x14ac:dyDescent="0.25">
      <c r="A3240" t="s">
        <v>26873</v>
      </c>
      <c r="B3240">
        <v>1</v>
      </c>
      <c r="C3240">
        <v>5</v>
      </c>
      <c r="D3240">
        <v>5</v>
      </c>
      <c r="E3240">
        <v>6</v>
      </c>
      <c r="F3240">
        <v>6</v>
      </c>
      <c r="G3240">
        <v>5</v>
      </c>
    </row>
    <row r="3241" spans="1:7" ht="15" x14ac:dyDescent="0.25">
      <c r="A3241" t="s">
        <v>26878</v>
      </c>
      <c r="B3241">
        <v>1</v>
      </c>
      <c r="C3241">
        <v>6751</v>
      </c>
      <c r="D3241">
        <v>6751</v>
      </c>
      <c r="E3241">
        <v>100</v>
      </c>
      <c r="F3241">
        <v>100</v>
      </c>
      <c r="G3241">
        <v>6751</v>
      </c>
    </row>
    <row r="3242" spans="1:7" ht="15" x14ac:dyDescent="0.25">
      <c r="A3242" t="s">
        <v>26886</v>
      </c>
      <c r="B3242">
        <v>1</v>
      </c>
      <c r="C3242">
        <v>54</v>
      </c>
      <c r="D3242">
        <v>54</v>
      </c>
      <c r="E3242">
        <v>43</v>
      </c>
      <c r="F3242">
        <v>43</v>
      </c>
      <c r="G3242">
        <v>54</v>
      </c>
    </row>
    <row r="3243" spans="1:7" ht="15" x14ac:dyDescent="0.25">
      <c r="A3243" t="s">
        <v>26897</v>
      </c>
      <c r="B3243">
        <v>1</v>
      </c>
      <c r="C3243">
        <v>652</v>
      </c>
      <c r="D3243">
        <v>652</v>
      </c>
      <c r="E3243">
        <v>58</v>
      </c>
      <c r="F3243">
        <v>58</v>
      </c>
      <c r="G3243">
        <v>652</v>
      </c>
    </row>
    <row r="3244" spans="1:7" ht="15" x14ac:dyDescent="0.25">
      <c r="A3244" t="s">
        <v>26901</v>
      </c>
      <c r="B3244">
        <v>1</v>
      </c>
      <c r="C3244">
        <v>18</v>
      </c>
      <c r="D3244">
        <v>18</v>
      </c>
      <c r="E3244">
        <v>11</v>
      </c>
      <c r="F3244">
        <v>11</v>
      </c>
      <c r="G3244">
        <v>18</v>
      </c>
    </row>
    <row r="3245" spans="1:7" ht="15" x14ac:dyDescent="0.25">
      <c r="A3245" t="s">
        <v>26905</v>
      </c>
      <c r="B3245">
        <v>1</v>
      </c>
      <c r="C3245">
        <v>16398</v>
      </c>
      <c r="D3245">
        <v>16398</v>
      </c>
      <c r="E3245">
        <v>709</v>
      </c>
      <c r="F3245">
        <v>709</v>
      </c>
      <c r="G3245">
        <v>16398</v>
      </c>
    </row>
    <row r="3246" spans="1:7" ht="15" x14ac:dyDescent="0.25">
      <c r="A3246" t="s">
        <v>26920</v>
      </c>
      <c r="B3246">
        <v>1</v>
      </c>
      <c r="C3246">
        <v>537</v>
      </c>
      <c r="D3246">
        <v>537</v>
      </c>
      <c r="E3246">
        <v>58</v>
      </c>
      <c r="F3246">
        <v>58</v>
      </c>
      <c r="G3246">
        <v>537</v>
      </c>
    </row>
    <row r="3247" spans="1:7" ht="15" x14ac:dyDescent="0.25">
      <c r="A3247" t="s">
        <v>26924</v>
      </c>
      <c r="B3247">
        <v>1</v>
      </c>
      <c r="C3247">
        <v>101</v>
      </c>
      <c r="D3247">
        <v>101</v>
      </c>
      <c r="E3247">
        <v>16</v>
      </c>
      <c r="F3247">
        <v>16</v>
      </c>
      <c r="G3247">
        <v>101</v>
      </c>
    </row>
    <row r="3248" spans="1:7" ht="15" x14ac:dyDescent="0.25">
      <c r="A3248" t="s">
        <v>26932</v>
      </c>
      <c r="B3248">
        <v>1</v>
      </c>
      <c r="C3248">
        <v>308</v>
      </c>
      <c r="D3248">
        <v>308</v>
      </c>
      <c r="E3248">
        <v>43</v>
      </c>
      <c r="F3248">
        <v>43</v>
      </c>
      <c r="G3248">
        <v>308</v>
      </c>
    </row>
    <row r="3249" spans="1:7" ht="15" x14ac:dyDescent="0.25">
      <c r="A3249" t="s">
        <v>26939</v>
      </c>
      <c r="B3249">
        <v>1</v>
      </c>
      <c r="C3249">
        <v>76</v>
      </c>
      <c r="D3249">
        <v>76</v>
      </c>
      <c r="E3249">
        <v>12</v>
      </c>
      <c r="F3249">
        <v>12</v>
      </c>
      <c r="G3249">
        <v>76</v>
      </c>
    </row>
    <row r="3250" spans="1:7" ht="15" x14ac:dyDescent="0.25">
      <c r="A3250" t="s">
        <v>26942</v>
      </c>
      <c r="B3250">
        <v>1</v>
      </c>
      <c r="C3250">
        <v>136</v>
      </c>
      <c r="D3250">
        <v>136</v>
      </c>
      <c r="E3250">
        <v>41</v>
      </c>
      <c r="F3250">
        <v>41</v>
      </c>
      <c r="G3250">
        <v>136</v>
      </c>
    </row>
    <row r="3251" spans="1:7" ht="15" x14ac:dyDescent="0.25">
      <c r="A3251" t="s">
        <v>26949</v>
      </c>
      <c r="B3251">
        <v>2</v>
      </c>
      <c r="C3251">
        <v>62</v>
      </c>
      <c r="D3251">
        <v>121</v>
      </c>
      <c r="E3251">
        <v>41</v>
      </c>
      <c r="F3251">
        <v>20.5</v>
      </c>
      <c r="G3251">
        <v>62</v>
      </c>
    </row>
    <row r="3252" spans="1:7" ht="15" x14ac:dyDescent="0.25">
      <c r="A3252" t="s">
        <v>26955</v>
      </c>
      <c r="B3252">
        <v>1</v>
      </c>
      <c r="C3252">
        <v>612</v>
      </c>
      <c r="D3252">
        <v>612</v>
      </c>
      <c r="E3252">
        <v>107</v>
      </c>
      <c r="F3252">
        <v>107</v>
      </c>
      <c r="G3252">
        <v>612</v>
      </c>
    </row>
    <row r="3253" spans="1:7" ht="15" x14ac:dyDescent="0.25">
      <c r="A3253" t="s">
        <v>26961</v>
      </c>
      <c r="B3253">
        <v>1</v>
      </c>
      <c r="C3253">
        <v>209</v>
      </c>
      <c r="D3253">
        <v>209</v>
      </c>
      <c r="E3253">
        <v>10</v>
      </c>
      <c r="F3253">
        <v>10</v>
      </c>
      <c r="G3253">
        <v>209</v>
      </c>
    </row>
    <row r="3254" spans="1:7" ht="15" x14ac:dyDescent="0.25">
      <c r="A3254" t="s">
        <v>26972</v>
      </c>
      <c r="B3254">
        <v>1</v>
      </c>
      <c r="C3254">
        <v>3950</v>
      </c>
      <c r="D3254">
        <v>3950</v>
      </c>
      <c r="E3254">
        <v>214</v>
      </c>
      <c r="F3254">
        <v>214</v>
      </c>
      <c r="G3254">
        <v>3950</v>
      </c>
    </row>
    <row r="3255" spans="1:7" ht="15" x14ac:dyDescent="0.25">
      <c r="A3255" t="s">
        <v>26982</v>
      </c>
      <c r="B3255">
        <v>1</v>
      </c>
      <c r="C3255">
        <v>263</v>
      </c>
      <c r="D3255">
        <v>263</v>
      </c>
      <c r="E3255">
        <v>23</v>
      </c>
      <c r="F3255">
        <v>23</v>
      </c>
      <c r="G3255">
        <v>263</v>
      </c>
    </row>
    <row r="3256" spans="1:7" ht="15" x14ac:dyDescent="0.25">
      <c r="A3256" t="s">
        <v>26988</v>
      </c>
      <c r="B3256">
        <v>1</v>
      </c>
      <c r="C3256">
        <v>203</v>
      </c>
      <c r="D3256">
        <v>203</v>
      </c>
      <c r="E3256">
        <v>25</v>
      </c>
      <c r="F3256">
        <v>25</v>
      </c>
      <c r="G3256">
        <v>203</v>
      </c>
    </row>
    <row r="3257" spans="1:7" ht="15" x14ac:dyDescent="0.25">
      <c r="A3257" t="s">
        <v>26998</v>
      </c>
      <c r="B3257">
        <v>1</v>
      </c>
      <c r="C3257">
        <v>818</v>
      </c>
      <c r="D3257">
        <v>818</v>
      </c>
      <c r="E3257">
        <v>105</v>
      </c>
      <c r="F3257">
        <v>105</v>
      </c>
      <c r="G3257">
        <v>818</v>
      </c>
    </row>
    <row r="3258" spans="1:7" ht="15" x14ac:dyDescent="0.25">
      <c r="A3258" t="s">
        <v>27003</v>
      </c>
      <c r="B3258">
        <v>1</v>
      </c>
      <c r="C3258">
        <v>8</v>
      </c>
      <c r="D3258">
        <v>8</v>
      </c>
      <c r="E3258">
        <v>15</v>
      </c>
      <c r="F3258">
        <v>15</v>
      </c>
      <c r="G3258">
        <v>8</v>
      </c>
    </row>
    <row r="3259" spans="1:7" ht="15" x14ac:dyDescent="0.25">
      <c r="A3259" t="s">
        <v>27013</v>
      </c>
      <c r="B3259">
        <v>1</v>
      </c>
      <c r="C3259">
        <v>2224</v>
      </c>
      <c r="D3259">
        <v>2224</v>
      </c>
      <c r="E3259">
        <v>27</v>
      </c>
      <c r="F3259">
        <v>27</v>
      </c>
      <c r="G3259">
        <v>2224</v>
      </c>
    </row>
    <row r="3260" spans="1:7" ht="15" x14ac:dyDescent="0.25">
      <c r="A3260" t="s">
        <v>27016</v>
      </c>
      <c r="B3260">
        <v>1</v>
      </c>
      <c r="C3260">
        <v>525</v>
      </c>
      <c r="D3260">
        <v>525</v>
      </c>
      <c r="E3260">
        <v>72</v>
      </c>
      <c r="F3260">
        <v>72</v>
      </c>
      <c r="G3260">
        <v>525</v>
      </c>
    </row>
    <row r="3261" spans="1:7" ht="15" x14ac:dyDescent="0.25">
      <c r="A3261" t="s">
        <v>27031</v>
      </c>
      <c r="B3261">
        <v>1</v>
      </c>
      <c r="C3261">
        <v>316</v>
      </c>
      <c r="D3261">
        <v>316</v>
      </c>
      <c r="E3261">
        <v>18</v>
      </c>
      <c r="F3261">
        <v>18</v>
      </c>
      <c r="G3261">
        <v>316</v>
      </c>
    </row>
    <row r="3262" spans="1:7" ht="15" x14ac:dyDescent="0.25">
      <c r="A3262" t="s">
        <v>27035</v>
      </c>
      <c r="B3262">
        <v>1</v>
      </c>
      <c r="C3262">
        <v>147</v>
      </c>
      <c r="D3262">
        <v>147</v>
      </c>
      <c r="E3262">
        <v>8</v>
      </c>
      <c r="F3262">
        <v>8</v>
      </c>
      <c r="G3262">
        <v>147</v>
      </c>
    </row>
    <row r="3263" spans="1:7" ht="15" x14ac:dyDescent="0.25">
      <c r="A3263" t="s">
        <v>27039</v>
      </c>
      <c r="B3263">
        <v>1</v>
      </c>
      <c r="C3263">
        <v>42</v>
      </c>
      <c r="D3263">
        <v>42</v>
      </c>
      <c r="E3263">
        <v>16</v>
      </c>
      <c r="F3263">
        <v>16</v>
      </c>
      <c r="G3263">
        <v>42</v>
      </c>
    </row>
    <row r="3264" spans="1:7" ht="15" x14ac:dyDescent="0.25">
      <c r="A3264" t="s">
        <v>27046</v>
      </c>
      <c r="B3264">
        <v>1</v>
      </c>
      <c r="C3264">
        <v>82</v>
      </c>
      <c r="D3264">
        <v>82</v>
      </c>
      <c r="E3264">
        <v>0</v>
      </c>
      <c r="F3264">
        <v>0</v>
      </c>
      <c r="G3264">
        <v>82</v>
      </c>
    </row>
    <row r="3265" spans="1:7" ht="15" x14ac:dyDescent="0.25">
      <c r="A3265" t="s">
        <v>27054</v>
      </c>
      <c r="B3265">
        <v>1</v>
      </c>
      <c r="C3265">
        <v>238</v>
      </c>
      <c r="D3265">
        <v>238</v>
      </c>
      <c r="E3265">
        <v>356</v>
      </c>
      <c r="F3265">
        <v>356</v>
      </c>
      <c r="G3265">
        <v>238</v>
      </c>
    </row>
    <row r="3266" spans="1:7" ht="15" x14ac:dyDescent="0.25">
      <c r="A3266" t="s">
        <v>27063</v>
      </c>
      <c r="B3266">
        <v>1</v>
      </c>
      <c r="C3266">
        <v>788</v>
      </c>
      <c r="D3266">
        <v>788</v>
      </c>
      <c r="E3266">
        <v>73</v>
      </c>
      <c r="F3266">
        <v>73</v>
      </c>
      <c r="G3266">
        <v>788</v>
      </c>
    </row>
    <row r="3267" spans="1:7" ht="15" x14ac:dyDescent="0.25">
      <c r="A3267" t="s">
        <v>27069</v>
      </c>
      <c r="B3267">
        <v>1</v>
      </c>
      <c r="C3267">
        <v>267</v>
      </c>
      <c r="D3267">
        <v>267</v>
      </c>
      <c r="E3267">
        <v>40</v>
      </c>
      <c r="F3267">
        <v>40</v>
      </c>
      <c r="G3267">
        <v>267</v>
      </c>
    </row>
    <row r="3268" spans="1:7" ht="15" x14ac:dyDescent="0.25">
      <c r="A3268" t="s">
        <v>27073</v>
      </c>
      <c r="B3268">
        <v>1</v>
      </c>
      <c r="C3268">
        <v>249</v>
      </c>
      <c r="D3268">
        <v>249</v>
      </c>
      <c r="E3268">
        <v>69</v>
      </c>
      <c r="F3268">
        <v>69</v>
      </c>
      <c r="G3268">
        <v>249</v>
      </c>
    </row>
    <row r="3269" spans="1:7" ht="15" x14ac:dyDescent="0.25">
      <c r="A3269" t="s">
        <v>27079</v>
      </c>
      <c r="B3269">
        <v>1</v>
      </c>
      <c r="C3269">
        <v>1019</v>
      </c>
      <c r="D3269">
        <v>1019</v>
      </c>
      <c r="E3269">
        <v>87</v>
      </c>
      <c r="F3269">
        <v>87</v>
      </c>
      <c r="G3269">
        <v>1019</v>
      </c>
    </row>
    <row r="3270" spans="1:7" ht="15" x14ac:dyDescent="0.25">
      <c r="A3270" t="s">
        <v>27082</v>
      </c>
      <c r="B3270">
        <v>1</v>
      </c>
      <c r="C3270">
        <v>340</v>
      </c>
      <c r="D3270">
        <v>340</v>
      </c>
      <c r="E3270">
        <v>32</v>
      </c>
      <c r="F3270">
        <v>32</v>
      </c>
      <c r="G3270">
        <v>340</v>
      </c>
    </row>
    <row r="3271" spans="1:7" ht="15" x14ac:dyDescent="0.25">
      <c r="A3271" t="s">
        <v>27086</v>
      </c>
      <c r="B3271">
        <v>1</v>
      </c>
      <c r="C3271">
        <v>872</v>
      </c>
      <c r="D3271">
        <v>872</v>
      </c>
      <c r="E3271">
        <v>269</v>
      </c>
      <c r="F3271">
        <v>269</v>
      </c>
      <c r="G3271">
        <v>872</v>
      </c>
    </row>
    <row r="3272" spans="1:7" ht="15" x14ac:dyDescent="0.25">
      <c r="A3272" t="s">
        <v>27093</v>
      </c>
      <c r="B3272">
        <v>1</v>
      </c>
      <c r="C3272">
        <v>3002</v>
      </c>
      <c r="D3272">
        <v>3002</v>
      </c>
      <c r="E3272">
        <v>2</v>
      </c>
      <c r="F3272">
        <v>2</v>
      </c>
      <c r="G3272">
        <v>3002</v>
      </c>
    </row>
    <row r="3273" spans="1:7" ht="15" x14ac:dyDescent="0.25">
      <c r="A3273" t="s">
        <v>27099</v>
      </c>
      <c r="B3273">
        <v>1</v>
      </c>
      <c r="C3273">
        <v>11</v>
      </c>
      <c r="D3273">
        <v>11</v>
      </c>
      <c r="E3273">
        <v>20</v>
      </c>
      <c r="F3273">
        <v>20</v>
      </c>
      <c r="G3273">
        <v>11</v>
      </c>
    </row>
    <row r="3274" spans="1:7" ht="15" x14ac:dyDescent="0.25">
      <c r="A3274" t="s">
        <v>27108</v>
      </c>
      <c r="B3274">
        <v>1</v>
      </c>
      <c r="C3274">
        <v>496</v>
      </c>
      <c r="D3274">
        <v>496</v>
      </c>
      <c r="E3274">
        <v>15</v>
      </c>
      <c r="F3274">
        <v>15</v>
      </c>
      <c r="G3274">
        <v>496</v>
      </c>
    </row>
    <row r="3275" spans="1:7" ht="15" x14ac:dyDescent="0.25">
      <c r="A3275" t="s">
        <v>27119</v>
      </c>
      <c r="B3275">
        <v>1</v>
      </c>
      <c r="C3275">
        <v>10153</v>
      </c>
      <c r="D3275">
        <v>10153</v>
      </c>
      <c r="E3275">
        <v>585</v>
      </c>
      <c r="F3275">
        <v>585</v>
      </c>
      <c r="G3275">
        <v>10153</v>
      </c>
    </row>
    <row r="3276" spans="1:7" ht="15" x14ac:dyDescent="0.25">
      <c r="A3276" t="s">
        <v>27123</v>
      </c>
      <c r="B3276">
        <v>1</v>
      </c>
      <c r="C3276">
        <v>517</v>
      </c>
      <c r="D3276">
        <v>517</v>
      </c>
      <c r="E3276">
        <v>48</v>
      </c>
      <c r="F3276">
        <v>48</v>
      </c>
      <c r="G3276">
        <v>517</v>
      </c>
    </row>
    <row r="3277" spans="1:7" ht="15" x14ac:dyDescent="0.25">
      <c r="A3277" t="s">
        <v>27129</v>
      </c>
      <c r="B3277">
        <v>1</v>
      </c>
      <c r="D3277">
        <v>0</v>
      </c>
      <c r="E3277">
        <v>11</v>
      </c>
      <c r="F3277">
        <v>11</v>
      </c>
    </row>
    <row r="3278" spans="1:7" ht="15" x14ac:dyDescent="0.25">
      <c r="A3278" t="s">
        <v>27135</v>
      </c>
      <c r="B3278">
        <v>1</v>
      </c>
      <c r="C3278">
        <v>1024</v>
      </c>
      <c r="D3278">
        <v>1024</v>
      </c>
      <c r="E3278">
        <v>151</v>
      </c>
      <c r="F3278">
        <v>151</v>
      </c>
      <c r="G3278">
        <v>1024</v>
      </c>
    </row>
    <row r="3279" spans="1:7" ht="15" x14ac:dyDescent="0.25">
      <c r="A3279" t="s">
        <v>27140</v>
      </c>
      <c r="B3279">
        <v>1</v>
      </c>
      <c r="C3279">
        <v>775</v>
      </c>
      <c r="D3279">
        <v>775</v>
      </c>
      <c r="E3279">
        <v>25</v>
      </c>
      <c r="F3279">
        <v>25</v>
      </c>
      <c r="G3279">
        <v>775</v>
      </c>
    </row>
    <row r="3280" spans="1:7" ht="15" x14ac:dyDescent="0.25">
      <c r="A3280" t="s">
        <v>27145</v>
      </c>
      <c r="B3280">
        <v>1</v>
      </c>
      <c r="C3280">
        <v>1741</v>
      </c>
      <c r="D3280">
        <v>1741</v>
      </c>
      <c r="E3280">
        <v>107</v>
      </c>
      <c r="F3280">
        <v>107</v>
      </c>
      <c r="G3280">
        <v>1741</v>
      </c>
    </row>
    <row r="3281" spans="1:7" ht="15" x14ac:dyDescent="0.25">
      <c r="A3281" t="s">
        <v>27154</v>
      </c>
      <c r="B3281">
        <v>1</v>
      </c>
      <c r="C3281">
        <v>360</v>
      </c>
      <c r="D3281">
        <v>360</v>
      </c>
      <c r="E3281">
        <v>116</v>
      </c>
      <c r="F3281">
        <v>116</v>
      </c>
      <c r="G3281">
        <v>360</v>
      </c>
    </row>
    <row r="3282" spans="1:7" ht="15" x14ac:dyDescent="0.25">
      <c r="A3282" t="s">
        <v>27160</v>
      </c>
      <c r="B3282">
        <v>1</v>
      </c>
      <c r="C3282">
        <v>634</v>
      </c>
      <c r="D3282">
        <v>634</v>
      </c>
      <c r="E3282">
        <v>124</v>
      </c>
      <c r="F3282">
        <v>124</v>
      </c>
      <c r="G3282">
        <v>634</v>
      </c>
    </row>
    <row r="3283" spans="1:7" ht="15" x14ac:dyDescent="0.25">
      <c r="A3283" t="s">
        <v>27165</v>
      </c>
      <c r="B3283">
        <v>1</v>
      </c>
      <c r="C3283">
        <v>14</v>
      </c>
      <c r="D3283">
        <v>14</v>
      </c>
      <c r="E3283">
        <v>20</v>
      </c>
      <c r="F3283">
        <v>20</v>
      </c>
      <c r="G3283">
        <v>14</v>
      </c>
    </row>
    <row r="3284" spans="1:7" ht="15" x14ac:dyDescent="0.25">
      <c r="A3284" t="s">
        <v>27173</v>
      </c>
      <c r="B3284">
        <v>1</v>
      </c>
      <c r="C3284">
        <v>574</v>
      </c>
      <c r="D3284">
        <v>574</v>
      </c>
      <c r="E3284">
        <v>112</v>
      </c>
      <c r="F3284">
        <v>112</v>
      </c>
      <c r="G3284">
        <v>574</v>
      </c>
    </row>
    <row r="3285" spans="1:7" ht="15" x14ac:dyDescent="0.25">
      <c r="A3285" t="s">
        <v>27181</v>
      </c>
      <c r="B3285">
        <v>1</v>
      </c>
      <c r="C3285">
        <v>416</v>
      </c>
      <c r="D3285">
        <v>416</v>
      </c>
      <c r="E3285">
        <v>26</v>
      </c>
      <c r="F3285">
        <v>26</v>
      </c>
      <c r="G3285">
        <v>416</v>
      </c>
    </row>
    <row r="3286" spans="1:7" ht="15" x14ac:dyDescent="0.25">
      <c r="A3286" t="s">
        <v>27188</v>
      </c>
      <c r="B3286">
        <v>1</v>
      </c>
      <c r="C3286">
        <v>724</v>
      </c>
      <c r="D3286">
        <v>724</v>
      </c>
      <c r="E3286">
        <v>19</v>
      </c>
      <c r="F3286">
        <v>19</v>
      </c>
      <c r="G3286">
        <v>724</v>
      </c>
    </row>
    <row r="3287" spans="1:7" ht="15" x14ac:dyDescent="0.25">
      <c r="A3287" t="s">
        <v>27195</v>
      </c>
      <c r="B3287">
        <v>1</v>
      </c>
      <c r="C3287">
        <v>73</v>
      </c>
      <c r="D3287">
        <v>73</v>
      </c>
      <c r="E3287">
        <v>9</v>
      </c>
      <c r="F3287">
        <v>9</v>
      </c>
      <c r="G3287">
        <v>73</v>
      </c>
    </row>
    <row r="3288" spans="1:7" ht="15" x14ac:dyDescent="0.25">
      <c r="A3288" t="s">
        <v>27198</v>
      </c>
      <c r="B3288">
        <v>1</v>
      </c>
      <c r="C3288">
        <v>158</v>
      </c>
      <c r="D3288">
        <v>158</v>
      </c>
      <c r="E3288">
        <v>16</v>
      </c>
      <c r="F3288">
        <v>16</v>
      </c>
      <c r="G3288">
        <v>158</v>
      </c>
    </row>
    <row r="3289" spans="1:7" ht="15" x14ac:dyDescent="0.25">
      <c r="A3289" t="s">
        <v>27206</v>
      </c>
      <c r="B3289">
        <v>1</v>
      </c>
      <c r="D3289">
        <v>0</v>
      </c>
      <c r="E3289">
        <v>222</v>
      </c>
      <c r="F3289">
        <v>222</v>
      </c>
    </row>
    <row r="3290" spans="1:7" ht="15" x14ac:dyDescent="0.25">
      <c r="A3290" t="s">
        <v>27213</v>
      </c>
      <c r="B3290">
        <v>2</v>
      </c>
      <c r="C3290">
        <v>1018</v>
      </c>
      <c r="D3290">
        <v>2035</v>
      </c>
      <c r="E3290">
        <v>235</v>
      </c>
      <c r="F3290">
        <v>117.5</v>
      </c>
      <c r="G3290">
        <v>1018</v>
      </c>
    </row>
    <row r="3291" spans="1:7" ht="15" x14ac:dyDescent="0.25">
      <c r="A3291" t="s">
        <v>27222</v>
      </c>
      <c r="B3291">
        <v>1</v>
      </c>
      <c r="C3291">
        <v>1106</v>
      </c>
      <c r="D3291">
        <v>1106</v>
      </c>
      <c r="E3291">
        <v>33</v>
      </c>
      <c r="F3291">
        <v>33</v>
      </c>
      <c r="G3291">
        <v>1106</v>
      </c>
    </row>
    <row r="3292" spans="1:7" ht="15" x14ac:dyDescent="0.25">
      <c r="A3292" t="s">
        <v>27228</v>
      </c>
      <c r="B3292">
        <v>1</v>
      </c>
      <c r="C3292">
        <v>425</v>
      </c>
      <c r="D3292">
        <v>425</v>
      </c>
      <c r="E3292">
        <v>23</v>
      </c>
      <c r="F3292">
        <v>23</v>
      </c>
      <c r="G3292">
        <v>425</v>
      </c>
    </row>
    <row r="3293" spans="1:7" ht="15" x14ac:dyDescent="0.25">
      <c r="A3293" t="s">
        <v>27241</v>
      </c>
      <c r="B3293">
        <v>1</v>
      </c>
      <c r="C3293">
        <v>341</v>
      </c>
      <c r="D3293">
        <v>341</v>
      </c>
      <c r="E3293">
        <v>35</v>
      </c>
      <c r="F3293">
        <v>35</v>
      </c>
      <c r="G3293">
        <v>341</v>
      </c>
    </row>
    <row r="3294" spans="1:7" ht="15" x14ac:dyDescent="0.25">
      <c r="A3294" t="s">
        <v>27252</v>
      </c>
      <c r="B3294">
        <v>1</v>
      </c>
      <c r="C3294">
        <v>136</v>
      </c>
      <c r="D3294">
        <v>136</v>
      </c>
      <c r="E3294">
        <v>23</v>
      </c>
      <c r="F3294">
        <v>23</v>
      </c>
      <c r="G3294">
        <v>136</v>
      </c>
    </row>
    <row r="3295" spans="1:7" ht="15" x14ac:dyDescent="0.25">
      <c r="A3295" t="s">
        <v>27260</v>
      </c>
      <c r="B3295">
        <v>1</v>
      </c>
      <c r="C3295">
        <v>146</v>
      </c>
      <c r="D3295">
        <v>146</v>
      </c>
      <c r="E3295">
        <v>15</v>
      </c>
      <c r="F3295">
        <v>15</v>
      </c>
      <c r="G3295">
        <v>146</v>
      </c>
    </row>
    <row r="3296" spans="1:7" ht="15" x14ac:dyDescent="0.25">
      <c r="A3296" t="s">
        <v>27267</v>
      </c>
      <c r="B3296">
        <v>1</v>
      </c>
      <c r="C3296">
        <v>571</v>
      </c>
      <c r="D3296">
        <v>571</v>
      </c>
      <c r="E3296">
        <v>29</v>
      </c>
      <c r="F3296">
        <v>29</v>
      </c>
      <c r="G3296">
        <v>571</v>
      </c>
    </row>
    <row r="3297" spans="1:7" ht="15" x14ac:dyDescent="0.25">
      <c r="A3297" t="s">
        <v>27271</v>
      </c>
      <c r="B3297">
        <v>1</v>
      </c>
      <c r="C3297">
        <v>971</v>
      </c>
      <c r="D3297">
        <v>971</v>
      </c>
      <c r="E3297">
        <v>56</v>
      </c>
      <c r="F3297">
        <v>56</v>
      </c>
      <c r="G3297">
        <v>971</v>
      </c>
    </row>
    <row r="3298" spans="1:7" ht="15" x14ac:dyDescent="0.25">
      <c r="A3298" t="s">
        <v>27278</v>
      </c>
      <c r="B3298">
        <v>2</v>
      </c>
      <c r="C3298">
        <v>8</v>
      </c>
      <c r="D3298">
        <v>14</v>
      </c>
      <c r="E3298">
        <v>22</v>
      </c>
      <c r="F3298">
        <v>11</v>
      </c>
      <c r="G3298">
        <v>8</v>
      </c>
    </row>
    <row r="3299" spans="1:7" ht="15" x14ac:dyDescent="0.25">
      <c r="A3299" t="s">
        <v>27282</v>
      </c>
      <c r="B3299">
        <v>1</v>
      </c>
      <c r="C3299">
        <v>246</v>
      </c>
      <c r="D3299">
        <v>246</v>
      </c>
      <c r="E3299">
        <v>31</v>
      </c>
      <c r="F3299">
        <v>31</v>
      </c>
      <c r="G3299">
        <v>246</v>
      </c>
    </row>
    <row r="3300" spans="1:7" ht="15" x14ac:dyDescent="0.25">
      <c r="A3300" t="s">
        <v>27290</v>
      </c>
      <c r="B3300">
        <v>1</v>
      </c>
      <c r="C3300">
        <v>197</v>
      </c>
      <c r="D3300">
        <v>197</v>
      </c>
      <c r="E3300">
        <v>25</v>
      </c>
      <c r="F3300">
        <v>25</v>
      </c>
      <c r="G3300">
        <v>197</v>
      </c>
    </row>
    <row r="3301" spans="1:7" ht="15" x14ac:dyDescent="0.25">
      <c r="A3301" t="s">
        <v>27297</v>
      </c>
      <c r="B3301">
        <v>1</v>
      </c>
      <c r="C3301">
        <v>388</v>
      </c>
      <c r="D3301">
        <v>388</v>
      </c>
      <c r="E3301">
        <v>7</v>
      </c>
      <c r="F3301">
        <v>7</v>
      </c>
      <c r="G3301">
        <v>388</v>
      </c>
    </row>
    <row r="3302" spans="1:7" ht="15" x14ac:dyDescent="0.25">
      <c r="A3302" t="s">
        <v>27305</v>
      </c>
      <c r="B3302">
        <v>1</v>
      </c>
      <c r="C3302">
        <v>135</v>
      </c>
      <c r="D3302">
        <v>135</v>
      </c>
      <c r="E3302">
        <v>41</v>
      </c>
      <c r="F3302">
        <v>41</v>
      </c>
      <c r="G3302">
        <v>135</v>
      </c>
    </row>
    <row r="3303" spans="1:7" ht="15" x14ac:dyDescent="0.25">
      <c r="A3303" t="s">
        <v>27310</v>
      </c>
      <c r="B3303">
        <v>1</v>
      </c>
      <c r="C3303">
        <v>309</v>
      </c>
      <c r="D3303">
        <v>309</v>
      </c>
      <c r="E3303">
        <v>39</v>
      </c>
      <c r="F3303">
        <v>39</v>
      </c>
      <c r="G3303">
        <v>309</v>
      </c>
    </row>
    <row r="3304" spans="1:7" ht="15" x14ac:dyDescent="0.25">
      <c r="A3304" t="s">
        <v>27317</v>
      </c>
      <c r="B3304">
        <v>1</v>
      </c>
      <c r="C3304">
        <v>69</v>
      </c>
      <c r="D3304">
        <v>69</v>
      </c>
      <c r="E3304">
        <v>8</v>
      </c>
      <c r="F3304">
        <v>8</v>
      </c>
      <c r="G3304">
        <v>69</v>
      </c>
    </row>
    <row r="3305" spans="1:7" ht="15" x14ac:dyDescent="0.25">
      <c r="A3305" t="s">
        <v>27328</v>
      </c>
      <c r="B3305">
        <v>1</v>
      </c>
      <c r="C3305">
        <v>80</v>
      </c>
      <c r="D3305">
        <v>80</v>
      </c>
      <c r="E3305">
        <v>16</v>
      </c>
      <c r="F3305">
        <v>16</v>
      </c>
      <c r="G3305">
        <v>80</v>
      </c>
    </row>
    <row r="3306" spans="1:7" ht="15" x14ac:dyDescent="0.25">
      <c r="A3306" t="s">
        <v>27339</v>
      </c>
      <c r="B3306">
        <v>1</v>
      </c>
      <c r="C3306">
        <v>3266</v>
      </c>
      <c r="D3306">
        <v>3266</v>
      </c>
      <c r="E3306">
        <v>20</v>
      </c>
      <c r="F3306">
        <v>20</v>
      </c>
      <c r="G3306">
        <v>3266</v>
      </c>
    </row>
    <row r="3307" spans="1:7" ht="15" x14ac:dyDescent="0.25">
      <c r="A3307" t="s">
        <v>27343</v>
      </c>
      <c r="B3307">
        <v>1</v>
      </c>
      <c r="C3307">
        <v>249</v>
      </c>
      <c r="D3307">
        <v>249</v>
      </c>
      <c r="E3307">
        <v>17</v>
      </c>
      <c r="F3307">
        <v>17</v>
      </c>
      <c r="G3307">
        <v>249</v>
      </c>
    </row>
    <row r="3308" spans="1:7" ht="15" x14ac:dyDescent="0.25">
      <c r="A3308" t="s">
        <v>27352</v>
      </c>
      <c r="B3308">
        <v>1</v>
      </c>
      <c r="C3308">
        <v>15</v>
      </c>
      <c r="D3308">
        <v>15</v>
      </c>
      <c r="E3308">
        <v>13</v>
      </c>
      <c r="F3308">
        <v>13</v>
      </c>
      <c r="G3308">
        <v>15</v>
      </c>
    </row>
    <row r="3309" spans="1:7" ht="15" x14ac:dyDescent="0.25">
      <c r="A3309" t="s">
        <v>27357</v>
      </c>
      <c r="B3309">
        <v>1</v>
      </c>
      <c r="C3309">
        <v>6</v>
      </c>
      <c r="D3309">
        <v>6</v>
      </c>
      <c r="E3309">
        <v>27</v>
      </c>
      <c r="F3309">
        <v>27</v>
      </c>
      <c r="G3309">
        <v>6</v>
      </c>
    </row>
    <row r="3310" spans="1:7" ht="15" x14ac:dyDescent="0.25">
      <c r="A3310" t="s">
        <v>27362</v>
      </c>
      <c r="B3310">
        <v>1</v>
      </c>
      <c r="C3310">
        <v>390</v>
      </c>
      <c r="D3310">
        <v>390</v>
      </c>
      <c r="E3310">
        <v>87</v>
      </c>
      <c r="F3310">
        <v>87</v>
      </c>
      <c r="G3310">
        <v>390</v>
      </c>
    </row>
    <row r="3311" spans="1:7" ht="15" x14ac:dyDescent="0.25">
      <c r="A3311" t="s">
        <v>27373</v>
      </c>
      <c r="B3311">
        <v>1</v>
      </c>
      <c r="C3311">
        <v>212</v>
      </c>
      <c r="D3311">
        <v>212</v>
      </c>
      <c r="E3311">
        <v>39</v>
      </c>
      <c r="F3311">
        <v>39</v>
      </c>
      <c r="G3311">
        <v>212</v>
      </c>
    </row>
    <row r="3312" spans="1:7" ht="15" x14ac:dyDescent="0.25">
      <c r="A3312" t="s">
        <v>27387</v>
      </c>
      <c r="B3312">
        <v>1</v>
      </c>
      <c r="C3312">
        <v>1855</v>
      </c>
      <c r="D3312">
        <v>1855</v>
      </c>
      <c r="E3312">
        <v>179</v>
      </c>
      <c r="F3312">
        <v>179</v>
      </c>
      <c r="G3312">
        <v>1855</v>
      </c>
    </row>
    <row r="3313" spans="1:7" ht="15" x14ac:dyDescent="0.25">
      <c r="A3313" t="s">
        <v>27393</v>
      </c>
      <c r="B3313">
        <v>1</v>
      </c>
      <c r="C3313">
        <v>492</v>
      </c>
      <c r="D3313">
        <v>492</v>
      </c>
      <c r="E3313">
        <v>16</v>
      </c>
      <c r="F3313">
        <v>16</v>
      </c>
      <c r="G3313">
        <v>492</v>
      </c>
    </row>
    <row r="3314" spans="1:7" ht="15" x14ac:dyDescent="0.25">
      <c r="A3314" t="s">
        <v>27397</v>
      </c>
      <c r="B3314">
        <v>1</v>
      </c>
      <c r="C3314">
        <v>640</v>
      </c>
      <c r="D3314">
        <v>640</v>
      </c>
      <c r="E3314">
        <v>77</v>
      </c>
      <c r="F3314">
        <v>77</v>
      </c>
      <c r="G3314">
        <v>640</v>
      </c>
    </row>
    <row r="3315" spans="1:7" ht="15" x14ac:dyDescent="0.25">
      <c r="A3315" t="s">
        <v>27404</v>
      </c>
      <c r="B3315">
        <v>1</v>
      </c>
      <c r="C3315">
        <v>0</v>
      </c>
      <c r="D3315">
        <v>0</v>
      </c>
      <c r="E3315">
        <v>1</v>
      </c>
      <c r="F3315">
        <v>1</v>
      </c>
      <c r="G3315">
        <v>0</v>
      </c>
    </row>
    <row r="3316" spans="1:7" ht="15" x14ac:dyDescent="0.25">
      <c r="A3316" t="s">
        <v>27411</v>
      </c>
      <c r="B3316">
        <v>1</v>
      </c>
      <c r="C3316">
        <v>53</v>
      </c>
      <c r="D3316">
        <v>53</v>
      </c>
      <c r="E3316">
        <v>36</v>
      </c>
      <c r="F3316">
        <v>36</v>
      </c>
      <c r="G3316">
        <v>53</v>
      </c>
    </row>
    <row r="3317" spans="1:7" ht="15" x14ac:dyDescent="0.25">
      <c r="A3317" t="s">
        <v>27425</v>
      </c>
      <c r="B3317">
        <v>1</v>
      </c>
      <c r="D3317">
        <v>0</v>
      </c>
      <c r="E3317">
        <v>25</v>
      </c>
      <c r="F3317">
        <v>25</v>
      </c>
    </row>
    <row r="3318" spans="1:7" ht="15" x14ac:dyDescent="0.25">
      <c r="A3318" t="s">
        <v>27434</v>
      </c>
      <c r="B3318">
        <v>1</v>
      </c>
      <c r="C3318">
        <v>9</v>
      </c>
      <c r="D3318">
        <v>9</v>
      </c>
      <c r="E3318">
        <v>7</v>
      </c>
      <c r="F3318">
        <v>7</v>
      </c>
      <c r="G3318">
        <v>9</v>
      </c>
    </row>
    <row r="3319" spans="1:7" ht="15" x14ac:dyDescent="0.25">
      <c r="A3319" t="s">
        <v>27438</v>
      </c>
      <c r="B3319">
        <v>1</v>
      </c>
      <c r="C3319">
        <v>198</v>
      </c>
      <c r="D3319">
        <v>198</v>
      </c>
      <c r="E3319">
        <v>35</v>
      </c>
      <c r="F3319">
        <v>35</v>
      </c>
      <c r="G3319">
        <v>198</v>
      </c>
    </row>
    <row r="3320" spans="1:7" ht="15" x14ac:dyDescent="0.25">
      <c r="A3320" t="s">
        <v>27444</v>
      </c>
      <c r="B3320">
        <v>1</v>
      </c>
      <c r="D3320">
        <v>0</v>
      </c>
      <c r="E3320">
        <v>128</v>
      </c>
      <c r="F3320">
        <v>128</v>
      </c>
    </row>
    <row r="3321" spans="1:7" ht="15" x14ac:dyDescent="0.25">
      <c r="A3321" t="s">
        <v>27453</v>
      </c>
      <c r="B3321">
        <v>2</v>
      </c>
      <c r="C3321">
        <v>4115</v>
      </c>
      <c r="D3321">
        <v>8230</v>
      </c>
      <c r="E3321">
        <v>57</v>
      </c>
      <c r="F3321">
        <v>28.5</v>
      </c>
      <c r="G3321">
        <v>4115</v>
      </c>
    </row>
    <row r="3322" spans="1:7" ht="15" x14ac:dyDescent="0.25">
      <c r="A3322" t="s">
        <v>27461</v>
      </c>
      <c r="B3322">
        <v>1</v>
      </c>
      <c r="C3322">
        <v>337</v>
      </c>
      <c r="D3322">
        <v>337</v>
      </c>
      <c r="E3322">
        <v>40</v>
      </c>
      <c r="F3322">
        <v>40</v>
      </c>
      <c r="G3322">
        <v>337</v>
      </c>
    </row>
    <row r="3323" spans="1:7" ht="15" x14ac:dyDescent="0.25">
      <c r="A3323" t="s">
        <v>27469</v>
      </c>
      <c r="B3323">
        <v>1</v>
      </c>
      <c r="C3323">
        <v>21908</v>
      </c>
      <c r="D3323">
        <v>21908</v>
      </c>
      <c r="E3323">
        <v>130</v>
      </c>
      <c r="F3323">
        <v>130</v>
      </c>
      <c r="G3323">
        <v>21908</v>
      </c>
    </row>
    <row r="3324" spans="1:7" ht="15" x14ac:dyDescent="0.25">
      <c r="A3324" t="s">
        <v>27474</v>
      </c>
      <c r="B3324">
        <v>1</v>
      </c>
      <c r="C3324">
        <v>602</v>
      </c>
      <c r="D3324">
        <v>602</v>
      </c>
      <c r="E3324">
        <v>111</v>
      </c>
      <c r="F3324">
        <v>111</v>
      </c>
      <c r="G3324">
        <v>602</v>
      </c>
    </row>
    <row r="3325" spans="1:7" ht="15" x14ac:dyDescent="0.25">
      <c r="A3325" t="s">
        <v>27480</v>
      </c>
      <c r="B3325">
        <v>1</v>
      </c>
      <c r="C3325">
        <v>379</v>
      </c>
      <c r="D3325">
        <v>379</v>
      </c>
      <c r="E3325">
        <v>9</v>
      </c>
      <c r="F3325">
        <v>9</v>
      </c>
      <c r="G3325">
        <v>379</v>
      </c>
    </row>
    <row r="3326" spans="1:7" ht="15" x14ac:dyDescent="0.25">
      <c r="A3326" t="s">
        <v>27486</v>
      </c>
      <c r="B3326">
        <v>1</v>
      </c>
      <c r="C3326">
        <v>468</v>
      </c>
      <c r="D3326">
        <v>468</v>
      </c>
      <c r="E3326">
        <v>12</v>
      </c>
      <c r="F3326">
        <v>12</v>
      </c>
      <c r="G3326">
        <v>468</v>
      </c>
    </row>
    <row r="3327" spans="1:7" ht="15" x14ac:dyDescent="0.25">
      <c r="A3327" t="s">
        <v>27491</v>
      </c>
      <c r="B3327">
        <v>1</v>
      </c>
      <c r="C3327">
        <v>689</v>
      </c>
      <c r="D3327">
        <v>689</v>
      </c>
      <c r="E3327">
        <v>36</v>
      </c>
      <c r="F3327">
        <v>36</v>
      </c>
      <c r="G3327">
        <v>689</v>
      </c>
    </row>
    <row r="3328" spans="1:7" ht="15" x14ac:dyDescent="0.25">
      <c r="A3328" t="s">
        <v>27500</v>
      </c>
      <c r="B3328">
        <v>1</v>
      </c>
      <c r="C3328">
        <v>822</v>
      </c>
      <c r="D3328">
        <v>822</v>
      </c>
      <c r="E3328">
        <v>22</v>
      </c>
      <c r="F3328">
        <v>22</v>
      </c>
      <c r="G3328">
        <v>822</v>
      </c>
    </row>
    <row r="3329" spans="1:7" ht="15" x14ac:dyDescent="0.25">
      <c r="A3329" t="s">
        <v>27504</v>
      </c>
      <c r="B3329">
        <v>1</v>
      </c>
      <c r="C3329">
        <v>515</v>
      </c>
      <c r="D3329">
        <v>515</v>
      </c>
      <c r="E3329">
        <v>61</v>
      </c>
      <c r="F3329">
        <v>61</v>
      </c>
      <c r="G3329">
        <v>515</v>
      </c>
    </row>
    <row r="3330" spans="1:7" ht="15" x14ac:dyDescent="0.25">
      <c r="A3330" t="s">
        <v>27508</v>
      </c>
      <c r="B3330">
        <v>1</v>
      </c>
      <c r="C3330">
        <v>163</v>
      </c>
      <c r="D3330">
        <v>163</v>
      </c>
      <c r="E3330">
        <v>21</v>
      </c>
      <c r="F3330">
        <v>21</v>
      </c>
      <c r="G3330">
        <v>163</v>
      </c>
    </row>
    <row r="3331" spans="1:7" ht="15" x14ac:dyDescent="0.25">
      <c r="A3331" t="s">
        <v>27520</v>
      </c>
      <c r="B3331">
        <v>1</v>
      </c>
      <c r="C3331">
        <v>567</v>
      </c>
      <c r="D3331">
        <v>567</v>
      </c>
      <c r="E3331">
        <v>31</v>
      </c>
      <c r="F3331">
        <v>31</v>
      </c>
      <c r="G3331">
        <v>567</v>
      </c>
    </row>
    <row r="3332" spans="1:7" ht="15" x14ac:dyDescent="0.25">
      <c r="A3332" t="s">
        <v>27528</v>
      </c>
      <c r="B3332">
        <v>1</v>
      </c>
      <c r="C3332">
        <v>900</v>
      </c>
      <c r="D3332">
        <v>900</v>
      </c>
      <c r="E3332">
        <v>49</v>
      </c>
      <c r="F3332">
        <v>49</v>
      </c>
      <c r="G3332">
        <v>900</v>
      </c>
    </row>
    <row r="3333" spans="1:7" ht="15" x14ac:dyDescent="0.25">
      <c r="A3333" t="s">
        <v>27537</v>
      </c>
      <c r="B3333">
        <v>1</v>
      </c>
      <c r="C3333">
        <v>727</v>
      </c>
      <c r="D3333">
        <v>727</v>
      </c>
      <c r="E3333">
        <v>47</v>
      </c>
      <c r="F3333">
        <v>47</v>
      </c>
      <c r="G3333">
        <v>727</v>
      </c>
    </row>
    <row r="3334" spans="1:7" ht="15" x14ac:dyDescent="0.25">
      <c r="A3334" t="s">
        <v>27561</v>
      </c>
      <c r="B3334">
        <v>1</v>
      </c>
      <c r="C3334">
        <v>1134</v>
      </c>
      <c r="D3334">
        <v>1134</v>
      </c>
      <c r="E3334">
        <v>23</v>
      </c>
      <c r="F3334">
        <v>23</v>
      </c>
      <c r="G3334">
        <v>1134</v>
      </c>
    </row>
    <row r="3335" spans="1:7" ht="15" x14ac:dyDescent="0.25">
      <c r="A3335" t="s">
        <v>27566</v>
      </c>
      <c r="B3335">
        <v>1</v>
      </c>
      <c r="C3335">
        <v>223</v>
      </c>
      <c r="D3335">
        <v>223</v>
      </c>
      <c r="E3335">
        <v>17</v>
      </c>
      <c r="F3335">
        <v>17</v>
      </c>
      <c r="G3335">
        <v>223</v>
      </c>
    </row>
    <row r="3336" spans="1:7" ht="15" x14ac:dyDescent="0.25">
      <c r="A3336" t="s">
        <v>27569</v>
      </c>
      <c r="B3336">
        <v>3</v>
      </c>
      <c r="C3336">
        <v>15</v>
      </c>
      <c r="D3336">
        <v>31</v>
      </c>
      <c r="E3336">
        <v>21</v>
      </c>
      <c r="F3336">
        <v>7</v>
      </c>
      <c r="G3336">
        <v>15</v>
      </c>
    </row>
    <row r="3337" spans="1:7" ht="15" x14ac:dyDescent="0.25">
      <c r="A3337" t="s">
        <v>27575</v>
      </c>
      <c r="B3337">
        <v>2</v>
      </c>
      <c r="C3337">
        <v>6</v>
      </c>
      <c r="D3337">
        <v>10</v>
      </c>
      <c r="E3337">
        <v>12</v>
      </c>
      <c r="F3337">
        <v>6</v>
      </c>
      <c r="G3337">
        <v>6</v>
      </c>
    </row>
    <row r="3338" spans="1:7" ht="15" x14ac:dyDescent="0.25">
      <c r="A3338" t="s">
        <v>27579</v>
      </c>
      <c r="B3338">
        <v>1</v>
      </c>
      <c r="C3338">
        <v>6</v>
      </c>
      <c r="D3338">
        <v>6</v>
      </c>
      <c r="E3338">
        <v>5</v>
      </c>
      <c r="F3338">
        <v>5</v>
      </c>
      <c r="G3338">
        <v>6</v>
      </c>
    </row>
    <row r="3339" spans="1:7" ht="15" x14ac:dyDescent="0.25">
      <c r="A3339" t="s">
        <v>27583</v>
      </c>
      <c r="B3339">
        <v>1</v>
      </c>
      <c r="C3339">
        <v>61</v>
      </c>
      <c r="D3339">
        <v>61</v>
      </c>
      <c r="E3339">
        <v>8</v>
      </c>
      <c r="F3339">
        <v>8</v>
      </c>
      <c r="G3339">
        <v>61</v>
      </c>
    </row>
    <row r="3340" spans="1:7" ht="15" x14ac:dyDescent="0.25">
      <c r="A3340" t="s">
        <v>27588</v>
      </c>
      <c r="B3340">
        <v>1</v>
      </c>
      <c r="C3340">
        <v>4852</v>
      </c>
      <c r="D3340">
        <v>4852</v>
      </c>
      <c r="E3340">
        <v>69</v>
      </c>
      <c r="F3340">
        <v>69</v>
      </c>
      <c r="G3340">
        <v>4852</v>
      </c>
    </row>
    <row r="3341" spans="1:7" ht="15" x14ac:dyDescent="0.25">
      <c r="A3341" t="s">
        <v>27606</v>
      </c>
      <c r="B3341">
        <v>11</v>
      </c>
      <c r="C3341">
        <v>403</v>
      </c>
      <c r="D3341">
        <v>4408</v>
      </c>
      <c r="E3341">
        <v>512</v>
      </c>
      <c r="F3341">
        <v>46.545454545454547</v>
      </c>
      <c r="G3341">
        <v>403</v>
      </c>
    </row>
    <row r="3342" spans="1:7" ht="15" x14ac:dyDescent="0.25">
      <c r="A3342" t="s">
        <v>27616</v>
      </c>
      <c r="B3342">
        <v>1</v>
      </c>
      <c r="C3342">
        <v>906</v>
      </c>
      <c r="D3342">
        <v>906</v>
      </c>
      <c r="E3342">
        <v>25</v>
      </c>
      <c r="F3342">
        <v>25</v>
      </c>
      <c r="G3342">
        <v>906</v>
      </c>
    </row>
    <row r="3343" spans="1:7" ht="15" x14ac:dyDescent="0.25">
      <c r="A3343" t="s">
        <v>27623</v>
      </c>
      <c r="B3343">
        <v>1</v>
      </c>
      <c r="C3343">
        <v>328</v>
      </c>
      <c r="D3343">
        <v>328</v>
      </c>
      <c r="E3343">
        <v>8</v>
      </c>
      <c r="F3343">
        <v>8</v>
      </c>
      <c r="G3343">
        <v>328</v>
      </c>
    </row>
    <row r="3344" spans="1:7" ht="15" x14ac:dyDescent="0.25">
      <c r="A3344" t="s">
        <v>27627</v>
      </c>
      <c r="B3344">
        <v>1</v>
      </c>
      <c r="C3344">
        <v>309</v>
      </c>
      <c r="D3344">
        <v>309</v>
      </c>
      <c r="E3344">
        <v>103</v>
      </c>
      <c r="F3344">
        <v>103</v>
      </c>
      <c r="G3344">
        <v>309</v>
      </c>
    </row>
    <row r="3345" spans="1:7" ht="15" x14ac:dyDescent="0.25">
      <c r="A3345" t="s">
        <v>27630</v>
      </c>
      <c r="B3345">
        <v>1</v>
      </c>
      <c r="C3345">
        <v>3861</v>
      </c>
      <c r="D3345">
        <v>3861</v>
      </c>
      <c r="E3345">
        <v>79</v>
      </c>
      <c r="F3345">
        <v>79</v>
      </c>
      <c r="G3345">
        <v>3861</v>
      </c>
    </row>
    <row r="3346" spans="1:7" ht="15" x14ac:dyDescent="0.25">
      <c r="A3346" t="s">
        <v>27636</v>
      </c>
      <c r="B3346">
        <v>1</v>
      </c>
      <c r="C3346">
        <v>17</v>
      </c>
      <c r="D3346">
        <v>17</v>
      </c>
      <c r="E3346">
        <v>13</v>
      </c>
      <c r="F3346">
        <v>13</v>
      </c>
      <c r="G3346">
        <v>17</v>
      </c>
    </row>
    <row r="3347" spans="1:7" ht="15" x14ac:dyDescent="0.25">
      <c r="A3347" t="s">
        <v>27648</v>
      </c>
      <c r="B3347">
        <v>1</v>
      </c>
      <c r="C3347">
        <v>198</v>
      </c>
      <c r="D3347">
        <v>198</v>
      </c>
      <c r="E3347">
        <v>18</v>
      </c>
      <c r="F3347">
        <v>18</v>
      </c>
      <c r="G3347">
        <v>198</v>
      </c>
    </row>
    <row r="3348" spans="1:7" ht="15" x14ac:dyDescent="0.25">
      <c r="A3348" t="s">
        <v>27655</v>
      </c>
      <c r="B3348">
        <v>1</v>
      </c>
      <c r="C3348">
        <v>973</v>
      </c>
      <c r="D3348">
        <v>973</v>
      </c>
      <c r="E3348">
        <v>50</v>
      </c>
      <c r="F3348">
        <v>50</v>
      </c>
      <c r="G3348">
        <v>973</v>
      </c>
    </row>
    <row r="3349" spans="1:7" ht="15" x14ac:dyDescent="0.25">
      <c r="A3349" t="s">
        <v>27663</v>
      </c>
      <c r="B3349">
        <v>1</v>
      </c>
      <c r="C3349">
        <v>546</v>
      </c>
      <c r="D3349">
        <v>546</v>
      </c>
      <c r="E3349">
        <v>39</v>
      </c>
      <c r="F3349">
        <v>39</v>
      </c>
      <c r="G3349">
        <v>546</v>
      </c>
    </row>
    <row r="3350" spans="1:7" ht="15" x14ac:dyDescent="0.25">
      <c r="A3350" t="s">
        <v>27671</v>
      </c>
      <c r="B3350">
        <v>1</v>
      </c>
      <c r="D3350">
        <v>0</v>
      </c>
      <c r="E3350">
        <v>12</v>
      </c>
      <c r="F3350">
        <v>12</v>
      </c>
    </row>
    <row r="3351" spans="1:7" ht="15" x14ac:dyDescent="0.25">
      <c r="A3351" t="s">
        <v>27682</v>
      </c>
      <c r="B3351">
        <v>1</v>
      </c>
      <c r="C3351">
        <v>263</v>
      </c>
      <c r="D3351">
        <v>263</v>
      </c>
      <c r="E3351">
        <v>40</v>
      </c>
      <c r="F3351">
        <v>40</v>
      </c>
      <c r="G3351">
        <v>263</v>
      </c>
    </row>
    <row r="3352" spans="1:7" ht="15" x14ac:dyDescent="0.25">
      <c r="A3352" t="s">
        <v>27687</v>
      </c>
      <c r="B3352">
        <v>1</v>
      </c>
      <c r="D3352">
        <v>0</v>
      </c>
      <c r="E3352">
        <v>25</v>
      </c>
      <c r="F3352">
        <v>25</v>
      </c>
    </row>
    <row r="3353" spans="1:7" ht="15" x14ac:dyDescent="0.25">
      <c r="A3353" t="s">
        <v>27701</v>
      </c>
      <c r="B3353">
        <v>1</v>
      </c>
      <c r="C3353">
        <v>134</v>
      </c>
      <c r="D3353">
        <v>134</v>
      </c>
      <c r="E3353">
        <v>10</v>
      </c>
      <c r="F3353">
        <v>10</v>
      </c>
      <c r="G3353">
        <v>134</v>
      </c>
    </row>
    <row r="3354" spans="1:7" ht="15" x14ac:dyDescent="0.25">
      <c r="A3354" t="s">
        <v>27705</v>
      </c>
      <c r="B3354">
        <v>1</v>
      </c>
      <c r="C3354">
        <v>96</v>
      </c>
      <c r="D3354">
        <v>96</v>
      </c>
      <c r="E3354">
        <v>15</v>
      </c>
      <c r="F3354">
        <v>15</v>
      </c>
      <c r="G3354">
        <v>96</v>
      </c>
    </row>
    <row r="3355" spans="1:7" ht="15" x14ac:dyDescent="0.25">
      <c r="A3355" t="s">
        <v>27708</v>
      </c>
      <c r="B3355">
        <v>1</v>
      </c>
      <c r="C3355">
        <v>1482</v>
      </c>
      <c r="D3355">
        <v>1482</v>
      </c>
      <c r="E3355">
        <v>109</v>
      </c>
      <c r="F3355">
        <v>109</v>
      </c>
      <c r="G3355">
        <v>1482</v>
      </c>
    </row>
    <row r="3356" spans="1:7" ht="15" x14ac:dyDescent="0.25">
      <c r="A3356" t="s">
        <v>27713</v>
      </c>
      <c r="B3356">
        <v>1</v>
      </c>
      <c r="C3356">
        <v>131</v>
      </c>
      <c r="D3356">
        <v>131</v>
      </c>
      <c r="E3356">
        <v>12</v>
      </c>
      <c r="F3356">
        <v>12</v>
      </c>
      <c r="G3356">
        <v>131</v>
      </c>
    </row>
    <row r="3357" spans="1:7" ht="15" x14ac:dyDescent="0.25">
      <c r="A3357" t="s">
        <v>27722</v>
      </c>
      <c r="B3357">
        <v>1</v>
      </c>
      <c r="C3357">
        <v>739</v>
      </c>
      <c r="D3357">
        <v>739</v>
      </c>
      <c r="E3357">
        <v>180</v>
      </c>
      <c r="F3357">
        <v>180</v>
      </c>
      <c r="G3357">
        <v>739</v>
      </c>
    </row>
    <row r="3358" spans="1:7" ht="15" x14ac:dyDescent="0.25">
      <c r="A3358" t="s">
        <v>27727</v>
      </c>
      <c r="B3358">
        <v>1</v>
      </c>
      <c r="C3358">
        <v>183</v>
      </c>
      <c r="D3358">
        <v>183</v>
      </c>
      <c r="E3358">
        <v>88</v>
      </c>
      <c r="F3358">
        <v>88</v>
      </c>
      <c r="G3358">
        <v>183</v>
      </c>
    </row>
    <row r="3359" spans="1:7" ht="15" x14ac:dyDescent="0.25">
      <c r="A3359" t="s">
        <v>27737</v>
      </c>
      <c r="B3359">
        <v>1</v>
      </c>
      <c r="C3359">
        <v>1310</v>
      </c>
      <c r="D3359">
        <v>1310</v>
      </c>
      <c r="E3359">
        <v>206</v>
      </c>
      <c r="F3359">
        <v>206</v>
      </c>
      <c r="G3359">
        <v>1310</v>
      </c>
    </row>
    <row r="3360" spans="1:7" ht="15" x14ac:dyDescent="0.25">
      <c r="A3360" t="s">
        <v>27746</v>
      </c>
      <c r="B3360">
        <v>1</v>
      </c>
      <c r="C3360">
        <v>3021</v>
      </c>
      <c r="D3360">
        <v>3021</v>
      </c>
      <c r="E3360">
        <v>148</v>
      </c>
      <c r="F3360">
        <v>148</v>
      </c>
      <c r="G3360">
        <v>3021</v>
      </c>
    </row>
    <row r="3361" spans="1:7" ht="15" x14ac:dyDescent="0.25">
      <c r="A3361" t="s">
        <v>27750</v>
      </c>
      <c r="B3361">
        <v>1</v>
      </c>
      <c r="C3361">
        <v>335</v>
      </c>
      <c r="D3361">
        <v>335</v>
      </c>
      <c r="E3361">
        <v>45</v>
      </c>
      <c r="F3361">
        <v>45</v>
      </c>
      <c r="G3361">
        <v>335</v>
      </c>
    </row>
    <row r="3362" spans="1:7" ht="15" x14ac:dyDescent="0.25">
      <c r="A3362" t="s">
        <v>27758</v>
      </c>
      <c r="B3362">
        <v>1</v>
      </c>
      <c r="C3362">
        <v>100</v>
      </c>
      <c r="D3362">
        <v>100</v>
      </c>
      <c r="E3362">
        <v>4</v>
      </c>
      <c r="F3362">
        <v>4</v>
      </c>
      <c r="G3362">
        <v>100</v>
      </c>
    </row>
    <row r="3363" spans="1:7" ht="15" x14ac:dyDescent="0.25">
      <c r="A3363" t="s">
        <v>27763</v>
      </c>
      <c r="B3363">
        <v>1</v>
      </c>
      <c r="C3363">
        <v>82</v>
      </c>
      <c r="D3363">
        <v>82</v>
      </c>
      <c r="E3363">
        <v>4</v>
      </c>
      <c r="F3363">
        <v>4</v>
      </c>
      <c r="G3363">
        <v>82</v>
      </c>
    </row>
    <row r="3364" spans="1:7" ht="15" x14ac:dyDescent="0.25">
      <c r="A3364" t="s">
        <v>27767</v>
      </c>
      <c r="B3364">
        <v>1</v>
      </c>
      <c r="C3364">
        <v>557</v>
      </c>
      <c r="D3364">
        <v>557</v>
      </c>
      <c r="E3364">
        <v>42</v>
      </c>
      <c r="F3364">
        <v>42</v>
      </c>
      <c r="G3364">
        <v>557</v>
      </c>
    </row>
    <row r="3365" spans="1:7" ht="15" x14ac:dyDescent="0.25">
      <c r="A3365" t="s">
        <v>27773</v>
      </c>
      <c r="B3365">
        <v>1</v>
      </c>
      <c r="C3365">
        <v>184</v>
      </c>
      <c r="D3365">
        <v>184</v>
      </c>
      <c r="E3365">
        <v>36</v>
      </c>
      <c r="F3365">
        <v>36</v>
      </c>
      <c r="G3365">
        <v>184</v>
      </c>
    </row>
    <row r="3366" spans="1:7" ht="15" x14ac:dyDescent="0.25">
      <c r="A3366" t="s">
        <v>27780</v>
      </c>
      <c r="B3366">
        <v>1</v>
      </c>
      <c r="C3366">
        <v>337</v>
      </c>
      <c r="D3366">
        <v>337</v>
      </c>
      <c r="E3366">
        <v>54</v>
      </c>
      <c r="F3366">
        <v>54</v>
      </c>
      <c r="G3366">
        <v>337</v>
      </c>
    </row>
    <row r="3367" spans="1:7" ht="15" x14ac:dyDescent="0.25">
      <c r="A3367" t="s">
        <v>27791</v>
      </c>
      <c r="B3367">
        <v>1</v>
      </c>
      <c r="C3367">
        <v>5328</v>
      </c>
      <c r="D3367">
        <v>5328</v>
      </c>
      <c r="E3367">
        <v>49</v>
      </c>
      <c r="F3367">
        <v>49</v>
      </c>
      <c r="G3367">
        <v>5328</v>
      </c>
    </row>
    <row r="3368" spans="1:7" ht="15" x14ac:dyDescent="0.25">
      <c r="A3368" t="s">
        <v>27818</v>
      </c>
      <c r="B3368">
        <v>1</v>
      </c>
      <c r="C3368">
        <v>178</v>
      </c>
      <c r="D3368">
        <v>178</v>
      </c>
      <c r="E3368">
        <v>25</v>
      </c>
      <c r="F3368">
        <v>25</v>
      </c>
      <c r="G3368">
        <v>178</v>
      </c>
    </row>
    <row r="3369" spans="1:7" ht="15" x14ac:dyDescent="0.25">
      <c r="A3369" t="s">
        <v>27823</v>
      </c>
      <c r="B3369">
        <v>1</v>
      </c>
      <c r="C3369">
        <v>80</v>
      </c>
      <c r="D3369">
        <v>80</v>
      </c>
      <c r="E3369">
        <v>9</v>
      </c>
      <c r="F3369">
        <v>9</v>
      </c>
      <c r="G3369">
        <v>80</v>
      </c>
    </row>
    <row r="3370" spans="1:7" ht="15" x14ac:dyDescent="0.25">
      <c r="A3370" t="s">
        <v>27830</v>
      </c>
      <c r="B3370">
        <v>1</v>
      </c>
      <c r="C3370">
        <v>242</v>
      </c>
      <c r="D3370">
        <v>242</v>
      </c>
      <c r="E3370">
        <v>14</v>
      </c>
      <c r="F3370">
        <v>14</v>
      </c>
      <c r="G3370">
        <v>242</v>
      </c>
    </row>
    <row r="3371" spans="1:7" ht="15" x14ac:dyDescent="0.25">
      <c r="A3371" t="s">
        <v>27838</v>
      </c>
      <c r="B3371">
        <v>1</v>
      </c>
      <c r="C3371">
        <v>16820</v>
      </c>
      <c r="D3371">
        <v>16820</v>
      </c>
      <c r="E3371">
        <v>40</v>
      </c>
      <c r="F3371">
        <v>40</v>
      </c>
      <c r="G3371">
        <v>16820</v>
      </c>
    </row>
    <row r="3372" spans="1:7" ht="15" x14ac:dyDescent="0.25">
      <c r="A3372" t="s">
        <v>27842</v>
      </c>
      <c r="B3372">
        <v>1</v>
      </c>
      <c r="C3372">
        <v>398</v>
      </c>
      <c r="D3372">
        <v>398</v>
      </c>
      <c r="E3372">
        <v>75</v>
      </c>
      <c r="F3372">
        <v>75</v>
      </c>
      <c r="G3372">
        <v>398</v>
      </c>
    </row>
    <row r="3373" spans="1:7" ht="15" x14ac:dyDescent="0.25">
      <c r="A3373" t="s">
        <v>27846</v>
      </c>
      <c r="B3373">
        <v>1</v>
      </c>
      <c r="C3373">
        <v>517</v>
      </c>
      <c r="D3373">
        <v>517</v>
      </c>
      <c r="E3373">
        <v>25</v>
      </c>
      <c r="F3373">
        <v>25</v>
      </c>
      <c r="G3373">
        <v>517</v>
      </c>
    </row>
    <row r="3374" spans="1:7" ht="15" x14ac:dyDescent="0.25">
      <c r="A3374" t="s">
        <v>27857</v>
      </c>
      <c r="B3374">
        <v>1</v>
      </c>
      <c r="C3374">
        <v>1108</v>
      </c>
      <c r="D3374">
        <v>1108</v>
      </c>
      <c r="E3374">
        <v>84</v>
      </c>
      <c r="F3374">
        <v>84</v>
      </c>
      <c r="G3374">
        <v>1108</v>
      </c>
    </row>
    <row r="3375" spans="1:7" ht="15" x14ac:dyDescent="0.25">
      <c r="A3375" t="s">
        <v>27868</v>
      </c>
      <c r="B3375">
        <v>1</v>
      </c>
      <c r="C3375">
        <v>191</v>
      </c>
      <c r="D3375">
        <v>191</v>
      </c>
      <c r="E3375">
        <v>13</v>
      </c>
      <c r="F3375">
        <v>13</v>
      </c>
      <c r="G3375">
        <v>191</v>
      </c>
    </row>
    <row r="3376" spans="1:7" ht="15" x14ac:dyDescent="0.25">
      <c r="A3376" t="s">
        <v>27878</v>
      </c>
      <c r="B3376">
        <v>1</v>
      </c>
      <c r="C3376">
        <v>25</v>
      </c>
      <c r="D3376">
        <v>25</v>
      </c>
      <c r="E3376">
        <v>5</v>
      </c>
      <c r="F3376">
        <v>5</v>
      </c>
      <c r="G3376">
        <v>25</v>
      </c>
    </row>
    <row r="3377" spans="1:7" ht="15" x14ac:dyDescent="0.25">
      <c r="A3377" t="s">
        <v>27882</v>
      </c>
      <c r="B3377">
        <v>1</v>
      </c>
      <c r="C3377">
        <v>215</v>
      </c>
      <c r="D3377">
        <v>215</v>
      </c>
      <c r="E3377">
        <v>53</v>
      </c>
      <c r="F3377">
        <v>53</v>
      </c>
      <c r="G3377">
        <v>215</v>
      </c>
    </row>
    <row r="3378" spans="1:7" ht="15" x14ac:dyDescent="0.25">
      <c r="A3378" t="s">
        <v>27886</v>
      </c>
      <c r="B3378">
        <v>1</v>
      </c>
      <c r="C3378">
        <v>1540</v>
      </c>
      <c r="D3378">
        <v>1540</v>
      </c>
      <c r="E3378">
        <v>113</v>
      </c>
      <c r="F3378">
        <v>113</v>
      </c>
      <c r="G3378">
        <v>1540</v>
      </c>
    </row>
    <row r="3379" spans="1:7" ht="15" x14ac:dyDescent="0.25">
      <c r="A3379" t="s">
        <v>27892</v>
      </c>
      <c r="B3379">
        <v>3</v>
      </c>
      <c r="C3379">
        <v>1175</v>
      </c>
      <c r="D3379">
        <v>3491</v>
      </c>
      <c r="E3379">
        <v>107</v>
      </c>
      <c r="F3379">
        <v>35.666666666666664</v>
      </c>
      <c r="G3379">
        <v>1175</v>
      </c>
    </row>
    <row r="3380" spans="1:7" ht="15" x14ac:dyDescent="0.25">
      <c r="A3380" t="s">
        <v>27897</v>
      </c>
      <c r="B3380">
        <v>1</v>
      </c>
      <c r="C3380">
        <v>232</v>
      </c>
      <c r="D3380">
        <v>232</v>
      </c>
      <c r="E3380">
        <v>25</v>
      </c>
      <c r="F3380">
        <v>25</v>
      </c>
      <c r="G3380">
        <v>232</v>
      </c>
    </row>
    <row r="3381" spans="1:7" ht="15" x14ac:dyDescent="0.25">
      <c r="A3381" t="s">
        <v>27904</v>
      </c>
      <c r="B3381">
        <v>1</v>
      </c>
      <c r="C3381">
        <v>231</v>
      </c>
      <c r="D3381">
        <v>231</v>
      </c>
      <c r="E3381">
        <v>22</v>
      </c>
      <c r="F3381">
        <v>22</v>
      </c>
      <c r="G3381">
        <v>231</v>
      </c>
    </row>
    <row r="3382" spans="1:7" ht="15" x14ac:dyDescent="0.25">
      <c r="A3382" t="s">
        <v>27908</v>
      </c>
      <c r="B3382">
        <v>1</v>
      </c>
      <c r="C3382">
        <v>388</v>
      </c>
      <c r="D3382">
        <v>388</v>
      </c>
      <c r="E3382">
        <v>21</v>
      </c>
      <c r="F3382">
        <v>21</v>
      </c>
      <c r="G3382">
        <v>388</v>
      </c>
    </row>
    <row r="3383" spans="1:7" ht="15" x14ac:dyDescent="0.25">
      <c r="A3383" t="s">
        <v>27911</v>
      </c>
      <c r="B3383">
        <v>1</v>
      </c>
      <c r="C3383">
        <v>180</v>
      </c>
      <c r="D3383">
        <v>180</v>
      </c>
      <c r="E3383">
        <v>29</v>
      </c>
      <c r="F3383">
        <v>29</v>
      </c>
      <c r="G3383">
        <v>180</v>
      </c>
    </row>
    <row r="3384" spans="1:7" ht="15" x14ac:dyDescent="0.25">
      <c r="A3384" t="s">
        <v>27918</v>
      </c>
      <c r="B3384">
        <v>1</v>
      </c>
      <c r="C3384">
        <v>83</v>
      </c>
      <c r="D3384">
        <v>83</v>
      </c>
      <c r="E3384">
        <v>62</v>
      </c>
      <c r="F3384">
        <v>62</v>
      </c>
      <c r="G3384">
        <v>83</v>
      </c>
    </row>
    <row r="3385" spans="1:7" ht="15" x14ac:dyDescent="0.25">
      <c r="A3385" t="s">
        <v>27924</v>
      </c>
      <c r="B3385">
        <v>1</v>
      </c>
      <c r="C3385">
        <v>389</v>
      </c>
      <c r="D3385">
        <v>389</v>
      </c>
      <c r="E3385">
        <v>34</v>
      </c>
      <c r="F3385">
        <v>34</v>
      </c>
      <c r="G3385">
        <v>389</v>
      </c>
    </row>
    <row r="3386" spans="1:7" ht="15" x14ac:dyDescent="0.25">
      <c r="A3386" t="s">
        <v>27930</v>
      </c>
      <c r="B3386">
        <v>1</v>
      </c>
      <c r="C3386">
        <v>1272</v>
      </c>
      <c r="D3386">
        <v>1272</v>
      </c>
      <c r="E3386">
        <v>78</v>
      </c>
      <c r="F3386">
        <v>78</v>
      </c>
      <c r="G3386">
        <v>1272</v>
      </c>
    </row>
    <row r="3387" spans="1:7" ht="15" x14ac:dyDescent="0.25">
      <c r="A3387" t="s">
        <v>27936</v>
      </c>
      <c r="B3387">
        <v>1</v>
      </c>
      <c r="C3387">
        <v>1</v>
      </c>
      <c r="D3387">
        <v>1</v>
      </c>
      <c r="E3387">
        <v>2</v>
      </c>
      <c r="F3387">
        <v>2</v>
      </c>
      <c r="G3387">
        <v>1</v>
      </c>
    </row>
    <row r="3388" spans="1:7" ht="15" x14ac:dyDescent="0.25">
      <c r="A3388" t="s">
        <v>27940</v>
      </c>
      <c r="B3388">
        <v>1</v>
      </c>
      <c r="C3388">
        <v>267</v>
      </c>
      <c r="D3388">
        <v>267</v>
      </c>
      <c r="E3388">
        <v>38</v>
      </c>
      <c r="F3388">
        <v>38</v>
      </c>
      <c r="G3388">
        <v>267</v>
      </c>
    </row>
    <row r="3389" spans="1:7" ht="15" x14ac:dyDescent="0.25">
      <c r="A3389" t="s">
        <v>27945</v>
      </c>
      <c r="B3389">
        <v>1</v>
      </c>
      <c r="C3389">
        <v>412</v>
      </c>
      <c r="D3389">
        <v>412</v>
      </c>
      <c r="E3389">
        <v>19</v>
      </c>
      <c r="F3389">
        <v>19</v>
      </c>
      <c r="G3389">
        <v>412</v>
      </c>
    </row>
    <row r="3390" spans="1:7" ht="15" x14ac:dyDescent="0.25">
      <c r="A3390" t="s">
        <v>27948</v>
      </c>
      <c r="B3390">
        <v>1</v>
      </c>
      <c r="C3390">
        <v>179</v>
      </c>
      <c r="D3390">
        <v>179</v>
      </c>
      <c r="E3390">
        <v>22</v>
      </c>
      <c r="F3390">
        <v>22</v>
      </c>
      <c r="G3390">
        <v>179</v>
      </c>
    </row>
    <row r="3391" spans="1:7" ht="15" x14ac:dyDescent="0.25">
      <c r="A3391" t="s">
        <v>27954</v>
      </c>
      <c r="B3391">
        <v>1</v>
      </c>
      <c r="C3391">
        <v>5360</v>
      </c>
      <c r="D3391">
        <v>5360</v>
      </c>
      <c r="E3391">
        <v>695</v>
      </c>
      <c r="F3391">
        <v>695</v>
      </c>
      <c r="G3391">
        <v>5360</v>
      </c>
    </row>
    <row r="3392" spans="1:7" ht="15" x14ac:dyDescent="0.25">
      <c r="A3392" t="s">
        <v>27961</v>
      </c>
      <c r="B3392">
        <v>1</v>
      </c>
      <c r="C3392">
        <v>211</v>
      </c>
      <c r="D3392">
        <v>211</v>
      </c>
      <c r="E3392">
        <v>21</v>
      </c>
      <c r="F3392">
        <v>21</v>
      </c>
      <c r="G3392">
        <v>211</v>
      </c>
    </row>
    <row r="3393" spans="1:7" ht="15" x14ac:dyDescent="0.25">
      <c r="A3393" t="s">
        <v>27972</v>
      </c>
      <c r="B3393">
        <v>1</v>
      </c>
      <c r="C3393">
        <v>3003</v>
      </c>
      <c r="D3393">
        <v>3003</v>
      </c>
      <c r="E3393">
        <v>584</v>
      </c>
      <c r="F3393">
        <v>584</v>
      </c>
      <c r="G3393">
        <v>3003</v>
      </c>
    </row>
    <row r="3394" spans="1:7" ht="15" x14ac:dyDescent="0.25">
      <c r="A3394" t="s">
        <v>27980</v>
      </c>
      <c r="B3394">
        <v>1</v>
      </c>
      <c r="C3394">
        <v>193</v>
      </c>
      <c r="D3394">
        <v>193</v>
      </c>
      <c r="E3394">
        <v>45</v>
      </c>
      <c r="F3394">
        <v>45</v>
      </c>
      <c r="G3394">
        <v>193</v>
      </c>
    </row>
    <row r="3395" spans="1:7" ht="15" x14ac:dyDescent="0.25">
      <c r="A3395" t="s">
        <v>27986</v>
      </c>
      <c r="B3395">
        <v>1</v>
      </c>
      <c r="C3395">
        <v>497</v>
      </c>
      <c r="D3395">
        <v>497</v>
      </c>
      <c r="E3395">
        <v>106</v>
      </c>
      <c r="F3395">
        <v>106</v>
      </c>
      <c r="G3395">
        <v>497</v>
      </c>
    </row>
    <row r="3396" spans="1:7" ht="15" x14ac:dyDescent="0.25">
      <c r="A3396" t="s">
        <v>27991</v>
      </c>
      <c r="B3396">
        <v>1</v>
      </c>
      <c r="C3396">
        <v>887</v>
      </c>
      <c r="D3396">
        <v>887</v>
      </c>
      <c r="E3396">
        <v>10</v>
      </c>
      <c r="F3396">
        <v>10</v>
      </c>
      <c r="G3396">
        <v>887</v>
      </c>
    </row>
    <row r="3397" spans="1:7" ht="15" x14ac:dyDescent="0.25">
      <c r="A3397" t="s">
        <v>28000</v>
      </c>
      <c r="B3397">
        <v>1</v>
      </c>
      <c r="C3397">
        <v>602</v>
      </c>
      <c r="D3397">
        <v>602</v>
      </c>
      <c r="E3397">
        <v>25</v>
      </c>
      <c r="F3397">
        <v>25</v>
      </c>
      <c r="G3397">
        <v>602</v>
      </c>
    </row>
    <row r="3398" spans="1:7" ht="15" x14ac:dyDescent="0.25">
      <c r="A3398" t="s">
        <v>28004</v>
      </c>
      <c r="B3398">
        <v>1</v>
      </c>
      <c r="C3398">
        <v>1195</v>
      </c>
      <c r="D3398">
        <v>1195</v>
      </c>
      <c r="E3398">
        <v>65</v>
      </c>
      <c r="F3398">
        <v>65</v>
      </c>
      <c r="G3398">
        <v>1195</v>
      </c>
    </row>
    <row r="3399" spans="1:7" ht="15" x14ac:dyDescent="0.25">
      <c r="A3399" t="s">
        <v>28008</v>
      </c>
      <c r="B3399">
        <v>1</v>
      </c>
      <c r="C3399">
        <v>89</v>
      </c>
      <c r="D3399">
        <v>89</v>
      </c>
      <c r="E3399">
        <v>5</v>
      </c>
      <c r="F3399">
        <v>5</v>
      </c>
      <c r="G3399">
        <v>89</v>
      </c>
    </row>
    <row r="3400" spans="1:7" ht="15" x14ac:dyDescent="0.25">
      <c r="A3400" t="s">
        <v>28020</v>
      </c>
      <c r="B3400">
        <v>1</v>
      </c>
      <c r="C3400">
        <v>832</v>
      </c>
      <c r="D3400">
        <v>832</v>
      </c>
      <c r="E3400">
        <v>29</v>
      </c>
      <c r="F3400">
        <v>29</v>
      </c>
      <c r="G3400">
        <v>832</v>
      </c>
    </row>
    <row r="3401" spans="1:7" ht="15" x14ac:dyDescent="0.25">
      <c r="A3401" t="s">
        <v>28023</v>
      </c>
      <c r="B3401">
        <v>1</v>
      </c>
      <c r="C3401">
        <v>570</v>
      </c>
      <c r="D3401">
        <v>570</v>
      </c>
      <c r="E3401">
        <v>46</v>
      </c>
      <c r="F3401">
        <v>46</v>
      </c>
      <c r="G3401">
        <v>570</v>
      </c>
    </row>
    <row r="3402" spans="1:7" ht="15" x14ac:dyDescent="0.25">
      <c r="A3402" t="s">
        <v>28032</v>
      </c>
      <c r="B3402">
        <v>1</v>
      </c>
      <c r="C3402">
        <v>31</v>
      </c>
      <c r="D3402">
        <v>31</v>
      </c>
      <c r="E3402">
        <v>8</v>
      </c>
      <c r="F3402">
        <v>8</v>
      </c>
      <c r="G3402">
        <v>31</v>
      </c>
    </row>
    <row r="3403" spans="1:7" ht="15" x14ac:dyDescent="0.25">
      <c r="A3403" t="s">
        <v>28039</v>
      </c>
      <c r="B3403">
        <v>1</v>
      </c>
      <c r="C3403">
        <v>91</v>
      </c>
      <c r="D3403">
        <v>91</v>
      </c>
      <c r="E3403">
        <v>15</v>
      </c>
      <c r="F3403">
        <v>15</v>
      </c>
      <c r="G3403">
        <v>91</v>
      </c>
    </row>
    <row r="3404" spans="1:7" ht="15" x14ac:dyDescent="0.25">
      <c r="A3404" t="s">
        <v>28042</v>
      </c>
      <c r="B3404">
        <v>1</v>
      </c>
      <c r="D3404">
        <v>0</v>
      </c>
      <c r="E3404">
        <v>57</v>
      </c>
      <c r="F3404">
        <v>57</v>
      </c>
    </row>
    <row r="3405" spans="1:7" ht="15" x14ac:dyDescent="0.25">
      <c r="A3405" t="s">
        <v>28052</v>
      </c>
      <c r="B3405">
        <v>1</v>
      </c>
      <c r="C3405">
        <v>503</v>
      </c>
      <c r="D3405">
        <v>503</v>
      </c>
      <c r="E3405">
        <v>26</v>
      </c>
      <c r="F3405">
        <v>26</v>
      </c>
      <c r="G3405">
        <v>503</v>
      </c>
    </row>
    <row r="3406" spans="1:7" ht="15" x14ac:dyDescent="0.25">
      <c r="A3406" t="s">
        <v>28055</v>
      </c>
      <c r="B3406">
        <v>1</v>
      </c>
      <c r="C3406">
        <v>2424</v>
      </c>
      <c r="D3406">
        <v>2424</v>
      </c>
      <c r="E3406">
        <v>176</v>
      </c>
      <c r="F3406">
        <v>176</v>
      </c>
      <c r="G3406">
        <v>2424</v>
      </c>
    </row>
    <row r="3407" spans="1:7" ht="15" x14ac:dyDescent="0.25">
      <c r="A3407" t="s">
        <v>28067</v>
      </c>
      <c r="B3407">
        <v>1</v>
      </c>
      <c r="C3407">
        <v>158</v>
      </c>
      <c r="D3407">
        <v>158</v>
      </c>
      <c r="E3407">
        <v>32</v>
      </c>
      <c r="F3407">
        <v>32</v>
      </c>
      <c r="G3407">
        <v>158</v>
      </c>
    </row>
    <row r="3408" spans="1:7" ht="15" x14ac:dyDescent="0.25">
      <c r="A3408" t="s">
        <v>28083</v>
      </c>
      <c r="B3408">
        <v>1</v>
      </c>
      <c r="C3408">
        <v>23</v>
      </c>
      <c r="D3408">
        <v>23</v>
      </c>
      <c r="E3408">
        <v>2</v>
      </c>
      <c r="F3408">
        <v>2</v>
      </c>
      <c r="G3408">
        <v>23</v>
      </c>
    </row>
    <row r="3409" spans="1:7" ht="15" x14ac:dyDescent="0.25">
      <c r="A3409" t="s">
        <v>28086</v>
      </c>
      <c r="B3409">
        <v>1</v>
      </c>
      <c r="C3409">
        <v>241</v>
      </c>
      <c r="D3409">
        <v>241</v>
      </c>
      <c r="E3409">
        <v>34</v>
      </c>
      <c r="F3409">
        <v>34</v>
      </c>
      <c r="G3409">
        <v>241</v>
      </c>
    </row>
    <row r="3410" spans="1:7" ht="15" x14ac:dyDescent="0.25">
      <c r="A3410" t="s">
        <v>28093</v>
      </c>
      <c r="B3410">
        <v>1</v>
      </c>
      <c r="C3410">
        <v>220</v>
      </c>
      <c r="D3410">
        <v>220</v>
      </c>
      <c r="E3410">
        <v>18</v>
      </c>
      <c r="F3410">
        <v>18</v>
      </c>
      <c r="G3410">
        <v>220</v>
      </c>
    </row>
    <row r="3411" spans="1:7" ht="15" x14ac:dyDescent="0.25">
      <c r="A3411" t="s">
        <v>28100</v>
      </c>
      <c r="B3411">
        <v>1</v>
      </c>
      <c r="C3411">
        <v>555</v>
      </c>
      <c r="D3411">
        <v>555</v>
      </c>
      <c r="E3411">
        <v>46</v>
      </c>
      <c r="F3411">
        <v>46</v>
      </c>
      <c r="G3411">
        <v>555</v>
      </c>
    </row>
    <row r="3412" spans="1:7" ht="15" x14ac:dyDescent="0.25">
      <c r="A3412" t="s">
        <v>28110</v>
      </c>
      <c r="B3412">
        <v>1</v>
      </c>
      <c r="C3412">
        <v>977</v>
      </c>
      <c r="D3412">
        <v>977</v>
      </c>
      <c r="E3412">
        <v>46</v>
      </c>
      <c r="F3412">
        <v>46</v>
      </c>
      <c r="G3412">
        <v>977</v>
      </c>
    </row>
    <row r="3413" spans="1:7" ht="15" x14ac:dyDescent="0.25">
      <c r="A3413" t="s">
        <v>28116</v>
      </c>
      <c r="B3413">
        <v>1</v>
      </c>
      <c r="C3413">
        <v>379</v>
      </c>
      <c r="D3413">
        <v>379</v>
      </c>
      <c r="E3413">
        <v>37</v>
      </c>
      <c r="F3413">
        <v>37</v>
      </c>
      <c r="G3413">
        <v>379</v>
      </c>
    </row>
    <row r="3414" spans="1:7" ht="15" x14ac:dyDescent="0.25">
      <c r="A3414" t="s">
        <v>28119</v>
      </c>
      <c r="B3414">
        <v>1</v>
      </c>
      <c r="C3414">
        <v>171</v>
      </c>
      <c r="D3414">
        <v>171</v>
      </c>
      <c r="E3414">
        <v>2</v>
      </c>
      <c r="F3414">
        <v>2</v>
      </c>
      <c r="G3414">
        <v>171</v>
      </c>
    </row>
    <row r="3415" spans="1:7" ht="15" x14ac:dyDescent="0.25">
      <c r="A3415" t="s">
        <v>28131</v>
      </c>
      <c r="B3415">
        <v>1</v>
      </c>
      <c r="C3415">
        <v>663</v>
      </c>
      <c r="D3415">
        <v>663</v>
      </c>
      <c r="E3415">
        <v>118</v>
      </c>
      <c r="F3415">
        <v>118</v>
      </c>
      <c r="G3415">
        <v>663</v>
      </c>
    </row>
    <row r="3416" spans="1:7" ht="15" x14ac:dyDescent="0.25">
      <c r="A3416" t="s">
        <v>28138</v>
      </c>
      <c r="B3416">
        <v>1</v>
      </c>
      <c r="C3416">
        <v>104</v>
      </c>
      <c r="D3416">
        <v>104</v>
      </c>
      <c r="E3416">
        <v>30</v>
      </c>
      <c r="F3416">
        <v>30</v>
      </c>
      <c r="G3416">
        <v>104</v>
      </c>
    </row>
    <row r="3417" spans="1:7" ht="15" x14ac:dyDescent="0.25">
      <c r="A3417" t="s">
        <v>28147</v>
      </c>
      <c r="B3417">
        <v>1</v>
      </c>
      <c r="C3417">
        <v>196</v>
      </c>
      <c r="D3417">
        <v>196</v>
      </c>
      <c r="E3417">
        <v>22</v>
      </c>
      <c r="F3417">
        <v>22</v>
      </c>
      <c r="G3417">
        <v>196</v>
      </c>
    </row>
    <row r="3418" spans="1:7" ht="15" x14ac:dyDescent="0.25">
      <c r="A3418" t="s">
        <v>28156</v>
      </c>
      <c r="B3418">
        <v>1</v>
      </c>
      <c r="C3418">
        <v>1061</v>
      </c>
      <c r="D3418">
        <v>1061</v>
      </c>
      <c r="E3418">
        <v>97</v>
      </c>
      <c r="F3418">
        <v>97</v>
      </c>
      <c r="G3418">
        <v>1061</v>
      </c>
    </row>
    <row r="3419" spans="1:7" ht="15" x14ac:dyDescent="0.25">
      <c r="A3419" t="s">
        <v>28167</v>
      </c>
      <c r="B3419">
        <v>1</v>
      </c>
      <c r="C3419">
        <v>92</v>
      </c>
      <c r="D3419">
        <v>92</v>
      </c>
      <c r="E3419">
        <v>27</v>
      </c>
      <c r="F3419">
        <v>27</v>
      </c>
      <c r="G3419">
        <v>92</v>
      </c>
    </row>
    <row r="3420" spans="1:7" ht="15" x14ac:dyDescent="0.25">
      <c r="A3420" t="s">
        <v>28182</v>
      </c>
      <c r="B3420">
        <v>1</v>
      </c>
      <c r="C3420">
        <v>383</v>
      </c>
      <c r="D3420">
        <v>383</v>
      </c>
      <c r="E3420">
        <v>37</v>
      </c>
      <c r="F3420">
        <v>37</v>
      </c>
      <c r="G3420">
        <v>383</v>
      </c>
    </row>
    <row r="3421" spans="1:7" ht="15" x14ac:dyDescent="0.25">
      <c r="A3421" t="s">
        <v>28195</v>
      </c>
      <c r="B3421">
        <v>1</v>
      </c>
      <c r="C3421">
        <v>185</v>
      </c>
      <c r="D3421">
        <v>185</v>
      </c>
      <c r="E3421">
        <v>11</v>
      </c>
      <c r="F3421">
        <v>11</v>
      </c>
      <c r="G3421">
        <v>185</v>
      </c>
    </row>
    <row r="3422" spans="1:7" ht="15" x14ac:dyDescent="0.25">
      <c r="A3422" t="s">
        <v>28201</v>
      </c>
      <c r="B3422">
        <v>1</v>
      </c>
      <c r="C3422">
        <v>1735</v>
      </c>
      <c r="D3422">
        <v>1735</v>
      </c>
      <c r="E3422">
        <v>61</v>
      </c>
      <c r="F3422">
        <v>61</v>
      </c>
      <c r="G3422">
        <v>1735</v>
      </c>
    </row>
    <row r="3423" spans="1:7" ht="15" x14ac:dyDescent="0.25">
      <c r="A3423" t="s">
        <v>28206</v>
      </c>
      <c r="B3423">
        <v>1</v>
      </c>
      <c r="C3423">
        <v>1006</v>
      </c>
      <c r="D3423">
        <v>1006</v>
      </c>
      <c r="E3423">
        <v>42</v>
      </c>
      <c r="F3423">
        <v>42</v>
      </c>
      <c r="G3423">
        <v>1006</v>
      </c>
    </row>
    <row r="3424" spans="1:7" ht="15" x14ac:dyDescent="0.25">
      <c r="A3424" t="s">
        <v>28217</v>
      </c>
      <c r="B3424">
        <v>1</v>
      </c>
      <c r="C3424">
        <v>674</v>
      </c>
      <c r="D3424">
        <v>674</v>
      </c>
      <c r="E3424">
        <v>32</v>
      </c>
      <c r="F3424">
        <v>32</v>
      </c>
      <c r="G3424">
        <v>674</v>
      </c>
    </row>
    <row r="3425" spans="1:7" ht="15" x14ac:dyDescent="0.25">
      <c r="A3425" t="s">
        <v>28228</v>
      </c>
      <c r="B3425">
        <v>1</v>
      </c>
      <c r="C3425">
        <v>208</v>
      </c>
      <c r="D3425">
        <v>208</v>
      </c>
      <c r="E3425">
        <v>12</v>
      </c>
      <c r="F3425">
        <v>12</v>
      </c>
      <c r="G3425">
        <v>208</v>
      </c>
    </row>
    <row r="3426" spans="1:7" ht="15" x14ac:dyDescent="0.25">
      <c r="A3426" t="s">
        <v>28235</v>
      </c>
      <c r="B3426">
        <v>1</v>
      </c>
      <c r="C3426">
        <v>69</v>
      </c>
      <c r="D3426">
        <v>69</v>
      </c>
      <c r="E3426">
        <v>10</v>
      </c>
      <c r="F3426">
        <v>10</v>
      </c>
      <c r="G3426">
        <v>69</v>
      </c>
    </row>
    <row r="3427" spans="1:7" ht="15" x14ac:dyDescent="0.25">
      <c r="A3427" t="s">
        <v>28239</v>
      </c>
      <c r="B3427">
        <v>1</v>
      </c>
      <c r="C3427">
        <v>262</v>
      </c>
      <c r="D3427">
        <v>262</v>
      </c>
      <c r="E3427">
        <v>31</v>
      </c>
      <c r="F3427">
        <v>31</v>
      </c>
      <c r="G3427">
        <v>262</v>
      </c>
    </row>
    <row r="3428" spans="1:7" ht="15" x14ac:dyDescent="0.25">
      <c r="A3428" t="s">
        <v>28255</v>
      </c>
      <c r="B3428">
        <v>1</v>
      </c>
      <c r="C3428">
        <v>235</v>
      </c>
      <c r="D3428">
        <v>235</v>
      </c>
      <c r="E3428">
        <v>17</v>
      </c>
      <c r="F3428">
        <v>17</v>
      </c>
      <c r="G3428">
        <v>235</v>
      </c>
    </row>
    <row r="3429" spans="1:7" ht="15" x14ac:dyDescent="0.25">
      <c r="A3429" t="s">
        <v>28264</v>
      </c>
      <c r="B3429">
        <v>1</v>
      </c>
      <c r="C3429">
        <v>145</v>
      </c>
      <c r="D3429">
        <v>145</v>
      </c>
      <c r="E3429">
        <v>11</v>
      </c>
      <c r="F3429">
        <v>11</v>
      </c>
      <c r="G3429">
        <v>145</v>
      </c>
    </row>
    <row r="3430" spans="1:7" ht="15" x14ac:dyDescent="0.25">
      <c r="A3430" t="s">
        <v>28275</v>
      </c>
      <c r="B3430">
        <v>1</v>
      </c>
      <c r="C3430">
        <v>61</v>
      </c>
      <c r="D3430">
        <v>61</v>
      </c>
      <c r="E3430">
        <v>16</v>
      </c>
      <c r="F3430">
        <v>16</v>
      </c>
      <c r="G3430">
        <v>61</v>
      </c>
    </row>
    <row r="3431" spans="1:7" ht="15" x14ac:dyDescent="0.25">
      <c r="A3431" t="s">
        <v>28280</v>
      </c>
      <c r="B3431">
        <v>1</v>
      </c>
      <c r="C3431">
        <v>314</v>
      </c>
      <c r="D3431">
        <v>314</v>
      </c>
      <c r="E3431">
        <v>32</v>
      </c>
      <c r="F3431">
        <v>32</v>
      </c>
      <c r="G3431">
        <v>314</v>
      </c>
    </row>
    <row r="3432" spans="1:7" ht="15" x14ac:dyDescent="0.25">
      <c r="A3432" t="s">
        <v>28290</v>
      </c>
      <c r="B3432">
        <v>1</v>
      </c>
      <c r="C3432">
        <v>244</v>
      </c>
      <c r="D3432">
        <v>244</v>
      </c>
      <c r="E3432">
        <v>27</v>
      </c>
      <c r="F3432">
        <v>27</v>
      </c>
      <c r="G3432">
        <v>244</v>
      </c>
    </row>
    <row r="3433" spans="1:7" ht="15" x14ac:dyDescent="0.25">
      <c r="A3433" t="s">
        <v>28294</v>
      </c>
      <c r="B3433">
        <v>1</v>
      </c>
      <c r="C3433">
        <v>690</v>
      </c>
      <c r="D3433">
        <v>690</v>
      </c>
      <c r="E3433">
        <v>29</v>
      </c>
      <c r="F3433">
        <v>29</v>
      </c>
      <c r="G3433">
        <v>690</v>
      </c>
    </row>
    <row r="3434" spans="1:7" ht="15" x14ac:dyDescent="0.25">
      <c r="A3434" t="s">
        <v>28299</v>
      </c>
      <c r="B3434">
        <v>1</v>
      </c>
      <c r="C3434">
        <v>299</v>
      </c>
      <c r="D3434">
        <v>299</v>
      </c>
      <c r="E3434">
        <v>55</v>
      </c>
      <c r="F3434">
        <v>55</v>
      </c>
      <c r="G3434">
        <v>299</v>
      </c>
    </row>
    <row r="3435" spans="1:7" ht="15" x14ac:dyDescent="0.25">
      <c r="A3435" t="s">
        <v>28304</v>
      </c>
      <c r="B3435">
        <v>1</v>
      </c>
      <c r="C3435">
        <v>867</v>
      </c>
      <c r="D3435">
        <v>867</v>
      </c>
      <c r="E3435">
        <v>35</v>
      </c>
      <c r="F3435">
        <v>35</v>
      </c>
      <c r="G3435">
        <v>867</v>
      </c>
    </row>
    <row r="3436" spans="1:7" ht="15" x14ac:dyDescent="0.25">
      <c r="A3436" t="s">
        <v>28310</v>
      </c>
      <c r="B3436">
        <v>1</v>
      </c>
      <c r="C3436">
        <v>177</v>
      </c>
      <c r="D3436">
        <v>177</v>
      </c>
      <c r="E3436">
        <v>50</v>
      </c>
      <c r="F3436">
        <v>50</v>
      </c>
      <c r="G3436">
        <v>177</v>
      </c>
    </row>
    <row r="3437" spans="1:7" ht="15" x14ac:dyDescent="0.25">
      <c r="A3437" t="s">
        <v>28323</v>
      </c>
      <c r="B3437">
        <v>1</v>
      </c>
      <c r="C3437">
        <v>258</v>
      </c>
      <c r="D3437">
        <v>258</v>
      </c>
      <c r="E3437">
        <v>100</v>
      </c>
      <c r="F3437">
        <v>100</v>
      </c>
      <c r="G3437">
        <v>258</v>
      </c>
    </row>
    <row r="3438" spans="1:7" ht="15" x14ac:dyDescent="0.25">
      <c r="A3438" t="s">
        <v>28331</v>
      </c>
      <c r="B3438">
        <v>1</v>
      </c>
      <c r="C3438">
        <v>3</v>
      </c>
      <c r="D3438">
        <v>3</v>
      </c>
      <c r="E3438">
        <v>0</v>
      </c>
      <c r="F3438">
        <v>0</v>
      </c>
      <c r="G3438">
        <v>3</v>
      </c>
    </row>
    <row r="3439" spans="1:7" ht="15" x14ac:dyDescent="0.25">
      <c r="A3439" t="s">
        <v>28338</v>
      </c>
      <c r="B3439">
        <v>1</v>
      </c>
      <c r="C3439">
        <v>542</v>
      </c>
      <c r="D3439">
        <v>542</v>
      </c>
      <c r="E3439">
        <v>9</v>
      </c>
      <c r="F3439">
        <v>9</v>
      </c>
      <c r="G3439">
        <v>542</v>
      </c>
    </row>
    <row r="3440" spans="1:7" ht="15" x14ac:dyDescent="0.25">
      <c r="A3440" t="s">
        <v>28346</v>
      </c>
      <c r="B3440">
        <v>1</v>
      </c>
      <c r="C3440">
        <v>569</v>
      </c>
      <c r="D3440">
        <v>569</v>
      </c>
      <c r="E3440">
        <v>47</v>
      </c>
      <c r="F3440">
        <v>47</v>
      </c>
      <c r="G3440">
        <v>569</v>
      </c>
    </row>
    <row r="3441" spans="1:7" ht="15" x14ac:dyDescent="0.25">
      <c r="A3441" t="s">
        <v>28354</v>
      </c>
      <c r="B3441">
        <v>1</v>
      </c>
      <c r="C3441">
        <v>292</v>
      </c>
      <c r="D3441">
        <v>292</v>
      </c>
      <c r="E3441">
        <v>126</v>
      </c>
      <c r="F3441">
        <v>126</v>
      </c>
      <c r="G3441">
        <v>292</v>
      </c>
    </row>
    <row r="3442" spans="1:7" ht="15" x14ac:dyDescent="0.25">
      <c r="A3442" t="s">
        <v>28362</v>
      </c>
      <c r="B3442">
        <v>1</v>
      </c>
      <c r="C3442">
        <v>172</v>
      </c>
      <c r="D3442">
        <v>172</v>
      </c>
      <c r="E3442">
        <v>27</v>
      </c>
      <c r="F3442">
        <v>27</v>
      </c>
      <c r="G3442">
        <v>172</v>
      </c>
    </row>
    <row r="3443" spans="1:7" ht="15" x14ac:dyDescent="0.25">
      <c r="A3443" t="s">
        <v>28368</v>
      </c>
      <c r="B3443">
        <v>1</v>
      </c>
      <c r="C3443">
        <v>194</v>
      </c>
      <c r="D3443">
        <v>194</v>
      </c>
      <c r="E3443">
        <v>36</v>
      </c>
      <c r="F3443">
        <v>36</v>
      </c>
      <c r="G3443">
        <v>194</v>
      </c>
    </row>
    <row r="3444" spans="1:7" ht="15" x14ac:dyDescent="0.25">
      <c r="A3444" t="s">
        <v>28372</v>
      </c>
      <c r="B3444">
        <v>1</v>
      </c>
      <c r="C3444">
        <v>179</v>
      </c>
      <c r="D3444">
        <v>179</v>
      </c>
      <c r="E3444">
        <v>21</v>
      </c>
      <c r="F3444">
        <v>21</v>
      </c>
      <c r="G3444">
        <v>179</v>
      </c>
    </row>
    <row r="3445" spans="1:7" ht="15" x14ac:dyDescent="0.25">
      <c r="A3445" t="s">
        <v>28379</v>
      </c>
      <c r="B3445">
        <v>1</v>
      </c>
      <c r="C3445">
        <v>1025</v>
      </c>
      <c r="D3445">
        <v>1025</v>
      </c>
      <c r="E3445">
        <v>38</v>
      </c>
      <c r="F3445">
        <v>38</v>
      </c>
      <c r="G3445">
        <v>1025</v>
      </c>
    </row>
    <row r="3446" spans="1:7" ht="15" x14ac:dyDescent="0.25">
      <c r="A3446" t="s">
        <v>28391</v>
      </c>
      <c r="B3446">
        <v>1</v>
      </c>
      <c r="C3446">
        <v>1940</v>
      </c>
      <c r="D3446">
        <v>1940</v>
      </c>
      <c r="E3446">
        <v>136</v>
      </c>
      <c r="F3446">
        <v>136</v>
      </c>
      <c r="G3446">
        <v>1940</v>
      </c>
    </row>
    <row r="3447" spans="1:7" ht="15" x14ac:dyDescent="0.25">
      <c r="A3447" t="s">
        <v>28395</v>
      </c>
      <c r="B3447">
        <v>1</v>
      </c>
      <c r="C3447">
        <v>1113</v>
      </c>
      <c r="D3447">
        <v>1113</v>
      </c>
      <c r="E3447">
        <v>1175</v>
      </c>
      <c r="F3447">
        <v>1175</v>
      </c>
      <c r="G3447">
        <v>1113</v>
      </c>
    </row>
    <row r="3448" spans="1:7" ht="15" x14ac:dyDescent="0.25">
      <c r="A3448" t="s">
        <v>28399</v>
      </c>
      <c r="B3448">
        <v>1</v>
      </c>
      <c r="C3448">
        <v>404</v>
      </c>
      <c r="D3448">
        <v>404</v>
      </c>
      <c r="E3448">
        <v>36</v>
      </c>
      <c r="F3448">
        <v>36</v>
      </c>
      <c r="G3448">
        <v>404</v>
      </c>
    </row>
    <row r="3449" spans="1:7" ht="15" x14ac:dyDescent="0.25">
      <c r="A3449" t="s">
        <v>28406</v>
      </c>
      <c r="B3449">
        <v>1</v>
      </c>
      <c r="C3449">
        <v>1922</v>
      </c>
      <c r="D3449">
        <v>1922</v>
      </c>
      <c r="E3449">
        <v>32</v>
      </c>
      <c r="F3449">
        <v>32</v>
      </c>
      <c r="G3449">
        <v>1922</v>
      </c>
    </row>
    <row r="3450" spans="1:7" ht="15" x14ac:dyDescent="0.25">
      <c r="A3450" t="s">
        <v>28415</v>
      </c>
      <c r="B3450">
        <v>1</v>
      </c>
      <c r="C3450">
        <v>455</v>
      </c>
      <c r="D3450">
        <v>455</v>
      </c>
      <c r="E3450">
        <v>56</v>
      </c>
      <c r="F3450">
        <v>56</v>
      </c>
      <c r="G3450">
        <v>455</v>
      </c>
    </row>
    <row r="3451" spans="1:7" ht="15" x14ac:dyDescent="0.25">
      <c r="A3451" t="s">
        <v>28426</v>
      </c>
      <c r="B3451">
        <v>1</v>
      </c>
      <c r="C3451">
        <v>91</v>
      </c>
      <c r="D3451">
        <v>91</v>
      </c>
      <c r="E3451">
        <v>32</v>
      </c>
      <c r="F3451">
        <v>32</v>
      </c>
      <c r="G3451">
        <v>91</v>
      </c>
    </row>
    <row r="3452" spans="1:7" ht="15" x14ac:dyDescent="0.25">
      <c r="A3452" t="s">
        <v>28434</v>
      </c>
      <c r="B3452">
        <v>1</v>
      </c>
      <c r="C3452">
        <v>203</v>
      </c>
      <c r="D3452">
        <v>203</v>
      </c>
      <c r="E3452">
        <v>55</v>
      </c>
      <c r="F3452">
        <v>55</v>
      </c>
      <c r="G3452">
        <v>203</v>
      </c>
    </row>
    <row r="3453" spans="1:7" ht="15" x14ac:dyDescent="0.25">
      <c r="A3453" t="s">
        <v>28442</v>
      </c>
      <c r="B3453">
        <v>1</v>
      </c>
      <c r="C3453">
        <v>188</v>
      </c>
      <c r="D3453">
        <v>188</v>
      </c>
      <c r="E3453">
        <v>8</v>
      </c>
      <c r="F3453">
        <v>8</v>
      </c>
      <c r="G3453">
        <v>188</v>
      </c>
    </row>
    <row r="3454" spans="1:7" ht="15" x14ac:dyDescent="0.25">
      <c r="A3454" t="s">
        <v>28451</v>
      </c>
      <c r="B3454">
        <v>1</v>
      </c>
      <c r="C3454">
        <v>232</v>
      </c>
      <c r="D3454">
        <v>232</v>
      </c>
      <c r="E3454">
        <v>1</v>
      </c>
      <c r="F3454">
        <v>1</v>
      </c>
      <c r="G3454">
        <v>232</v>
      </c>
    </row>
    <row r="3455" spans="1:7" ht="15" x14ac:dyDescent="0.25">
      <c r="A3455" t="s">
        <v>28457</v>
      </c>
      <c r="B3455">
        <v>1</v>
      </c>
      <c r="C3455">
        <v>178</v>
      </c>
      <c r="D3455">
        <v>178</v>
      </c>
      <c r="E3455">
        <v>31</v>
      </c>
      <c r="F3455">
        <v>31</v>
      </c>
      <c r="G3455">
        <v>178</v>
      </c>
    </row>
    <row r="3456" spans="1:7" ht="15" x14ac:dyDescent="0.25">
      <c r="A3456" t="s">
        <v>28466</v>
      </c>
      <c r="B3456">
        <v>1</v>
      </c>
      <c r="C3456">
        <v>97</v>
      </c>
      <c r="D3456">
        <v>97</v>
      </c>
      <c r="E3456">
        <v>3</v>
      </c>
      <c r="F3456">
        <v>3</v>
      </c>
      <c r="G3456">
        <v>97</v>
      </c>
    </row>
    <row r="3457" spans="1:7" ht="15" x14ac:dyDescent="0.25">
      <c r="A3457" t="s">
        <v>28470</v>
      </c>
      <c r="B3457">
        <v>1</v>
      </c>
      <c r="C3457">
        <v>111</v>
      </c>
      <c r="D3457">
        <v>111</v>
      </c>
      <c r="E3457">
        <v>11</v>
      </c>
      <c r="F3457">
        <v>11</v>
      </c>
      <c r="G3457">
        <v>111</v>
      </c>
    </row>
    <row r="3458" spans="1:7" ht="15" x14ac:dyDescent="0.25">
      <c r="A3458" t="s">
        <v>28478</v>
      </c>
      <c r="B3458">
        <v>1</v>
      </c>
      <c r="C3458">
        <v>105</v>
      </c>
      <c r="D3458">
        <v>105</v>
      </c>
      <c r="E3458">
        <v>1</v>
      </c>
      <c r="F3458">
        <v>1</v>
      </c>
      <c r="G3458">
        <v>105</v>
      </c>
    </row>
    <row r="3459" spans="1:7" ht="15" x14ac:dyDescent="0.25">
      <c r="A3459" t="s">
        <v>28484</v>
      </c>
      <c r="B3459">
        <v>1</v>
      </c>
      <c r="C3459">
        <v>81</v>
      </c>
      <c r="D3459">
        <v>81</v>
      </c>
      <c r="E3459">
        <v>12</v>
      </c>
      <c r="F3459">
        <v>12</v>
      </c>
      <c r="G3459">
        <v>81</v>
      </c>
    </row>
    <row r="3460" spans="1:7" ht="15" x14ac:dyDescent="0.25">
      <c r="A3460" t="s">
        <v>28497</v>
      </c>
      <c r="B3460">
        <v>2</v>
      </c>
      <c r="C3460">
        <v>40</v>
      </c>
      <c r="D3460">
        <v>80</v>
      </c>
      <c r="E3460">
        <v>16</v>
      </c>
      <c r="F3460">
        <v>8</v>
      </c>
      <c r="G3460">
        <v>40</v>
      </c>
    </row>
    <row r="3461" spans="1:7" ht="15" x14ac:dyDescent="0.25">
      <c r="A3461" t="s">
        <v>28508</v>
      </c>
      <c r="B3461">
        <v>1</v>
      </c>
      <c r="C3461">
        <v>27</v>
      </c>
      <c r="D3461">
        <v>27</v>
      </c>
      <c r="E3461">
        <v>0</v>
      </c>
      <c r="F3461">
        <v>0</v>
      </c>
      <c r="G3461">
        <v>27</v>
      </c>
    </row>
    <row r="3462" spans="1:7" ht="15" x14ac:dyDescent="0.25">
      <c r="A3462" t="s">
        <v>28516</v>
      </c>
      <c r="B3462">
        <v>1</v>
      </c>
      <c r="C3462">
        <v>219</v>
      </c>
      <c r="D3462">
        <v>219</v>
      </c>
      <c r="E3462">
        <v>75</v>
      </c>
      <c r="F3462">
        <v>75</v>
      </c>
      <c r="G3462">
        <v>219</v>
      </c>
    </row>
    <row r="3463" spans="1:7" ht="15" x14ac:dyDescent="0.25">
      <c r="A3463" t="s">
        <v>28520</v>
      </c>
      <c r="B3463">
        <v>1</v>
      </c>
      <c r="C3463">
        <v>760</v>
      </c>
      <c r="D3463">
        <v>760</v>
      </c>
      <c r="E3463">
        <v>80</v>
      </c>
      <c r="F3463">
        <v>80</v>
      </c>
      <c r="G3463">
        <v>760</v>
      </c>
    </row>
    <row r="3464" spans="1:7" ht="15" x14ac:dyDescent="0.25">
      <c r="A3464" t="s">
        <v>28526</v>
      </c>
      <c r="B3464">
        <v>1</v>
      </c>
      <c r="C3464">
        <v>324</v>
      </c>
      <c r="D3464">
        <v>324</v>
      </c>
      <c r="E3464">
        <v>7</v>
      </c>
      <c r="F3464">
        <v>7</v>
      </c>
      <c r="G3464">
        <v>324</v>
      </c>
    </row>
    <row r="3465" spans="1:7" ht="15" x14ac:dyDescent="0.25">
      <c r="A3465" t="s">
        <v>28533</v>
      </c>
      <c r="B3465">
        <v>1</v>
      </c>
      <c r="C3465">
        <v>139</v>
      </c>
      <c r="D3465">
        <v>139</v>
      </c>
      <c r="E3465">
        <v>8</v>
      </c>
      <c r="F3465">
        <v>8</v>
      </c>
      <c r="G3465">
        <v>139</v>
      </c>
    </row>
    <row r="3466" spans="1:7" ht="15" x14ac:dyDescent="0.25">
      <c r="A3466" t="s">
        <v>28539</v>
      </c>
      <c r="B3466">
        <v>1</v>
      </c>
      <c r="C3466">
        <v>24</v>
      </c>
      <c r="D3466">
        <v>24</v>
      </c>
      <c r="E3466">
        <v>99</v>
      </c>
      <c r="F3466">
        <v>99</v>
      </c>
      <c r="G3466">
        <v>24</v>
      </c>
    </row>
    <row r="3467" spans="1:7" ht="15" x14ac:dyDescent="0.25">
      <c r="A3467" t="s">
        <v>28543</v>
      </c>
      <c r="B3467">
        <v>1</v>
      </c>
      <c r="C3467">
        <v>185</v>
      </c>
      <c r="D3467">
        <v>185</v>
      </c>
      <c r="E3467">
        <v>21</v>
      </c>
      <c r="F3467">
        <v>21</v>
      </c>
      <c r="G3467">
        <v>185</v>
      </c>
    </row>
    <row r="3468" spans="1:7" ht="15" x14ac:dyDescent="0.25">
      <c r="A3468" t="s">
        <v>28549</v>
      </c>
      <c r="B3468">
        <v>1</v>
      </c>
      <c r="C3468">
        <v>568</v>
      </c>
      <c r="D3468">
        <v>568</v>
      </c>
      <c r="E3468">
        <v>40</v>
      </c>
      <c r="F3468">
        <v>40</v>
      </c>
      <c r="G3468">
        <v>568</v>
      </c>
    </row>
    <row r="3469" spans="1:7" ht="15" x14ac:dyDescent="0.25">
      <c r="A3469" t="s">
        <v>28561</v>
      </c>
      <c r="B3469">
        <v>1</v>
      </c>
      <c r="C3469">
        <v>419</v>
      </c>
      <c r="D3469">
        <v>419</v>
      </c>
      <c r="E3469">
        <v>11</v>
      </c>
      <c r="F3469">
        <v>11</v>
      </c>
      <c r="G3469">
        <v>419</v>
      </c>
    </row>
    <row r="3470" spans="1:7" ht="15" x14ac:dyDescent="0.25">
      <c r="A3470" t="s">
        <v>28564</v>
      </c>
      <c r="B3470">
        <v>1</v>
      </c>
      <c r="C3470">
        <v>1411</v>
      </c>
      <c r="D3470">
        <v>1411</v>
      </c>
      <c r="E3470">
        <v>57</v>
      </c>
      <c r="F3470">
        <v>57</v>
      </c>
      <c r="G3470">
        <v>1411</v>
      </c>
    </row>
    <row r="3471" spans="1:7" ht="15" x14ac:dyDescent="0.25">
      <c r="A3471" t="s">
        <v>28574</v>
      </c>
      <c r="B3471">
        <v>1</v>
      </c>
      <c r="C3471">
        <v>1128</v>
      </c>
      <c r="D3471">
        <v>1128</v>
      </c>
      <c r="E3471">
        <v>29</v>
      </c>
      <c r="F3471">
        <v>29</v>
      </c>
      <c r="G3471">
        <v>1128</v>
      </c>
    </row>
    <row r="3472" spans="1:7" ht="15" x14ac:dyDescent="0.25">
      <c r="A3472" t="s">
        <v>28582</v>
      </c>
      <c r="B3472">
        <v>1</v>
      </c>
      <c r="C3472">
        <v>744</v>
      </c>
      <c r="D3472">
        <v>744</v>
      </c>
      <c r="E3472">
        <v>25</v>
      </c>
      <c r="F3472">
        <v>25</v>
      </c>
      <c r="G3472">
        <v>744</v>
      </c>
    </row>
    <row r="3473" spans="1:7" ht="15" x14ac:dyDescent="0.25">
      <c r="A3473" t="s">
        <v>28595</v>
      </c>
      <c r="B3473">
        <v>1</v>
      </c>
      <c r="C3473">
        <v>774</v>
      </c>
      <c r="D3473">
        <v>774</v>
      </c>
      <c r="E3473">
        <v>14</v>
      </c>
      <c r="F3473">
        <v>14</v>
      </c>
      <c r="G3473">
        <v>774</v>
      </c>
    </row>
    <row r="3474" spans="1:7" ht="15" x14ac:dyDescent="0.25">
      <c r="A3474" t="s">
        <v>28600</v>
      </c>
      <c r="B3474">
        <v>1</v>
      </c>
      <c r="C3474">
        <v>45</v>
      </c>
      <c r="D3474">
        <v>45</v>
      </c>
      <c r="E3474">
        <v>9</v>
      </c>
      <c r="F3474">
        <v>9</v>
      </c>
      <c r="G3474">
        <v>45</v>
      </c>
    </row>
    <row r="3475" spans="1:7" ht="15" x14ac:dyDescent="0.25">
      <c r="A3475" t="s">
        <v>28610</v>
      </c>
      <c r="B3475">
        <v>1</v>
      </c>
      <c r="C3475">
        <v>751</v>
      </c>
      <c r="D3475">
        <v>751</v>
      </c>
      <c r="E3475">
        <v>137</v>
      </c>
      <c r="F3475">
        <v>137</v>
      </c>
      <c r="G3475">
        <v>751</v>
      </c>
    </row>
    <row r="3476" spans="1:7" ht="15" x14ac:dyDescent="0.25">
      <c r="A3476" t="s">
        <v>28620</v>
      </c>
      <c r="B3476">
        <v>1</v>
      </c>
      <c r="C3476">
        <v>616</v>
      </c>
      <c r="D3476">
        <v>616</v>
      </c>
      <c r="E3476">
        <v>116</v>
      </c>
      <c r="F3476">
        <v>116</v>
      </c>
      <c r="G3476">
        <v>616</v>
      </c>
    </row>
    <row r="3477" spans="1:7" ht="15" x14ac:dyDescent="0.25">
      <c r="A3477" t="s">
        <v>28623</v>
      </c>
      <c r="B3477">
        <v>1</v>
      </c>
      <c r="C3477">
        <v>170</v>
      </c>
      <c r="D3477">
        <v>170</v>
      </c>
      <c r="E3477">
        <v>7</v>
      </c>
      <c r="F3477">
        <v>7</v>
      </c>
      <c r="G3477">
        <v>170</v>
      </c>
    </row>
    <row r="3478" spans="1:7" ht="15" x14ac:dyDescent="0.25">
      <c r="A3478" t="s">
        <v>28629</v>
      </c>
      <c r="B3478">
        <v>1</v>
      </c>
      <c r="C3478">
        <v>324</v>
      </c>
      <c r="D3478">
        <v>324</v>
      </c>
      <c r="E3478">
        <v>17</v>
      </c>
      <c r="F3478">
        <v>17</v>
      </c>
      <c r="G3478">
        <v>324</v>
      </c>
    </row>
    <row r="3479" spans="1:7" ht="15" x14ac:dyDescent="0.25">
      <c r="A3479" t="s">
        <v>28633</v>
      </c>
      <c r="B3479">
        <v>1</v>
      </c>
      <c r="C3479">
        <v>227</v>
      </c>
      <c r="D3479">
        <v>227</v>
      </c>
      <c r="E3479">
        <v>13</v>
      </c>
      <c r="F3479">
        <v>13</v>
      </c>
      <c r="G3479">
        <v>227</v>
      </c>
    </row>
    <row r="3480" spans="1:7" ht="15" x14ac:dyDescent="0.25">
      <c r="A3480" t="s">
        <v>28642</v>
      </c>
      <c r="B3480">
        <v>1</v>
      </c>
      <c r="C3480">
        <v>271</v>
      </c>
      <c r="D3480">
        <v>271</v>
      </c>
      <c r="E3480">
        <v>62</v>
      </c>
      <c r="F3480">
        <v>62</v>
      </c>
      <c r="G3480">
        <v>271</v>
      </c>
    </row>
    <row r="3481" spans="1:7" ht="15" x14ac:dyDescent="0.25">
      <c r="A3481" t="s">
        <v>28648</v>
      </c>
      <c r="B3481">
        <v>1</v>
      </c>
      <c r="C3481">
        <v>55</v>
      </c>
      <c r="D3481">
        <v>55</v>
      </c>
      <c r="E3481">
        <v>12</v>
      </c>
      <c r="F3481">
        <v>12</v>
      </c>
      <c r="G3481">
        <v>55</v>
      </c>
    </row>
    <row r="3482" spans="1:7" ht="15" x14ac:dyDescent="0.25">
      <c r="A3482" t="s">
        <v>28655</v>
      </c>
      <c r="B3482">
        <v>1</v>
      </c>
      <c r="C3482">
        <v>604</v>
      </c>
      <c r="D3482">
        <v>604</v>
      </c>
      <c r="E3482">
        <v>20</v>
      </c>
      <c r="F3482">
        <v>20</v>
      </c>
      <c r="G3482">
        <v>604</v>
      </c>
    </row>
    <row r="3483" spans="1:7" ht="15" x14ac:dyDescent="0.25">
      <c r="A3483" t="s">
        <v>28658</v>
      </c>
      <c r="B3483">
        <v>1</v>
      </c>
      <c r="C3483">
        <v>55</v>
      </c>
      <c r="D3483">
        <v>55</v>
      </c>
      <c r="E3483">
        <v>4</v>
      </c>
      <c r="F3483">
        <v>4</v>
      </c>
      <c r="G3483">
        <v>55</v>
      </c>
    </row>
    <row r="3484" spans="1:7" ht="15" x14ac:dyDescent="0.25">
      <c r="A3484" t="s">
        <v>28662</v>
      </c>
      <c r="B3484">
        <v>1</v>
      </c>
      <c r="C3484">
        <v>83</v>
      </c>
      <c r="D3484">
        <v>83</v>
      </c>
      <c r="E3484">
        <v>12</v>
      </c>
      <c r="F3484">
        <v>12</v>
      </c>
      <c r="G3484">
        <v>83</v>
      </c>
    </row>
    <row r="3485" spans="1:7" ht="15" x14ac:dyDescent="0.25">
      <c r="A3485" t="s">
        <v>28668</v>
      </c>
      <c r="B3485">
        <v>1</v>
      </c>
      <c r="C3485">
        <v>734</v>
      </c>
      <c r="D3485">
        <v>734</v>
      </c>
      <c r="E3485">
        <v>152</v>
      </c>
      <c r="F3485">
        <v>152</v>
      </c>
      <c r="G3485">
        <v>734</v>
      </c>
    </row>
    <row r="3486" spans="1:7" ht="15" x14ac:dyDescent="0.25">
      <c r="A3486" t="s">
        <v>28676</v>
      </c>
      <c r="B3486">
        <v>1</v>
      </c>
      <c r="C3486">
        <v>30</v>
      </c>
      <c r="D3486">
        <v>30</v>
      </c>
      <c r="E3486">
        <v>12</v>
      </c>
      <c r="F3486">
        <v>12</v>
      </c>
      <c r="G3486">
        <v>30</v>
      </c>
    </row>
    <row r="3487" spans="1:7" ht="15" x14ac:dyDescent="0.25">
      <c r="A3487" t="s">
        <v>28682</v>
      </c>
      <c r="B3487">
        <v>1</v>
      </c>
      <c r="C3487">
        <v>124</v>
      </c>
      <c r="D3487">
        <v>124</v>
      </c>
      <c r="E3487">
        <v>13</v>
      </c>
      <c r="F3487">
        <v>13</v>
      </c>
      <c r="G3487">
        <v>124</v>
      </c>
    </row>
    <row r="3488" spans="1:7" ht="15" x14ac:dyDescent="0.25">
      <c r="A3488" t="s">
        <v>28690</v>
      </c>
      <c r="B3488">
        <v>1</v>
      </c>
      <c r="C3488">
        <v>304</v>
      </c>
      <c r="D3488">
        <v>304</v>
      </c>
      <c r="E3488">
        <v>25</v>
      </c>
      <c r="F3488">
        <v>25</v>
      </c>
      <c r="G3488">
        <v>304</v>
      </c>
    </row>
    <row r="3489" spans="1:7" ht="15" x14ac:dyDescent="0.25">
      <c r="A3489" t="s">
        <v>28698</v>
      </c>
      <c r="B3489">
        <v>1</v>
      </c>
      <c r="C3489">
        <v>145</v>
      </c>
      <c r="D3489">
        <v>145</v>
      </c>
      <c r="E3489">
        <v>9</v>
      </c>
      <c r="F3489">
        <v>9</v>
      </c>
      <c r="G3489">
        <v>145</v>
      </c>
    </row>
    <row r="3490" spans="1:7" ht="15" x14ac:dyDescent="0.25">
      <c r="A3490" t="s">
        <v>28704</v>
      </c>
      <c r="B3490">
        <v>1</v>
      </c>
      <c r="C3490">
        <v>398</v>
      </c>
      <c r="D3490">
        <v>398</v>
      </c>
      <c r="E3490">
        <v>5</v>
      </c>
      <c r="F3490">
        <v>5</v>
      </c>
      <c r="G3490">
        <v>398</v>
      </c>
    </row>
    <row r="3491" spans="1:7" ht="15" x14ac:dyDescent="0.25">
      <c r="A3491" t="s">
        <v>28709</v>
      </c>
      <c r="B3491">
        <v>1</v>
      </c>
      <c r="C3491">
        <v>604</v>
      </c>
      <c r="D3491">
        <v>604</v>
      </c>
      <c r="E3491">
        <v>47</v>
      </c>
      <c r="F3491">
        <v>47</v>
      </c>
      <c r="G3491">
        <v>604</v>
      </c>
    </row>
    <row r="3492" spans="1:7" ht="15" x14ac:dyDescent="0.25">
      <c r="A3492" t="s">
        <v>28716</v>
      </c>
      <c r="B3492">
        <v>1</v>
      </c>
      <c r="C3492">
        <v>135</v>
      </c>
      <c r="D3492">
        <v>135</v>
      </c>
      <c r="E3492">
        <v>53</v>
      </c>
      <c r="F3492">
        <v>53</v>
      </c>
      <c r="G3492">
        <v>135</v>
      </c>
    </row>
    <row r="3493" spans="1:7" ht="15" x14ac:dyDescent="0.25">
      <c r="A3493" t="s">
        <v>28726</v>
      </c>
      <c r="B3493">
        <v>1</v>
      </c>
      <c r="C3493">
        <v>422</v>
      </c>
      <c r="D3493">
        <v>422</v>
      </c>
      <c r="E3493">
        <v>86</v>
      </c>
      <c r="F3493">
        <v>86</v>
      </c>
      <c r="G3493">
        <v>422</v>
      </c>
    </row>
    <row r="3494" spans="1:7" ht="15" x14ac:dyDescent="0.25">
      <c r="A3494" t="s">
        <v>28731</v>
      </c>
      <c r="B3494">
        <v>1</v>
      </c>
      <c r="C3494">
        <v>131</v>
      </c>
      <c r="D3494">
        <v>131</v>
      </c>
      <c r="E3494">
        <v>9</v>
      </c>
      <c r="F3494">
        <v>9</v>
      </c>
      <c r="G3494">
        <v>131</v>
      </c>
    </row>
    <row r="3495" spans="1:7" ht="15" x14ac:dyDescent="0.25">
      <c r="A3495" t="s">
        <v>28738</v>
      </c>
      <c r="B3495">
        <v>1</v>
      </c>
      <c r="C3495">
        <v>68</v>
      </c>
      <c r="D3495">
        <v>68</v>
      </c>
      <c r="E3495">
        <v>21</v>
      </c>
      <c r="F3495">
        <v>21</v>
      </c>
      <c r="G3495">
        <v>68</v>
      </c>
    </row>
    <row r="3496" spans="1:7" ht="15" x14ac:dyDescent="0.25">
      <c r="A3496" t="s">
        <v>28745</v>
      </c>
      <c r="B3496">
        <v>1</v>
      </c>
      <c r="C3496">
        <v>238</v>
      </c>
      <c r="D3496">
        <v>238</v>
      </c>
      <c r="E3496">
        <v>15</v>
      </c>
      <c r="F3496">
        <v>15</v>
      </c>
      <c r="G3496">
        <v>238</v>
      </c>
    </row>
    <row r="3497" spans="1:7" ht="15" x14ac:dyDescent="0.25">
      <c r="A3497" t="s">
        <v>28753</v>
      </c>
      <c r="B3497">
        <v>1</v>
      </c>
      <c r="C3497">
        <v>96</v>
      </c>
      <c r="D3497">
        <v>96</v>
      </c>
      <c r="E3497">
        <v>18</v>
      </c>
      <c r="F3497">
        <v>18</v>
      </c>
      <c r="G3497">
        <v>96</v>
      </c>
    </row>
    <row r="3498" spans="1:7" ht="15" x14ac:dyDescent="0.25">
      <c r="A3498" t="s">
        <v>28761</v>
      </c>
      <c r="B3498">
        <v>1</v>
      </c>
      <c r="C3498">
        <v>1000</v>
      </c>
      <c r="D3498">
        <v>1000</v>
      </c>
      <c r="E3498">
        <v>27</v>
      </c>
      <c r="F3498">
        <v>27</v>
      </c>
      <c r="G3498">
        <v>1000</v>
      </c>
    </row>
    <row r="3499" spans="1:7" ht="15" x14ac:dyDescent="0.25">
      <c r="A3499" t="s">
        <v>28768</v>
      </c>
      <c r="B3499">
        <v>1</v>
      </c>
      <c r="C3499">
        <v>1830</v>
      </c>
      <c r="D3499">
        <v>1830</v>
      </c>
      <c r="E3499">
        <v>151</v>
      </c>
      <c r="F3499">
        <v>151</v>
      </c>
      <c r="G3499">
        <v>1830</v>
      </c>
    </row>
    <row r="3500" spans="1:7" ht="15" x14ac:dyDescent="0.25">
      <c r="A3500" t="s">
        <v>28777</v>
      </c>
      <c r="B3500">
        <v>1</v>
      </c>
      <c r="C3500">
        <v>1196</v>
      </c>
      <c r="D3500">
        <v>1196</v>
      </c>
      <c r="E3500">
        <v>26</v>
      </c>
      <c r="F3500">
        <v>26</v>
      </c>
      <c r="G3500">
        <v>1196</v>
      </c>
    </row>
    <row r="3501" spans="1:7" ht="15" x14ac:dyDescent="0.25">
      <c r="A3501" t="s">
        <v>28784</v>
      </c>
      <c r="B3501">
        <v>1</v>
      </c>
      <c r="C3501">
        <v>1898</v>
      </c>
      <c r="D3501">
        <v>1898</v>
      </c>
      <c r="E3501">
        <v>88</v>
      </c>
      <c r="F3501">
        <v>88</v>
      </c>
      <c r="G3501">
        <v>1898</v>
      </c>
    </row>
    <row r="3502" spans="1:7" ht="15" x14ac:dyDescent="0.25">
      <c r="A3502" t="s">
        <v>28790</v>
      </c>
      <c r="B3502">
        <v>1</v>
      </c>
      <c r="C3502">
        <v>64</v>
      </c>
      <c r="D3502">
        <v>64</v>
      </c>
      <c r="E3502">
        <v>10</v>
      </c>
      <c r="F3502">
        <v>10</v>
      </c>
      <c r="G3502">
        <v>64</v>
      </c>
    </row>
    <row r="3503" spans="1:7" ht="15" x14ac:dyDescent="0.25">
      <c r="A3503" t="s">
        <v>28819</v>
      </c>
      <c r="B3503">
        <v>1</v>
      </c>
      <c r="C3503">
        <v>4741</v>
      </c>
      <c r="D3503">
        <v>4741</v>
      </c>
      <c r="E3503">
        <v>1353</v>
      </c>
      <c r="F3503">
        <v>1353</v>
      </c>
      <c r="G3503">
        <v>4741</v>
      </c>
    </row>
    <row r="3504" spans="1:7" ht="15" x14ac:dyDescent="0.25">
      <c r="A3504" t="s">
        <v>28823</v>
      </c>
      <c r="B3504">
        <v>1</v>
      </c>
      <c r="C3504">
        <v>942</v>
      </c>
      <c r="D3504">
        <v>942</v>
      </c>
      <c r="E3504">
        <v>85</v>
      </c>
      <c r="F3504">
        <v>85</v>
      </c>
      <c r="G3504">
        <v>942</v>
      </c>
    </row>
    <row r="3505" spans="1:7" ht="15" x14ac:dyDescent="0.25">
      <c r="A3505" t="s">
        <v>28827</v>
      </c>
      <c r="B3505">
        <v>1</v>
      </c>
      <c r="C3505">
        <v>268</v>
      </c>
      <c r="D3505">
        <v>268</v>
      </c>
      <c r="E3505">
        <v>39</v>
      </c>
      <c r="F3505">
        <v>39</v>
      </c>
      <c r="G3505">
        <v>268</v>
      </c>
    </row>
    <row r="3506" spans="1:7" ht="15" x14ac:dyDescent="0.25">
      <c r="A3506" t="s">
        <v>28831</v>
      </c>
      <c r="B3506">
        <v>1</v>
      </c>
      <c r="C3506">
        <v>158</v>
      </c>
      <c r="D3506">
        <v>158</v>
      </c>
      <c r="E3506">
        <v>8</v>
      </c>
      <c r="F3506">
        <v>8</v>
      </c>
      <c r="G3506">
        <v>158</v>
      </c>
    </row>
    <row r="3507" spans="1:7" ht="15" x14ac:dyDescent="0.25">
      <c r="A3507" t="s">
        <v>28837</v>
      </c>
      <c r="B3507">
        <v>1</v>
      </c>
      <c r="C3507">
        <v>356</v>
      </c>
      <c r="D3507">
        <v>356</v>
      </c>
      <c r="E3507">
        <v>43</v>
      </c>
      <c r="F3507">
        <v>43</v>
      </c>
      <c r="G3507">
        <v>356</v>
      </c>
    </row>
    <row r="3508" spans="1:7" ht="15" x14ac:dyDescent="0.25">
      <c r="A3508" t="s">
        <v>28840</v>
      </c>
      <c r="B3508">
        <v>1</v>
      </c>
      <c r="C3508">
        <v>245</v>
      </c>
      <c r="D3508">
        <v>245</v>
      </c>
      <c r="E3508">
        <v>57</v>
      </c>
      <c r="F3508">
        <v>57</v>
      </c>
      <c r="G3508">
        <v>245</v>
      </c>
    </row>
    <row r="3509" spans="1:7" ht="15" x14ac:dyDescent="0.25">
      <c r="A3509" t="s">
        <v>28851</v>
      </c>
      <c r="B3509">
        <v>1</v>
      </c>
      <c r="C3509">
        <v>361</v>
      </c>
      <c r="D3509">
        <v>361</v>
      </c>
      <c r="E3509">
        <v>13</v>
      </c>
      <c r="F3509">
        <v>13</v>
      </c>
      <c r="G3509">
        <v>361</v>
      </c>
    </row>
    <row r="3510" spans="1:7" ht="15" x14ac:dyDescent="0.25">
      <c r="A3510" t="s">
        <v>28859</v>
      </c>
      <c r="B3510">
        <v>2</v>
      </c>
      <c r="C3510">
        <v>506</v>
      </c>
      <c r="D3510">
        <v>1010</v>
      </c>
      <c r="E3510">
        <v>52</v>
      </c>
      <c r="F3510">
        <v>26</v>
      </c>
      <c r="G3510">
        <v>506</v>
      </c>
    </row>
    <row r="3511" spans="1:7" ht="15" x14ac:dyDescent="0.25">
      <c r="A3511" t="s">
        <v>28864</v>
      </c>
      <c r="B3511">
        <v>1</v>
      </c>
      <c r="C3511">
        <v>64</v>
      </c>
      <c r="D3511">
        <v>64</v>
      </c>
      <c r="E3511">
        <v>0</v>
      </c>
      <c r="F3511">
        <v>0</v>
      </c>
      <c r="G3511">
        <v>64</v>
      </c>
    </row>
    <row r="3512" spans="1:7" ht="15" x14ac:dyDescent="0.25">
      <c r="A3512" t="s">
        <v>28867</v>
      </c>
      <c r="B3512">
        <v>1</v>
      </c>
      <c r="C3512">
        <v>282</v>
      </c>
      <c r="D3512">
        <v>282</v>
      </c>
      <c r="E3512">
        <v>14</v>
      </c>
      <c r="F3512">
        <v>14</v>
      </c>
      <c r="G3512">
        <v>282</v>
      </c>
    </row>
    <row r="3513" spans="1:7" ht="15" x14ac:dyDescent="0.25">
      <c r="A3513" t="s">
        <v>28873</v>
      </c>
      <c r="B3513">
        <v>1</v>
      </c>
      <c r="D3513">
        <v>0</v>
      </c>
      <c r="E3513">
        <v>14</v>
      </c>
      <c r="F3513">
        <v>14</v>
      </c>
    </row>
    <row r="3514" spans="1:7" ht="15" x14ac:dyDescent="0.25">
      <c r="A3514" t="s">
        <v>28879</v>
      </c>
      <c r="B3514">
        <v>1</v>
      </c>
      <c r="C3514">
        <v>914</v>
      </c>
      <c r="D3514">
        <v>914</v>
      </c>
      <c r="E3514">
        <v>57</v>
      </c>
      <c r="F3514">
        <v>57</v>
      </c>
      <c r="G3514">
        <v>914</v>
      </c>
    </row>
    <row r="3515" spans="1:7" ht="15" x14ac:dyDescent="0.25">
      <c r="A3515" t="s">
        <v>28886</v>
      </c>
      <c r="B3515">
        <v>1</v>
      </c>
      <c r="C3515">
        <v>128</v>
      </c>
      <c r="D3515">
        <v>128</v>
      </c>
      <c r="E3515">
        <v>22</v>
      </c>
      <c r="F3515">
        <v>22</v>
      </c>
      <c r="G3515">
        <v>128</v>
      </c>
    </row>
    <row r="3516" spans="1:7" ht="15" x14ac:dyDescent="0.25">
      <c r="A3516" t="s">
        <v>28889</v>
      </c>
      <c r="B3516">
        <v>1</v>
      </c>
      <c r="C3516">
        <v>485</v>
      </c>
      <c r="D3516">
        <v>485</v>
      </c>
      <c r="E3516">
        <v>33</v>
      </c>
      <c r="F3516">
        <v>33</v>
      </c>
      <c r="G3516">
        <v>485</v>
      </c>
    </row>
    <row r="3517" spans="1:7" ht="15" x14ac:dyDescent="0.25">
      <c r="A3517" t="s">
        <v>28898</v>
      </c>
      <c r="B3517">
        <v>3</v>
      </c>
      <c r="C3517">
        <v>1280</v>
      </c>
      <c r="D3517">
        <v>3840</v>
      </c>
      <c r="E3517">
        <v>310</v>
      </c>
      <c r="F3517">
        <v>103.33333333333333</v>
      </c>
      <c r="G3517">
        <v>1280</v>
      </c>
    </row>
    <row r="3518" spans="1:7" ht="15" x14ac:dyDescent="0.25">
      <c r="A3518" t="s">
        <v>28908</v>
      </c>
      <c r="B3518">
        <v>1</v>
      </c>
      <c r="C3518">
        <v>219</v>
      </c>
      <c r="D3518">
        <v>219</v>
      </c>
      <c r="E3518">
        <v>18</v>
      </c>
      <c r="F3518">
        <v>18</v>
      </c>
      <c r="G3518">
        <v>219</v>
      </c>
    </row>
    <row r="3519" spans="1:7" ht="15" x14ac:dyDescent="0.25">
      <c r="A3519" t="s">
        <v>28917</v>
      </c>
      <c r="B3519">
        <v>1</v>
      </c>
      <c r="D3519">
        <v>0</v>
      </c>
      <c r="E3519">
        <v>59</v>
      </c>
      <c r="F3519">
        <v>59</v>
      </c>
    </row>
    <row r="3520" spans="1:7" ht="15" x14ac:dyDescent="0.25">
      <c r="A3520" t="s">
        <v>28921</v>
      </c>
      <c r="B3520">
        <v>1</v>
      </c>
      <c r="C3520">
        <v>149</v>
      </c>
      <c r="D3520">
        <v>149</v>
      </c>
      <c r="E3520">
        <v>32</v>
      </c>
      <c r="F3520">
        <v>32</v>
      </c>
      <c r="G3520">
        <v>149</v>
      </c>
    </row>
    <row r="3521" spans="1:7" ht="15" x14ac:dyDescent="0.25">
      <c r="A3521" t="s">
        <v>28930</v>
      </c>
      <c r="B3521">
        <v>1</v>
      </c>
      <c r="C3521">
        <v>170</v>
      </c>
      <c r="D3521">
        <v>170</v>
      </c>
      <c r="E3521">
        <v>16</v>
      </c>
      <c r="F3521">
        <v>16</v>
      </c>
      <c r="G3521">
        <v>170</v>
      </c>
    </row>
    <row r="3522" spans="1:7" ht="15" x14ac:dyDescent="0.25">
      <c r="A3522" t="s">
        <v>28939</v>
      </c>
      <c r="B3522">
        <v>1</v>
      </c>
      <c r="C3522">
        <v>572</v>
      </c>
      <c r="D3522">
        <v>572</v>
      </c>
      <c r="E3522">
        <v>39</v>
      </c>
      <c r="F3522">
        <v>39</v>
      </c>
      <c r="G3522">
        <v>572</v>
      </c>
    </row>
    <row r="3523" spans="1:7" ht="15" x14ac:dyDescent="0.25">
      <c r="A3523" t="s">
        <v>28946</v>
      </c>
      <c r="B3523">
        <v>2</v>
      </c>
      <c r="C3523">
        <v>5</v>
      </c>
      <c r="D3523">
        <v>10</v>
      </c>
      <c r="E3523">
        <v>8</v>
      </c>
      <c r="F3523">
        <v>4</v>
      </c>
      <c r="G3523">
        <v>5</v>
      </c>
    </row>
    <row r="3524" spans="1:7" ht="15" x14ac:dyDescent="0.25">
      <c r="A3524" t="s">
        <v>28954</v>
      </c>
      <c r="B3524">
        <v>1</v>
      </c>
      <c r="C3524">
        <v>10813</v>
      </c>
      <c r="D3524">
        <v>10813</v>
      </c>
      <c r="E3524">
        <v>93</v>
      </c>
      <c r="F3524">
        <v>93</v>
      </c>
      <c r="G3524">
        <v>10813</v>
      </c>
    </row>
    <row r="3525" spans="1:7" ht="15" x14ac:dyDescent="0.25">
      <c r="A3525" t="s">
        <v>28966</v>
      </c>
      <c r="B3525">
        <v>1</v>
      </c>
      <c r="C3525">
        <v>289</v>
      </c>
      <c r="D3525">
        <v>289</v>
      </c>
      <c r="E3525">
        <v>15</v>
      </c>
      <c r="F3525">
        <v>15</v>
      </c>
      <c r="G3525">
        <v>289</v>
      </c>
    </row>
    <row r="3526" spans="1:7" ht="15" x14ac:dyDescent="0.25">
      <c r="A3526" t="s">
        <v>28971</v>
      </c>
      <c r="B3526">
        <v>1</v>
      </c>
      <c r="C3526">
        <v>142</v>
      </c>
      <c r="D3526">
        <v>142</v>
      </c>
      <c r="E3526">
        <v>8</v>
      </c>
      <c r="F3526">
        <v>8</v>
      </c>
      <c r="G3526">
        <v>142</v>
      </c>
    </row>
    <row r="3527" spans="1:7" ht="15" x14ac:dyDescent="0.25">
      <c r="A3527" t="s">
        <v>28975</v>
      </c>
      <c r="B3527">
        <v>1</v>
      </c>
      <c r="C3527">
        <v>637</v>
      </c>
      <c r="D3527">
        <v>637</v>
      </c>
      <c r="E3527">
        <v>46</v>
      </c>
      <c r="F3527">
        <v>46</v>
      </c>
      <c r="G3527">
        <v>637</v>
      </c>
    </row>
    <row r="3528" spans="1:7" ht="15" x14ac:dyDescent="0.25">
      <c r="A3528" t="s">
        <v>28984</v>
      </c>
      <c r="B3528">
        <v>1</v>
      </c>
      <c r="C3528">
        <v>430</v>
      </c>
      <c r="D3528">
        <v>430</v>
      </c>
      <c r="E3528">
        <v>45</v>
      </c>
      <c r="F3528">
        <v>45</v>
      </c>
      <c r="G3528">
        <v>430</v>
      </c>
    </row>
    <row r="3529" spans="1:7" ht="15" x14ac:dyDescent="0.25">
      <c r="A3529" t="s">
        <v>28992</v>
      </c>
      <c r="B3529">
        <v>1</v>
      </c>
      <c r="C3529">
        <v>189</v>
      </c>
      <c r="D3529">
        <v>189</v>
      </c>
      <c r="E3529">
        <v>30</v>
      </c>
      <c r="F3529">
        <v>30</v>
      </c>
      <c r="G3529">
        <v>189</v>
      </c>
    </row>
    <row r="3530" spans="1:7" ht="15" x14ac:dyDescent="0.25">
      <c r="A3530" t="s">
        <v>29000</v>
      </c>
      <c r="B3530">
        <v>1</v>
      </c>
      <c r="C3530">
        <v>517</v>
      </c>
      <c r="D3530">
        <v>517</v>
      </c>
      <c r="E3530">
        <v>12</v>
      </c>
      <c r="F3530">
        <v>12</v>
      </c>
      <c r="G3530">
        <v>517</v>
      </c>
    </row>
    <row r="3531" spans="1:7" ht="15" x14ac:dyDescent="0.25">
      <c r="A3531" t="s">
        <v>29013</v>
      </c>
      <c r="B3531">
        <v>1</v>
      </c>
      <c r="C3531">
        <v>236</v>
      </c>
      <c r="D3531">
        <v>236</v>
      </c>
      <c r="E3531">
        <v>29</v>
      </c>
      <c r="F3531">
        <v>29</v>
      </c>
      <c r="G3531">
        <v>236</v>
      </c>
    </row>
    <row r="3532" spans="1:7" ht="15" x14ac:dyDescent="0.25">
      <c r="A3532" t="s">
        <v>29020</v>
      </c>
      <c r="B3532">
        <v>1</v>
      </c>
      <c r="C3532">
        <v>712</v>
      </c>
      <c r="D3532">
        <v>712</v>
      </c>
      <c r="E3532">
        <v>64</v>
      </c>
      <c r="F3532">
        <v>64</v>
      </c>
      <c r="G3532">
        <v>712</v>
      </c>
    </row>
    <row r="3533" spans="1:7" ht="15" x14ac:dyDescent="0.25">
      <c r="A3533" t="s">
        <v>29026</v>
      </c>
      <c r="B3533">
        <v>1</v>
      </c>
      <c r="D3533">
        <v>0</v>
      </c>
      <c r="E3533">
        <v>97</v>
      </c>
      <c r="F3533">
        <v>97</v>
      </c>
    </row>
    <row r="3534" spans="1:7" ht="15" x14ac:dyDescent="0.25">
      <c r="A3534" t="s">
        <v>29034</v>
      </c>
      <c r="B3534">
        <v>1</v>
      </c>
      <c r="C3534">
        <v>886</v>
      </c>
      <c r="D3534">
        <v>886</v>
      </c>
      <c r="E3534">
        <v>147</v>
      </c>
      <c r="F3534">
        <v>147</v>
      </c>
      <c r="G3534">
        <v>886</v>
      </c>
    </row>
    <row r="3535" spans="1:7" ht="15" x14ac:dyDescent="0.25">
      <c r="A3535" t="s">
        <v>29043</v>
      </c>
      <c r="B3535">
        <v>1</v>
      </c>
      <c r="C3535">
        <v>696</v>
      </c>
      <c r="D3535">
        <v>696</v>
      </c>
      <c r="E3535">
        <v>109</v>
      </c>
      <c r="F3535">
        <v>109</v>
      </c>
      <c r="G3535">
        <v>696</v>
      </c>
    </row>
    <row r="3536" spans="1:7" ht="15" x14ac:dyDescent="0.25">
      <c r="A3536" t="s">
        <v>29048</v>
      </c>
      <c r="B3536">
        <v>1</v>
      </c>
      <c r="C3536">
        <v>1376</v>
      </c>
      <c r="D3536">
        <v>1376</v>
      </c>
      <c r="E3536">
        <v>200</v>
      </c>
      <c r="F3536">
        <v>200</v>
      </c>
      <c r="G3536">
        <v>1376</v>
      </c>
    </row>
    <row r="3537" spans="1:7" ht="15" x14ac:dyDescent="0.25">
      <c r="A3537" t="s">
        <v>29053</v>
      </c>
      <c r="B3537">
        <v>1</v>
      </c>
      <c r="C3537">
        <v>118</v>
      </c>
      <c r="D3537">
        <v>118</v>
      </c>
      <c r="E3537">
        <v>23</v>
      </c>
      <c r="F3537">
        <v>23</v>
      </c>
      <c r="G3537">
        <v>118</v>
      </c>
    </row>
    <row r="3538" spans="1:7" ht="15" x14ac:dyDescent="0.25">
      <c r="A3538" t="s">
        <v>29057</v>
      </c>
      <c r="B3538">
        <v>1</v>
      </c>
      <c r="C3538">
        <v>101</v>
      </c>
      <c r="D3538">
        <v>101</v>
      </c>
      <c r="E3538">
        <v>20</v>
      </c>
      <c r="F3538">
        <v>20</v>
      </c>
      <c r="G3538">
        <v>101</v>
      </c>
    </row>
    <row r="3539" spans="1:7" ht="15" x14ac:dyDescent="0.25">
      <c r="A3539" t="s">
        <v>29060</v>
      </c>
      <c r="B3539">
        <v>1</v>
      </c>
      <c r="C3539">
        <v>633</v>
      </c>
      <c r="D3539">
        <v>633</v>
      </c>
      <c r="E3539">
        <v>34</v>
      </c>
      <c r="F3539">
        <v>34</v>
      </c>
      <c r="G3539">
        <v>633</v>
      </c>
    </row>
    <row r="3540" spans="1:7" ht="15" x14ac:dyDescent="0.25">
      <c r="A3540" t="s">
        <v>29068</v>
      </c>
      <c r="B3540">
        <v>1</v>
      </c>
      <c r="D3540">
        <v>0</v>
      </c>
      <c r="E3540">
        <v>22</v>
      </c>
      <c r="F3540">
        <v>22</v>
      </c>
    </row>
    <row r="3541" spans="1:7" ht="15" x14ac:dyDescent="0.25">
      <c r="A3541" t="s">
        <v>29077</v>
      </c>
      <c r="B3541">
        <v>1</v>
      </c>
      <c r="C3541">
        <v>433</v>
      </c>
      <c r="D3541">
        <v>433</v>
      </c>
      <c r="E3541">
        <v>155</v>
      </c>
      <c r="F3541">
        <v>155</v>
      </c>
      <c r="G3541">
        <v>433</v>
      </c>
    </row>
    <row r="3542" spans="1:7" ht="15" x14ac:dyDescent="0.25">
      <c r="A3542" t="s">
        <v>29084</v>
      </c>
      <c r="B3542">
        <v>1</v>
      </c>
      <c r="C3542">
        <v>799</v>
      </c>
      <c r="D3542">
        <v>799</v>
      </c>
      <c r="E3542">
        <v>30</v>
      </c>
      <c r="F3542">
        <v>30</v>
      </c>
      <c r="G3542">
        <v>799</v>
      </c>
    </row>
    <row r="3543" spans="1:7" ht="15" x14ac:dyDescent="0.25">
      <c r="A3543" t="s">
        <v>29090</v>
      </c>
      <c r="B3543">
        <v>1</v>
      </c>
      <c r="C3543">
        <v>12</v>
      </c>
      <c r="D3543">
        <v>12</v>
      </c>
      <c r="E3543">
        <v>12</v>
      </c>
      <c r="F3543">
        <v>12</v>
      </c>
      <c r="G3543">
        <v>12</v>
      </c>
    </row>
    <row r="3544" spans="1:7" ht="15" x14ac:dyDescent="0.25">
      <c r="A3544" t="s">
        <v>29095</v>
      </c>
      <c r="B3544">
        <v>1</v>
      </c>
      <c r="C3544">
        <v>298</v>
      </c>
      <c r="D3544">
        <v>298</v>
      </c>
      <c r="E3544">
        <v>6</v>
      </c>
      <c r="F3544">
        <v>6</v>
      </c>
      <c r="G3544">
        <v>298</v>
      </c>
    </row>
    <row r="3545" spans="1:7" ht="15" x14ac:dyDescent="0.25">
      <c r="A3545" t="s">
        <v>29099</v>
      </c>
      <c r="B3545">
        <v>1</v>
      </c>
      <c r="C3545">
        <v>741</v>
      </c>
      <c r="D3545">
        <v>741</v>
      </c>
      <c r="E3545">
        <v>117</v>
      </c>
      <c r="F3545">
        <v>117</v>
      </c>
      <c r="G3545">
        <v>741</v>
      </c>
    </row>
    <row r="3546" spans="1:7" ht="15" x14ac:dyDescent="0.25">
      <c r="A3546" t="s">
        <v>29104</v>
      </c>
      <c r="B3546">
        <v>1</v>
      </c>
      <c r="C3546">
        <v>1665</v>
      </c>
      <c r="D3546">
        <v>1665</v>
      </c>
      <c r="E3546">
        <v>96</v>
      </c>
      <c r="F3546">
        <v>96</v>
      </c>
      <c r="G3546">
        <v>1665</v>
      </c>
    </row>
    <row r="3547" spans="1:7" ht="15" x14ac:dyDescent="0.25">
      <c r="A3547" t="s">
        <v>29108</v>
      </c>
      <c r="B3547">
        <v>1</v>
      </c>
      <c r="C3547">
        <v>513</v>
      </c>
      <c r="D3547">
        <v>513</v>
      </c>
      <c r="E3547">
        <v>69</v>
      </c>
      <c r="F3547">
        <v>69</v>
      </c>
      <c r="G3547">
        <v>513</v>
      </c>
    </row>
    <row r="3548" spans="1:7" ht="15" x14ac:dyDescent="0.25">
      <c r="A3548" t="s">
        <v>29119</v>
      </c>
      <c r="B3548">
        <v>1</v>
      </c>
      <c r="C3548">
        <v>266</v>
      </c>
      <c r="D3548">
        <v>266</v>
      </c>
      <c r="E3548">
        <v>22</v>
      </c>
      <c r="F3548">
        <v>22</v>
      </c>
      <c r="G3548">
        <v>266</v>
      </c>
    </row>
    <row r="3549" spans="1:7" ht="15" x14ac:dyDescent="0.25">
      <c r="A3549" t="s">
        <v>29123</v>
      </c>
      <c r="B3549">
        <v>1</v>
      </c>
      <c r="C3549">
        <v>564</v>
      </c>
      <c r="D3549">
        <v>564</v>
      </c>
      <c r="E3549">
        <v>46</v>
      </c>
      <c r="F3549">
        <v>46</v>
      </c>
      <c r="G3549">
        <v>564</v>
      </c>
    </row>
    <row r="3550" spans="1:7" ht="15" x14ac:dyDescent="0.25">
      <c r="A3550" t="s">
        <v>29134</v>
      </c>
      <c r="B3550">
        <v>1</v>
      </c>
      <c r="C3550">
        <v>121</v>
      </c>
      <c r="D3550">
        <v>121</v>
      </c>
      <c r="E3550">
        <v>18</v>
      </c>
      <c r="F3550">
        <v>18</v>
      </c>
      <c r="G3550">
        <v>121</v>
      </c>
    </row>
    <row r="3551" spans="1:7" ht="15" x14ac:dyDescent="0.25">
      <c r="A3551" t="s">
        <v>29141</v>
      </c>
      <c r="B3551">
        <v>1</v>
      </c>
      <c r="C3551">
        <v>365</v>
      </c>
      <c r="D3551">
        <v>365</v>
      </c>
      <c r="E3551">
        <v>52</v>
      </c>
      <c r="F3551">
        <v>52</v>
      </c>
      <c r="G3551">
        <v>365</v>
      </c>
    </row>
    <row r="3552" spans="1:7" ht="15" x14ac:dyDescent="0.25">
      <c r="A3552" t="s">
        <v>29149</v>
      </c>
      <c r="B3552">
        <v>1</v>
      </c>
      <c r="C3552">
        <v>27</v>
      </c>
      <c r="D3552">
        <v>27</v>
      </c>
      <c r="E3552">
        <v>8</v>
      </c>
      <c r="F3552">
        <v>8</v>
      </c>
      <c r="G3552">
        <v>27</v>
      </c>
    </row>
    <row r="3553" spans="1:7" ht="15" x14ac:dyDescent="0.25">
      <c r="A3553" t="s">
        <v>29156</v>
      </c>
      <c r="B3553">
        <v>1</v>
      </c>
      <c r="C3553">
        <v>160</v>
      </c>
      <c r="D3553">
        <v>160</v>
      </c>
      <c r="E3553">
        <v>29</v>
      </c>
      <c r="F3553">
        <v>29</v>
      </c>
      <c r="G3553">
        <v>160</v>
      </c>
    </row>
    <row r="3554" spans="1:7" ht="15" x14ac:dyDescent="0.25">
      <c r="A3554" t="s">
        <v>29160</v>
      </c>
      <c r="B3554">
        <v>1</v>
      </c>
      <c r="C3554">
        <v>19637</v>
      </c>
      <c r="D3554">
        <v>19637</v>
      </c>
      <c r="E3554">
        <v>4731</v>
      </c>
      <c r="F3554">
        <v>4731</v>
      </c>
      <c r="G3554">
        <v>19637</v>
      </c>
    </row>
    <row r="3555" spans="1:7" ht="15" x14ac:dyDescent="0.25">
      <c r="A3555" t="s">
        <v>29167</v>
      </c>
      <c r="B3555">
        <v>1</v>
      </c>
      <c r="C3555">
        <v>273</v>
      </c>
      <c r="D3555">
        <v>273</v>
      </c>
      <c r="E3555">
        <v>36</v>
      </c>
      <c r="F3555">
        <v>36</v>
      </c>
      <c r="G3555">
        <v>273</v>
      </c>
    </row>
    <row r="3556" spans="1:7" ht="15" x14ac:dyDescent="0.25">
      <c r="A3556" t="s">
        <v>29170</v>
      </c>
      <c r="B3556">
        <v>1</v>
      </c>
      <c r="C3556">
        <v>552</v>
      </c>
      <c r="D3556">
        <v>552</v>
      </c>
      <c r="E3556">
        <v>76</v>
      </c>
      <c r="F3556">
        <v>76</v>
      </c>
      <c r="G3556">
        <v>552</v>
      </c>
    </row>
    <row r="3557" spans="1:7" ht="15" x14ac:dyDescent="0.25">
      <c r="A3557" t="s">
        <v>29173</v>
      </c>
      <c r="B3557">
        <v>1</v>
      </c>
      <c r="C3557">
        <v>176</v>
      </c>
      <c r="D3557">
        <v>176</v>
      </c>
      <c r="E3557">
        <v>43</v>
      </c>
      <c r="F3557">
        <v>43</v>
      </c>
      <c r="G3557">
        <v>176</v>
      </c>
    </row>
    <row r="3558" spans="1:7" ht="15" x14ac:dyDescent="0.25">
      <c r="A3558" t="s">
        <v>29186</v>
      </c>
      <c r="B3558">
        <v>2</v>
      </c>
      <c r="C3558">
        <v>992</v>
      </c>
      <c r="D3558">
        <v>1974</v>
      </c>
      <c r="E3558">
        <v>79</v>
      </c>
      <c r="F3558">
        <v>39.5</v>
      </c>
      <c r="G3558">
        <v>992</v>
      </c>
    </row>
    <row r="3559" spans="1:7" ht="15" x14ac:dyDescent="0.25">
      <c r="A3559" t="s">
        <v>29195</v>
      </c>
      <c r="B3559">
        <v>2</v>
      </c>
      <c r="C3559">
        <v>540</v>
      </c>
      <c r="D3559">
        <v>1080</v>
      </c>
      <c r="E3559">
        <v>32</v>
      </c>
      <c r="F3559">
        <v>16</v>
      </c>
      <c r="G3559">
        <v>540</v>
      </c>
    </row>
    <row r="3560" spans="1:7" ht="15" x14ac:dyDescent="0.25">
      <c r="A3560" t="s">
        <v>29201</v>
      </c>
      <c r="B3560">
        <v>1</v>
      </c>
      <c r="C3560">
        <v>384</v>
      </c>
      <c r="D3560">
        <v>384</v>
      </c>
      <c r="E3560">
        <v>40</v>
      </c>
      <c r="F3560">
        <v>40</v>
      </c>
      <c r="G3560">
        <v>384</v>
      </c>
    </row>
    <row r="3561" spans="1:7" ht="15" x14ac:dyDescent="0.25">
      <c r="A3561" t="s">
        <v>29208</v>
      </c>
      <c r="B3561">
        <v>1</v>
      </c>
      <c r="C3561">
        <v>1818</v>
      </c>
      <c r="D3561">
        <v>1818</v>
      </c>
      <c r="E3561">
        <v>51</v>
      </c>
      <c r="F3561">
        <v>51</v>
      </c>
      <c r="G3561">
        <v>1818</v>
      </c>
    </row>
    <row r="3562" spans="1:7" ht="15" x14ac:dyDescent="0.25">
      <c r="A3562" t="s">
        <v>29211</v>
      </c>
      <c r="B3562">
        <v>1</v>
      </c>
      <c r="C3562">
        <v>284</v>
      </c>
      <c r="D3562">
        <v>284</v>
      </c>
      <c r="E3562">
        <v>25</v>
      </c>
      <c r="F3562">
        <v>25</v>
      </c>
      <c r="G3562">
        <v>284</v>
      </c>
    </row>
    <row r="3563" spans="1:7" ht="15" x14ac:dyDescent="0.25">
      <c r="A3563" t="s">
        <v>29217</v>
      </c>
      <c r="B3563">
        <v>1</v>
      </c>
      <c r="C3563">
        <v>249</v>
      </c>
      <c r="D3563">
        <v>249</v>
      </c>
      <c r="E3563">
        <v>12</v>
      </c>
      <c r="F3563">
        <v>12</v>
      </c>
      <c r="G3563">
        <v>249</v>
      </c>
    </row>
    <row r="3564" spans="1:7" ht="15" x14ac:dyDescent="0.25">
      <c r="A3564" t="s">
        <v>29231</v>
      </c>
      <c r="B3564">
        <v>1</v>
      </c>
      <c r="C3564">
        <v>281</v>
      </c>
      <c r="D3564">
        <v>281</v>
      </c>
      <c r="E3564">
        <v>21</v>
      </c>
      <c r="F3564">
        <v>21</v>
      </c>
      <c r="G3564">
        <v>281</v>
      </c>
    </row>
    <row r="3565" spans="1:7" ht="15" x14ac:dyDescent="0.25">
      <c r="A3565" t="s">
        <v>29238</v>
      </c>
      <c r="B3565">
        <v>1</v>
      </c>
      <c r="C3565">
        <v>12519</v>
      </c>
      <c r="D3565">
        <v>12519</v>
      </c>
      <c r="E3565">
        <v>146</v>
      </c>
      <c r="F3565">
        <v>146</v>
      </c>
      <c r="G3565">
        <v>12519</v>
      </c>
    </row>
    <row r="3566" spans="1:7" ht="15" x14ac:dyDescent="0.25">
      <c r="A3566" t="s">
        <v>29243</v>
      </c>
      <c r="B3566">
        <v>1</v>
      </c>
      <c r="C3566">
        <v>190</v>
      </c>
      <c r="D3566">
        <v>190</v>
      </c>
      <c r="E3566">
        <v>31</v>
      </c>
      <c r="F3566">
        <v>31</v>
      </c>
      <c r="G3566">
        <v>190</v>
      </c>
    </row>
    <row r="3567" spans="1:7" ht="15" x14ac:dyDescent="0.25">
      <c r="A3567" t="s">
        <v>29251</v>
      </c>
      <c r="B3567">
        <v>1</v>
      </c>
      <c r="C3567">
        <v>764</v>
      </c>
      <c r="D3567">
        <v>764</v>
      </c>
      <c r="E3567">
        <v>32</v>
      </c>
      <c r="F3567">
        <v>32</v>
      </c>
      <c r="G3567">
        <v>764</v>
      </c>
    </row>
    <row r="3568" spans="1:7" ht="15" x14ac:dyDescent="0.25">
      <c r="A3568" t="s">
        <v>29262</v>
      </c>
      <c r="B3568">
        <v>1</v>
      </c>
      <c r="C3568">
        <v>589</v>
      </c>
      <c r="D3568">
        <v>589</v>
      </c>
      <c r="E3568">
        <v>41</v>
      </c>
      <c r="F3568">
        <v>41</v>
      </c>
      <c r="G3568">
        <v>589</v>
      </c>
    </row>
    <row r="3569" spans="1:7" ht="15" x14ac:dyDescent="0.25">
      <c r="A3569" t="s">
        <v>29272</v>
      </c>
      <c r="B3569">
        <v>1</v>
      </c>
      <c r="C3569">
        <v>327</v>
      </c>
      <c r="D3569">
        <v>327</v>
      </c>
      <c r="E3569">
        <v>20</v>
      </c>
      <c r="F3569">
        <v>20</v>
      </c>
      <c r="G3569">
        <v>327</v>
      </c>
    </row>
    <row r="3570" spans="1:7" ht="15" x14ac:dyDescent="0.25">
      <c r="A3570" t="s">
        <v>29276</v>
      </c>
      <c r="B3570">
        <v>1</v>
      </c>
      <c r="C3570">
        <v>176</v>
      </c>
      <c r="D3570">
        <v>176</v>
      </c>
      <c r="E3570">
        <v>11</v>
      </c>
      <c r="F3570">
        <v>11</v>
      </c>
      <c r="G3570">
        <v>176</v>
      </c>
    </row>
    <row r="3571" spans="1:7" ht="15" x14ac:dyDescent="0.25">
      <c r="A3571" t="s">
        <v>29287</v>
      </c>
      <c r="B3571">
        <v>1</v>
      </c>
      <c r="C3571">
        <v>533</v>
      </c>
      <c r="D3571">
        <v>533</v>
      </c>
      <c r="E3571">
        <v>53</v>
      </c>
      <c r="F3571">
        <v>53</v>
      </c>
      <c r="G3571">
        <v>533</v>
      </c>
    </row>
    <row r="3572" spans="1:7" ht="15" x14ac:dyDescent="0.25">
      <c r="A3572" t="s">
        <v>29292</v>
      </c>
      <c r="B3572">
        <v>1</v>
      </c>
      <c r="C3572">
        <v>79</v>
      </c>
      <c r="D3572">
        <v>79</v>
      </c>
      <c r="E3572">
        <v>2</v>
      </c>
      <c r="F3572">
        <v>2</v>
      </c>
      <c r="G3572">
        <v>79</v>
      </c>
    </row>
    <row r="3573" spans="1:7" ht="15" x14ac:dyDescent="0.25">
      <c r="A3573" t="s">
        <v>29306</v>
      </c>
      <c r="B3573">
        <v>1</v>
      </c>
      <c r="C3573">
        <v>752</v>
      </c>
      <c r="D3573">
        <v>752</v>
      </c>
      <c r="E3573">
        <v>5</v>
      </c>
      <c r="F3573">
        <v>5</v>
      </c>
      <c r="G3573">
        <v>752</v>
      </c>
    </row>
    <row r="3574" spans="1:7" ht="15" x14ac:dyDescent="0.25">
      <c r="A3574" t="s">
        <v>29318</v>
      </c>
      <c r="B3574">
        <v>1</v>
      </c>
      <c r="C3574">
        <v>23</v>
      </c>
      <c r="D3574">
        <v>23</v>
      </c>
      <c r="E3574">
        <v>12</v>
      </c>
      <c r="F3574">
        <v>12</v>
      </c>
      <c r="G3574">
        <v>23</v>
      </c>
    </row>
    <row r="3575" spans="1:7" ht="15" x14ac:dyDescent="0.25">
      <c r="A3575" t="s">
        <v>29328</v>
      </c>
      <c r="B3575">
        <v>1</v>
      </c>
      <c r="C3575">
        <v>188</v>
      </c>
      <c r="D3575">
        <v>188</v>
      </c>
      <c r="E3575">
        <v>69</v>
      </c>
      <c r="F3575">
        <v>69</v>
      </c>
      <c r="G3575">
        <v>188</v>
      </c>
    </row>
    <row r="3576" spans="1:7" ht="15" x14ac:dyDescent="0.25">
      <c r="A3576" t="s">
        <v>29333</v>
      </c>
      <c r="B3576">
        <v>1</v>
      </c>
      <c r="C3576">
        <v>282</v>
      </c>
      <c r="D3576">
        <v>282</v>
      </c>
      <c r="E3576">
        <v>29</v>
      </c>
      <c r="F3576">
        <v>29</v>
      </c>
      <c r="G3576">
        <v>282</v>
      </c>
    </row>
    <row r="3577" spans="1:7" ht="15" x14ac:dyDescent="0.25">
      <c r="A3577" t="s">
        <v>29339</v>
      </c>
      <c r="B3577">
        <v>1</v>
      </c>
      <c r="C3577">
        <v>172</v>
      </c>
      <c r="D3577">
        <v>172</v>
      </c>
      <c r="E3577">
        <v>34</v>
      </c>
      <c r="F3577">
        <v>34</v>
      </c>
      <c r="G3577">
        <v>172</v>
      </c>
    </row>
    <row r="3578" spans="1:7" ht="15" x14ac:dyDescent="0.25">
      <c r="A3578" t="s">
        <v>29346</v>
      </c>
      <c r="B3578">
        <v>1</v>
      </c>
      <c r="C3578">
        <v>249</v>
      </c>
      <c r="D3578">
        <v>249</v>
      </c>
      <c r="E3578">
        <v>42</v>
      </c>
      <c r="F3578">
        <v>42</v>
      </c>
      <c r="G3578">
        <v>249</v>
      </c>
    </row>
    <row r="3579" spans="1:7" ht="15" x14ac:dyDescent="0.25">
      <c r="A3579" t="s">
        <v>29351</v>
      </c>
      <c r="B3579">
        <v>1</v>
      </c>
      <c r="C3579">
        <v>90</v>
      </c>
      <c r="D3579">
        <v>90</v>
      </c>
      <c r="E3579">
        <v>28</v>
      </c>
      <c r="F3579">
        <v>28</v>
      </c>
      <c r="G3579">
        <v>90</v>
      </c>
    </row>
    <row r="3580" spans="1:7" ht="15" x14ac:dyDescent="0.25">
      <c r="A3580" t="s">
        <v>29355</v>
      </c>
      <c r="B3580">
        <v>1</v>
      </c>
      <c r="C3580">
        <v>149</v>
      </c>
      <c r="D3580">
        <v>149</v>
      </c>
      <c r="E3580">
        <v>28</v>
      </c>
      <c r="F3580">
        <v>28</v>
      </c>
      <c r="G3580">
        <v>149</v>
      </c>
    </row>
    <row r="3581" spans="1:7" ht="15" x14ac:dyDescent="0.25">
      <c r="A3581" t="s">
        <v>29360</v>
      </c>
      <c r="B3581">
        <v>1</v>
      </c>
      <c r="C3581">
        <v>152</v>
      </c>
      <c r="D3581">
        <v>152</v>
      </c>
      <c r="E3581">
        <v>13</v>
      </c>
      <c r="F3581">
        <v>13</v>
      </c>
      <c r="G3581">
        <v>152</v>
      </c>
    </row>
    <row r="3582" spans="1:7" ht="15" x14ac:dyDescent="0.25">
      <c r="A3582" t="s">
        <v>29365</v>
      </c>
      <c r="B3582">
        <v>1</v>
      </c>
      <c r="C3582">
        <v>5</v>
      </c>
      <c r="D3582">
        <v>5</v>
      </c>
      <c r="E3582">
        <v>3</v>
      </c>
      <c r="F3582">
        <v>3</v>
      </c>
      <c r="G3582">
        <v>5</v>
      </c>
    </row>
    <row r="3583" spans="1:7" ht="15" x14ac:dyDescent="0.25">
      <c r="A3583" t="s">
        <v>29374</v>
      </c>
      <c r="B3583">
        <v>1</v>
      </c>
      <c r="C3583">
        <v>1405</v>
      </c>
      <c r="D3583">
        <v>1405</v>
      </c>
      <c r="E3583">
        <v>21</v>
      </c>
      <c r="F3583">
        <v>21</v>
      </c>
      <c r="G3583">
        <v>1405</v>
      </c>
    </row>
    <row r="3584" spans="1:7" ht="15" x14ac:dyDescent="0.25">
      <c r="A3584" t="s">
        <v>29383</v>
      </c>
      <c r="B3584">
        <v>1</v>
      </c>
      <c r="C3584">
        <v>90</v>
      </c>
      <c r="D3584">
        <v>90</v>
      </c>
      <c r="E3584">
        <v>10</v>
      </c>
      <c r="F3584">
        <v>10</v>
      </c>
      <c r="G3584">
        <v>90</v>
      </c>
    </row>
    <row r="3585" spans="1:7" ht="15" x14ac:dyDescent="0.25">
      <c r="A3585" t="s">
        <v>29386</v>
      </c>
      <c r="B3585">
        <v>1</v>
      </c>
      <c r="C3585">
        <v>801</v>
      </c>
      <c r="D3585">
        <v>801</v>
      </c>
      <c r="E3585">
        <v>27</v>
      </c>
      <c r="F3585">
        <v>27</v>
      </c>
      <c r="G3585">
        <v>801</v>
      </c>
    </row>
    <row r="3586" spans="1:7" ht="15" x14ac:dyDescent="0.25">
      <c r="A3586" t="s">
        <v>29393</v>
      </c>
      <c r="B3586">
        <v>1</v>
      </c>
      <c r="C3586">
        <v>415</v>
      </c>
      <c r="D3586">
        <v>415</v>
      </c>
      <c r="E3586">
        <v>15</v>
      </c>
      <c r="F3586">
        <v>15</v>
      </c>
      <c r="G3586">
        <v>415</v>
      </c>
    </row>
    <row r="3587" spans="1:7" ht="15" x14ac:dyDescent="0.25">
      <c r="A3587" t="s">
        <v>29400</v>
      </c>
      <c r="B3587">
        <v>1</v>
      </c>
      <c r="C3587">
        <v>310</v>
      </c>
      <c r="D3587">
        <v>310</v>
      </c>
      <c r="E3587">
        <v>7</v>
      </c>
      <c r="F3587">
        <v>7</v>
      </c>
      <c r="G3587">
        <v>310</v>
      </c>
    </row>
    <row r="3588" spans="1:7" ht="15" x14ac:dyDescent="0.25">
      <c r="A3588" t="s">
        <v>29405</v>
      </c>
      <c r="B3588">
        <v>1</v>
      </c>
      <c r="C3588">
        <v>287</v>
      </c>
      <c r="D3588">
        <v>287</v>
      </c>
      <c r="E3588">
        <v>47</v>
      </c>
      <c r="F3588">
        <v>47</v>
      </c>
      <c r="G3588">
        <v>287</v>
      </c>
    </row>
    <row r="3589" spans="1:7" ht="15" x14ac:dyDescent="0.25">
      <c r="A3589" t="s">
        <v>29430</v>
      </c>
      <c r="B3589">
        <v>1</v>
      </c>
      <c r="C3589">
        <v>82</v>
      </c>
      <c r="D3589">
        <v>82</v>
      </c>
      <c r="E3589">
        <v>8</v>
      </c>
      <c r="F3589">
        <v>8</v>
      </c>
      <c r="G3589">
        <v>82</v>
      </c>
    </row>
    <row r="3590" spans="1:7" ht="15" x14ac:dyDescent="0.25">
      <c r="A3590" t="s">
        <v>29435</v>
      </c>
      <c r="B3590">
        <v>1</v>
      </c>
      <c r="C3590">
        <v>420</v>
      </c>
      <c r="D3590">
        <v>420</v>
      </c>
      <c r="E3590">
        <v>20</v>
      </c>
      <c r="F3590">
        <v>20</v>
      </c>
      <c r="G3590">
        <v>420</v>
      </c>
    </row>
    <row r="3591" spans="1:7" ht="15" x14ac:dyDescent="0.25">
      <c r="A3591" t="s">
        <v>29441</v>
      </c>
      <c r="B3591">
        <v>1</v>
      </c>
      <c r="C3591">
        <v>84</v>
      </c>
      <c r="D3591">
        <v>84</v>
      </c>
      <c r="E3591">
        <v>18</v>
      </c>
      <c r="F3591">
        <v>18</v>
      </c>
      <c r="G3591">
        <v>84</v>
      </c>
    </row>
    <row r="3592" spans="1:7" ht="15" x14ac:dyDescent="0.25">
      <c r="A3592" t="s">
        <v>29445</v>
      </c>
      <c r="B3592">
        <v>1</v>
      </c>
      <c r="C3592">
        <v>48</v>
      </c>
      <c r="D3592">
        <v>48</v>
      </c>
      <c r="E3592">
        <v>5</v>
      </c>
      <c r="F3592">
        <v>5</v>
      </c>
      <c r="G3592">
        <v>48</v>
      </c>
    </row>
    <row r="3593" spans="1:7" ht="15" x14ac:dyDescent="0.25">
      <c r="A3593" t="s">
        <v>29452</v>
      </c>
      <c r="B3593">
        <v>1</v>
      </c>
      <c r="C3593">
        <v>1950</v>
      </c>
      <c r="D3593">
        <v>1950</v>
      </c>
      <c r="E3593">
        <v>27</v>
      </c>
      <c r="F3593">
        <v>27</v>
      </c>
      <c r="G3593">
        <v>1950</v>
      </c>
    </row>
    <row r="3594" spans="1:7" ht="15" x14ac:dyDescent="0.25">
      <c r="A3594" t="s">
        <v>29460</v>
      </c>
      <c r="B3594">
        <v>1</v>
      </c>
      <c r="C3594">
        <v>353</v>
      </c>
      <c r="D3594">
        <v>353</v>
      </c>
      <c r="E3594">
        <v>15</v>
      </c>
      <c r="F3594">
        <v>15</v>
      </c>
      <c r="G3594">
        <v>353</v>
      </c>
    </row>
    <row r="3595" spans="1:7" ht="15" x14ac:dyDescent="0.25">
      <c r="A3595" t="s">
        <v>29466</v>
      </c>
      <c r="B3595">
        <v>1</v>
      </c>
      <c r="C3595">
        <v>198</v>
      </c>
      <c r="D3595">
        <v>198</v>
      </c>
      <c r="E3595">
        <v>60</v>
      </c>
      <c r="F3595">
        <v>60</v>
      </c>
      <c r="G3595">
        <v>198</v>
      </c>
    </row>
    <row r="3596" spans="1:7" ht="15" x14ac:dyDescent="0.25">
      <c r="A3596" t="s">
        <v>29470</v>
      </c>
      <c r="B3596">
        <v>1</v>
      </c>
      <c r="C3596">
        <v>411</v>
      </c>
      <c r="D3596">
        <v>411</v>
      </c>
      <c r="E3596">
        <v>40</v>
      </c>
      <c r="F3596">
        <v>40</v>
      </c>
      <c r="G3596">
        <v>411</v>
      </c>
    </row>
    <row r="3597" spans="1:7" ht="15" x14ac:dyDescent="0.25">
      <c r="A3597" t="s">
        <v>29480</v>
      </c>
      <c r="B3597">
        <v>1</v>
      </c>
      <c r="C3597">
        <v>663</v>
      </c>
      <c r="D3597">
        <v>663</v>
      </c>
      <c r="E3597">
        <v>32</v>
      </c>
      <c r="F3597">
        <v>32</v>
      </c>
      <c r="G3597">
        <v>663</v>
      </c>
    </row>
    <row r="3598" spans="1:7" ht="15" x14ac:dyDescent="0.25">
      <c r="A3598" t="s">
        <v>29486</v>
      </c>
      <c r="B3598">
        <v>1</v>
      </c>
      <c r="C3598">
        <v>156</v>
      </c>
      <c r="D3598">
        <v>156</v>
      </c>
      <c r="E3598">
        <v>57</v>
      </c>
      <c r="F3598">
        <v>57</v>
      </c>
      <c r="G3598">
        <v>156</v>
      </c>
    </row>
    <row r="3599" spans="1:7" ht="15" x14ac:dyDescent="0.25">
      <c r="A3599" t="s">
        <v>29491</v>
      </c>
      <c r="B3599">
        <v>1</v>
      </c>
      <c r="C3599">
        <v>137</v>
      </c>
      <c r="D3599">
        <v>137</v>
      </c>
      <c r="E3599">
        <v>33</v>
      </c>
      <c r="F3599">
        <v>33</v>
      </c>
      <c r="G3599">
        <v>137</v>
      </c>
    </row>
    <row r="3600" spans="1:7" ht="15" x14ac:dyDescent="0.25">
      <c r="A3600" t="s">
        <v>29496</v>
      </c>
      <c r="B3600">
        <v>1</v>
      </c>
      <c r="C3600">
        <v>2242</v>
      </c>
      <c r="D3600">
        <v>2242</v>
      </c>
      <c r="E3600">
        <v>25</v>
      </c>
      <c r="F3600">
        <v>25</v>
      </c>
      <c r="G3600">
        <v>2242</v>
      </c>
    </row>
    <row r="3601" spans="1:7" ht="15" x14ac:dyDescent="0.25">
      <c r="A3601" t="s">
        <v>29501</v>
      </c>
      <c r="B3601">
        <v>1</v>
      </c>
      <c r="C3601">
        <v>171</v>
      </c>
      <c r="D3601">
        <v>171</v>
      </c>
      <c r="E3601">
        <v>27</v>
      </c>
      <c r="F3601">
        <v>27</v>
      </c>
      <c r="G3601">
        <v>171</v>
      </c>
    </row>
    <row r="3602" spans="1:7" ht="15" x14ac:dyDescent="0.25">
      <c r="A3602" t="s">
        <v>29505</v>
      </c>
      <c r="B3602">
        <v>1</v>
      </c>
      <c r="C3602">
        <v>128</v>
      </c>
      <c r="D3602">
        <v>128</v>
      </c>
      <c r="E3602">
        <v>10</v>
      </c>
      <c r="F3602">
        <v>10</v>
      </c>
      <c r="G3602">
        <v>128</v>
      </c>
    </row>
    <row r="3603" spans="1:7" ht="15" x14ac:dyDescent="0.25">
      <c r="A3603" t="s">
        <v>29510</v>
      </c>
      <c r="B3603">
        <v>1</v>
      </c>
      <c r="C3603">
        <v>11</v>
      </c>
      <c r="D3603">
        <v>11</v>
      </c>
      <c r="E3603">
        <v>3</v>
      </c>
      <c r="F3603">
        <v>3</v>
      </c>
      <c r="G3603">
        <v>11</v>
      </c>
    </row>
    <row r="3604" spans="1:7" ht="15" x14ac:dyDescent="0.25">
      <c r="A3604" t="s">
        <v>29515</v>
      </c>
      <c r="B3604">
        <v>1</v>
      </c>
      <c r="C3604">
        <v>574</v>
      </c>
      <c r="D3604">
        <v>574</v>
      </c>
      <c r="E3604">
        <v>28</v>
      </c>
      <c r="F3604">
        <v>28</v>
      </c>
      <c r="G3604">
        <v>574</v>
      </c>
    </row>
    <row r="3605" spans="1:7" ht="15" x14ac:dyDescent="0.25">
      <c r="A3605" t="s">
        <v>29522</v>
      </c>
      <c r="B3605">
        <v>1</v>
      </c>
      <c r="C3605">
        <v>339</v>
      </c>
      <c r="D3605">
        <v>339</v>
      </c>
      <c r="E3605">
        <v>13</v>
      </c>
      <c r="F3605">
        <v>13</v>
      </c>
      <c r="G3605">
        <v>339</v>
      </c>
    </row>
    <row r="3606" spans="1:7" ht="15" x14ac:dyDescent="0.25">
      <c r="A3606" t="s">
        <v>29525</v>
      </c>
      <c r="B3606">
        <v>1</v>
      </c>
      <c r="C3606">
        <v>88</v>
      </c>
      <c r="D3606">
        <v>88</v>
      </c>
      <c r="E3606">
        <v>6</v>
      </c>
      <c r="F3606">
        <v>6</v>
      </c>
      <c r="G3606">
        <v>88</v>
      </c>
    </row>
    <row r="3607" spans="1:7" ht="15" x14ac:dyDescent="0.25">
      <c r="A3607" t="s">
        <v>29529</v>
      </c>
      <c r="B3607">
        <v>1</v>
      </c>
      <c r="C3607">
        <v>120</v>
      </c>
      <c r="D3607">
        <v>120</v>
      </c>
      <c r="E3607">
        <v>7</v>
      </c>
      <c r="F3607">
        <v>7</v>
      </c>
      <c r="G3607">
        <v>120</v>
      </c>
    </row>
    <row r="3608" spans="1:7" ht="15" x14ac:dyDescent="0.25">
      <c r="A3608" t="s">
        <v>29535</v>
      </c>
      <c r="B3608">
        <v>1</v>
      </c>
      <c r="C3608">
        <v>58</v>
      </c>
      <c r="D3608">
        <v>58</v>
      </c>
      <c r="E3608">
        <v>26</v>
      </c>
      <c r="F3608">
        <v>26</v>
      </c>
      <c r="G3608">
        <v>58</v>
      </c>
    </row>
    <row r="3609" spans="1:7" ht="15" x14ac:dyDescent="0.25">
      <c r="A3609" t="s">
        <v>29550</v>
      </c>
      <c r="B3609">
        <v>1</v>
      </c>
      <c r="C3609">
        <v>273</v>
      </c>
      <c r="D3609">
        <v>273</v>
      </c>
      <c r="E3609">
        <v>14</v>
      </c>
      <c r="F3609">
        <v>14</v>
      </c>
      <c r="G3609">
        <v>273</v>
      </c>
    </row>
    <row r="3610" spans="1:7" ht="15" x14ac:dyDescent="0.25">
      <c r="A3610" t="s">
        <v>29556</v>
      </c>
      <c r="B3610">
        <v>1</v>
      </c>
      <c r="C3610">
        <v>35</v>
      </c>
      <c r="D3610">
        <v>35</v>
      </c>
      <c r="E3610">
        <v>14</v>
      </c>
      <c r="F3610">
        <v>14</v>
      </c>
      <c r="G3610">
        <v>35</v>
      </c>
    </row>
    <row r="3611" spans="1:7" ht="15" x14ac:dyDescent="0.25">
      <c r="A3611" t="s">
        <v>29572</v>
      </c>
      <c r="B3611">
        <v>1</v>
      </c>
      <c r="C3611">
        <v>195</v>
      </c>
      <c r="D3611">
        <v>195</v>
      </c>
      <c r="E3611">
        <v>35</v>
      </c>
      <c r="F3611">
        <v>35</v>
      </c>
      <c r="G3611">
        <v>195</v>
      </c>
    </row>
    <row r="3612" spans="1:7" ht="15" x14ac:dyDescent="0.25">
      <c r="A3612" t="s">
        <v>29579</v>
      </c>
      <c r="B3612">
        <v>1</v>
      </c>
      <c r="C3612">
        <v>1763</v>
      </c>
      <c r="D3612">
        <v>1763</v>
      </c>
      <c r="E3612">
        <v>230</v>
      </c>
      <c r="F3612">
        <v>230</v>
      </c>
      <c r="G3612">
        <v>1763</v>
      </c>
    </row>
    <row r="3613" spans="1:7" ht="15" x14ac:dyDescent="0.25">
      <c r="A3613" t="s">
        <v>29590</v>
      </c>
      <c r="B3613">
        <v>1</v>
      </c>
      <c r="C3613">
        <v>142</v>
      </c>
      <c r="D3613">
        <v>142</v>
      </c>
      <c r="E3613">
        <v>10</v>
      </c>
      <c r="F3613">
        <v>10</v>
      </c>
      <c r="G3613">
        <v>142</v>
      </c>
    </row>
    <row r="3614" spans="1:7" ht="15" x14ac:dyDescent="0.25">
      <c r="A3614" t="s">
        <v>29593</v>
      </c>
      <c r="B3614">
        <v>1</v>
      </c>
      <c r="C3614">
        <v>242</v>
      </c>
      <c r="D3614">
        <v>242</v>
      </c>
      <c r="E3614">
        <v>55</v>
      </c>
      <c r="F3614">
        <v>55</v>
      </c>
      <c r="G3614">
        <v>242</v>
      </c>
    </row>
    <row r="3615" spans="1:7" ht="15" x14ac:dyDescent="0.25">
      <c r="A3615" t="s">
        <v>29600</v>
      </c>
      <c r="B3615">
        <v>1</v>
      </c>
      <c r="D3615">
        <v>0</v>
      </c>
      <c r="E3615">
        <v>9</v>
      </c>
      <c r="F3615">
        <v>9</v>
      </c>
    </row>
    <row r="3616" spans="1:7" ht="15" x14ac:dyDescent="0.25">
      <c r="A3616" t="s">
        <v>29607</v>
      </c>
      <c r="B3616">
        <v>1</v>
      </c>
      <c r="C3616">
        <v>510</v>
      </c>
      <c r="D3616">
        <v>510</v>
      </c>
      <c r="E3616">
        <v>17</v>
      </c>
      <c r="F3616">
        <v>17</v>
      </c>
      <c r="G3616">
        <v>510</v>
      </c>
    </row>
    <row r="3617" spans="1:7" ht="15" x14ac:dyDescent="0.25">
      <c r="A3617" t="s">
        <v>29614</v>
      </c>
      <c r="B3617">
        <v>2</v>
      </c>
      <c r="C3617">
        <v>8191</v>
      </c>
      <c r="D3617">
        <v>16382</v>
      </c>
      <c r="E3617">
        <v>2053</v>
      </c>
      <c r="F3617">
        <v>1026.5</v>
      </c>
      <c r="G3617">
        <v>8191</v>
      </c>
    </row>
  </sheetData>
  <sortState ref="A2:B190">
    <sortCondition descending="1" ref="B2:B190"/>
  </sortState>
  <pageMargins left="0.75" right="0.75" top="1" bottom="1" header="0.5" footer="0.5"/>
  <pageSetup paperSize="9" orientation="portrait" horizontalDpi="300" verticalDpi="300"/>
  <headerFooter alignWithMargins="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E67"/>
  <sheetViews>
    <sheetView zoomScaleNormal="100" workbookViewId="0">
      <pane ySplit="1" topLeftCell="A2" activePane="bottomLeft" state="frozen"/>
      <selection pane="bottomLeft"/>
    </sheetView>
  </sheetViews>
  <sheetFormatPr defaultColWidth="9.140625" defaultRowHeight="12.75" customHeight="1" x14ac:dyDescent="0.25"/>
  <cols>
    <col min="1" max="1" width="12.7109375" customWidth="1"/>
    <col min="2" max="2" width="11.140625" style="71" bestFit="1" customWidth="1"/>
    <col min="3" max="3" width="17" style="71" bestFit="1" customWidth="1"/>
    <col min="4" max="4" width="21.5703125" style="71" bestFit="1" customWidth="1"/>
  </cols>
  <sheetData>
    <row r="1" spans="1:5" ht="12.75" customHeight="1" x14ac:dyDescent="0.25">
      <c r="A1" t="s">
        <v>2</v>
      </c>
      <c r="B1" t="s">
        <v>81</v>
      </c>
      <c r="C1" t="s">
        <v>61</v>
      </c>
      <c r="D1" t="s">
        <v>80</v>
      </c>
      <c r="E1" t="s">
        <v>2004</v>
      </c>
    </row>
    <row r="2" spans="1:5" ht="15" x14ac:dyDescent="0.25">
      <c r="A2" t="s">
        <v>2479</v>
      </c>
      <c r="B2">
        <v>3146</v>
      </c>
      <c r="C2">
        <v>499420</v>
      </c>
      <c r="D2">
        <v>158.74761602034329</v>
      </c>
      <c r="E2" t="s">
        <v>2478</v>
      </c>
    </row>
    <row r="3" spans="1:5" ht="15" x14ac:dyDescent="0.25">
      <c r="A3" t="s">
        <v>2479</v>
      </c>
      <c r="B3">
        <v>299</v>
      </c>
      <c r="C3">
        <v>24553</v>
      </c>
      <c r="D3">
        <v>82.11705685618729</v>
      </c>
      <c r="E3" t="s">
        <v>2488</v>
      </c>
    </row>
    <row r="4" spans="1:5" ht="15" x14ac:dyDescent="0.25">
      <c r="A4" t="s">
        <v>2510</v>
      </c>
      <c r="B4">
        <v>101</v>
      </c>
      <c r="C4">
        <v>5422</v>
      </c>
      <c r="D4">
        <v>53.683168316831683</v>
      </c>
      <c r="E4" t="s">
        <v>2478</v>
      </c>
    </row>
    <row r="5" spans="1:5" ht="15" x14ac:dyDescent="0.25">
      <c r="A5" t="s">
        <v>2519</v>
      </c>
      <c r="B5">
        <v>68</v>
      </c>
      <c r="C5">
        <v>2415</v>
      </c>
      <c r="D5">
        <v>35.514705882352942</v>
      </c>
      <c r="E5" t="s">
        <v>2478</v>
      </c>
    </row>
    <row r="6" spans="1:5" ht="15" x14ac:dyDescent="0.25">
      <c r="A6" t="s">
        <v>2542</v>
      </c>
      <c r="B6">
        <v>513</v>
      </c>
      <c r="C6">
        <v>22790</v>
      </c>
      <c r="D6">
        <v>44.424951267056528</v>
      </c>
      <c r="E6" t="s">
        <v>2478</v>
      </c>
    </row>
    <row r="7" spans="1:5" ht="15" x14ac:dyDescent="0.25">
      <c r="A7" t="s">
        <v>2582</v>
      </c>
      <c r="B7">
        <v>66</v>
      </c>
      <c r="C7">
        <v>9812</v>
      </c>
      <c r="D7">
        <v>148.66666666666666</v>
      </c>
      <c r="E7" t="s">
        <v>2478</v>
      </c>
    </row>
    <row r="8" spans="1:5" ht="15" x14ac:dyDescent="0.25">
      <c r="A8" t="s">
        <v>2599</v>
      </c>
      <c r="B8">
        <v>159</v>
      </c>
      <c r="C8">
        <v>6484</v>
      </c>
      <c r="D8">
        <v>40.779874213836479</v>
      </c>
      <c r="E8" t="s">
        <v>2478</v>
      </c>
    </row>
    <row r="9" spans="1:5" ht="15" x14ac:dyDescent="0.25">
      <c r="A9" t="s">
        <v>2622</v>
      </c>
      <c r="B9">
        <v>19</v>
      </c>
      <c r="C9">
        <v>677</v>
      </c>
      <c r="D9">
        <v>35.631578947368418</v>
      </c>
      <c r="E9" t="s">
        <v>2478</v>
      </c>
    </row>
    <row r="10" spans="1:5" ht="15" x14ac:dyDescent="0.25">
      <c r="A10" t="s">
        <v>2479</v>
      </c>
      <c r="B10">
        <v>261</v>
      </c>
      <c r="C10">
        <v>13709</v>
      </c>
      <c r="D10">
        <v>52.524904214559385</v>
      </c>
      <c r="E10" t="s">
        <v>2631</v>
      </c>
    </row>
    <row r="11" spans="1:5" ht="15" x14ac:dyDescent="0.25">
      <c r="A11" t="s">
        <v>2639</v>
      </c>
      <c r="B11">
        <v>22</v>
      </c>
      <c r="C11">
        <v>799</v>
      </c>
      <c r="D11">
        <v>36.31818181818182</v>
      </c>
      <c r="E11" t="s">
        <v>2478</v>
      </c>
    </row>
    <row r="12" spans="1:5" ht="15" x14ac:dyDescent="0.25">
      <c r="A12" t="s">
        <v>2664</v>
      </c>
      <c r="B12">
        <v>1</v>
      </c>
      <c r="C12">
        <v>16</v>
      </c>
      <c r="D12">
        <v>16</v>
      </c>
      <c r="E12" t="s">
        <v>2478</v>
      </c>
    </row>
    <row r="13" spans="1:5" ht="15" x14ac:dyDescent="0.25">
      <c r="A13" t="s">
        <v>2748</v>
      </c>
      <c r="B13">
        <v>56</v>
      </c>
      <c r="C13">
        <v>2699</v>
      </c>
      <c r="D13">
        <v>48.196428571428569</v>
      </c>
      <c r="E13" t="s">
        <v>2478</v>
      </c>
    </row>
    <row r="14" spans="1:5" ht="15" x14ac:dyDescent="0.25">
      <c r="A14" t="s">
        <v>2786</v>
      </c>
      <c r="B14">
        <v>45</v>
      </c>
      <c r="C14">
        <v>1889</v>
      </c>
      <c r="D14">
        <v>41.977777777777774</v>
      </c>
      <c r="E14" t="s">
        <v>2478</v>
      </c>
    </row>
    <row r="15" spans="1:5" ht="15" x14ac:dyDescent="0.25">
      <c r="A15" t="s">
        <v>2850</v>
      </c>
      <c r="B15">
        <v>4</v>
      </c>
      <c r="C15">
        <v>181</v>
      </c>
      <c r="D15">
        <v>45.25</v>
      </c>
      <c r="E15" t="s">
        <v>2478</v>
      </c>
    </row>
    <row r="16" spans="1:5" ht="15" x14ac:dyDescent="0.25">
      <c r="A16" t="s">
        <v>2896</v>
      </c>
      <c r="B16">
        <v>47</v>
      </c>
      <c r="C16">
        <v>4460</v>
      </c>
      <c r="D16">
        <v>94.893617021276597</v>
      </c>
      <c r="E16" t="s">
        <v>2478</v>
      </c>
    </row>
    <row r="17" spans="1:5" ht="15" x14ac:dyDescent="0.25">
      <c r="A17" t="s">
        <v>2903</v>
      </c>
      <c r="B17">
        <v>60</v>
      </c>
      <c r="C17">
        <v>4616</v>
      </c>
      <c r="D17">
        <v>76.933333333333337</v>
      </c>
      <c r="E17" t="s">
        <v>2478</v>
      </c>
    </row>
    <row r="18" spans="1:5" ht="15" x14ac:dyDescent="0.25">
      <c r="A18" t="s">
        <v>2910</v>
      </c>
      <c r="B18">
        <v>82</v>
      </c>
      <c r="C18">
        <v>6089</v>
      </c>
      <c r="D18">
        <v>74.256097560975604</v>
      </c>
      <c r="E18" t="s">
        <v>2478</v>
      </c>
    </row>
    <row r="19" spans="1:5" ht="15" x14ac:dyDescent="0.25">
      <c r="A19" t="s">
        <v>2927</v>
      </c>
      <c r="B19">
        <v>43</v>
      </c>
      <c r="C19">
        <v>2767</v>
      </c>
      <c r="D19">
        <v>64.348837209302332</v>
      </c>
      <c r="E19" t="s">
        <v>2478</v>
      </c>
    </row>
    <row r="20" spans="1:5" ht="15" x14ac:dyDescent="0.25">
      <c r="A20" t="s">
        <v>2903</v>
      </c>
      <c r="B20">
        <v>10</v>
      </c>
      <c r="C20">
        <v>409</v>
      </c>
      <c r="D20">
        <v>40.9</v>
      </c>
      <c r="E20" t="s">
        <v>2631</v>
      </c>
    </row>
    <row r="21" spans="1:5" ht="15" x14ac:dyDescent="0.25">
      <c r="A21" t="s">
        <v>3025</v>
      </c>
      <c r="B21">
        <v>49</v>
      </c>
      <c r="C21">
        <v>4376</v>
      </c>
      <c r="D21">
        <v>89.306122448979593</v>
      </c>
      <c r="E21" t="s">
        <v>2478</v>
      </c>
    </row>
    <row r="22" spans="1:5" ht="15" x14ac:dyDescent="0.25">
      <c r="A22" t="s">
        <v>3170</v>
      </c>
      <c r="B22">
        <v>75</v>
      </c>
      <c r="C22">
        <v>2944</v>
      </c>
      <c r="D22">
        <v>39.25333333333333</v>
      </c>
      <c r="E22" t="s">
        <v>2478</v>
      </c>
    </row>
    <row r="23" spans="1:5" ht="15" x14ac:dyDescent="0.25">
      <c r="A23" t="s">
        <v>3186</v>
      </c>
      <c r="B23">
        <v>52</v>
      </c>
      <c r="C23">
        <v>3468</v>
      </c>
      <c r="D23">
        <v>66.692307692307693</v>
      </c>
      <c r="E23" t="s">
        <v>2478</v>
      </c>
    </row>
    <row r="24" spans="1:5" ht="15" x14ac:dyDescent="0.25">
      <c r="A24" t="s">
        <v>3273</v>
      </c>
      <c r="B24">
        <v>76</v>
      </c>
      <c r="C24">
        <v>4906</v>
      </c>
      <c r="D24">
        <v>64.55263157894737</v>
      </c>
      <c r="E24" t="s">
        <v>2478</v>
      </c>
    </row>
    <row r="25" spans="1:5" ht="15" x14ac:dyDescent="0.25">
      <c r="A25" t="s">
        <v>3273</v>
      </c>
      <c r="B25">
        <v>6</v>
      </c>
      <c r="C25">
        <v>235</v>
      </c>
      <c r="D25">
        <v>39.166666666666664</v>
      </c>
      <c r="E25" t="s">
        <v>2631</v>
      </c>
    </row>
    <row r="26" spans="1:5" ht="15" x14ac:dyDescent="0.25">
      <c r="A26" t="s">
        <v>3575</v>
      </c>
      <c r="B26">
        <v>99</v>
      </c>
      <c r="C26">
        <v>17572</v>
      </c>
      <c r="D26">
        <v>177.49494949494951</v>
      </c>
      <c r="E26" t="s">
        <v>2478</v>
      </c>
    </row>
    <row r="27" spans="1:5" ht="15" x14ac:dyDescent="0.25">
      <c r="A27" t="s">
        <v>3898</v>
      </c>
      <c r="B27">
        <v>41</v>
      </c>
      <c r="C27">
        <v>1620</v>
      </c>
      <c r="D27">
        <v>39.512195121951223</v>
      </c>
      <c r="E27" t="s">
        <v>2478</v>
      </c>
    </row>
    <row r="28" spans="1:5" ht="15" x14ac:dyDescent="0.25">
      <c r="A28" t="s">
        <v>3898</v>
      </c>
      <c r="B28">
        <v>3</v>
      </c>
      <c r="C28">
        <v>1411</v>
      </c>
      <c r="D28">
        <v>470.33333333333331</v>
      </c>
      <c r="E28" t="s">
        <v>2631</v>
      </c>
    </row>
    <row r="29" spans="1:5" ht="15" x14ac:dyDescent="0.25">
      <c r="A29" t="s">
        <v>4052</v>
      </c>
      <c r="B29">
        <v>46</v>
      </c>
      <c r="C29">
        <v>3066</v>
      </c>
      <c r="D29">
        <v>66.652173913043484</v>
      </c>
      <c r="E29" t="s">
        <v>2478</v>
      </c>
    </row>
    <row r="30" spans="1:5" ht="15" x14ac:dyDescent="0.25">
      <c r="A30" t="s">
        <v>4062</v>
      </c>
      <c r="B30">
        <v>26</v>
      </c>
      <c r="C30">
        <v>1454</v>
      </c>
      <c r="D30">
        <v>55.92307692307692</v>
      </c>
      <c r="E30" t="s">
        <v>2478</v>
      </c>
    </row>
    <row r="31" spans="1:5" ht="15" x14ac:dyDescent="0.25">
      <c r="A31" t="s">
        <v>2542</v>
      </c>
      <c r="B31">
        <v>30</v>
      </c>
      <c r="C31">
        <v>1619</v>
      </c>
      <c r="D31">
        <v>53.966666666666669</v>
      </c>
      <c r="E31" t="s">
        <v>2631</v>
      </c>
    </row>
    <row r="32" spans="1:5" ht="15" x14ac:dyDescent="0.25">
      <c r="A32" t="s">
        <v>2599</v>
      </c>
      <c r="B32">
        <v>15</v>
      </c>
      <c r="C32">
        <v>734</v>
      </c>
      <c r="D32">
        <v>48.93333333333333</v>
      </c>
      <c r="E32" t="s">
        <v>2631</v>
      </c>
    </row>
    <row r="33" spans="1:5" ht="15" x14ac:dyDescent="0.25">
      <c r="A33" t="s">
        <v>4523</v>
      </c>
      <c r="B33">
        <v>41</v>
      </c>
      <c r="C33">
        <v>1888</v>
      </c>
      <c r="D33">
        <v>46.048780487804876</v>
      </c>
      <c r="E33" t="s">
        <v>2478</v>
      </c>
    </row>
    <row r="34" spans="1:5" ht="15" x14ac:dyDescent="0.25">
      <c r="A34" t="s">
        <v>4567</v>
      </c>
      <c r="B34">
        <v>3</v>
      </c>
      <c r="C34">
        <v>143</v>
      </c>
      <c r="D34">
        <v>47.666666666666664</v>
      </c>
      <c r="E34" t="s">
        <v>2478</v>
      </c>
    </row>
    <row r="35" spans="1:5" ht="15" x14ac:dyDescent="0.25">
      <c r="A35" t="s">
        <v>4935</v>
      </c>
      <c r="B35">
        <v>5</v>
      </c>
      <c r="C35">
        <v>1192</v>
      </c>
      <c r="D35">
        <v>238.4</v>
      </c>
      <c r="E35" t="s">
        <v>2478</v>
      </c>
    </row>
    <row r="36" spans="1:5" ht="15" x14ac:dyDescent="0.25">
      <c r="A36" t="s">
        <v>4963</v>
      </c>
      <c r="B36">
        <v>6</v>
      </c>
      <c r="C36">
        <v>323</v>
      </c>
      <c r="D36">
        <v>53.833333333333336</v>
      </c>
      <c r="E36" t="s">
        <v>2478</v>
      </c>
    </row>
    <row r="37" spans="1:5" ht="15" x14ac:dyDescent="0.25">
      <c r="A37" t="s">
        <v>4062</v>
      </c>
      <c r="B37">
        <v>4</v>
      </c>
      <c r="C37">
        <v>168</v>
      </c>
      <c r="D37">
        <v>42</v>
      </c>
      <c r="E37" t="s">
        <v>2631</v>
      </c>
    </row>
    <row r="38" spans="1:5" ht="15" x14ac:dyDescent="0.25">
      <c r="A38" t="s">
        <v>3170</v>
      </c>
      <c r="B38">
        <v>7</v>
      </c>
      <c r="C38">
        <v>227</v>
      </c>
      <c r="D38">
        <v>32.428571428571431</v>
      </c>
      <c r="E38" t="s">
        <v>2631</v>
      </c>
    </row>
    <row r="39" spans="1:5" ht="15" x14ac:dyDescent="0.25">
      <c r="A39" t="s">
        <v>5389</v>
      </c>
      <c r="B39">
        <v>2</v>
      </c>
      <c r="C39">
        <v>62</v>
      </c>
      <c r="D39">
        <v>31</v>
      </c>
      <c r="E39" t="s">
        <v>2478</v>
      </c>
    </row>
    <row r="40" spans="1:5" ht="15" x14ac:dyDescent="0.25">
      <c r="A40" t="s">
        <v>5447</v>
      </c>
      <c r="B40">
        <v>4</v>
      </c>
      <c r="C40">
        <v>1206</v>
      </c>
      <c r="D40">
        <v>301.5</v>
      </c>
      <c r="E40" t="s">
        <v>2478</v>
      </c>
    </row>
    <row r="41" spans="1:5" ht="15" x14ac:dyDescent="0.25">
      <c r="A41" t="s">
        <v>2510</v>
      </c>
      <c r="B41">
        <v>12</v>
      </c>
      <c r="C41">
        <v>575</v>
      </c>
      <c r="D41">
        <v>47.916666666666664</v>
      </c>
      <c r="E41" t="s">
        <v>2631</v>
      </c>
    </row>
    <row r="42" spans="1:5" ht="15" x14ac:dyDescent="0.25">
      <c r="A42" t="s">
        <v>5670</v>
      </c>
      <c r="B42">
        <v>32</v>
      </c>
      <c r="C42">
        <v>2537</v>
      </c>
      <c r="D42">
        <v>79.28125</v>
      </c>
      <c r="E42" t="s">
        <v>2478</v>
      </c>
    </row>
    <row r="43" spans="1:5" ht="15" x14ac:dyDescent="0.25">
      <c r="A43" t="s">
        <v>2927</v>
      </c>
      <c r="B43">
        <v>5</v>
      </c>
      <c r="C43">
        <v>273</v>
      </c>
      <c r="D43">
        <v>54.6</v>
      </c>
      <c r="E43" t="s">
        <v>2631</v>
      </c>
    </row>
    <row r="44" spans="1:5" ht="15" x14ac:dyDescent="0.25">
      <c r="A44" t="s">
        <v>3575</v>
      </c>
      <c r="B44">
        <v>8</v>
      </c>
      <c r="C44">
        <v>244</v>
      </c>
      <c r="D44">
        <v>30.5</v>
      </c>
      <c r="E44" t="s">
        <v>2631</v>
      </c>
    </row>
    <row r="45" spans="1:5" ht="15" x14ac:dyDescent="0.25">
      <c r="A45" t="s">
        <v>2622</v>
      </c>
      <c r="B45">
        <v>2</v>
      </c>
      <c r="C45">
        <v>146</v>
      </c>
      <c r="D45">
        <v>73</v>
      </c>
      <c r="E45" t="s">
        <v>2631</v>
      </c>
    </row>
    <row r="46" spans="1:5" ht="15" x14ac:dyDescent="0.25">
      <c r="A46" t="s">
        <v>8141</v>
      </c>
      <c r="B46">
        <v>1</v>
      </c>
      <c r="C46">
        <v>69</v>
      </c>
      <c r="D46">
        <v>69</v>
      </c>
      <c r="E46" t="s">
        <v>2478</v>
      </c>
    </row>
    <row r="47" spans="1:5" ht="15" x14ac:dyDescent="0.25">
      <c r="A47" t="s">
        <v>8378</v>
      </c>
      <c r="B47">
        <v>7</v>
      </c>
      <c r="C47">
        <v>224</v>
      </c>
      <c r="D47">
        <v>32</v>
      </c>
      <c r="E47" t="s">
        <v>2478</v>
      </c>
    </row>
    <row r="48" spans="1:5" ht="15" x14ac:dyDescent="0.25">
      <c r="A48" t="s">
        <v>2748</v>
      </c>
      <c r="B48">
        <v>5</v>
      </c>
      <c r="C48">
        <v>187</v>
      </c>
      <c r="D48">
        <v>37.4</v>
      </c>
      <c r="E48" t="s">
        <v>2631</v>
      </c>
    </row>
    <row r="49" spans="1:5" ht="15" x14ac:dyDescent="0.25">
      <c r="A49" t="s">
        <v>10083</v>
      </c>
      <c r="B49">
        <v>2</v>
      </c>
      <c r="C49">
        <v>55</v>
      </c>
      <c r="D49">
        <v>27.5</v>
      </c>
      <c r="E49" t="s">
        <v>2631</v>
      </c>
    </row>
    <row r="50" spans="1:5" ht="15" x14ac:dyDescent="0.25">
      <c r="A50" t="s">
        <v>4052</v>
      </c>
      <c r="B50">
        <v>6</v>
      </c>
      <c r="C50">
        <v>171</v>
      </c>
      <c r="D50">
        <v>28.5</v>
      </c>
      <c r="E50" t="s">
        <v>2631</v>
      </c>
    </row>
    <row r="51" spans="1:5" ht="15" x14ac:dyDescent="0.25">
      <c r="A51" t="s">
        <v>4523</v>
      </c>
      <c r="B51">
        <v>2</v>
      </c>
      <c r="C51">
        <v>147</v>
      </c>
      <c r="D51">
        <v>73.5</v>
      </c>
      <c r="E51" t="s">
        <v>2631</v>
      </c>
    </row>
    <row r="52" spans="1:5" ht="15" x14ac:dyDescent="0.25">
      <c r="A52" t="s">
        <v>13274</v>
      </c>
      <c r="B52">
        <v>10</v>
      </c>
      <c r="C52">
        <v>632</v>
      </c>
      <c r="D52">
        <v>63.2</v>
      </c>
      <c r="E52" t="s">
        <v>2478</v>
      </c>
    </row>
    <row r="53" spans="1:5" ht="15" x14ac:dyDescent="0.25">
      <c r="A53" t="s">
        <v>2582</v>
      </c>
      <c r="B53">
        <v>2</v>
      </c>
      <c r="C53">
        <v>60</v>
      </c>
      <c r="D53">
        <v>30</v>
      </c>
      <c r="E53" t="s">
        <v>2631</v>
      </c>
    </row>
    <row r="54" spans="1:5" ht="15" x14ac:dyDescent="0.25">
      <c r="A54" t="s">
        <v>5670</v>
      </c>
      <c r="B54">
        <v>4</v>
      </c>
      <c r="C54">
        <v>116</v>
      </c>
      <c r="D54">
        <v>29</v>
      </c>
      <c r="E54" t="s">
        <v>2631</v>
      </c>
    </row>
    <row r="55" spans="1:5" ht="15" x14ac:dyDescent="0.25">
      <c r="A55" t="s">
        <v>3186</v>
      </c>
      <c r="B55">
        <v>1</v>
      </c>
      <c r="C55">
        <v>34</v>
      </c>
      <c r="D55">
        <v>34</v>
      </c>
      <c r="E55" t="s">
        <v>2631</v>
      </c>
    </row>
    <row r="56" spans="1:5" ht="15" x14ac:dyDescent="0.25">
      <c r="A56" t="s">
        <v>2786</v>
      </c>
      <c r="B56">
        <v>6</v>
      </c>
      <c r="C56">
        <v>610</v>
      </c>
      <c r="D56">
        <v>101.66666666666667</v>
      </c>
      <c r="E56" t="s">
        <v>2631</v>
      </c>
    </row>
    <row r="57" spans="1:5" ht="15" x14ac:dyDescent="0.25">
      <c r="A57" t="s">
        <v>16088</v>
      </c>
      <c r="B57">
        <v>1</v>
      </c>
      <c r="C57">
        <v>98</v>
      </c>
      <c r="D57">
        <v>98</v>
      </c>
      <c r="E57" t="s">
        <v>2478</v>
      </c>
    </row>
    <row r="58" spans="1:5" ht="15" x14ac:dyDescent="0.25">
      <c r="A58" t="s">
        <v>10083</v>
      </c>
      <c r="B58">
        <v>3</v>
      </c>
      <c r="C58">
        <v>233</v>
      </c>
      <c r="D58">
        <v>77.666666666666671</v>
      </c>
      <c r="E58" t="s">
        <v>2478</v>
      </c>
    </row>
    <row r="59" spans="1:5" ht="15" x14ac:dyDescent="0.25">
      <c r="A59" t="s">
        <v>2910</v>
      </c>
      <c r="B59">
        <v>4</v>
      </c>
      <c r="C59">
        <v>176</v>
      </c>
      <c r="D59">
        <v>44</v>
      </c>
      <c r="E59" t="s">
        <v>2631</v>
      </c>
    </row>
    <row r="60" spans="1:5" ht="15" x14ac:dyDescent="0.25">
      <c r="A60" t="s">
        <v>20907</v>
      </c>
      <c r="B60">
        <v>1</v>
      </c>
      <c r="C60">
        <v>101</v>
      </c>
      <c r="D60">
        <v>101</v>
      </c>
      <c r="E60" t="s">
        <v>2478</v>
      </c>
    </row>
    <row r="61" spans="1:5" ht="15" x14ac:dyDescent="0.25">
      <c r="A61" t="s">
        <v>13274</v>
      </c>
      <c r="B61">
        <v>1</v>
      </c>
      <c r="C61">
        <v>70</v>
      </c>
      <c r="D61">
        <v>70</v>
      </c>
      <c r="E61" t="s">
        <v>2631</v>
      </c>
    </row>
    <row r="62" spans="1:5" ht="15" x14ac:dyDescent="0.25">
      <c r="A62" t="s">
        <v>3025</v>
      </c>
      <c r="B62">
        <v>2</v>
      </c>
      <c r="C62">
        <v>88</v>
      </c>
      <c r="D62">
        <v>44</v>
      </c>
      <c r="E62" t="s">
        <v>2631</v>
      </c>
    </row>
    <row r="63" spans="1:5" ht="15" x14ac:dyDescent="0.25">
      <c r="A63" t="s">
        <v>2519</v>
      </c>
      <c r="B63">
        <v>1</v>
      </c>
      <c r="C63">
        <v>26</v>
      </c>
      <c r="D63">
        <v>26</v>
      </c>
      <c r="E63" t="s">
        <v>2631</v>
      </c>
    </row>
    <row r="64" spans="1:5" ht="15" x14ac:dyDescent="0.25">
      <c r="A64" t="s">
        <v>2896</v>
      </c>
      <c r="B64">
        <v>2</v>
      </c>
      <c r="C64">
        <v>107</v>
      </c>
      <c r="D64">
        <v>53.5</v>
      </c>
      <c r="E64" t="s">
        <v>2631</v>
      </c>
    </row>
    <row r="65" spans="1:5" ht="15" x14ac:dyDescent="0.25">
      <c r="A65" t="s">
        <v>23469</v>
      </c>
      <c r="B65">
        <v>3</v>
      </c>
      <c r="C65">
        <v>89</v>
      </c>
      <c r="D65">
        <v>29.666666666666668</v>
      </c>
      <c r="E65" t="s">
        <v>2478</v>
      </c>
    </row>
    <row r="66" spans="1:5" ht="15" x14ac:dyDescent="0.25">
      <c r="A66" t="s">
        <v>24131</v>
      </c>
      <c r="B66">
        <v>1</v>
      </c>
      <c r="C66">
        <v>11</v>
      </c>
      <c r="D66">
        <v>11</v>
      </c>
      <c r="E66" t="s">
        <v>2478</v>
      </c>
    </row>
    <row r="67" spans="1:5" ht="15" x14ac:dyDescent="0.25">
      <c r="A67" t="s">
        <v>26532</v>
      </c>
      <c r="B67">
        <v>1</v>
      </c>
      <c r="C67">
        <v>9</v>
      </c>
      <c r="D67">
        <v>9</v>
      </c>
      <c r="E67" t="s">
        <v>2478</v>
      </c>
    </row>
  </sheetData>
  <pageMargins left="0.75" right="0.75" top="1" bottom="1" header="0.5" footer="0.5"/>
  <pageSetup paperSize="9" orientation="portrait" horizontalDpi="300" verticalDpi="300"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D11201"/>
  <sheetViews>
    <sheetView zoomScaleNormal="100" workbookViewId="0">
      <pane ySplit="1" topLeftCell="A2" activePane="bottomLeft" state="frozen"/>
      <selection pane="bottomLeft"/>
    </sheetView>
  </sheetViews>
  <sheetFormatPr defaultColWidth="9.140625" defaultRowHeight="12.75" customHeight="1" x14ac:dyDescent="0.25"/>
  <cols>
    <col min="1" max="1" width="21.42578125" bestFit="1" customWidth="1"/>
    <col min="2" max="2" width="14" bestFit="1" customWidth="1"/>
    <col min="3" max="3" width="17" bestFit="1" customWidth="1"/>
    <col min="4" max="4" width="21.5703125" bestFit="1" customWidth="1"/>
  </cols>
  <sheetData>
    <row r="1" spans="1:4" ht="12.75" customHeight="1" x14ac:dyDescent="0.25">
      <c r="A1" t="s">
        <v>2016</v>
      </c>
      <c r="B1" t="s">
        <v>2017</v>
      </c>
      <c r="C1" t="s">
        <v>61</v>
      </c>
      <c r="D1" t="s">
        <v>2009</v>
      </c>
    </row>
    <row r="2" spans="1:4" ht="15" x14ac:dyDescent="0.25">
      <c r="A2" t="s">
        <v>2480</v>
      </c>
      <c r="B2">
        <v>1</v>
      </c>
      <c r="C2">
        <v>56</v>
      </c>
      <c r="D2">
        <v>56</v>
      </c>
    </row>
    <row r="3" spans="1:4" ht="15" x14ac:dyDescent="0.25">
      <c r="A3" t="s">
        <v>2481</v>
      </c>
      <c r="B3">
        <v>1</v>
      </c>
      <c r="C3">
        <v>56</v>
      </c>
      <c r="D3">
        <v>56</v>
      </c>
    </row>
    <row r="4" spans="1:4" ht="15" x14ac:dyDescent="0.25">
      <c r="A4" t="s">
        <v>2483</v>
      </c>
      <c r="B4">
        <v>12</v>
      </c>
      <c r="C4">
        <v>646</v>
      </c>
      <c r="D4">
        <v>53.833333333333336</v>
      </c>
    </row>
    <row r="5" spans="1:4" ht="15" x14ac:dyDescent="0.25">
      <c r="A5" t="s">
        <v>2484</v>
      </c>
      <c r="B5">
        <v>1</v>
      </c>
      <c r="C5">
        <v>56</v>
      </c>
      <c r="D5">
        <v>56</v>
      </c>
    </row>
    <row r="6" spans="1:4" ht="15" x14ac:dyDescent="0.25">
      <c r="A6" t="s">
        <v>2482</v>
      </c>
      <c r="B6">
        <v>2</v>
      </c>
      <c r="C6">
        <v>115</v>
      </c>
      <c r="D6">
        <v>57.5</v>
      </c>
    </row>
    <row r="7" spans="1:4" ht="15" x14ac:dyDescent="0.25">
      <c r="A7" t="s">
        <v>2489</v>
      </c>
      <c r="B7">
        <v>1</v>
      </c>
      <c r="C7">
        <v>65</v>
      </c>
      <c r="D7">
        <v>65</v>
      </c>
    </row>
    <row r="8" spans="1:4" ht="15" x14ac:dyDescent="0.25">
      <c r="A8" t="s">
        <v>2490</v>
      </c>
      <c r="B8">
        <v>2</v>
      </c>
      <c r="C8">
        <v>83</v>
      </c>
      <c r="D8">
        <v>41.5</v>
      </c>
    </row>
    <row r="9" spans="1:4" ht="15" x14ac:dyDescent="0.25">
      <c r="A9" t="s">
        <v>2492</v>
      </c>
      <c r="B9">
        <v>212</v>
      </c>
      <c r="C9">
        <v>10475</v>
      </c>
      <c r="D9">
        <v>49.410377358490564</v>
      </c>
    </row>
    <row r="10" spans="1:4" ht="15" x14ac:dyDescent="0.25">
      <c r="A10" t="s">
        <v>2493</v>
      </c>
      <c r="B10">
        <v>26</v>
      </c>
      <c r="C10">
        <v>1079</v>
      </c>
      <c r="D10">
        <v>41.5</v>
      </c>
    </row>
    <row r="11" spans="1:4" ht="15" x14ac:dyDescent="0.25">
      <c r="A11" t="s">
        <v>2491</v>
      </c>
      <c r="B11">
        <v>10</v>
      </c>
      <c r="C11">
        <v>758</v>
      </c>
      <c r="D11">
        <v>75.8</v>
      </c>
    </row>
    <row r="12" spans="1:4" ht="15" x14ac:dyDescent="0.25">
      <c r="A12" t="s">
        <v>2497</v>
      </c>
      <c r="B12">
        <v>2478</v>
      </c>
      <c r="C12">
        <v>187384</v>
      </c>
      <c r="D12">
        <v>75.61904761904762</v>
      </c>
    </row>
    <row r="13" spans="1:4" ht="15" x14ac:dyDescent="0.25">
      <c r="A13" t="s">
        <v>2498</v>
      </c>
      <c r="B13">
        <v>1</v>
      </c>
      <c r="C13">
        <v>17</v>
      </c>
      <c r="D13">
        <v>17</v>
      </c>
    </row>
    <row r="14" spans="1:4" ht="15" x14ac:dyDescent="0.25">
      <c r="A14" t="s">
        <v>2500</v>
      </c>
      <c r="B14">
        <v>1</v>
      </c>
      <c r="C14">
        <v>17</v>
      </c>
      <c r="D14">
        <v>17</v>
      </c>
    </row>
    <row r="15" spans="1:4" ht="15" x14ac:dyDescent="0.25">
      <c r="A15" t="s">
        <v>2501</v>
      </c>
      <c r="B15">
        <v>1</v>
      </c>
      <c r="C15">
        <v>17</v>
      </c>
      <c r="D15">
        <v>17</v>
      </c>
    </row>
    <row r="16" spans="1:4" ht="15" x14ac:dyDescent="0.25">
      <c r="A16" t="s">
        <v>2499</v>
      </c>
      <c r="B16">
        <v>1</v>
      </c>
      <c r="C16">
        <v>17</v>
      </c>
      <c r="D16">
        <v>17</v>
      </c>
    </row>
    <row r="17" spans="1:4" ht="15" x14ac:dyDescent="0.25">
      <c r="A17" t="s">
        <v>2505</v>
      </c>
      <c r="B17">
        <v>1</v>
      </c>
      <c r="C17">
        <v>120</v>
      </c>
      <c r="D17">
        <v>120</v>
      </c>
    </row>
    <row r="18" spans="1:4" ht="15" x14ac:dyDescent="0.25">
      <c r="A18" t="s">
        <v>2506</v>
      </c>
      <c r="B18">
        <v>1</v>
      </c>
      <c r="C18">
        <v>120</v>
      </c>
      <c r="D18">
        <v>120</v>
      </c>
    </row>
    <row r="19" spans="1:4" ht="15" x14ac:dyDescent="0.25">
      <c r="A19" t="s">
        <v>2511</v>
      </c>
      <c r="B19">
        <v>11</v>
      </c>
      <c r="C19">
        <v>681</v>
      </c>
      <c r="D19">
        <v>61.909090909090907</v>
      </c>
    </row>
    <row r="20" spans="1:4" ht="15" x14ac:dyDescent="0.25">
      <c r="A20" t="s">
        <v>2512</v>
      </c>
      <c r="B20">
        <v>4</v>
      </c>
      <c r="C20">
        <v>252</v>
      </c>
      <c r="D20">
        <v>63</v>
      </c>
    </row>
    <row r="21" spans="1:4" ht="15" x14ac:dyDescent="0.25">
      <c r="A21" t="s">
        <v>2514</v>
      </c>
      <c r="B21">
        <v>2</v>
      </c>
      <c r="C21">
        <v>133</v>
      </c>
      <c r="D21">
        <v>66.5</v>
      </c>
    </row>
    <row r="22" spans="1:4" ht="15" x14ac:dyDescent="0.25">
      <c r="A22" t="s">
        <v>2515</v>
      </c>
      <c r="B22">
        <v>7</v>
      </c>
      <c r="C22">
        <v>312</v>
      </c>
      <c r="D22">
        <v>44.571428571428569</v>
      </c>
    </row>
    <row r="23" spans="1:4" ht="15" x14ac:dyDescent="0.25">
      <c r="A23" t="s">
        <v>2513</v>
      </c>
      <c r="B23">
        <v>131</v>
      </c>
      <c r="C23">
        <v>8031</v>
      </c>
      <c r="D23">
        <v>61.305343511450381</v>
      </c>
    </row>
    <row r="24" spans="1:4" ht="15" x14ac:dyDescent="0.25">
      <c r="A24" t="s">
        <v>2520</v>
      </c>
      <c r="B24">
        <v>8</v>
      </c>
      <c r="C24">
        <v>231</v>
      </c>
      <c r="D24">
        <v>28.875</v>
      </c>
    </row>
    <row r="25" spans="1:4" ht="15" x14ac:dyDescent="0.25">
      <c r="A25" t="s">
        <v>2521</v>
      </c>
      <c r="B25">
        <v>6</v>
      </c>
      <c r="C25">
        <v>215</v>
      </c>
      <c r="D25">
        <v>35.833333333333336</v>
      </c>
    </row>
    <row r="26" spans="1:4" ht="15" x14ac:dyDescent="0.25">
      <c r="A26" t="s">
        <v>2523</v>
      </c>
      <c r="B26">
        <v>4</v>
      </c>
      <c r="C26">
        <v>85</v>
      </c>
      <c r="D26">
        <v>21.25</v>
      </c>
    </row>
    <row r="27" spans="1:4" ht="15" x14ac:dyDescent="0.25">
      <c r="A27" t="s">
        <v>2524</v>
      </c>
      <c r="B27">
        <v>17</v>
      </c>
      <c r="C27">
        <v>469</v>
      </c>
      <c r="D27">
        <v>27.588235294117649</v>
      </c>
    </row>
    <row r="28" spans="1:4" ht="15" x14ac:dyDescent="0.25">
      <c r="A28" t="s">
        <v>2522</v>
      </c>
      <c r="B28">
        <v>2</v>
      </c>
      <c r="C28">
        <v>52</v>
      </c>
      <c r="D28">
        <v>26</v>
      </c>
    </row>
    <row r="29" spans="1:4" ht="15" x14ac:dyDescent="0.25">
      <c r="A29" t="s">
        <v>2529</v>
      </c>
      <c r="B29">
        <v>34</v>
      </c>
      <c r="C29">
        <v>2096</v>
      </c>
      <c r="D29">
        <v>61.647058823529413</v>
      </c>
    </row>
    <row r="30" spans="1:4" ht="15" x14ac:dyDescent="0.25">
      <c r="A30" t="s">
        <v>2530</v>
      </c>
      <c r="B30">
        <v>1</v>
      </c>
      <c r="C30">
        <v>114</v>
      </c>
      <c r="D30">
        <v>114</v>
      </c>
    </row>
    <row r="31" spans="1:4" ht="15" x14ac:dyDescent="0.25">
      <c r="A31" t="s">
        <v>2532</v>
      </c>
      <c r="B31">
        <v>1</v>
      </c>
      <c r="C31">
        <v>114</v>
      </c>
      <c r="D31">
        <v>114</v>
      </c>
    </row>
    <row r="32" spans="1:4" ht="15" x14ac:dyDescent="0.25">
      <c r="A32" t="s">
        <v>2533</v>
      </c>
      <c r="B32">
        <v>1</v>
      </c>
      <c r="C32">
        <v>114</v>
      </c>
      <c r="D32">
        <v>114</v>
      </c>
    </row>
    <row r="33" spans="1:4" ht="15" x14ac:dyDescent="0.25">
      <c r="A33" t="s">
        <v>2531</v>
      </c>
      <c r="B33">
        <v>1</v>
      </c>
      <c r="C33">
        <v>114</v>
      </c>
      <c r="D33">
        <v>114</v>
      </c>
    </row>
    <row r="34" spans="1:4" ht="15" x14ac:dyDescent="0.25">
      <c r="A34" t="s">
        <v>2537</v>
      </c>
      <c r="B34">
        <v>1</v>
      </c>
      <c r="C34">
        <v>7</v>
      </c>
      <c r="D34">
        <v>7</v>
      </c>
    </row>
    <row r="35" spans="1:4" ht="15" x14ac:dyDescent="0.25">
      <c r="A35" t="s">
        <v>2538</v>
      </c>
      <c r="B35">
        <v>1</v>
      </c>
      <c r="C35">
        <v>7</v>
      </c>
      <c r="D35">
        <v>7</v>
      </c>
    </row>
    <row r="36" spans="1:4" ht="15" x14ac:dyDescent="0.25">
      <c r="A36" t="s">
        <v>2543</v>
      </c>
      <c r="B36">
        <v>18</v>
      </c>
      <c r="C36">
        <v>602</v>
      </c>
      <c r="D36">
        <v>33.444444444444443</v>
      </c>
    </row>
    <row r="37" spans="1:4" ht="15" x14ac:dyDescent="0.25">
      <c r="A37" t="s">
        <v>2544</v>
      </c>
      <c r="B37">
        <v>8</v>
      </c>
      <c r="C37">
        <v>265</v>
      </c>
      <c r="D37">
        <v>33.125</v>
      </c>
    </row>
    <row r="38" spans="1:4" ht="15" x14ac:dyDescent="0.25">
      <c r="A38" t="s">
        <v>2546</v>
      </c>
      <c r="B38">
        <v>3</v>
      </c>
      <c r="C38">
        <v>97</v>
      </c>
      <c r="D38">
        <v>32.333333333333336</v>
      </c>
    </row>
    <row r="39" spans="1:4" ht="15" x14ac:dyDescent="0.25">
      <c r="A39" t="s">
        <v>2547</v>
      </c>
      <c r="B39">
        <v>16</v>
      </c>
      <c r="C39">
        <v>1552</v>
      </c>
      <c r="D39">
        <v>97</v>
      </c>
    </row>
    <row r="40" spans="1:4" ht="15" x14ac:dyDescent="0.25">
      <c r="A40" t="s">
        <v>2545</v>
      </c>
      <c r="B40">
        <v>1</v>
      </c>
      <c r="C40">
        <v>31</v>
      </c>
      <c r="D40">
        <v>31</v>
      </c>
    </row>
    <row r="41" spans="1:4" ht="15" x14ac:dyDescent="0.25">
      <c r="A41" t="s">
        <v>2551</v>
      </c>
      <c r="B41">
        <v>39</v>
      </c>
      <c r="C41">
        <v>1402</v>
      </c>
      <c r="D41">
        <v>35.948717948717949</v>
      </c>
    </row>
    <row r="42" spans="1:4" ht="15" x14ac:dyDescent="0.25">
      <c r="A42" t="s">
        <v>2553</v>
      </c>
      <c r="B42">
        <v>2</v>
      </c>
      <c r="C42">
        <v>93</v>
      </c>
      <c r="D42">
        <v>46.5</v>
      </c>
    </row>
    <row r="43" spans="1:4" ht="15" x14ac:dyDescent="0.25">
      <c r="A43" t="s">
        <v>2554</v>
      </c>
      <c r="B43">
        <v>25</v>
      </c>
      <c r="C43">
        <v>1782</v>
      </c>
      <c r="D43">
        <v>71.28</v>
      </c>
    </row>
    <row r="44" spans="1:4" ht="15" x14ac:dyDescent="0.25">
      <c r="A44" t="s">
        <v>2552</v>
      </c>
      <c r="B44">
        <v>3</v>
      </c>
      <c r="C44">
        <v>92</v>
      </c>
      <c r="D44">
        <v>30.666666666666668</v>
      </c>
    </row>
    <row r="45" spans="1:4" ht="15" x14ac:dyDescent="0.25">
      <c r="A45" t="s">
        <v>2558</v>
      </c>
      <c r="B45">
        <v>1</v>
      </c>
      <c r="C45">
        <v>34</v>
      </c>
      <c r="D45">
        <v>34</v>
      </c>
    </row>
    <row r="46" spans="1:4" ht="15" x14ac:dyDescent="0.25">
      <c r="A46" t="s">
        <v>2559</v>
      </c>
      <c r="B46">
        <v>9</v>
      </c>
      <c r="C46">
        <v>279</v>
      </c>
      <c r="D46">
        <v>31</v>
      </c>
    </row>
    <row r="47" spans="1:4" ht="15" x14ac:dyDescent="0.25">
      <c r="A47" t="s">
        <v>2561</v>
      </c>
      <c r="B47">
        <v>1</v>
      </c>
      <c r="C47">
        <v>34</v>
      </c>
      <c r="D47">
        <v>34</v>
      </c>
    </row>
    <row r="48" spans="1:4" ht="15" x14ac:dyDescent="0.25">
      <c r="A48" t="s">
        <v>2562</v>
      </c>
      <c r="B48">
        <v>46</v>
      </c>
      <c r="C48">
        <v>1210</v>
      </c>
      <c r="D48">
        <v>26.304347826086957</v>
      </c>
    </row>
    <row r="49" spans="1:4" ht="15" x14ac:dyDescent="0.25">
      <c r="A49" t="s">
        <v>2560</v>
      </c>
      <c r="B49">
        <v>2</v>
      </c>
      <c r="C49">
        <v>187</v>
      </c>
      <c r="D49">
        <v>93.5</v>
      </c>
    </row>
    <row r="50" spans="1:4" ht="15" x14ac:dyDescent="0.25">
      <c r="A50" t="s">
        <v>2567</v>
      </c>
      <c r="B50">
        <v>3</v>
      </c>
      <c r="C50">
        <v>120</v>
      </c>
      <c r="D50">
        <v>40</v>
      </c>
    </row>
    <row r="51" spans="1:4" ht="15" x14ac:dyDescent="0.25">
      <c r="A51" t="s">
        <v>2569</v>
      </c>
      <c r="B51">
        <v>1</v>
      </c>
      <c r="C51">
        <v>17</v>
      </c>
      <c r="D51">
        <v>17</v>
      </c>
    </row>
    <row r="52" spans="1:4" ht="15" x14ac:dyDescent="0.25">
      <c r="A52" t="s">
        <v>2570</v>
      </c>
      <c r="B52">
        <v>2</v>
      </c>
      <c r="C52">
        <v>117</v>
      </c>
      <c r="D52">
        <v>58.5</v>
      </c>
    </row>
    <row r="53" spans="1:4" ht="15" x14ac:dyDescent="0.25">
      <c r="A53" t="s">
        <v>2568</v>
      </c>
      <c r="B53">
        <v>1</v>
      </c>
      <c r="C53">
        <v>17</v>
      </c>
      <c r="D53">
        <v>17</v>
      </c>
    </row>
    <row r="54" spans="1:4" ht="15" x14ac:dyDescent="0.25">
      <c r="A54" t="s">
        <v>2574</v>
      </c>
      <c r="B54">
        <v>10</v>
      </c>
      <c r="C54">
        <v>961</v>
      </c>
      <c r="D54">
        <v>96.1</v>
      </c>
    </row>
    <row r="55" spans="1:4" ht="15" x14ac:dyDescent="0.25">
      <c r="A55" t="s">
        <v>2575</v>
      </c>
      <c r="B55">
        <v>31</v>
      </c>
      <c r="C55">
        <v>2187</v>
      </c>
      <c r="D55">
        <v>70.548387096774192</v>
      </c>
    </row>
    <row r="56" spans="1:4" ht="15" x14ac:dyDescent="0.25">
      <c r="A56" t="s">
        <v>2577</v>
      </c>
      <c r="B56">
        <v>14</v>
      </c>
      <c r="C56">
        <v>1226</v>
      </c>
      <c r="D56">
        <v>87.571428571428569</v>
      </c>
    </row>
    <row r="57" spans="1:4" ht="15" x14ac:dyDescent="0.25">
      <c r="A57" t="s">
        <v>2578</v>
      </c>
      <c r="B57">
        <v>1</v>
      </c>
      <c r="C57">
        <v>98</v>
      </c>
      <c r="D57">
        <v>98</v>
      </c>
    </row>
    <row r="58" spans="1:4" ht="15" x14ac:dyDescent="0.25">
      <c r="A58" t="s">
        <v>2576</v>
      </c>
      <c r="B58">
        <v>9</v>
      </c>
      <c r="C58">
        <v>537</v>
      </c>
      <c r="D58">
        <v>59.666666666666664</v>
      </c>
    </row>
    <row r="59" spans="1:4" ht="15" x14ac:dyDescent="0.25">
      <c r="A59" t="s">
        <v>2583</v>
      </c>
      <c r="B59">
        <v>1</v>
      </c>
      <c r="C59">
        <v>43</v>
      </c>
      <c r="D59">
        <v>43</v>
      </c>
    </row>
    <row r="60" spans="1:4" ht="15" x14ac:dyDescent="0.25">
      <c r="A60" t="s">
        <v>2584</v>
      </c>
      <c r="B60">
        <v>1</v>
      </c>
      <c r="C60">
        <v>43</v>
      </c>
      <c r="D60">
        <v>43</v>
      </c>
    </row>
    <row r="61" spans="1:4" ht="15" x14ac:dyDescent="0.25">
      <c r="A61" t="s">
        <v>2586</v>
      </c>
      <c r="B61">
        <v>1</v>
      </c>
      <c r="C61">
        <v>43</v>
      </c>
      <c r="D61">
        <v>43</v>
      </c>
    </row>
    <row r="62" spans="1:4" ht="15" x14ac:dyDescent="0.25">
      <c r="A62" t="s">
        <v>2587</v>
      </c>
      <c r="B62">
        <v>2</v>
      </c>
      <c r="C62">
        <v>203</v>
      </c>
      <c r="D62">
        <v>101.5</v>
      </c>
    </row>
    <row r="63" spans="1:4" ht="15" x14ac:dyDescent="0.25">
      <c r="A63" t="s">
        <v>2585</v>
      </c>
      <c r="B63">
        <v>1</v>
      </c>
      <c r="C63">
        <v>43</v>
      </c>
      <c r="D63">
        <v>43</v>
      </c>
    </row>
    <row r="64" spans="1:4" ht="15" x14ac:dyDescent="0.25">
      <c r="A64" t="s">
        <v>2591</v>
      </c>
      <c r="B64">
        <v>1</v>
      </c>
      <c r="C64">
        <v>19</v>
      </c>
      <c r="D64">
        <v>19</v>
      </c>
    </row>
    <row r="65" spans="1:4" ht="15" x14ac:dyDescent="0.25">
      <c r="A65" t="s">
        <v>2592</v>
      </c>
      <c r="B65">
        <v>5</v>
      </c>
      <c r="C65">
        <v>108</v>
      </c>
      <c r="D65">
        <v>21.6</v>
      </c>
    </row>
    <row r="66" spans="1:4" ht="15" x14ac:dyDescent="0.25">
      <c r="A66" t="s">
        <v>2594</v>
      </c>
      <c r="B66">
        <v>2</v>
      </c>
      <c r="C66">
        <v>46</v>
      </c>
      <c r="D66">
        <v>23</v>
      </c>
    </row>
    <row r="67" spans="1:4" ht="15" x14ac:dyDescent="0.25">
      <c r="A67" t="s">
        <v>2595</v>
      </c>
      <c r="B67">
        <v>1</v>
      </c>
      <c r="C67">
        <v>19</v>
      </c>
      <c r="D67">
        <v>19</v>
      </c>
    </row>
    <row r="68" spans="1:4" ht="15" x14ac:dyDescent="0.25">
      <c r="A68" t="s">
        <v>2593</v>
      </c>
      <c r="B68">
        <v>2</v>
      </c>
      <c r="C68">
        <v>41</v>
      </c>
      <c r="D68">
        <v>20.5</v>
      </c>
    </row>
    <row r="69" spans="1:4" ht="15" x14ac:dyDescent="0.25">
      <c r="A69" t="s">
        <v>2600</v>
      </c>
      <c r="B69">
        <v>1</v>
      </c>
      <c r="C69">
        <v>18</v>
      </c>
      <c r="D69">
        <v>18</v>
      </c>
    </row>
    <row r="70" spans="1:4" ht="15" x14ac:dyDescent="0.25">
      <c r="A70" t="s">
        <v>2601</v>
      </c>
      <c r="B70">
        <v>13</v>
      </c>
      <c r="C70">
        <v>1783</v>
      </c>
      <c r="D70">
        <v>137.15384615384616</v>
      </c>
    </row>
    <row r="71" spans="1:4" ht="15" x14ac:dyDescent="0.25">
      <c r="A71" t="s">
        <v>2602</v>
      </c>
      <c r="B71">
        <v>1</v>
      </c>
      <c r="C71">
        <v>18</v>
      </c>
      <c r="D71">
        <v>18</v>
      </c>
    </row>
    <row r="72" spans="1:4" ht="15" x14ac:dyDescent="0.25">
      <c r="A72" t="s">
        <v>2603</v>
      </c>
      <c r="B72">
        <v>14</v>
      </c>
      <c r="C72">
        <v>613</v>
      </c>
      <c r="D72">
        <v>43.785714285714285</v>
      </c>
    </row>
    <row r="73" spans="1:4" ht="15" x14ac:dyDescent="0.25">
      <c r="A73" t="s">
        <v>2607</v>
      </c>
      <c r="B73">
        <v>2</v>
      </c>
      <c r="C73">
        <v>180</v>
      </c>
      <c r="D73">
        <v>90</v>
      </c>
    </row>
    <row r="74" spans="1:4" ht="15" x14ac:dyDescent="0.25">
      <c r="A74" t="s">
        <v>2608</v>
      </c>
      <c r="B74">
        <v>1</v>
      </c>
      <c r="C74">
        <v>60</v>
      </c>
      <c r="D74">
        <v>60</v>
      </c>
    </row>
    <row r="75" spans="1:4" ht="15" x14ac:dyDescent="0.25">
      <c r="A75" t="s">
        <v>2609</v>
      </c>
      <c r="B75">
        <v>12</v>
      </c>
      <c r="C75">
        <v>638</v>
      </c>
      <c r="D75">
        <v>53.166666666666664</v>
      </c>
    </row>
    <row r="76" spans="1:4" ht="15" x14ac:dyDescent="0.25">
      <c r="A76" t="s">
        <v>2614</v>
      </c>
      <c r="B76">
        <v>1</v>
      </c>
      <c r="C76">
        <v>83</v>
      </c>
      <c r="D76">
        <v>83</v>
      </c>
    </row>
    <row r="77" spans="1:4" ht="15" x14ac:dyDescent="0.25">
      <c r="A77" t="s">
        <v>2615</v>
      </c>
      <c r="B77">
        <v>16</v>
      </c>
      <c r="C77">
        <v>835</v>
      </c>
      <c r="D77">
        <v>52.1875</v>
      </c>
    </row>
    <row r="78" spans="1:4" ht="15" x14ac:dyDescent="0.25">
      <c r="A78" t="s">
        <v>2617</v>
      </c>
      <c r="B78">
        <v>20</v>
      </c>
      <c r="C78">
        <v>1738</v>
      </c>
      <c r="D78">
        <v>86.9</v>
      </c>
    </row>
    <row r="79" spans="1:4" ht="15" x14ac:dyDescent="0.25">
      <c r="A79" t="s">
        <v>2618</v>
      </c>
      <c r="B79">
        <v>2</v>
      </c>
      <c r="C79">
        <v>91</v>
      </c>
      <c r="D79">
        <v>45.5</v>
      </c>
    </row>
    <row r="80" spans="1:4" ht="15" x14ac:dyDescent="0.25">
      <c r="A80" t="s">
        <v>2616</v>
      </c>
      <c r="B80">
        <v>13</v>
      </c>
      <c r="C80">
        <v>619</v>
      </c>
      <c r="D80">
        <v>47.615384615384613</v>
      </c>
    </row>
    <row r="81" spans="1:4" ht="15" x14ac:dyDescent="0.25">
      <c r="A81" t="s">
        <v>2624</v>
      </c>
      <c r="B81">
        <v>1</v>
      </c>
      <c r="C81">
        <v>68</v>
      </c>
      <c r="D81">
        <v>68</v>
      </c>
    </row>
    <row r="82" spans="1:4" ht="15" x14ac:dyDescent="0.25">
      <c r="A82" t="s">
        <v>2625</v>
      </c>
      <c r="B82">
        <v>1</v>
      </c>
      <c r="C82">
        <v>68</v>
      </c>
      <c r="D82">
        <v>68</v>
      </c>
    </row>
    <row r="83" spans="1:4" ht="15" x14ac:dyDescent="0.25">
      <c r="A83" t="s">
        <v>2627</v>
      </c>
      <c r="B83">
        <v>1</v>
      </c>
      <c r="C83">
        <v>68</v>
      </c>
      <c r="D83">
        <v>68</v>
      </c>
    </row>
    <row r="84" spans="1:4" ht="15" x14ac:dyDescent="0.25">
      <c r="A84" t="s">
        <v>2626</v>
      </c>
      <c r="B84">
        <v>6</v>
      </c>
      <c r="C84">
        <v>273</v>
      </c>
      <c r="D84">
        <v>45.5</v>
      </c>
    </row>
    <row r="85" spans="1:4" ht="15" x14ac:dyDescent="0.25">
      <c r="A85" t="s">
        <v>2632</v>
      </c>
      <c r="B85">
        <v>5</v>
      </c>
      <c r="C85">
        <v>226</v>
      </c>
      <c r="D85">
        <v>45.2</v>
      </c>
    </row>
    <row r="86" spans="1:4" ht="15" x14ac:dyDescent="0.25">
      <c r="A86" t="s">
        <v>2633</v>
      </c>
      <c r="B86">
        <v>4</v>
      </c>
      <c r="C86">
        <v>101</v>
      </c>
      <c r="D86">
        <v>25.25</v>
      </c>
    </row>
    <row r="87" spans="1:4" ht="15" x14ac:dyDescent="0.25">
      <c r="A87" t="s">
        <v>2635</v>
      </c>
      <c r="B87">
        <v>6</v>
      </c>
      <c r="C87">
        <v>90</v>
      </c>
      <c r="D87">
        <v>15</v>
      </c>
    </row>
    <row r="88" spans="1:4" ht="15" x14ac:dyDescent="0.25">
      <c r="A88" t="s">
        <v>2634</v>
      </c>
      <c r="B88">
        <v>3</v>
      </c>
      <c r="C88">
        <v>93</v>
      </c>
      <c r="D88">
        <v>31</v>
      </c>
    </row>
    <row r="89" spans="1:4" ht="15" x14ac:dyDescent="0.25">
      <c r="A89" t="s">
        <v>2640</v>
      </c>
      <c r="B89">
        <v>1</v>
      </c>
      <c r="C89">
        <v>67</v>
      </c>
      <c r="D89">
        <v>67</v>
      </c>
    </row>
    <row r="90" spans="1:4" ht="15" x14ac:dyDescent="0.25">
      <c r="A90" t="s">
        <v>2641</v>
      </c>
      <c r="B90">
        <v>27</v>
      </c>
      <c r="C90">
        <v>1308</v>
      </c>
      <c r="D90">
        <v>48.444444444444443</v>
      </c>
    </row>
    <row r="91" spans="1:4" ht="15" x14ac:dyDescent="0.25">
      <c r="A91" t="s">
        <v>2642</v>
      </c>
      <c r="B91">
        <v>1</v>
      </c>
      <c r="C91">
        <v>67</v>
      </c>
      <c r="D91">
        <v>67</v>
      </c>
    </row>
    <row r="92" spans="1:4" ht="15" x14ac:dyDescent="0.25">
      <c r="A92" t="s">
        <v>2643</v>
      </c>
      <c r="B92">
        <v>7</v>
      </c>
      <c r="C92">
        <v>307</v>
      </c>
      <c r="D92">
        <v>43.857142857142854</v>
      </c>
    </row>
    <row r="93" spans="1:4" ht="15" x14ac:dyDescent="0.25">
      <c r="A93" t="s">
        <v>2649</v>
      </c>
      <c r="B93">
        <v>6</v>
      </c>
      <c r="C93">
        <v>549</v>
      </c>
      <c r="D93">
        <v>91.5</v>
      </c>
    </row>
    <row r="94" spans="1:4" ht="15" x14ac:dyDescent="0.25">
      <c r="A94" t="s">
        <v>2650</v>
      </c>
      <c r="B94">
        <v>4</v>
      </c>
      <c r="C94">
        <v>331</v>
      </c>
      <c r="D94">
        <v>82.75</v>
      </c>
    </row>
    <row r="95" spans="1:4" ht="15" x14ac:dyDescent="0.25">
      <c r="A95" t="s">
        <v>2652</v>
      </c>
      <c r="B95">
        <v>3</v>
      </c>
      <c r="C95">
        <v>314</v>
      </c>
      <c r="D95">
        <v>104.66666666666667</v>
      </c>
    </row>
    <row r="96" spans="1:4" ht="15" x14ac:dyDescent="0.25">
      <c r="A96" t="s">
        <v>2651</v>
      </c>
      <c r="B96">
        <v>42</v>
      </c>
      <c r="C96">
        <v>4783</v>
      </c>
      <c r="D96">
        <v>113.88095238095238</v>
      </c>
    </row>
    <row r="97" spans="1:4" ht="15" x14ac:dyDescent="0.25">
      <c r="A97" t="s">
        <v>2657</v>
      </c>
      <c r="B97">
        <v>6</v>
      </c>
      <c r="C97">
        <v>974</v>
      </c>
      <c r="D97">
        <v>162.33333333333334</v>
      </c>
    </row>
    <row r="98" spans="1:4" ht="15" x14ac:dyDescent="0.25">
      <c r="A98" t="s">
        <v>2659</v>
      </c>
      <c r="B98">
        <v>1</v>
      </c>
      <c r="C98">
        <v>33</v>
      </c>
      <c r="D98">
        <v>33</v>
      </c>
    </row>
    <row r="99" spans="1:4" ht="15" x14ac:dyDescent="0.25">
      <c r="A99" t="s">
        <v>2660</v>
      </c>
      <c r="B99">
        <v>14</v>
      </c>
      <c r="C99">
        <v>362</v>
      </c>
      <c r="D99">
        <v>25.857142857142858</v>
      </c>
    </row>
    <row r="100" spans="1:4" ht="15" x14ac:dyDescent="0.25">
      <c r="A100" t="s">
        <v>2658</v>
      </c>
      <c r="B100">
        <v>1</v>
      </c>
      <c r="C100">
        <v>33</v>
      </c>
      <c r="D100">
        <v>33</v>
      </c>
    </row>
    <row r="101" spans="1:4" ht="15" x14ac:dyDescent="0.25">
      <c r="A101" t="s">
        <v>2665</v>
      </c>
      <c r="B101">
        <v>7</v>
      </c>
      <c r="C101">
        <v>280</v>
      </c>
      <c r="D101">
        <v>40</v>
      </c>
    </row>
    <row r="102" spans="1:4" ht="15" x14ac:dyDescent="0.25">
      <c r="A102" t="s">
        <v>2666</v>
      </c>
      <c r="B102">
        <v>13</v>
      </c>
      <c r="C102">
        <v>424</v>
      </c>
      <c r="D102">
        <v>32.615384615384613</v>
      </c>
    </row>
    <row r="103" spans="1:4" ht="15" x14ac:dyDescent="0.25">
      <c r="A103" t="s">
        <v>2668</v>
      </c>
      <c r="B103">
        <v>5</v>
      </c>
      <c r="C103">
        <v>139</v>
      </c>
      <c r="D103">
        <v>27.8</v>
      </c>
    </row>
    <row r="104" spans="1:4" ht="15" x14ac:dyDescent="0.25">
      <c r="A104" t="s">
        <v>2667</v>
      </c>
      <c r="B104">
        <v>12</v>
      </c>
      <c r="C104">
        <v>336</v>
      </c>
      <c r="D104">
        <v>28</v>
      </c>
    </row>
    <row r="105" spans="1:4" ht="15" x14ac:dyDescent="0.25">
      <c r="A105" t="s">
        <v>2672</v>
      </c>
      <c r="B105">
        <v>1</v>
      </c>
      <c r="C105">
        <v>97</v>
      </c>
      <c r="D105">
        <v>97</v>
      </c>
    </row>
    <row r="106" spans="1:4" ht="15" x14ac:dyDescent="0.25">
      <c r="A106" t="s">
        <v>2673</v>
      </c>
      <c r="B106">
        <v>30</v>
      </c>
      <c r="C106">
        <v>1154</v>
      </c>
      <c r="D106">
        <v>38.466666666666669</v>
      </c>
    </row>
    <row r="107" spans="1:4" ht="15" x14ac:dyDescent="0.25">
      <c r="A107" t="s">
        <v>2675</v>
      </c>
      <c r="B107">
        <v>2</v>
      </c>
      <c r="C107">
        <v>106</v>
      </c>
      <c r="D107">
        <v>53</v>
      </c>
    </row>
    <row r="108" spans="1:4" ht="15" x14ac:dyDescent="0.25">
      <c r="A108" t="s">
        <v>2676</v>
      </c>
      <c r="B108">
        <v>1</v>
      </c>
      <c r="C108">
        <v>97</v>
      </c>
      <c r="D108">
        <v>97</v>
      </c>
    </row>
    <row r="109" spans="1:4" ht="15" x14ac:dyDescent="0.25">
      <c r="A109" t="s">
        <v>2674</v>
      </c>
      <c r="B109">
        <v>1</v>
      </c>
      <c r="C109">
        <v>97</v>
      </c>
      <c r="D109">
        <v>97</v>
      </c>
    </row>
    <row r="110" spans="1:4" ht="15" x14ac:dyDescent="0.25">
      <c r="A110" t="s">
        <v>2680</v>
      </c>
      <c r="B110">
        <v>2</v>
      </c>
      <c r="C110">
        <v>2267</v>
      </c>
      <c r="D110">
        <v>1133.5</v>
      </c>
    </row>
    <row r="111" spans="1:4" ht="15" x14ac:dyDescent="0.25">
      <c r="A111" t="s">
        <v>2681</v>
      </c>
      <c r="B111">
        <v>3</v>
      </c>
      <c r="C111">
        <v>2776</v>
      </c>
      <c r="D111">
        <v>925.33333333333337</v>
      </c>
    </row>
    <row r="112" spans="1:4" ht="15" x14ac:dyDescent="0.25">
      <c r="A112" t="s">
        <v>2683</v>
      </c>
      <c r="B112">
        <v>2</v>
      </c>
      <c r="C112">
        <v>2353</v>
      </c>
      <c r="D112">
        <v>1176.5</v>
      </c>
    </row>
    <row r="113" spans="1:4" ht="15" x14ac:dyDescent="0.25">
      <c r="A113" t="s">
        <v>2684</v>
      </c>
      <c r="B113">
        <v>3</v>
      </c>
      <c r="C113">
        <v>4380</v>
      </c>
      <c r="D113">
        <v>1460</v>
      </c>
    </row>
    <row r="114" spans="1:4" ht="15" x14ac:dyDescent="0.25">
      <c r="A114" t="s">
        <v>2682</v>
      </c>
      <c r="B114">
        <v>3</v>
      </c>
      <c r="C114">
        <v>3772</v>
      </c>
      <c r="D114">
        <v>1257.3333333333333</v>
      </c>
    </row>
    <row r="115" spans="1:4" ht="15" x14ac:dyDescent="0.25">
      <c r="A115" t="s">
        <v>2688</v>
      </c>
      <c r="B115">
        <v>3</v>
      </c>
      <c r="C115">
        <v>152</v>
      </c>
      <c r="D115">
        <v>50.666666666666664</v>
      </c>
    </row>
    <row r="116" spans="1:4" ht="15" x14ac:dyDescent="0.25">
      <c r="A116" t="s">
        <v>2690</v>
      </c>
      <c r="B116">
        <v>4</v>
      </c>
      <c r="C116">
        <v>178</v>
      </c>
      <c r="D116">
        <v>44.5</v>
      </c>
    </row>
    <row r="117" spans="1:4" ht="15" x14ac:dyDescent="0.25">
      <c r="A117" t="s">
        <v>2691</v>
      </c>
      <c r="B117">
        <v>2</v>
      </c>
      <c r="C117">
        <v>84</v>
      </c>
      <c r="D117">
        <v>42</v>
      </c>
    </row>
    <row r="118" spans="1:4" ht="15" x14ac:dyDescent="0.25">
      <c r="A118" t="s">
        <v>2689</v>
      </c>
      <c r="B118">
        <v>4</v>
      </c>
      <c r="C118">
        <v>186</v>
      </c>
      <c r="D118">
        <v>46.5</v>
      </c>
    </row>
    <row r="119" spans="1:4" ht="15" x14ac:dyDescent="0.25">
      <c r="A119" t="s">
        <v>2696</v>
      </c>
      <c r="B119">
        <v>123</v>
      </c>
      <c r="C119">
        <v>6012</v>
      </c>
      <c r="D119">
        <v>48.878048780487802</v>
      </c>
    </row>
    <row r="120" spans="1:4" ht="15" x14ac:dyDescent="0.25">
      <c r="A120" t="s">
        <v>2698</v>
      </c>
      <c r="B120">
        <v>1</v>
      </c>
      <c r="C120">
        <v>65</v>
      </c>
      <c r="D120">
        <v>65</v>
      </c>
    </row>
    <row r="121" spans="1:4" ht="15" x14ac:dyDescent="0.25">
      <c r="A121" t="s">
        <v>2699</v>
      </c>
      <c r="B121">
        <v>1</v>
      </c>
      <c r="C121">
        <v>65</v>
      </c>
      <c r="D121">
        <v>65</v>
      </c>
    </row>
    <row r="122" spans="1:4" ht="15" x14ac:dyDescent="0.25">
      <c r="A122" t="s">
        <v>2697</v>
      </c>
      <c r="B122">
        <v>11</v>
      </c>
      <c r="C122">
        <v>5283</v>
      </c>
      <c r="D122">
        <v>480.27272727272725</v>
      </c>
    </row>
    <row r="123" spans="1:4" ht="15" x14ac:dyDescent="0.25">
      <c r="A123" t="s">
        <v>2703</v>
      </c>
      <c r="B123">
        <v>2</v>
      </c>
      <c r="C123">
        <v>64</v>
      </c>
      <c r="D123">
        <v>32</v>
      </c>
    </row>
    <row r="124" spans="1:4" ht="15" x14ac:dyDescent="0.25">
      <c r="A124" t="s">
        <v>2704</v>
      </c>
      <c r="B124">
        <v>4</v>
      </c>
      <c r="C124">
        <v>419</v>
      </c>
      <c r="D124">
        <v>104.75</v>
      </c>
    </row>
    <row r="125" spans="1:4" ht="15" x14ac:dyDescent="0.25">
      <c r="A125" t="s">
        <v>2706</v>
      </c>
      <c r="B125">
        <v>3</v>
      </c>
      <c r="C125">
        <v>118</v>
      </c>
      <c r="D125">
        <v>39.333333333333336</v>
      </c>
    </row>
    <row r="126" spans="1:4" ht="15" x14ac:dyDescent="0.25">
      <c r="A126" t="s">
        <v>2707</v>
      </c>
      <c r="B126">
        <v>3</v>
      </c>
      <c r="C126">
        <v>114</v>
      </c>
      <c r="D126">
        <v>38</v>
      </c>
    </row>
    <row r="127" spans="1:4" ht="15" x14ac:dyDescent="0.25">
      <c r="A127" t="s">
        <v>2705</v>
      </c>
      <c r="B127">
        <v>15</v>
      </c>
      <c r="C127">
        <v>760</v>
      </c>
      <c r="D127">
        <v>50.666666666666664</v>
      </c>
    </row>
    <row r="128" spans="1:4" ht="15" x14ac:dyDescent="0.25">
      <c r="A128" t="s">
        <v>2711</v>
      </c>
      <c r="B128">
        <v>1</v>
      </c>
      <c r="C128">
        <v>4</v>
      </c>
      <c r="D128">
        <v>4</v>
      </c>
    </row>
    <row r="129" spans="1:4" ht="15" x14ac:dyDescent="0.25">
      <c r="A129" t="s">
        <v>2712</v>
      </c>
      <c r="B129">
        <v>1</v>
      </c>
      <c r="C129">
        <v>4</v>
      </c>
      <c r="D129">
        <v>4</v>
      </c>
    </row>
    <row r="130" spans="1:4" ht="15" x14ac:dyDescent="0.25">
      <c r="A130" t="s">
        <v>2714</v>
      </c>
      <c r="B130">
        <v>1</v>
      </c>
      <c r="C130">
        <v>4</v>
      </c>
      <c r="D130">
        <v>4</v>
      </c>
    </row>
    <row r="131" spans="1:4" ht="15" x14ac:dyDescent="0.25">
      <c r="A131" t="s">
        <v>2713</v>
      </c>
      <c r="B131">
        <v>1</v>
      </c>
      <c r="C131">
        <v>4</v>
      </c>
      <c r="D131">
        <v>4</v>
      </c>
    </row>
    <row r="132" spans="1:4" ht="15" x14ac:dyDescent="0.25">
      <c r="A132" t="s">
        <v>2718</v>
      </c>
      <c r="B132">
        <v>6</v>
      </c>
      <c r="C132">
        <v>216</v>
      </c>
      <c r="D132">
        <v>36</v>
      </c>
    </row>
    <row r="133" spans="1:4" ht="15" x14ac:dyDescent="0.25">
      <c r="A133" t="s">
        <v>2719</v>
      </c>
      <c r="B133">
        <v>1</v>
      </c>
      <c r="C133">
        <v>16</v>
      </c>
      <c r="D133">
        <v>16</v>
      </c>
    </row>
    <row r="134" spans="1:4" ht="15" x14ac:dyDescent="0.25">
      <c r="A134" t="s">
        <v>2721</v>
      </c>
      <c r="B134">
        <v>7</v>
      </c>
      <c r="C134">
        <v>147</v>
      </c>
      <c r="D134">
        <v>21</v>
      </c>
    </row>
    <row r="135" spans="1:4" ht="15" x14ac:dyDescent="0.25">
      <c r="A135" t="s">
        <v>2720</v>
      </c>
      <c r="B135">
        <v>1</v>
      </c>
      <c r="C135">
        <v>16</v>
      </c>
      <c r="D135">
        <v>16</v>
      </c>
    </row>
    <row r="136" spans="1:4" ht="15" x14ac:dyDescent="0.25">
      <c r="A136" t="s">
        <v>2728</v>
      </c>
      <c r="B136">
        <v>24</v>
      </c>
      <c r="C136">
        <v>1206</v>
      </c>
      <c r="D136">
        <v>50.25</v>
      </c>
    </row>
    <row r="137" spans="1:4" ht="15" x14ac:dyDescent="0.25">
      <c r="A137" t="s">
        <v>2729</v>
      </c>
      <c r="B137">
        <v>1</v>
      </c>
      <c r="C137">
        <v>16</v>
      </c>
      <c r="D137">
        <v>16</v>
      </c>
    </row>
    <row r="138" spans="1:4" ht="15" x14ac:dyDescent="0.25">
      <c r="A138" t="s">
        <v>2730</v>
      </c>
      <c r="B138">
        <v>184</v>
      </c>
      <c r="C138">
        <v>11474</v>
      </c>
      <c r="D138">
        <v>62.358695652173914</v>
      </c>
    </row>
    <row r="139" spans="1:4" ht="15" x14ac:dyDescent="0.25">
      <c r="A139" t="s">
        <v>2734</v>
      </c>
      <c r="B139">
        <v>80</v>
      </c>
      <c r="C139">
        <v>4873</v>
      </c>
      <c r="D139">
        <v>60.912500000000001</v>
      </c>
    </row>
    <row r="140" spans="1:4" ht="15" x14ac:dyDescent="0.25">
      <c r="A140" t="s">
        <v>2735</v>
      </c>
      <c r="B140">
        <v>38</v>
      </c>
      <c r="C140">
        <v>1205</v>
      </c>
      <c r="D140">
        <v>31.710526315789473</v>
      </c>
    </row>
    <row r="141" spans="1:4" ht="15" x14ac:dyDescent="0.25">
      <c r="A141" t="s">
        <v>2736</v>
      </c>
      <c r="B141">
        <v>15</v>
      </c>
      <c r="C141">
        <v>804</v>
      </c>
      <c r="D141">
        <v>53.6</v>
      </c>
    </row>
    <row r="142" spans="1:4" ht="15" x14ac:dyDescent="0.25">
      <c r="A142" t="s">
        <v>2737</v>
      </c>
      <c r="B142">
        <v>12</v>
      </c>
      <c r="C142">
        <v>446</v>
      </c>
      <c r="D142">
        <v>37.166666666666664</v>
      </c>
    </row>
    <row r="143" spans="1:4" ht="15" x14ac:dyDescent="0.25">
      <c r="A143" t="s">
        <v>2741</v>
      </c>
      <c r="B143">
        <v>14</v>
      </c>
      <c r="C143">
        <v>767</v>
      </c>
      <c r="D143">
        <v>54.785714285714285</v>
      </c>
    </row>
    <row r="144" spans="1:4" ht="15" x14ac:dyDescent="0.25">
      <c r="A144" t="s">
        <v>2743</v>
      </c>
      <c r="B144">
        <v>5</v>
      </c>
      <c r="C144">
        <v>144</v>
      </c>
      <c r="D144">
        <v>28.8</v>
      </c>
    </row>
    <row r="145" spans="1:4" ht="15" x14ac:dyDescent="0.25">
      <c r="A145" t="s">
        <v>2744</v>
      </c>
      <c r="B145">
        <v>4</v>
      </c>
      <c r="C145">
        <v>171</v>
      </c>
      <c r="D145">
        <v>42.75</v>
      </c>
    </row>
    <row r="146" spans="1:4" ht="15" x14ac:dyDescent="0.25">
      <c r="A146" t="s">
        <v>2742</v>
      </c>
      <c r="B146">
        <v>5</v>
      </c>
      <c r="C146">
        <v>150</v>
      </c>
      <c r="D146">
        <v>30</v>
      </c>
    </row>
    <row r="147" spans="1:4" ht="15" x14ac:dyDescent="0.25">
      <c r="A147" t="s">
        <v>2750</v>
      </c>
      <c r="B147">
        <v>4</v>
      </c>
      <c r="C147">
        <v>133</v>
      </c>
      <c r="D147">
        <v>33.25</v>
      </c>
    </row>
    <row r="148" spans="1:4" ht="15" x14ac:dyDescent="0.25">
      <c r="A148" t="s">
        <v>2751</v>
      </c>
      <c r="B148">
        <v>3</v>
      </c>
      <c r="C148">
        <v>179</v>
      </c>
      <c r="D148">
        <v>59.666666666666664</v>
      </c>
    </row>
    <row r="149" spans="1:4" ht="15" x14ac:dyDescent="0.25">
      <c r="A149" t="s">
        <v>2752</v>
      </c>
      <c r="B149">
        <v>2</v>
      </c>
      <c r="C149">
        <v>28</v>
      </c>
      <c r="D149">
        <v>14</v>
      </c>
    </row>
    <row r="150" spans="1:4" ht="15" x14ac:dyDescent="0.25">
      <c r="A150" t="s">
        <v>2753</v>
      </c>
      <c r="B150">
        <v>22</v>
      </c>
      <c r="C150">
        <v>724</v>
      </c>
      <c r="D150">
        <v>32.909090909090907</v>
      </c>
    </row>
    <row r="151" spans="1:4" ht="15" x14ac:dyDescent="0.25">
      <c r="A151" t="s">
        <v>2758</v>
      </c>
      <c r="B151">
        <v>1</v>
      </c>
      <c r="C151">
        <v>107</v>
      </c>
      <c r="D151">
        <v>107</v>
      </c>
    </row>
    <row r="152" spans="1:4" ht="15" x14ac:dyDescent="0.25">
      <c r="A152" t="s">
        <v>2759</v>
      </c>
      <c r="B152">
        <v>1</v>
      </c>
      <c r="C152">
        <v>107</v>
      </c>
      <c r="D152">
        <v>107</v>
      </c>
    </row>
    <row r="153" spans="1:4" ht="15" x14ac:dyDescent="0.25">
      <c r="A153" t="s">
        <v>2760</v>
      </c>
      <c r="B153">
        <v>1</v>
      </c>
      <c r="C153">
        <v>107</v>
      </c>
      <c r="D153">
        <v>107</v>
      </c>
    </row>
    <row r="154" spans="1:4" ht="15" x14ac:dyDescent="0.25">
      <c r="A154" t="s">
        <v>2761</v>
      </c>
      <c r="B154">
        <v>1</v>
      </c>
      <c r="C154">
        <v>107</v>
      </c>
      <c r="D154">
        <v>107</v>
      </c>
    </row>
    <row r="155" spans="1:4" ht="15" x14ac:dyDescent="0.25">
      <c r="A155" t="s">
        <v>2766</v>
      </c>
      <c r="B155">
        <v>6</v>
      </c>
      <c r="C155">
        <v>347</v>
      </c>
      <c r="D155">
        <v>57.833333333333336</v>
      </c>
    </row>
    <row r="156" spans="1:4" ht="15" x14ac:dyDescent="0.25">
      <c r="A156" t="s">
        <v>2768</v>
      </c>
      <c r="B156">
        <v>1</v>
      </c>
      <c r="C156">
        <v>69</v>
      </c>
      <c r="D156">
        <v>69</v>
      </c>
    </row>
    <row r="157" spans="1:4" ht="15" x14ac:dyDescent="0.25">
      <c r="A157" t="s">
        <v>2769</v>
      </c>
      <c r="B157">
        <v>20</v>
      </c>
      <c r="C157">
        <v>2417</v>
      </c>
      <c r="D157">
        <v>120.85</v>
      </c>
    </row>
    <row r="158" spans="1:4" ht="15" x14ac:dyDescent="0.25">
      <c r="A158" t="s">
        <v>2767</v>
      </c>
      <c r="B158">
        <v>15</v>
      </c>
      <c r="C158">
        <v>769</v>
      </c>
      <c r="D158">
        <v>51.266666666666666</v>
      </c>
    </row>
    <row r="159" spans="1:4" ht="15" x14ac:dyDescent="0.25">
      <c r="A159" t="s">
        <v>2774</v>
      </c>
      <c r="B159">
        <v>1</v>
      </c>
      <c r="C159">
        <v>80</v>
      </c>
      <c r="D159">
        <v>80</v>
      </c>
    </row>
    <row r="160" spans="1:4" ht="15" x14ac:dyDescent="0.25">
      <c r="A160" t="s">
        <v>2775</v>
      </c>
      <c r="B160">
        <v>4</v>
      </c>
      <c r="C160">
        <v>725</v>
      </c>
      <c r="D160">
        <v>181.25</v>
      </c>
    </row>
    <row r="161" spans="1:4" ht="15" x14ac:dyDescent="0.25">
      <c r="A161" t="s">
        <v>2777</v>
      </c>
      <c r="B161">
        <v>23</v>
      </c>
      <c r="C161">
        <v>1082</v>
      </c>
      <c r="D161">
        <v>47.043478260869563</v>
      </c>
    </row>
    <row r="162" spans="1:4" ht="15" x14ac:dyDescent="0.25">
      <c r="A162" t="s">
        <v>2778</v>
      </c>
      <c r="B162">
        <v>37</v>
      </c>
      <c r="C162">
        <v>1433</v>
      </c>
      <c r="D162">
        <v>38.729729729729726</v>
      </c>
    </row>
    <row r="163" spans="1:4" ht="15" x14ac:dyDescent="0.25">
      <c r="A163" t="s">
        <v>2776</v>
      </c>
      <c r="B163">
        <v>1</v>
      </c>
      <c r="C163">
        <v>80</v>
      </c>
      <c r="D163">
        <v>80</v>
      </c>
    </row>
    <row r="164" spans="1:4" ht="15" x14ac:dyDescent="0.25">
      <c r="A164" t="s">
        <v>2782</v>
      </c>
      <c r="B164">
        <v>2</v>
      </c>
      <c r="C164">
        <v>40</v>
      </c>
      <c r="D164">
        <v>20</v>
      </c>
    </row>
    <row r="165" spans="1:4" ht="15" x14ac:dyDescent="0.25">
      <c r="A165" t="s">
        <v>2787</v>
      </c>
      <c r="B165">
        <v>4</v>
      </c>
      <c r="C165">
        <v>206</v>
      </c>
      <c r="D165">
        <v>51.5</v>
      </c>
    </row>
    <row r="166" spans="1:4" ht="15" x14ac:dyDescent="0.25">
      <c r="A166" t="s">
        <v>2788</v>
      </c>
      <c r="B166">
        <v>1</v>
      </c>
      <c r="C166">
        <v>91</v>
      </c>
      <c r="D166">
        <v>91</v>
      </c>
    </row>
    <row r="167" spans="1:4" ht="15" x14ac:dyDescent="0.25">
      <c r="A167" t="s">
        <v>2789</v>
      </c>
      <c r="B167">
        <v>9</v>
      </c>
      <c r="C167">
        <v>871</v>
      </c>
      <c r="D167">
        <v>96.777777777777771</v>
      </c>
    </row>
    <row r="168" spans="1:4" ht="15" x14ac:dyDescent="0.25">
      <c r="A168" t="s">
        <v>2794</v>
      </c>
      <c r="B168">
        <v>1</v>
      </c>
      <c r="C168">
        <v>166</v>
      </c>
      <c r="D168">
        <v>166</v>
      </c>
    </row>
    <row r="169" spans="1:4" ht="15" x14ac:dyDescent="0.25">
      <c r="A169" t="s">
        <v>2795</v>
      </c>
      <c r="B169">
        <v>1</v>
      </c>
      <c r="C169">
        <v>166</v>
      </c>
      <c r="D169">
        <v>166</v>
      </c>
    </row>
    <row r="170" spans="1:4" ht="15" x14ac:dyDescent="0.25">
      <c r="A170" t="s">
        <v>2797</v>
      </c>
      <c r="B170">
        <v>1</v>
      </c>
      <c r="C170">
        <v>166</v>
      </c>
      <c r="D170">
        <v>166</v>
      </c>
    </row>
    <row r="171" spans="1:4" ht="15" x14ac:dyDescent="0.25">
      <c r="A171" t="s">
        <v>2796</v>
      </c>
      <c r="B171">
        <v>1</v>
      </c>
      <c r="C171">
        <v>166</v>
      </c>
      <c r="D171">
        <v>166</v>
      </c>
    </row>
    <row r="172" spans="1:4" ht="15" x14ac:dyDescent="0.25">
      <c r="A172" t="s">
        <v>2802</v>
      </c>
      <c r="B172">
        <v>1</v>
      </c>
      <c r="C172">
        <v>186</v>
      </c>
      <c r="D172">
        <v>186</v>
      </c>
    </row>
    <row r="173" spans="1:4" ht="15" x14ac:dyDescent="0.25">
      <c r="A173" t="s">
        <v>2803</v>
      </c>
      <c r="B173">
        <v>3</v>
      </c>
      <c r="C173">
        <v>250</v>
      </c>
      <c r="D173">
        <v>83.333333333333329</v>
      </c>
    </row>
    <row r="174" spans="1:4" ht="15" x14ac:dyDescent="0.25">
      <c r="A174" t="s">
        <v>2805</v>
      </c>
      <c r="B174">
        <v>1</v>
      </c>
      <c r="C174">
        <v>186</v>
      </c>
      <c r="D174">
        <v>186</v>
      </c>
    </row>
    <row r="175" spans="1:4" ht="15" x14ac:dyDescent="0.25">
      <c r="A175" t="s">
        <v>2806</v>
      </c>
      <c r="B175">
        <v>1</v>
      </c>
      <c r="C175">
        <v>186</v>
      </c>
      <c r="D175">
        <v>186</v>
      </c>
    </row>
    <row r="176" spans="1:4" ht="15" x14ac:dyDescent="0.25">
      <c r="A176" t="s">
        <v>2804</v>
      </c>
      <c r="B176">
        <v>1</v>
      </c>
      <c r="C176">
        <v>186</v>
      </c>
      <c r="D176">
        <v>186</v>
      </c>
    </row>
    <row r="177" spans="1:4" ht="15" x14ac:dyDescent="0.25">
      <c r="A177" t="s">
        <v>2810</v>
      </c>
      <c r="B177">
        <v>3</v>
      </c>
      <c r="C177">
        <v>69</v>
      </c>
      <c r="D177">
        <v>23</v>
      </c>
    </row>
    <row r="178" spans="1:4" ht="15" x14ac:dyDescent="0.25">
      <c r="A178" t="s">
        <v>2812</v>
      </c>
      <c r="B178">
        <v>2</v>
      </c>
      <c r="C178">
        <v>52</v>
      </c>
      <c r="D178">
        <v>26</v>
      </c>
    </row>
    <row r="179" spans="1:4" ht="15" x14ac:dyDescent="0.25">
      <c r="A179" t="s">
        <v>2813</v>
      </c>
      <c r="B179">
        <v>3</v>
      </c>
      <c r="C179">
        <v>68</v>
      </c>
      <c r="D179">
        <v>22.666666666666668</v>
      </c>
    </row>
    <row r="180" spans="1:4" ht="15" x14ac:dyDescent="0.25">
      <c r="A180" t="s">
        <v>2811</v>
      </c>
      <c r="B180">
        <v>1</v>
      </c>
      <c r="C180">
        <v>15</v>
      </c>
      <c r="D180">
        <v>15</v>
      </c>
    </row>
    <row r="181" spans="1:4" ht="15" x14ac:dyDescent="0.25">
      <c r="A181" t="s">
        <v>2818</v>
      </c>
      <c r="B181">
        <v>1</v>
      </c>
      <c r="C181">
        <v>47</v>
      </c>
      <c r="D181">
        <v>47</v>
      </c>
    </row>
    <row r="182" spans="1:4" ht="15" x14ac:dyDescent="0.25">
      <c r="A182" t="s">
        <v>2819</v>
      </c>
      <c r="B182">
        <v>1</v>
      </c>
      <c r="C182">
        <v>47</v>
      </c>
      <c r="D182">
        <v>47</v>
      </c>
    </row>
    <row r="183" spans="1:4" ht="15" x14ac:dyDescent="0.25">
      <c r="A183" t="s">
        <v>2821</v>
      </c>
      <c r="B183">
        <v>3</v>
      </c>
      <c r="C183">
        <v>93</v>
      </c>
      <c r="D183">
        <v>31</v>
      </c>
    </row>
    <row r="184" spans="1:4" ht="15" x14ac:dyDescent="0.25">
      <c r="A184" t="s">
        <v>2820</v>
      </c>
      <c r="B184">
        <v>6</v>
      </c>
      <c r="C184">
        <v>198</v>
      </c>
      <c r="D184">
        <v>33</v>
      </c>
    </row>
    <row r="185" spans="1:4" ht="15" x14ac:dyDescent="0.25">
      <c r="A185" t="s">
        <v>2825</v>
      </c>
      <c r="B185">
        <v>1</v>
      </c>
      <c r="C185">
        <v>3</v>
      </c>
      <c r="D185">
        <v>3</v>
      </c>
    </row>
    <row r="186" spans="1:4" ht="15" x14ac:dyDescent="0.25">
      <c r="A186" t="s">
        <v>2822</v>
      </c>
      <c r="B186">
        <v>1</v>
      </c>
      <c r="C186">
        <v>3</v>
      </c>
      <c r="D186">
        <v>3</v>
      </c>
    </row>
    <row r="187" spans="1:4" ht="15" x14ac:dyDescent="0.25">
      <c r="A187" t="s">
        <v>2826</v>
      </c>
      <c r="B187">
        <v>12</v>
      </c>
      <c r="C187">
        <v>396</v>
      </c>
      <c r="D187">
        <v>33</v>
      </c>
    </row>
    <row r="188" spans="1:4" ht="15" x14ac:dyDescent="0.25">
      <c r="A188" t="s">
        <v>2827</v>
      </c>
      <c r="B188">
        <v>28</v>
      </c>
      <c r="C188">
        <v>1121</v>
      </c>
      <c r="D188">
        <v>40.035714285714285</v>
      </c>
    </row>
    <row r="189" spans="1:4" ht="15" x14ac:dyDescent="0.25">
      <c r="A189" t="s">
        <v>2831</v>
      </c>
      <c r="B189">
        <v>1</v>
      </c>
      <c r="C189">
        <v>22</v>
      </c>
      <c r="D189">
        <v>22</v>
      </c>
    </row>
    <row r="190" spans="1:4" ht="15" x14ac:dyDescent="0.25">
      <c r="A190" t="s">
        <v>2832</v>
      </c>
      <c r="B190">
        <v>22</v>
      </c>
      <c r="C190">
        <v>1090</v>
      </c>
      <c r="D190">
        <v>49.545454545454547</v>
      </c>
    </row>
    <row r="191" spans="1:4" ht="15" x14ac:dyDescent="0.25">
      <c r="A191" t="s">
        <v>2834</v>
      </c>
      <c r="B191">
        <v>1</v>
      </c>
      <c r="C191">
        <v>22</v>
      </c>
      <c r="D191">
        <v>22</v>
      </c>
    </row>
    <row r="192" spans="1:4" ht="15" x14ac:dyDescent="0.25">
      <c r="A192" t="s">
        <v>2833</v>
      </c>
      <c r="B192">
        <v>24</v>
      </c>
      <c r="C192">
        <v>1453</v>
      </c>
      <c r="D192">
        <v>60.541666666666664</v>
      </c>
    </row>
    <row r="193" spans="1:4" ht="15" x14ac:dyDescent="0.25">
      <c r="A193" t="s">
        <v>2837</v>
      </c>
      <c r="B193">
        <v>13</v>
      </c>
      <c r="C193">
        <v>3510</v>
      </c>
      <c r="D193">
        <v>270</v>
      </c>
    </row>
    <row r="194" spans="1:4" ht="15" x14ac:dyDescent="0.25">
      <c r="A194" t="s">
        <v>2838</v>
      </c>
      <c r="B194">
        <v>3</v>
      </c>
      <c r="C194">
        <v>71</v>
      </c>
      <c r="D194">
        <v>23.666666666666668</v>
      </c>
    </row>
    <row r="195" spans="1:4" ht="15" x14ac:dyDescent="0.25">
      <c r="A195" t="s">
        <v>2843</v>
      </c>
      <c r="B195">
        <v>1</v>
      </c>
      <c r="C195">
        <v>12</v>
      </c>
      <c r="D195">
        <v>12</v>
      </c>
    </row>
    <row r="196" spans="1:4" ht="15" x14ac:dyDescent="0.25">
      <c r="A196" t="s">
        <v>2845</v>
      </c>
      <c r="B196">
        <v>1</v>
      </c>
      <c r="C196">
        <v>12</v>
      </c>
      <c r="D196">
        <v>12</v>
      </c>
    </row>
    <row r="197" spans="1:4" ht="15" x14ac:dyDescent="0.25">
      <c r="A197" t="s">
        <v>2846</v>
      </c>
      <c r="B197">
        <v>1</v>
      </c>
      <c r="C197">
        <v>12</v>
      </c>
      <c r="D197">
        <v>12</v>
      </c>
    </row>
    <row r="198" spans="1:4" ht="15" x14ac:dyDescent="0.25">
      <c r="A198" t="s">
        <v>2844</v>
      </c>
      <c r="B198">
        <v>15</v>
      </c>
      <c r="C198">
        <v>904</v>
      </c>
      <c r="D198">
        <v>60.266666666666666</v>
      </c>
    </row>
    <row r="199" spans="1:4" ht="15" x14ac:dyDescent="0.25">
      <c r="A199" t="s">
        <v>2852</v>
      </c>
      <c r="B199">
        <v>1</v>
      </c>
      <c r="C199">
        <v>62</v>
      </c>
      <c r="D199">
        <v>62</v>
      </c>
    </row>
    <row r="200" spans="1:4" ht="15" x14ac:dyDescent="0.25">
      <c r="A200" t="s">
        <v>2854</v>
      </c>
      <c r="B200">
        <v>1</v>
      </c>
      <c r="C200">
        <v>62</v>
      </c>
      <c r="D200">
        <v>62</v>
      </c>
    </row>
    <row r="201" spans="1:4" ht="15" x14ac:dyDescent="0.25">
      <c r="A201" t="s">
        <v>2855</v>
      </c>
      <c r="B201">
        <v>3</v>
      </c>
      <c r="C201">
        <v>209</v>
      </c>
      <c r="D201">
        <v>69.666666666666671</v>
      </c>
    </row>
    <row r="202" spans="1:4" ht="15" x14ac:dyDescent="0.25">
      <c r="A202" t="s">
        <v>2853</v>
      </c>
      <c r="B202">
        <v>1</v>
      </c>
      <c r="C202">
        <v>62</v>
      </c>
      <c r="D202">
        <v>62</v>
      </c>
    </row>
    <row r="203" spans="1:4" ht="15" x14ac:dyDescent="0.25">
      <c r="A203" t="s">
        <v>2859</v>
      </c>
      <c r="B203">
        <v>1</v>
      </c>
      <c r="C203">
        <v>17</v>
      </c>
      <c r="D203">
        <v>17</v>
      </c>
    </row>
    <row r="204" spans="1:4" ht="15" x14ac:dyDescent="0.25">
      <c r="A204" t="s">
        <v>2860</v>
      </c>
      <c r="B204">
        <v>1</v>
      </c>
      <c r="C204">
        <v>17</v>
      </c>
      <c r="D204">
        <v>17</v>
      </c>
    </row>
    <row r="205" spans="1:4" ht="15" x14ac:dyDescent="0.25">
      <c r="A205" t="s">
        <v>2862</v>
      </c>
      <c r="B205">
        <v>3</v>
      </c>
      <c r="C205">
        <v>85</v>
      </c>
      <c r="D205">
        <v>28.333333333333332</v>
      </c>
    </row>
    <row r="206" spans="1:4" ht="15" x14ac:dyDescent="0.25">
      <c r="A206" t="s">
        <v>2861</v>
      </c>
      <c r="B206">
        <v>71</v>
      </c>
      <c r="C206">
        <v>4305</v>
      </c>
      <c r="D206">
        <v>60.633802816901408</v>
      </c>
    </row>
    <row r="207" spans="1:4" ht="15" x14ac:dyDescent="0.25">
      <c r="A207" t="s">
        <v>2866</v>
      </c>
      <c r="B207">
        <v>16</v>
      </c>
      <c r="C207">
        <v>576</v>
      </c>
      <c r="D207">
        <v>36</v>
      </c>
    </row>
    <row r="208" spans="1:4" ht="15" x14ac:dyDescent="0.25">
      <c r="A208" t="s">
        <v>2867</v>
      </c>
      <c r="B208">
        <v>1</v>
      </c>
      <c r="C208">
        <v>35</v>
      </c>
      <c r="D208">
        <v>35</v>
      </c>
    </row>
    <row r="209" spans="1:4" ht="15" x14ac:dyDescent="0.25">
      <c r="A209" t="s">
        <v>2868</v>
      </c>
      <c r="B209">
        <v>4</v>
      </c>
      <c r="C209">
        <v>232</v>
      </c>
      <c r="D209">
        <v>58</v>
      </c>
    </row>
    <row r="210" spans="1:4" ht="15" x14ac:dyDescent="0.25">
      <c r="A210" t="s">
        <v>2869</v>
      </c>
      <c r="B210">
        <v>6</v>
      </c>
      <c r="C210">
        <v>238</v>
      </c>
      <c r="D210">
        <v>39.666666666666664</v>
      </c>
    </row>
    <row r="211" spans="1:4" ht="15" x14ac:dyDescent="0.25">
      <c r="A211" t="s">
        <v>2876</v>
      </c>
      <c r="B211">
        <v>17</v>
      </c>
      <c r="C211">
        <v>476</v>
      </c>
      <c r="D211">
        <v>28</v>
      </c>
    </row>
    <row r="212" spans="1:4" ht="15" x14ac:dyDescent="0.25">
      <c r="A212" t="s">
        <v>2877</v>
      </c>
      <c r="B212">
        <v>2</v>
      </c>
      <c r="C212">
        <v>142</v>
      </c>
      <c r="D212">
        <v>71</v>
      </c>
    </row>
    <row r="213" spans="1:4" ht="15" x14ac:dyDescent="0.25">
      <c r="A213" t="s">
        <v>2879</v>
      </c>
      <c r="B213">
        <v>7</v>
      </c>
      <c r="C213">
        <v>581</v>
      </c>
      <c r="D213">
        <v>83</v>
      </c>
    </row>
    <row r="214" spans="1:4" ht="15" x14ac:dyDescent="0.25">
      <c r="A214" t="s">
        <v>2878</v>
      </c>
      <c r="B214">
        <v>2</v>
      </c>
      <c r="C214">
        <v>142</v>
      </c>
      <c r="D214">
        <v>71</v>
      </c>
    </row>
    <row r="215" spans="1:4" ht="15" x14ac:dyDescent="0.25">
      <c r="A215" t="s">
        <v>2883</v>
      </c>
      <c r="B215">
        <v>1</v>
      </c>
      <c r="C215">
        <v>4</v>
      </c>
      <c r="D215">
        <v>4</v>
      </c>
    </row>
    <row r="216" spans="1:4" ht="15" x14ac:dyDescent="0.25">
      <c r="A216" t="s">
        <v>2884</v>
      </c>
      <c r="B216">
        <v>1</v>
      </c>
      <c r="C216">
        <v>4</v>
      </c>
      <c r="D216">
        <v>4</v>
      </c>
    </row>
    <row r="217" spans="1:4" ht="15" x14ac:dyDescent="0.25">
      <c r="A217" t="s">
        <v>2885</v>
      </c>
      <c r="B217">
        <v>1</v>
      </c>
      <c r="C217">
        <v>4</v>
      </c>
      <c r="D217">
        <v>4</v>
      </c>
    </row>
    <row r="218" spans="1:4" ht="15" x14ac:dyDescent="0.25">
      <c r="A218" t="s">
        <v>2886</v>
      </c>
      <c r="B218">
        <v>4</v>
      </c>
      <c r="C218">
        <v>59</v>
      </c>
      <c r="D218">
        <v>14.75</v>
      </c>
    </row>
    <row r="219" spans="1:4" ht="15" x14ac:dyDescent="0.25">
      <c r="A219" t="s">
        <v>2889</v>
      </c>
      <c r="B219">
        <v>1</v>
      </c>
      <c r="C219">
        <v>17</v>
      </c>
      <c r="D219">
        <v>17</v>
      </c>
    </row>
    <row r="220" spans="1:4" ht="15" x14ac:dyDescent="0.25">
      <c r="A220" t="s">
        <v>2890</v>
      </c>
      <c r="B220">
        <v>5</v>
      </c>
      <c r="C220">
        <v>120</v>
      </c>
      <c r="D220">
        <v>24</v>
      </c>
    </row>
    <row r="221" spans="1:4" ht="15" x14ac:dyDescent="0.25">
      <c r="A221" t="s">
        <v>2891</v>
      </c>
      <c r="B221">
        <v>1</v>
      </c>
      <c r="C221">
        <v>17</v>
      </c>
      <c r="D221">
        <v>17</v>
      </c>
    </row>
    <row r="222" spans="1:4" ht="15" x14ac:dyDescent="0.25">
      <c r="A222" t="s">
        <v>2892</v>
      </c>
      <c r="B222">
        <v>4</v>
      </c>
      <c r="C222">
        <v>184</v>
      </c>
      <c r="D222">
        <v>46</v>
      </c>
    </row>
    <row r="223" spans="1:4" ht="15" x14ac:dyDescent="0.25">
      <c r="A223" t="s">
        <v>2897</v>
      </c>
      <c r="B223">
        <v>1</v>
      </c>
      <c r="C223">
        <v>63</v>
      </c>
      <c r="D223">
        <v>63</v>
      </c>
    </row>
    <row r="224" spans="1:4" ht="15" x14ac:dyDescent="0.25">
      <c r="A224" t="s">
        <v>2899</v>
      </c>
      <c r="B224">
        <v>21</v>
      </c>
      <c r="C224">
        <v>762</v>
      </c>
      <c r="D224">
        <v>36.285714285714285</v>
      </c>
    </row>
    <row r="225" spans="1:4" ht="15" x14ac:dyDescent="0.25">
      <c r="A225" t="s">
        <v>2898</v>
      </c>
      <c r="B225">
        <v>8</v>
      </c>
      <c r="C225">
        <v>460</v>
      </c>
      <c r="D225">
        <v>57.5</v>
      </c>
    </row>
    <row r="226" spans="1:4" ht="15" x14ac:dyDescent="0.25">
      <c r="A226" t="s">
        <v>2904</v>
      </c>
      <c r="B226">
        <v>2</v>
      </c>
      <c r="C226">
        <v>32</v>
      </c>
      <c r="D226">
        <v>16</v>
      </c>
    </row>
    <row r="227" spans="1:4" ht="15" x14ac:dyDescent="0.25">
      <c r="A227" t="s">
        <v>2905</v>
      </c>
      <c r="B227">
        <v>1</v>
      </c>
      <c r="C227">
        <v>14</v>
      </c>
      <c r="D227">
        <v>14</v>
      </c>
    </row>
    <row r="228" spans="1:4" ht="15" x14ac:dyDescent="0.25">
      <c r="A228" t="s">
        <v>2906</v>
      </c>
      <c r="B228">
        <v>66</v>
      </c>
      <c r="C228">
        <v>4229</v>
      </c>
      <c r="D228">
        <v>64.075757575757578</v>
      </c>
    </row>
    <row r="229" spans="1:4" ht="15" x14ac:dyDescent="0.25">
      <c r="A229" t="s">
        <v>2911</v>
      </c>
      <c r="B229">
        <v>50</v>
      </c>
      <c r="C229">
        <v>2652</v>
      </c>
      <c r="D229">
        <v>53.04</v>
      </c>
    </row>
    <row r="230" spans="1:4" ht="15" x14ac:dyDescent="0.25">
      <c r="A230" t="s">
        <v>2912</v>
      </c>
      <c r="B230">
        <v>2</v>
      </c>
      <c r="C230">
        <v>70</v>
      </c>
      <c r="D230">
        <v>35</v>
      </c>
    </row>
    <row r="231" spans="1:4" ht="15" x14ac:dyDescent="0.25">
      <c r="A231" t="s">
        <v>2913</v>
      </c>
      <c r="B231">
        <v>11</v>
      </c>
      <c r="C231">
        <v>1085</v>
      </c>
      <c r="D231">
        <v>98.63636363636364</v>
      </c>
    </row>
    <row r="232" spans="1:4" ht="15" x14ac:dyDescent="0.25">
      <c r="A232" t="s">
        <v>2920</v>
      </c>
      <c r="B232">
        <v>1</v>
      </c>
      <c r="C232">
        <v>133</v>
      </c>
      <c r="D232">
        <v>133</v>
      </c>
    </row>
    <row r="233" spans="1:4" ht="15" x14ac:dyDescent="0.25">
      <c r="A233" t="s">
        <v>2921</v>
      </c>
      <c r="B233">
        <v>2</v>
      </c>
      <c r="C233">
        <v>276</v>
      </c>
      <c r="D233">
        <v>138</v>
      </c>
    </row>
    <row r="234" spans="1:4" ht="15" x14ac:dyDescent="0.25">
      <c r="A234" t="s">
        <v>2922</v>
      </c>
      <c r="B234">
        <v>1</v>
      </c>
      <c r="C234">
        <v>133</v>
      </c>
      <c r="D234">
        <v>133</v>
      </c>
    </row>
    <row r="235" spans="1:4" ht="15" x14ac:dyDescent="0.25">
      <c r="A235" t="s">
        <v>2923</v>
      </c>
      <c r="B235">
        <v>1</v>
      </c>
      <c r="C235">
        <v>133</v>
      </c>
      <c r="D235">
        <v>133</v>
      </c>
    </row>
    <row r="236" spans="1:4" ht="15" x14ac:dyDescent="0.25">
      <c r="A236" t="s">
        <v>2929</v>
      </c>
      <c r="B236">
        <v>9</v>
      </c>
      <c r="C236">
        <v>523</v>
      </c>
      <c r="D236">
        <v>58.111111111111114</v>
      </c>
    </row>
    <row r="237" spans="1:4" ht="15" x14ac:dyDescent="0.25">
      <c r="A237" t="s">
        <v>2930</v>
      </c>
      <c r="B237">
        <v>3</v>
      </c>
      <c r="C237">
        <v>86</v>
      </c>
      <c r="D237">
        <v>28.666666666666668</v>
      </c>
    </row>
    <row r="238" spans="1:4" ht="15" x14ac:dyDescent="0.25">
      <c r="A238" t="s">
        <v>2932</v>
      </c>
      <c r="B238">
        <v>1</v>
      </c>
      <c r="C238">
        <v>45</v>
      </c>
      <c r="D238">
        <v>45</v>
      </c>
    </row>
    <row r="239" spans="1:4" ht="15" x14ac:dyDescent="0.25">
      <c r="A239" t="s">
        <v>2931</v>
      </c>
      <c r="B239">
        <v>1</v>
      </c>
      <c r="C239">
        <v>45</v>
      </c>
      <c r="D239">
        <v>45</v>
      </c>
    </row>
    <row r="240" spans="1:4" ht="15" x14ac:dyDescent="0.25">
      <c r="A240" t="s">
        <v>2937</v>
      </c>
      <c r="B240">
        <v>7</v>
      </c>
      <c r="C240">
        <v>295</v>
      </c>
      <c r="D240">
        <v>42.142857142857146</v>
      </c>
    </row>
    <row r="241" spans="1:4" ht="15" x14ac:dyDescent="0.25">
      <c r="A241" t="s">
        <v>2938</v>
      </c>
      <c r="B241">
        <v>6</v>
      </c>
      <c r="C241">
        <v>309</v>
      </c>
      <c r="D241">
        <v>51.5</v>
      </c>
    </row>
    <row r="242" spans="1:4" ht="15" x14ac:dyDescent="0.25">
      <c r="A242" t="s">
        <v>2940</v>
      </c>
      <c r="B242">
        <v>3</v>
      </c>
      <c r="C242">
        <v>91</v>
      </c>
      <c r="D242">
        <v>30.333333333333332</v>
      </c>
    </row>
    <row r="243" spans="1:4" ht="15" x14ac:dyDescent="0.25">
      <c r="A243" t="s">
        <v>2939</v>
      </c>
      <c r="B243">
        <v>3</v>
      </c>
      <c r="C243">
        <v>100</v>
      </c>
      <c r="D243">
        <v>33.333333333333336</v>
      </c>
    </row>
    <row r="244" spans="1:4" ht="15" x14ac:dyDescent="0.25">
      <c r="A244" t="s">
        <v>2944</v>
      </c>
      <c r="B244">
        <v>11</v>
      </c>
      <c r="C244">
        <v>338</v>
      </c>
      <c r="D244">
        <v>30.727272727272727</v>
      </c>
    </row>
    <row r="245" spans="1:4" ht="15" x14ac:dyDescent="0.25">
      <c r="A245" t="s">
        <v>2946</v>
      </c>
      <c r="B245">
        <v>1</v>
      </c>
      <c r="C245">
        <v>47</v>
      </c>
      <c r="D245">
        <v>47</v>
      </c>
    </row>
    <row r="246" spans="1:4" ht="15" x14ac:dyDescent="0.25">
      <c r="A246" t="s">
        <v>2945</v>
      </c>
      <c r="B246">
        <v>1</v>
      </c>
      <c r="C246">
        <v>47</v>
      </c>
      <c r="D246">
        <v>47</v>
      </c>
    </row>
    <row r="247" spans="1:4" ht="15" x14ac:dyDescent="0.25">
      <c r="A247" t="s">
        <v>2949</v>
      </c>
      <c r="B247">
        <v>19</v>
      </c>
      <c r="C247">
        <v>717</v>
      </c>
      <c r="D247">
        <v>37.736842105263158</v>
      </c>
    </row>
    <row r="248" spans="1:4" ht="15" x14ac:dyDescent="0.25">
      <c r="A248" t="s">
        <v>2951</v>
      </c>
      <c r="B248">
        <v>2</v>
      </c>
      <c r="C248">
        <v>58</v>
      </c>
      <c r="D248">
        <v>29</v>
      </c>
    </row>
    <row r="249" spans="1:4" ht="15" x14ac:dyDescent="0.25">
      <c r="A249" t="s">
        <v>2952</v>
      </c>
      <c r="B249">
        <v>2</v>
      </c>
      <c r="C249">
        <v>60</v>
      </c>
      <c r="D249">
        <v>30</v>
      </c>
    </row>
    <row r="250" spans="1:4" ht="15" x14ac:dyDescent="0.25">
      <c r="A250" t="s">
        <v>2950</v>
      </c>
      <c r="B250">
        <v>2</v>
      </c>
      <c r="C250">
        <v>62</v>
      </c>
      <c r="D250">
        <v>31</v>
      </c>
    </row>
    <row r="251" spans="1:4" ht="15" x14ac:dyDescent="0.25">
      <c r="A251" t="s">
        <v>2957</v>
      </c>
      <c r="B251">
        <v>1</v>
      </c>
      <c r="C251">
        <v>111</v>
      </c>
      <c r="D251">
        <v>111</v>
      </c>
    </row>
    <row r="252" spans="1:4" ht="15" x14ac:dyDescent="0.25">
      <c r="A252" t="s">
        <v>2958</v>
      </c>
      <c r="B252">
        <v>8</v>
      </c>
      <c r="C252">
        <v>344</v>
      </c>
      <c r="D252">
        <v>43</v>
      </c>
    </row>
    <row r="253" spans="1:4" ht="15" x14ac:dyDescent="0.25">
      <c r="A253" t="s">
        <v>2959</v>
      </c>
      <c r="B253">
        <v>2</v>
      </c>
      <c r="C253">
        <v>146</v>
      </c>
      <c r="D253">
        <v>73</v>
      </c>
    </row>
    <row r="254" spans="1:4" ht="15" x14ac:dyDescent="0.25">
      <c r="A254" t="s">
        <v>2960</v>
      </c>
      <c r="B254">
        <v>1</v>
      </c>
      <c r="C254">
        <v>111</v>
      </c>
      <c r="D254">
        <v>111</v>
      </c>
    </row>
    <row r="255" spans="1:4" ht="15" x14ac:dyDescent="0.25">
      <c r="A255" t="s">
        <v>2965</v>
      </c>
      <c r="B255">
        <v>1</v>
      </c>
      <c r="C255">
        <v>38</v>
      </c>
      <c r="D255">
        <v>38</v>
      </c>
    </row>
    <row r="256" spans="1:4" ht="15" x14ac:dyDescent="0.25">
      <c r="A256" t="s">
        <v>2966</v>
      </c>
      <c r="B256">
        <v>1</v>
      </c>
      <c r="C256">
        <v>38</v>
      </c>
      <c r="D256">
        <v>38</v>
      </c>
    </row>
    <row r="257" spans="1:4" ht="15" x14ac:dyDescent="0.25">
      <c r="A257" t="s">
        <v>2968</v>
      </c>
      <c r="B257">
        <v>70</v>
      </c>
      <c r="C257">
        <v>3267</v>
      </c>
      <c r="D257">
        <v>46.671428571428571</v>
      </c>
    </row>
    <row r="258" spans="1:4" ht="15" x14ac:dyDescent="0.25">
      <c r="A258" t="s">
        <v>2969</v>
      </c>
      <c r="B258">
        <v>1</v>
      </c>
      <c r="C258">
        <v>38</v>
      </c>
      <c r="D258">
        <v>38</v>
      </c>
    </row>
    <row r="259" spans="1:4" ht="15" x14ac:dyDescent="0.25">
      <c r="A259" t="s">
        <v>2967</v>
      </c>
      <c r="B259">
        <v>1</v>
      </c>
      <c r="C259">
        <v>38</v>
      </c>
      <c r="D259">
        <v>38</v>
      </c>
    </row>
    <row r="260" spans="1:4" ht="15" x14ac:dyDescent="0.25">
      <c r="A260" t="s">
        <v>2973</v>
      </c>
      <c r="B260">
        <v>1</v>
      </c>
      <c r="C260">
        <v>53</v>
      </c>
      <c r="D260">
        <v>53</v>
      </c>
    </row>
    <row r="261" spans="1:4" ht="15" x14ac:dyDescent="0.25">
      <c r="A261" t="s">
        <v>2975</v>
      </c>
      <c r="B261">
        <v>1</v>
      </c>
      <c r="C261">
        <v>53</v>
      </c>
      <c r="D261">
        <v>53</v>
      </c>
    </row>
    <row r="262" spans="1:4" ht="15" x14ac:dyDescent="0.25">
      <c r="A262" t="s">
        <v>2976</v>
      </c>
      <c r="B262">
        <v>1</v>
      </c>
      <c r="C262">
        <v>53</v>
      </c>
      <c r="D262">
        <v>53</v>
      </c>
    </row>
    <row r="263" spans="1:4" ht="15" x14ac:dyDescent="0.25">
      <c r="A263" t="s">
        <v>2974</v>
      </c>
      <c r="B263">
        <v>1</v>
      </c>
      <c r="C263">
        <v>53</v>
      </c>
      <c r="D263">
        <v>53</v>
      </c>
    </row>
    <row r="264" spans="1:4" ht="15" x14ac:dyDescent="0.25">
      <c r="A264" t="s">
        <v>2981</v>
      </c>
      <c r="B264">
        <v>3</v>
      </c>
      <c r="C264">
        <v>66</v>
      </c>
      <c r="D264">
        <v>22</v>
      </c>
    </row>
    <row r="265" spans="1:4" ht="15" x14ac:dyDescent="0.25">
      <c r="A265" t="s">
        <v>2983</v>
      </c>
      <c r="B265">
        <v>6</v>
      </c>
      <c r="C265">
        <v>222</v>
      </c>
      <c r="D265">
        <v>37</v>
      </c>
    </row>
    <row r="266" spans="1:4" ht="15" x14ac:dyDescent="0.25">
      <c r="A266" t="s">
        <v>2984</v>
      </c>
      <c r="B266">
        <v>10</v>
      </c>
      <c r="C266">
        <v>310</v>
      </c>
      <c r="D266">
        <v>31</v>
      </c>
    </row>
    <row r="267" spans="1:4" ht="15" x14ac:dyDescent="0.25">
      <c r="A267" t="s">
        <v>2982</v>
      </c>
      <c r="B267">
        <v>1</v>
      </c>
      <c r="C267">
        <v>19</v>
      </c>
      <c r="D267">
        <v>19</v>
      </c>
    </row>
    <row r="268" spans="1:4" ht="15" x14ac:dyDescent="0.25">
      <c r="A268" t="s">
        <v>2989</v>
      </c>
      <c r="B268">
        <v>1</v>
      </c>
      <c r="C268">
        <v>79</v>
      </c>
      <c r="D268">
        <v>79</v>
      </c>
    </row>
    <row r="269" spans="1:4" ht="15" x14ac:dyDescent="0.25">
      <c r="A269" t="s">
        <v>2991</v>
      </c>
      <c r="B269">
        <v>1</v>
      </c>
      <c r="C269">
        <v>79</v>
      </c>
      <c r="D269">
        <v>79</v>
      </c>
    </row>
    <row r="270" spans="1:4" ht="15" x14ac:dyDescent="0.25">
      <c r="A270" t="s">
        <v>2992</v>
      </c>
      <c r="B270">
        <v>3</v>
      </c>
      <c r="C270">
        <v>270</v>
      </c>
      <c r="D270">
        <v>90</v>
      </c>
    </row>
    <row r="271" spans="1:4" ht="15" x14ac:dyDescent="0.25">
      <c r="A271" t="s">
        <v>2990</v>
      </c>
      <c r="B271">
        <v>1</v>
      </c>
      <c r="C271">
        <v>79</v>
      </c>
      <c r="D271">
        <v>79</v>
      </c>
    </row>
    <row r="272" spans="1:4" ht="15" x14ac:dyDescent="0.25">
      <c r="A272" t="s">
        <v>2997</v>
      </c>
      <c r="B272">
        <v>1</v>
      </c>
      <c r="C272">
        <v>24</v>
      </c>
      <c r="D272">
        <v>24</v>
      </c>
    </row>
    <row r="273" spans="1:4" ht="15" x14ac:dyDescent="0.25">
      <c r="A273" t="s">
        <v>2998</v>
      </c>
      <c r="B273">
        <v>1</v>
      </c>
      <c r="C273">
        <v>24</v>
      </c>
      <c r="D273">
        <v>24</v>
      </c>
    </row>
    <row r="274" spans="1:4" ht="15" x14ac:dyDescent="0.25">
      <c r="A274" t="s">
        <v>2999</v>
      </c>
      <c r="B274">
        <v>1</v>
      </c>
      <c r="C274">
        <v>24</v>
      </c>
      <c r="D274">
        <v>24</v>
      </c>
    </row>
    <row r="275" spans="1:4" ht="15" x14ac:dyDescent="0.25">
      <c r="A275" t="s">
        <v>3000</v>
      </c>
      <c r="B275">
        <v>1</v>
      </c>
      <c r="C275">
        <v>24</v>
      </c>
      <c r="D275">
        <v>24</v>
      </c>
    </row>
    <row r="276" spans="1:4" ht="15" x14ac:dyDescent="0.25">
      <c r="A276" t="s">
        <v>3004</v>
      </c>
      <c r="B276">
        <v>1</v>
      </c>
      <c r="C276">
        <v>29</v>
      </c>
      <c r="D276">
        <v>29</v>
      </c>
    </row>
    <row r="277" spans="1:4" ht="15" x14ac:dyDescent="0.25">
      <c r="A277" t="s">
        <v>3006</v>
      </c>
      <c r="B277">
        <v>42</v>
      </c>
      <c r="C277">
        <v>2277</v>
      </c>
      <c r="D277">
        <v>54.214285714285715</v>
      </c>
    </row>
    <row r="278" spans="1:4" ht="15" x14ac:dyDescent="0.25">
      <c r="A278" t="s">
        <v>3007</v>
      </c>
      <c r="B278">
        <v>1</v>
      </c>
      <c r="C278">
        <v>29</v>
      </c>
      <c r="D278">
        <v>29</v>
      </c>
    </row>
    <row r="279" spans="1:4" ht="15" x14ac:dyDescent="0.25">
      <c r="A279" t="s">
        <v>3005</v>
      </c>
      <c r="B279">
        <v>4</v>
      </c>
      <c r="C279">
        <v>127</v>
      </c>
      <c r="D279">
        <v>31.75</v>
      </c>
    </row>
    <row r="280" spans="1:4" ht="15" x14ac:dyDescent="0.25">
      <c r="A280" t="s">
        <v>3011</v>
      </c>
      <c r="B280">
        <v>1</v>
      </c>
      <c r="C280">
        <v>0</v>
      </c>
      <c r="D280">
        <v>0</v>
      </c>
    </row>
    <row r="281" spans="1:4" ht="15" x14ac:dyDescent="0.25">
      <c r="A281" t="s">
        <v>3012</v>
      </c>
      <c r="B281">
        <v>5</v>
      </c>
      <c r="C281">
        <v>92</v>
      </c>
      <c r="D281">
        <v>18.399999999999999</v>
      </c>
    </row>
    <row r="282" spans="1:4" ht="15" x14ac:dyDescent="0.25">
      <c r="A282" t="s">
        <v>3013</v>
      </c>
      <c r="B282">
        <v>1</v>
      </c>
      <c r="C282">
        <v>0</v>
      </c>
      <c r="D282">
        <v>0</v>
      </c>
    </row>
    <row r="283" spans="1:4" ht="15" x14ac:dyDescent="0.25">
      <c r="A283" t="s">
        <v>3014</v>
      </c>
      <c r="B283">
        <v>10</v>
      </c>
      <c r="C283">
        <v>236</v>
      </c>
      <c r="D283">
        <v>23.6</v>
      </c>
    </row>
    <row r="284" spans="1:4" ht="15" x14ac:dyDescent="0.25">
      <c r="A284" t="s">
        <v>3018</v>
      </c>
      <c r="B284">
        <v>30</v>
      </c>
      <c r="C284">
        <v>1157</v>
      </c>
      <c r="D284">
        <v>38.56666666666667</v>
      </c>
    </row>
    <row r="285" spans="1:4" ht="15" x14ac:dyDescent="0.25">
      <c r="A285" t="s">
        <v>3019</v>
      </c>
      <c r="B285">
        <v>22</v>
      </c>
      <c r="C285">
        <v>1004</v>
      </c>
      <c r="D285">
        <v>45.636363636363633</v>
      </c>
    </row>
    <row r="286" spans="1:4" ht="15" x14ac:dyDescent="0.25">
      <c r="A286" t="s">
        <v>3020</v>
      </c>
      <c r="B286">
        <v>19</v>
      </c>
      <c r="C286">
        <v>679</v>
      </c>
      <c r="D286">
        <v>35.736842105263158</v>
      </c>
    </row>
    <row r="287" spans="1:4" ht="15" x14ac:dyDescent="0.25">
      <c r="A287" t="s">
        <v>3021</v>
      </c>
      <c r="B287">
        <v>22</v>
      </c>
      <c r="C287">
        <v>805</v>
      </c>
      <c r="D287">
        <v>36.590909090909093</v>
      </c>
    </row>
    <row r="288" spans="1:4" ht="15" x14ac:dyDescent="0.25">
      <c r="A288" t="s">
        <v>3031</v>
      </c>
      <c r="B288">
        <v>1</v>
      </c>
      <c r="C288">
        <v>50</v>
      </c>
      <c r="D288">
        <v>50</v>
      </c>
    </row>
    <row r="289" spans="1:4" ht="15" x14ac:dyDescent="0.25">
      <c r="A289" t="s">
        <v>3033</v>
      </c>
      <c r="B289">
        <v>1</v>
      </c>
      <c r="C289">
        <v>50</v>
      </c>
      <c r="D289">
        <v>50</v>
      </c>
    </row>
    <row r="290" spans="1:4" ht="15" x14ac:dyDescent="0.25">
      <c r="A290" t="s">
        <v>3034</v>
      </c>
      <c r="B290">
        <v>7</v>
      </c>
      <c r="C290">
        <v>604</v>
      </c>
      <c r="D290">
        <v>86.285714285714292</v>
      </c>
    </row>
    <row r="291" spans="1:4" ht="15" x14ac:dyDescent="0.25">
      <c r="A291" t="s">
        <v>3032</v>
      </c>
      <c r="B291">
        <v>1</v>
      </c>
      <c r="C291">
        <v>50</v>
      </c>
      <c r="D291">
        <v>50</v>
      </c>
    </row>
    <row r="292" spans="1:4" ht="15" x14ac:dyDescent="0.25">
      <c r="A292" t="s">
        <v>3039</v>
      </c>
      <c r="B292">
        <v>3</v>
      </c>
      <c r="C292">
        <v>82</v>
      </c>
      <c r="D292">
        <v>27.333333333333332</v>
      </c>
    </row>
    <row r="293" spans="1:4" ht="15" x14ac:dyDescent="0.25">
      <c r="A293" t="s">
        <v>3041</v>
      </c>
      <c r="B293">
        <v>2</v>
      </c>
      <c r="C293">
        <v>25</v>
      </c>
      <c r="D293">
        <v>12.5</v>
      </c>
    </row>
    <row r="294" spans="1:4" ht="15" x14ac:dyDescent="0.25">
      <c r="A294" t="s">
        <v>3042</v>
      </c>
      <c r="B294">
        <v>1</v>
      </c>
      <c r="C294">
        <v>15</v>
      </c>
      <c r="D294">
        <v>15</v>
      </c>
    </row>
    <row r="295" spans="1:4" ht="15" x14ac:dyDescent="0.25">
      <c r="A295" t="s">
        <v>3040</v>
      </c>
      <c r="B295">
        <v>1</v>
      </c>
      <c r="C295">
        <v>15</v>
      </c>
      <c r="D295">
        <v>15</v>
      </c>
    </row>
    <row r="296" spans="1:4" ht="15" x14ac:dyDescent="0.25">
      <c r="A296" t="s">
        <v>3047</v>
      </c>
      <c r="B296">
        <v>1</v>
      </c>
      <c r="C296">
        <v>44</v>
      </c>
      <c r="D296">
        <v>44</v>
      </c>
    </row>
    <row r="297" spans="1:4" ht="15" x14ac:dyDescent="0.25">
      <c r="A297" t="s">
        <v>3046</v>
      </c>
      <c r="B297">
        <v>2</v>
      </c>
      <c r="C297">
        <v>70</v>
      </c>
      <c r="D297">
        <v>35</v>
      </c>
    </row>
    <row r="298" spans="1:4" ht="15" x14ac:dyDescent="0.25">
      <c r="A298" t="s">
        <v>3052</v>
      </c>
      <c r="B298">
        <v>1</v>
      </c>
      <c r="C298">
        <v>85</v>
      </c>
      <c r="D298">
        <v>85</v>
      </c>
    </row>
    <row r="299" spans="1:4" ht="15" x14ac:dyDescent="0.25">
      <c r="A299" t="s">
        <v>3053</v>
      </c>
      <c r="B299">
        <v>5</v>
      </c>
      <c r="C299">
        <v>218</v>
      </c>
      <c r="D299">
        <v>43.6</v>
      </c>
    </row>
    <row r="300" spans="1:4" ht="15" x14ac:dyDescent="0.25">
      <c r="A300" t="s">
        <v>3054</v>
      </c>
      <c r="B300">
        <v>1</v>
      </c>
      <c r="C300">
        <v>85</v>
      </c>
      <c r="D300">
        <v>85</v>
      </c>
    </row>
    <row r="301" spans="1:4" ht="15" x14ac:dyDescent="0.25">
      <c r="A301" t="s">
        <v>3058</v>
      </c>
      <c r="B301">
        <v>2</v>
      </c>
      <c r="C301">
        <v>44</v>
      </c>
      <c r="D301">
        <v>22</v>
      </c>
    </row>
    <row r="302" spans="1:4" ht="15" x14ac:dyDescent="0.25">
      <c r="A302" t="s">
        <v>3059</v>
      </c>
      <c r="B302">
        <v>1</v>
      </c>
      <c r="C302">
        <v>23</v>
      </c>
      <c r="D302">
        <v>23</v>
      </c>
    </row>
    <row r="303" spans="1:4" ht="15" x14ac:dyDescent="0.25">
      <c r="A303" t="s">
        <v>3060</v>
      </c>
      <c r="B303">
        <v>1</v>
      </c>
      <c r="C303">
        <v>23</v>
      </c>
      <c r="D303">
        <v>23</v>
      </c>
    </row>
    <row r="304" spans="1:4" ht="15" x14ac:dyDescent="0.25">
      <c r="A304" t="s">
        <v>3061</v>
      </c>
      <c r="B304">
        <v>14</v>
      </c>
      <c r="C304">
        <v>642</v>
      </c>
      <c r="D304">
        <v>45.857142857142854</v>
      </c>
    </row>
    <row r="305" spans="1:4" ht="15" x14ac:dyDescent="0.25">
      <c r="A305" t="s">
        <v>3068</v>
      </c>
      <c r="B305">
        <v>1</v>
      </c>
      <c r="C305">
        <v>33</v>
      </c>
      <c r="D305">
        <v>33</v>
      </c>
    </row>
    <row r="306" spans="1:4" ht="15" x14ac:dyDescent="0.25">
      <c r="A306" t="s">
        <v>3070</v>
      </c>
      <c r="B306">
        <v>14</v>
      </c>
      <c r="C306">
        <v>917</v>
      </c>
      <c r="D306">
        <v>65.5</v>
      </c>
    </row>
    <row r="307" spans="1:4" ht="15" x14ac:dyDescent="0.25">
      <c r="A307" t="s">
        <v>3069</v>
      </c>
      <c r="B307">
        <v>8</v>
      </c>
      <c r="C307">
        <v>446</v>
      </c>
      <c r="D307">
        <v>55.75</v>
      </c>
    </row>
    <row r="308" spans="1:4" ht="15" x14ac:dyDescent="0.25">
      <c r="A308" t="s">
        <v>3074</v>
      </c>
      <c r="B308">
        <v>2</v>
      </c>
      <c r="C308">
        <v>56</v>
      </c>
      <c r="D308">
        <v>28</v>
      </c>
    </row>
    <row r="309" spans="1:4" ht="15" x14ac:dyDescent="0.25">
      <c r="A309" t="s">
        <v>3076</v>
      </c>
      <c r="B309">
        <v>4</v>
      </c>
      <c r="C309">
        <v>259</v>
      </c>
      <c r="D309">
        <v>64.75</v>
      </c>
    </row>
    <row r="310" spans="1:4" ht="15" x14ac:dyDescent="0.25">
      <c r="A310" t="s">
        <v>3077</v>
      </c>
      <c r="B310">
        <v>13</v>
      </c>
      <c r="C310">
        <v>770</v>
      </c>
      <c r="D310">
        <v>59.230769230769234</v>
      </c>
    </row>
    <row r="311" spans="1:4" ht="15" x14ac:dyDescent="0.25">
      <c r="A311" t="s">
        <v>3075</v>
      </c>
      <c r="B311">
        <v>18</v>
      </c>
      <c r="C311">
        <v>2322</v>
      </c>
      <c r="D311">
        <v>129</v>
      </c>
    </row>
    <row r="312" spans="1:4" ht="15" x14ac:dyDescent="0.25">
      <c r="A312" t="s">
        <v>3081</v>
      </c>
      <c r="B312">
        <v>1</v>
      </c>
      <c r="C312">
        <v>14</v>
      </c>
      <c r="D312">
        <v>14</v>
      </c>
    </row>
    <row r="313" spans="1:4" ht="15" x14ac:dyDescent="0.25">
      <c r="A313" t="s">
        <v>3082</v>
      </c>
      <c r="B313">
        <v>1</v>
      </c>
      <c r="C313">
        <v>14</v>
      </c>
      <c r="D313">
        <v>14</v>
      </c>
    </row>
    <row r="314" spans="1:4" ht="15" x14ac:dyDescent="0.25">
      <c r="A314" t="s">
        <v>3083</v>
      </c>
      <c r="B314">
        <v>1</v>
      </c>
      <c r="C314">
        <v>14</v>
      </c>
      <c r="D314">
        <v>14</v>
      </c>
    </row>
    <row r="315" spans="1:4" ht="15" x14ac:dyDescent="0.25">
      <c r="A315" t="s">
        <v>3088</v>
      </c>
      <c r="B315">
        <v>1</v>
      </c>
      <c r="C315">
        <v>51</v>
      </c>
      <c r="D315">
        <v>51</v>
      </c>
    </row>
    <row r="316" spans="1:4" ht="15" x14ac:dyDescent="0.25">
      <c r="A316" t="s">
        <v>3090</v>
      </c>
      <c r="B316">
        <v>1</v>
      </c>
      <c r="C316">
        <v>51</v>
      </c>
      <c r="D316">
        <v>51</v>
      </c>
    </row>
    <row r="317" spans="1:4" ht="15" x14ac:dyDescent="0.25">
      <c r="A317" t="s">
        <v>3091</v>
      </c>
      <c r="B317">
        <v>9</v>
      </c>
      <c r="C317">
        <v>293</v>
      </c>
      <c r="D317">
        <v>32.555555555555557</v>
      </c>
    </row>
    <row r="318" spans="1:4" ht="15" x14ac:dyDescent="0.25">
      <c r="A318" t="s">
        <v>3089</v>
      </c>
      <c r="B318">
        <v>1</v>
      </c>
      <c r="C318">
        <v>51</v>
      </c>
      <c r="D318">
        <v>51</v>
      </c>
    </row>
    <row r="319" spans="1:4" ht="15" x14ac:dyDescent="0.25">
      <c r="A319" t="s">
        <v>3095</v>
      </c>
      <c r="B319">
        <v>2</v>
      </c>
      <c r="C319">
        <v>36</v>
      </c>
      <c r="D319">
        <v>18</v>
      </c>
    </row>
    <row r="320" spans="1:4" ht="15" x14ac:dyDescent="0.25">
      <c r="A320" t="s">
        <v>3099</v>
      </c>
      <c r="B320">
        <v>4</v>
      </c>
      <c r="C320">
        <v>77</v>
      </c>
      <c r="D320">
        <v>19.25</v>
      </c>
    </row>
    <row r="321" spans="1:4" ht="15" x14ac:dyDescent="0.25">
      <c r="A321" t="s">
        <v>3103</v>
      </c>
      <c r="B321">
        <v>1</v>
      </c>
      <c r="C321">
        <v>18</v>
      </c>
      <c r="D321">
        <v>18</v>
      </c>
    </row>
    <row r="322" spans="1:4" ht="15" x14ac:dyDescent="0.25">
      <c r="A322" t="s">
        <v>3104</v>
      </c>
      <c r="B322">
        <v>2</v>
      </c>
      <c r="C322">
        <v>507</v>
      </c>
      <c r="D322">
        <v>253.5</v>
      </c>
    </row>
    <row r="323" spans="1:4" ht="15" x14ac:dyDescent="0.25">
      <c r="A323" t="s">
        <v>3105</v>
      </c>
      <c r="B323">
        <v>1</v>
      </c>
      <c r="C323">
        <v>18</v>
      </c>
      <c r="D323">
        <v>18</v>
      </c>
    </row>
    <row r="324" spans="1:4" ht="15" x14ac:dyDescent="0.25">
      <c r="A324" t="s">
        <v>3106</v>
      </c>
      <c r="B324">
        <v>1</v>
      </c>
      <c r="C324">
        <v>18</v>
      </c>
      <c r="D324">
        <v>18</v>
      </c>
    </row>
    <row r="325" spans="1:4" ht="15" x14ac:dyDescent="0.25">
      <c r="A325" t="s">
        <v>3111</v>
      </c>
      <c r="B325">
        <v>1</v>
      </c>
      <c r="C325">
        <v>83</v>
      </c>
      <c r="D325">
        <v>83</v>
      </c>
    </row>
    <row r="326" spans="1:4" ht="15" x14ac:dyDescent="0.25">
      <c r="A326" t="s">
        <v>3112</v>
      </c>
      <c r="B326">
        <v>1</v>
      </c>
      <c r="C326">
        <v>83</v>
      </c>
      <c r="D326">
        <v>83</v>
      </c>
    </row>
    <row r="327" spans="1:4" ht="15" x14ac:dyDescent="0.25">
      <c r="A327" t="s">
        <v>3110</v>
      </c>
      <c r="B327">
        <v>23</v>
      </c>
      <c r="C327">
        <v>813</v>
      </c>
      <c r="D327">
        <v>35.347826086956523</v>
      </c>
    </row>
    <row r="328" spans="1:4" ht="15" x14ac:dyDescent="0.25">
      <c r="A328" t="s">
        <v>3116</v>
      </c>
      <c r="B328">
        <v>1</v>
      </c>
      <c r="C328">
        <v>9</v>
      </c>
      <c r="D328">
        <v>9</v>
      </c>
    </row>
    <row r="329" spans="1:4" ht="15" x14ac:dyDescent="0.25">
      <c r="A329" t="s">
        <v>3118</v>
      </c>
      <c r="B329">
        <v>1</v>
      </c>
      <c r="C329">
        <v>9</v>
      </c>
      <c r="D329">
        <v>9</v>
      </c>
    </row>
    <row r="330" spans="1:4" ht="15" x14ac:dyDescent="0.25">
      <c r="A330" t="s">
        <v>3119</v>
      </c>
      <c r="B330">
        <v>1</v>
      </c>
      <c r="C330">
        <v>9</v>
      </c>
      <c r="D330">
        <v>9</v>
      </c>
    </row>
    <row r="331" spans="1:4" ht="15" x14ac:dyDescent="0.25">
      <c r="A331" t="s">
        <v>3117</v>
      </c>
      <c r="B331">
        <v>14</v>
      </c>
      <c r="C331">
        <v>259</v>
      </c>
      <c r="D331">
        <v>18.5</v>
      </c>
    </row>
    <row r="332" spans="1:4" ht="15" x14ac:dyDescent="0.25">
      <c r="A332" t="s">
        <v>3124</v>
      </c>
      <c r="B332">
        <v>1</v>
      </c>
      <c r="C332">
        <v>109</v>
      </c>
      <c r="D332">
        <v>109</v>
      </c>
    </row>
    <row r="333" spans="1:4" ht="15" x14ac:dyDescent="0.25">
      <c r="A333" t="s">
        <v>3126</v>
      </c>
      <c r="B333">
        <v>2</v>
      </c>
      <c r="C333">
        <v>117</v>
      </c>
      <c r="D333">
        <v>58.5</v>
      </c>
    </row>
    <row r="334" spans="1:4" ht="15" x14ac:dyDescent="0.25">
      <c r="A334" t="s">
        <v>3125</v>
      </c>
      <c r="B334">
        <v>1</v>
      </c>
      <c r="C334">
        <v>109</v>
      </c>
      <c r="D334">
        <v>109</v>
      </c>
    </row>
    <row r="335" spans="1:4" ht="15" x14ac:dyDescent="0.25">
      <c r="A335" t="s">
        <v>3130</v>
      </c>
      <c r="B335">
        <v>1</v>
      </c>
      <c r="C335">
        <v>8</v>
      </c>
      <c r="D335">
        <v>8</v>
      </c>
    </row>
    <row r="336" spans="1:4" ht="15" x14ac:dyDescent="0.25">
      <c r="A336" t="s">
        <v>3131</v>
      </c>
      <c r="B336">
        <v>1</v>
      </c>
      <c r="C336">
        <v>8</v>
      </c>
      <c r="D336">
        <v>8</v>
      </c>
    </row>
    <row r="337" spans="1:4" ht="15" x14ac:dyDescent="0.25">
      <c r="A337" t="s">
        <v>3132</v>
      </c>
      <c r="B337">
        <v>19</v>
      </c>
      <c r="C337">
        <v>402</v>
      </c>
      <c r="D337">
        <v>21.157894736842106</v>
      </c>
    </row>
    <row r="338" spans="1:4" ht="15" x14ac:dyDescent="0.25">
      <c r="A338" t="s">
        <v>3136</v>
      </c>
      <c r="B338">
        <v>2</v>
      </c>
      <c r="C338">
        <v>136</v>
      </c>
      <c r="D338">
        <v>68</v>
      </c>
    </row>
    <row r="339" spans="1:4" ht="15" x14ac:dyDescent="0.25">
      <c r="A339" t="s">
        <v>3138</v>
      </c>
      <c r="B339">
        <v>3</v>
      </c>
      <c r="C339">
        <v>285</v>
      </c>
      <c r="D339">
        <v>95</v>
      </c>
    </row>
    <row r="340" spans="1:4" ht="15" x14ac:dyDescent="0.25">
      <c r="A340" t="s">
        <v>3139</v>
      </c>
      <c r="B340">
        <v>2</v>
      </c>
      <c r="C340">
        <v>126</v>
      </c>
      <c r="D340">
        <v>63</v>
      </c>
    </row>
    <row r="341" spans="1:4" ht="15" x14ac:dyDescent="0.25">
      <c r="A341" t="s">
        <v>3137</v>
      </c>
      <c r="B341">
        <v>10</v>
      </c>
      <c r="C341">
        <v>486</v>
      </c>
      <c r="D341">
        <v>48.6</v>
      </c>
    </row>
    <row r="342" spans="1:4" ht="15" x14ac:dyDescent="0.25">
      <c r="A342" t="s">
        <v>3144</v>
      </c>
      <c r="B342">
        <v>4</v>
      </c>
      <c r="C342">
        <v>101</v>
      </c>
      <c r="D342">
        <v>25.25</v>
      </c>
    </row>
    <row r="343" spans="1:4" ht="15" x14ac:dyDescent="0.25">
      <c r="A343" t="s">
        <v>3146</v>
      </c>
      <c r="B343">
        <v>1</v>
      </c>
      <c r="C343">
        <v>33</v>
      </c>
      <c r="D343">
        <v>33</v>
      </c>
    </row>
    <row r="344" spans="1:4" ht="15" x14ac:dyDescent="0.25">
      <c r="A344" t="s">
        <v>3147</v>
      </c>
      <c r="B344">
        <v>1</v>
      </c>
      <c r="C344">
        <v>33</v>
      </c>
      <c r="D344">
        <v>33</v>
      </c>
    </row>
    <row r="345" spans="1:4" ht="15" x14ac:dyDescent="0.25">
      <c r="A345" t="s">
        <v>3145</v>
      </c>
      <c r="B345">
        <v>48</v>
      </c>
      <c r="C345">
        <v>1767</v>
      </c>
      <c r="D345">
        <v>36.8125</v>
      </c>
    </row>
    <row r="346" spans="1:4" ht="15" x14ac:dyDescent="0.25">
      <c r="A346" t="s">
        <v>3151</v>
      </c>
      <c r="B346">
        <v>2</v>
      </c>
      <c r="C346">
        <v>22</v>
      </c>
      <c r="D346">
        <v>11</v>
      </c>
    </row>
    <row r="347" spans="1:4" ht="15" x14ac:dyDescent="0.25">
      <c r="A347" t="s">
        <v>3152</v>
      </c>
      <c r="B347">
        <v>1</v>
      </c>
      <c r="C347">
        <v>12</v>
      </c>
      <c r="D347">
        <v>12</v>
      </c>
    </row>
    <row r="348" spans="1:4" ht="15" x14ac:dyDescent="0.25">
      <c r="A348" t="s">
        <v>3153</v>
      </c>
      <c r="B348">
        <v>21</v>
      </c>
      <c r="C348">
        <v>434</v>
      </c>
      <c r="D348">
        <v>20.666666666666668</v>
      </c>
    </row>
    <row r="349" spans="1:4" ht="15" x14ac:dyDescent="0.25">
      <c r="A349" t="s">
        <v>3157</v>
      </c>
      <c r="B349">
        <v>24</v>
      </c>
      <c r="C349">
        <v>1952</v>
      </c>
      <c r="D349">
        <v>81.333333333333329</v>
      </c>
    </row>
    <row r="350" spans="1:4" ht="15" x14ac:dyDescent="0.25">
      <c r="A350" t="s">
        <v>3159</v>
      </c>
      <c r="B350">
        <v>4</v>
      </c>
      <c r="C350">
        <v>422</v>
      </c>
      <c r="D350">
        <v>105.5</v>
      </c>
    </row>
    <row r="351" spans="1:4" ht="15" x14ac:dyDescent="0.25">
      <c r="A351" t="s">
        <v>3160</v>
      </c>
      <c r="B351">
        <v>6</v>
      </c>
      <c r="C351">
        <v>694</v>
      </c>
      <c r="D351">
        <v>115.66666666666667</v>
      </c>
    </row>
    <row r="352" spans="1:4" ht="15" x14ac:dyDescent="0.25">
      <c r="A352" t="s">
        <v>3158</v>
      </c>
      <c r="B352">
        <v>2</v>
      </c>
      <c r="C352">
        <v>220</v>
      </c>
      <c r="D352">
        <v>110</v>
      </c>
    </row>
    <row r="353" spans="1:4" ht="15" x14ac:dyDescent="0.25">
      <c r="A353" t="s">
        <v>3164</v>
      </c>
      <c r="B353">
        <v>1</v>
      </c>
      <c r="C353">
        <v>19</v>
      </c>
      <c r="D353">
        <v>19</v>
      </c>
    </row>
    <row r="354" spans="1:4" ht="15" x14ac:dyDescent="0.25">
      <c r="A354" t="s">
        <v>3165</v>
      </c>
      <c r="B354">
        <v>34</v>
      </c>
      <c r="C354">
        <v>1691</v>
      </c>
      <c r="D354">
        <v>49.735294117647058</v>
      </c>
    </row>
    <row r="355" spans="1:4" ht="15" x14ac:dyDescent="0.25">
      <c r="A355" t="s">
        <v>3166</v>
      </c>
      <c r="B355">
        <v>1</v>
      </c>
      <c r="C355">
        <v>19</v>
      </c>
      <c r="D355">
        <v>19</v>
      </c>
    </row>
    <row r="356" spans="1:4" ht="15" x14ac:dyDescent="0.25">
      <c r="A356" t="s">
        <v>3171</v>
      </c>
      <c r="B356">
        <v>1</v>
      </c>
      <c r="C356">
        <v>40</v>
      </c>
      <c r="D356">
        <v>40</v>
      </c>
    </row>
    <row r="357" spans="1:4" ht="15" x14ac:dyDescent="0.25">
      <c r="A357" t="s">
        <v>3173</v>
      </c>
      <c r="B357">
        <v>1</v>
      </c>
      <c r="C357">
        <v>40</v>
      </c>
      <c r="D357">
        <v>40</v>
      </c>
    </row>
    <row r="358" spans="1:4" ht="15" x14ac:dyDescent="0.25">
      <c r="A358" t="s">
        <v>3174</v>
      </c>
      <c r="B358">
        <v>88</v>
      </c>
      <c r="C358">
        <v>3931</v>
      </c>
      <c r="D358">
        <v>44.670454545454547</v>
      </c>
    </row>
    <row r="359" spans="1:4" ht="15" x14ac:dyDescent="0.25">
      <c r="A359" t="s">
        <v>3172</v>
      </c>
      <c r="B359">
        <v>1</v>
      </c>
      <c r="C359">
        <v>40</v>
      </c>
      <c r="D359">
        <v>40</v>
      </c>
    </row>
    <row r="360" spans="1:4" ht="15" x14ac:dyDescent="0.25">
      <c r="A360" t="s">
        <v>3179</v>
      </c>
      <c r="B360">
        <v>1</v>
      </c>
      <c r="C360">
        <v>66</v>
      </c>
      <c r="D360">
        <v>66</v>
      </c>
    </row>
    <row r="361" spans="1:4" ht="15" x14ac:dyDescent="0.25">
      <c r="A361" t="s">
        <v>3181</v>
      </c>
      <c r="B361">
        <v>1</v>
      </c>
      <c r="C361">
        <v>66</v>
      </c>
      <c r="D361">
        <v>66</v>
      </c>
    </row>
    <row r="362" spans="1:4" ht="15" x14ac:dyDescent="0.25">
      <c r="A362" t="s">
        <v>3182</v>
      </c>
      <c r="B362">
        <v>1</v>
      </c>
      <c r="C362">
        <v>66</v>
      </c>
      <c r="D362">
        <v>66</v>
      </c>
    </row>
    <row r="363" spans="1:4" ht="15" x14ac:dyDescent="0.25">
      <c r="A363" t="s">
        <v>3180</v>
      </c>
      <c r="B363">
        <v>1</v>
      </c>
      <c r="C363">
        <v>66</v>
      </c>
      <c r="D363">
        <v>66</v>
      </c>
    </row>
    <row r="364" spans="1:4" ht="15" x14ac:dyDescent="0.25">
      <c r="A364" t="s">
        <v>3187</v>
      </c>
      <c r="B364">
        <v>6</v>
      </c>
      <c r="C364">
        <v>835</v>
      </c>
      <c r="D364">
        <v>139.16666666666666</v>
      </c>
    </row>
    <row r="365" spans="1:4" ht="15" x14ac:dyDescent="0.25">
      <c r="A365" t="s">
        <v>3189</v>
      </c>
      <c r="B365">
        <v>1</v>
      </c>
      <c r="C365">
        <v>10</v>
      </c>
      <c r="D365">
        <v>10</v>
      </c>
    </row>
    <row r="366" spans="1:4" ht="15" x14ac:dyDescent="0.25">
      <c r="A366" t="s">
        <v>3188</v>
      </c>
      <c r="B366">
        <v>1</v>
      </c>
      <c r="C366">
        <v>10</v>
      </c>
      <c r="D366">
        <v>10</v>
      </c>
    </row>
    <row r="367" spans="1:4" ht="15" x14ac:dyDescent="0.25">
      <c r="A367" t="s">
        <v>3194</v>
      </c>
      <c r="B367">
        <v>8</v>
      </c>
      <c r="C367">
        <v>435</v>
      </c>
      <c r="D367">
        <v>54.375</v>
      </c>
    </row>
    <row r="368" spans="1:4" ht="15" x14ac:dyDescent="0.25">
      <c r="A368" t="s">
        <v>3195</v>
      </c>
      <c r="B368">
        <v>2</v>
      </c>
      <c r="C368">
        <v>114</v>
      </c>
      <c r="D368">
        <v>57</v>
      </c>
    </row>
    <row r="369" spans="1:4" ht="15" x14ac:dyDescent="0.25">
      <c r="A369" t="s">
        <v>3197</v>
      </c>
      <c r="B369">
        <v>9</v>
      </c>
      <c r="C369">
        <v>504</v>
      </c>
      <c r="D369">
        <v>56</v>
      </c>
    </row>
    <row r="370" spans="1:4" ht="15" x14ac:dyDescent="0.25">
      <c r="A370" t="s">
        <v>3198</v>
      </c>
      <c r="B370">
        <v>2</v>
      </c>
      <c r="C370">
        <v>118</v>
      </c>
      <c r="D370">
        <v>59</v>
      </c>
    </row>
    <row r="371" spans="1:4" ht="15" x14ac:dyDescent="0.25">
      <c r="A371" t="s">
        <v>3196</v>
      </c>
      <c r="B371">
        <v>28</v>
      </c>
      <c r="C371">
        <v>1405</v>
      </c>
      <c r="D371">
        <v>50.178571428571431</v>
      </c>
    </row>
    <row r="372" spans="1:4" ht="15" x14ac:dyDescent="0.25">
      <c r="A372" t="s">
        <v>3202</v>
      </c>
      <c r="B372">
        <v>1</v>
      </c>
      <c r="C372">
        <v>57</v>
      </c>
      <c r="D372">
        <v>57</v>
      </c>
    </row>
    <row r="373" spans="1:4" ht="15" x14ac:dyDescent="0.25">
      <c r="A373" t="s">
        <v>3204</v>
      </c>
      <c r="B373">
        <v>3</v>
      </c>
      <c r="C373">
        <v>195</v>
      </c>
      <c r="D373">
        <v>65</v>
      </c>
    </row>
    <row r="374" spans="1:4" ht="15" x14ac:dyDescent="0.25">
      <c r="A374" t="s">
        <v>3205</v>
      </c>
      <c r="B374">
        <v>4</v>
      </c>
      <c r="C374">
        <v>273</v>
      </c>
      <c r="D374">
        <v>68.25</v>
      </c>
    </row>
    <row r="375" spans="1:4" ht="15" x14ac:dyDescent="0.25">
      <c r="A375" t="s">
        <v>3203</v>
      </c>
      <c r="B375">
        <v>1</v>
      </c>
      <c r="C375">
        <v>57</v>
      </c>
      <c r="D375">
        <v>57</v>
      </c>
    </row>
    <row r="376" spans="1:4" ht="15" x14ac:dyDescent="0.25">
      <c r="A376" t="s">
        <v>3209</v>
      </c>
      <c r="B376">
        <v>18</v>
      </c>
      <c r="C376">
        <v>974</v>
      </c>
      <c r="D376">
        <v>54.111111111111114</v>
      </c>
    </row>
    <row r="377" spans="1:4" ht="15" x14ac:dyDescent="0.25">
      <c r="A377" t="s">
        <v>3210</v>
      </c>
      <c r="B377">
        <v>1</v>
      </c>
      <c r="C377">
        <v>45</v>
      </c>
      <c r="D377">
        <v>45</v>
      </c>
    </row>
    <row r="378" spans="1:4" ht="15" x14ac:dyDescent="0.25">
      <c r="A378" t="s">
        <v>3212</v>
      </c>
      <c r="B378">
        <v>5</v>
      </c>
      <c r="C378">
        <v>413</v>
      </c>
      <c r="D378">
        <v>82.6</v>
      </c>
    </row>
    <row r="379" spans="1:4" ht="15" x14ac:dyDescent="0.25">
      <c r="A379" t="s">
        <v>3213</v>
      </c>
      <c r="B379">
        <v>16</v>
      </c>
      <c r="C379">
        <v>790</v>
      </c>
      <c r="D379">
        <v>49.375</v>
      </c>
    </row>
    <row r="380" spans="1:4" ht="15" x14ac:dyDescent="0.25">
      <c r="A380" t="s">
        <v>3211</v>
      </c>
      <c r="B380">
        <v>1</v>
      </c>
      <c r="C380">
        <v>45</v>
      </c>
      <c r="D380">
        <v>45</v>
      </c>
    </row>
    <row r="381" spans="1:4" ht="15" x14ac:dyDescent="0.25">
      <c r="A381" t="s">
        <v>3218</v>
      </c>
      <c r="B381">
        <v>1</v>
      </c>
      <c r="C381">
        <v>14</v>
      </c>
      <c r="D381">
        <v>14</v>
      </c>
    </row>
    <row r="382" spans="1:4" ht="15" x14ac:dyDescent="0.25">
      <c r="A382" t="s">
        <v>3219</v>
      </c>
      <c r="B382">
        <v>3</v>
      </c>
      <c r="C382">
        <v>108</v>
      </c>
      <c r="D382">
        <v>36</v>
      </c>
    </row>
    <row r="383" spans="1:4" ht="15" x14ac:dyDescent="0.25">
      <c r="A383" t="s">
        <v>3220</v>
      </c>
      <c r="B383">
        <v>1</v>
      </c>
      <c r="C383">
        <v>14</v>
      </c>
      <c r="D383">
        <v>14</v>
      </c>
    </row>
    <row r="384" spans="1:4" ht="15" x14ac:dyDescent="0.25">
      <c r="A384" t="s">
        <v>3224</v>
      </c>
      <c r="B384">
        <v>4</v>
      </c>
      <c r="C384">
        <v>178</v>
      </c>
      <c r="D384">
        <v>44.5</v>
      </c>
    </row>
    <row r="385" spans="1:4" ht="15" x14ac:dyDescent="0.25">
      <c r="A385" t="s">
        <v>3225</v>
      </c>
      <c r="B385">
        <v>41</v>
      </c>
      <c r="C385">
        <v>2128</v>
      </c>
      <c r="D385">
        <v>51.902439024390247</v>
      </c>
    </row>
    <row r="386" spans="1:4" ht="15" x14ac:dyDescent="0.25">
      <c r="A386" t="s">
        <v>3229</v>
      </c>
      <c r="B386">
        <v>1</v>
      </c>
      <c r="C386">
        <v>103</v>
      </c>
      <c r="D386">
        <v>103</v>
      </c>
    </row>
    <row r="387" spans="1:4" ht="15" x14ac:dyDescent="0.25">
      <c r="A387" t="s">
        <v>3231</v>
      </c>
      <c r="B387">
        <v>1</v>
      </c>
      <c r="C387">
        <v>103</v>
      </c>
      <c r="D387">
        <v>103</v>
      </c>
    </row>
    <row r="388" spans="1:4" ht="15" x14ac:dyDescent="0.25">
      <c r="A388" t="s">
        <v>3232</v>
      </c>
      <c r="B388">
        <v>1</v>
      </c>
      <c r="C388">
        <v>103</v>
      </c>
      <c r="D388">
        <v>103</v>
      </c>
    </row>
    <row r="389" spans="1:4" ht="15" x14ac:dyDescent="0.25">
      <c r="A389" t="s">
        <v>3230</v>
      </c>
      <c r="B389">
        <v>1</v>
      </c>
      <c r="C389">
        <v>103</v>
      </c>
      <c r="D389">
        <v>103</v>
      </c>
    </row>
    <row r="390" spans="1:4" ht="15" x14ac:dyDescent="0.25">
      <c r="A390" t="s">
        <v>3236</v>
      </c>
      <c r="B390">
        <v>1</v>
      </c>
      <c r="C390">
        <v>36</v>
      </c>
      <c r="D390">
        <v>36</v>
      </c>
    </row>
    <row r="391" spans="1:4" ht="15" x14ac:dyDescent="0.25">
      <c r="A391" t="s">
        <v>3237</v>
      </c>
      <c r="B391">
        <v>9</v>
      </c>
      <c r="C391">
        <v>843</v>
      </c>
      <c r="D391">
        <v>93.666666666666671</v>
      </c>
    </row>
    <row r="392" spans="1:4" ht="15" x14ac:dyDescent="0.25">
      <c r="A392" t="s">
        <v>3239</v>
      </c>
      <c r="B392">
        <v>1</v>
      </c>
      <c r="C392">
        <v>36</v>
      </c>
      <c r="D392">
        <v>36</v>
      </c>
    </row>
    <row r="393" spans="1:4" ht="15" x14ac:dyDescent="0.25">
      <c r="A393" t="s">
        <v>3238</v>
      </c>
      <c r="B393">
        <v>1</v>
      </c>
      <c r="C393">
        <v>36</v>
      </c>
      <c r="D393">
        <v>36</v>
      </c>
    </row>
    <row r="394" spans="1:4" ht="15" x14ac:dyDescent="0.25">
      <c r="A394" t="s">
        <v>3244</v>
      </c>
      <c r="B394">
        <v>4</v>
      </c>
      <c r="C394">
        <v>147</v>
      </c>
      <c r="D394">
        <v>36.75</v>
      </c>
    </row>
    <row r="395" spans="1:4" ht="15" x14ac:dyDescent="0.25">
      <c r="A395" t="s">
        <v>3246</v>
      </c>
      <c r="B395">
        <v>26</v>
      </c>
      <c r="C395">
        <v>2425</v>
      </c>
      <c r="D395">
        <v>93.269230769230774</v>
      </c>
    </row>
    <row r="396" spans="1:4" ht="15" x14ac:dyDescent="0.25">
      <c r="A396" t="s">
        <v>3247</v>
      </c>
      <c r="B396">
        <v>2</v>
      </c>
      <c r="C396">
        <v>83</v>
      </c>
      <c r="D396">
        <v>41.5</v>
      </c>
    </row>
    <row r="397" spans="1:4" ht="15" x14ac:dyDescent="0.25">
      <c r="A397" t="s">
        <v>3245</v>
      </c>
      <c r="B397">
        <v>1</v>
      </c>
      <c r="C397">
        <v>45</v>
      </c>
      <c r="D397">
        <v>45</v>
      </c>
    </row>
    <row r="398" spans="1:4" ht="15" x14ac:dyDescent="0.25">
      <c r="A398" t="s">
        <v>3254</v>
      </c>
      <c r="B398">
        <v>14</v>
      </c>
      <c r="C398">
        <v>409</v>
      </c>
      <c r="D398">
        <v>29.214285714285715</v>
      </c>
    </row>
    <row r="399" spans="1:4" ht="15" x14ac:dyDescent="0.25">
      <c r="A399" t="s">
        <v>3256</v>
      </c>
      <c r="B399">
        <v>27</v>
      </c>
      <c r="C399">
        <v>1363</v>
      </c>
      <c r="D399">
        <v>50.481481481481481</v>
      </c>
    </row>
    <row r="400" spans="1:4" ht="15" x14ac:dyDescent="0.25">
      <c r="A400" t="s">
        <v>3257</v>
      </c>
      <c r="B400">
        <v>12</v>
      </c>
      <c r="C400">
        <v>287</v>
      </c>
      <c r="D400">
        <v>23.916666666666668</v>
      </c>
    </row>
    <row r="401" spans="1:4" ht="15" x14ac:dyDescent="0.25">
      <c r="A401" t="s">
        <v>3255</v>
      </c>
      <c r="B401">
        <v>5</v>
      </c>
      <c r="C401">
        <v>151</v>
      </c>
      <c r="D401">
        <v>30.2</v>
      </c>
    </row>
    <row r="402" spans="1:4" ht="15" x14ac:dyDescent="0.25">
      <c r="A402" t="s">
        <v>3262</v>
      </c>
      <c r="B402">
        <v>66</v>
      </c>
      <c r="C402">
        <v>2983</v>
      </c>
      <c r="D402">
        <v>45.196969696969695</v>
      </c>
    </row>
    <row r="403" spans="1:4" ht="15" x14ac:dyDescent="0.25">
      <c r="A403" t="s">
        <v>3266</v>
      </c>
      <c r="B403">
        <v>1</v>
      </c>
      <c r="C403">
        <v>46</v>
      </c>
      <c r="D403">
        <v>46</v>
      </c>
    </row>
    <row r="404" spans="1:4" ht="15" x14ac:dyDescent="0.25">
      <c r="A404" t="s">
        <v>3268</v>
      </c>
      <c r="B404">
        <v>4</v>
      </c>
      <c r="C404">
        <v>197</v>
      </c>
      <c r="D404">
        <v>49.25</v>
      </c>
    </row>
    <row r="405" spans="1:4" ht="15" x14ac:dyDescent="0.25">
      <c r="A405" t="s">
        <v>3269</v>
      </c>
      <c r="B405">
        <v>23</v>
      </c>
      <c r="C405">
        <v>920</v>
      </c>
      <c r="D405">
        <v>40</v>
      </c>
    </row>
    <row r="406" spans="1:4" ht="15" x14ac:dyDescent="0.25">
      <c r="A406" t="s">
        <v>3267</v>
      </c>
      <c r="B406">
        <v>1</v>
      </c>
      <c r="C406">
        <v>46</v>
      </c>
      <c r="D406">
        <v>46</v>
      </c>
    </row>
    <row r="407" spans="1:4" ht="15" x14ac:dyDescent="0.25">
      <c r="A407" t="s">
        <v>3275</v>
      </c>
      <c r="B407">
        <v>1</v>
      </c>
      <c r="C407">
        <v>44</v>
      </c>
      <c r="D407">
        <v>44</v>
      </c>
    </row>
    <row r="408" spans="1:4" ht="15" x14ac:dyDescent="0.25">
      <c r="A408" t="s">
        <v>3276</v>
      </c>
      <c r="B408">
        <v>1</v>
      </c>
      <c r="C408">
        <v>44</v>
      </c>
      <c r="D408">
        <v>44</v>
      </c>
    </row>
    <row r="409" spans="1:4" ht="15" x14ac:dyDescent="0.25">
      <c r="A409" t="s">
        <v>3277</v>
      </c>
      <c r="B409">
        <v>13</v>
      </c>
      <c r="C409">
        <v>797</v>
      </c>
      <c r="D409">
        <v>61.307692307692307</v>
      </c>
    </row>
    <row r="410" spans="1:4" ht="15" x14ac:dyDescent="0.25">
      <c r="A410" t="s">
        <v>3285</v>
      </c>
      <c r="B410">
        <v>1</v>
      </c>
      <c r="C410">
        <v>16</v>
      </c>
      <c r="D410">
        <v>16</v>
      </c>
    </row>
    <row r="411" spans="1:4" ht="15" x14ac:dyDescent="0.25">
      <c r="A411" t="s">
        <v>3286</v>
      </c>
      <c r="B411">
        <v>1</v>
      </c>
      <c r="C411">
        <v>16</v>
      </c>
      <c r="D411">
        <v>16</v>
      </c>
    </row>
    <row r="412" spans="1:4" ht="15" x14ac:dyDescent="0.25">
      <c r="A412" t="s">
        <v>3288</v>
      </c>
      <c r="B412">
        <v>1</v>
      </c>
      <c r="C412">
        <v>16</v>
      </c>
      <c r="D412">
        <v>16</v>
      </c>
    </row>
    <row r="413" spans="1:4" ht="15" x14ac:dyDescent="0.25">
      <c r="A413" t="s">
        <v>3289</v>
      </c>
      <c r="B413">
        <v>1</v>
      </c>
      <c r="C413">
        <v>16</v>
      </c>
      <c r="D413">
        <v>16</v>
      </c>
    </row>
    <row r="414" spans="1:4" ht="15" x14ac:dyDescent="0.25">
      <c r="A414" t="s">
        <v>3287</v>
      </c>
      <c r="B414">
        <v>1</v>
      </c>
      <c r="C414">
        <v>16</v>
      </c>
      <c r="D414">
        <v>16</v>
      </c>
    </row>
    <row r="415" spans="1:4" ht="15" x14ac:dyDescent="0.25">
      <c r="A415" t="s">
        <v>3294</v>
      </c>
      <c r="B415">
        <v>1</v>
      </c>
      <c r="C415">
        <v>319</v>
      </c>
      <c r="D415">
        <v>319</v>
      </c>
    </row>
    <row r="416" spans="1:4" ht="15" x14ac:dyDescent="0.25">
      <c r="A416" t="s">
        <v>3293</v>
      </c>
      <c r="B416">
        <v>6</v>
      </c>
      <c r="C416">
        <v>2126</v>
      </c>
      <c r="D416">
        <v>354.33333333333331</v>
      </c>
    </row>
    <row r="417" spans="1:4" ht="15" x14ac:dyDescent="0.25">
      <c r="A417" t="s">
        <v>3304</v>
      </c>
      <c r="B417">
        <v>4</v>
      </c>
      <c r="C417">
        <v>381</v>
      </c>
      <c r="D417">
        <v>95.25</v>
      </c>
    </row>
    <row r="418" spans="1:4" ht="15" x14ac:dyDescent="0.25">
      <c r="A418" t="s">
        <v>3306</v>
      </c>
      <c r="B418">
        <v>1</v>
      </c>
      <c r="C418">
        <v>102</v>
      </c>
      <c r="D418">
        <v>102</v>
      </c>
    </row>
    <row r="419" spans="1:4" ht="15" x14ac:dyDescent="0.25">
      <c r="A419" t="s">
        <v>3307</v>
      </c>
      <c r="B419">
        <v>1</v>
      </c>
      <c r="C419">
        <v>102</v>
      </c>
      <c r="D419">
        <v>102</v>
      </c>
    </row>
    <row r="420" spans="1:4" ht="15" x14ac:dyDescent="0.25">
      <c r="A420" t="s">
        <v>3305</v>
      </c>
      <c r="B420">
        <v>6</v>
      </c>
      <c r="C420">
        <v>667</v>
      </c>
      <c r="D420">
        <v>111.16666666666667</v>
      </c>
    </row>
    <row r="421" spans="1:4" ht="15" x14ac:dyDescent="0.25">
      <c r="A421" t="s">
        <v>3312</v>
      </c>
      <c r="B421">
        <v>2</v>
      </c>
      <c r="C421">
        <v>110</v>
      </c>
      <c r="D421">
        <v>55</v>
      </c>
    </row>
    <row r="422" spans="1:4" ht="15" x14ac:dyDescent="0.25">
      <c r="A422" t="s">
        <v>3313</v>
      </c>
      <c r="B422">
        <v>1</v>
      </c>
      <c r="C422">
        <v>86</v>
      </c>
      <c r="D422">
        <v>86</v>
      </c>
    </row>
    <row r="423" spans="1:4" ht="15" x14ac:dyDescent="0.25">
      <c r="A423" t="s">
        <v>3315</v>
      </c>
      <c r="B423">
        <v>1</v>
      </c>
      <c r="C423">
        <v>86</v>
      </c>
      <c r="D423">
        <v>86</v>
      </c>
    </row>
    <row r="424" spans="1:4" ht="15" x14ac:dyDescent="0.25">
      <c r="A424" t="s">
        <v>3316</v>
      </c>
      <c r="B424">
        <v>10</v>
      </c>
      <c r="C424">
        <v>307</v>
      </c>
      <c r="D424">
        <v>30.7</v>
      </c>
    </row>
    <row r="425" spans="1:4" ht="15" x14ac:dyDescent="0.25">
      <c r="A425" t="s">
        <v>3314</v>
      </c>
      <c r="B425">
        <v>1</v>
      </c>
      <c r="C425">
        <v>86</v>
      </c>
      <c r="D425">
        <v>86</v>
      </c>
    </row>
    <row r="426" spans="1:4" ht="15" x14ac:dyDescent="0.25">
      <c r="A426" t="s">
        <v>3321</v>
      </c>
      <c r="B426">
        <v>1</v>
      </c>
      <c r="C426">
        <v>51</v>
      </c>
      <c r="D426">
        <v>51</v>
      </c>
    </row>
    <row r="427" spans="1:4" ht="15" x14ac:dyDescent="0.25">
      <c r="A427" t="s">
        <v>3323</v>
      </c>
      <c r="B427">
        <v>7</v>
      </c>
      <c r="C427">
        <v>591</v>
      </c>
      <c r="D427">
        <v>84.428571428571431</v>
      </c>
    </row>
    <row r="428" spans="1:4" ht="15" x14ac:dyDescent="0.25">
      <c r="A428" t="s">
        <v>3324</v>
      </c>
      <c r="B428">
        <v>1</v>
      </c>
      <c r="C428">
        <v>51</v>
      </c>
      <c r="D428">
        <v>51</v>
      </c>
    </row>
    <row r="429" spans="1:4" ht="15" x14ac:dyDescent="0.25">
      <c r="A429" t="s">
        <v>3322</v>
      </c>
      <c r="B429">
        <v>3</v>
      </c>
      <c r="C429">
        <v>181</v>
      </c>
      <c r="D429">
        <v>60.333333333333336</v>
      </c>
    </row>
    <row r="430" spans="1:4" ht="15" x14ac:dyDescent="0.25">
      <c r="A430" t="s">
        <v>3328</v>
      </c>
      <c r="B430">
        <v>1</v>
      </c>
      <c r="C430">
        <v>19</v>
      </c>
      <c r="D430">
        <v>19</v>
      </c>
    </row>
    <row r="431" spans="1:4" ht="15" x14ac:dyDescent="0.25">
      <c r="A431" t="s">
        <v>3330</v>
      </c>
      <c r="B431">
        <v>1</v>
      </c>
      <c r="C431">
        <v>19</v>
      </c>
      <c r="D431">
        <v>19</v>
      </c>
    </row>
    <row r="432" spans="1:4" ht="15" x14ac:dyDescent="0.25">
      <c r="A432" t="s">
        <v>3329</v>
      </c>
      <c r="B432">
        <v>1</v>
      </c>
      <c r="C432">
        <v>19</v>
      </c>
      <c r="D432">
        <v>19</v>
      </c>
    </row>
    <row r="433" spans="1:4" ht="15" x14ac:dyDescent="0.25">
      <c r="A433" t="s">
        <v>3335</v>
      </c>
      <c r="B433">
        <v>6</v>
      </c>
      <c r="C433">
        <v>494</v>
      </c>
      <c r="D433">
        <v>82.333333333333329</v>
      </c>
    </row>
    <row r="434" spans="1:4" ht="15" x14ac:dyDescent="0.25">
      <c r="A434" t="s">
        <v>3337</v>
      </c>
      <c r="B434">
        <v>6</v>
      </c>
      <c r="C434">
        <v>424</v>
      </c>
      <c r="D434">
        <v>70.666666666666671</v>
      </c>
    </row>
    <row r="435" spans="1:4" ht="15" x14ac:dyDescent="0.25">
      <c r="A435" t="s">
        <v>3338</v>
      </c>
      <c r="B435">
        <v>1</v>
      </c>
      <c r="C435">
        <v>22</v>
      </c>
      <c r="D435">
        <v>22</v>
      </c>
    </row>
    <row r="436" spans="1:4" ht="15" x14ac:dyDescent="0.25">
      <c r="A436" t="s">
        <v>3336</v>
      </c>
      <c r="B436">
        <v>2</v>
      </c>
      <c r="C436">
        <v>48</v>
      </c>
      <c r="D436">
        <v>24</v>
      </c>
    </row>
    <row r="437" spans="1:4" ht="15" x14ac:dyDescent="0.25">
      <c r="A437" t="s">
        <v>3342</v>
      </c>
      <c r="B437">
        <v>3</v>
      </c>
      <c r="C437">
        <v>116</v>
      </c>
      <c r="D437">
        <v>38.666666666666664</v>
      </c>
    </row>
    <row r="438" spans="1:4" ht="15" x14ac:dyDescent="0.25">
      <c r="A438" t="s">
        <v>3343</v>
      </c>
      <c r="B438">
        <v>15</v>
      </c>
      <c r="C438">
        <v>1122</v>
      </c>
      <c r="D438">
        <v>74.8</v>
      </c>
    </row>
    <row r="439" spans="1:4" ht="15" x14ac:dyDescent="0.25">
      <c r="A439" t="s">
        <v>3344</v>
      </c>
      <c r="B439">
        <v>4</v>
      </c>
      <c r="C439">
        <v>295</v>
      </c>
      <c r="D439">
        <v>73.75</v>
      </c>
    </row>
    <row r="440" spans="1:4" ht="15" x14ac:dyDescent="0.25">
      <c r="A440" t="s">
        <v>3348</v>
      </c>
      <c r="B440">
        <v>1</v>
      </c>
      <c r="C440">
        <v>41</v>
      </c>
      <c r="D440">
        <v>41</v>
      </c>
    </row>
    <row r="441" spans="1:4" ht="15" x14ac:dyDescent="0.25">
      <c r="A441" t="s">
        <v>3350</v>
      </c>
      <c r="B441">
        <v>1</v>
      </c>
      <c r="C441">
        <v>41</v>
      </c>
      <c r="D441">
        <v>41</v>
      </c>
    </row>
    <row r="442" spans="1:4" ht="15" x14ac:dyDescent="0.25">
      <c r="A442" t="s">
        <v>3351</v>
      </c>
      <c r="B442">
        <v>5</v>
      </c>
      <c r="C442">
        <v>252</v>
      </c>
      <c r="D442">
        <v>50.4</v>
      </c>
    </row>
    <row r="443" spans="1:4" ht="15" x14ac:dyDescent="0.25">
      <c r="A443" t="s">
        <v>3349</v>
      </c>
      <c r="B443">
        <v>25</v>
      </c>
      <c r="C443">
        <v>945</v>
      </c>
      <c r="D443">
        <v>37.799999999999997</v>
      </c>
    </row>
    <row r="444" spans="1:4" ht="15" x14ac:dyDescent="0.25">
      <c r="A444" t="s">
        <v>3355</v>
      </c>
      <c r="B444">
        <v>1</v>
      </c>
      <c r="C444">
        <v>7</v>
      </c>
      <c r="D444">
        <v>7</v>
      </c>
    </row>
    <row r="445" spans="1:4" ht="15" x14ac:dyDescent="0.25">
      <c r="A445" t="s">
        <v>3356</v>
      </c>
      <c r="B445">
        <v>1</v>
      </c>
      <c r="C445">
        <v>7</v>
      </c>
      <c r="D445">
        <v>7</v>
      </c>
    </row>
    <row r="446" spans="1:4" ht="15" x14ac:dyDescent="0.25">
      <c r="A446" t="s">
        <v>3357</v>
      </c>
      <c r="B446">
        <v>3</v>
      </c>
      <c r="C446">
        <v>1149</v>
      </c>
      <c r="D446">
        <v>383</v>
      </c>
    </row>
    <row r="447" spans="1:4" ht="15" x14ac:dyDescent="0.25">
      <c r="A447" t="s">
        <v>3361</v>
      </c>
      <c r="B447">
        <v>1</v>
      </c>
      <c r="C447">
        <v>100</v>
      </c>
      <c r="D447">
        <v>100</v>
      </c>
    </row>
    <row r="448" spans="1:4" ht="15" x14ac:dyDescent="0.25">
      <c r="A448" t="s">
        <v>3363</v>
      </c>
      <c r="B448">
        <v>2</v>
      </c>
      <c r="C448">
        <v>126</v>
      </c>
      <c r="D448">
        <v>63</v>
      </c>
    </row>
    <row r="449" spans="1:4" ht="15" x14ac:dyDescent="0.25">
      <c r="A449" t="s">
        <v>3364</v>
      </c>
      <c r="B449">
        <v>2</v>
      </c>
      <c r="C449">
        <v>126</v>
      </c>
      <c r="D449">
        <v>63</v>
      </c>
    </row>
    <row r="450" spans="1:4" ht="15" x14ac:dyDescent="0.25">
      <c r="A450" t="s">
        <v>3362</v>
      </c>
      <c r="B450">
        <v>1</v>
      </c>
      <c r="C450">
        <v>100</v>
      </c>
      <c r="D450">
        <v>100</v>
      </c>
    </row>
    <row r="451" spans="1:4" ht="15" x14ac:dyDescent="0.25">
      <c r="A451" t="s">
        <v>3368</v>
      </c>
      <c r="B451">
        <v>1</v>
      </c>
      <c r="C451">
        <v>372</v>
      </c>
      <c r="D451">
        <v>372</v>
      </c>
    </row>
    <row r="452" spans="1:4" ht="15" x14ac:dyDescent="0.25">
      <c r="A452" t="s">
        <v>3370</v>
      </c>
      <c r="B452">
        <v>12</v>
      </c>
      <c r="C452">
        <v>1010</v>
      </c>
      <c r="D452">
        <v>84.166666666666671</v>
      </c>
    </row>
    <row r="453" spans="1:4" ht="15" x14ac:dyDescent="0.25">
      <c r="A453" t="s">
        <v>3371</v>
      </c>
      <c r="B453">
        <v>1</v>
      </c>
      <c r="C453">
        <v>372</v>
      </c>
      <c r="D453">
        <v>372</v>
      </c>
    </row>
    <row r="454" spans="1:4" ht="15" x14ac:dyDescent="0.25">
      <c r="A454" t="s">
        <v>3369</v>
      </c>
      <c r="B454">
        <v>2</v>
      </c>
      <c r="C454">
        <v>437</v>
      </c>
      <c r="D454">
        <v>218.5</v>
      </c>
    </row>
    <row r="455" spans="1:4" ht="15" x14ac:dyDescent="0.25">
      <c r="A455" t="s">
        <v>3374</v>
      </c>
      <c r="B455">
        <v>1</v>
      </c>
      <c r="C455">
        <v>18</v>
      </c>
      <c r="D455">
        <v>18</v>
      </c>
    </row>
    <row r="456" spans="1:4" ht="15" x14ac:dyDescent="0.25">
      <c r="A456" t="s">
        <v>3375</v>
      </c>
      <c r="B456">
        <v>1</v>
      </c>
      <c r="C456">
        <v>18</v>
      </c>
      <c r="D456">
        <v>18</v>
      </c>
    </row>
    <row r="457" spans="1:4" ht="15" x14ac:dyDescent="0.25">
      <c r="A457" t="s">
        <v>3377</v>
      </c>
      <c r="B457">
        <v>1</v>
      </c>
      <c r="C457">
        <v>18</v>
      </c>
      <c r="D457">
        <v>18</v>
      </c>
    </row>
    <row r="458" spans="1:4" ht="15" x14ac:dyDescent="0.25">
      <c r="A458" t="s">
        <v>3378</v>
      </c>
      <c r="B458">
        <v>1</v>
      </c>
      <c r="C458">
        <v>18</v>
      </c>
      <c r="D458">
        <v>18</v>
      </c>
    </row>
    <row r="459" spans="1:4" ht="15" x14ac:dyDescent="0.25">
      <c r="A459" t="s">
        <v>3376</v>
      </c>
      <c r="B459">
        <v>2</v>
      </c>
      <c r="C459">
        <v>36</v>
      </c>
      <c r="D459">
        <v>18</v>
      </c>
    </row>
    <row r="460" spans="1:4" ht="15" x14ac:dyDescent="0.25">
      <c r="A460" t="s">
        <v>3383</v>
      </c>
      <c r="B460">
        <v>5</v>
      </c>
      <c r="C460">
        <v>191</v>
      </c>
      <c r="D460">
        <v>38.200000000000003</v>
      </c>
    </row>
    <row r="461" spans="1:4" ht="15" x14ac:dyDescent="0.25">
      <c r="A461" t="s">
        <v>3384</v>
      </c>
      <c r="B461">
        <v>9</v>
      </c>
      <c r="C461">
        <v>309</v>
      </c>
      <c r="D461">
        <v>34.333333333333336</v>
      </c>
    </row>
    <row r="462" spans="1:4" ht="15" x14ac:dyDescent="0.25">
      <c r="A462" t="s">
        <v>3385</v>
      </c>
      <c r="B462">
        <v>1</v>
      </c>
      <c r="C462">
        <v>15</v>
      </c>
      <c r="D462">
        <v>15</v>
      </c>
    </row>
    <row r="463" spans="1:4" ht="15" x14ac:dyDescent="0.25">
      <c r="A463" t="s">
        <v>3386</v>
      </c>
      <c r="B463">
        <v>1</v>
      </c>
      <c r="C463">
        <v>15</v>
      </c>
      <c r="D463">
        <v>15</v>
      </c>
    </row>
    <row r="464" spans="1:4" ht="15" x14ac:dyDescent="0.25">
      <c r="A464" t="s">
        <v>3391</v>
      </c>
      <c r="B464">
        <v>1</v>
      </c>
      <c r="C464">
        <v>8</v>
      </c>
      <c r="D464">
        <v>8</v>
      </c>
    </row>
    <row r="465" spans="1:4" ht="15" x14ac:dyDescent="0.25">
      <c r="A465" t="s">
        <v>3392</v>
      </c>
      <c r="B465">
        <v>18</v>
      </c>
      <c r="C465">
        <v>613</v>
      </c>
      <c r="D465">
        <v>34.055555555555557</v>
      </c>
    </row>
    <row r="466" spans="1:4" ht="15" x14ac:dyDescent="0.25">
      <c r="A466" t="s">
        <v>3399</v>
      </c>
      <c r="B466">
        <v>8</v>
      </c>
      <c r="C466">
        <v>663</v>
      </c>
      <c r="D466">
        <v>82.875</v>
      </c>
    </row>
    <row r="467" spans="1:4" ht="15" x14ac:dyDescent="0.25">
      <c r="A467" t="s">
        <v>3405</v>
      </c>
      <c r="B467">
        <v>1</v>
      </c>
      <c r="C467">
        <v>4</v>
      </c>
      <c r="D467">
        <v>4</v>
      </c>
    </row>
    <row r="468" spans="1:4" ht="15" x14ac:dyDescent="0.25">
      <c r="A468" t="s">
        <v>3407</v>
      </c>
      <c r="B468">
        <v>1</v>
      </c>
      <c r="C468">
        <v>4</v>
      </c>
      <c r="D468">
        <v>4</v>
      </c>
    </row>
    <row r="469" spans="1:4" ht="15" x14ac:dyDescent="0.25">
      <c r="A469" t="s">
        <v>3408</v>
      </c>
      <c r="B469">
        <v>1</v>
      </c>
      <c r="C469">
        <v>4</v>
      </c>
      <c r="D469">
        <v>4</v>
      </c>
    </row>
    <row r="470" spans="1:4" ht="15" x14ac:dyDescent="0.25">
      <c r="A470" t="s">
        <v>3406</v>
      </c>
      <c r="B470">
        <v>1</v>
      </c>
      <c r="C470">
        <v>4</v>
      </c>
      <c r="D470">
        <v>4</v>
      </c>
    </row>
    <row r="471" spans="1:4" ht="15" x14ac:dyDescent="0.25">
      <c r="A471" t="s">
        <v>3412</v>
      </c>
      <c r="B471">
        <v>1</v>
      </c>
      <c r="C471">
        <v>9</v>
      </c>
      <c r="D471">
        <v>9</v>
      </c>
    </row>
    <row r="472" spans="1:4" ht="15" x14ac:dyDescent="0.25">
      <c r="A472" t="s">
        <v>3414</v>
      </c>
      <c r="B472">
        <v>1</v>
      </c>
      <c r="C472">
        <v>9</v>
      </c>
      <c r="D472">
        <v>9</v>
      </c>
    </row>
    <row r="473" spans="1:4" ht="15" x14ac:dyDescent="0.25">
      <c r="A473" t="s">
        <v>3413</v>
      </c>
      <c r="B473">
        <v>1</v>
      </c>
      <c r="C473">
        <v>9</v>
      </c>
      <c r="D473">
        <v>9</v>
      </c>
    </row>
    <row r="474" spans="1:4" ht="15" x14ac:dyDescent="0.25">
      <c r="A474" t="s">
        <v>3418</v>
      </c>
      <c r="B474">
        <v>1</v>
      </c>
      <c r="C474">
        <v>48</v>
      </c>
      <c r="D474">
        <v>48</v>
      </c>
    </row>
    <row r="475" spans="1:4" ht="15" x14ac:dyDescent="0.25">
      <c r="A475" t="s">
        <v>3420</v>
      </c>
      <c r="B475">
        <v>1</v>
      </c>
      <c r="C475">
        <v>48</v>
      </c>
      <c r="D475">
        <v>48</v>
      </c>
    </row>
    <row r="476" spans="1:4" ht="15" x14ac:dyDescent="0.25">
      <c r="A476" t="s">
        <v>3421</v>
      </c>
      <c r="B476">
        <v>1</v>
      </c>
      <c r="C476">
        <v>48</v>
      </c>
      <c r="D476">
        <v>48</v>
      </c>
    </row>
    <row r="477" spans="1:4" ht="15" x14ac:dyDescent="0.25">
      <c r="A477" t="s">
        <v>3419</v>
      </c>
      <c r="B477">
        <v>1</v>
      </c>
      <c r="C477">
        <v>48</v>
      </c>
      <c r="D477">
        <v>48</v>
      </c>
    </row>
    <row r="478" spans="1:4" ht="15" x14ac:dyDescent="0.25">
      <c r="A478" t="s">
        <v>3425</v>
      </c>
      <c r="B478">
        <v>1</v>
      </c>
      <c r="C478">
        <v>31</v>
      </c>
      <c r="D478">
        <v>31</v>
      </c>
    </row>
    <row r="479" spans="1:4" ht="15" x14ac:dyDescent="0.25">
      <c r="A479" t="s">
        <v>3426</v>
      </c>
      <c r="B479">
        <v>3</v>
      </c>
      <c r="C479">
        <v>124</v>
      </c>
      <c r="D479">
        <v>41.333333333333336</v>
      </c>
    </row>
    <row r="480" spans="1:4" ht="15" x14ac:dyDescent="0.25">
      <c r="A480" t="s">
        <v>3427</v>
      </c>
      <c r="B480">
        <v>3</v>
      </c>
      <c r="C480">
        <v>78</v>
      </c>
      <c r="D480">
        <v>26</v>
      </c>
    </row>
    <row r="481" spans="1:4" ht="15" x14ac:dyDescent="0.25">
      <c r="A481" t="s">
        <v>3431</v>
      </c>
      <c r="B481">
        <v>1</v>
      </c>
      <c r="C481">
        <v>11</v>
      </c>
      <c r="D481">
        <v>11</v>
      </c>
    </row>
    <row r="482" spans="1:4" ht="15" x14ac:dyDescent="0.25">
      <c r="A482" t="s">
        <v>3433</v>
      </c>
      <c r="B482">
        <v>2</v>
      </c>
      <c r="C482">
        <v>14</v>
      </c>
      <c r="D482">
        <v>7</v>
      </c>
    </row>
    <row r="483" spans="1:4" ht="15" x14ac:dyDescent="0.25">
      <c r="A483" t="s">
        <v>3428</v>
      </c>
      <c r="B483">
        <v>1</v>
      </c>
      <c r="C483">
        <v>11</v>
      </c>
      <c r="D483">
        <v>11</v>
      </c>
    </row>
    <row r="484" spans="1:4" ht="15" x14ac:dyDescent="0.25">
      <c r="A484" t="s">
        <v>3432</v>
      </c>
      <c r="B484">
        <v>1</v>
      </c>
      <c r="C484">
        <v>11</v>
      </c>
      <c r="D484">
        <v>11</v>
      </c>
    </row>
    <row r="485" spans="1:4" ht="15" x14ac:dyDescent="0.25">
      <c r="A485" t="s">
        <v>3438</v>
      </c>
      <c r="B485">
        <v>1</v>
      </c>
      <c r="C485">
        <v>26</v>
      </c>
      <c r="D485">
        <v>26</v>
      </c>
    </row>
    <row r="486" spans="1:4" ht="15" x14ac:dyDescent="0.25">
      <c r="A486" t="s">
        <v>3439</v>
      </c>
      <c r="B486">
        <v>1</v>
      </c>
      <c r="C486">
        <v>26</v>
      </c>
      <c r="D486">
        <v>26</v>
      </c>
    </row>
    <row r="487" spans="1:4" ht="15" x14ac:dyDescent="0.25">
      <c r="A487" t="s">
        <v>3440</v>
      </c>
      <c r="B487">
        <v>2</v>
      </c>
      <c r="C487">
        <v>54</v>
      </c>
      <c r="D487">
        <v>27</v>
      </c>
    </row>
    <row r="488" spans="1:4" ht="15" x14ac:dyDescent="0.25">
      <c r="A488" t="s">
        <v>3444</v>
      </c>
      <c r="B488">
        <v>1</v>
      </c>
      <c r="C488">
        <v>32</v>
      </c>
      <c r="D488">
        <v>32</v>
      </c>
    </row>
    <row r="489" spans="1:4" ht="15" x14ac:dyDescent="0.25">
      <c r="A489" t="s">
        <v>3445</v>
      </c>
      <c r="B489">
        <v>12</v>
      </c>
      <c r="C489">
        <v>469</v>
      </c>
      <c r="D489">
        <v>39.083333333333336</v>
      </c>
    </row>
    <row r="490" spans="1:4" ht="15" x14ac:dyDescent="0.25">
      <c r="A490" t="s">
        <v>3446</v>
      </c>
      <c r="B490">
        <v>45</v>
      </c>
      <c r="C490">
        <v>4474</v>
      </c>
      <c r="D490">
        <v>99.422222222222217</v>
      </c>
    </row>
    <row r="491" spans="1:4" ht="15" x14ac:dyDescent="0.25">
      <c r="A491" t="s">
        <v>3447</v>
      </c>
      <c r="B491">
        <v>1</v>
      </c>
      <c r="C491">
        <v>32</v>
      </c>
      <c r="D491">
        <v>32</v>
      </c>
    </row>
    <row r="492" spans="1:4" ht="15" x14ac:dyDescent="0.25">
      <c r="A492" t="s">
        <v>3451</v>
      </c>
      <c r="B492">
        <v>1</v>
      </c>
      <c r="C492">
        <v>4</v>
      </c>
      <c r="D492">
        <v>4</v>
      </c>
    </row>
    <row r="493" spans="1:4" ht="15" x14ac:dyDescent="0.25">
      <c r="A493" t="s">
        <v>3452</v>
      </c>
      <c r="B493">
        <v>1</v>
      </c>
      <c r="C493">
        <v>4</v>
      </c>
      <c r="D493">
        <v>4</v>
      </c>
    </row>
    <row r="494" spans="1:4" ht="15" x14ac:dyDescent="0.25">
      <c r="A494" t="s">
        <v>3453</v>
      </c>
      <c r="B494">
        <v>1</v>
      </c>
      <c r="C494">
        <v>4</v>
      </c>
      <c r="D494">
        <v>4</v>
      </c>
    </row>
    <row r="495" spans="1:4" ht="15" x14ac:dyDescent="0.25">
      <c r="A495" t="s">
        <v>3457</v>
      </c>
      <c r="B495">
        <v>2</v>
      </c>
      <c r="C495">
        <v>64</v>
      </c>
      <c r="D495">
        <v>32</v>
      </c>
    </row>
    <row r="496" spans="1:4" ht="15" x14ac:dyDescent="0.25">
      <c r="A496" t="s">
        <v>3462</v>
      </c>
      <c r="B496">
        <v>1</v>
      </c>
      <c r="C496">
        <v>63</v>
      </c>
      <c r="D496">
        <v>63</v>
      </c>
    </row>
    <row r="497" spans="1:4" ht="15" x14ac:dyDescent="0.25">
      <c r="A497" t="s">
        <v>3463</v>
      </c>
      <c r="B497">
        <v>1</v>
      </c>
      <c r="C497">
        <v>63</v>
      </c>
      <c r="D497">
        <v>63</v>
      </c>
    </row>
    <row r="498" spans="1:4" ht="15" x14ac:dyDescent="0.25">
      <c r="A498" t="s">
        <v>3465</v>
      </c>
      <c r="B498">
        <v>1</v>
      </c>
      <c r="C498">
        <v>63</v>
      </c>
      <c r="D498">
        <v>63</v>
      </c>
    </row>
    <row r="499" spans="1:4" ht="15" x14ac:dyDescent="0.25">
      <c r="A499" t="s">
        <v>3466</v>
      </c>
      <c r="B499">
        <v>1</v>
      </c>
      <c r="C499">
        <v>63</v>
      </c>
      <c r="D499">
        <v>63</v>
      </c>
    </row>
    <row r="500" spans="1:4" ht="15" x14ac:dyDescent="0.25">
      <c r="A500" t="s">
        <v>3464</v>
      </c>
      <c r="B500">
        <v>1</v>
      </c>
      <c r="C500">
        <v>63</v>
      </c>
      <c r="D500">
        <v>63</v>
      </c>
    </row>
    <row r="501" spans="1:4" ht="15" x14ac:dyDescent="0.25">
      <c r="A501" t="s">
        <v>3470</v>
      </c>
      <c r="B501">
        <v>1</v>
      </c>
      <c r="C501">
        <v>102</v>
      </c>
      <c r="D501">
        <v>102</v>
      </c>
    </row>
    <row r="502" spans="1:4" ht="15" x14ac:dyDescent="0.25">
      <c r="A502" t="s">
        <v>3475</v>
      </c>
      <c r="B502">
        <v>10</v>
      </c>
      <c r="C502">
        <v>277</v>
      </c>
      <c r="D502">
        <v>27.7</v>
      </c>
    </row>
    <row r="503" spans="1:4" ht="15" x14ac:dyDescent="0.25">
      <c r="A503" t="s">
        <v>3476</v>
      </c>
      <c r="B503">
        <v>12</v>
      </c>
      <c r="C503">
        <v>850</v>
      </c>
      <c r="D503">
        <v>70.833333333333329</v>
      </c>
    </row>
    <row r="504" spans="1:4" ht="15" x14ac:dyDescent="0.25">
      <c r="A504" t="s">
        <v>3478</v>
      </c>
      <c r="B504">
        <v>1</v>
      </c>
      <c r="C504">
        <v>27</v>
      </c>
      <c r="D504">
        <v>27</v>
      </c>
    </row>
    <row r="505" spans="1:4" ht="15" x14ac:dyDescent="0.25">
      <c r="A505" t="s">
        <v>3479</v>
      </c>
      <c r="B505">
        <v>5</v>
      </c>
      <c r="C505">
        <v>144</v>
      </c>
      <c r="D505">
        <v>28.8</v>
      </c>
    </row>
    <row r="506" spans="1:4" ht="15" x14ac:dyDescent="0.25">
      <c r="A506" t="s">
        <v>3477</v>
      </c>
      <c r="B506">
        <v>15</v>
      </c>
      <c r="C506">
        <v>521</v>
      </c>
      <c r="D506">
        <v>34.733333333333334</v>
      </c>
    </row>
    <row r="507" spans="1:4" ht="15" x14ac:dyDescent="0.25">
      <c r="A507" t="s">
        <v>3487</v>
      </c>
      <c r="B507">
        <v>1</v>
      </c>
      <c r="C507">
        <v>26</v>
      </c>
      <c r="D507">
        <v>26</v>
      </c>
    </row>
    <row r="508" spans="1:4" ht="15" x14ac:dyDescent="0.25">
      <c r="A508" t="s">
        <v>3488</v>
      </c>
      <c r="B508">
        <v>1</v>
      </c>
      <c r="C508">
        <v>26</v>
      </c>
      <c r="D508">
        <v>26</v>
      </c>
    </row>
    <row r="509" spans="1:4" ht="15" x14ac:dyDescent="0.25">
      <c r="A509" t="s">
        <v>3489</v>
      </c>
      <c r="B509">
        <v>1</v>
      </c>
      <c r="C509">
        <v>26</v>
      </c>
      <c r="D509">
        <v>26</v>
      </c>
    </row>
    <row r="510" spans="1:4" ht="15" x14ac:dyDescent="0.25">
      <c r="A510" t="s">
        <v>3493</v>
      </c>
      <c r="B510">
        <v>21</v>
      </c>
      <c r="C510">
        <v>950</v>
      </c>
      <c r="D510">
        <v>45.238095238095241</v>
      </c>
    </row>
    <row r="511" spans="1:4" ht="15" x14ac:dyDescent="0.25">
      <c r="A511" t="s">
        <v>3494</v>
      </c>
      <c r="B511">
        <v>27</v>
      </c>
      <c r="C511">
        <v>1118</v>
      </c>
      <c r="D511">
        <v>41.407407407407405</v>
      </c>
    </row>
    <row r="512" spans="1:4" ht="15" x14ac:dyDescent="0.25">
      <c r="A512" t="s">
        <v>3492</v>
      </c>
      <c r="B512">
        <v>29</v>
      </c>
      <c r="C512">
        <v>1237</v>
      </c>
      <c r="D512">
        <v>42.655172413793103</v>
      </c>
    </row>
    <row r="513" spans="1:4" ht="15" x14ac:dyDescent="0.25">
      <c r="A513" t="s">
        <v>3499</v>
      </c>
      <c r="B513">
        <v>1</v>
      </c>
      <c r="C513">
        <v>37</v>
      </c>
      <c r="D513">
        <v>37</v>
      </c>
    </row>
    <row r="514" spans="1:4" ht="15" x14ac:dyDescent="0.25">
      <c r="A514" t="s">
        <v>3500</v>
      </c>
      <c r="B514">
        <v>1</v>
      </c>
      <c r="C514">
        <v>37</v>
      </c>
      <c r="D514">
        <v>37</v>
      </c>
    </row>
    <row r="515" spans="1:4" ht="15" x14ac:dyDescent="0.25">
      <c r="A515" t="s">
        <v>3501</v>
      </c>
      <c r="B515">
        <v>1</v>
      </c>
      <c r="C515">
        <v>162</v>
      </c>
      <c r="D515">
        <v>162</v>
      </c>
    </row>
    <row r="516" spans="1:4" ht="15" x14ac:dyDescent="0.25">
      <c r="A516" t="s">
        <v>3504</v>
      </c>
      <c r="B516">
        <v>1</v>
      </c>
      <c r="C516">
        <v>162</v>
      </c>
      <c r="D516">
        <v>162</v>
      </c>
    </row>
    <row r="517" spans="1:4" ht="15" x14ac:dyDescent="0.25">
      <c r="A517" t="s">
        <v>3506</v>
      </c>
      <c r="B517">
        <v>1</v>
      </c>
      <c r="C517">
        <v>162</v>
      </c>
      <c r="D517">
        <v>162</v>
      </c>
    </row>
    <row r="518" spans="1:4" ht="15" x14ac:dyDescent="0.25">
      <c r="A518" t="s">
        <v>3505</v>
      </c>
      <c r="B518">
        <v>1</v>
      </c>
      <c r="C518">
        <v>162</v>
      </c>
      <c r="D518">
        <v>162</v>
      </c>
    </row>
    <row r="519" spans="1:4" ht="15" x14ac:dyDescent="0.25">
      <c r="A519" t="s">
        <v>3511</v>
      </c>
      <c r="B519">
        <v>1</v>
      </c>
      <c r="C519">
        <v>30</v>
      </c>
      <c r="D519">
        <v>30</v>
      </c>
    </row>
    <row r="520" spans="1:4" ht="15" x14ac:dyDescent="0.25">
      <c r="A520" t="s">
        <v>3513</v>
      </c>
      <c r="B520">
        <v>4</v>
      </c>
      <c r="C520">
        <v>129</v>
      </c>
      <c r="D520">
        <v>32.25</v>
      </c>
    </row>
    <row r="521" spans="1:4" ht="15" x14ac:dyDescent="0.25">
      <c r="A521" t="s">
        <v>3514</v>
      </c>
      <c r="B521">
        <v>4</v>
      </c>
      <c r="C521">
        <v>101</v>
      </c>
      <c r="D521">
        <v>25.25</v>
      </c>
    </row>
    <row r="522" spans="1:4" ht="15" x14ac:dyDescent="0.25">
      <c r="A522" t="s">
        <v>3512</v>
      </c>
      <c r="B522">
        <v>5</v>
      </c>
      <c r="C522">
        <v>293</v>
      </c>
      <c r="D522">
        <v>58.6</v>
      </c>
    </row>
    <row r="523" spans="1:4" ht="15" x14ac:dyDescent="0.25">
      <c r="A523" t="s">
        <v>3518</v>
      </c>
      <c r="B523">
        <v>1</v>
      </c>
      <c r="C523">
        <v>54</v>
      </c>
      <c r="D523">
        <v>54</v>
      </c>
    </row>
    <row r="524" spans="1:4" ht="15" x14ac:dyDescent="0.25">
      <c r="A524" t="s">
        <v>3519</v>
      </c>
      <c r="B524">
        <v>1</v>
      </c>
      <c r="C524">
        <v>54</v>
      </c>
      <c r="D524">
        <v>54</v>
      </c>
    </row>
    <row r="525" spans="1:4" ht="15" x14ac:dyDescent="0.25">
      <c r="A525" t="s">
        <v>3521</v>
      </c>
      <c r="B525">
        <v>1</v>
      </c>
      <c r="C525">
        <v>54</v>
      </c>
      <c r="D525">
        <v>54</v>
      </c>
    </row>
    <row r="526" spans="1:4" ht="15" x14ac:dyDescent="0.25">
      <c r="A526" t="s">
        <v>3522</v>
      </c>
      <c r="B526">
        <v>4</v>
      </c>
      <c r="C526">
        <v>136</v>
      </c>
      <c r="D526">
        <v>34</v>
      </c>
    </row>
    <row r="527" spans="1:4" ht="15" x14ac:dyDescent="0.25">
      <c r="A527" t="s">
        <v>3520</v>
      </c>
      <c r="B527">
        <v>1</v>
      </c>
      <c r="C527">
        <v>54</v>
      </c>
      <c r="D527">
        <v>54</v>
      </c>
    </row>
    <row r="528" spans="1:4" ht="15" x14ac:dyDescent="0.25">
      <c r="A528" t="s">
        <v>3526</v>
      </c>
      <c r="B528">
        <v>1</v>
      </c>
      <c r="C528">
        <v>77</v>
      </c>
      <c r="D528">
        <v>77</v>
      </c>
    </row>
    <row r="529" spans="1:4" ht="15" x14ac:dyDescent="0.25">
      <c r="A529" t="s">
        <v>3527</v>
      </c>
      <c r="B529">
        <v>1</v>
      </c>
      <c r="C529">
        <v>77</v>
      </c>
      <c r="D529">
        <v>77</v>
      </c>
    </row>
    <row r="530" spans="1:4" ht="15" x14ac:dyDescent="0.25">
      <c r="A530" t="s">
        <v>3529</v>
      </c>
      <c r="B530">
        <v>3</v>
      </c>
      <c r="C530">
        <v>175</v>
      </c>
      <c r="D530">
        <v>58.333333333333336</v>
      </c>
    </row>
    <row r="531" spans="1:4" ht="15" x14ac:dyDescent="0.25">
      <c r="A531" t="s">
        <v>3530</v>
      </c>
      <c r="B531">
        <v>1</v>
      </c>
      <c r="C531">
        <v>77</v>
      </c>
      <c r="D531">
        <v>77</v>
      </c>
    </row>
    <row r="532" spans="1:4" ht="15" x14ac:dyDescent="0.25">
      <c r="A532" t="s">
        <v>3528</v>
      </c>
      <c r="B532">
        <v>1</v>
      </c>
      <c r="C532">
        <v>77</v>
      </c>
      <c r="D532">
        <v>77</v>
      </c>
    </row>
    <row r="533" spans="1:4" ht="15" x14ac:dyDescent="0.25">
      <c r="A533" t="s">
        <v>3535</v>
      </c>
      <c r="B533">
        <v>34</v>
      </c>
      <c r="C533">
        <v>1961</v>
      </c>
      <c r="D533">
        <v>57.676470588235297</v>
      </c>
    </row>
    <row r="534" spans="1:4" ht="15" x14ac:dyDescent="0.25">
      <c r="A534" t="s">
        <v>3536</v>
      </c>
      <c r="B534">
        <v>1</v>
      </c>
      <c r="C534">
        <v>8</v>
      </c>
      <c r="D534">
        <v>8</v>
      </c>
    </row>
    <row r="535" spans="1:4" ht="15" x14ac:dyDescent="0.25">
      <c r="A535" t="s">
        <v>3534</v>
      </c>
      <c r="B535">
        <v>13</v>
      </c>
      <c r="C535">
        <v>517</v>
      </c>
      <c r="D535">
        <v>39.769230769230766</v>
      </c>
    </row>
    <row r="536" spans="1:4" ht="15" x14ac:dyDescent="0.25">
      <c r="A536" t="s">
        <v>3540</v>
      </c>
      <c r="B536">
        <v>1</v>
      </c>
      <c r="C536">
        <v>11</v>
      </c>
      <c r="D536">
        <v>11</v>
      </c>
    </row>
    <row r="537" spans="1:4" ht="15" x14ac:dyDescent="0.25">
      <c r="A537" t="s">
        <v>3541</v>
      </c>
      <c r="B537">
        <v>1</v>
      </c>
      <c r="C537">
        <v>11</v>
      </c>
      <c r="D537">
        <v>11</v>
      </c>
    </row>
    <row r="538" spans="1:4" ht="15" x14ac:dyDescent="0.25">
      <c r="A538" t="s">
        <v>3543</v>
      </c>
      <c r="B538">
        <v>20</v>
      </c>
      <c r="C538">
        <v>450</v>
      </c>
      <c r="D538">
        <v>22.5</v>
      </c>
    </row>
    <row r="539" spans="1:4" ht="15" x14ac:dyDescent="0.25">
      <c r="A539" t="s">
        <v>3542</v>
      </c>
      <c r="B539">
        <v>1</v>
      </c>
      <c r="C539">
        <v>11</v>
      </c>
      <c r="D539">
        <v>11</v>
      </c>
    </row>
    <row r="540" spans="1:4" ht="15" x14ac:dyDescent="0.25">
      <c r="A540" t="s">
        <v>3548</v>
      </c>
      <c r="B540">
        <v>1</v>
      </c>
      <c r="C540">
        <v>16</v>
      </c>
      <c r="D540">
        <v>16</v>
      </c>
    </row>
    <row r="541" spans="1:4" ht="15" x14ac:dyDescent="0.25">
      <c r="A541" t="s">
        <v>3549</v>
      </c>
      <c r="B541">
        <v>25</v>
      </c>
      <c r="C541">
        <v>2761</v>
      </c>
      <c r="D541">
        <v>110.44</v>
      </c>
    </row>
    <row r="542" spans="1:4" ht="15" x14ac:dyDescent="0.25">
      <c r="A542" t="s">
        <v>3551</v>
      </c>
      <c r="B542">
        <v>1</v>
      </c>
      <c r="C542">
        <v>16</v>
      </c>
      <c r="D542">
        <v>16</v>
      </c>
    </row>
    <row r="543" spans="1:4" ht="15" x14ac:dyDescent="0.25">
      <c r="A543" t="s">
        <v>3552</v>
      </c>
      <c r="B543">
        <v>1</v>
      </c>
      <c r="C543">
        <v>16</v>
      </c>
      <c r="D543">
        <v>16</v>
      </c>
    </row>
    <row r="544" spans="1:4" ht="15" x14ac:dyDescent="0.25">
      <c r="A544" t="s">
        <v>3550</v>
      </c>
      <c r="B544">
        <v>1</v>
      </c>
      <c r="C544">
        <v>16</v>
      </c>
      <c r="D544">
        <v>16</v>
      </c>
    </row>
    <row r="545" spans="1:4" ht="15" x14ac:dyDescent="0.25">
      <c r="A545" t="s">
        <v>3557</v>
      </c>
      <c r="B545">
        <v>1</v>
      </c>
      <c r="C545">
        <v>42</v>
      </c>
      <c r="D545">
        <v>42</v>
      </c>
    </row>
    <row r="546" spans="1:4" ht="15" x14ac:dyDescent="0.25">
      <c r="A546" t="s">
        <v>3558</v>
      </c>
      <c r="B546">
        <v>1</v>
      </c>
      <c r="C546">
        <v>42</v>
      </c>
      <c r="D546">
        <v>42</v>
      </c>
    </row>
    <row r="547" spans="1:4" ht="15" x14ac:dyDescent="0.25">
      <c r="A547" t="s">
        <v>3559</v>
      </c>
      <c r="B547">
        <v>1</v>
      </c>
      <c r="C547">
        <v>42</v>
      </c>
      <c r="D547">
        <v>42</v>
      </c>
    </row>
    <row r="548" spans="1:4" ht="15" x14ac:dyDescent="0.25">
      <c r="A548" t="s">
        <v>3560</v>
      </c>
      <c r="B548">
        <v>1</v>
      </c>
      <c r="C548">
        <v>42</v>
      </c>
      <c r="D548">
        <v>42</v>
      </c>
    </row>
    <row r="549" spans="1:4" ht="15" x14ac:dyDescent="0.25">
      <c r="A549" t="s">
        <v>3568</v>
      </c>
      <c r="B549">
        <v>18</v>
      </c>
      <c r="C549">
        <v>2571</v>
      </c>
      <c r="D549">
        <v>142.83333333333334</v>
      </c>
    </row>
    <row r="550" spans="1:4" ht="15" x14ac:dyDescent="0.25">
      <c r="A550" t="s">
        <v>3570</v>
      </c>
      <c r="B550">
        <v>14</v>
      </c>
      <c r="C550">
        <v>1778</v>
      </c>
      <c r="D550">
        <v>127</v>
      </c>
    </row>
    <row r="551" spans="1:4" ht="15" x14ac:dyDescent="0.25">
      <c r="A551" t="s">
        <v>3571</v>
      </c>
      <c r="B551">
        <v>29</v>
      </c>
      <c r="C551">
        <v>2590</v>
      </c>
      <c r="D551">
        <v>89.310344827586206</v>
      </c>
    </row>
    <row r="552" spans="1:4" ht="15" x14ac:dyDescent="0.25">
      <c r="A552" t="s">
        <v>3569</v>
      </c>
      <c r="B552">
        <v>20</v>
      </c>
      <c r="C552">
        <v>902</v>
      </c>
      <c r="D552">
        <v>45.1</v>
      </c>
    </row>
    <row r="553" spans="1:4" ht="15" x14ac:dyDescent="0.25">
      <c r="A553" t="s">
        <v>3576</v>
      </c>
      <c r="B553">
        <v>1</v>
      </c>
      <c r="C553">
        <v>16</v>
      </c>
      <c r="D553">
        <v>16</v>
      </c>
    </row>
    <row r="554" spans="1:4" ht="15" x14ac:dyDescent="0.25">
      <c r="A554" t="s">
        <v>3578</v>
      </c>
      <c r="B554">
        <v>1</v>
      </c>
      <c r="C554">
        <v>16</v>
      </c>
      <c r="D554">
        <v>16</v>
      </c>
    </row>
    <row r="555" spans="1:4" ht="15" x14ac:dyDescent="0.25">
      <c r="A555" t="s">
        <v>3577</v>
      </c>
      <c r="B555">
        <v>1</v>
      </c>
      <c r="C555">
        <v>16</v>
      </c>
      <c r="D555">
        <v>16</v>
      </c>
    </row>
    <row r="556" spans="1:4" ht="15" x14ac:dyDescent="0.25">
      <c r="A556" t="s">
        <v>3583</v>
      </c>
      <c r="B556">
        <v>5</v>
      </c>
      <c r="C556">
        <v>147</v>
      </c>
      <c r="D556">
        <v>29.4</v>
      </c>
    </row>
    <row r="557" spans="1:4" ht="15" x14ac:dyDescent="0.25">
      <c r="A557" t="s">
        <v>3585</v>
      </c>
      <c r="B557">
        <v>1</v>
      </c>
      <c r="C557">
        <v>68</v>
      </c>
      <c r="D557">
        <v>68</v>
      </c>
    </row>
    <row r="558" spans="1:4" ht="15" x14ac:dyDescent="0.25">
      <c r="A558" t="s">
        <v>3586</v>
      </c>
      <c r="B558">
        <v>1</v>
      </c>
      <c r="C558">
        <v>68</v>
      </c>
      <c r="D558">
        <v>68</v>
      </c>
    </row>
    <row r="559" spans="1:4" ht="15" x14ac:dyDescent="0.25">
      <c r="A559" t="s">
        <v>3584</v>
      </c>
      <c r="B559">
        <v>1</v>
      </c>
      <c r="C559">
        <v>68</v>
      </c>
      <c r="D559">
        <v>68</v>
      </c>
    </row>
    <row r="560" spans="1:4" ht="15" x14ac:dyDescent="0.25">
      <c r="A560" t="s">
        <v>3590</v>
      </c>
      <c r="B560">
        <v>4</v>
      </c>
      <c r="C560">
        <v>231</v>
      </c>
      <c r="D560">
        <v>57.75</v>
      </c>
    </row>
    <row r="561" spans="1:4" ht="15" x14ac:dyDescent="0.25">
      <c r="A561" t="s">
        <v>3591</v>
      </c>
      <c r="B561">
        <v>1</v>
      </c>
      <c r="C561">
        <v>73</v>
      </c>
      <c r="D561">
        <v>73</v>
      </c>
    </row>
    <row r="562" spans="1:4" ht="15" x14ac:dyDescent="0.25">
      <c r="A562" t="s">
        <v>3596</v>
      </c>
      <c r="B562">
        <v>1</v>
      </c>
      <c r="C562">
        <v>88</v>
      </c>
      <c r="D562">
        <v>88</v>
      </c>
    </row>
    <row r="563" spans="1:4" ht="15" x14ac:dyDescent="0.25">
      <c r="A563" t="s">
        <v>3597</v>
      </c>
      <c r="B563">
        <v>1</v>
      </c>
      <c r="C563">
        <v>88</v>
      </c>
      <c r="D563">
        <v>88</v>
      </c>
    </row>
    <row r="564" spans="1:4" ht="15" x14ac:dyDescent="0.25">
      <c r="A564" t="s">
        <v>3599</v>
      </c>
      <c r="B564">
        <v>3</v>
      </c>
      <c r="C564">
        <v>138</v>
      </c>
      <c r="D564">
        <v>46</v>
      </c>
    </row>
    <row r="565" spans="1:4" ht="15" x14ac:dyDescent="0.25">
      <c r="A565" t="s">
        <v>3600</v>
      </c>
      <c r="B565">
        <v>3</v>
      </c>
      <c r="C565">
        <v>362</v>
      </c>
      <c r="D565">
        <v>120.66666666666667</v>
      </c>
    </row>
    <row r="566" spans="1:4" ht="15" x14ac:dyDescent="0.25">
      <c r="A566" t="s">
        <v>3598</v>
      </c>
      <c r="B566">
        <v>5</v>
      </c>
      <c r="C566">
        <v>327</v>
      </c>
      <c r="D566">
        <v>65.400000000000006</v>
      </c>
    </row>
    <row r="567" spans="1:4" ht="15" x14ac:dyDescent="0.25">
      <c r="A567" t="s">
        <v>3604</v>
      </c>
      <c r="B567">
        <v>1</v>
      </c>
      <c r="C567">
        <v>19</v>
      </c>
      <c r="D567">
        <v>19</v>
      </c>
    </row>
    <row r="568" spans="1:4" ht="15" x14ac:dyDescent="0.25">
      <c r="A568" t="s">
        <v>3606</v>
      </c>
      <c r="B568">
        <v>1</v>
      </c>
      <c r="C568">
        <v>19</v>
      </c>
      <c r="D568">
        <v>19</v>
      </c>
    </row>
    <row r="569" spans="1:4" ht="15" x14ac:dyDescent="0.25">
      <c r="A569" t="s">
        <v>3607</v>
      </c>
      <c r="B569">
        <v>7</v>
      </c>
      <c r="C569">
        <v>276</v>
      </c>
      <c r="D569">
        <v>39.428571428571431</v>
      </c>
    </row>
    <row r="570" spans="1:4" ht="15" x14ac:dyDescent="0.25">
      <c r="A570" t="s">
        <v>3605</v>
      </c>
      <c r="B570">
        <v>1</v>
      </c>
      <c r="C570">
        <v>19</v>
      </c>
      <c r="D570">
        <v>19</v>
      </c>
    </row>
    <row r="571" spans="1:4" ht="15" x14ac:dyDescent="0.25">
      <c r="A571" t="s">
        <v>3611</v>
      </c>
      <c r="B571">
        <v>1</v>
      </c>
      <c r="C571">
        <v>36</v>
      </c>
      <c r="D571">
        <v>36</v>
      </c>
    </row>
    <row r="572" spans="1:4" ht="15" x14ac:dyDescent="0.25">
      <c r="A572" t="s">
        <v>3613</v>
      </c>
      <c r="B572">
        <v>1</v>
      </c>
      <c r="C572">
        <v>36</v>
      </c>
      <c r="D572">
        <v>36</v>
      </c>
    </row>
    <row r="573" spans="1:4" ht="15" x14ac:dyDescent="0.25">
      <c r="A573" t="s">
        <v>3614</v>
      </c>
      <c r="B573">
        <v>1</v>
      </c>
      <c r="C573">
        <v>36</v>
      </c>
      <c r="D573">
        <v>36</v>
      </c>
    </row>
    <row r="574" spans="1:4" ht="15" x14ac:dyDescent="0.25">
      <c r="A574" t="s">
        <v>3612</v>
      </c>
      <c r="B574">
        <v>1</v>
      </c>
      <c r="C574">
        <v>36</v>
      </c>
      <c r="D574">
        <v>36</v>
      </c>
    </row>
    <row r="575" spans="1:4" ht="15" x14ac:dyDescent="0.25">
      <c r="A575" t="s">
        <v>3618</v>
      </c>
      <c r="B575">
        <v>2</v>
      </c>
      <c r="C575">
        <v>33</v>
      </c>
      <c r="D575">
        <v>16.5</v>
      </c>
    </row>
    <row r="576" spans="1:4" ht="15" x14ac:dyDescent="0.25">
      <c r="A576" t="s">
        <v>3619</v>
      </c>
      <c r="B576">
        <v>8</v>
      </c>
      <c r="C576">
        <v>215</v>
      </c>
      <c r="D576">
        <v>26.875</v>
      </c>
    </row>
    <row r="577" spans="1:4" ht="15" x14ac:dyDescent="0.25">
      <c r="A577" t="s">
        <v>3621</v>
      </c>
      <c r="B577">
        <v>8</v>
      </c>
      <c r="C577">
        <v>886</v>
      </c>
      <c r="D577">
        <v>110.75</v>
      </c>
    </row>
    <row r="578" spans="1:4" ht="15" x14ac:dyDescent="0.25">
      <c r="A578" t="s">
        <v>3620</v>
      </c>
      <c r="B578">
        <v>1</v>
      </c>
      <c r="C578">
        <v>11</v>
      </c>
      <c r="D578">
        <v>11</v>
      </c>
    </row>
    <row r="579" spans="1:4" ht="15" x14ac:dyDescent="0.25">
      <c r="A579" t="s">
        <v>3626</v>
      </c>
      <c r="B579">
        <v>2</v>
      </c>
      <c r="C579">
        <v>77</v>
      </c>
      <c r="D579">
        <v>38.5</v>
      </c>
    </row>
    <row r="580" spans="1:4" ht="15" x14ac:dyDescent="0.25">
      <c r="A580" t="s">
        <v>3628</v>
      </c>
      <c r="B580">
        <v>2</v>
      </c>
      <c r="C580">
        <v>45</v>
      </c>
      <c r="D580">
        <v>22.5</v>
      </c>
    </row>
    <row r="581" spans="1:4" ht="15" x14ac:dyDescent="0.25">
      <c r="A581" t="s">
        <v>3627</v>
      </c>
      <c r="B581">
        <v>6</v>
      </c>
      <c r="C581">
        <v>898</v>
      </c>
      <c r="D581">
        <v>149.66666666666666</v>
      </c>
    </row>
    <row r="582" spans="1:4" ht="15" x14ac:dyDescent="0.25">
      <c r="A582" t="s">
        <v>3632</v>
      </c>
      <c r="B582">
        <v>1</v>
      </c>
      <c r="C582">
        <v>38</v>
      </c>
      <c r="D582">
        <v>38</v>
      </c>
    </row>
    <row r="583" spans="1:4" ht="15" x14ac:dyDescent="0.25">
      <c r="A583" t="s">
        <v>3633</v>
      </c>
      <c r="B583">
        <v>13</v>
      </c>
      <c r="C583">
        <v>942</v>
      </c>
      <c r="D583">
        <v>72.461538461538467</v>
      </c>
    </row>
    <row r="584" spans="1:4" ht="15" x14ac:dyDescent="0.25">
      <c r="A584" t="s">
        <v>3635</v>
      </c>
      <c r="B584">
        <v>18</v>
      </c>
      <c r="C584">
        <v>1418</v>
      </c>
      <c r="D584">
        <v>78.777777777777771</v>
      </c>
    </row>
    <row r="585" spans="1:4" ht="15" x14ac:dyDescent="0.25">
      <c r="A585" t="s">
        <v>3636</v>
      </c>
      <c r="B585">
        <v>9</v>
      </c>
      <c r="C585">
        <v>617</v>
      </c>
      <c r="D585">
        <v>68.555555555555557</v>
      </c>
    </row>
    <row r="586" spans="1:4" ht="15" x14ac:dyDescent="0.25">
      <c r="A586" t="s">
        <v>3634</v>
      </c>
      <c r="B586">
        <v>6</v>
      </c>
      <c r="C586">
        <v>412</v>
      </c>
      <c r="D586">
        <v>68.666666666666671</v>
      </c>
    </row>
    <row r="587" spans="1:4" ht="15" x14ac:dyDescent="0.25">
      <c r="A587" t="s">
        <v>3641</v>
      </c>
      <c r="B587">
        <v>1</v>
      </c>
      <c r="C587">
        <v>61</v>
      </c>
      <c r="D587">
        <v>61</v>
      </c>
    </row>
    <row r="588" spans="1:4" ht="15" x14ac:dyDescent="0.25">
      <c r="A588" t="s">
        <v>3642</v>
      </c>
      <c r="B588">
        <v>1</v>
      </c>
      <c r="C588">
        <v>61</v>
      </c>
      <c r="D588">
        <v>61</v>
      </c>
    </row>
    <row r="589" spans="1:4" ht="15" x14ac:dyDescent="0.25">
      <c r="A589" t="s">
        <v>3643</v>
      </c>
      <c r="B589">
        <v>1</v>
      </c>
      <c r="C589">
        <v>61</v>
      </c>
      <c r="D589">
        <v>61</v>
      </c>
    </row>
    <row r="590" spans="1:4" ht="15" x14ac:dyDescent="0.25">
      <c r="A590" t="s">
        <v>3648</v>
      </c>
      <c r="B590">
        <v>6</v>
      </c>
      <c r="C590">
        <v>237</v>
      </c>
      <c r="D590">
        <v>39.5</v>
      </c>
    </row>
    <row r="591" spans="1:4" ht="15" x14ac:dyDescent="0.25">
      <c r="A591" t="s">
        <v>3650</v>
      </c>
      <c r="B591">
        <v>8</v>
      </c>
      <c r="C591">
        <v>290</v>
      </c>
      <c r="D591">
        <v>36.25</v>
      </c>
    </row>
    <row r="592" spans="1:4" ht="15" x14ac:dyDescent="0.25">
      <c r="A592" t="s">
        <v>3651</v>
      </c>
      <c r="B592">
        <v>6</v>
      </c>
      <c r="C592">
        <v>244</v>
      </c>
      <c r="D592">
        <v>40.666666666666664</v>
      </c>
    </row>
    <row r="593" spans="1:4" ht="15" x14ac:dyDescent="0.25">
      <c r="A593" t="s">
        <v>3649</v>
      </c>
      <c r="B593">
        <v>5</v>
      </c>
      <c r="C593">
        <v>240</v>
      </c>
      <c r="D593">
        <v>48</v>
      </c>
    </row>
    <row r="594" spans="1:4" ht="15" x14ac:dyDescent="0.25">
      <c r="A594" t="s">
        <v>3655</v>
      </c>
      <c r="B594">
        <v>28</v>
      </c>
      <c r="C594">
        <v>1011</v>
      </c>
      <c r="D594">
        <v>36.107142857142854</v>
      </c>
    </row>
    <row r="595" spans="1:4" ht="15" x14ac:dyDescent="0.25">
      <c r="A595" t="s">
        <v>3656</v>
      </c>
      <c r="B595">
        <v>1</v>
      </c>
      <c r="C595">
        <v>45</v>
      </c>
      <c r="D595">
        <v>45</v>
      </c>
    </row>
    <row r="596" spans="1:4" ht="15" x14ac:dyDescent="0.25">
      <c r="A596" t="s">
        <v>3660</v>
      </c>
      <c r="B596">
        <v>2</v>
      </c>
      <c r="C596">
        <v>107</v>
      </c>
      <c r="D596">
        <v>53.5</v>
      </c>
    </row>
    <row r="597" spans="1:4" ht="15" x14ac:dyDescent="0.25">
      <c r="A597" t="s">
        <v>3661</v>
      </c>
      <c r="B597">
        <v>2</v>
      </c>
      <c r="C597">
        <v>24</v>
      </c>
      <c r="D597">
        <v>12</v>
      </c>
    </row>
    <row r="598" spans="1:4" ht="15" x14ac:dyDescent="0.25">
      <c r="A598" t="s">
        <v>3663</v>
      </c>
      <c r="B598">
        <v>7</v>
      </c>
      <c r="C598">
        <v>212</v>
      </c>
      <c r="D598">
        <v>30.285714285714285</v>
      </c>
    </row>
    <row r="599" spans="1:4" ht="15" x14ac:dyDescent="0.25">
      <c r="A599" t="s">
        <v>3664</v>
      </c>
      <c r="B599">
        <v>2</v>
      </c>
      <c r="C599">
        <v>45</v>
      </c>
      <c r="D599">
        <v>22.5</v>
      </c>
    </row>
    <row r="600" spans="1:4" ht="15" x14ac:dyDescent="0.25">
      <c r="A600" t="s">
        <v>3662</v>
      </c>
      <c r="B600">
        <v>4</v>
      </c>
      <c r="C600">
        <v>224</v>
      </c>
      <c r="D600">
        <v>56</v>
      </c>
    </row>
    <row r="601" spans="1:4" ht="15" x14ac:dyDescent="0.25">
      <c r="A601" t="s">
        <v>3669</v>
      </c>
      <c r="B601">
        <v>1</v>
      </c>
      <c r="C601">
        <v>44</v>
      </c>
      <c r="D601">
        <v>44</v>
      </c>
    </row>
    <row r="602" spans="1:4" ht="15" x14ac:dyDescent="0.25">
      <c r="A602" t="s">
        <v>3670</v>
      </c>
      <c r="B602">
        <v>1</v>
      </c>
      <c r="C602">
        <v>44</v>
      </c>
      <c r="D602">
        <v>44</v>
      </c>
    </row>
    <row r="603" spans="1:4" ht="15" x14ac:dyDescent="0.25">
      <c r="A603" t="s">
        <v>3671</v>
      </c>
      <c r="B603">
        <v>36</v>
      </c>
      <c r="C603">
        <v>1234</v>
      </c>
      <c r="D603">
        <v>34.277777777777779</v>
      </c>
    </row>
    <row r="604" spans="1:4" ht="15" x14ac:dyDescent="0.25">
      <c r="A604" t="s">
        <v>3672</v>
      </c>
      <c r="B604">
        <v>1</v>
      </c>
      <c r="C604">
        <v>44</v>
      </c>
      <c r="D604">
        <v>44</v>
      </c>
    </row>
    <row r="605" spans="1:4" ht="15" x14ac:dyDescent="0.25">
      <c r="A605" t="s">
        <v>3676</v>
      </c>
      <c r="B605">
        <v>1</v>
      </c>
      <c r="C605">
        <v>113</v>
      </c>
      <c r="D605">
        <v>113</v>
      </c>
    </row>
    <row r="606" spans="1:4" ht="15" x14ac:dyDescent="0.25">
      <c r="A606" t="s">
        <v>3677</v>
      </c>
      <c r="B606">
        <v>3</v>
      </c>
      <c r="C606">
        <v>195</v>
      </c>
      <c r="D606">
        <v>65</v>
      </c>
    </row>
    <row r="607" spans="1:4" ht="15" x14ac:dyDescent="0.25">
      <c r="A607" t="s">
        <v>3678</v>
      </c>
      <c r="B607">
        <v>1</v>
      </c>
      <c r="C607">
        <v>113</v>
      </c>
      <c r="D607">
        <v>113</v>
      </c>
    </row>
    <row r="608" spans="1:4" ht="15" x14ac:dyDescent="0.25">
      <c r="A608" t="s">
        <v>3682</v>
      </c>
      <c r="B608">
        <v>1</v>
      </c>
      <c r="C608">
        <v>20</v>
      </c>
      <c r="D608">
        <v>20</v>
      </c>
    </row>
    <row r="609" spans="1:4" ht="15" x14ac:dyDescent="0.25">
      <c r="A609" t="s">
        <v>3683</v>
      </c>
      <c r="B609">
        <v>3</v>
      </c>
      <c r="C609">
        <v>74</v>
      </c>
      <c r="D609">
        <v>24.666666666666668</v>
      </c>
    </row>
    <row r="610" spans="1:4" ht="15" x14ac:dyDescent="0.25">
      <c r="A610" t="s">
        <v>3685</v>
      </c>
      <c r="B610">
        <v>7</v>
      </c>
      <c r="C610">
        <v>338</v>
      </c>
      <c r="D610">
        <v>48.285714285714285</v>
      </c>
    </row>
    <row r="611" spans="1:4" ht="15" x14ac:dyDescent="0.25">
      <c r="A611" t="s">
        <v>3686</v>
      </c>
      <c r="B611">
        <v>4</v>
      </c>
      <c r="C611">
        <v>88</v>
      </c>
      <c r="D611">
        <v>22</v>
      </c>
    </row>
    <row r="612" spans="1:4" ht="15" x14ac:dyDescent="0.25">
      <c r="A612" t="s">
        <v>3684</v>
      </c>
      <c r="B612">
        <v>3</v>
      </c>
      <c r="C612">
        <v>59</v>
      </c>
      <c r="D612">
        <v>19.666666666666668</v>
      </c>
    </row>
    <row r="613" spans="1:4" ht="15" x14ac:dyDescent="0.25">
      <c r="A613" t="s">
        <v>3690</v>
      </c>
      <c r="B613">
        <v>1</v>
      </c>
      <c r="C613">
        <v>40</v>
      </c>
      <c r="D613">
        <v>40</v>
      </c>
    </row>
    <row r="614" spans="1:4" ht="15" x14ac:dyDescent="0.25">
      <c r="A614" t="s">
        <v>3691</v>
      </c>
      <c r="B614">
        <v>1</v>
      </c>
      <c r="C614">
        <v>40</v>
      </c>
      <c r="D614">
        <v>40</v>
      </c>
    </row>
    <row r="615" spans="1:4" ht="15" x14ac:dyDescent="0.25">
      <c r="A615" t="s">
        <v>3693</v>
      </c>
      <c r="B615">
        <v>1</v>
      </c>
      <c r="C615">
        <v>40</v>
      </c>
      <c r="D615">
        <v>40</v>
      </c>
    </row>
    <row r="616" spans="1:4" ht="15" x14ac:dyDescent="0.25">
      <c r="A616" t="s">
        <v>3694</v>
      </c>
      <c r="B616">
        <v>1</v>
      </c>
      <c r="C616">
        <v>40</v>
      </c>
      <c r="D616">
        <v>40</v>
      </c>
    </row>
    <row r="617" spans="1:4" ht="15" x14ac:dyDescent="0.25">
      <c r="A617" t="s">
        <v>3692</v>
      </c>
      <c r="B617">
        <v>1</v>
      </c>
      <c r="C617">
        <v>40</v>
      </c>
      <c r="D617">
        <v>40</v>
      </c>
    </row>
    <row r="618" spans="1:4" ht="15" x14ac:dyDescent="0.25">
      <c r="A618" t="s">
        <v>3698</v>
      </c>
      <c r="B618">
        <v>8</v>
      </c>
      <c r="C618">
        <v>709</v>
      </c>
      <c r="D618">
        <v>88.625</v>
      </c>
    </row>
    <row r="619" spans="1:4" ht="15" x14ac:dyDescent="0.25">
      <c r="A619" t="s">
        <v>3699</v>
      </c>
      <c r="B619">
        <v>1</v>
      </c>
      <c r="C619">
        <v>48</v>
      </c>
      <c r="D619">
        <v>48</v>
      </c>
    </row>
    <row r="620" spans="1:4" ht="15" x14ac:dyDescent="0.25">
      <c r="A620" t="s">
        <v>3701</v>
      </c>
      <c r="B620">
        <v>1</v>
      </c>
      <c r="C620">
        <v>48</v>
      </c>
      <c r="D620">
        <v>48</v>
      </c>
    </row>
    <row r="621" spans="1:4" ht="15" x14ac:dyDescent="0.25">
      <c r="A621" t="s">
        <v>3702</v>
      </c>
      <c r="B621">
        <v>1</v>
      </c>
      <c r="C621">
        <v>48</v>
      </c>
      <c r="D621">
        <v>48</v>
      </c>
    </row>
    <row r="622" spans="1:4" ht="15" x14ac:dyDescent="0.25">
      <c r="A622" t="s">
        <v>3700</v>
      </c>
      <c r="B622">
        <v>1</v>
      </c>
      <c r="C622">
        <v>48</v>
      </c>
      <c r="D622">
        <v>48</v>
      </c>
    </row>
    <row r="623" spans="1:4" ht="15" x14ac:dyDescent="0.25">
      <c r="A623" t="s">
        <v>3706</v>
      </c>
      <c r="B623">
        <v>33</v>
      </c>
      <c r="C623">
        <v>1744</v>
      </c>
      <c r="D623">
        <v>52.848484848484851</v>
      </c>
    </row>
    <row r="624" spans="1:4" ht="15" x14ac:dyDescent="0.25">
      <c r="A624" t="s">
        <v>3707</v>
      </c>
      <c r="B624">
        <v>1</v>
      </c>
      <c r="C624">
        <v>5</v>
      </c>
      <c r="D624">
        <v>5</v>
      </c>
    </row>
    <row r="625" spans="1:4" ht="15" x14ac:dyDescent="0.25">
      <c r="A625" t="s">
        <v>3709</v>
      </c>
      <c r="B625">
        <v>1</v>
      </c>
      <c r="C625">
        <v>5</v>
      </c>
      <c r="D625">
        <v>5</v>
      </c>
    </row>
    <row r="626" spans="1:4" ht="15" x14ac:dyDescent="0.25">
      <c r="A626" t="s">
        <v>3708</v>
      </c>
      <c r="B626">
        <v>5</v>
      </c>
      <c r="C626">
        <v>188</v>
      </c>
      <c r="D626">
        <v>37.6</v>
      </c>
    </row>
    <row r="627" spans="1:4" ht="15" x14ac:dyDescent="0.25">
      <c r="A627" t="s">
        <v>3716</v>
      </c>
      <c r="B627">
        <v>5</v>
      </c>
      <c r="C627">
        <v>446</v>
      </c>
      <c r="D627">
        <v>89.2</v>
      </c>
    </row>
    <row r="628" spans="1:4" ht="15" x14ac:dyDescent="0.25">
      <c r="A628" t="s">
        <v>3717</v>
      </c>
      <c r="B628">
        <v>5</v>
      </c>
      <c r="C628">
        <v>241</v>
      </c>
      <c r="D628">
        <v>48.2</v>
      </c>
    </row>
    <row r="629" spans="1:4" ht="15" x14ac:dyDescent="0.25">
      <c r="A629" t="s">
        <v>3718</v>
      </c>
      <c r="B629">
        <v>1</v>
      </c>
      <c r="C629">
        <v>54</v>
      </c>
      <c r="D629">
        <v>54</v>
      </c>
    </row>
    <row r="630" spans="1:4" ht="15" x14ac:dyDescent="0.25">
      <c r="A630" t="s">
        <v>3722</v>
      </c>
      <c r="B630">
        <v>4</v>
      </c>
      <c r="C630">
        <v>157</v>
      </c>
      <c r="D630">
        <v>39.25</v>
      </c>
    </row>
    <row r="631" spans="1:4" ht="15" x14ac:dyDescent="0.25">
      <c r="A631" t="s">
        <v>2032</v>
      </c>
      <c r="B631">
        <v>10</v>
      </c>
      <c r="C631">
        <v>585</v>
      </c>
      <c r="D631">
        <v>58.5</v>
      </c>
    </row>
    <row r="632" spans="1:4" ht="15" x14ac:dyDescent="0.25">
      <c r="A632" t="s">
        <v>3725</v>
      </c>
      <c r="B632">
        <v>28</v>
      </c>
      <c r="C632">
        <v>1112</v>
      </c>
      <c r="D632">
        <v>39.714285714285715</v>
      </c>
    </row>
    <row r="633" spans="1:4" ht="15" x14ac:dyDescent="0.25">
      <c r="A633" t="s">
        <v>3727</v>
      </c>
      <c r="B633">
        <v>25</v>
      </c>
      <c r="C633">
        <v>923</v>
      </c>
      <c r="D633">
        <v>36.92</v>
      </c>
    </row>
    <row r="634" spans="1:4" ht="15" x14ac:dyDescent="0.25">
      <c r="A634" t="s">
        <v>3728</v>
      </c>
      <c r="B634">
        <v>24</v>
      </c>
      <c r="C634">
        <v>982</v>
      </c>
      <c r="D634">
        <v>40.916666666666664</v>
      </c>
    </row>
    <row r="635" spans="1:4" ht="15" x14ac:dyDescent="0.25">
      <c r="A635" t="s">
        <v>3726</v>
      </c>
      <c r="B635">
        <v>15</v>
      </c>
      <c r="C635">
        <v>538</v>
      </c>
      <c r="D635">
        <v>35.866666666666667</v>
      </c>
    </row>
    <row r="636" spans="1:4" ht="15" x14ac:dyDescent="0.25">
      <c r="A636" t="s">
        <v>3731</v>
      </c>
      <c r="B636">
        <v>3</v>
      </c>
      <c r="C636">
        <v>183</v>
      </c>
      <c r="D636">
        <v>61</v>
      </c>
    </row>
    <row r="637" spans="1:4" ht="15" x14ac:dyDescent="0.25">
      <c r="A637" t="s">
        <v>3732</v>
      </c>
      <c r="B637">
        <v>1</v>
      </c>
      <c r="C637">
        <v>47</v>
      </c>
      <c r="D637">
        <v>47</v>
      </c>
    </row>
    <row r="638" spans="1:4" ht="15" x14ac:dyDescent="0.25">
      <c r="A638" t="s">
        <v>3733</v>
      </c>
      <c r="B638">
        <v>4</v>
      </c>
      <c r="C638">
        <v>318</v>
      </c>
      <c r="D638">
        <v>79.5</v>
      </c>
    </row>
    <row r="639" spans="1:4" ht="15" x14ac:dyDescent="0.25">
      <c r="A639" t="s">
        <v>3738</v>
      </c>
      <c r="B639">
        <v>6</v>
      </c>
      <c r="C639">
        <v>127</v>
      </c>
      <c r="D639">
        <v>21.166666666666668</v>
      </c>
    </row>
    <row r="640" spans="1:4" ht="15" x14ac:dyDescent="0.25">
      <c r="A640" t="s">
        <v>3739</v>
      </c>
      <c r="B640">
        <v>1</v>
      </c>
      <c r="C640">
        <v>11</v>
      </c>
      <c r="D640">
        <v>11</v>
      </c>
    </row>
    <row r="641" spans="1:4" ht="15" x14ac:dyDescent="0.25">
      <c r="A641" t="s">
        <v>3742</v>
      </c>
      <c r="B641">
        <v>5</v>
      </c>
      <c r="C641">
        <v>435</v>
      </c>
      <c r="D641">
        <v>87</v>
      </c>
    </row>
    <row r="642" spans="1:4" ht="15" x14ac:dyDescent="0.25">
      <c r="A642" t="s">
        <v>3743</v>
      </c>
      <c r="B642">
        <v>1</v>
      </c>
      <c r="C642">
        <v>78</v>
      </c>
      <c r="D642">
        <v>78</v>
      </c>
    </row>
    <row r="643" spans="1:4" ht="15" x14ac:dyDescent="0.25">
      <c r="A643" t="s">
        <v>3749</v>
      </c>
      <c r="B643">
        <v>1</v>
      </c>
      <c r="C643">
        <v>48</v>
      </c>
      <c r="D643">
        <v>48</v>
      </c>
    </row>
    <row r="644" spans="1:4" ht="15" x14ac:dyDescent="0.25">
      <c r="A644" t="s">
        <v>3750</v>
      </c>
      <c r="B644">
        <v>1</v>
      </c>
      <c r="C644">
        <v>48</v>
      </c>
      <c r="D644">
        <v>48</v>
      </c>
    </row>
    <row r="645" spans="1:4" ht="15" x14ac:dyDescent="0.25">
      <c r="A645" t="s">
        <v>3752</v>
      </c>
      <c r="B645">
        <v>1</v>
      </c>
      <c r="C645">
        <v>48</v>
      </c>
      <c r="D645">
        <v>48</v>
      </c>
    </row>
    <row r="646" spans="1:4" ht="15" x14ac:dyDescent="0.25">
      <c r="A646" t="s">
        <v>3753</v>
      </c>
      <c r="B646">
        <v>3</v>
      </c>
      <c r="C646">
        <v>75</v>
      </c>
      <c r="D646">
        <v>25</v>
      </c>
    </row>
    <row r="647" spans="1:4" ht="15" x14ac:dyDescent="0.25">
      <c r="A647" t="s">
        <v>3751</v>
      </c>
      <c r="B647">
        <v>1</v>
      </c>
      <c r="C647">
        <v>48</v>
      </c>
      <c r="D647">
        <v>48</v>
      </c>
    </row>
    <row r="648" spans="1:4" ht="15" x14ac:dyDescent="0.25">
      <c r="A648" t="s">
        <v>3757</v>
      </c>
      <c r="B648">
        <v>21</v>
      </c>
      <c r="C648">
        <v>1977</v>
      </c>
      <c r="D648">
        <v>94.142857142857139</v>
      </c>
    </row>
    <row r="649" spans="1:4" ht="15" x14ac:dyDescent="0.25">
      <c r="A649" t="s">
        <v>3758</v>
      </c>
      <c r="B649">
        <v>11</v>
      </c>
      <c r="C649">
        <v>1327</v>
      </c>
      <c r="D649">
        <v>120.63636363636364</v>
      </c>
    </row>
    <row r="650" spans="1:4" ht="15" x14ac:dyDescent="0.25">
      <c r="A650" t="s">
        <v>3759</v>
      </c>
      <c r="B650">
        <v>17</v>
      </c>
      <c r="C650">
        <v>1769</v>
      </c>
      <c r="D650">
        <v>104.05882352941177</v>
      </c>
    </row>
    <row r="651" spans="1:4" ht="15" x14ac:dyDescent="0.25">
      <c r="A651" t="s">
        <v>3760</v>
      </c>
      <c r="B651">
        <v>19</v>
      </c>
      <c r="C651">
        <v>2960</v>
      </c>
      <c r="D651">
        <v>155.78947368421052</v>
      </c>
    </row>
    <row r="652" spans="1:4" ht="15" x14ac:dyDescent="0.25">
      <c r="A652" t="s">
        <v>3754</v>
      </c>
      <c r="B652">
        <v>14</v>
      </c>
      <c r="C652">
        <v>2528</v>
      </c>
      <c r="D652">
        <v>180.57142857142858</v>
      </c>
    </row>
    <row r="653" spans="1:4" ht="15" x14ac:dyDescent="0.25">
      <c r="A653" t="s">
        <v>3764</v>
      </c>
      <c r="B653">
        <v>22</v>
      </c>
      <c r="C653">
        <v>1462</v>
      </c>
      <c r="D653">
        <v>66.454545454545453</v>
      </c>
    </row>
    <row r="654" spans="1:4" ht="15" x14ac:dyDescent="0.25">
      <c r="A654" t="s">
        <v>3768</v>
      </c>
      <c r="B654">
        <v>15</v>
      </c>
      <c r="C654">
        <v>1651</v>
      </c>
      <c r="D654">
        <v>110.06666666666666</v>
      </c>
    </row>
    <row r="655" spans="1:4" ht="15" x14ac:dyDescent="0.25">
      <c r="A655" t="s">
        <v>3769</v>
      </c>
      <c r="B655">
        <v>3</v>
      </c>
      <c r="C655">
        <v>81</v>
      </c>
      <c r="D655">
        <v>27</v>
      </c>
    </row>
    <row r="656" spans="1:4" ht="15" x14ac:dyDescent="0.25">
      <c r="A656" t="s">
        <v>3770</v>
      </c>
      <c r="B656">
        <v>1</v>
      </c>
      <c r="C656">
        <v>56</v>
      </c>
      <c r="D656">
        <v>56</v>
      </c>
    </row>
    <row r="657" spans="1:4" ht="15" x14ac:dyDescent="0.25">
      <c r="A657" t="s">
        <v>3774</v>
      </c>
      <c r="B657">
        <v>6</v>
      </c>
      <c r="C657">
        <v>239</v>
      </c>
      <c r="D657">
        <v>39.833333333333336</v>
      </c>
    </row>
    <row r="658" spans="1:4" ht="15" x14ac:dyDescent="0.25">
      <c r="A658" t="s">
        <v>3775</v>
      </c>
      <c r="B658">
        <v>2</v>
      </c>
      <c r="C658">
        <v>76</v>
      </c>
      <c r="D658">
        <v>38</v>
      </c>
    </row>
    <row r="659" spans="1:4" ht="15" x14ac:dyDescent="0.25">
      <c r="A659" t="s">
        <v>3776</v>
      </c>
      <c r="B659">
        <v>1</v>
      </c>
      <c r="C659">
        <v>57</v>
      </c>
      <c r="D659">
        <v>57</v>
      </c>
    </row>
    <row r="660" spans="1:4" ht="15" x14ac:dyDescent="0.25">
      <c r="A660" t="s">
        <v>3781</v>
      </c>
      <c r="B660">
        <v>2</v>
      </c>
      <c r="C660">
        <v>62</v>
      </c>
      <c r="D660">
        <v>31</v>
      </c>
    </row>
    <row r="661" spans="1:4" ht="15" x14ac:dyDescent="0.25">
      <c r="A661" t="s">
        <v>3782</v>
      </c>
      <c r="B661">
        <v>1</v>
      </c>
      <c r="C661">
        <v>30</v>
      </c>
      <c r="D661">
        <v>30</v>
      </c>
    </row>
    <row r="662" spans="1:4" ht="15" x14ac:dyDescent="0.25">
      <c r="A662" t="s">
        <v>3783</v>
      </c>
      <c r="B662">
        <v>8</v>
      </c>
      <c r="C662">
        <v>241</v>
      </c>
      <c r="D662">
        <v>30.125</v>
      </c>
    </row>
    <row r="663" spans="1:4" ht="15" x14ac:dyDescent="0.25">
      <c r="A663" t="s">
        <v>3787</v>
      </c>
      <c r="B663">
        <v>1</v>
      </c>
      <c r="C663">
        <v>72</v>
      </c>
      <c r="D663">
        <v>72</v>
      </c>
    </row>
    <row r="664" spans="1:4" ht="15" x14ac:dyDescent="0.25">
      <c r="A664" t="s">
        <v>3791</v>
      </c>
      <c r="B664">
        <v>1</v>
      </c>
      <c r="C664">
        <v>26</v>
      </c>
      <c r="D664">
        <v>26</v>
      </c>
    </row>
    <row r="665" spans="1:4" ht="15" x14ac:dyDescent="0.25">
      <c r="A665" t="s">
        <v>3793</v>
      </c>
      <c r="B665">
        <v>1</v>
      </c>
      <c r="C665">
        <v>26</v>
      </c>
      <c r="D665">
        <v>26</v>
      </c>
    </row>
    <row r="666" spans="1:4" ht="15" x14ac:dyDescent="0.25">
      <c r="A666" t="s">
        <v>3792</v>
      </c>
      <c r="B666">
        <v>1</v>
      </c>
      <c r="C666">
        <v>26</v>
      </c>
      <c r="D666">
        <v>26</v>
      </c>
    </row>
    <row r="667" spans="1:4" ht="15" x14ac:dyDescent="0.25">
      <c r="A667" t="s">
        <v>3797</v>
      </c>
      <c r="B667">
        <v>4</v>
      </c>
      <c r="C667">
        <v>543</v>
      </c>
      <c r="D667">
        <v>135.75</v>
      </c>
    </row>
    <row r="668" spans="1:4" ht="15" x14ac:dyDescent="0.25">
      <c r="A668" t="s">
        <v>3798</v>
      </c>
      <c r="B668">
        <v>1</v>
      </c>
      <c r="C668">
        <v>17</v>
      </c>
      <c r="D668">
        <v>17</v>
      </c>
    </row>
    <row r="669" spans="1:4" ht="15" x14ac:dyDescent="0.25">
      <c r="A669" t="s">
        <v>3803</v>
      </c>
      <c r="B669">
        <v>2</v>
      </c>
      <c r="C669">
        <v>63</v>
      </c>
      <c r="D669">
        <v>31.5</v>
      </c>
    </row>
    <row r="670" spans="1:4" ht="15" x14ac:dyDescent="0.25">
      <c r="A670" t="s">
        <v>3804</v>
      </c>
      <c r="B670">
        <v>15</v>
      </c>
      <c r="C670">
        <v>734</v>
      </c>
      <c r="D670">
        <v>48.93333333333333</v>
      </c>
    </row>
    <row r="671" spans="1:4" ht="15" x14ac:dyDescent="0.25">
      <c r="A671" t="s">
        <v>3806</v>
      </c>
      <c r="B671">
        <v>1</v>
      </c>
      <c r="C671">
        <v>44</v>
      </c>
      <c r="D671">
        <v>44</v>
      </c>
    </row>
    <row r="672" spans="1:4" ht="15" x14ac:dyDescent="0.25">
      <c r="A672" t="s">
        <v>3805</v>
      </c>
      <c r="B672">
        <v>2</v>
      </c>
      <c r="C672">
        <v>44</v>
      </c>
      <c r="D672">
        <v>22</v>
      </c>
    </row>
    <row r="673" spans="1:4" ht="15" x14ac:dyDescent="0.25">
      <c r="A673" t="s">
        <v>3812</v>
      </c>
      <c r="B673">
        <v>1</v>
      </c>
      <c r="C673">
        <v>51</v>
      </c>
      <c r="D673">
        <v>51</v>
      </c>
    </row>
    <row r="674" spans="1:4" ht="15" x14ac:dyDescent="0.25">
      <c r="A674" t="s">
        <v>3814</v>
      </c>
      <c r="B674">
        <v>8</v>
      </c>
      <c r="C674">
        <v>443</v>
      </c>
      <c r="D674">
        <v>55.375</v>
      </c>
    </row>
    <row r="675" spans="1:4" ht="15" x14ac:dyDescent="0.25">
      <c r="A675" t="s">
        <v>3815</v>
      </c>
      <c r="B675">
        <v>14</v>
      </c>
      <c r="C675">
        <v>827</v>
      </c>
      <c r="D675">
        <v>59.071428571428569</v>
      </c>
    </row>
    <row r="676" spans="1:4" ht="15" x14ac:dyDescent="0.25">
      <c r="A676" t="s">
        <v>3813</v>
      </c>
      <c r="B676">
        <v>15</v>
      </c>
      <c r="C676">
        <v>723</v>
      </c>
      <c r="D676">
        <v>48.2</v>
      </c>
    </row>
    <row r="677" spans="1:4" ht="15" x14ac:dyDescent="0.25">
      <c r="A677" t="s">
        <v>3820</v>
      </c>
      <c r="B677">
        <v>1</v>
      </c>
      <c r="C677">
        <v>135</v>
      </c>
      <c r="D677">
        <v>135</v>
      </c>
    </row>
    <row r="678" spans="1:4" ht="15" x14ac:dyDescent="0.25">
      <c r="A678" t="s">
        <v>3821</v>
      </c>
      <c r="B678">
        <v>1</v>
      </c>
      <c r="C678">
        <v>135</v>
      </c>
      <c r="D678">
        <v>135</v>
      </c>
    </row>
    <row r="679" spans="1:4" ht="15" x14ac:dyDescent="0.25">
      <c r="A679" t="s">
        <v>3822</v>
      </c>
      <c r="B679">
        <v>1</v>
      </c>
      <c r="C679">
        <v>135</v>
      </c>
      <c r="D679">
        <v>135</v>
      </c>
    </row>
    <row r="680" spans="1:4" ht="15" x14ac:dyDescent="0.25">
      <c r="A680" t="s">
        <v>3823</v>
      </c>
      <c r="B680">
        <v>1</v>
      </c>
      <c r="C680">
        <v>135</v>
      </c>
      <c r="D680">
        <v>135</v>
      </c>
    </row>
    <row r="681" spans="1:4" ht="15" x14ac:dyDescent="0.25">
      <c r="A681" t="s">
        <v>3828</v>
      </c>
      <c r="B681">
        <v>1</v>
      </c>
      <c r="C681">
        <v>76</v>
      </c>
      <c r="D681">
        <v>76</v>
      </c>
    </row>
    <row r="682" spans="1:4" ht="15" x14ac:dyDescent="0.25">
      <c r="A682" t="s">
        <v>3829</v>
      </c>
      <c r="B682">
        <v>12</v>
      </c>
      <c r="C682">
        <v>519</v>
      </c>
      <c r="D682">
        <v>43.25</v>
      </c>
    </row>
    <row r="683" spans="1:4" ht="15" x14ac:dyDescent="0.25">
      <c r="A683" t="s">
        <v>3834</v>
      </c>
      <c r="B683">
        <v>1</v>
      </c>
      <c r="C683">
        <v>61</v>
      </c>
      <c r="D683">
        <v>61</v>
      </c>
    </row>
    <row r="684" spans="1:4" ht="15" x14ac:dyDescent="0.25">
      <c r="A684" t="s">
        <v>3836</v>
      </c>
      <c r="B684">
        <v>1</v>
      </c>
      <c r="C684">
        <v>61</v>
      </c>
      <c r="D684">
        <v>61</v>
      </c>
    </row>
    <row r="685" spans="1:4" ht="15" x14ac:dyDescent="0.25">
      <c r="A685" t="s">
        <v>3835</v>
      </c>
      <c r="B685">
        <v>1</v>
      </c>
      <c r="C685">
        <v>61</v>
      </c>
      <c r="D685">
        <v>61</v>
      </c>
    </row>
    <row r="686" spans="1:4" ht="15" x14ac:dyDescent="0.25">
      <c r="A686" t="s">
        <v>3840</v>
      </c>
      <c r="B686">
        <v>1</v>
      </c>
      <c r="C686">
        <v>19</v>
      </c>
      <c r="D686">
        <v>19</v>
      </c>
    </row>
    <row r="687" spans="1:4" ht="15" x14ac:dyDescent="0.25">
      <c r="A687" t="s">
        <v>3841</v>
      </c>
      <c r="B687">
        <v>1</v>
      </c>
      <c r="C687">
        <v>19</v>
      </c>
      <c r="D687">
        <v>19</v>
      </c>
    </row>
    <row r="688" spans="1:4" ht="15" x14ac:dyDescent="0.25">
      <c r="A688" t="s">
        <v>3843</v>
      </c>
      <c r="B688">
        <v>15</v>
      </c>
      <c r="C688">
        <v>1145</v>
      </c>
      <c r="D688">
        <v>76.333333333333329</v>
      </c>
    </row>
    <row r="689" spans="1:4" ht="15" x14ac:dyDescent="0.25">
      <c r="A689" t="s">
        <v>3842</v>
      </c>
      <c r="B689">
        <v>1</v>
      </c>
      <c r="C689">
        <v>19</v>
      </c>
      <c r="D689">
        <v>19</v>
      </c>
    </row>
    <row r="690" spans="1:4" ht="15" x14ac:dyDescent="0.25">
      <c r="A690" t="s">
        <v>3849</v>
      </c>
      <c r="B690">
        <v>31</v>
      </c>
      <c r="C690">
        <v>1249</v>
      </c>
      <c r="D690">
        <v>40.29032258064516</v>
      </c>
    </row>
    <row r="691" spans="1:4" ht="15" x14ac:dyDescent="0.25">
      <c r="A691" t="s">
        <v>3850</v>
      </c>
      <c r="B691">
        <v>6</v>
      </c>
      <c r="C691">
        <v>512</v>
      </c>
      <c r="D691">
        <v>85.333333333333329</v>
      </c>
    </row>
    <row r="692" spans="1:4" ht="15" x14ac:dyDescent="0.25">
      <c r="A692" t="s">
        <v>3851</v>
      </c>
      <c r="B692">
        <v>14</v>
      </c>
      <c r="C692">
        <v>610</v>
      </c>
      <c r="D692">
        <v>43.571428571428569</v>
      </c>
    </row>
    <row r="693" spans="1:4" ht="15" x14ac:dyDescent="0.25">
      <c r="A693" t="s">
        <v>3846</v>
      </c>
      <c r="B693">
        <v>2</v>
      </c>
      <c r="C693">
        <v>197</v>
      </c>
      <c r="D693">
        <v>98.5</v>
      </c>
    </row>
    <row r="694" spans="1:4" ht="15" x14ac:dyDescent="0.25">
      <c r="A694" t="s">
        <v>3854</v>
      </c>
      <c r="B694">
        <v>16</v>
      </c>
      <c r="C694">
        <v>515</v>
      </c>
      <c r="D694">
        <v>32.1875</v>
      </c>
    </row>
    <row r="695" spans="1:4" ht="15" x14ac:dyDescent="0.25">
      <c r="A695" t="s">
        <v>3856</v>
      </c>
      <c r="B695">
        <v>20</v>
      </c>
      <c r="C695">
        <v>782</v>
      </c>
      <c r="D695">
        <v>39.1</v>
      </c>
    </row>
    <row r="696" spans="1:4" ht="15" x14ac:dyDescent="0.25">
      <c r="A696" t="s">
        <v>3855</v>
      </c>
      <c r="B696">
        <v>14</v>
      </c>
      <c r="C696">
        <v>560</v>
      </c>
      <c r="D696">
        <v>40</v>
      </c>
    </row>
    <row r="697" spans="1:4" ht="15" x14ac:dyDescent="0.25">
      <c r="A697" t="s">
        <v>3860</v>
      </c>
      <c r="B697">
        <v>2</v>
      </c>
      <c r="C697">
        <v>183</v>
      </c>
      <c r="D697">
        <v>91.5</v>
      </c>
    </row>
    <row r="698" spans="1:4" ht="15" x14ac:dyDescent="0.25">
      <c r="A698" t="s">
        <v>3862</v>
      </c>
      <c r="B698">
        <v>2</v>
      </c>
      <c r="C698">
        <v>53</v>
      </c>
      <c r="D698">
        <v>26.5</v>
      </c>
    </row>
    <row r="699" spans="1:4" ht="15" x14ac:dyDescent="0.25">
      <c r="A699" t="s">
        <v>3861</v>
      </c>
      <c r="B699">
        <v>3</v>
      </c>
      <c r="C699">
        <v>103</v>
      </c>
      <c r="D699">
        <v>34.333333333333336</v>
      </c>
    </row>
    <row r="700" spans="1:4" ht="15" x14ac:dyDescent="0.25">
      <c r="A700" t="s">
        <v>3867</v>
      </c>
      <c r="B700">
        <v>1</v>
      </c>
      <c r="C700">
        <v>121</v>
      </c>
      <c r="D700">
        <v>121</v>
      </c>
    </row>
    <row r="701" spans="1:4" ht="15" x14ac:dyDescent="0.25">
      <c r="A701" t="s">
        <v>3869</v>
      </c>
      <c r="B701">
        <v>1</v>
      </c>
      <c r="C701">
        <v>121</v>
      </c>
      <c r="D701">
        <v>121</v>
      </c>
    </row>
    <row r="702" spans="1:4" ht="15" x14ac:dyDescent="0.25">
      <c r="A702" t="s">
        <v>3870</v>
      </c>
      <c r="B702">
        <v>1</v>
      </c>
      <c r="C702">
        <v>121</v>
      </c>
      <c r="D702">
        <v>121</v>
      </c>
    </row>
    <row r="703" spans="1:4" ht="15" x14ac:dyDescent="0.25">
      <c r="A703" t="s">
        <v>3868</v>
      </c>
      <c r="B703">
        <v>1</v>
      </c>
      <c r="C703">
        <v>121</v>
      </c>
      <c r="D703">
        <v>121</v>
      </c>
    </row>
    <row r="704" spans="1:4" ht="15" x14ac:dyDescent="0.25">
      <c r="A704" t="s">
        <v>3875</v>
      </c>
      <c r="B704">
        <v>1</v>
      </c>
      <c r="C704">
        <v>15</v>
      </c>
      <c r="D704">
        <v>15</v>
      </c>
    </row>
    <row r="705" spans="1:4" ht="15" x14ac:dyDescent="0.25">
      <c r="A705" t="s">
        <v>3876</v>
      </c>
      <c r="B705">
        <v>1</v>
      </c>
      <c r="C705">
        <v>15</v>
      </c>
      <c r="D705">
        <v>15</v>
      </c>
    </row>
    <row r="706" spans="1:4" ht="15" x14ac:dyDescent="0.25">
      <c r="A706" t="s">
        <v>3878</v>
      </c>
      <c r="B706">
        <v>1</v>
      </c>
      <c r="C706">
        <v>15</v>
      </c>
      <c r="D706">
        <v>15</v>
      </c>
    </row>
    <row r="707" spans="1:4" ht="15" x14ac:dyDescent="0.25">
      <c r="A707" t="s">
        <v>3879</v>
      </c>
      <c r="B707">
        <v>1</v>
      </c>
      <c r="C707">
        <v>15</v>
      </c>
      <c r="D707">
        <v>15</v>
      </c>
    </row>
    <row r="708" spans="1:4" ht="15" x14ac:dyDescent="0.25">
      <c r="A708" t="s">
        <v>3877</v>
      </c>
      <c r="B708">
        <v>1</v>
      </c>
      <c r="C708">
        <v>15</v>
      </c>
      <c r="D708">
        <v>15</v>
      </c>
    </row>
    <row r="709" spans="1:4" ht="15" x14ac:dyDescent="0.25">
      <c r="A709" t="s">
        <v>3884</v>
      </c>
      <c r="B709">
        <v>1</v>
      </c>
      <c r="C709">
        <v>7</v>
      </c>
      <c r="D709">
        <v>7</v>
      </c>
    </row>
    <row r="710" spans="1:4" ht="15" x14ac:dyDescent="0.25">
      <c r="A710" t="s">
        <v>3886</v>
      </c>
      <c r="B710">
        <v>1</v>
      </c>
      <c r="C710">
        <v>7</v>
      </c>
      <c r="D710">
        <v>7</v>
      </c>
    </row>
    <row r="711" spans="1:4" ht="15" x14ac:dyDescent="0.25">
      <c r="A711" t="s">
        <v>3885</v>
      </c>
      <c r="B711">
        <v>13</v>
      </c>
      <c r="C711">
        <v>600</v>
      </c>
      <c r="D711">
        <v>46.153846153846153</v>
      </c>
    </row>
    <row r="712" spans="1:4" ht="15" x14ac:dyDescent="0.25">
      <c r="A712" t="s">
        <v>3890</v>
      </c>
      <c r="B712">
        <v>1</v>
      </c>
      <c r="C712">
        <v>38</v>
      </c>
      <c r="D712">
        <v>38</v>
      </c>
    </row>
    <row r="713" spans="1:4" ht="15" x14ac:dyDescent="0.25">
      <c r="A713" t="s">
        <v>3891</v>
      </c>
      <c r="B713">
        <v>1</v>
      </c>
      <c r="C713">
        <v>38</v>
      </c>
      <c r="D713">
        <v>38</v>
      </c>
    </row>
    <row r="714" spans="1:4" ht="15" x14ac:dyDescent="0.25">
      <c r="A714" t="s">
        <v>3893</v>
      </c>
      <c r="B714">
        <v>1</v>
      </c>
      <c r="C714">
        <v>38</v>
      </c>
      <c r="D714">
        <v>38</v>
      </c>
    </row>
    <row r="715" spans="1:4" ht="15" x14ac:dyDescent="0.25">
      <c r="A715" t="s">
        <v>3894</v>
      </c>
      <c r="B715">
        <v>1</v>
      </c>
      <c r="C715">
        <v>38</v>
      </c>
      <c r="D715">
        <v>38</v>
      </c>
    </row>
    <row r="716" spans="1:4" ht="15" x14ac:dyDescent="0.25">
      <c r="A716" t="s">
        <v>3892</v>
      </c>
      <c r="B716">
        <v>1</v>
      </c>
      <c r="C716">
        <v>38</v>
      </c>
      <c r="D716">
        <v>38</v>
      </c>
    </row>
    <row r="717" spans="1:4" ht="15" x14ac:dyDescent="0.25">
      <c r="A717" t="s">
        <v>3899</v>
      </c>
      <c r="B717">
        <v>10</v>
      </c>
      <c r="C717">
        <v>924</v>
      </c>
      <c r="D717">
        <v>92.4</v>
      </c>
    </row>
    <row r="718" spans="1:4" ht="15" x14ac:dyDescent="0.25">
      <c r="A718" t="s">
        <v>3900</v>
      </c>
      <c r="B718">
        <v>5</v>
      </c>
      <c r="C718">
        <v>446</v>
      </c>
      <c r="D718">
        <v>89.2</v>
      </c>
    </row>
    <row r="719" spans="1:4" ht="15" x14ac:dyDescent="0.25">
      <c r="A719" t="s">
        <v>3902</v>
      </c>
      <c r="B719">
        <v>7</v>
      </c>
      <c r="C719">
        <v>447</v>
      </c>
      <c r="D719">
        <v>63.857142857142854</v>
      </c>
    </row>
    <row r="720" spans="1:4" ht="15" x14ac:dyDescent="0.25">
      <c r="A720" t="s">
        <v>3903</v>
      </c>
      <c r="B720">
        <v>7</v>
      </c>
      <c r="C720">
        <v>612</v>
      </c>
      <c r="D720">
        <v>87.428571428571431</v>
      </c>
    </row>
    <row r="721" spans="1:4" ht="15" x14ac:dyDescent="0.25">
      <c r="A721" t="s">
        <v>3901</v>
      </c>
      <c r="B721">
        <v>12</v>
      </c>
      <c r="C721">
        <v>938</v>
      </c>
      <c r="D721">
        <v>78.166666666666671</v>
      </c>
    </row>
    <row r="722" spans="1:4" ht="15" x14ac:dyDescent="0.25">
      <c r="A722" t="s">
        <v>3907</v>
      </c>
      <c r="B722">
        <v>3</v>
      </c>
      <c r="C722">
        <v>60</v>
      </c>
      <c r="D722">
        <v>20</v>
      </c>
    </row>
    <row r="723" spans="1:4" ht="15" x14ac:dyDescent="0.25">
      <c r="A723" t="s">
        <v>3908</v>
      </c>
      <c r="B723">
        <v>1</v>
      </c>
      <c r="C723">
        <v>24</v>
      </c>
      <c r="D723">
        <v>24</v>
      </c>
    </row>
    <row r="724" spans="1:4" ht="15" x14ac:dyDescent="0.25">
      <c r="A724" t="s">
        <v>3912</v>
      </c>
      <c r="B724">
        <v>3</v>
      </c>
      <c r="C724">
        <v>285</v>
      </c>
      <c r="D724">
        <v>95</v>
      </c>
    </row>
    <row r="725" spans="1:4" ht="15" x14ac:dyDescent="0.25">
      <c r="A725" t="s">
        <v>3914</v>
      </c>
      <c r="B725">
        <v>1</v>
      </c>
      <c r="C725">
        <v>84</v>
      </c>
      <c r="D725">
        <v>84</v>
      </c>
    </row>
    <row r="726" spans="1:4" ht="15" x14ac:dyDescent="0.25">
      <c r="A726" t="s">
        <v>3915</v>
      </c>
      <c r="B726">
        <v>11</v>
      </c>
      <c r="C726">
        <v>1089</v>
      </c>
      <c r="D726">
        <v>99</v>
      </c>
    </row>
    <row r="727" spans="1:4" ht="15" x14ac:dyDescent="0.25">
      <c r="A727" t="s">
        <v>3913</v>
      </c>
      <c r="B727">
        <v>1</v>
      </c>
      <c r="C727">
        <v>84</v>
      </c>
      <c r="D727">
        <v>84</v>
      </c>
    </row>
    <row r="728" spans="1:4" ht="15" x14ac:dyDescent="0.25">
      <c r="A728" t="s">
        <v>3920</v>
      </c>
      <c r="B728">
        <v>2</v>
      </c>
      <c r="C728">
        <v>72</v>
      </c>
      <c r="D728">
        <v>36</v>
      </c>
    </row>
    <row r="729" spans="1:4" ht="15" x14ac:dyDescent="0.25">
      <c r="A729" t="s">
        <v>3921</v>
      </c>
      <c r="B729">
        <v>1</v>
      </c>
      <c r="C729">
        <v>41</v>
      </c>
      <c r="D729">
        <v>41</v>
      </c>
    </row>
    <row r="730" spans="1:4" ht="15" x14ac:dyDescent="0.25">
      <c r="A730" t="s">
        <v>3922</v>
      </c>
      <c r="B730">
        <v>1</v>
      </c>
      <c r="C730">
        <v>41</v>
      </c>
      <c r="D730">
        <v>41</v>
      </c>
    </row>
    <row r="731" spans="1:4" ht="15" x14ac:dyDescent="0.25">
      <c r="A731" t="s">
        <v>3923</v>
      </c>
      <c r="B731">
        <v>1</v>
      </c>
      <c r="C731">
        <v>41</v>
      </c>
      <c r="D731">
        <v>41</v>
      </c>
    </row>
    <row r="732" spans="1:4" ht="15" x14ac:dyDescent="0.25">
      <c r="A732" t="s">
        <v>3927</v>
      </c>
      <c r="B732">
        <v>2</v>
      </c>
      <c r="C732">
        <v>170</v>
      </c>
      <c r="D732">
        <v>85</v>
      </c>
    </row>
    <row r="733" spans="1:4" ht="15" x14ac:dyDescent="0.25">
      <c r="A733" t="s">
        <v>3928</v>
      </c>
      <c r="B733">
        <v>1</v>
      </c>
      <c r="C733">
        <v>37</v>
      </c>
      <c r="D733">
        <v>37</v>
      </c>
    </row>
    <row r="734" spans="1:4" ht="15" x14ac:dyDescent="0.25">
      <c r="A734" t="s">
        <v>3929</v>
      </c>
      <c r="B734">
        <v>1</v>
      </c>
      <c r="C734">
        <v>37</v>
      </c>
      <c r="D734">
        <v>37</v>
      </c>
    </row>
    <row r="735" spans="1:4" ht="15" x14ac:dyDescent="0.25">
      <c r="A735" t="s">
        <v>3930</v>
      </c>
      <c r="B735">
        <v>2</v>
      </c>
      <c r="C735">
        <v>72</v>
      </c>
      <c r="D735">
        <v>36</v>
      </c>
    </row>
    <row r="736" spans="1:4" ht="15" x14ac:dyDescent="0.25">
      <c r="A736" t="s">
        <v>3935</v>
      </c>
      <c r="B736">
        <v>1</v>
      </c>
      <c r="C736">
        <v>56</v>
      </c>
      <c r="D736">
        <v>56</v>
      </c>
    </row>
    <row r="737" spans="1:4" ht="15" x14ac:dyDescent="0.25">
      <c r="A737" t="s">
        <v>3936</v>
      </c>
      <c r="B737">
        <v>26</v>
      </c>
      <c r="C737">
        <v>1322</v>
      </c>
      <c r="D737">
        <v>50.846153846153847</v>
      </c>
    </row>
    <row r="738" spans="1:4" ht="15" x14ac:dyDescent="0.25">
      <c r="A738" t="s">
        <v>3938</v>
      </c>
      <c r="B738">
        <v>2</v>
      </c>
      <c r="C738">
        <v>136</v>
      </c>
      <c r="D738">
        <v>68</v>
      </c>
    </row>
    <row r="739" spans="1:4" ht="15" x14ac:dyDescent="0.25">
      <c r="A739" t="s">
        <v>3939</v>
      </c>
      <c r="B739">
        <v>2</v>
      </c>
      <c r="C739">
        <v>168</v>
      </c>
      <c r="D739">
        <v>84</v>
      </c>
    </row>
    <row r="740" spans="1:4" ht="15" x14ac:dyDescent="0.25">
      <c r="A740" t="s">
        <v>3937</v>
      </c>
      <c r="B740">
        <v>20</v>
      </c>
      <c r="C740">
        <v>626</v>
      </c>
      <c r="D740">
        <v>31.3</v>
      </c>
    </row>
    <row r="741" spans="1:4" ht="15" x14ac:dyDescent="0.25">
      <c r="A741" t="s">
        <v>3944</v>
      </c>
      <c r="B741">
        <v>1</v>
      </c>
      <c r="C741">
        <v>109</v>
      </c>
      <c r="D741">
        <v>109</v>
      </c>
    </row>
    <row r="742" spans="1:4" ht="15" x14ac:dyDescent="0.25">
      <c r="A742" t="s">
        <v>3945</v>
      </c>
      <c r="B742">
        <v>15</v>
      </c>
      <c r="C742">
        <v>722</v>
      </c>
      <c r="D742">
        <v>48.133333333333333</v>
      </c>
    </row>
    <row r="743" spans="1:4" ht="15" x14ac:dyDescent="0.25">
      <c r="A743" t="s">
        <v>3947</v>
      </c>
      <c r="B743">
        <v>1</v>
      </c>
      <c r="C743">
        <v>109</v>
      </c>
      <c r="D743">
        <v>109</v>
      </c>
    </row>
    <row r="744" spans="1:4" ht="15" x14ac:dyDescent="0.25">
      <c r="A744" t="s">
        <v>3948</v>
      </c>
      <c r="B744">
        <v>1</v>
      </c>
      <c r="C744">
        <v>109</v>
      </c>
      <c r="D744">
        <v>109</v>
      </c>
    </row>
    <row r="745" spans="1:4" ht="15" x14ac:dyDescent="0.25">
      <c r="A745" t="s">
        <v>3946</v>
      </c>
      <c r="B745">
        <v>8</v>
      </c>
      <c r="C745">
        <v>491</v>
      </c>
      <c r="D745">
        <v>61.375</v>
      </c>
    </row>
    <row r="746" spans="1:4" ht="15" x14ac:dyDescent="0.25">
      <c r="A746" t="s">
        <v>3952</v>
      </c>
      <c r="B746">
        <v>26</v>
      </c>
      <c r="C746">
        <v>959</v>
      </c>
      <c r="D746">
        <v>36.884615384615387</v>
      </c>
    </row>
    <row r="747" spans="1:4" ht="15" x14ac:dyDescent="0.25">
      <c r="A747" t="s">
        <v>3953</v>
      </c>
      <c r="B747">
        <v>4</v>
      </c>
      <c r="C747">
        <v>107</v>
      </c>
      <c r="D747">
        <v>26.75</v>
      </c>
    </row>
    <row r="748" spans="1:4" ht="15" x14ac:dyDescent="0.25">
      <c r="A748" t="s">
        <v>3955</v>
      </c>
      <c r="B748">
        <v>2</v>
      </c>
      <c r="C748">
        <v>68</v>
      </c>
      <c r="D748">
        <v>34</v>
      </c>
    </row>
    <row r="749" spans="1:4" ht="15" x14ac:dyDescent="0.25">
      <c r="A749" t="s">
        <v>3956</v>
      </c>
      <c r="B749">
        <v>7</v>
      </c>
      <c r="C749">
        <v>229</v>
      </c>
      <c r="D749">
        <v>32.714285714285715</v>
      </c>
    </row>
    <row r="750" spans="1:4" ht="15" x14ac:dyDescent="0.25">
      <c r="A750" t="s">
        <v>3954</v>
      </c>
      <c r="B750">
        <v>1</v>
      </c>
      <c r="C750">
        <v>30</v>
      </c>
      <c r="D750">
        <v>30</v>
      </c>
    </row>
    <row r="751" spans="1:4" ht="15" x14ac:dyDescent="0.25">
      <c r="A751" t="s">
        <v>3962</v>
      </c>
      <c r="B751">
        <v>12</v>
      </c>
      <c r="C751">
        <v>603</v>
      </c>
      <c r="D751">
        <v>50.25</v>
      </c>
    </row>
    <row r="752" spans="1:4" ht="15" x14ac:dyDescent="0.25">
      <c r="A752" t="s">
        <v>3963</v>
      </c>
      <c r="B752">
        <v>1</v>
      </c>
      <c r="C752">
        <v>35</v>
      </c>
      <c r="D752">
        <v>35</v>
      </c>
    </row>
    <row r="753" spans="1:4" ht="15" x14ac:dyDescent="0.25">
      <c r="A753" t="s">
        <v>3965</v>
      </c>
      <c r="B753">
        <v>3</v>
      </c>
      <c r="C753">
        <v>228</v>
      </c>
      <c r="D753">
        <v>76</v>
      </c>
    </row>
    <row r="754" spans="1:4" ht="15" x14ac:dyDescent="0.25">
      <c r="A754" t="s">
        <v>3964</v>
      </c>
      <c r="B754">
        <v>1</v>
      </c>
      <c r="C754">
        <v>35</v>
      </c>
      <c r="D754">
        <v>35</v>
      </c>
    </row>
    <row r="755" spans="1:4" ht="15" x14ac:dyDescent="0.25">
      <c r="A755" t="s">
        <v>3968</v>
      </c>
      <c r="B755">
        <v>14</v>
      </c>
      <c r="C755">
        <v>297</v>
      </c>
      <c r="D755">
        <v>21.214285714285715</v>
      </c>
    </row>
    <row r="756" spans="1:4" ht="15" x14ac:dyDescent="0.25">
      <c r="A756" t="s">
        <v>3970</v>
      </c>
      <c r="B756">
        <v>13</v>
      </c>
      <c r="C756">
        <v>326</v>
      </c>
      <c r="D756">
        <v>25.076923076923077</v>
      </c>
    </row>
    <row r="757" spans="1:4" ht="15" x14ac:dyDescent="0.25">
      <c r="A757" t="s">
        <v>3969</v>
      </c>
      <c r="B757">
        <v>10</v>
      </c>
      <c r="C757">
        <v>256</v>
      </c>
      <c r="D757">
        <v>25.6</v>
      </c>
    </row>
    <row r="758" spans="1:4" ht="15" x14ac:dyDescent="0.25">
      <c r="A758" t="s">
        <v>3975</v>
      </c>
      <c r="B758">
        <v>1</v>
      </c>
      <c r="C758">
        <v>11</v>
      </c>
      <c r="D758">
        <v>11</v>
      </c>
    </row>
    <row r="759" spans="1:4" ht="15" x14ac:dyDescent="0.25">
      <c r="A759" t="s">
        <v>3976</v>
      </c>
      <c r="B759">
        <v>1</v>
      </c>
      <c r="C759">
        <v>11</v>
      </c>
      <c r="D759">
        <v>11</v>
      </c>
    </row>
    <row r="760" spans="1:4" ht="15" x14ac:dyDescent="0.25">
      <c r="A760" t="s">
        <v>3978</v>
      </c>
      <c r="B760">
        <v>1</v>
      </c>
      <c r="C760">
        <v>11</v>
      </c>
      <c r="D760">
        <v>11</v>
      </c>
    </row>
    <row r="761" spans="1:4" ht="15" x14ac:dyDescent="0.25">
      <c r="A761" t="s">
        <v>3977</v>
      </c>
      <c r="B761">
        <v>1</v>
      </c>
      <c r="C761">
        <v>11</v>
      </c>
      <c r="D761">
        <v>11</v>
      </c>
    </row>
    <row r="762" spans="1:4" ht="15" x14ac:dyDescent="0.25">
      <c r="A762" t="s">
        <v>3982</v>
      </c>
      <c r="B762">
        <v>66</v>
      </c>
      <c r="C762">
        <v>4094</v>
      </c>
      <c r="D762">
        <v>62.030303030303031</v>
      </c>
    </row>
    <row r="763" spans="1:4" ht="15" x14ac:dyDescent="0.25">
      <c r="A763" t="s">
        <v>3983</v>
      </c>
      <c r="B763">
        <v>3</v>
      </c>
      <c r="C763">
        <v>103</v>
      </c>
      <c r="D763">
        <v>34.333333333333336</v>
      </c>
    </row>
    <row r="764" spans="1:4" ht="15" x14ac:dyDescent="0.25">
      <c r="A764" t="s">
        <v>3985</v>
      </c>
      <c r="B764">
        <v>1</v>
      </c>
      <c r="C764">
        <v>53</v>
      </c>
      <c r="D764">
        <v>53</v>
      </c>
    </row>
    <row r="765" spans="1:4" ht="15" x14ac:dyDescent="0.25">
      <c r="A765" t="s">
        <v>3986</v>
      </c>
      <c r="B765">
        <v>4</v>
      </c>
      <c r="C765">
        <v>133</v>
      </c>
      <c r="D765">
        <v>33.25</v>
      </c>
    </row>
    <row r="766" spans="1:4" ht="15" x14ac:dyDescent="0.25">
      <c r="A766" t="s">
        <v>3984</v>
      </c>
      <c r="B766">
        <v>1</v>
      </c>
      <c r="C766">
        <v>53</v>
      </c>
      <c r="D766">
        <v>53</v>
      </c>
    </row>
    <row r="767" spans="1:4" ht="15" x14ac:dyDescent="0.25">
      <c r="A767" t="s">
        <v>3990</v>
      </c>
      <c r="B767">
        <v>5</v>
      </c>
      <c r="C767">
        <v>156</v>
      </c>
      <c r="D767">
        <v>31.2</v>
      </c>
    </row>
    <row r="768" spans="1:4" ht="15" x14ac:dyDescent="0.25">
      <c r="A768" t="s">
        <v>3991</v>
      </c>
      <c r="B768">
        <v>4</v>
      </c>
      <c r="C768">
        <v>232</v>
      </c>
      <c r="D768">
        <v>58</v>
      </c>
    </row>
    <row r="769" spans="1:4" ht="15" x14ac:dyDescent="0.25">
      <c r="A769" t="s">
        <v>3992</v>
      </c>
      <c r="B769">
        <v>1</v>
      </c>
      <c r="C769">
        <v>91</v>
      </c>
      <c r="D769">
        <v>91</v>
      </c>
    </row>
    <row r="770" spans="1:4" ht="15" x14ac:dyDescent="0.25">
      <c r="A770" t="s">
        <v>3996</v>
      </c>
      <c r="B770">
        <v>10</v>
      </c>
      <c r="C770">
        <v>5246</v>
      </c>
      <c r="D770">
        <v>524.6</v>
      </c>
    </row>
    <row r="771" spans="1:4" ht="15" x14ac:dyDescent="0.25">
      <c r="A771" t="s">
        <v>3997</v>
      </c>
      <c r="B771">
        <v>6</v>
      </c>
      <c r="C771">
        <v>4004</v>
      </c>
      <c r="D771">
        <v>667.33333333333337</v>
      </c>
    </row>
    <row r="772" spans="1:4" ht="15" x14ac:dyDescent="0.25">
      <c r="A772" t="s">
        <v>3999</v>
      </c>
      <c r="B772">
        <v>2</v>
      </c>
      <c r="C772">
        <v>1183</v>
      </c>
      <c r="D772">
        <v>591.5</v>
      </c>
    </row>
    <row r="773" spans="1:4" ht="15" x14ac:dyDescent="0.25">
      <c r="A773" t="s">
        <v>4000</v>
      </c>
      <c r="B773">
        <v>6</v>
      </c>
      <c r="C773">
        <v>6677</v>
      </c>
      <c r="D773">
        <v>1112.8333333333333</v>
      </c>
    </row>
    <row r="774" spans="1:4" ht="15" x14ac:dyDescent="0.25">
      <c r="A774" t="s">
        <v>3998</v>
      </c>
      <c r="B774">
        <v>6</v>
      </c>
      <c r="C774">
        <v>2632</v>
      </c>
      <c r="D774">
        <v>438.66666666666669</v>
      </c>
    </row>
    <row r="775" spans="1:4" ht="15" x14ac:dyDescent="0.25">
      <c r="A775" t="s">
        <v>4004</v>
      </c>
      <c r="B775">
        <v>1</v>
      </c>
      <c r="C775">
        <v>16</v>
      </c>
      <c r="D775">
        <v>16</v>
      </c>
    </row>
    <row r="776" spans="1:4" ht="15" x14ac:dyDescent="0.25">
      <c r="A776" t="s">
        <v>4006</v>
      </c>
      <c r="B776">
        <v>1</v>
      </c>
      <c r="C776">
        <v>16</v>
      </c>
      <c r="D776">
        <v>16</v>
      </c>
    </row>
    <row r="777" spans="1:4" ht="15" x14ac:dyDescent="0.25">
      <c r="A777" t="s">
        <v>4005</v>
      </c>
      <c r="B777">
        <v>1</v>
      </c>
      <c r="C777">
        <v>16</v>
      </c>
      <c r="D777">
        <v>16</v>
      </c>
    </row>
    <row r="778" spans="1:4" ht="15" x14ac:dyDescent="0.25">
      <c r="A778" t="s">
        <v>4010</v>
      </c>
      <c r="B778">
        <v>1</v>
      </c>
      <c r="C778">
        <v>18</v>
      </c>
      <c r="D778">
        <v>18</v>
      </c>
    </row>
    <row r="779" spans="1:4" ht="15" x14ac:dyDescent="0.25">
      <c r="A779" t="s">
        <v>4011</v>
      </c>
      <c r="B779">
        <v>2</v>
      </c>
      <c r="C779">
        <v>104</v>
      </c>
      <c r="D779">
        <v>52</v>
      </c>
    </row>
    <row r="780" spans="1:4" ht="15" x14ac:dyDescent="0.25">
      <c r="A780" t="s">
        <v>4012</v>
      </c>
      <c r="B780">
        <v>5</v>
      </c>
      <c r="C780">
        <v>72</v>
      </c>
      <c r="D780">
        <v>14.4</v>
      </c>
    </row>
    <row r="781" spans="1:4" ht="15" x14ac:dyDescent="0.25">
      <c r="A781" t="s">
        <v>4016</v>
      </c>
      <c r="B781">
        <v>1</v>
      </c>
      <c r="C781">
        <v>32</v>
      </c>
      <c r="D781">
        <v>32</v>
      </c>
    </row>
    <row r="782" spans="1:4" ht="15" x14ac:dyDescent="0.25">
      <c r="A782" t="s">
        <v>3777</v>
      </c>
      <c r="B782">
        <v>1</v>
      </c>
      <c r="C782">
        <v>32</v>
      </c>
      <c r="D782">
        <v>32</v>
      </c>
    </row>
    <row r="783" spans="1:4" ht="15" x14ac:dyDescent="0.25">
      <c r="A783" t="s">
        <v>4017</v>
      </c>
      <c r="B783">
        <v>3</v>
      </c>
      <c r="C783">
        <v>80</v>
      </c>
      <c r="D783">
        <v>26.666666666666668</v>
      </c>
    </row>
    <row r="784" spans="1:4" ht="15" x14ac:dyDescent="0.25">
      <c r="A784" t="s">
        <v>4025</v>
      </c>
      <c r="B784">
        <v>1</v>
      </c>
      <c r="C784">
        <v>24</v>
      </c>
      <c r="D784">
        <v>24</v>
      </c>
    </row>
    <row r="785" spans="1:4" ht="15" x14ac:dyDescent="0.25">
      <c r="A785" t="s">
        <v>4027</v>
      </c>
      <c r="B785">
        <v>1</v>
      </c>
      <c r="C785">
        <v>24</v>
      </c>
      <c r="D785">
        <v>24</v>
      </c>
    </row>
    <row r="786" spans="1:4" ht="15" x14ac:dyDescent="0.25">
      <c r="A786" t="s">
        <v>4026</v>
      </c>
      <c r="B786">
        <v>16</v>
      </c>
      <c r="C786">
        <v>1594</v>
      </c>
      <c r="D786">
        <v>99.625</v>
      </c>
    </row>
    <row r="787" spans="1:4" ht="15" x14ac:dyDescent="0.25">
      <c r="A787" t="s">
        <v>4032</v>
      </c>
      <c r="B787">
        <v>1</v>
      </c>
      <c r="C787">
        <v>75</v>
      </c>
      <c r="D787">
        <v>75</v>
      </c>
    </row>
    <row r="788" spans="1:4" ht="15" x14ac:dyDescent="0.25">
      <c r="A788" t="s">
        <v>4033</v>
      </c>
      <c r="B788">
        <v>1</v>
      </c>
      <c r="C788">
        <v>75</v>
      </c>
      <c r="D788">
        <v>75</v>
      </c>
    </row>
    <row r="789" spans="1:4" ht="15" x14ac:dyDescent="0.25">
      <c r="A789" t="s">
        <v>4035</v>
      </c>
      <c r="B789">
        <v>1</v>
      </c>
      <c r="C789">
        <v>75</v>
      </c>
      <c r="D789">
        <v>75</v>
      </c>
    </row>
    <row r="790" spans="1:4" ht="15" x14ac:dyDescent="0.25">
      <c r="A790" t="s">
        <v>4036</v>
      </c>
      <c r="B790">
        <v>8</v>
      </c>
      <c r="C790">
        <v>417</v>
      </c>
      <c r="D790">
        <v>52.125</v>
      </c>
    </row>
    <row r="791" spans="1:4" ht="15" x14ac:dyDescent="0.25">
      <c r="A791" t="s">
        <v>4034</v>
      </c>
      <c r="B791">
        <v>1</v>
      </c>
      <c r="C791">
        <v>75</v>
      </c>
      <c r="D791">
        <v>75</v>
      </c>
    </row>
    <row r="792" spans="1:4" ht="15" x14ac:dyDescent="0.25">
      <c r="A792" t="s">
        <v>4040</v>
      </c>
      <c r="B792">
        <v>1</v>
      </c>
      <c r="C792">
        <v>26</v>
      </c>
      <c r="D792">
        <v>26</v>
      </c>
    </row>
    <row r="793" spans="1:4" ht="15" x14ac:dyDescent="0.25">
      <c r="A793" t="s">
        <v>4042</v>
      </c>
      <c r="B793">
        <v>16</v>
      </c>
      <c r="C793">
        <v>593</v>
      </c>
      <c r="D793">
        <v>37.0625</v>
      </c>
    </row>
    <row r="794" spans="1:4" ht="15" x14ac:dyDescent="0.25">
      <c r="A794" t="s">
        <v>4043</v>
      </c>
      <c r="B794">
        <v>2</v>
      </c>
      <c r="C794">
        <v>100</v>
      </c>
      <c r="D794">
        <v>50</v>
      </c>
    </row>
    <row r="795" spans="1:4" ht="15" x14ac:dyDescent="0.25">
      <c r="A795" t="s">
        <v>4041</v>
      </c>
      <c r="B795">
        <v>4</v>
      </c>
      <c r="C795">
        <v>107</v>
      </c>
      <c r="D795">
        <v>26.75</v>
      </c>
    </row>
    <row r="796" spans="1:4" ht="15" x14ac:dyDescent="0.25">
      <c r="A796" t="s">
        <v>4048</v>
      </c>
      <c r="B796">
        <v>4</v>
      </c>
      <c r="C796">
        <v>187</v>
      </c>
      <c r="D796">
        <v>46.75</v>
      </c>
    </row>
    <row r="797" spans="1:4" ht="15" x14ac:dyDescent="0.25">
      <c r="A797" t="s">
        <v>4054</v>
      </c>
      <c r="B797">
        <v>1</v>
      </c>
      <c r="C797">
        <v>12</v>
      </c>
      <c r="D797">
        <v>12</v>
      </c>
    </row>
    <row r="798" spans="1:4" ht="15" x14ac:dyDescent="0.25">
      <c r="A798" t="s">
        <v>4055</v>
      </c>
      <c r="B798">
        <v>1</v>
      </c>
      <c r="C798">
        <v>12</v>
      </c>
      <c r="D798">
        <v>12</v>
      </c>
    </row>
    <row r="799" spans="1:4" ht="15" x14ac:dyDescent="0.25">
      <c r="A799" t="s">
        <v>4057</v>
      </c>
      <c r="B799">
        <v>1</v>
      </c>
      <c r="C799">
        <v>12</v>
      </c>
      <c r="D799">
        <v>12</v>
      </c>
    </row>
    <row r="800" spans="1:4" ht="15" x14ac:dyDescent="0.25">
      <c r="A800" t="s">
        <v>4058</v>
      </c>
      <c r="B800">
        <v>3</v>
      </c>
      <c r="C800">
        <v>67</v>
      </c>
      <c r="D800">
        <v>22.333333333333332</v>
      </c>
    </row>
    <row r="801" spans="1:4" ht="15" x14ac:dyDescent="0.25">
      <c r="A801" t="s">
        <v>4056</v>
      </c>
      <c r="B801">
        <v>1</v>
      </c>
      <c r="C801">
        <v>12</v>
      </c>
      <c r="D801">
        <v>12</v>
      </c>
    </row>
    <row r="802" spans="1:4" ht="15" x14ac:dyDescent="0.25">
      <c r="A802" t="s">
        <v>4064</v>
      </c>
      <c r="B802">
        <v>1</v>
      </c>
      <c r="C802">
        <v>402</v>
      </c>
      <c r="D802">
        <v>402</v>
      </c>
    </row>
    <row r="803" spans="1:4" ht="15" x14ac:dyDescent="0.25">
      <c r="A803" t="s">
        <v>4065</v>
      </c>
      <c r="B803">
        <v>1</v>
      </c>
      <c r="C803">
        <v>402</v>
      </c>
      <c r="D803">
        <v>402</v>
      </c>
    </row>
    <row r="804" spans="1:4" ht="15" x14ac:dyDescent="0.25">
      <c r="A804" t="s">
        <v>4067</v>
      </c>
      <c r="B804">
        <v>1</v>
      </c>
      <c r="C804">
        <v>402</v>
      </c>
      <c r="D804">
        <v>402</v>
      </c>
    </row>
    <row r="805" spans="1:4" ht="15" x14ac:dyDescent="0.25">
      <c r="A805" t="s">
        <v>4066</v>
      </c>
      <c r="B805">
        <v>1</v>
      </c>
      <c r="C805">
        <v>402</v>
      </c>
      <c r="D805">
        <v>402</v>
      </c>
    </row>
    <row r="806" spans="1:4" ht="15" x14ac:dyDescent="0.25">
      <c r="A806" t="s">
        <v>4071</v>
      </c>
      <c r="B806">
        <v>1</v>
      </c>
      <c r="C806">
        <v>63</v>
      </c>
      <c r="D806">
        <v>63</v>
      </c>
    </row>
    <row r="807" spans="1:4" ht="15" x14ac:dyDescent="0.25">
      <c r="A807" t="s">
        <v>4072</v>
      </c>
      <c r="B807">
        <v>1</v>
      </c>
      <c r="C807">
        <v>63</v>
      </c>
      <c r="D807">
        <v>63</v>
      </c>
    </row>
    <row r="808" spans="1:4" ht="15" x14ac:dyDescent="0.25">
      <c r="A808" t="s">
        <v>4074</v>
      </c>
      <c r="B808">
        <v>6</v>
      </c>
      <c r="C808">
        <v>199</v>
      </c>
      <c r="D808">
        <v>33.166666666666664</v>
      </c>
    </row>
    <row r="809" spans="1:4" ht="15" x14ac:dyDescent="0.25">
      <c r="A809" t="s">
        <v>4075</v>
      </c>
      <c r="B809">
        <v>7</v>
      </c>
      <c r="C809">
        <v>225</v>
      </c>
      <c r="D809">
        <v>32.142857142857146</v>
      </c>
    </row>
    <row r="810" spans="1:4" ht="15" x14ac:dyDescent="0.25">
      <c r="A810" t="s">
        <v>4073</v>
      </c>
      <c r="B810">
        <v>3</v>
      </c>
      <c r="C810">
        <v>320</v>
      </c>
      <c r="D810">
        <v>106.66666666666667</v>
      </c>
    </row>
    <row r="811" spans="1:4" ht="15" x14ac:dyDescent="0.25">
      <c r="A811" t="s">
        <v>4080</v>
      </c>
      <c r="B811">
        <v>2</v>
      </c>
      <c r="C811">
        <v>42</v>
      </c>
      <c r="D811">
        <v>21</v>
      </c>
    </row>
    <row r="812" spans="1:4" ht="15" x14ac:dyDescent="0.25">
      <c r="A812" t="s">
        <v>4081</v>
      </c>
      <c r="B812">
        <v>3</v>
      </c>
      <c r="C812">
        <v>29</v>
      </c>
      <c r="D812">
        <v>9.6666666666666661</v>
      </c>
    </row>
    <row r="813" spans="1:4" ht="15" x14ac:dyDescent="0.25">
      <c r="A813" t="s">
        <v>4082</v>
      </c>
      <c r="B813">
        <v>1</v>
      </c>
      <c r="C813">
        <v>13</v>
      </c>
      <c r="D813">
        <v>13</v>
      </c>
    </row>
    <row r="814" spans="1:4" ht="15" x14ac:dyDescent="0.25">
      <c r="A814" t="s">
        <v>4086</v>
      </c>
      <c r="B814">
        <v>1</v>
      </c>
      <c r="C814">
        <v>14848</v>
      </c>
      <c r="D814">
        <v>14848</v>
      </c>
    </row>
    <row r="815" spans="1:4" ht="15" x14ac:dyDescent="0.25">
      <c r="A815" t="s">
        <v>4090</v>
      </c>
      <c r="B815">
        <v>2</v>
      </c>
      <c r="C815">
        <v>83</v>
      </c>
      <c r="D815">
        <v>41.5</v>
      </c>
    </row>
    <row r="816" spans="1:4" ht="15" x14ac:dyDescent="0.25">
      <c r="A816" t="s">
        <v>4096</v>
      </c>
      <c r="B816">
        <v>3</v>
      </c>
      <c r="C816">
        <v>2997</v>
      </c>
      <c r="D816">
        <v>999</v>
      </c>
    </row>
    <row r="817" spans="1:4" ht="15" x14ac:dyDescent="0.25">
      <c r="A817" t="s">
        <v>4097</v>
      </c>
      <c r="B817">
        <v>1</v>
      </c>
      <c r="C817">
        <v>1233</v>
      </c>
      <c r="D817">
        <v>1233</v>
      </c>
    </row>
    <row r="818" spans="1:4" ht="15" x14ac:dyDescent="0.25">
      <c r="A818" t="s">
        <v>4099</v>
      </c>
      <c r="B818">
        <v>3</v>
      </c>
      <c r="C818">
        <v>4234</v>
      </c>
      <c r="D818">
        <v>1411.3333333333333</v>
      </c>
    </row>
    <row r="819" spans="1:4" ht="15" x14ac:dyDescent="0.25">
      <c r="A819" t="s">
        <v>4100</v>
      </c>
      <c r="B819">
        <v>3</v>
      </c>
      <c r="C819">
        <v>3620</v>
      </c>
      <c r="D819">
        <v>1206.6666666666667</v>
      </c>
    </row>
    <row r="820" spans="1:4" ht="15" x14ac:dyDescent="0.25">
      <c r="A820" t="s">
        <v>4098</v>
      </c>
      <c r="B820">
        <v>3</v>
      </c>
      <c r="C820">
        <v>3392</v>
      </c>
      <c r="D820">
        <v>1130.6666666666667</v>
      </c>
    </row>
    <row r="821" spans="1:4" ht="15" x14ac:dyDescent="0.25">
      <c r="A821" t="s">
        <v>4104</v>
      </c>
      <c r="B821">
        <v>3</v>
      </c>
      <c r="C821">
        <v>93</v>
      </c>
      <c r="D821">
        <v>31</v>
      </c>
    </row>
    <row r="822" spans="1:4" ht="15" x14ac:dyDescent="0.25">
      <c r="A822" t="s">
        <v>4105</v>
      </c>
      <c r="B822">
        <v>7</v>
      </c>
      <c r="C822">
        <v>295</v>
      </c>
      <c r="D822">
        <v>42.142857142857146</v>
      </c>
    </row>
    <row r="823" spans="1:4" ht="15" x14ac:dyDescent="0.25">
      <c r="A823" t="s">
        <v>4107</v>
      </c>
      <c r="B823">
        <v>2</v>
      </c>
      <c r="C823">
        <v>47</v>
      </c>
      <c r="D823">
        <v>23.5</v>
      </c>
    </row>
    <row r="824" spans="1:4" ht="15" x14ac:dyDescent="0.25">
      <c r="A824" t="s">
        <v>4106</v>
      </c>
      <c r="B824">
        <v>4</v>
      </c>
      <c r="C824">
        <v>55</v>
      </c>
      <c r="D824">
        <v>13.75</v>
      </c>
    </row>
    <row r="825" spans="1:4" ht="15" x14ac:dyDescent="0.25">
      <c r="A825" t="s">
        <v>4112</v>
      </c>
      <c r="B825">
        <v>1</v>
      </c>
      <c r="C825">
        <v>236</v>
      </c>
      <c r="D825">
        <v>236</v>
      </c>
    </row>
    <row r="826" spans="1:4" ht="15" x14ac:dyDescent="0.25">
      <c r="A826" t="s">
        <v>4113</v>
      </c>
      <c r="B826">
        <v>1</v>
      </c>
      <c r="C826">
        <v>236</v>
      </c>
      <c r="D826">
        <v>236</v>
      </c>
    </row>
    <row r="827" spans="1:4" ht="15" x14ac:dyDescent="0.25">
      <c r="A827" t="s">
        <v>4114</v>
      </c>
      <c r="B827">
        <v>1</v>
      </c>
      <c r="C827">
        <v>236</v>
      </c>
      <c r="D827">
        <v>236</v>
      </c>
    </row>
    <row r="828" spans="1:4" ht="15" x14ac:dyDescent="0.25">
      <c r="A828" t="s">
        <v>4115</v>
      </c>
      <c r="B828">
        <v>1</v>
      </c>
      <c r="C828">
        <v>236</v>
      </c>
      <c r="D828">
        <v>236</v>
      </c>
    </row>
    <row r="829" spans="1:4" ht="15" x14ac:dyDescent="0.25">
      <c r="A829" t="s">
        <v>4119</v>
      </c>
      <c r="B829">
        <v>1</v>
      </c>
      <c r="C829">
        <v>29</v>
      </c>
      <c r="D829">
        <v>29</v>
      </c>
    </row>
    <row r="830" spans="1:4" ht="15" x14ac:dyDescent="0.25">
      <c r="A830" t="s">
        <v>4120</v>
      </c>
      <c r="B830">
        <v>2</v>
      </c>
      <c r="C830">
        <v>138</v>
      </c>
      <c r="D830">
        <v>69</v>
      </c>
    </row>
    <row r="831" spans="1:4" ht="15" x14ac:dyDescent="0.25">
      <c r="A831" t="s">
        <v>4122</v>
      </c>
      <c r="B831">
        <v>2</v>
      </c>
      <c r="C831">
        <v>73</v>
      </c>
      <c r="D831">
        <v>36.5</v>
      </c>
    </row>
    <row r="832" spans="1:4" ht="15" x14ac:dyDescent="0.25">
      <c r="A832" t="s">
        <v>4123</v>
      </c>
      <c r="B832">
        <v>3</v>
      </c>
      <c r="C832">
        <v>229</v>
      </c>
      <c r="D832">
        <v>76.333333333333329</v>
      </c>
    </row>
    <row r="833" spans="1:4" ht="15" x14ac:dyDescent="0.25">
      <c r="A833" t="s">
        <v>4121</v>
      </c>
      <c r="B833">
        <v>14</v>
      </c>
      <c r="C833">
        <v>2253</v>
      </c>
      <c r="D833">
        <v>160.92857142857142</v>
      </c>
    </row>
    <row r="834" spans="1:4" ht="15" x14ac:dyDescent="0.25">
      <c r="A834" t="s">
        <v>4126</v>
      </c>
      <c r="B834">
        <v>22</v>
      </c>
      <c r="C834">
        <v>961</v>
      </c>
      <c r="D834">
        <v>43.68181818181818</v>
      </c>
    </row>
    <row r="835" spans="1:4" ht="15" x14ac:dyDescent="0.25">
      <c r="A835" t="s">
        <v>4127</v>
      </c>
      <c r="B835">
        <v>20</v>
      </c>
      <c r="C835">
        <v>725</v>
      </c>
      <c r="D835">
        <v>36.25</v>
      </c>
    </row>
    <row r="836" spans="1:4" ht="15" x14ac:dyDescent="0.25">
      <c r="A836" t="s">
        <v>4128</v>
      </c>
      <c r="B836">
        <v>24</v>
      </c>
      <c r="C836">
        <v>966</v>
      </c>
      <c r="D836">
        <v>40.25</v>
      </c>
    </row>
    <row r="837" spans="1:4" ht="15" x14ac:dyDescent="0.25">
      <c r="A837" t="s">
        <v>4129</v>
      </c>
      <c r="B837">
        <v>31</v>
      </c>
      <c r="C837">
        <v>1622</v>
      </c>
      <c r="D837">
        <v>52.322580645161288</v>
      </c>
    </row>
    <row r="838" spans="1:4" ht="15" x14ac:dyDescent="0.25">
      <c r="A838" t="s">
        <v>4135</v>
      </c>
      <c r="B838">
        <v>1</v>
      </c>
      <c r="C838">
        <v>21</v>
      </c>
      <c r="D838">
        <v>21</v>
      </c>
    </row>
    <row r="839" spans="1:4" ht="15" x14ac:dyDescent="0.25">
      <c r="A839" t="s">
        <v>4136</v>
      </c>
      <c r="B839">
        <v>6</v>
      </c>
      <c r="C839">
        <v>135</v>
      </c>
      <c r="D839">
        <v>22.5</v>
      </c>
    </row>
    <row r="840" spans="1:4" ht="15" x14ac:dyDescent="0.25">
      <c r="A840" t="s">
        <v>4137</v>
      </c>
      <c r="B840">
        <v>3</v>
      </c>
      <c r="C840">
        <v>58</v>
      </c>
      <c r="D840">
        <v>19.333333333333332</v>
      </c>
    </row>
    <row r="841" spans="1:4" ht="15" x14ac:dyDescent="0.25">
      <c r="A841" t="s">
        <v>4138</v>
      </c>
      <c r="B841">
        <v>4</v>
      </c>
      <c r="C841">
        <v>104</v>
      </c>
      <c r="D841">
        <v>26</v>
      </c>
    </row>
    <row r="842" spans="1:4" ht="15" x14ac:dyDescent="0.25">
      <c r="A842" t="s">
        <v>4145</v>
      </c>
      <c r="B842">
        <v>1</v>
      </c>
      <c r="C842">
        <v>28</v>
      </c>
      <c r="D842">
        <v>28</v>
      </c>
    </row>
    <row r="843" spans="1:4" ht="15" x14ac:dyDescent="0.25">
      <c r="A843" t="s">
        <v>4146</v>
      </c>
      <c r="B843">
        <v>1</v>
      </c>
      <c r="C843">
        <v>28</v>
      </c>
      <c r="D843">
        <v>28</v>
      </c>
    </row>
    <row r="844" spans="1:4" ht="15" x14ac:dyDescent="0.25">
      <c r="A844" t="s">
        <v>4147</v>
      </c>
      <c r="B844">
        <v>1</v>
      </c>
      <c r="C844">
        <v>28</v>
      </c>
      <c r="D844">
        <v>28</v>
      </c>
    </row>
    <row r="845" spans="1:4" ht="15" x14ac:dyDescent="0.25">
      <c r="A845" t="s">
        <v>4151</v>
      </c>
      <c r="B845">
        <v>3</v>
      </c>
      <c r="C845">
        <v>50</v>
      </c>
      <c r="D845">
        <v>16.666666666666668</v>
      </c>
    </row>
    <row r="846" spans="1:4" ht="15" x14ac:dyDescent="0.25">
      <c r="A846" t="s">
        <v>4152</v>
      </c>
      <c r="B846">
        <v>1</v>
      </c>
      <c r="C846">
        <v>9</v>
      </c>
      <c r="D846">
        <v>9</v>
      </c>
    </row>
    <row r="847" spans="1:4" ht="15" x14ac:dyDescent="0.25">
      <c r="A847" t="s">
        <v>4154</v>
      </c>
      <c r="B847">
        <v>14</v>
      </c>
      <c r="C847">
        <v>571</v>
      </c>
      <c r="D847">
        <v>40.785714285714285</v>
      </c>
    </row>
    <row r="848" spans="1:4" ht="15" x14ac:dyDescent="0.25">
      <c r="A848" t="s">
        <v>4153</v>
      </c>
      <c r="B848">
        <v>1</v>
      </c>
      <c r="C848">
        <v>9</v>
      </c>
      <c r="D848">
        <v>9</v>
      </c>
    </row>
    <row r="849" spans="1:4" ht="15" x14ac:dyDescent="0.25">
      <c r="A849" t="s">
        <v>4157</v>
      </c>
      <c r="B849">
        <v>7</v>
      </c>
      <c r="C849">
        <v>746</v>
      </c>
      <c r="D849">
        <v>106.57142857142857</v>
      </c>
    </row>
    <row r="850" spans="1:4" ht="15" x14ac:dyDescent="0.25">
      <c r="A850" t="s">
        <v>4158</v>
      </c>
      <c r="B850">
        <v>7</v>
      </c>
      <c r="C850">
        <v>632</v>
      </c>
      <c r="D850">
        <v>90.285714285714292</v>
      </c>
    </row>
    <row r="851" spans="1:4" ht="15" x14ac:dyDescent="0.25">
      <c r="A851" t="s">
        <v>4160</v>
      </c>
      <c r="B851">
        <v>5</v>
      </c>
      <c r="C851">
        <v>448</v>
      </c>
      <c r="D851">
        <v>89.6</v>
      </c>
    </row>
    <row r="852" spans="1:4" ht="15" x14ac:dyDescent="0.25">
      <c r="A852" t="s">
        <v>4161</v>
      </c>
      <c r="B852">
        <v>22</v>
      </c>
      <c r="C852">
        <v>1427</v>
      </c>
      <c r="D852">
        <v>64.86363636363636</v>
      </c>
    </row>
    <row r="853" spans="1:4" ht="15" x14ac:dyDescent="0.25">
      <c r="A853" t="s">
        <v>4159</v>
      </c>
      <c r="B853">
        <v>8</v>
      </c>
      <c r="C853">
        <v>937</v>
      </c>
      <c r="D853">
        <v>117.125</v>
      </c>
    </row>
    <row r="854" spans="1:4" ht="15" x14ac:dyDescent="0.25">
      <c r="A854" t="s">
        <v>4165</v>
      </c>
      <c r="B854">
        <v>1</v>
      </c>
      <c r="C854">
        <v>23</v>
      </c>
      <c r="D854">
        <v>23</v>
      </c>
    </row>
    <row r="855" spans="1:4" ht="15" x14ac:dyDescent="0.25">
      <c r="A855" t="s">
        <v>4167</v>
      </c>
      <c r="B855">
        <v>1</v>
      </c>
      <c r="C855">
        <v>23</v>
      </c>
      <c r="D855">
        <v>23</v>
      </c>
    </row>
    <row r="856" spans="1:4" ht="15" x14ac:dyDescent="0.25">
      <c r="A856" t="s">
        <v>4168</v>
      </c>
      <c r="B856">
        <v>4</v>
      </c>
      <c r="C856">
        <v>168</v>
      </c>
      <c r="D856">
        <v>42</v>
      </c>
    </row>
    <row r="857" spans="1:4" ht="15" x14ac:dyDescent="0.25">
      <c r="A857" t="s">
        <v>4166</v>
      </c>
      <c r="B857">
        <v>1</v>
      </c>
      <c r="C857">
        <v>23</v>
      </c>
      <c r="D857">
        <v>23</v>
      </c>
    </row>
    <row r="858" spans="1:4" ht="15" x14ac:dyDescent="0.25">
      <c r="A858" t="s">
        <v>4172</v>
      </c>
      <c r="B858">
        <v>1</v>
      </c>
      <c r="C858">
        <v>53</v>
      </c>
      <c r="D858">
        <v>53</v>
      </c>
    </row>
    <row r="859" spans="1:4" ht="15" x14ac:dyDescent="0.25">
      <c r="A859" t="s">
        <v>4173</v>
      </c>
      <c r="B859">
        <v>1</v>
      </c>
      <c r="C859">
        <v>53</v>
      </c>
      <c r="D859">
        <v>53</v>
      </c>
    </row>
    <row r="860" spans="1:4" ht="15" x14ac:dyDescent="0.25">
      <c r="A860" t="s">
        <v>4175</v>
      </c>
      <c r="B860">
        <v>1</v>
      </c>
      <c r="C860">
        <v>53</v>
      </c>
      <c r="D860">
        <v>53</v>
      </c>
    </row>
    <row r="861" spans="1:4" ht="15" x14ac:dyDescent="0.25">
      <c r="A861" t="s">
        <v>4176</v>
      </c>
      <c r="B861">
        <v>1</v>
      </c>
      <c r="C861">
        <v>53</v>
      </c>
      <c r="D861">
        <v>53</v>
      </c>
    </row>
    <row r="862" spans="1:4" ht="15" x14ac:dyDescent="0.25">
      <c r="A862" t="s">
        <v>4174</v>
      </c>
      <c r="B862">
        <v>25</v>
      </c>
      <c r="C862">
        <v>2923</v>
      </c>
      <c r="D862">
        <v>116.92</v>
      </c>
    </row>
    <row r="863" spans="1:4" ht="15" x14ac:dyDescent="0.25">
      <c r="A863" t="s">
        <v>4180</v>
      </c>
      <c r="B863">
        <v>43</v>
      </c>
      <c r="C863">
        <v>1990</v>
      </c>
      <c r="D863">
        <v>46.279069767441861</v>
      </c>
    </row>
    <row r="864" spans="1:4" ht="15" x14ac:dyDescent="0.25">
      <c r="A864" t="s">
        <v>4182</v>
      </c>
      <c r="B864">
        <v>5</v>
      </c>
      <c r="C864">
        <v>188</v>
      </c>
      <c r="D864">
        <v>37.6</v>
      </c>
    </row>
    <row r="865" spans="1:4" ht="15" x14ac:dyDescent="0.25">
      <c r="A865" t="s">
        <v>4181</v>
      </c>
      <c r="B865">
        <v>1</v>
      </c>
      <c r="C865">
        <v>27</v>
      </c>
      <c r="D865">
        <v>27</v>
      </c>
    </row>
    <row r="866" spans="1:4" ht="15" x14ac:dyDescent="0.25">
      <c r="A866" t="s">
        <v>4186</v>
      </c>
      <c r="B866">
        <v>1</v>
      </c>
      <c r="C866">
        <v>207</v>
      </c>
      <c r="D866">
        <v>207</v>
      </c>
    </row>
    <row r="867" spans="1:4" ht="15" x14ac:dyDescent="0.25">
      <c r="A867" t="s">
        <v>4187</v>
      </c>
      <c r="B867">
        <v>1</v>
      </c>
      <c r="C867">
        <v>207</v>
      </c>
      <c r="D867">
        <v>207</v>
      </c>
    </row>
    <row r="868" spans="1:4" ht="15" x14ac:dyDescent="0.25">
      <c r="A868" t="s">
        <v>4189</v>
      </c>
      <c r="B868">
        <v>1</v>
      </c>
      <c r="C868">
        <v>207</v>
      </c>
      <c r="D868">
        <v>207</v>
      </c>
    </row>
    <row r="869" spans="1:4" ht="15" x14ac:dyDescent="0.25">
      <c r="A869" t="s">
        <v>4188</v>
      </c>
      <c r="B869">
        <v>1</v>
      </c>
      <c r="C869">
        <v>207</v>
      </c>
      <c r="D869">
        <v>207</v>
      </c>
    </row>
    <row r="870" spans="1:4" ht="15" x14ac:dyDescent="0.25">
      <c r="A870" t="s">
        <v>4193</v>
      </c>
      <c r="B870">
        <v>1</v>
      </c>
      <c r="C870">
        <v>10</v>
      </c>
      <c r="D870">
        <v>10</v>
      </c>
    </row>
    <row r="871" spans="1:4" ht="15" x14ac:dyDescent="0.25">
      <c r="A871" t="s">
        <v>4194</v>
      </c>
      <c r="B871">
        <v>4</v>
      </c>
      <c r="C871">
        <v>79</v>
      </c>
      <c r="D871">
        <v>19.75</v>
      </c>
    </row>
    <row r="872" spans="1:4" ht="15" x14ac:dyDescent="0.25">
      <c r="A872" t="s">
        <v>4195</v>
      </c>
      <c r="B872">
        <v>1</v>
      </c>
      <c r="C872">
        <v>10</v>
      </c>
      <c r="D872">
        <v>10</v>
      </c>
    </row>
    <row r="873" spans="1:4" ht="15" x14ac:dyDescent="0.25">
      <c r="A873" t="s">
        <v>4196</v>
      </c>
      <c r="B873">
        <v>4</v>
      </c>
      <c r="C873">
        <v>82</v>
      </c>
      <c r="D873">
        <v>20.5</v>
      </c>
    </row>
    <row r="874" spans="1:4" ht="15" x14ac:dyDescent="0.25">
      <c r="A874" t="s">
        <v>4201</v>
      </c>
      <c r="B874">
        <v>3</v>
      </c>
      <c r="C874">
        <v>124</v>
      </c>
      <c r="D874">
        <v>41.333333333333336</v>
      </c>
    </row>
    <row r="875" spans="1:4" ht="15" x14ac:dyDescent="0.25">
      <c r="A875" t="s">
        <v>4202</v>
      </c>
      <c r="B875">
        <v>3</v>
      </c>
      <c r="C875">
        <v>129</v>
      </c>
      <c r="D875">
        <v>43</v>
      </c>
    </row>
    <row r="876" spans="1:4" ht="15" x14ac:dyDescent="0.25">
      <c r="A876" t="s">
        <v>4206</v>
      </c>
      <c r="B876">
        <v>1</v>
      </c>
      <c r="C876">
        <v>125</v>
      </c>
      <c r="D876">
        <v>125</v>
      </c>
    </row>
    <row r="877" spans="1:4" ht="15" x14ac:dyDescent="0.25">
      <c r="A877" t="s">
        <v>4207</v>
      </c>
      <c r="B877">
        <v>4</v>
      </c>
      <c r="C877">
        <v>214</v>
      </c>
      <c r="D877">
        <v>53.5</v>
      </c>
    </row>
    <row r="878" spans="1:4" ht="15" x14ac:dyDescent="0.25">
      <c r="A878" t="s">
        <v>4209</v>
      </c>
      <c r="B878">
        <v>1</v>
      </c>
      <c r="C878">
        <v>125</v>
      </c>
      <c r="D878">
        <v>125</v>
      </c>
    </row>
    <row r="879" spans="1:4" ht="15" x14ac:dyDescent="0.25">
      <c r="A879" t="s">
        <v>4210</v>
      </c>
      <c r="B879">
        <v>1</v>
      </c>
      <c r="C879">
        <v>125</v>
      </c>
      <c r="D879">
        <v>125</v>
      </c>
    </row>
    <row r="880" spans="1:4" ht="15" x14ac:dyDescent="0.25">
      <c r="A880" t="s">
        <v>4208</v>
      </c>
      <c r="B880">
        <v>2</v>
      </c>
      <c r="C880">
        <v>210</v>
      </c>
      <c r="D880">
        <v>105</v>
      </c>
    </row>
    <row r="881" spans="1:4" ht="15" x14ac:dyDescent="0.25">
      <c r="A881" t="s">
        <v>4215</v>
      </c>
      <c r="B881">
        <v>1</v>
      </c>
      <c r="C881">
        <v>39</v>
      </c>
      <c r="D881">
        <v>39</v>
      </c>
    </row>
    <row r="882" spans="1:4" ht="15" x14ac:dyDescent="0.25">
      <c r="A882" t="s">
        <v>4216</v>
      </c>
      <c r="B882">
        <v>1</v>
      </c>
      <c r="C882">
        <v>39</v>
      </c>
      <c r="D882">
        <v>39</v>
      </c>
    </row>
    <row r="883" spans="1:4" ht="15" x14ac:dyDescent="0.25">
      <c r="A883" t="s">
        <v>4218</v>
      </c>
      <c r="B883">
        <v>13</v>
      </c>
      <c r="C883">
        <v>1619</v>
      </c>
      <c r="D883">
        <v>124.53846153846153</v>
      </c>
    </row>
    <row r="884" spans="1:4" ht="15" x14ac:dyDescent="0.25">
      <c r="A884" t="s">
        <v>4217</v>
      </c>
      <c r="B884">
        <v>1</v>
      </c>
      <c r="C884">
        <v>39</v>
      </c>
      <c r="D884">
        <v>39</v>
      </c>
    </row>
    <row r="885" spans="1:4" ht="15" x14ac:dyDescent="0.25">
      <c r="A885" t="s">
        <v>4223</v>
      </c>
      <c r="B885">
        <v>1</v>
      </c>
      <c r="C885">
        <v>14</v>
      </c>
      <c r="D885">
        <v>14</v>
      </c>
    </row>
    <row r="886" spans="1:4" ht="15" x14ac:dyDescent="0.25">
      <c r="A886" t="s">
        <v>4224</v>
      </c>
      <c r="B886">
        <v>1</v>
      </c>
      <c r="C886">
        <v>14</v>
      </c>
      <c r="D886">
        <v>14</v>
      </c>
    </row>
    <row r="887" spans="1:4" ht="15" x14ac:dyDescent="0.25">
      <c r="A887" t="s">
        <v>4226</v>
      </c>
      <c r="B887">
        <v>2</v>
      </c>
      <c r="C887">
        <v>85</v>
      </c>
      <c r="D887">
        <v>42.5</v>
      </c>
    </row>
    <row r="888" spans="1:4" ht="15" x14ac:dyDescent="0.25">
      <c r="A888" t="s">
        <v>4225</v>
      </c>
      <c r="B888">
        <v>2</v>
      </c>
      <c r="C888">
        <v>31</v>
      </c>
      <c r="D888">
        <v>15.5</v>
      </c>
    </row>
    <row r="889" spans="1:4" ht="15" x14ac:dyDescent="0.25">
      <c r="A889" t="s">
        <v>4229</v>
      </c>
      <c r="B889">
        <v>1</v>
      </c>
      <c r="C889">
        <v>35</v>
      </c>
      <c r="D889">
        <v>35</v>
      </c>
    </row>
    <row r="890" spans="1:4" ht="15" x14ac:dyDescent="0.25">
      <c r="A890" t="s">
        <v>4230</v>
      </c>
      <c r="B890">
        <v>1</v>
      </c>
      <c r="C890">
        <v>35</v>
      </c>
      <c r="D890">
        <v>35</v>
      </c>
    </row>
    <row r="891" spans="1:4" ht="15" x14ac:dyDescent="0.25">
      <c r="A891" t="s">
        <v>4232</v>
      </c>
      <c r="B891">
        <v>12</v>
      </c>
      <c r="C891">
        <v>685</v>
      </c>
      <c r="D891">
        <v>57.083333333333336</v>
      </c>
    </row>
    <row r="892" spans="1:4" ht="15" x14ac:dyDescent="0.25">
      <c r="A892" t="s">
        <v>4233</v>
      </c>
      <c r="B892">
        <v>22</v>
      </c>
      <c r="C892">
        <v>2162</v>
      </c>
      <c r="D892">
        <v>98.272727272727266</v>
      </c>
    </row>
    <row r="893" spans="1:4" ht="15" x14ac:dyDescent="0.25">
      <c r="A893" t="s">
        <v>4231</v>
      </c>
      <c r="B893">
        <v>33</v>
      </c>
      <c r="C893">
        <v>3764</v>
      </c>
      <c r="D893">
        <v>114.06060606060606</v>
      </c>
    </row>
    <row r="894" spans="1:4" ht="15" x14ac:dyDescent="0.25">
      <c r="A894" t="s">
        <v>4237</v>
      </c>
      <c r="B894">
        <v>1</v>
      </c>
      <c r="C894">
        <v>22</v>
      </c>
      <c r="D894">
        <v>22</v>
      </c>
    </row>
    <row r="895" spans="1:4" ht="15" x14ac:dyDescent="0.25">
      <c r="A895" t="s">
        <v>4238</v>
      </c>
      <c r="B895">
        <v>1</v>
      </c>
      <c r="C895">
        <v>22</v>
      </c>
      <c r="D895">
        <v>22</v>
      </c>
    </row>
    <row r="896" spans="1:4" ht="15" x14ac:dyDescent="0.25">
      <c r="A896" t="s">
        <v>4239</v>
      </c>
      <c r="B896">
        <v>1</v>
      </c>
      <c r="C896">
        <v>22</v>
      </c>
      <c r="D896">
        <v>22</v>
      </c>
    </row>
    <row r="897" spans="1:4" ht="15" x14ac:dyDescent="0.25">
      <c r="A897" t="s">
        <v>4240</v>
      </c>
      <c r="B897">
        <v>23</v>
      </c>
      <c r="C897">
        <v>1148</v>
      </c>
      <c r="D897">
        <v>49.913043478260867</v>
      </c>
    </row>
    <row r="898" spans="1:4" ht="15" x14ac:dyDescent="0.25">
      <c r="A898" t="s">
        <v>4246</v>
      </c>
      <c r="B898">
        <v>5</v>
      </c>
      <c r="C898">
        <v>175</v>
      </c>
      <c r="D898">
        <v>35</v>
      </c>
    </row>
    <row r="899" spans="1:4" ht="15" x14ac:dyDescent="0.25">
      <c r="A899" t="s">
        <v>4247</v>
      </c>
      <c r="B899">
        <v>1</v>
      </c>
      <c r="C899">
        <v>17</v>
      </c>
      <c r="D899">
        <v>17</v>
      </c>
    </row>
    <row r="900" spans="1:4" ht="15" x14ac:dyDescent="0.25">
      <c r="A900" t="s">
        <v>4249</v>
      </c>
      <c r="B900">
        <v>1</v>
      </c>
      <c r="C900">
        <v>17</v>
      </c>
      <c r="D900">
        <v>17</v>
      </c>
    </row>
    <row r="901" spans="1:4" ht="15" x14ac:dyDescent="0.25">
      <c r="A901" t="s">
        <v>4248</v>
      </c>
      <c r="B901">
        <v>4</v>
      </c>
      <c r="C901">
        <v>500</v>
      </c>
      <c r="D901">
        <v>125</v>
      </c>
    </row>
    <row r="902" spans="1:4" ht="15" x14ac:dyDescent="0.25">
      <c r="A902" t="s">
        <v>4253</v>
      </c>
      <c r="B902">
        <v>25</v>
      </c>
      <c r="C902">
        <v>877</v>
      </c>
      <c r="D902">
        <v>35.08</v>
      </c>
    </row>
    <row r="903" spans="1:4" ht="15" x14ac:dyDescent="0.25">
      <c r="A903" t="s">
        <v>4254</v>
      </c>
      <c r="B903">
        <v>1</v>
      </c>
      <c r="C903">
        <v>217</v>
      </c>
      <c r="D903">
        <v>217</v>
      </c>
    </row>
    <row r="904" spans="1:4" ht="15" x14ac:dyDescent="0.25">
      <c r="A904" t="s">
        <v>4255</v>
      </c>
      <c r="B904">
        <v>1</v>
      </c>
      <c r="C904">
        <v>217</v>
      </c>
      <c r="D904">
        <v>217</v>
      </c>
    </row>
    <row r="905" spans="1:4" ht="15" x14ac:dyDescent="0.25">
      <c r="A905" t="s">
        <v>4259</v>
      </c>
      <c r="B905">
        <v>1</v>
      </c>
      <c r="C905">
        <v>1</v>
      </c>
      <c r="D905">
        <v>1</v>
      </c>
    </row>
    <row r="906" spans="1:4" ht="15" x14ac:dyDescent="0.25">
      <c r="A906" t="s">
        <v>4263</v>
      </c>
      <c r="B906">
        <v>1</v>
      </c>
      <c r="C906">
        <v>27</v>
      </c>
      <c r="D906">
        <v>27</v>
      </c>
    </row>
    <row r="907" spans="1:4" ht="15" x14ac:dyDescent="0.25">
      <c r="A907" t="s">
        <v>4264</v>
      </c>
      <c r="B907">
        <v>2</v>
      </c>
      <c r="C907">
        <v>61</v>
      </c>
      <c r="D907">
        <v>30.5</v>
      </c>
    </row>
    <row r="908" spans="1:4" ht="15" x14ac:dyDescent="0.25">
      <c r="A908" t="s">
        <v>4265</v>
      </c>
      <c r="B908">
        <v>1</v>
      </c>
      <c r="C908">
        <v>27</v>
      </c>
      <c r="D908">
        <v>27</v>
      </c>
    </row>
    <row r="909" spans="1:4" ht="15" x14ac:dyDescent="0.25">
      <c r="A909" t="s">
        <v>4266</v>
      </c>
      <c r="B909">
        <v>1</v>
      </c>
      <c r="C909">
        <v>27</v>
      </c>
      <c r="D909">
        <v>27</v>
      </c>
    </row>
    <row r="910" spans="1:4" ht="15" x14ac:dyDescent="0.25">
      <c r="A910" t="s">
        <v>4270</v>
      </c>
      <c r="B910">
        <v>3</v>
      </c>
      <c r="C910">
        <v>99</v>
      </c>
      <c r="D910">
        <v>33</v>
      </c>
    </row>
    <row r="911" spans="1:4" ht="15" x14ac:dyDescent="0.25">
      <c r="A911" t="s">
        <v>4271</v>
      </c>
      <c r="B911">
        <v>12</v>
      </c>
      <c r="C911">
        <v>302</v>
      </c>
      <c r="D911">
        <v>25.166666666666668</v>
      </c>
    </row>
    <row r="912" spans="1:4" ht="15" x14ac:dyDescent="0.25">
      <c r="A912" t="s">
        <v>4272</v>
      </c>
      <c r="B912">
        <v>9</v>
      </c>
      <c r="C912">
        <v>434</v>
      </c>
      <c r="D912">
        <v>48.222222222222221</v>
      </c>
    </row>
    <row r="913" spans="1:4" ht="15" x14ac:dyDescent="0.25">
      <c r="A913" t="s">
        <v>4273</v>
      </c>
      <c r="B913">
        <v>4</v>
      </c>
      <c r="C913">
        <v>172</v>
      </c>
      <c r="D913">
        <v>43</v>
      </c>
    </row>
    <row r="914" spans="1:4" ht="15" x14ac:dyDescent="0.25">
      <c r="A914" t="s">
        <v>4276</v>
      </c>
      <c r="B914">
        <v>1</v>
      </c>
      <c r="C914">
        <v>47</v>
      </c>
      <c r="D914">
        <v>47</v>
      </c>
    </row>
    <row r="915" spans="1:4" ht="15" x14ac:dyDescent="0.25">
      <c r="A915" t="s">
        <v>4277</v>
      </c>
      <c r="B915">
        <v>1</v>
      </c>
      <c r="C915">
        <v>47</v>
      </c>
      <c r="D915">
        <v>47</v>
      </c>
    </row>
    <row r="916" spans="1:4" ht="15" x14ac:dyDescent="0.25">
      <c r="A916" t="s">
        <v>4279</v>
      </c>
      <c r="B916">
        <v>1</v>
      </c>
      <c r="C916">
        <v>47</v>
      </c>
      <c r="D916">
        <v>47</v>
      </c>
    </row>
    <row r="917" spans="1:4" ht="15" x14ac:dyDescent="0.25">
      <c r="A917" t="s">
        <v>4280</v>
      </c>
      <c r="B917">
        <v>1</v>
      </c>
      <c r="C917">
        <v>47</v>
      </c>
      <c r="D917">
        <v>47</v>
      </c>
    </row>
    <row r="918" spans="1:4" ht="15" x14ac:dyDescent="0.25">
      <c r="A918" t="s">
        <v>4278</v>
      </c>
      <c r="B918">
        <v>1</v>
      </c>
      <c r="C918">
        <v>47</v>
      </c>
      <c r="D918">
        <v>47</v>
      </c>
    </row>
    <row r="919" spans="1:4" ht="15" x14ac:dyDescent="0.25">
      <c r="A919" t="s">
        <v>4284</v>
      </c>
      <c r="B919">
        <v>1</v>
      </c>
      <c r="C919">
        <v>279</v>
      </c>
      <c r="D919">
        <v>279</v>
      </c>
    </row>
    <row r="920" spans="1:4" ht="15" x14ac:dyDescent="0.25">
      <c r="A920" t="s">
        <v>4285</v>
      </c>
      <c r="B920">
        <v>3</v>
      </c>
      <c r="C920">
        <v>316</v>
      </c>
      <c r="D920">
        <v>105.33333333333333</v>
      </c>
    </row>
    <row r="921" spans="1:4" ht="15" x14ac:dyDescent="0.25">
      <c r="A921" t="s">
        <v>4287</v>
      </c>
      <c r="B921">
        <v>3</v>
      </c>
      <c r="C921">
        <v>379</v>
      </c>
      <c r="D921">
        <v>126.33333333333333</v>
      </c>
    </row>
    <row r="922" spans="1:4" ht="15" x14ac:dyDescent="0.25">
      <c r="A922" t="s">
        <v>4288</v>
      </c>
      <c r="B922">
        <v>1</v>
      </c>
      <c r="C922">
        <v>279</v>
      </c>
      <c r="D922">
        <v>279</v>
      </c>
    </row>
    <row r="923" spans="1:4" ht="15" x14ac:dyDescent="0.25">
      <c r="A923" t="s">
        <v>4286</v>
      </c>
      <c r="B923">
        <v>2</v>
      </c>
      <c r="C923">
        <v>305</v>
      </c>
      <c r="D923">
        <v>152.5</v>
      </c>
    </row>
    <row r="924" spans="1:4" ht="15" x14ac:dyDescent="0.25">
      <c r="A924" t="s">
        <v>4292</v>
      </c>
      <c r="B924">
        <v>1</v>
      </c>
      <c r="C924">
        <v>20</v>
      </c>
      <c r="D924">
        <v>20</v>
      </c>
    </row>
    <row r="925" spans="1:4" ht="15" x14ac:dyDescent="0.25">
      <c r="A925" t="s">
        <v>4293</v>
      </c>
      <c r="B925">
        <v>1</v>
      </c>
      <c r="C925">
        <v>20</v>
      </c>
      <c r="D925">
        <v>20</v>
      </c>
    </row>
    <row r="926" spans="1:4" ht="15" x14ac:dyDescent="0.25">
      <c r="A926" t="s">
        <v>4295</v>
      </c>
      <c r="B926">
        <v>16</v>
      </c>
      <c r="C926">
        <v>774</v>
      </c>
      <c r="D926">
        <v>48.375</v>
      </c>
    </row>
    <row r="927" spans="1:4" ht="15" x14ac:dyDescent="0.25">
      <c r="A927" t="s">
        <v>4296</v>
      </c>
      <c r="B927">
        <v>3</v>
      </c>
      <c r="C927">
        <v>171</v>
      </c>
      <c r="D927">
        <v>57</v>
      </c>
    </row>
    <row r="928" spans="1:4" ht="15" x14ac:dyDescent="0.25">
      <c r="A928" t="s">
        <v>4294</v>
      </c>
      <c r="B928">
        <v>1</v>
      </c>
      <c r="C928">
        <v>20</v>
      </c>
      <c r="D928">
        <v>20</v>
      </c>
    </row>
    <row r="929" spans="1:4" ht="15" x14ac:dyDescent="0.25">
      <c r="A929" t="s">
        <v>4300</v>
      </c>
      <c r="B929">
        <v>1</v>
      </c>
      <c r="C929">
        <v>256</v>
      </c>
      <c r="D929">
        <v>256</v>
      </c>
    </row>
    <row r="930" spans="1:4" ht="15" x14ac:dyDescent="0.25">
      <c r="A930" t="s">
        <v>4301</v>
      </c>
      <c r="B930">
        <v>1</v>
      </c>
      <c r="C930">
        <v>256</v>
      </c>
      <c r="D930">
        <v>256</v>
      </c>
    </row>
    <row r="931" spans="1:4" ht="15" x14ac:dyDescent="0.25">
      <c r="A931" t="s">
        <v>4303</v>
      </c>
      <c r="B931">
        <v>3</v>
      </c>
      <c r="C931">
        <v>802</v>
      </c>
      <c r="D931">
        <v>267.33333333333331</v>
      </c>
    </row>
    <row r="932" spans="1:4" ht="15" x14ac:dyDescent="0.25">
      <c r="A932" t="s">
        <v>4304</v>
      </c>
      <c r="B932">
        <v>1</v>
      </c>
      <c r="C932">
        <v>256</v>
      </c>
      <c r="D932">
        <v>256</v>
      </c>
    </row>
    <row r="933" spans="1:4" ht="15" x14ac:dyDescent="0.25">
      <c r="A933" t="s">
        <v>4302</v>
      </c>
      <c r="B933">
        <v>2</v>
      </c>
      <c r="C933">
        <v>569</v>
      </c>
      <c r="D933">
        <v>284.5</v>
      </c>
    </row>
    <row r="934" spans="1:4" ht="15" x14ac:dyDescent="0.25">
      <c r="A934" t="s">
        <v>4307</v>
      </c>
      <c r="B934">
        <v>2</v>
      </c>
      <c r="C934">
        <v>33</v>
      </c>
      <c r="D934">
        <v>16.5</v>
      </c>
    </row>
    <row r="935" spans="1:4" ht="15" x14ac:dyDescent="0.25">
      <c r="A935" t="s">
        <v>4309</v>
      </c>
      <c r="B935">
        <v>1</v>
      </c>
      <c r="C935">
        <v>20</v>
      </c>
      <c r="D935">
        <v>20</v>
      </c>
    </row>
    <row r="936" spans="1:4" ht="15" x14ac:dyDescent="0.25">
      <c r="A936" t="s">
        <v>4310</v>
      </c>
      <c r="B936">
        <v>4</v>
      </c>
      <c r="C936">
        <v>74</v>
      </c>
      <c r="D936">
        <v>18.5</v>
      </c>
    </row>
    <row r="937" spans="1:4" ht="15" x14ac:dyDescent="0.25">
      <c r="A937" t="s">
        <v>4308</v>
      </c>
      <c r="B937">
        <v>2</v>
      </c>
      <c r="C937">
        <v>55</v>
      </c>
      <c r="D937">
        <v>27.5</v>
      </c>
    </row>
    <row r="938" spans="1:4" ht="15" x14ac:dyDescent="0.25">
      <c r="A938" t="s">
        <v>4317</v>
      </c>
      <c r="B938">
        <v>5</v>
      </c>
      <c r="C938">
        <v>74</v>
      </c>
      <c r="D938">
        <v>14.8</v>
      </c>
    </row>
    <row r="939" spans="1:4" ht="15" x14ac:dyDescent="0.25">
      <c r="A939" t="s">
        <v>4318</v>
      </c>
      <c r="B939">
        <v>3</v>
      </c>
      <c r="C939">
        <v>127</v>
      </c>
      <c r="D939">
        <v>42.333333333333336</v>
      </c>
    </row>
    <row r="940" spans="1:4" ht="15" x14ac:dyDescent="0.25">
      <c r="A940" t="s">
        <v>4319</v>
      </c>
      <c r="B940">
        <v>8</v>
      </c>
      <c r="C940">
        <v>352</v>
      </c>
      <c r="D940">
        <v>44</v>
      </c>
    </row>
    <row r="941" spans="1:4" ht="15" x14ac:dyDescent="0.25">
      <c r="A941" t="s">
        <v>4323</v>
      </c>
      <c r="B941">
        <v>2</v>
      </c>
      <c r="C941">
        <v>73</v>
      </c>
      <c r="D941">
        <v>36.5</v>
      </c>
    </row>
    <row r="942" spans="1:4" ht="15" x14ac:dyDescent="0.25">
      <c r="A942" t="s">
        <v>4324</v>
      </c>
      <c r="B942">
        <v>7</v>
      </c>
      <c r="C942">
        <v>330</v>
      </c>
      <c r="D942">
        <v>47.142857142857146</v>
      </c>
    </row>
    <row r="943" spans="1:4" ht="15" x14ac:dyDescent="0.25">
      <c r="A943" t="s">
        <v>4326</v>
      </c>
      <c r="B943">
        <v>1</v>
      </c>
      <c r="C943">
        <v>38</v>
      </c>
      <c r="D943">
        <v>38</v>
      </c>
    </row>
    <row r="944" spans="1:4" ht="15" x14ac:dyDescent="0.25">
      <c r="A944" t="s">
        <v>4327</v>
      </c>
      <c r="B944">
        <v>1</v>
      </c>
      <c r="C944">
        <v>38</v>
      </c>
      <c r="D944">
        <v>38</v>
      </c>
    </row>
    <row r="945" spans="1:4" ht="15" x14ac:dyDescent="0.25">
      <c r="A945" t="s">
        <v>4325</v>
      </c>
      <c r="B945">
        <v>5</v>
      </c>
      <c r="C945">
        <v>308</v>
      </c>
      <c r="D945">
        <v>61.6</v>
      </c>
    </row>
    <row r="946" spans="1:4" ht="15" x14ac:dyDescent="0.25">
      <c r="A946" t="s">
        <v>4331</v>
      </c>
      <c r="B946">
        <v>2</v>
      </c>
      <c r="C946">
        <v>143</v>
      </c>
      <c r="D946">
        <v>71.5</v>
      </c>
    </row>
    <row r="947" spans="1:4" ht="15" x14ac:dyDescent="0.25">
      <c r="A947" t="s">
        <v>4333</v>
      </c>
      <c r="B947">
        <v>1</v>
      </c>
      <c r="C947">
        <v>89</v>
      </c>
      <c r="D947">
        <v>89</v>
      </c>
    </row>
    <row r="948" spans="1:4" ht="15" x14ac:dyDescent="0.25">
      <c r="A948" t="s">
        <v>4334</v>
      </c>
      <c r="B948">
        <v>1</v>
      </c>
      <c r="C948">
        <v>89</v>
      </c>
      <c r="D948">
        <v>89</v>
      </c>
    </row>
    <row r="949" spans="1:4" ht="15" x14ac:dyDescent="0.25">
      <c r="A949" t="s">
        <v>4332</v>
      </c>
      <c r="B949">
        <v>1</v>
      </c>
      <c r="C949">
        <v>89</v>
      </c>
      <c r="D949">
        <v>89</v>
      </c>
    </row>
    <row r="950" spans="1:4" ht="15" x14ac:dyDescent="0.25">
      <c r="A950" t="s">
        <v>4338</v>
      </c>
      <c r="B950">
        <v>1</v>
      </c>
      <c r="C950">
        <v>27</v>
      </c>
      <c r="D950">
        <v>27</v>
      </c>
    </row>
    <row r="951" spans="1:4" ht="15" x14ac:dyDescent="0.25">
      <c r="A951" t="s">
        <v>4339</v>
      </c>
      <c r="B951">
        <v>5</v>
      </c>
      <c r="C951">
        <v>243</v>
      </c>
      <c r="D951">
        <v>48.6</v>
      </c>
    </row>
    <row r="952" spans="1:4" ht="15" x14ac:dyDescent="0.25">
      <c r="A952" t="s">
        <v>4340</v>
      </c>
      <c r="B952">
        <v>1</v>
      </c>
      <c r="C952">
        <v>27</v>
      </c>
      <c r="D952">
        <v>27</v>
      </c>
    </row>
    <row r="953" spans="1:4" ht="15" x14ac:dyDescent="0.25">
      <c r="A953" t="s">
        <v>4347</v>
      </c>
      <c r="B953">
        <v>3</v>
      </c>
      <c r="C953">
        <v>96</v>
      </c>
      <c r="D953">
        <v>32</v>
      </c>
    </row>
    <row r="954" spans="1:4" ht="15" x14ac:dyDescent="0.25">
      <c r="A954" t="s">
        <v>4349</v>
      </c>
      <c r="B954">
        <v>1</v>
      </c>
      <c r="C954">
        <v>23</v>
      </c>
      <c r="D954">
        <v>23</v>
      </c>
    </row>
    <row r="955" spans="1:4" ht="15" x14ac:dyDescent="0.25">
      <c r="A955" t="s">
        <v>4350</v>
      </c>
      <c r="B955">
        <v>9</v>
      </c>
      <c r="C955">
        <v>5826</v>
      </c>
      <c r="D955">
        <v>647.33333333333337</v>
      </c>
    </row>
    <row r="956" spans="1:4" ht="15" x14ac:dyDescent="0.25">
      <c r="A956" t="s">
        <v>4348</v>
      </c>
      <c r="B956">
        <v>2</v>
      </c>
      <c r="C956">
        <v>120</v>
      </c>
      <c r="D956">
        <v>60</v>
      </c>
    </row>
    <row r="957" spans="1:4" ht="15" x14ac:dyDescent="0.25">
      <c r="A957" t="s">
        <v>4354</v>
      </c>
      <c r="B957">
        <v>10</v>
      </c>
      <c r="C957">
        <v>281</v>
      </c>
      <c r="D957">
        <v>28.1</v>
      </c>
    </row>
    <row r="958" spans="1:4" ht="15" x14ac:dyDescent="0.25">
      <c r="A958" t="s">
        <v>4355</v>
      </c>
      <c r="B958">
        <v>2</v>
      </c>
      <c r="C958">
        <v>55</v>
      </c>
      <c r="D958">
        <v>27.5</v>
      </c>
    </row>
    <row r="959" spans="1:4" ht="15" x14ac:dyDescent="0.25">
      <c r="A959" t="s">
        <v>4357</v>
      </c>
      <c r="B959">
        <v>1</v>
      </c>
      <c r="C959">
        <v>37</v>
      </c>
      <c r="D959">
        <v>37</v>
      </c>
    </row>
    <row r="960" spans="1:4" ht="15" x14ac:dyDescent="0.25">
      <c r="A960" t="s">
        <v>4356</v>
      </c>
      <c r="B960">
        <v>1</v>
      </c>
      <c r="C960">
        <v>37</v>
      </c>
      <c r="D960">
        <v>37</v>
      </c>
    </row>
    <row r="961" spans="1:4" ht="15" x14ac:dyDescent="0.25">
      <c r="A961" t="s">
        <v>4361</v>
      </c>
      <c r="B961">
        <v>1</v>
      </c>
      <c r="C961">
        <v>13</v>
      </c>
      <c r="D961">
        <v>13</v>
      </c>
    </row>
    <row r="962" spans="1:4" ht="15" x14ac:dyDescent="0.25">
      <c r="A962" t="s">
        <v>4362</v>
      </c>
      <c r="B962">
        <v>1</v>
      </c>
      <c r="C962">
        <v>13</v>
      </c>
      <c r="D962">
        <v>13</v>
      </c>
    </row>
    <row r="963" spans="1:4" ht="15" x14ac:dyDescent="0.25">
      <c r="A963" t="s">
        <v>4363</v>
      </c>
      <c r="B963">
        <v>1</v>
      </c>
      <c r="C963">
        <v>13</v>
      </c>
      <c r="D963">
        <v>13</v>
      </c>
    </row>
    <row r="964" spans="1:4" ht="15" x14ac:dyDescent="0.25">
      <c r="A964" t="s">
        <v>4364</v>
      </c>
      <c r="B964">
        <v>1</v>
      </c>
      <c r="C964">
        <v>13</v>
      </c>
      <c r="D964">
        <v>13</v>
      </c>
    </row>
    <row r="965" spans="1:4" ht="15" x14ac:dyDescent="0.25">
      <c r="A965" t="s">
        <v>4368</v>
      </c>
      <c r="B965">
        <v>1</v>
      </c>
      <c r="C965">
        <v>113</v>
      </c>
      <c r="D965">
        <v>113</v>
      </c>
    </row>
    <row r="966" spans="1:4" ht="15" x14ac:dyDescent="0.25">
      <c r="A966" t="s">
        <v>4369</v>
      </c>
      <c r="B966">
        <v>13</v>
      </c>
      <c r="C966">
        <v>658</v>
      </c>
      <c r="D966">
        <v>50.615384615384613</v>
      </c>
    </row>
    <row r="967" spans="1:4" ht="15" x14ac:dyDescent="0.25">
      <c r="A967" t="s">
        <v>4370</v>
      </c>
      <c r="B967">
        <v>9</v>
      </c>
      <c r="C967">
        <v>548</v>
      </c>
      <c r="D967">
        <v>60.888888888888886</v>
      </c>
    </row>
    <row r="968" spans="1:4" ht="15" x14ac:dyDescent="0.25">
      <c r="A968" t="s">
        <v>4375</v>
      </c>
      <c r="B968">
        <v>1</v>
      </c>
      <c r="C968">
        <v>30</v>
      </c>
      <c r="D968">
        <v>30</v>
      </c>
    </row>
    <row r="969" spans="1:4" ht="15" x14ac:dyDescent="0.25">
      <c r="A969" t="s">
        <v>4376</v>
      </c>
      <c r="B969">
        <v>3</v>
      </c>
      <c r="C969">
        <v>113</v>
      </c>
      <c r="D969">
        <v>37.666666666666664</v>
      </c>
    </row>
    <row r="970" spans="1:4" ht="15" x14ac:dyDescent="0.25">
      <c r="A970" t="s">
        <v>4374</v>
      </c>
      <c r="B970">
        <v>7</v>
      </c>
      <c r="C970">
        <v>472</v>
      </c>
      <c r="D970">
        <v>67.428571428571431</v>
      </c>
    </row>
    <row r="971" spans="1:4" ht="15" x14ac:dyDescent="0.25">
      <c r="A971" t="s">
        <v>4379</v>
      </c>
      <c r="B971">
        <v>5</v>
      </c>
      <c r="C971">
        <v>2899</v>
      </c>
      <c r="D971">
        <v>579.79999999999995</v>
      </c>
    </row>
    <row r="972" spans="1:4" ht="15" x14ac:dyDescent="0.25">
      <c r="A972" t="s">
        <v>4380</v>
      </c>
      <c r="B972">
        <v>3</v>
      </c>
      <c r="C972">
        <v>1192</v>
      </c>
      <c r="D972">
        <v>397.33333333333331</v>
      </c>
    </row>
    <row r="973" spans="1:4" ht="15" x14ac:dyDescent="0.25">
      <c r="A973" t="s">
        <v>4381</v>
      </c>
      <c r="B973">
        <v>3</v>
      </c>
      <c r="C973">
        <v>1801</v>
      </c>
      <c r="D973">
        <v>600.33333333333337</v>
      </c>
    </row>
    <row r="974" spans="1:4" ht="15" x14ac:dyDescent="0.25">
      <c r="A974" t="s">
        <v>4387</v>
      </c>
      <c r="B974">
        <v>1</v>
      </c>
      <c r="C974">
        <v>19</v>
      </c>
      <c r="D974">
        <v>19</v>
      </c>
    </row>
    <row r="975" spans="1:4" ht="15" x14ac:dyDescent="0.25">
      <c r="A975" t="s">
        <v>4388</v>
      </c>
      <c r="B975">
        <v>23</v>
      </c>
      <c r="C975">
        <v>1687</v>
      </c>
      <c r="D975">
        <v>73.347826086956516</v>
      </c>
    </row>
    <row r="976" spans="1:4" ht="15" x14ac:dyDescent="0.25">
      <c r="A976" t="s">
        <v>4390</v>
      </c>
      <c r="B976">
        <v>1</v>
      </c>
      <c r="C976">
        <v>19</v>
      </c>
      <c r="D976">
        <v>19</v>
      </c>
    </row>
    <row r="977" spans="1:4" ht="15" x14ac:dyDescent="0.25">
      <c r="A977" t="s">
        <v>4391</v>
      </c>
      <c r="B977">
        <v>1</v>
      </c>
      <c r="C977">
        <v>19</v>
      </c>
      <c r="D977">
        <v>19</v>
      </c>
    </row>
    <row r="978" spans="1:4" ht="15" x14ac:dyDescent="0.25">
      <c r="A978" t="s">
        <v>4389</v>
      </c>
      <c r="B978">
        <v>1</v>
      </c>
      <c r="C978">
        <v>19</v>
      </c>
      <c r="D978">
        <v>19</v>
      </c>
    </row>
    <row r="979" spans="1:4" ht="15" x14ac:dyDescent="0.25">
      <c r="A979" t="s">
        <v>4395</v>
      </c>
      <c r="B979">
        <v>1</v>
      </c>
      <c r="C979">
        <v>40</v>
      </c>
      <c r="D979">
        <v>40</v>
      </c>
    </row>
    <row r="980" spans="1:4" ht="15" x14ac:dyDescent="0.25">
      <c r="A980" t="s">
        <v>4396</v>
      </c>
      <c r="B980">
        <v>1</v>
      </c>
      <c r="C980">
        <v>40</v>
      </c>
      <c r="D980">
        <v>40</v>
      </c>
    </row>
    <row r="981" spans="1:4" ht="15" x14ac:dyDescent="0.25">
      <c r="A981" t="s">
        <v>4397</v>
      </c>
      <c r="B981">
        <v>1</v>
      </c>
      <c r="C981">
        <v>40</v>
      </c>
      <c r="D981">
        <v>40</v>
      </c>
    </row>
    <row r="982" spans="1:4" ht="15" x14ac:dyDescent="0.25">
      <c r="A982" t="s">
        <v>4398</v>
      </c>
      <c r="B982">
        <v>2</v>
      </c>
      <c r="C982">
        <v>92</v>
      </c>
      <c r="D982">
        <v>46</v>
      </c>
    </row>
    <row r="983" spans="1:4" ht="15" x14ac:dyDescent="0.25">
      <c r="A983" t="s">
        <v>4405</v>
      </c>
      <c r="B983">
        <v>1</v>
      </c>
      <c r="C983">
        <v>29</v>
      </c>
      <c r="D983">
        <v>29</v>
      </c>
    </row>
    <row r="984" spans="1:4" ht="15" x14ac:dyDescent="0.25">
      <c r="A984" t="s">
        <v>4406</v>
      </c>
      <c r="B984">
        <v>1</v>
      </c>
      <c r="C984">
        <v>29</v>
      </c>
      <c r="D984">
        <v>29</v>
      </c>
    </row>
    <row r="985" spans="1:4" ht="15" x14ac:dyDescent="0.25">
      <c r="A985" t="s">
        <v>4407</v>
      </c>
      <c r="B985">
        <v>10</v>
      </c>
      <c r="C985">
        <v>466</v>
      </c>
      <c r="D985">
        <v>46.6</v>
      </c>
    </row>
    <row r="986" spans="1:4" ht="15" x14ac:dyDescent="0.25">
      <c r="A986" t="s">
        <v>4408</v>
      </c>
      <c r="B986">
        <v>2</v>
      </c>
      <c r="C986">
        <v>57</v>
      </c>
      <c r="D986">
        <v>28.5</v>
      </c>
    </row>
    <row r="987" spans="1:4" ht="15" x14ac:dyDescent="0.25">
      <c r="A987" t="s">
        <v>4412</v>
      </c>
      <c r="B987">
        <v>1</v>
      </c>
      <c r="C987">
        <v>22</v>
      </c>
      <c r="D987">
        <v>22</v>
      </c>
    </row>
    <row r="988" spans="1:4" ht="15" x14ac:dyDescent="0.25">
      <c r="A988" t="s">
        <v>4413</v>
      </c>
      <c r="B988">
        <v>1</v>
      </c>
      <c r="C988">
        <v>22</v>
      </c>
      <c r="D988">
        <v>22</v>
      </c>
    </row>
    <row r="989" spans="1:4" ht="15" x14ac:dyDescent="0.25">
      <c r="A989" t="s">
        <v>4415</v>
      </c>
      <c r="B989">
        <v>1</v>
      </c>
      <c r="C989">
        <v>22</v>
      </c>
      <c r="D989">
        <v>22</v>
      </c>
    </row>
    <row r="990" spans="1:4" ht="15" x14ac:dyDescent="0.25">
      <c r="A990" t="s">
        <v>4414</v>
      </c>
      <c r="B990">
        <v>1</v>
      </c>
      <c r="C990">
        <v>22</v>
      </c>
      <c r="D990">
        <v>22</v>
      </c>
    </row>
    <row r="991" spans="1:4" ht="15" x14ac:dyDescent="0.25">
      <c r="A991" t="s">
        <v>4419</v>
      </c>
      <c r="B991">
        <v>11</v>
      </c>
      <c r="C991">
        <v>296</v>
      </c>
      <c r="D991">
        <v>26.90909090909091</v>
      </c>
    </row>
    <row r="992" spans="1:4" ht="15" x14ac:dyDescent="0.25">
      <c r="A992" t="s">
        <v>4421</v>
      </c>
      <c r="B992">
        <v>2</v>
      </c>
      <c r="C992">
        <v>200</v>
      </c>
      <c r="D992">
        <v>100</v>
      </c>
    </row>
    <row r="993" spans="1:4" ht="15" x14ac:dyDescent="0.25">
      <c r="A993" t="s">
        <v>4422</v>
      </c>
      <c r="B993">
        <v>2</v>
      </c>
      <c r="C993">
        <v>49</v>
      </c>
      <c r="D993">
        <v>24.5</v>
      </c>
    </row>
    <row r="994" spans="1:4" ht="15" x14ac:dyDescent="0.25">
      <c r="A994" t="s">
        <v>4420</v>
      </c>
      <c r="B994">
        <v>3</v>
      </c>
      <c r="C994">
        <v>44</v>
      </c>
      <c r="D994">
        <v>14.666666666666666</v>
      </c>
    </row>
    <row r="995" spans="1:4" ht="15" x14ac:dyDescent="0.25">
      <c r="A995" t="s">
        <v>4423</v>
      </c>
      <c r="B995">
        <v>1</v>
      </c>
      <c r="C995">
        <v>1</v>
      </c>
      <c r="D995">
        <v>1</v>
      </c>
    </row>
    <row r="996" spans="1:4" ht="15" x14ac:dyDescent="0.25">
      <c r="A996" t="s">
        <v>4426</v>
      </c>
      <c r="B996">
        <v>1</v>
      </c>
      <c r="C996">
        <v>1</v>
      </c>
      <c r="D996">
        <v>1</v>
      </c>
    </row>
    <row r="997" spans="1:4" ht="15" x14ac:dyDescent="0.25">
      <c r="A997" t="s">
        <v>4428</v>
      </c>
      <c r="B997">
        <v>2</v>
      </c>
      <c r="C997">
        <v>46</v>
      </c>
      <c r="D997">
        <v>23</v>
      </c>
    </row>
    <row r="998" spans="1:4" ht="15" x14ac:dyDescent="0.25">
      <c r="A998" t="s">
        <v>4427</v>
      </c>
      <c r="B998">
        <v>5</v>
      </c>
      <c r="C998">
        <v>91</v>
      </c>
      <c r="D998">
        <v>18.2</v>
      </c>
    </row>
    <row r="999" spans="1:4" ht="15" x14ac:dyDescent="0.25">
      <c r="A999" t="s">
        <v>4432</v>
      </c>
      <c r="B999">
        <v>1</v>
      </c>
      <c r="C999">
        <v>8</v>
      </c>
      <c r="D999">
        <v>8</v>
      </c>
    </row>
    <row r="1000" spans="1:4" ht="15" x14ac:dyDescent="0.25">
      <c r="A1000" t="s">
        <v>4433</v>
      </c>
      <c r="B1000">
        <v>1</v>
      </c>
      <c r="C1000">
        <v>8</v>
      </c>
      <c r="D1000">
        <v>8</v>
      </c>
    </row>
    <row r="1001" spans="1:4" ht="15" x14ac:dyDescent="0.25">
      <c r="A1001" t="s">
        <v>4434</v>
      </c>
      <c r="B1001">
        <v>1</v>
      </c>
      <c r="C1001">
        <v>8</v>
      </c>
      <c r="D1001">
        <v>8</v>
      </c>
    </row>
    <row r="1002" spans="1:4" ht="15" x14ac:dyDescent="0.25">
      <c r="A1002" t="s">
        <v>4438</v>
      </c>
      <c r="B1002">
        <v>5</v>
      </c>
      <c r="C1002">
        <v>446</v>
      </c>
      <c r="D1002">
        <v>89.2</v>
      </c>
    </row>
    <row r="1003" spans="1:4" ht="15" x14ac:dyDescent="0.25">
      <c r="A1003" t="s">
        <v>4439</v>
      </c>
      <c r="B1003">
        <v>2</v>
      </c>
      <c r="C1003">
        <v>41</v>
      </c>
      <c r="D1003">
        <v>20.5</v>
      </c>
    </row>
    <row r="1004" spans="1:4" ht="15" x14ac:dyDescent="0.25">
      <c r="A1004" t="s">
        <v>4441</v>
      </c>
      <c r="B1004">
        <v>1</v>
      </c>
      <c r="C1004">
        <v>32</v>
      </c>
      <c r="D1004">
        <v>32</v>
      </c>
    </row>
    <row r="1005" spans="1:4" ht="15" x14ac:dyDescent="0.25">
      <c r="A1005" t="s">
        <v>4440</v>
      </c>
      <c r="B1005">
        <v>1</v>
      </c>
      <c r="C1005">
        <v>32</v>
      </c>
      <c r="D1005">
        <v>32</v>
      </c>
    </row>
    <row r="1006" spans="1:4" ht="15" x14ac:dyDescent="0.25">
      <c r="A1006" t="s">
        <v>4446</v>
      </c>
      <c r="B1006">
        <v>1</v>
      </c>
      <c r="C1006">
        <v>69</v>
      </c>
      <c r="D1006">
        <v>69</v>
      </c>
    </row>
    <row r="1007" spans="1:4" ht="15" x14ac:dyDescent="0.25">
      <c r="A1007" t="s">
        <v>4447</v>
      </c>
      <c r="B1007">
        <v>1</v>
      </c>
      <c r="C1007">
        <v>69</v>
      </c>
      <c r="D1007">
        <v>69</v>
      </c>
    </row>
    <row r="1008" spans="1:4" ht="15" x14ac:dyDescent="0.25">
      <c r="A1008" t="s">
        <v>4449</v>
      </c>
      <c r="B1008">
        <v>1</v>
      </c>
      <c r="C1008">
        <v>69</v>
      </c>
      <c r="D1008">
        <v>69</v>
      </c>
    </row>
    <row r="1009" spans="1:4" ht="15" x14ac:dyDescent="0.25">
      <c r="A1009" t="s">
        <v>4448</v>
      </c>
      <c r="B1009">
        <v>1</v>
      </c>
      <c r="C1009">
        <v>69</v>
      </c>
      <c r="D1009">
        <v>69</v>
      </c>
    </row>
    <row r="1010" spans="1:4" ht="15" x14ac:dyDescent="0.25">
      <c r="A1010" t="s">
        <v>4456</v>
      </c>
      <c r="B1010">
        <v>1</v>
      </c>
      <c r="C1010">
        <v>46</v>
      </c>
      <c r="D1010">
        <v>46</v>
      </c>
    </row>
    <row r="1011" spans="1:4" ht="15" x14ac:dyDescent="0.25">
      <c r="A1011" t="s">
        <v>4457</v>
      </c>
      <c r="B1011">
        <v>1</v>
      </c>
      <c r="C1011">
        <v>46</v>
      </c>
      <c r="D1011">
        <v>46</v>
      </c>
    </row>
    <row r="1012" spans="1:4" ht="15" x14ac:dyDescent="0.25">
      <c r="A1012" t="s">
        <v>4461</v>
      </c>
      <c r="B1012">
        <v>1</v>
      </c>
      <c r="C1012">
        <v>47</v>
      </c>
      <c r="D1012">
        <v>47</v>
      </c>
    </row>
    <row r="1013" spans="1:4" ht="15" x14ac:dyDescent="0.25">
      <c r="A1013" t="s">
        <v>4463</v>
      </c>
      <c r="B1013">
        <v>1</v>
      </c>
      <c r="C1013">
        <v>47</v>
      </c>
      <c r="D1013">
        <v>47</v>
      </c>
    </row>
    <row r="1014" spans="1:4" ht="15" x14ac:dyDescent="0.25">
      <c r="A1014" t="s">
        <v>4464</v>
      </c>
      <c r="B1014">
        <v>16</v>
      </c>
      <c r="C1014">
        <v>929</v>
      </c>
      <c r="D1014">
        <v>58.0625</v>
      </c>
    </row>
    <row r="1015" spans="1:4" ht="15" x14ac:dyDescent="0.25">
      <c r="A1015" t="s">
        <v>4462</v>
      </c>
      <c r="B1015">
        <v>10</v>
      </c>
      <c r="C1015">
        <v>439</v>
      </c>
      <c r="D1015">
        <v>43.9</v>
      </c>
    </row>
    <row r="1016" spans="1:4" ht="15" x14ac:dyDescent="0.25">
      <c r="A1016" t="s">
        <v>4468</v>
      </c>
      <c r="B1016">
        <v>1</v>
      </c>
      <c r="C1016">
        <v>41</v>
      </c>
      <c r="D1016">
        <v>41</v>
      </c>
    </row>
    <row r="1017" spans="1:4" ht="15" x14ac:dyDescent="0.25">
      <c r="A1017" t="s">
        <v>4473</v>
      </c>
      <c r="B1017">
        <v>1</v>
      </c>
      <c r="C1017">
        <v>22</v>
      </c>
      <c r="D1017">
        <v>22</v>
      </c>
    </row>
    <row r="1018" spans="1:4" ht="15" x14ac:dyDescent="0.25">
      <c r="A1018" t="s">
        <v>4475</v>
      </c>
      <c r="B1018">
        <v>1</v>
      </c>
      <c r="C1018">
        <v>22</v>
      </c>
      <c r="D1018">
        <v>22</v>
      </c>
    </row>
    <row r="1019" spans="1:4" ht="15" x14ac:dyDescent="0.25">
      <c r="A1019" t="s">
        <v>4476</v>
      </c>
      <c r="B1019">
        <v>1</v>
      </c>
      <c r="C1019">
        <v>22</v>
      </c>
      <c r="D1019">
        <v>22</v>
      </c>
    </row>
    <row r="1020" spans="1:4" ht="15" x14ac:dyDescent="0.25">
      <c r="A1020" t="s">
        <v>4474</v>
      </c>
      <c r="B1020">
        <v>1</v>
      </c>
      <c r="C1020">
        <v>22</v>
      </c>
      <c r="D1020">
        <v>22</v>
      </c>
    </row>
    <row r="1021" spans="1:4" ht="15" x14ac:dyDescent="0.25">
      <c r="A1021" t="s">
        <v>4481</v>
      </c>
      <c r="B1021">
        <v>1</v>
      </c>
      <c r="C1021">
        <v>79</v>
      </c>
      <c r="D1021">
        <v>79</v>
      </c>
    </row>
    <row r="1022" spans="1:4" ht="15" x14ac:dyDescent="0.25">
      <c r="A1022" t="s">
        <v>4482</v>
      </c>
      <c r="B1022">
        <v>2</v>
      </c>
      <c r="C1022">
        <v>176</v>
      </c>
      <c r="D1022">
        <v>88</v>
      </c>
    </row>
    <row r="1023" spans="1:4" ht="15" x14ac:dyDescent="0.25">
      <c r="A1023" t="s">
        <v>4484</v>
      </c>
      <c r="B1023">
        <v>1</v>
      </c>
      <c r="C1023">
        <v>79</v>
      </c>
      <c r="D1023">
        <v>79</v>
      </c>
    </row>
    <row r="1024" spans="1:4" ht="15" x14ac:dyDescent="0.25">
      <c r="A1024" t="s">
        <v>4485</v>
      </c>
      <c r="B1024">
        <v>1</v>
      </c>
      <c r="C1024">
        <v>79</v>
      </c>
      <c r="D1024">
        <v>79</v>
      </c>
    </row>
    <row r="1025" spans="1:4" ht="15" x14ac:dyDescent="0.25">
      <c r="A1025" t="s">
        <v>4483</v>
      </c>
      <c r="B1025">
        <v>1</v>
      </c>
      <c r="C1025">
        <v>79</v>
      </c>
      <c r="D1025">
        <v>79</v>
      </c>
    </row>
    <row r="1026" spans="1:4" ht="15" x14ac:dyDescent="0.25">
      <c r="A1026" t="s">
        <v>4489</v>
      </c>
      <c r="B1026">
        <v>1</v>
      </c>
      <c r="C1026">
        <v>22</v>
      </c>
      <c r="D1026">
        <v>22</v>
      </c>
    </row>
    <row r="1027" spans="1:4" ht="15" x14ac:dyDescent="0.25">
      <c r="A1027" t="s">
        <v>4490</v>
      </c>
      <c r="B1027">
        <v>2</v>
      </c>
      <c r="C1027">
        <v>43</v>
      </c>
      <c r="D1027">
        <v>21.5</v>
      </c>
    </row>
    <row r="1028" spans="1:4" ht="15" x14ac:dyDescent="0.25">
      <c r="A1028" t="s">
        <v>4494</v>
      </c>
      <c r="B1028">
        <v>1</v>
      </c>
      <c r="C1028">
        <v>52</v>
      </c>
      <c r="D1028">
        <v>52</v>
      </c>
    </row>
    <row r="1029" spans="1:4" ht="15" x14ac:dyDescent="0.25">
      <c r="A1029" t="s">
        <v>4495</v>
      </c>
      <c r="B1029">
        <v>2</v>
      </c>
      <c r="C1029">
        <v>100</v>
      </c>
      <c r="D1029">
        <v>50</v>
      </c>
    </row>
    <row r="1030" spans="1:4" ht="15" x14ac:dyDescent="0.25">
      <c r="A1030" t="s">
        <v>4499</v>
      </c>
      <c r="B1030">
        <v>2</v>
      </c>
      <c r="C1030">
        <v>45</v>
      </c>
      <c r="D1030">
        <v>22.5</v>
      </c>
    </row>
    <row r="1031" spans="1:4" ht="15" x14ac:dyDescent="0.25">
      <c r="A1031" t="s">
        <v>4501</v>
      </c>
      <c r="B1031">
        <v>1</v>
      </c>
      <c r="C1031">
        <v>6</v>
      </c>
      <c r="D1031">
        <v>6</v>
      </c>
    </row>
    <row r="1032" spans="1:4" ht="15" x14ac:dyDescent="0.25">
      <c r="A1032" t="s">
        <v>4502</v>
      </c>
      <c r="B1032">
        <v>1</v>
      </c>
      <c r="C1032">
        <v>6</v>
      </c>
      <c r="D1032">
        <v>6</v>
      </c>
    </row>
    <row r="1033" spans="1:4" ht="15" x14ac:dyDescent="0.25">
      <c r="A1033" t="s">
        <v>4500</v>
      </c>
      <c r="B1033">
        <v>1</v>
      </c>
      <c r="C1033">
        <v>6</v>
      </c>
      <c r="D1033">
        <v>6</v>
      </c>
    </row>
    <row r="1034" spans="1:4" ht="15" x14ac:dyDescent="0.25">
      <c r="A1034" t="s">
        <v>4506</v>
      </c>
      <c r="B1034">
        <v>1</v>
      </c>
      <c r="C1034">
        <v>12</v>
      </c>
      <c r="D1034">
        <v>12</v>
      </c>
    </row>
    <row r="1035" spans="1:4" ht="15" x14ac:dyDescent="0.25">
      <c r="A1035" t="s">
        <v>4508</v>
      </c>
      <c r="B1035">
        <v>1</v>
      </c>
      <c r="C1035">
        <v>12</v>
      </c>
      <c r="D1035">
        <v>12</v>
      </c>
    </row>
    <row r="1036" spans="1:4" ht="15" x14ac:dyDescent="0.25">
      <c r="A1036" t="s">
        <v>4507</v>
      </c>
      <c r="B1036">
        <v>1</v>
      </c>
      <c r="C1036">
        <v>12</v>
      </c>
      <c r="D1036">
        <v>12</v>
      </c>
    </row>
    <row r="1037" spans="1:4" ht="15" x14ac:dyDescent="0.25">
      <c r="A1037" t="s">
        <v>4512</v>
      </c>
      <c r="B1037">
        <v>1</v>
      </c>
      <c r="C1037">
        <v>20</v>
      </c>
      <c r="D1037">
        <v>20</v>
      </c>
    </row>
    <row r="1038" spans="1:4" ht="15" x14ac:dyDescent="0.25">
      <c r="A1038" t="s">
        <v>4514</v>
      </c>
      <c r="B1038">
        <v>40</v>
      </c>
      <c r="C1038">
        <v>3652</v>
      </c>
      <c r="D1038">
        <v>91.3</v>
      </c>
    </row>
    <row r="1039" spans="1:4" ht="15" x14ac:dyDescent="0.25">
      <c r="A1039" t="s">
        <v>4513</v>
      </c>
      <c r="B1039">
        <v>20</v>
      </c>
      <c r="C1039">
        <v>1156</v>
      </c>
      <c r="D1039">
        <v>57.8</v>
      </c>
    </row>
    <row r="1040" spans="1:4" ht="15" x14ac:dyDescent="0.25">
      <c r="A1040" t="s">
        <v>4519</v>
      </c>
      <c r="B1040">
        <v>8</v>
      </c>
      <c r="C1040">
        <v>377</v>
      </c>
      <c r="D1040">
        <v>47.125</v>
      </c>
    </row>
    <row r="1041" spans="1:4" ht="15" x14ac:dyDescent="0.25">
      <c r="A1041" t="s">
        <v>4518</v>
      </c>
      <c r="B1041">
        <v>1</v>
      </c>
      <c r="C1041">
        <v>39</v>
      </c>
      <c r="D1041">
        <v>39</v>
      </c>
    </row>
    <row r="1042" spans="1:4" ht="15" x14ac:dyDescent="0.25">
      <c r="A1042" t="s">
        <v>4524</v>
      </c>
      <c r="B1042">
        <v>4</v>
      </c>
      <c r="C1042">
        <v>84</v>
      </c>
      <c r="D1042">
        <v>21</v>
      </c>
    </row>
    <row r="1043" spans="1:4" ht="15" x14ac:dyDescent="0.25">
      <c r="A1043" t="s">
        <v>4526</v>
      </c>
      <c r="B1043">
        <v>1</v>
      </c>
      <c r="C1043">
        <v>17</v>
      </c>
      <c r="D1043">
        <v>17</v>
      </c>
    </row>
    <row r="1044" spans="1:4" ht="15" x14ac:dyDescent="0.25">
      <c r="A1044" t="s">
        <v>4525</v>
      </c>
      <c r="B1044">
        <v>4</v>
      </c>
      <c r="C1044">
        <v>115</v>
      </c>
      <c r="D1044">
        <v>28.75</v>
      </c>
    </row>
    <row r="1045" spans="1:4" ht="15" x14ac:dyDescent="0.25">
      <c r="A1045" t="s">
        <v>4530</v>
      </c>
      <c r="B1045">
        <v>1</v>
      </c>
      <c r="C1045">
        <v>66</v>
      </c>
      <c r="D1045">
        <v>66</v>
      </c>
    </row>
    <row r="1046" spans="1:4" ht="15" x14ac:dyDescent="0.25">
      <c r="A1046" t="s">
        <v>4531</v>
      </c>
      <c r="B1046">
        <v>1</v>
      </c>
      <c r="C1046">
        <v>66</v>
      </c>
      <c r="D1046">
        <v>66</v>
      </c>
    </row>
    <row r="1047" spans="1:4" ht="15" x14ac:dyDescent="0.25">
      <c r="A1047" t="s">
        <v>4538</v>
      </c>
      <c r="B1047">
        <v>37</v>
      </c>
      <c r="C1047">
        <v>1132</v>
      </c>
      <c r="D1047">
        <v>30.594594594594593</v>
      </c>
    </row>
    <row r="1048" spans="1:4" ht="15" x14ac:dyDescent="0.25">
      <c r="A1048" t="s">
        <v>4539</v>
      </c>
      <c r="B1048">
        <v>15</v>
      </c>
      <c r="C1048">
        <v>376</v>
      </c>
      <c r="D1048">
        <v>25.066666666666666</v>
      </c>
    </row>
    <row r="1049" spans="1:4" ht="15" x14ac:dyDescent="0.25">
      <c r="A1049" t="s">
        <v>4541</v>
      </c>
      <c r="B1049">
        <v>11</v>
      </c>
      <c r="C1049">
        <v>304</v>
      </c>
      <c r="D1049">
        <v>27.636363636363637</v>
      </c>
    </row>
    <row r="1050" spans="1:4" ht="15" x14ac:dyDescent="0.25">
      <c r="A1050" t="s">
        <v>4542</v>
      </c>
      <c r="B1050">
        <v>20</v>
      </c>
      <c r="C1050">
        <v>448</v>
      </c>
      <c r="D1050">
        <v>22.4</v>
      </c>
    </row>
    <row r="1051" spans="1:4" ht="15" x14ac:dyDescent="0.25">
      <c r="A1051" t="s">
        <v>4540</v>
      </c>
      <c r="B1051">
        <v>23</v>
      </c>
      <c r="C1051">
        <v>808</v>
      </c>
      <c r="D1051">
        <v>35.130434782608695</v>
      </c>
    </row>
    <row r="1052" spans="1:4" ht="15" x14ac:dyDescent="0.25">
      <c r="A1052" t="s">
        <v>4546</v>
      </c>
      <c r="B1052">
        <v>1</v>
      </c>
      <c r="C1052">
        <v>1641</v>
      </c>
      <c r="D1052">
        <v>1641</v>
      </c>
    </row>
    <row r="1053" spans="1:4" ht="15" x14ac:dyDescent="0.25">
      <c r="A1053" t="s">
        <v>4547</v>
      </c>
      <c r="B1053">
        <v>11</v>
      </c>
      <c r="C1053">
        <v>3914</v>
      </c>
      <c r="D1053">
        <v>355.81818181818181</v>
      </c>
    </row>
    <row r="1054" spans="1:4" ht="15" x14ac:dyDescent="0.25">
      <c r="A1054" t="s">
        <v>4549</v>
      </c>
      <c r="B1054">
        <v>3</v>
      </c>
      <c r="C1054">
        <v>3024</v>
      </c>
      <c r="D1054">
        <v>1008</v>
      </c>
    </row>
    <row r="1055" spans="1:4" ht="15" x14ac:dyDescent="0.25">
      <c r="A1055" t="s">
        <v>4550</v>
      </c>
      <c r="B1055">
        <v>2</v>
      </c>
      <c r="C1055">
        <v>2820</v>
      </c>
      <c r="D1055">
        <v>1410</v>
      </c>
    </row>
    <row r="1056" spans="1:4" ht="15" x14ac:dyDescent="0.25">
      <c r="A1056" t="s">
        <v>4548</v>
      </c>
      <c r="B1056">
        <v>2</v>
      </c>
      <c r="C1056">
        <v>1763</v>
      </c>
      <c r="D1056">
        <v>881.5</v>
      </c>
    </row>
    <row r="1057" spans="1:4" ht="15" x14ac:dyDescent="0.25">
      <c r="A1057" t="s">
        <v>4554</v>
      </c>
      <c r="B1057">
        <v>1</v>
      </c>
      <c r="C1057">
        <v>9</v>
      </c>
      <c r="D1057">
        <v>9</v>
      </c>
    </row>
    <row r="1058" spans="1:4" ht="15" x14ac:dyDescent="0.25">
      <c r="A1058" t="s">
        <v>4555</v>
      </c>
      <c r="B1058">
        <v>4</v>
      </c>
      <c r="C1058">
        <v>417</v>
      </c>
      <c r="D1058">
        <v>104.25</v>
      </c>
    </row>
    <row r="1059" spans="1:4" ht="15" x14ac:dyDescent="0.25">
      <c r="A1059" t="s">
        <v>4557</v>
      </c>
      <c r="B1059">
        <v>2</v>
      </c>
      <c r="C1059">
        <v>39</v>
      </c>
      <c r="D1059">
        <v>19.5</v>
      </c>
    </row>
    <row r="1060" spans="1:4" ht="15" x14ac:dyDescent="0.25">
      <c r="A1060" t="s">
        <v>4558</v>
      </c>
      <c r="B1060">
        <v>1</v>
      </c>
      <c r="C1060">
        <v>9</v>
      </c>
      <c r="D1060">
        <v>9</v>
      </c>
    </row>
    <row r="1061" spans="1:4" ht="15" x14ac:dyDescent="0.25">
      <c r="A1061" t="s">
        <v>4556</v>
      </c>
      <c r="B1061">
        <v>2</v>
      </c>
      <c r="C1061">
        <v>16</v>
      </c>
      <c r="D1061">
        <v>8</v>
      </c>
    </row>
    <row r="1062" spans="1:4" ht="15" x14ac:dyDescent="0.25">
      <c r="A1062" t="s">
        <v>4560</v>
      </c>
      <c r="B1062">
        <v>1</v>
      </c>
      <c r="C1062">
        <v>34</v>
      </c>
      <c r="D1062">
        <v>34</v>
      </c>
    </row>
    <row r="1063" spans="1:4" ht="15" x14ac:dyDescent="0.25">
      <c r="A1063" t="s">
        <v>4561</v>
      </c>
      <c r="B1063">
        <v>36</v>
      </c>
      <c r="C1063">
        <v>4597</v>
      </c>
      <c r="D1063">
        <v>127.69444444444444</v>
      </c>
    </row>
    <row r="1064" spans="1:4" ht="15" x14ac:dyDescent="0.25">
      <c r="A1064" t="s">
        <v>4563</v>
      </c>
      <c r="B1064">
        <v>5</v>
      </c>
      <c r="C1064">
        <v>350</v>
      </c>
      <c r="D1064">
        <v>70</v>
      </c>
    </row>
    <row r="1065" spans="1:4" ht="15" x14ac:dyDescent="0.25">
      <c r="A1065" t="s">
        <v>4564</v>
      </c>
      <c r="B1065">
        <v>18</v>
      </c>
      <c r="C1065">
        <v>2105</v>
      </c>
      <c r="D1065">
        <v>116.94444444444444</v>
      </c>
    </row>
    <row r="1066" spans="1:4" ht="15" x14ac:dyDescent="0.25">
      <c r="A1066" t="s">
        <v>4562</v>
      </c>
      <c r="B1066">
        <v>3</v>
      </c>
      <c r="C1066">
        <v>127</v>
      </c>
      <c r="D1066">
        <v>42.333333333333336</v>
      </c>
    </row>
    <row r="1067" spans="1:4" ht="15" x14ac:dyDescent="0.25">
      <c r="A1067" t="s">
        <v>4569</v>
      </c>
      <c r="B1067">
        <v>3</v>
      </c>
      <c r="C1067">
        <v>233</v>
      </c>
      <c r="D1067">
        <v>77.666666666666671</v>
      </c>
    </row>
    <row r="1068" spans="1:4" ht="15" x14ac:dyDescent="0.25">
      <c r="A1068" t="s">
        <v>4570</v>
      </c>
      <c r="B1068">
        <v>2</v>
      </c>
      <c r="C1068">
        <v>106</v>
      </c>
      <c r="D1068">
        <v>53</v>
      </c>
    </row>
    <row r="1069" spans="1:4" ht="15" x14ac:dyDescent="0.25">
      <c r="A1069" t="s">
        <v>4572</v>
      </c>
      <c r="B1069">
        <v>1</v>
      </c>
      <c r="C1069">
        <v>97</v>
      </c>
      <c r="D1069">
        <v>97</v>
      </c>
    </row>
    <row r="1070" spans="1:4" ht="15" x14ac:dyDescent="0.25">
      <c r="A1070" t="s">
        <v>4571</v>
      </c>
      <c r="B1070">
        <v>7</v>
      </c>
      <c r="C1070">
        <v>594</v>
      </c>
      <c r="D1070">
        <v>84.857142857142861</v>
      </c>
    </row>
    <row r="1071" spans="1:4" ht="15" x14ac:dyDescent="0.25">
      <c r="A1071" t="s">
        <v>4577</v>
      </c>
      <c r="B1071">
        <v>1</v>
      </c>
      <c r="C1071">
        <v>10</v>
      </c>
      <c r="D1071">
        <v>10</v>
      </c>
    </row>
    <row r="1072" spans="1:4" ht="15" x14ac:dyDescent="0.25">
      <c r="A1072" t="s">
        <v>4578</v>
      </c>
      <c r="B1072">
        <v>1</v>
      </c>
      <c r="C1072">
        <v>10</v>
      </c>
      <c r="D1072">
        <v>10</v>
      </c>
    </row>
    <row r="1073" spans="1:4" ht="15" x14ac:dyDescent="0.25">
      <c r="A1073" t="s">
        <v>4576</v>
      </c>
      <c r="B1073">
        <v>1</v>
      </c>
      <c r="C1073">
        <v>10</v>
      </c>
      <c r="D1073">
        <v>10</v>
      </c>
    </row>
    <row r="1074" spans="1:4" ht="15" x14ac:dyDescent="0.25">
      <c r="A1074" t="s">
        <v>4582</v>
      </c>
      <c r="B1074">
        <v>55</v>
      </c>
      <c r="C1074">
        <v>1745</v>
      </c>
      <c r="D1074">
        <v>31.727272727272727</v>
      </c>
    </row>
    <row r="1075" spans="1:4" ht="15" x14ac:dyDescent="0.25">
      <c r="A1075" t="s">
        <v>4583</v>
      </c>
      <c r="B1075">
        <v>4</v>
      </c>
      <c r="C1075">
        <v>241</v>
      </c>
      <c r="D1075">
        <v>60.25</v>
      </c>
    </row>
    <row r="1076" spans="1:4" ht="15" x14ac:dyDescent="0.25">
      <c r="A1076" t="s">
        <v>4585</v>
      </c>
      <c r="B1076">
        <v>1</v>
      </c>
      <c r="C1076">
        <v>10</v>
      </c>
      <c r="D1076">
        <v>10</v>
      </c>
    </row>
    <row r="1077" spans="1:4" ht="15" x14ac:dyDescent="0.25">
      <c r="A1077" t="s">
        <v>4584</v>
      </c>
      <c r="B1077">
        <v>6</v>
      </c>
      <c r="C1077">
        <v>178</v>
      </c>
      <c r="D1077">
        <v>29.666666666666668</v>
      </c>
    </row>
    <row r="1078" spans="1:4" ht="15" x14ac:dyDescent="0.25">
      <c r="A1078" t="s">
        <v>4589</v>
      </c>
      <c r="B1078">
        <v>8</v>
      </c>
      <c r="C1078">
        <v>650</v>
      </c>
      <c r="D1078">
        <v>81.25</v>
      </c>
    </row>
    <row r="1079" spans="1:4" ht="15" x14ac:dyDescent="0.25">
      <c r="A1079" t="s">
        <v>4591</v>
      </c>
      <c r="B1079">
        <v>2</v>
      </c>
      <c r="C1079">
        <v>69</v>
      </c>
      <c r="D1079">
        <v>34.5</v>
      </c>
    </row>
    <row r="1080" spans="1:4" ht="15" x14ac:dyDescent="0.25">
      <c r="A1080" t="s">
        <v>4590</v>
      </c>
      <c r="B1080">
        <v>2</v>
      </c>
      <c r="C1080">
        <v>219</v>
      </c>
      <c r="D1080">
        <v>109.5</v>
      </c>
    </row>
    <row r="1081" spans="1:4" ht="15" x14ac:dyDescent="0.25">
      <c r="A1081" t="s">
        <v>4595</v>
      </c>
      <c r="B1081">
        <v>1</v>
      </c>
      <c r="C1081">
        <v>30</v>
      </c>
      <c r="D1081">
        <v>30</v>
      </c>
    </row>
    <row r="1082" spans="1:4" ht="15" x14ac:dyDescent="0.25">
      <c r="A1082" t="s">
        <v>4597</v>
      </c>
      <c r="B1082">
        <v>1</v>
      </c>
      <c r="C1082">
        <v>30</v>
      </c>
      <c r="D1082">
        <v>30</v>
      </c>
    </row>
    <row r="1083" spans="1:4" ht="15" x14ac:dyDescent="0.25">
      <c r="A1083" t="s">
        <v>4596</v>
      </c>
      <c r="B1083">
        <v>1</v>
      </c>
      <c r="C1083">
        <v>30</v>
      </c>
      <c r="D1083">
        <v>30</v>
      </c>
    </row>
    <row r="1084" spans="1:4" ht="15" x14ac:dyDescent="0.25">
      <c r="A1084" t="s">
        <v>4603</v>
      </c>
      <c r="B1084">
        <v>3</v>
      </c>
      <c r="C1084">
        <v>71</v>
      </c>
      <c r="D1084">
        <v>23.666666666666668</v>
      </c>
    </row>
    <row r="1085" spans="1:4" ht="15" x14ac:dyDescent="0.25">
      <c r="A1085" t="s">
        <v>4605</v>
      </c>
      <c r="B1085">
        <v>2</v>
      </c>
      <c r="C1085">
        <v>54</v>
      </c>
      <c r="D1085">
        <v>27</v>
      </c>
    </row>
    <row r="1086" spans="1:4" ht="15" x14ac:dyDescent="0.25">
      <c r="A1086" t="s">
        <v>4606</v>
      </c>
      <c r="B1086">
        <v>3</v>
      </c>
      <c r="C1086">
        <v>70</v>
      </c>
      <c r="D1086">
        <v>23.333333333333332</v>
      </c>
    </row>
    <row r="1087" spans="1:4" ht="15" x14ac:dyDescent="0.25">
      <c r="A1087" t="s">
        <v>4604</v>
      </c>
      <c r="B1087">
        <v>1</v>
      </c>
      <c r="C1087">
        <v>21</v>
      </c>
      <c r="D1087">
        <v>21</v>
      </c>
    </row>
    <row r="1088" spans="1:4" ht="15" x14ac:dyDescent="0.25">
      <c r="A1088" t="s">
        <v>4611</v>
      </c>
      <c r="B1088">
        <v>1</v>
      </c>
      <c r="C1088">
        <v>94</v>
      </c>
      <c r="D1088">
        <v>94</v>
      </c>
    </row>
    <row r="1089" spans="1:4" ht="15" x14ac:dyDescent="0.25">
      <c r="A1089" t="s">
        <v>4612</v>
      </c>
      <c r="B1089">
        <v>1</v>
      </c>
      <c r="C1089">
        <v>94</v>
      </c>
      <c r="D1089">
        <v>94</v>
      </c>
    </row>
    <row r="1090" spans="1:4" ht="15" x14ac:dyDescent="0.25">
      <c r="A1090" t="s">
        <v>4615</v>
      </c>
      <c r="B1090">
        <v>10</v>
      </c>
      <c r="C1090">
        <v>327</v>
      </c>
      <c r="D1090">
        <v>32.700000000000003</v>
      </c>
    </row>
    <row r="1091" spans="1:4" ht="15" x14ac:dyDescent="0.25">
      <c r="A1091" t="s">
        <v>4620</v>
      </c>
      <c r="B1091">
        <v>86</v>
      </c>
      <c r="C1091">
        <v>4761</v>
      </c>
      <c r="D1091">
        <v>55.360465116279073</v>
      </c>
    </row>
    <row r="1092" spans="1:4" ht="15" x14ac:dyDescent="0.25">
      <c r="A1092" t="s">
        <v>4621</v>
      </c>
      <c r="B1092">
        <v>9</v>
      </c>
      <c r="C1092">
        <v>312</v>
      </c>
      <c r="D1092">
        <v>34.666666666666664</v>
      </c>
    </row>
    <row r="1093" spans="1:4" ht="15" x14ac:dyDescent="0.25">
      <c r="A1093" t="s">
        <v>4622</v>
      </c>
      <c r="B1093">
        <v>13</v>
      </c>
      <c r="C1093">
        <v>603</v>
      </c>
      <c r="D1093">
        <v>46.384615384615387</v>
      </c>
    </row>
    <row r="1094" spans="1:4" ht="15" x14ac:dyDescent="0.25">
      <c r="A1094" t="s">
        <v>4623</v>
      </c>
      <c r="B1094">
        <v>13</v>
      </c>
      <c r="C1094">
        <v>401</v>
      </c>
      <c r="D1094">
        <v>30.846153846153847</v>
      </c>
    </row>
    <row r="1095" spans="1:4" ht="15" x14ac:dyDescent="0.25">
      <c r="A1095" t="s">
        <v>4627</v>
      </c>
      <c r="B1095">
        <v>1</v>
      </c>
      <c r="C1095">
        <v>54</v>
      </c>
      <c r="D1095">
        <v>54</v>
      </c>
    </row>
    <row r="1096" spans="1:4" ht="15" x14ac:dyDescent="0.25">
      <c r="A1096" t="s">
        <v>4628</v>
      </c>
      <c r="B1096">
        <v>1</v>
      </c>
      <c r="C1096">
        <v>54</v>
      </c>
      <c r="D1096">
        <v>54</v>
      </c>
    </row>
    <row r="1097" spans="1:4" ht="15" x14ac:dyDescent="0.25">
      <c r="A1097" t="s">
        <v>4629</v>
      </c>
      <c r="B1097">
        <v>1</v>
      </c>
      <c r="C1097">
        <v>54</v>
      </c>
      <c r="D1097">
        <v>54</v>
      </c>
    </row>
    <row r="1098" spans="1:4" ht="15" x14ac:dyDescent="0.25">
      <c r="A1098" t="s">
        <v>4633</v>
      </c>
      <c r="B1098">
        <v>1</v>
      </c>
      <c r="C1098">
        <v>59</v>
      </c>
      <c r="D1098">
        <v>59</v>
      </c>
    </row>
    <row r="1099" spans="1:4" ht="15" x14ac:dyDescent="0.25">
      <c r="A1099" t="s">
        <v>4634</v>
      </c>
      <c r="B1099">
        <v>1</v>
      </c>
      <c r="C1099">
        <v>59</v>
      </c>
      <c r="D1099">
        <v>59</v>
      </c>
    </row>
    <row r="1100" spans="1:4" ht="15" x14ac:dyDescent="0.25">
      <c r="A1100" t="s">
        <v>4636</v>
      </c>
      <c r="B1100">
        <v>1</v>
      </c>
      <c r="C1100">
        <v>59</v>
      </c>
      <c r="D1100">
        <v>59</v>
      </c>
    </row>
    <row r="1101" spans="1:4" ht="15" x14ac:dyDescent="0.25">
      <c r="A1101" t="s">
        <v>4635</v>
      </c>
      <c r="B1101">
        <v>1</v>
      </c>
      <c r="C1101">
        <v>59</v>
      </c>
      <c r="D1101">
        <v>59</v>
      </c>
    </row>
    <row r="1102" spans="1:4" ht="15" x14ac:dyDescent="0.25">
      <c r="A1102" t="s">
        <v>4640</v>
      </c>
      <c r="B1102">
        <v>1</v>
      </c>
      <c r="C1102">
        <v>30</v>
      </c>
      <c r="D1102">
        <v>30</v>
      </c>
    </row>
    <row r="1103" spans="1:4" ht="15" x14ac:dyDescent="0.25">
      <c r="A1103" t="s">
        <v>4645</v>
      </c>
      <c r="B1103">
        <v>8</v>
      </c>
      <c r="C1103">
        <v>616</v>
      </c>
      <c r="D1103">
        <v>77</v>
      </c>
    </row>
    <row r="1104" spans="1:4" ht="15" x14ac:dyDescent="0.25">
      <c r="A1104" t="s">
        <v>4646</v>
      </c>
      <c r="B1104">
        <v>6</v>
      </c>
      <c r="C1104">
        <v>307</v>
      </c>
      <c r="D1104">
        <v>51.166666666666664</v>
      </c>
    </row>
    <row r="1105" spans="1:4" ht="15" x14ac:dyDescent="0.25">
      <c r="A1105" t="s">
        <v>4648</v>
      </c>
      <c r="B1105">
        <v>1</v>
      </c>
      <c r="C1105">
        <v>133</v>
      </c>
      <c r="D1105">
        <v>133</v>
      </c>
    </row>
    <row r="1106" spans="1:4" ht="15" x14ac:dyDescent="0.25">
      <c r="A1106" t="s">
        <v>4649</v>
      </c>
      <c r="B1106">
        <v>1</v>
      </c>
      <c r="C1106">
        <v>133</v>
      </c>
      <c r="D1106">
        <v>133</v>
      </c>
    </row>
    <row r="1107" spans="1:4" ht="15" x14ac:dyDescent="0.25">
      <c r="A1107" t="s">
        <v>4647</v>
      </c>
      <c r="B1107">
        <v>1</v>
      </c>
      <c r="C1107">
        <v>133</v>
      </c>
      <c r="D1107">
        <v>133</v>
      </c>
    </row>
    <row r="1108" spans="1:4" ht="15" x14ac:dyDescent="0.25">
      <c r="A1108" t="s">
        <v>4653</v>
      </c>
      <c r="B1108">
        <v>7</v>
      </c>
      <c r="C1108">
        <v>2649</v>
      </c>
      <c r="D1108">
        <v>378.42857142857144</v>
      </c>
    </row>
    <row r="1109" spans="1:4" ht="15" x14ac:dyDescent="0.25">
      <c r="A1109" t="s">
        <v>4654</v>
      </c>
      <c r="B1109">
        <v>2</v>
      </c>
      <c r="C1109">
        <v>1918</v>
      </c>
      <c r="D1109">
        <v>959</v>
      </c>
    </row>
    <row r="1110" spans="1:4" ht="15" x14ac:dyDescent="0.25">
      <c r="A1110" t="s">
        <v>4655</v>
      </c>
      <c r="B1110">
        <v>1</v>
      </c>
      <c r="C1110">
        <v>1220</v>
      </c>
      <c r="D1110">
        <v>1220</v>
      </c>
    </row>
    <row r="1111" spans="1:4" ht="15" x14ac:dyDescent="0.25">
      <c r="A1111" t="s">
        <v>4656</v>
      </c>
      <c r="B1111">
        <v>4</v>
      </c>
      <c r="C1111">
        <v>2170</v>
      </c>
      <c r="D1111">
        <v>542.5</v>
      </c>
    </row>
    <row r="1112" spans="1:4" ht="15" x14ac:dyDescent="0.25">
      <c r="A1112" t="s">
        <v>4660</v>
      </c>
      <c r="B1112">
        <v>2</v>
      </c>
      <c r="C1112">
        <v>55</v>
      </c>
      <c r="D1112">
        <v>27.5</v>
      </c>
    </row>
    <row r="1113" spans="1:4" ht="15" x14ac:dyDescent="0.25">
      <c r="A1113" t="s">
        <v>4661</v>
      </c>
      <c r="B1113">
        <v>1</v>
      </c>
      <c r="C1113">
        <v>18</v>
      </c>
      <c r="D1113">
        <v>18</v>
      </c>
    </row>
    <row r="1114" spans="1:4" ht="15" x14ac:dyDescent="0.25">
      <c r="A1114" t="s">
        <v>4666</v>
      </c>
      <c r="B1114">
        <v>3</v>
      </c>
      <c r="C1114">
        <v>159</v>
      </c>
      <c r="D1114">
        <v>53</v>
      </c>
    </row>
    <row r="1115" spans="1:4" ht="15" x14ac:dyDescent="0.25">
      <c r="A1115" t="s">
        <v>4670</v>
      </c>
      <c r="B1115">
        <v>3</v>
      </c>
      <c r="C1115">
        <v>711</v>
      </c>
      <c r="D1115">
        <v>237</v>
      </c>
    </row>
    <row r="1116" spans="1:4" ht="15" x14ac:dyDescent="0.25">
      <c r="A1116" t="s">
        <v>4671</v>
      </c>
      <c r="B1116">
        <v>4</v>
      </c>
      <c r="C1116">
        <v>198</v>
      </c>
      <c r="D1116">
        <v>49.5</v>
      </c>
    </row>
    <row r="1117" spans="1:4" ht="15" x14ac:dyDescent="0.25">
      <c r="A1117" t="s">
        <v>4673</v>
      </c>
      <c r="B1117">
        <v>2</v>
      </c>
      <c r="C1117">
        <v>30</v>
      </c>
      <c r="D1117">
        <v>15</v>
      </c>
    </row>
    <row r="1118" spans="1:4" ht="15" x14ac:dyDescent="0.25">
      <c r="A1118" t="s">
        <v>4672</v>
      </c>
      <c r="B1118">
        <v>3</v>
      </c>
      <c r="C1118">
        <v>95</v>
      </c>
      <c r="D1118">
        <v>31.666666666666668</v>
      </c>
    </row>
    <row r="1119" spans="1:4" ht="15" x14ac:dyDescent="0.25">
      <c r="A1119" t="s">
        <v>4678</v>
      </c>
      <c r="B1119">
        <v>1</v>
      </c>
      <c r="C1119">
        <v>60</v>
      </c>
      <c r="D1119">
        <v>60</v>
      </c>
    </row>
    <row r="1120" spans="1:4" ht="15" x14ac:dyDescent="0.25">
      <c r="A1120" t="s">
        <v>4679</v>
      </c>
      <c r="B1120">
        <v>1</v>
      </c>
      <c r="C1120">
        <v>60</v>
      </c>
      <c r="D1120">
        <v>60</v>
      </c>
    </row>
    <row r="1121" spans="1:4" ht="15" x14ac:dyDescent="0.25">
      <c r="A1121" t="s">
        <v>4677</v>
      </c>
      <c r="B1121">
        <v>1</v>
      </c>
      <c r="C1121">
        <v>60</v>
      </c>
      <c r="D1121">
        <v>60</v>
      </c>
    </row>
    <row r="1122" spans="1:4" ht="15" x14ac:dyDescent="0.25">
      <c r="A1122" t="s">
        <v>4683</v>
      </c>
      <c r="B1122">
        <v>2</v>
      </c>
      <c r="C1122">
        <v>43</v>
      </c>
      <c r="D1122">
        <v>21.5</v>
      </c>
    </row>
    <row r="1123" spans="1:4" ht="15" x14ac:dyDescent="0.25">
      <c r="A1123" t="s">
        <v>4684</v>
      </c>
      <c r="B1123">
        <v>2</v>
      </c>
      <c r="C1123">
        <v>40</v>
      </c>
      <c r="D1123">
        <v>20</v>
      </c>
    </row>
    <row r="1124" spans="1:4" ht="15" x14ac:dyDescent="0.25">
      <c r="A1124" t="s">
        <v>4688</v>
      </c>
      <c r="B1124">
        <v>3</v>
      </c>
      <c r="C1124">
        <v>82</v>
      </c>
      <c r="D1124">
        <v>27.333333333333332</v>
      </c>
    </row>
    <row r="1125" spans="1:4" ht="15" x14ac:dyDescent="0.25">
      <c r="A1125" t="s">
        <v>4689</v>
      </c>
      <c r="B1125">
        <v>1</v>
      </c>
      <c r="C1125">
        <v>23</v>
      </c>
      <c r="D1125">
        <v>23</v>
      </c>
    </row>
    <row r="1126" spans="1:4" ht="15" x14ac:dyDescent="0.25">
      <c r="A1126" t="s">
        <v>4691</v>
      </c>
      <c r="B1126">
        <v>4</v>
      </c>
      <c r="C1126">
        <v>117</v>
      </c>
      <c r="D1126">
        <v>29.25</v>
      </c>
    </row>
    <row r="1127" spans="1:4" ht="15" x14ac:dyDescent="0.25">
      <c r="A1127" t="s">
        <v>4692</v>
      </c>
      <c r="B1127">
        <v>3</v>
      </c>
      <c r="C1127">
        <v>76</v>
      </c>
      <c r="D1127">
        <v>25.333333333333332</v>
      </c>
    </row>
    <row r="1128" spans="1:4" ht="15" x14ac:dyDescent="0.25">
      <c r="A1128" t="s">
        <v>4690</v>
      </c>
      <c r="B1128">
        <v>1</v>
      </c>
      <c r="C1128">
        <v>23</v>
      </c>
      <c r="D1128">
        <v>23</v>
      </c>
    </row>
    <row r="1129" spans="1:4" ht="15" x14ac:dyDescent="0.25">
      <c r="A1129" t="s">
        <v>4699</v>
      </c>
      <c r="B1129">
        <v>1</v>
      </c>
      <c r="C1129">
        <v>161</v>
      </c>
      <c r="D1129">
        <v>161</v>
      </c>
    </row>
    <row r="1130" spans="1:4" ht="15" x14ac:dyDescent="0.25">
      <c r="A1130" t="s">
        <v>4700</v>
      </c>
      <c r="B1130">
        <v>1</v>
      </c>
      <c r="C1130">
        <v>161</v>
      </c>
      <c r="D1130">
        <v>161</v>
      </c>
    </row>
    <row r="1131" spans="1:4" ht="15" x14ac:dyDescent="0.25">
      <c r="A1131" t="s">
        <v>4702</v>
      </c>
      <c r="B1131">
        <v>7</v>
      </c>
      <c r="C1131">
        <v>487</v>
      </c>
      <c r="D1131">
        <v>69.571428571428569</v>
      </c>
    </row>
    <row r="1132" spans="1:4" ht="15" x14ac:dyDescent="0.25">
      <c r="A1132" t="s">
        <v>4703</v>
      </c>
      <c r="B1132">
        <v>1</v>
      </c>
      <c r="C1132">
        <v>161</v>
      </c>
      <c r="D1132">
        <v>161</v>
      </c>
    </row>
    <row r="1133" spans="1:4" ht="15" x14ac:dyDescent="0.25">
      <c r="A1133" t="s">
        <v>4701</v>
      </c>
      <c r="B1133">
        <v>5</v>
      </c>
      <c r="C1133">
        <v>518</v>
      </c>
      <c r="D1133">
        <v>103.6</v>
      </c>
    </row>
    <row r="1134" spans="1:4" ht="15" x14ac:dyDescent="0.25">
      <c r="A1134" t="s">
        <v>4707</v>
      </c>
      <c r="B1134">
        <v>2</v>
      </c>
      <c r="C1134">
        <v>65</v>
      </c>
      <c r="D1134">
        <v>32.5</v>
      </c>
    </row>
    <row r="1135" spans="1:4" ht="15" x14ac:dyDescent="0.25">
      <c r="A1135" t="s">
        <v>4709</v>
      </c>
      <c r="B1135">
        <v>2</v>
      </c>
      <c r="C1135">
        <v>79</v>
      </c>
      <c r="D1135">
        <v>39.5</v>
      </c>
    </row>
    <row r="1136" spans="1:4" ht="15" x14ac:dyDescent="0.25">
      <c r="A1136" t="s">
        <v>4710</v>
      </c>
      <c r="B1136">
        <v>2</v>
      </c>
      <c r="C1136">
        <v>50</v>
      </c>
      <c r="D1136">
        <v>25</v>
      </c>
    </row>
    <row r="1137" spans="1:4" ht="15" x14ac:dyDescent="0.25">
      <c r="A1137" t="s">
        <v>4708</v>
      </c>
      <c r="B1137">
        <v>6</v>
      </c>
      <c r="C1137">
        <v>452</v>
      </c>
      <c r="D1137">
        <v>75.333333333333329</v>
      </c>
    </row>
    <row r="1138" spans="1:4" ht="15" x14ac:dyDescent="0.25">
      <c r="A1138" t="s">
        <v>4715</v>
      </c>
      <c r="B1138">
        <v>7</v>
      </c>
      <c r="C1138">
        <v>340</v>
      </c>
      <c r="D1138">
        <v>48.571428571428569</v>
      </c>
    </row>
    <row r="1139" spans="1:4" ht="15" x14ac:dyDescent="0.25">
      <c r="A1139" t="s">
        <v>4716</v>
      </c>
      <c r="B1139">
        <v>1</v>
      </c>
      <c r="C1139">
        <v>20</v>
      </c>
      <c r="D1139">
        <v>20</v>
      </c>
    </row>
    <row r="1140" spans="1:4" ht="15" x14ac:dyDescent="0.25">
      <c r="A1140" t="s">
        <v>4717</v>
      </c>
      <c r="B1140">
        <v>1</v>
      </c>
      <c r="C1140">
        <v>20</v>
      </c>
      <c r="D1140">
        <v>20</v>
      </c>
    </row>
    <row r="1141" spans="1:4" ht="15" x14ac:dyDescent="0.25">
      <c r="A1141" t="s">
        <v>4721</v>
      </c>
      <c r="B1141">
        <v>1</v>
      </c>
      <c r="C1141">
        <v>60</v>
      </c>
      <c r="D1141">
        <v>60</v>
      </c>
    </row>
    <row r="1142" spans="1:4" ht="15" x14ac:dyDescent="0.25">
      <c r="A1142" t="s">
        <v>4722</v>
      </c>
      <c r="B1142">
        <v>1</v>
      </c>
      <c r="C1142">
        <v>60</v>
      </c>
      <c r="D1142">
        <v>60</v>
      </c>
    </row>
    <row r="1143" spans="1:4" ht="15" x14ac:dyDescent="0.25">
      <c r="A1143" t="s">
        <v>4724</v>
      </c>
      <c r="B1143">
        <v>6</v>
      </c>
      <c r="C1143">
        <v>184</v>
      </c>
      <c r="D1143">
        <v>30.666666666666668</v>
      </c>
    </row>
    <row r="1144" spans="1:4" ht="15" x14ac:dyDescent="0.25">
      <c r="A1144" t="s">
        <v>4725</v>
      </c>
      <c r="B1144">
        <v>1</v>
      </c>
      <c r="C1144">
        <v>60</v>
      </c>
      <c r="D1144">
        <v>60</v>
      </c>
    </row>
    <row r="1145" spans="1:4" ht="15" x14ac:dyDescent="0.25">
      <c r="A1145" t="s">
        <v>4723</v>
      </c>
      <c r="B1145">
        <v>1</v>
      </c>
      <c r="C1145">
        <v>60</v>
      </c>
      <c r="D1145">
        <v>60</v>
      </c>
    </row>
    <row r="1146" spans="1:4" ht="15" x14ac:dyDescent="0.25">
      <c r="A1146" t="s">
        <v>4730</v>
      </c>
      <c r="B1146">
        <v>1</v>
      </c>
      <c r="C1146">
        <v>9</v>
      </c>
      <c r="D1146">
        <v>9</v>
      </c>
    </row>
    <row r="1147" spans="1:4" ht="15" x14ac:dyDescent="0.25">
      <c r="A1147" t="s">
        <v>4733</v>
      </c>
      <c r="B1147">
        <v>8</v>
      </c>
      <c r="C1147">
        <v>1333</v>
      </c>
      <c r="D1147">
        <v>166.625</v>
      </c>
    </row>
    <row r="1148" spans="1:4" ht="15" x14ac:dyDescent="0.25">
      <c r="A1148" t="s">
        <v>4734</v>
      </c>
      <c r="B1148">
        <v>8</v>
      </c>
      <c r="C1148">
        <v>225</v>
      </c>
      <c r="D1148">
        <v>28.125</v>
      </c>
    </row>
    <row r="1149" spans="1:4" ht="15" x14ac:dyDescent="0.25">
      <c r="A1149" t="s">
        <v>4736</v>
      </c>
      <c r="B1149">
        <v>1</v>
      </c>
      <c r="C1149">
        <v>14</v>
      </c>
      <c r="D1149">
        <v>14</v>
      </c>
    </row>
    <row r="1150" spans="1:4" ht="15" x14ac:dyDescent="0.25">
      <c r="A1150" t="s">
        <v>4737</v>
      </c>
      <c r="B1150">
        <v>1</v>
      </c>
      <c r="C1150">
        <v>14</v>
      </c>
      <c r="D1150">
        <v>14</v>
      </c>
    </row>
    <row r="1151" spans="1:4" ht="15" x14ac:dyDescent="0.25">
      <c r="A1151" t="s">
        <v>4735</v>
      </c>
      <c r="B1151">
        <v>1</v>
      </c>
      <c r="C1151">
        <v>14</v>
      </c>
      <c r="D1151">
        <v>14</v>
      </c>
    </row>
    <row r="1152" spans="1:4" ht="15" x14ac:dyDescent="0.25">
      <c r="A1152" t="s">
        <v>4741</v>
      </c>
      <c r="B1152">
        <v>1</v>
      </c>
      <c r="C1152">
        <v>18</v>
      </c>
      <c r="D1152">
        <v>18</v>
      </c>
    </row>
    <row r="1153" spans="1:4" ht="15" x14ac:dyDescent="0.25">
      <c r="A1153" t="s">
        <v>4743</v>
      </c>
      <c r="B1153">
        <v>3</v>
      </c>
      <c r="C1153">
        <v>342</v>
      </c>
      <c r="D1153">
        <v>114</v>
      </c>
    </row>
    <row r="1154" spans="1:4" ht="15" x14ac:dyDescent="0.25">
      <c r="A1154" t="s">
        <v>4742</v>
      </c>
      <c r="B1154">
        <v>1</v>
      </c>
      <c r="C1154">
        <v>18</v>
      </c>
      <c r="D1154">
        <v>18</v>
      </c>
    </row>
    <row r="1155" spans="1:4" ht="15" x14ac:dyDescent="0.25">
      <c r="A1155" t="s">
        <v>4747</v>
      </c>
      <c r="B1155">
        <v>1</v>
      </c>
      <c r="C1155">
        <v>37</v>
      </c>
      <c r="D1155">
        <v>37</v>
      </c>
    </row>
    <row r="1156" spans="1:4" ht="15" x14ac:dyDescent="0.25">
      <c r="A1156" t="s">
        <v>4748</v>
      </c>
      <c r="B1156">
        <v>1</v>
      </c>
      <c r="C1156">
        <v>37</v>
      </c>
      <c r="D1156">
        <v>37</v>
      </c>
    </row>
    <row r="1157" spans="1:4" ht="15" x14ac:dyDescent="0.25">
      <c r="A1157" t="s">
        <v>4750</v>
      </c>
      <c r="B1157">
        <v>2</v>
      </c>
      <c r="C1157">
        <v>204</v>
      </c>
      <c r="D1157">
        <v>102</v>
      </c>
    </row>
    <row r="1158" spans="1:4" ht="15" x14ac:dyDescent="0.25">
      <c r="A1158" t="s">
        <v>4749</v>
      </c>
      <c r="B1158">
        <v>3</v>
      </c>
      <c r="C1158">
        <v>51</v>
      </c>
      <c r="D1158">
        <v>17</v>
      </c>
    </row>
    <row r="1159" spans="1:4" ht="15" x14ac:dyDescent="0.25">
      <c r="A1159" t="s">
        <v>4753</v>
      </c>
      <c r="B1159">
        <v>6</v>
      </c>
      <c r="C1159">
        <v>162</v>
      </c>
      <c r="D1159">
        <v>27</v>
      </c>
    </row>
    <row r="1160" spans="1:4" ht="15" x14ac:dyDescent="0.25">
      <c r="A1160" t="s">
        <v>4755</v>
      </c>
      <c r="B1160">
        <v>3</v>
      </c>
      <c r="C1160">
        <v>63</v>
      </c>
      <c r="D1160">
        <v>21</v>
      </c>
    </row>
    <row r="1161" spans="1:4" ht="15" x14ac:dyDescent="0.25">
      <c r="A1161" t="s">
        <v>4756</v>
      </c>
      <c r="B1161">
        <v>2</v>
      </c>
      <c r="C1161">
        <v>47</v>
      </c>
      <c r="D1161">
        <v>23.5</v>
      </c>
    </row>
    <row r="1162" spans="1:4" ht="15" x14ac:dyDescent="0.25">
      <c r="A1162" t="s">
        <v>4754</v>
      </c>
      <c r="B1162">
        <v>7</v>
      </c>
      <c r="C1162">
        <v>181</v>
      </c>
      <c r="D1162">
        <v>25.857142857142858</v>
      </c>
    </row>
    <row r="1163" spans="1:4" ht="15" x14ac:dyDescent="0.25">
      <c r="A1163" t="s">
        <v>4760</v>
      </c>
      <c r="B1163">
        <v>17</v>
      </c>
      <c r="C1163">
        <v>1126</v>
      </c>
      <c r="D1163">
        <v>66.235294117647058</v>
      </c>
    </row>
    <row r="1164" spans="1:4" ht="15" x14ac:dyDescent="0.25">
      <c r="A1164" t="s">
        <v>4761</v>
      </c>
      <c r="B1164">
        <v>26</v>
      </c>
      <c r="C1164">
        <v>1679</v>
      </c>
      <c r="D1164">
        <v>64.57692307692308</v>
      </c>
    </row>
    <row r="1165" spans="1:4" ht="15" x14ac:dyDescent="0.25">
      <c r="A1165" t="s">
        <v>4762</v>
      </c>
      <c r="B1165">
        <v>1</v>
      </c>
      <c r="C1165">
        <v>25</v>
      </c>
      <c r="D1165">
        <v>25</v>
      </c>
    </row>
    <row r="1166" spans="1:4" ht="15" x14ac:dyDescent="0.25">
      <c r="A1166" t="s">
        <v>4772</v>
      </c>
      <c r="B1166">
        <v>3</v>
      </c>
      <c r="C1166">
        <v>80</v>
      </c>
      <c r="D1166">
        <v>26.666666666666668</v>
      </c>
    </row>
    <row r="1167" spans="1:4" ht="15" x14ac:dyDescent="0.25">
      <c r="A1167" t="s">
        <v>4773</v>
      </c>
      <c r="B1167">
        <v>1</v>
      </c>
      <c r="C1167">
        <v>33</v>
      </c>
      <c r="D1167">
        <v>33</v>
      </c>
    </row>
    <row r="1168" spans="1:4" ht="15" x14ac:dyDescent="0.25">
      <c r="A1168" t="s">
        <v>4778</v>
      </c>
      <c r="B1168">
        <v>9</v>
      </c>
      <c r="C1168">
        <v>485</v>
      </c>
      <c r="D1168">
        <v>53.888888888888886</v>
      </c>
    </row>
    <row r="1169" spans="1:4" ht="15" x14ac:dyDescent="0.25">
      <c r="A1169" t="s">
        <v>4779</v>
      </c>
      <c r="B1169">
        <v>31</v>
      </c>
      <c r="C1169">
        <v>3016</v>
      </c>
      <c r="D1169">
        <v>97.290322580645167</v>
      </c>
    </row>
    <row r="1170" spans="1:4" ht="15" x14ac:dyDescent="0.25">
      <c r="A1170" t="s">
        <v>4780</v>
      </c>
      <c r="B1170">
        <v>1</v>
      </c>
      <c r="C1170">
        <v>65</v>
      </c>
      <c r="D1170">
        <v>65</v>
      </c>
    </row>
    <row r="1171" spans="1:4" ht="15" x14ac:dyDescent="0.25">
      <c r="A1171" t="s">
        <v>4781</v>
      </c>
      <c r="B1171">
        <v>1</v>
      </c>
      <c r="C1171">
        <v>65</v>
      </c>
      <c r="D1171">
        <v>65</v>
      </c>
    </row>
    <row r="1172" spans="1:4" ht="15" x14ac:dyDescent="0.25">
      <c r="A1172" t="s">
        <v>4785</v>
      </c>
      <c r="B1172">
        <v>1</v>
      </c>
      <c r="C1172">
        <v>89</v>
      </c>
      <c r="D1172">
        <v>89</v>
      </c>
    </row>
    <row r="1173" spans="1:4" ht="15" x14ac:dyDescent="0.25">
      <c r="A1173" t="s">
        <v>4790</v>
      </c>
      <c r="B1173">
        <v>1</v>
      </c>
      <c r="C1173">
        <v>24</v>
      </c>
      <c r="D1173">
        <v>24</v>
      </c>
    </row>
    <row r="1174" spans="1:4" ht="15" x14ac:dyDescent="0.25">
      <c r="A1174" t="s">
        <v>4792</v>
      </c>
      <c r="B1174">
        <v>1</v>
      </c>
      <c r="C1174">
        <v>24</v>
      </c>
      <c r="D1174">
        <v>24</v>
      </c>
    </row>
    <row r="1175" spans="1:4" ht="15" x14ac:dyDescent="0.25">
      <c r="A1175" t="s">
        <v>4791</v>
      </c>
      <c r="B1175">
        <v>2</v>
      </c>
      <c r="C1175">
        <v>40</v>
      </c>
      <c r="D1175">
        <v>20</v>
      </c>
    </row>
    <row r="1176" spans="1:4" ht="15" x14ac:dyDescent="0.25">
      <c r="A1176" t="s">
        <v>4796</v>
      </c>
      <c r="B1176">
        <v>3</v>
      </c>
      <c r="C1176">
        <v>109</v>
      </c>
      <c r="D1176">
        <v>36.333333333333336</v>
      </c>
    </row>
    <row r="1177" spans="1:4" ht="15" x14ac:dyDescent="0.25">
      <c r="A1177" t="s">
        <v>4797</v>
      </c>
      <c r="B1177">
        <v>1</v>
      </c>
      <c r="C1177">
        <v>22</v>
      </c>
      <c r="D1177">
        <v>22</v>
      </c>
    </row>
    <row r="1178" spans="1:4" ht="15" x14ac:dyDescent="0.25">
      <c r="A1178" t="s">
        <v>4798</v>
      </c>
      <c r="B1178">
        <v>1</v>
      </c>
      <c r="C1178">
        <v>22</v>
      </c>
      <c r="D1178">
        <v>22</v>
      </c>
    </row>
    <row r="1179" spans="1:4" ht="15" x14ac:dyDescent="0.25">
      <c r="A1179" t="s">
        <v>4801</v>
      </c>
      <c r="B1179">
        <v>24</v>
      </c>
      <c r="C1179">
        <v>2859</v>
      </c>
      <c r="D1179">
        <v>119.125</v>
      </c>
    </row>
    <row r="1180" spans="1:4" ht="15" x14ac:dyDescent="0.25">
      <c r="A1180" t="s">
        <v>4802</v>
      </c>
      <c r="B1180">
        <v>15</v>
      </c>
      <c r="C1180">
        <v>1688</v>
      </c>
      <c r="D1180">
        <v>112.53333333333333</v>
      </c>
    </row>
    <row r="1181" spans="1:4" ht="15" x14ac:dyDescent="0.25">
      <c r="A1181" t="s">
        <v>4803</v>
      </c>
      <c r="B1181">
        <v>23</v>
      </c>
      <c r="C1181">
        <v>3031</v>
      </c>
      <c r="D1181">
        <v>131.78260869565219</v>
      </c>
    </row>
    <row r="1182" spans="1:4" ht="15" x14ac:dyDescent="0.25">
      <c r="A1182" t="s">
        <v>4808</v>
      </c>
      <c r="B1182">
        <v>23</v>
      </c>
      <c r="C1182">
        <v>603</v>
      </c>
      <c r="D1182">
        <v>26.217391304347824</v>
      </c>
    </row>
    <row r="1183" spans="1:4" ht="15" x14ac:dyDescent="0.25">
      <c r="A1183" t="s">
        <v>4810</v>
      </c>
      <c r="B1183">
        <v>1</v>
      </c>
      <c r="C1183">
        <v>4</v>
      </c>
      <c r="D1183">
        <v>4</v>
      </c>
    </row>
    <row r="1184" spans="1:4" ht="15" x14ac:dyDescent="0.25">
      <c r="A1184" t="s">
        <v>4809</v>
      </c>
      <c r="B1184">
        <v>1</v>
      </c>
      <c r="C1184">
        <v>4</v>
      </c>
      <c r="D1184">
        <v>4</v>
      </c>
    </row>
    <row r="1185" spans="1:4" ht="15" x14ac:dyDescent="0.25">
      <c r="A1185" t="s">
        <v>4814</v>
      </c>
      <c r="B1185">
        <v>4</v>
      </c>
      <c r="C1185">
        <v>409</v>
      </c>
      <c r="D1185">
        <v>102.25</v>
      </c>
    </row>
    <row r="1186" spans="1:4" ht="15" x14ac:dyDescent="0.25">
      <c r="A1186" t="s">
        <v>4815</v>
      </c>
      <c r="B1186">
        <v>2</v>
      </c>
      <c r="C1186">
        <v>133</v>
      </c>
      <c r="D1186">
        <v>66.5</v>
      </c>
    </row>
    <row r="1187" spans="1:4" ht="15" x14ac:dyDescent="0.25">
      <c r="A1187" t="s">
        <v>4817</v>
      </c>
      <c r="B1187">
        <v>4</v>
      </c>
      <c r="C1187">
        <v>191</v>
      </c>
      <c r="D1187">
        <v>47.75</v>
      </c>
    </row>
    <row r="1188" spans="1:4" ht="15" x14ac:dyDescent="0.25">
      <c r="A1188" t="s">
        <v>4818</v>
      </c>
      <c r="B1188">
        <v>2</v>
      </c>
      <c r="C1188">
        <v>119</v>
      </c>
      <c r="D1188">
        <v>59.5</v>
      </c>
    </row>
    <row r="1189" spans="1:4" ht="15" x14ac:dyDescent="0.25">
      <c r="A1189" t="s">
        <v>4816</v>
      </c>
      <c r="B1189">
        <v>7</v>
      </c>
      <c r="C1189">
        <v>942</v>
      </c>
      <c r="D1189">
        <v>134.57142857142858</v>
      </c>
    </row>
    <row r="1190" spans="1:4" ht="15" x14ac:dyDescent="0.25">
      <c r="A1190" t="s">
        <v>4825</v>
      </c>
      <c r="B1190">
        <v>3</v>
      </c>
      <c r="C1190">
        <v>118</v>
      </c>
      <c r="D1190">
        <v>39.333333333333336</v>
      </c>
    </row>
    <row r="1191" spans="1:4" ht="15" x14ac:dyDescent="0.25">
      <c r="A1191" t="s">
        <v>4827</v>
      </c>
      <c r="B1191">
        <v>10</v>
      </c>
      <c r="C1191">
        <v>337</v>
      </c>
      <c r="D1191">
        <v>33.700000000000003</v>
      </c>
    </row>
    <row r="1192" spans="1:4" ht="15" x14ac:dyDescent="0.25">
      <c r="A1192" t="s">
        <v>4826</v>
      </c>
      <c r="B1192">
        <v>7</v>
      </c>
      <c r="C1192">
        <v>288</v>
      </c>
      <c r="D1192">
        <v>41.142857142857146</v>
      </c>
    </row>
    <row r="1193" spans="1:4" ht="15" x14ac:dyDescent="0.25">
      <c r="A1193" t="s">
        <v>4831</v>
      </c>
      <c r="B1193">
        <v>7</v>
      </c>
      <c r="C1193">
        <v>556</v>
      </c>
      <c r="D1193">
        <v>79.428571428571431</v>
      </c>
    </row>
    <row r="1194" spans="1:4" ht="15" x14ac:dyDescent="0.25">
      <c r="A1194" t="s">
        <v>4832</v>
      </c>
      <c r="B1194">
        <v>2</v>
      </c>
      <c r="C1194">
        <v>77</v>
      </c>
      <c r="D1194">
        <v>38.5</v>
      </c>
    </row>
    <row r="1195" spans="1:4" ht="15" x14ac:dyDescent="0.25">
      <c r="A1195" t="s">
        <v>4834</v>
      </c>
      <c r="B1195">
        <v>1</v>
      </c>
      <c r="C1195">
        <v>30</v>
      </c>
      <c r="D1195">
        <v>30</v>
      </c>
    </row>
    <row r="1196" spans="1:4" ht="15" x14ac:dyDescent="0.25">
      <c r="A1196" t="s">
        <v>4833</v>
      </c>
      <c r="B1196">
        <v>11</v>
      </c>
      <c r="C1196">
        <v>230</v>
      </c>
      <c r="D1196">
        <v>20.90909090909091</v>
      </c>
    </row>
    <row r="1197" spans="1:4" ht="15" x14ac:dyDescent="0.25">
      <c r="A1197" t="s">
        <v>4838</v>
      </c>
      <c r="B1197">
        <v>1</v>
      </c>
      <c r="C1197">
        <v>290</v>
      </c>
      <c r="D1197">
        <v>290</v>
      </c>
    </row>
    <row r="1198" spans="1:4" ht="15" x14ac:dyDescent="0.25">
      <c r="A1198" t="s">
        <v>4839</v>
      </c>
      <c r="B1198">
        <v>29</v>
      </c>
      <c r="C1198">
        <v>907</v>
      </c>
      <c r="D1198">
        <v>31.275862068965516</v>
      </c>
    </row>
    <row r="1199" spans="1:4" ht="15" x14ac:dyDescent="0.25">
      <c r="A1199" t="s">
        <v>4840</v>
      </c>
      <c r="B1199">
        <v>1</v>
      </c>
      <c r="C1199">
        <v>290</v>
      </c>
      <c r="D1199">
        <v>290</v>
      </c>
    </row>
    <row r="1200" spans="1:4" ht="15" x14ac:dyDescent="0.25">
      <c r="A1200" t="s">
        <v>4841</v>
      </c>
      <c r="B1200">
        <v>1</v>
      </c>
      <c r="C1200">
        <v>290</v>
      </c>
      <c r="D1200">
        <v>290</v>
      </c>
    </row>
    <row r="1201" spans="1:4" ht="15" x14ac:dyDescent="0.25">
      <c r="A1201" t="s">
        <v>4844</v>
      </c>
      <c r="B1201">
        <v>12</v>
      </c>
      <c r="C1201">
        <v>299</v>
      </c>
      <c r="D1201">
        <v>24.916666666666668</v>
      </c>
    </row>
    <row r="1202" spans="1:4" ht="15" x14ac:dyDescent="0.25">
      <c r="A1202" t="s">
        <v>4845</v>
      </c>
      <c r="B1202">
        <v>1</v>
      </c>
      <c r="C1202">
        <v>17</v>
      </c>
      <c r="D1202">
        <v>17</v>
      </c>
    </row>
    <row r="1203" spans="1:4" ht="15" x14ac:dyDescent="0.25">
      <c r="A1203" t="s">
        <v>4850</v>
      </c>
      <c r="B1203">
        <v>1</v>
      </c>
      <c r="C1203">
        <v>16</v>
      </c>
      <c r="D1203">
        <v>16</v>
      </c>
    </row>
    <row r="1204" spans="1:4" ht="15" x14ac:dyDescent="0.25">
      <c r="A1204" t="s">
        <v>4851</v>
      </c>
      <c r="B1204">
        <v>1</v>
      </c>
      <c r="C1204">
        <v>16</v>
      </c>
      <c r="D1204">
        <v>16</v>
      </c>
    </row>
    <row r="1205" spans="1:4" ht="15" x14ac:dyDescent="0.25">
      <c r="A1205" t="s">
        <v>4853</v>
      </c>
      <c r="B1205">
        <v>5</v>
      </c>
      <c r="C1205">
        <v>143</v>
      </c>
      <c r="D1205">
        <v>28.6</v>
      </c>
    </row>
    <row r="1206" spans="1:4" ht="15" x14ac:dyDescent="0.25">
      <c r="A1206" t="s">
        <v>4852</v>
      </c>
      <c r="B1206">
        <v>2</v>
      </c>
      <c r="C1206">
        <v>98</v>
      </c>
      <c r="D1206">
        <v>49</v>
      </c>
    </row>
    <row r="1207" spans="1:4" ht="15" x14ac:dyDescent="0.25">
      <c r="A1207" t="s">
        <v>4856</v>
      </c>
      <c r="B1207">
        <v>1</v>
      </c>
      <c r="C1207">
        <v>82</v>
      </c>
      <c r="D1207">
        <v>82</v>
      </c>
    </row>
    <row r="1208" spans="1:4" ht="15" x14ac:dyDescent="0.25">
      <c r="A1208" t="s">
        <v>4857</v>
      </c>
      <c r="B1208">
        <v>1</v>
      </c>
      <c r="C1208">
        <v>82</v>
      </c>
      <c r="D1208">
        <v>82</v>
      </c>
    </row>
    <row r="1209" spans="1:4" ht="15" x14ac:dyDescent="0.25">
      <c r="A1209" t="s">
        <v>4862</v>
      </c>
      <c r="B1209">
        <v>1</v>
      </c>
      <c r="C1209">
        <v>29</v>
      </c>
      <c r="D1209">
        <v>29</v>
      </c>
    </row>
    <row r="1210" spans="1:4" ht="15" x14ac:dyDescent="0.25">
      <c r="A1210" t="s">
        <v>4863</v>
      </c>
      <c r="B1210">
        <v>21</v>
      </c>
      <c r="C1210">
        <v>3570</v>
      </c>
      <c r="D1210">
        <v>170</v>
      </c>
    </row>
    <row r="1211" spans="1:4" ht="15" x14ac:dyDescent="0.25">
      <c r="A1211" t="s">
        <v>4864</v>
      </c>
      <c r="B1211">
        <v>1</v>
      </c>
      <c r="C1211">
        <v>29</v>
      </c>
      <c r="D1211">
        <v>29</v>
      </c>
    </row>
    <row r="1212" spans="1:4" ht="15" x14ac:dyDescent="0.25">
      <c r="A1212" t="s">
        <v>4868</v>
      </c>
      <c r="B1212">
        <v>1</v>
      </c>
      <c r="C1212">
        <v>77</v>
      </c>
      <c r="D1212">
        <v>77</v>
      </c>
    </row>
    <row r="1213" spans="1:4" ht="15" x14ac:dyDescent="0.25">
      <c r="A1213" t="s">
        <v>4870</v>
      </c>
      <c r="B1213">
        <v>2</v>
      </c>
      <c r="C1213">
        <v>117</v>
      </c>
      <c r="D1213">
        <v>58.5</v>
      </c>
    </row>
    <row r="1214" spans="1:4" ht="15" x14ac:dyDescent="0.25">
      <c r="A1214" t="s">
        <v>4871</v>
      </c>
      <c r="B1214">
        <v>3</v>
      </c>
      <c r="C1214">
        <v>196</v>
      </c>
      <c r="D1214">
        <v>65.333333333333329</v>
      </c>
    </row>
    <row r="1215" spans="1:4" ht="15" x14ac:dyDescent="0.25">
      <c r="A1215" t="s">
        <v>4869</v>
      </c>
      <c r="B1215">
        <v>1</v>
      </c>
      <c r="C1215">
        <v>77</v>
      </c>
      <c r="D1215">
        <v>77</v>
      </c>
    </row>
    <row r="1216" spans="1:4" ht="15" x14ac:dyDescent="0.25">
      <c r="A1216" t="s">
        <v>4876</v>
      </c>
      <c r="B1216">
        <v>1</v>
      </c>
      <c r="C1216">
        <v>48</v>
      </c>
      <c r="D1216">
        <v>48</v>
      </c>
    </row>
    <row r="1217" spans="1:4" ht="15" x14ac:dyDescent="0.25">
      <c r="A1217" t="s">
        <v>4877</v>
      </c>
      <c r="B1217">
        <v>1</v>
      </c>
      <c r="C1217">
        <v>48</v>
      </c>
      <c r="D1217">
        <v>48</v>
      </c>
    </row>
    <row r="1218" spans="1:4" ht="15" x14ac:dyDescent="0.25">
      <c r="A1218" t="s">
        <v>4879</v>
      </c>
      <c r="B1218">
        <v>7</v>
      </c>
      <c r="C1218">
        <v>1003</v>
      </c>
      <c r="D1218">
        <v>143.28571428571428</v>
      </c>
    </row>
    <row r="1219" spans="1:4" ht="15" x14ac:dyDescent="0.25">
      <c r="A1219" t="s">
        <v>4878</v>
      </c>
      <c r="B1219">
        <v>4</v>
      </c>
      <c r="C1219">
        <v>227</v>
      </c>
      <c r="D1219">
        <v>56.75</v>
      </c>
    </row>
    <row r="1220" spans="1:4" ht="15" x14ac:dyDescent="0.25">
      <c r="A1220" t="s">
        <v>4884</v>
      </c>
      <c r="B1220">
        <v>3</v>
      </c>
      <c r="C1220">
        <v>2508</v>
      </c>
      <c r="D1220">
        <v>836</v>
      </c>
    </row>
    <row r="1221" spans="1:4" ht="15" x14ac:dyDescent="0.25">
      <c r="A1221" t="s">
        <v>4885</v>
      </c>
      <c r="B1221">
        <v>1</v>
      </c>
      <c r="C1221">
        <v>1112</v>
      </c>
      <c r="D1221">
        <v>1112</v>
      </c>
    </row>
    <row r="1222" spans="1:4" ht="15" x14ac:dyDescent="0.25">
      <c r="A1222" t="s">
        <v>4887</v>
      </c>
      <c r="B1222">
        <v>2</v>
      </c>
      <c r="C1222">
        <v>1569</v>
      </c>
      <c r="D1222">
        <v>784.5</v>
      </c>
    </row>
    <row r="1223" spans="1:4" ht="15" x14ac:dyDescent="0.25">
      <c r="A1223" t="s">
        <v>4888</v>
      </c>
      <c r="B1223">
        <v>2</v>
      </c>
      <c r="C1223">
        <v>4108</v>
      </c>
      <c r="D1223">
        <v>2054</v>
      </c>
    </row>
    <row r="1224" spans="1:4" ht="15" x14ac:dyDescent="0.25">
      <c r="A1224" t="s">
        <v>4886</v>
      </c>
      <c r="B1224">
        <v>3</v>
      </c>
      <c r="C1224">
        <v>2624</v>
      </c>
      <c r="D1224">
        <v>874.66666666666663</v>
      </c>
    </row>
    <row r="1225" spans="1:4" ht="15" x14ac:dyDescent="0.25">
      <c r="A1225" t="s">
        <v>4892</v>
      </c>
      <c r="B1225">
        <v>2</v>
      </c>
      <c r="C1225">
        <v>2401</v>
      </c>
      <c r="D1225">
        <v>1200.5</v>
      </c>
    </row>
    <row r="1226" spans="1:4" ht="15" x14ac:dyDescent="0.25">
      <c r="A1226" t="s">
        <v>4894</v>
      </c>
      <c r="B1226">
        <v>1</v>
      </c>
      <c r="C1226">
        <v>1291</v>
      </c>
      <c r="D1226">
        <v>1291</v>
      </c>
    </row>
    <row r="1227" spans="1:4" ht="15" x14ac:dyDescent="0.25">
      <c r="A1227" t="s">
        <v>4895</v>
      </c>
      <c r="B1227">
        <v>2</v>
      </c>
      <c r="C1227">
        <v>2223</v>
      </c>
      <c r="D1227">
        <v>1111.5</v>
      </c>
    </row>
    <row r="1228" spans="1:4" ht="15" x14ac:dyDescent="0.25">
      <c r="A1228" t="s">
        <v>4893</v>
      </c>
      <c r="B1228">
        <v>1</v>
      </c>
      <c r="C1228">
        <v>1291</v>
      </c>
      <c r="D1228">
        <v>1291</v>
      </c>
    </row>
    <row r="1229" spans="1:4" ht="15" x14ac:dyDescent="0.25">
      <c r="A1229" t="s">
        <v>4902</v>
      </c>
      <c r="B1229">
        <v>4</v>
      </c>
      <c r="C1229">
        <v>173</v>
      </c>
      <c r="D1229">
        <v>43.25</v>
      </c>
    </row>
    <row r="1230" spans="1:4" ht="15" x14ac:dyDescent="0.25">
      <c r="A1230" t="s">
        <v>4907</v>
      </c>
      <c r="B1230">
        <v>4</v>
      </c>
      <c r="C1230">
        <v>122</v>
      </c>
      <c r="D1230">
        <v>30.5</v>
      </c>
    </row>
    <row r="1231" spans="1:4" ht="15" x14ac:dyDescent="0.25">
      <c r="A1231" t="s">
        <v>4908</v>
      </c>
      <c r="B1231">
        <v>10</v>
      </c>
      <c r="C1231">
        <v>1985</v>
      </c>
      <c r="D1231">
        <v>198.5</v>
      </c>
    </row>
    <row r="1232" spans="1:4" ht="15" x14ac:dyDescent="0.25">
      <c r="A1232" t="s">
        <v>4910</v>
      </c>
      <c r="B1232">
        <v>1</v>
      </c>
      <c r="C1232">
        <v>86</v>
      </c>
      <c r="D1232">
        <v>86</v>
      </c>
    </row>
    <row r="1233" spans="1:4" ht="15" x14ac:dyDescent="0.25">
      <c r="A1233" t="s">
        <v>4911</v>
      </c>
      <c r="B1233">
        <v>2</v>
      </c>
      <c r="C1233">
        <v>187</v>
      </c>
      <c r="D1233">
        <v>93.5</v>
      </c>
    </row>
    <row r="1234" spans="1:4" ht="15" x14ac:dyDescent="0.25">
      <c r="A1234" t="s">
        <v>4909</v>
      </c>
      <c r="B1234">
        <v>1</v>
      </c>
      <c r="C1234">
        <v>86</v>
      </c>
      <c r="D1234">
        <v>86</v>
      </c>
    </row>
    <row r="1235" spans="1:4" ht="15" x14ac:dyDescent="0.25">
      <c r="A1235" t="s">
        <v>4915</v>
      </c>
      <c r="B1235">
        <v>1</v>
      </c>
      <c r="C1235">
        <v>8</v>
      </c>
      <c r="D1235">
        <v>8</v>
      </c>
    </row>
    <row r="1236" spans="1:4" ht="15" x14ac:dyDescent="0.25">
      <c r="A1236" t="s">
        <v>4916</v>
      </c>
      <c r="B1236">
        <v>2</v>
      </c>
      <c r="C1236">
        <v>17</v>
      </c>
      <c r="D1236">
        <v>8.5</v>
      </c>
    </row>
    <row r="1237" spans="1:4" ht="15" x14ac:dyDescent="0.25">
      <c r="A1237" t="s">
        <v>4919</v>
      </c>
      <c r="B1237">
        <v>16</v>
      </c>
      <c r="C1237">
        <v>604</v>
      </c>
      <c r="D1237">
        <v>37.75</v>
      </c>
    </row>
    <row r="1238" spans="1:4" ht="15" x14ac:dyDescent="0.25">
      <c r="A1238" t="s">
        <v>4922</v>
      </c>
      <c r="B1238">
        <v>4</v>
      </c>
      <c r="C1238">
        <v>423</v>
      </c>
      <c r="D1238">
        <v>105.75</v>
      </c>
    </row>
    <row r="1239" spans="1:4" ht="15" x14ac:dyDescent="0.25">
      <c r="A1239" t="s">
        <v>4924</v>
      </c>
      <c r="B1239">
        <v>4</v>
      </c>
      <c r="C1239">
        <v>464</v>
      </c>
      <c r="D1239">
        <v>116</v>
      </c>
    </row>
    <row r="1240" spans="1:4" ht="15" x14ac:dyDescent="0.25">
      <c r="A1240" t="s">
        <v>4923</v>
      </c>
      <c r="B1240">
        <v>5</v>
      </c>
      <c r="C1240">
        <v>539</v>
      </c>
      <c r="D1240">
        <v>107.8</v>
      </c>
    </row>
    <row r="1241" spans="1:4" ht="15" x14ac:dyDescent="0.25">
      <c r="A1241" t="s">
        <v>4928</v>
      </c>
      <c r="B1241">
        <v>1</v>
      </c>
      <c r="C1241">
        <v>15</v>
      </c>
      <c r="D1241">
        <v>15</v>
      </c>
    </row>
    <row r="1242" spans="1:4" ht="15" x14ac:dyDescent="0.25">
      <c r="A1242" t="s">
        <v>4929</v>
      </c>
      <c r="B1242">
        <v>1</v>
      </c>
      <c r="C1242">
        <v>15</v>
      </c>
      <c r="D1242">
        <v>15</v>
      </c>
    </row>
    <row r="1243" spans="1:4" ht="15" x14ac:dyDescent="0.25">
      <c r="A1243" t="s">
        <v>4931</v>
      </c>
      <c r="B1243">
        <v>1</v>
      </c>
      <c r="C1243">
        <v>15</v>
      </c>
      <c r="D1243">
        <v>15</v>
      </c>
    </row>
    <row r="1244" spans="1:4" ht="15" x14ac:dyDescent="0.25">
      <c r="A1244" t="s">
        <v>4930</v>
      </c>
      <c r="B1244">
        <v>1</v>
      </c>
      <c r="C1244">
        <v>15</v>
      </c>
      <c r="D1244">
        <v>15</v>
      </c>
    </row>
    <row r="1245" spans="1:4" ht="15" x14ac:dyDescent="0.25">
      <c r="A1245" t="s">
        <v>4937</v>
      </c>
      <c r="B1245">
        <v>2</v>
      </c>
      <c r="C1245">
        <v>286</v>
      </c>
      <c r="D1245">
        <v>143</v>
      </c>
    </row>
    <row r="1246" spans="1:4" ht="15" x14ac:dyDescent="0.25">
      <c r="A1246" t="s">
        <v>4938</v>
      </c>
      <c r="B1246">
        <v>1</v>
      </c>
      <c r="C1246">
        <v>38</v>
      </c>
      <c r="D1246">
        <v>38</v>
      </c>
    </row>
    <row r="1247" spans="1:4" ht="15" x14ac:dyDescent="0.25">
      <c r="A1247" t="s">
        <v>4939</v>
      </c>
      <c r="B1247">
        <v>4</v>
      </c>
      <c r="C1247">
        <v>163</v>
      </c>
      <c r="D1247">
        <v>40.75</v>
      </c>
    </row>
    <row r="1248" spans="1:4" ht="15" x14ac:dyDescent="0.25">
      <c r="A1248" t="s">
        <v>4940</v>
      </c>
      <c r="B1248">
        <v>1</v>
      </c>
      <c r="C1248">
        <v>38</v>
      </c>
      <c r="D1248">
        <v>38</v>
      </c>
    </row>
    <row r="1249" spans="1:4" ht="15" x14ac:dyDescent="0.25">
      <c r="A1249" t="s">
        <v>4944</v>
      </c>
      <c r="B1249">
        <v>1</v>
      </c>
      <c r="C1249">
        <v>659</v>
      </c>
      <c r="D1249">
        <v>659</v>
      </c>
    </row>
    <row r="1250" spans="1:4" ht="15" x14ac:dyDescent="0.25">
      <c r="A1250" t="s">
        <v>4945</v>
      </c>
      <c r="B1250">
        <v>1</v>
      </c>
      <c r="C1250">
        <v>659</v>
      </c>
      <c r="D1250">
        <v>659</v>
      </c>
    </row>
    <row r="1251" spans="1:4" ht="15" x14ac:dyDescent="0.25">
      <c r="A1251" t="s">
        <v>4947</v>
      </c>
      <c r="B1251">
        <v>1</v>
      </c>
      <c r="C1251">
        <v>659</v>
      </c>
      <c r="D1251">
        <v>659</v>
      </c>
    </row>
    <row r="1252" spans="1:4" ht="15" x14ac:dyDescent="0.25">
      <c r="A1252" t="s">
        <v>4948</v>
      </c>
      <c r="B1252">
        <v>3</v>
      </c>
      <c r="C1252">
        <v>2329</v>
      </c>
      <c r="D1252">
        <v>776.33333333333337</v>
      </c>
    </row>
    <row r="1253" spans="1:4" ht="15" x14ac:dyDescent="0.25">
      <c r="A1253" t="s">
        <v>4946</v>
      </c>
      <c r="B1253">
        <v>3</v>
      </c>
      <c r="C1253">
        <v>4143</v>
      </c>
      <c r="D1253">
        <v>1381</v>
      </c>
    </row>
    <row r="1254" spans="1:4" ht="15" x14ac:dyDescent="0.25">
      <c r="A1254" t="s">
        <v>4955</v>
      </c>
      <c r="B1254">
        <v>1</v>
      </c>
      <c r="C1254">
        <v>22</v>
      </c>
      <c r="D1254">
        <v>22</v>
      </c>
    </row>
    <row r="1255" spans="1:4" ht="15" x14ac:dyDescent="0.25">
      <c r="A1255" t="s">
        <v>4956</v>
      </c>
      <c r="B1255">
        <v>1</v>
      </c>
      <c r="C1255">
        <v>22</v>
      </c>
      <c r="D1255">
        <v>22</v>
      </c>
    </row>
    <row r="1256" spans="1:4" ht="15" x14ac:dyDescent="0.25">
      <c r="A1256" t="s">
        <v>4958</v>
      </c>
      <c r="B1256">
        <v>1</v>
      </c>
      <c r="C1256">
        <v>22</v>
      </c>
      <c r="D1256">
        <v>22</v>
      </c>
    </row>
    <row r="1257" spans="1:4" ht="15" x14ac:dyDescent="0.25">
      <c r="A1257" t="s">
        <v>4957</v>
      </c>
      <c r="B1257">
        <v>1</v>
      </c>
      <c r="C1257">
        <v>22</v>
      </c>
      <c r="D1257">
        <v>22</v>
      </c>
    </row>
    <row r="1258" spans="1:4" ht="15" x14ac:dyDescent="0.25">
      <c r="A1258" t="s">
        <v>4965</v>
      </c>
      <c r="B1258">
        <v>1</v>
      </c>
      <c r="C1258">
        <v>16</v>
      </c>
      <c r="D1258">
        <v>16</v>
      </c>
    </row>
    <row r="1259" spans="1:4" ht="15" x14ac:dyDescent="0.25">
      <c r="A1259" t="s">
        <v>4966</v>
      </c>
      <c r="B1259">
        <v>1</v>
      </c>
      <c r="C1259">
        <v>16</v>
      </c>
      <c r="D1259">
        <v>16</v>
      </c>
    </row>
    <row r="1260" spans="1:4" ht="15" x14ac:dyDescent="0.25">
      <c r="A1260" t="s">
        <v>4967</v>
      </c>
      <c r="B1260">
        <v>1</v>
      </c>
      <c r="C1260">
        <v>16</v>
      </c>
      <c r="D1260">
        <v>16</v>
      </c>
    </row>
    <row r="1261" spans="1:4" ht="15" x14ac:dyDescent="0.25">
      <c r="A1261" t="s">
        <v>4971</v>
      </c>
      <c r="B1261">
        <v>2</v>
      </c>
      <c r="C1261">
        <v>36</v>
      </c>
      <c r="D1261">
        <v>18</v>
      </c>
    </row>
    <row r="1262" spans="1:4" ht="15" x14ac:dyDescent="0.25">
      <c r="A1262" t="s">
        <v>4972</v>
      </c>
      <c r="B1262">
        <v>1</v>
      </c>
      <c r="C1262">
        <v>10</v>
      </c>
      <c r="D1262">
        <v>10</v>
      </c>
    </row>
    <row r="1263" spans="1:4" ht="15" x14ac:dyDescent="0.25">
      <c r="A1263" t="s">
        <v>4974</v>
      </c>
      <c r="B1263">
        <v>1</v>
      </c>
      <c r="C1263">
        <v>10</v>
      </c>
      <c r="D1263">
        <v>10</v>
      </c>
    </row>
    <row r="1264" spans="1:4" ht="15" x14ac:dyDescent="0.25">
      <c r="A1264" t="s">
        <v>4975</v>
      </c>
      <c r="B1264">
        <v>10</v>
      </c>
      <c r="C1264">
        <v>336</v>
      </c>
      <c r="D1264">
        <v>33.6</v>
      </c>
    </row>
    <row r="1265" spans="1:4" ht="15" x14ac:dyDescent="0.25">
      <c r="A1265" t="s">
        <v>4973</v>
      </c>
      <c r="B1265">
        <v>1</v>
      </c>
      <c r="C1265">
        <v>10</v>
      </c>
      <c r="D1265">
        <v>10</v>
      </c>
    </row>
    <row r="1266" spans="1:4" ht="15" x14ac:dyDescent="0.25">
      <c r="A1266" t="s">
        <v>4979</v>
      </c>
      <c r="B1266">
        <v>2</v>
      </c>
      <c r="C1266">
        <v>48</v>
      </c>
      <c r="D1266">
        <v>24</v>
      </c>
    </row>
    <row r="1267" spans="1:4" ht="15" x14ac:dyDescent="0.25">
      <c r="A1267" t="s">
        <v>4980</v>
      </c>
      <c r="B1267">
        <v>2</v>
      </c>
      <c r="C1267">
        <v>31</v>
      </c>
      <c r="D1267">
        <v>15.5</v>
      </c>
    </row>
    <row r="1268" spans="1:4" ht="15" x14ac:dyDescent="0.25">
      <c r="A1268" t="s">
        <v>4981</v>
      </c>
      <c r="B1268">
        <v>2</v>
      </c>
      <c r="C1268">
        <v>22</v>
      </c>
      <c r="D1268">
        <v>11</v>
      </c>
    </row>
    <row r="1269" spans="1:4" ht="15" x14ac:dyDescent="0.25">
      <c r="A1269" t="s">
        <v>4986</v>
      </c>
      <c r="B1269">
        <v>2</v>
      </c>
      <c r="C1269">
        <v>169</v>
      </c>
      <c r="D1269">
        <v>84.5</v>
      </c>
    </row>
    <row r="1270" spans="1:4" ht="15" x14ac:dyDescent="0.25">
      <c r="A1270" t="s">
        <v>4987</v>
      </c>
      <c r="B1270">
        <v>38</v>
      </c>
      <c r="C1270">
        <v>1864</v>
      </c>
      <c r="D1270">
        <v>49.05263157894737</v>
      </c>
    </row>
    <row r="1271" spans="1:4" ht="15" x14ac:dyDescent="0.25">
      <c r="A1271" t="s">
        <v>4989</v>
      </c>
      <c r="B1271">
        <v>4</v>
      </c>
      <c r="C1271">
        <v>260</v>
      </c>
      <c r="D1271">
        <v>65</v>
      </c>
    </row>
    <row r="1272" spans="1:4" ht="15" x14ac:dyDescent="0.25">
      <c r="A1272" t="s">
        <v>4988</v>
      </c>
      <c r="B1272">
        <v>18</v>
      </c>
      <c r="C1272">
        <v>1626</v>
      </c>
      <c r="D1272">
        <v>90.333333333333329</v>
      </c>
    </row>
    <row r="1273" spans="1:4" ht="15" x14ac:dyDescent="0.25">
      <c r="A1273" t="s">
        <v>4993</v>
      </c>
      <c r="B1273">
        <v>33</v>
      </c>
      <c r="C1273">
        <v>2454</v>
      </c>
      <c r="D1273">
        <v>74.36363636363636</v>
      </c>
    </row>
    <row r="1274" spans="1:4" ht="15" x14ac:dyDescent="0.25">
      <c r="A1274" t="s">
        <v>4995</v>
      </c>
      <c r="B1274">
        <v>10</v>
      </c>
      <c r="C1274">
        <v>2253</v>
      </c>
      <c r="D1274">
        <v>225.3</v>
      </c>
    </row>
    <row r="1275" spans="1:4" ht="15" x14ac:dyDescent="0.25">
      <c r="A1275" t="s">
        <v>4994</v>
      </c>
      <c r="B1275">
        <v>2</v>
      </c>
      <c r="C1275">
        <v>61</v>
      </c>
      <c r="D1275">
        <v>30.5</v>
      </c>
    </row>
    <row r="1276" spans="1:4" ht="15" x14ac:dyDescent="0.25">
      <c r="A1276" t="s">
        <v>5000</v>
      </c>
      <c r="B1276">
        <v>4</v>
      </c>
      <c r="C1276">
        <v>2178</v>
      </c>
      <c r="D1276">
        <v>544.5</v>
      </c>
    </row>
    <row r="1277" spans="1:4" ht="15" x14ac:dyDescent="0.25">
      <c r="A1277" t="s">
        <v>5001</v>
      </c>
      <c r="B1277">
        <v>1</v>
      </c>
      <c r="C1277">
        <v>237</v>
      </c>
      <c r="D1277">
        <v>237</v>
      </c>
    </row>
    <row r="1278" spans="1:4" ht="15" x14ac:dyDescent="0.25">
      <c r="A1278" t="s">
        <v>5006</v>
      </c>
      <c r="B1278">
        <v>14</v>
      </c>
      <c r="C1278">
        <v>403</v>
      </c>
      <c r="D1278">
        <v>28.785714285714285</v>
      </c>
    </row>
    <row r="1279" spans="1:4" ht="15" x14ac:dyDescent="0.25">
      <c r="A1279" t="s">
        <v>5007</v>
      </c>
      <c r="B1279">
        <v>10</v>
      </c>
      <c r="C1279">
        <v>324</v>
      </c>
      <c r="D1279">
        <v>32.4</v>
      </c>
    </row>
    <row r="1280" spans="1:4" ht="15" x14ac:dyDescent="0.25">
      <c r="A1280" t="s">
        <v>5005</v>
      </c>
      <c r="B1280">
        <v>11</v>
      </c>
      <c r="C1280">
        <v>367</v>
      </c>
      <c r="D1280">
        <v>33.363636363636367</v>
      </c>
    </row>
    <row r="1281" spans="1:4" ht="15" x14ac:dyDescent="0.25">
      <c r="A1281" t="s">
        <v>5010</v>
      </c>
      <c r="B1281">
        <v>1</v>
      </c>
      <c r="C1281">
        <v>21</v>
      </c>
      <c r="D1281">
        <v>21</v>
      </c>
    </row>
    <row r="1282" spans="1:4" ht="15" x14ac:dyDescent="0.25">
      <c r="A1282" t="s">
        <v>5012</v>
      </c>
      <c r="B1282">
        <v>1</v>
      </c>
      <c r="C1282">
        <v>21</v>
      </c>
      <c r="D1282">
        <v>21</v>
      </c>
    </row>
    <row r="1283" spans="1:4" ht="15" x14ac:dyDescent="0.25">
      <c r="A1283" t="s">
        <v>5013</v>
      </c>
      <c r="B1283">
        <v>1</v>
      </c>
      <c r="C1283">
        <v>21</v>
      </c>
      <c r="D1283">
        <v>21</v>
      </c>
    </row>
    <row r="1284" spans="1:4" ht="15" x14ac:dyDescent="0.25">
      <c r="A1284" t="s">
        <v>5011</v>
      </c>
      <c r="B1284">
        <v>1</v>
      </c>
      <c r="C1284">
        <v>21</v>
      </c>
      <c r="D1284">
        <v>21</v>
      </c>
    </row>
    <row r="1285" spans="1:4" ht="15" x14ac:dyDescent="0.25">
      <c r="A1285" t="s">
        <v>5019</v>
      </c>
      <c r="B1285">
        <v>1</v>
      </c>
      <c r="C1285">
        <v>10</v>
      </c>
      <c r="D1285">
        <v>10</v>
      </c>
    </row>
    <row r="1286" spans="1:4" ht="15" x14ac:dyDescent="0.25">
      <c r="A1286" t="s">
        <v>5020</v>
      </c>
      <c r="B1286">
        <v>1</v>
      </c>
      <c r="C1286">
        <v>10</v>
      </c>
      <c r="D1286">
        <v>10</v>
      </c>
    </row>
    <row r="1287" spans="1:4" ht="15" x14ac:dyDescent="0.25">
      <c r="A1287" t="s">
        <v>5022</v>
      </c>
      <c r="B1287">
        <v>1</v>
      </c>
      <c r="C1287">
        <v>10</v>
      </c>
      <c r="D1287">
        <v>10</v>
      </c>
    </row>
    <row r="1288" spans="1:4" ht="15" x14ac:dyDescent="0.25">
      <c r="A1288" t="s">
        <v>5023</v>
      </c>
      <c r="B1288">
        <v>1</v>
      </c>
      <c r="C1288">
        <v>10</v>
      </c>
      <c r="D1288">
        <v>10</v>
      </c>
    </row>
    <row r="1289" spans="1:4" ht="15" x14ac:dyDescent="0.25">
      <c r="A1289" t="s">
        <v>5021</v>
      </c>
      <c r="B1289">
        <v>1</v>
      </c>
      <c r="C1289">
        <v>10</v>
      </c>
      <c r="D1289">
        <v>10</v>
      </c>
    </row>
    <row r="1290" spans="1:4" ht="15" x14ac:dyDescent="0.25">
      <c r="A1290" t="s">
        <v>5027</v>
      </c>
      <c r="B1290">
        <v>1</v>
      </c>
      <c r="C1290">
        <v>43</v>
      </c>
      <c r="D1290">
        <v>43</v>
      </c>
    </row>
    <row r="1291" spans="1:4" ht="15" x14ac:dyDescent="0.25">
      <c r="A1291" t="s">
        <v>5028</v>
      </c>
      <c r="B1291">
        <v>2</v>
      </c>
      <c r="C1291">
        <v>1158</v>
      </c>
      <c r="D1291">
        <v>579</v>
      </c>
    </row>
    <row r="1292" spans="1:4" ht="15" x14ac:dyDescent="0.25">
      <c r="A1292" t="s">
        <v>5030</v>
      </c>
      <c r="B1292">
        <v>1</v>
      </c>
      <c r="C1292">
        <v>43</v>
      </c>
      <c r="D1292">
        <v>43</v>
      </c>
    </row>
    <row r="1293" spans="1:4" ht="15" x14ac:dyDescent="0.25">
      <c r="A1293" t="s">
        <v>5029</v>
      </c>
      <c r="B1293">
        <v>1</v>
      </c>
      <c r="C1293">
        <v>43</v>
      </c>
      <c r="D1293">
        <v>43</v>
      </c>
    </row>
    <row r="1294" spans="1:4" ht="15" x14ac:dyDescent="0.25">
      <c r="A1294" t="s">
        <v>5035</v>
      </c>
      <c r="B1294">
        <v>1</v>
      </c>
      <c r="C1294">
        <v>89</v>
      </c>
      <c r="D1294">
        <v>89</v>
      </c>
    </row>
    <row r="1295" spans="1:4" ht="15" x14ac:dyDescent="0.25">
      <c r="A1295" t="s">
        <v>5034</v>
      </c>
      <c r="B1295">
        <v>2</v>
      </c>
      <c r="C1295">
        <v>254</v>
      </c>
      <c r="D1295">
        <v>127</v>
      </c>
    </row>
    <row r="1296" spans="1:4" ht="15" x14ac:dyDescent="0.25">
      <c r="A1296" t="s">
        <v>5040</v>
      </c>
      <c r="B1296">
        <v>1</v>
      </c>
      <c r="C1296">
        <v>118</v>
      </c>
      <c r="D1296">
        <v>118</v>
      </c>
    </row>
    <row r="1297" spans="1:4" ht="15" x14ac:dyDescent="0.25">
      <c r="A1297" t="s">
        <v>5041</v>
      </c>
      <c r="B1297">
        <v>1</v>
      </c>
      <c r="C1297">
        <v>118</v>
      </c>
      <c r="D1297">
        <v>118</v>
      </c>
    </row>
    <row r="1298" spans="1:4" ht="15" x14ac:dyDescent="0.25">
      <c r="A1298" t="s">
        <v>5042</v>
      </c>
      <c r="B1298">
        <v>1</v>
      </c>
      <c r="C1298">
        <v>118</v>
      </c>
      <c r="D1298">
        <v>118</v>
      </c>
    </row>
    <row r="1299" spans="1:4" ht="15" x14ac:dyDescent="0.25">
      <c r="A1299" t="s">
        <v>5043</v>
      </c>
      <c r="B1299">
        <v>3</v>
      </c>
      <c r="C1299">
        <v>140</v>
      </c>
      <c r="D1299">
        <v>46.666666666666664</v>
      </c>
    </row>
    <row r="1300" spans="1:4" ht="15" x14ac:dyDescent="0.25">
      <c r="A1300" t="s">
        <v>5047</v>
      </c>
      <c r="B1300">
        <v>8</v>
      </c>
      <c r="C1300">
        <v>494</v>
      </c>
      <c r="D1300">
        <v>61.75</v>
      </c>
    </row>
    <row r="1301" spans="1:4" ht="15" x14ac:dyDescent="0.25">
      <c r="A1301" t="s">
        <v>5048</v>
      </c>
      <c r="B1301">
        <v>1</v>
      </c>
      <c r="C1301">
        <v>43</v>
      </c>
      <c r="D1301">
        <v>43</v>
      </c>
    </row>
    <row r="1302" spans="1:4" ht="15" x14ac:dyDescent="0.25">
      <c r="A1302" t="s">
        <v>5054</v>
      </c>
      <c r="B1302">
        <v>1</v>
      </c>
      <c r="C1302">
        <v>88</v>
      </c>
      <c r="D1302">
        <v>88</v>
      </c>
    </row>
    <row r="1303" spans="1:4" ht="15" x14ac:dyDescent="0.25">
      <c r="A1303" t="s">
        <v>5055</v>
      </c>
      <c r="B1303">
        <v>1</v>
      </c>
      <c r="C1303">
        <v>88</v>
      </c>
      <c r="D1303">
        <v>88</v>
      </c>
    </row>
    <row r="1304" spans="1:4" ht="15" x14ac:dyDescent="0.25">
      <c r="A1304" t="s">
        <v>5057</v>
      </c>
      <c r="B1304">
        <v>1</v>
      </c>
      <c r="C1304">
        <v>88</v>
      </c>
      <c r="D1304">
        <v>88</v>
      </c>
    </row>
    <row r="1305" spans="1:4" ht="15" x14ac:dyDescent="0.25">
      <c r="A1305" t="s">
        <v>5056</v>
      </c>
      <c r="B1305">
        <v>1</v>
      </c>
      <c r="C1305">
        <v>88</v>
      </c>
      <c r="D1305">
        <v>88</v>
      </c>
    </row>
    <row r="1306" spans="1:4" ht="15" x14ac:dyDescent="0.25">
      <c r="A1306" t="s">
        <v>5062</v>
      </c>
      <c r="B1306">
        <v>1</v>
      </c>
      <c r="C1306">
        <v>25</v>
      </c>
      <c r="D1306">
        <v>25</v>
      </c>
    </row>
    <row r="1307" spans="1:4" ht="15" x14ac:dyDescent="0.25">
      <c r="A1307" t="s">
        <v>5061</v>
      </c>
      <c r="B1307">
        <v>9</v>
      </c>
      <c r="C1307">
        <v>693</v>
      </c>
      <c r="D1307">
        <v>77</v>
      </c>
    </row>
    <row r="1308" spans="1:4" ht="15" x14ac:dyDescent="0.25">
      <c r="A1308" t="s">
        <v>5067</v>
      </c>
      <c r="B1308">
        <v>1</v>
      </c>
      <c r="C1308">
        <v>121</v>
      </c>
      <c r="D1308">
        <v>121</v>
      </c>
    </row>
    <row r="1309" spans="1:4" ht="15" x14ac:dyDescent="0.25">
      <c r="A1309" t="s">
        <v>5068</v>
      </c>
      <c r="B1309">
        <v>1</v>
      </c>
      <c r="C1309">
        <v>121</v>
      </c>
      <c r="D1309">
        <v>121</v>
      </c>
    </row>
    <row r="1310" spans="1:4" ht="15" x14ac:dyDescent="0.25">
      <c r="A1310" t="s">
        <v>5070</v>
      </c>
      <c r="B1310">
        <v>1</v>
      </c>
      <c r="C1310">
        <v>121</v>
      </c>
      <c r="D1310">
        <v>121</v>
      </c>
    </row>
    <row r="1311" spans="1:4" ht="15" x14ac:dyDescent="0.25">
      <c r="A1311" t="s">
        <v>5071</v>
      </c>
      <c r="B1311">
        <v>2</v>
      </c>
      <c r="C1311">
        <v>189</v>
      </c>
      <c r="D1311">
        <v>94.5</v>
      </c>
    </row>
    <row r="1312" spans="1:4" ht="15" x14ac:dyDescent="0.25">
      <c r="A1312" t="s">
        <v>5069</v>
      </c>
      <c r="B1312">
        <v>1</v>
      </c>
      <c r="C1312">
        <v>121</v>
      </c>
      <c r="D1312">
        <v>121</v>
      </c>
    </row>
    <row r="1313" spans="1:4" ht="15" x14ac:dyDescent="0.25">
      <c r="A1313" t="s">
        <v>5075</v>
      </c>
      <c r="B1313">
        <v>1</v>
      </c>
      <c r="C1313">
        <v>31</v>
      </c>
      <c r="D1313">
        <v>31</v>
      </c>
    </row>
    <row r="1314" spans="1:4" ht="15" x14ac:dyDescent="0.25">
      <c r="A1314" t="s">
        <v>5076</v>
      </c>
      <c r="B1314">
        <v>1</v>
      </c>
      <c r="C1314">
        <v>31</v>
      </c>
      <c r="D1314">
        <v>31</v>
      </c>
    </row>
    <row r="1315" spans="1:4" ht="15" x14ac:dyDescent="0.25">
      <c r="A1315" t="s">
        <v>5078</v>
      </c>
      <c r="B1315">
        <v>1</v>
      </c>
      <c r="C1315">
        <v>31</v>
      </c>
      <c r="D1315">
        <v>31</v>
      </c>
    </row>
    <row r="1316" spans="1:4" ht="15" x14ac:dyDescent="0.25">
      <c r="A1316" t="s">
        <v>5079</v>
      </c>
      <c r="B1316">
        <v>1</v>
      </c>
      <c r="C1316">
        <v>31</v>
      </c>
      <c r="D1316">
        <v>31</v>
      </c>
    </row>
    <row r="1317" spans="1:4" ht="15" x14ac:dyDescent="0.25">
      <c r="A1317" t="s">
        <v>5077</v>
      </c>
      <c r="B1317">
        <v>12</v>
      </c>
      <c r="C1317">
        <v>605</v>
      </c>
      <c r="D1317">
        <v>50.416666666666664</v>
      </c>
    </row>
    <row r="1318" spans="1:4" ht="15" x14ac:dyDescent="0.25">
      <c r="A1318" t="s">
        <v>5084</v>
      </c>
      <c r="B1318">
        <v>9</v>
      </c>
      <c r="C1318">
        <v>374</v>
      </c>
      <c r="D1318">
        <v>41.555555555555557</v>
      </c>
    </row>
    <row r="1319" spans="1:4" ht="15" x14ac:dyDescent="0.25">
      <c r="A1319" t="s">
        <v>5083</v>
      </c>
      <c r="B1319">
        <v>4</v>
      </c>
      <c r="C1319">
        <v>80</v>
      </c>
      <c r="D1319">
        <v>20</v>
      </c>
    </row>
    <row r="1320" spans="1:4" ht="15" x14ac:dyDescent="0.25">
      <c r="A1320" t="s">
        <v>5088</v>
      </c>
      <c r="B1320">
        <v>1</v>
      </c>
      <c r="C1320">
        <v>67</v>
      </c>
      <c r="D1320">
        <v>67</v>
      </c>
    </row>
    <row r="1321" spans="1:4" ht="15" x14ac:dyDescent="0.25">
      <c r="A1321" t="s">
        <v>5089</v>
      </c>
      <c r="B1321">
        <v>1</v>
      </c>
      <c r="C1321">
        <v>67</v>
      </c>
      <c r="D1321">
        <v>67</v>
      </c>
    </row>
    <row r="1322" spans="1:4" ht="15" x14ac:dyDescent="0.25">
      <c r="A1322" t="s">
        <v>5091</v>
      </c>
      <c r="B1322">
        <v>1</v>
      </c>
      <c r="C1322">
        <v>67</v>
      </c>
      <c r="D1322">
        <v>67</v>
      </c>
    </row>
    <row r="1323" spans="1:4" ht="15" x14ac:dyDescent="0.25">
      <c r="A1323" t="s">
        <v>5092</v>
      </c>
      <c r="B1323">
        <v>1</v>
      </c>
      <c r="C1323">
        <v>67</v>
      </c>
      <c r="D1323">
        <v>67</v>
      </c>
    </row>
    <row r="1324" spans="1:4" ht="15" x14ac:dyDescent="0.25">
      <c r="A1324" t="s">
        <v>5090</v>
      </c>
      <c r="B1324">
        <v>8</v>
      </c>
      <c r="C1324">
        <v>414</v>
      </c>
      <c r="D1324">
        <v>51.75</v>
      </c>
    </row>
    <row r="1325" spans="1:4" ht="15" x14ac:dyDescent="0.25">
      <c r="A1325" t="s">
        <v>5097</v>
      </c>
      <c r="B1325">
        <v>1</v>
      </c>
      <c r="C1325">
        <v>9</v>
      </c>
      <c r="D1325">
        <v>9</v>
      </c>
    </row>
    <row r="1326" spans="1:4" ht="15" x14ac:dyDescent="0.25">
      <c r="A1326" t="s">
        <v>5098</v>
      </c>
      <c r="B1326">
        <v>1</v>
      </c>
      <c r="C1326">
        <v>9</v>
      </c>
      <c r="D1326">
        <v>9</v>
      </c>
    </row>
    <row r="1327" spans="1:4" ht="15" x14ac:dyDescent="0.25">
      <c r="A1327" t="s">
        <v>5099</v>
      </c>
      <c r="B1327">
        <v>1</v>
      </c>
      <c r="C1327">
        <v>9</v>
      </c>
      <c r="D1327">
        <v>9</v>
      </c>
    </row>
    <row r="1328" spans="1:4" ht="15" x14ac:dyDescent="0.25">
      <c r="A1328" t="s">
        <v>5104</v>
      </c>
      <c r="B1328">
        <v>1</v>
      </c>
      <c r="C1328">
        <v>46</v>
      </c>
      <c r="D1328">
        <v>46</v>
      </c>
    </row>
    <row r="1329" spans="1:4" ht="15" x14ac:dyDescent="0.25">
      <c r="A1329" t="s">
        <v>5105</v>
      </c>
      <c r="B1329">
        <v>1</v>
      </c>
      <c r="C1329">
        <v>46</v>
      </c>
      <c r="D1329">
        <v>46</v>
      </c>
    </row>
    <row r="1330" spans="1:4" ht="15" x14ac:dyDescent="0.25">
      <c r="A1330" t="s">
        <v>5107</v>
      </c>
      <c r="B1330">
        <v>1</v>
      </c>
      <c r="C1330">
        <v>46</v>
      </c>
      <c r="D1330">
        <v>46</v>
      </c>
    </row>
    <row r="1331" spans="1:4" ht="15" x14ac:dyDescent="0.25">
      <c r="A1331" t="s">
        <v>5108</v>
      </c>
      <c r="B1331">
        <v>3</v>
      </c>
      <c r="C1331">
        <v>59</v>
      </c>
      <c r="D1331">
        <v>19.666666666666668</v>
      </c>
    </row>
    <row r="1332" spans="1:4" ht="15" x14ac:dyDescent="0.25">
      <c r="A1332" t="s">
        <v>5106</v>
      </c>
      <c r="B1332">
        <v>1</v>
      </c>
      <c r="C1332">
        <v>46</v>
      </c>
      <c r="D1332">
        <v>46</v>
      </c>
    </row>
    <row r="1333" spans="1:4" ht="15" x14ac:dyDescent="0.25">
      <c r="A1333" t="s">
        <v>5112</v>
      </c>
      <c r="B1333">
        <v>2</v>
      </c>
      <c r="C1333">
        <v>21</v>
      </c>
      <c r="D1333">
        <v>10.5</v>
      </c>
    </row>
    <row r="1334" spans="1:4" ht="15" x14ac:dyDescent="0.25">
      <c r="A1334" t="s">
        <v>5113</v>
      </c>
      <c r="B1334">
        <v>9</v>
      </c>
      <c r="C1334">
        <v>283</v>
      </c>
      <c r="D1334">
        <v>31.444444444444443</v>
      </c>
    </row>
    <row r="1335" spans="1:4" ht="15" x14ac:dyDescent="0.25">
      <c r="A1335" t="s">
        <v>5117</v>
      </c>
      <c r="B1335">
        <v>1</v>
      </c>
      <c r="C1335">
        <v>12</v>
      </c>
      <c r="D1335">
        <v>12</v>
      </c>
    </row>
    <row r="1336" spans="1:4" ht="15" x14ac:dyDescent="0.25">
      <c r="A1336" t="s">
        <v>5119</v>
      </c>
      <c r="B1336">
        <v>1</v>
      </c>
      <c r="C1336">
        <v>12</v>
      </c>
      <c r="D1336">
        <v>12</v>
      </c>
    </row>
    <row r="1337" spans="1:4" ht="15" x14ac:dyDescent="0.25">
      <c r="A1337" t="s">
        <v>5120</v>
      </c>
      <c r="B1337">
        <v>1</v>
      </c>
      <c r="C1337">
        <v>12</v>
      </c>
      <c r="D1337">
        <v>12</v>
      </c>
    </row>
    <row r="1338" spans="1:4" ht="15" x14ac:dyDescent="0.25">
      <c r="A1338" t="s">
        <v>5118</v>
      </c>
      <c r="B1338">
        <v>9</v>
      </c>
      <c r="C1338">
        <v>243</v>
      </c>
      <c r="D1338">
        <v>27</v>
      </c>
    </row>
    <row r="1339" spans="1:4" ht="15" x14ac:dyDescent="0.25">
      <c r="A1339" t="s">
        <v>5126</v>
      </c>
      <c r="B1339">
        <v>2</v>
      </c>
      <c r="C1339">
        <v>49</v>
      </c>
      <c r="D1339">
        <v>24.5</v>
      </c>
    </row>
    <row r="1340" spans="1:4" ht="15" x14ac:dyDescent="0.25">
      <c r="A1340" t="s">
        <v>5127</v>
      </c>
      <c r="B1340">
        <v>1</v>
      </c>
      <c r="C1340">
        <v>43</v>
      </c>
      <c r="D1340">
        <v>43</v>
      </c>
    </row>
    <row r="1341" spans="1:4" ht="15" x14ac:dyDescent="0.25">
      <c r="A1341" t="s">
        <v>5129</v>
      </c>
      <c r="B1341">
        <v>2</v>
      </c>
      <c r="C1341">
        <v>91</v>
      </c>
      <c r="D1341">
        <v>45.5</v>
      </c>
    </row>
    <row r="1342" spans="1:4" ht="15" x14ac:dyDescent="0.25">
      <c r="A1342" t="s">
        <v>5130</v>
      </c>
      <c r="B1342">
        <v>1</v>
      </c>
      <c r="C1342">
        <v>43</v>
      </c>
      <c r="D1342">
        <v>43</v>
      </c>
    </row>
    <row r="1343" spans="1:4" ht="15" x14ac:dyDescent="0.25">
      <c r="A1343" t="s">
        <v>5128</v>
      </c>
      <c r="B1343">
        <v>1</v>
      </c>
      <c r="C1343">
        <v>43</v>
      </c>
      <c r="D1343">
        <v>43</v>
      </c>
    </row>
    <row r="1344" spans="1:4" ht="15" x14ac:dyDescent="0.25">
      <c r="A1344" t="s">
        <v>5139</v>
      </c>
      <c r="B1344">
        <v>1</v>
      </c>
      <c r="C1344">
        <v>116</v>
      </c>
      <c r="D1344">
        <v>116</v>
      </c>
    </row>
    <row r="1345" spans="1:4" ht="15" x14ac:dyDescent="0.25">
      <c r="A1345" t="s">
        <v>5140</v>
      </c>
      <c r="B1345">
        <v>1</v>
      </c>
      <c r="C1345">
        <v>116</v>
      </c>
      <c r="D1345">
        <v>116</v>
      </c>
    </row>
    <row r="1346" spans="1:4" ht="15" x14ac:dyDescent="0.25">
      <c r="A1346" t="s">
        <v>5142</v>
      </c>
      <c r="B1346">
        <v>1</v>
      </c>
      <c r="C1346">
        <v>116</v>
      </c>
      <c r="D1346">
        <v>116</v>
      </c>
    </row>
    <row r="1347" spans="1:4" ht="15" x14ac:dyDescent="0.25">
      <c r="A1347" t="s">
        <v>5143</v>
      </c>
      <c r="B1347">
        <v>1</v>
      </c>
      <c r="C1347">
        <v>116</v>
      </c>
      <c r="D1347">
        <v>116</v>
      </c>
    </row>
    <row r="1348" spans="1:4" ht="15" x14ac:dyDescent="0.25">
      <c r="A1348" t="s">
        <v>5141</v>
      </c>
      <c r="B1348">
        <v>1</v>
      </c>
      <c r="C1348">
        <v>116</v>
      </c>
      <c r="D1348">
        <v>116</v>
      </c>
    </row>
    <row r="1349" spans="1:4" ht="15" x14ac:dyDescent="0.25">
      <c r="A1349" t="s">
        <v>5148</v>
      </c>
      <c r="B1349">
        <v>2</v>
      </c>
      <c r="C1349">
        <v>200</v>
      </c>
      <c r="D1349">
        <v>100</v>
      </c>
    </row>
    <row r="1350" spans="1:4" ht="15" x14ac:dyDescent="0.25">
      <c r="A1350" t="s">
        <v>5147</v>
      </c>
      <c r="B1350">
        <v>12</v>
      </c>
      <c r="C1350">
        <v>945</v>
      </c>
      <c r="D1350">
        <v>78.75</v>
      </c>
    </row>
    <row r="1351" spans="1:4" ht="15" x14ac:dyDescent="0.25">
      <c r="A1351" t="s">
        <v>5152</v>
      </c>
      <c r="B1351">
        <v>3</v>
      </c>
      <c r="C1351">
        <v>290</v>
      </c>
      <c r="D1351">
        <v>96.666666666666671</v>
      </c>
    </row>
    <row r="1352" spans="1:4" ht="15" x14ac:dyDescent="0.25">
      <c r="A1352" t="s">
        <v>5153</v>
      </c>
      <c r="B1352">
        <v>31</v>
      </c>
      <c r="C1352">
        <v>2600</v>
      </c>
      <c r="D1352">
        <v>83.870967741935488</v>
      </c>
    </row>
    <row r="1353" spans="1:4" ht="15" x14ac:dyDescent="0.25">
      <c r="A1353" t="s">
        <v>5155</v>
      </c>
      <c r="B1353">
        <v>3</v>
      </c>
      <c r="C1353">
        <v>290</v>
      </c>
      <c r="D1353">
        <v>96.666666666666671</v>
      </c>
    </row>
    <row r="1354" spans="1:4" ht="15" x14ac:dyDescent="0.25">
      <c r="A1354" t="s">
        <v>5156</v>
      </c>
      <c r="B1354">
        <v>3</v>
      </c>
      <c r="C1354">
        <v>290</v>
      </c>
      <c r="D1354">
        <v>96.666666666666671</v>
      </c>
    </row>
    <row r="1355" spans="1:4" ht="15" x14ac:dyDescent="0.25">
      <c r="A1355" t="s">
        <v>5154</v>
      </c>
      <c r="B1355">
        <v>3</v>
      </c>
      <c r="C1355">
        <v>290</v>
      </c>
      <c r="D1355">
        <v>96.666666666666671</v>
      </c>
    </row>
    <row r="1356" spans="1:4" ht="15" x14ac:dyDescent="0.25">
      <c r="A1356" t="s">
        <v>5160</v>
      </c>
      <c r="B1356">
        <v>4</v>
      </c>
      <c r="C1356">
        <v>243</v>
      </c>
      <c r="D1356">
        <v>60.75</v>
      </c>
    </row>
    <row r="1357" spans="1:4" ht="15" x14ac:dyDescent="0.25">
      <c r="A1357" t="s">
        <v>5161</v>
      </c>
      <c r="B1357">
        <v>2</v>
      </c>
      <c r="C1357">
        <v>65</v>
      </c>
      <c r="D1357">
        <v>32.5</v>
      </c>
    </row>
    <row r="1358" spans="1:4" ht="15" x14ac:dyDescent="0.25">
      <c r="A1358" t="s">
        <v>5163</v>
      </c>
      <c r="B1358">
        <v>2</v>
      </c>
      <c r="C1358">
        <v>67</v>
      </c>
      <c r="D1358">
        <v>33.5</v>
      </c>
    </row>
    <row r="1359" spans="1:4" ht="15" x14ac:dyDescent="0.25">
      <c r="A1359" t="s">
        <v>5164</v>
      </c>
      <c r="B1359">
        <v>3</v>
      </c>
      <c r="C1359">
        <v>244</v>
      </c>
      <c r="D1359">
        <v>81.333333333333329</v>
      </c>
    </row>
    <row r="1360" spans="1:4" ht="15" x14ac:dyDescent="0.25">
      <c r="A1360" t="s">
        <v>5162</v>
      </c>
      <c r="B1360">
        <v>14</v>
      </c>
      <c r="C1360">
        <v>574</v>
      </c>
      <c r="D1360">
        <v>41</v>
      </c>
    </row>
    <row r="1361" spans="1:4" ht="15" x14ac:dyDescent="0.25">
      <c r="A1361" t="s">
        <v>5168</v>
      </c>
      <c r="B1361">
        <v>35</v>
      </c>
      <c r="C1361">
        <v>1601</v>
      </c>
      <c r="D1361">
        <v>45.74285714285714</v>
      </c>
    </row>
    <row r="1362" spans="1:4" ht="15" x14ac:dyDescent="0.25">
      <c r="A1362" t="s">
        <v>5169</v>
      </c>
      <c r="B1362">
        <v>4</v>
      </c>
      <c r="C1362">
        <v>140</v>
      </c>
      <c r="D1362">
        <v>35</v>
      </c>
    </row>
    <row r="1363" spans="1:4" ht="15" x14ac:dyDescent="0.25">
      <c r="A1363" t="s">
        <v>5171</v>
      </c>
      <c r="B1363">
        <v>1</v>
      </c>
      <c r="C1363">
        <v>54</v>
      </c>
      <c r="D1363">
        <v>54</v>
      </c>
    </row>
    <row r="1364" spans="1:4" ht="15" x14ac:dyDescent="0.25">
      <c r="A1364" t="s">
        <v>5170</v>
      </c>
      <c r="B1364">
        <v>4</v>
      </c>
      <c r="C1364">
        <v>139</v>
      </c>
      <c r="D1364">
        <v>34.75</v>
      </c>
    </row>
    <row r="1365" spans="1:4" ht="15" x14ac:dyDescent="0.25">
      <c r="A1365" t="s">
        <v>5174</v>
      </c>
      <c r="B1365">
        <v>5</v>
      </c>
      <c r="C1365">
        <v>260</v>
      </c>
      <c r="D1365">
        <v>52</v>
      </c>
    </row>
    <row r="1366" spans="1:4" ht="15" x14ac:dyDescent="0.25">
      <c r="A1366" t="s">
        <v>5175</v>
      </c>
      <c r="B1366">
        <v>4</v>
      </c>
      <c r="C1366">
        <v>197</v>
      </c>
      <c r="D1366">
        <v>49.25</v>
      </c>
    </row>
    <row r="1367" spans="1:4" ht="15" x14ac:dyDescent="0.25">
      <c r="A1367" t="s">
        <v>5180</v>
      </c>
      <c r="B1367">
        <v>1</v>
      </c>
      <c r="C1367">
        <v>8</v>
      </c>
      <c r="D1367">
        <v>8</v>
      </c>
    </row>
    <row r="1368" spans="1:4" ht="15" x14ac:dyDescent="0.25">
      <c r="A1368" t="s">
        <v>5186</v>
      </c>
      <c r="B1368">
        <v>8</v>
      </c>
      <c r="C1368">
        <v>317</v>
      </c>
      <c r="D1368">
        <v>39.625</v>
      </c>
    </row>
    <row r="1369" spans="1:4" ht="15" x14ac:dyDescent="0.25">
      <c r="A1369" t="s">
        <v>5188</v>
      </c>
      <c r="B1369">
        <v>4</v>
      </c>
      <c r="C1369">
        <v>131</v>
      </c>
      <c r="D1369">
        <v>32.75</v>
      </c>
    </row>
    <row r="1370" spans="1:4" ht="15" x14ac:dyDescent="0.25">
      <c r="A1370" t="s">
        <v>5187</v>
      </c>
      <c r="B1370">
        <v>4</v>
      </c>
      <c r="C1370">
        <v>206</v>
      </c>
      <c r="D1370">
        <v>51.5</v>
      </c>
    </row>
    <row r="1371" spans="1:4" ht="15" x14ac:dyDescent="0.25">
      <c r="A1371" t="s">
        <v>5191</v>
      </c>
      <c r="B1371">
        <v>1</v>
      </c>
      <c r="C1371">
        <v>34</v>
      </c>
      <c r="D1371">
        <v>34</v>
      </c>
    </row>
    <row r="1372" spans="1:4" ht="15" x14ac:dyDescent="0.25">
      <c r="A1372" t="s">
        <v>5192</v>
      </c>
      <c r="B1372">
        <v>3</v>
      </c>
      <c r="C1372">
        <v>63</v>
      </c>
      <c r="D1372">
        <v>21</v>
      </c>
    </row>
    <row r="1373" spans="1:4" ht="15" x14ac:dyDescent="0.25">
      <c r="A1373" t="s">
        <v>2588</v>
      </c>
      <c r="B1373">
        <v>14</v>
      </c>
      <c r="C1373">
        <v>7194</v>
      </c>
      <c r="D1373">
        <v>513.85714285714289</v>
      </c>
    </row>
    <row r="1374" spans="1:4" ht="15" x14ac:dyDescent="0.25">
      <c r="A1374" t="s">
        <v>5195</v>
      </c>
      <c r="B1374">
        <v>3</v>
      </c>
      <c r="C1374">
        <v>108</v>
      </c>
      <c r="D1374">
        <v>36</v>
      </c>
    </row>
    <row r="1375" spans="1:4" ht="15" x14ac:dyDescent="0.25">
      <c r="A1375" t="s">
        <v>5196</v>
      </c>
      <c r="B1375">
        <v>15</v>
      </c>
      <c r="C1375">
        <v>1715</v>
      </c>
      <c r="D1375">
        <v>114.33333333333333</v>
      </c>
    </row>
    <row r="1376" spans="1:4" ht="15" x14ac:dyDescent="0.25">
      <c r="A1376" t="s">
        <v>5197</v>
      </c>
      <c r="B1376">
        <v>20</v>
      </c>
      <c r="C1376">
        <v>2156</v>
      </c>
      <c r="D1376">
        <v>107.8</v>
      </c>
    </row>
    <row r="1377" spans="1:4" ht="15" x14ac:dyDescent="0.25">
      <c r="A1377" t="s">
        <v>5201</v>
      </c>
      <c r="B1377">
        <v>4</v>
      </c>
      <c r="C1377">
        <v>138</v>
      </c>
      <c r="D1377">
        <v>34.5</v>
      </c>
    </row>
    <row r="1378" spans="1:4" ht="15" x14ac:dyDescent="0.25">
      <c r="A1378" t="s">
        <v>5202</v>
      </c>
      <c r="B1378">
        <v>5</v>
      </c>
      <c r="C1378">
        <v>246</v>
      </c>
      <c r="D1378">
        <v>49.2</v>
      </c>
    </row>
    <row r="1379" spans="1:4" ht="15" x14ac:dyDescent="0.25">
      <c r="A1379" t="s">
        <v>5203</v>
      </c>
      <c r="B1379">
        <v>1</v>
      </c>
      <c r="C1379">
        <v>26</v>
      </c>
      <c r="D1379">
        <v>26</v>
      </c>
    </row>
    <row r="1380" spans="1:4" ht="15" x14ac:dyDescent="0.25">
      <c r="A1380" t="s">
        <v>5204</v>
      </c>
      <c r="B1380">
        <v>2</v>
      </c>
      <c r="C1380">
        <v>134</v>
      </c>
      <c r="D1380">
        <v>67</v>
      </c>
    </row>
    <row r="1381" spans="1:4" ht="15" x14ac:dyDescent="0.25">
      <c r="A1381" t="s">
        <v>5207</v>
      </c>
      <c r="B1381">
        <v>2</v>
      </c>
      <c r="C1381">
        <v>183</v>
      </c>
      <c r="D1381">
        <v>91.5</v>
      </c>
    </row>
    <row r="1382" spans="1:4" ht="15" x14ac:dyDescent="0.25">
      <c r="A1382" t="s">
        <v>5210</v>
      </c>
      <c r="B1382">
        <v>6</v>
      </c>
      <c r="C1382">
        <v>177</v>
      </c>
      <c r="D1382">
        <v>29.5</v>
      </c>
    </row>
    <row r="1383" spans="1:4" ht="15" x14ac:dyDescent="0.25">
      <c r="A1383" t="s">
        <v>5211</v>
      </c>
      <c r="B1383">
        <v>10</v>
      </c>
      <c r="C1383">
        <v>296</v>
      </c>
      <c r="D1383">
        <v>29.6</v>
      </c>
    </row>
    <row r="1384" spans="1:4" ht="15" x14ac:dyDescent="0.25">
      <c r="A1384" t="s">
        <v>5214</v>
      </c>
      <c r="B1384">
        <v>6</v>
      </c>
      <c r="C1384">
        <v>1673</v>
      </c>
      <c r="D1384">
        <v>278.83333333333331</v>
      </c>
    </row>
    <row r="1385" spans="1:4" ht="15" x14ac:dyDescent="0.25">
      <c r="A1385" t="s">
        <v>5219</v>
      </c>
      <c r="B1385">
        <v>3</v>
      </c>
      <c r="C1385">
        <v>127</v>
      </c>
      <c r="D1385">
        <v>42.333333333333336</v>
      </c>
    </row>
    <row r="1386" spans="1:4" ht="15" x14ac:dyDescent="0.25">
      <c r="A1386" t="s">
        <v>5221</v>
      </c>
      <c r="B1386">
        <v>9</v>
      </c>
      <c r="C1386">
        <v>788</v>
      </c>
      <c r="D1386">
        <v>87.555555555555557</v>
      </c>
    </row>
    <row r="1387" spans="1:4" ht="15" x14ac:dyDescent="0.25">
      <c r="A1387" t="s">
        <v>5220</v>
      </c>
      <c r="B1387">
        <v>3</v>
      </c>
      <c r="C1387">
        <v>217</v>
      </c>
      <c r="D1387">
        <v>72.333333333333329</v>
      </c>
    </row>
    <row r="1388" spans="1:4" ht="15" x14ac:dyDescent="0.25">
      <c r="A1388" t="s">
        <v>5229</v>
      </c>
      <c r="B1388">
        <v>38</v>
      </c>
      <c r="C1388">
        <v>3345</v>
      </c>
      <c r="D1388">
        <v>88.026315789473685</v>
      </c>
    </row>
    <row r="1389" spans="1:4" ht="15" x14ac:dyDescent="0.25">
      <c r="A1389" t="s">
        <v>5231</v>
      </c>
      <c r="B1389">
        <v>7</v>
      </c>
      <c r="C1389">
        <v>134</v>
      </c>
      <c r="D1389">
        <v>19.142857142857142</v>
      </c>
    </row>
    <row r="1390" spans="1:4" ht="15" x14ac:dyDescent="0.25">
      <c r="A1390" t="s">
        <v>5232</v>
      </c>
      <c r="B1390">
        <v>8</v>
      </c>
      <c r="C1390">
        <v>160</v>
      </c>
      <c r="D1390">
        <v>20</v>
      </c>
    </row>
    <row r="1391" spans="1:4" ht="15" x14ac:dyDescent="0.25">
      <c r="A1391" t="s">
        <v>5230</v>
      </c>
      <c r="B1391">
        <v>7</v>
      </c>
      <c r="C1391">
        <v>161</v>
      </c>
      <c r="D1391">
        <v>23</v>
      </c>
    </row>
    <row r="1392" spans="1:4" ht="15" x14ac:dyDescent="0.25">
      <c r="A1392" t="s">
        <v>5235</v>
      </c>
      <c r="B1392">
        <v>4</v>
      </c>
      <c r="C1392">
        <v>475</v>
      </c>
      <c r="D1392">
        <v>118.75</v>
      </c>
    </row>
    <row r="1393" spans="1:4" ht="15" x14ac:dyDescent="0.25">
      <c r="A1393" t="s">
        <v>5236</v>
      </c>
      <c r="B1393">
        <v>7</v>
      </c>
      <c r="C1393">
        <v>918</v>
      </c>
      <c r="D1393">
        <v>131.14285714285714</v>
      </c>
    </row>
    <row r="1394" spans="1:4" ht="15" x14ac:dyDescent="0.25">
      <c r="A1394" t="s">
        <v>5239</v>
      </c>
      <c r="B1394">
        <v>3</v>
      </c>
      <c r="C1394">
        <v>79</v>
      </c>
      <c r="D1394">
        <v>26.333333333333332</v>
      </c>
    </row>
    <row r="1395" spans="1:4" ht="15" x14ac:dyDescent="0.25">
      <c r="A1395" t="s">
        <v>5243</v>
      </c>
      <c r="B1395">
        <v>2</v>
      </c>
      <c r="C1395">
        <v>372</v>
      </c>
      <c r="D1395">
        <v>186</v>
      </c>
    </row>
    <row r="1396" spans="1:4" ht="15" x14ac:dyDescent="0.25">
      <c r="A1396" t="s">
        <v>5244</v>
      </c>
      <c r="B1396">
        <v>1</v>
      </c>
      <c r="C1396">
        <v>357</v>
      </c>
      <c r="D1396">
        <v>357</v>
      </c>
    </row>
    <row r="1397" spans="1:4" ht="15" x14ac:dyDescent="0.25">
      <c r="A1397" t="s">
        <v>5248</v>
      </c>
      <c r="B1397">
        <v>1</v>
      </c>
      <c r="C1397">
        <v>63</v>
      </c>
      <c r="D1397">
        <v>63</v>
      </c>
    </row>
    <row r="1398" spans="1:4" ht="15" x14ac:dyDescent="0.25">
      <c r="A1398" t="s">
        <v>5249</v>
      </c>
      <c r="B1398">
        <v>1</v>
      </c>
      <c r="C1398">
        <v>63</v>
      </c>
      <c r="D1398">
        <v>63</v>
      </c>
    </row>
    <row r="1399" spans="1:4" ht="15" x14ac:dyDescent="0.25">
      <c r="A1399" t="s">
        <v>5250</v>
      </c>
      <c r="B1399">
        <v>3</v>
      </c>
      <c r="C1399">
        <v>159</v>
      </c>
      <c r="D1399">
        <v>53</v>
      </c>
    </row>
    <row r="1400" spans="1:4" ht="15" x14ac:dyDescent="0.25">
      <c r="A1400" t="s">
        <v>5255</v>
      </c>
      <c r="B1400">
        <v>1</v>
      </c>
      <c r="C1400">
        <v>37</v>
      </c>
      <c r="D1400">
        <v>37</v>
      </c>
    </row>
    <row r="1401" spans="1:4" ht="15" x14ac:dyDescent="0.25">
      <c r="A1401" t="s">
        <v>5256</v>
      </c>
      <c r="B1401">
        <v>1</v>
      </c>
      <c r="C1401">
        <v>37</v>
      </c>
      <c r="D1401">
        <v>37</v>
      </c>
    </row>
    <row r="1402" spans="1:4" ht="15" x14ac:dyDescent="0.25">
      <c r="A1402" t="s">
        <v>5258</v>
      </c>
      <c r="B1402">
        <v>1</v>
      </c>
      <c r="C1402">
        <v>37</v>
      </c>
      <c r="D1402">
        <v>37</v>
      </c>
    </row>
    <row r="1403" spans="1:4" ht="15" x14ac:dyDescent="0.25">
      <c r="A1403" t="s">
        <v>5259</v>
      </c>
      <c r="B1403">
        <v>2</v>
      </c>
      <c r="C1403">
        <v>101</v>
      </c>
      <c r="D1403">
        <v>50.5</v>
      </c>
    </row>
    <row r="1404" spans="1:4" ht="15" x14ac:dyDescent="0.25">
      <c r="A1404" t="s">
        <v>5257</v>
      </c>
      <c r="B1404">
        <v>5</v>
      </c>
      <c r="C1404">
        <v>258</v>
      </c>
      <c r="D1404">
        <v>51.6</v>
      </c>
    </row>
    <row r="1405" spans="1:4" ht="15" x14ac:dyDescent="0.25">
      <c r="A1405" t="s">
        <v>5265</v>
      </c>
      <c r="B1405">
        <v>4</v>
      </c>
      <c r="C1405">
        <v>136</v>
      </c>
      <c r="D1405">
        <v>34</v>
      </c>
    </row>
    <row r="1406" spans="1:4" ht="15" x14ac:dyDescent="0.25">
      <c r="A1406" t="s">
        <v>5266</v>
      </c>
      <c r="B1406">
        <v>2</v>
      </c>
      <c r="C1406">
        <v>130</v>
      </c>
      <c r="D1406">
        <v>65</v>
      </c>
    </row>
    <row r="1407" spans="1:4" ht="15" x14ac:dyDescent="0.25">
      <c r="A1407" t="s">
        <v>5268</v>
      </c>
      <c r="B1407">
        <v>2</v>
      </c>
      <c r="C1407">
        <v>1286</v>
      </c>
      <c r="D1407">
        <v>643</v>
      </c>
    </row>
    <row r="1408" spans="1:4" ht="15" x14ac:dyDescent="0.25">
      <c r="A1408" t="s">
        <v>5269</v>
      </c>
      <c r="B1408">
        <v>1</v>
      </c>
      <c r="C1408">
        <v>63</v>
      </c>
      <c r="D1408">
        <v>63</v>
      </c>
    </row>
    <row r="1409" spans="1:4" ht="15" x14ac:dyDescent="0.25">
      <c r="A1409" t="s">
        <v>5267</v>
      </c>
      <c r="B1409">
        <v>3</v>
      </c>
      <c r="C1409">
        <v>106</v>
      </c>
      <c r="D1409">
        <v>35.333333333333336</v>
      </c>
    </row>
    <row r="1410" spans="1:4" ht="15" x14ac:dyDescent="0.25">
      <c r="A1410" t="s">
        <v>5274</v>
      </c>
      <c r="B1410">
        <v>3</v>
      </c>
      <c r="C1410">
        <v>156</v>
      </c>
      <c r="D1410">
        <v>52</v>
      </c>
    </row>
    <row r="1411" spans="1:4" ht="15" x14ac:dyDescent="0.25">
      <c r="A1411" t="s">
        <v>5278</v>
      </c>
      <c r="B1411">
        <v>4</v>
      </c>
      <c r="C1411">
        <v>149</v>
      </c>
      <c r="D1411">
        <v>37.25</v>
      </c>
    </row>
    <row r="1412" spans="1:4" ht="15" x14ac:dyDescent="0.25">
      <c r="A1412" t="s">
        <v>5279</v>
      </c>
      <c r="B1412">
        <v>6</v>
      </c>
      <c r="C1412">
        <v>186</v>
      </c>
      <c r="D1412">
        <v>31</v>
      </c>
    </row>
    <row r="1413" spans="1:4" ht="15" x14ac:dyDescent="0.25">
      <c r="A1413" t="s">
        <v>5281</v>
      </c>
      <c r="B1413">
        <v>1</v>
      </c>
      <c r="C1413">
        <v>24</v>
      </c>
      <c r="D1413">
        <v>24</v>
      </c>
    </row>
    <row r="1414" spans="1:4" ht="15" x14ac:dyDescent="0.25">
      <c r="A1414" t="s">
        <v>5280</v>
      </c>
      <c r="B1414">
        <v>2</v>
      </c>
      <c r="C1414">
        <v>71</v>
      </c>
      <c r="D1414">
        <v>35.5</v>
      </c>
    </row>
    <row r="1415" spans="1:4" ht="15" x14ac:dyDescent="0.25">
      <c r="A1415" t="s">
        <v>5284</v>
      </c>
      <c r="B1415">
        <v>1</v>
      </c>
      <c r="C1415">
        <v>410</v>
      </c>
      <c r="D1415">
        <v>410</v>
      </c>
    </row>
    <row r="1416" spans="1:4" ht="15" x14ac:dyDescent="0.25">
      <c r="A1416" t="s">
        <v>5285</v>
      </c>
      <c r="B1416">
        <v>2</v>
      </c>
      <c r="C1416">
        <v>424</v>
      </c>
      <c r="D1416">
        <v>212</v>
      </c>
    </row>
    <row r="1417" spans="1:4" ht="15" x14ac:dyDescent="0.25">
      <c r="A1417" t="s">
        <v>5287</v>
      </c>
      <c r="B1417">
        <v>4</v>
      </c>
      <c r="C1417">
        <v>679</v>
      </c>
      <c r="D1417">
        <v>169.75</v>
      </c>
    </row>
    <row r="1418" spans="1:4" ht="15" x14ac:dyDescent="0.25">
      <c r="A1418" t="s">
        <v>5288</v>
      </c>
      <c r="B1418">
        <v>2</v>
      </c>
      <c r="C1418">
        <v>829</v>
      </c>
      <c r="D1418">
        <v>414.5</v>
      </c>
    </row>
    <row r="1419" spans="1:4" ht="15" x14ac:dyDescent="0.25">
      <c r="A1419" t="s">
        <v>5286</v>
      </c>
      <c r="B1419">
        <v>1</v>
      </c>
      <c r="C1419">
        <v>410</v>
      </c>
      <c r="D1419">
        <v>410</v>
      </c>
    </row>
    <row r="1420" spans="1:4" ht="15" x14ac:dyDescent="0.25">
      <c r="A1420" t="s">
        <v>5292</v>
      </c>
      <c r="B1420">
        <v>1</v>
      </c>
      <c r="C1420">
        <v>11</v>
      </c>
      <c r="D1420">
        <v>11</v>
      </c>
    </row>
    <row r="1421" spans="1:4" ht="15" x14ac:dyDescent="0.25">
      <c r="A1421" t="s">
        <v>5305</v>
      </c>
      <c r="B1421">
        <v>1</v>
      </c>
      <c r="C1421">
        <v>55</v>
      </c>
      <c r="D1421">
        <v>55</v>
      </c>
    </row>
    <row r="1422" spans="1:4" ht="15" x14ac:dyDescent="0.25">
      <c r="A1422" t="s">
        <v>5306</v>
      </c>
      <c r="B1422">
        <v>1</v>
      </c>
      <c r="C1422">
        <v>55</v>
      </c>
      <c r="D1422">
        <v>55</v>
      </c>
    </row>
    <row r="1423" spans="1:4" ht="15" x14ac:dyDescent="0.25">
      <c r="A1423" t="s">
        <v>5307</v>
      </c>
      <c r="B1423">
        <v>17</v>
      </c>
      <c r="C1423">
        <v>813</v>
      </c>
      <c r="D1423">
        <v>47.823529411764703</v>
      </c>
    </row>
    <row r="1424" spans="1:4" ht="15" x14ac:dyDescent="0.25">
      <c r="A1424" t="s">
        <v>5311</v>
      </c>
      <c r="B1424">
        <v>3</v>
      </c>
      <c r="C1424">
        <v>71</v>
      </c>
      <c r="D1424">
        <v>23.666666666666668</v>
      </c>
    </row>
    <row r="1425" spans="1:4" ht="15" x14ac:dyDescent="0.25">
      <c r="A1425" t="s">
        <v>5312</v>
      </c>
      <c r="B1425">
        <v>2</v>
      </c>
      <c r="C1425">
        <v>21</v>
      </c>
      <c r="D1425">
        <v>10.5</v>
      </c>
    </row>
    <row r="1426" spans="1:4" ht="15" x14ac:dyDescent="0.25">
      <c r="A1426" t="s">
        <v>5313</v>
      </c>
      <c r="B1426">
        <v>1</v>
      </c>
      <c r="C1426">
        <v>11</v>
      </c>
      <c r="D1426">
        <v>11</v>
      </c>
    </row>
    <row r="1427" spans="1:4" ht="15" x14ac:dyDescent="0.25">
      <c r="A1427" t="s">
        <v>5314</v>
      </c>
      <c r="B1427">
        <v>2</v>
      </c>
      <c r="C1427">
        <v>38</v>
      </c>
      <c r="D1427">
        <v>19</v>
      </c>
    </row>
    <row r="1428" spans="1:4" ht="15" x14ac:dyDescent="0.25">
      <c r="A1428" t="s">
        <v>5317</v>
      </c>
      <c r="B1428">
        <v>2</v>
      </c>
      <c r="C1428">
        <v>114</v>
      </c>
      <c r="D1428">
        <v>57</v>
      </c>
    </row>
    <row r="1429" spans="1:4" ht="15" x14ac:dyDescent="0.25">
      <c r="A1429" t="s">
        <v>5319</v>
      </c>
      <c r="B1429">
        <v>3</v>
      </c>
      <c r="C1429">
        <v>164</v>
      </c>
      <c r="D1429">
        <v>54.666666666666664</v>
      </c>
    </row>
    <row r="1430" spans="1:4" ht="15" x14ac:dyDescent="0.25">
      <c r="A1430" t="s">
        <v>5320</v>
      </c>
      <c r="B1430">
        <v>2</v>
      </c>
      <c r="C1430">
        <v>113</v>
      </c>
      <c r="D1430">
        <v>56.5</v>
      </c>
    </row>
    <row r="1431" spans="1:4" ht="15" x14ac:dyDescent="0.25">
      <c r="A1431" t="s">
        <v>5318</v>
      </c>
      <c r="B1431">
        <v>1</v>
      </c>
      <c r="C1431">
        <v>66</v>
      </c>
      <c r="D1431">
        <v>66</v>
      </c>
    </row>
    <row r="1432" spans="1:4" ht="15" x14ac:dyDescent="0.25">
      <c r="A1432" t="s">
        <v>5325</v>
      </c>
      <c r="B1432">
        <v>4</v>
      </c>
      <c r="C1432">
        <v>158</v>
      </c>
      <c r="D1432">
        <v>39.5</v>
      </c>
    </row>
    <row r="1433" spans="1:4" ht="15" x14ac:dyDescent="0.25">
      <c r="A1433" t="s">
        <v>5326</v>
      </c>
      <c r="B1433">
        <v>1</v>
      </c>
      <c r="C1433">
        <v>18</v>
      </c>
      <c r="D1433">
        <v>18</v>
      </c>
    </row>
    <row r="1434" spans="1:4" ht="15" x14ac:dyDescent="0.25">
      <c r="A1434" t="s">
        <v>5328</v>
      </c>
      <c r="B1434">
        <v>5</v>
      </c>
      <c r="C1434">
        <v>398</v>
      </c>
      <c r="D1434">
        <v>79.599999999999994</v>
      </c>
    </row>
    <row r="1435" spans="1:4" ht="15" x14ac:dyDescent="0.25">
      <c r="A1435" t="s">
        <v>5327</v>
      </c>
      <c r="B1435">
        <v>2</v>
      </c>
      <c r="C1435">
        <v>62</v>
      </c>
      <c r="D1435">
        <v>31</v>
      </c>
    </row>
    <row r="1436" spans="1:4" ht="15" x14ac:dyDescent="0.25">
      <c r="A1436" t="s">
        <v>5334</v>
      </c>
      <c r="B1436">
        <v>1</v>
      </c>
      <c r="C1436">
        <v>35</v>
      </c>
      <c r="D1436">
        <v>35</v>
      </c>
    </row>
    <row r="1437" spans="1:4" ht="15" x14ac:dyDescent="0.25">
      <c r="A1437" t="s">
        <v>5336</v>
      </c>
      <c r="B1437">
        <v>2</v>
      </c>
      <c r="C1437">
        <v>58</v>
      </c>
      <c r="D1437">
        <v>29</v>
      </c>
    </row>
    <row r="1438" spans="1:4" ht="15" x14ac:dyDescent="0.25">
      <c r="A1438" t="s">
        <v>5337</v>
      </c>
      <c r="B1438">
        <v>1</v>
      </c>
      <c r="C1438">
        <v>35</v>
      </c>
      <c r="D1438">
        <v>35</v>
      </c>
    </row>
    <row r="1439" spans="1:4" ht="15" x14ac:dyDescent="0.25">
      <c r="A1439" t="s">
        <v>5335</v>
      </c>
      <c r="B1439">
        <v>1</v>
      </c>
      <c r="C1439">
        <v>35</v>
      </c>
      <c r="D1439">
        <v>35</v>
      </c>
    </row>
    <row r="1440" spans="1:4" ht="15" x14ac:dyDescent="0.25">
      <c r="A1440" t="s">
        <v>5343</v>
      </c>
      <c r="B1440">
        <v>1</v>
      </c>
      <c r="C1440">
        <v>8</v>
      </c>
      <c r="D1440">
        <v>8</v>
      </c>
    </row>
    <row r="1441" spans="1:4" ht="15" x14ac:dyDescent="0.25">
      <c r="A1441" t="s">
        <v>5344</v>
      </c>
      <c r="B1441">
        <v>1</v>
      </c>
      <c r="C1441">
        <v>8</v>
      </c>
      <c r="D1441">
        <v>8</v>
      </c>
    </row>
    <row r="1442" spans="1:4" ht="15" x14ac:dyDescent="0.25">
      <c r="A1442" t="s">
        <v>5345</v>
      </c>
      <c r="B1442">
        <v>1</v>
      </c>
      <c r="C1442">
        <v>8</v>
      </c>
      <c r="D1442">
        <v>8</v>
      </c>
    </row>
    <row r="1443" spans="1:4" ht="15" x14ac:dyDescent="0.25">
      <c r="A1443" t="s">
        <v>5349</v>
      </c>
      <c r="B1443">
        <v>1</v>
      </c>
      <c r="C1443">
        <v>15</v>
      </c>
      <c r="D1443">
        <v>15</v>
      </c>
    </row>
    <row r="1444" spans="1:4" ht="15" x14ac:dyDescent="0.25">
      <c r="A1444" t="s">
        <v>5350</v>
      </c>
      <c r="B1444">
        <v>1</v>
      </c>
      <c r="C1444">
        <v>15</v>
      </c>
      <c r="D1444">
        <v>15</v>
      </c>
    </row>
    <row r="1445" spans="1:4" ht="15" x14ac:dyDescent="0.25">
      <c r="A1445" t="s">
        <v>5352</v>
      </c>
      <c r="B1445">
        <v>2</v>
      </c>
      <c r="C1445">
        <v>45</v>
      </c>
      <c r="D1445">
        <v>22.5</v>
      </c>
    </row>
    <row r="1446" spans="1:4" ht="15" x14ac:dyDescent="0.25">
      <c r="A1446" t="s">
        <v>5353</v>
      </c>
      <c r="B1446">
        <v>1</v>
      </c>
      <c r="C1446">
        <v>15</v>
      </c>
      <c r="D1446">
        <v>15</v>
      </c>
    </row>
    <row r="1447" spans="1:4" ht="15" x14ac:dyDescent="0.25">
      <c r="A1447" t="s">
        <v>5351</v>
      </c>
      <c r="B1447">
        <v>2</v>
      </c>
      <c r="C1447">
        <v>229</v>
      </c>
      <c r="D1447">
        <v>114.5</v>
      </c>
    </row>
    <row r="1448" spans="1:4" ht="15" x14ac:dyDescent="0.25">
      <c r="A1448" t="s">
        <v>5357</v>
      </c>
      <c r="B1448">
        <v>1</v>
      </c>
      <c r="C1448">
        <v>106</v>
      </c>
      <c r="D1448">
        <v>106</v>
      </c>
    </row>
    <row r="1449" spans="1:4" ht="15" x14ac:dyDescent="0.25">
      <c r="A1449" t="s">
        <v>5358</v>
      </c>
      <c r="B1449">
        <v>1</v>
      </c>
      <c r="C1449">
        <v>106</v>
      </c>
      <c r="D1449">
        <v>106</v>
      </c>
    </row>
    <row r="1450" spans="1:4" ht="15" x14ac:dyDescent="0.25">
      <c r="A1450" t="s">
        <v>5361</v>
      </c>
      <c r="B1450">
        <v>2</v>
      </c>
      <c r="C1450">
        <v>1287</v>
      </c>
      <c r="D1450">
        <v>643.5</v>
      </c>
    </row>
    <row r="1451" spans="1:4" ht="15" x14ac:dyDescent="0.25">
      <c r="A1451" t="s">
        <v>5366</v>
      </c>
      <c r="B1451">
        <v>1</v>
      </c>
      <c r="C1451">
        <v>21</v>
      </c>
      <c r="D1451">
        <v>21</v>
      </c>
    </row>
    <row r="1452" spans="1:4" ht="15" x14ac:dyDescent="0.25">
      <c r="A1452" t="s">
        <v>5367</v>
      </c>
      <c r="B1452">
        <v>1</v>
      </c>
      <c r="C1452">
        <v>21</v>
      </c>
      <c r="D1452">
        <v>21</v>
      </c>
    </row>
    <row r="1453" spans="1:4" ht="15" x14ac:dyDescent="0.25">
      <c r="A1453" t="s">
        <v>5369</v>
      </c>
      <c r="B1453">
        <v>1</v>
      </c>
      <c r="C1453">
        <v>21</v>
      </c>
      <c r="D1453">
        <v>21</v>
      </c>
    </row>
    <row r="1454" spans="1:4" ht="15" x14ac:dyDescent="0.25">
      <c r="A1454" t="s">
        <v>5368</v>
      </c>
      <c r="B1454">
        <v>1</v>
      </c>
      <c r="C1454">
        <v>21</v>
      </c>
      <c r="D1454">
        <v>21</v>
      </c>
    </row>
    <row r="1455" spans="1:4" ht="15" x14ac:dyDescent="0.25">
      <c r="A1455" t="s">
        <v>5373</v>
      </c>
      <c r="B1455">
        <v>1</v>
      </c>
      <c r="C1455">
        <v>54</v>
      </c>
      <c r="D1455">
        <v>54</v>
      </c>
    </row>
    <row r="1456" spans="1:4" ht="15" x14ac:dyDescent="0.25">
      <c r="A1456" t="s">
        <v>5374</v>
      </c>
      <c r="B1456">
        <v>1</v>
      </c>
      <c r="C1456">
        <v>54</v>
      </c>
      <c r="D1456">
        <v>54</v>
      </c>
    </row>
    <row r="1457" spans="1:4" ht="15" x14ac:dyDescent="0.25">
      <c r="A1457" t="s">
        <v>5376</v>
      </c>
      <c r="B1457">
        <v>1</v>
      </c>
      <c r="C1457">
        <v>54</v>
      </c>
      <c r="D1457">
        <v>54</v>
      </c>
    </row>
    <row r="1458" spans="1:4" ht="15" x14ac:dyDescent="0.25">
      <c r="A1458" t="s">
        <v>5377</v>
      </c>
      <c r="B1458">
        <v>3</v>
      </c>
      <c r="C1458">
        <v>1240</v>
      </c>
      <c r="D1458">
        <v>413.33333333333331</v>
      </c>
    </row>
    <row r="1459" spans="1:4" ht="15" x14ac:dyDescent="0.25">
      <c r="A1459" t="s">
        <v>5375</v>
      </c>
      <c r="B1459">
        <v>1</v>
      </c>
      <c r="C1459">
        <v>54</v>
      </c>
      <c r="D1459">
        <v>54</v>
      </c>
    </row>
    <row r="1460" spans="1:4" ht="15" x14ac:dyDescent="0.25">
      <c r="A1460" t="s">
        <v>5381</v>
      </c>
      <c r="B1460">
        <v>2</v>
      </c>
      <c r="C1460">
        <v>88</v>
      </c>
      <c r="D1460">
        <v>44</v>
      </c>
    </row>
    <row r="1461" spans="1:4" ht="15" x14ac:dyDescent="0.25">
      <c r="A1461" t="s">
        <v>5382</v>
      </c>
      <c r="B1461">
        <v>1</v>
      </c>
      <c r="C1461">
        <v>54</v>
      </c>
      <c r="D1461">
        <v>54</v>
      </c>
    </row>
    <row r="1462" spans="1:4" ht="15" x14ac:dyDescent="0.25">
      <c r="A1462" t="s">
        <v>5384</v>
      </c>
      <c r="B1462">
        <v>1</v>
      </c>
      <c r="C1462">
        <v>54</v>
      </c>
      <c r="D1462">
        <v>54</v>
      </c>
    </row>
    <row r="1463" spans="1:4" ht="15" x14ac:dyDescent="0.25">
      <c r="A1463" t="s">
        <v>5385</v>
      </c>
      <c r="B1463">
        <v>1</v>
      </c>
      <c r="C1463">
        <v>54</v>
      </c>
      <c r="D1463">
        <v>54</v>
      </c>
    </row>
    <row r="1464" spans="1:4" ht="15" x14ac:dyDescent="0.25">
      <c r="A1464" t="s">
        <v>5383</v>
      </c>
      <c r="B1464">
        <v>32</v>
      </c>
      <c r="C1464">
        <v>1295</v>
      </c>
      <c r="D1464">
        <v>40.46875</v>
      </c>
    </row>
    <row r="1465" spans="1:4" ht="15" x14ac:dyDescent="0.25">
      <c r="A1465" t="s">
        <v>5391</v>
      </c>
      <c r="B1465">
        <v>1</v>
      </c>
      <c r="C1465">
        <v>42</v>
      </c>
      <c r="D1465">
        <v>42</v>
      </c>
    </row>
    <row r="1466" spans="1:4" ht="15" x14ac:dyDescent="0.25">
      <c r="A1466" t="s">
        <v>5392</v>
      </c>
      <c r="B1466">
        <v>1</v>
      </c>
      <c r="C1466">
        <v>42</v>
      </c>
      <c r="D1466">
        <v>42</v>
      </c>
    </row>
    <row r="1467" spans="1:4" ht="15" x14ac:dyDescent="0.25">
      <c r="A1467" t="s">
        <v>5394</v>
      </c>
      <c r="B1467">
        <v>2</v>
      </c>
      <c r="C1467">
        <v>73</v>
      </c>
      <c r="D1467">
        <v>36.5</v>
      </c>
    </row>
    <row r="1468" spans="1:4" ht="15" x14ac:dyDescent="0.25">
      <c r="A1468" t="s">
        <v>5395</v>
      </c>
      <c r="B1468">
        <v>1</v>
      </c>
      <c r="C1468">
        <v>42</v>
      </c>
      <c r="D1468">
        <v>42</v>
      </c>
    </row>
    <row r="1469" spans="1:4" ht="15" x14ac:dyDescent="0.25">
      <c r="A1469" t="s">
        <v>5393</v>
      </c>
      <c r="B1469">
        <v>1</v>
      </c>
      <c r="C1469">
        <v>42</v>
      </c>
      <c r="D1469">
        <v>42</v>
      </c>
    </row>
    <row r="1470" spans="1:4" ht="15" x14ac:dyDescent="0.25">
      <c r="A1470" t="s">
        <v>5399</v>
      </c>
      <c r="B1470">
        <v>1</v>
      </c>
      <c r="C1470">
        <v>63</v>
      </c>
      <c r="D1470">
        <v>63</v>
      </c>
    </row>
    <row r="1471" spans="1:4" ht="15" x14ac:dyDescent="0.25">
      <c r="A1471" t="s">
        <v>5404</v>
      </c>
      <c r="B1471">
        <v>1</v>
      </c>
      <c r="C1471">
        <v>73</v>
      </c>
      <c r="D1471">
        <v>73</v>
      </c>
    </row>
    <row r="1472" spans="1:4" ht="15" x14ac:dyDescent="0.25">
      <c r="A1472" t="s">
        <v>5405</v>
      </c>
      <c r="B1472">
        <v>11</v>
      </c>
      <c r="C1472">
        <v>449</v>
      </c>
      <c r="D1472">
        <v>40.81818181818182</v>
      </c>
    </row>
    <row r="1473" spans="1:4" ht="15" x14ac:dyDescent="0.25">
      <c r="A1473" t="s">
        <v>5407</v>
      </c>
      <c r="B1473">
        <v>1</v>
      </c>
      <c r="C1473">
        <v>73</v>
      </c>
      <c r="D1473">
        <v>73</v>
      </c>
    </row>
    <row r="1474" spans="1:4" ht="15" x14ac:dyDescent="0.25">
      <c r="A1474" t="s">
        <v>5408</v>
      </c>
      <c r="B1474">
        <v>1</v>
      </c>
      <c r="C1474">
        <v>73</v>
      </c>
      <c r="D1474">
        <v>73</v>
      </c>
    </row>
    <row r="1475" spans="1:4" ht="15" x14ac:dyDescent="0.25">
      <c r="A1475" t="s">
        <v>5406</v>
      </c>
      <c r="B1475">
        <v>1</v>
      </c>
      <c r="C1475">
        <v>73</v>
      </c>
      <c r="D1475">
        <v>73</v>
      </c>
    </row>
    <row r="1476" spans="1:4" ht="15" x14ac:dyDescent="0.25">
      <c r="A1476" t="s">
        <v>5413</v>
      </c>
      <c r="B1476">
        <v>1</v>
      </c>
      <c r="C1476">
        <v>41</v>
      </c>
      <c r="D1476">
        <v>41</v>
      </c>
    </row>
    <row r="1477" spans="1:4" ht="15" x14ac:dyDescent="0.25">
      <c r="A1477" t="s">
        <v>5414</v>
      </c>
      <c r="B1477">
        <v>4</v>
      </c>
      <c r="C1477">
        <v>226</v>
      </c>
      <c r="D1477">
        <v>56.5</v>
      </c>
    </row>
    <row r="1478" spans="1:4" ht="15" x14ac:dyDescent="0.25">
      <c r="A1478" t="s">
        <v>5416</v>
      </c>
      <c r="B1478">
        <v>1</v>
      </c>
      <c r="C1478">
        <v>41</v>
      </c>
      <c r="D1478">
        <v>41</v>
      </c>
    </row>
    <row r="1479" spans="1:4" ht="15" x14ac:dyDescent="0.25">
      <c r="A1479" t="s">
        <v>5417</v>
      </c>
      <c r="B1479">
        <v>1</v>
      </c>
      <c r="C1479">
        <v>41</v>
      </c>
      <c r="D1479">
        <v>41</v>
      </c>
    </row>
    <row r="1480" spans="1:4" ht="15" x14ac:dyDescent="0.25">
      <c r="A1480" t="s">
        <v>5415</v>
      </c>
      <c r="B1480">
        <v>1</v>
      </c>
      <c r="C1480">
        <v>41</v>
      </c>
      <c r="D1480">
        <v>41</v>
      </c>
    </row>
    <row r="1481" spans="1:4" ht="15" x14ac:dyDescent="0.25">
      <c r="A1481" t="s">
        <v>5421</v>
      </c>
      <c r="B1481">
        <v>1</v>
      </c>
      <c r="C1481">
        <v>30</v>
      </c>
      <c r="D1481">
        <v>30</v>
      </c>
    </row>
    <row r="1482" spans="1:4" ht="15" x14ac:dyDescent="0.25">
      <c r="A1482" t="s">
        <v>5422</v>
      </c>
      <c r="B1482">
        <v>4</v>
      </c>
      <c r="C1482">
        <v>185</v>
      </c>
      <c r="D1482">
        <v>46.25</v>
      </c>
    </row>
    <row r="1483" spans="1:4" ht="15" x14ac:dyDescent="0.25">
      <c r="A1483" t="s">
        <v>5424</v>
      </c>
      <c r="B1483">
        <v>1</v>
      </c>
      <c r="C1483">
        <v>30</v>
      </c>
      <c r="D1483">
        <v>30</v>
      </c>
    </row>
    <row r="1484" spans="1:4" ht="15" x14ac:dyDescent="0.25">
      <c r="A1484" t="s">
        <v>5425</v>
      </c>
      <c r="B1484">
        <v>1</v>
      </c>
      <c r="C1484">
        <v>30</v>
      </c>
      <c r="D1484">
        <v>30</v>
      </c>
    </row>
    <row r="1485" spans="1:4" ht="15" x14ac:dyDescent="0.25">
      <c r="A1485" t="s">
        <v>5423</v>
      </c>
      <c r="B1485">
        <v>7</v>
      </c>
      <c r="C1485">
        <v>381</v>
      </c>
      <c r="D1485">
        <v>54.428571428571431</v>
      </c>
    </row>
    <row r="1486" spans="1:4" ht="15" x14ac:dyDescent="0.25">
      <c r="A1486" t="s">
        <v>5429</v>
      </c>
      <c r="B1486">
        <v>2</v>
      </c>
      <c r="C1486">
        <v>179</v>
      </c>
      <c r="D1486">
        <v>89.5</v>
      </c>
    </row>
    <row r="1487" spans="1:4" ht="15" x14ac:dyDescent="0.25">
      <c r="A1487" t="s">
        <v>5433</v>
      </c>
      <c r="B1487">
        <v>1</v>
      </c>
      <c r="C1487">
        <v>25</v>
      </c>
      <c r="D1487">
        <v>25</v>
      </c>
    </row>
    <row r="1488" spans="1:4" ht="15" x14ac:dyDescent="0.25">
      <c r="A1488" t="s">
        <v>5434</v>
      </c>
      <c r="B1488">
        <v>1</v>
      </c>
      <c r="C1488">
        <v>25</v>
      </c>
      <c r="D1488">
        <v>25</v>
      </c>
    </row>
    <row r="1489" spans="1:4" ht="15" x14ac:dyDescent="0.25">
      <c r="A1489" t="s">
        <v>5435</v>
      </c>
      <c r="B1489">
        <v>1</v>
      </c>
      <c r="C1489">
        <v>25</v>
      </c>
      <c r="D1489">
        <v>25</v>
      </c>
    </row>
    <row r="1490" spans="1:4" ht="15" x14ac:dyDescent="0.25">
      <c r="A1490" t="s">
        <v>5440</v>
      </c>
      <c r="B1490">
        <v>1</v>
      </c>
      <c r="C1490">
        <v>227</v>
      </c>
      <c r="D1490">
        <v>227</v>
      </c>
    </row>
    <row r="1491" spans="1:4" ht="15" x14ac:dyDescent="0.25">
      <c r="A1491" t="s">
        <v>5441</v>
      </c>
      <c r="B1491">
        <v>2</v>
      </c>
      <c r="C1491">
        <v>236</v>
      </c>
      <c r="D1491">
        <v>118</v>
      </c>
    </row>
    <row r="1492" spans="1:4" ht="15" x14ac:dyDescent="0.25">
      <c r="A1492" t="s">
        <v>5443</v>
      </c>
      <c r="B1492">
        <v>1</v>
      </c>
      <c r="C1492">
        <v>227</v>
      </c>
      <c r="D1492">
        <v>227</v>
      </c>
    </row>
    <row r="1493" spans="1:4" ht="15" x14ac:dyDescent="0.25">
      <c r="A1493" t="s">
        <v>5442</v>
      </c>
      <c r="B1493">
        <v>1</v>
      </c>
      <c r="C1493">
        <v>227</v>
      </c>
      <c r="D1493">
        <v>227</v>
      </c>
    </row>
    <row r="1494" spans="1:4" ht="15" x14ac:dyDescent="0.25">
      <c r="A1494" t="s">
        <v>5449</v>
      </c>
      <c r="B1494">
        <v>8</v>
      </c>
      <c r="C1494">
        <v>889</v>
      </c>
      <c r="D1494">
        <v>111.125</v>
      </c>
    </row>
    <row r="1495" spans="1:4" ht="15" x14ac:dyDescent="0.25">
      <c r="A1495" t="s">
        <v>5450</v>
      </c>
      <c r="B1495">
        <v>1</v>
      </c>
      <c r="C1495">
        <v>65</v>
      </c>
      <c r="D1495">
        <v>65</v>
      </c>
    </row>
    <row r="1496" spans="1:4" ht="15" x14ac:dyDescent="0.25">
      <c r="A1496" t="s">
        <v>5452</v>
      </c>
      <c r="B1496">
        <v>1</v>
      </c>
      <c r="C1496">
        <v>65</v>
      </c>
      <c r="D1496">
        <v>65</v>
      </c>
    </row>
    <row r="1497" spans="1:4" ht="15" x14ac:dyDescent="0.25">
      <c r="A1497" t="s">
        <v>5453</v>
      </c>
      <c r="B1497">
        <v>2</v>
      </c>
      <c r="C1497">
        <v>118</v>
      </c>
      <c r="D1497">
        <v>59</v>
      </c>
    </row>
    <row r="1498" spans="1:4" ht="15" x14ac:dyDescent="0.25">
      <c r="A1498" t="s">
        <v>5451</v>
      </c>
      <c r="B1498">
        <v>1</v>
      </c>
      <c r="C1498">
        <v>65</v>
      </c>
      <c r="D1498">
        <v>65</v>
      </c>
    </row>
    <row r="1499" spans="1:4" ht="15" x14ac:dyDescent="0.25">
      <c r="A1499" t="s">
        <v>5456</v>
      </c>
      <c r="B1499">
        <v>1</v>
      </c>
      <c r="C1499">
        <v>90</v>
      </c>
      <c r="D1499">
        <v>90</v>
      </c>
    </row>
    <row r="1500" spans="1:4" ht="15" x14ac:dyDescent="0.25">
      <c r="A1500" t="s">
        <v>5457</v>
      </c>
      <c r="B1500">
        <v>3</v>
      </c>
      <c r="C1500">
        <v>261</v>
      </c>
      <c r="D1500">
        <v>87</v>
      </c>
    </row>
    <row r="1501" spans="1:4" ht="15" x14ac:dyDescent="0.25">
      <c r="A1501" t="s">
        <v>5466</v>
      </c>
      <c r="B1501">
        <v>13</v>
      </c>
      <c r="C1501">
        <v>493</v>
      </c>
      <c r="D1501">
        <v>37.92307692307692</v>
      </c>
    </row>
    <row r="1502" spans="1:4" ht="15" x14ac:dyDescent="0.25">
      <c r="A1502" t="s">
        <v>5467</v>
      </c>
      <c r="B1502">
        <v>5</v>
      </c>
      <c r="C1502">
        <v>133</v>
      </c>
      <c r="D1502">
        <v>26.6</v>
      </c>
    </row>
    <row r="1503" spans="1:4" ht="15" x14ac:dyDescent="0.25">
      <c r="A1503" t="s">
        <v>5471</v>
      </c>
      <c r="B1503">
        <v>1</v>
      </c>
      <c r="C1503">
        <v>162</v>
      </c>
      <c r="D1503">
        <v>162</v>
      </c>
    </row>
    <row r="1504" spans="1:4" ht="15" x14ac:dyDescent="0.25">
      <c r="A1504" t="s">
        <v>5472</v>
      </c>
      <c r="B1504">
        <v>1</v>
      </c>
      <c r="C1504">
        <v>162</v>
      </c>
      <c r="D1504">
        <v>162</v>
      </c>
    </row>
    <row r="1505" spans="1:4" ht="15" x14ac:dyDescent="0.25">
      <c r="A1505" t="s">
        <v>5473</v>
      </c>
      <c r="B1505">
        <v>1</v>
      </c>
      <c r="C1505">
        <v>162</v>
      </c>
      <c r="D1505">
        <v>162</v>
      </c>
    </row>
    <row r="1506" spans="1:4" ht="15" x14ac:dyDescent="0.25">
      <c r="A1506" t="s">
        <v>5474</v>
      </c>
      <c r="B1506">
        <v>1</v>
      </c>
      <c r="C1506">
        <v>162</v>
      </c>
      <c r="D1506">
        <v>162</v>
      </c>
    </row>
    <row r="1507" spans="1:4" ht="15" x14ac:dyDescent="0.25">
      <c r="A1507" t="s">
        <v>5480</v>
      </c>
      <c r="B1507">
        <v>1</v>
      </c>
      <c r="C1507">
        <v>28</v>
      </c>
      <c r="D1507">
        <v>28</v>
      </c>
    </row>
    <row r="1508" spans="1:4" ht="15" x14ac:dyDescent="0.25">
      <c r="A1508" t="s">
        <v>5481</v>
      </c>
      <c r="B1508">
        <v>1</v>
      </c>
      <c r="C1508">
        <v>28</v>
      </c>
      <c r="D1508">
        <v>28</v>
      </c>
    </row>
    <row r="1509" spans="1:4" ht="15" x14ac:dyDescent="0.25">
      <c r="A1509" t="s">
        <v>5483</v>
      </c>
      <c r="B1509">
        <v>1</v>
      </c>
      <c r="C1509">
        <v>28</v>
      </c>
      <c r="D1509">
        <v>28</v>
      </c>
    </row>
    <row r="1510" spans="1:4" ht="15" x14ac:dyDescent="0.25">
      <c r="A1510" t="s">
        <v>5484</v>
      </c>
      <c r="B1510">
        <v>1</v>
      </c>
      <c r="C1510">
        <v>28</v>
      </c>
      <c r="D1510">
        <v>28</v>
      </c>
    </row>
    <row r="1511" spans="1:4" ht="15" x14ac:dyDescent="0.25">
      <c r="A1511" t="s">
        <v>5482</v>
      </c>
      <c r="B1511">
        <v>1</v>
      </c>
      <c r="C1511">
        <v>28</v>
      </c>
      <c r="D1511">
        <v>28</v>
      </c>
    </row>
    <row r="1512" spans="1:4" ht="15" x14ac:dyDescent="0.25">
      <c r="A1512" t="s">
        <v>5491</v>
      </c>
      <c r="B1512">
        <v>3</v>
      </c>
      <c r="C1512">
        <v>248</v>
      </c>
      <c r="D1512">
        <v>82.666666666666671</v>
      </c>
    </row>
    <row r="1513" spans="1:4" ht="15" x14ac:dyDescent="0.25">
      <c r="A1513" t="s">
        <v>5493</v>
      </c>
      <c r="B1513">
        <v>7</v>
      </c>
      <c r="C1513">
        <v>497</v>
      </c>
      <c r="D1513">
        <v>71</v>
      </c>
    </row>
    <row r="1514" spans="1:4" ht="15" x14ac:dyDescent="0.25">
      <c r="A1514" t="s">
        <v>5494</v>
      </c>
      <c r="B1514">
        <v>6</v>
      </c>
      <c r="C1514">
        <v>503</v>
      </c>
      <c r="D1514">
        <v>83.833333333333329</v>
      </c>
    </row>
    <row r="1515" spans="1:4" ht="15" x14ac:dyDescent="0.25">
      <c r="A1515" t="s">
        <v>5492</v>
      </c>
      <c r="B1515">
        <v>9</v>
      </c>
      <c r="C1515">
        <v>808</v>
      </c>
      <c r="D1515">
        <v>89.777777777777771</v>
      </c>
    </row>
    <row r="1516" spans="1:4" ht="15" x14ac:dyDescent="0.25">
      <c r="A1516" t="s">
        <v>5499</v>
      </c>
      <c r="B1516">
        <v>2</v>
      </c>
      <c r="C1516">
        <v>64</v>
      </c>
      <c r="D1516">
        <v>32</v>
      </c>
    </row>
    <row r="1517" spans="1:4" ht="15" x14ac:dyDescent="0.25">
      <c r="A1517" t="s">
        <v>5501</v>
      </c>
      <c r="B1517">
        <v>2</v>
      </c>
      <c r="C1517">
        <v>37</v>
      </c>
      <c r="D1517">
        <v>18.5</v>
      </c>
    </row>
    <row r="1518" spans="1:4" ht="15" x14ac:dyDescent="0.25">
      <c r="A1518" t="s">
        <v>5500</v>
      </c>
      <c r="B1518">
        <v>1</v>
      </c>
      <c r="C1518">
        <v>34</v>
      </c>
      <c r="D1518">
        <v>34</v>
      </c>
    </row>
    <row r="1519" spans="1:4" ht="15" x14ac:dyDescent="0.25">
      <c r="A1519" t="s">
        <v>5506</v>
      </c>
      <c r="B1519">
        <v>1</v>
      </c>
      <c r="C1519">
        <v>94</v>
      </c>
      <c r="D1519">
        <v>94</v>
      </c>
    </row>
    <row r="1520" spans="1:4" ht="15" x14ac:dyDescent="0.25">
      <c r="A1520" t="s">
        <v>5507</v>
      </c>
      <c r="B1520">
        <v>1</v>
      </c>
      <c r="C1520">
        <v>94</v>
      </c>
      <c r="D1520">
        <v>94</v>
      </c>
    </row>
    <row r="1521" spans="1:4" ht="15" x14ac:dyDescent="0.25">
      <c r="A1521" t="s">
        <v>5508</v>
      </c>
      <c r="B1521">
        <v>1</v>
      </c>
      <c r="C1521">
        <v>94</v>
      </c>
      <c r="D1521">
        <v>94</v>
      </c>
    </row>
    <row r="1522" spans="1:4" ht="15" x14ac:dyDescent="0.25">
      <c r="A1522" t="s">
        <v>5513</v>
      </c>
      <c r="B1522">
        <v>1</v>
      </c>
      <c r="C1522">
        <v>74</v>
      </c>
      <c r="D1522">
        <v>74</v>
      </c>
    </row>
    <row r="1523" spans="1:4" ht="15" x14ac:dyDescent="0.25">
      <c r="A1523" t="s">
        <v>5519</v>
      </c>
      <c r="B1523">
        <v>1</v>
      </c>
      <c r="C1523">
        <v>36</v>
      </c>
      <c r="D1523">
        <v>36</v>
      </c>
    </row>
    <row r="1524" spans="1:4" ht="15" x14ac:dyDescent="0.25">
      <c r="A1524" t="s">
        <v>5521</v>
      </c>
      <c r="B1524">
        <v>12</v>
      </c>
      <c r="C1524">
        <v>351</v>
      </c>
      <c r="D1524">
        <v>29.25</v>
      </c>
    </row>
    <row r="1525" spans="1:4" ht="15" x14ac:dyDescent="0.25">
      <c r="A1525" t="s">
        <v>5520</v>
      </c>
      <c r="B1525">
        <v>1</v>
      </c>
      <c r="C1525">
        <v>36</v>
      </c>
      <c r="D1525">
        <v>36</v>
      </c>
    </row>
    <row r="1526" spans="1:4" ht="15" x14ac:dyDescent="0.25">
      <c r="A1526" t="s">
        <v>5525</v>
      </c>
      <c r="B1526">
        <v>1</v>
      </c>
      <c r="C1526">
        <v>14</v>
      </c>
      <c r="D1526">
        <v>14</v>
      </c>
    </row>
    <row r="1527" spans="1:4" ht="15" x14ac:dyDescent="0.25">
      <c r="A1527" t="s">
        <v>5533</v>
      </c>
      <c r="B1527">
        <v>3</v>
      </c>
      <c r="C1527">
        <v>76</v>
      </c>
      <c r="D1527">
        <v>25.333333333333332</v>
      </c>
    </row>
    <row r="1528" spans="1:4" ht="15" x14ac:dyDescent="0.25">
      <c r="A1528" t="s">
        <v>5545</v>
      </c>
      <c r="B1528">
        <v>1</v>
      </c>
      <c r="C1528">
        <v>14</v>
      </c>
      <c r="D1528">
        <v>14</v>
      </c>
    </row>
    <row r="1529" spans="1:4" ht="15" x14ac:dyDescent="0.25">
      <c r="A1529" t="s">
        <v>5546</v>
      </c>
      <c r="B1529">
        <v>2</v>
      </c>
      <c r="C1529">
        <v>45</v>
      </c>
      <c r="D1529">
        <v>22.5</v>
      </c>
    </row>
    <row r="1530" spans="1:4" ht="15" x14ac:dyDescent="0.25">
      <c r="A1530" t="s">
        <v>5547</v>
      </c>
      <c r="B1530">
        <v>1</v>
      </c>
      <c r="C1530">
        <v>14</v>
      </c>
      <c r="D1530">
        <v>14</v>
      </c>
    </row>
    <row r="1531" spans="1:4" ht="15" x14ac:dyDescent="0.25">
      <c r="A1531" t="s">
        <v>5551</v>
      </c>
      <c r="B1531">
        <v>1</v>
      </c>
      <c r="C1531">
        <v>67</v>
      </c>
      <c r="D1531">
        <v>67</v>
      </c>
    </row>
    <row r="1532" spans="1:4" ht="15" x14ac:dyDescent="0.25">
      <c r="A1532" t="s">
        <v>5552</v>
      </c>
      <c r="B1532">
        <v>10</v>
      </c>
      <c r="C1532">
        <v>672</v>
      </c>
      <c r="D1532">
        <v>67.2</v>
      </c>
    </row>
    <row r="1533" spans="1:4" ht="15" x14ac:dyDescent="0.25">
      <c r="A1533" t="s">
        <v>5554</v>
      </c>
      <c r="B1533">
        <v>3</v>
      </c>
      <c r="C1533">
        <v>82</v>
      </c>
      <c r="D1533">
        <v>27.333333333333332</v>
      </c>
    </row>
    <row r="1534" spans="1:4" ht="15" x14ac:dyDescent="0.25">
      <c r="A1534" t="s">
        <v>5555</v>
      </c>
      <c r="B1534">
        <v>1</v>
      </c>
      <c r="C1534">
        <v>67</v>
      </c>
      <c r="D1534">
        <v>67</v>
      </c>
    </row>
    <row r="1535" spans="1:4" ht="15" x14ac:dyDescent="0.25">
      <c r="A1535" t="s">
        <v>5553</v>
      </c>
      <c r="B1535">
        <v>2</v>
      </c>
      <c r="C1535">
        <v>133</v>
      </c>
      <c r="D1535">
        <v>66.5</v>
      </c>
    </row>
    <row r="1536" spans="1:4" ht="15" x14ac:dyDescent="0.25">
      <c r="A1536" t="s">
        <v>5560</v>
      </c>
      <c r="B1536">
        <v>1</v>
      </c>
      <c r="C1536">
        <v>110</v>
      </c>
      <c r="D1536">
        <v>110</v>
      </c>
    </row>
    <row r="1537" spans="1:4" ht="15" x14ac:dyDescent="0.25">
      <c r="A1537" t="s">
        <v>5559</v>
      </c>
      <c r="B1537">
        <v>1</v>
      </c>
      <c r="C1537">
        <v>110</v>
      </c>
      <c r="D1537">
        <v>110</v>
      </c>
    </row>
    <row r="1538" spans="1:4" ht="15" x14ac:dyDescent="0.25">
      <c r="A1538" t="s">
        <v>5564</v>
      </c>
      <c r="B1538">
        <v>2</v>
      </c>
      <c r="C1538">
        <v>59</v>
      </c>
      <c r="D1538">
        <v>29.5</v>
      </c>
    </row>
    <row r="1539" spans="1:4" ht="15" x14ac:dyDescent="0.25">
      <c r="A1539" t="s">
        <v>5565</v>
      </c>
      <c r="B1539">
        <v>1</v>
      </c>
      <c r="C1539">
        <v>26</v>
      </c>
      <c r="D1539">
        <v>26</v>
      </c>
    </row>
    <row r="1540" spans="1:4" ht="15" x14ac:dyDescent="0.25">
      <c r="A1540" t="s">
        <v>5567</v>
      </c>
      <c r="B1540">
        <v>4</v>
      </c>
      <c r="C1540">
        <v>199</v>
      </c>
      <c r="D1540">
        <v>49.75</v>
      </c>
    </row>
    <row r="1541" spans="1:4" ht="15" x14ac:dyDescent="0.25">
      <c r="A1541" t="s">
        <v>5566</v>
      </c>
      <c r="B1541">
        <v>2</v>
      </c>
      <c r="C1541">
        <v>41</v>
      </c>
      <c r="D1541">
        <v>20.5</v>
      </c>
    </row>
    <row r="1542" spans="1:4" ht="15" x14ac:dyDescent="0.25">
      <c r="A1542" t="s">
        <v>5571</v>
      </c>
      <c r="B1542">
        <v>1</v>
      </c>
      <c r="C1542">
        <v>107</v>
      </c>
      <c r="D1542">
        <v>107</v>
      </c>
    </row>
    <row r="1543" spans="1:4" ht="15" x14ac:dyDescent="0.25">
      <c r="A1543" t="s">
        <v>5572</v>
      </c>
      <c r="B1543">
        <v>1</v>
      </c>
      <c r="C1543">
        <v>107</v>
      </c>
      <c r="D1543">
        <v>107</v>
      </c>
    </row>
    <row r="1544" spans="1:4" ht="15" x14ac:dyDescent="0.25">
      <c r="A1544" t="s">
        <v>5573</v>
      </c>
      <c r="B1544">
        <v>2</v>
      </c>
      <c r="C1544">
        <v>204</v>
      </c>
      <c r="D1544">
        <v>102</v>
      </c>
    </row>
    <row r="1545" spans="1:4" ht="15" x14ac:dyDescent="0.25">
      <c r="A1545" t="s">
        <v>5576</v>
      </c>
      <c r="B1545">
        <v>1</v>
      </c>
      <c r="C1545">
        <v>97</v>
      </c>
      <c r="D1545">
        <v>97</v>
      </c>
    </row>
    <row r="1546" spans="1:4" ht="15" x14ac:dyDescent="0.25">
      <c r="A1546" t="s">
        <v>5577</v>
      </c>
      <c r="B1546">
        <v>4</v>
      </c>
      <c r="C1546">
        <v>7785</v>
      </c>
      <c r="D1546">
        <v>1946.25</v>
      </c>
    </row>
    <row r="1547" spans="1:4" ht="15" x14ac:dyDescent="0.25">
      <c r="A1547" t="s">
        <v>5581</v>
      </c>
      <c r="B1547">
        <v>1</v>
      </c>
      <c r="C1547">
        <v>80</v>
      </c>
      <c r="D1547">
        <v>80</v>
      </c>
    </row>
    <row r="1548" spans="1:4" ht="15" x14ac:dyDescent="0.25">
      <c r="A1548" t="s">
        <v>5583</v>
      </c>
      <c r="B1548">
        <v>1</v>
      </c>
      <c r="C1548">
        <v>80</v>
      </c>
      <c r="D1548">
        <v>80</v>
      </c>
    </row>
    <row r="1549" spans="1:4" ht="15" x14ac:dyDescent="0.25">
      <c r="A1549" t="s">
        <v>5582</v>
      </c>
      <c r="B1549">
        <v>1</v>
      </c>
      <c r="C1549">
        <v>80</v>
      </c>
      <c r="D1549">
        <v>80</v>
      </c>
    </row>
    <row r="1550" spans="1:4" ht="15" x14ac:dyDescent="0.25">
      <c r="A1550" t="s">
        <v>5586</v>
      </c>
      <c r="B1550">
        <v>9</v>
      </c>
      <c r="C1550">
        <v>280</v>
      </c>
      <c r="D1550">
        <v>31.111111111111111</v>
      </c>
    </row>
    <row r="1551" spans="1:4" ht="15" x14ac:dyDescent="0.25">
      <c r="A1551" t="s">
        <v>5587</v>
      </c>
      <c r="B1551">
        <v>6</v>
      </c>
      <c r="C1551">
        <v>167</v>
      </c>
      <c r="D1551">
        <v>27.833333333333332</v>
      </c>
    </row>
    <row r="1552" spans="1:4" ht="15" x14ac:dyDescent="0.25">
      <c r="A1552" t="s">
        <v>5591</v>
      </c>
      <c r="B1552">
        <v>3</v>
      </c>
      <c r="C1552">
        <v>455</v>
      </c>
      <c r="D1552">
        <v>151.66666666666666</v>
      </c>
    </row>
    <row r="1553" spans="1:4" ht="15" x14ac:dyDescent="0.25">
      <c r="A1553" t="s">
        <v>5593</v>
      </c>
      <c r="B1553">
        <v>1</v>
      </c>
      <c r="C1553">
        <v>380</v>
      </c>
      <c r="D1553">
        <v>380</v>
      </c>
    </row>
    <row r="1554" spans="1:4" ht="15" x14ac:dyDescent="0.25">
      <c r="A1554" t="s">
        <v>5594</v>
      </c>
      <c r="B1554">
        <v>1</v>
      </c>
      <c r="C1554">
        <v>380</v>
      </c>
      <c r="D1554">
        <v>380</v>
      </c>
    </row>
    <row r="1555" spans="1:4" ht="15" x14ac:dyDescent="0.25">
      <c r="A1555" t="s">
        <v>5592</v>
      </c>
      <c r="B1555">
        <v>1</v>
      </c>
      <c r="C1555">
        <v>380</v>
      </c>
      <c r="D1555">
        <v>380</v>
      </c>
    </row>
    <row r="1556" spans="1:4" ht="15" x14ac:dyDescent="0.25">
      <c r="A1556" t="s">
        <v>5598</v>
      </c>
      <c r="B1556">
        <v>1</v>
      </c>
      <c r="C1556">
        <v>32</v>
      </c>
      <c r="D1556">
        <v>32</v>
      </c>
    </row>
    <row r="1557" spans="1:4" ht="15" x14ac:dyDescent="0.25">
      <c r="A1557" t="s">
        <v>5599</v>
      </c>
      <c r="B1557">
        <v>1</v>
      </c>
      <c r="C1557">
        <v>32</v>
      </c>
      <c r="D1557">
        <v>32</v>
      </c>
    </row>
    <row r="1558" spans="1:4" ht="15" x14ac:dyDescent="0.25">
      <c r="A1558" t="s">
        <v>5601</v>
      </c>
      <c r="B1558">
        <v>1</v>
      </c>
      <c r="C1558">
        <v>32</v>
      </c>
      <c r="D1558">
        <v>32</v>
      </c>
    </row>
    <row r="1559" spans="1:4" ht="15" x14ac:dyDescent="0.25">
      <c r="A1559" t="s">
        <v>5600</v>
      </c>
      <c r="B1559">
        <v>1</v>
      </c>
      <c r="C1559">
        <v>32</v>
      </c>
      <c r="D1559">
        <v>32</v>
      </c>
    </row>
    <row r="1560" spans="1:4" ht="15" x14ac:dyDescent="0.25">
      <c r="A1560" t="s">
        <v>5604</v>
      </c>
      <c r="B1560">
        <v>9</v>
      </c>
      <c r="C1560">
        <v>171</v>
      </c>
      <c r="D1560">
        <v>19</v>
      </c>
    </row>
    <row r="1561" spans="1:4" ht="15" x14ac:dyDescent="0.25">
      <c r="A1561" t="s">
        <v>5605</v>
      </c>
      <c r="B1561">
        <v>32</v>
      </c>
      <c r="C1561">
        <v>1035</v>
      </c>
      <c r="D1561">
        <v>32.34375</v>
      </c>
    </row>
    <row r="1562" spans="1:4" ht="15" x14ac:dyDescent="0.25">
      <c r="A1562" t="s">
        <v>5607</v>
      </c>
      <c r="B1562">
        <v>24</v>
      </c>
      <c r="C1562">
        <v>705</v>
      </c>
      <c r="D1562">
        <v>29.375</v>
      </c>
    </row>
    <row r="1563" spans="1:4" ht="15" x14ac:dyDescent="0.25">
      <c r="A1563" t="s">
        <v>5608</v>
      </c>
      <c r="B1563">
        <v>20</v>
      </c>
      <c r="C1563">
        <v>555</v>
      </c>
      <c r="D1563">
        <v>27.75</v>
      </c>
    </row>
    <row r="1564" spans="1:4" ht="15" x14ac:dyDescent="0.25">
      <c r="A1564" t="s">
        <v>5606</v>
      </c>
      <c r="B1564">
        <v>23</v>
      </c>
      <c r="C1564">
        <v>646</v>
      </c>
      <c r="D1564">
        <v>28.086956521739129</v>
      </c>
    </row>
    <row r="1565" spans="1:4" ht="15" x14ac:dyDescent="0.25">
      <c r="A1565" t="s">
        <v>5613</v>
      </c>
      <c r="B1565">
        <v>1</v>
      </c>
      <c r="C1565">
        <v>163</v>
      </c>
      <c r="D1565">
        <v>163</v>
      </c>
    </row>
    <row r="1566" spans="1:4" ht="15" x14ac:dyDescent="0.25">
      <c r="A1566" t="s">
        <v>5614</v>
      </c>
      <c r="B1566">
        <v>1</v>
      </c>
      <c r="C1566">
        <v>163</v>
      </c>
      <c r="D1566">
        <v>163</v>
      </c>
    </row>
    <row r="1567" spans="1:4" ht="15" x14ac:dyDescent="0.25">
      <c r="A1567" t="s">
        <v>5619</v>
      </c>
      <c r="B1567">
        <v>6</v>
      </c>
      <c r="C1567">
        <v>305</v>
      </c>
      <c r="D1567">
        <v>50.833333333333336</v>
      </c>
    </row>
    <row r="1568" spans="1:4" ht="15" x14ac:dyDescent="0.25">
      <c r="A1568" t="s">
        <v>5622</v>
      </c>
      <c r="B1568">
        <v>5</v>
      </c>
      <c r="C1568">
        <v>514</v>
      </c>
      <c r="D1568">
        <v>102.8</v>
      </c>
    </row>
    <row r="1569" spans="1:4" ht="15" x14ac:dyDescent="0.25">
      <c r="A1569" t="s">
        <v>5625</v>
      </c>
      <c r="B1569">
        <v>6</v>
      </c>
      <c r="C1569">
        <v>153</v>
      </c>
      <c r="D1569">
        <v>25.5</v>
      </c>
    </row>
    <row r="1570" spans="1:4" ht="15" x14ac:dyDescent="0.25">
      <c r="A1570" t="s">
        <v>5629</v>
      </c>
      <c r="B1570">
        <v>13</v>
      </c>
      <c r="C1570">
        <v>549</v>
      </c>
      <c r="D1570">
        <v>42.230769230769234</v>
      </c>
    </row>
    <row r="1571" spans="1:4" ht="15" x14ac:dyDescent="0.25">
      <c r="A1571" t="s">
        <v>5637</v>
      </c>
      <c r="B1571">
        <v>2</v>
      </c>
      <c r="C1571">
        <v>75</v>
      </c>
      <c r="D1571">
        <v>37.5</v>
      </c>
    </row>
    <row r="1572" spans="1:4" ht="15" x14ac:dyDescent="0.25">
      <c r="A1572" t="s">
        <v>5638</v>
      </c>
      <c r="B1572">
        <v>1</v>
      </c>
      <c r="C1572">
        <v>38</v>
      </c>
      <c r="D1572">
        <v>38</v>
      </c>
    </row>
    <row r="1573" spans="1:4" ht="15" x14ac:dyDescent="0.25">
      <c r="A1573" t="s">
        <v>5639</v>
      </c>
      <c r="B1573">
        <v>2</v>
      </c>
      <c r="C1573">
        <v>56</v>
      </c>
      <c r="D1573">
        <v>28</v>
      </c>
    </row>
    <row r="1574" spans="1:4" ht="15" x14ac:dyDescent="0.25">
      <c r="A1574" t="s">
        <v>5640</v>
      </c>
      <c r="B1574">
        <v>3</v>
      </c>
      <c r="C1574">
        <v>80</v>
      </c>
      <c r="D1574">
        <v>26.666666666666668</v>
      </c>
    </row>
    <row r="1575" spans="1:4" ht="15" x14ac:dyDescent="0.25">
      <c r="A1575" t="s">
        <v>5644</v>
      </c>
      <c r="B1575">
        <v>15</v>
      </c>
      <c r="C1575">
        <v>1350</v>
      </c>
      <c r="D1575">
        <v>90</v>
      </c>
    </row>
    <row r="1576" spans="1:4" ht="15" x14ac:dyDescent="0.25">
      <c r="A1576" t="s">
        <v>5641</v>
      </c>
      <c r="B1576">
        <v>1</v>
      </c>
      <c r="C1576">
        <v>27</v>
      </c>
      <c r="D1576">
        <v>27</v>
      </c>
    </row>
    <row r="1577" spans="1:4" ht="15" x14ac:dyDescent="0.25">
      <c r="A1577" t="s">
        <v>5645</v>
      </c>
      <c r="B1577">
        <v>2</v>
      </c>
      <c r="C1577">
        <v>73</v>
      </c>
      <c r="D1577">
        <v>36.5</v>
      </c>
    </row>
    <row r="1578" spans="1:4" ht="15" x14ac:dyDescent="0.25">
      <c r="A1578" t="s">
        <v>5647</v>
      </c>
      <c r="B1578">
        <v>1</v>
      </c>
      <c r="C1578">
        <v>674</v>
      </c>
      <c r="D1578">
        <v>674</v>
      </c>
    </row>
    <row r="1579" spans="1:4" ht="15" x14ac:dyDescent="0.25">
      <c r="A1579" t="s">
        <v>5648</v>
      </c>
      <c r="B1579">
        <v>1</v>
      </c>
      <c r="C1579">
        <v>674</v>
      </c>
      <c r="D1579">
        <v>674</v>
      </c>
    </row>
    <row r="1580" spans="1:4" ht="15" x14ac:dyDescent="0.25">
      <c r="A1580" t="s">
        <v>5650</v>
      </c>
      <c r="B1580">
        <v>3</v>
      </c>
      <c r="C1580">
        <v>1917</v>
      </c>
      <c r="D1580">
        <v>639</v>
      </c>
    </row>
    <row r="1581" spans="1:4" ht="15" x14ac:dyDescent="0.25">
      <c r="A1581" t="s">
        <v>5651</v>
      </c>
      <c r="B1581">
        <v>2</v>
      </c>
      <c r="C1581">
        <v>1369</v>
      </c>
      <c r="D1581">
        <v>684.5</v>
      </c>
    </row>
    <row r="1582" spans="1:4" ht="15" x14ac:dyDescent="0.25">
      <c r="A1582" t="s">
        <v>5649</v>
      </c>
      <c r="B1582">
        <v>1</v>
      </c>
      <c r="C1582">
        <v>674</v>
      </c>
      <c r="D1582">
        <v>674</v>
      </c>
    </row>
    <row r="1583" spans="1:4" ht="15" x14ac:dyDescent="0.25">
      <c r="A1583" t="s">
        <v>5655</v>
      </c>
      <c r="B1583">
        <v>2</v>
      </c>
      <c r="C1583">
        <v>31</v>
      </c>
      <c r="D1583">
        <v>15.5</v>
      </c>
    </row>
    <row r="1584" spans="1:4" ht="15" x14ac:dyDescent="0.25">
      <c r="A1584" t="s">
        <v>5656</v>
      </c>
      <c r="B1584">
        <v>1</v>
      </c>
      <c r="C1584">
        <v>16</v>
      </c>
      <c r="D1584">
        <v>16</v>
      </c>
    </row>
    <row r="1585" spans="1:4" ht="15" x14ac:dyDescent="0.25">
      <c r="A1585" t="s">
        <v>5661</v>
      </c>
      <c r="B1585">
        <v>2</v>
      </c>
      <c r="C1585">
        <v>127</v>
      </c>
      <c r="D1585">
        <v>63.5</v>
      </c>
    </row>
    <row r="1586" spans="1:4" ht="15" x14ac:dyDescent="0.25">
      <c r="A1586" t="s">
        <v>5662</v>
      </c>
      <c r="B1586">
        <v>15</v>
      </c>
      <c r="C1586">
        <v>543</v>
      </c>
      <c r="D1586">
        <v>36.200000000000003</v>
      </c>
    </row>
    <row r="1587" spans="1:4" ht="15" x14ac:dyDescent="0.25">
      <c r="A1587" t="s">
        <v>5660</v>
      </c>
      <c r="B1587">
        <v>12</v>
      </c>
      <c r="C1587">
        <v>374</v>
      </c>
      <c r="D1587">
        <v>31.166666666666668</v>
      </c>
    </row>
    <row r="1588" spans="1:4" ht="15" x14ac:dyDescent="0.25">
      <c r="A1588" t="s">
        <v>5666</v>
      </c>
      <c r="B1588">
        <v>1</v>
      </c>
      <c r="C1588">
        <v>65</v>
      </c>
      <c r="D1588">
        <v>65</v>
      </c>
    </row>
    <row r="1589" spans="1:4" ht="15" x14ac:dyDescent="0.25">
      <c r="A1589" t="s">
        <v>5671</v>
      </c>
      <c r="B1589">
        <v>4</v>
      </c>
      <c r="C1589">
        <v>171</v>
      </c>
      <c r="D1589">
        <v>42.75</v>
      </c>
    </row>
    <row r="1590" spans="1:4" ht="15" x14ac:dyDescent="0.25">
      <c r="A1590" t="s">
        <v>5672</v>
      </c>
      <c r="B1590">
        <v>5</v>
      </c>
      <c r="C1590">
        <v>234</v>
      </c>
      <c r="D1590">
        <v>46.8</v>
      </c>
    </row>
    <row r="1591" spans="1:4" ht="15" x14ac:dyDescent="0.25">
      <c r="A1591" t="s">
        <v>5674</v>
      </c>
      <c r="B1591">
        <v>1</v>
      </c>
      <c r="C1591">
        <v>59</v>
      </c>
      <c r="D1591">
        <v>59</v>
      </c>
    </row>
    <row r="1592" spans="1:4" ht="15" x14ac:dyDescent="0.25">
      <c r="A1592" t="s">
        <v>5673</v>
      </c>
      <c r="B1592">
        <v>8</v>
      </c>
      <c r="C1592">
        <v>290</v>
      </c>
      <c r="D1592">
        <v>36.25</v>
      </c>
    </row>
    <row r="1593" spans="1:4" ht="15" x14ac:dyDescent="0.25">
      <c r="A1593" t="s">
        <v>5680</v>
      </c>
      <c r="B1593">
        <v>1</v>
      </c>
      <c r="C1593">
        <v>11</v>
      </c>
      <c r="D1593">
        <v>11</v>
      </c>
    </row>
    <row r="1594" spans="1:4" ht="15" x14ac:dyDescent="0.25">
      <c r="A1594" t="s">
        <v>5681</v>
      </c>
      <c r="B1594">
        <v>2</v>
      </c>
      <c r="C1594">
        <v>13</v>
      </c>
      <c r="D1594">
        <v>6.5</v>
      </c>
    </row>
    <row r="1595" spans="1:4" ht="15" x14ac:dyDescent="0.25">
      <c r="A1595" t="s">
        <v>5682</v>
      </c>
      <c r="B1595">
        <v>2</v>
      </c>
      <c r="C1595">
        <v>1386</v>
      </c>
      <c r="D1595">
        <v>693</v>
      </c>
    </row>
    <row r="1596" spans="1:4" ht="15" x14ac:dyDescent="0.25">
      <c r="A1596" t="s">
        <v>5686</v>
      </c>
      <c r="B1596">
        <v>2</v>
      </c>
      <c r="C1596">
        <v>41</v>
      </c>
      <c r="D1596">
        <v>20.5</v>
      </c>
    </row>
    <row r="1597" spans="1:4" ht="15" x14ac:dyDescent="0.25">
      <c r="A1597" t="s">
        <v>5688</v>
      </c>
      <c r="B1597">
        <v>1</v>
      </c>
      <c r="C1597">
        <v>24</v>
      </c>
      <c r="D1597">
        <v>24</v>
      </c>
    </row>
    <row r="1598" spans="1:4" ht="15" x14ac:dyDescent="0.25">
      <c r="A1598" t="s">
        <v>5687</v>
      </c>
      <c r="B1598">
        <v>1</v>
      </c>
      <c r="C1598">
        <v>24</v>
      </c>
      <c r="D1598">
        <v>24</v>
      </c>
    </row>
    <row r="1599" spans="1:4" ht="15" x14ac:dyDescent="0.25">
      <c r="A1599" t="s">
        <v>5694</v>
      </c>
      <c r="B1599">
        <v>1</v>
      </c>
      <c r="C1599">
        <v>23</v>
      </c>
      <c r="D1599">
        <v>23</v>
      </c>
    </row>
    <row r="1600" spans="1:4" ht="15" x14ac:dyDescent="0.25">
      <c r="A1600" t="s">
        <v>5695</v>
      </c>
      <c r="B1600">
        <v>1</v>
      </c>
      <c r="C1600">
        <v>23</v>
      </c>
      <c r="D1600">
        <v>23</v>
      </c>
    </row>
    <row r="1601" spans="1:4" ht="15" x14ac:dyDescent="0.25">
      <c r="A1601" t="s">
        <v>5697</v>
      </c>
      <c r="B1601">
        <v>2</v>
      </c>
      <c r="C1601">
        <v>86</v>
      </c>
      <c r="D1601">
        <v>43</v>
      </c>
    </row>
    <row r="1602" spans="1:4" ht="15" x14ac:dyDescent="0.25">
      <c r="A1602" t="s">
        <v>5698</v>
      </c>
      <c r="B1602">
        <v>1</v>
      </c>
      <c r="C1602">
        <v>23</v>
      </c>
      <c r="D1602">
        <v>23</v>
      </c>
    </row>
    <row r="1603" spans="1:4" ht="15" x14ac:dyDescent="0.25">
      <c r="A1603" t="s">
        <v>5696</v>
      </c>
      <c r="B1603">
        <v>1</v>
      </c>
      <c r="C1603">
        <v>23</v>
      </c>
      <c r="D1603">
        <v>23</v>
      </c>
    </row>
    <row r="1604" spans="1:4" ht="15" x14ac:dyDescent="0.25">
      <c r="A1604" t="s">
        <v>5702</v>
      </c>
      <c r="B1604">
        <v>16</v>
      </c>
      <c r="C1604">
        <v>4831</v>
      </c>
      <c r="D1604">
        <v>301.9375</v>
      </c>
    </row>
    <row r="1605" spans="1:4" ht="15" x14ac:dyDescent="0.25">
      <c r="A1605" t="s">
        <v>5703</v>
      </c>
      <c r="B1605">
        <v>6</v>
      </c>
      <c r="C1605">
        <v>157</v>
      </c>
      <c r="D1605">
        <v>26.166666666666668</v>
      </c>
    </row>
    <row r="1606" spans="1:4" ht="15" x14ac:dyDescent="0.25">
      <c r="A1606" t="s">
        <v>5705</v>
      </c>
      <c r="B1606">
        <v>9</v>
      </c>
      <c r="C1606">
        <v>291</v>
      </c>
      <c r="D1606">
        <v>32.333333333333336</v>
      </c>
    </row>
    <row r="1607" spans="1:4" ht="15" x14ac:dyDescent="0.25">
      <c r="A1607" t="s">
        <v>5706</v>
      </c>
      <c r="B1607">
        <v>29</v>
      </c>
      <c r="C1607">
        <v>2768</v>
      </c>
      <c r="D1607">
        <v>95.448275862068968</v>
      </c>
    </row>
    <row r="1608" spans="1:4" ht="15" x14ac:dyDescent="0.25">
      <c r="A1608" t="s">
        <v>5704</v>
      </c>
      <c r="B1608">
        <v>8</v>
      </c>
      <c r="C1608">
        <v>232</v>
      </c>
      <c r="D1608">
        <v>29</v>
      </c>
    </row>
    <row r="1609" spans="1:4" ht="15" x14ac:dyDescent="0.25">
      <c r="A1609" t="s">
        <v>5713</v>
      </c>
      <c r="B1609">
        <v>1</v>
      </c>
      <c r="C1609">
        <v>24</v>
      </c>
      <c r="D1609">
        <v>24</v>
      </c>
    </row>
    <row r="1610" spans="1:4" ht="15" x14ac:dyDescent="0.25">
      <c r="A1610" t="s">
        <v>5714</v>
      </c>
      <c r="B1610">
        <v>1</v>
      </c>
      <c r="C1610">
        <v>24</v>
      </c>
      <c r="D1610">
        <v>24</v>
      </c>
    </row>
    <row r="1611" spans="1:4" ht="15" x14ac:dyDescent="0.25">
      <c r="A1611" t="s">
        <v>5716</v>
      </c>
      <c r="B1611">
        <v>1</v>
      </c>
      <c r="C1611">
        <v>24</v>
      </c>
      <c r="D1611">
        <v>24</v>
      </c>
    </row>
    <row r="1612" spans="1:4" ht="15" x14ac:dyDescent="0.25">
      <c r="A1612" t="s">
        <v>5717</v>
      </c>
      <c r="B1612">
        <v>1</v>
      </c>
      <c r="C1612">
        <v>24</v>
      </c>
      <c r="D1612">
        <v>24</v>
      </c>
    </row>
    <row r="1613" spans="1:4" ht="15" x14ac:dyDescent="0.25">
      <c r="A1613" t="s">
        <v>5715</v>
      </c>
      <c r="B1613">
        <v>1</v>
      </c>
      <c r="C1613">
        <v>24</v>
      </c>
      <c r="D1613">
        <v>24</v>
      </c>
    </row>
    <row r="1614" spans="1:4" ht="15" x14ac:dyDescent="0.25">
      <c r="A1614" t="s">
        <v>5721</v>
      </c>
      <c r="B1614">
        <v>11</v>
      </c>
      <c r="C1614">
        <v>348</v>
      </c>
      <c r="D1614">
        <v>31.636363636363637</v>
      </c>
    </row>
    <row r="1615" spans="1:4" ht="15" x14ac:dyDescent="0.25">
      <c r="A1615" t="s">
        <v>5722</v>
      </c>
      <c r="B1615">
        <v>1</v>
      </c>
      <c r="C1615">
        <v>46</v>
      </c>
      <c r="D1615">
        <v>46</v>
      </c>
    </row>
    <row r="1616" spans="1:4" ht="15" x14ac:dyDescent="0.25">
      <c r="A1616" t="s">
        <v>5727</v>
      </c>
      <c r="B1616">
        <v>5</v>
      </c>
      <c r="C1616">
        <v>175</v>
      </c>
      <c r="D1616">
        <v>35</v>
      </c>
    </row>
    <row r="1617" spans="1:4" ht="15" x14ac:dyDescent="0.25">
      <c r="A1617" t="s">
        <v>5728</v>
      </c>
      <c r="B1617">
        <v>6</v>
      </c>
      <c r="C1617">
        <v>140</v>
      </c>
      <c r="D1617">
        <v>23.333333333333332</v>
      </c>
    </row>
    <row r="1618" spans="1:4" ht="15" x14ac:dyDescent="0.25">
      <c r="A1618" t="s">
        <v>5734</v>
      </c>
      <c r="B1618">
        <v>2</v>
      </c>
      <c r="C1618">
        <v>128</v>
      </c>
      <c r="D1618">
        <v>64</v>
      </c>
    </row>
    <row r="1619" spans="1:4" ht="15" x14ac:dyDescent="0.25">
      <c r="A1619" t="s">
        <v>5738</v>
      </c>
      <c r="B1619">
        <v>2</v>
      </c>
      <c r="C1619">
        <v>101</v>
      </c>
      <c r="D1619">
        <v>50.5</v>
      </c>
    </row>
    <row r="1620" spans="1:4" ht="15" x14ac:dyDescent="0.25">
      <c r="A1620" t="s">
        <v>5739</v>
      </c>
      <c r="B1620">
        <v>3</v>
      </c>
      <c r="C1620">
        <v>139</v>
      </c>
      <c r="D1620">
        <v>46.333333333333336</v>
      </c>
    </row>
    <row r="1621" spans="1:4" ht="15" x14ac:dyDescent="0.25">
      <c r="A1621" t="s">
        <v>5745</v>
      </c>
      <c r="B1621">
        <v>1</v>
      </c>
      <c r="C1621">
        <v>29</v>
      </c>
      <c r="D1621">
        <v>29</v>
      </c>
    </row>
    <row r="1622" spans="1:4" ht="15" x14ac:dyDescent="0.25">
      <c r="A1622" t="s">
        <v>5746</v>
      </c>
      <c r="B1622">
        <v>3</v>
      </c>
      <c r="C1622">
        <v>473</v>
      </c>
      <c r="D1622">
        <v>157.66666666666666</v>
      </c>
    </row>
    <row r="1623" spans="1:4" ht="15" x14ac:dyDescent="0.25">
      <c r="A1623" t="s">
        <v>5749</v>
      </c>
      <c r="B1623">
        <v>1</v>
      </c>
      <c r="C1623">
        <v>89</v>
      </c>
      <c r="D1623">
        <v>89</v>
      </c>
    </row>
    <row r="1624" spans="1:4" ht="15" x14ac:dyDescent="0.25">
      <c r="A1624" t="s">
        <v>5755</v>
      </c>
      <c r="B1624">
        <v>1</v>
      </c>
      <c r="C1624">
        <v>58</v>
      </c>
      <c r="D1624">
        <v>58</v>
      </c>
    </row>
    <row r="1625" spans="1:4" ht="15" x14ac:dyDescent="0.25">
      <c r="A1625" t="s">
        <v>5757</v>
      </c>
      <c r="B1625">
        <v>1</v>
      </c>
      <c r="C1625">
        <v>58</v>
      </c>
      <c r="D1625">
        <v>58</v>
      </c>
    </row>
    <row r="1626" spans="1:4" ht="15" x14ac:dyDescent="0.25">
      <c r="A1626" t="s">
        <v>5756</v>
      </c>
      <c r="B1626">
        <v>1</v>
      </c>
      <c r="C1626">
        <v>58</v>
      </c>
      <c r="D1626">
        <v>58</v>
      </c>
    </row>
    <row r="1627" spans="1:4" ht="15" x14ac:dyDescent="0.25">
      <c r="A1627" t="s">
        <v>5762</v>
      </c>
      <c r="B1627">
        <v>1</v>
      </c>
      <c r="C1627">
        <v>105</v>
      </c>
      <c r="D1627">
        <v>105</v>
      </c>
    </row>
    <row r="1628" spans="1:4" ht="15" x14ac:dyDescent="0.25">
      <c r="A1628" t="s">
        <v>5763</v>
      </c>
      <c r="B1628">
        <v>1</v>
      </c>
      <c r="C1628">
        <v>105</v>
      </c>
      <c r="D1628">
        <v>105</v>
      </c>
    </row>
    <row r="1629" spans="1:4" ht="15" x14ac:dyDescent="0.25">
      <c r="A1629" t="s">
        <v>5764</v>
      </c>
      <c r="B1629">
        <v>1</v>
      </c>
      <c r="C1629">
        <v>105</v>
      </c>
      <c r="D1629">
        <v>105</v>
      </c>
    </row>
    <row r="1630" spans="1:4" ht="15" x14ac:dyDescent="0.25">
      <c r="A1630" t="s">
        <v>5765</v>
      </c>
      <c r="B1630">
        <v>11</v>
      </c>
      <c r="C1630">
        <v>614</v>
      </c>
      <c r="D1630">
        <v>55.81818181818182</v>
      </c>
    </row>
    <row r="1631" spans="1:4" ht="15" x14ac:dyDescent="0.25">
      <c r="A1631" t="s">
        <v>5769</v>
      </c>
      <c r="B1631">
        <v>6</v>
      </c>
      <c r="C1631">
        <v>185</v>
      </c>
      <c r="D1631">
        <v>30.833333333333332</v>
      </c>
    </row>
    <row r="1632" spans="1:4" ht="15" x14ac:dyDescent="0.25">
      <c r="A1632" t="s">
        <v>5770</v>
      </c>
      <c r="B1632">
        <v>6</v>
      </c>
      <c r="C1632">
        <v>275</v>
      </c>
      <c r="D1632">
        <v>45.833333333333336</v>
      </c>
    </row>
    <row r="1633" spans="1:4" ht="15" x14ac:dyDescent="0.25">
      <c r="A1633" t="s">
        <v>5772</v>
      </c>
      <c r="B1633">
        <v>3</v>
      </c>
      <c r="C1633">
        <v>163</v>
      </c>
      <c r="D1633">
        <v>54.333333333333336</v>
      </c>
    </row>
    <row r="1634" spans="1:4" ht="15" x14ac:dyDescent="0.25">
      <c r="A1634" t="s">
        <v>5771</v>
      </c>
      <c r="B1634">
        <v>2</v>
      </c>
      <c r="C1634">
        <v>76</v>
      </c>
      <c r="D1634">
        <v>38</v>
      </c>
    </row>
    <row r="1635" spans="1:4" ht="15" x14ac:dyDescent="0.25">
      <c r="A1635" t="s">
        <v>5776</v>
      </c>
      <c r="B1635">
        <v>3</v>
      </c>
      <c r="C1635">
        <v>150</v>
      </c>
      <c r="D1635">
        <v>50</v>
      </c>
    </row>
    <row r="1636" spans="1:4" ht="15" x14ac:dyDescent="0.25">
      <c r="A1636" t="s">
        <v>5778</v>
      </c>
      <c r="B1636">
        <v>4</v>
      </c>
      <c r="C1636">
        <v>186</v>
      </c>
      <c r="D1636">
        <v>46.5</v>
      </c>
    </row>
    <row r="1637" spans="1:4" ht="15" x14ac:dyDescent="0.25">
      <c r="A1637" t="s">
        <v>5777</v>
      </c>
      <c r="B1637">
        <v>2</v>
      </c>
      <c r="C1637">
        <v>111</v>
      </c>
      <c r="D1637">
        <v>55.5</v>
      </c>
    </row>
    <row r="1638" spans="1:4" ht="15" x14ac:dyDescent="0.25">
      <c r="A1638" t="s">
        <v>5781</v>
      </c>
      <c r="B1638">
        <v>1</v>
      </c>
      <c r="C1638">
        <v>51</v>
      </c>
      <c r="D1638">
        <v>51</v>
      </c>
    </row>
    <row r="1639" spans="1:4" ht="15" x14ac:dyDescent="0.25">
      <c r="A1639" t="s">
        <v>5787</v>
      </c>
      <c r="B1639">
        <v>9</v>
      </c>
      <c r="C1639">
        <v>168</v>
      </c>
      <c r="D1639">
        <v>18.666666666666668</v>
      </c>
    </row>
    <row r="1640" spans="1:4" ht="15" x14ac:dyDescent="0.25">
      <c r="A1640" t="s">
        <v>5788</v>
      </c>
      <c r="B1640">
        <v>5</v>
      </c>
      <c r="C1640">
        <v>128</v>
      </c>
      <c r="D1640">
        <v>25.6</v>
      </c>
    </row>
    <row r="1641" spans="1:4" ht="15" x14ac:dyDescent="0.25">
      <c r="A1641" t="s">
        <v>5792</v>
      </c>
      <c r="B1641">
        <v>1</v>
      </c>
      <c r="C1641">
        <v>50</v>
      </c>
      <c r="D1641">
        <v>50</v>
      </c>
    </row>
    <row r="1642" spans="1:4" ht="15" x14ac:dyDescent="0.25">
      <c r="A1642" t="s">
        <v>5791</v>
      </c>
      <c r="B1642">
        <v>2</v>
      </c>
      <c r="C1642">
        <v>56</v>
      </c>
      <c r="D1642">
        <v>28</v>
      </c>
    </row>
    <row r="1643" spans="1:4" ht="15" x14ac:dyDescent="0.25">
      <c r="A1643" t="s">
        <v>5796</v>
      </c>
      <c r="B1643">
        <v>11</v>
      </c>
      <c r="C1643">
        <v>787</v>
      </c>
      <c r="D1643">
        <v>71.545454545454547</v>
      </c>
    </row>
    <row r="1644" spans="1:4" ht="15" x14ac:dyDescent="0.25">
      <c r="A1644" t="s">
        <v>5797</v>
      </c>
      <c r="B1644">
        <v>2</v>
      </c>
      <c r="C1644">
        <v>177</v>
      </c>
      <c r="D1644">
        <v>88.5</v>
      </c>
    </row>
    <row r="1645" spans="1:4" ht="15" x14ac:dyDescent="0.25">
      <c r="A1645" t="s">
        <v>5802</v>
      </c>
      <c r="B1645">
        <v>25</v>
      </c>
      <c r="C1645">
        <v>899</v>
      </c>
      <c r="D1645">
        <v>35.96</v>
      </c>
    </row>
    <row r="1646" spans="1:4" ht="15" x14ac:dyDescent="0.25">
      <c r="A1646" t="s">
        <v>5803</v>
      </c>
      <c r="B1646">
        <v>1</v>
      </c>
      <c r="C1646">
        <v>18</v>
      </c>
      <c r="D1646">
        <v>18</v>
      </c>
    </row>
    <row r="1647" spans="1:4" ht="15" x14ac:dyDescent="0.25">
      <c r="A1647" t="s">
        <v>5804</v>
      </c>
      <c r="B1647">
        <v>1</v>
      </c>
      <c r="C1647">
        <v>18</v>
      </c>
      <c r="D1647">
        <v>18</v>
      </c>
    </row>
    <row r="1648" spans="1:4" ht="15" x14ac:dyDescent="0.25">
      <c r="A1648" t="s">
        <v>5808</v>
      </c>
      <c r="B1648">
        <v>7</v>
      </c>
      <c r="C1648">
        <v>690</v>
      </c>
      <c r="D1648">
        <v>98.571428571428569</v>
      </c>
    </row>
    <row r="1649" spans="1:4" ht="15" x14ac:dyDescent="0.25">
      <c r="A1649" t="s">
        <v>5810</v>
      </c>
      <c r="B1649">
        <v>1</v>
      </c>
      <c r="C1649">
        <v>6</v>
      </c>
      <c r="D1649">
        <v>6</v>
      </c>
    </row>
    <row r="1650" spans="1:4" ht="15" x14ac:dyDescent="0.25">
      <c r="A1650" t="s">
        <v>5811</v>
      </c>
      <c r="B1650">
        <v>2</v>
      </c>
      <c r="C1650">
        <v>34</v>
      </c>
      <c r="D1650">
        <v>17</v>
      </c>
    </row>
    <row r="1651" spans="1:4" ht="15" x14ac:dyDescent="0.25">
      <c r="A1651" t="s">
        <v>5809</v>
      </c>
      <c r="B1651">
        <v>5</v>
      </c>
      <c r="C1651">
        <v>224</v>
      </c>
      <c r="D1651">
        <v>44.8</v>
      </c>
    </row>
    <row r="1652" spans="1:4" ht="15" x14ac:dyDescent="0.25">
      <c r="A1652" t="s">
        <v>5815</v>
      </c>
      <c r="B1652">
        <v>1</v>
      </c>
      <c r="C1652">
        <v>51</v>
      </c>
      <c r="D1652">
        <v>51</v>
      </c>
    </row>
    <row r="1653" spans="1:4" ht="15" x14ac:dyDescent="0.25">
      <c r="A1653" t="s">
        <v>5816</v>
      </c>
      <c r="B1653">
        <v>1</v>
      </c>
      <c r="C1653">
        <v>51</v>
      </c>
      <c r="D1653">
        <v>51</v>
      </c>
    </row>
    <row r="1654" spans="1:4" ht="15" x14ac:dyDescent="0.25">
      <c r="A1654" t="s">
        <v>5818</v>
      </c>
      <c r="B1654">
        <v>1</v>
      </c>
      <c r="C1654">
        <v>51</v>
      </c>
      <c r="D1654">
        <v>51</v>
      </c>
    </row>
    <row r="1655" spans="1:4" ht="15" x14ac:dyDescent="0.25">
      <c r="A1655" t="s">
        <v>5819</v>
      </c>
      <c r="B1655">
        <v>1</v>
      </c>
      <c r="C1655">
        <v>51</v>
      </c>
      <c r="D1655">
        <v>51</v>
      </c>
    </row>
    <row r="1656" spans="1:4" ht="15" x14ac:dyDescent="0.25">
      <c r="A1656" t="s">
        <v>5817</v>
      </c>
      <c r="B1656">
        <v>1</v>
      </c>
      <c r="C1656">
        <v>51</v>
      </c>
      <c r="D1656">
        <v>51</v>
      </c>
    </row>
    <row r="1657" spans="1:4" ht="15" x14ac:dyDescent="0.25">
      <c r="A1657" t="s">
        <v>5822</v>
      </c>
      <c r="B1657">
        <v>4</v>
      </c>
      <c r="C1657">
        <v>178</v>
      </c>
      <c r="D1657">
        <v>44.5</v>
      </c>
    </row>
    <row r="1658" spans="1:4" ht="15" x14ac:dyDescent="0.25">
      <c r="A1658" t="s">
        <v>5823</v>
      </c>
      <c r="B1658">
        <v>2</v>
      </c>
      <c r="C1658">
        <v>97</v>
      </c>
      <c r="D1658">
        <v>48.5</v>
      </c>
    </row>
    <row r="1659" spans="1:4" ht="15" x14ac:dyDescent="0.25">
      <c r="A1659" t="s">
        <v>5827</v>
      </c>
      <c r="B1659">
        <v>3</v>
      </c>
      <c r="C1659">
        <v>158</v>
      </c>
      <c r="D1659">
        <v>52.666666666666664</v>
      </c>
    </row>
    <row r="1660" spans="1:4" ht="15" x14ac:dyDescent="0.25">
      <c r="A1660" t="s">
        <v>5829</v>
      </c>
      <c r="B1660">
        <v>3</v>
      </c>
      <c r="C1660">
        <v>158</v>
      </c>
      <c r="D1660">
        <v>52.666666666666664</v>
      </c>
    </row>
    <row r="1661" spans="1:4" ht="15" x14ac:dyDescent="0.25">
      <c r="A1661" t="s">
        <v>5830</v>
      </c>
      <c r="B1661">
        <v>4</v>
      </c>
      <c r="C1661">
        <v>166</v>
      </c>
      <c r="D1661">
        <v>41.5</v>
      </c>
    </row>
    <row r="1662" spans="1:4" ht="15" x14ac:dyDescent="0.25">
      <c r="A1662" t="s">
        <v>5828</v>
      </c>
      <c r="B1662">
        <v>3</v>
      </c>
      <c r="C1662">
        <v>158</v>
      </c>
      <c r="D1662">
        <v>52.666666666666664</v>
      </c>
    </row>
    <row r="1663" spans="1:4" ht="15" x14ac:dyDescent="0.25">
      <c r="A1663" t="s">
        <v>5836</v>
      </c>
      <c r="B1663">
        <v>15</v>
      </c>
      <c r="C1663">
        <v>929</v>
      </c>
      <c r="D1663">
        <v>61.93333333333333</v>
      </c>
    </row>
    <row r="1664" spans="1:4" ht="15" x14ac:dyDescent="0.25">
      <c r="A1664" t="s">
        <v>5837</v>
      </c>
      <c r="B1664">
        <v>3</v>
      </c>
      <c r="C1664">
        <v>77</v>
      </c>
      <c r="D1664">
        <v>25.666666666666668</v>
      </c>
    </row>
    <row r="1665" spans="1:4" ht="15" x14ac:dyDescent="0.25">
      <c r="A1665" t="s">
        <v>5838</v>
      </c>
      <c r="B1665">
        <v>8</v>
      </c>
      <c r="C1665">
        <v>1052</v>
      </c>
      <c r="D1665">
        <v>131.5</v>
      </c>
    </row>
    <row r="1666" spans="1:4" ht="15" x14ac:dyDescent="0.25">
      <c r="A1666" t="s">
        <v>5841</v>
      </c>
      <c r="B1666">
        <v>8</v>
      </c>
      <c r="C1666">
        <v>209</v>
      </c>
      <c r="D1666">
        <v>26.125</v>
      </c>
    </row>
    <row r="1667" spans="1:4" ht="15" x14ac:dyDescent="0.25">
      <c r="A1667" t="s">
        <v>5842</v>
      </c>
      <c r="B1667">
        <v>9</v>
      </c>
      <c r="C1667">
        <v>301</v>
      </c>
      <c r="D1667">
        <v>33.444444444444443</v>
      </c>
    </row>
    <row r="1668" spans="1:4" ht="15" x14ac:dyDescent="0.25">
      <c r="A1668" t="s">
        <v>5843</v>
      </c>
      <c r="B1668">
        <v>5</v>
      </c>
      <c r="C1668">
        <v>96</v>
      </c>
      <c r="D1668">
        <v>19.2</v>
      </c>
    </row>
    <row r="1669" spans="1:4" ht="15" x14ac:dyDescent="0.25">
      <c r="A1669" t="s">
        <v>5847</v>
      </c>
      <c r="B1669">
        <v>1</v>
      </c>
      <c r="C1669">
        <v>41</v>
      </c>
      <c r="D1669">
        <v>41</v>
      </c>
    </row>
    <row r="1670" spans="1:4" ht="15" x14ac:dyDescent="0.25">
      <c r="A1670" t="s">
        <v>5848</v>
      </c>
      <c r="B1670">
        <v>8</v>
      </c>
      <c r="C1670">
        <v>401</v>
      </c>
      <c r="D1670">
        <v>50.125</v>
      </c>
    </row>
    <row r="1671" spans="1:4" ht="15" x14ac:dyDescent="0.25">
      <c r="A1671" t="s">
        <v>5850</v>
      </c>
      <c r="B1671">
        <v>1</v>
      </c>
      <c r="C1671">
        <v>41</v>
      </c>
      <c r="D1671">
        <v>41</v>
      </c>
    </row>
    <row r="1672" spans="1:4" ht="15" x14ac:dyDescent="0.25">
      <c r="A1672" t="s">
        <v>5849</v>
      </c>
      <c r="B1672">
        <v>1</v>
      </c>
      <c r="C1672">
        <v>41</v>
      </c>
      <c r="D1672">
        <v>41</v>
      </c>
    </row>
    <row r="1673" spans="1:4" ht="15" x14ac:dyDescent="0.25">
      <c r="A1673" t="s">
        <v>5857</v>
      </c>
      <c r="B1673">
        <v>1</v>
      </c>
      <c r="C1673">
        <v>13</v>
      </c>
      <c r="D1673">
        <v>13</v>
      </c>
    </row>
    <row r="1674" spans="1:4" ht="15" x14ac:dyDescent="0.25">
      <c r="A1674" t="s">
        <v>5858</v>
      </c>
      <c r="B1674">
        <v>1</v>
      </c>
      <c r="C1674">
        <v>13</v>
      </c>
      <c r="D1674">
        <v>13</v>
      </c>
    </row>
    <row r="1675" spans="1:4" ht="15" x14ac:dyDescent="0.25">
      <c r="A1675" t="s">
        <v>5860</v>
      </c>
      <c r="B1675">
        <v>1</v>
      </c>
      <c r="C1675">
        <v>13</v>
      </c>
      <c r="D1675">
        <v>13</v>
      </c>
    </row>
    <row r="1676" spans="1:4" ht="15" x14ac:dyDescent="0.25">
      <c r="A1676" t="s">
        <v>5861</v>
      </c>
      <c r="B1676">
        <v>1</v>
      </c>
      <c r="C1676">
        <v>13</v>
      </c>
      <c r="D1676">
        <v>13</v>
      </c>
    </row>
    <row r="1677" spans="1:4" ht="15" x14ac:dyDescent="0.25">
      <c r="A1677" t="s">
        <v>5859</v>
      </c>
      <c r="B1677">
        <v>1</v>
      </c>
      <c r="C1677">
        <v>13</v>
      </c>
      <c r="D1677">
        <v>13</v>
      </c>
    </row>
    <row r="1678" spans="1:4" ht="15" x14ac:dyDescent="0.25">
      <c r="A1678" t="s">
        <v>5866</v>
      </c>
      <c r="B1678">
        <v>5</v>
      </c>
      <c r="C1678">
        <v>162</v>
      </c>
      <c r="D1678">
        <v>32.4</v>
      </c>
    </row>
    <row r="1679" spans="1:4" ht="15" x14ac:dyDescent="0.25">
      <c r="A1679" t="s">
        <v>5867</v>
      </c>
      <c r="B1679">
        <v>10</v>
      </c>
      <c r="C1679">
        <v>348</v>
      </c>
      <c r="D1679">
        <v>34.799999999999997</v>
      </c>
    </row>
    <row r="1680" spans="1:4" ht="15" x14ac:dyDescent="0.25">
      <c r="A1680" t="s">
        <v>5865</v>
      </c>
      <c r="B1680">
        <v>7</v>
      </c>
      <c r="C1680">
        <v>328</v>
      </c>
      <c r="D1680">
        <v>46.857142857142854</v>
      </c>
    </row>
    <row r="1681" spans="1:4" ht="15" x14ac:dyDescent="0.25">
      <c r="A1681" t="s">
        <v>5871</v>
      </c>
      <c r="B1681">
        <v>2</v>
      </c>
      <c r="C1681">
        <v>103</v>
      </c>
      <c r="D1681">
        <v>51.5</v>
      </c>
    </row>
    <row r="1682" spans="1:4" ht="15" x14ac:dyDescent="0.25">
      <c r="A1682" t="s">
        <v>5872</v>
      </c>
      <c r="B1682">
        <v>2</v>
      </c>
      <c r="C1682">
        <v>103</v>
      </c>
      <c r="D1682">
        <v>51.5</v>
      </c>
    </row>
    <row r="1683" spans="1:4" ht="15" x14ac:dyDescent="0.25">
      <c r="A1683" t="s">
        <v>5874</v>
      </c>
      <c r="B1683">
        <v>2</v>
      </c>
      <c r="C1683">
        <v>103</v>
      </c>
      <c r="D1683">
        <v>51.5</v>
      </c>
    </row>
    <row r="1684" spans="1:4" ht="15" x14ac:dyDescent="0.25">
      <c r="A1684" t="s">
        <v>5875</v>
      </c>
      <c r="B1684">
        <v>2</v>
      </c>
      <c r="C1684">
        <v>103</v>
      </c>
      <c r="D1684">
        <v>51.5</v>
      </c>
    </row>
    <row r="1685" spans="1:4" ht="15" x14ac:dyDescent="0.25">
      <c r="A1685" t="s">
        <v>5873</v>
      </c>
      <c r="B1685">
        <v>2</v>
      </c>
      <c r="C1685">
        <v>103</v>
      </c>
      <c r="D1685">
        <v>51.5</v>
      </c>
    </row>
    <row r="1686" spans="1:4" ht="15" x14ac:dyDescent="0.25">
      <c r="A1686" t="s">
        <v>5880</v>
      </c>
      <c r="B1686">
        <v>1</v>
      </c>
      <c r="C1686">
        <v>51</v>
      </c>
      <c r="D1686">
        <v>51</v>
      </c>
    </row>
    <row r="1687" spans="1:4" ht="15" x14ac:dyDescent="0.25">
      <c r="A1687" t="s">
        <v>5881</v>
      </c>
      <c r="B1687">
        <v>1</v>
      </c>
      <c r="C1687">
        <v>51</v>
      </c>
      <c r="D1687">
        <v>51</v>
      </c>
    </row>
    <row r="1688" spans="1:4" ht="15" x14ac:dyDescent="0.25">
      <c r="A1688" t="s">
        <v>5883</v>
      </c>
      <c r="B1688">
        <v>1</v>
      </c>
      <c r="C1688">
        <v>51</v>
      </c>
      <c r="D1688">
        <v>51</v>
      </c>
    </row>
    <row r="1689" spans="1:4" ht="15" x14ac:dyDescent="0.25">
      <c r="A1689" t="s">
        <v>5884</v>
      </c>
      <c r="B1689">
        <v>45</v>
      </c>
      <c r="C1689">
        <v>1583</v>
      </c>
      <c r="D1689">
        <v>35.177777777777777</v>
      </c>
    </row>
    <row r="1690" spans="1:4" ht="15" x14ac:dyDescent="0.25">
      <c r="A1690" t="s">
        <v>5882</v>
      </c>
      <c r="B1690">
        <v>1</v>
      </c>
      <c r="C1690">
        <v>51</v>
      </c>
      <c r="D1690">
        <v>51</v>
      </c>
    </row>
    <row r="1691" spans="1:4" ht="15" x14ac:dyDescent="0.25">
      <c r="A1691" t="s">
        <v>5889</v>
      </c>
      <c r="B1691">
        <v>1</v>
      </c>
      <c r="C1691">
        <v>36</v>
      </c>
      <c r="D1691">
        <v>36</v>
      </c>
    </row>
    <row r="1692" spans="1:4" ht="15" x14ac:dyDescent="0.25">
      <c r="A1692" t="s">
        <v>5890</v>
      </c>
      <c r="B1692">
        <v>2</v>
      </c>
      <c r="C1692">
        <v>107</v>
      </c>
      <c r="D1692">
        <v>53.5</v>
      </c>
    </row>
    <row r="1693" spans="1:4" ht="15" x14ac:dyDescent="0.25">
      <c r="A1693" t="s">
        <v>5892</v>
      </c>
      <c r="B1693">
        <v>1</v>
      </c>
      <c r="C1693">
        <v>36</v>
      </c>
      <c r="D1693">
        <v>36</v>
      </c>
    </row>
    <row r="1694" spans="1:4" ht="15" x14ac:dyDescent="0.25">
      <c r="A1694" t="s">
        <v>5893</v>
      </c>
      <c r="B1694">
        <v>1</v>
      </c>
      <c r="C1694">
        <v>36</v>
      </c>
      <c r="D1694">
        <v>36</v>
      </c>
    </row>
    <row r="1695" spans="1:4" ht="15" x14ac:dyDescent="0.25">
      <c r="A1695" t="s">
        <v>5891</v>
      </c>
      <c r="B1695">
        <v>2</v>
      </c>
      <c r="C1695">
        <v>45</v>
      </c>
      <c r="D1695">
        <v>22.5</v>
      </c>
    </row>
    <row r="1696" spans="1:4" ht="15" x14ac:dyDescent="0.25">
      <c r="A1696" t="s">
        <v>5901</v>
      </c>
      <c r="B1696">
        <v>7</v>
      </c>
      <c r="C1696">
        <v>182</v>
      </c>
      <c r="D1696">
        <v>26</v>
      </c>
    </row>
    <row r="1697" spans="1:4" ht="15" x14ac:dyDescent="0.25">
      <c r="A1697" t="s">
        <v>5902</v>
      </c>
      <c r="B1697">
        <v>17</v>
      </c>
      <c r="C1697">
        <v>1135</v>
      </c>
      <c r="D1697">
        <v>66.764705882352942</v>
      </c>
    </row>
    <row r="1698" spans="1:4" ht="15" x14ac:dyDescent="0.25">
      <c r="A1698" t="s">
        <v>5903</v>
      </c>
      <c r="B1698">
        <v>1</v>
      </c>
      <c r="C1698">
        <v>9</v>
      </c>
      <c r="D1698">
        <v>9</v>
      </c>
    </row>
    <row r="1699" spans="1:4" ht="15" x14ac:dyDescent="0.25">
      <c r="A1699" t="s">
        <v>5908</v>
      </c>
      <c r="B1699">
        <v>1</v>
      </c>
      <c r="C1699">
        <v>33</v>
      </c>
      <c r="D1699">
        <v>33</v>
      </c>
    </row>
    <row r="1700" spans="1:4" ht="15" x14ac:dyDescent="0.25">
      <c r="A1700" t="s">
        <v>5909</v>
      </c>
      <c r="B1700">
        <v>1</v>
      </c>
      <c r="C1700">
        <v>33</v>
      </c>
      <c r="D1700">
        <v>33</v>
      </c>
    </row>
    <row r="1701" spans="1:4" ht="15" x14ac:dyDescent="0.25">
      <c r="A1701" t="s">
        <v>5907</v>
      </c>
      <c r="B1701">
        <v>1</v>
      </c>
      <c r="C1701">
        <v>33</v>
      </c>
      <c r="D1701">
        <v>33</v>
      </c>
    </row>
    <row r="1702" spans="1:4" ht="15" x14ac:dyDescent="0.25">
      <c r="A1702" t="s">
        <v>5913</v>
      </c>
      <c r="B1702">
        <v>2</v>
      </c>
      <c r="C1702">
        <v>96</v>
      </c>
      <c r="D1702">
        <v>48</v>
      </c>
    </row>
    <row r="1703" spans="1:4" ht="15" x14ac:dyDescent="0.25">
      <c r="A1703" t="s">
        <v>5914</v>
      </c>
      <c r="B1703">
        <v>1</v>
      </c>
      <c r="C1703">
        <v>31</v>
      </c>
      <c r="D1703">
        <v>31</v>
      </c>
    </row>
    <row r="1704" spans="1:4" ht="15" x14ac:dyDescent="0.25">
      <c r="A1704" t="s">
        <v>5915</v>
      </c>
      <c r="B1704">
        <v>1</v>
      </c>
      <c r="C1704">
        <v>31</v>
      </c>
      <c r="D1704">
        <v>31</v>
      </c>
    </row>
    <row r="1705" spans="1:4" ht="15" x14ac:dyDescent="0.25">
      <c r="A1705" t="s">
        <v>5924</v>
      </c>
      <c r="B1705">
        <v>19</v>
      </c>
      <c r="C1705">
        <v>595</v>
      </c>
      <c r="D1705">
        <v>31.315789473684209</v>
      </c>
    </row>
    <row r="1706" spans="1:4" ht="15" x14ac:dyDescent="0.25">
      <c r="A1706" t="s">
        <v>5928</v>
      </c>
      <c r="B1706">
        <v>10</v>
      </c>
      <c r="C1706">
        <v>813</v>
      </c>
      <c r="D1706">
        <v>81.3</v>
      </c>
    </row>
    <row r="1707" spans="1:4" ht="15" x14ac:dyDescent="0.25">
      <c r="A1707" t="s">
        <v>5932</v>
      </c>
      <c r="B1707">
        <v>9</v>
      </c>
      <c r="C1707">
        <v>320</v>
      </c>
      <c r="D1707">
        <v>35.555555555555557</v>
      </c>
    </row>
    <row r="1708" spans="1:4" ht="15" x14ac:dyDescent="0.25">
      <c r="A1708" t="s">
        <v>5933</v>
      </c>
      <c r="B1708">
        <v>1</v>
      </c>
      <c r="C1708">
        <v>71</v>
      </c>
      <c r="D1708">
        <v>71</v>
      </c>
    </row>
    <row r="1709" spans="1:4" ht="15" x14ac:dyDescent="0.25">
      <c r="A1709" t="s">
        <v>5934</v>
      </c>
      <c r="B1709">
        <v>2</v>
      </c>
      <c r="C1709">
        <v>152</v>
      </c>
      <c r="D1709">
        <v>76</v>
      </c>
    </row>
    <row r="1710" spans="1:4" ht="15" x14ac:dyDescent="0.25">
      <c r="A1710" t="s">
        <v>5938</v>
      </c>
      <c r="B1710">
        <v>3</v>
      </c>
      <c r="C1710">
        <v>71</v>
      </c>
      <c r="D1710">
        <v>23.666666666666668</v>
      </c>
    </row>
    <row r="1711" spans="1:4" ht="15" x14ac:dyDescent="0.25">
      <c r="A1711" t="s">
        <v>5940</v>
      </c>
      <c r="B1711">
        <v>1</v>
      </c>
      <c r="C1711">
        <v>11</v>
      </c>
      <c r="D1711">
        <v>11</v>
      </c>
    </row>
    <row r="1712" spans="1:4" ht="15" x14ac:dyDescent="0.25">
      <c r="A1712" t="s">
        <v>5939</v>
      </c>
      <c r="B1712">
        <v>4</v>
      </c>
      <c r="C1712">
        <v>242</v>
      </c>
      <c r="D1712">
        <v>60.5</v>
      </c>
    </row>
    <row r="1713" spans="1:4" ht="15" x14ac:dyDescent="0.25">
      <c r="A1713" t="s">
        <v>5943</v>
      </c>
      <c r="B1713">
        <v>17</v>
      </c>
      <c r="C1713">
        <v>910</v>
      </c>
      <c r="D1713">
        <v>53.529411764705884</v>
      </c>
    </row>
    <row r="1714" spans="1:4" ht="15" x14ac:dyDescent="0.25">
      <c r="A1714" t="s">
        <v>5950</v>
      </c>
      <c r="B1714">
        <v>19</v>
      </c>
      <c r="C1714">
        <v>1397</v>
      </c>
      <c r="D1714">
        <v>73.526315789473685</v>
      </c>
    </row>
    <row r="1715" spans="1:4" ht="15" x14ac:dyDescent="0.25">
      <c r="A1715" t="s">
        <v>5951</v>
      </c>
      <c r="B1715">
        <v>2</v>
      </c>
      <c r="C1715">
        <v>48</v>
      </c>
      <c r="D1715">
        <v>24</v>
      </c>
    </row>
    <row r="1716" spans="1:4" ht="15" x14ac:dyDescent="0.25">
      <c r="A1716" t="s">
        <v>5953</v>
      </c>
      <c r="B1716">
        <v>1</v>
      </c>
      <c r="C1716">
        <v>13</v>
      </c>
      <c r="D1716">
        <v>13</v>
      </c>
    </row>
    <row r="1717" spans="1:4" ht="15" x14ac:dyDescent="0.25">
      <c r="A1717" t="s">
        <v>5952</v>
      </c>
      <c r="B1717">
        <v>1</v>
      </c>
      <c r="C1717">
        <v>13</v>
      </c>
      <c r="D1717">
        <v>13</v>
      </c>
    </row>
    <row r="1718" spans="1:4" ht="15" x14ac:dyDescent="0.25">
      <c r="A1718" t="s">
        <v>5956</v>
      </c>
      <c r="B1718">
        <v>1</v>
      </c>
      <c r="C1718">
        <v>65</v>
      </c>
      <c r="D1718">
        <v>65</v>
      </c>
    </row>
    <row r="1719" spans="1:4" ht="15" x14ac:dyDescent="0.25">
      <c r="A1719" t="s">
        <v>5957</v>
      </c>
      <c r="B1719">
        <v>1</v>
      </c>
      <c r="C1719">
        <v>65</v>
      </c>
      <c r="D1719">
        <v>65</v>
      </c>
    </row>
    <row r="1720" spans="1:4" ht="15" x14ac:dyDescent="0.25">
      <c r="A1720" t="s">
        <v>5961</v>
      </c>
      <c r="B1720">
        <v>1</v>
      </c>
      <c r="C1720">
        <v>3</v>
      </c>
      <c r="D1720">
        <v>3</v>
      </c>
    </row>
    <row r="1721" spans="1:4" ht="15" x14ac:dyDescent="0.25">
      <c r="A1721" t="s">
        <v>5964</v>
      </c>
      <c r="B1721">
        <v>5</v>
      </c>
      <c r="C1721">
        <v>479</v>
      </c>
      <c r="D1721">
        <v>95.8</v>
      </c>
    </row>
    <row r="1722" spans="1:4" ht="15" x14ac:dyDescent="0.25">
      <c r="A1722" t="s">
        <v>5969</v>
      </c>
      <c r="B1722">
        <v>1</v>
      </c>
      <c r="C1722">
        <v>4</v>
      </c>
      <c r="D1722">
        <v>4</v>
      </c>
    </row>
    <row r="1723" spans="1:4" ht="15" x14ac:dyDescent="0.25">
      <c r="A1723" t="s">
        <v>5970</v>
      </c>
      <c r="B1723">
        <v>1</v>
      </c>
      <c r="C1723">
        <v>4</v>
      </c>
      <c r="D1723">
        <v>4</v>
      </c>
    </row>
    <row r="1724" spans="1:4" ht="15" x14ac:dyDescent="0.25">
      <c r="A1724" t="s">
        <v>5971</v>
      </c>
      <c r="B1724">
        <v>1</v>
      </c>
      <c r="C1724">
        <v>4</v>
      </c>
      <c r="D1724">
        <v>4</v>
      </c>
    </row>
    <row r="1725" spans="1:4" ht="15" x14ac:dyDescent="0.25">
      <c r="A1725" t="s">
        <v>5975</v>
      </c>
      <c r="B1725">
        <v>1</v>
      </c>
      <c r="C1725">
        <v>61</v>
      </c>
      <c r="D1725">
        <v>61</v>
      </c>
    </row>
    <row r="1726" spans="1:4" ht="15" x14ac:dyDescent="0.25">
      <c r="A1726" t="s">
        <v>5976</v>
      </c>
      <c r="B1726">
        <v>1</v>
      </c>
      <c r="C1726">
        <v>61</v>
      </c>
      <c r="D1726">
        <v>61</v>
      </c>
    </row>
    <row r="1727" spans="1:4" ht="15" x14ac:dyDescent="0.25">
      <c r="A1727" t="s">
        <v>5980</v>
      </c>
      <c r="B1727">
        <v>6</v>
      </c>
      <c r="C1727">
        <v>1065</v>
      </c>
      <c r="D1727">
        <v>177.5</v>
      </c>
    </row>
    <row r="1728" spans="1:4" ht="15" x14ac:dyDescent="0.25">
      <c r="A1728" t="s">
        <v>5982</v>
      </c>
      <c r="B1728">
        <v>12</v>
      </c>
      <c r="C1728">
        <v>614</v>
      </c>
      <c r="D1728">
        <v>51.166666666666664</v>
      </c>
    </row>
    <row r="1729" spans="1:4" ht="15" x14ac:dyDescent="0.25">
      <c r="A1729" t="s">
        <v>5983</v>
      </c>
      <c r="B1729">
        <v>1</v>
      </c>
      <c r="C1729">
        <v>105</v>
      </c>
      <c r="D1729">
        <v>105</v>
      </c>
    </row>
    <row r="1730" spans="1:4" ht="15" x14ac:dyDescent="0.25">
      <c r="A1730" t="s">
        <v>5981</v>
      </c>
      <c r="B1730">
        <v>12</v>
      </c>
      <c r="C1730">
        <v>386</v>
      </c>
      <c r="D1730">
        <v>32.166666666666664</v>
      </c>
    </row>
    <row r="1731" spans="1:4" ht="15" x14ac:dyDescent="0.25">
      <c r="A1731" t="s">
        <v>5987</v>
      </c>
      <c r="B1731">
        <v>1</v>
      </c>
      <c r="C1731">
        <v>23</v>
      </c>
      <c r="D1731">
        <v>23</v>
      </c>
    </row>
    <row r="1732" spans="1:4" ht="15" x14ac:dyDescent="0.25">
      <c r="A1732" t="s">
        <v>5988</v>
      </c>
      <c r="B1732">
        <v>1</v>
      </c>
      <c r="C1732">
        <v>23</v>
      </c>
      <c r="D1732">
        <v>23</v>
      </c>
    </row>
    <row r="1733" spans="1:4" ht="15" x14ac:dyDescent="0.25">
      <c r="A1733" t="s">
        <v>5990</v>
      </c>
      <c r="B1733">
        <v>1</v>
      </c>
      <c r="C1733">
        <v>23</v>
      </c>
      <c r="D1733">
        <v>23</v>
      </c>
    </row>
    <row r="1734" spans="1:4" ht="15" x14ac:dyDescent="0.25">
      <c r="A1734" t="s">
        <v>5989</v>
      </c>
      <c r="B1734">
        <v>22</v>
      </c>
      <c r="C1734">
        <v>947</v>
      </c>
      <c r="D1734">
        <v>43.045454545454547</v>
      </c>
    </row>
    <row r="1735" spans="1:4" ht="15" x14ac:dyDescent="0.25">
      <c r="A1735" t="s">
        <v>5995</v>
      </c>
      <c r="B1735">
        <v>2</v>
      </c>
      <c r="C1735">
        <v>44</v>
      </c>
      <c r="D1735">
        <v>22</v>
      </c>
    </row>
    <row r="1736" spans="1:4" ht="15" x14ac:dyDescent="0.25">
      <c r="A1736" t="s">
        <v>5997</v>
      </c>
      <c r="B1736">
        <v>2</v>
      </c>
      <c r="C1736">
        <v>78</v>
      </c>
      <c r="D1736">
        <v>39</v>
      </c>
    </row>
    <row r="1737" spans="1:4" ht="15" x14ac:dyDescent="0.25">
      <c r="A1737" t="s">
        <v>5996</v>
      </c>
      <c r="B1737">
        <v>3</v>
      </c>
      <c r="C1737">
        <v>225</v>
      </c>
      <c r="D1737">
        <v>75</v>
      </c>
    </row>
    <row r="1738" spans="1:4" ht="15" x14ac:dyDescent="0.25">
      <c r="A1738" t="s">
        <v>6001</v>
      </c>
      <c r="B1738">
        <v>1</v>
      </c>
      <c r="C1738">
        <v>94</v>
      </c>
      <c r="D1738">
        <v>94</v>
      </c>
    </row>
    <row r="1739" spans="1:4" ht="15" x14ac:dyDescent="0.25">
      <c r="A1739" t="s">
        <v>6006</v>
      </c>
      <c r="B1739">
        <v>1</v>
      </c>
      <c r="C1739">
        <v>48</v>
      </c>
      <c r="D1739">
        <v>48</v>
      </c>
    </row>
    <row r="1740" spans="1:4" ht="15" x14ac:dyDescent="0.25">
      <c r="A1740" t="s">
        <v>6010</v>
      </c>
      <c r="B1740">
        <v>2</v>
      </c>
      <c r="C1740">
        <v>55</v>
      </c>
      <c r="D1740">
        <v>27.5</v>
      </c>
    </row>
    <row r="1741" spans="1:4" ht="15" x14ac:dyDescent="0.25">
      <c r="A1741" t="s">
        <v>6007</v>
      </c>
      <c r="B1741">
        <v>1</v>
      </c>
      <c r="C1741">
        <v>28</v>
      </c>
      <c r="D1741">
        <v>28</v>
      </c>
    </row>
    <row r="1742" spans="1:4" ht="15" x14ac:dyDescent="0.25">
      <c r="A1742" t="s">
        <v>6012</v>
      </c>
      <c r="B1742">
        <v>1</v>
      </c>
      <c r="C1742">
        <v>28</v>
      </c>
      <c r="D1742">
        <v>28</v>
      </c>
    </row>
    <row r="1743" spans="1:4" ht="15" x14ac:dyDescent="0.25">
      <c r="A1743" t="s">
        <v>6011</v>
      </c>
      <c r="B1743">
        <v>1</v>
      </c>
      <c r="C1743">
        <v>28</v>
      </c>
      <c r="D1743">
        <v>28</v>
      </c>
    </row>
    <row r="1744" spans="1:4" ht="15" x14ac:dyDescent="0.25">
      <c r="A1744" t="s">
        <v>6016</v>
      </c>
      <c r="B1744">
        <v>1</v>
      </c>
      <c r="C1744">
        <v>15</v>
      </c>
      <c r="D1744">
        <v>15</v>
      </c>
    </row>
    <row r="1745" spans="1:4" ht="15" x14ac:dyDescent="0.25">
      <c r="A1745" t="s">
        <v>6017</v>
      </c>
      <c r="B1745">
        <v>1</v>
      </c>
      <c r="C1745">
        <v>15</v>
      </c>
      <c r="D1745">
        <v>15</v>
      </c>
    </row>
    <row r="1746" spans="1:4" ht="15" x14ac:dyDescent="0.25">
      <c r="A1746" t="s">
        <v>6018</v>
      </c>
      <c r="B1746">
        <v>4</v>
      </c>
      <c r="C1746">
        <v>154</v>
      </c>
      <c r="D1746">
        <v>38.5</v>
      </c>
    </row>
    <row r="1747" spans="1:4" ht="15" x14ac:dyDescent="0.25">
      <c r="A1747" t="s">
        <v>6019</v>
      </c>
      <c r="B1747">
        <v>1</v>
      </c>
      <c r="C1747">
        <v>15</v>
      </c>
      <c r="D1747">
        <v>15</v>
      </c>
    </row>
    <row r="1748" spans="1:4" ht="15" x14ac:dyDescent="0.25">
      <c r="A1748" t="s">
        <v>6023</v>
      </c>
      <c r="B1748">
        <v>2</v>
      </c>
      <c r="C1748">
        <v>2054</v>
      </c>
      <c r="D1748">
        <v>1027</v>
      </c>
    </row>
    <row r="1749" spans="1:4" ht="15" x14ac:dyDescent="0.25">
      <c r="A1749" t="s">
        <v>6024</v>
      </c>
      <c r="B1749">
        <v>2</v>
      </c>
      <c r="C1749">
        <v>2982</v>
      </c>
      <c r="D1749">
        <v>1491</v>
      </c>
    </row>
    <row r="1750" spans="1:4" ht="15" x14ac:dyDescent="0.25">
      <c r="A1750" t="s">
        <v>6026</v>
      </c>
      <c r="B1750">
        <v>1</v>
      </c>
      <c r="C1750">
        <v>989</v>
      </c>
      <c r="D1750">
        <v>989</v>
      </c>
    </row>
    <row r="1751" spans="1:4" ht="15" x14ac:dyDescent="0.25">
      <c r="A1751" t="s">
        <v>6027</v>
      </c>
      <c r="B1751">
        <v>4</v>
      </c>
      <c r="C1751">
        <v>3231</v>
      </c>
      <c r="D1751">
        <v>807.75</v>
      </c>
    </row>
    <row r="1752" spans="1:4" ht="15" x14ac:dyDescent="0.25">
      <c r="A1752" t="s">
        <v>6025</v>
      </c>
      <c r="B1752">
        <v>2</v>
      </c>
      <c r="C1752">
        <v>1629</v>
      </c>
      <c r="D1752">
        <v>814.5</v>
      </c>
    </row>
    <row r="1753" spans="1:4" ht="15" x14ac:dyDescent="0.25">
      <c r="A1753" t="s">
        <v>6031</v>
      </c>
      <c r="B1753">
        <v>1</v>
      </c>
      <c r="C1753">
        <v>62</v>
      </c>
      <c r="D1753">
        <v>62</v>
      </c>
    </row>
    <row r="1754" spans="1:4" ht="15" x14ac:dyDescent="0.25">
      <c r="A1754" t="s">
        <v>6032</v>
      </c>
      <c r="B1754">
        <v>1</v>
      </c>
      <c r="C1754">
        <v>62</v>
      </c>
      <c r="D1754">
        <v>62</v>
      </c>
    </row>
    <row r="1755" spans="1:4" ht="15" x14ac:dyDescent="0.25">
      <c r="A1755" t="s">
        <v>6038</v>
      </c>
      <c r="B1755">
        <v>1</v>
      </c>
      <c r="C1755">
        <v>40</v>
      </c>
      <c r="D1755">
        <v>40</v>
      </c>
    </row>
    <row r="1756" spans="1:4" ht="15" x14ac:dyDescent="0.25">
      <c r="A1756" t="s">
        <v>6039</v>
      </c>
      <c r="B1756">
        <v>1</v>
      </c>
      <c r="C1756">
        <v>40</v>
      </c>
      <c r="D1756">
        <v>40</v>
      </c>
    </row>
    <row r="1757" spans="1:4" ht="15" x14ac:dyDescent="0.25">
      <c r="A1757" t="s">
        <v>6037</v>
      </c>
      <c r="B1757">
        <v>1</v>
      </c>
      <c r="C1757">
        <v>40</v>
      </c>
      <c r="D1757">
        <v>40</v>
      </c>
    </row>
    <row r="1758" spans="1:4" ht="15" x14ac:dyDescent="0.25">
      <c r="A1758" t="s">
        <v>6043</v>
      </c>
      <c r="B1758">
        <v>25</v>
      </c>
      <c r="C1758">
        <v>1330</v>
      </c>
      <c r="D1758">
        <v>53.2</v>
      </c>
    </row>
    <row r="1759" spans="1:4" ht="15" x14ac:dyDescent="0.25">
      <c r="A1759" t="s">
        <v>6044</v>
      </c>
      <c r="B1759">
        <v>2</v>
      </c>
      <c r="C1759">
        <v>227</v>
      </c>
      <c r="D1759">
        <v>113.5</v>
      </c>
    </row>
    <row r="1760" spans="1:4" ht="15" x14ac:dyDescent="0.25">
      <c r="A1760" t="s">
        <v>6046</v>
      </c>
      <c r="B1760">
        <v>1</v>
      </c>
      <c r="C1760">
        <v>54</v>
      </c>
      <c r="D1760">
        <v>54</v>
      </c>
    </row>
    <row r="1761" spans="1:4" ht="15" x14ac:dyDescent="0.25">
      <c r="A1761" t="s">
        <v>6045</v>
      </c>
      <c r="B1761">
        <v>9</v>
      </c>
      <c r="C1761">
        <v>367</v>
      </c>
      <c r="D1761">
        <v>40.777777777777779</v>
      </c>
    </row>
    <row r="1762" spans="1:4" ht="15" x14ac:dyDescent="0.25">
      <c r="A1762" t="s">
        <v>6049</v>
      </c>
      <c r="B1762">
        <v>4</v>
      </c>
      <c r="C1762">
        <v>153</v>
      </c>
      <c r="D1762">
        <v>38.25</v>
      </c>
    </row>
    <row r="1763" spans="1:4" ht="15" x14ac:dyDescent="0.25">
      <c r="A1763" t="s">
        <v>6050</v>
      </c>
      <c r="B1763">
        <v>5</v>
      </c>
      <c r="C1763">
        <v>216</v>
      </c>
      <c r="D1763">
        <v>43.2</v>
      </c>
    </row>
    <row r="1764" spans="1:4" ht="15" x14ac:dyDescent="0.25">
      <c r="A1764" t="s">
        <v>6052</v>
      </c>
      <c r="B1764">
        <v>7</v>
      </c>
      <c r="C1764">
        <v>270</v>
      </c>
      <c r="D1764">
        <v>38.571428571428569</v>
      </c>
    </row>
    <row r="1765" spans="1:4" ht="15" x14ac:dyDescent="0.25">
      <c r="A1765" t="s">
        <v>6051</v>
      </c>
      <c r="B1765">
        <v>3</v>
      </c>
      <c r="C1765">
        <v>157</v>
      </c>
      <c r="D1765">
        <v>52.333333333333336</v>
      </c>
    </row>
    <row r="1766" spans="1:4" ht="15" x14ac:dyDescent="0.25">
      <c r="A1766" t="s">
        <v>6056</v>
      </c>
      <c r="B1766">
        <v>1</v>
      </c>
      <c r="C1766">
        <v>35</v>
      </c>
      <c r="D1766">
        <v>35</v>
      </c>
    </row>
    <row r="1767" spans="1:4" ht="15" x14ac:dyDescent="0.25">
      <c r="A1767" t="s">
        <v>2036</v>
      </c>
      <c r="B1767">
        <v>3</v>
      </c>
      <c r="C1767">
        <v>76</v>
      </c>
      <c r="D1767">
        <v>25.333333333333332</v>
      </c>
    </row>
    <row r="1768" spans="1:4" ht="15" x14ac:dyDescent="0.25">
      <c r="A1768" t="s">
        <v>6057</v>
      </c>
      <c r="B1768">
        <v>1</v>
      </c>
      <c r="C1768">
        <v>35</v>
      </c>
      <c r="D1768">
        <v>35</v>
      </c>
    </row>
    <row r="1769" spans="1:4" ht="15" x14ac:dyDescent="0.25">
      <c r="A1769" t="s">
        <v>6061</v>
      </c>
      <c r="B1769">
        <v>1</v>
      </c>
      <c r="C1769">
        <v>190</v>
      </c>
      <c r="D1769">
        <v>190</v>
      </c>
    </row>
    <row r="1770" spans="1:4" ht="15" x14ac:dyDescent="0.25">
      <c r="A1770" t="s">
        <v>6066</v>
      </c>
      <c r="B1770">
        <v>1</v>
      </c>
      <c r="C1770">
        <v>68</v>
      </c>
      <c r="D1770">
        <v>68</v>
      </c>
    </row>
    <row r="1771" spans="1:4" ht="15" x14ac:dyDescent="0.25">
      <c r="A1771" t="s">
        <v>6067</v>
      </c>
      <c r="B1771">
        <v>1</v>
      </c>
      <c r="C1771">
        <v>68</v>
      </c>
      <c r="D1771">
        <v>68</v>
      </c>
    </row>
    <row r="1772" spans="1:4" ht="15" x14ac:dyDescent="0.25">
      <c r="A1772" t="s">
        <v>6068</v>
      </c>
      <c r="B1772">
        <v>1</v>
      </c>
      <c r="C1772">
        <v>68</v>
      </c>
      <c r="D1772">
        <v>68</v>
      </c>
    </row>
    <row r="1773" spans="1:4" ht="15" x14ac:dyDescent="0.25">
      <c r="A1773" t="s">
        <v>6072</v>
      </c>
      <c r="B1773">
        <v>1</v>
      </c>
      <c r="C1773">
        <v>17</v>
      </c>
      <c r="D1773">
        <v>17</v>
      </c>
    </row>
    <row r="1774" spans="1:4" ht="15" x14ac:dyDescent="0.25">
      <c r="A1774" t="s">
        <v>6073</v>
      </c>
      <c r="B1774">
        <v>1</v>
      </c>
      <c r="C1774">
        <v>17</v>
      </c>
      <c r="D1774">
        <v>17</v>
      </c>
    </row>
    <row r="1775" spans="1:4" ht="15" x14ac:dyDescent="0.25">
      <c r="A1775" t="s">
        <v>6075</v>
      </c>
      <c r="B1775">
        <v>1</v>
      </c>
      <c r="C1775">
        <v>17</v>
      </c>
      <c r="D1775">
        <v>17</v>
      </c>
    </row>
    <row r="1776" spans="1:4" ht="15" x14ac:dyDescent="0.25">
      <c r="A1776" t="s">
        <v>6074</v>
      </c>
      <c r="B1776">
        <v>2</v>
      </c>
      <c r="C1776">
        <v>34</v>
      </c>
      <c r="D1776">
        <v>17</v>
      </c>
    </row>
    <row r="1777" spans="1:4" ht="15" x14ac:dyDescent="0.25">
      <c r="A1777" t="s">
        <v>6082</v>
      </c>
      <c r="B1777">
        <v>4</v>
      </c>
      <c r="C1777">
        <v>117</v>
      </c>
      <c r="D1777">
        <v>29.25</v>
      </c>
    </row>
    <row r="1778" spans="1:4" ht="15" x14ac:dyDescent="0.25">
      <c r="A1778" t="s">
        <v>6083</v>
      </c>
      <c r="B1778">
        <v>2</v>
      </c>
      <c r="C1778">
        <v>70</v>
      </c>
      <c r="D1778">
        <v>35</v>
      </c>
    </row>
    <row r="1779" spans="1:4" ht="15" x14ac:dyDescent="0.25">
      <c r="A1779" t="s">
        <v>6081</v>
      </c>
      <c r="B1779">
        <v>3</v>
      </c>
      <c r="C1779">
        <v>98</v>
      </c>
      <c r="D1779">
        <v>32.666666666666664</v>
      </c>
    </row>
    <row r="1780" spans="1:4" ht="15" x14ac:dyDescent="0.25">
      <c r="A1780" t="s">
        <v>6087</v>
      </c>
      <c r="B1780">
        <v>1</v>
      </c>
      <c r="C1780">
        <v>23</v>
      </c>
      <c r="D1780">
        <v>23</v>
      </c>
    </row>
    <row r="1781" spans="1:4" ht="15" x14ac:dyDescent="0.25">
      <c r="A1781" t="s">
        <v>6088</v>
      </c>
      <c r="B1781">
        <v>1</v>
      </c>
      <c r="C1781">
        <v>23</v>
      </c>
      <c r="D1781">
        <v>23</v>
      </c>
    </row>
    <row r="1782" spans="1:4" ht="15" x14ac:dyDescent="0.25">
      <c r="A1782" t="s">
        <v>6090</v>
      </c>
      <c r="B1782">
        <v>1</v>
      </c>
      <c r="C1782">
        <v>23</v>
      </c>
      <c r="D1782">
        <v>23</v>
      </c>
    </row>
    <row r="1783" spans="1:4" ht="15" x14ac:dyDescent="0.25">
      <c r="A1783" t="s">
        <v>6089</v>
      </c>
      <c r="B1783">
        <v>1</v>
      </c>
      <c r="C1783">
        <v>23</v>
      </c>
      <c r="D1783">
        <v>23</v>
      </c>
    </row>
    <row r="1784" spans="1:4" ht="15" x14ac:dyDescent="0.25">
      <c r="A1784" t="s">
        <v>6094</v>
      </c>
      <c r="B1784">
        <v>4</v>
      </c>
      <c r="C1784">
        <v>1478</v>
      </c>
      <c r="D1784">
        <v>369.5</v>
      </c>
    </row>
    <row r="1785" spans="1:4" ht="15" x14ac:dyDescent="0.25">
      <c r="A1785" t="s">
        <v>6093</v>
      </c>
      <c r="B1785">
        <v>3</v>
      </c>
      <c r="C1785">
        <v>725</v>
      </c>
      <c r="D1785">
        <v>241.66666666666666</v>
      </c>
    </row>
    <row r="1786" spans="1:4" ht="15" x14ac:dyDescent="0.25">
      <c r="A1786" t="s">
        <v>6099</v>
      </c>
      <c r="B1786">
        <v>1</v>
      </c>
      <c r="C1786">
        <v>146</v>
      </c>
      <c r="D1786">
        <v>146</v>
      </c>
    </row>
    <row r="1787" spans="1:4" ht="15" x14ac:dyDescent="0.25">
      <c r="A1787" t="s">
        <v>6100</v>
      </c>
      <c r="B1787">
        <v>2</v>
      </c>
      <c r="C1787">
        <v>215</v>
      </c>
      <c r="D1787">
        <v>107.5</v>
      </c>
    </row>
    <row r="1788" spans="1:4" ht="15" x14ac:dyDescent="0.25">
      <c r="A1788" t="s">
        <v>6102</v>
      </c>
      <c r="B1788">
        <v>1</v>
      </c>
      <c r="C1788">
        <v>146</v>
      </c>
      <c r="D1788">
        <v>146</v>
      </c>
    </row>
    <row r="1789" spans="1:4" ht="15" x14ac:dyDescent="0.25">
      <c r="A1789" t="s">
        <v>6103</v>
      </c>
      <c r="B1789">
        <v>1</v>
      </c>
      <c r="C1789">
        <v>146</v>
      </c>
      <c r="D1789">
        <v>146</v>
      </c>
    </row>
    <row r="1790" spans="1:4" ht="15" x14ac:dyDescent="0.25">
      <c r="A1790" t="s">
        <v>6101</v>
      </c>
      <c r="B1790">
        <v>1</v>
      </c>
      <c r="C1790">
        <v>146</v>
      </c>
      <c r="D1790">
        <v>146</v>
      </c>
    </row>
    <row r="1791" spans="1:4" ht="15" x14ac:dyDescent="0.25">
      <c r="A1791" t="s">
        <v>6107</v>
      </c>
      <c r="B1791">
        <v>1</v>
      </c>
      <c r="C1791">
        <v>0</v>
      </c>
      <c r="D1791">
        <v>0</v>
      </c>
    </row>
    <row r="1792" spans="1:4" ht="15" x14ac:dyDescent="0.25">
      <c r="A1792" t="s">
        <v>6111</v>
      </c>
      <c r="B1792">
        <v>1</v>
      </c>
      <c r="C1792">
        <v>26</v>
      </c>
      <c r="D1792">
        <v>26</v>
      </c>
    </row>
    <row r="1793" spans="1:4" ht="15" x14ac:dyDescent="0.25">
      <c r="A1793" t="s">
        <v>6115</v>
      </c>
      <c r="B1793">
        <v>2</v>
      </c>
      <c r="C1793">
        <v>187</v>
      </c>
      <c r="D1793">
        <v>93.5</v>
      </c>
    </row>
    <row r="1794" spans="1:4" ht="15" x14ac:dyDescent="0.25">
      <c r="A1794" t="s">
        <v>6117</v>
      </c>
      <c r="B1794">
        <v>1</v>
      </c>
      <c r="C1794">
        <v>36</v>
      </c>
      <c r="D1794">
        <v>36</v>
      </c>
    </row>
    <row r="1795" spans="1:4" ht="15" x14ac:dyDescent="0.25">
      <c r="A1795" t="s">
        <v>6116</v>
      </c>
      <c r="B1795">
        <v>3</v>
      </c>
      <c r="C1795">
        <v>60</v>
      </c>
      <c r="D1795">
        <v>20</v>
      </c>
    </row>
    <row r="1796" spans="1:4" ht="15" x14ac:dyDescent="0.25">
      <c r="A1796" t="s">
        <v>6120</v>
      </c>
      <c r="B1796">
        <v>1</v>
      </c>
      <c r="C1796">
        <v>163</v>
      </c>
      <c r="D1796">
        <v>163</v>
      </c>
    </row>
    <row r="1797" spans="1:4" ht="15" x14ac:dyDescent="0.25">
      <c r="A1797" t="s">
        <v>6121</v>
      </c>
      <c r="B1797">
        <v>1</v>
      </c>
      <c r="C1797">
        <v>163</v>
      </c>
      <c r="D1797">
        <v>163</v>
      </c>
    </row>
    <row r="1798" spans="1:4" ht="15" x14ac:dyDescent="0.25">
      <c r="A1798" t="s">
        <v>6122</v>
      </c>
      <c r="B1798">
        <v>5</v>
      </c>
      <c r="C1798">
        <v>345</v>
      </c>
      <c r="D1798">
        <v>69</v>
      </c>
    </row>
    <row r="1799" spans="1:4" ht="15" x14ac:dyDescent="0.25">
      <c r="A1799" t="s">
        <v>6123</v>
      </c>
      <c r="B1799">
        <v>1</v>
      </c>
      <c r="C1799">
        <v>163</v>
      </c>
      <c r="D1799">
        <v>163</v>
      </c>
    </row>
    <row r="1800" spans="1:4" ht="15" x14ac:dyDescent="0.25">
      <c r="A1800" t="s">
        <v>6128</v>
      </c>
      <c r="B1800">
        <v>3</v>
      </c>
      <c r="C1800">
        <v>376</v>
      </c>
      <c r="D1800">
        <v>125.33333333333333</v>
      </c>
    </row>
    <row r="1801" spans="1:4" ht="15" x14ac:dyDescent="0.25">
      <c r="A1801" t="s">
        <v>6129</v>
      </c>
      <c r="B1801">
        <v>1</v>
      </c>
      <c r="C1801">
        <v>234</v>
      </c>
      <c r="D1801">
        <v>234</v>
      </c>
    </row>
    <row r="1802" spans="1:4" ht="15" x14ac:dyDescent="0.25">
      <c r="A1802" t="s">
        <v>6130</v>
      </c>
      <c r="B1802">
        <v>1</v>
      </c>
      <c r="C1802">
        <v>234</v>
      </c>
      <c r="D1802">
        <v>234</v>
      </c>
    </row>
    <row r="1803" spans="1:4" ht="15" x14ac:dyDescent="0.25">
      <c r="A1803" t="s">
        <v>6136</v>
      </c>
      <c r="B1803">
        <v>1</v>
      </c>
      <c r="C1803">
        <v>51</v>
      </c>
      <c r="D1803">
        <v>51</v>
      </c>
    </row>
    <row r="1804" spans="1:4" ht="15" x14ac:dyDescent="0.25">
      <c r="A1804" t="s">
        <v>6137</v>
      </c>
      <c r="B1804">
        <v>1</v>
      </c>
      <c r="C1804">
        <v>51</v>
      </c>
      <c r="D1804">
        <v>51</v>
      </c>
    </row>
    <row r="1805" spans="1:4" ht="15" x14ac:dyDescent="0.25">
      <c r="A1805" t="s">
        <v>6139</v>
      </c>
      <c r="B1805">
        <v>1</v>
      </c>
      <c r="C1805">
        <v>51</v>
      </c>
      <c r="D1805">
        <v>51</v>
      </c>
    </row>
    <row r="1806" spans="1:4" ht="15" x14ac:dyDescent="0.25">
      <c r="A1806" t="s">
        <v>6138</v>
      </c>
      <c r="B1806">
        <v>2</v>
      </c>
      <c r="C1806">
        <v>51</v>
      </c>
      <c r="D1806">
        <v>25.5</v>
      </c>
    </row>
    <row r="1807" spans="1:4" ht="15" x14ac:dyDescent="0.25">
      <c r="A1807" t="s">
        <v>6143</v>
      </c>
      <c r="B1807">
        <v>1</v>
      </c>
      <c r="C1807">
        <v>20</v>
      </c>
      <c r="D1807">
        <v>20</v>
      </c>
    </row>
    <row r="1808" spans="1:4" ht="15" x14ac:dyDescent="0.25">
      <c r="A1808" t="s">
        <v>6146</v>
      </c>
      <c r="B1808">
        <v>2</v>
      </c>
      <c r="C1808">
        <v>87</v>
      </c>
      <c r="D1808">
        <v>43.5</v>
      </c>
    </row>
    <row r="1809" spans="1:4" ht="15" x14ac:dyDescent="0.25">
      <c r="A1809" t="s">
        <v>6147</v>
      </c>
      <c r="B1809">
        <v>2</v>
      </c>
      <c r="C1809">
        <v>87</v>
      </c>
      <c r="D1809">
        <v>43.5</v>
      </c>
    </row>
    <row r="1810" spans="1:4" ht="15" x14ac:dyDescent="0.25">
      <c r="A1810" t="s">
        <v>6151</v>
      </c>
      <c r="B1810">
        <v>1</v>
      </c>
      <c r="C1810">
        <v>12</v>
      </c>
      <c r="D1810">
        <v>12</v>
      </c>
    </row>
    <row r="1811" spans="1:4" ht="15" x14ac:dyDescent="0.25">
      <c r="A1811" t="s">
        <v>6152</v>
      </c>
      <c r="B1811">
        <v>1</v>
      </c>
      <c r="C1811">
        <v>12</v>
      </c>
      <c r="D1811">
        <v>12</v>
      </c>
    </row>
    <row r="1812" spans="1:4" ht="15" x14ac:dyDescent="0.25">
      <c r="A1812" t="s">
        <v>6153</v>
      </c>
      <c r="B1812">
        <v>1</v>
      </c>
      <c r="C1812">
        <v>12</v>
      </c>
      <c r="D1812">
        <v>12</v>
      </c>
    </row>
    <row r="1813" spans="1:4" ht="15" x14ac:dyDescent="0.25">
      <c r="A1813" t="s">
        <v>6158</v>
      </c>
      <c r="B1813">
        <v>6</v>
      </c>
      <c r="C1813">
        <v>264</v>
      </c>
      <c r="D1813">
        <v>44</v>
      </c>
    </row>
    <row r="1814" spans="1:4" ht="15" x14ac:dyDescent="0.25">
      <c r="A1814" t="s">
        <v>6160</v>
      </c>
      <c r="B1814">
        <v>1</v>
      </c>
      <c r="C1814">
        <v>12</v>
      </c>
      <c r="D1814">
        <v>12</v>
      </c>
    </row>
    <row r="1815" spans="1:4" ht="15" x14ac:dyDescent="0.25">
      <c r="A1815" t="s">
        <v>6159</v>
      </c>
      <c r="B1815">
        <v>2</v>
      </c>
      <c r="C1815">
        <v>69</v>
      </c>
      <c r="D1815">
        <v>34.5</v>
      </c>
    </row>
    <row r="1816" spans="1:4" ht="15" x14ac:dyDescent="0.25">
      <c r="A1816" t="s">
        <v>6164</v>
      </c>
      <c r="B1816">
        <v>12</v>
      </c>
      <c r="C1816">
        <v>434</v>
      </c>
      <c r="D1816">
        <v>36.166666666666664</v>
      </c>
    </row>
    <row r="1817" spans="1:4" ht="15" x14ac:dyDescent="0.25">
      <c r="A1817" t="s">
        <v>6165</v>
      </c>
      <c r="B1817">
        <v>3</v>
      </c>
      <c r="C1817">
        <v>63</v>
      </c>
      <c r="D1817">
        <v>21</v>
      </c>
    </row>
    <row r="1818" spans="1:4" ht="15" x14ac:dyDescent="0.25">
      <c r="A1818" t="s">
        <v>6169</v>
      </c>
      <c r="B1818">
        <v>2</v>
      </c>
      <c r="C1818">
        <v>56</v>
      </c>
      <c r="D1818">
        <v>28</v>
      </c>
    </row>
    <row r="1819" spans="1:4" ht="15" x14ac:dyDescent="0.25">
      <c r="A1819" t="s">
        <v>6170</v>
      </c>
      <c r="B1819">
        <v>2</v>
      </c>
      <c r="C1819">
        <v>65</v>
      </c>
      <c r="D1819">
        <v>32.5</v>
      </c>
    </row>
    <row r="1820" spans="1:4" ht="15" x14ac:dyDescent="0.25">
      <c r="A1820" t="s">
        <v>6172</v>
      </c>
      <c r="B1820">
        <v>18</v>
      </c>
      <c r="C1820">
        <v>749</v>
      </c>
      <c r="D1820">
        <v>41.611111111111114</v>
      </c>
    </row>
    <row r="1821" spans="1:4" ht="15" x14ac:dyDescent="0.25">
      <c r="A1821" t="s">
        <v>6171</v>
      </c>
      <c r="B1821">
        <v>2</v>
      </c>
      <c r="C1821">
        <v>56</v>
      </c>
      <c r="D1821">
        <v>28</v>
      </c>
    </row>
    <row r="1822" spans="1:4" ht="15" x14ac:dyDescent="0.25">
      <c r="A1822" t="s">
        <v>6176</v>
      </c>
      <c r="B1822">
        <v>1</v>
      </c>
      <c r="C1822">
        <v>79</v>
      </c>
      <c r="D1822">
        <v>79</v>
      </c>
    </row>
    <row r="1823" spans="1:4" ht="15" x14ac:dyDescent="0.25">
      <c r="A1823" t="s">
        <v>6181</v>
      </c>
      <c r="B1823">
        <v>3</v>
      </c>
      <c r="C1823">
        <v>87</v>
      </c>
      <c r="D1823">
        <v>29</v>
      </c>
    </row>
    <row r="1824" spans="1:4" ht="15" x14ac:dyDescent="0.25">
      <c r="A1824" t="s">
        <v>6182</v>
      </c>
      <c r="B1824">
        <v>6</v>
      </c>
      <c r="C1824">
        <v>209</v>
      </c>
      <c r="D1824">
        <v>34.833333333333336</v>
      </c>
    </row>
    <row r="1825" spans="1:4" ht="15" x14ac:dyDescent="0.25">
      <c r="A1825" t="s">
        <v>6185</v>
      </c>
      <c r="B1825">
        <v>2</v>
      </c>
      <c r="C1825">
        <v>72</v>
      </c>
      <c r="D1825">
        <v>36</v>
      </c>
    </row>
    <row r="1826" spans="1:4" ht="15" x14ac:dyDescent="0.25">
      <c r="A1826" t="s">
        <v>6187</v>
      </c>
      <c r="B1826">
        <v>11</v>
      </c>
      <c r="C1826">
        <v>641</v>
      </c>
      <c r="D1826">
        <v>58.272727272727273</v>
      </c>
    </row>
    <row r="1827" spans="1:4" ht="15" x14ac:dyDescent="0.25">
      <c r="A1827" t="s">
        <v>6186</v>
      </c>
      <c r="B1827">
        <v>8</v>
      </c>
      <c r="C1827">
        <v>745</v>
      </c>
      <c r="D1827">
        <v>93.125</v>
      </c>
    </row>
    <row r="1828" spans="1:4" ht="15" x14ac:dyDescent="0.25">
      <c r="A1828" t="s">
        <v>6191</v>
      </c>
      <c r="B1828">
        <v>1</v>
      </c>
      <c r="C1828">
        <v>9</v>
      </c>
      <c r="D1828">
        <v>9</v>
      </c>
    </row>
    <row r="1829" spans="1:4" ht="15" x14ac:dyDescent="0.25">
      <c r="A1829" t="s">
        <v>6192</v>
      </c>
      <c r="B1829">
        <v>1</v>
      </c>
      <c r="C1829">
        <v>9</v>
      </c>
      <c r="D1829">
        <v>9</v>
      </c>
    </row>
    <row r="1830" spans="1:4" ht="15" x14ac:dyDescent="0.25">
      <c r="A1830" t="s">
        <v>6197</v>
      </c>
      <c r="B1830">
        <v>1</v>
      </c>
      <c r="C1830">
        <v>54</v>
      </c>
      <c r="D1830">
        <v>54</v>
      </c>
    </row>
    <row r="1831" spans="1:4" ht="15" x14ac:dyDescent="0.25">
      <c r="A1831" t="s">
        <v>6198</v>
      </c>
      <c r="B1831">
        <v>2</v>
      </c>
      <c r="C1831">
        <v>85</v>
      </c>
      <c r="D1831">
        <v>42.5</v>
      </c>
    </row>
    <row r="1832" spans="1:4" ht="15" x14ac:dyDescent="0.25">
      <c r="A1832" t="s">
        <v>6202</v>
      </c>
      <c r="B1832">
        <v>1</v>
      </c>
      <c r="C1832">
        <v>18</v>
      </c>
      <c r="D1832">
        <v>18</v>
      </c>
    </row>
    <row r="1833" spans="1:4" ht="15" x14ac:dyDescent="0.25">
      <c r="A1833" t="s">
        <v>6207</v>
      </c>
      <c r="B1833">
        <v>1</v>
      </c>
      <c r="C1833">
        <v>284</v>
      </c>
      <c r="D1833">
        <v>284</v>
      </c>
    </row>
    <row r="1834" spans="1:4" ht="15" x14ac:dyDescent="0.25">
      <c r="A1834" t="s">
        <v>6208</v>
      </c>
      <c r="B1834">
        <v>1</v>
      </c>
      <c r="C1834">
        <v>284</v>
      </c>
      <c r="D1834">
        <v>284</v>
      </c>
    </row>
    <row r="1835" spans="1:4" ht="15" x14ac:dyDescent="0.25">
      <c r="A1835" t="s">
        <v>6211</v>
      </c>
      <c r="B1835">
        <v>3</v>
      </c>
      <c r="C1835">
        <v>352</v>
      </c>
      <c r="D1835">
        <v>117.33333333333333</v>
      </c>
    </row>
    <row r="1836" spans="1:4" ht="15" x14ac:dyDescent="0.25">
      <c r="A1836" t="s">
        <v>6213</v>
      </c>
      <c r="B1836">
        <v>7</v>
      </c>
      <c r="C1836">
        <v>771</v>
      </c>
      <c r="D1836">
        <v>110.14285714285714</v>
      </c>
    </row>
    <row r="1837" spans="1:4" ht="15" x14ac:dyDescent="0.25">
      <c r="A1837" t="s">
        <v>6212</v>
      </c>
      <c r="B1837">
        <v>1</v>
      </c>
      <c r="C1837">
        <v>151</v>
      </c>
      <c r="D1837">
        <v>151</v>
      </c>
    </row>
    <row r="1838" spans="1:4" ht="15" x14ac:dyDescent="0.25">
      <c r="A1838" t="s">
        <v>6217</v>
      </c>
      <c r="B1838">
        <v>1</v>
      </c>
      <c r="C1838">
        <v>71</v>
      </c>
      <c r="D1838">
        <v>71</v>
      </c>
    </row>
    <row r="1839" spans="1:4" ht="15" x14ac:dyDescent="0.25">
      <c r="A1839" t="s">
        <v>6218</v>
      </c>
      <c r="B1839">
        <v>1</v>
      </c>
      <c r="C1839">
        <v>71</v>
      </c>
      <c r="D1839">
        <v>71</v>
      </c>
    </row>
    <row r="1840" spans="1:4" ht="15" x14ac:dyDescent="0.25">
      <c r="A1840" t="s">
        <v>6220</v>
      </c>
      <c r="B1840">
        <v>1</v>
      </c>
      <c r="C1840">
        <v>71</v>
      </c>
      <c r="D1840">
        <v>71</v>
      </c>
    </row>
    <row r="1841" spans="1:4" ht="15" x14ac:dyDescent="0.25">
      <c r="A1841" t="s">
        <v>6219</v>
      </c>
      <c r="B1841">
        <v>6</v>
      </c>
      <c r="C1841">
        <v>358</v>
      </c>
      <c r="D1841">
        <v>59.666666666666664</v>
      </c>
    </row>
    <row r="1842" spans="1:4" ht="15" x14ac:dyDescent="0.25">
      <c r="A1842" t="s">
        <v>6227</v>
      </c>
      <c r="B1842">
        <v>2</v>
      </c>
      <c r="C1842">
        <v>51</v>
      </c>
      <c r="D1842">
        <v>25.5</v>
      </c>
    </row>
    <row r="1843" spans="1:4" ht="15" x14ac:dyDescent="0.25">
      <c r="A1843" t="s">
        <v>6228</v>
      </c>
      <c r="B1843">
        <v>2</v>
      </c>
      <c r="C1843">
        <v>28</v>
      </c>
      <c r="D1843">
        <v>14</v>
      </c>
    </row>
    <row r="1844" spans="1:4" ht="15" x14ac:dyDescent="0.25">
      <c r="A1844" t="s">
        <v>6230</v>
      </c>
      <c r="B1844">
        <v>1</v>
      </c>
      <c r="C1844">
        <v>18</v>
      </c>
      <c r="D1844">
        <v>18</v>
      </c>
    </row>
    <row r="1845" spans="1:4" ht="15" x14ac:dyDescent="0.25">
      <c r="A1845" t="s">
        <v>6231</v>
      </c>
      <c r="B1845">
        <v>3</v>
      </c>
      <c r="C1845">
        <v>59</v>
      </c>
      <c r="D1845">
        <v>19.666666666666668</v>
      </c>
    </row>
    <row r="1846" spans="1:4" ht="15" x14ac:dyDescent="0.25">
      <c r="A1846" t="s">
        <v>6229</v>
      </c>
      <c r="B1846">
        <v>1</v>
      </c>
      <c r="C1846">
        <v>18</v>
      </c>
      <c r="D1846">
        <v>18</v>
      </c>
    </row>
    <row r="1847" spans="1:4" ht="15" x14ac:dyDescent="0.25">
      <c r="A1847" t="s">
        <v>6235</v>
      </c>
      <c r="B1847">
        <v>1</v>
      </c>
      <c r="C1847">
        <v>58</v>
      </c>
      <c r="D1847">
        <v>58</v>
      </c>
    </row>
    <row r="1848" spans="1:4" ht="15" x14ac:dyDescent="0.25">
      <c r="A1848" t="s">
        <v>6236</v>
      </c>
      <c r="B1848">
        <v>1</v>
      </c>
      <c r="C1848">
        <v>58</v>
      </c>
      <c r="D1848">
        <v>58</v>
      </c>
    </row>
    <row r="1849" spans="1:4" ht="15" x14ac:dyDescent="0.25">
      <c r="A1849" t="s">
        <v>6238</v>
      </c>
      <c r="B1849">
        <v>2</v>
      </c>
      <c r="C1849">
        <v>74</v>
      </c>
      <c r="D1849">
        <v>37</v>
      </c>
    </row>
    <row r="1850" spans="1:4" ht="15" x14ac:dyDescent="0.25">
      <c r="A1850" t="s">
        <v>6239</v>
      </c>
      <c r="B1850">
        <v>1</v>
      </c>
      <c r="C1850">
        <v>58</v>
      </c>
      <c r="D1850">
        <v>58</v>
      </c>
    </row>
    <row r="1851" spans="1:4" ht="15" x14ac:dyDescent="0.25">
      <c r="A1851" t="s">
        <v>6237</v>
      </c>
      <c r="B1851">
        <v>1</v>
      </c>
      <c r="C1851">
        <v>58</v>
      </c>
      <c r="D1851">
        <v>58</v>
      </c>
    </row>
    <row r="1852" spans="1:4" ht="15" x14ac:dyDescent="0.25">
      <c r="A1852" t="s">
        <v>6242</v>
      </c>
      <c r="B1852">
        <v>17</v>
      </c>
      <c r="C1852">
        <v>3648</v>
      </c>
      <c r="D1852">
        <v>214.58823529411765</v>
      </c>
    </row>
    <row r="1853" spans="1:4" ht="15" x14ac:dyDescent="0.25">
      <c r="A1853" t="s">
        <v>6243</v>
      </c>
      <c r="B1853">
        <v>16</v>
      </c>
      <c r="C1853">
        <v>2632</v>
      </c>
      <c r="D1853">
        <v>164.5</v>
      </c>
    </row>
    <row r="1854" spans="1:4" ht="15" x14ac:dyDescent="0.25">
      <c r="A1854" t="s">
        <v>6247</v>
      </c>
      <c r="B1854">
        <v>1</v>
      </c>
      <c r="C1854">
        <v>24</v>
      </c>
      <c r="D1854">
        <v>24</v>
      </c>
    </row>
    <row r="1855" spans="1:4" ht="15" x14ac:dyDescent="0.25">
      <c r="A1855" t="s">
        <v>6249</v>
      </c>
      <c r="B1855">
        <v>1</v>
      </c>
      <c r="C1855">
        <v>24</v>
      </c>
      <c r="D1855">
        <v>24</v>
      </c>
    </row>
    <row r="1856" spans="1:4" ht="15" x14ac:dyDescent="0.25">
      <c r="A1856" t="s">
        <v>6248</v>
      </c>
      <c r="B1856">
        <v>1</v>
      </c>
      <c r="C1856">
        <v>24</v>
      </c>
      <c r="D1856">
        <v>24</v>
      </c>
    </row>
    <row r="1857" spans="1:4" ht="15" x14ac:dyDescent="0.25">
      <c r="A1857" t="s">
        <v>6252</v>
      </c>
      <c r="B1857">
        <v>2</v>
      </c>
      <c r="C1857">
        <v>169</v>
      </c>
      <c r="D1857">
        <v>84.5</v>
      </c>
    </row>
    <row r="1858" spans="1:4" ht="15" x14ac:dyDescent="0.25">
      <c r="A1858" t="s">
        <v>6259</v>
      </c>
      <c r="B1858">
        <v>22</v>
      </c>
      <c r="C1858">
        <v>939</v>
      </c>
      <c r="D1858">
        <v>42.68181818181818</v>
      </c>
    </row>
    <row r="1859" spans="1:4" ht="15" x14ac:dyDescent="0.25">
      <c r="A1859" t="s">
        <v>6263</v>
      </c>
      <c r="B1859">
        <v>1</v>
      </c>
      <c r="C1859">
        <v>38</v>
      </c>
      <c r="D1859">
        <v>38</v>
      </c>
    </row>
    <row r="1860" spans="1:4" ht="15" x14ac:dyDescent="0.25">
      <c r="A1860" t="s">
        <v>6264</v>
      </c>
      <c r="B1860">
        <v>1</v>
      </c>
      <c r="C1860">
        <v>38</v>
      </c>
      <c r="D1860">
        <v>38</v>
      </c>
    </row>
    <row r="1861" spans="1:4" ht="15" x14ac:dyDescent="0.25">
      <c r="A1861" t="s">
        <v>6265</v>
      </c>
      <c r="B1861">
        <v>1</v>
      </c>
      <c r="C1861">
        <v>38</v>
      </c>
      <c r="D1861">
        <v>38</v>
      </c>
    </row>
    <row r="1862" spans="1:4" ht="15" x14ac:dyDescent="0.25">
      <c r="A1862" t="s">
        <v>6269</v>
      </c>
      <c r="B1862">
        <v>1</v>
      </c>
      <c r="C1862">
        <v>76</v>
      </c>
      <c r="D1862">
        <v>76</v>
      </c>
    </row>
    <row r="1863" spans="1:4" ht="15" x14ac:dyDescent="0.25">
      <c r="A1863" t="s">
        <v>6270</v>
      </c>
      <c r="B1863">
        <v>1</v>
      </c>
      <c r="C1863">
        <v>76</v>
      </c>
      <c r="D1863">
        <v>76</v>
      </c>
    </row>
    <row r="1864" spans="1:4" ht="15" x14ac:dyDescent="0.25">
      <c r="A1864" t="s">
        <v>6271</v>
      </c>
      <c r="B1864">
        <v>1</v>
      </c>
      <c r="C1864">
        <v>76</v>
      </c>
      <c r="D1864">
        <v>76</v>
      </c>
    </row>
    <row r="1865" spans="1:4" ht="15" x14ac:dyDescent="0.25">
      <c r="A1865" t="s">
        <v>6272</v>
      </c>
      <c r="B1865">
        <v>2</v>
      </c>
      <c r="C1865">
        <v>286</v>
      </c>
      <c r="D1865">
        <v>143</v>
      </c>
    </row>
    <row r="1866" spans="1:4" ht="15" x14ac:dyDescent="0.25">
      <c r="A1866" t="s">
        <v>6276</v>
      </c>
      <c r="B1866">
        <v>1</v>
      </c>
      <c r="C1866">
        <v>511</v>
      </c>
      <c r="D1866">
        <v>511</v>
      </c>
    </row>
    <row r="1867" spans="1:4" ht="15" x14ac:dyDescent="0.25">
      <c r="A1867" t="s">
        <v>6277</v>
      </c>
      <c r="B1867">
        <v>5</v>
      </c>
      <c r="C1867">
        <v>4696</v>
      </c>
      <c r="D1867">
        <v>939.2</v>
      </c>
    </row>
    <row r="1868" spans="1:4" ht="15" x14ac:dyDescent="0.25">
      <c r="A1868" t="s">
        <v>6281</v>
      </c>
      <c r="B1868">
        <v>1</v>
      </c>
      <c r="C1868">
        <v>13</v>
      </c>
      <c r="D1868">
        <v>13</v>
      </c>
    </row>
    <row r="1869" spans="1:4" ht="15" x14ac:dyDescent="0.25">
      <c r="A1869" t="s">
        <v>6283</v>
      </c>
      <c r="B1869">
        <v>1</v>
      </c>
      <c r="C1869">
        <v>13</v>
      </c>
      <c r="D1869">
        <v>13</v>
      </c>
    </row>
    <row r="1870" spans="1:4" ht="15" x14ac:dyDescent="0.25">
      <c r="A1870" t="s">
        <v>6282</v>
      </c>
      <c r="B1870">
        <v>1</v>
      </c>
      <c r="C1870">
        <v>13</v>
      </c>
      <c r="D1870">
        <v>13</v>
      </c>
    </row>
    <row r="1871" spans="1:4" ht="15" x14ac:dyDescent="0.25">
      <c r="A1871" t="s">
        <v>6288</v>
      </c>
      <c r="B1871">
        <v>1</v>
      </c>
      <c r="C1871">
        <v>67</v>
      </c>
      <c r="D1871">
        <v>67</v>
      </c>
    </row>
    <row r="1872" spans="1:4" ht="15" x14ac:dyDescent="0.25">
      <c r="A1872" t="s">
        <v>6284</v>
      </c>
      <c r="B1872">
        <v>1</v>
      </c>
      <c r="C1872">
        <v>67</v>
      </c>
      <c r="D1872">
        <v>67</v>
      </c>
    </row>
    <row r="1873" spans="1:4" ht="15" x14ac:dyDescent="0.25">
      <c r="A1873" t="s">
        <v>6294</v>
      </c>
      <c r="B1873">
        <v>21</v>
      </c>
      <c r="C1873">
        <v>736</v>
      </c>
      <c r="D1873">
        <v>35.047619047619051</v>
      </c>
    </row>
    <row r="1874" spans="1:4" ht="15" x14ac:dyDescent="0.25">
      <c r="A1874" t="s">
        <v>6298</v>
      </c>
      <c r="B1874">
        <v>1</v>
      </c>
      <c r="C1874">
        <v>11</v>
      </c>
      <c r="D1874">
        <v>11</v>
      </c>
    </row>
    <row r="1875" spans="1:4" ht="15" x14ac:dyDescent="0.25">
      <c r="A1875" t="s">
        <v>6300</v>
      </c>
      <c r="B1875">
        <v>2</v>
      </c>
      <c r="C1875">
        <v>28</v>
      </c>
      <c r="D1875">
        <v>14</v>
      </c>
    </row>
    <row r="1876" spans="1:4" ht="15" x14ac:dyDescent="0.25">
      <c r="A1876" t="s">
        <v>6301</v>
      </c>
      <c r="B1876">
        <v>2</v>
      </c>
      <c r="C1876">
        <v>50</v>
      </c>
      <c r="D1876">
        <v>25</v>
      </c>
    </row>
    <row r="1877" spans="1:4" ht="15" x14ac:dyDescent="0.25">
      <c r="A1877" t="s">
        <v>6299</v>
      </c>
      <c r="B1877">
        <v>9</v>
      </c>
      <c r="C1877">
        <v>166</v>
      </c>
      <c r="D1877">
        <v>18.444444444444443</v>
      </c>
    </row>
    <row r="1878" spans="1:4" ht="15" x14ac:dyDescent="0.25">
      <c r="A1878" t="s">
        <v>6304</v>
      </c>
      <c r="B1878">
        <v>1</v>
      </c>
      <c r="C1878">
        <v>36</v>
      </c>
      <c r="D1878">
        <v>36</v>
      </c>
    </row>
    <row r="1879" spans="1:4" ht="15" x14ac:dyDescent="0.25">
      <c r="A1879" t="s">
        <v>6305</v>
      </c>
      <c r="B1879">
        <v>1</v>
      </c>
      <c r="C1879">
        <v>36</v>
      </c>
      <c r="D1879">
        <v>36</v>
      </c>
    </row>
    <row r="1880" spans="1:4" ht="15" x14ac:dyDescent="0.25">
      <c r="A1880" t="s">
        <v>6309</v>
      </c>
      <c r="B1880">
        <v>1</v>
      </c>
      <c r="C1880">
        <v>7</v>
      </c>
      <c r="D1880">
        <v>7</v>
      </c>
    </row>
    <row r="1881" spans="1:4" ht="15" x14ac:dyDescent="0.25">
      <c r="A1881" t="s">
        <v>6311</v>
      </c>
      <c r="B1881">
        <v>2</v>
      </c>
      <c r="C1881">
        <v>21</v>
      </c>
      <c r="D1881">
        <v>10.5</v>
      </c>
    </row>
    <row r="1882" spans="1:4" ht="15" x14ac:dyDescent="0.25">
      <c r="A1882" t="s">
        <v>6310</v>
      </c>
      <c r="B1882">
        <v>1</v>
      </c>
      <c r="C1882">
        <v>7</v>
      </c>
      <c r="D1882">
        <v>7</v>
      </c>
    </row>
    <row r="1883" spans="1:4" ht="15" x14ac:dyDescent="0.25">
      <c r="A1883" t="s">
        <v>6315</v>
      </c>
      <c r="B1883">
        <v>6</v>
      </c>
      <c r="C1883">
        <v>230</v>
      </c>
      <c r="D1883">
        <v>38.333333333333336</v>
      </c>
    </row>
    <row r="1884" spans="1:4" ht="15" x14ac:dyDescent="0.25">
      <c r="A1884" t="s">
        <v>6316</v>
      </c>
      <c r="B1884">
        <v>3</v>
      </c>
      <c r="C1884">
        <v>90</v>
      </c>
      <c r="D1884">
        <v>30</v>
      </c>
    </row>
    <row r="1885" spans="1:4" ht="15" x14ac:dyDescent="0.25">
      <c r="A1885" t="s">
        <v>6317</v>
      </c>
      <c r="B1885">
        <v>3</v>
      </c>
      <c r="C1885">
        <v>96</v>
      </c>
      <c r="D1885">
        <v>32</v>
      </c>
    </row>
    <row r="1886" spans="1:4" ht="15" x14ac:dyDescent="0.25">
      <c r="A1886" t="s">
        <v>6318</v>
      </c>
      <c r="B1886">
        <v>1</v>
      </c>
      <c r="C1886">
        <v>23</v>
      </c>
      <c r="D1886">
        <v>23</v>
      </c>
    </row>
    <row r="1887" spans="1:4" ht="15" x14ac:dyDescent="0.25">
      <c r="A1887" t="s">
        <v>6323</v>
      </c>
      <c r="B1887">
        <v>2</v>
      </c>
      <c r="C1887">
        <v>198</v>
      </c>
      <c r="D1887">
        <v>99</v>
      </c>
    </row>
    <row r="1888" spans="1:4" ht="15" x14ac:dyDescent="0.25">
      <c r="A1888" t="s">
        <v>6325</v>
      </c>
      <c r="B1888">
        <v>1</v>
      </c>
      <c r="C1888">
        <v>19</v>
      </c>
      <c r="D1888">
        <v>19</v>
      </c>
    </row>
    <row r="1889" spans="1:4" ht="15" x14ac:dyDescent="0.25">
      <c r="A1889" t="s">
        <v>6326</v>
      </c>
      <c r="B1889">
        <v>1</v>
      </c>
      <c r="C1889">
        <v>19</v>
      </c>
      <c r="D1889">
        <v>19</v>
      </c>
    </row>
    <row r="1890" spans="1:4" ht="15" x14ac:dyDescent="0.25">
      <c r="A1890" t="s">
        <v>6324</v>
      </c>
      <c r="B1890">
        <v>2</v>
      </c>
      <c r="C1890">
        <v>117</v>
      </c>
      <c r="D1890">
        <v>58.5</v>
      </c>
    </row>
    <row r="1891" spans="1:4" ht="15" x14ac:dyDescent="0.25">
      <c r="A1891" t="s">
        <v>6330</v>
      </c>
      <c r="B1891">
        <v>1</v>
      </c>
      <c r="C1891">
        <v>14</v>
      </c>
      <c r="D1891">
        <v>14</v>
      </c>
    </row>
    <row r="1892" spans="1:4" ht="15" x14ac:dyDescent="0.25">
      <c r="A1892" t="s">
        <v>6331</v>
      </c>
      <c r="B1892">
        <v>1</v>
      </c>
      <c r="C1892">
        <v>14</v>
      </c>
      <c r="D1892">
        <v>14</v>
      </c>
    </row>
    <row r="1893" spans="1:4" ht="15" x14ac:dyDescent="0.25">
      <c r="A1893" t="s">
        <v>6333</v>
      </c>
      <c r="B1893">
        <v>1</v>
      </c>
      <c r="C1893">
        <v>14</v>
      </c>
      <c r="D1893">
        <v>14</v>
      </c>
    </row>
    <row r="1894" spans="1:4" ht="15" x14ac:dyDescent="0.25">
      <c r="A1894" t="s">
        <v>6332</v>
      </c>
      <c r="B1894">
        <v>1</v>
      </c>
      <c r="C1894">
        <v>14</v>
      </c>
      <c r="D1894">
        <v>14</v>
      </c>
    </row>
    <row r="1895" spans="1:4" ht="15" x14ac:dyDescent="0.25">
      <c r="A1895" t="s">
        <v>6337</v>
      </c>
      <c r="B1895">
        <v>1</v>
      </c>
      <c r="C1895">
        <v>107</v>
      </c>
      <c r="D1895">
        <v>107</v>
      </c>
    </row>
    <row r="1896" spans="1:4" ht="15" x14ac:dyDescent="0.25">
      <c r="A1896" t="s">
        <v>6338</v>
      </c>
      <c r="B1896">
        <v>1</v>
      </c>
      <c r="C1896">
        <v>107</v>
      </c>
      <c r="D1896">
        <v>107</v>
      </c>
    </row>
    <row r="1897" spans="1:4" ht="15" x14ac:dyDescent="0.25">
      <c r="A1897" t="s">
        <v>6339</v>
      </c>
      <c r="B1897">
        <v>2</v>
      </c>
      <c r="C1897">
        <v>181</v>
      </c>
      <c r="D1897">
        <v>90.5</v>
      </c>
    </row>
    <row r="1898" spans="1:4" ht="15" x14ac:dyDescent="0.25">
      <c r="A1898" t="s">
        <v>6342</v>
      </c>
      <c r="B1898">
        <v>1</v>
      </c>
      <c r="C1898">
        <v>27</v>
      </c>
      <c r="D1898">
        <v>27</v>
      </c>
    </row>
    <row r="1899" spans="1:4" ht="15" x14ac:dyDescent="0.25">
      <c r="A1899" t="s">
        <v>6343</v>
      </c>
      <c r="B1899">
        <v>1</v>
      </c>
      <c r="C1899">
        <v>27</v>
      </c>
      <c r="D1899">
        <v>27</v>
      </c>
    </row>
    <row r="1900" spans="1:4" ht="15" x14ac:dyDescent="0.25">
      <c r="A1900" t="s">
        <v>6345</v>
      </c>
      <c r="B1900">
        <v>1</v>
      </c>
      <c r="C1900">
        <v>27</v>
      </c>
      <c r="D1900">
        <v>27</v>
      </c>
    </row>
    <row r="1901" spans="1:4" ht="15" x14ac:dyDescent="0.25">
      <c r="A1901" t="s">
        <v>6344</v>
      </c>
      <c r="B1901">
        <v>2</v>
      </c>
      <c r="C1901">
        <v>56</v>
      </c>
      <c r="D1901">
        <v>28</v>
      </c>
    </row>
    <row r="1902" spans="1:4" ht="15" x14ac:dyDescent="0.25">
      <c r="A1902" t="s">
        <v>6349</v>
      </c>
      <c r="B1902">
        <v>1</v>
      </c>
      <c r="C1902">
        <v>6</v>
      </c>
      <c r="D1902">
        <v>6</v>
      </c>
    </row>
    <row r="1903" spans="1:4" ht="15" x14ac:dyDescent="0.25">
      <c r="A1903" t="s">
        <v>6350</v>
      </c>
      <c r="B1903">
        <v>2</v>
      </c>
      <c r="C1903">
        <v>64</v>
      </c>
      <c r="D1903">
        <v>32</v>
      </c>
    </row>
    <row r="1904" spans="1:4" ht="15" x14ac:dyDescent="0.25">
      <c r="A1904" t="s">
        <v>6352</v>
      </c>
      <c r="B1904">
        <v>3</v>
      </c>
      <c r="C1904">
        <v>116</v>
      </c>
      <c r="D1904">
        <v>38.666666666666664</v>
      </c>
    </row>
    <row r="1905" spans="1:4" ht="15" x14ac:dyDescent="0.25">
      <c r="A1905" t="s">
        <v>6353</v>
      </c>
      <c r="B1905">
        <v>1</v>
      </c>
      <c r="C1905">
        <v>6</v>
      </c>
      <c r="D1905">
        <v>6</v>
      </c>
    </row>
    <row r="1906" spans="1:4" ht="15" x14ac:dyDescent="0.25">
      <c r="A1906" t="s">
        <v>6351</v>
      </c>
      <c r="B1906">
        <v>1</v>
      </c>
      <c r="C1906">
        <v>6</v>
      </c>
      <c r="D1906">
        <v>6</v>
      </c>
    </row>
    <row r="1907" spans="1:4" ht="15" x14ac:dyDescent="0.25">
      <c r="A1907" t="s">
        <v>6359</v>
      </c>
      <c r="B1907">
        <v>1</v>
      </c>
      <c r="C1907">
        <v>1</v>
      </c>
      <c r="D1907">
        <v>1</v>
      </c>
    </row>
    <row r="1908" spans="1:4" ht="15" x14ac:dyDescent="0.25">
      <c r="A1908" t="s">
        <v>6360</v>
      </c>
      <c r="B1908">
        <v>2</v>
      </c>
      <c r="C1908">
        <v>15</v>
      </c>
      <c r="D1908">
        <v>7.5</v>
      </c>
    </row>
    <row r="1909" spans="1:4" ht="15" x14ac:dyDescent="0.25">
      <c r="A1909" t="s">
        <v>6365</v>
      </c>
      <c r="B1909">
        <v>1</v>
      </c>
      <c r="C1909">
        <v>22</v>
      </c>
      <c r="D1909">
        <v>22</v>
      </c>
    </row>
    <row r="1910" spans="1:4" ht="15" x14ac:dyDescent="0.25">
      <c r="A1910" t="s">
        <v>6366</v>
      </c>
      <c r="B1910">
        <v>5</v>
      </c>
      <c r="C1910">
        <v>5493</v>
      </c>
      <c r="D1910">
        <v>1098.5999999999999</v>
      </c>
    </row>
    <row r="1911" spans="1:4" ht="15" x14ac:dyDescent="0.25">
      <c r="A1911" t="s">
        <v>6368</v>
      </c>
      <c r="B1911">
        <v>2</v>
      </c>
      <c r="C1911">
        <v>44</v>
      </c>
      <c r="D1911">
        <v>22</v>
      </c>
    </row>
    <row r="1912" spans="1:4" ht="15" x14ac:dyDescent="0.25">
      <c r="A1912" t="s">
        <v>6367</v>
      </c>
      <c r="B1912">
        <v>4</v>
      </c>
      <c r="C1912">
        <v>170</v>
      </c>
      <c r="D1912">
        <v>42.5</v>
      </c>
    </row>
    <row r="1913" spans="1:4" ht="15" x14ac:dyDescent="0.25">
      <c r="A1913" t="s">
        <v>6372</v>
      </c>
      <c r="B1913">
        <v>2</v>
      </c>
      <c r="C1913">
        <v>201</v>
      </c>
      <c r="D1913">
        <v>100.5</v>
      </c>
    </row>
    <row r="1914" spans="1:4" ht="15" x14ac:dyDescent="0.25">
      <c r="A1914" t="s">
        <v>6373</v>
      </c>
      <c r="B1914">
        <v>2</v>
      </c>
      <c r="C1914">
        <v>201</v>
      </c>
      <c r="D1914">
        <v>100.5</v>
      </c>
    </row>
    <row r="1915" spans="1:4" ht="15" x14ac:dyDescent="0.25">
      <c r="A1915" t="s">
        <v>6375</v>
      </c>
      <c r="B1915">
        <v>2</v>
      </c>
      <c r="C1915">
        <v>201</v>
      </c>
      <c r="D1915">
        <v>100.5</v>
      </c>
    </row>
    <row r="1916" spans="1:4" ht="15" x14ac:dyDescent="0.25">
      <c r="A1916" t="s">
        <v>6376</v>
      </c>
      <c r="B1916">
        <v>1</v>
      </c>
      <c r="C1916">
        <v>114</v>
      </c>
      <c r="D1916">
        <v>114</v>
      </c>
    </row>
    <row r="1917" spans="1:4" ht="15" x14ac:dyDescent="0.25">
      <c r="A1917" t="s">
        <v>6374</v>
      </c>
      <c r="B1917">
        <v>2</v>
      </c>
      <c r="C1917">
        <v>201</v>
      </c>
      <c r="D1917">
        <v>100.5</v>
      </c>
    </row>
    <row r="1918" spans="1:4" ht="15" x14ac:dyDescent="0.25">
      <c r="A1918" t="s">
        <v>6381</v>
      </c>
      <c r="B1918">
        <v>1</v>
      </c>
      <c r="C1918">
        <v>304</v>
      </c>
      <c r="D1918">
        <v>304</v>
      </c>
    </row>
    <row r="1919" spans="1:4" ht="15" x14ac:dyDescent="0.25">
      <c r="A1919" t="s">
        <v>6382</v>
      </c>
      <c r="B1919">
        <v>1</v>
      </c>
      <c r="C1919">
        <v>304</v>
      </c>
      <c r="D1919">
        <v>304</v>
      </c>
    </row>
    <row r="1920" spans="1:4" ht="15" x14ac:dyDescent="0.25">
      <c r="A1920" t="s">
        <v>6383</v>
      </c>
      <c r="B1920">
        <v>1</v>
      </c>
      <c r="C1920">
        <v>304</v>
      </c>
      <c r="D1920">
        <v>304</v>
      </c>
    </row>
    <row r="1921" spans="1:4" ht="15" x14ac:dyDescent="0.25">
      <c r="A1921" t="s">
        <v>6387</v>
      </c>
      <c r="B1921">
        <v>1</v>
      </c>
      <c r="C1921">
        <v>9</v>
      </c>
      <c r="D1921">
        <v>9</v>
      </c>
    </row>
    <row r="1922" spans="1:4" ht="15" x14ac:dyDescent="0.25">
      <c r="A1922" t="s">
        <v>6384</v>
      </c>
      <c r="B1922">
        <v>1</v>
      </c>
      <c r="C1922">
        <v>9</v>
      </c>
      <c r="D1922">
        <v>9</v>
      </c>
    </row>
    <row r="1923" spans="1:4" ht="15" x14ac:dyDescent="0.25">
      <c r="A1923" t="s">
        <v>6388</v>
      </c>
      <c r="B1923">
        <v>1</v>
      </c>
      <c r="C1923">
        <v>9</v>
      </c>
      <c r="D1923">
        <v>9</v>
      </c>
    </row>
    <row r="1924" spans="1:4" ht="15" x14ac:dyDescent="0.25">
      <c r="A1924" t="s">
        <v>6391</v>
      </c>
      <c r="B1924">
        <v>10</v>
      </c>
      <c r="C1924">
        <v>232</v>
      </c>
      <c r="D1924">
        <v>23.2</v>
      </c>
    </row>
    <row r="1925" spans="1:4" ht="15" x14ac:dyDescent="0.25">
      <c r="A1925" t="s">
        <v>6393</v>
      </c>
      <c r="B1925">
        <v>5</v>
      </c>
      <c r="C1925">
        <v>194</v>
      </c>
      <c r="D1925">
        <v>38.799999999999997</v>
      </c>
    </row>
    <row r="1926" spans="1:4" ht="15" x14ac:dyDescent="0.25">
      <c r="A1926" t="s">
        <v>6392</v>
      </c>
      <c r="B1926">
        <v>1</v>
      </c>
      <c r="C1926">
        <v>36</v>
      </c>
      <c r="D1926">
        <v>36</v>
      </c>
    </row>
    <row r="1927" spans="1:4" ht="15" x14ac:dyDescent="0.25">
      <c r="A1927" t="s">
        <v>6397</v>
      </c>
      <c r="B1927">
        <v>1</v>
      </c>
      <c r="C1927">
        <v>2</v>
      </c>
      <c r="D1927">
        <v>2</v>
      </c>
    </row>
    <row r="1928" spans="1:4" ht="15" x14ac:dyDescent="0.25">
      <c r="A1928" t="s">
        <v>6401</v>
      </c>
      <c r="B1928">
        <v>1</v>
      </c>
      <c r="C1928">
        <v>107</v>
      </c>
      <c r="D1928">
        <v>107</v>
      </c>
    </row>
    <row r="1929" spans="1:4" ht="15" x14ac:dyDescent="0.25">
      <c r="A1929" t="s">
        <v>6402</v>
      </c>
      <c r="B1929">
        <v>1</v>
      </c>
      <c r="C1929">
        <v>107</v>
      </c>
      <c r="D1929">
        <v>107</v>
      </c>
    </row>
    <row r="1930" spans="1:4" ht="15" x14ac:dyDescent="0.25">
      <c r="A1930" t="s">
        <v>6404</v>
      </c>
      <c r="B1930">
        <v>11</v>
      </c>
      <c r="C1930">
        <v>516</v>
      </c>
      <c r="D1930">
        <v>46.909090909090907</v>
      </c>
    </row>
    <row r="1931" spans="1:4" ht="15" x14ac:dyDescent="0.25">
      <c r="A1931" t="s">
        <v>6403</v>
      </c>
      <c r="B1931">
        <v>1</v>
      </c>
      <c r="C1931">
        <v>107</v>
      </c>
      <c r="D1931">
        <v>107</v>
      </c>
    </row>
    <row r="1932" spans="1:4" ht="15" x14ac:dyDescent="0.25">
      <c r="A1932" t="s">
        <v>6408</v>
      </c>
      <c r="B1932">
        <v>1</v>
      </c>
      <c r="C1932">
        <v>60</v>
      </c>
      <c r="D1932">
        <v>60</v>
      </c>
    </row>
    <row r="1933" spans="1:4" ht="15" x14ac:dyDescent="0.25">
      <c r="A1933" t="s">
        <v>6409</v>
      </c>
      <c r="B1933">
        <v>1</v>
      </c>
      <c r="C1933">
        <v>60</v>
      </c>
      <c r="D1933">
        <v>60</v>
      </c>
    </row>
    <row r="1934" spans="1:4" ht="15" x14ac:dyDescent="0.25">
      <c r="A1934" t="s">
        <v>6411</v>
      </c>
      <c r="B1934">
        <v>1</v>
      </c>
      <c r="C1934">
        <v>60</v>
      </c>
      <c r="D1934">
        <v>60</v>
      </c>
    </row>
    <row r="1935" spans="1:4" ht="15" x14ac:dyDescent="0.25">
      <c r="A1935" t="s">
        <v>6410</v>
      </c>
      <c r="B1935">
        <v>1</v>
      </c>
      <c r="C1935">
        <v>60</v>
      </c>
      <c r="D1935">
        <v>60</v>
      </c>
    </row>
    <row r="1936" spans="1:4" ht="15" x14ac:dyDescent="0.25">
      <c r="A1936" t="s">
        <v>6414</v>
      </c>
      <c r="B1936">
        <v>6</v>
      </c>
      <c r="C1936">
        <v>1888</v>
      </c>
      <c r="D1936">
        <v>314.66666666666669</v>
      </c>
    </row>
    <row r="1937" spans="1:4" ht="15" x14ac:dyDescent="0.25">
      <c r="A1937" t="s">
        <v>6415</v>
      </c>
      <c r="B1937">
        <v>1</v>
      </c>
      <c r="C1937">
        <v>293</v>
      </c>
      <c r="D1937">
        <v>293</v>
      </c>
    </row>
    <row r="1938" spans="1:4" ht="15" x14ac:dyDescent="0.25">
      <c r="A1938" t="s">
        <v>6417</v>
      </c>
      <c r="B1938">
        <v>3</v>
      </c>
      <c r="C1938">
        <v>895</v>
      </c>
      <c r="D1938">
        <v>298.33333333333331</v>
      </c>
    </row>
    <row r="1939" spans="1:4" ht="15" x14ac:dyDescent="0.25">
      <c r="A1939" t="s">
        <v>6416</v>
      </c>
      <c r="B1939">
        <v>1</v>
      </c>
      <c r="C1939">
        <v>293</v>
      </c>
      <c r="D1939">
        <v>293</v>
      </c>
    </row>
    <row r="1940" spans="1:4" ht="15" x14ac:dyDescent="0.25">
      <c r="A1940" t="s">
        <v>6422</v>
      </c>
      <c r="B1940">
        <v>1</v>
      </c>
      <c r="C1940">
        <v>16</v>
      </c>
      <c r="D1940">
        <v>16</v>
      </c>
    </row>
    <row r="1941" spans="1:4" ht="15" x14ac:dyDescent="0.25">
      <c r="A1941" t="s">
        <v>6423</v>
      </c>
      <c r="B1941">
        <v>2</v>
      </c>
      <c r="C1941">
        <v>34</v>
      </c>
      <c r="D1941">
        <v>17</v>
      </c>
    </row>
    <row r="1942" spans="1:4" ht="15" x14ac:dyDescent="0.25">
      <c r="A1942" t="s">
        <v>6425</v>
      </c>
      <c r="B1942">
        <v>1</v>
      </c>
      <c r="C1942">
        <v>16</v>
      </c>
      <c r="D1942">
        <v>16</v>
      </c>
    </row>
    <row r="1943" spans="1:4" ht="15" x14ac:dyDescent="0.25">
      <c r="A1943" t="s">
        <v>6426</v>
      </c>
      <c r="B1943">
        <v>1</v>
      </c>
      <c r="C1943">
        <v>16</v>
      </c>
      <c r="D1943">
        <v>16</v>
      </c>
    </row>
    <row r="1944" spans="1:4" ht="15" x14ac:dyDescent="0.25">
      <c r="A1944" t="s">
        <v>6424</v>
      </c>
      <c r="B1944">
        <v>1</v>
      </c>
      <c r="C1944">
        <v>16</v>
      </c>
      <c r="D1944">
        <v>16</v>
      </c>
    </row>
    <row r="1945" spans="1:4" ht="15" x14ac:dyDescent="0.25">
      <c r="A1945" t="s">
        <v>6429</v>
      </c>
      <c r="B1945">
        <v>20</v>
      </c>
      <c r="C1945">
        <v>3216</v>
      </c>
      <c r="D1945">
        <v>160.80000000000001</v>
      </c>
    </row>
    <row r="1946" spans="1:4" ht="15" x14ac:dyDescent="0.25">
      <c r="A1946" t="s">
        <v>6434</v>
      </c>
      <c r="B1946">
        <v>2</v>
      </c>
      <c r="C1946">
        <v>122</v>
      </c>
      <c r="D1946">
        <v>61</v>
      </c>
    </row>
    <row r="1947" spans="1:4" ht="15" x14ac:dyDescent="0.25">
      <c r="A1947" t="s">
        <v>6435</v>
      </c>
      <c r="B1947">
        <v>3</v>
      </c>
      <c r="C1947">
        <v>130</v>
      </c>
      <c r="D1947">
        <v>43.333333333333336</v>
      </c>
    </row>
    <row r="1948" spans="1:4" ht="15" x14ac:dyDescent="0.25">
      <c r="A1948" t="s">
        <v>6437</v>
      </c>
      <c r="B1948">
        <v>2</v>
      </c>
      <c r="C1948">
        <v>122</v>
      </c>
      <c r="D1948">
        <v>61</v>
      </c>
    </row>
    <row r="1949" spans="1:4" ht="15" x14ac:dyDescent="0.25">
      <c r="A1949" t="s">
        <v>6436</v>
      </c>
      <c r="B1949">
        <v>1</v>
      </c>
      <c r="C1949">
        <v>36</v>
      </c>
      <c r="D1949">
        <v>36</v>
      </c>
    </row>
    <row r="1950" spans="1:4" ht="15" x14ac:dyDescent="0.25">
      <c r="A1950" t="s">
        <v>6441</v>
      </c>
      <c r="B1950">
        <v>1</v>
      </c>
      <c r="C1950">
        <v>79</v>
      </c>
      <c r="D1950">
        <v>79</v>
      </c>
    </row>
    <row r="1951" spans="1:4" ht="15" x14ac:dyDescent="0.25">
      <c r="A1951" t="s">
        <v>6442</v>
      </c>
      <c r="B1951">
        <v>6</v>
      </c>
      <c r="C1951">
        <v>199</v>
      </c>
      <c r="D1951">
        <v>33.166666666666664</v>
      </c>
    </row>
    <row r="1952" spans="1:4" ht="15" x14ac:dyDescent="0.25">
      <c r="A1952" t="s">
        <v>6446</v>
      </c>
      <c r="B1952">
        <v>4</v>
      </c>
      <c r="C1952">
        <v>4130</v>
      </c>
      <c r="D1952">
        <v>1032.5</v>
      </c>
    </row>
    <row r="1953" spans="1:4" ht="15" x14ac:dyDescent="0.25">
      <c r="A1953" t="s">
        <v>6448</v>
      </c>
      <c r="B1953">
        <v>3</v>
      </c>
      <c r="C1953">
        <v>3829</v>
      </c>
      <c r="D1953">
        <v>1276.3333333333333</v>
      </c>
    </row>
    <row r="1954" spans="1:4" ht="15" x14ac:dyDescent="0.25">
      <c r="A1954" t="s">
        <v>6449</v>
      </c>
      <c r="B1954">
        <v>5</v>
      </c>
      <c r="C1954">
        <v>5739</v>
      </c>
      <c r="D1954">
        <v>1147.8</v>
      </c>
    </row>
    <row r="1955" spans="1:4" ht="15" x14ac:dyDescent="0.25">
      <c r="A1955" t="s">
        <v>6447</v>
      </c>
      <c r="B1955">
        <v>1</v>
      </c>
      <c r="C1955">
        <v>1469</v>
      </c>
      <c r="D1955">
        <v>1469</v>
      </c>
    </row>
    <row r="1956" spans="1:4" ht="15" x14ac:dyDescent="0.25">
      <c r="A1956" t="s">
        <v>6453</v>
      </c>
      <c r="B1956">
        <v>1</v>
      </c>
      <c r="C1956">
        <v>170</v>
      </c>
      <c r="D1956">
        <v>170</v>
      </c>
    </row>
    <row r="1957" spans="1:4" ht="15" x14ac:dyDescent="0.25">
      <c r="A1957" t="s">
        <v>6460</v>
      </c>
      <c r="B1957">
        <v>3</v>
      </c>
      <c r="C1957">
        <v>113</v>
      </c>
      <c r="D1957">
        <v>37.666666666666664</v>
      </c>
    </row>
    <row r="1958" spans="1:4" ht="15" x14ac:dyDescent="0.25">
      <c r="A1958" t="s">
        <v>6464</v>
      </c>
      <c r="B1958">
        <v>1</v>
      </c>
      <c r="C1958">
        <v>85</v>
      </c>
      <c r="D1958">
        <v>85</v>
      </c>
    </row>
    <row r="1959" spans="1:4" ht="15" x14ac:dyDescent="0.25">
      <c r="A1959" t="s">
        <v>6465</v>
      </c>
      <c r="B1959">
        <v>1</v>
      </c>
      <c r="C1959">
        <v>85</v>
      </c>
      <c r="D1959">
        <v>85</v>
      </c>
    </row>
    <row r="1960" spans="1:4" ht="15" x14ac:dyDescent="0.25">
      <c r="A1960" t="s">
        <v>6466</v>
      </c>
      <c r="B1960">
        <v>8</v>
      </c>
      <c r="C1960">
        <v>302</v>
      </c>
      <c r="D1960">
        <v>37.75</v>
      </c>
    </row>
    <row r="1961" spans="1:4" ht="15" x14ac:dyDescent="0.25">
      <c r="A1961" t="s">
        <v>6470</v>
      </c>
      <c r="B1961">
        <v>1</v>
      </c>
      <c r="C1961">
        <v>7</v>
      </c>
      <c r="D1961">
        <v>7</v>
      </c>
    </row>
    <row r="1962" spans="1:4" ht="15" x14ac:dyDescent="0.25">
      <c r="A1962" t="s">
        <v>6472</v>
      </c>
      <c r="B1962">
        <v>1</v>
      </c>
      <c r="C1962">
        <v>7</v>
      </c>
      <c r="D1962">
        <v>7</v>
      </c>
    </row>
    <row r="1963" spans="1:4" ht="15" x14ac:dyDescent="0.25">
      <c r="A1963" t="s">
        <v>6473</v>
      </c>
      <c r="B1963">
        <v>1</v>
      </c>
      <c r="C1963">
        <v>7</v>
      </c>
      <c r="D1963">
        <v>7</v>
      </c>
    </row>
    <row r="1964" spans="1:4" ht="15" x14ac:dyDescent="0.25">
      <c r="A1964" t="s">
        <v>6471</v>
      </c>
      <c r="B1964">
        <v>1</v>
      </c>
      <c r="C1964">
        <v>7</v>
      </c>
      <c r="D1964">
        <v>7</v>
      </c>
    </row>
    <row r="1965" spans="1:4" ht="15" x14ac:dyDescent="0.25">
      <c r="A1965" t="s">
        <v>6477</v>
      </c>
      <c r="B1965">
        <v>1</v>
      </c>
      <c r="C1965">
        <v>87</v>
      </c>
      <c r="D1965">
        <v>87</v>
      </c>
    </row>
    <row r="1966" spans="1:4" ht="15" x14ac:dyDescent="0.25">
      <c r="A1966" t="s">
        <v>6478</v>
      </c>
      <c r="B1966">
        <v>1</v>
      </c>
      <c r="C1966">
        <v>87</v>
      </c>
      <c r="D1966">
        <v>87</v>
      </c>
    </row>
    <row r="1967" spans="1:4" ht="15" x14ac:dyDescent="0.25">
      <c r="A1967" t="s">
        <v>6485</v>
      </c>
      <c r="B1967">
        <v>4</v>
      </c>
      <c r="C1967">
        <v>151</v>
      </c>
      <c r="D1967">
        <v>37.75</v>
      </c>
    </row>
    <row r="1968" spans="1:4" ht="15" x14ac:dyDescent="0.25">
      <c r="A1968" t="s">
        <v>6487</v>
      </c>
      <c r="B1968">
        <v>5</v>
      </c>
      <c r="C1968">
        <v>135</v>
      </c>
      <c r="D1968">
        <v>27</v>
      </c>
    </row>
    <row r="1969" spans="1:4" ht="15" x14ac:dyDescent="0.25">
      <c r="A1969" t="s">
        <v>6486</v>
      </c>
      <c r="B1969">
        <v>10</v>
      </c>
      <c r="C1969">
        <v>378</v>
      </c>
      <c r="D1969">
        <v>37.799999999999997</v>
      </c>
    </row>
    <row r="1970" spans="1:4" ht="15" x14ac:dyDescent="0.25">
      <c r="A1970" t="s">
        <v>6490</v>
      </c>
      <c r="B1970">
        <v>5</v>
      </c>
      <c r="C1970">
        <v>96</v>
      </c>
      <c r="D1970">
        <v>19.2</v>
      </c>
    </row>
    <row r="1971" spans="1:4" ht="15" x14ac:dyDescent="0.25">
      <c r="A1971" t="s">
        <v>6493</v>
      </c>
      <c r="B1971">
        <v>3</v>
      </c>
      <c r="C1971">
        <v>2580</v>
      </c>
      <c r="D1971">
        <v>860</v>
      </c>
    </row>
    <row r="1972" spans="1:4" ht="15" x14ac:dyDescent="0.25">
      <c r="A1972" t="s">
        <v>6497</v>
      </c>
      <c r="B1972">
        <v>1</v>
      </c>
      <c r="C1972">
        <v>39</v>
      </c>
      <c r="D1972">
        <v>39</v>
      </c>
    </row>
    <row r="1973" spans="1:4" ht="15" x14ac:dyDescent="0.25">
      <c r="A1973" t="s">
        <v>6498</v>
      </c>
      <c r="B1973">
        <v>2</v>
      </c>
      <c r="C1973">
        <v>78</v>
      </c>
      <c r="D1973">
        <v>39</v>
      </c>
    </row>
    <row r="1974" spans="1:4" ht="15" x14ac:dyDescent="0.25">
      <c r="A1974" t="s">
        <v>6499</v>
      </c>
      <c r="B1974">
        <v>1</v>
      </c>
      <c r="C1974">
        <v>39</v>
      </c>
      <c r="D1974">
        <v>39</v>
      </c>
    </row>
    <row r="1975" spans="1:4" ht="15" x14ac:dyDescent="0.25">
      <c r="A1975" t="s">
        <v>6500</v>
      </c>
      <c r="B1975">
        <v>1</v>
      </c>
      <c r="C1975">
        <v>39</v>
      </c>
      <c r="D1975">
        <v>39</v>
      </c>
    </row>
    <row r="1976" spans="1:4" ht="15" x14ac:dyDescent="0.25">
      <c r="A1976" t="s">
        <v>6505</v>
      </c>
      <c r="B1976">
        <v>4</v>
      </c>
      <c r="C1976">
        <v>1922</v>
      </c>
      <c r="D1976">
        <v>480.5</v>
      </c>
    </row>
    <row r="1977" spans="1:4" ht="15" x14ac:dyDescent="0.25">
      <c r="A1977" t="s">
        <v>6506</v>
      </c>
      <c r="B1977">
        <v>3</v>
      </c>
      <c r="C1977">
        <v>1909</v>
      </c>
      <c r="D1977">
        <v>636.33333333333337</v>
      </c>
    </row>
    <row r="1978" spans="1:4" ht="15" x14ac:dyDescent="0.25">
      <c r="A1978" t="s">
        <v>6508</v>
      </c>
      <c r="B1978">
        <v>2</v>
      </c>
      <c r="C1978">
        <v>1842</v>
      </c>
      <c r="D1978">
        <v>921</v>
      </c>
    </row>
    <row r="1979" spans="1:4" ht="15" x14ac:dyDescent="0.25">
      <c r="A1979" t="s">
        <v>6509</v>
      </c>
      <c r="B1979">
        <v>4</v>
      </c>
      <c r="C1979">
        <v>2633</v>
      </c>
      <c r="D1979">
        <v>658.25</v>
      </c>
    </row>
    <row r="1980" spans="1:4" ht="15" x14ac:dyDescent="0.25">
      <c r="A1980" t="s">
        <v>6507</v>
      </c>
      <c r="B1980">
        <v>5</v>
      </c>
      <c r="C1980">
        <v>1992</v>
      </c>
      <c r="D1980">
        <v>398.4</v>
      </c>
    </row>
    <row r="1981" spans="1:4" ht="15" x14ac:dyDescent="0.25">
      <c r="A1981" t="s">
        <v>6524</v>
      </c>
      <c r="B1981">
        <v>1</v>
      </c>
      <c r="C1981">
        <v>16</v>
      </c>
      <c r="D1981">
        <v>16</v>
      </c>
    </row>
    <row r="1982" spans="1:4" ht="15" x14ac:dyDescent="0.25">
      <c r="A1982" t="s">
        <v>6525</v>
      </c>
      <c r="B1982">
        <v>1</v>
      </c>
      <c r="C1982">
        <v>16</v>
      </c>
      <c r="D1982">
        <v>16</v>
      </c>
    </row>
    <row r="1983" spans="1:4" ht="15" x14ac:dyDescent="0.25">
      <c r="A1983" t="s">
        <v>6523</v>
      </c>
      <c r="B1983">
        <v>1</v>
      </c>
      <c r="C1983">
        <v>16</v>
      </c>
      <c r="D1983">
        <v>16</v>
      </c>
    </row>
    <row r="1984" spans="1:4" ht="15" x14ac:dyDescent="0.25">
      <c r="A1984" t="s">
        <v>6528</v>
      </c>
      <c r="B1984">
        <v>6</v>
      </c>
      <c r="C1984">
        <v>630</v>
      </c>
      <c r="D1984">
        <v>105</v>
      </c>
    </row>
    <row r="1985" spans="1:4" ht="15" x14ac:dyDescent="0.25">
      <c r="A1985" t="s">
        <v>6532</v>
      </c>
      <c r="B1985">
        <v>1</v>
      </c>
      <c r="C1985">
        <v>57</v>
      </c>
      <c r="D1985">
        <v>57</v>
      </c>
    </row>
    <row r="1986" spans="1:4" ht="15" x14ac:dyDescent="0.25">
      <c r="A1986" t="s">
        <v>6533</v>
      </c>
      <c r="B1986">
        <v>2</v>
      </c>
      <c r="C1986">
        <v>131</v>
      </c>
      <c r="D1986">
        <v>65.5</v>
      </c>
    </row>
    <row r="1987" spans="1:4" ht="15" x14ac:dyDescent="0.25">
      <c r="A1987" t="s">
        <v>6535</v>
      </c>
      <c r="B1987">
        <v>1</v>
      </c>
      <c r="C1987">
        <v>57</v>
      </c>
      <c r="D1987">
        <v>57</v>
      </c>
    </row>
    <row r="1988" spans="1:4" ht="15" x14ac:dyDescent="0.25">
      <c r="A1988" t="s">
        <v>6534</v>
      </c>
      <c r="B1988">
        <v>1</v>
      </c>
      <c r="C1988">
        <v>57</v>
      </c>
      <c r="D1988">
        <v>57</v>
      </c>
    </row>
    <row r="1989" spans="1:4" ht="15" x14ac:dyDescent="0.25">
      <c r="A1989" t="s">
        <v>6542</v>
      </c>
      <c r="B1989">
        <v>3</v>
      </c>
      <c r="C1989">
        <v>166</v>
      </c>
      <c r="D1989">
        <v>55.333333333333336</v>
      </c>
    </row>
    <row r="1990" spans="1:4" ht="15" x14ac:dyDescent="0.25">
      <c r="A1990" t="s">
        <v>6543</v>
      </c>
      <c r="B1990">
        <v>2</v>
      </c>
      <c r="C1990">
        <v>113</v>
      </c>
      <c r="D1990">
        <v>56.5</v>
      </c>
    </row>
    <row r="1991" spans="1:4" ht="15" x14ac:dyDescent="0.25">
      <c r="A1991" t="s">
        <v>6547</v>
      </c>
      <c r="B1991">
        <v>1</v>
      </c>
      <c r="C1991">
        <v>17</v>
      </c>
      <c r="D1991">
        <v>17</v>
      </c>
    </row>
    <row r="1992" spans="1:4" ht="15" x14ac:dyDescent="0.25">
      <c r="A1992" t="s">
        <v>6550</v>
      </c>
      <c r="B1992">
        <v>19</v>
      </c>
      <c r="C1992">
        <v>614</v>
      </c>
      <c r="D1992">
        <v>32.315789473684212</v>
      </c>
    </row>
    <row r="1993" spans="1:4" ht="15" x14ac:dyDescent="0.25">
      <c r="A1993" t="s">
        <v>3415</v>
      </c>
      <c r="B1993">
        <v>1</v>
      </c>
      <c r="C1993">
        <v>38</v>
      </c>
      <c r="D1993">
        <v>38</v>
      </c>
    </row>
    <row r="1994" spans="1:4" ht="15" x14ac:dyDescent="0.25">
      <c r="A1994" t="s">
        <v>6552</v>
      </c>
      <c r="B1994">
        <v>1</v>
      </c>
      <c r="C1994">
        <v>38</v>
      </c>
      <c r="D1994">
        <v>38</v>
      </c>
    </row>
    <row r="1995" spans="1:4" ht="15" x14ac:dyDescent="0.25">
      <c r="A1995" t="s">
        <v>6551</v>
      </c>
      <c r="B1995">
        <v>1</v>
      </c>
      <c r="C1995">
        <v>38</v>
      </c>
      <c r="D1995">
        <v>38</v>
      </c>
    </row>
    <row r="1996" spans="1:4" ht="15" x14ac:dyDescent="0.25">
      <c r="A1996" t="s">
        <v>6556</v>
      </c>
      <c r="B1996">
        <v>1</v>
      </c>
      <c r="C1996">
        <v>23</v>
      </c>
      <c r="D1996">
        <v>23</v>
      </c>
    </row>
    <row r="1997" spans="1:4" ht="15" x14ac:dyDescent="0.25">
      <c r="A1997" t="s">
        <v>6560</v>
      </c>
      <c r="B1997">
        <v>1</v>
      </c>
      <c r="C1997">
        <v>0</v>
      </c>
      <c r="D1997">
        <v>0</v>
      </c>
    </row>
    <row r="1998" spans="1:4" ht="15" x14ac:dyDescent="0.25">
      <c r="A1998" t="s">
        <v>6561</v>
      </c>
      <c r="B1998">
        <v>2</v>
      </c>
      <c r="C1998">
        <v>33</v>
      </c>
      <c r="D1998">
        <v>16.5</v>
      </c>
    </row>
    <row r="1999" spans="1:4" ht="15" x14ac:dyDescent="0.25">
      <c r="A1999" t="s">
        <v>6566</v>
      </c>
      <c r="B1999">
        <v>1</v>
      </c>
      <c r="C1999">
        <v>22</v>
      </c>
      <c r="D1999">
        <v>22</v>
      </c>
    </row>
    <row r="2000" spans="1:4" ht="15" x14ac:dyDescent="0.25">
      <c r="A2000" t="s">
        <v>6568</v>
      </c>
      <c r="B2000">
        <v>1</v>
      </c>
      <c r="C2000">
        <v>22</v>
      </c>
      <c r="D2000">
        <v>22</v>
      </c>
    </row>
    <row r="2001" spans="1:4" ht="15" x14ac:dyDescent="0.25">
      <c r="A2001" t="s">
        <v>6569</v>
      </c>
      <c r="B2001">
        <v>1</v>
      </c>
      <c r="C2001">
        <v>22</v>
      </c>
      <c r="D2001">
        <v>22</v>
      </c>
    </row>
    <row r="2002" spans="1:4" ht="15" x14ac:dyDescent="0.25">
      <c r="A2002" t="s">
        <v>6567</v>
      </c>
      <c r="B2002">
        <v>1</v>
      </c>
      <c r="C2002">
        <v>22</v>
      </c>
      <c r="D2002">
        <v>22</v>
      </c>
    </row>
    <row r="2003" spans="1:4" ht="15" x14ac:dyDescent="0.25">
      <c r="A2003" t="s">
        <v>6577</v>
      </c>
      <c r="B2003">
        <v>3</v>
      </c>
      <c r="C2003">
        <v>78</v>
      </c>
      <c r="D2003">
        <v>26</v>
      </c>
    </row>
    <row r="2004" spans="1:4" ht="15" x14ac:dyDescent="0.25">
      <c r="A2004" t="s">
        <v>6579</v>
      </c>
      <c r="B2004">
        <v>1</v>
      </c>
      <c r="C2004">
        <v>30</v>
      </c>
      <c r="D2004">
        <v>30</v>
      </c>
    </row>
    <row r="2005" spans="1:4" ht="15" x14ac:dyDescent="0.25">
      <c r="A2005" t="s">
        <v>6578</v>
      </c>
      <c r="B2005">
        <v>8</v>
      </c>
      <c r="C2005">
        <v>1148</v>
      </c>
      <c r="D2005">
        <v>143.5</v>
      </c>
    </row>
    <row r="2006" spans="1:4" ht="15" x14ac:dyDescent="0.25">
      <c r="A2006" t="s">
        <v>6585</v>
      </c>
      <c r="B2006">
        <v>1</v>
      </c>
      <c r="C2006">
        <v>101</v>
      </c>
      <c r="D2006">
        <v>101</v>
      </c>
    </row>
    <row r="2007" spans="1:4" ht="15" x14ac:dyDescent="0.25">
      <c r="A2007" t="s">
        <v>6586</v>
      </c>
      <c r="B2007">
        <v>1</v>
      </c>
      <c r="C2007">
        <v>101</v>
      </c>
      <c r="D2007">
        <v>101</v>
      </c>
    </row>
    <row r="2008" spans="1:4" ht="15" x14ac:dyDescent="0.25">
      <c r="A2008" t="s">
        <v>6590</v>
      </c>
      <c r="B2008">
        <v>1</v>
      </c>
      <c r="C2008">
        <v>51</v>
      </c>
      <c r="D2008">
        <v>51</v>
      </c>
    </row>
    <row r="2009" spans="1:4" ht="15" x14ac:dyDescent="0.25">
      <c r="A2009" t="s">
        <v>6594</v>
      </c>
      <c r="B2009">
        <v>3</v>
      </c>
      <c r="C2009">
        <v>216</v>
      </c>
      <c r="D2009">
        <v>72</v>
      </c>
    </row>
    <row r="2010" spans="1:4" ht="15" x14ac:dyDescent="0.25">
      <c r="A2010" t="s">
        <v>6596</v>
      </c>
      <c r="B2010">
        <v>2</v>
      </c>
      <c r="C2010">
        <v>192</v>
      </c>
      <c r="D2010">
        <v>96</v>
      </c>
    </row>
    <row r="2011" spans="1:4" ht="15" x14ac:dyDescent="0.25">
      <c r="A2011" t="s">
        <v>6597</v>
      </c>
      <c r="B2011">
        <v>9</v>
      </c>
      <c r="C2011">
        <v>424</v>
      </c>
      <c r="D2011">
        <v>47.111111111111114</v>
      </c>
    </row>
    <row r="2012" spans="1:4" ht="15" x14ac:dyDescent="0.25">
      <c r="A2012" t="s">
        <v>6595</v>
      </c>
      <c r="B2012">
        <v>2</v>
      </c>
      <c r="C2012">
        <v>192</v>
      </c>
      <c r="D2012">
        <v>96</v>
      </c>
    </row>
    <row r="2013" spans="1:4" ht="15" x14ac:dyDescent="0.25">
      <c r="A2013" t="s">
        <v>6602</v>
      </c>
      <c r="B2013">
        <v>1</v>
      </c>
      <c r="C2013">
        <v>19</v>
      </c>
      <c r="D2013">
        <v>19</v>
      </c>
    </row>
    <row r="2014" spans="1:4" ht="15" x14ac:dyDescent="0.25">
      <c r="A2014" t="s">
        <v>6603</v>
      </c>
      <c r="B2014">
        <v>1</v>
      </c>
      <c r="C2014">
        <v>19</v>
      </c>
      <c r="D2014">
        <v>19</v>
      </c>
    </row>
    <row r="2015" spans="1:4" ht="15" x14ac:dyDescent="0.25">
      <c r="A2015" t="s">
        <v>6604</v>
      </c>
      <c r="B2015">
        <v>1</v>
      </c>
      <c r="C2015">
        <v>19</v>
      </c>
      <c r="D2015">
        <v>19</v>
      </c>
    </row>
    <row r="2016" spans="1:4" ht="15" x14ac:dyDescent="0.25">
      <c r="A2016" t="s">
        <v>6607</v>
      </c>
      <c r="B2016">
        <v>1</v>
      </c>
      <c r="C2016">
        <v>39</v>
      </c>
      <c r="D2016">
        <v>39</v>
      </c>
    </row>
    <row r="2017" spans="1:4" ht="15" x14ac:dyDescent="0.25">
      <c r="A2017" t="s">
        <v>6612</v>
      </c>
      <c r="B2017">
        <v>13</v>
      </c>
      <c r="C2017">
        <v>611</v>
      </c>
      <c r="D2017">
        <v>47</v>
      </c>
    </row>
    <row r="2018" spans="1:4" ht="15" x14ac:dyDescent="0.25">
      <c r="A2018" t="s">
        <v>6613</v>
      </c>
      <c r="B2018">
        <v>1</v>
      </c>
      <c r="C2018">
        <v>16</v>
      </c>
      <c r="D2018">
        <v>16</v>
      </c>
    </row>
    <row r="2019" spans="1:4" ht="15" x14ac:dyDescent="0.25">
      <c r="A2019" t="s">
        <v>6617</v>
      </c>
      <c r="B2019">
        <v>1</v>
      </c>
      <c r="C2019">
        <v>11</v>
      </c>
      <c r="D2019">
        <v>11</v>
      </c>
    </row>
    <row r="2020" spans="1:4" ht="15" x14ac:dyDescent="0.25">
      <c r="A2020" t="s">
        <v>6618</v>
      </c>
      <c r="B2020">
        <v>1</v>
      </c>
      <c r="C2020">
        <v>11</v>
      </c>
      <c r="D2020">
        <v>11</v>
      </c>
    </row>
    <row r="2021" spans="1:4" ht="15" x14ac:dyDescent="0.25">
      <c r="A2021" t="s">
        <v>6619</v>
      </c>
      <c r="B2021">
        <v>3</v>
      </c>
      <c r="C2021">
        <v>107</v>
      </c>
      <c r="D2021">
        <v>35.666666666666664</v>
      </c>
    </row>
    <row r="2022" spans="1:4" ht="15" x14ac:dyDescent="0.25">
      <c r="A2022" t="s">
        <v>6620</v>
      </c>
      <c r="B2022">
        <v>2</v>
      </c>
      <c r="C2022">
        <v>38</v>
      </c>
      <c r="D2022">
        <v>19</v>
      </c>
    </row>
    <row r="2023" spans="1:4" ht="15" x14ac:dyDescent="0.25">
      <c r="A2023" t="s">
        <v>6624</v>
      </c>
      <c r="B2023">
        <v>1</v>
      </c>
      <c r="C2023">
        <v>16</v>
      </c>
      <c r="D2023">
        <v>16</v>
      </c>
    </row>
    <row r="2024" spans="1:4" ht="15" x14ac:dyDescent="0.25">
      <c r="A2024" t="s">
        <v>6625</v>
      </c>
      <c r="B2024">
        <v>1</v>
      </c>
      <c r="C2024">
        <v>16</v>
      </c>
      <c r="D2024">
        <v>16</v>
      </c>
    </row>
    <row r="2025" spans="1:4" ht="15" x14ac:dyDescent="0.25">
      <c r="A2025" t="s">
        <v>6621</v>
      </c>
      <c r="B2025">
        <v>1</v>
      </c>
      <c r="C2025">
        <v>16</v>
      </c>
      <c r="D2025">
        <v>16</v>
      </c>
    </row>
    <row r="2026" spans="1:4" ht="15" x14ac:dyDescent="0.25">
      <c r="A2026" t="s">
        <v>6628</v>
      </c>
      <c r="B2026">
        <v>10</v>
      </c>
      <c r="C2026">
        <v>424</v>
      </c>
      <c r="D2026">
        <v>42.4</v>
      </c>
    </row>
    <row r="2027" spans="1:4" ht="15" x14ac:dyDescent="0.25">
      <c r="A2027" t="s">
        <v>6632</v>
      </c>
      <c r="B2027">
        <v>2</v>
      </c>
      <c r="C2027">
        <v>28</v>
      </c>
      <c r="D2027">
        <v>14</v>
      </c>
    </row>
    <row r="2028" spans="1:4" ht="15" x14ac:dyDescent="0.25">
      <c r="A2028" t="s">
        <v>6633</v>
      </c>
      <c r="B2028">
        <v>8</v>
      </c>
      <c r="C2028">
        <v>336</v>
      </c>
      <c r="D2028">
        <v>42</v>
      </c>
    </row>
    <row r="2029" spans="1:4" ht="15" x14ac:dyDescent="0.25">
      <c r="A2029" t="s">
        <v>6634</v>
      </c>
      <c r="B2029">
        <v>1</v>
      </c>
      <c r="C2029">
        <v>23</v>
      </c>
      <c r="D2029">
        <v>23</v>
      </c>
    </row>
    <row r="2030" spans="1:4" ht="15" x14ac:dyDescent="0.25">
      <c r="A2030" t="s">
        <v>6638</v>
      </c>
      <c r="B2030">
        <v>3</v>
      </c>
      <c r="C2030">
        <v>65</v>
      </c>
      <c r="D2030">
        <v>21.666666666666668</v>
      </c>
    </row>
    <row r="2031" spans="1:4" ht="15" x14ac:dyDescent="0.25">
      <c r="A2031" t="s">
        <v>6639</v>
      </c>
      <c r="B2031">
        <v>2</v>
      </c>
      <c r="C2031">
        <v>40</v>
      </c>
      <c r="D2031">
        <v>20</v>
      </c>
    </row>
    <row r="2032" spans="1:4" ht="15" x14ac:dyDescent="0.25">
      <c r="A2032" t="s">
        <v>6640</v>
      </c>
      <c r="B2032">
        <v>1</v>
      </c>
      <c r="C2032">
        <v>0</v>
      </c>
      <c r="D2032">
        <v>0</v>
      </c>
    </row>
    <row r="2033" spans="1:4" ht="15" x14ac:dyDescent="0.25">
      <c r="A2033" t="s">
        <v>6645</v>
      </c>
      <c r="B2033">
        <v>1</v>
      </c>
      <c r="C2033">
        <v>28</v>
      </c>
      <c r="D2033">
        <v>28</v>
      </c>
    </row>
    <row r="2034" spans="1:4" ht="15" x14ac:dyDescent="0.25">
      <c r="A2034" t="s">
        <v>6646</v>
      </c>
      <c r="B2034">
        <v>3</v>
      </c>
      <c r="C2034">
        <v>136</v>
      </c>
      <c r="D2034">
        <v>45.333333333333336</v>
      </c>
    </row>
    <row r="2035" spans="1:4" ht="15" x14ac:dyDescent="0.25">
      <c r="A2035" t="s">
        <v>6651</v>
      </c>
      <c r="B2035">
        <v>1</v>
      </c>
      <c r="C2035">
        <v>46</v>
      </c>
      <c r="D2035">
        <v>46</v>
      </c>
    </row>
    <row r="2036" spans="1:4" ht="15" x14ac:dyDescent="0.25">
      <c r="A2036" t="s">
        <v>6650</v>
      </c>
      <c r="B2036">
        <v>1</v>
      </c>
      <c r="C2036">
        <v>46</v>
      </c>
      <c r="D2036">
        <v>46</v>
      </c>
    </row>
    <row r="2037" spans="1:4" ht="15" x14ac:dyDescent="0.25">
      <c r="A2037" t="s">
        <v>6655</v>
      </c>
      <c r="B2037">
        <v>1</v>
      </c>
      <c r="C2037">
        <v>22</v>
      </c>
      <c r="D2037">
        <v>22</v>
      </c>
    </row>
    <row r="2038" spans="1:4" ht="15" x14ac:dyDescent="0.25">
      <c r="A2038" t="s">
        <v>6657</v>
      </c>
      <c r="B2038">
        <v>1</v>
      </c>
      <c r="C2038">
        <v>22</v>
      </c>
      <c r="D2038">
        <v>22</v>
      </c>
    </row>
    <row r="2039" spans="1:4" ht="15" x14ac:dyDescent="0.25">
      <c r="A2039" t="s">
        <v>6656</v>
      </c>
      <c r="B2039">
        <v>1</v>
      </c>
      <c r="C2039">
        <v>22</v>
      </c>
      <c r="D2039">
        <v>22</v>
      </c>
    </row>
    <row r="2040" spans="1:4" ht="15" x14ac:dyDescent="0.25">
      <c r="A2040" t="s">
        <v>6661</v>
      </c>
      <c r="B2040">
        <v>1</v>
      </c>
      <c r="C2040">
        <v>42</v>
      </c>
      <c r="D2040">
        <v>42</v>
      </c>
    </row>
    <row r="2041" spans="1:4" ht="15" x14ac:dyDescent="0.25">
      <c r="A2041" t="s">
        <v>6663</v>
      </c>
      <c r="B2041">
        <v>2</v>
      </c>
      <c r="C2041">
        <v>63</v>
      </c>
      <c r="D2041">
        <v>31.5</v>
      </c>
    </row>
    <row r="2042" spans="1:4" ht="15" x14ac:dyDescent="0.25">
      <c r="A2042" t="s">
        <v>6662</v>
      </c>
      <c r="B2042">
        <v>1</v>
      </c>
      <c r="C2042">
        <v>42</v>
      </c>
      <c r="D2042">
        <v>42</v>
      </c>
    </row>
    <row r="2043" spans="1:4" ht="15" x14ac:dyDescent="0.25">
      <c r="A2043" t="s">
        <v>6669</v>
      </c>
      <c r="B2043">
        <v>2</v>
      </c>
      <c r="C2043">
        <v>69</v>
      </c>
      <c r="D2043">
        <v>34.5</v>
      </c>
    </row>
    <row r="2044" spans="1:4" ht="15" x14ac:dyDescent="0.25">
      <c r="A2044" t="s">
        <v>6670</v>
      </c>
      <c r="B2044">
        <v>1</v>
      </c>
      <c r="C2044">
        <v>31</v>
      </c>
      <c r="D2044">
        <v>31</v>
      </c>
    </row>
    <row r="2045" spans="1:4" ht="15" x14ac:dyDescent="0.25">
      <c r="A2045" t="s">
        <v>6672</v>
      </c>
      <c r="B2045">
        <v>3</v>
      </c>
      <c r="C2045">
        <v>69</v>
      </c>
      <c r="D2045">
        <v>23</v>
      </c>
    </row>
    <row r="2046" spans="1:4" ht="15" x14ac:dyDescent="0.25">
      <c r="A2046" t="s">
        <v>6671</v>
      </c>
      <c r="B2046">
        <v>1</v>
      </c>
      <c r="C2046">
        <v>31</v>
      </c>
      <c r="D2046">
        <v>31</v>
      </c>
    </row>
    <row r="2047" spans="1:4" ht="15" x14ac:dyDescent="0.25">
      <c r="A2047" t="s">
        <v>6676</v>
      </c>
      <c r="B2047">
        <v>1</v>
      </c>
      <c r="C2047">
        <v>5</v>
      </c>
      <c r="D2047">
        <v>5</v>
      </c>
    </row>
    <row r="2048" spans="1:4" ht="15" x14ac:dyDescent="0.25">
      <c r="A2048" t="s">
        <v>6677</v>
      </c>
      <c r="B2048">
        <v>2</v>
      </c>
      <c r="C2048">
        <v>11</v>
      </c>
      <c r="D2048">
        <v>5.5</v>
      </c>
    </row>
    <row r="2049" spans="1:4" ht="15" x14ac:dyDescent="0.25">
      <c r="A2049" t="s">
        <v>6678</v>
      </c>
      <c r="B2049">
        <v>13</v>
      </c>
      <c r="C2049">
        <v>490</v>
      </c>
      <c r="D2049">
        <v>37.692307692307693</v>
      </c>
    </row>
    <row r="2050" spans="1:4" ht="15" x14ac:dyDescent="0.25">
      <c r="A2050" t="s">
        <v>6691</v>
      </c>
      <c r="B2050">
        <v>1</v>
      </c>
      <c r="C2050">
        <v>28</v>
      </c>
      <c r="D2050">
        <v>28</v>
      </c>
    </row>
    <row r="2051" spans="1:4" ht="15" x14ac:dyDescent="0.25">
      <c r="A2051" t="s">
        <v>6692</v>
      </c>
      <c r="B2051">
        <v>1</v>
      </c>
      <c r="C2051">
        <v>28</v>
      </c>
      <c r="D2051">
        <v>28</v>
      </c>
    </row>
    <row r="2052" spans="1:4" ht="15" x14ac:dyDescent="0.25">
      <c r="A2052" t="s">
        <v>6693</v>
      </c>
      <c r="B2052">
        <v>1</v>
      </c>
      <c r="C2052">
        <v>28</v>
      </c>
      <c r="D2052">
        <v>28</v>
      </c>
    </row>
    <row r="2053" spans="1:4" ht="15" x14ac:dyDescent="0.25">
      <c r="A2053" t="s">
        <v>6698</v>
      </c>
      <c r="B2053">
        <v>5</v>
      </c>
      <c r="C2053">
        <v>164</v>
      </c>
      <c r="D2053">
        <v>32.799999999999997</v>
      </c>
    </row>
    <row r="2054" spans="1:4" ht="15" x14ac:dyDescent="0.25">
      <c r="A2054" t="s">
        <v>6699</v>
      </c>
      <c r="B2054">
        <v>1</v>
      </c>
      <c r="C2054">
        <v>25</v>
      </c>
      <c r="D2054">
        <v>25</v>
      </c>
    </row>
    <row r="2055" spans="1:4" ht="15" x14ac:dyDescent="0.25">
      <c r="A2055" t="s">
        <v>6700</v>
      </c>
      <c r="B2055">
        <v>1</v>
      </c>
      <c r="C2055">
        <v>25</v>
      </c>
      <c r="D2055">
        <v>25</v>
      </c>
    </row>
    <row r="2056" spans="1:4" ht="15" x14ac:dyDescent="0.25">
      <c r="A2056" t="s">
        <v>6704</v>
      </c>
      <c r="B2056">
        <v>1</v>
      </c>
      <c r="C2056">
        <v>49</v>
      </c>
      <c r="D2056">
        <v>49</v>
      </c>
    </row>
    <row r="2057" spans="1:4" ht="15" x14ac:dyDescent="0.25">
      <c r="A2057" t="s">
        <v>6706</v>
      </c>
      <c r="B2057">
        <v>11</v>
      </c>
      <c r="C2057">
        <v>604</v>
      </c>
      <c r="D2057">
        <v>54.909090909090907</v>
      </c>
    </row>
    <row r="2058" spans="1:4" ht="15" x14ac:dyDescent="0.25">
      <c r="A2058" t="s">
        <v>6705</v>
      </c>
      <c r="B2058">
        <v>1</v>
      </c>
      <c r="C2058">
        <v>49</v>
      </c>
      <c r="D2058">
        <v>49</v>
      </c>
    </row>
    <row r="2059" spans="1:4" ht="15" x14ac:dyDescent="0.25">
      <c r="A2059" t="s">
        <v>6711</v>
      </c>
      <c r="B2059">
        <v>1</v>
      </c>
      <c r="C2059">
        <v>39</v>
      </c>
      <c r="D2059">
        <v>39</v>
      </c>
    </row>
    <row r="2060" spans="1:4" ht="15" x14ac:dyDescent="0.25">
      <c r="A2060" t="s">
        <v>6712</v>
      </c>
      <c r="B2060">
        <v>1</v>
      </c>
      <c r="C2060">
        <v>39</v>
      </c>
      <c r="D2060">
        <v>39</v>
      </c>
    </row>
    <row r="2061" spans="1:4" ht="15" x14ac:dyDescent="0.25">
      <c r="A2061" t="s">
        <v>6717</v>
      </c>
      <c r="B2061">
        <v>1</v>
      </c>
      <c r="C2061">
        <v>83</v>
      </c>
      <c r="D2061">
        <v>83</v>
      </c>
    </row>
    <row r="2062" spans="1:4" ht="15" x14ac:dyDescent="0.25">
      <c r="A2062" t="s">
        <v>6719</v>
      </c>
      <c r="B2062">
        <v>7</v>
      </c>
      <c r="C2062">
        <v>298</v>
      </c>
      <c r="D2062">
        <v>42.571428571428569</v>
      </c>
    </row>
    <row r="2063" spans="1:4" ht="15" x14ac:dyDescent="0.25">
      <c r="A2063" t="s">
        <v>6720</v>
      </c>
      <c r="B2063">
        <v>2</v>
      </c>
      <c r="C2063">
        <v>98</v>
      </c>
      <c r="D2063">
        <v>49</v>
      </c>
    </row>
    <row r="2064" spans="1:4" ht="15" x14ac:dyDescent="0.25">
      <c r="A2064" t="s">
        <v>6718</v>
      </c>
      <c r="B2064">
        <v>1</v>
      </c>
      <c r="C2064">
        <v>83</v>
      </c>
      <c r="D2064">
        <v>83</v>
      </c>
    </row>
    <row r="2065" spans="1:4" ht="15" x14ac:dyDescent="0.25">
      <c r="A2065" t="s">
        <v>6724</v>
      </c>
      <c r="B2065">
        <v>11</v>
      </c>
      <c r="C2065">
        <v>1494</v>
      </c>
      <c r="D2065">
        <v>135.81818181818181</v>
      </c>
    </row>
    <row r="2066" spans="1:4" ht="15" x14ac:dyDescent="0.25">
      <c r="A2066" t="s">
        <v>6725</v>
      </c>
      <c r="B2066">
        <v>1</v>
      </c>
      <c r="C2066">
        <v>17</v>
      </c>
      <c r="D2066">
        <v>17</v>
      </c>
    </row>
    <row r="2067" spans="1:4" ht="15" x14ac:dyDescent="0.25">
      <c r="A2067" t="s">
        <v>6730</v>
      </c>
      <c r="B2067">
        <v>1</v>
      </c>
      <c r="C2067">
        <v>58</v>
      </c>
      <c r="D2067">
        <v>58</v>
      </c>
    </row>
    <row r="2068" spans="1:4" ht="15" x14ac:dyDescent="0.25">
      <c r="A2068" t="s">
        <v>6731</v>
      </c>
      <c r="B2068">
        <v>1</v>
      </c>
      <c r="C2068">
        <v>58</v>
      </c>
      <c r="D2068">
        <v>58</v>
      </c>
    </row>
    <row r="2069" spans="1:4" ht="15" x14ac:dyDescent="0.25">
      <c r="A2069" t="s">
        <v>6733</v>
      </c>
      <c r="B2069">
        <v>6</v>
      </c>
      <c r="C2069">
        <v>422</v>
      </c>
      <c r="D2069">
        <v>70.333333333333329</v>
      </c>
    </row>
    <row r="2070" spans="1:4" ht="15" x14ac:dyDescent="0.25">
      <c r="A2070" t="s">
        <v>6734</v>
      </c>
      <c r="B2070">
        <v>1</v>
      </c>
      <c r="C2070">
        <v>58</v>
      </c>
      <c r="D2070">
        <v>58</v>
      </c>
    </row>
    <row r="2071" spans="1:4" ht="15" x14ac:dyDescent="0.25">
      <c r="A2071" t="s">
        <v>6732</v>
      </c>
      <c r="B2071">
        <v>1</v>
      </c>
      <c r="C2071">
        <v>58</v>
      </c>
      <c r="D2071">
        <v>58</v>
      </c>
    </row>
    <row r="2072" spans="1:4" ht="15" x14ac:dyDescent="0.25">
      <c r="A2072" t="s">
        <v>6738</v>
      </c>
      <c r="B2072">
        <v>1</v>
      </c>
      <c r="C2072">
        <v>31</v>
      </c>
      <c r="D2072">
        <v>31</v>
      </c>
    </row>
    <row r="2073" spans="1:4" ht="15" x14ac:dyDescent="0.25">
      <c r="A2073" t="s">
        <v>6740</v>
      </c>
      <c r="B2073">
        <v>1</v>
      </c>
      <c r="C2073">
        <v>31</v>
      </c>
      <c r="D2073">
        <v>31</v>
      </c>
    </row>
    <row r="2074" spans="1:4" ht="15" x14ac:dyDescent="0.25">
      <c r="A2074" t="s">
        <v>6741</v>
      </c>
      <c r="B2074">
        <v>1</v>
      </c>
      <c r="C2074">
        <v>31</v>
      </c>
      <c r="D2074">
        <v>31</v>
      </c>
    </row>
    <row r="2075" spans="1:4" ht="15" x14ac:dyDescent="0.25">
      <c r="A2075" t="s">
        <v>6739</v>
      </c>
      <c r="B2075">
        <v>2</v>
      </c>
      <c r="C2075">
        <v>81</v>
      </c>
      <c r="D2075">
        <v>40.5</v>
      </c>
    </row>
    <row r="2076" spans="1:4" ht="15" x14ac:dyDescent="0.25">
      <c r="A2076" t="s">
        <v>6746</v>
      </c>
      <c r="B2076">
        <v>20</v>
      </c>
      <c r="C2076">
        <v>2295</v>
      </c>
      <c r="D2076">
        <v>114.75</v>
      </c>
    </row>
    <row r="2077" spans="1:4" ht="15" x14ac:dyDescent="0.25">
      <c r="A2077" t="s">
        <v>6748</v>
      </c>
      <c r="B2077">
        <v>1</v>
      </c>
      <c r="C2077">
        <v>51</v>
      </c>
      <c r="D2077">
        <v>51</v>
      </c>
    </row>
    <row r="2078" spans="1:4" ht="15" x14ac:dyDescent="0.25">
      <c r="A2078" t="s">
        <v>6747</v>
      </c>
      <c r="B2078">
        <v>6</v>
      </c>
      <c r="C2078">
        <v>197</v>
      </c>
      <c r="D2078">
        <v>32.833333333333336</v>
      </c>
    </row>
    <row r="2079" spans="1:4" ht="15" x14ac:dyDescent="0.25">
      <c r="A2079" t="s">
        <v>6752</v>
      </c>
      <c r="B2079">
        <v>2</v>
      </c>
      <c r="C2079">
        <v>23</v>
      </c>
      <c r="D2079">
        <v>11.5</v>
      </c>
    </row>
    <row r="2080" spans="1:4" ht="15" x14ac:dyDescent="0.25">
      <c r="A2080" t="s">
        <v>6753</v>
      </c>
      <c r="B2080">
        <v>1</v>
      </c>
      <c r="C2080">
        <v>14</v>
      </c>
      <c r="D2080">
        <v>14</v>
      </c>
    </row>
    <row r="2081" spans="1:4" ht="15" x14ac:dyDescent="0.25">
      <c r="A2081" t="s">
        <v>6755</v>
      </c>
      <c r="B2081">
        <v>1</v>
      </c>
      <c r="C2081">
        <v>14</v>
      </c>
      <c r="D2081">
        <v>14</v>
      </c>
    </row>
    <row r="2082" spans="1:4" ht="15" x14ac:dyDescent="0.25">
      <c r="A2082" t="s">
        <v>6756</v>
      </c>
      <c r="B2082">
        <v>1</v>
      </c>
      <c r="C2082">
        <v>14</v>
      </c>
      <c r="D2082">
        <v>14</v>
      </c>
    </row>
    <row r="2083" spans="1:4" ht="15" x14ac:dyDescent="0.25">
      <c r="A2083" t="s">
        <v>6754</v>
      </c>
      <c r="B2083">
        <v>1</v>
      </c>
      <c r="C2083">
        <v>14</v>
      </c>
      <c r="D2083">
        <v>14</v>
      </c>
    </row>
    <row r="2084" spans="1:4" ht="15" x14ac:dyDescent="0.25">
      <c r="A2084" t="s">
        <v>6761</v>
      </c>
      <c r="B2084">
        <v>10</v>
      </c>
      <c r="C2084">
        <v>184</v>
      </c>
      <c r="D2084">
        <v>18.399999999999999</v>
      </c>
    </row>
    <row r="2085" spans="1:4" ht="15" x14ac:dyDescent="0.25">
      <c r="A2085" t="s">
        <v>6760</v>
      </c>
      <c r="B2085">
        <v>17</v>
      </c>
      <c r="C2085">
        <v>905</v>
      </c>
      <c r="D2085">
        <v>53.235294117647058</v>
      </c>
    </row>
    <row r="2086" spans="1:4" ht="15" x14ac:dyDescent="0.25">
      <c r="A2086" t="s">
        <v>6765</v>
      </c>
      <c r="B2086">
        <v>1</v>
      </c>
      <c r="C2086">
        <v>31</v>
      </c>
      <c r="D2086">
        <v>31</v>
      </c>
    </row>
    <row r="2087" spans="1:4" ht="15" x14ac:dyDescent="0.25">
      <c r="A2087" t="s">
        <v>6766</v>
      </c>
      <c r="B2087">
        <v>1</v>
      </c>
      <c r="C2087">
        <v>31</v>
      </c>
      <c r="D2087">
        <v>31</v>
      </c>
    </row>
    <row r="2088" spans="1:4" ht="15" x14ac:dyDescent="0.25">
      <c r="A2088" t="s">
        <v>6768</v>
      </c>
      <c r="B2088">
        <v>1</v>
      </c>
      <c r="C2088">
        <v>31</v>
      </c>
      <c r="D2088">
        <v>31</v>
      </c>
    </row>
    <row r="2089" spans="1:4" ht="15" x14ac:dyDescent="0.25">
      <c r="A2089" t="s">
        <v>6769</v>
      </c>
      <c r="B2089">
        <v>1</v>
      </c>
      <c r="C2089">
        <v>31</v>
      </c>
      <c r="D2089">
        <v>31</v>
      </c>
    </row>
    <row r="2090" spans="1:4" ht="15" x14ac:dyDescent="0.25">
      <c r="A2090" t="s">
        <v>6767</v>
      </c>
      <c r="B2090">
        <v>1</v>
      </c>
      <c r="C2090">
        <v>31</v>
      </c>
      <c r="D2090">
        <v>31</v>
      </c>
    </row>
    <row r="2091" spans="1:4" ht="15" x14ac:dyDescent="0.25">
      <c r="A2091" t="s">
        <v>6772</v>
      </c>
      <c r="B2091">
        <v>7</v>
      </c>
      <c r="C2091">
        <v>182</v>
      </c>
      <c r="D2091">
        <v>26</v>
      </c>
    </row>
    <row r="2092" spans="1:4" ht="15" x14ac:dyDescent="0.25">
      <c r="A2092" t="s">
        <v>6773</v>
      </c>
      <c r="B2092">
        <v>3</v>
      </c>
      <c r="C2092">
        <v>99</v>
      </c>
      <c r="D2092">
        <v>33</v>
      </c>
    </row>
    <row r="2093" spans="1:4" ht="15" x14ac:dyDescent="0.25">
      <c r="A2093" t="s">
        <v>6775</v>
      </c>
      <c r="B2093">
        <v>8</v>
      </c>
      <c r="C2093">
        <v>214</v>
      </c>
      <c r="D2093">
        <v>26.75</v>
      </c>
    </row>
    <row r="2094" spans="1:4" ht="15" x14ac:dyDescent="0.25">
      <c r="A2094" t="s">
        <v>6774</v>
      </c>
      <c r="B2094">
        <v>5</v>
      </c>
      <c r="C2094">
        <v>128</v>
      </c>
      <c r="D2094">
        <v>25.6</v>
      </c>
    </row>
    <row r="2095" spans="1:4" ht="15" x14ac:dyDescent="0.25">
      <c r="A2095" t="s">
        <v>6778</v>
      </c>
      <c r="B2095">
        <v>2</v>
      </c>
      <c r="C2095">
        <v>106</v>
      </c>
      <c r="D2095">
        <v>53</v>
      </c>
    </row>
    <row r="2096" spans="1:4" ht="15" x14ac:dyDescent="0.25">
      <c r="A2096" t="s">
        <v>6779</v>
      </c>
      <c r="B2096">
        <v>11</v>
      </c>
      <c r="C2096">
        <v>629</v>
      </c>
      <c r="D2096">
        <v>57.18181818181818</v>
      </c>
    </row>
    <row r="2097" spans="1:4" ht="15" x14ac:dyDescent="0.25">
      <c r="A2097" t="s">
        <v>6783</v>
      </c>
      <c r="B2097">
        <v>1</v>
      </c>
      <c r="C2097">
        <v>0</v>
      </c>
      <c r="D2097">
        <v>0</v>
      </c>
    </row>
    <row r="2098" spans="1:4" ht="15" x14ac:dyDescent="0.25">
      <c r="A2098" t="s">
        <v>6785</v>
      </c>
      <c r="B2098">
        <v>1</v>
      </c>
      <c r="C2098">
        <v>0</v>
      </c>
      <c r="D2098">
        <v>0</v>
      </c>
    </row>
    <row r="2099" spans="1:4" ht="15" x14ac:dyDescent="0.25">
      <c r="A2099" t="s">
        <v>6786</v>
      </c>
      <c r="B2099">
        <v>1</v>
      </c>
      <c r="C2099">
        <v>0</v>
      </c>
      <c r="D2099">
        <v>0</v>
      </c>
    </row>
    <row r="2100" spans="1:4" ht="15" x14ac:dyDescent="0.25">
      <c r="A2100" t="s">
        <v>6784</v>
      </c>
      <c r="B2100">
        <v>1</v>
      </c>
      <c r="C2100">
        <v>0</v>
      </c>
      <c r="D2100">
        <v>0</v>
      </c>
    </row>
    <row r="2101" spans="1:4" ht="15" x14ac:dyDescent="0.25">
      <c r="A2101" t="s">
        <v>6790</v>
      </c>
      <c r="B2101">
        <v>19</v>
      </c>
      <c r="C2101">
        <v>2482</v>
      </c>
      <c r="D2101">
        <v>130.63157894736841</v>
      </c>
    </row>
    <row r="2102" spans="1:4" ht="15" x14ac:dyDescent="0.25">
      <c r="A2102" t="s">
        <v>6789</v>
      </c>
      <c r="B2102">
        <v>15</v>
      </c>
      <c r="C2102">
        <v>1948</v>
      </c>
      <c r="D2102">
        <v>129.86666666666667</v>
      </c>
    </row>
    <row r="2103" spans="1:4" ht="15" x14ac:dyDescent="0.25">
      <c r="A2103" t="s">
        <v>6795</v>
      </c>
      <c r="B2103">
        <v>1</v>
      </c>
      <c r="C2103">
        <v>2</v>
      </c>
      <c r="D2103">
        <v>2</v>
      </c>
    </row>
    <row r="2104" spans="1:4" ht="15" x14ac:dyDescent="0.25">
      <c r="A2104" t="s">
        <v>6801</v>
      </c>
      <c r="B2104">
        <v>1</v>
      </c>
      <c r="C2104">
        <v>36</v>
      </c>
      <c r="D2104">
        <v>36</v>
      </c>
    </row>
    <row r="2105" spans="1:4" ht="15" x14ac:dyDescent="0.25">
      <c r="A2105" t="s">
        <v>6802</v>
      </c>
      <c r="B2105">
        <v>3</v>
      </c>
      <c r="C2105">
        <v>121</v>
      </c>
      <c r="D2105">
        <v>40.333333333333336</v>
      </c>
    </row>
    <row r="2106" spans="1:4" ht="15" x14ac:dyDescent="0.25">
      <c r="A2106" t="s">
        <v>6803</v>
      </c>
      <c r="B2106">
        <v>1</v>
      </c>
      <c r="C2106">
        <v>36</v>
      </c>
      <c r="D2106">
        <v>36</v>
      </c>
    </row>
    <row r="2107" spans="1:4" ht="15" x14ac:dyDescent="0.25">
      <c r="A2107" t="s">
        <v>6806</v>
      </c>
      <c r="B2107">
        <v>17</v>
      </c>
      <c r="C2107">
        <v>1482</v>
      </c>
      <c r="D2107">
        <v>87.17647058823529</v>
      </c>
    </row>
    <row r="2108" spans="1:4" ht="15" x14ac:dyDescent="0.25">
      <c r="A2108" t="s">
        <v>6809</v>
      </c>
      <c r="B2108">
        <v>2</v>
      </c>
      <c r="C2108">
        <v>1880</v>
      </c>
      <c r="D2108">
        <v>940</v>
      </c>
    </row>
    <row r="2109" spans="1:4" ht="15" x14ac:dyDescent="0.25">
      <c r="A2109" t="s">
        <v>6810</v>
      </c>
      <c r="B2109">
        <v>2</v>
      </c>
      <c r="C2109">
        <v>2693</v>
      </c>
      <c r="D2109">
        <v>1346.5</v>
      </c>
    </row>
    <row r="2110" spans="1:4" ht="15" x14ac:dyDescent="0.25">
      <c r="A2110" t="s">
        <v>6812</v>
      </c>
      <c r="B2110">
        <v>1</v>
      </c>
      <c r="C2110">
        <v>942</v>
      </c>
      <c r="D2110">
        <v>942</v>
      </c>
    </row>
    <row r="2111" spans="1:4" ht="15" x14ac:dyDescent="0.25">
      <c r="A2111" t="s">
        <v>6811</v>
      </c>
      <c r="B2111">
        <v>3</v>
      </c>
      <c r="C2111">
        <v>6088</v>
      </c>
      <c r="D2111">
        <v>2029.3333333333333</v>
      </c>
    </row>
    <row r="2112" spans="1:4" ht="15" x14ac:dyDescent="0.25">
      <c r="A2112" t="s">
        <v>6816</v>
      </c>
      <c r="B2112">
        <v>1</v>
      </c>
      <c r="C2112">
        <v>83</v>
      </c>
      <c r="D2112">
        <v>83</v>
      </c>
    </row>
    <row r="2113" spans="1:4" ht="15" x14ac:dyDescent="0.25">
      <c r="A2113" t="s">
        <v>6818</v>
      </c>
      <c r="B2113">
        <v>1</v>
      </c>
      <c r="C2113">
        <v>83</v>
      </c>
      <c r="D2113">
        <v>83</v>
      </c>
    </row>
    <row r="2114" spans="1:4" ht="15" x14ac:dyDescent="0.25">
      <c r="A2114" t="s">
        <v>6817</v>
      </c>
      <c r="B2114">
        <v>2</v>
      </c>
      <c r="C2114">
        <v>116</v>
      </c>
      <c r="D2114">
        <v>58</v>
      </c>
    </row>
    <row r="2115" spans="1:4" ht="15" x14ac:dyDescent="0.25">
      <c r="A2115" t="s">
        <v>6822</v>
      </c>
      <c r="B2115">
        <v>1</v>
      </c>
      <c r="C2115">
        <v>1209</v>
      </c>
      <c r="D2115">
        <v>1209</v>
      </c>
    </row>
    <row r="2116" spans="1:4" ht="15" x14ac:dyDescent="0.25">
      <c r="A2116" t="s">
        <v>6824</v>
      </c>
      <c r="B2116">
        <v>4</v>
      </c>
      <c r="C2116">
        <v>4629</v>
      </c>
      <c r="D2116">
        <v>1157.25</v>
      </c>
    </row>
    <row r="2117" spans="1:4" ht="15" x14ac:dyDescent="0.25">
      <c r="A2117" t="s">
        <v>6825</v>
      </c>
      <c r="B2117">
        <v>4</v>
      </c>
      <c r="C2117">
        <v>4189</v>
      </c>
      <c r="D2117">
        <v>1047.25</v>
      </c>
    </row>
    <row r="2118" spans="1:4" ht="15" x14ac:dyDescent="0.25">
      <c r="A2118" t="s">
        <v>6823</v>
      </c>
      <c r="B2118">
        <v>2</v>
      </c>
      <c r="C2118">
        <v>2141</v>
      </c>
      <c r="D2118">
        <v>1070.5</v>
      </c>
    </row>
    <row r="2119" spans="1:4" ht="15" x14ac:dyDescent="0.25">
      <c r="A2119" t="s">
        <v>6829</v>
      </c>
      <c r="B2119">
        <v>4</v>
      </c>
      <c r="C2119">
        <v>3235</v>
      </c>
      <c r="D2119">
        <v>808.75</v>
      </c>
    </row>
    <row r="2120" spans="1:4" ht="15" x14ac:dyDescent="0.25">
      <c r="A2120" t="s">
        <v>6830</v>
      </c>
      <c r="B2120">
        <v>6</v>
      </c>
      <c r="C2120">
        <v>3851</v>
      </c>
      <c r="D2120">
        <v>641.83333333333337</v>
      </c>
    </row>
    <row r="2121" spans="1:4" ht="15" x14ac:dyDescent="0.25">
      <c r="A2121" t="s">
        <v>6834</v>
      </c>
      <c r="B2121">
        <v>1</v>
      </c>
      <c r="C2121">
        <v>24</v>
      </c>
      <c r="D2121">
        <v>24</v>
      </c>
    </row>
    <row r="2122" spans="1:4" ht="15" x14ac:dyDescent="0.25">
      <c r="A2122" t="s">
        <v>6835</v>
      </c>
      <c r="B2122">
        <v>18</v>
      </c>
      <c r="C2122">
        <v>683</v>
      </c>
      <c r="D2122">
        <v>37.944444444444443</v>
      </c>
    </row>
    <row r="2123" spans="1:4" ht="15" x14ac:dyDescent="0.25">
      <c r="A2123" t="s">
        <v>6837</v>
      </c>
      <c r="B2123">
        <v>1</v>
      </c>
      <c r="C2123">
        <v>24</v>
      </c>
      <c r="D2123">
        <v>24</v>
      </c>
    </row>
    <row r="2124" spans="1:4" ht="15" x14ac:dyDescent="0.25">
      <c r="A2124" t="s">
        <v>6836</v>
      </c>
      <c r="B2124">
        <v>1</v>
      </c>
      <c r="C2124">
        <v>24</v>
      </c>
      <c r="D2124">
        <v>24</v>
      </c>
    </row>
    <row r="2125" spans="1:4" ht="15" x14ac:dyDescent="0.25">
      <c r="A2125" t="s">
        <v>6843</v>
      </c>
      <c r="B2125">
        <v>24</v>
      </c>
      <c r="C2125">
        <v>1029</v>
      </c>
      <c r="D2125">
        <v>42.875</v>
      </c>
    </row>
    <row r="2126" spans="1:4" ht="15" x14ac:dyDescent="0.25">
      <c r="A2126" t="s">
        <v>6844</v>
      </c>
      <c r="B2126">
        <v>1</v>
      </c>
      <c r="C2126">
        <v>43</v>
      </c>
      <c r="D2126">
        <v>43</v>
      </c>
    </row>
    <row r="2127" spans="1:4" ht="15" x14ac:dyDescent="0.25">
      <c r="A2127" t="s">
        <v>6845</v>
      </c>
      <c r="B2127">
        <v>1</v>
      </c>
      <c r="C2127">
        <v>43</v>
      </c>
      <c r="D2127">
        <v>43</v>
      </c>
    </row>
    <row r="2128" spans="1:4" ht="15" x14ac:dyDescent="0.25">
      <c r="A2128" t="s">
        <v>6846</v>
      </c>
      <c r="B2128">
        <v>3</v>
      </c>
      <c r="C2128">
        <v>89</v>
      </c>
      <c r="D2128">
        <v>29.666666666666668</v>
      </c>
    </row>
    <row r="2129" spans="1:4" ht="15" x14ac:dyDescent="0.25">
      <c r="A2129" t="s">
        <v>6852</v>
      </c>
      <c r="B2129">
        <v>1</v>
      </c>
      <c r="C2129">
        <v>41</v>
      </c>
      <c r="D2129">
        <v>41</v>
      </c>
    </row>
    <row r="2130" spans="1:4" ht="15" x14ac:dyDescent="0.25">
      <c r="A2130" t="s">
        <v>6851</v>
      </c>
      <c r="B2130">
        <v>1</v>
      </c>
      <c r="C2130">
        <v>41</v>
      </c>
      <c r="D2130">
        <v>41</v>
      </c>
    </row>
    <row r="2131" spans="1:4" ht="15" x14ac:dyDescent="0.25">
      <c r="A2131" t="s">
        <v>6857</v>
      </c>
      <c r="B2131">
        <v>1</v>
      </c>
      <c r="C2131">
        <v>17</v>
      </c>
      <c r="D2131">
        <v>17</v>
      </c>
    </row>
    <row r="2132" spans="1:4" ht="15" x14ac:dyDescent="0.25">
      <c r="A2132" t="s">
        <v>6858</v>
      </c>
      <c r="B2132">
        <v>1</v>
      </c>
      <c r="C2132">
        <v>17</v>
      </c>
      <c r="D2132">
        <v>17</v>
      </c>
    </row>
    <row r="2133" spans="1:4" ht="15" x14ac:dyDescent="0.25">
      <c r="A2133" t="s">
        <v>6860</v>
      </c>
      <c r="B2133">
        <v>2</v>
      </c>
      <c r="C2133">
        <v>56</v>
      </c>
      <c r="D2133">
        <v>28</v>
      </c>
    </row>
    <row r="2134" spans="1:4" ht="15" x14ac:dyDescent="0.25">
      <c r="A2134" t="s">
        <v>6859</v>
      </c>
      <c r="B2134">
        <v>1</v>
      </c>
      <c r="C2134">
        <v>17</v>
      </c>
      <c r="D2134">
        <v>17</v>
      </c>
    </row>
    <row r="2135" spans="1:4" ht="15" x14ac:dyDescent="0.25">
      <c r="A2135" t="s">
        <v>6864</v>
      </c>
      <c r="B2135">
        <v>11</v>
      </c>
      <c r="C2135">
        <v>672</v>
      </c>
      <c r="D2135">
        <v>61.090909090909093</v>
      </c>
    </row>
    <row r="2136" spans="1:4" ht="15" x14ac:dyDescent="0.25">
      <c r="A2136" t="s">
        <v>6865</v>
      </c>
      <c r="B2136">
        <v>8</v>
      </c>
      <c r="C2136">
        <v>222</v>
      </c>
      <c r="D2136">
        <v>27.75</v>
      </c>
    </row>
    <row r="2137" spans="1:4" ht="15" x14ac:dyDescent="0.25">
      <c r="A2137" t="s">
        <v>6870</v>
      </c>
      <c r="B2137">
        <v>1</v>
      </c>
      <c r="C2137">
        <v>10</v>
      </c>
      <c r="D2137">
        <v>10</v>
      </c>
    </row>
    <row r="2138" spans="1:4" ht="15" x14ac:dyDescent="0.25">
      <c r="A2138" t="s">
        <v>6871</v>
      </c>
      <c r="B2138">
        <v>1</v>
      </c>
      <c r="C2138">
        <v>10</v>
      </c>
      <c r="D2138">
        <v>10</v>
      </c>
    </row>
    <row r="2139" spans="1:4" ht="15" x14ac:dyDescent="0.25">
      <c r="A2139" t="s">
        <v>6873</v>
      </c>
      <c r="B2139">
        <v>1</v>
      </c>
      <c r="C2139">
        <v>10</v>
      </c>
      <c r="D2139">
        <v>10</v>
      </c>
    </row>
    <row r="2140" spans="1:4" ht="15" x14ac:dyDescent="0.25">
      <c r="A2140" t="s">
        <v>6872</v>
      </c>
      <c r="B2140">
        <v>1</v>
      </c>
      <c r="C2140">
        <v>10</v>
      </c>
      <c r="D2140">
        <v>10</v>
      </c>
    </row>
    <row r="2141" spans="1:4" ht="15" x14ac:dyDescent="0.25">
      <c r="A2141" t="s">
        <v>6877</v>
      </c>
      <c r="B2141">
        <v>6</v>
      </c>
      <c r="C2141">
        <v>57</v>
      </c>
      <c r="D2141">
        <v>9.5</v>
      </c>
    </row>
    <row r="2142" spans="1:4" ht="15" x14ac:dyDescent="0.25">
      <c r="A2142" t="s">
        <v>6878</v>
      </c>
      <c r="B2142">
        <v>1</v>
      </c>
      <c r="C2142">
        <v>4</v>
      </c>
      <c r="D2142">
        <v>4</v>
      </c>
    </row>
    <row r="2143" spans="1:4" ht="15" x14ac:dyDescent="0.25">
      <c r="A2143" t="s">
        <v>6882</v>
      </c>
      <c r="B2143">
        <v>5</v>
      </c>
      <c r="C2143">
        <v>466</v>
      </c>
      <c r="D2143">
        <v>93.2</v>
      </c>
    </row>
    <row r="2144" spans="1:4" ht="15" x14ac:dyDescent="0.25">
      <c r="A2144" t="s">
        <v>6883</v>
      </c>
      <c r="B2144">
        <v>1</v>
      </c>
      <c r="C2144">
        <v>335</v>
      </c>
      <c r="D2144">
        <v>335</v>
      </c>
    </row>
    <row r="2145" spans="1:4" ht="15" x14ac:dyDescent="0.25">
      <c r="A2145" t="s">
        <v>6887</v>
      </c>
      <c r="B2145">
        <v>2</v>
      </c>
      <c r="C2145">
        <v>25</v>
      </c>
      <c r="D2145">
        <v>12.5</v>
      </c>
    </row>
    <row r="2146" spans="1:4" ht="15" x14ac:dyDescent="0.25">
      <c r="A2146" t="s">
        <v>6888</v>
      </c>
      <c r="B2146">
        <v>1</v>
      </c>
      <c r="C2146">
        <v>10</v>
      </c>
      <c r="D2146">
        <v>10</v>
      </c>
    </row>
    <row r="2147" spans="1:4" ht="15" x14ac:dyDescent="0.25">
      <c r="A2147" t="s">
        <v>6890</v>
      </c>
      <c r="B2147">
        <v>2</v>
      </c>
      <c r="C2147">
        <v>24</v>
      </c>
      <c r="D2147">
        <v>12</v>
      </c>
    </row>
    <row r="2148" spans="1:4" ht="15" x14ac:dyDescent="0.25">
      <c r="A2148" t="s">
        <v>6889</v>
      </c>
      <c r="B2148">
        <v>1</v>
      </c>
      <c r="C2148">
        <v>10</v>
      </c>
      <c r="D2148">
        <v>10</v>
      </c>
    </row>
    <row r="2149" spans="1:4" ht="15" x14ac:dyDescent="0.25">
      <c r="A2149" t="s">
        <v>6894</v>
      </c>
      <c r="B2149">
        <v>1</v>
      </c>
      <c r="C2149">
        <v>18</v>
      </c>
      <c r="D2149">
        <v>18</v>
      </c>
    </row>
    <row r="2150" spans="1:4" ht="15" x14ac:dyDescent="0.25">
      <c r="A2150" t="s">
        <v>6895</v>
      </c>
      <c r="B2150">
        <v>2</v>
      </c>
      <c r="C2150">
        <v>45</v>
      </c>
      <c r="D2150">
        <v>22.5</v>
      </c>
    </row>
    <row r="2151" spans="1:4" ht="15" x14ac:dyDescent="0.25">
      <c r="A2151" t="s">
        <v>6897</v>
      </c>
      <c r="B2151">
        <v>1</v>
      </c>
      <c r="C2151">
        <v>18</v>
      </c>
      <c r="D2151">
        <v>18</v>
      </c>
    </row>
    <row r="2152" spans="1:4" ht="15" x14ac:dyDescent="0.25">
      <c r="A2152" t="s">
        <v>6898</v>
      </c>
      <c r="B2152">
        <v>5</v>
      </c>
      <c r="C2152">
        <v>1044</v>
      </c>
      <c r="D2152">
        <v>208.8</v>
      </c>
    </row>
    <row r="2153" spans="1:4" ht="15" x14ac:dyDescent="0.25">
      <c r="A2153" t="s">
        <v>6896</v>
      </c>
      <c r="B2153">
        <v>1</v>
      </c>
      <c r="C2153">
        <v>18</v>
      </c>
      <c r="D2153">
        <v>18</v>
      </c>
    </row>
    <row r="2154" spans="1:4" ht="15" x14ac:dyDescent="0.25">
      <c r="A2154" t="s">
        <v>6905</v>
      </c>
      <c r="B2154">
        <v>2</v>
      </c>
      <c r="C2154">
        <v>25</v>
      </c>
      <c r="D2154">
        <v>12.5</v>
      </c>
    </row>
    <row r="2155" spans="1:4" ht="15" x14ac:dyDescent="0.25">
      <c r="A2155" t="s">
        <v>6906</v>
      </c>
      <c r="B2155">
        <v>1</v>
      </c>
      <c r="C2155">
        <v>9</v>
      </c>
      <c r="D2155">
        <v>9</v>
      </c>
    </row>
    <row r="2156" spans="1:4" ht="15" x14ac:dyDescent="0.25">
      <c r="A2156" t="s">
        <v>6911</v>
      </c>
      <c r="B2156">
        <v>1</v>
      </c>
      <c r="C2156">
        <v>138</v>
      </c>
      <c r="D2156">
        <v>138</v>
      </c>
    </row>
    <row r="2157" spans="1:4" ht="15" x14ac:dyDescent="0.25">
      <c r="A2157" t="s">
        <v>6915</v>
      </c>
      <c r="B2157">
        <v>1</v>
      </c>
      <c r="C2157">
        <v>40</v>
      </c>
      <c r="D2157">
        <v>40</v>
      </c>
    </row>
    <row r="2158" spans="1:4" ht="15" x14ac:dyDescent="0.25">
      <c r="A2158" t="s">
        <v>6916</v>
      </c>
      <c r="B2158">
        <v>3</v>
      </c>
      <c r="C2158">
        <v>77</v>
      </c>
      <c r="D2158">
        <v>25.666666666666668</v>
      </c>
    </row>
    <row r="2159" spans="1:4" ht="15" x14ac:dyDescent="0.25">
      <c r="A2159" t="s">
        <v>6917</v>
      </c>
      <c r="B2159">
        <v>1</v>
      </c>
      <c r="C2159">
        <v>40</v>
      </c>
      <c r="D2159">
        <v>40</v>
      </c>
    </row>
    <row r="2160" spans="1:4" ht="15" x14ac:dyDescent="0.25">
      <c r="A2160" t="s">
        <v>6921</v>
      </c>
      <c r="B2160">
        <v>1</v>
      </c>
      <c r="C2160">
        <v>3</v>
      </c>
      <c r="D2160">
        <v>3</v>
      </c>
    </row>
    <row r="2161" spans="1:4" ht="15" x14ac:dyDescent="0.25">
      <c r="A2161" t="s">
        <v>6922</v>
      </c>
      <c r="B2161">
        <v>16</v>
      </c>
      <c r="C2161">
        <v>716</v>
      </c>
      <c r="D2161">
        <v>44.75</v>
      </c>
    </row>
    <row r="2162" spans="1:4" ht="15" x14ac:dyDescent="0.25">
      <c r="A2162" t="s">
        <v>6925</v>
      </c>
      <c r="B2162">
        <v>5</v>
      </c>
      <c r="C2162">
        <v>164</v>
      </c>
      <c r="D2162">
        <v>32.799999999999997</v>
      </c>
    </row>
    <row r="2163" spans="1:4" ht="15" x14ac:dyDescent="0.25">
      <c r="A2163" t="s">
        <v>6926</v>
      </c>
      <c r="B2163">
        <v>2</v>
      </c>
      <c r="C2163">
        <v>68</v>
      </c>
      <c r="D2163">
        <v>34</v>
      </c>
    </row>
    <row r="2164" spans="1:4" ht="15" x14ac:dyDescent="0.25">
      <c r="A2164" t="s">
        <v>6928</v>
      </c>
      <c r="B2164">
        <v>2</v>
      </c>
      <c r="C2164">
        <v>68</v>
      </c>
      <c r="D2164">
        <v>34</v>
      </c>
    </row>
    <row r="2165" spans="1:4" ht="15" x14ac:dyDescent="0.25">
      <c r="A2165" t="s">
        <v>6929</v>
      </c>
      <c r="B2165">
        <v>3</v>
      </c>
      <c r="C2165">
        <v>108</v>
      </c>
      <c r="D2165">
        <v>36</v>
      </c>
    </row>
    <row r="2166" spans="1:4" ht="15" x14ac:dyDescent="0.25">
      <c r="A2166" t="s">
        <v>6927</v>
      </c>
      <c r="B2166">
        <v>2</v>
      </c>
      <c r="C2166">
        <v>68</v>
      </c>
      <c r="D2166">
        <v>34</v>
      </c>
    </row>
    <row r="2167" spans="1:4" ht="15" x14ac:dyDescent="0.25">
      <c r="A2167" t="s">
        <v>6934</v>
      </c>
      <c r="B2167">
        <v>1</v>
      </c>
      <c r="C2167">
        <v>87</v>
      </c>
      <c r="D2167">
        <v>87</v>
      </c>
    </row>
    <row r="2168" spans="1:4" ht="15" x14ac:dyDescent="0.25">
      <c r="A2168" t="s">
        <v>6935</v>
      </c>
      <c r="B2168">
        <v>1</v>
      </c>
      <c r="C2168">
        <v>87</v>
      </c>
      <c r="D2168">
        <v>87</v>
      </c>
    </row>
    <row r="2169" spans="1:4" ht="15" x14ac:dyDescent="0.25">
      <c r="A2169" t="s">
        <v>6941</v>
      </c>
      <c r="B2169">
        <v>1</v>
      </c>
      <c r="C2169">
        <v>22</v>
      </c>
      <c r="D2169">
        <v>22</v>
      </c>
    </row>
    <row r="2170" spans="1:4" ht="15" x14ac:dyDescent="0.25">
      <c r="A2170" t="s">
        <v>6942</v>
      </c>
      <c r="B2170">
        <v>1</v>
      </c>
      <c r="C2170">
        <v>22</v>
      </c>
      <c r="D2170">
        <v>22</v>
      </c>
    </row>
    <row r="2171" spans="1:4" ht="15" x14ac:dyDescent="0.25">
      <c r="A2171" t="s">
        <v>6944</v>
      </c>
      <c r="B2171">
        <v>1</v>
      </c>
      <c r="C2171">
        <v>22</v>
      </c>
      <c r="D2171">
        <v>22</v>
      </c>
    </row>
    <row r="2172" spans="1:4" ht="15" x14ac:dyDescent="0.25">
      <c r="A2172" t="s">
        <v>6945</v>
      </c>
      <c r="B2172">
        <v>1</v>
      </c>
      <c r="C2172">
        <v>22</v>
      </c>
      <c r="D2172">
        <v>22</v>
      </c>
    </row>
    <row r="2173" spans="1:4" ht="15" x14ac:dyDescent="0.25">
      <c r="A2173" t="s">
        <v>6943</v>
      </c>
      <c r="B2173">
        <v>1</v>
      </c>
      <c r="C2173">
        <v>22</v>
      </c>
      <c r="D2173">
        <v>22</v>
      </c>
    </row>
    <row r="2174" spans="1:4" ht="15" x14ac:dyDescent="0.25">
      <c r="A2174" t="s">
        <v>6951</v>
      </c>
      <c r="B2174">
        <v>1</v>
      </c>
      <c r="C2174">
        <v>37</v>
      </c>
      <c r="D2174">
        <v>37</v>
      </c>
    </row>
    <row r="2175" spans="1:4" ht="15" x14ac:dyDescent="0.25">
      <c r="A2175" t="s">
        <v>6952</v>
      </c>
      <c r="B2175">
        <v>1</v>
      </c>
      <c r="C2175">
        <v>37</v>
      </c>
      <c r="D2175">
        <v>37</v>
      </c>
    </row>
    <row r="2176" spans="1:4" ht="15" x14ac:dyDescent="0.25">
      <c r="A2176" t="s">
        <v>6956</v>
      </c>
      <c r="B2176">
        <v>1</v>
      </c>
      <c r="C2176">
        <v>28</v>
      </c>
      <c r="D2176">
        <v>28</v>
      </c>
    </row>
    <row r="2177" spans="1:4" ht="15" x14ac:dyDescent="0.25">
      <c r="A2177" t="s">
        <v>6958</v>
      </c>
      <c r="B2177">
        <v>1</v>
      </c>
      <c r="C2177">
        <v>28</v>
      </c>
      <c r="D2177">
        <v>28</v>
      </c>
    </row>
    <row r="2178" spans="1:4" ht="15" x14ac:dyDescent="0.25">
      <c r="A2178" t="s">
        <v>6957</v>
      </c>
      <c r="B2178">
        <v>6</v>
      </c>
      <c r="C2178">
        <v>170</v>
      </c>
      <c r="D2178">
        <v>28.333333333333332</v>
      </c>
    </row>
    <row r="2179" spans="1:4" ht="15" x14ac:dyDescent="0.25">
      <c r="A2179" t="s">
        <v>6961</v>
      </c>
      <c r="B2179">
        <v>1</v>
      </c>
      <c r="C2179">
        <v>47</v>
      </c>
      <c r="D2179">
        <v>47</v>
      </c>
    </row>
    <row r="2180" spans="1:4" ht="15" x14ac:dyDescent="0.25">
      <c r="A2180" t="s">
        <v>6962</v>
      </c>
      <c r="B2180">
        <v>2</v>
      </c>
      <c r="C2180">
        <v>83</v>
      </c>
      <c r="D2180">
        <v>41.5</v>
      </c>
    </row>
    <row r="2181" spans="1:4" ht="15" x14ac:dyDescent="0.25">
      <c r="A2181" t="s">
        <v>6967</v>
      </c>
      <c r="B2181">
        <v>1</v>
      </c>
      <c r="C2181">
        <v>42</v>
      </c>
      <c r="D2181">
        <v>42</v>
      </c>
    </row>
    <row r="2182" spans="1:4" ht="15" x14ac:dyDescent="0.25">
      <c r="A2182" t="s">
        <v>6966</v>
      </c>
      <c r="B2182">
        <v>1</v>
      </c>
      <c r="C2182">
        <v>42</v>
      </c>
      <c r="D2182">
        <v>42</v>
      </c>
    </row>
    <row r="2183" spans="1:4" ht="15" x14ac:dyDescent="0.25">
      <c r="A2183" t="s">
        <v>6971</v>
      </c>
      <c r="B2183">
        <v>1</v>
      </c>
      <c r="C2183">
        <v>89</v>
      </c>
      <c r="D2183">
        <v>89</v>
      </c>
    </row>
    <row r="2184" spans="1:4" ht="15" x14ac:dyDescent="0.25">
      <c r="A2184" t="s">
        <v>6972</v>
      </c>
      <c r="B2184">
        <v>2</v>
      </c>
      <c r="C2184">
        <v>123</v>
      </c>
      <c r="D2184">
        <v>61.5</v>
      </c>
    </row>
    <row r="2185" spans="1:4" ht="15" x14ac:dyDescent="0.25">
      <c r="A2185" t="s">
        <v>6973</v>
      </c>
      <c r="B2185">
        <v>1</v>
      </c>
      <c r="C2185">
        <v>89</v>
      </c>
      <c r="D2185">
        <v>89</v>
      </c>
    </row>
    <row r="2186" spans="1:4" ht="15" x14ac:dyDescent="0.25">
      <c r="A2186" t="s">
        <v>6974</v>
      </c>
      <c r="B2186">
        <v>2</v>
      </c>
      <c r="C2186">
        <v>111</v>
      </c>
      <c r="D2186">
        <v>55.5</v>
      </c>
    </row>
    <row r="2187" spans="1:4" ht="15" x14ac:dyDescent="0.25">
      <c r="A2187" t="s">
        <v>6977</v>
      </c>
      <c r="B2187">
        <v>4</v>
      </c>
      <c r="C2187">
        <v>71</v>
      </c>
      <c r="D2187">
        <v>17.75</v>
      </c>
    </row>
    <row r="2188" spans="1:4" ht="15" x14ac:dyDescent="0.25">
      <c r="A2188" t="s">
        <v>6978</v>
      </c>
      <c r="B2188">
        <v>3</v>
      </c>
      <c r="C2188">
        <v>43</v>
      </c>
      <c r="D2188">
        <v>14.333333333333334</v>
      </c>
    </row>
    <row r="2189" spans="1:4" ht="15" x14ac:dyDescent="0.25">
      <c r="A2189" t="s">
        <v>6982</v>
      </c>
      <c r="B2189">
        <v>5</v>
      </c>
      <c r="C2189">
        <v>197</v>
      </c>
      <c r="D2189">
        <v>39.4</v>
      </c>
    </row>
    <row r="2190" spans="1:4" ht="15" x14ac:dyDescent="0.25">
      <c r="A2190" t="s">
        <v>6983</v>
      </c>
      <c r="B2190">
        <v>1</v>
      </c>
      <c r="C2190">
        <v>74</v>
      </c>
      <c r="D2190">
        <v>74</v>
      </c>
    </row>
    <row r="2191" spans="1:4" ht="15" x14ac:dyDescent="0.25">
      <c r="A2191" t="s">
        <v>6987</v>
      </c>
      <c r="B2191">
        <v>1</v>
      </c>
      <c r="C2191">
        <v>41</v>
      </c>
      <c r="D2191">
        <v>41</v>
      </c>
    </row>
    <row r="2192" spans="1:4" ht="15" x14ac:dyDescent="0.25">
      <c r="A2192" t="s">
        <v>6989</v>
      </c>
      <c r="B2192">
        <v>1</v>
      </c>
      <c r="C2192">
        <v>41</v>
      </c>
      <c r="D2192">
        <v>41</v>
      </c>
    </row>
    <row r="2193" spans="1:4" ht="15" x14ac:dyDescent="0.25">
      <c r="A2193" t="s">
        <v>6988</v>
      </c>
      <c r="B2193">
        <v>1</v>
      </c>
      <c r="C2193">
        <v>41</v>
      </c>
      <c r="D2193">
        <v>41</v>
      </c>
    </row>
    <row r="2194" spans="1:4" ht="15" x14ac:dyDescent="0.25">
      <c r="A2194" t="s">
        <v>6992</v>
      </c>
      <c r="B2194">
        <v>8</v>
      </c>
      <c r="C2194">
        <v>333</v>
      </c>
      <c r="D2194">
        <v>41.625</v>
      </c>
    </row>
    <row r="2195" spans="1:4" ht="15" x14ac:dyDescent="0.25">
      <c r="A2195" t="s">
        <v>6994</v>
      </c>
      <c r="B2195">
        <v>8</v>
      </c>
      <c r="C2195">
        <v>316</v>
      </c>
      <c r="D2195">
        <v>39.5</v>
      </c>
    </row>
    <row r="2196" spans="1:4" ht="15" x14ac:dyDescent="0.25">
      <c r="A2196" t="s">
        <v>6993</v>
      </c>
      <c r="B2196">
        <v>7</v>
      </c>
      <c r="C2196">
        <v>304</v>
      </c>
      <c r="D2196">
        <v>43.428571428571431</v>
      </c>
    </row>
    <row r="2197" spans="1:4" ht="15" x14ac:dyDescent="0.25">
      <c r="A2197" t="s">
        <v>6999</v>
      </c>
      <c r="B2197">
        <v>1</v>
      </c>
      <c r="C2197">
        <v>1555</v>
      </c>
      <c r="D2197">
        <v>1555</v>
      </c>
    </row>
    <row r="2198" spans="1:4" ht="15" x14ac:dyDescent="0.25">
      <c r="A2198" t="s">
        <v>7001</v>
      </c>
      <c r="B2198">
        <v>4</v>
      </c>
      <c r="C2198">
        <v>1823</v>
      </c>
      <c r="D2198">
        <v>455.75</v>
      </c>
    </row>
    <row r="2199" spans="1:4" ht="15" x14ac:dyDescent="0.25">
      <c r="A2199" t="s">
        <v>7002</v>
      </c>
      <c r="B2199">
        <v>2</v>
      </c>
      <c r="C2199">
        <v>1879</v>
      </c>
      <c r="D2199">
        <v>939.5</v>
      </c>
    </row>
    <row r="2200" spans="1:4" ht="15" x14ac:dyDescent="0.25">
      <c r="A2200" t="s">
        <v>7000</v>
      </c>
      <c r="B2200">
        <v>1</v>
      </c>
      <c r="C2200">
        <v>1555</v>
      </c>
      <c r="D2200">
        <v>1555</v>
      </c>
    </row>
    <row r="2201" spans="1:4" ht="15" x14ac:dyDescent="0.25">
      <c r="A2201" t="s">
        <v>7006</v>
      </c>
      <c r="B2201">
        <v>1</v>
      </c>
      <c r="C2201">
        <v>738</v>
      </c>
      <c r="D2201">
        <v>738</v>
      </c>
    </row>
    <row r="2202" spans="1:4" ht="15" x14ac:dyDescent="0.25">
      <c r="A2202" t="s">
        <v>7007</v>
      </c>
      <c r="B2202">
        <v>6</v>
      </c>
      <c r="C2202">
        <v>5887</v>
      </c>
      <c r="D2202">
        <v>981.16666666666663</v>
      </c>
    </row>
    <row r="2203" spans="1:4" ht="15" x14ac:dyDescent="0.25">
      <c r="A2203" t="s">
        <v>7009</v>
      </c>
      <c r="B2203">
        <v>1</v>
      </c>
      <c r="C2203">
        <v>738</v>
      </c>
      <c r="D2203">
        <v>738</v>
      </c>
    </row>
    <row r="2204" spans="1:4" ht="15" x14ac:dyDescent="0.25">
      <c r="A2204" t="s">
        <v>7008</v>
      </c>
      <c r="B2204">
        <v>1</v>
      </c>
      <c r="C2204">
        <v>738</v>
      </c>
      <c r="D2204">
        <v>738</v>
      </c>
    </row>
    <row r="2205" spans="1:4" ht="15" x14ac:dyDescent="0.25">
      <c r="A2205" t="s">
        <v>7013</v>
      </c>
      <c r="B2205">
        <v>1</v>
      </c>
      <c r="C2205">
        <v>45</v>
      </c>
      <c r="D2205">
        <v>45</v>
      </c>
    </row>
    <row r="2206" spans="1:4" ht="15" x14ac:dyDescent="0.25">
      <c r="A2206" t="s">
        <v>7015</v>
      </c>
      <c r="B2206">
        <v>5</v>
      </c>
      <c r="C2206">
        <v>1536</v>
      </c>
      <c r="D2206">
        <v>307.2</v>
      </c>
    </row>
    <row r="2207" spans="1:4" ht="15" x14ac:dyDescent="0.25">
      <c r="A2207" t="s">
        <v>7016</v>
      </c>
      <c r="B2207">
        <v>1</v>
      </c>
      <c r="C2207">
        <v>45</v>
      </c>
      <c r="D2207">
        <v>45</v>
      </c>
    </row>
    <row r="2208" spans="1:4" ht="15" x14ac:dyDescent="0.25">
      <c r="A2208" t="s">
        <v>7014</v>
      </c>
      <c r="B2208">
        <v>3</v>
      </c>
      <c r="C2208">
        <v>101</v>
      </c>
      <c r="D2208">
        <v>33.666666666666664</v>
      </c>
    </row>
    <row r="2209" spans="1:4" ht="15" x14ac:dyDescent="0.25">
      <c r="A2209" t="s">
        <v>7019</v>
      </c>
      <c r="B2209">
        <v>1</v>
      </c>
      <c r="C2209">
        <v>9</v>
      </c>
      <c r="D2209">
        <v>9</v>
      </c>
    </row>
    <row r="2210" spans="1:4" ht="15" x14ac:dyDescent="0.25">
      <c r="A2210" t="s">
        <v>7020</v>
      </c>
      <c r="B2210">
        <v>1</v>
      </c>
      <c r="C2210">
        <v>9</v>
      </c>
      <c r="D2210">
        <v>9</v>
      </c>
    </row>
    <row r="2211" spans="1:4" ht="15" x14ac:dyDescent="0.25">
      <c r="A2211" t="s">
        <v>7021</v>
      </c>
      <c r="B2211">
        <v>1</v>
      </c>
      <c r="C2211">
        <v>9</v>
      </c>
      <c r="D2211">
        <v>9</v>
      </c>
    </row>
    <row r="2212" spans="1:4" ht="15" x14ac:dyDescent="0.25">
      <c r="A2212" t="s">
        <v>7025</v>
      </c>
      <c r="B2212">
        <v>1</v>
      </c>
      <c r="C2212">
        <v>18</v>
      </c>
      <c r="D2212">
        <v>18</v>
      </c>
    </row>
    <row r="2213" spans="1:4" ht="15" x14ac:dyDescent="0.25">
      <c r="A2213" t="s">
        <v>7027</v>
      </c>
      <c r="B2213">
        <v>1</v>
      </c>
      <c r="C2213">
        <v>18</v>
      </c>
      <c r="D2213">
        <v>18</v>
      </c>
    </row>
    <row r="2214" spans="1:4" ht="15" x14ac:dyDescent="0.25">
      <c r="A2214" t="s">
        <v>7028</v>
      </c>
      <c r="B2214">
        <v>1</v>
      </c>
      <c r="C2214">
        <v>18</v>
      </c>
      <c r="D2214">
        <v>18</v>
      </c>
    </row>
    <row r="2215" spans="1:4" ht="15" x14ac:dyDescent="0.25">
      <c r="A2215" t="s">
        <v>7026</v>
      </c>
      <c r="B2215">
        <v>2</v>
      </c>
      <c r="C2215">
        <v>43</v>
      </c>
      <c r="D2215">
        <v>21.5</v>
      </c>
    </row>
    <row r="2216" spans="1:4" ht="15" x14ac:dyDescent="0.25">
      <c r="A2216" t="s">
        <v>7032</v>
      </c>
      <c r="B2216">
        <v>1</v>
      </c>
      <c r="C2216">
        <v>80</v>
      </c>
      <c r="D2216">
        <v>80</v>
      </c>
    </row>
    <row r="2217" spans="1:4" ht="15" x14ac:dyDescent="0.25">
      <c r="A2217" t="s">
        <v>7033</v>
      </c>
      <c r="B2217">
        <v>2</v>
      </c>
      <c r="C2217">
        <v>98</v>
      </c>
      <c r="D2217">
        <v>49</v>
      </c>
    </row>
    <row r="2218" spans="1:4" ht="15" x14ac:dyDescent="0.25">
      <c r="A2218" t="s">
        <v>7035</v>
      </c>
      <c r="B2218">
        <v>1</v>
      </c>
      <c r="C2218">
        <v>80</v>
      </c>
      <c r="D2218">
        <v>80</v>
      </c>
    </row>
    <row r="2219" spans="1:4" ht="15" x14ac:dyDescent="0.25">
      <c r="A2219" t="s">
        <v>7036</v>
      </c>
      <c r="B2219">
        <v>5</v>
      </c>
      <c r="C2219">
        <v>289</v>
      </c>
      <c r="D2219">
        <v>57.8</v>
      </c>
    </row>
    <row r="2220" spans="1:4" ht="15" x14ac:dyDescent="0.25">
      <c r="A2220" t="s">
        <v>7034</v>
      </c>
      <c r="B2220">
        <v>1</v>
      </c>
      <c r="C2220">
        <v>80</v>
      </c>
      <c r="D2220">
        <v>80</v>
      </c>
    </row>
    <row r="2221" spans="1:4" ht="15" x14ac:dyDescent="0.25">
      <c r="A2221" t="s">
        <v>7040</v>
      </c>
      <c r="B2221">
        <v>5</v>
      </c>
      <c r="C2221">
        <v>255</v>
      </c>
      <c r="D2221">
        <v>51</v>
      </c>
    </row>
    <row r="2222" spans="1:4" ht="15" x14ac:dyDescent="0.25">
      <c r="A2222" t="s">
        <v>7041</v>
      </c>
      <c r="B2222">
        <v>2</v>
      </c>
      <c r="C2222">
        <v>126</v>
      </c>
      <c r="D2222">
        <v>63</v>
      </c>
    </row>
    <row r="2223" spans="1:4" ht="15" x14ac:dyDescent="0.25">
      <c r="A2223" t="s">
        <v>7039</v>
      </c>
      <c r="B2223">
        <v>7</v>
      </c>
      <c r="C2223">
        <v>290</v>
      </c>
      <c r="D2223">
        <v>41.428571428571431</v>
      </c>
    </row>
    <row r="2224" spans="1:4" ht="15" x14ac:dyDescent="0.25">
      <c r="A2224" t="s">
        <v>7049</v>
      </c>
      <c r="B2224">
        <v>1</v>
      </c>
      <c r="C2224">
        <v>86</v>
      </c>
      <c r="D2224">
        <v>86</v>
      </c>
    </row>
    <row r="2225" spans="1:4" ht="15" x14ac:dyDescent="0.25">
      <c r="A2225" t="s">
        <v>7051</v>
      </c>
      <c r="B2225">
        <v>1</v>
      </c>
      <c r="C2225">
        <v>86</v>
      </c>
      <c r="D2225">
        <v>86</v>
      </c>
    </row>
    <row r="2226" spans="1:4" ht="15" x14ac:dyDescent="0.25">
      <c r="A2226" t="s">
        <v>7052</v>
      </c>
      <c r="B2226">
        <v>1</v>
      </c>
      <c r="C2226">
        <v>86</v>
      </c>
      <c r="D2226">
        <v>86</v>
      </c>
    </row>
    <row r="2227" spans="1:4" ht="15" x14ac:dyDescent="0.25">
      <c r="A2227" t="s">
        <v>7050</v>
      </c>
      <c r="B2227">
        <v>1</v>
      </c>
      <c r="C2227">
        <v>86</v>
      </c>
      <c r="D2227">
        <v>86</v>
      </c>
    </row>
    <row r="2228" spans="1:4" ht="15" x14ac:dyDescent="0.25">
      <c r="A2228" t="s">
        <v>7056</v>
      </c>
      <c r="B2228">
        <v>1</v>
      </c>
      <c r="C2228">
        <v>9</v>
      </c>
      <c r="D2228">
        <v>9</v>
      </c>
    </row>
    <row r="2229" spans="1:4" ht="15" x14ac:dyDescent="0.25">
      <c r="A2229" t="s">
        <v>7057</v>
      </c>
      <c r="B2229">
        <v>1</v>
      </c>
      <c r="C2229">
        <v>9</v>
      </c>
      <c r="D2229">
        <v>9</v>
      </c>
    </row>
    <row r="2230" spans="1:4" ht="15" x14ac:dyDescent="0.25">
      <c r="A2230" t="s">
        <v>7058</v>
      </c>
      <c r="B2230">
        <v>1</v>
      </c>
      <c r="C2230">
        <v>9</v>
      </c>
      <c r="D2230">
        <v>9</v>
      </c>
    </row>
    <row r="2231" spans="1:4" ht="15" x14ac:dyDescent="0.25">
      <c r="A2231" t="s">
        <v>7062</v>
      </c>
      <c r="B2231">
        <v>1</v>
      </c>
      <c r="C2231">
        <v>42</v>
      </c>
      <c r="D2231">
        <v>42</v>
      </c>
    </row>
    <row r="2232" spans="1:4" ht="15" x14ac:dyDescent="0.25">
      <c r="A2232" t="s">
        <v>7064</v>
      </c>
      <c r="B2232">
        <v>2</v>
      </c>
      <c r="C2232">
        <v>83</v>
      </c>
      <c r="D2232">
        <v>41.5</v>
      </c>
    </row>
    <row r="2233" spans="1:4" ht="15" x14ac:dyDescent="0.25">
      <c r="A2233" t="s">
        <v>7063</v>
      </c>
      <c r="B2233">
        <v>1</v>
      </c>
      <c r="C2233">
        <v>42</v>
      </c>
      <c r="D2233">
        <v>42</v>
      </c>
    </row>
    <row r="2234" spans="1:4" ht="15" x14ac:dyDescent="0.25">
      <c r="A2234" t="s">
        <v>7068</v>
      </c>
      <c r="B2234">
        <v>2</v>
      </c>
      <c r="C2234">
        <v>41</v>
      </c>
      <c r="D2234">
        <v>20.5</v>
      </c>
    </row>
    <row r="2235" spans="1:4" ht="15" x14ac:dyDescent="0.25">
      <c r="A2235" t="s">
        <v>7069</v>
      </c>
      <c r="B2235">
        <v>2</v>
      </c>
      <c r="C2235">
        <v>51</v>
      </c>
      <c r="D2235">
        <v>25.5</v>
      </c>
    </row>
    <row r="2236" spans="1:4" ht="15" x14ac:dyDescent="0.25">
      <c r="A2236" t="s">
        <v>7070</v>
      </c>
      <c r="B2236">
        <v>1</v>
      </c>
      <c r="C2236">
        <v>15</v>
      </c>
      <c r="D2236">
        <v>15</v>
      </c>
    </row>
    <row r="2237" spans="1:4" ht="15" x14ac:dyDescent="0.25">
      <c r="A2237" t="s">
        <v>7074</v>
      </c>
      <c r="B2237">
        <v>1</v>
      </c>
      <c r="C2237">
        <v>21</v>
      </c>
      <c r="D2237">
        <v>21</v>
      </c>
    </row>
    <row r="2238" spans="1:4" ht="15" x14ac:dyDescent="0.25">
      <c r="A2238" t="s">
        <v>7075</v>
      </c>
      <c r="B2238">
        <v>1</v>
      </c>
      <c r="C2238">
        <v>21</v>
      </c>
      <c r="D2238">
        <v>21</v>
      </c>
    </row>
    <row r="2239" spans="1:4" ht="15" x14ac:dyDescent="0.25">
      <c r="A2239" t="s">
        <v>7080</v>
      </c>
      <c r="B2239">
        <v>1</v>
      </c>
      <c r="C2239">
        <v>61</v>
      </c>
      <c r="D2239">
        <v>61</v>
      </c>
    </row>
    <row r="2240" spans="1:4" ht="15" x14ac:dyDescent="0.25">
      <c r="A2240" t="s">
        <v>7081</v>
      </c>
      <c r="B2240">
        <v>1</v>
      </c>
      <c r="C2240">
        <v>61</v>
      </c>
      <c r="D2240">
        <v>61</v>
      </c>
    </row>
    <row r="2241" spans="1:4" ht="15" x14ac:dyDescent="0.25">
      <c r="A2241" t="s">
        <v>7083</v>
      </c>
      <c r="B2241">
        <v>1</v>
      </c>
      <c r="C2241">
        <v>61</v>
      </c>
      <c r="D2241">
        <v>61</v>
      </c>
    </row>
    <row r="2242" spans="1:4" ht="15" x14ac:dyDescent="0.25">
      <c r="A2242" t="s">
        <v>7082</v>
      </c>
      <c r="B2242">
        <v>1</v>
      </c>
      <c r="C2242">
        <v>61</v>
      </c>
      <c r="D2242">
        <v>61</v>
      </c>
    </row>
    <row r="2243" spans="1:4" ht="15" x14ac:dyDescent="0.25">
      <c r="A2243" t="s">
        <v>7086</v>
      </c>
      <c r="B2243">
        <v>1</v>
      </c>
      <c r="C2243">
        <v>55</v>
      </c>
      <c r="D2243">
        <v>55</v>
      </c>
    </row>
    <row r="2244" spans="1:4" ht="15" x14ac:dyDescent="0.25">
      <c r="A2244" t="s">
        <v>7087</v>
      </c>
      <c r="B2244">
        <v>2</v>
      </c>
      <c r="C2244">
        <v>116</v>
      </c>
      <c r="D2244">
        <v>58</v>
      </c>
    </row>
    <row r="2245" spans="1:4" ht="15" x14ac:dyDescent="0.25">
      <c r="A2245" t="s">
        <v>7093</v>
      </c>
      <c r="B2245">
        <v>1</v>
      </c>
      <c r="C2245">
        <v>12</v>
      </c>
      <c r="D2245">
        <v>12</v>
      </c>
    </row>
    <row r="2246" spans="1:4" ht="15" x14ac:dyDescent="0.25">
      <c r="A2246" t="s">
        <v>7094</v>
      </c>
      <c r="B2246">
        <v>1</v>
      </c>
      <c r="C2246">
        <v>12</v>
      </c>
      <c r="D2246">
        <v>12</v>
      </c>
    </row>
    <row r="2247" spans="1:4" ht="15" x14ac:dyDescent="0.25">
      <c r="A2247" t="s">
        <v>7098</v>
      </c>
      <c r="B2247">
        <v>4</v>
      </c>
      <c r="C2247">
        <v>304</v>
      </c>
      <c r="D2247">
        <v>76</v>
      </c>
    </row>
    <row r="2248" spans="1:4" ht="15" x14ac:dyDescent="0.25">
      <c r="A2248" t="s">
        <v>7102</v>
      </c>
      <c r="B2248">
        <v>4</v>
      </c>
      <c r="C2248">
        <v>181</v>
      </c>
      <c r="D2248">
        <v>45.25</v>
      </c>
    </row>
    <row r="2249" spans="1:4" ht="15" x14ac:dyDescent="0.25">
      <c r="A2249" t="s">
        <v>7103</v>
      </c>
      <c r="B2249">
        <v>3</v>
      </c>
      <c r="C2249">
        <v>168</v>
      </c>
      <c r="D2249">
        <v>56</v>
      </c>
    </row>
    <row r="2250" spans="1:4" ht="15" x14ac:dyDescent="0.25">
      <c r="A2250" t="s">
        <v>7105</v>
      </c>
      <c r="B2250">
        <v>1</v>
      </c>
      <c r="C2250">
        <v>54</v>
      </c>
      <c r="D2250">
        <v>54</v>
      </c>
    </row>
    <row r="2251" spans="1:4" ht="15" x14ac:dyDescent="0.25">
      <c r="A2251" t="s">
        <v>7106</v>
      </c>
      <c r="B2251">
        <v>1</v>
      </c>
      <c r="C2251">
        <v>54</v>
      </c>
      <c r="D2251">
        <v>54</v>
      </c>
    </row>
    <row r="2252" spans="1:4" ht="15" x14ac:dyDescent="0.25">
      <c r="A2252" t="s">
        <v>7104</v>
      </c>
      <c r="B2252">
        <v>1</v>
      </c>
      <c r="C2252">
        <v>54</v>
      </c>
      <c r="D2252">
        <v>54</v>
      </c>
    </row>
    <row r="2253" spans="1:4" ht="15" x14ac:dyDescent="0.25">
      <c r="A2253" t="s">
        <v>7111</v>
      </c>
      <c r="B2253">
        <v>1</v>
      </c>
      <c r="C2253">
        <v>87</v>
      </c>
      <c r="D2253">
        <v>87</v>
      </c>
    </row>
    <row r="2254" spans="1:4" ht="15" x14ac:dyDescent="0.25">
      <c r="A2254" t="s">
        <v>7112</v>
      </c>
      <c r="B2254">
        <v>2</v>
      </c>
      <c r="C2254">
        <v>161</v>
      </c>
      <c r="D2254">
        <v>80.5</v>
      </c>
    </row>
    <row r="2255" spans="1:4" ht="15" x14ac:dyDescent="0.25">
      <c r="A2255" t="s">
        <v>7116</v>
      </c>
      <c r="B2255">
        <v>1</v>
      </c>
      <c r="C2255">
        <v>65</v>
      </c>
      <c r="D2255">
        <v>65</v>
      </c>
    </row>
    <row r="2256" spans="1:4" ht="15" x14ac:dyDescent="0.25">
      <c r="A2256" t="s">
        <v>7119</v>
      </c>
      <c r="B2256">
        <v>8</v>
      </c>
      <c r="C2256">
        <v>288</v>
      </c>
      <c r="D2256">
        <v>36</v>
      </c>
    </row>
    <row r="2257" spans="1:4" ht="15" x14ac:dyDescent="0.25">
      <c r="A2257" t="s">
        <v>7120</v>
      </c>
      <c r="B2257">
        <v>7</v>
      </c>
      <c r="C2257">
        <v>262</v>
      </c>
      <c r="D2257">
        <v>37.428571428571431</v>
      </c>
    </row>
    <row r="2258" spans="1:4" ht="15" x14ac:dyDescent="0.25">
      <c r="A2258" t="s">
        <v>7124</v>
      </c>
      <c r="B2258">
        <v>1</v>
      </c>
      <c r="C2258">
        <v>32</v>
      </c>
      <c r="D2258">
        <v>32</v>
      </c>
    </row>
    <row r="2259" spans="1:4" ht="15" x14ac:dyDescent="0.25">
      <c r="A2259" t="s">
        <v>7125</v>
      </c>
      <c r="B2259">
        <v>2</v>
      </c>
      <c r="C2259">
        <v>43</v>
      </c>
      <c r="D2259">
        <v>21.5</v>
      </c>
    </row>
    <row r="2260" spans="1:4" ht="15" x14ac:dyDescent="0.25">
      <c r="A2260" t="s">
        <v>7126</v>
      </c>
      <c r="B2260">
        <v>1</v>
      </c>
      <c r="C2260">
        <v>32</v>
      </c>
      <c r="D2260">
        <v>32</v>
      </c>
    </row>
    <row r="2261" spans="1:4" ht="15" x14ac:dyDescent="0.25">
      <c r="A2261" t="s">
        <v>7130</v>
      </c>
      <c r="B2261">
        <v>4</v>
      </c>
      <c r="C2261">
        <v>452</v>
      </c>
      <c r="D2261">
        <v>113</v>
      </c>
    </row>
    <row r="2262" spans="1:4" ht="15" x14ac:dyDescent="0.25">
      <c r="A2262" t="s">
        <v>7132</v>
      </c>
      <c r="B2262">
        <v>2</v>
      </c>
      <c r="C2262">
        <v>190</v>
      </c>
      <c r="D2262">
        <v>95</v>
      </c>
    </row>
    <row r="2263" spans="1:4" ht="15" x14ac:dyDescent="0.25">
      <c r="A2263" t="s">
        <v>7131</v>
      </c>
      <c r="B2263">
        <v>6</v>
      </c>
      <c r="C2263">
        <v>322</v>
      </c>
      <c r="D2263">
        <v>53.666666666666664</v>
      </c>
    </row>
    <row r="2264" spans="1:4" ht="15" x14ac:dyDescent="0.25">
      <c r="A2264" t="s">
        <v>7136</v>
      </c>
      <c r="B2264">
        <v>3</v>
      </c>
      <c r="C2264">
        <v>205</v>
      </c>
      <c r="D2264">
        <v>68.333333333333329</v>
      </c>
    </row>
    <row r="2265" spans="1:4" ht="15" x14ac:dyDescent="0.25">
      <c r="A2265" t="s">
        <v>7138</v>
      </c>
      <c r="B2265">
        <v>1</v>
      </c>
      <c r="C2265">
        <v>45</v>
      </c>
      <c r="D2265">
        <v>45</v>
      </c>
    </row>
    <row r="2266" spans="1:4" ht="15" x14ac:dyDescent="0.25">
      <c r="A2266" t="s">
        <v>7139</v>
      </c>
      <c r="B2266">
        <v>1</v>
      </c>
      <c r="C2266">
        <v>45</v>
      </c>
      <c r="D2266">
        <v>45</v>
      </c>
    </row>
    <row r="2267" spans="1:4" ht="15" x14ac:dyDescent="0.25">
      <c r="A2267" t="s">
        <v>7137</v>
      </c>
      <c r="B2267">
        <v>1</v>
      </c>
      <c r="C2267">
        <v>45</v>
      </c>
      <c r="D2267">
        <v>45</v>
      </c>
    </row>
    <row r="2268" spans="1:4" ht="15" x14ac:dyDescent="0.25">
      <c r="A2268" t="s">
        <v>7143</v>
      </c>
      <c r="B2268">
        <v>7</v>
      </c>
      <c r="C2268">
        <v>262</v>
      </c>
      <c r="D2268">
        <v>37.428571428571431</v>
      </c>
    </row>
    <row r="2269" spans="1:4" ht="15" x14ac:dyDescent="0.25">
      <c r="A2269" t="s">
        <v>7144</v>
      </c>
      <c r="B2269">
        <v>3</v>
      </c>
      <c r="C2269">
        <v>126</v>
      </c>
      <c r="D2269">
        <v>42</v>
      </c>
    </row>
    <row r="2270" spans="1:4" ht="15" x14ac:dyDescent="0.25">
      <c r="A2270" t="s">
        <v>7145</v>
      </c>
      <c r="B2270">
        <v>2</v>
      </c>
      <c r="C2270">
        <v>81</v>
      </c>
      <c r="D2270">
        <v>40.5</v>
      </c>
    </row>
    <row r="2271" spans="1:4" ht="15" x14ac:dyDescent="0.25">
      <c r="A2271" t="s">
        <v>7149</v>
      </c>
      <c r="B2271">
        <v>2</v>
      </c>
      <c r="C2271">
        <v>113</v>
      </c>
      <c r="D2271">
        <v>56.5</v>
      </c>
    </row>
    <row r="2272" spans="1:4" ht="15" x14ac:dyDescent="0.25">
      <c r="A2272" t="s">
        <v>7150</v>
      </c>
      <c r="B2272">
        <v>1</v>
      </c>
      <c r="C2272">
        <v>52</v>
      </c>
      <c r="D2272">
        <v>52</v>
      </c>
    </row>
    <row r="2273" spans="1:4" ht="15" x14ac:dyDescent="0.25">
      <c r="A2273" t="s">
        <v>7151</v>
      </c>
      <c r="B2273">
        <v>1</v>
      </c>
      <c r="C2273">
        <v>52</v>
      </c>
      <c r="D2273">
        <v>52</v>
      </c>
    </row>
    <row r="2274" spans="1:4" ht="15" x14ac:dyDescent="0.25">
      <c r="A2274" t="s">
        <v>7155</v>
      </c>
      <c r="B2274">
        <v>7</v>
      </c>
      <c r="C2274">
        <v>196</v>
      </c>
      <c r="D2274">
        <v>28</v>
      </c>
    </row>
    <row r="2275" spans="1:4" ht="15" x14ac:dyDescent="0.25">
      <c r="A2275" t="s">
        <v>7159</v>
      </c>
      <c r="B2275">
        <v>1</v>
      </c>
      <c r="C2275">
        <v>21</v>
      </c>
      <c r="D2275">
        <v>21</v>
      </c>
    </row>
    <row r="2276" spans="1:4" ht="15" x14ac:dyDescent="0.25">
      <c r="A2276" t="s">
        <v>7160</v>
      </c>
      <c r="B2276">
        <v>1</v>
      </c>
      <c r="C2276">
        <v>21</v>
      </c>
      <c r="D2276">
        <v>21</v>
      </c>
    </row>
    <row r="2277" spans="1:4" ht="15" x14ac:dyDescent="0.25">
      <c r="A2277" t="s">
        <v>7165</v>
      </c>
      <c r="B2277">
        <v>1</v>
      </c>
      <c r="C2277">
        <v>31</v>
      </c>
      <c r="D2277">
        <v>31</v>
      </c>
    </row>
    <row r="2278" spans="1:4" ht="15" x14ac:dyDescent="0.25">
      <c r="A2278" t="s">
        <v>7166</v>
      </c>
      <c r="B2278">
        <v>1</v>
      </c>
      <c r="C2278">
        <v>31</v>
      </c>
      <c r="D2278">
        <v>31</v>
      </c>
    </row>
    <row r="2279" spans="1:4" ht="15" x14ac:dyDescent="0.25">
      <c r="A2279" t="s">
        <v>7169</v>
      </c>
      <c r="B2279">
        <v>3</v>
      </c>
      <c r="C2279">
        <v>3134</v>
      </c>
      <c r="D2279">
        <v>1044.6666666666667</v>
      </c>
    </row>
    <row r="2280" spans="1:4" ht="15" x14ac:dyDescent="0.25">
      <c r="A2280" t="s">
        <v>7170</v>
      </c>
      <c r="B2280">
        <v>1</v>
      </c>
      <c r="C2280">
        <v>1013</v>
      </c>
      <c r="D2280">
        <v>1013</v>
      </c>
    </row>
    <row r="2281" spans="1:4" ht="15" x14ac:dyDescent="0.25">
      <c r="A2281" t="s">
        <v>7172</v>
      </c>
      <c r="B2281">
        <v>2</v>
      </c>
      <c r="C2281">
        <v>2117</v>
      </c>
      <c r="D2281">
        <v>1058.5</v>
      </c>
    </row>
    <row r="2282" spans="1:4" ht="15" x14ac:dyDescent="0.25">
      <c r="A2282" t="s">
        <v>7173</v>
      </c>
      <c r="B2282">
        <v>3</v>
      </c>
      <c r="C2282">
        <v>3728</v>
      </c>
      <c r="D2282">
        <v>1242.6666666666667</v>
      </c>
    </row>
    <row r="2283" spans="1:4" ht="15" x14ac:dyDescent="0.25">
      <c r="A2283" t="s">
        <v>7171</v>
      </c>
      <c r="B2283">
        <v>3</v>
      </c>
      <c r="C2283">
        <v>1354</v>
      </c>
      <c r="D2283">
        <v>451.33333333333331</v>
      </c>
    </row>
    <row r="2284" spans="1:4" ht="15" x14ac:dyDescent="0.25">
      <c r="A2284" t="s">
        <v>7177</v>
      </c>
      <c r="B2284">
        <v>1</v>
      </c>
      <c r="C2284">
        <v>3</v>
      </c>
      <c r="D2284">
        <v>3</v>
      </c>
    </row>
    <row r="2285" spans="1:4" ht="15" x14ac:dyDescent="0.25">
      <c r="A2285" t="s">
        <v>7178</v>
      </c>
      <c r="B2285">
        <v>1</v>
      </c>
      <c r="C2285">
        <v>3</v>
      </c>
      <c r="D2285">
        <v>3</v>
      </c>
    </row>
    <row r="2286" spans="1:4" ht="15" x14ac:dyDescent="0.25">
      <c r="A2286" t="s">
        <v>7181</v>
      </c>
      <c r="B2286">
        <v>1</v>
      </c>
      <c r="C2286">
        <v>143</v>
      </c>
      <c r="D2286">
        <v>143</v>
      </c>
    </row>
    <row r="2287" spans="1:4" ht="15" x14ac:dyDescent="0.25">
      <c r="A2287" t="s">
        <v>7182</v>
      </c>
      <c r="B2287">
        <v>8</v>
      </c>
      <c r="C2287">
        <v>600</v>
      </c>
      <c r="D2287">
        <v>75</v>
      </c>
    </row>
    <row r="2288" spans="1:4" ht="15" x14ac:dyDescent="0.25">
      <c r="A2288" t="s">
        <v>7184</v>
      </c>
      <c r="B2288">
        <v>1</v>
      </c>
      <c r="C2288">
        <v>143</v>
      </c>
      <c r="D2288">
        <v>143</v>
      </c>
    </row>
    <row r="2289" spans="1:4" ht="15" x14ac:dyDescent="0.25">
      <c r="A2289" t="s">
        <v>7183</v>
      </c>
      <c r="B2289">
        <v>2</v>
      </c>
      <c r="C2289">
        <v>318</v>
      </c>
      <c r="D2289">
        <v>159</v>
      </c>
    </row>
    <row r="2290" spans="1:4" ht="15" x14ac:dyDescent="0.25">
      <c r="A2290" t="s">
        <v>7189</v>
      </c>
      <c r="B2290">
        <v>1</v>
      </c>
      <c r="C2290">
        <v>97</v>
      </c>
      <c r="D2290">
        <v>97</v>
      </c>
    </row>
    <row r="2291" spans="1:4" ht="15" x14ac:dyDescent="0.25">
      <c r="A2291" t="s">
        <v>7190</v>
      </c>
      <c r="B2291">
        <v>5</v>
      </c>
      <c r="C2291">
        <v>487</v>
      </c>
      <c r="D2291">
        <v>97.4</v>
      </c>
    </row>
    <row r="2292" spans="1:4" ht="15" x14ac:dyDescent="0.25">
      <c r="A2292" t="s">
        <v>7192</v>
      </c>
      <c r="B2292">
        <v>2</v>
      </c>
      <c r="C2292">
        <v>554</v>
      </c>
      <c r="D2292">
        <v>277</v>
      </c>
    </row>
    <row r="2293" spans="1:4" ht="15" x14ac:dyDescent="0.25">
      <c r="A2293" t="s">
        <v>7191</v>
      </c>
      <c r="B2293">
        <v>3</v>
      </c>
      <c r="C2293">
        <v>2062</v>
      </c>
      <c r="D2293">
        <v>687.33333333333337</v>
      </c>
    </row>
    <row r="2294" spans="1:4" ht="15" x14ac:dyDescent="0.25">
      <c r="A2294" t="s">
        <v>7195</v>
      </c>
      <c r="B2294">
        <v>4</v>
      </c>
      <c r="C2294">
        <v>223</v>
      </c>
      <c r="D2294">
        <v>55.75</v>
      </c>
    </row>
    <row r="2295" spans="1:4" ht="15" x14ac:dyDescent="0.25">
      <c r="A2295" t="s">
        <v>7199</v>
      </c>
      <c r="B2295">
        <v>1</v>
      </c>
      <c r="C2295">
        <v>8</v>
      </c>
      <c r="D2295">
        <v>8</v>
      </c>
    </row>
    <row r="2296" spans="1:4" ht="15" x14ac:dyDescent="0.25">
      <c r="A2296" t="s">
        <v>7200</v>
      </c>
      <c r="B2296">
        <v>1</v>
      </c>
      <c r="C2296">
        <v>8</v>
      </c>
      <c r="D2296">
        <v>8</v>
      </c>
    </row>
    <row r="2297" spans="1:4" ht="15" x14ac:dyDescent="0.25">
      <c r="A2297" t="s">
        <v>7201</v>
      </c>
      <c r="B2297">
        <v>2</v>
      </c>
      <c r="C2297">
        <v>282</v>
      </c>
      <c r="D2297">
        <v>141</v>
      </c>
    </row>
    <row r="2298" spans="1:4" ht="15" x14ac:dyDescent="0.25">
      <c r="A2298" t="s">
        <v>7196</v>
      </c>
      <c r="B2298">
        <v>1</v>
      </c>
      <c r="C2298">
        <v>8</v>
      </c>
      <c r="D2298">
        <v>8</v>
      </c>
    </row>
    <row r="2299" spans="1:4" ht="15" x14ac:dyDescent="0.25">
      <c r="A2299" t="s">
        <v>7210</v>
      </c>
      <c r="B2299">
        <v>1</v>
      </c>
      <c r="C2299">
        <v>21</v>
      </c>
      <c r="D2299">
        <v>21</v>
      </c>
    </row>
    <row r="2300" spans="1:4" ht="15" x14ac:dyDescent="0.25">
      <c r="A2300" t="s">
        <v>7211</v>
      </c>
      <c r="B2300">
        <v>1</v>
      </c>
      <c r="C2300">
        <v>21</v>
      </c>
      <c r="D2300">
        <v>21</v>
      </c>
    </row>
    <row r="2301" spans="1:4" ht="15" x14ac:dyDescent="0.25">
      <c r="A2301" t="s">
        <v>7212</v>
      </c>
      <c r="B2301">
        <v>2</v>
      </c>
      <c r="C2301">
        <v>68</v>
      </c>
      <c r="D2301">
        <v>34</v>
      </c>
    </row>
    <row r="2302" spans="1:4" ht="15" x14ac:dyDescent="0.25">
      <c r="A2302" t="s">
        <v>7215</v>
      </c>
      <c r="B2302">
        <v>2</v>
      </c>
      <c r="C2302">
        <v>1236</v>
      </c>
      <c r="D2302">
        <v>618</v>
      </c>
    </row>
    <row r="2303" spans="1:4" ht="15" x14ac:dyDescent="0.25">
      <c r="A2303" t="s">
        <v>7217</v>
      </c>
      <c r="B2303">
        <v>3</v>
      </c>
      <c r="C2303">
        <v>2174</v>
      </c>
      <c r="D2303">
        <v>724.66666666666663</v>
      </c>
    </row>
    <row r="2304" spans="1:4" ht="15" x14ac:dyDescent="0.25">
      <c r="A2304" t="s">
        <v>7218</v>
      </c>
      <c r="B2304">
        <v>6</v>
      </c>
      <c r="C2304">
        <v>2478</v>
      </c>
      <c r="D2304">
        <v>413</v>
      </c>
    </row>
    <row r="2305" spans="1:4" ht="15" x14ac:dyDescent="0.25">
      <c r="A2305" t="s">
        <v>7216</v>
      </c>
      <c r="B2305">
        <v>4</v>
      </c>
      <c r="C2305">
        <v>4422</v>
      </c>
      <c r="D2305">
        <v>1105.5</v>
      </c>
    </row>
    <row r="2306" spans="1:4" ht="15" x14ac:dyDescent="0.25">
      <c r="A2306" t="s">
        <v>7225</v>
      </c>
      <c r="B2306">
        <v>16</v>
      </c>
      <c r="C2306">
        <v>463</v>
      </c>
      <c r="D2306">
        <v>28.9375</v>
      </c>
    </row>
    <row r="2307" spans="1:4" ht="15" x14ac:dyDescent="0.25">
      <c r="A2307" t="s">
        <v>7226</v>
      </c>
      <c r="B2307">
        <v>1</v>
      </c>
      <c r="C2307">
        <v>80</v>
      </c>
      <c r="D2307">
        <v>80</v>
      </c>
    </row>
    <row r="2308" spans="1:4" ht="15" x14ac:dyDescent="0.25">
      <c r="A2308" t="s">
        <v>7230</v>
      </c>
      <c r="B2308">
        <v>1</v>
      </c>
      <c r="C2308">
        <v>89</v>
      </c>
      <c r="D2308">
        <v>89</v>
      </c>
    </row>
    <row r="2309" spans="1:4" ht="15" x14ac:dyDescent="0.25">
      <c r="A2309" t="s">
        <v>7231</v>
      </c>
      <c r="B2309">
        <v>4</v>
      </c>
      <c r="C2309">
        <v>139</v>
      </c>
      <c r="D2309">
        <v>34.75</v>
      </c>
    </row>
    <row r="2310" spans="1:4" ht="15" x14ac:dyDescent="0.25">
      <c r="A2310" t="s">
        <v>7235</v>
      </c>
      <c r="B2310">
        <v>5</v>
      </c>
      <c r="C2310">
        <v>133</v>
      </c>
      <c r="D2310">
        <v>26.6</v>
      </c>
    </row>
    <row r="2311" spans="1:4" ht="15" x14ac:dyDescent="0.25">
      <c r="A2311" t="s">
        <v>7236</v>
      </c>
      <c r="B2311">
        <v>11</v>
      </c>
      <c r="C2311">
        <v>461</v>
      </c>
      <c r="D2311">
        <v>41.909090909090907</v>
      </c>
    </row>
    <row r="2312" spans="1:4" ht="15" x14ac:dyDescent="0.25">
      <c r="A2312" t="s">
        <v>7244</v>
      </c>
      <c r="B2312">
        <v>1</v>
      </c>
      <c r="C2312">
        <v>1</v>
      </c>
      <c r="D2312">
        <v>1</v>
      </c>
    </row>
    <row r="2313" spans="1:4" ht="15" x14ac:dyDescent="0.25">
      <c r="A2313" t="s">
        <v>7245</v>
      </c>
      <c r="B2313">
        <v>1</v>
      </c>
      <c r="C2313">
        <v>1</v>
      </c>
      <c r="D2313">
        <v>1</v>
      </c>
    </row>
    <row r="2314" spans="1:4" ht="15" x14ac:dyDescent="0.25">
      <c r="A2314" t="s">
        <v>7247</v>
      </c>
      <c r="B2314">
        <v>2</v>
      </c>
      <c r="C2314">
        <v>34</v>
      </c>
      <c r="D2314">
        <v>17</v>
      </c>
    </row>
    <row r="2315" spans="1:4" ht="15" x14ac:dyDescent="0.25">
      <c r="A2315" t="s">
        <v>7246</v>
      </c>
      <c r="B2315">
        <v>1</v>
      </c>
      <c r="C2315">
        <v>1</v>
      </c>
      <c r="D2315">
        <v>1</v>
      </c>
    </row>
    <row r="2316" spans="1:4" ht="15" x14ac:dyDescent="0.25">
      <c r="A2316" t="s">
        <v>7250</v>
      </c>
      <c r="B2316">
        <v>2</v>
      </c>
      <c r="C2316">
        <v>36</v>
      </c>
      <c r="D2316">
        <v>18</v>
      </c>
    </row>
    <row r="2317" spans="1:4" ht="15" x14ac:dyDescent="0.25">
      <c r="A2317" t="s">
        <v>7251</v>
      </c>
      <c r="B2317">
        <v>1</v>
      </c>
      <c r="C2317">
        <v>27</v>
      </c>
      <c r="D2317">
        <v>27</v>
      </c>
    </row>
    <row r="2318" spans="1:4" ht="15" x14ac:dyDescent="0.25">
      <c r="A2318" t="s">
        <v>7252</v>
      </c>
      <c r="B2318">
        <v>7</v>
      </c>
      <c r="C2318">
        <v>315</v>
      </c>
      <c r="D2318">
        <v>45</v>
      </c>
    </row>
    <row r="2319" spans="1:4" ht="15" x14ac:dyDescent="0.25">
      <c r="A2319" t="s">
        <v>7256</v>
      </c>
      <c r="B2319">
        <v>5</v>
      </c>
      <c r="C2319">
        <v>295</v>
      </c>
      <c r="D2319">
        <v>59</v>
      </c>
    </row>
    <row r="2320" spans="1:4" ht="15" x14ac:dyDescent="0.25">
      <c r="A2320" t="s">
        <v>7257</v>
      </c>
      <c r="B2320">
        <v>1</v>
      </c>
      <c r="C2320">
        <v>75</v>
      </c>
      <c r="D2320">
        <v>75</v>
      </c>
    </row>
    <row r="2321" spans="1:4" ht="15" x14ac:dyDescent="0.25">
      <c r="A2321" t="s">
        <v>7259</v>
      </c>
      <c r="B2321">
        <v>1</v>
      </c>
      <c r="C2321">
        <v>75</v>
      </c>
      <c r="D2321">
        <v>75</v>
      </c>
    </row>
    <row r="2322" spans="1:4" ht="15" x14ac:dyDescent="0.25">
      <c r="A2322" t="s">
        <v>7258</v>
      </c>
      <c r="B2322">
        <v>1</v>
      </c>
      <c r="C2322">
        <v>75</v>
      </c>
      <c r="D2322">
        <v>75</v>
      </c>
    </row>
    <row r="2323" spans="1:4" ht="15" x14ac:dyDescent="0.25">
      <c r="A2323" t="s">
        <v>7264</v>
      </c>
      <c r="B2323">
        <v>3</v>
      </c>
      <c r="C2323">
        <v>205</v>
      </c>
      <c r="D2323">
        <v>68.333333333333329</v>
      </c>
    </row>
    <row r="2324" spans="1:4" ht="15" x14ac:dyDescent="0.25">
      <c r="A2324" t="s">
        <v>7265</v>
      </c>
      <c r="B2324">
        <v>1</v>
      </c>
      <c r="C2324">
        <v>136</v>
      </c>
      <c r="D2324">
        <v>136</v>
      </c>
    </row>
    <row r="2325" spans="1:4" ht="15" x14ac:dyDescent="0.25">
      <c r="A2325" t="s">
        <v>7266</v>
      </c>
      <c r="B2325">
        <v>1</v>
      </c>
      <c r="C2325">
        <v>136</v>
      </c>
      <c r="D2325">
        <v>136</v>
      </c>
    </row>
    <row r="2326" spans="1:4" ht="15" x14ac:dyDescent="0.25">
      <c r="A2326" t="s">
        <v>7267</v>
      </c>
      <c r="B2326">
        <v>1</v>
      </c>
      <c r="C2326">
        <v>136</v>
      </c>
      <c r="D2326">
        <v>136</v>
      </c>
    </row>
    <row r="2327" spans="1:4" ht="15" x14ac:dyDescent="0.25">
      <c r="A2327" t="s">
        <v>7272</v>
      </c>
      <c r="B2327">
        <v>1</v>
      </c>
      <c r="C2327">
        <v>36</v>
      </c>
      <c r="D2327">
        <v>36</v>
      </c>
    </row>
    <row r="2328" spans="1:4" ht="15" x14ac:dyDescent="0.25">
      <c r="A2328" t="s">
        <v>7275</v>
      </c>
      <c r="B2328">
        <v>23</v>
      </c>
      <c r="C2328">
        <v>1176</v>
      </c>
      <c r="D2328">
        <v>51.130434782608695</v>
      </c>
    </row>
    <row r="2329" spans="1:4" ht="15" x14ac:dyDescent="0.25">
      <c r="A2329" t="s">
        <v>7279</v>
      </c>
      <c r="B2329">
        <v>5</v>
      </c>
      <c r="C2329">
        <v>108</v>
      </c>
      <c r="D2329">
        <v>21.6</v>
      </c>
    </row>
    <row r="2330" spans="1:4" ht="15" x14ac:dyDescent="0.25">
      <c r="A2330" t="s">
        <v>7281</v>
      </c>
      <c r="B2330">
        <v>1</v>
      </c>
      <c r="C2330">
        <v>22</v>
      </c>
      <c r="D2330">
        <v>22</v>
      </c>
    </row>
    <row r="2331" spans="1:4" ht="15" x14ac:dyDescent="0.25">
      <c r="A2331" t="s">
        <v>7280</v>
      </c>
      <c r="B2331">
        <v>2</v>
      </c>
      <c r="C2331">
        <v>60</v>
      </c>
      <c r="D2331">
        <v>30</v>
      </c>
    </row>
    <row r="2332" spans="1:4" ht="15" x14ac:dyDescent="0.25">
      <c r="A2332" t="s">
        <v>7285</v>
      </c>
      <c r="B2332">
        <v>1</v>
      </c>
      <c r="C2332">
        <v>61</v>
      </c>
      <c r="D2332">
        <v>61</v>
      </c>
    </row>
    <row r="2333" spans="1:4" ht="15" x14ac:dyDescent="0.25">
      <c r="A2333" t="s">
        <v>7286</v>
      </c>
      <c r="B2333">
        <v>7</v>
      </c>
      <c r="C2333">
        <v>228</v>
      </c>
      <c r="D2333">
        <v>32.571428571428569</v>
      </c>
    </row>
    <row r="2334" spans="1:4" ht="15" x14ac:dyDescent="0.25">
      <c r="A2334" t="s">
        <v>7288</v>
      </c>
      <c r="B2334">
        <v>1</v>
      </c>
      <c r="C2334">
        <v>61</v>
      </c>
      <c r="D2334">
        <v>61</v>
      </c>
    </row>
    <row r="2335" spans="1:4" ht="15" x14ac:dyDescent="0.25">
      <c r="A2335" t="s">
        <v>7289</v>
      </c>
      <c r="B2335">
        <v>1</v>
      </c>
      <c r="C2335">
        <v>61</v>
      </c>
      <c r="D2335">
        <v>61</v>
      </c>
    </row>
    <row r="2336" spans="1:4" ht="15" x14ac:dyDescent="0.25">
      <c r="A2336" t="s">
        <v>7287</v>
      </c>
      <c r="B2336">
        <v>13</v>
      </c>
      <c r="C2336">
        <v>920</v>
      </c>
      <c r="D2336">
        <v>70.769230769230774</v>
      </c>
    </row>
    <row r="2337" spans="1:4" ht="15" x14ac:dyDescent="0.25">
      <c r="A2337" t="s">
        <v>7294</v>
      </c>
      <c r="B2337">
        <v>1</v>
      </c>
      <c r="C2337">
        <v>48</v>
      </c>
      <c r="D2337">
        <v>48</v>
      </c>
    </row>
    <row r="2338" spans="1:4" ht="15" x14ac:dyDescent="0.25">
      <c r="A2338" t="s">
        <v>7293</v>
      </c>
      <c r="B2338">
        <v>1</v>
      </c>
      <c r="C2338">
        <v>48</v>
      </c>
      <c r="D2338">
        <v>48</v>
      </c>
    </row>
    <row r="2339" spans="1:4" ht="15" x14ac:dyDescent="0.25">
      <c r="A2339" t="s">
        <v>7298</v>
      </c>
      <c r="B2339">
        <v>2</v>
      </c>
      <c r="C2339">
        <v>158</v>
      </c>
      <c r="D2339">
        <v>79</v>
      </c>
    </row>
    <row r="2340" spans="1:4" ht="15" x14ac:dyDescent="0.25">
      <c r="A2340" t="s">
        <v>7302</v>
      </c>
      <c r="B2340">
        <v>1</v>
      </c>
      <c r="C2340">
        <v>30</v>
      </c>
      <c r="D2340">
        <v>30</v>
      </c>
    </row>
    <row r="2341" spans="1:4" ht="15" x14ac:dyDescent="0.25">
      <c r="A2341" t="s">
        <v>7309</v>
      </c>
      <c r="B2341">
        <v>1</v>
      </c>
      <c r="C2341">
        <v>27</v>
      </c>
      <c r="D2341">
        <v>27</v>
      </c>
    </row>
    <row r="2342" spans="1:4" ht="15" x14ac:dyDescent="0.25">
      <c r="A2342" t="s">
        <v>7310</v>
      </c>
      <c r="B2342">
        <v>1</v>
      </c>
      <c r="C2342">
        <v>27</v>
      </c>
      <c r="D2342">
        <v>27</v>
      </c>
    </row>
    <row r="2343" spans="1:4" ht="15" x14ac:dyDescent="0.25">
      <c r="A2343" t="s">
        <v>7314</v>
      </c>
      <c r="B2343">
        <v>1</v>
      </c>
      <c r="C2343">
        <v>98</v>
      </c>
      <c r="D2343">
        <v>98</v>
      </c>
    </row>
    <row r="2344" spans="1:4" ht="15" x14ac:dyDescent="0.25">
      <c r="A2344" t="s">
        <v>7315</v>
      </c>
      <c r="B2344">
        <v>1</v>
      </c>
      <c r="C2344">
        <v>98</v>
      </c>
      <c r="D2344">
        <v>98</v>
      </c>
    </row>
    <row r="2345" spans="1:4" ht="15" x14ac:dyDescent="0.25">
      <c r="A2345" t="s">
        <v>7320</v>
      </c>
      <c r="B2345">
        <v>1</v>
      </c>
      <c r="C2345">
        <v>36</v>
      </c>
      <c r="D2345">
        <v>36</v>
      </c>
    </row>
    <row r="2346" spans="1:4" ht="15" x14ac:dyDescent="0.25">
      <c r="A2346" t="s">
        <v>7321</v>
      </c>
      <c r="B2346">
        <v>1</v>
      </c>
      <c r="C2346">
        <v>36</v>
      </c>
      <c r="D2346">
        <v>36</v>
      </c>
    </row>
    <row r="2347" spans="1:4" ht="15" x14ac:dyDescent="0.25">
      <c r="A2347" t="s">
        <v>7323</v>
      </c>
      <c r="B2347">
        <v>1</v>
      </c>
      <c r="C2347">
        <v>36</v>
      </c>
      <c r="D2347">
        <v>36</v>
      </c>
    </row>
    <row r="2348" spans="1:4" ht="15" x14ac:dyDescent="0.25">
      <c r="A2348" t="s">
        <v>7324</v>
      </c>
      <c r="B2348">
        <v>1</v>
      </c>
      <c r="C2348">
        <v>36</v>
      </c>
      <c r="D2348">
        <v>36</v>
      </c>
    </row>
    <row r="2349" spans="1:4" ht="15" x14ac:dyDescent="0.25">
      <c r="A2349" t="s">
        <v>7322</v>
      </c>
      <c r="B2349">
        <v>6</v>
      </c>
      <c r="C2349">
        <v>292</v>
      </c>
      <c r="D2349">
        <v>48.666666666666664</v>
      </c>
    </row>
    <row r="2350" spans="1:4" ht="15" x14ac:dyDescent="0.25">
      <c r="A2350" t="s">
        <v>7328</v>
      </c>
      <c r="B2350">
        <v>1</v>
      </c>
      <c r="C2350">
        <v>18</v>
      </c>
      <c r="D2350">
        <v>18</v>
      </c>
    </row>
    <row r="2351" spans="1:4" ht="15" x14ac:dyDescent="0.25">
      <c r="A2351" t="s">
        <v>7329</v>
      </c>
      <c r="B2351">
        <v>9</v>
      </c>
      <c r="C2351">
        <v>486</v>
      </c>
      <c r="D2351">
        <v>54</v>
      </c>
    </row>
    <row r="2352" spans="1:4" ht="15" x14ac:dyDescent="0.25">
      <c r="A2352" t="s">
        <v>7330</v>
      </c>
      <c r="B2352">
        <v>1</v>
      </c>
      <c r="C2352">
        <v>18</v>
      </c>
      <c r="D2352">
        <v>18</v>
      </c>
    </row>
    <row r="2353" spans="1:4" ht="15" x14ac:dyDescent="0.25">
      <c r="A2353" t="s">
        <v>7334</v>
      </c>
      <c r="B2353">
        <v>1</v>
      </c>
      <c r="C2353">
        <v>9</v>
      </c>
      <c r="D2353">
        <v>9</v>
      </c>
    </row>
    <row r="2354" spans="1:4" ht="15" x14ac:dyDescent="0.25">
      <c r="A2354" t="s">
        <v>7335</v>
      </c>
      <c r="B2354">
        <v>1</v>
      </c>
      <c r="C2354">
        <v>9</v>
      </c>
      <c r="D2354">
        <v>9</v>
      </c>
    </row>
    <row r="2355" spans="1:4" ht="15" x14ac:dyDescent="0.25">
      <c r="A2355" t="s">
        <v>7336</v>
      </c>
      <c r="B2355">
        <v>2</v>
      </c>
      <c r="C2355">
        <v>24</v>
      </c>
      <c r="D2355">
        <v>12</v>
      </c>
    </row>
    <row r="2356" spans="1:4" ht="15" x14ac:dyDescent="0.25">
      <c r="A2356" t="s">
        <v>7339</v>
      </c>
      <c r="B2356">
        <v>4</v>
      </c>
      <c r="C2356">
        <v>377</v>
      </c>
      <c r="D2356">
        <v>94.25</v>
      </c>
    </row>
    <row r="2357" spans="1:4" ht="15" x14ac:dyDescent="0.25">
      <c r="A2357" t="s">
        <v>7341</v>
      </c>
      <c r="B2357">
        <v>4</v>
      </c>
      <c r="C2357">
        <v>415</v>
      </c>
      <c r="D2357">
        <v>103.75</v>
      </c>
    </row>
    <row r="2358" spans="1:4" ht="15" x14ac:dyDescent="0.25">
      <c r="A2358" t="s">
        <v>7340</v>
      </c>
      <c r="B2358">
        <v>8</v>
      </c>
      <c r="C2358">
        <v>924</v>
      </c>
      <c r="D2358">
        <v>115.5</v>
      </c>
    </row>
    <row r="2359" spans="1:4" ht="15" x14ac:dyDescent="0.25">
      <c r="A2359" t="s">
        <v>7345</v>
      </c>
      <c r="B2359">
        <v>2</v>
      </c>
      <c r="C2359">
        <v>113</v>
      </c>
      <c r="D2359">
        <v>56.5</v>
      </c>
    </row>
    <row r="2360" spans="1:4" ht="15" x14ac:dyDescent="0.25">
      <c r="A2360" t="s">
        <v>7347</v>
      </c>
      <c r="B2360">
        <v>6</v>
      </c>
      <c r="C2360">
        <v>803</v>
      </c>
      <c r="D2360">
        <v>133.83333333333334</v>
      </c>
    </row>
    <row r="2361" spans="1:4" ht="15" x14ac:dyDescent="0.25">
      <c r="A2361" t="s">
        <v>7346</v>
      </c>
      <c r="B2361">
        <v>3</v>
      </c>
      <c r="C2361">
        <v>95</v>
      </c>
      <c r="D2361">
        <v>31.666666666666668</v>
      </c>
    </row>
    <row r="2362" spans="1:4" ht="15" x14ac:dyDescent="0.25">
      <c r="A2362" t="s">
        <v>7350</v>
      </c>
      <c r="B2362">
        <v>3</v>
      </c>
      <c r="C2362">
        <v>321</v>
      </c>
      <c r="D2362">
        <v>107</v>
      </c>
    </row>
    <row r="2363" spans="1:4" ht="15" x14ac:dyDescent="0.25">
      <c r="A2363" t="s">
        <v>7354</v>
      </c>
      <c r="B2363">
        <v>1</v>
      </c>
      <c r="C2363">
        <v>14</v>
      </c>
      <c r="D2363">
        <v>14</v>
      </c>
    </row>
    <row r="2364" spans="1:4" ht="15" x14ac:dyDescent="0.25">
      <c r="A2364" t="s">
        <v>7355</v>
      </c>
      <c r="B2364">
        <v>2</v>
      </c>
      <c r="C2364">
        <v>37</v>
      </c>
      <c r="D2364">
        <v>18.5</v>
      </c>
    </row>
    <row r="2365" spans="1:4" ht="15" x14ac:dyDescent="0.25">
      <c r="A2365" t="s">
        <v>7357</v>
      </c>
      <c r="B2365">
        <v>1</v>
      </c>
      <c r="C2365">
        <v>14</v>
      </c>
      <c r="D2365">
        <v>14</v>
      </c>
    </row>
    <row r="2366" spans="1:4" ht="15" x14ac:dyDescent="0.25">
      <c r="A2366" t="s">
        <v>7351</v>
      </c>
      <c r="B2366">
        <v>1</v>
      </c>
      <c r="C2366">
        <v>14</v>
      </c>
      <c r="D2366">
        <v>14</v>
      </c>
    </row>
    <row r="2367" spans="1:4" ht="15" x14ac:dyDescent="0.25">
      <c r="A2367" t="s">
        <v>7356</v>
      </c>
      <c r="B2367">
        <v>1</v>
      </c>
      <c r="C2367">
        <v>14</v>
      </c>
      <c r="D2367">
        <v>14</v>
      </c>
    </row>
    <row r="2368" spans="1:4" ht="15" x14ac:dyDescent="0.25">
      <c r="A2368" t="s">
        <v>7361</v>
      </c>
      <c r="B2368">
        <v>1</v>
      </c>
      <c r="C2368">
        <v>352</v>
      </c>
      <c r="D2368">
        <v>352</v>
      </c>
    </row>
    <row r="2369" spans="1:4" ht="15" x14ac:dyDescent="0.25">
      <c r="A2369" t="s">
        <v>7362</v>
      </c>
      <c r="B2369">
        <v>2</v>
      </c>
      <c r="C2369">
        <v>364</v>
      </c>
      <c r="D2369">
        <v>182</v>
      </c>
    </row>
    <row r="2370" spans="1:4" ht="15" x14ac:dyDescent="0.25">
      <c r="A2370" t="s">
        <v>7365</v>
      </c>
      <c r="B2370">
        <v>2</v>
      </c>
      <c r="C2370">
        <v>23</v>
      </c>
      <c r="D2370">
        <v>11.5</v>
      </c>
    </row>
    <row r="2371" spans="1:4" ht="15" x14ac:dyDescent="0.25">
      <c r="A2371" t="s">
        <v>7366</v>
      </c>
      <c r="B2371">
        <v>1</v>
      </c>
      <c r="C2371">
        <v>14</v>
      </c>
      <c r="D2371">
        <v>14</v>
      </c>
    </row>
    <row r="2372" spans="1:4" ht="15" x14ac:dyDescent="0.25">
      <c r="A2372" t="s">
        <v>7373</v>
      </c>
      <c r="B2372">
        <v>1</v>
      </c>
      <c r="C2372">
        <v>51</v>
      </c>
      <c r="D2372">
        <v>51</v>
      </c>
    </row>
    <row r="2373" spans="1:4" ht="15" x14ac:dyDescent="0.25">
      <c r="A2373" t="s">
        <v>7374</v>
      </c>
      <c r="B2373">
        <v>6</v>
      </c>
      <c r="C2373">
        <v>248</v>
      </c>
      <c r="D2373">
        <v>41.333333333333336</v>
      </c>
    </row>
    <row r="2374" spans="1:4" ht="15" x14ac:dyDescent="0.25">
      <c r="A2374" t="s">
        <v>7375</v>
      </c>
      <c r="B2374">
        <v>1</v>
      </c>
      <c r="C2374">
        <v>51</v>
      </c>
      <c r="D2374">
        <v>51</v>
      </c>
    </row>
    <row r="2375" spans="1:4" ht="15" x14ac:dyDescent="0.25">
      <c r="A2375" t="s">
        <v>7379</v>
      </c>
      <c r="B2375">
        <v>3</v>
      </c>
      <c r="C2375">
        <v>167</v>
      </c>
      <c r="D2375">
        <v>55.666666666666664</v>
      </c>
    </row>
    <row r="2376" spans="1:4" ht="15" x14ac:dyDescent="0.25">
      <c r="A2376" t="s">
        <v>7380</v>
      </c>
      <c r="B2376">
        <v>1</v>
      </c>
      <c r="C2376">
        <v>33</v>
      </c>
      <c r="D2376">
        <v>33</v>
      </c>
    </row>
    <row r="2377" spans="1:4" ht="15" x14ac:dyDescent="0.25">
      <c r="A2377" t="s">
        <v>7376</v>
      </c>
      <c r="B2377">
        <v>1</v>
      </c>
      <c r="C2377">
        <v>33</v>
      </c>
      <c r="D2377">
        <v>33</v>
      </c>
    </row>
    <row r="2378" spans="1:4" ht="15" x14ac:dyDescent="0.25">
      <c r="A2378" t="s">
        <v>7382</v>
      </c>
      <c r="B2378">
        <v>1</v>
      </c>
      <c r="C2378">
        <v>33</v>
      </c>
      <c r="D2378">
        <v>33</v>
      </c>
    </row>
    <row r="2379" spans="1:4" ht="15" x14ac:dyDescent="0.25">
      <c r="A2379" t="s">
        <v>7381</v>
      </c>
      <c r="B2379">
        <v>1</v>
      </c>
      <c r="C2379">
        <v>33</v>
      </c>
      <c r="D2379">
        <v>33</v>
      </c>
    </row>
    <row r="2380" spans="1:4" ht="15" x14ac:dyDescent="0.25">
      <c r="A2380" t="s">
        <v>7385</v>
      </c>
      <c r="B2380">
        <v>5</v>
      </c>
      <c r="C2380">
        <v>175</v>
      </c>
      <c r="D2380">
        <v>35</v>
      </c>
    </row>
    <row r="2381" spans="1:4" ht="15" x14ac:dyDescent="0.25">
      <c r="A2381" t="s">
        <v>7386</v>
      </c>
      <c r="B2381">
        <v>1</v>
      </c>
      <c r="C2381">
        <v>23</v>
      </c>
      <c r="D2381">
        <v>23</v>
      </c>
    </row>
    <row r="2382" spans="1:4" ht="15" x14ac:dyDescent="0.25">
      <c r="A2382" t="s">
        <v>7388</v>
      </c>
      <c r="B2382">
        <v>1</v>
      </c>
      <c r="C2382">
        <v>23</v>
      </c>
      <c r="D2382">
        <v>23</v>
      </c>
    </row>
    <row r="2383" spans="1:4" ht="15" x14ac:dyDescent="0.25">
      <c r="A2383" t="s">
        <v>7389</v>
      </c>
      <c r="B2383">
        <v>1</v>
      </c>
      <c r="C2383">
        <v>23</v>
      </c>
      <c r="D2383">
        <v>23</v>
      </c>
    </row>
    <row r="2384" spans="1:4" ht="15" x14ac:dyDescent="0.25">
      <c r="A2384" t="s">
        <v>7387</v>
      </c>
      <c r="B2384">
        <v>1</v>
      </c>
      <c r="C2384">
        <v>23</v>
      </c>
      <c r="D2384">
        <v>23</v>
      </c>
    </row>
    <row r="2385" spans="1:4" ht="15" x14ac:dyDescent="0.25">
      <c r="A2385" t="s">
        <v>7393</v>
      </c>
      <c r="B2385">
        <v>8</v>
      </c>
      <c r="C2385">
        <v>680</v>
      </c>
      <c r="D2385">
        <v>85</v>
      </c>
    </row>
    <row r="2386" spans="1:4" ht="15" x14ac:dyDescent="0.25">
      <c r="A2386" t="s">
        <v>7399</v>
      </c>
      <c r="B2386">
        <v>1</v>
      </c>
      <c r="C2386">
        <v>23</v>
      </c>
      <c r="D2386">
        <v>23</v>
      </c>
    </row>
    <row r="2387" spans="1:4" ht="15" x14ac:dyDescent="0.25">
      <c r="A2387" t="s">
        <v>7401</v>
      </c>
      <c r="B2387">
        <v>1</v>
      </c>
      <c r="C2387">
        <v>23</v>
      </c>
      <c r="D2387">
        <v>23</v>
      </c>
    </row>
    <row r="2388" spans="1:4" ht="15" x14ac:dyDescent="0.25">
      <c r="A2388" t="s">
        <v>7402</v>
      </c>
      <c r="B2388">
        <v>1</v>
      </c>
      <c r="C2388">
        <v>23</v>
      </c>
      <c r="D2388">
        <v>23</v>
      </c>
    </row>
    <row r="2389" spans="1:4" ht="15" x14ac:dyDescent="0.25">
      <c r="A2389" t="s">
        <v>7400</v>
      </c>
      <c r="B2389">
        <v>2</v>
      </c>
      <c r="C2389">
        <v>153</v>
      </c>
      <c r="D2389">
        <v>76.5</v>
      </c>
    </row>
    <row r="2390" spans="1:4" ht="15" x14ac:dyDescent="0.25">
      <c r="A2390" t="s">
        <v>7405</v>
      </c>
      <c r="B2390">
        <v>1</v>
      </c>
      <c r="C2390">
        <v>31</v>
      </c>
      <c r="D2390">
        <v>31</v>
      </c>
    </row>
    <row r="2391" spans="1:4" ht="15" x14ac:dyDescent="0.25">
      <c r="A2391" t="s">
        <v>7413</v>
      </c>
      <c r="B2391">
        <v>2</v>
      </c>
      <c r="C2391">
        <v>65</v>
      </c>
      <c r="D2391">
        <v>32.5</v>
      </c>
    </row>
    <row r="2392" spans="1:4" ht="15" x14ac:dyDescent="0.25">
      <c r="A2392" t="s">
        <v>7414</v>
      </c>
      <c r="B2392">
        <v>1</v>
      </c>
      <c r="C2392">
        <v>44</v>
      </c>
      <c r="D2392">
        <v>44</v>
      </c>
    </row>
    <row r="2393" spans="1:4" ht="15" x14ac:dyDescent="0.25">
      <c r="A2393" t="s">
        <v>7412</v>
      </c>
      <c r="B2393">
        <v>1</v>
      </c>
      <c r="C2393">
        <v>44</v>
      </c>
      <c r="D2393">
        <v>44</v>
      </c>
    </row>
    <row r="2394" spans="1:4" ht="15" x14ac:dyDescent="0.25">
      <c r="A2394" t="s">
        <v>7418</v>
      </c>
      <c r="B2394">
        <v>16</v>
      </c>
      <c r="C2394">
        <v>1132</v>
      </c>
      <c r="D2394">
        <v>70.75</v>
      </c>
    </row>
    <row r="2395" spans="1:4" ht="15" x14ac:dyDescent="0.25">
      <c r="A2395" t="s">
        <v>7420</v>
      </c>
      <c r="B2395">
        <v>1</v>
      </c>
      <c r="C2395">
        <v>381</v>
      </c>
      <c r="D2395">
        <v>381</v>
      </c>
    </row>
    <row r="2396" spans="1:4" ht="15" x14ac:dyDescent="0.25">
      <c r="A2396" t="s">
        <v>7419</v>
      </c>
      <c r="B2396">
        <v>4</v>
      </c>
      <c r="C2396">
        <v>457</v>
      </c>
      <c r="D2396">
        <v>114.25</v>
      </c>
    </row>
    <row r="2397" spans="1:4" ht="15" x14ac:dyDescent="0.25">
      <c r="A2397" t="s">
        <v>7428</v>
      </c>
      <c r="B2397">
        <v>10</v>
      </c>
      <c r="C2397">
        <v>898</v>
      </c>
      <c r="D2397">
        <v>89.8</v>
      </c>
    </row>
    <row r="2398" spans="1:4" ht="15" x14ac:dyDescent="0.25">
      <c r="A2398" t="s">
        <v>7429</v>
      </c>
      <c r="B2398">
        <v>2</v>
      </c>
      <c r="C2398">
        <v>152</v>
      </c>
      <c r="D2398">
        <v>76</v>
      </c>
    </row>
    <row r="2399" spans="1:4" ht="15" x14ac:dyDescent="0.25">
      <c r="A2399" t="s">
        <v>7434</v>
      </c>
      <c r="B2399">
        <v>1</v>
      </c>
      <c r="C2399">
        <v>32</v>
      </c>
      <c r="D2399">
        <v>32</v>
      </c>
    </row>
    <row r="2400" spans="1:4" ht="15" x14ac:dyDescent="0.25">
      <c r="A2400" t="s">
        <v>7440</v>
      </c>
      <c r="B2400">
        <v>1</v>
      </c>
      <c r="C2400">
        <v>15</v>
      </c>
      <c r="D2400">
        <v>15</v>
      </c>
    </row>
    <row r="2401" spans="1:4" ht="15" x14ac:dyDescent="0.25">
      <c r="A2401" t="s">
        <v>7441</v>
      </c>
      <c r="B2401">
        <v>1</v>
      </c>
      <c r="C2401">
        <v>15</v>
      </c>
      <c r="D2401">
        <v>15</v>
      </c>
    </row>
    <row r="2402" spans="1:4" ht="15" x14ac:dyDescent="0.25">
      <c r="A2402" t="s">
        <v>7442</v>
      </c>
      <c r="B2402">
        <v>1</v>
      </c>
      <c r="C2402">
        <v>15</v>
      </c>
      <c r="D2402">
        <v>15</v>
      </c>
    </row>
    <row r="2403" spans="1:4" ht="15" x14ac:dyDescent="0.25">
      <c r="A2403" t="s">
        <v>7446</v>
      </c>
      <c r="B2403">
        <v>1</v>
      </c>
      <c r="C2403">
        <v>5</v>
      </c>
      <c r="D2403">
        <v>5</v>
      </c>
    </row>
    <row r="2404" spans="1:4" ht="15" x14ac:dyDescent="0.25">
      <c r="A2404" t="s">
        <v>7451</v>
      </c>
      <c r="B2404">
        <v>8</v>
      </c>
      <c r="C2404">
        <v>318</v>
      </c>
      <c r="D2404">
        <v>39.75</v>
      </c>
    </row>
    <row r="2405" spans="1:4" ht="15" x14ac:dyDescent="0.25">
      <c r="A2405" t="s">
        <v>7455</v>
      </c>
      <c r="B2405">
        <v>1</v>
      </c>
      <c r="C2405">
        <v>9</v>
      </c>
      <c r="D2405">
        <v>9</v>
      </c>
    </row>
    <row r="2406" spans="1:4" ht="15" x14ac:dyDescent="0.25">
      <c r="A2406" t="s">
        <v>7456</v>
      </c>
      <c r="B2406">
        <v>5</v>
      </c>
      <c r="C2406">
        <v>241</v>
      </c>
      <c r="D2406">
        <v>48.2</v>
      </c>
    </row>
    <row r="2407" spans="1:4" ht="15" x14ac:dyDescent="0.25">
      <c r="A2407" t="s">
        <v>7460</v>
      </c>
      <c r="B2407">
        <v>1</v>
      </c>
      <c r="C2407">
        <v>90</v>
      </c>
      <c r="D2407">
        <v>90</v>
      </c>
    </row>
    <row r="2408" spans="1:4" ht="15" x14ac:dyDescent="0.25">
      <c r="A2408" t="s">
        <v>7462</v>
      </c>
      <c r="B2408">
        <v>2</v>
      </c>
      <c r="C2408">
        <v>234</v>
      </c>
      <c r="D2408">
        <v>117</v>
      </c>
    </row>
    <row r="2409" spans="1:4" ht="15" x14ac:dyDescent="0.25">
      <c r="A2409" t="s">
        <v>7463</v>
      </c>
      <c r="B2409">
        <v>1</v>
      </c>
      <c r="C2409">
        <v>90</v>
      </c>
      <c r="D2409">
        <v>90</v>
      </c>
    </row>
    <row r="2410" spans="1:4" ht="15" x14ac:dyDescent="0.25">
      <c r="A2410" t="s">
        <v>7461</v>
      </c>
      <c r="B2410">
        <v>7</v>
      </c>
      <c r="C2410">
        <v>1126</v>
      </c>
      <c r="D2410">
        <v>160.85714285714286</v>
      </c>
    </row>
    <row r="2411" spans="1:4" ht="15" x14ac:dyDescent="0.25">
      <c r="A2411" t="s">
        <v>7468</v>
      </c>
      <c r="B2411">
        <v>1</v>
      </c>
      <c r="C2411">
        <v>120</v>
      </c>
      <c r="D2411">
        <v>120</v>
      </c>
    </row>
    <row r="2412" spans="1:4" ht="15" x14ac:dyDescent="0.25">
      <c r="A2412" t="s">
        <v>7469</v>
      </c>
      <c r="B2412">
        <v>1</v>
      </c>
      <c r="C2412">
        <v>120</v>
      </c>
      <c r="D2412">
        <v>120</v>
      </c>
    </row>
    <row r="2413" spans="1:4" ht="15" x14ac:dyDescent="0.25">
      <c r="A2413" t="s">
        <v>7471</v>
      </c>
      <c r="B2413">
        <v>2</v>
      </c>
      <c r="C2413">
        <v>128</v>
      </c>
      <c r="D2413">
        <v>64</v>
      </c>
    </row>
    <row r="2414" spans="1:4" ht="15" x14ac:dyDescent="0.25">
      <c r="A2414" t="s">
        <v>7472</v>
      </c>
      <c r="B2414">
        <v>1</v>
      </c>
      <c r="C2414">
        <v>120</v>
      </c>
      <c r="D2414">
        <v>120</v>
      </c>
    </row>
    <row r="2415" spans="1:4" ht="15" x14ac:dyDescent="0.25">
      <c r="A2415" t="s">
        <v>7470</v>
      </c>
      <c r="B2415">
        <v>1</v>
      </c>
      <c r="C2415">
        <v>120</v>
      </c>
      <c r="D2415">
        <v>120</v>
      </c>
    </row>
    <row r="2416" spans="1:4" ht="15" x14ac:dyDescent="0.25">
      <c r="A2416" t="s">
        <v>7477</v>
      </c>
      <c r="B2416">
        <v>1</v>
      </c>
      <c r="C2416">
        <v>8</v>
      </c>
      <c r="D2416">
        <v>8</v>
      </c>
    </row>
    <row r="2417" spans="1:4" ht="15" x14ac:dyDescent="0.25">
      <c r="A2417" t="s">
        <v>7476</v>
      </c>
      <c r="B2417">
        <v>1</v>
      </c>
      <c r="C2417">
        <v>8</v>
      </c>
      <c r="D2417">
        <v>8</v>
      </c>
    </row>
    <row r="2418" spans="1:4" ht="15" x14ac:dyDescent="0.25">
      <c r="A2418" t="s">
        <v>7481</v>
      </c>
      <c r="B2418">
        <v>1</v>
      </c>
      <c r="C2418">
        <v>7</v>
      </c>
      <c r="D2418">
        <v>7</v>
      </c>
    </row>
    <row r="2419" spans="1:4" ht="15" x14ac:dyDescent="0.25">
      <c r="A2419" t="s">
        <v>7483</v>
      </c>
      <c r="B2419">
        <v>1</v>
      </c>
      <c r="C2419">
        <v>7</v>
      </c>
      <c r="D2419">
        <v>7</v>
      </c>
    </row>
    <row r="2420" spans="1:4" ht="15" x14ac:dyDescent="0.25">
      <c r="A2420" t="s">
        <v>7482</v>
      </c>
      <c r="B2420">
        <v>1</v>
      </c>
      <c r="C2420">
        <v>7</v>
      </c>
      <c r="D2420">
        <v>7</v>
      </c>
    </row>
    <row r="2421" spans="1:4" ht="15" x14ac:dyDescent="0.25">
      <c r="A2421" t="s">
        <v>7488</v>
      </c>
      <c r="B2421">
        <v>1</v>
      </c>
      <c r="C2421">
        <v>20</v>
      </c>
      <c r="D2421">
        <v>20</v>
      </c>
    </row>
    <row r="2422" spans="1:4" ht="15" x14ac:dyDescent="0.25">
      <c r="A2422" t="s">
        <v>7489</v>
      </c>
      <c r="B2422">
        <v>3</v>
      </c>
      <c r="C2422">
        <v>181</v>
      </c>
      <c r="D2422">
        <v>60.333333333333336</v>
      </c>
    </row>
    <row r="2423" spans="1:4" ht="15" x14ac:dyDescent="0.25">
      <c r="A2423" t="s">
        <v>7491</v>
      </c>
      <c r="B2423">
        <v>6</v>
      </c>
      <c r="C2423">
        <v>1109</v>
      </c>
      <c r="D2423">
        <v>184.83333333333334</v>
      </c>
    </row>
    <row r="2424" spans="1:4" ht="15" x14ac:dyDescent="0.25">
      <c r="A2424" t="s">
        <v>7490</v>
      </c>
      <c r="B2424">
        <v>7</v>
      </c>
      <c r="C2424">
        <v>690</v>
      </c>
      <c r="D2424">
        <v>98.571428571428569</v>
      </c>
    </row>
    <row r="2425" spans="1:4" ht="15" x14ac:dyDescent="0.25">
      <c r="A2425" t="s">
        <v>7495</v>
      </c>
      <c r="B2425">
        <v>2</v>
      </c>
      <c r="C2425">
        <v>63</v>
      </c>
      <c r="D2425">
        <v>31.5</v>
      </c>
    </row>
    <row r="2426" spans="1:4" ht="15" x14ac:dyDescent="0.25">
      <c r="A2426" t="s">
        <v>7499</v>
      </c>
      <c r="B2426">
        <v>1</v>
      </c>
      <c r="C2426">
        <v>40</v>
      </c>
      <c r="D2426">
        <v>40</v>
      </c>
    </row>
    <row r="2427" spans="1:4" ht="15" x14ac:dyDescent="0.25">
      <c r="A2427" t="s">
        <v>7500</v>
      </c>
      <c r="B2427">
        <v>1</v>
      </c>
      <c r="C2427">
        <v>40</v>
      </c>
      <c r="D2427">
        <v>40</v>
      </c>
    </row>
    <row r="2428" spans="1:4" ht="15" x14ac:dyDescent="0.25">
      <c r="A2428" t="s">
        <v>7502</v>
      </c>
      <c r="B2428">
        <v>1</v>
      </c>
      <c r="C2428">
        <v>40</v>
      </c>
      <c r="D2428">
        <v>40</v>
      </c>
    </row>
    <row r="2429" spans="1:4" ht="15" x14ac:dyDescent="0.25">
      <c r="A2429" t="s">
        <v>7503</v>
      </c>
      <c r="B2429">
        <v>1</v>
      </c>
      <c r="C2429">
        <v>40</v>
      </c>
      <c r="D2429">
        <v>40</v>
      </c>
    </row>
    <row r="2430" spans="1:4" ht="15" x14ac:dyDescent="0.25">
      <c r="A2430" t="s">
        <v>7501</v>
      </c>
      <c r="B2430">
        <v>1</v>
      </c>
      <c r="C2430">
        <v>40</v>
      </c>
      <c r="D2430">
        <v>40</v>
      </c>
    </row>
    <row r="2431" spans="1:4" ht="15" x14ac:dyDescent="0.25">
      <c r="A2431" t="s">
        <v>7507</v>
      </c>
      <c r="B2431">
        <v>1</v>
      </c>
      <c r="C2431">
        <v>20</v>
      </c>
      <c r="D2431">
        <v>20</v>
      </c>
    </row>
    <row r="2432" spans="1:4" ht="15" x14ac:dyDescent="0.25">
      <c r="A2432" t="s">
        <v>7509</v>
      </c>
      <c r="B2432">
        <v>1</v>
      </c>
      <c r="C2432">
        <v>20</v>
      </c>
      <c r="D2432">
        <v>20</v>
      </c>
    </row>
    <row r="2433" spans="1:4" ht="15" x14ac:dyDescent="0.25">
      <c r="A2433" t="s">
        <v>7510</v>
      </c>
      <c r="B2433">
        <v>1</v>
      </c>
      <c r="C2433">
        <v>20</v>
      </c>
      <c r="D2433">
        <v>20</v>
      </c>
    </row>
    <row r="2434" spans="1:4" ht="15" x14ac:dyDescent="0.25">
      <c r="A2434" t="s">
        <v>7508</v>
      </c>
      <c r="B2434">
        <v>1</v>
      </c>
      <c r="C2434">
        <v>20</v>
      </c>
      <c r="D2434">
        <v>20</v>
      </c>
    </row>
    <row r="2435" spans="1:4" ht="15" x14ac:dyDescent="0.25">
      <c r="A2435" t="s">
        <v>7515</v>
      </c>
      <c r="B2435">
        <v>1</v>
      </c>
      <c r="C2435">
        <v>26</v>
      </c>
      <c r="D2435">
        <v>26</v>
      </c>
    </row>
    <row r="2436" spans="1:4" ht="15" x14ac:dyDescent="0.25">
      <c r="A2436" t="s">
        <v>7517</v>
      </c>
      <c r="B2436">
        <v>2</v>
      </c>
      <c r="C2436">
        <v>65</v>
      </c>
      <c r="D2436">
        <v>32.5</v>
      </c>
    </row>
    <row r="2437" spans="1:4" ht="15" x14ac:dyDescent="0.25">
      <c r="A2437" t="s">
        <v>7516</v>
      </c>
      <c r="B2437">
        <v>1</v>
      </c>
      <c r="C2437">
        <v>26</v>
      </c>
      <c r="D2437">
        <v>26</v>
      </c>
    </row>
    <row r="2438" spans="1:4" ht="15" x14ac:dyDescent="0.25">
      <c r="A2438" t="s">
        <v>7523</v>
      </c>
      <c r="B2438">
        <v>4</v>
      </c>
      <c r="C2438">
        <v>3523</v>
      </c>
      <c r="D2438">
        <v>880.75</v>
      </c>
    </row>
    <row r="2439" spans="1:4" ht="15" x14ac:dyDescent="0.25">
      <c r="A2439" t="s">
        <v>7524</v>
      </c>
      <c r="B2439">
        <v>8</v>
      </c>
      <c r="C2439">
        <v>1561</v>
      </c>
      <c r="D2439">
        <v>195.125</v>
      </c>
    </row>
    <row r="2440" spans="1:4" ht="15" x14ac:dyDescent="0.25">
      <c r="A2440" t="s">
        <v>7525</v>
      </c>
      <c r="B2440">
        <v>2</v>
      </c>
      <c r="C2440">
        <v>1386</v>
      </c>
      <c r="D2440">
        <v>693</v>
      </c>
    </row>
    <row r="2441" spans="1:4" ht="15" x14ac:dyDescent="0.25">
      <c r="A2441" t="s">
        <v>7529</v>
      </c>
      <c r="B2441">
        <v>3</v>
      </c>
      <c r="C2441">
        <v>5166</v>
      </c>
      <c r="D2441">
        <v>1722</v>
      </c>
    </row>
    <row r="2442" spans="1:4" ht="15" x14ac:dyDescent="0.25">
      <c r="A2442" t="s">
        <v>7530</v>
      </c>
      <c r="B2442">
        <v>2</v>
      </c>
      <c r="C2442">
        <v>2571</v>
      </c>
      <c r="D2442">
        <v>1285.5</v>
      </c>
    </row>
    <row r="2443" spans="1:4" ht="15" x14ac:dyDescent="0.25">
      <c r="A2443" t="s">
        <v>7528</v>
      </c>
      <c r="B2443">
        <v>2</v>
      </c>
      <c r="C2443">
        <v>2930</v>
      </c>
      <c r="D2443">
        <v>1465</v>
      </c>
    </row>
    <row r="2444" spans="1:4" ht="15" x14ac:dyDescent="0.25">
      <c r="A2444" t="s">
        <v>7536</v>
      </c>
      <c r="B2444">
        <v>1</v>
      </c>
      <c r="C2444">
        <v>22</v>
      </c>
      <c r="D2444">
        <v>22</v>
      </c>
    </row>
    <row r="2445" spans="1:4" ht="15" x14ac:dyDescent="0.25">
      <c r="A2445" t="s">
        <v>7537</v>
      </c>
      <c r="B2445">
        <v>2</v>
      </c>
      <c r="C2445">
        <v>53</v>
      </c>
      <c r="D2445">
        <v>26.5</v>
      </c>
    </row>
    <row r="2446" spans="1:4" ht="15" x14ac:dyDescent="0.25">
      <c r="A2446" t="s">
        <v>7535</v>
      </c>
      <c r="B2446">
        <v>2</v>
      </c>
      <c r="C2446">
        <v>53</v>
      </c>
      <c r="D2446">
        <v>26.5</v>
      </c>
    </row>
    <row r="2447" spans="1:4" ht="15" x14ac:dyDescent="0.25">
      <c r="A2447" t="s">
        <v>7543</v>
      </c>
      <c r="B2447">
        <v>1</v>
      </c>
      <c r="C2447">
        <v>58</v>
      </c>
      <c r="D2447">
        <v>58</v>
      </c>
    </row>
    <row r="2448" spans="1:4" ht="15" x14ac:dyDescent="0.25">
      <c r="A2448" t="s">
        <v>7544</v>
      </c>
      <c r="B2448">
        <v>2</v>
      </c>
      <c r="C2448">
        <v>101</v>
      </c>
      <c r="D2448">
        <v>50.5</v>
      </c>
    </row>
    <row r="2449" spans="1:4" ht="15" x14ac:dyDescent="0.25">
      <c r="A2449" t="s">
        <v>3993</v>
      </c>
      <c r="B2449">
        <v>3</v>
      </c>
      <c r="C2449">
        <v>2137</v>
      </c>
      <c r="D2449">
        <v>712.33333333333337</v>
      </c>
    </row>
    <row r="2450" spans="1:4" ht="15" x14ac:dyDescent="0.25">
      <c r="A2450" t="s">
        <v>7547</v>
      </c>
      <c r="B2450">
        <v>5</v>
      </c>
      <c r="C2450">
        <v>4413</v>
      </c>
      <c r="D2450">
        <v>882.6</v>
      </c>
    </row>
    <row r="2451" spans="1:4" ht="15" x14ac:dyDescent="0.25">
      <c r="A2451" t="s">
        <v>7551</v>
      </c>
      <c r="B2451">
        <v>1</v>
      </c>
      <c r="C2451">
        <v>37</v>
      </c>
      <c r="D2451">
        <v>37</v>
      </c>
    </row>
    <row r="2452" spans="1:4" ht="15" x14ac:dyDescent="0.25">
      <c r="A2452" t="s">
        <v>7552</v>
      </c>
      <c r="B2452">
        <v>11</v>
      </c>
      <c r="C2452">
        <v>645</v>
      </c>
      <c r="D2452">
        <v>58.636363636363633</v>
      </c>
    </row>
    <row r="2453" spans="1:4" ht="15" x14ac:dyDescent="0.25">
      <c r="A2453" t="s">
        <v>7553</v>
      </c>
      <c r="B2453">
        <v>4</v>
      </c>
      <c r="C2453">
        <v>368</v>
      </c>
      <c r="D2453">
        <v>92</v>
      </c>
    </row>
    <row r="2454" spans="1:4" ht="15" x14ac:dyDescent="0.25">
      <c r="A2454" t="s">
        <v>7554</v>
      </c>
      <c r="B2454">
        <v>1</v>
      </c>
      <c r="C2454">
        <v>37</v>
      </c>
      <c r="D2454">
        <v>37</v>
      </c>
    </row>
    <row r="2455" spans="1:4" ht="15" x14ac:dyDescent="0.25">
      <c r="A2455" t="s">
        <v>7559</v>
      </c>
      <c r="B2455">
        <v>1</v>
      </c>
      <c r="C2455">
        <v>21</v>
      </c>
      <c r="D2455">
        <v>21</v>
      </c>
    </row>
    <row r="2456" spans="1:4" ht="15" x14ac:dyDescent="0.25">
      <c r="A2456" t="s">
        <v>7560</v>
      </c>
      <c r="B2456">
        <v>5</v>
      </c>
      <c r="C2456">
        <v>139</v>
      </c>
      <c r="D2456">
        <v>27.8</v>
      </c>
    </row>
    <row r="2457" spans="1:4" ht="15" x14ac:dyDescent="0.25">
      <c r="A2457" t="s">
        <v>7558</v>
      </c>
      <c r="B2457">
        <v>4</v>
      </c>
      <c r="C2457">
        <v>71</v>
      </c>
      <c r="D2457">
        <v>17.75</v>
      </c>
    </row>
    <row r="2458" spans="1:4" ht="15" x14ac:dyDescent="0.25">
      <c r="A2458" t="s">
        <v>7564</v>
      </c>
      <c r="B2458">
        <v>7</v>
      </c>
      <c r="C2458">
        <v>395</v>
      </c>
      <c r="D2458">
        <v>56.428571428571431</v>
      </c>
    </row>
    <row r="2459" spans="1:4" ht="15" x14ac:dyDescent="0.25">
      <c r="A2459" t="s">
        <v>7565</v>
      </c>
      <c r="B2459">
        <v>1</v>
      </c>
      <c r="C2459">
        <v>7</v>
      </c>
      <c r="D2459">
        <v>7</v>
      </c>
    </row>
    <row r="2460" spans="1:4" ht="15" x14ac:dyDescent="0.25">
      <c r="A2460" t="s">
        <v>7570</v>
      </c>
      <c r="B2460">
        <v>1</v>
      </c>
      <c r="C2460">
        <v>78</v>
      </c>
      <c r="D2460">
        <v>78</v>
      </c>
    </row>
    <row r="2461" spans="1:4" ht="15" x14ac:dyDescent="0.25">
      <c r="A2461" t="s">
        <v>7571</v>
      </c>
      <c r="B2461">
        <v>1</v>
      </c>
      <c r="C2461">
        <v>78</v>
      </c>
      <c r="D2461">
        <v>78</v>
      </c>
    </row>
    <row r="2462" spans="1:4" ht="15" x14ac:dyDescent="0.25">
      <c r="A2462" t="s">
        <v>7575</v>
      </c>
      <c r="B2462">
        <v>1</v>
      </c>
      <c r="C2462">
        <v>12</v>
      </c>
      <c r="D2462">
        <v>12</v>
      </c>
    </row>
    <row r="2463" spans="1:4" ht="15" x14ac:dyDescent="0.25">
      <c r="A2463" t="s">
        <v>7581</v>
      </c>
      <c r="B2463">
        <v>1</v>
      </c>
      <c r="C2463">
        <v>106</v>
      </c>
      <c r="D2463">
        <v>106</v>
      </c>
    </row>
    <row r="2464" spans="1:4" ht="15" x14ac:dyDescent="0.25">
      <c r="A2464" t="s">
        <v>7582</v>
      </c>
      <c r="B2464">
        <v>1</v>
      </c>
      <c r="C2464">
        <v>106</v>
      </c>
      <c r="D2464">
        <v>106</v>
      </c>
    </row>
    <row r="2465" spans="1:4" ht="15" x14ac:dyDescent="0.25">
      <c r="A2465" t="s">
        <v>7584</v>
      </c>
      <c r="B2465">
        <v>3</v>
      </c>
      <c r="C2465">
        <v>395</v>
      </c>
      <c r="D2465">
        <v>131.66666666666666</v>
      </c>
    </row>
    <row r="2466" spans="1:4" ht="15" x14ac:dyDescent="0.25">
      <c r="A2466" t="s">
        <v>7585</v>
      </c>
      <c r="B2466">
        <v>1</v>
      </c>
      <c r="C2466">
        <v>106</v>
      </c>
      <c r="D2466">
        <v>106</v>
      </c>
    </row>
    <row r="2467" spans="1:4" ht="15" x14ac:dyDescent="0.25">
      <c r="A2467" t="s">
        <v>7583</v>
      </c>
      <c r="B2467">
        <v>1</v>
      </c>
      <c r="C2467">
        <v>106</v>
      </c>
      <c r="D2467">
        <v>106</v>
      </c>
    </row>
    <row r="2468" spans="1:4" ht="15" x14ac:dyDescent="0.25">
      <c r="A2468" t="s">
        <v>7588</v>
      </c>
      <c r="B2468">
        <v>1</v>
      </c>
      <c r="C2468">
        <v>352</v>
      </c>
      <c r="D2468">
        <v>352</v>
      </c>
    </row>
    <row r="2469" spans="1:4" ht="15" x14ac:dyDescent="0.25">
      <c r="A2469" t="s">
        <v>7590</v>
      </c>
      <c r="B2469">
        <v>6</v>
      </c>
      <c r="C2469">
        <v>1611</v>
      </c>
      <c r="D2469">
        <v>268.5</v>
      </c>
    </row>
    <row r="2470" spans="1:4" ht="15" x14ac:dyDescent="0.25">
      <c r="A2470" t="s">
        <v>7591</v>
      </c>
      <c r="B2470">
        <v>4</v>
      </c>
      <c r="C2470">
        <v>460</v>
      </c>
      <c r="D2470">
        <v>115</v>
      </c>
    </row>
    <row r="2471" spans="1:4" ht="15" x14ac:dyDescent="0.25">
      <c r="A2471" t="s">
        <v>7589</v>
      </c>
      <c r="B2471">
        <v>15</v>
      </c>
      <c r="C2471">
        <v>1406</v>
      </c>
      <c r="D2471">
        <v>93.733333333333334</v>
      </c>
    </row>
    <row r="2472" spans="1:4" ht="15" x14ac:dyDescent="0.25">
      <c r="A2472" t="s">
        <v>7595</v>
      </c>
      <c r="B2472">
        <v>1</v>
      </c>
      <c r="C2472">
        <v>7</v>
      </c>
      <c r="D2472">
        <v>7</v>
      </c>
    </row>
    <row r="2473" spans="1:4" ht="15" x14ac:dyDescent="0.25">
      <c r="A2473" t="s">
        <v>7596</v>
      </c>
      <c r="B2473">
        <v>1</v>
      </c>
      <c r="C2473">
        <v>7</v>
      </c>
      <c r="D2473">
        <v>7</v>
      </c>
    </row>
    <row r="2474" spans="1:4" ht="15" x14ac:dyDescent="0.25">
      <c r="A2474" t="s">
        <v>7597</v>
      </c>
      <c r="B2474">
        <v>1</v>
      </c>
      <c r="C2474">
        <v>7</v>
      </c>
      <c r="D2474">
        <v>7</v>
      </c>
    </row>
    <row r="2475" spans="1:4" ht="15" x14ac:dyDescent="0.25">
      <c r="A2475" t="s">
        <v>7601</v>
      </c>
      <c r="B2475">
        <v>2</v>
      </c>
      <c r="C2475">
        <v>80</v>
      </c>
      <c r="D2475">
        <v>40</v>
      </c>
    </row>
    <row r="2476" spans="1:4" ht="15" x14ac:dyDescent="0.25">
      <c r="A2476" t="s">
        <v>7602</v>
      </c>
      <c r="B2476">
        <v>2</v>
      </c>
      <c r="C2476">
        <v>53</v>
      </c>
      <c r="D2476">
        <v>26.5</v>
      </c>
    </row>
    <row r="2477" spans="1:4" ht="15" x14ac:dyDescent="0.25">
      <c r="A2477" t="s">
        <v>7607</v>
      </c>
      <c r="B2477">
        <v>1</v>
      </c>
      <c r="C2477">
        <v>36</v>
      </c>
      <c r="D2477">
        <v>36</v>
      </c>
    </row>
    <row r="2478" spans="1:4" ht="15" x14ac:dyDescent="0.25">
      <c r="A2478" t="s">
        <v>7608</v>
      </c>
      <c r="B2478">
        <v>2</v>
      </c>
      <c r="C2478">
        <v>506</v>
      </c>
      <c r="D2478">
        <v>253</v>
      </c>
    </row>
    <row r="2479" spans="1:4" ht="15" x14ac:dyDescent="0.25">
      <c r="A2479" t="s">
        <v>7612</v>
      </c>
      <c r="B2479">
        <v>1</v>
      </c>
      <c r="C2479">
        <v>6</v>
      </c>
      <c r="D2479">
        <v>6</v>
      </c>
    </row>
    <row r="2480" spans="1:4" ht="15" x14ac:dyDescent="0.25">
      <c r="A2480" t="s">
        <v>7613</v>
      </c>
      <c r="B2480">
        <v>1</v>
      </c>
      <c r="C2480">
        <v>6</v>
      </c>
      <c r="D2480">
        <v>6</v>
      </c>
    </row>
    <row r="2481" spans="1:4" ht="15" x14ac:dyDescent="0.25">
      <c r="A2481" t="s">
        <v>7614</v>
      </c>
      <c r="B2481">
        <v>1</v>
      </c>
      <c r="C2481">
        <v>25</v>
      </c>
      <c r="D2481">
        <v>25</v>
      </c>
    </row>
    <row r="2482" spans="1:4" ht="15" x14ac:dyDescent="0.25">
      <c r="A2482" t="s">
        <v>7621</v>
      </c>
      <c r="B2482">
        <v>1</v>
      </c>
      <c r="C2482">
        <v>113</v>
      </c>
      <c r="D2482">
        <v>113</v>
      </c>
    </row>
    <row r="2483" spans="1:4" ht="15" x14ac:dyDescent="0.25">
      <c r="A2483" t="s">
        <v>7622</v>
      </c>
      <c r="B2483">
        <v>1</v>
      </c>
      <c r="C2483">
        <v>113</v>
      </c>
      <c r="D2483">
        <v>113</v>
      </c>
    </row>
    <row r="2484" spans="1:4" ht="15" x14ac:dyDescent="0.25">
      <c r="A2484" t="s">
        <v>7623</v>
      </c>
      <c r="B2484">
        <v>1</v>
      </c>
      <c r="C2484">
        <v>113</v>
      </c>
      <c r="D2484">
        <v>113</v>
      </c>
    </row>
    <row r="2485" spans="1:4" ht="15" x14ac:dyDescent="0.25">
      <c r="A2485" t="s">
        <v>7627</v>
      </c>
      <c r="B2485">
        <v>1</v>
      </c>
      <c r="C2485">
        <v>16</v>
      </c>
      <c r="D2485">
        <v>16</v>
      </c>
    </row>
    <row r="2486" spans="1:4" ht="15" x14ac:dyDescent="0.25">
      <c r="A2486" t="s">
        <v>7632</v>
      </c>
      <c r="B2486">
        <v>1</v>
      </c>
      <c r="C2486">
        <v>28</v>
      </c>
      <c r="D2486">
        <v>28</v>
      </c>
    </row>
    <row r="2487" spans="1:4" ht="15" x14ac:dyDescent="0.25">
      <c r="A2487" t="s">
        <v>7628</v>
      </c>
      <c r="B2487">
        <v>1</v>
      </c>
      <c r="C2487">
        <v>28</v>
      </c>
      <c r="D2487">
        <v>28</v>
      </c>
    </row>
    <row r="2488" spans="1:4" ht="15" x14ac:dyDescent="0.25">
      <c r="A2488" t="s">
        <v>7631</v>
      </c>
      <c r="B2488">
        <v>1</v>
      </c>
      <c r="C2488">
        <v>28</v>
      </c>
      <c r="D2488">
        <v>28</v>
      </c>
    </row>
    <row r="2489" spans="1:4" ht="15" x14ac:dyDescent="0.25">
      <c r="A2489" t="s">
        <v>7636</v>
      </c>
      <c r="B2489">
        <v>1</v>
      </c>
      <c r="C2489">
        <v>4</v>
      </c>
      <c r="D2489">
        <v>4</v>
      </c>
    </row>
    <row r="2490" spans="1:4" ht="15" x14ac:dyDescent="0.25">
      <c r="A2490" t="s">
        <v>7637</v>
      </c>
      <c r="B2490">
        <v>1</v>
      </c>
      <c r="C2490">
        <v>4</v>
      </c>
      <c r="D2490">
        <v>4</v>
      </c>
    </row>
    <row r="2491" spans="1:4" ht="15" x14ac:dyDescent="0.25">
      <c r="A2491" t="s">
        <v>7639</v>
      </c>
      <c r="B2491">
        <v>1</v>
      </c>
      <c r="C2491">
        <v>4</v>
      </c>
      <c r="D2491">
        <v>4</v>
      </c>
    </row>
    <row r="2492" spans="1:4" ht="15" x14ac:dyDescent="0.25">
      <c r="A2492" t="s">
        <v>7640</v>
      </c>
      <c r="B2492">
        <v>1</v>
      </c>
      <c r="C2492">
        <v>4</v>
      </c>
      <c r="D2492">
        <v>4</v>
      </c>
    </row>
    <row r="2493" spans="1:4" ht="15" x14ac:dyDescent="0.25">
      <c r="A2493" t="s">
        <v>7638</v>
      </c>
      <c r="B2493">
        <v>1</v>
      </c>
      <c r="C2493">
        <v>4</v>
      </c>
      <c r="D2493">
        <v>4</v>
      </c>
    </row>
    <row r="2494" spans="1:4" ht="15" x14ac:dyDescent="0.25">
      <c r="A2494" t="s">
        <v>7644</v>
      </c>
      <c r="B2494">
        <v>3</v>
      </c>
      <c r="C2494">
        <v>53</v>
      </c>
      <c r="D2494">
        <v>17.666666666666668</v>
      </c>
    </row>
    <row r="2495" spans="1:4" ht="15" x14ac:dyDescent="0.25">
      <c r="A2495" t="s">
        <v>7646</v>
      </c>
      <c r="B2495">
        <v>1</v>
      </c>
      <c r="C2495">
        <v>23</v>
      </c>
      <c r="D2495">
        <v>23</v>
      </c>
    </row>
    <row r="2496" spans="1:4" ht="15" x14ac:dyDescent="0.25">
      <c r="A2496" t="s">
        <v>7645</v>
      </c>
      <c r="B2496">
        <v>1</v>
      </c>
      <c r="C2496">
        <v>23</v>
      </c>
      <c r="D2496">
        <v>23</v>
      </c>
    </row>
    <row r="2497" spans="1:4" ht="15" x14ac:dyDescent="0.25">
      <c r="A2497" t="s">
        <v>7650</v>
      </c>
      <c r="B2497">
        <v>1</v>
      </c>
      <c r="C2497">
        <v>9</v>
      </c>
      <c r="D2497">
        <v>9</v>
      </c>
    </row>
    <row r="2498" spans="1:4" ht="15" x14ac:dyDescent="0.25">
      <c r="A2498" t="s">
        <v>7651</v>
      </c>
      <c r="B2498">
        <v>3</v>
      </c>
      <c r="C2498">
        <v>38</v>
      </c>
      <c r="D2498">
        <v>12.666666666666666</v>
      </c>
    </row>
    <row r="2499" spans="1:4" ht="15" x14ac:dyDescent="0.25">
      <c r="A2499" t="s">
        <v>7653</v>
      </c>
      <c r="B2499">
        <v>1</v>
      </c>
      <c r="C2499">
        <v>9</v>
      </c>
      <c r="D2499">
        <v>9</v>
      </c>
    </row>
    <row r="2500" spans="1:4" ht="15" x14ac:dyDescent="0.25">
      <c r="A2500" t="s">
        <v>7652</v>
      </c>
      <c r="B2500">
        <v>4</v>
      </c>
      <c r="C2500">
        <v>56</v>
      </c>
      <c r="D2500">
        <v>14</v>
      </c>
    </row>
    <row r="2501" spans="1:4" ht="15" x14ac:dyDescent="0.25">
      <c r="A2501" t="s">
        <v>7659</v>
      </c>
      <c r="B2501">
        <v>1</v>
      </c>
      <c r="C2501">
        <v>7</v>
      </c>
      <c r="D2501">
        <v>7</v>
      </c>
    </row>
    <row r="2502" spans="1:4" ht="15" x14ac:dyDescent="0.25">
      <c r="A2502" t="s">
        <v>7661</v>
      </c>
      <c r="B2502">
        <v>1</v>
      </c>
      <c r="C2502">
        <v>7</v>
      </c>
      <c r="D2502">
        <v>7</v>
      </c>
    </row>
    <row r="2503" spans="1:4" ht="15" x14ac:dyDescent="0.25">
      <c r="A2503" t="s">
        <v>7660</v>
      </c>
      <c r="B2503">
        <v>1</v>
      </c>
      <c r="C2503">
        <v>7</v>
      </c>
      <c r="D2503">
        <v>7</v>
      </c>
    </row>
    <row r="2504" spans="1:4" ht="15" x14ac:dyDescent="0.25">
      <c r="A2504" t="s">
        <v>7665</v>
      </c>
      <c r="B2504">
        <v>1</v>
      </c>
      <c r="C2504">
        <v>23</v>
      </c>
      <c r="D2504">
        <v>23</v>
      </c>
    </row>
    <row r="2505" spans="1:4" ht="15" x14ac:dyDescent="0.25">
      <c r="A2505" t="s">
        <v>7666</v>
      </c>
      <c r="B2505">
        <v>1</v>
      </c>
      <c r="C2505">
        <v>23</v>
      </c>
      <c r="D2505">
        <v>23</v>
      </c>
    </row>
    <row r="2506" spans="1:4" ht="15" x14ac:dyDescent="0.25">
      <c r="A2506" t="s">
        <v>7671</v>
      </c>
      <c r="B2506">
        <v>1</v>
      </c>
      <c r="C2506">
        <v>16</v>
      </c>
      <c r="D2506">
        <v>16</v>
      </c>
    </row>
    <row r="2507" spans="1:4" ht="15" x14ac:dyDescent="0.25">
      <c r="A2507" t="s">
        <v>7672</v>
      </c>
      <c r="B2507">
        <v>1</v>
      </c>
      <c r="C2507">
        <v>16</v>
      </c>
      <c r="D2507">
        <v>16</v>
      </c>
    </row>
    <row r="2508" spans="1:4" ht="15" x14ac:dyDescent="0.25">
      <c r="A2508" t="s">
        <v>7677</v>
      </c>
      <c r="B2508">
        <v>1</v>
      </c>
      <c r="C2508">
        <v>28</v>
      </c>
      <c r="D2508">
        <v>28</v>
      </c>
    </row>
    <row r="2509" spans="1:4" ht="15" x14ac:dyDescent="0.25">
      <c r="A2509" t="s">
        <v>7678</v>
      </c>
      <c r="B2509">
        <v>1</v>
      </c>
      <c r="C2509">
        <v>28</v>
      </c>
      <c r="D2509">
        <v>28</v>
      </c>
    </row>
    <row r="2510" spans="1:4" ht="15" x14ac:dyDescent="0.25">
      <c r="A2510" t="s">
        <v>7679</v>
      </c>
      <c r="B2510">
        <v>1</v>
      </c>
      <c r="C2510">
        <v>28</v>
      </c>
      <c r="D2510">
        <v>28</v>
      </c>
    </row>
    <row r="2511" spans="1:4" ht="15" x14ac:dyDescent="0.25">
      <c r="A2511" t="s">
        <v>7683</v>
      </c>
      <c r="B2511">
        <v>1</v>
      </c>
      <c r="C2511">
        <v>7</v>
      </c>
      <c r="D2511">
        <v>7</v>
      </c>
    </row>
    <row r="2512" spans="1:4" ht="15" x14ac:dyDescent="0.25">
      <c r="A2512" t="s">
        <v>7685</v>
      </c>
      <c r="B2512">
        <v>1</v>
      </c>
      <c r="C2512">
        <v>7</v>
      </c>
      <c r="D2512">
        <v>7</v>
      </c>
    </row>
    <row r="2513" spans="1:4" ht="15" x14ac:dyDescent="0.25">
      <c r="A2513" t="s">
        <v>7684</v>
      </c>
      <c r="B2513">
        <v>1</v>
      </c>
      <c r="C2513">
        <v>7</v>
      </c>
      <c r="D2513">
        <v>7</v>
      </c>
    </row>
    <row r="2514" spans="1:4" ht="15" x14ac:dyDescent="0.25">
      <c r="A2514" t="s">
        <v>7689</v>
      </c>
      <c r="B2514">
        <v>1</v>
      </c>
      <c r="C2514">
        <v>16</v>
      </c>
      <c r="D2514">
        <v>16</v>
      </c>
    </row>
    <row r="2515" spans="1:4" ht="15" x14ac:dyDescent="0.25">
      <c r="A2515" t="s">
        <v>7690</v>
      </c>
      <c r="B2515">
        <v>3</v>
      </c>
      <c r="C2515">
        <v>60</v>
      </c>
      <c r="D2515">
        <v>20</v>
      </c>
    </row>
    <row r="2516" spans="1:4" ht="15" x14ac:dyDescent="0.25">
      <c r="A2516" t="s">
        <v>7692</v>
      </c>
      <c r="B2516">
        <v>7</v>
      </c>
      <c r="C2516">
        <v>200</v>
      </c>
      <c r="D2516">
        <v>28.571428571428573</v>
      </c>
    </row>
    <row r="2517" spans="1:4" ht="15" x14ac:dyDescent="0.25">
      <c r="A2517" t="s">
        <v>7691</v>
      </c>
      <c r="B2517">
        <v>1</v>
      </c>
      <c r="C2517">
        <v>16</v>
      </c>
      <c r="D2517">
        <v>16</v>
      </c>
    </row>
    <row r="2518" spans="1:4" ht="15" x14ac:dyDescent="0.25">
      <c r="A2518" t="s">
        <v>7696</v>
      </c>
      <c r="B2518">
        <v>2</v>
      </c>
      <c r="C2518">
        <v>71</v>
      </c>
      <c r="D2518">
        <v>35.5</v>
      </c>
    </row>
    <row r="2519" spans="1:4" ht="15" x14ac:dyDescent="0.25">
      <c r="A2519" t="s">
        <v>7697</v>
      </c>
      <c r="B2519">
        <v>1</v>
      </c>
      <c r="C2519">
        <v>21</v>
      </c>
      <c r="D2519">
        <v>21</v>
      </c>
    </row>
    <row r="2520" spans="1:4" ht="15" x14ac:dyDescent="0.25">
      <c r="A2520" t="s">
        <v>7701</v>
      </c>
      <c r="B2520">
        <v>1</v>
      </c>
      <c r="C2520">
        <v>157</v>
      </c>
      <c r="D2520">
        <v>157</v>
      </c>
    </row>
    <row r="2521" spans="1:4" ht="15" x14ac:dyDescent="0.25">
      <c r="A2521" t="s">
        <v>7702</v>
      </c>
      <c r="B2521">
        <v>1</v>
      </c>
      <c r="C2521">
        <v>157</v>
      </c>
      <c r="D2521">
        <v>157</v>
      </c>
    </row>
    <row r="2522" spans="1:4" ht="15" x14ac:dyDescent="0.25">
      <c r="A2522" t="s">
        <v>7704</v>
      </c>
      <c r="B2522">
        <v>1</v>
      </c>
      <c r="C2522">
        <v>157</v>
      </c>
      <c r="D2522">
        <v>157</v>
      </c>
    </row>
    <row r="2523" spans="1:4" ht="15" x14ac:dyDescent="0.25">
      <c r="A2523" t="s">
        <v>7703</v>
      </c>
      <c r="B2523">
        <v>3</v>
      </c>
      <c r="C2523">
        <v>406</v>
      </c>
      <c r="D2523">
        <v>135.33333333333334</v>
      </c>
    </row>
    <row r="2524" spans="1:4" ht="15" x14ac:dyDescent="0.25">
      <c r="A2524" t="s">
        <v>7711</v>
      </c>
      <c r="B2524">
        <v>2</v>
      </c>
      <c r="C2524">
        <v>134</v>
      </c>
      <c r="D2524">
        <v>67</v>
      </c>
    </row>
    <row r="2525" spans="1:4" ht="15" x14ac:dyDescent="0.25">
      <c r="A2525" t="s">
        <v>7710</v>
      </c>
      <c r="B2525">
        <v>3</v>
      </c>
      <c r="C2525">
        <v>204</v>
      </c>
      <c r="D2525">
        <v>68</v>
      </c>
    </row>
    <row r="2526" spans="1:4" ht="15" x14ac:dyDescent="0.25">
      <c r="A2526" t="s">
        <v>7716</v>
      </c>
      <c r="B2526">
        <v>1</v>
      </c>
      <c r="C2526">
        <v>31</v>
      </c>
      <c r="D2526">
        <v>31</v>
      </c>
    </row>
    <row r="2527" spans="1:4" ht="15" x14ac:dyDescent="0.25">
      <c r="A2527" t="s">
        <v>7718</v>
      </c>
      <c r="B2527">
        <v>1</v>
      </c>
      <c r="C2527">
        <v>31</v>
      </c>
      <c r="D2527">
        <v>31</v>
      </c>
    </row>
    <row r="2528" spans="1:4" ht="15" x14ac:dyDescent="0.25">
      <c r="A2528" t="s">
        <v>7717</v>
      </c>
      <c r="B2528">
        <v>2</v>
      </c>
      <c r="C2528">
        <v>109</v>
      </c>
      <c r="D2528">
        <v>54.5</v>
      </c>
    </row>
    <row r="2529" spans="1:4" ht="15" x14ac:dyDescent="0.25">
      <c r="A2529" t="s">
        <v>7725</v>
      </c>
      <c r="B2529">
        <v>2</v>
      </c>
      <c r="C2529">
        <v>55</v>
      </c>
      <c r="D2529">
        <v>27.5</v>
      </c>
    </row>
    <row r="2530" spans="1:4" ht="15" x14ac:dyDescent="0.25">
      <c r="A2530" t="s">
        <v>7726</v>
      </c>
      <c r="B2530">
        <v>1</v>
      </c>
      <c r="C2530">
        <v>19</v>
      </c>
      <c r="D2530">
        <v>19</v>
      </c>
    </row>
    <row r="2531" spans="1:4" ht="15" x14ac:dyDescent="0.25">
      <c r="A2531" t="s">
        <v>7729</v>
      </c>
      <c r="B2531">
        <v>2</v>
      </c>
      <c r="C2531">
        <v>1317</v>
      </c>
      <c r="D2531">
        <v>658.5</v>
      </c>
    </row>
    <row r="2532" spans="1:4" ht="15" x14ac:dyDescent="0.25">
      <c r="A2532" t="s">
        <v>7730</v>
      </c>
      <c r="B2532">
        <v>1</v>
      </c>
      <c r="C2532">
        <v>820</v>
      </c>
      <c r="D2532">
        <v>820</v>
      </c>
    </row>
    <row r="2533" spans="1:4" ht="15" x14ac:dyDescent="0.25">
      <c r="A2533" t="s">
        <v>7735</v>
      </c>
      <c r="B2533">
        <v>9</v>
      </c>
      <c r="C2533">
        <v>628</v>
      </c>
      <c r="D2533">
        <v>69.777777777777771</v>
      </c>
    </row>
    <row r="2534" spans="1:4" ht="15" x14ac:dyDescent="0.25">
      <c r="A2534" t="s">
        <v>7736</v>
      </c>
      <c r="B2534">
        <v>1</v>
      </c>
      <c r="C2534">
        <v>61</v>
      </c>
      <c r="D2534">
        <v>61</v>
      </c>
    </row>
    <row r="2535" spans="1:4" ht="15" x14ac:dyDescent="0.25">
      <c r="A2535" t="s">
        <v>7738</v>
      </c>
      <c r="B2535">
        <v>1</v>
      </c>
      <c r="C2535">
        <v>61</v>
      </c>
      <c r="D2535">
        <v>61</v>
      </c>
    </row>
    <row r="2536" spans="1:4" ht="15" x14ac:dyDescent="0.25">
      <c r="A2536" t="s">
        <v>7737</v>
      </c>
      <c r="B2536">
        <v>1</v>
      </c>
      <c r="C2536">
        <v>61</v>
      </c>
      <c r="D2536">
        <v>61</v>
      </c>
    </row>
    <row r="2537" spans="1:4" ht="15" x14ac:dyDescent="0.25">
      <c r="A2537" t="s">
        <v>7742</v>
      </c>
      <c r="B2537">
        <v>3</v>
      </c>
      <c r="C2537">
        <v>120</v>
      </c>
      <c r="D2537">
        <v>40</v>
      </c>
    </row>
    <row r="2538" spans="1:4" ht="15" x14ac:dyDescent="0.25">
      <c r="A2538" t="s">
        <v>7743</v>
      </c>
      <c r="B2538">
        <v>1</v>
      </c>
      <c r="C2538">
        <v>19</v>
      </c>
      <c r="D2538">
        <v>19</v>
      </c>
    </row>
    <row r="2539" spans="1:4" ht="15" x14ac:dyDescent="0.25">
      <c r="A2539" t="s">
        <v>7744</v>
      </c>
      <c r="B2539">
        <v>1</v>
      </c>
      <c r="C2539">
        <v>19</v>
      </c>
      <c r="D2539">
        <v>19</v>
      </c>
    </row>
    <row r="2540" spans="1:4" ht="15" x14ac:dyDescent="0.25">
      <c r="A2540" t="s">
        <v>7745</v>
      </c>
      <c r="B2540">
        <v>1</v>
      </c>
      <c r="C2540">
        <v>19</v>
      </c>
      <c r="D2540">
        <v>19</v>
      </c>
    </row>
    <row r="2541" spans="1:4" ht="15" x14ac:dyDescent="0.25">
      <c r="A2541" t="s">
        <v>7748</v>
      </c>
      <c r="B2541">
        <v>14</v>
      </c>
      <c r="C2541">
        <v>393</v>
      </c>
      <c r="D2541">
        <v>28.071428571428573</v>
      </c>
    </row>
    <row r="2542" spans="1:4" ht="15" x14ac:dyDescent="0.25">
      <c r="A2542" t="s">
        <v>7749</v>
      </c>
      <c r="B2542">
        <v>1</v>
      </c>
      <c r="C2542">
        <v>36</v>
      </c>
      <c r="D2542">
        <v>36</v>
      </c>
    </row>
    <row r="2543" spans="1:4" ht="15" x14ac:dyDescent="0.25">
      <c r="A2543" t="s">
        <v>7755</v>
      </c>
      <c r="B2543">
        <v>1</v>
      </c>
      <c r="C2543">
        <v>67</v>
      </c>
      <c r="D2543">
        <v>67</v>
      </c>
    </row>
    <row r="2544" spans="1:4" ht="15" x14ac:dyDescent="0.25">
      <c r="A2544" t="s">
        <v>7756</v>
      </c>
      <c r="B2544">
        <v>1</v>
      </c>
      <c r="C2544">
        <v>67</v>
      </c>
      <c r="D2544">
        <v>67</v>
      </c>
    </row>
    <row r="2545" spans="1:4" ht="15" x14ac:dyDescent="0.25">
      <c r="A2545" t="s">
        <v>7758</v>
      </c>
      <c r="B2545">
        <v>1</v>
      </c>
      <c r="C2545">
        <v>67</v>
      </c>
      <c r="D2545">
        <v>67</v>
      </c>
    </row>
    <row r="2546" spans="1:4" ht="15" x14ac:dyDescent="0.25">
      <c r="A2546" t="s">
        <v>7759</v>
      </c>
      <c r="B2546">
        <v>1</v>
      </c>
      <c r="C2546">
        <v>67</v>
      </c>
      <c r="D2546">
        <v>67</v>
      </c>
    </row>
    <row r="2547" spans="1:4" ht="15" x14ac:dyDescent="0.25">
      <c r="A2547" t="s">
        <v>7757</v>
      </c>
      <c r="B2547">
        <v>3</v>
      </c>
      <c r="C2547">
        <v>142</v>
      </c>
      <c r="D2547">
        <v>47.333333333333336</v>
      </c>
    </row>
    <row r="2548" spans="1:4" ht="15" x14ac:dyDescent="0.25">
      <c r="A2548" t="s">
        <v>7762</v>
      </c>
      <c r="B2548">
        <v>5</v>
      </c>
      <c r="C2548">
        <v>213</v>
      </c>
      <c r="D2548">
        <v>42.6</v>
      </c>
    </row>
    <row r="2549" spans="1:4" ht="15" x14ac:dyDescent="0.25">
      <c r="A2549" t="s">
        <v>7763</v>
      </c>
      <c r="B2549">
        <v>7</v>
      </c>
      <c r="C2549">
        <v>171</v>
      </c>
      <c r="D2549">
        <v>24.428571428571427</v>
      </c>
    </row>
    <row r="2550" spans="1:4" ht="15" x14ac:dyDescent="0.25">
      <c r="A2550" t="s">
        <v>7765</v>
      </c>
      <c r="B2550">
        <v>2</v>
      </c>
      <c r="C2550">
        <v>69</v>
      </c>
      <c r="D2550">
        <v>34.5</v>
      </c>
    </row>
    <row r="2551" spans="1:4" ht="15" x14ac:dyDescent="0.25">
      <c r="A2551" t="s">
        <v>7766</v>
      </c>
      <c r="B2551">
        <v>2</v>
      </c>
      <c r="C2551">
        <v>156</v>
      </c>
      <c r="D2551">
        <v>78</v>
      </c>
    </row>
    <row r="2552" spans="1:4" ht="15" x14ac:dyDescent="0.25">
      <c r="A2552" t="s">
        <v>7764</v>
      </c>
      <c r="B2552">
        <v>1</v>
      </c>
      <c r="C2552">
        <v>28</v>
      </c>
      <c r="D2552">
        <v>28</v>
      </c>
    </row>
    <row r="2553" spans="1:4" ht="15" x14ac:dyDescent="0.25">
      <c r="A2553" t="s">
        <v>7770</v>
      </c>
      <c r="B2553">
        <v>1</v>
      </c>
      <c r="C2553">
        <v>40</v>
      </c>
      <c r="D2553">
        <v>40</v>
      </c>
    </row>
    <row r="2554" spans="1:4" ht="15" x14ac:dyDescent="0.25">
      <c r="A2554" t="s">
        <v>7771</v>
      </c>
      <c r="B2554">
        <v>3</v>
      </c>
      <c r="C2554">
        <v>91</v>
      </c>
      <c r="D2554">
        <v>30.333333333333332</v>
      </c>
    </row>
    <row r="2555" spans="1:4" ht="15" x14ac:dyDescent="0.25">
      <c r="A2555" t="s">
        <v>7773</v>
      </c>
      <c r="B2555">
        <v>6</v>
      </c>
      <c r="C2555">
        <v>279</v>
      </c>
      <c r="D2555">
        <v>46.5</v>
      </c>
    </row>
    <row r="2556" spans="1:4" ht="15" x14ac:dyDescent="0.25">
      <c r="A2556" t="s">
        <v>7774</v>
      </c>
      <c r="B2556">
        <v>1</v>
      </c>
      <c r="C2556">
        <v>40</v>
      </c>
      <c r="D2556">
        <v>40</v>
      </c>
    </row>
    <row r="2557" spans="1:4" ht="15" x14ac:dyDescent="0.25">
      <c r="A2557" t="s">
        <v>7772</v>
      </c>
      <c r="B2557">
        <v>2</v>
      </c>
      <c r="C2557">
        <v>54</v>
      </c>
      <c r="D2557">
        <v>27</v>
      </c>
    </row>
    <row r="2558" spans="1:4" ht="15" x14ac:dyDescent="0.25">
      <c r="A2558" t="s">
        <v>7778</v>
      </c>
      <c r="B2558">
        <v>1</v>
      </c>
      <c r="C2558">
        <v>37</v>
      </c>
      <c r="D2558">
        <v>37</v>
      </c>
    </row>
    <row r="2559" spans="1:4" ht="15" x14ac:dyDescent="0.25">
      <c r="A2559" t="s">
        <v>7779</v>
      </c>
      <c r="B2559">
        <v>1</v>
      </c>
      <c r="C2559">
        <v>37</v>
      </c>
      <c r="D2559">
        <v>37</v>
      </c>
    </row>
    <row r="2560" spans="1:4" ht="15" x14ac:dyDescent="0.25">
      <c r="A2560" t="s">
        <v>7781</v>
      </c>
      <c r="B2560">
        <v>1</v>
      </c>
      <c r="C2560">
        <v>37</v>
      </c>
      <c r="D2560">
        <v>37</v>
      </c>
    </row>
    <row r="2561" spans="1:4" ht="15" x14ac:dyDescent="0.25">
      <c r="A2561" t="s">
        <v>7782</v>
      </c>
      <c r="B2561">
        <v>3</v>
      </c>
      <c r="C2561">
        <v>71</v>
      </c>
      <c r="D2561">
        <v>23.666666666666668</v>
      </c>
    </row>
    <row r="2562" spans="1:4" ht="15" x14ac:dyDescent="0.25">
      <c r="A2562" t="s">
        <v>7780</v>
      </c>
      <c r="B2562">
        <v>1</v>
      </c>
      <c r="C2562">
        <v>37</v>
      </c>
      <c r="D2562">
        <v>37</v>
      </c>
    </row>
    <row r="2563" spans="1:4" ht="15" x14ac:dyDescent="0.25">
      <c r="A2563" t="s">
        <v>7786</v>
      </c>
      <c r="B2563">
        <v>1</v>
      </c>
      <c r="C2563">
        <v>47</v>
      </c>
      <c r="D2563">
        <v>47</v>
      </c>
    </row>
    <row r="2564" spans="1:4" ht="15" x14ac:dyDescent="0.25">
      <c r="A2564" t="s">
        <v>7787</v>
      </c>
      <c r="B2564">
        <v>1</v>
      </c>
      <c r="C2564">
        <v>47</v>
      </c>
      <c r="D2564">
        <v>47</v>
      </c>
    </row>
    <row r="2565" spans="1:4" ht="15" x14ac:dyDescent="0.25">
      <c r="A2565" t="s">
        <v>7792</v>
      </c>
      <c r="B2565">
        <v>3</v>
      </c>
      <c r="C2565">
        <v>148</v>
      </c>
      <c r="D2565">
        <v>49.333333333333336</v>
      </c>
    </row>
    <row r="2566" spans="1:4" ht="15" x14ac:dyDescent="0.25">
      <c r="A2566" t="s">
        <v>7800</v>
      </c>
      <c r="B2566">
        <v>1</v>
      </c>
      <c r="C2566">
        <v>3</v>
      </c>
      <c r="D2566">
        <v>3</v>
      </c>
    </row>
    <row r="2567" spans="1:4" ht="15" x14ac:dyDescent="0.25">
      <c r="A2567" t="s">
        <v>7801</v>
      </c>
      <c r="B2567">
        <v>1</v>
      </c>
      <c r="C2567">
        <v>3</v>
      </c>
      <c r="D2567">
        <v>3</v>
      </c>
    </row>
    <row r="2568" spans="1:4" ht="15" x14ac:dyDescent="0.25">
      <c r="A2568" t="s">
        <v>7806</v>
      </c>
      <c r="B2568">
        <v>2</v>
      </c>
      <c r="C2568">
        <v>51</v>
      </c>
      <c r="D2568">
        <v>25.5</v>
      </c>
    </row>
    <row r="2569" spans="1:4" ht="15" x14ac:dyDescent="0.25">
      <c r="A2569" t="s">
        <v>7807</v>
      </c>
      <c r="B2569">
        <v>5</v>
      </c>
      <c r="C2569">
        <v>87</v>
      </c>
      <c r="D2569">
        <v>17.399999999999999</v>
      </c>
    </row>
    <row r="2570" spans="1:4" ht="15" x14ac:dyDescent="0.25">
      <c r="A2570" t="s">
        <v>7809</v>
      </c>
      <c r="B2570">
        <v>5</v>
      </c>
      <c r="C2570">
        <v>86</v>
      </c>
      <c r="D2570">
        <v>17.2</v>
      </c>
    </row>
    <row r="2571" spans="1:4" ht="15" x14ac:dyDescent="0.25">
      <c r="A2571" t="s">
        <v>7808</v>
      </c>
      <c r="B2571">
        <v>1</v>
      </c>
      <c r="C2571">
        <v>19</v>
      </c>
      <c r="D2571">
        <v>19</v>
      </c>
    </row>
    <row r="2572" spans="1:4" ht="15" x14ac:dyDescent="0.25">
      <c r="A2572" t="s">
        <v>7813</v>
      </c>
      <c r="B2572">
        <v>1</v>
      </c>
      <c r="C2572">
        <v>47</v>
      </c>
      <c r="D2572">
        <v>47</v>
      </c>
    </row>
    <row r="2573" spans="1:4" ht="15" x14ac:dyDescent="0.25">
      <c r="A2573" t="s">
        <v>7814</v>
      </c>
      <c r="B2573">
        <v>1</v>
      </c>
      <c r="C2573">
        <v>47</v>
      </c>
      <c r="D2573">
        <v>47</v>
      </c>
    </row>
    <row r="2574" spans="1:4" ht="15" x14ac:dyDescent="0.25">
      <c r="A2574" t="s">
        <v>7818</v>
      </c>
      <c r="B2574">
        <v>1</v>
      </c>
      <c r="C2574">
        <v>14</v>
      </c>
      <c r="D2574">
        <v>14</v>
      </c>
    </row>
    <row r="2575" spans="1:4" ht="15" x14ac:dyDescent="0.25">
      <c r="A2575" t="s">
        <v>7819</v>
      </c>
      <c r="B2575">
        <v>1</v>
      </c>
      <c r="C2575">
        <v>14</v>
      </c>
      <c r="D2575">
        <v>14</v>
      </c>
    </row>
    <row r="2576" spans="1:4" ht="15" x14ac:dyDescent="0.25">
      <c r="A2576" t="s">
        <v>7820</v>
      </c>
      <c r="B2576">
        <v>2</v>
      </c>
      <c r="C2576">
        <v>83</v>
      </c>
      <c r="D2576">
        <v>41.5</v>
      </c>
    </row>
    <row r="2577" spans="1:4" ht="15" x14ac:dyDescent="0.25">
      <c r="A2577" t="s">
        <v>7826</v>
      </c>
      <c r="B2577">
        <v>7</v>
      </c>
      <c r="C2577">
        <v>159</v>
      </c>
      <c r="D2577">
        <v>22.714285714285715</v>
      </c>
    </row>
    <row r="2578" spans="1:4" ht="15" x14ac:dyDescent="0.25">
      <c r="A2578" t="s">
        <v>7830</v>
      </c>
      <c r="B2578">
        <v>20</v>
      </c>
      <c r="C2578">
        <v>1340</v>
      </c>
      <c r="D2578">
        <v>67</v>
      </c>
    </row>
    <row r="2579" spans="1:4" ht="15" x14ac:dyDescent="0.25">
      <c r="A2579" t="s">
        <v>7834</v>
      </c>
      <c r="B2579">
        <v>1</v>
      </c>
      <c r="C2579">
        <v>21</v>
      </c>
      <c r="D2579">
        <v>21</v>
      </c>
    </row>
    <row r="2580" spans="1:4" ht="15" x14ac:dyDescent="0.25">
      <c r="A2580" t="s">
        <v>7836</v>
      </c>
      <c r="B2580">
        <v>4</v>
      </c>
      <c r="C2580">
        <v>77</v>
      </c>
      <c r="D2580">
        <v>19.25</v>
      </c>
    </row>
    <row r="2581" spans="1:4" ht="15" x14ac:dyDescent="0.25">
      <c r="A2581" t="s">
        <v>7835</v>
      </c>
      <c r="B2581">
        <v>1</v>
      </c>
      <c r="C2581">
        <v>21</v>
      </c>
      <c r="D2581">
        <v>21</v>
      </c>
    </row>
    <row r="2582" spans="1:4" ht="15" x14ac:dyDescent="0.25">
      <c r="A2582" t="s">
        <v>7840</v>
      </c>
      <c r="B2582">
        <v>1</v>
      </c>
      <c r="C2582">
        <v>23</v>
      </c>
      <c r="D2582">
        <v>23</v>
      </c>
    </row>
    <row r="2583" spans="1:4" ht="15" x14ac:dyDescent="0.25">
      <c r="A2583" t="s">
        <v>7841</v>
      </c>
      <c r="B2583">
        <v>1</v>
      </c>
      <c r="C2583">
        <v>23</v>
      </c>
      <c r="D2583">
        <v>23</v>
      </c>
    </row>
    <row r="2584" spans="1:4" ht="15" x14ac:dyDescent="0.25">
      <c r="A2584" t="s">
        <v>7843</v>
      </c>
      <c r="B2584">
        <v>1</v>
      </c>
      <c r="C2584">
        <v>23</v>
      </c>
      <c r="D2584">
        <v>23</v>
      </c>
    </row>
    <row r="2585" spans="1:4" ht="15" x14ac:dyDescent="0.25">
      <c r="A2585" t="s">
        <v>7842</v>
      </c>
      <c r="B2585">
        <v>1</v>
      </c>
      <c r="C2585">
        <v>23</v>
      </c>
      <c r="D2585">
        <v>23</v>
      </c>
    </row>
    <row r="2586" spans="1:4" ht="15" x14ac:dyDescent="0.25">
      <c r="A2586" t="s">
        <v>7847</v>
      </c>
      <c r="B2586">
        <v>3</v>
      </c>
      <c r="C2586">
        <v>150</v>
      </c>
      <c r="D2586">
        <v>50</v>
      </c>
    </row>
    <row r="2587" spans="1:4" ht="15" x14ac:dyDescent="0.25">
      <c r="A2587" t="s">
        <v>7849</v>
      </c>
      <c r="B2587">
        <v>3</v>
      </c>
      <c r="C2587">
        <v>164</v>
      </c>
      <c r="D2587">
        <v>54.666666666666664</v>
      </c>
    </row>
    <row r="2588" spans="1:4" ht="15" x14ac:dyDescent="0.25">
      <c r="A2588" t="s">
        <v>7848</v>
      </c>
      <c r="B2588">
        <v>5</v>
      </c>
      <c r="C2588">
        <v>618</v>
      </c>
      <c r="D2588">
        <v>123.6</v>
      </c>
    </row>
    <row r="2589" spans="1:4" ht="15" x14ac:dyDescent="0.25">
      <c r="A2589" t="s">
        <v>7853</v>
      </c>
      <c r="B2589">
        <v>1</v>
      </c>
      <c r="C2589">
        <v>5</v>
      </c>
      <c r="D2589">
        <v>5</v>
      </c>
    </row>
    <row r="2590" spans="1:4" ht="15" x14ac:dyDescent="0.25">
      <c r="A2590" t="s">
        <v>7854</v>
      </c>
      <c r="B2590">
        <v>1</v>
      </c>
      <c r="C2590">
        <v>5</v>
      </c>
      <c r="D2590">
        <v>5</v>
      </c>
    </row>
    <row r="2591" spans="1:4" ht="15" x14ac:dyDescent="0.25">
      <c r="A2591" t="s">
        <v>7855</v>
      </c>
      <c r="B2591">
        <v>1</v>
      </c>
      <c r="C2591">
        <v>5</v>
      </c>
      <c r="D2591">
        <v>5</v>
      </c>
    </row>
    <row r="2592" spans="1:4" ht="15" x14ac:dyDescent="0.25">
      <c r="A2592" t="s">
        <v>7859</v>
      </c>
      <c r="B2592">
        <v>1</v>
      </c>
      <c r="C2592">
        <v>16</v>
      </c>
      <c r="D2592">
        <v>16</v>
      </c>
    </row>
    <row r="2593" spans="1:4" ht="15" x14ac:dyDescent="0.25">
      <c r="A2593" t="s">
        <v>7861</v>
      </c>
      <c r="B2593">
        <v>1</v>
      </c>
      <c r="C2593">
        <v>16</v>
      </c>
      <c r="D2593">
        <v>16</v>
      </c>
    </row>
    <row r="2594" spans="1:4" ht="15" x14ac:dyDescent="0.25">
      <c r="A2594" t="s">
        <v>7862</v>
      </c>
      <c r="B2594">
        <v>1</v>
      </c>
      <c r="C2594">
        <v>16</v>
      </c>
      <c r="D2594">
        <v>16</v>
      </c>
    </row>
    <row r="2595" spans="1:4" ht="15" x14ac:dyDescent="0.25">
      <c r="A2595" t="s">
        <v>7860</v>
      </c>
      <c r="B2595">
        <v>1</v>
      </c>
      <c r="C2595">
        <v>16</v>
      </c>
      <c r="D2595">
        <v>16</v>
      </c>
    </row>
    <row r="2596" spans="1:4" ht="15" x14ac:dyDescent="0.25">
      <c r="A2596" t="s">
        <v>7866</v>
      </c>
      <c r="B2596">
        <v>1</v>
      </c>
      <c r="C2596">
        <v>56</v>
      </c>
      <c r="D2596">
        <v>56</v>
      </c>
    </row>
    <row r="2597" spans="1:4" ht="15" x14ac:dyDescent="0.25">
      <c r="A2597" t="s">
        <v>7867</v>
      </c>
      <c r="B2597">
        <v>1</v>
      </c>
      <c r="C2597">
        <v>56</v>
      </c>
      <c r="D2597">
        <v>56</v>
      </c>
    </row>
    <row r="2598" spans="1:4" ht="15" x14ac:dyDescent="0.25">
      <c r="A2598" t="s">
        <v>7869</v>
      </c>
      <c r="B2598">
        <v>1</v>
      </c>
      <c r="C2598">
        <v>56</v>
      </c>
      <c r="D2598">
        <v>56</v>
      </c>
    </row>
    <row r="2599" spans="1:4" ht="15" x14ac:dyDescent="0.25">
      <c r="A2599" t="s">
        <v>7868</v>
      </c>
      <c r="B2599">
        <v>1</v>
      </c>
      <c r="C2599">
        <v>56</v>
      </c>
      <c r="D2599">
        <v>56</v>
      </c>
    </row>
    <row r="2600" spans="1:4" ht="15" x14ac:dyDescent="0.25">
      <c r="A2600" t="s">
        <v>7873</v>
      </c>
      <c r="B2600">
        <v>1</v>
      </c>
      <c r="C2600">
        <v>45</v>
      </c>
      <c r="D2600">
        <v>45</v>
      </c>
    </row>
    <row r="2601" spans="1:4" ht="15" x14ac:dyDescent="0.25">
      <c r="A2601" t="s">
        <v>7875</v>
      </c>
      <c r="B2601">
        <v>1</v>
      </c>
      <c r="C2601">
        <v>45</v>
      </c>
      <c r="D2601">
        <v>45</v>
      </c>
    </row>
    <row r="2602" spans="1:4" ht="15" x14ac:dyDescent="0.25">
      <c r="A2602" t="s">
        <v>7874</v>
      </c>
      <c r="B2602">
        <v>1</v>
      </c>
      <c r="C2602">
        <v>45</v>
      </c>
      <c r="D2602">
        <v>45</v>
      </c>
    </row>
    <row r="2603" spans="1:4" ht="15" x14ac:dyDescent="0.25">
      <c r="A2603" t="s">
        <v>7883</v>
      </c>
      <c r="B2603">
        <v>1</v>
      </c>
      <c r="C2603">
        <v>61</v>
      </c>
      <c r="D2603">
        <v>61</v>
      </c>
    </row>
    <row r="2604" spans="1:4" ht="15" x14ac:dyDescent="0.25">
      <c r="A2604" t="s">
        <v>7884</v>
      </c>
      <c r="B2604">
        <v>3</v>
      </c>
      <c r="C2604">
        <v>233</v>
      </c>
      <c r="D2604">
        <v>77.666666666666671</v>
      </c>
    </row>
    <row r="2605" spans="1:4" ht="15" x14ac:dyDescent="0.25">
      <c r="A2605" t="s">
        <v>7888</v>
      </c>
      <c r="B2605">
        <v>1</v>
      </c>
      <c r="C2605">
        <v>12</v>
      </c>
      <c r="D2605">
        <v>12</v>
      </c>
    </row>
    <row r="2606" spans="1:4" ht="15" x14ac:dyDescent="0.25">
      <c r="A2606" t="s">
        <v>7890</v>
      </c>
      <c r="B2606">
        <v>1</v>
      </c>
      <c r="C2606">
        <v>12</v>
      </c>
      <c r="D2606">
        <v>12</v>
      </c>
    </row>
    <row r="2607" spans="1:4" ht="15" x14ac:dyDescent="0.25">
      <c r="A2607" t="s">
        <v>7889</v>
      </c>
      <c r="B2607">
        <v>1</v>
      </c>
      <c r="C2607">
        <v>12</v>
      </c>
      <c r="D2607">
        <v>12</v>
      </c>
    </row>
    <row r="2608" spans="1:4" ht="15" x14ac:dyDescent="0.25">
      <c r="A2608" t="s">
        <v>7895</v>
      </c>
      <c r="B2608">
        <v>2</v>
      </c>
      <c r="C2608">
        <v>233</v>
      </c>
      <c r="D2608">
        <v>116.5</v>
      </c>
    </row>
    <row r="2609" spans="1:4" ht="15" x14ac:dyDescent="0.25">
      <c r="A2609" t="s">
        <v>7894</v>
      </c>
      <c r="B2609">
        <v>1</v>
      </c>
      <c r="C2609">
        <v>29</v>
      </c>
      <c r="D2609">
        <v>29</v>
      </c>
    </row>
    <row r="2610" spans="1:4" ht="15" x14ac:dyDescent="0.25">
      <c r="A2610" t="s">
        <v>7898</v>
      </c>
      <c r="B2610">
        <v>5</v>
      </c>
      <c r="C2610">
        <v>117</v>
      </c>
      <c r="D2610">
        <v>23.4</v>
      </c>
    </row>
    <row r="2611" spans="1:4" ht="15" x14ac:dyDescent="0.25">
      <c r="A2611" t="s">
        <v>7900</v>
      </c>
      <c r="B2611">
        <v>9</v>
      </c>
      <c r="C2611">
        <v>209</v>
      </c>
      <c r="D2611">
        <v>23.222222222222221</v>
      </c>
    </row>
    <row r="2612" spans="1:4" ht="15" x14ac:dyDescent="0.25">
      <c r="A2612" t="s">
        <v>7901</v>
      </c>
      <c r="B2612">
        <v>6</v>
      </c>
      <c r="C2612">
        <v>159</v>
      </c>
      <c r="D2612">
        <v>26.5</v>
      </c>
    </row>
    <row r="2613" spans="1:4" ht="15" x14ac:dyDescent="0.25">
      <c r="A2613" t="s">
        <v>7899</v>
      </c>
      <c r="B2613">
        <v>1</v>
      </c>
      <c r="C2613">
        <v>29</v>
      </c>
      <c r="D2613">
        <v>29</v>
      </c>
    </row>
    <row r="2614" spans="1:4" ht="15" x14ac:dyDescent="0.25">
      <c r="A2614" t="s">
        <v>7905</v>
      </c>
      <c r="B2614">
        <v>12</v>
      </c>
      <c r="C2614">
        <v>1419</v>
      </c>
      <c r="D2614">
        <v>118.25</v>
      </c>
    </row>
    <row r="2615" spans="1:4" ht="15" x14ac:dyDescent="0.25">
      <c r="A2615" t="s">
        <v>7906</v>
      </c>
      <c r="B2615">
        <v>2</v>
      </c>
      <c r="C2615">
        <v>325</v>
      </c>
      <c r="D2615">
        <v>162.5</v>
      </c>
    </row>
    <row r="2616" spans="1:4" ht="15" x14ac:dyDescent="0.25">
      <c r="A2616" t="s">
        <v>7907</v>
      </c>
      <c r="B2616">
        <v>6</v>
      </c>
      <c r="C2616">
        <v>573</v>
      </c>
      <c r="D2616">
        <v>95.5</v>
      </c>
    </row>
    <row r="2617" spans="1:4" ht="15" x14ac:dyDescent="0.25">
      <c r="A2617" t="s">
        <v>7908</v>
      </c>
      <c r="B2617">
        <v>5</v>
      </c>
      <c r="C2617">
        <v>445</v>
      </c>
      <c r="D2617">
        <v>89</v>
      </c>
    </row>
    <row r="2618" spans="1:4" ht="15" x14ac:dyDescent="0.25">
      <c r="A2618" t="s">
        <v>7913</v>
      </c>
      <c r="B2618">
        <v>1</v>
      </c>
      <c r="C2618">
        <v>37</v>
      </c>
      <c r="D2618">
        <v>37</v>
      </c>
    </row>
    <row r="2619" spans="1:4" ht="15" x14ac:dyDescent="0.25">
      <c r="A2619" t="s">
        <v>7914</v>
      </c>
      <c r="B2619">
        <v>3</v>
      </c>
      <c r="C2619">
        <v>329</v>
      </c>
      <c r="D2619">
        <v>109.66666666666667</v>
      </c>
    </row>
    <row r="2620" spans="1:4" ht="15" x14ac:dyDescent="0.25">
      <c r="A2620" t="s">
        <v>7916</v>
      </c>
      <c r="B2620">
        <v>1</v>
      </c>
      <c r="C2620">
        <v>37</v>
      </c>
      <c r="D2620">
        <v>37</v>
      </c>
    </row>
    <row r="2621" spans="1:4" ht="15" x14ac:dyDescent="0.25">
      <c r="A2621" t="s">
        <v>7917</v>
      </c>
      <c r="B2621">
        <v>1</v>
      </c>
      <c r="C2621">
        <v>37</v>
      </c>
      <c r="D2621">
        <v>37</v>
      </c>
    </row>
    <row r="2622" spans="1:4" ht="15" x14ac:dyDescent="0.25">
      <c r="A2622" t="s">
        <v>7915</v>
      </c>
      <c r="B2622">
        <v>1</v>
      </c>
      <c r="C2622">
        <v>37</v>
      </c>
      <c r="D2622">
        <v>37</v>
      </c>
    </row>
    <row r="2623" spans="1:4" ht="15" x14ac:dyDescent="0.25">
      <c r="A2623" t="s">
        <v>7921</v>
      </c>
      <c r="B2623">
        <v>1</v>
      </c>
      <c r="C2623">
        <v>13</v>
      </c>
      <c r="D2623">
        <v>13</v>
      </c>
    </row>
    <row r="2624" spans="1:4" ht="15" x14ac:dyDescent="0.25">
      <c r="A2624" t="s">
        <v>7922</v>
      </c>
      <c r="B2624">
        <v>1</v>
      </c>
      <c r="C2624">
        <v>13</v>
      </c>
      <c r="D2624">
        <v>13</v>
      </c>
    </row>
    <row r="2625" spans="1:4" ht="15" x14ac:dyDescent="0.25">
      <c r="A2625" t="s">
        <v>7925</v>
      </c>
      <c r="B2625">
        <v>2</v>
      </c>
      <c r="C2625">
        <v>73</v>
      </c>
      <c r="D2625">
        <v>36.5</v>
      </c>
    </row>
    <row r="2626" spans="1:4" ht="15" x14ac:dyDescent="0.25">
      <c r="A2626" t="s">
        <v>7932</v>
      </c>
      <c r="B2626">
        <v>2</v>
      </c>
      <c r="C2626">
        <v>181</v>
      </c>
      <c r="D2626">
        <v>90.5</v>
      </c>
    </row>
    <row r="2627" spans="1:4" ht="15" x14ac:dyDescent="0.25">
      <c r="A2627" t="s">
        <v>7937</v>
      </c>
      <c r="B2627">
        <v>1</v>
      </c>
      <c r="C2627">
        <v>76</v>
      </c>
      <c r="D2627">
        <v>76</v>
      </c>
    </row>
    <row r="2628" spans="1:4" ht="15" x14ac:dyDescent="0.25">
      <c r="A2628" t="s">
        <v>7941</v>
      </c>
      <c r="B2628">
        <v>1</v>
      </c>
      <c r="C2628">
        <v>142</v>
      </c>
      <c r="D2628">
        <v>142</v>
      </c>
    </row>
    <row r="2629" spans="1:4" ht="15" x14ac:dyDescent="0.25">
      <c r="A2629" t="s">
        <v>7942</v>
      </c>
      <c r="B2629">
        <v>4</v>
      </c>
      <c r="C2629">
        <v>2256</v>
      </c>
      <c r="D2629">
        <v>564</v>
      </c>
    </row>
    <row r="2630" spans="1:4" ht="15" x14ac:dyDescent="0.25">
      <c r="A2630" t="s">
        <v>7947</v>
      </c>
      <c r="B2630">
        <v>1</v>
      </c>
      <c r="C2630">
        <v>86</v>
      </c>
      <c r="D2630">
        <v>86</v>
      </c>
    </row>
    <row r="2631" spans="1:4" ht="15" x14ac:dyDescent="0.25">
      <c r="A2631" t="s">
        <v>7950</v>
      </c>
      <c r="B2631">
        <v>7</v>
      </c>
      <c r="C2631">
        <v>744</v>
      </c>
      <c r="D2631">
        <v>106.28571428571429</v>
      </c>
    </row>
    <row r="2632" spans="1:4" ht="15" x14ac:dyDescent="0.25">
      <c r="A2632" t="s">
        <v>7955</v>
      </c>
      <c r="B2632">
        <v>1</v>
      </c>
      <c r="C2632">
        <v>33</v>
      </c>
      <c r="D2632">
        <v>33</v>
      </c>
    </row>
    <row r="2633" spans="1:4" ht="15" x14ac:dyDescent="0.25">
      <c r="A2633" t="s">
        <v>7956</v>
      </c>
      <c r="B2633">
        <v>1</v>
      </c>
      <c r="C2633">
        <v>33</v>
      </c>
      <c r="D2633">
        <v>33</v>
      </c>
    </row>
    <row r="2634" spans="1:4" ht="15" x14ac:dyDescent="0.25">
      <c r="A2634" t="s">
        <v>7960</v>
      </c>
      <c r="B2634">
        <v>6</v>
      </c>
      <c r="C2634">
        <v>158</v>
      </c>
      <c r="D2634">
        <v>26.333333333333332</v>
      </c>
    </row>
    <row r="2635" spans="1:4" ht="15" x14ac:dyDescent="0.25">
      <c r="A2635" t="s">
        <v>7961</v>
      </c>
      <c r="B2635">
        <v>1</v>
      </c>
      <c r="C2635">
        <v>6</v>
      </c>
      <c r="D2635">
        <v>6</v>
      </c>
    </row>
    <row r="2636" spans="1:4" ht="15" x14ac:dyDescent="0.25">
      <c r="A2636" t="s">
        <v>7962</v>
      </c>
      <c r="B2636">
        <v>2</v>
      </c>
      <c r="C2636">
        <v>57</v>
      </c>
      <c r="D2636">
        <v>28.5</v>
      </c>
    </row>
    <row r="2637" spans="1:4" ht="15" x14ac:dyDescent="0.25">
      <c r="A2637" t="s">
        <v>7966</v>
      </c>
      <c r="B2637">
        <v>1</v>
      </c>
      <c r="C2637">
        <v>521</v>
      </c>
      <c r="D2637">
        <v>521</v>
      </c>
    </row>
    <row r="2638" spans="1:4" ht="15" x14ac:dyDescent="0.25">
      <c r="A2638" t="s">
        <v>7967</v>
      </c>
      <c r="B2638">
        <v>7</v>
      </c>
      <c r="C2638">
        <v>5498</v>
      </c>
      <c r="D2638">
        <v>785.42857142857144</v>
      </c>
    </row>
    <row r="2639" spans="1:4" ht="15" x14ac:dyDescent="0.25">
      <c r="A2639" t="s">
        <v>7971</v>
      </c>
      <c r="B2639">
        <v>1</v>
      </c>
      <c r="C2639">
        <v>63</v>
      </c>
      <c r="D2639">
        <v>63</v>
      </c>
    </row>
    <row r="2640" spans="1:4" ht="15" x14ac:dyDescent="0.25">
      <c r="A2640" t="s">
        <v>7972</v>
      </c>
      <c r="B2640">
        <v>1</v>
      </c>
      <c r="C2640">
        <v>63</v>
      </c>
      <c r="D2640">
        <v>63</v>
      </c>
    </row>
    <row r="2641" spans="1:4" ht="15" x14ac:dyDescent="0.25">
      <c r="A2641" t="s">
        <v>7977</v>
      </c>
      <c r="B2641">
        <v>1</v>
      </c>
      <c r="C2641">
        <v>26</v>
      </c>
      <c r="D2641">
        <v>26</v>
      </c>
    </row>
    <row r="2642" spans="1:4" ht="15" x14ac:dyDescent="0.25">
      <c r="A2642" t="s">
        <v>7979</v>
      </c>
      <c r="B2642">
        <v>1</v>
      </c>
      <c r="C2642">
        <v>26</v>
      </c>
      <c r="D2642">
        <v>26</v>
      </c>
    </row>
    <row r="2643" spans="1:4" ht="15" x14ac:dyDescent="0.25">
      <c r="A2643" t="s">
        <v>7978</v>
      </c>
      <c r="B2643">
        <v>1</v>
      </c>
      <c r="C2643">
        <v>26</v>
      </c>
      <c r="D2643">
        <v>26</v>
      </c>
    </row>
    <row r="2644" spans="1:4" ht="15" x14ac:dyDescent="0.25">
      <c r="A2644" t="s">
        <v>7983</v>
      </c>
      <c r="B2644">
        <v>1</v>
      </c>
      <c r="C2644">
        <v>3</v>
      </c>
      <c r="D2644">
        <v>3</v>
      </c>
    </row>
    <row r="2645" spans="1:4" ht="15" x14ac:dyDescent="0.25">
      <c r="A2645" t="s">
        <v>7984</v>
      </c>
      <c r="B2645">
        <v>1</v>
      </c>
      <c r="C2645">
        <v>3</v>
      </c>
      <c r="D2645">
        <v>3</v>
      </c>
    </row>
    <row r="2646" spans="1:4" ht="15" x14ac:dyDescent="0.25">
      <c r="A2646" t="s">
        <v>7986</v>
      </c>
      <c r="B2646">
        <v>1</v>
      </c>
      <c r="C2646">
        <v>3</v>
      </c>
      <c r="D2646">
        <v>3</v>
      </c>
    </row>
    <row r="2647" spans="1:4" ht="15" x14ac:dyDescent="0.25">
      <c r="A2647" t="s">
        <v>7985</v>
      </c>
      <c r="B2647">
        <v>1</v>
      </c>
      <c r="C2647">
        <v>3</v>
      </c>
      <c r="D2647">
        <v>3</v>
      </c>
    </row>
    <row r="2648" spans="1:4" ht="15" x14ac:dyDescent="0.25">
      <c r="A2648" t="s">
        <v>7990</v>
      </c>
      <c r="B2648">
        <v>4</v>
      </c>
      <c r="C2648">
        <v>258</v>
      </c>
      <c r="D2648">
        <v>64.5</v>
      </c>
    </row>
    <row r="2649" spans="1:4" ht="15" x14ac:dyDescent="0.25">
      <c r="A2649" t="s">
        <v>7991</v>
      </c>
      <c r="B2649">
        <v>2</v>
      </c>
      <c r="C2649">
        <v>164</v>
      </c>
      <c r="D2649">
        <v>82</v>
      </c>
    </row>
    <row r="2650" spans="1:4" ht="15" x14ac:dyDescent="0.25">
      <c r="A2650" t="s">
        <v>7999</v>
      </c>
      <c r="B2650">
        <v>1</v>
      </c>
      <c r="C2650">
        <v>15</v>
      </c>
      <c r="D2650">
        <v>15</v>
      </c>
    </row>
    <row r="2651" spans="1:4" ht="15" x14ac:dyDescent="0.25">
      <c r="A2651" t="s">
        <v>8001</v>
      </c>
      <c r="B2651">
        <v>2</v>
      </c>
      <c r="C2651">
        <v>31</v>
      </c>
      <c r="D2651">
        <v>15.5</v>
      </c>
    </row>
    <row r="2652" spans="1:4" ht="15" x14ac:dyDescent="0.25">
      <c r="A2652" t="s">
        <v>8002</v>
      </c>
      <c r="B2652">
        <v>1</v>
      </c>
      <c r="C2652">
        <v>15</v>
      </c>
      <c r="D2652">
        <v>15</v>
      </c>
    </row>
    <row r="2653" spans="1:4" ht="15" x14ac:dyDescent="0.25">
      <c r="A2653" t="s">
        <v>8000</v>
      </c>
      <c r="B2653">
        <v>1</v>
      </c>
      <c r="C2653">
        <v>15</v>
      </c>
      <c r="D2653">
        <v>15</v>
      </c>
    </row>
    <row r="2654" spans="1:4" ht="15" x14ac:dyDescent="0.25">
      <c r="A2654" t="s">
        <v>8008</v>
      </c>
      <c r="B2654">
        <v>1</v>
      </c>
      <c r="C2654">
        <v>178</v>
      </c>
      <c r="D2654">
        <v>178</v>
      </c>
    </row>
    <row r="2655" spans="1:4" ht="15" x14ac:dyDescent="0.25">
      <c r="A2655" t="s">
        <v>8009</v>
      </c>
      <c r="B2655">
        <v>8</v>
      </c>
      <c r="C2655">
        <v>381</v>
      </c>
      <c r="D2655">
        <v>47.625</v>
      </c>
    </row>
    <row r="2656" spans="1:4" ht="15" x14ac:dyDescent="0.25">
      <c r="A2656" t="s">
        <v>8007</v>
      </c>
      <c r="B2656">
        <v>18</v>
      </c>
      <c r="C2656">
        <v>1225</v>
      </c>
      <c r="D2656">
        <v>68.055555555555557</v>
      </c>
    </row>
    <row r="2657" spans="1:4" ht="15" x14ac:dyDescent="0.25">
      <c r="A2657" t="s">
        <v>8013</v>
      </c>
      <c r="B2657">
        <v>13</v>
      </c>
      <c r="C2657">
        <v>503</v>
      </c>
      <c r="D2657">
        <v>38.692307692307693</v>
      </c>
    </row>
    <row r="2658" spans="1:4" ht="15" x14ac:dyDescent="0.25">
      <c r="A2658" t="s">
        <v>8014</v>
      </c>
      <c r="B2658">
        <v>6</v>
      </c>
      <c r="C2658">
        <v>112</v>
      </c>
      <c r="D2658">
        <v>18.666666666666668</v>
      </c>
    </row>
    <row r="2659" spans="1:4" ht="15" x14ac:dyDescent="0.25">
      <c r="A2659" t="s">
        <v>8019</v>
      </c>
      <c r="B2659">
        <v>1</v>
      </c>
      <c r="C2659">
        <v>75</v>
      </c>
      <c r="D2659">
        <v>75</v>
      </c>
    </row>
    <row r="2660" spans="1:4" ht="15" x14ac:dyDescent="0.25">
      <c r="A2660" t="s">
        <v>8020</v>
      </c>
      <c r="B2660">
        <v>2</v>
      </c>
      <c r="C2660">
        <v>133</v>
      </c>
      <c r="D2660">
        <v>66.5</v>
      </c>
    </row>
    <row r="2661" spans="1:4" ht="15" x14ac:dyDescent="0.25">
      <c r="A2661" t="s">
        <v>8022</v>
      </c>
      <c r="B2661">
        <v>1</v>
      </c>
      <c r="C2661">
        <v>75</v>
      </c>
      <c r="D2661">
        <v>75</v>
      </c>
    </row>
    <row r="2662" spans="1:4" ht="15" x14ac:dyDescent="0.25">
      <c r="A2662" t="s">
        <v>8021</v>
      </c>
      <c r="B2662">
        <v>1</v>
      </c>
      <c r="C2662">
        <v>75</v>
      </c>
      <c r="D2662">
        <v>75</v>
      </c>
    </row>
    <row r="2663" spans="1:4" ht="15" x14ac:dyDescent="0.25">
      <c r="A2663" t="s">
        <v>8027</v>
      </c>
      <c r="B2663">
        <v>1</v>
      </c>
      <c r="C2663">
        <v>12</v>
      </c>
      <c r="D2663">
        <v>12</v>
      </c>
    </row>
    <row r="2664" spans="1:4" ht="15" x14ac:dyDescent="0.25">
      <c r="A2664" t="s">
        <v>8028</v>
      </c>
      <c r="B2664">
        <v>1</v>
      </c>
      <c r="C2664">
        <v>12</v>
      </c>
      <c r="D2664">
        <v>12</v>
      </c>
    </row>
    <row r="2665" spans="1:4" ht="15" x14ac:dyDescent="0.25">
      <c r="A2665" t="s">
        <v>8026</v>
      </c>
      <c r="B2665">
        <v>1</v>
      </c>
      <c r="C2665">
        <v>12</v>
      </c>
      <c r="D2665">
        <v>12</v>
      </c>
    </row>
    <row r="2666" spans="1:4" ht="15" x14ac:dyDescent="0.25">
      <c r="A2666" t="s">
        <v>8031</v>
      </c>
      <c r="B2666">
        <v>4</v>
      </c>
      <c r="C2666">
        <v>237</v>
      </c>
      <c r="D2666">
        <v>59.25</v>
      </c>
    </row>
    <row r="2667" spans="1:4" ht="15" x14ac:dyDescent="0.25">
      <c r="A2667" t="s">
        <v>8032</v>
      </c>
      <c r="B2667">
        <v>6</v>
      </c>
      <c r="C2667">
        <v>386</v>
      </c>
      <c r="D2667">
        <v>64.333333333333329</v>
      </c>
    </row>
    <row r="2668" spans="1:4" ht="15" x14ac:dyDescent="0.25">
      <c r="A2668" t="s">
        <v>2636</v>
      </c>
      <c r="B2668">
        <v>1</v>
      </c>
      <c r="C2668">
        <v>61</v>
      </c>
      <c r="D2668">
        <v>61</v>
      </c>
    </row>
    <row r="2669" spans="1:4" ht="15" x14ac:dyDescent="0.25">
      <c r="A2669" t="s">
        <v>8040</v>
      </c>
      <c r="B2669">
        <v>1</v>
      </c>
      <c r="C2669">
        <v>107</v>
      </c>
      <c r="D2669">
        <v>107</v>
      </c>
    </row>
    <row r="2670" spans="1:4" ht="15" x14ac:dyDescent="0.25">
      <c r="A2670" t="s">
        <v>8042</v>
      </c>
      <c r="B2670">
        <v>1</v>
      </c>
      <c r="C2670">
        <v>107</v>
      </c>
      <c r="D2670">
        <v>107</v>
      </c>
    </row>
    <row r="2671" spans="1:4" ht="15" x14ac:dyDescent="0.25">
      <c r="A2671" t="s">
        <v>8041</v>
      </c>
      <c r="B2671">
        <v>1</v>
      </c>
      <c r="C2671">
        <v>107</v>
      </c>
      <c r="D2671">
        <v>107</v>
      </c>
    </row>
    <row r="2672" spans="1:4" ht="15" x14ac:dyDescent="0.25">
      <c r="A2672" t="s">
        <v>8046</v>
      </c>
      <c r="B2672">
        <v>1</v>
      </c>
      <c r="C2672">
        <v>50</v>
      </c>
      <c r="D2672">
        <v>50</v>
      </c>
    </row>
    <row r="2673" spans="1:4" ht="15" x14ac:dyDescent="0.25">
      <c r="A2673" t="s">
        <v>8047</v>
      </c>
      <c r="B2673">
        <v>10</v>
      </c>
      <c r="C2673">
        <v>752</v>
      </c>
      <c r="D2673">
        <v>75.2</v>
      </c>
    </row>
    <row r="2674" spans="1:4" ht="15" x14ac:dyDescent="0.25">
      <c r="A2674" t="s">
        <v>8048</v>
      </c>
      <c r="B2674">
        <v>8</v>
      </c>
      <c r="C2674">
        <v>288</v>
      </c>
      <c r="D2674">
        <v>36</v>
      </c>
    </row>
    <row r="2675" spans="1:4" ht="15" x14ac:dyDescent="0.25">
      <c r="A2675" t="s">
        <v>8049</v>
      </c>
      <c r="B2675">
        <v>1</v>
      </c>
      <c r="C2675">
        <v>50</v>
      </c>
      <c r="D2675">
        <v>50</v>
      </c>
    </row>
    <row r="2676" spans="1:4" ht="15" x14ac:dyDescent="0.25">
      <c r="A2676" t="s">
        <v>8053</v>
      </c>
      <c r="B2676">
        <v>2</v>
      </c>
      <c r="C2676">
        <v>92</v>
      </c>
      <c r="D2676">
        <v>46</v>
      </c>
    </row>
    <row r="2677" spans="1:4" ht="15" x14ac:dyDescent="0.25">
      <c r="A2677" t="s">
        <v>8054</v>
      </c>
      <c r="B2677">
        <v>3</v>
      </c>
      <c r="C2677">
        <v>121</v>
      </c>
      <c r="D2677">
        <v>40.333333333333336</v>
      </c>
    </row>
    <row r="2678" spans="1:4" ht="15" x14ac:dyDescent="0.25">
      <c r="A2678" t="s">
        <v>8059</v>
      </c>
      <c r="B2678">
        <v>1</v>
      </c>
      <c r="C2678">
        <v>36</v>
      </c>
      <c r="D2678">
        <v>36</v>
      </c>
    </row>
    <row r="2679" spans="1:4" ht="15" x14ac:dyDescent="0.25">
      <c r="A2679" t="s">
        <v>8060</v>
      </c>
      <c r="B2679">
        <v>2</v>
      </c>
      <c r="C2679">
        <v>55</v>
      </c>
      <c r="D2679">
        <v>27.5</v>
      </c>
    </row>
    <row r="2680" spans="1:4" ht="15" x14ac:dyDescent="0.25">
      <c r="A2680" t="s">
        <v>8058</v>
      </c>
      <c r="B2680">
        <v>1</v>
      </c>
      <c r="C2680">
        <v>36</v>
      </c>
      <c r="D2680">
        <v>36</v>
      </c>
    </row>
    <row r="2681" spans="1:4" ht="15" x14ac:dyDescent="0.25">
      <c r="A2681" t="s">
        <v>8064</v>
      </c>
      <c r="B2681">
        <v>2</v>
      </c>
      <c r="C2681">
        <v>81</v>
      </c>
      <c r="D2681">
        <v>40.5</v>
      </c>
    </row>
    <row r="2682" spans="1:4" ht="15" x14ac:dyDescent="0.25">
      <c r="A2682" t="s">
        <v>8067</v>
      </c>
      <c r="B2682">
        <v>2</v>
      </c>
      <c r="C2682">
        <v>191</v>
      </c>
      <c r="D2682">
        <v>95.5</v>
      </c>
    </row>
    <row r="2683" spans="1:4" ht="15" x14ac:dyDescent="0.25">
      <c r="A2683" t="s">
        <v>8071</v>
      </c>
      <c r="B2683">
        <v>1</v>
      </c>
      <c r="C2683">
        <v>158</v>
      </c>
      <c r="D2683">
        <v>158</v>
      </c>
    </row>
    <row r="2684" spans="1:4" ht="15" x14ac:dyDescent="0.25">
      <c r="A2684" t="s">
        <v>8072</v>
      </c>
      <c r="B2684">
        <v>4</v>
      </c>
      <c r="C2684">
        <v>390</v>
      </c>
      <c r="D2684">
        <v>97.5</v>
      </c>
    </row>
    <row r="2685" spans="1:4" ht="15" x14ac:dyDescent="0.25">
      <c r="A2685" t="s">
        <v>8075</v>
      </c>
      <c r="B2685">
        <v>2</v>
      </c>
      <c r="C2685">
        <v>264</v>
      </c>
      <c r="D2685">
        <v>132</v>
      </c>
    </row>
    <row r="2686" spans="1:4" ht="15" x14ac:dyDescent="0.25">
      <c r="A2686" t="s">
        <v>8076</v>
      </c>
      <c r="B2686">
        <v>1</v>
      </c>
      <c r="C2686">
        <v>219</v>
      </c>
      <c r="D2686">
        <v>219</v>
      </c>
    </row>
    <row r="2687" spans="1:4" ht="15" x14ac:dyDescent="0.25">
      <c r="A2687" t="s">
        <v>8077</v>
      </c>
      <c r="B2687">
        <v>2</v>
      </c>
      <c r="C2687">
        <v>346</v>
      </c>
      <c r="D2687">
        <v>173</v>
      </c>
    </row>
    <row r="2688" spans="1:4" ht="15" x14ac:dyDescent="0.25">
      <c r="A2688" t="s">
        <v>8081</v>
      </c>
      <c r="B2688">
        <v>1</v>
      </c>
      <c r="C2688">
        <v>46</v>
      </c>
      <c r="D2688">
        <v>46</v>
      </c>
    </row>
    <row r="2689" spans="1:4" ht="15" x14ac:dyDescent="0.25">
      <c r="A2689" t="s">
        <v>8082</v>
      </c>
      <c r="B2689">
        <v>1</v>
      </c>
      <c r="C2689">
        <v>46</v>
      </c>
      <c r="D2689">
        <v>46</v>
      </c>
    </row>
    <row r="2690" spans="1:4" ht="15" x14ac:dyDescent="0.25">
      <c r="A2690" t="s">
        <v>8083</v>
      </c>
      <c r="B2690">
        <v>1</v>
      </c>
      <c r="C2690">
        <v>46</v>
      </c>
      <c r="D2690">
        <v>46</v>
      </c>
    </row>
    <row r="2691" spans="1:4" ht="15" x14ac:dyDescent="0.25">
      <c r="A2691" t="s">
        <v>8085</v>
      </c>
      <c r="B2691">
        <v>2</v>
      </c>
      <c r="C2691">
        <v>40</v>
      </c>
      <c r="D2691">
        <v>20</v>
      </c>
    </row>
    <row r="2692" spans="1:4" ht="15" x14ac:dyDescent="0.25">
      <c r="A2692" t="s">
        <v>8087</v>
      </c>
      <c r="B2692">
        <v>1</v>
      </c>
      <c r="C2692">
        <v>34</v>
      </c>
      <c r="D2692">
        <v>34</v>
      </c>
    </row>
    <row r="2693" spans="1:4" ht="15" x14ac:dyDescent="0.25">
      <c r="A2693" t="s">
        <v>8086</v>
      </c>
      <c r="B2693">
        <v>4</v>
      </c>
      <c r="C2693">
        <v>146</v>
      </c>
      <c r="D2693">
        <v>36.5</v>
      </c>
    </row>
    <row r="2694" spans="1:4" ht="15" x14ac:dyDescent="0.25">
      <c r="A2694" t="s">
        <v>8092</v>
      </c>
      <c r="B2694">
        <v>2</v>
      </c>
      <c r="C2694">
        <v>98</v>
      </c>
      <c r="D2694">
        <v>49</v>
      </c>
    </row>
    <row r="2695" spans="1:4" ht="15" x14ac:dyDescent="0.25">
      <c r="A2695" t="s">
        <v>8094</v>
      </c>
      <c r="B2695">
        <v>2</v>
      </c>
      <c r="C2695">
        <v>70</v>
      </c>
      <c r="D2695">
        <v>35</v>
      </c>
    </row>
    <row r="2696" spans="1:4" ht="15" x14ac:dyDescent="0.25">
      <c r="A2696" t="s">
        <v>8095</v>
      </c>
      <c r="B2696">
        <v>6</v>
      </c>
      <c r="C2696">
        <v>266</v>
      </c>
      <c r="D2696">
        <v>44.333333333333336</v>
      </c>
    </row>
    <row r="2697" spans="1:4" ht="15" x14ac:dyDescent="0.25">
      <c r="A2697" t="s">
        <v>8093</v>
      </c>
      <c r="B2697">
        <v>4</v>
      </c>
      <c r="C2697">
        <v>157</v>
      </c>
      <c r="D2697">
        <v>39.25</v>
      </c>
    </row>
    <row r="2698" spans="1:4" ht="15" x14ac:dyDescent="0.25">
      <c r="A2698" t="s">
        <v>8098</v>
      </c>
      <c r="B2698">
        <v>1</v>
      </c>
      <c r="C2698">
        <v>46</v>
      </c>
      <c r="D2698">
        <v>46</v>
      </c>
    </row>
    <row r="2699" spans="1:4" ht="15" x14ac:dyDescent="0.25">
      <c r="A2699" t="s">
        <v>8102</v>
      </c>
      <c r="B2699">
        <v>1</v>
      </c>
      <c r="C2699">
        <v>25</v>
      </c>
      <c r="D2699">
        <v>25</v>
      </c>
    </row>
    <row r="2700" spans="1:4" ht="15" x14ac:dyDescent="0.25">
      <c r="A2700" t="s">
        <v>8103</v>
      </c>
      <c r="B2700">
        <v>1</v>
      </c>
      <c r="C2700">
        <v>25</v>
      </c>
      <c r="D2700">
        <v>25</v>
      </c>
    </row>
    <row r="2701" spans="1:4" ht="15" x14ac:dyDescent="0.25">
      <c r="A2701" t="s">
        <v>8105</v>
      </c>
      <c r="B2701">
        <v>2</v>
      </c>
      <c r="C2701">
        <v>182</v>
      </c>
      <c r="D2701">
        <v>91</v>
      </c>
    </row>
    <row r="2702" spans="1:4" ht="15" x14ac:dyDescent="0.25">
      <c r="A2702" t="s">
        <v>8106</v>
      </c>
      <c r="B2702">
        <v>1</v>
      </c>
      <c r="C2702">
        <v>25</v>
      </c>
      <c r="D2702">
        <v>25</v>
      </c>
    </row>
    <row r="2703" spans="1:4" ht="15" x14ac:dyDescent="0.25">
      <c r="A2703" t="s">
        <v>8104</v>
      </c>
      <c r="B2703">
        <v>1</v>
      </c>
      <c r="C2703">
        <v>25</v>
      </c>
      <c r="D2703">
        <v>25</v>
      </c>
    </row>
    <row r="2704" spans="1:4" ht="15" x14ac:dyDescent="0.25">
      <c r="A2704" t="s">
        <v>8110</v>
      </c>
      <c r="B2704">
        <v>1</v>
      </c>
      <c r="C2704">
        <v>46</v>
      </c>
      <c r="D2704">
        <v>46</v>
      </c>
    </row>
    <row r="2705" spans="1:4" ht="15" x14ac:dyDescent="0.25">
      <c r="A2705" t="s">
        <v>8111</v>
      </c>
      <c r="B2705">
        <v>5</v>
      </c>
      <c r="C2705">
        <v>300</v>
      </c>
      <c r="D2705">
        <v>60</v>
      </c>
    </row>
    <row r="2706" spans="1:4" ht="15" x14ac:dyDescent="0.25">
      <c r="A2706" t="s">
        <v>8112</v>
      </c>
      <c r="B2706">
        <v>3</v>
      </c>
      <c r="C2706">
        <v>206</v>
      </c>
      <c r="D2706">
        <v>68.666666666666671</v>
      </c>
    </row>
    <row r="2707" spans="1:4" ht="15" x14ac:dyDescent="0.25">
      <c r="A2707" t="s">
        <v>8116</v>
      </c>
      <c r="B2707">
        <v>1</v>
      </c>
      <c r="C2707">
        <v>54</v>
      </c>
      <c r="D2707">
        <v>54</v>
      </c>
    </row>
    <row r="2708" spans="1:4" ht="15" x14ac:dyDescent="0.25">
      <c r="A2708" t="s">
        <v>8119</v>
      </c>
      <c r="B2708">
        <v>2</v>
      </c>
      <c r="C2708">
        <v>88</v>
      </c>
      <c r="D2708">
        <v>44</v>
      </c>
    </row>
    <row r="2709" spans="1:4" ht="15" x14ac:dyDescent="0.25">
      <c r="A2709" t="s">
        <v>8126</v>
      </c>
      <c r="B2709">
        <v>1</v>
      </c>
      <c r="C2709">
        <v>110</v>
      </c>
      <c r="D2709">
        <v>110</v>
      </c>
    </row>
    <row r="2710" spans="1:4" ht="15" x14ac:dyDescent="0.25">
      <c r="A2710" t="s">
        <v>8128</v>
      </c>
      <c r="B2710">
        <v>1</v>
      </c>
      <c r="C2710">
        <v>110</v>
      </c>
      <c r="D2710">
        <v>110</v>
      </c>
    </row>
    <row r="2711" spans="1:4" ht="15" x14ac:dyDescent="0.25">
      <c r="A2711" t="s">
        <v>8129</v>
      </c>
      <c r="B2711">
        <v>1</v>
      </c>
      <c r="C2711">
        <v>110</v>
      </c>
      <c r="D2711">
        <v>110</v>
      </c>
    </row>
    <row r="2712" spans="1:4" ht="15" x14ac:dyDescent="0.25">
      <c r="A2712" t="s">
        <v>8127</v>
      </c>
      <c r="B2712">
        <v>1</v>
      </c>
      <c r="C2712">
        <v>110</v>
      </c>
      <c r="D2712">
        <v>110</v>
      </c>
    </row>
    <row r="2713" spans="1:4" ht="15" x14ac:dyDescent="0.25">
      <c r="A2713" t="s">
        <v>8133</v>
      </c>
      <c r="B2713">
        <v>1</v>
      </c>
      <c r="C2713">
        <v>27</v>
      </c>
      <c r="D2713">
        <v>27</v>
      </c>
    </row>
    <row r="2714" spans="1:4" ht="15" x14ac:dyDescent="0.25">
      <c r="A2714" t="s">
        <v>8134</v>
      </c>
      <c r="B2714">
        <v>2</v>
      </c>
      <c r="C2714">
        <v>59</v>
      </c>
      <c r="D2714">
        <v>29.5</v>
      </c>
    </row>
    <row r="2715" spans="1:4" ht="15" x14ac:dyDescent="0.25">
      <c r="A2715" t="s">
        <v>8142</v>
      </c>
      <c r="B2715">
        <v>1</v>
      </c>
      <c r="C2715">
        <v>69</v>
      </c>
      <c r="D2715">
        <v>69</v>
      </c>
    </row>
    <row r="2716" spans="1:4" ht="15" x14ac:dyDescent="0.25">
      <c r="A2716" t="s">
        <v>8144</v>
      </c>
      <c r="B2716">
        <v>3</v>
      </c>
      <c r="C2716">
        <v>175</v>
      </c>
      <c r="D2716">
        <v>58.333333333333336</v>
      </c>
    </row>
    <row r="2717" spans="1:4" ht="15" x14ac:dyDescent="0.25">
      <c r="A2717" t="s">
        <v>8145</v>
      </c>
      <c r="B2717">
        <v>3</v>
      </c>
      <c r="C2717">
        <v>110</v>
      </c>
      <c r="D2717">
        <v>36.666666666666664</v>
      </c>
    </row>
    <row r="2718" spans="1:4" ht="15" x14ac:dyDescent="0.25">
      <c r="A2718" t="s">
        <v>8143</v>
      </c>
      <c r="B2718">
        <v>1</v>
      </c>
      <c r="C2718">
        <v>69</v>
      </c>
      <c r="D2718">
        <v>69</v>
      </c>
    </row>
    <row r="2719" spans="1:4" ht="15" x14ac:dyDescent="0.25">
      <c r="A2719" t="s">
        <v>8152</v>
      </c>
      <c r="B2719">
        <v>2</v>
      </c>
      <c r="C2719">
        <v>162</v>
      </c>
      <c r="D2719">
        <v>81</v>
      </c>
    </row>
    <row r="2720" spans="1:4" ht="15" x14ac:dyDescent="0.25">
      <c r="A2720" t="s">
        <v>8156</v>
      </c>
      <c r="B2720">
        <v>1</v>
      </c>
      <c r="C2720">
        <v>54</v>
      </c>
      <c r="D2720">
        <v>54</v>
      </c>
    </row>
    <row r="2721" spans="1:4" ht="15" x14ac:dyDescent="0.25">
      <c r="A2721" t="s">
        <v>8157</v>
      </c>
      <c r="B2721">
        <v>1</v>
      </c>
      <c r="C2721">
        <v>54</v>
      </c>
      <c r="D2721">
        <v>54</v>
      </c>
    </row>
    <row r="2722" spans="1:4" ht="15" x14ac:dyDescent="0.25">
      <c r="A2722" t="s">
        <v>8161</v>
      </c>
      <c r="B2722">
        <v>8</v>
      </c>
      <c r="C2722">
        <v>1083</v>
      </c>
      <c r="D2722">
        <v>135.375</v>
      </c>
    </row>
    <row r="2723" spans="1:4" ht="15" x14ac:dyDescent="0.25">
      <c r="A2723" t="s">
        <v>8165</v>
      </c>
      <c r="B2723">
        <v>1</v>
      </c>
      <c r="C2723">
        <v>9</v>
      </c>
      <c r="D2723">
        <v>9</v>
      </c>
    </row>
    <row r="2724" spans="1:4" ht="15" x14ac:dyDescent="0.25">
      <c r="A2724" t="s">
        <v>8172</v>
      </c>
      <c r="B2724">
        <v>1</v>
      </c>
      <c r="C2724">
        <v>71</v>
      </c>
      <c r="D2724">
        <v>71</v>
      </c>
    </row>
    <row r="2725" spans="1:4" ht="15" x14ac:dyDescent="0.25">
      <c r="A2725" t="s">
        <v>8174</v>
      </c>
      <c r="B2725">
        <v>1</v>
      </c>
      <c r="C2725">
        <v>71</v>
      </c>
      <c r="D2725">
        <v>71</v>
      </c>
    </row>
    <row r="2726" spans="1:4" ht="15" x14ac:dyDescent="0.25">
      <c r="A2726" t="s">
        <v>8173</v>
      </c>
      <c r="B2726">
        <v>1</v>
      </c>
      <c r="C2726">
        <v>71</v>
      </c>
      <c r="D2726">
        <v>71</v>
      </c>
    </row>
    <row r="2727" spans="1:4" ht="15" x14ac:dyDescent="0.25">
      <c r="A2727" t="s">
        <v>8178</v>
      </c>
      <c r="B2727">
        <v>21</v>
      </c>
      <c r="C2727">
        <v>865</v>
      </c>
      <c r="D2727">
        <v>41.19047619047619</v>
      </c>
    </row>
    <row r="2728" spans="1:4" ht="15" x14ac:dyDescent="0.25">
      <c r="A2728" t="s">
        <v>8179</v>
      </c>
      <c r="B2728">
        <v>1</v>
      </c>
      <c r="C2728">
        <v>15</v>
      </c>
      <c r="D2728">
        <v>15</v>
      </c>
    </row>
    <row r="2729" spans="1:4" ht="15" x14ac:dyDescent="0.25">
      <c r="A2729" t="s">
        <v>8180</v>
      </c>
      <c r="B2729">
        <v>2</v>
      </c>
      <c r="C2729">
        <v>20</v>
      </c>
      <c r="D2729">
        <v>10</v>
      </c>
    </row>
    <row r="2730" spans="1:4" ht="15" x14ac:dyDescent="0.25">
      <c r="A2730" t="s">
        <v>8181</v>
      </c>
      <c r="B2730">
        <v>4</v>
      </c>
      <c r="C2730">
        <v>198</v>
      </c>
      <c r="D2730">
        <v>49.5</v>
      </c>
    </row>
    <row r="2731" spans="1:4" ht="15" x14ac:dyDescent="0.25">
      <c r="A2731" t="s">
        <v>8184</v>
      </c>
      <c r="B2731">
        <v>1</v>
      </c>
      <c r="C2731">
        <v>37</v>
      </c>
      <c r="D2731">
        <v>37</v>
      </c>
    </row>
    <row r="2732" spans="1:4" ht="15" x14ac:dyDescent="0.25">
      <c r="A2732" t="s">
        <v>8185</v>
      </c>
      <c r="B2732">
        <v>6</v>
      </c>
      <c r="C2732">
        <v>125</v>
      </c>
      <c r="D2732">
        <v>20.833333333333332</v>
      </c>
    </row>
    <row r="2733" spans="1:4" ht="15" x14ac:dyDescent="0.25">
      <c r="A2733" t="s">
        <v>8186</v>
      </c>
      <c r="B2733">
        <v>1</v>
      </c>
      <c r="C2733">
        <v>37</v>
      </c>
      <c r="D2733">
        <v>37</v>
      </c>
    </row>
    <row r="2734" spans="1:4" ht="15" x14ac:dyDescent="0.25">
      <c r="A2734" t="s">
        <v>8187</v>
      </c>
      <c r="B2734">
        <v>1</v>
      </c>
      <c r="C2734">
        <v>37</v>
      </c>
      <c r="D2734">
        <v>37</v>
      </c>
    </row>
    <row r="2735" spans="1:4" ht="15" x14ac:dyDescent="0.25">
      <c r="A2735" t="s">
        <v>8196</v>
      </c>
      <c r="B2735">
        <v>1</v>
      </c>
      <c r="C2735">
        <v>28</v>
      </c>
      <c r="D2735">
        <v>28</v>
      </c>
    </row>
    <row r="2736" spans="1:4" ht="15" x14ac:dyDescent="0.25">
      <c r="A2736" t="s">
        <v>8197</v>
      </c>
      <c r="B2736">
        <v>1</v>
      </c>
      <c r="C2736">
        <v>28</v>
      </c>
      <c r="D2736">
        <v>28</v>
      </c>
    </row>
    <row r="2737" spans="1:4" ht="15" x14ac:dyDescent="0.25">
      <c r="A2737" t="s">
        <v>8201</v>
      </c>
      <c r="B2737">
        <v>1</v>
      </c>
      <c r="C2737">
        <v>17</v>
      </c>
      <c r="D2737">
        <v>17</v>
      </c>
    </row>
    <row r="2738" spans="1:4" ht="15" x14ac:dyDescent="0.25">
      <c r="A2738" t="s">
        <v>8205</v>
      </c>
      <c r="B2738">
        <v>1</v>
      </c>
      <c r="C2738">
        <v>1486</v>
      </c>
      <c r="D2738">
        <v>1486</v>
      </c>
    </row>
    <row r="2739" spans="1:4" ht="15" x14ac:dyDescent="0.25">
      <c r="A2739" t="s">
        <v>8206</v>
      </c>
      <c r="B2739">
        <v>4</v>
      </c>
      <c r="C2739">
        <v>4463</v>
      </c>
      <c r="D2739">
        <v>1115.75</v>
      </c>
    </row>
    <row r="2740" spans="1:4" ht="15" x14ac:dyDescent="0.25">
      <c r="A2740" t="s">
        <v>8208</v>
      </c>
      <c r="B2740">
        <v>2</v>
      </c>
      <c r="C2740">
        <v>4431</v>
      </c>
      <c r="D2740">
        <v>2215.5</v>
      </c>
    </row>
    <row r="2741" spans="1:4" ht="15" x14ac:dyDescent="0.25">
      <c r="A2741" t="s">
        <v>8209</v>
      </c>
      <c r="B2741">
        <v>1</v>
      </c>
      <c r="C2741">
        <v>1486</v>
      </c>
      <c r="D2741">
        <v>1486</v>
      </c>
    </row>
    <row r="2742" spans="1:4" ht="15" x14ac:dyDescent="0.25">
      <c r="A2742" t="s">
        <v>8207</v>
      </c>
      <c r="B2742">
        <v>3</v>
      </c>
      <c r="C2742">
        <v>4714</v>
      </c>
      <c r="D2742">
        <v>1571.3333333333333</v>
      </c>
    </row>
    <row r="2743" spans="1:4" ht="15" x14ac:dyDescent="0.25">
      <c r="A2743" t="s">
        <v>8212</v>
      </c>
      <c r="B2743">
        <v>2</v>
      </c>
      <c r="C2743">
        <v>37</v>
      </c>
      <c r="D2743">
        <v>18.5</v>
      </c>
    </row>
    <row r="2744" spans="1:4" ht="15" x14ac:dyDescent="0.25">
      <c r="A2744" t="s">
        <v>8213</v>
      </c>
      <c r="B2744">
        <v>6</v>
      </c>
      <c r="C2744">
        <v>140</v>
      </c>
      <c r="D2744">
        <v>23.333333333333332</v>
      </c>
    </row>
    <row r="2745" spans="1:4" ht="15" x14ac:dyDescent="0.25">
      <c r="A2745" t="s">
        <v>8217</v>
      </c>
      <c r="B2745">
        <v>1</v>
      </c>
      <c r="C2745">
        <v>3</v>
      </c>
      <c r="D2745">
        <v>3</v>
      </c>
    </row>
    <row r="2746" spans="1:4" ht="15" x14ac:dyDescent="0.25">
      <c r="A2746" t="s">
        <v>8218</v>
      </c>
      <c r="B2746">
        <v>1</v>
      </c>
      <c r="C2746">
        <v>3</v>
      </c>
      <c r="D2746">
        <v>3</v>
      </c>
    </row>
    <row r="2747" spans="1:4" ht="15" x14ac:dyDescent="0.25">
      <c r="A2747" t="s">
        <v>8222</v>
      </c>
      <c r="B2747">
        <v>1</v>
      </c>
      <c r="C2747">
        <v>102</v>
      </c>
      <c r="D2747">
        <v>102</v>
      </c>
    </row>
    <row r="2748" spans="1:4" ht="15" x14ac:dyDescent="0.25">
      <c r="A2748" t="s">
        <v>8224</v>
      </c>
      <c r="B2748">
        <v>1</v>
      </c>
      <c r="C2748">
        <v>102</v>
      </c>
      <c r="D2748">
        <v>102</v>
      </c>
    </row>
    <row r="2749" spans="1:4" ht="15" x14ac:dyDescent="0.25">
      <c r="A2749" t="s">
        <v>8225</v>
      </c>
      <c r="B2749">
        <v>1</v>
      </c>
      <c r="C2749">
        <v>102</v>
      </c>
      <c r="D2749">
        <v>102</v>
      </c>
    </row>
    <row r="2750" spans="1:4" ht="15" x14ac:dyDescent="0.25">
      <c r="A2750" t="s">
        <v>8223</v>
      </c>
      <c r="B2750">
        <v>1</v>
      </c>
      <c r="C2750">
        <v>102</v>
      </c>
      <c r="D2750">
        <v>102</v>
      </c>
    </row>
    <row r="2751" spans="1:4" ht="15" x14ac:dyDescent="0.25">
      <c r="A2751" t="s">
        <v>8228</v>
      </c>
      <c r="B2751">
        <v>1</v>
      </c>
      <c r="C2751">
        <v>16</v>
      </c>
      <c r="D2751">
        <v>16</v>
      </c>
    </row>
    <row r="2752" spans="1:4" ht="15" x14ac:dyDescent="0.25">
      <c r="A2752" t="s">
        <v>8230</v>
      </c>
      <c r="B2752">
        <v>1</v>
      </c>
      <c r="C2752">
        <v>16</v>
      </c>
      <c r="D2752">
        <v>16</v>
      </c>
    </row>
    <row r="2753" spans="1:4" ht="15" x14ac:dyDescent="0.25">
      <c r="A2753" t="s">
        <v>8231</v>
      </c>
      <c r="B2753">
        <v>1</v>
      </c>
      <c r="C2753">
        <v>16</v>
      </c>
      <c r="D2753">
        <v>16</v>
      </c>
    </row>
    <row r="2754" spans="1:4" ht="15" x14ac:dyDescent="0.25">
      <c r="A2754" t="s">
        <v>8229</v>
      </c>
      <c r="B2754">
        <v>1</v>
      </c>
      <c r="C2754">
        <v>16</v>
      </c>
      <c r="D2754">
        <v>16</v>
      </c>
    </row>
    <row r="2755" spans="1:4" ht="15" x14ac:dyDescent="0.25">
      <c r="A2755" t="s">
        <v>8234</v>
      </c>
      <c r="B2755">
        <v>7</v>
      </c>
      <c r="C2755">
        <v>296</v>
      </c>
      <c r="D2755">
        <v>42.285714285714285</v>
      </c>
    </row>
    <row r="2756" spans="1:4" ht="15" x14ac:dyDescent="0.25">
      <c r="A2756" t="s">
        <v>8245</v>
      </c>
      <c r="B2756">
        <v>1</v>
      </c>
      <c r="C2756">
        <v>17</v>
      </c>
      <c r="D2756">
        <v>17</v>
      </c>
    </row>
    <row r="2757" spans="1:4" ht="15" x14ac:dyDescent="0.25">
      <c r="A2757" t="s">
        <v>8246</v>
      </c>
      <c r="B2757">
        <v>1</v>
      </c>
      <c r="C2757">
        <v>17</v>
      </c>
      <c r="D2757">
        <v>17</v>
      </c>
    </row>
    <row r="2758" spans="1:4" ht="15" x14ac:dyDescent="0.25">
      <c r="A2758" t="s">
        <v>8250</v>
      </c>
      <c r="B2758">
        <v>10</v>
      </c>
      <c r="C2758">
        <v>1525</v>
      </c>
      <c r="D2758">
        <v>152.5</v>
      </c>
    </row>
    <row r="2759" spans="1:4" ht="15" x14ac:dyDescent="0.25">
      <c r="A2759" t="s">
        <v>8252</v>
      </c>
      <c r="B2759">
        <v>1</v>
      </c>
      <c r="C2759">
        <v>17</v>
      </c>
      <c r="D2759">
        <v>17</v>
      </c>
    </row>
    <row r="2760" spans="1:4" ht="15" x14ac:dyDescent="0.25">
      <c r="A2760" t="s">
        <v>8251</v>
      </c>
      <c r="B2760">
        <v>1</v>
      </c>
      <c r="C2760">
        <v>17</v>
      </c>
      <c r="D2760">
        <v>17</v>
      </c>
    </row>
    <row r="2761" spans="1:4" ht="15" x14ac:dyDescent="0.25">
      <c r="A2761" t="s">
        <v>8256</v>
      </c>
      <c r="B2761">
        <v>1</v>
      </c>
      <c r="C2761">
        <v>23</v>
      </c>
      <c r="D2761">
        <v>23</v>
      </c>
    </row>
    <row r="2762" spans="1:4" ht="15" x14ac:dyDescent="0.25">
      <c r="A2762" t="s">
        <v>8257</v>
      </c>
      <c r="B2762">
        <v>1</v>
      </c>
      <c r="C2762">
        <v>23</v>
      </c>
      <c r="D2762">
        <v>23</v>
      </c>
    </row>
    <row r="2763" spans="1:4" ht="15" x14ac:dyDescent="0.25">
      <c r="A2763" t="s">
        <v>8261</v>
      </c>
      <c r="B2763">
        <v>1</v>
      </c>
      <c r="C2763">
        <v>45</v>
      </c>
      <c r="D2763">
        <v>45</v>
      </c>
    </row>
    <row r="2764" spans="1:4" ht="15" x14ac:dyDescent="0.25">
      <c r="A2764" t="s">
        <v>8264</v>
      </c>
      <c r="B2764">
        <v>6</v>
      </c>
      <c r="C2764">
        <v>149</v>
      </c>
      <c r="D2764">
        <v>24.833333333333332</v>
      </c>
    </row>
    <row r="2765" spans="1:4" ht="15" x14ac:dyDescent="0.25">
      <c r="A2765" t="s">
        <v>8267</v>
      </c>
      <c r="B2765">
        <v>1</v>
      </c>
      <c r="C2765">
        <v>30</v>
      </c>
      <c r="D2765">
        <v>30</v>
      </c>
    </row>
    <row r="2766" spans="1:4" ht="15" x14ac:dyDescent="0.25">
      <c r="A2766" t="s">
        <v>8268</v>
      </c>
      <c r="B2766">
        <v>1</v>
      </c>
      <c r="C2766">
        <v>30</v>
      </c>
      <c r="D2766">
        <v>30</v>
      </c>
    </row>
    <row r="2767" spans="1:4" ht="15" x14ac:dyDescent="0.25">
      <c r="A2767" t="s">
        <v>8273</v>
      </c>
      <c r="B2767">
        <v>1</v>
      </c>
      <c r="C2767">
        <v>42</v>
      </c>
      <c r="D2767">
        <v>42</v>
      </c>
    </row>
    <row r="2768" spans="1:4" ht="15" x14ac:dyDescent="0.25">
      <c r="A2768" t="s">
        <v>8274</v>
      </c>
      <c r="B2768">
        <v>1</v>
      </c>
      <c r="C2768">
        <v>42</v>
      </c>
      <c r="D2768">
        <v>42</v>
      </c>
    </row>
    <row r="2769" spans="1:4" ht="15" x14ac:dyDescent="0.25">
      <c r="A2769" t="s">
        <v>8281</v>
      </c>
      <c r="B2769">
        <v>1</v>
      </c>
      <c r="C2769">
        <v>6</v>
      </c>
      <c r="D2769">
        <v>6</v>
      </c>
    </row>
    <row r="2770" spans="1:4" ht="15" x14ac:dyDescent="0.25">
      <c r="A2770" t="s">
        <v>8282</v>
      </c>
      <c r="B2770">
        <v>1</v>
      </c>
      <c r="C2770">
        <v>6</v>
      </c>
      <c r="D2770">
        <v>6</v>
      </c>
    </row>
    <row r="2771" spans="1:4" ht="15" x14ac:dyDescent="0.25">
      <c r="A2771" t="s">
        <v>8288</v>
      </c>
      <c r="B2771">
        <v>1</v>
      </c>
      <c r="C2771">
        <v>11</v>
      </c>
      <c r="D2771">
        <v>11</v>
      </c>
    </row>
    <row r="2772" spans="1:4" ht="15" x14ac:dyDescent="0.25">
      <c r="A2772" t="s">
        <v>8287</v>
      </c>
      <c r="B2772">
        <v>1</v>
      </c>
      <c r="C2772">
        <v>11</v>
      </c>
      <c r="D2772">
        <v>11</v>
      </c>
    </row>
    <row r="2773" spans="1:4" ht="15" x14ac:dyDescent="0.25">
      <c r="A2773" t="s">
        <v>8292</v>
      </c>
      <c r="B2773">
        <v>1</v>
      </c>
      <c r="C2773">
        <v>8</v>
      </c>
      <c r="D2773">
        <v>8</v>
      </c>
    </row>
    <row r="2774" spans="1:4" ht="15" x14ac:dyDescent="0.25">
      <c r="A2774" t="s">
        <v>8293</v>
      </c>
      <c r="B2774">
        <v>1</v>
      </c>
      <c r="C2774">
        <v>8</v>
      </c>
      <c r="D2774">
        <v>8</v>
      </c>
    </row>
    <row r="2775" spans="1:4" ht="15" x14ac:dyDescent="0.25">
      <c r="A2775" t="s">
        <v>8295</v>
      </c>
      <c r="B2775">
        <v>1</v>
      </c>
      <c r="C2775">
        <v>8</v>
      </c>
      <c r="D2775">
        <v>8</v>
      </c>
    </row>
    <row r="2776" spans="1:4" ht="15" x14ac:dyDescent="0.25">
      <c r="A2776" t="s">
        <v>8296</v>
      </c>
      <c r="B2776">
        <v>1</v>
      </c>
      <c r="C2776">
        <v>8</v>
      </c>
      <c r="D2776">
        <v>8</v>
      </c>
    </row>
    <row r="2777" spans="1:4" ht="15" x14ac:dyDescent="0.25">
      <c r="A2777" t="s">
        <v>8294</v>
      </c>
      <c r="B2777">
        <v>1</v>
      </c>
      <c r="C2777">
        <v>8</v>
      </c>
      <c r="D2777">
        <v>8</v>
      </c>
    </row>
    <row r="2778" spans="1:4" ht="15" x14ac:dyDescent="0.25">
      <c r="A2778" t="s">
        <v>8300</v>
      </c>
      <c r="B2778">
        <v>1</v>
      </c>
      <c r="C2778">
        <v>55</v>
      </c>
      <c r="D2778">
        <v>55</v>
      </c>
    </row>
    <row r="2779" spans="1:4" ht="15" x14ac:dyDescent="0.25">
      <c r="A2779" t="s">
        <v>8301</v>
      </c>
      <c r="B2779">
        <v>1</v>
      </c>
      <c r="C2779">
        <v>55</v>
      </c>
      <c r="D2779">
        <v>55</v>
      </c>
    </row>
    <row r="2780" spans="1:4" ht="15" x14ac:dyDescent="0.25">
      <c r="A2780" t="s">
        <v>8304</v>
      </c>
      <c r="B2780">
        <v>1</v>
      </c>
      <c r="C2780">
        <v>22</v>
      </c>
      <c r="D2780">
        <v>22</v>
      </c>
    </row>
    <row r="2781" spans="1:4" ht="15" x14ac:dyDescent="0.25">
      <c r="A2781" t="s">
        <v>8306</v>
      </c>
      <c r="B2781">
        <v>1</v>
      </c>
      <c r="C2781">
        <v>22</v>
      </c>
      <c r="D2781">
        <v>22</v>
      </c>
    </row>
    <row r="2782" spans="1:4" ht="15" x14ac:dyDescent="0.25">
      <c r="A2782" t="s">
        <v>8305</v>
      </c>
      <c r="B2782">
        <v>1</v>
      </c>
      <c r="C2782">
        <v>22</v>
      </c>
      <c r="D2782">
        <v>22</v>
      </c>
    </row>
    <row r="2783" spans="1:4" ht="15" x14ac:dyDescent="0.25">
      <c r="A2783" t="s">
        <v>8316</v>
      </c>
      <c r="B2783">
        <v>1</v>
      </c>
      <c r="C2783">
        <v>22</v>
      </c>
      <c r="D2783">
        <v>22</v>
      </c>
    </row>
    <row r="2784" spans="1:4" ht="15" x14ac:dyDescent="0.25">
      <c r="A2784" t="s">
        <v>8317</v>
      </c>
      <c r="B2784">
        <v>1</v>
      </c>
      <c r="C2784">
        <v>22</v>
      </c>
      <c r="D2784">
        <v>22</v>
      </c>
    </row>
    <row r="2785" spans="1:4" ht="15" x14ac:dyDescent="0.25">
      <c r="A2785" t="s">
        <v>8319</v>
      </c>
      <c r="B2785">
        <v>1</v>
      </c>
      <c r="C2785">
        <v>22</v>
      </c>
      <c r="D2785">
        <v>22</v>
      </c>
    </row>
    <row r="2786" spans="1:4" ht="15" x14ac:dyDescent="0.25">
      <c r="A2786" t="s">
        <v>8318</v>
      </c>
      <c r="B2786">
        <v>4</v>
      </c>
      <c r="C2786">
        <v>89</v>
      </c>
      <c r="D2786">
        <v>22.25</v>
      </c>
    </row>
    <row r="2787" spans="1:4" ht="15" x14ac:dyDescent="0.25">
      <c r="A2787" t="s">
        <v>8323</v>
      </c>
      <c r="B2787">
        <v>1</v>
      </c>
      <c r="C2787">
        <v>51</v>
      </c>
      <c r="D2787">
        <v>51</v>
      </c>
    </row>
    <row r="2788" spans="1:4" ht="15" x14ac:dyDescent="0.25">
      <c r="A2788" t="s">
        <v>8324</v>
      </c>
      <c r="B2788">
        <v>2</v>
      </c>
      <c r="C2788">
        <v>160</v>
      </c>
      <c r="D2788">
        <v>80</v>
      </c>
    </row>
    <row r="2789" spans="1:4" ht="15" x14ac:dyDescent="0.25">
      <c r="A2789" t="s">
        <v>8328</v>
      </c>
      <c r="B2789">
        <v>5</v>
      </c>
      <c r="C2789">
        <v>2625</v>
      </c>
      <c r="D2789">
        <v>525</v>
      </c>
    </row>
    <row r="2790" spans="1:4" ht="15" x14ac:dyDescent="0.25">
      <c r="A2790" t="s">
        <v>8329</v>
      </c>
      <c r="B2790">
        <v>1</v>
      </c>
      <c r="C2790">
        <v>61</v>
      </c>
      <c r="D2790">
        <v>61</v>
      </c>
    </row>
    <row r="2791" spans="1:4" ht="15" x14ac:dyDescent="0.25">
      <c r="A2791" t="s">
        <v>8330</v>
      </c>
      <c r="B2791">
        <v>2</v>
      </c>
      <c r="C2791">
        <v>146</v>
      </c>
      <c r="D2791">
        <v>73</v>
      </c>
    </row>
    <row r="2792" spans="1:4" ht="15" x14ac:dyDescent="0.25">
      <c r="A2792" t="s">
        <v>8337</v>
      </c>
      <c r="B2792">
        <v>2</v>
      </c>
      <c r="C2792">
        <v>117</v>
      </c>
      <c r="D2792">
        <v>58.5</v>
      </c>
    </row>
    <row r="2793" spans="1:4" ht="15" x14ac:dyDescent="0.25">
      <c r="A2793" t="s">
        <v>8340</v>
      </c>
      <c r="B2793">
        <v>3</v>
      </c>
      <c r="C2793">
        <v>415</v>
      </c>
      <c r="D2793">
        <v>138.33333333333334</v>
      </c>
    </row>
    <row r="2794" spans="1:4" ht="15" x14ac:dyDescent="0.25">
      <c r="A2794" t="s">
        <v>8345</v>
      </c>
      <c r="B2794">
        <v>1</v>
      </c>
      <c r="C2794">
        <v>41</v>
      </c>
      <c r="D2794">
        <v>41</v>
      </c>
    </row>
    <row r="2795" spans="1:4" ht="15" x14ac:dyDescent="0.25">
      <c r="A2795" t="s">
        <v>8349</v>
      </c>
      <c r="B2795">
        <v>1</v>
      </c>
      <c r="C2795">
        <v>19</v>
      </c>
      <c r="D2795">
        <v>19</v>
      </c>
    </row>
    <row r="2796" spans="1:4" ht="15" x14ac:dyDescent="0.25">
      <c r="A2796" t="s">
        <v>8350</v>
      </c>
      <c r="B2796">
        <v>1</v>
      </c>
      <c r="C2796">
        <v>19</v>
      </c>
      <c r="D2796">
        <v>19</v>
      </c>
    </row>
    <row r="2797" spans="1:4" ht="15" x14ac:dyDescent="0.25">
      <c r="A2797" t="s">
        <v>8353</v>
      </c>
      <c r="B2797">
        <v>3</v>
      </c>
      <c r="C2797">
        <v>142</v>
      </c>
      <c r="D2797">
        <v>47.333333333333336</v>
      </c>
    </row>
    <row r="2798" spans="1:4" ht="15" x14ac:dyDescent="0.25">
      <c r="A2798" t="s">
        <v>8354</v>
      </c>
      <c r="B2798">
        <v>1</v>
      </c>
      <c r="C2798">
        <v>29</v>
      </c>
      <c r="D2798">
        <v>29</v>
      </c>
    </row>
    <row r="2799" spans="1:4" ht="15" x14ac:dyDescent="0.25">
      <c r="A2799" t="s">
        <v>8359</v>
      </c>
      <c r="B2799">
        <v>1</v>
      </c>
      <c r="C2799">
        <v>37</v>
      </c>
      <c r="D2799">
        <v>37</v>
      </c>
    </row>
    <row r="2800" spans="1:4" ht="15" x14ac:dyDescent="0.25">
      <c r="A2800" t="s">
        <v>8355</v>
      </c>
      <c r="B2800">
        <v>1</v>
      </c>
      <c r="C2800">
        <v>37</v>
      </c>
      <c r="D2800">
        <v>37</v>
      </c>
    </row>
    <row r="2801" spans="1:4" ht="15" x14ac:dyDescent="0.25">
      <c r="A2801" t="s">
        <v>8361</v>
      </c>
      <c r="B2801">
        <v>1</v>
      </c>
      <c r="C2801">
        <v>37</v>
      </c>
      <c r="D2801">
        <v>37</v>
      </c>
    </row>
    <row r="2802" spans="1:4" ht="15" x14ac:dyDescent="0.25">
      <c r="A2802" t="s">
        <v>8360</v>
      </c>
      <c r="B2802">
        <v>1</v>
      </c>
      <c r="C2802">
        <v>37</v>
      </c>
      <c r="D2802">
        <v>37</v>
      </c>
    </row>
    <row r="2803" spans="1:4" ht="15" x14ac:dyDescent="0.25">
      <c r="A2803" t="s">
        <v>8366</v>
      </c>
      <c r="B2803">
        <v>1</v>
      </c>
      <c r="C2803">
        <v>32</v>
      </c>
      <c r="D2803">
        <v>32</v>
      </c>
    </row>
    <row r="2804" spans="1:4" ht="15" x14ac:dyDescent="0.25">
      <c r="A2804" t="s">
        <v>8367</v>
      </c>
      <c r="B2804">
        <v>5</v>
      </c>
      <c r="C2804">
        <v>267</v>
      </c>
      <c r="D2804">
        <v>53.4</v>
      </c>
    </row>
    <row r="2805" spans="1:4" ht="15" x14ac:dyDescent="0.25">
      <c r="A2805" t="s">
        <v>8369</v>
      </c>
      <c r="B2805">
        <v>1</v>
      </c>
      <c r="C2805">
        <v>32</v>
      </c>
      <c r="D2805">
        <v>32</v>
      </c>
    </row>
    <row r="2806" spans="1:4" ht="15" x14ac:dyDescent="0.25">
      <c r="A2806" t="s">
        <v>8368</v>
      </c>
      <c r="B2806">
        <v>1</v>
      </c>
      <c r="C2806">
        <v>32</v>
      </c>
      <c r="D2806">
        <v>32</v>
      </c>
    </row>
    <row r="2807" spans="1:4" ht="15" x14ac:dyDescent="0.25">
      <c r="A2807" t="s">
        <v>8373</v>
      </c>
      <c r="B2807">
        <v>2</v>
      </c>
      <c r="C2807">
        <v>17</v>
      </c>
      <c r="D2807">
        <v>8.5</v>
      </c>
    </row>
    <row r="2808" spans="1:4" ht="15" x14ac:dyDescent="0.25">
      <c r="A2808" t="s">
        <v>8374</v>
      </c>
      <c r="B2808">
        <v>1</v>
      </c>
      <c r="C2808">
        <v>14</v>
      </c>
      <c r="D2808">
        <v>14</v>
      </c>
    </row>
    <row r="2809" spans="1:4" ht="15" x14ac:dyDescent="0.25">
      <c r="A2809" t="s">
        <v>8380</v>
      </c>
      <c r="B2809">
        <v>1</v>
      </c>
      <c r="C2809">
        <v>26</v>
      </c>
      <c r="D2809">
        <v>26</v>
      </c>
    </row>
    <row r="2810" spans="1:4" ht="15" x14ac:dyDescent="0.25">
      <c r="A2810" t="s">
        <v>8381</v>
      </c>
      <c r="B2810">
        <v>1</v>
      </c>
      <c r="C2810">
        <v>26</v>
      </c>
      <c r="D2810">
        <v>26</v>
      </c>
    </row>
    <row r="2811" spans="1:4" ht="15" x14ac:dyDescent="0.25">
      <c r="A2811" t="s">
        <v>8389</v>
      </c>
      <c r="B2811">
        <v>2</v>
      </c>
      <c r="C2811">
        <v>61</v>
      </c>
      <c r="D2811">
        <v>30.5</v>
      </c>
    </row>
    <row r="2812" spans="1:4" ht="15" x14ac:dyDescent="0.25">
      <c r="A2812" t="s">
        <v>8391</v>
      </c>
      <c r="B2812">
        <v>2</v>
      </c>
      <c r="C2812">
        <v>61</v>
      </c>
      <c r="D2812">
        <v>30.5</v>
      </c>
    </row>
    <row r="2813" spans="1:4" ht="15" x14ac:dyDescent="0.25">
      <c r="A2813" t="s">
        <v>8390</v>
      </c>
      <c r="B2813">
        <v>1</v>
      </c>
      <c r="C2813">
        <v>24</v>
      </c>
      <c r="D2813">
        <v>24</v>
      </c>
    </row>
    <row r="2814" spans="1:4" ht="15" x14ac:dyDescent="0.25">
      <c r="A2814" t="s">
        <v>8395</v>
      </c>
      <c r="B2814">
        <v>1</v>
      </c>
      <c r="C2814">
        <v>25</v>
      </c>
      <c r="D2814">
        <v>25</v>
      </c>
    </row>
    <row r="2815" spans="1:4" ht="15" x14ac:dyDescent="0.25">
      <c r="A2815" t="s">
        <v>8396</v>
      </c>
      <c r="B2815">
        <v>1</v>
      </c>
      <c r="C2815">
        <v>25</v>
      </c>
      <c r="D2815">
        <v>25</v>
      </c>
    </row>
    <row r="2816" spans="1:4" ht="15" x14ac:dyDescent="0.25">
      <c r="A2816" t="s">
        <v>8397</v>
      </c>
      <c r="B2816">
        <v>1</v>
      </c>
      <c r="C2816">
        <v>25</v>
      </c>
      <c r="D2816">
        <v>25</v>
      </c>
    </row>
    <row r="2817" spans="1:4" ht="15" x14ac:dyDescent="0.25">
      <c r="A2817" t="s">
        <v>8401</v>
      </c>
      <c r="B2817">
        <v>5</v>
      </c>
      <c r="C2817">
        <v>4026</v>
      </c>
      <c r="D2817">
        <v>805.2</v>
      </c>
    </row>
    <row r="2818" spans="1:4" ht="15" x14ac:dyDescent="0.25">
      <c r="A2818" t="s">
        <v>8400</v>
      </c>
      <c r="B2818">
        <v>8</v>
      </c>
      <c r="C2818">
        <v>4383</v>
      </c>
      <c r="D2818">
        <v>547.875</v>
      </c>
    </row>
    <row r="2819" spans="1:4" ht="15" x14ac:dyDescent="0.25">
      <c r="A2819" t="s">
        <v>8405</v>
      </c>
      <c r="B2819">
        <v>1</v>
      </c>
      <c r="C2819">
        <v>3</v>
      </c>
      <c r="D2819">
        <v>3</v>
      </c>
    </row>
    <row r="2820" spans="1:4" ht="15" x14ac:dyDescent="0.25">
      <c r="A2820" t="s">
        <v>8407</v>
      </c>
      <c r="B2820">
        <v>3</v>
      </c>
      <c r="C2820">
        <v>134</v>
      </c>
      <c r="D2820">
        <v>44.666666666666664</v>
      </c>
    </row>
    <row r="2821" spans="1:4" ht="15" x14ac:dyDescent="0.25">
      <c r="A2821" t="s">
        <v>8406</v>
      </c>
      <c r="B2821">
        <v>1</v>
      </c>
      <c r="C2821">
        <v>3</v>
      </c>
      <c r="D2821">
        <v>3</v>
      </c>
    </row>
    <row r="2822" spans="1:4" ht="15" x14ac:dyDescent="0.25">
      <c r="A2822" t="s">
        <v>8414</v>
      </c>
      <c r="B2822">
        <v>4</v>
      </c>
      <c r="C2822">
        <v>117</v>
      </c>
      <c r="D2822">
        <v>29.25</v>
      </c>
    </row>
    <row r="2823" spans="1:4" ht="15" x14ac:dyDescent="0.25">
      <c r="A2823" t="s">
        <v>8416</v>
      </c>
      <c r="B2823">
        <v>1</v>
      </c>
      <c r="C2823">
        <v>31</v>
      </c>
      <c r="D2823">
        <v>31</v>
      </c>
    </row>
    <row r="2824" spans="1:4" ht="15" x14ac:dyDescent="0.25">
      <c r="A2824" t="s">
        <v>8417</v>
      </c>
      <c r="B2824">
        <v>3</v>
      </c>
      <c r="C2824">
        <v>153</v>
      </c>
      <c r="D2824">
        <v>51</v>
      </c>
    </row>
    <row r="2825" spans="1:4" ht="15" x14ac:dyDescent="0.25">
      <c r="A2825" t="s">
        <v>8415</v>
      </c>
      <c r="B2825">
        <v>2</v>
      </c>
      <c r="C2825">
        <v>80</v>
      </c>
      <c r="D2825">
        <v>40</v>
      </c>
    </row>
    <row r="2826" spans="1:4" ht="15" x14ac:dyDescent="0.25">
      <c r="A2826" t="s">
        <v>8421</v>
      </c>
      <c r="B2826">
        <v>1</v>
      </c>
      <c r="C2826">
        <v>27</v>
      </c>
      <c r="D2826">
        <v>27</v>
      </c>
    </row>
    <row r="2827" spans="1:4" ht="15" x14ac:dyDescent="0.25">
      <c r="A2827" t="s">
        <v>8422</v>
      </c>
      <c r="B2827">
        <v>1</v>
      </c>
      <c r="C2827">
        <v>27</v>
      </c>
      <c r="D2827">
        <v>27</v>
      </c>
    </row>
    <row r="2828" spans="1:4" ht="15" x14ac:dyDescent="0.25">
      <c r="A2828" t="s">
        <v>8426</v>
      </c>
      <c r="B2828">
        <v>1</v>
      </c>
      <c r="C2828">
        <v>61</v>
      </c>
      <c r="D2828">
        <v>61</v>
      </c>
    </row>
    <row r="2829" spans="1:4" ht="15" x14ac:dyDescent="0.25">
      <c r="A2829" t="s">
        <v>8427</v>
      </c>
      <c r="B2829">
        <v>2</v>
      </c>
      <c r="C2829">
        <v>80</v>
      </c>
      <c r="D2829">
        <v>40</v>
      </c>
    </row>
    <row r="2830" spans="1:4" ht="15" x14ac:dyDescent="0.25">
      <c r="A2830" t="s">
        <v>8431</v>
      </c>
      <c r="B2830">
        <v>1</v>
      </c>
      <c r="C2830">
        <v>50</v>
      </c>
      <c r="D2830">
        <v>50</v>
      </c>
    </row>
    <row r="2831" spans="1:4" ht="15" x14ac:dyDescent="0.25">
      <c r="A2831" t="s">
        <v>8432</v>
      </c>
      <c r="B2831">
        <v>1</v>
      </c>
      <c r="C2831">
        <v>50</v>
      </c>
      <c r="D2831">
        <v>50</v>
      </c>
    </row>
    <row r="2832" spans="1:4" ht="15" x14ac:dyDescent="0.25">
      <c r="A2832" t="s">
        <v>8434</v>
      </c>
      <c r="B2832">
        <v>1</v>
      </c>
      <c r="C2832">
        <v>50</v>
      </c>
      <c r="D2832">
        <v>50</v>
      </c>
    </row>
    <row r="2833" spans="1:4" ht="15" x14ac:dyDescent="0.25">
      <c r="A2833" t="s">
        <v>8435</v>
      </c>
      <c r="B2833">
        <v>1</v>
      </c>
      <c r="C2833">
        <v>50</v>
      </c>
      <c r="D2833">
        <v>50</v>
      </c>
    </row>
    <row r="2834" spans="1:4" ht="15" x14ac:dyDescent="0.25">
      <c r="A2834" t="s">
        <v>8433</v>
      </c>
      <c r="B2834">
        <v>1</v>
      </c>
      <c r="C2834">
        <v>50</v>
      </c>
      <c r="D2834">
        <v>50</v>
      </c>
    </row>
    <row r="2835" spans="1:4" ht="15" x14ac:dyDescent="0.25">
      <c r="A2835" t="s">
        <v>8441</v>
      </c>
      <c r="B2835">
        <v>1</v>
      </c>
      <c r="C2835">
        <v>48</v>
      </c>
      <c r="D2835">
        <v>48</v>
      </c>
    </row>
    <row r="2836" spans="1:4" ht="15" x14ac:dyDescent="0.25">
      <c r="A2836" t="s">
        <v>8442</v>
      </c>
      <c r="B2836">
        <v>2</v>
      </c>
      <c r="C2836">
        <v>67</v>
      </c>
      <c r="D2836">
        <v>33.5</v>
      </c>
    </row>
    <row r="2837" spans="1:4" ht="15" x14ac:dyDescent="0.25">
      <c r="A2837" t="s">
        <v>8443</v>
      </c>
      <c r="B2837">
        <v>1</v>
      </c>
      <c r="C2837">
        <v>48</v>
      </c>
      <c r="D2837">
        <v>48</v>
      </c>
    </row>
    <row r="2838" spans="1:4" ht="15" x14ac:dyDescent="0.25">
      <c r="A2838" t="s">
        <v>8444</v>
      </c>
      <c r="B2838">
        <v>1</v>
      </c>
      <c r="C2838">
        <v>48</v>
      </c>
      <c r="D2838">
        <v>48</v>
      </c>
    </row>
    <row r="2839" spans="1:4" ht="15" x14ac:dyDescent="0.25">
      <c r="A2839" t="s">
        <v>8449</v>
      </c>
      <c r="B2839">
        <v>3</v>
      </c>
      <c r="C2839">
        <v>46</v>
      </c>
      <c r="D2839">
        <v>15.333333333333334</v>
      </c>
    </row>
    <row r="2840" spans="1:4" ht="15" x14ac:dyDescent="0.25">
      <c r="A2840" t="s">
        <v>8450</v>
      </c>
      <c r="B2840">
        <v>1</v>
      </c>
      <c r="C2840">
        <v>11</v>
      </c>
      <c r="D2840">
        <v>11</v>
      </c>
    </row>
    <row r="2841" spans="1:4" ht="15" x14ac:dyDescent="0.25">
      <c r="A2841" t="s">
        <v>8453</v>
      </c>
      <c r="B2841">
        <v>1</v>
      </c>
      <c r="C2841">
        <v>4</v>
      </c>
      <c r="D2841">
        <v>4</v>
      </c>
    </row>
    <row r="2842" spans="1:4" ht="15" x14ac:dyDescent="0.25">
      <c r="A2842" t="s">
        <v>8454</v>
      </c>
      <c r="B2842">
        <v>1</v>
      </c>
      <c r="C2842">
        <v>4</v>
      </c>
      <c r="D2842">
        <v>4</v>
      </c>
    </row>
    <row r="2843" spans="1:4" ht="15" x14ac:dyDescent="0.25">
      <c r="A2843" t="s">
        <v>8455</v>
      </c>
      <c r="B2843">
        <v>1</v>
      </c>
      <c r="C2843">
        <v>4</v>
      </c>
      <c r="D2843">
        <v>4</v>
      </c>
    </row>
    <row r="2844" spans="1:4" ht="15" x14ac:dyDescent="0.25">
      <c r="A2844" t="s">
        <v>8456</v>
      </c>
      <c r="B2844">
        <v>1</v>
      </c>
      <c r="C2844">
        <v>4</v>
      </c>
      <c r="D2844">
        <v>4</v>
      </c>
    </row>
    <row r="2845" spans="1:4" ht="15" x14ac:dyDescent="0.25">
      <c r="A2845" t="s">
        <v>8466</v>
      </c>
      <c r="B2845">
        <v>1</v>
      </c>
      <c r="C2845">
        <v>5</v>
      </c>
      <c r="D2845">
        <v>5</v>
      </c>
    </row>
    <row r="2846" spans="1:4" ht="15" x14ac:dyDescent="0.25">
      <c r="A2846" t="s">
        <v>8467</v>
      </c>
      <c r="B2846">
        <v>1</v>
      </c>
      <c r="C2846">
        <v>5</v>
      </c>
      <c r="D2846">
        <v>5</v>
      </c>
    </row>
    <row r="2847" spans="1:4" ht="15" x14ac:dyDescent="0.25">
      <c r="A2847" t="s">
        <v>8473</v>
      </c>
      <c r="B2847">
        <v>3</v>
      </c>
      <c r="C2847">
        <v>66</v>
      </c>
      <c r="D2847">
        <v>22</v>
      </c>
    </row>
    <row r="2848" spans="1:4" ht="15" x14ac:dyDescent="0.25">
      <c r="A2848" t="s">
        <v>8474</v>
      </c>
      <c r="B2848">
        <v>1</v>
      </c>
      <c r="C2848">
        <v>22</v>
      </c>
      <c r="D2848">
        <v>22</v>
      </c>
    </row>
    <row r="2849" spans="1:4" ht="15" x14ac:dyDescent="0.25">
      <c r="A2849" t="s">
        <v>8475</v>
      </c>
      <c r="B2849">
        <v>1</v>
      </c>
      <c r="C2849">
        <v>22</v>
      </c>
      <c r="D2849">
        <v>22</v>
      </c>
    </row>
    <row r="2850" spans="1:4" ht="15" x14ac:dyDescent="0.25">
      <c r="A2850" t="s">
        <v>8476</v>
      </c>
      <c r="B2850">
        <v>1</v>
      </c>
      <c r="C2850">
        <v>22</v>
      </c>
      <c r="D2850">
        <v>22</v>
      </c>
    </row>
    <row r="2851" spans="1:4" ht="15" x14ac:dyDescent="0.25">
      <c r="A2851" t="s">
        <v>8480</v>
      </c>
      <c r="B2851">
        <v>1</v>
      </c>
      <c r="C2851">
        <v>26</v>
      </c>
      <c r="D2851">
        <v>26</v>
      </c>
    </row>
    <row r="2852" spans="1:4" ht="15" x14ac:dyDescent="0.25">
      <c r="A2852" t="s">
        <v>8481</v>
      </c>
      <c r="B2852">
        <v>10</v>
      </c>
      <c r="C2852">
        <v>627</v>
      </c>
      <c r="D2852">
        <v>62.7</v>
      </c>
    </row>
    <row r="2853" spans="1:4" ht="15" x14ac:dyDescent="0.25">
      <c r="A2853" t="s">
        <v>8486</v>
      </c>
      <c r="B2853">
        <v>1</v>
      </c>
      <c r="C2853">
        <v>2</v>
      </c>
      <c r="D2853">
        <v>2</v>
      </c>
    </row>
    <row r="2854" spans="1:4" ht="15" x14ac:dyDescent="0.25">
      <c r="A2854" t="s">
        <v>8487</v>
      </c>
      <c r="B2854">
        <v>4</v>
      </c>
      <c r="C2854">
        <v>111</v>
      </c>
      <c r="D2854">
        <v>27.75</v>
      </c>
    </row>
    <row r="2855" spans="1:4" ht="15" x14ac:dyDescent="0.25">
      <c r="A2855" t="s">
        <v>8485</v>
      </c>
      <c r="B2855">
        <v>1</v>
      </c>
      <c r="C2855">
        <v>2</v>
      </c>
      <c r="D2855">
        <v>2</v>
      </c>
    </row>
    <row r="2856" spans="1:4" ht="15" x14ac:dyDescent="0.25">
      <c r="A2856" t="s">
        <v>8490</v>
      </c>
      <c r="B2856">
        <v>1</v>
      </c>
      <c r="C2856">
        <v>31</v>
      </c>
      <c r="D2856">
        <v>31</v>
      </c>
    </row>
    <row r="2857" spans="1:4" ht="15" x14ac:dyDescent="0.25">
      <c r="A2857" t="s">
        <v>8495</v>
      </c>
      <c r="B2857">
        <v>1</v>
      </c>
      <c r="C2857">
        <v>221</v>
      </c>
      <c r="D2857">
        <v>221</v>
      </c>
    </row>
    <row r="2858" spans="1:4" ht="15" x14ac:dyDescent="0.25">
      <c r="A2858" t="s">
        <v>8501</v>
      </c>
      <c r="B2858">
        <v>11</v>
      </c>
      <c r="C2858">
        <v>869</v>
      </c>
      <c r="D2858">
        <v>79</v>
      </c>
    </row>
    <row r="2859" spans="1:4" ht="15" x14ac:dyDescent="0.25">
      <c r="A2859" t="s">
        <v>8502</v>
      </c>
      <c r="B2859">
        <v>2</v>
      </c>
      <c r="C2859">
        <v>150</v>
      </c>
      <c r="D2859">
        <v>75</v>
      </c>
    </row>
    <row r="2860" spans="1:4" ht="15" x14ac:dyDescent="0.25">
      <c r="A2860" t="s">
        <v>8506</v>
      </c>
      <c r="B2860">
        <v>1</v>
      </c>
      <c r="C2860">
        <v>5</v>
      </c>
      <c r="D2860">
        <v>5</v>
      </c>
    </row>
    <row r="2861" spans="1:4" ht="15" x14ac:dyDescent="0.25">
      <c r="A2861" t="s">
        <v>8507</v>
      </c>
      <c r="B2861">
        <v>1</v>
      </c>
      <c r="C2861">
        <v>5</v>
      </c>
      <c r="D2861">
        <v>5</v>
      </c>
    </row>
    <row r="2862" spans="1:4" ht="15" x14ac:dyDescent="0.25">
      <c r="A2862" t="s">
        <v>8508</v>
      </c>
      <c r="B2862">
        <v>1</v>
      </c>
      <c r="C2862">
        <v>5</v>
      </c>
      <c r="D2862">
        <v>5</v>
      </c>
    </row>
    <row r="2863" spans="1:4" ht="15" x14ac:dyDescent="0.25">
      <c r="A2863" t="s">
        <v>8509</v>
      </c>
      <c r="B2863">
        <v>1</v>
      </c>
      <c r="C2863">
        <v>5</v>
      </c>
      <c r="D2863">
        <v>5</v>
      </c>
    </row>
    <row r="2864" spans="1:4" ht="15" x14ac:dyDescent="0.25">
      <c r="A2864" t="s">
        <v>8513</v>
      </c>
      <c r="B2864">
        <v>1</v>
      </c>
      <c r="C2864">
        <v>64</v>
      </c>
      <c r="D2864">
        <v>64</v>
      </c>
    </row>
    <row r="2865" spans="1:4" ht="15" x14ac:dyDescent="0.25">
      <c r="A2865" t="s">
        <v>8514</v>
      </c>
      <c r="B2865">
        <v>1</v>
      </c>
      <c r="C2865">
        <v>64</v>
      </c>
      <c r="D2865">
        <v>64</v>
      </c>
    </row>
    <row r="2866" spans="1:4" ht="15" x14ac:dyDescent="0.25">
      <c r="A2866" t="s">
        <v>8516</v>
      </c>
      <c r="B2866">
        <v>13</v>
      </c>
      <c r="C2866">
        <v>286</v>
      </c>
      <c r="D2866">
        <v>22</v>
      </c>
    </row>
    <row r="2867" spans="1:4" ht="15" x14ac:dyDescent="0.25">
      <c r="A2867" t="s">
        <v>8515</v>
      </c>
      <c r="B2867">
        <v>1</v>
      </c>
      <c r="C2867">
        <v>64</v>
      </c>
      <c r="D2867">
        <v>64</v>
      </c>
    </row>
    <row r="2868" spans="1:4" ht="15" x14ac:dyDescent="0.25">
      <c r="A2868" t="s">
        <v>8523</v>
      </c>
      <c r="B2868">
        <v>2</v>
      </c>
      <c r="C2868">
        <v>60</v>
      </c>
      <c r="D2868">
        <v>30</v>
      </c>
    </row>
    <row r="2869" spans="1:4" ht="15" x14ac:dyDescent="0.25">
      <c r="A2869" t="s">
        <v>8524</v>
      </c>
      <c r="B2869">
        <v>3</v>
      </c>
      <c r="C2869">
        <v>95</v>
      </c>
      <c r="D2869">
        <v>31.666666666666668</v>
      </c>
    </row>
    <row r="2870" spans="1:4" ht="15" x14ac:dyDescent="0.25">
      <c r="A2870" t="s">
        <v>8525</v>
      </c>
      <c r="B2870">
        <v>2</v>
      </c>
      <c r="C2870">
        <v>55</v>
      </c>
      <c r="D2870">
        <v>27.5</v>
      </c>
    </row>
    <row r="2871" spans="1:4" ht="15" x14ac:dyDescent="0.25">
      <c r="A2871" t="s">
        <v>8529</v>
      </c>
      <c r="B2871">
        <v>1</v>
      </c>
      <c r="C2871">
        <v>35</v>
      </c>
      <c r="D2871">
        <v>35</v>
      </c>
    </row>
    <row r="2872" spans="1:4" ht="15" x14ac:dyDescent="0.25">
      <c r="A2872" t="s">
        <v>8533</v>
      </c>
      <c r="B2872">
        <v>2</v>
      </c>
      <c r="C2872">
        <v>106</v>
      </c>
      <c r="D2872">
        <v>53</v>
      </c>
    </row>
    <row r="2873" spans="1:4" ht="15" x14ac:dyDescent="0.25">
      <c r="A2873" t="s">
        <v>8534</v>
      </c>
      <c r="B2873">
        <v>1</v>
      </c>
      <c r="C2873">
        <v>69</v>
      </c>
      <c r="D2873">
        <v>69</v>
      </c>
    </row>
    <row r="2874" spans="1:4" ht="15" x14ac:dyDescent="0.25">
      <c r="A2874" t="s">
        <v>8536</v>
      </c>
      <c r="B2874">
        <v>1</v>
      </c>
      <c r="C2874">
        <v>69</v>
      </c>
      <c r="D2874">
        <v>69</v>
      </c>
    </row>
    <row r="2875" spans="1:4" ht="15" x14ac:dyDescent="0.25">
      <c r="A2875" t="s">
        <v>8537</v>
      </c>
      <c r="B2875">
        <v>1</v>
      </c>
      <c r="C2875">
        <v>69</v>
      </c>
      <c r="D2875">
        <v>69</v>
      </c>
    </row>
    <row r="2876" spans="1:4" ht="15" x14ac:dyDescent="0.25">
      <c r="A2876" t="s">
        <v>8535</v>
      </c>
      <c r="B2876">
        <v>2</v>
      </c>
      <c r="C2876">
        <v>152</v>
      </c>
      <c r="D2876">
        <v>76</v>
      </c>
    </row>
    <row r="2877" spans="1:4" ht="15" x14ac:dyDescent="0.25">
      <c r="A2877" t="s">
        <v>8541</v>
      </c>
      <c r="B2877">
        <v>4</v>
      </c>
      <c r="C2877">
        <v>1660</v>
      </c>
      <c r="D2877">
        <v>415</v>
      </c>
    </row>
    <row r="2878" spans="1:4" ht="15" x14ac:dyDescent="0.25">
      <c r="A2878" t="s">
        <v>8542</v>
      </c>
      <c r="B2878">
        <v>2</v>
      </c>
      <c r="C2878">
        <v>489</v>
      </c>
      <c r="D2878">
        <v>244.5</v>
      </c>
    </row>
    <row r="2879" spans="1:4" ht="15" x14ac:dyDescent="0.25">
      <c r="A2879" t="s">
        <v>8546</v>
      </c>
      <c r="B2879">
        <v>3</v>
      </c>
      <c r="C2879">
        <v>94</v>
      </c>
      <c r="D2879">
        <v>31.333333333333332</v>
      </c>
    </row>
    <row r="2880" spans="1:4" ht="15" x14ac:dyDescent="0.25">
      <c r="A2880" t="s">
        <v>8548</v>
      </c>
      <c r="B2880">
        <v>1</v>
      </c>
      <c r="C2880">
        <v>50</v>
      </c>
      <c r="D2880">
        <v>50</v>
      </c>
    </row>
    <row r="2881" spans="1:4" ht="15" x14ac:dyDescent="0.25">
      <c r="A2881" t="s">
        <v>8547</v>
      </c>
      <c r="B2881">
        <v>1</v>
      </c>
      <c r="C2881">
        <v>50</v>
      </c>
      <c r="D2881">
        <v>50</v>
      </c>
    </row>
    <row r="2882" spans="1:4" ht="15" x14ac:dyDescent="0.25">
      <c r="A2882" t="s">
        <v>8553</v>
      </c>
      <c r="B2882">
        <v>1</v>
      </c>
      <c r="C2882">
        <v>9</v>
      </c>
      <c r="D2882">
        <v>9</v>
      </c>
    </row>
    <row r="2883" spans="1:4" ht="15" x14ac:dyDescent="0.25">
      <c r="A2883" t="s">
        <v>8552</v>
      </c>
      <c r="B2883">
        <v>2</v>
      </c>
      <c r="C2883">
        <v>82</v>
      </c>
      <c r="D2883">
        <v>41</v>
      </c>
    </row>
    <row r="2884" spans="1:4" ht="15" x14ac:dyDescent="0.25">
      <c r="A2884" t="s">
        <v>8557</v>
      </c>
      <c r="B2884">
        <v>2</v>
      </c>
      <c r="C2884">
        <v>75</v>
      </c>
      <c r="D2884">
        <v>37.5</v>
      </c>
    </row>
    <row r="2885" spans="1:4" ht="15" x14ac:dyDescent="0.25">
      <c r="A2885" t="s">
        <v>8558</v>
      </c>
      <c r="B2885">
        <v>1</v>
      </c>
      <c r="C2885">
        <v>54</v>
      </c>
      <c r="D2885">
        <v>54</v>
      </c>
    </row>
    <row r="2886" spans="1:4" ht="15" x14ac:dyDescent="0.25">
      <c r="A2886" t="s">
        <v>8559</v>
      </c>
      <c r="B2886">
        <v>2</v>
      </c>
      <c r="C2886">
        <v>82</v>
      </c>
      <c r="D2886">
        <v>41</v>
      </c>
    </row>
    <row r="2887" spans="1:4" ht="15" x14ac:dyDescent="0.25">
      <c r="A2887" t="s">
        <v>8564</v>
      </c>
      <c r="B2887">
        <v>2</v>
      </c>
      <c r="C2887">
        <v>113</v>
      </c>
      <c r="D2887">
        <v>56.5</v>
      </c>
    </row>
    <row r="2888" spans="1:4" ht="15" x14ac:dyDescent="0.25">
      <c r="A2888" t="s">
        <v>8565</v>
      </c>
      <c r="B2888">
        <v>2</v>
      </c>
      <c r="C2888">
        <v>224</v>
      </c>
      <c r="D2888">
        <v>112</v>
      </c>
    </row>
    <row r="2889" spans="1:4" ht="15" x14ac:dyDescent="0.25">
      <c r="A2889" t="s">
        <v>8570</v>
      </c>
      <c r="B2889">
        <v>1</v>
      </c>
      <c r="C2889">
        <v>140</v>
      </c>
      <c r="D2889">
        <v>140</v>
      </c>
    </row>
    <row r="2890" spans="1:4" ht="15" x14ac:dyDescent="0.25">
      <c r="A2890" t="s">
        <v>8571</v>
      </c>
      <c r="B2890">
        <v>1</v>
      </c>
      <c r="C2890">
        <v>140</v>
      </c>
      <c r="D2890">
        <v>140</v>
      </c>
    </row>
    <row r="2891" spans="1:4" ht="15" x14ac:dyDescent="0.25">
      <c r="A2891" t="s">
        <v>8566</v>
      </c>
      <c r="B2891">
        <v>1</v>
      </c>
      <c r="C2891">
        <v>140</v>
      </c>
      <c r="D2891">
        <v>140</v>
      </c>
    </row>
    <row r="2892" spans="1:4" ht="15" x14ac:dyDescent="0.25">
      <c r="A2892" t="s">
        <v>8573</v>
      </c>
      <c r="B2892">
        <v>6</v>
      </c>
      <c r="C2892">
        <v>235</v>
      </c>
      <c r="D2892">
        <v>39.166666666666664</v>
      </c>
    </row>
    <row r="2893" spans="1:4" ht="15" x14ac:dyDescent="0.25">
      <c r="A2893" t="s">
        <v>8572</v>
      </c>
      <c r="B2893">
        <v>3</v>
      </c>
      <c r="C2893">
        <v>210</v>
      </c>
      <c r="D2893">
        <v>70</v>
      </c>
    </row>
    <row r="2894" spans="1:4" ht="15" x14ac:dyDescent="0.25">
      <c r="A2894" t="s">
        <v>8577</v>
      </c>
      <c r="B2894">
        <v>1</v>
      </c>
      <c r="C2894">
        <v>88</v>
      </c>
      <c r="D2894">
        <v>88</v>
      </c>
    </row>
    <row r="2895" spans="1:4" ht="15" x14ac:dyDescent="0.25">
      <c r="A2895" t="s">
        <v>8578</v>
      </c>
      <c r="B2895">
        <v>3</v>
      </c>
      <c r="C2895">
        <v>242</v>
      </c>
      <c r="D2895">
        <v>80.666666666666671</v>
      </c>
    </row>
    <row r="2896" spans="1:4" ht="15" x14ac:dyDescent="0.25">
      <c r="A2896" t="s">
        <v>8582</v>
      </c>
      <c r="B2896">
        <v>1</v>
      </c>
      <c r="C2896">
        <v>3</v>
      </c>
      <c r="D2896">
        <v>3</v>
      </c>
    </row>
    <row r="2897" spans="1:4" ht="15" x14ac:dyDescent="0.25">
      <c r="A2897" t="s">
        <v>8585</v>
      </c>
      <c r="B2897">
        <v>2</v>
      </c>
      <c r="C2897">
        <v>66</v>
      </c>
      <c r="D2897">
        <v>33</v>
      </c>
    </row>
    <row r="2898" spans="1:4" ht="15" x14ac:dyDescent="0.25">
      <c r="A2898" t="s">
        <v>8587</v>
      </c>
      <c r="B2898">
        <v>10</v>
      </c>
      <c r="C2898">
        <v>521</v>
      </c>
      <c r="D2898">
        <v>52.1</v>
      </c>
    </row>
    <row r="2899" spans="1:4" ht="15" x14ac:dyDescent="0.25">
      <c r="A2899" t="s">
        <v>8586</v>
      </c>
      <c r="B2899">
        <v>1</v>
      </c>
      <c r="C2899">
        <v>52</v>
      </c>
      <c r="D2899">
        <v>52</v>
      </c>
    </row>
    <row r="2900" spans="1:4" ht="15" x14ac:dyDescent="0.25">
      <c r="A2900" t="s">
        <v>8591</v>
      </c>
      <c r="B2900">
        <v>1</v>
      </c>
      <c r="C2900">
        <v>17</v>
      </c>
      <c r="D2900">
        <v>17</v>
      </c>
    </row>
    <row r="2901" spans="1:4" ht="15" x14ac:dyDescent="0.25">
      <c r="A2901" t="s">
        <v>8592</v>
      </c>
      <c r="B2901">
        <v>13</v>
      </c>
      <c r="C2901">
        <v>606</v>
      </c>
      <c r="D2901">
        <v>46.615384615384613</v>
      </c>
    </row>
    <row r="2902" spans="1:4" ht="15" x14ac:dyDescent="0.25">
      <c r="A2902" t="s">
        <v>8596</v>
      </c>
      <c r="B2902">
        <v>1</v>
      </c>
      <c r="C2902">
        <v>24</v>
      </c>
      <c r="D2902">
        <v>24</v>
      </c>
    </row>
    <row r="2903" spans="1:4" ht="15" x14ac:dyDescent="0.25">
      <c r="A2903" t="s">
        <v>8597</v>
      </c>
      <c r="B2903">
        <v>1</v>
      </c>
      <c r="C2903">
        <v>24</v>
      </c>
      <c r="D2903">
        <v>24</v>
      </c>
    </row>
    <row r="2904" spans="1:4" ht="15" x14ac:dyDescent="0.25">
      <c r="A2904" t="s">
        <v>8598</v>
      </c>
      <c r="B2904">
        <v>1</v>
      </c>
      <c r="C2904">
        <v>24</v>
      </c>
      <c r="D2904">
        <v>24</v>
      </c>
    </row>
    <row r="2905" spans="1:4" ht="15" x14ac:dyDescent="0.25">
      <c r="A2905" t="s">
        <v>8601</v>
      </c>
      <c r="B2905">
        <v>2</v>
      </c>
      <c r="C2905">
        <v>47</v>
      </c>
      <c r="D2905">
        <v>23.5</v>
      </c>
    </row>
    <row r="2906" spans="1:4" ht="15" x14ac:dyDescent="0.25">
      <c r="A2906" t="s">
        <v>8603</v>
      </c>
      <c r="B2906">
        <v>1</v>
      </c>
      <c r="C2906">
        <v>636</v>
      </c>
      <c r="D2906">
        <v>636</v>
      </c>
    </row>
    <row r="2907" spans="1:4" ht="15" x14ac:dyDescent="0.25">
      <c r="A2907" t="s">
        <v>8604</v>
      </c>
      <c r="B2907">
        <v>2</v>
      </c>
      <c r="C2907">
        <v>1258</v>
      </c>
      <c r="D2907">
        <v>629</v>
      </c>
    </row>
    <row r="2908" spans="1:4" ht="15" x14ac:dyDescent="0.25">
      <c r="A2908" t="s">
        <v>8606</v>
      </c>
      <c r="B2908">
        <v>2</v>
      </c>
      <c r="C2908">
        <v>736</v>
      </c>
      <c r="D2908">
        <v>368</v>
      </c>
    </row>
    <row r="2909" spans="1:4" ht="15" x14ac:dyDescent="0.25">
      <c r="A2909" t="s">
        <v>8607</v>
      </c>
      <c r="B2909">
        <v>2</v>
      </c>
      <c r="C2909">
        <v>1224</v>
      </c>
      <c r="D2909">
        <v>612</v>
      </c>
    </row>
    <row r="2910" spans="1:4" ht="15" x14ac:dyDescent="0.25">
      <c r="A2910" t="s">
        <v>8605</v>
      </c>
      <c r="B2910">
        <v>1</v>
      </c>
      <c r="C2910">
        <v>636</v>
      </c>
      <c r="D2910">
        <v>636</v>
      </c>
    </row>
    <row r="2911" spans="1:4" ht="15" x14ac:dyDescent="0.25">
      <c r="A2911" t="s">
        <v>8612</v>
      </c>
      <c r="B2911">
        <v>2</v>
      </c>
      <c r="C2911">
        <v>31</v>
      </c>
      <c r="D2911">
        <v>15.5</v>
      </c>
    </row>
    <row r="2912" spans="1:4" ht="15" x14ac:dyDescent="0.25">
      <c r="A2912" t="s">
        <v>8614</v>
      </c>
      <c r="B2912">
        <v>1</v>
      </c>
      <c r="C2912">
        <v>19</v>
      </c>
      <c r="D2912">
        <v>19</v>
      </c>
    </row>
    <row r="2913" spans="1:4" ht="15" x14ac:dyDescent="0.25">
      <c r="A2913" t="s">
        <v>8613</v>
      </c>
      <c r="B2913">
        <v>1</v>
      </c>
      <c r="C2913">
        <v>19</v>
      </c>
      <c r="D2913">
        <v>19</v>
      </c>
    </row>
    <row r="2914" spans="1:4" ht="15" x14ac:dyDescent="0.25">
      <c r="A2914" t="s">
        <v>8617</v>
      </c>
      <c r="B2914">
        <v>2</v>
      </c>
      <c r="C2914">
        <v>59</v>
      </c>
      <c r="D2914">
        <v>29.5</v>
      </c>
    </row>
    <row r="2915" spans="1:4" ht="15" x14ac:dyDescent="0.25">
      <c r="A2915" t="s">
        <v>8619</v>
      </c>
      <c r="B2915">
        <v>2</v>
      </c>
      <c r="C2915">
        <v>46</v>
      </c>
      <c r="D2915">
        <v>23</v>
      </c>
    </row>
    <row r="2916" spans="1:4" ht="15" x14ac:dyDescent="0.25">
      <c r="A2916" t="s">
        <v>8618</v>
      </c>
      <c r="B2916">
        <v>5</v>
      </c>
      <c r="C2916">
        <v>183</v>
      </c>
      <c r="D2916">
        <v>36.6</v>
      </c>
    </row>
    <row r="2917" spans="1:4" ht="15" x14ac:dyDescent="0.25">
      <c r="A2917" t="s">
        <v>8624</v>
      </c>
      <c r="B2917">
        <v>1</v>
      </c>
      <c r="C2917">
        <v>12</v>
      </c>
      <c r="D2917">
        <v>12</v>
      </c>
    </row>
    <row r="2918" spans="1:4" ht="15" x14ac:dyDescent="0.25">
      <c r="A2918" t="s">
        <v>8623</v>
      </c>
      <c r="B2918">
        <v>1</v>
      </c>
      <c r="C2918">
        <v>12</v>
      </c>
      <c r="D2918">
        <v>12</v>
      </c>
    </row>
    <row r="2919" spans="1:4" ht="15" x14ac:dyDescent="0.25">
      <c r="A2919" t="s">
        <v>8628</v>
      </c>
      <c r="B2919">
        <v>3</v>
      </c>
      <c r="C2919">
        <v>146</v>
      </c>
      <c r="D2919">
        <v>48.666666666666664</v>
      </c>
    </row>
    <row r="2920" spans="1:4" ht="15" x14ac:dyDescent="0.25">
      <c r="A2920" t="s">
        <v>8630</v>
      </c>
      <c r="B2920">
        <v>1</v>
      </c>
      <c r="C2920">
        <v>90</v>
      </c>
      <c r="D2920">
        <v>90</v>
      </c>
    </row>
    <row r="2921" spans="1:4" ht="15" x14ac:dyDescent="0.25">
      <c r="A2921" t="s">
        <v>8631</v>
      </c>
      <c r="B2921">
        <v>1</v>
      </c>
      <c r="C2921">
        <v>90</v>
      </c>
      <c r="D2921">
        <v>90</v>
      </c>
    </row>
    <row r="2922" spans="1:4" ht="15" x14ac:dyDescent="0.25">
      <c r="A2922" t="s">
        <v>8629</v>
      </c>
      <c r="B2922">
        <v>2</v>
      </c>
      <c r="C2922">
        <v>191</v>
      </c>
      <c r="D2922">
        <v>95.5</v>
      </c>
    </row>
    <row r="2923" spans="1:4" ht="15" x14ac:dyDescent="0.25">
      <c r="A2923" t="s">
        <v>8638</v>
      </c>
      <c r="B2923">
        <v>2</v>
      </c>
      <c r="C2923">
        <v>76</v>
      </c>
      <c r="D2923">
        <v>38</v>
      </c>
    </row>
    <row r="2924" spans="1:4" ht="15" x14ac:dyDescent="0.25">
      <c r="A2924" t="s">
        <v>8640</v>
      </c>
      <c r="B2924">
        <v>1</v>
      </c>
      <c r="C2924">
        <v>33</v>
      </c>
      <c r="D2924">
        <v>33</v>
      </c>
    </row>
    <row r="2925" spans="1:4" ht="15" x14ac:dyDescent="0.25">
      <c r="A2925" t="s">
        <v>8639</v>
      </c>
      <c r="B2925">
        <v>1</v>
      </c>
      <c r="C2925">
        <v>33</v>
      </c>
      <c r="D2925">
        <v>33</v>
      </c>
    </row>
    <row r="2926" spans="1:4" ht="15" x14ac:dyDescent="0.25">
      <c r="A2926" t="s">
        <v>8645</v>
      </c>
      <c r="B2926">
        <v>1</v>
      </c>
      <c r="C2926">
        <v>94</v>
      </c>
      <c r="D2926">
        <v>94</v>
      </c>
    </row>
    <row r="2927" spans="1:4" ht="15" x14ac:dyDescent="0.25">
      <c r="A2927" t="s">
        <v>8646</v>
      </c>
      <c r="B2927">
        <v>2</v>
      </c>
      <c r="C2927">
        <v>1543</v>
      </c>
      <c r="D2927">
        <v>771.5</v>
      </c>
    </row>
    <row r="2928" spans="1:4" ht="15" x14ac:dyDescent="0.25">
      <c r="A2928" t="s">
        <v>8649</v>
      </c>
      <c r="B2928">
        <v>1</v>
      </c>
      <c r="C2928">
        <v>1855</v>
      </c>
      <c r="D2928">
        <v>1855</v>
      </c>
    </row>
    <row r="2929" spans="1:4" ht="15" x14ac:dyDescent="0.25">
      <c r="A2929" t="s">
        <v>8650</v>
      </c>
      <c r="B2929">
        <v>2</v>
      </c>
      <c r="C2929">
        <v>2970</v>
      </c>
      <c r="D2929">
        <v>1485</v>
      </c>
    </row>
    <row r="2930" spans="1:4" ht="15" x14ac:dyDescent="0.25">
      <c r="A2930" t="s">
        <v>8651</v>
      </c>
      <c r="B2930">
        <v>1</v>
      </c>
      <c r="C2930">
        <v>1855</v>
      </c>
      <c r="D2930">
        <v>1855</v>
      </c>
    </row>
    <row r="2931" spans="1:4" ht="15" x14ac:dyDescent="0.25">
      <c r="A2931" t="s">
        <v>8652</v>
      </c>
      <c r="B2931">
        <v>3</v>
      </c>
      <c r="C2931">
        <v>2159</v>
      </c>
      <c r="D2931">
        <v>719.66666666666663</v>
      </c>
    </row>
    <row r="2932" spans="1:4" ht="15" x14ac:dyDescent="0.25">
      <c r="A2932" t="s">
        <v>8654</v>
      </c>
      <c r="B2932">
        <v>17</v>
      </c>
      <c r="C2932">
        <v>2578</v>
      </c>
      <c r="D2932">
        <v>151.64705882352942</v>
      </c>
    </row>
    <row r="2933" spans="1:4" ht="15" x14ac:dyDescent="0.25">
      <c r="A2933" t="s">
        <v>8658</v>
      </c>
      <c r="B2933">
        <v>1</v>
      </c>
      <c r="C2933">
        <v>59</v>
      </c>
      <c r="D2933">
        <v>59</v>
      </c>
    </row>
    <row r="2934" spans="1:4" ht="15" x14ac:dyDescent="0.25">
      <c r="A2934" t="s">
        <v>8665</v>
      </c>
      <c r="B2934">
        <v>1</v>
      </c>
      <c r="C2934">
        <v>21</v>
      </c>
      <c r="D2934">
        <v>21</v>
      </c>
    </row>
    <row r="2935" spans="1:4" ht="15" x14ac:dyDescent="0.25">
      <c r="A2935" t="s">
        <v>8669</v>
      </c>
      <c r="B2935">
        <v>3</v>
      </c>
      <c r="C2935">
        <v>1092</v>
      </c>
      <c r="D2935">
        <v>364</v>
      </c>
    </row>
    <row r="2936" spans="1:4" ht="15" x14ac:dyDescent="0.25">
      <c r="A2936" t="s">
        <v>8679</v>
      </c>
      <c r="B2936">
        <v>2</v>
      </c>
      <c r="C2936">
        <v>85</v>
      </c>
      <c r="D2936">
        <v>42.5</v>
      </c>
    </row>
    <row r="2937" spans="1:4" ht="15" x14ac:dyDescent="0.25">
      <c r="A2937" t="s">
        <v>8680</v>
      </c>
      <c r="B2937">
        <v>1</v>
      </c>
      <c r="C2937">
        <v>23</v>
      </c>
      <c r="D2937">
        <v>23</v>
      </c>
    </row>
    <row r="2938" spans="1:4" ht="15" x14ac:dyDescent="0.25">
      <c r="A2938" t="s">
        <v>8683</v>
      </c>
      <c r="B2938">
        <v>4</v>
      </c>
      <c r="C2938">
        <v>1199</v>
      </c>
      <c r="D2938">
        <v>299.75</v>
      </c>
    </row>
    <row r="2939" spans="1:4" ht="15" x14ac:dyDescent="0.25">
      <c r="A2939" t="s">
        <v>8687</v>
      </c>
      <c r="B2939">
        <v>3</v>
      </c>
      <c r="C2939">
        <v>66</v>
      </c>
      <c r="D2939">
        <v>22</v>
      </c>
    </row>
    <row r="2940" spans="1:4" ht="15" x14ac:dyDescent="0.25">
      <c r="A2940" t="s">
        <v>8689</v>
      </c>
      <c r="B2940">
        <v>1</v>
      </c>
      <c r="C2940">
        <v>18</v>
      </c>
      <c r="D2940">
        <v>18</v>
      </c>
    </row>
    <row r="2941" spans="1:4" ht="15" x14ac:dyDescent="0.25">
      <c r="A2941" t="s">
        <v>8690</v>
      </c>
      <c r="B2941">
        <v>1</v>
      </c>
      <c r="C2941">
        <v>18</v>
      </c>
      <c r="D2941">
        <v>18</v>
      </c>
    </row>
    <row r="2942" spans="1:4" ht="15" x14ac:dyDescent="0.25">
      <c r="A2942" t="s">
        <v>8688</v>
      </c>
      <c r="B2942">
        <v>1</v>
      </c>
      <c r="C2942">
        <v>18</v>
      </c>
      <c r="D2942">
        <v>18</v>
      </c>
    </row>
    <row r="2943" spans="1:4" ht="15" x14ac:dyDescent="0.25">
      <c r="A2943" t="s">
        <v>8694</v>
      </c>
      <c r="B2943">
        <v>1</v>
      </c>
      <c r="C2943">
        <v>16</v>
      </c>
      <c r="D2943">
        <v>16</v>
      </c>
    </row>
    <row r="2944" spans="1:4" ht="15" x14ac:dyDescent="0.25">
      <c r="A2944" t="s">
        <v>8695</v>
      </c>
      <c r="B2944">
        <v>1</v>
      </c>
      <c r="C2944">
        <v>16</v>
      </c>
      <c r="D2944">
        <v>16</v>
      </c>
    </row>
    <row r="2945" spans="1:4" ht="15" x14ac:dyDescent="0.25">
      <c r="A2945" t="s">
        <v>8696</v>
      </c>
      <c r="B2945">
        <v>1</v>
      </c>
      <c r="C2945">
        <v>16</v>
      </c>
      <c r="D2945">
        <v>16</v>
      </c>
    </row>
    <row r="2946" spans="1:4" ht="15" x14ac:dyDescent="0.25">
      <c r="A2946" t="s">
        <v>8700</v>
      </c>
      <c r="B2946">
        <v>1</v>
      </c>
      <c r="C2946">
        <v>5</v>
      </c>
      <c r="D2946">
        <v>5</v>
      </c>
    </row>
    <row r="2947" spans="1:4" ht="15" x14ac:dyDescent="0.25">
      <c r="A2947" t="s">
        <v>8701</v>
      </c>
      <c r="B2947">
        <v>1</v>
      </c>
      <c r="C2947">
        <v>5</v>
      </c>
      <c r="D2947">
        <v>5</v>
      </c>
    </row>
    <row r="2948" spans="1:4" ht="15" x14ac:dyDescent="0.25">
      <c r="A2948" t="s">
        <v>8704</v>
      </c>
      <c r="B2948">
        <v>5</v>
      </c>
      <c r="C2948">
        <v>108</v>
      </c>
      <c r="D2948">
        <v>21.6</v>
      </c>
    </row>
    <row r="2949" spans="1:4" ht="15" x14ac:dyDescent="0.25">
      <c r="A2949" t="s">
        <v>8709</v>
      </c>
      <c r="B2949">
        <v>1</v>
      </c>
      <c r="C2949">
        <v>67</v>
      </c>
      <c r="D2949">
        <v>67</v>
      </c>
    </row>
    <row r="2950" spans="1:4" ht="15" x14ac:dyDescent="0.25">
      <c r="A2950" t="s">
        <v>8710</v>
      </c>
      <c r="B2950">
        <v>1</v>
      </c>
      <c r="C2950">
        <v>67</v>
      </c>
      <c r="D2950">
        <v>67</v>
      </c>
    </row>
    <row r="2951" spans="1:4" ht="15" x14ac:dyDescent="0.25">
      <c r="A2951" t="s">
        <v>8712</v>
      </c>
      <c r="B2951">
        <v>1</v>
      </c>
      <c r="C2951">
        <v>67</v>
      </c>
      <c r="D2951">
        <v>67</v>
      </c>
    </row>
    <row r="2952" spans="1:4" ht="15" x14ac:dyDescent="0.25">
      <c r="A2952" t="s">
        <v>8713</v>
      </c>
      <c r="B2952">
        <v>1</v>
      </c>
      <c r="C2952">
        <v>67</v>
      </c>
      <c r="D2952">
        <v>67</v>
      </c>
    </row>
    <row r="2953" spans="1:4" ht="15" x14ac:dyDescent="0.25">
      <c r="A2953" t="s">
        <v>8711</v>
      </c>
      <c r="B2953">
        <v>1</v>
      </c>
      <c r="C2953">
        <v>67</v>
      </c>
      <c r="D2953">
        <v>67</v>
      </c>
    </row>
    <row r="2954" spans="1:4" ht="15" x14ac:dyDescent="0.25">
      <c r="A2954" t="s">
        <v>8720</v>
      </c>
      <c r="B2954">
        <v>2</v>
      </c>
      <c r="C2954">
        <v>313</v>
      </c>
      <c r="D2954">
        <v>156.5</v>
      </c>
    </row>
    <row r="2955" spans="1:4" ht="15" x14ac:dyDescent="0.25">
      <c r="A2955" t="s">
        <v>8724</v>
      </c>
      <c r="B2955">
        <v>1</v>
      </c>
      <c r="C2955">
        <v>15</v>
      </c>
      <c r="D2955">
        <v>15</v>
      </c>
    </row>
    <row r="2956" spans="1:4" ht="15" x14ac:dyDescent="0.25">
      <c r="A2956" t="s">
        <v>8725</v>
      </c>
      <c r="B2956">
        <v>1</v>
      </c>
      <c r="C2956">
        <v>15</v>
      </c>
      <c r="D2956">
        <v>15</v>
      </c>
    </row>
    <row r="2957" spans="1:4" ht="15" x14ac:dyDescent="0.25">
      <c r="A2957" t="s">
        <v>8726</v>
      </c>
      <c r="B2957">
        <v>1</v>
      </c>
      <c r="C2957">
        <v>15</v>
      </c>
      <c r="D2957">
        <v>15</v>
      </c>
    </row>
    <row r="2958" spans="1:4" ht="15" x14ac:dyDescent="0.25">
      <c r="A2958" t="s">
        <v>8727</v>
      </c>
      <c r="B2958">
        <v>1</v>
      </c>
      <c r="C2958">
        <v>15</v>
      </c>
      <c r="D2958">
        <v>15</v>
      </c>
    </row>
    <row r="2959" spans="1:4" ht="15" x14ac:dyDescent="0.25">
      <c r="A2959" t="s">
        <v>8731</v>
      </c>
      <c r="B2959">
        <v>1</v>
      </c>
      <c r="C2959">
        <v>12661</v>
      </c>
      <c r="D2959">
        <v>12661</v>
      </c>
    </row>
    <row r="2960" spans="1:4" ht="15" x14ac:dyDescent="0.25">
      <c r="A2960" t="s">
        <v>8732</v>
      </c>
      <c r="B2960">
        <v>3</v>
      </c>
      <c r="C2960">
        <v>12712</v>
      </c>
      <c r="D2960">
        <v>4237.333333333333</v>
      </c>
    </row>
    <row r="2961" spans="1:4" ht="15" x14ac:dyDescent="0.25">
      <c r="A2961" t="s">
        <v>8734</v>
      </c>
      <c r="B2961">
        <v>2</v>
      </c>
      <c r="C2961">
        <v>12676</v>
      </c>
      <c r="D2961">
        <v>6338</v>
      </c>
    </row>
    <row r="2962" spans="1:4" ht="15" x14ac:dyDescent="0.25">
      <c r="A2962" t="s">
        <v>8735</v>
      </c>
      <c r="B2962">
        <v>1</v>
      </c>
      <c r="C2962">
        <v>12661</v>
      </c>
      <c r="D2962">
        <v>12661</v>
      </c>
    </row>
    <row r="2963" spans="1:4" ht="15" x14ac:dyDescent="0.25">
      <c r="A2963" t="s">
        <v>8733</v>
      </c>
      <c r="B2963">
        <v>3</v>
      </c>
      <c r="C2963">
        <v>12745</v>
      </c>
      <c r="D2963">
        <v>4248.333333333333</v>
      </c>
    </row>
    <row r="2964" spans="1:4" ht="15" x14ac:dyDescent="0.25">
      <c r="A2964" t="s">
        <v>8739</v>
      </c>
      <c r="B2964">
        <v>1</v>
      </c>
      <c r="C2964">
        <v>26</v>
      </c>
      <c r="D2964">
        <v>26</v>
      </c>
    </row>
    <row r="2965" spans="1:4" ht="15" x14ac:dyDescent="0.25">
      <c r="A2965" t="s">
        <v>8740</v>
      </c>
      <c r="B2965">
        <v>1</v>
      </c>
      <c r="C2965">
        <v>26</v>
      </c>
      <c r="D2965">
        <v>26</v>
      </c>
    </row>
    <row r="2966" spans="1:4" ht="15" x14ac:dyDescent="0.25">
      <c r="A2966" t="s">
        <v>8745</v>
      </c>
      <c r="B2966">
        <v>2</v>
      </c>
      <c r="C2966">
        <v>169</v>
      </c>
      <c r="D2966">
        <v>84.5</v>
      </c>
    </row>
    <row r="2967" spans="1:4" ht="15" x14ac:dyDescent="0.25">
      <c r="A2967" t="s">
        <v>8746</v>
      </c>
      <c r="B2967">
        <v>2</v>
      </c>
      <c r="C2967">
        <v>169</v>
      </c>
      <c r="D2967">
        <v>84.5</v>
      </c>
    </row>
    <row r="2968" spans="1:4" ht="15" x14ac:dyDescent="0.25">
      <c r="A2968" t="s">
        <v>8748</v>
      </c>
      <c r="B2968">
        <v>2</v>
      </c>
      <c r="C2968">
        <v>169</v>
      </c>
      <c r="D2968">
        <v>84.5</v>
      </c>
    </row>
    <row r="2969" spans="1:4" ht="15" x14ac:dyDescent="0.25">
      <c r="A2969" t="s">
        <v>8747</v>
      </c>
      <c r="B2969">
        <v>2</v>
      </c>
      <c r="C2969">
        <v>169</v>
      </c>
      <c r="D2969">
        <v>84.5</v>
      </c>
    </row>
    <row r="2970" spans="1:4" ht="15" x14ac:dyDescent="0.25">
      <c r="A2970" t="s">
        <v>8752</v>
      </c>
      <c r="B2970">
        <v>1</v>
      </c>
      <c r="C2970">
        <v>29</v>
      </c>
      <c r="D2970">
        <v>29</v>
      </c>
    </row>
    <row r="2971" spans="1:4" ht="15" x14ac:dyDescent="0.25">
      <c r="A2971" t="s">
        <v>8753</v>
      </c>
      <c r="B2971">
        <v>51</v>
      </c>
      <c r="C2971">
        <v>1580</v>
      </c>
      <c r="D2971">
        <v>30.980392156862745</v>
      </c>
    </row>
    <row r="2972" spans="1:4" ht="15" x14ac:dyDescent="0.25">
      <c r="A2972" t="s">
        <v>8760</v>
      </c>
      <c r="B2972">
        <v>3</v>
      </c>
      <c r="C2972">
        <v>66</v>
      </c>
      <c r="D2972">
        <v>22</v>
      </c>
    </row>
    <row r="2973" spans="1:4" ht="15" x14ac:dyDescent="0.25">
      <c r="A2973" t="s">
        <v>8765</v>
      </c>
      <c r="B2973">
        <v>1</v>
      </c>
      <c r="C2973">
        <v>19</v>
      </c>
      <c r="D2973">
        <v>19</v>
      </c>
    </row>
    <row r="2974" spans="1:4" ht="15" x14ac:dyDescent="0.25">
      <c r="A2974" t="s">
        <v>8767</v>
      </c>
      <c r="B2974">
        <v>1</v>
      </c>
      <c r="C2974">
        <v>19</v>
      </c>
      <c r="D2974">
        <v>19</v>
      </c>
    </row>
    <row r="2975" spans="1:4" ht="15" x14ac:dyDescent="0.25">
      <c r="A2975" t="s">
        <v>8766</v>
      </c>
      <c r="B2975">
        <v>1</v>
      </c>
      <c r="C2975">
        <v>19</v>
      </c>
      <c r="D2975">
        <v>19</v>
      </c>
    </row>
    <row r="2976" spans="1:4" ht="15" x14ac:dyDescent="0.25">
      <c r="A2976" t="s">
        <v>8772</v>
      </c>
      <c r="B2976">
        <v>2</v>
      </c>
      <c r="C2976">
        <v>89</v>
      </c>
      <c r="D2976">
        <v>44.5</v>
      </c>
    </row>
    <row r="2977" spans="1:4" ht="15" x14ac:dyDescent="0.25">
      <c r="A2977" t="s">
        <v>8773</v>
      </c>
      <c r="B2977">
        <v>1</v>
      </c>
      <c r="C2977">
        <v>33</v>
      </c>
      <c r="D2977">
        <v>33</v>
      </c>
    </row>
    <row r="2978" spans="1:4" ht="15" x14ac:dyDescent="0.25">
      <c r="A2978" t="s">
        <v>8777</v>
      </c>
      <c r="B2978">
        <v>2</v>
      </c>
      <c r="C2978">
        <v>25</v>
      </c>
      <c r="D2978">
        <v>12.5</v>
      </c>
    </row>
    <row r="2979" spans="1:4" ht="15" x14ac:dyDescent="0.25">
      <c r="A2979" t="s">
        <v>8779</v>
      </c>
      <c r="B2979">
        <v>1</v>
      </c>
      <c r="C2979">
        <v>6</v>
      </c>
      <c r="D2979">
        <v>6</v>
      </c>
    </row>
    <row r="2980" spans="1:4" ht="15" x14ac:dyDescent="0.25">
      <c r="A2980" t="s">
        <v>8778</v>
      </c>
      <c r="B2980">
        <v>4</v>
      </c>
      <c r="C2980">
        <v>43</v>
      </c>
      <c r="D2980">
        <v>10.75</v>
      </c>
    </row>
    <row r="2981" spans="1:4" ht="15" x14ac:dyDescent="0.25">
      <c r="A2981" t="s">
        <v>8783</v>
      </c>
      <c r="B2981">
        <v>23</v>
      </c>
      <c r="C2981">
        <v>2618</v>
      </c>
      <c r="D2981">
        <v>113.82608695652173</v>
      </c>
    </row>
    <row r="2982" spans="1:4" ht="15" x14ac:dyDescent="0.25">
      <c r="A2982" t="s">
        <v>8787</v>
      </c>
      <c r="B2982">
        <v>3</v>
      </c>
      <c r="C2982">
        <v>119</v>
      </c>
      <c r="D2982">
        <v>39.666666666666664</v>
      </c>
    </row>
    <row r="2983" spans="1:4" ht="15" x14ac:dyDescent="0.25">
      <c r="A2983" t="s">
        <v>8786</v>
      </c>
      <c r="B2983">
        <v>8</v>
      </c>
      <c r="C2983">
        <v>192</v>
      </c>
      <c r="D2983">
        <v>24</v>
      </c>
    </row>
    <row r="2984" spans="1:4" ht="15" x14ac:dyDescent="0.25">
      <c r="A2984" t="s">
        <v>8793</v>
      </c>
      <c r="B2984">
        <v>9</v>
      </c>
      <c r="C2984">
        <v>378</v>
      </c>
      <c r="D2984">
        <v>42</v>
      </c>
    </row>
    <row r="2985" spans="1:4" ht="15" x14ac:dyDescent="0.25">
      <c r="A2985" t="s">
        <v>8795</v>
      </c>
      <c r="B2985">
        <v>1</v>
      </c>
      <c r="C2985">
        <v>64</v>
      </c>
      <c r="D2985">
        <v>64</v>
      </c>
    </row>
    <row r="2986" spans="1:4" ht="15" x14ac:dyDescent="0.25">
      <c r="A2986" t="s">
        <v>8794</v>
      </c>
      <c r="B2986">
        <v>1</v>
      </c>
      <c r="C2986">
        <v>64</v>
      </c>
      <c r="D2986">
        <v>64</v>
      </c>
    </row>
    <row r="2987" spans="1:4" ht="15" x14ac:dyDescent="0.25">
      <c r="A2987" t="s">
        <v>8799</v>
      </c>
      <c r="B2987">
        <v>1</v>
      </c>
      <c r="C2987">
        <v>9</v>
      </c>
      <c r="D2987">
        <v>9</v>
      </c>
    </row>
    <row r="2988" spans="1:4" ht="15" x14ac:dyDescent="0.25">
      <c r="A2988" t="s">
        <v>8800</v>
      </c>
      <c r="B2988">
        <v>1</v>
      </c>
      <c r="C2988">
        <v>9</v>
      </c>
      <c r="D2988">
        <v>9</v>
      </c>
    </row>
    <row r="2989" spans="1:4" ht="15" x14ac:dyDescent="0.25">
      <c r="A2989" t="s">
        <v>8801</v>
      </c>
      <c r="B2989">
        <v>1</v>
      </c>
      <c r="C2989">
        <v>9</v>
      </c>
      <c r="D2989">
        <v>9</v>
      </c>
    </row>
    <row r="2990" spans="1:4" ht="15" x14ac:dyDescent="0.25">
      <c r="A2990" t="s">
        <v>8802</v>
      </c>
      <c r="B2990">
        <v>1</v>
      </c>
      <c r="C2990">
        <v>9</v>
      </c>
      <c r="D2990">
        <v>9</v>
      </c>
    </row>
    <row r="2991" spans="1:4" ht="15" x14ac:dyDescent="0.25">
      <c r="A2991" t="s">
        <v>8809</v>
      </c>
      <c r="B2991">
        <v>1</v>
      </c>
      <c r="C2991">
        <v>68</v>
      </c>
      <c r="D2991">
        <v>68</v>
      </c>
    </row>
    <row r="2992" spans="1:4" ht="15" x14ac:dyDescent="0.25">
      <c r="A2992" t="s">
        <v>8810</v>
      </c>
      <c r="B2992">
        <v>2</v>
      </c>
      <c r="C2992">
        <v>162</v>
      </c>
      <c r="D2992">
        <v>81</v>
      </c>
    </row>
    <row r="2993" spans="1:4" ht="15" x14ac:dyDescent="0.25">
      <c r="A2993" t="s">
        <v>8812</v>
      </c>
      <c r="B2993">
        <v>1</v>
      </c>
      <c r="C2993">
        <v>68</v>
      </c>
      <c r="D2993">
        <v>68</v>
      </c>
    </row>
    <row r="2994" spans="1:4" ht="15" x14ac:dyDescent="0.25">
      <c r="A2994" t="s">
        <v>8811</v>
      </c>
      <c r="B2994">
        <v>2</v>
      </c>
      <c r="C2994">
        <v>101</v>
      </c>
      <c r="D2994">
        <v>50.5</v>
      </c>
    </row>
    <row r="2995" spans="1:4" ht="15" x14ac:dyDescent="0.25">
      <c r="A2995" t="s">
        <v>8816</v>
      </c>
      <c r="B2995">
        <v>1</v>
      </c>
      <c r="C2995">
        <v>12</v>
      </c>
      <c r="D2995">
        <v>12</v>
      </c>
    </row>
    <row r="2996" spans="1:4" ht="15" x14ac:dyDescent="0.25">
      <c r="A2996" t="s">
        <v>8818</v>
      </c>
      <c r="B2996">
        <v>1</v>
      </c>
      <c r="C2996">
        <v>12</v>
      </c>
      <c r="D2996">
        <v>12</v>
      </c>
    </row>
    <row r="2997" spans="1:4" ht="15" x14ac:dyDescent="0.25">
      <c r="A2997" t="s">
        <v>8817</v>
      </c>
      <c r="B2997">
        <v>1</v>
      </c>
      <c r="C2997">
        <v>12</v>
      </c>
      <c r="D2997">
        <v>12</v>
      </c>
    </row>
    <row r="2998" spans="1:4" ht="15" x14ac:dyDescent="0.25">
      <c r="A2998" t="s">
        <v>8822</v>
      </c>
      <c r="B2998">
        <v>1</v>
      </c>
      <c r="C2998">
        <v>112</v>
      </c>
      <c r="D2998">
        <v>112</v>
      </c>
    </row>
    <row r="2999" spans="1:4" ht="15" x14ac:dyDescent="0.25">
      <c r="A2999" t="s">
        <v>8824</v>
      </c>
      <c r="B2999">
        <v>1</v>
      </c>
      <c r="C2999">
        <v>112</v>
      </c>
      <c r="D2999">
        <v>112</v>
      </c>
    </row>
    <row r="3000" spans="1:4" ht="15" x14ac:dyDescent="0.25">
      <c r="A3000" t="s">
        <v>8823</v>
      </c>
      <c r="B3000">
        <v>1</v>
      </c>
      <c r="C3000">
        <v>112</v>
      </c>
      <c r="D3000">
        <v>112</v>
      </c>
    </row>
    <row r="3001" spans="1:4" ht="15" x14ac:dyDescent="0.25">
      <c r="A3001" t="s">
        <v>8828</v>
      </c>
      <c r="B3001">
        <v>1</v>
      </c>
      <c r="C3001">
        <v>12</v>
      </c>
      <c r="D3001">
        <v>12</v>
      </c>
    </row>
    <row r="3002" spans="1:4" ht="15" x14ac:dyDescent="0.25">
      <c r="A3002" t="s">
        <v>8830</v>
      </c>
      <c r="B3002">
        <v>1</v>
      </c>
      <c r="C3002">
        <v>12</v>
      </c>
      <c r="D3002">
        <v>12</v>
      </c>
    </row>
    <row r="3003" spans="1:4" ht="15" x14ac:dyDescent="0.25">
      <c r="A3003" t="s">
        <v>8831</v>
      </c>
      <c r="B3003">
        <v>3</v>
      </c>
      <c r="C3003">
        <v>74</v>
      </c>
      <c r="D3003">
        <v>24.666666666666668</v>
      </c>
    </row>
    <row r="3004" spans="1:4" ht="15" x14ac:dyDescent="0.25">
      <c r="A3004" t="s">
        <v>8829</v>
      </c>
      <c r="B3004">
        <v>2</v>
      </c>
      <c r="C3004">
        <v>26</v>
      </c>
      <c r="D3004">
        <v>13</v>
      </c>
    </row>
    <row r="3005" spans="1:4" ht="15" x14ac:dyDescent="0.25">
      <c r="A3005" t="s">
        <v>8837</v>
      </c>
      <c r="B3005">
        <v>1</v>
      </c>
      <c r="C3005">
        <v>88</v>
      </c>
      <c r="D3005">
        <v>88</v>
      </c>
    </row>
    <row r="3006" spans="1:4" ht="15" x14ac:dyDescent="0.25">
      <c r="A3006" t="s">
        <v>8839</v>
      </c>
      <c r="B3006">
        <v>1</v>
      </c>
      <c r="C3006">
        <v>88</v>
      </c>
      <c r="D3006">
        <v>88</v>
      </c>
    </row>
    <row r="3007" spans="1:4" ht="15" x14ac:dyDescent="0.25">
      <c r="A3007" t="s">
        <v>8838</v>
      </c>
      <c r="B3007">
        <v>7</v>
      </c>
      <c r="C3007">
        <v>339</v>
      </c>
      <c r="D3007">
        <v>48.428571428571431</v>
      </c>
    </row>
    <row r="3008" spans="1:4" ht="15" x14ac:dyDescent="0.25">
      <c r="A3008" t="s">
        <v>8844</v>
      </c>
      <c r="B3008">
        <v>31</v>
      </c>
      <c r="C3008">
        <v>777</v>
      </c>
      <c r="D3008">
        <v>25.06451612903226</v>
      </c>
    </row>
    <row r="3009" spans="1:4" ht="15" x14ac:dyDescent="0.25">
      <c r="A3009" t="s">
        <v>8845</v>
      </c>
      <c r="B3009">
        <v>18</v>
      </c>
      <c r="C3009">
        <v>554</v>
      </c>
      <c r="D3009">
        <v>30.777777777777779</v>
      </c>
    </row>
    <row r="3010" spans="1:4" ht="15" x14ac:dyDescent="0.25">
      <c r="A3010" t="s">
        <v>8849</v>
      </c>
      <c r="B3010">
        <v>1</v>
      </c>
      <c r="C3010">
        <v>240</v>
      </c>
      <c r="D3010">
        <v>240</v>
      </c>
    </row>
    <row r="3011" spans="1:4" ht="15" x14ac:dyDescent="0.25">
      <c r="A3011" t="s">
        <v>8851</v>
      </c>
      <c r="B3011">
        <v>1</v>
      </c>
      <c r="C3011">
        <v>240</v>
      </c>
      <c r="D3011">
        <v>240</v>
      </c>
    </row>
    <row r="3012" spans="1:4" ht="15" x14ac:dyDescent="0.25">
      <c r="A3012" t="s">
        <v>8850</v>
      </c>
      <c r="B3012">
        <v>1</v>
      </c>
      <c r="C3012">
        <v>240</v>
      </c>
      <c r="D3012">
        <v>240</v>
      </c>
    </row>
    <row r="3013" spans="1:4" ht="15" x14ac:dyDescent="0.25">
      <c r="A3013" t="s">
        <v>8860</v>
      </c>
      <c r="B3013">
        <v>1</v>
      </c>
      <c r="C3013">
        <v>16</v>
      </c>
      <c r="D3013">
        <v>16</v>
      </c>
    </row>
    <row r="3014" spans="1:4" ht="15" x14ac:dyDescent="0.25">
      <c r="A3014" t="s">
        <v>8861</v>
      </c>
      <c r="B3014">
        <v>3</v>
      </c>
      <c r="C3014">
        <v>97</v>
      </c>
      <c r="D3014">
        <v>32.333333333333336</v>
      </c>
    </row>
    <row r="3015" spans="1:4" ht="15" x14ac:dyDescent="0.25">
      <c r="A3015" t="s">
        <v>8863</v>
      </c>
      <c r="B3015">
        <v>2</v>
      </c>
      <c r="C3015">
        <v>54</v>
      </c>
      <c r="D3015">
        <v>27</v>
      </c>
    </row>
    <row r="3016" spans="1:4" ht="15" x14ac:dyDescent="0.25">
      <c r="A3016" t="s">
        <v>8862</v>
      </c>
      <c r="B3016">
        <v>5</v>
      </c>
      <c r="C3016">
        <v>236</v>
      </c>
      <c r="D3016">
        <v>47.2</v>
      </c>
    </row>
    <row r="3017" spans="1:4" ht="15" x14ac:dyDescent="0.25">
      <c r="A3017" t="s">
        <v>8868</v>
      </c>
      <c r="B3017">
        <v>1</v>
      </c>
      <c r="C3017">
        <v>27</v>
      </c>
      <c r="D3017">
        <v>27</v>
      </c>
    </row>
    <row r="3018" spans="1:4" ht="15" x14ac:dyDescent="0.25">
      <c r="A3018" t="s">
        <v>8870</v>
      </c>
      <c r="B3018">
        <v>1</v>
      </c>
      <c r="C3018">
        <v>27</v>
      </c>
      <c r="D3018">
        <v>27</v>
      </c>
    </row>
    <row r="3019" spans="1:4" ht="15" x14ac:dyDescent="0.25">
      <c r="A3019" t="s">
        <v>8871</v>
      </c>
      <c r="B3019">
        <v>1</v>
      </c>
      <c r="C3019">
        <v>27</v>
      </c>
      <c r="D3019">
        <v>27</v>
      </c>
    </row>
    <row r="3020" spans="1:4" ht="15" x14ac:dyDescent="0.25">
      <c r="A3020" t="s">
        <v>8869</v>
      </c>
      <c r="B3020">
        <v>1</v>
      </c>
      <c r="C3020">
        <v>27</v>
      </c>
      <c r="D3020">
        <v>27</v>
      </c>
    </row>
    <row r="3021" spans="1:4" ht="15" x14ac:dyDescent="0.25">
      <c r="A3021" t="s">
        <v>8875</v>
      </c>
      <c r="B3021">
        <v>1</v>
      </c>
      <c r="C3021">
        <v>12</v>
      </c>
      <c r="D3021">
        <v>12</v>
      </c>
    </row>
    <row r="3022" spans="1:4" ht="15" x14ac:dyDescent="0.25">
      <c r="A3022" t="s">
        <v>8876</v>
      </c>
      <c r="B3022">
        <v>1</v>
      </c>
      <c r="C3022">
        <v>12</v>
      </c>
      <c r="D3022">
        <v>12</v>
      </c>
    </row>
    <row r="3023" spans="1:4" ht="15" x14ac:dyDescent="0.25">
      <c r="A3023" t="s">
        <v>8877</v>
      </c>
      <c r="B3023">
        <v>1</v>
      </c>
      <c r="C3023">
        <v>12</v>
      </c>
      <c r="D3023">
        <v>12</v>
      </c>
    </row>
    <row r="3024" spans="1:4" ht="15" x14ac:dyDescent="0.25">
      <c r="A3024" t="s">
        <v>8878</v>
      </c>
      <c r="B3024">
        <v>3</v>
      </c>
      <c r="C3024">
        <v>76</v>
      </c>
      <c r="D3024">
        <v>25.333333333333332</v>
      </c>
    </row>
    <row r="3025" spans="1:4" ht="15" x14ac:dyDescent="0.25">
      <c r="A3025" t="s">
        <v>8882</v>
      </c>
      <c r="B3025">
        <v>3</v>
      </c>
      <c r="C3025">
        <v>352</v>
      </c>
      <c r="D3025">
        <v>117.33333333333333</v>
      </c>
    </row>
    <row r="3026" spans="1:4" ht="15" x14ac:dyDescent="0.25">
      <c r="A3026" t="s">
        <v>8886</v>
      </c>
      <c r="B3026">
        <v>1</v>
      </c>
      <c r="C3026">
        <v>16</v>
      </c>
      <c r="D3026">
        <v>16</v>
      </c>
    </row>
    <row r="3027" spans="1:4" ht="15" x14ac:dyDescent="0.25">
      <c r="A3027" t="s">
        <v>8887</v>
      </c>
      <c r="B3027">
        <v>1</v>
      </c>
      <c r="C3027">
        <v>16</v>
      </c>
      <c r="D3027">
        <v>16</v>
      </c>
    </row>
    <row r="3028" spans="1:4" ht="15" x14ac:dyDescent="0.25">
      <c r="A3028" t="s">
        <v>8889</v>
      </c>
      <c r="B3028">
        <v>2</v>
      </c>
      <c r="C3028">
        <v>39</v>
      </c>
      <c r="D3028">
        <v>19.5</v>
      </c>
    </row>
    <row r="3029" spans="1:4" ht="15" x14ac:dyDescent="0.25">
      <c r="A3029" t="s">
        <v>8888</v>
      </c>
      <c r="B3029">
        <v>1</v>
      </c>
      <c r="C3029">
        <v>16</v>
      </c>
      <c r="D3029">
        <v>16</v>
      </c>
    </row>
    <row r="3030" spans="1:4" ht="15" x14ac:dyDescent="0.25">
      <c r="A3030" t="s">
        <v>8893</v>
      </c>
      <c r="B3030">
        <v>3</v>
      </c>
      <c r="C3030">
        <v>3017</v>
      </c>
      <c r="D3030">
        <v>1005.6666666666666</v>
      </c>
    </row>
    <row r="3031" spans="1:4" ht="15" x14ac:dyDescent="0.25">
      <c r="A3031" t="s">
        <v>8894</v>
      </c>
      <c r="B3031">
        <v>2</v>
      </c>
      <c r="C3031">
        <v>1913</v>
      </c>
      <c r="D3031">
        <v>956.5</v>
      </c>
    </row>
    <row r="3032" spans="1:4" ht="15" x14ac:dyDescent="0.25">
      <c r="A3032" t="s">
        <v>8892</v>
      </c>
      <c r="B3032">
        <v>1</v>
      </c>
      <c r="C3032">
        <v>640</v>
      </c>
      <c r="D3032">
        <v>640</v>
      </c>
    </row>
    <row r="3033" spans="1:4" ht="15" x14ac:dyDescent="0.25">
      <c r="A3033" t="s">
        <v>8898</v>
      </c>
      <c r="B3033">
        <v>5</v>
      </c>
      <c r="C3033">
        <v>701</v>
      </c>
      <c r="D3033">
        <v>140.19999999999999</v>
      </c>
    </row>
    <row r="3034" spans="1:4" ht="15" x14ac:dyDescent="0.25">
      <c r="A3034" t="s">
        <v>8899</v>
      </c>
      <c r="B3034">
        <v>1</v>
      </c>
      <c r="C3034">
        <v>69</v>
      </c>
      <c r="D3034">
        <v>69</v>
      </c>
    </row>
    <row r="3035" spans="1:4" ht="15" x14ac:dyDescent="0.25">
      <c r="A3035" t="s">
        <v>8900</v>
      </c>
      <c r="B3035">
        <v>2</v>
      </c>
      <c r="C3035">
        <v>112</v>
      </c>
      <c r="D3035">
        <v>56</v>
      </c>
    </row>
    <row r="3036" spans="1:4" ht="15" x14ac:dyDescent="0.25">
      <c r="A3036" t="s">
        <v>8901</v>
      </c>
      <c r="B3036">
        <v>1</v>
      </c>
      <c r="C3036">
        <v>69</v>
      </c>
      <c r="D3036">
        <v>69</v>
      </c>
    </row>
    <row r="3037" spans="1:4" ht="15" x14ac:dyDescent="0.25">
      <c r="A3037" t="s">
        <v>8905</v>
      </c>
      <c r="B3037">
        <v>1</v>
      </c>
      <c r="C3037">
        <v>5</v>
      </c>
      <c r="D3037">
        <v>5</v>
      </c>
    </row>
    <row r="3038" spans="1:4" ht="15" x14ac:dyDescent="0.25">
      <c r="A3038" t="s">
        <v>8906</v>
      </c>
      <c r="B3038">
        <v>2</v>
      </c>
      <c r="C3038">
        <v>72</v>
      </c>
      <c r="D3038">
        <v>36</v>
      </c>
    </row>
    <row r="3039" spans="1:4" ht="15" x14ac:dyDescent="0.25">
      <c r="A3039" t="s">
        <v>8908</v>
      </c>
      <c r="B3039">
        <v>1</v>
      </c>
      <c r="C3039">
        <v>5</v>
      </c>
      <c r="D3039">
        <v>5</v>
      </c>
    </row>
    <row r="3040" spans="1:4" ht="15" x14ac:dyDescent="0.25">
      <c r="A3040" t="s">
        <v>8907</v>
      </c>
      <c r="B3040">
        <v>1</v>
      </c>
      <c r="C3040">
        <v>5</v>
      </c>
      <c r="D3040">
        <v>5</v>
      </c>
    </row>
    <row r="3041" spans="1:4" ht="15" x14ac:dyDescent="0.25">
      <c r="A3041" t="s">
        <v>8912</v>
      </c>
      <c r="B3041">
        <v>1</v>
      </c>
      <c r="C3041">
        <v>12</v>
      </c>
      <c r="D3041">
        <v>12</v>
      </c>
    </row>
    <row r="3042" spans="1:4" ht="15" x14ac:dyDescent="0.25">
      <c r="A3042" t="s">
        <v>8913</v>
      </c>
      <c r="B3042">
        <v>1</v>
      </c>
      <c r="C3042">
        <v>12</v>
      </c>
      <c r="D3042">
        <v>12</v>
      </c>
    </row>
    <row r="3043" spans="1:4" ht="15" x14ac:dyDescent="0.25">
      <c r="A3043" t="s">
        <v>8915</v>
      </c>
      <c r="B3043">
        <v>1</v>
      </c>
      <c r="C3043">
        <v>12</v>
      </c>
      <c r="D3043">
        <v>12</v>
      </c>
    </row>
    <row r="3044" spans="1:4" ht="15" x14ac:dyDescent="0.25">
      <c r="A3044" t="s">
        <v>8916</v>
      </c>
      <c r="B3044">
        <v>1</v>
      </c>
      <c r="C3044">
        <v>12</v>
      </c>
      <c r="D3044">
        <v>12</v>
      </c>
    </row>
    <row r="3045" spans="1:4" ht="15" x14ac:dyDescent="0.25">
      <c r="A3045" t="s">
        <v>8914</v>
      </c>
      <c r="B3045">
        <v>1</v>
      </c>
      <c r="C3045">
        <v>12</v>
      </c>
      <c r="D3045">
        <v>12</v>
      </c>
    </row>
    <row r="3046" spans="1:4" ht="15" x14ac:dyDescent="0.25">
      <c r="A3046" t="s">
        <v>8921</v>
      </c>
      <c r="B3046">
        <v>1</v>
      </c>
      <c r="C3046">
        <v>42</v>
      </c>
      <c r="D3046">
        <v>42</v>
      </c>
    </row>
    <row r="3047" spans="1:4" ht="15" x14ac:dyDescent="0.25">
      <c r="A3047" t="s">
        <v>8925</v>
      </c>
      <c r="B3047">
        <v>1</v>
      </c>
      <c r="C3047">
        <v>43</v>
      </c>
      <c r="D3047">
        <v>43</v>
      </c>
    </row>
    <row r="3048" spans="1:4" ht="15" x14ac:dyDescent="0.25">
      <c r="A3048" t="s">
        <v>8926</v>
      </c>
      <c r="B3048">
        <v>1</v>
      </c>
      <c r="C3048">
        <v>43</v>
      </c>
      <c r="D3048">
        <v>43</v>
      </c>
    </row>
    <row r="3049" spans="1:4" ht="15" x14ac:dyDescent="0.25">
      <c r="A3049" t="s">
        <v>8930</v>
      </c>
      <c r="B3049">
        <v>1</v>
      </c>
      <c r="C3049">
        <v>19</v>
      </c>
      <c r="D3049">
        <v>19</v>
      </c>
    </row>
    <row r="3050" spans="1:4" ht="15" x14ac:dyDescent="0.25">
      <c r="A3050" t="s">
        <v>8931</v>
      </c>
      <c r="B3050">
        <v>1</v>
      </c>
      <c r="C3050">
        <v>19</v>
      </c>
      <c r="D3050">
        <v>19</v>
      </c>
    </row>
    <row r="3051" spans="1:4" ht="15" x14ac:dyDescent="0.25">
      <c r="A3051" t="s">
        <v>8932</v>
      </c>
      <c r="B3051">
        <v>1</v>
      </c>
      <c r="C3051">
        <v>19</v>
      </c>
      <c r="D3051">
        <v>19</v>
      </c>
    </row>
    <row r="3052" spans="1:4" ht="15" x14ac:dyDescent="0.25">
      <c r="A3052" t="s">
        <v>8936</v>
      </c>
      <c r="B3052">
        <v>1</v>
      </c>
      <c r="C3052">
        <v>18</v>
      </c>
      <c r="D3052">
        <v>18</v>
      </c>
    </row>
    <row r="3053" spans="1:4" ht="15" x14ac:dyDescent="0.25">
      <c r="A3053" t="s">
        <v>8937</v>
      </c>
      <c r="B3053">
        <v>1</v>
      </c>
      <c r="C3053">
        <v>18</v>
      </c>
      <c r="D3053">
        <v>18</v>
      </c>
    </row>
    <row r="3054" spans="1:4" ht="15" x14ac:dyDescent="0.25">
      <c r="A3054" t="s">
        <v>8939</v>
      </c>
      <c r="B3054">
        <v>1</v>
      </c>
      <c r="C3054">
        <v>18</v>
      </c>
      <c r="D3054">
        <v>18</v>
      </c>
    </row>
    <row r="3055" spans="1:4" ht="15" x14ac:dyDescent="0.25">
      <c r="A3055" t="s">
        <v>8938</v>
      </c>
      <c r="B3055">
        <v>1</v>
      </c>
      <c r="C3055">
        <v>18</v>
      </c>
      <c r="D3055">
        <v>18</v>
      </c>
    </row>
    <row r="3056" spans="1:4" ht="15" x14ac:dyDescent="0.25">
      <c r="A3056" t="s">
        <v>8946</v>
      </c>
      <c r="B3056">
        <v>1</v>
      </c>
      <c r="C3056">
        <v>40</v>
      </c>
      <c r="D3056">
        <v>40</v>
      </c>
    </row>
    <row r="3057" spans="1:4" ht="15" x14ac:dyDescent="0.25">
      <c r="A3057" t="s">
        <v>8948</v>
      </c>
      <c r="B3057">
        <v>1</v>
      </c>
      <c r="C3057">
        <v>40</v>
      </c>
      <c r="D3057">
        <v>40</v>
      </c>
    </row>
    <row r="3058" spans="1:4" ht="15" x14ac:dyDescent="0.25">
      <c r="A3058" t="s">
        <v>8947</v>
      </c>
      <c r="B3058">
        <v>1</v>
      </c>
      <c r="C3058">
        <v>40</v>
      </c>
      <c r="D3058">
        <v>40</v>
      </c>
    </row>
    <row r="3059" spans="1:4" ht="15" x14ac:dyDescent="0.25">
      <c r="A3059" t="s">
        <v>8951</v>
      </c>
      <c r="B3059">
        <v>7</v>
      </c>
      <c r="C3059">
        <v>216</v>
      </c>
      <c r="D3059">
        <v>30.857142857142858</v>
      </c>
    </row>
    <row r="3060" spans="1:4" ht="15" x14ac:dyDescent="0.25">
      <c r="A3060" t="s">
        <v>8957</v>
      </c>
      <c r="B3060">
        <v>2</v>
      </c>
      <c r="C3060">
        <v>34</v>
      </c>
      <c r="D3060">
        <v>17</v>
      </c>
    </row>
    <row r="3061" spans="1:4" ht="15" x14ac:dyDescent="0.25">
      <c r="A3061" t="s">
        <v>8958</v>
      </c>
      <c r="B3061">
        <v>1</v>
      </c>
      <c r="C3061">
        <v>24</v>
      </c>
      <c r="D3061">
        <v>24</v>
      </c>
    </row>
    <row r="3062" spans="1:4" ht="15" x14ac:dyDescent="0.25">
      <c r="A3062" t="s">
        <v>8960</v>
      </c>
      <c r="B3062">
        <v>1</v>
      </c>
      <c r="C3062">
        <v>24</v>
      </c>
      <c r="D3062">
        <v>24</v>
      </c>
    </row>
    <row r="3063" spans="1:4" ht="15" x14ac:dyDescent="0.25">
      <c r="A3063" t="s">
        <v>8961</v>
      </c>
      <c r="B3063">
        <v>1</v>
      </c>
      <c r="C3063">
        <v>24</v>
      </c>
      <c r="D3063">
        <v>24</v>
      </c>
    </row>
    <row r="3064" spans="1:4" ht="15" x14ac:dyDescent="0.25">
      <c r="A3064" t="s">
        <v>8959</v>
      </c>
      <c r="B3064">
        <v>1</v>
      </c>
      <c r="C3064">
        <v>24</v>
      </c>
      <c r="D3064">
        <v>24</v>
      </c>
    </row>
    <row r="3065" spans="1:4" ht="15" x14ac:dyDescent="0.25">
      <c r="A3065" t="s">
        <v>8965</v>
      </c>
      <c r="B3065">
        <v>1</v>
      </c>
      <c r="C3065">
        <v>78</v>
      </c>
      <c r="D3065">
        <v>78</v>
      </c>
    </row>
    <row r="3066" spans="1:4" ht="15" x14ac:dyDescent="0.25">
      <c r="A3066" t="s">
        <v>8966</v>
      </c>
      <c r="B3066">
        <v>2</v>
      </c>
      <c r="C3066">
        <v>78</v>
      </c>
      <c r="D3066">
        <v>39</v>
      </c>
    </row>
    <row r="3067" spans="1:4" ht="15" x14ac:dyDescent="0.25">
      <c r="A3067" t="s">
        <v>8968</v>
      </c>
      <c r="B3067">
        <v>1</v>
      </c>
      <c r="C3067">
        <v>78</v>
      </c>
      <c r="D3067">
        <v>78</v>
      </c>
    </row>
    <row r="3068" spans="1:4" ht="15" x14ac:dyDescent="0.25">
      <c r="A3068" t="s">
        <v>8969</v>
      </c>
      <c r="B3068">
        <v>1</v>
      </c>
      <c r="C3068">
        <v>78</v>
      </c>
      <c r="D3068">
        <v>78</v>
      </c>
    </row>
    <row r="3069" spans="1:4" ht="15" x14ac:dyDescent="0.25">
      <c r="A3069" t="s">
        <v>8967</v>
      </c>
      <c r="B3069">
        <v>1</v>
      </c>
      <c r="C3069">
        <v>78</v>
      </c>
      <c r="D3069">
        <v>78</v>
      </c>
    </row>
    <row r="3070" spans="1:4" ht="15" x14ac:dyDescent="0.25">
      <c r="A3070" t="s">
        <v>8976</v>
      </c>
      <c r="B3070">
        <v>2</v>
      </c>
      <c r="C3070">
        <v>46</v>
      </c>
      <c r="D3070">
        <v>23</v>
      </c>
    </row>
    <row r="3071" spans="1:4" ht="15" x14ac:dyDescent="0.25">
      <c r="A3071" t="s">
        <v>8978</v>
      </c>
      <c r="B3071">
        <v>1</v>
      </c>
      <c r="C3071">
        <v>33</v>
      </c>
      <c r="D3071">
        <v>33</v>
      </c>
    </row>
    <row r="3072" spans="1:4" ht="15" x14ac:dyDescent="0.25">
      <c r="A3072" t="s">
        <v>8977</v>
      </c>
      <c r="B3072">
        <v>1</v>
      </c>
      <c r="C3072">
        <v>33</v>
      </c>
      <c r="D3072">
        <v>33</v>
      </c>
    </row>
    <row r="3073" spans="1:4" ht="15" x14ac:dyDescent="0.25">
      <c r="A3073" t="s">
        <v>8982</v>
      </c>
      <c r="B3073">
        <v>1</v>
      </c>
      <c r="C3073">
        <v>44</v>
      </c>
      <c r="D3073">
        <v>44</v>
      </c>
    </row>
    <row r="3074" spans="1:4" ht="15" x14ac:dyDescent="0.25">
      <c r="A3074" t="s">
        <v>8984</v>
      </c>
      <c r="B3074">
        <v>1</v>
      </c>
      <c r="C3074">
        <v>44</v>
      </c>
      <c r="D3074">
        <v>44</v>
      </c>
    </row>
    <row r="3075" spans="1:4" ht="15" x14ac:dyDescent="0.25">
      <c r="A3075" t="s">
        <v>8985</v>
      </c>
      <c r="B3075">
        <v>1</v>
      </c>
      <c r="C3075">
        <v>44</v>
      </c>
      <c r="D3075">
        <v>44</v>
      </c>
    </row>
    <row r="3076" spans="1:4" ht="15" x14ac:dyDescent="0.25">
      <c r="A3076" t="s">
        <v>8983</v>
      </c>
      <c r="B3076">
        <v>1</v>
      </c>
      <c r="C3076">
        <v>44</v>
      </c>
      <c r="D3076">
        <v>44</v>
      </c>
    </row>
    <row r="3077" spans="1:4" ht="15" x14ac:dyDescent="0.25">
      <c r="A3077" t="s">
        <v>8991</v>
      </c>
      <c r="B3077">
        <v>1</v>
      </c>
      <c r="C3077">
        <v>29</v>
      </c>
      <c r="D3077">
        <v>29</v>
      </c>
    </row>
    <row r="3078" spans="1:4" ht="15" x14ac:dyDescent="0.25">
      <c r="A3078" t="s">
        <v>8992</v>
      </c>
      <c r="B3078">
        <v>1</v>
      </c>
      <c r="C3078">
        <v>29</v>
      </c>
      <c r="D3078">
        <v>29</v>
      </c>
    </row>
    <row r="3079" spans="1:4" ht="15" x14ac:dyDescent="0.25">
      <c r="A3079" t="s">
        <v>8994</v>
      </c>
      <c r="B3079">
        <v>4</v>
      </c>
      <c r="C3079">
        <v>114</v>
      </c>
      <c r="D3079">
        <v>28.5</v>
      </c>
    </row>
    <row r="3080" spans="1:4" ht="15" x14ac:dyDescent="0.25">
      <c r="A3080" t="s">
        <v>8993</v>
      </c>
      <c r="B3080">
        <v>1</v>
      </c>
      <c r="C3080">
        <v>29</v>
      </c>
      <c r="D3080">
        <v>29</v>
      </c>
    </row>
    <row r="3081" spans="1:4" ht="15" x14ac:dyDescent="0.25">
      <c r="A3081" t="s">
        <v>8998</v>
      </c>
      <c r="B3081">
        <v>1</v>
      </c>
      <c r="C3081">
        <v>31</v>
      </c>
      <c r="D3081">
        <v>31</v>
      </c>
    </row>
    <row r="3082" spans="1:4" ht="15" x14ac:dyDescent="0.25">
      <c r="A3082" t="s">
        <v>8999</v>
      </c>
      <c r="B3082">
        <v>1</v>
      </c>
      <c r="C3082">
        <v>31</v>
      </c>
      <c r="D3082">
        <v>31</v>
      </c>
    </row>
    <row r="3083" spans="1:4" ht="15" x14ac:dyDescent="0.25">
      <c r="A3083" t="s">
        <v>9000</v>
      </c>
      <c r="B3083">
        <v>1</v>
      </c>
      <c r="C3083">
        <v>31</v>
      </c>
      <c r="D3083">
        <v>31</v>
      </c>
    </row>
    <row r="3084" spans="1:4" ht="15" x14ac:dyDescent="0.25">
      <c r="A3084" t="s">
        <v>9004</v>
      </c>
      <c r="B3084">
        <v>1</v>
      </c>
      <c r="C3084">
        <v>67</v>
      </c>
      <c r="D3084">
        <v>67</v>
      </c>
    </row>
    <row r="3085" spans="1:4" ht="15" x14ac:dyDescent="0.25">
      <c r="A3085" t="s">
        <v>9005</v>
      </c>
      <c r="B3085">
        <v>2</v>
      </c>
      <c r="C3085">
        <v>98</v>
      </c>
      <c r="D3085">
        <v>49</v>
      </c>
    </row>
    <row r="3086" spans="1:4" ht="15" x14ac:dyDescent="0.25">
      <c r="A3086" t="s">
        <v>9007</v>
      </c>
      <c r="B3086">
        <v>1</v>
      </c>
      <c r="C3086">
        <v>67</v>
      </c>
      <c r="D3086">
        <v>67</v>
      </c>
    </row>
    <row r="3087" spans="1:4" ht="15" x14ac:dyDescent="0.25">
      <c r="A3087" t="s">
        <v>9006</v>
      </c>
      <c r="B3087">
        <v>2</v>
      </c>
      <c r="C3087">
        <v>84</v>
      </c>
      <c r="D3087">
        <v>42</v>
      </c>
    </row>
    <row r="3088" spans="1:4" ht="15" x14ac:dyDescent="0.25">
      <c r="A3088" t="s">
        <v>9011</v>
      </c>
      <c r="B3088">
        <v>22</v>
      </c>
      <c r="C3088">
        <v>755</v>
      </c>
      <c r="D3088">
        <v>34.31818181818182</v>
      </c>
    </row>
    <row r="3089" spans="1:4" ht="15" x14ac:dyDescent="0.25">
      <c r="A3089" t="s">
        <v>9012</v>
      </c>
      <c r="B3089">
        <v>4</v>
      </c>
      <c r="C3089">
        <v>315</v>
      </c>
      <c r="D3089">
        <v>78.75</v>
      </c>
    </row>
    <row r="3090" spans="1:4" ht="15" x14ac:dyDescent="0.25">
      <c r="A3090" t="s">
        <v>9016</v>
      </c>
      <c r="B3090">
        <v>1</v>
      </c>
      <c r="C3090">
        <v>51</v>
      </c>
      <c r="D3090">
        <v>51</v>
      </c>
    </row>
    <row r="3091" spans="1:4" ht="15" x14ac:dyDescent="0.25">
      <c r="A3091" t="s">
        <v>9017</v>
      </c>
      <c r="B3091">
        <v>3</v>
      </c>
      <c r="C3091">
        <v>252</v>
      </c>
      <c r="D3091">
        <v>84</v>
      </c>
    </row>
    <row r="3092" spans="1:4" ht="15" x14ac:dyDescent="0.25">
      <c r="A3092" t="s">
        <v>9019</v>
      </c>
      <c r="B3092">
        <v>3</v>
      </c>
      <c r="C3092">
        <v>131</v>
      </c>
      <c r="D3092">
        <v>43.666666666666664</v>
      </c>
    </row>
    <row r="3093" spans="1:4" ht="15" x14ac:dyDescent="0.25">
      <c r="A3093" t="s">
        <v>9018</v>
      </c>
      <c r="B3093">
        <v>1</v>
      </c>
      <c r="C3093">
        <v>51</v>
      </c>
      <c r="D3093">
        <v>51</v>
      </c>
    </row>
    <row r="3094" spans="1:4" ht="15" x14ac:dyDescent="0.25">
      <c r="A3094" t="s">
        <v>9024</v>
      </c>
      <c r="B3094">
        <v>1</v>
      </c>
      <c r="C3094">
        <v>13</v>
      </c>
      <c r="D3094">
        <v>13</v>
      </c>
    </row>
    <row r="3095" spans="1:4" ht="15" x14ac:dyDescent="0.25">
      <c r="A3095" t="s">
        <v>9025</v>
      </c>
      <c r="B3095">
        <v>1</v>
      </c>
      <c r="C3095">
        <v>13</v>
      </c>
      <c r="D3095">
        <v>13</v>
      </c>
    </row>
    <row r="3096" spans="1:4" ht="15" x14ac:dyDescent="0.25">
      <c r="A3096" t="s">
        <v>9027</v>
      </c>
      <c r="B3096">
        <v>1</v>
      </c>
      <c r="C3096">
        <v>13</v>
      </c>
      <c r="D3096">
        <v>13</v>
      </c>
    </row>
    <row r="3097" spans="1:4" ht="15" x14ac:dyDescent="0.25">
      <c r="A3097" t="s">
        <v>9028</v>
      </c>
      <c r="B3097">
        <v>1</v>
      </c>
      <c r="C3097">
        <v>13</v>
      </c>
      <c r="D3097">
        <v>13</v>
      </c>
    </row>
    <row r="3098" spans="1:4" ht="15" x14ac:dyDescent="0.25">
      <c r="A3098" t="s">
        <v>9026</v>
      </c>
      <c r="B3098">
        <v>1</v>
      </c>
      <c r="C3098">
        <v>13</v>
      </c>
      <c r="D3098">
        <v>13</v>
      </c>
    </row>
    <row r="3099" spans="1:4" ht="15" x14ac:dyDescent="0.25">
      <c r="A3099" t="s">
        <v>9032</v>
      </c>
      <c r="B3099">
        <v>3</v>
      </c>
      <c r="C3099">
        <v>151</v>
      </c>
      <c r="D3099">
        <v>50.333333333333336</v>
      </c>
    </row>
    <row r="3100" spans="1:4" ht="15" x14ac:dyDescent="0.25">
      <c r="A3100" t="s">
        <v>9034</v>
      </c>
      <c r="B3100">
        <v>2</v>
      </c>
      <c r="C3100">
        <v>67</v>
      </c>
      <c r="D3100">
        <v>33.5</v>
      </c>
    </row>
    <row r="3101" spans="1:4" ht="15" x14ac:dyDescent="0.25">
      <c r="A3101" t="s">
        <v>9033</v>
      </c>
      <c r="B3101">
        <v>1</v>
      </c>
      <c r="C3101">
        <v>21</v>
      </c>
      <c r="D3101">
        <v>21</v>
      </c>
    </row>
    <row r="3102" spans="1:4" ht="15" x14ac:dyDescent="0.25">
      <c r="A3102" t="s">
        <v>9038</v>
      </c>
      <c r="B3102">
        <v>1</v>
      </c>
      <c r="C3102">
        <v>29</v>
      </c>
      <c r="D3102">
        <v>29</v>
      </c>
    </row>
    <row r="3103" spans="1:4" ht="15" x14ac:dyDescent="0.25">
      <c r="A3103" t="s">
        <v>9039</v>
      </c>
      <c r="B3103">
        <v>1</v>
      </c>
      <c r="C3103">
        <v>29</v>
      </c>
      <c r="D3103">
        <v>29</v>
      </c>
    </row>
    <row r="3104" spans="1:4" ht="15" x14ac:dyDescent="0.25">
      <c r="A3104" t="s">
        <v>9043</v>
      </c>
      <c r="B3104">
        <v>1</v>
      </c>
      <c r="C3104">
        <v>38</v>
      </c>
      <c r="D3104">
        <v>38</v>
      </c>
    </row>
    <row r="3105" spans="1:4" ht="15" x14ac:dyDescent="0.25">
      <c r="A3105" t="s">
        <v>9044</v>
      </c>
      <c r="B3105">
        <v>2</v>
      </c>
      <c r="C3105">
        <v>140</v>
      </c>
      <c r="D3105">
        <v>70</v>
      </c>
    </row>
    <row r="3106" spans="1:4" ht="15" x14ac:dyDescent="0.25">
      <c r="A3106" t="s">
        <v>9046</v>
      </c>
      <c r="B3106">
        <v>3</v>
      </c>
      <c r="C3106">
        <v>109</v>
      </c>
      <c r="D3106">
        <v>36.333333333333336</v>
      </c>
    </row>
    <row r="3107" spans="1:4" ht="15" x14ac:dyDescent="0.25">
      <c r="A3107" t="s">
        <v>9045</v>
      </c>
      <c r="B3107">
        <v>1</v>
      </c>
      <c r="C3107">
        <v>38</v>
      </c>
      <c r="D3107">
        <v>38</v>
      </c>
    </row>
    <row r="3108" spans="1:4" ht="15" x14ac:dyDescent="0.25">
      <c r="A3108" t="s">
        <v>9049</v>
      </c>
      <c r="B3108">
        <v>1</v>
      </c>
      <c r="C3108">
        <v>30</v>
      </c>
      <c r="D3108">
        <v>30</v>
      </c>
    </row>
    <row r="3109" spans="1:4" ht="15" x14ac:dyDescent="0.25">
      <c r="A3109" t="s">
        <v>9050</v>
      </c>
      <c r="B3109">
        <v>1</v>
      </c>
      <c r="C3109">
        <v>30</v>
      </c>
      <c r="D3109">
        <v>30</v>
      </c>
    </row>
    <row r="3110" spans="1:4" ht="15" x14ac:dyDescent="0.25">
      <c r="A3110" t="s">
        <v>9052</v>
      </c>
      <c r="B3110">
        <v>1</v>
      </c>
      <c r="C3110">
        <v>30</v>
      </c>
      <c r="D3110">
        <v>30</v>
      </c>
    </row>
    <row r="3111" spans="1:4" ht="15" x14ac:dyDescent="0.25">
      <c r="A3111" t="s">
        <v>9053</v>
      </c>
      <c r="B3111">
        <v>4</v>
      </c>
      <c r="C3111">
        <v>70</v>
      </c>
      <c r="D3111">
        <v>17.5</v>
      </c>
    </row>
    <row r="3112" spans="1:4" ht="15" x14ac:dyDescent="0.25">
      <c r="A3112" t="s">
        <v>9051</v>
      </c>
      <c r="B3112">
        <v>1</v>
      </c>
      <c r="C3112">
        <v>30</v>
      </c>
      <c r="D3112">
        <v>30</v>
      </c>
    </row>
    <row r="3113" spans="1:4" ht="15" x14ac:dyDescent="0.25">
      <c r="A3113" t="s">
        <v>9056</v>
      </c>
      <c r="B3113">
        <v>2</v>
      </c>
      <c r="C3113">
        <v>151</v>
      </c>
      <c r="D3113">
        <v>75.5</v>
      </c>
    </row>
    <row r="3114" spans="1:4" ht="15" x14ac:dyDescent="0.25">
      <c r="A3114" t="s">
        <v>9057</v>
      </c>
      <c r="B3114">
        <v>1</v>
      </c>
      <c r="C3114">
        <v>81</v>
      </c>
      <c r="D3114">
        <v>81</v>
      </c>
    </row>
    <row r="3115" spans="1:4" ht="15" x14ac:dyDescent="0.25">
      <c r="A3115" t="s">
        <v>9061</v>
      </c>
      <c r="B3115">
        <v>1</v>
      </c>
      <c r="C3115">
        <v>35</v>
      </c>
      <c r="D3115">
        <v>35</v>
      </c>
    </row>
    <row r="3116" spans="1:4" ht="15" x14ac:dyDescent="0.25">
      <c r="A3116" t="s">
        <v>9062</v>
      </c>
      <c r="B3116">
        <v>1</v>
      </c>
      <c r="C3116">
        <v>35</v>
      </c>
      <c r="D3116">
        <v>35</v>
      </c>
    </row>
    <row r="3117" spans="1:4" ht="15" x14ac:dyDescent="0.25">
      <c r="A3117" t="s">
        <v>9064</v>
      </c>
      <c r="B3117">
        <v>1</v>
      </c>
      <c r="C3117">
        <v>35</v>
      </c>
      <c r="D3117">
        <v>35</v>
      </c>
    </row>
    <row r="3118" spans="1:4" ht="15" x14ac:dyDescent="0.25">
      <c r="A3118" t="s">
        <v>9063</v>
      </c>
      <c r="B3118">
        <v>1</v>
      </c>
      <c r="C3118">
        <v>35</v>
      </c>
      <c r="D3118">
        <v>35</v>
      </c>
    </row>
    <row r="3119" spans="1:4" ht="15" x14ac:dyDescent="0.25">
      <c r="A3119" t="s">
        <v>9068</v>
      </c>
      <c r="B3119">
        <v>1</v>
      </c>
      <c r="C3119">
        <v>67</v>
      </c>
      <c r="D3119">
        <v>67</v>
      </c>
    </row>
    <row r="3120" spans="1:4" ht="15" x14ac:dyDescent="0.25">
      <c r="A3120" t="s">
        <v>9070</v>
      </c>
      <c r="B3120">
        <v>3</v>
      </c>
      <c r="C3120">
        <v>277</v>
      </c>
      <c r="D3120">
        <v>92.333333333333329</v>
      </c>
    </row>
    <row r="3121" spans="1:4" ht="15" x14ac:dyDescent="0.25">
      <c r="A3121" t="s">
        <v>9069</v>
      </c>
      <c r="B3121">
        <v>2</v>
      </c>
      <c r="C3121">
        <v>82</v>
      </c>
      <c r="D3121">
        <v>41</v>
      </c>
    </row>
    <row r="3122" spans="1:4" ht="15" x14ac:dyDescent="0.25">
      <c r="A3122" t="s">
        <v>9073</v>
      </c>
      <c r="B3122">
        <v>7</v>
      </c>
      <c r="C3122">
        <v>259</v>
      </c>
      <c r="D3122">
        <v>37</v>
      </c>
    </row>
    <row r="3123" spans="1:4" ht="15" x14ac:dyDescent="0.25">
      <c r="A3123" t="s">
        <v>9075</v>
      </c>
      <c r="B3123">
        <v>5</v>
      </c>
      <c r="C3123">
        <v>133</v>
      </c>
      <c r="D3123">
        <v>26.6</v>
      </c>
    </row>
    <row r="3124" spans="1:4" ht="15" x14ac:dyDescent="0.25">
      <c r="A3124" t="s">
        <v>9074</v>
      </c>
      <c r="B3124">
        <v>1</v>
      </c>
      <c r="C3124">
        <v>28</v>
      </c>
      <c r="D3124">
        <v>28</v>
      </c>
    </row>
    <row r="3125" spans="1:4" ht="15" x14ac:dyDescent="0.25">
      <c r="A3125" t="s">
        <v>9080</v>
      </c>
      <c r="B3125">
        <v>3</v>
      </c>
      <c r="C3125">
        <v>13924</v>
      </c>
      <c r="D3125">
        <v>4641.333333333333</v>
      </c>
    </row>
    <row r="3126" spans="1:4" ht="15" x14ac:dyDescent="0.25">
      <c r="A3126" t="s">
        <v>9081</v>
      </c>
      <c r="B3126">
        <v>1</v>
      </c>
      <c r="C3126">
        <v>13779</v>
      </c>
      <c r="D3126">
        <v>13779</v>
      </c>
    </row>
    <row r="3127" spans="1:4" ht="15" x14ac:dyDescent="0.25">
      <c r="A3127" t="s">
        <v>9082</v>
      </c>
      <c r="B3127">
        <v>2</v>
      </c>
      <c r="C3127">
        <v>13789</v>
      </c>
      <c r="D3127">
        <v>6894.5</v>
      </c>
    </row>
    <row r="3128" spans="1:4" ht="15" x14ac:dyDescent="0.25">
      <c r="A3128" t="s">
        <v>9083</v>
      </c>
      <c r="B3128">
        <v>1</v>
      </c>
      <c r="C3128">
        <v>13779</v>
      </c>
      <c r="D3128">
        <v>13779</v>
      </c>
    </row>
    <row r="3129" spans="1:4" ht="15" x14ac:dyDescent="0.25">
      <c r="A3129" t="s">
        <v>9086</v>
      </c>
      <c r="B3129">
        <v>3</v>
      </c>
      <c r="C3129">
        <v>888</v>
      </c>
      <c r="D3129">
        <v>296</v>
      </c>
    </row>
    <row r="3130" spans="1:4" ht="15" x14ac:dyDescent="0.25">
      <c r="A3130" t="s">
        <v>9090</v>
      </c>
      <c r="B3130">
        <v>3</v>
      </c>
      <c r="C3130">
        <v>164</v>
      </c>
      <c r="D3130">
        <v>54.666666666666664</v>
      </c>
    </row>
    <row r="3131" spans="1:4" ht="15" x14ac:dyDescent="0.25">
      <c r="A3131" t="s">
        <v>9092</v>
      </c>
      <c r="B3131">
        <v>2</v>
      </c>
      <c r="C3131">
        <v>28</v>
      </c>
      <c r="D3131">
        <v>14</v>
      </c>
    </row>
    <row r="3132" spans="1:4" ht="15" x14ac:dyDescent="0.25">
      <c r="A3132" t="s">
        <v>9091</v>
      </c>
      <c r="B3132">
        <v>7</v>
      </c>
      <c r="C3132">
        <v>522</v>
      </c>
      <c r="D3132">
        <v>74.571428571428569</v>
      </c>
    </row>
    <row r="3133" spans="1:4" ht="15" x14ac:dyDescent="0.25">
      <c r="A3133" t="s">
        <v>9097</v>
      </c>
      <c r="B3133">
        <v>1</v>
      </c>
      <c r="C3133">
        <v>14</v>
      </c>
      <c r="D3133">
        <v>14</v>
      </c>
    </row>
    <row r="3134" spans="1:4" ht="15" x14ac:dyDescent="0.25">
      <c r="A3134" t="s">
        <v>9096</v>
      </c>
      <c r="B3134">
        <v>2</v>
      </c>
      <c r="C3134">
        <v>26</v>
      </c>
      <c r="D3134">
        <v>13</v>
      </c>
    </row>
    <row r="3135" spans="1:4" ht="15" x14ac:dyDescent="0.25">
      <c r="A3135" t="s">
        <v>9101</v>
      </c>
      <c r="B3135">
        <v>1</v>
      </c>
      <c r="C3135">
        <v>3</v>
      </c>
      <c r="D3135">
        <v>3</v>
      </c>
    </row>
    <row r="3136" spans="1:4" ht="15" x14ac:dyDescent="0.25">
      <c r="A3136" t="s">
        <v>9102</v>
      </c>
      <c r="B3136">
        <v>1</v>
      </c>
      <c r="C3136">
        <v>3</v>
      </c>
      <c r="D3136">
        <v>3</v>
      </c>
    </row>
    <row r="3137" spans="1:4" ht="15" x14ac:dyDescent="0.25">
      <c r="A3137" t="s">
        <v>9103</v>
      </c>
      <c r="B3137">
        <v>1</v>
      </c>
      <c r="C3137">
        <v>3</v>
      </c>
      <c r="D3137">
        <v>3</v>
      </c>
    </row>
    <row r="3138" spans="1:4" ht="15" x14ac:dyDescent="0.25">
      <c r="A3138" t="s">
        <v>9104</v>
      </c>
      <c r="B3138">
        <v>1</v>
      </c>
      <c r="C3138">
        <v>3</v>
      </c>
      <c r="D3138">
        <v>3</v>
      </c>
    </row>
    <row r="3139" spans="1:4" ht="15" x14ac:dyDescent="0.25">
      <c r="A3139" t="s">
        <v>9108</v>
      </c>
      <c r="B3139">
        <v>17</v>
      </c>
      <c r="C3139">
        <v>1044</v>
      </c>
      <c r="D3139">
        <v>61.411764705882355</v>
      </c>
    </row>
    <row r="3140" spans="1:4" ht="15" x14ac:dyDescent="0.25">
      <c r="A3140" t="s">
        <v>9107</v>
      </c>
      <c r="B3140">
        <v>1</v>
      </c>
      <c r="C3140">
        <v>86</v>
      </c>
      <c r="D3140">
        <v>86</v>
      </c>
    </row>
    <row r="3141" spans="1:4" ht="15" x14ac:dyDescent="0.25">
      <c r="A3141" t="s">
        <v>9112</v>
      </c>
      <c r="B3141">
        <v>7</v>
      </c>
      <c r="C3141">
        <v>781</v>
      </c>
      <c r="D3141">
        <v>111.57142857142857</v>
      </c>
    </row>
    <row r="3142" spans="1:4" ht="15" x14ac:dyDescent="0.25">
      <c r="A3142" t="s">
        <v>9114</v>
      </c>
      <c r="B3142">
        <v>1</v>
      </c>
      <c r="C3142">
        <v>11</v>
      </c>
      <c r="D3142">
        <v>11</v>
      </c>
    </row>
    <row r="3143" spans="1:4" ht="15" x14ac:dyDescent="0.25">
      <c r="A3143" t="s">
        <v>9113</v>
      </c>
      <c r="B3143">
        <v>5</v>
      </c>
      <c r="C3143">
        <v>51</v>
      </c>
      <c r="D3143">
        <v>10.199999999999999</v>
      </c>
    </row>
    <row r="3144" spans="1:4" ht="15" x14ac:dyDescent="0.25">
      <c r="A3144" t="s">
        <v>9119</v>
      </c>
      <c r="B3144">
        <v>1</v>
      </c>
      <c r="C3144">
        <v>83</v>
      </c>
      <c r="D3144">
        <v>83</v>
      </c>
    </row>
    <row r="3145" spans="1:4" ht="15" x14ac:dyDescent="0.25">
      <c r="A3145" t="s">
        <v>9120</v>
      </c>
      <c r="B3145">
        <v>2</v>
      </c>
      <c r="C3145">
        <v>133</v>
      </c>
      <c r="D3145">
        <v>66.5</v>
      </c>
    </row>
    <row r="3146" spans="1:4" ht="15" x14ac:dyDescent="0.25">
      <c r="A3146" t="s">
        <v>9121</v>
      </c>
      <c r="B3146">
        <v>1</v>
      </c>
      <c r="C3146">
        <v>83</v>
      </c>
      <c r="D3146">
        <v>83</v>
      </c>
    </row>
    <row r="3147" spans="1:4" ht="15" x14ac:dyDescent="0.25">
      <c r="A3147" t="s">
        <v>9125</v>
      </c>
      <c r="B3147">
        <v>3</v>
      </c>
      <c r="C3147">
        <v>43</v>
      </c>
      <c r="D3147">
        <v>14.333333333333334</v>
      </c>
    </row>
    <row r="3148" spans="1:4" ht="15" x14ac:dyDescent="0.25">
      <c r="A3148" t="s">
        <v>9124</v>
      </c>
      <c r="B3148">
        <v>1</v>
      </c>
      <c r="C3148">
        <v>13</v>
      </c>
      <c r="D3148">
        <v>13</v>
      </c>
    </row>
    <row r="3149" spans="1:4" ht="15" x14ac:dyDescent="0.25">
      <c r="A3149" t="s">
        <v>9131</v>
      </c>
      <c r="B3149">
        <v>3</v>
      </c>
      <c r="C3149">
        <v>125</v>
      </c>
      <c r="D3149">
        <v>41.666666666666664</v>
      </c>
    </row>
    <row r="3150" spans="1:4" ht="15" x14ac:dyDescent="0.25">
      <c r="A3150" t="s">
        <v>9130</v>
      </c>
      <c r="B3150">
        <v>1</v>
      </c>
      <c r="C3150">
        <v>33</v>
      </c>
      <c r="D3150">
        <v>33</v>
      </c>
    </row>
    <row r="3151" spans="1:4" ht="15" x14ac:dyDescent="0.25">
      <c r="A3151" t="s">
        <v>9136</v>
      </c>
      <c r="B3151">
        <v>3</v>
      </c>
      <c r="C3151">
        <v>226</v>
      </c>
      <c r="D3151">
        <v>75.333333333333329</v>
      </c>
    </row>
    <row r="3152" spans="1:4" ht="15" x14ac:dyDescent="0.25">
      <c r="A3152" t="s">
        <v>9137</v>
      </c>
      <c r="B3152">
        <v>2</v>
      </c>
      <c r="C3152">
        <v>115</v>
      </c>
      <c r="D3152">
        <v>57.5</v>
      </c>
    </row>
    <row r="3153" spans="1:4" ht="15" x14ac:dyDescent="0.25">
      <c r="A3153" t="s">
        <v>9138</v>
      </c>
      <c r="B3153">
        <v>1</v>
      </c>
      <c r="C3153">
        <v>101</v>
      </c>
      <c r="D3153">
        <v>101</v>
      </c>
    </row>
    <row r="3154" spans="1:4" ht="15" x14ac:dyDescent="0.25">
      <c r="A3154" t="s">
        <v>9144</v>
      </c>
      <c r="B3154">
        <v>8</v>
      </c>
      <c r="C3154">
        <v>882</v>
      </c>
      <c r="D3154">
        <v>110.25</v>
      </c>
    </row>
    <row r="3155" spans="1:4" ht="15" x14ac:dyDescent="0.25">
      <c r="A3155" t="s">
        <v>9146</v>
      </c>
      <c r="B3155">
        <v>1</v>
      </c>
      <c r="C3155">
        <v>77</v>
      </c>
      <c r="D3155">
        <v>77</v>
      </c>
    </row>
    <row r="3156" spans="1:4" ht="15" x14ac:dyDescent="0.25">
      <c r="A3156" t="s">
        <v>9145</v>
      </c>
      <c r="B3156">
        <v>1</v>
      </c>
      <c r="C3156">
        <v>77</v>
      </c>
      <c r="D3156">
        <v>77</v>
      </c>
    </row>
    <row r="3157" spans="1:4" ht="15" x14ac:dyDescent="0.25">
      <c r="A3157" t="s">
        <v>2917</v>
      </c>
      <c r="B3157">
        <v>3</v>
      </c>
      <c r="C3157">
        <v>374</v>
      </c>
      <c r="D3157">
        <v>124.66666666666667</v>
      </c>
    </row>
    <row r="3158" spans="1:4" ht="15" x14ac:dyDescent="0.25">
      <c r="A3158" t="s">
        <v>9149</v>
      </c>
      <c r="B3158">
        <v>1</v>
      </c>
      <c r="C3158">
        <v>175</v>
      </c>
      <c r="D3158">
        <v>175</v>
      </c>
    </row>
    <row r="3159" spans="1:4" ht="15" x14ac:dyDescent="0.25">
      <c r="A3159" t="s">
        <v>9150</v>
      </c>
      <c r="B3159">
        <v>1</v>
      </c>
      <c r="C3159">
        <v>175</v>
      </c>
      <c r="D3159">
        <v>175</v>
      </c>
    </row>
    <row r="3160" spans="1:4" ht="15" x14ac:dyDescent="0.25">
      <c r="A3160" t="s">
        <v>9154</v>
      </c>
      <c r="B3160">
        <v>2</v>
      </c>
      <c r="C3160">
        <v>80</v>
      </c>
      <c r="D3160">
        <v>40</v>
      </c>
    </row>
    <row r="3161" spans="1:4" ht="15" x14ac:dyDescent="0.25">
      <c r="A3161" t="s">
        <v>9158</v>
      </c>
      <c r="B3161">
        <v>1</v>
      </c>
      <c r="C3161">
        <v>25</v>
      </c>
      <c r="D3161">
        <v>25</v>
      </c>
    </row>
    <row r="3162" spans="1:4" ht="15" x14ac:dyDescent="0.25">
      <c r="A3162" t="s">
        <v>9162</v>
      </c>
      <c r="B3162">
        <v>1</v>
      </c>
      <c r="C3162">
        <v>19</v>
      </c>
      <c r="D3162">
        <v>19</v>
      </c>
    </row>
    <row r="3163" spans="1:4" ht="15" x14ac:dyDescent="0.25">
      <c r="A3163" t="s">
        <v>9163</v>
      </c>
      <c r="B3163">
        <v>3</v>
      </c>
      <c r="C3163">
        <v>93</v>
      </c>
      <c r="D3163">
        <v>31</v>
      </c>
    </row>
    <row r="3164" spans="1:4" ht="15" x14ac:dyDescent="0.25">
      <c r="A3164" t="s">
        <v>9164</v>
      </c>
      <c r="B3164">
        <v>1</v>
      </c>
      <c r="C3164">
        <v>19</v>
      </c>
      <c r="D3164">
        <v>19</v>
      </c>
    </row>
    <row r="3165" spans="1:4" ht="15" x14ac:dyDescent="0.25">
      <c r="A3165" t="s">
        <v>9165</v>
      </c>
      <c r="B3165">
        <v>1</v>
      </c>
      <c r="C3165">
        <v>19</v>
      </c>
      <c r="D3165">
        <v>19</v>
      </c>
    </row>
    <row r="3166" spans="1:4" ht="15" x14ac:dyDescent="0.25">
      <c r="A3166" t="s">
        <v>9170</v>
      </c>
      <c r="B3166">
        <v>1</v>
      </c>
      <c r="C3166">
        <v>12</v>
      </c>
      <c r="D3166">
        <v>12</v>
      </c>
    </row>
    <row r="3167" spans="1:4" ht="15" x14ac:dyDescent="0.25">
      <c r="A3167" t="s">
        <v>9171</v>
      </c>
      <c r="B3167">
        <v>2</v>
      </c>
      <c r="C3167">
        <v>16</v>
      </c>
      <c r="D3167">
        <v>8</v>
      </c>
    </row>
    <row r="3168" spans="1:4" ht="15" x14ac:dyDescent="0.25">
      <c r="A3168" t="s">
        <v>9176</v>
      </c>
      <c r="B3168">
        <v>1</v>
      </c>
      <c r="C3168">
        <v>35</v>
      </c>
      <c r="D3168">
        <v>35</v>
      </c>
    </row>
    <row r="3169" spans="1:4" ht="15" x14ac:dyDescent="0.25">
      <c r="A3169" t="s">
        <v>9177</v>
      </c>
      <c r="B3169">
        <v>1</v>
      </c>
      <c r="C3169">
        <v>35</v>
      </c>
      <c r="D3169">
        <v>35</v>
      </c>
    </row>
    <row r="3170" spans="1:4" ht="15" x14ac:dyDescent="0.25">
      <c r="A3170" t="s">
        <v>9175</v>
      </c>
      <c r="B3170">
        <v>4</v>
      </c>
      <c r="C3170">
        <v>134</v>
      </c>
      <c r="D3170">
        <v>33.5</v>
      </c>
    </row>
    <row r="3171" spans="1:4" ht="15" x14ac:dyDescent="0.25">
      <c r="A3171" t="s">
        <v>9182</v>
      </c>
      <c r="B3171">
        <v>3</v>
      </c>
      <c r="C3171">
        <v>167</v>
      </c>
      <c r="D3171">
        <v>55.666666666666664</v>
      </c>
    </row>
    <row r="3172" spans="1:4" ht="15" x14ac:dyDescent="0.25">
      <c r="A3172" t="s">
        <v>9183</v>
      </c>
      <c r="B3172">
        <v>4</v>
      </c>
      <c r="C3172">
        <v>289</v>
      </c>
      <c r="D3172">
        <v>72.25</v>
      </c>
    </row>
    <row r="3173" spans="1:4" ht="15" x14ac:dyDescent="0.25">
      <c r="A3173" t="s">
        <v>9187</v>
      </c>
      <c r="B3173">
        <v>1</v>
      </c>
      <c r="C3173">
        <v>61</v>
      </c>
      <c r="D3173">
        <v>61</v>
      </c>
    </row>
    <row r="3174" spans="1:4" ht="15" x14ac:dyDescent="0.25">
      <c r="A3174" t="s">
        <v>9188</v>
      </c>
      <c r="B3174">
        <v>1</v>
      </c>
      <c r="C3174">
        <v>61</v>
      </c>
      <c r="D3174">
        <v>61</v>
      </c>
    </row>
    <row r="3175" spans="1:4" ht="15" x14ac:dyDescent="0.25">
      <c r="A3175" t="s">
        <v>9189</v>
      </c>
      <c r="B3175">
        <v>2</v>
      </c>
      <c r="C3175">
        <v>99</v>
      </c>
      <c r="D3175">
        <v>49.5</v>
      </c>
    </row>
    <row r="3176" spans="1:4" ht="15" x14ac:dyDescent="0.25">
      <c r="A3176" t="s">
        <v>9184</v>
      </c>
      <c r="B3176">
        <v>1</v>
      </c>
      <c r="C3176">
        <v>61</v>
      </c>
      <c r="D3176">
        <v>61</v>
      </c>
    </row>
    <row r="3177" spans="1:4" ht="15" x14ac:dyDescent="0.25">
      <c r="A3177" t="s">
        <v>9193</v>
      </c>
      <c r="B3177">
        <v>2</v>
      </c>
      <c r="C3177">
        <v>10</v>
      </c>
      <c r="D3177">
        <v>5</v>
      </c>
    </row>
    <row r="3178" spans="1:4" ht="15" x14ac:dyDescent="0.25">
      <c r="A3178" t="s">
        <v>9195</v>
      </c>
      <c r="B3178">
        <v>3</v>
      </c>
      <c r="C3178">
        <v>41</v>
      </c>
      <c r="D3178">
        <v>13.666666666666666</v>
      </c>
    </row>
    <row r="3179" spans="1:4" ht="15" x14ac:dyDescent="0.25">
      <c r="A3179" t="s">
        <v>9194</v>
      </c>
      <c r="B3179">
        <v>4</v>
      </c>
      <c r="C3179">
        <v>34</v>
      </c>
      <c r="D3179">
        <v>8.5</v>
      </c>
    </row>
    <row r="3180" spans="1:4" ht="15" x14ac:dyDescent="0.25">
      <c r="A3180" t="s">
        <v>9199</v>
      </c>
      <c r="B3180">
        <v>1</v>
      </c>
      <c r="C3180">
        <v>137</v>
      </c>
      <c r="D3180">
        <v>137</v>
      </c>
    </row>
    <row r="3181" spans="1:4" ht="15" x14ac:dyDescent="0.25">
      <c r="A3181" t="s">
        <v>9206</v>
      </c>
      <c r="B3181">
        <v>1</v>
      </c>
      <c r="C3181">
        <v>84</v>
      </c>
      <c r="D3181">
        <v>84</v>
      </c>
    </row>
    <row r="3182" spans="1:4" ht="15" x14ac:dyDescent="0.25">
      <c r="A3182" t="s">
        <v>9212</v>
      </c>
      <c r="B3182">
        <v>1</v>
      </c>
      <c r="C3182">
        <v>92</v>
      </c>
      <c r="D3182">
        <v>92</v>
      </c>
    </row>
    <row r="3183" spans="1:4" ht="15" x14ac:dyDescent="0.25">
      <c r="A3183" t="s">
        <v>9217</v>
      </c>
      <c r="B3183">
        <v>1</v>
      </c>
      <c r="C3183">
        <v>51</v>
      </c>
      <c r="D3183">
        <v>51</v>
      </c>
    </row>
    <row r="3184" spans="1:4" ht="15" x14ac:dyDescent="0.25">
      <c r="A3184" t="s">
        <v>9218</v>
      </c>
      <c r="B3184">
        <v>1</v>
      </c>
      <c r="C3184">
        <v>51</v>
      </c>
      <c r="D3184">
        <v>51</v>
      </c>
    </row>
    <row r="3185" spans="1:4" ht="15" x14ac:dyDescent="0.25">
      <c r="A3185" t="s">
        <v>9224</v>
      </c>
      <c r="B3185">
        <v>5</v>
      </c>
      <c r="C3185">
        <v>131</v>
      </c>
      <c r="D3185">
        <v>26.2</v>
      </c>
    </row>
    <row r="3186" spans="1:4" ht="15" x14ac:dyDescent="0.25">
      <c r="A3186" t="s">
        <v>9223</v>
      </c>
      <c r="B3186">
        <v>1</v>
      </c>
      <c r="C3186">
        <v>46</v>
      </c>
      <c r="D3186">
        <v>46</v>
      </c>
    </row>
    <row r="3187" spans="1:4" ht="15" x14ac:dyDescent="0.25">
      <c r="A3187" t="s">
        <v>9228</v>
      </c>
      <c r="B3187">
        <v>1</v>
      </c>
      <c r="C3187">
        <v>29</v>
      </c>
      <c r="D3187">
        <v>29</v>
      </c>
    </row>
    <row r="3188" spans="1:4" ht="15" x14ac:dyDescent="0.25">
      <c r="A3188" t="s">
        <v>9230</v>
      </c>
      <c r="B3188">
        <v>1</v>
      </c>
      <c r="C3188">
        <v>29</v>
      </c>
      <c r="D3188">
        <v>29</v>
      </c>
    </row>
    <row r="3189" spans="1:4" ht="15" x14ac:dyDescent="0.25">
      <c r="A3189" t="s">
        <v>9229</v>
      </c>
      <c r="B3189">
        <v>1</v>
      </c>
      <c r="C3189">
        <v>29</v>
      </c>
      <c r="D3189">
        <v>29</v>
      </c>
    </row>
    <row r="3190" spans="1:4" ht="15" x14ac:dyDescent="0.25">
      <c r="A3190" t="s">
        <v>9234</v>
      </c>
      <c r="B3190">
        <v>1</v>
      </c>
      <c r="C3190">
        <v>100</v>
      </c>
      <c r="D3190">
        <v>100</v>
      </c>
    </row>
    <row r="3191" spans="1:4" ht="15" x14ac:dyDescent="0.25">
      <c r="A3191" t="s">
        <v>9236</v>
      </c>
      <c r="B3191">
        <v>1</v>
      </c>
      <c r="C3191">
        <v>100</v>
      </c>
      <c r="D3191">
        <v>100</v>
      </c>
    </row>
    <row r="3192" spans="1:4" ht="15" x14ac:dyDescent="0.25">
      <c r="A3192" t="s">
        <v>9235</v>
      </c>
      <c r="B3192">
        <v>1</v>
      </c>
      <c r="C3192">
        <v>100</v>
      </c>
      <c r="D3192">
        <v>100</v>
      </c>
    </row>
    <row r="3193" spans="1:4" ht="15" x14ac:dyDescent="0.25">
      <c r="A3193" t="s">
        <v>9240</v>
      </c>
      <c r="B3193">
        <v>10</v>
      </c>
      <c r="C3193">
        <v>186</v>
      </c>
      <c r="D3193">
        <v>18.600000000000001</v>
      </c>
    </row>
    <row r="3194" spans="1:4" ht="15" x14ac:dyDescent="0.25">
      <c r="A3194" t="s">
        <v>9241</v>
      </c>
      <c r="B3194">
        <v>1</v>
      </c>
      <c r="C3194">
        <v>5</v>
      </c>
      <c r="D3194">
        <v>5</v>
      </c>
    </row>
    <row r="3195" spans="1:4" ht="15" x14ac:dyDescent="0.25">
      <c r="A3195" t="s">
        <v>9243</v>
      </c>
      <c r="B3195">
        <v>2</v>
      </c>
      <c r="C3195">
        <v>43</v>
      </c>
      <c r="D3195">
        <v>21.5</v>
      </c>
    </row>
    <row r="3196" spans="1:4" ht="15" x14ac:dyDescent="0.25">
      <c r="A3196" t="s">
        <v>9244</v>
      </c>
      <c r="B3196">
        <v>1</v>
      </c>
      <c r="C3196">
        <v>5</v>
      </c>
      <c r="D3196">
        <v>5</v>
      </c>
    </row>
    <row r="3197" spans="1:4" ht="15" x14ac:dyDescent="0.25">
      <c r="A3197" t="s">
        <v>9242</v>
      </c>
      <c r="B3197">
        <v>1</v>
      </c>
      <c r="C3197">
        <v>5</v>
      </c>
      <c r="D3197">
        <v>5</v>
      </c>
    </row>
    <row r="3198" spans="1:4" ht="15" x14ac:dyDescent="0.25">
      <c r="A3198" t="s">
        <v>9248</v>
      </c>
      <c r="B3198">
        <v>2</v>
      </c>
      <c r="C3198">
        <v>48</v>
      </c>
      <c r="D3198">
        <v>24</v>
      </c>
    </row>
    <row r="3199" spans="1:4" ht="15" x14ac:dyDescent="0.25">
      <c r="A3199" t="s">
        <v>9249</v>
      </c>
      <c r="B3199">
        <v>1</v>
      </c>
      <c r="C3199">
        <v>37</v>
      </c>
      <c r="D3199">
        <v>37</v>
      </c>
    </row>
    <row r="3200" spans="1:4" ht="15" x14ac:dyDescent="0.25">
      <c r="A3200" t="s">
        <v>9251</v>
      </c>
      <c r="B3200">
        <v>1</v>
      </c>
      <c r="C3200">
        <v>37</v>
      </c>
      <c r="D3200">
        <v>37</v>
      </c>
    </row>
    <row r="3201" spans="1:4" ht="15" x14ac:dyDescent="0.25">
      <c r="A3201" t="s">
        <v>9250</v>
      </c>
      <c r="B3201">
        <v>2</v>
      </c>
      <c r="C3201">
        <v>190</v>
      </c>
      <c r="D3201">
        <v>95</v>
      </c>
    </row>
    <row r="3202" spans="1:4" ht="15" x14ac:dyDescent="0.25">
      <c r="A3202" t="s">
        <v>9255</v>
      </c>
      <c r="B3202">
        <v>1</v>
      </c>
      <c r="C3202">
        <v>84</v>
      </c>
      <c r="D3202">
        <v>84</v>
      </c>
    </row>
    <row r="3203" spans="1:4" ht="15" x14ac:dyDescent="0.25">
      <c r="A3203" t="s">
        <v>9256</v>
      </c>
      <c r="B3203">
        <v>1</v>
      </c>
      <c r="C3203">
        <v>84</v>
      </c>
      <c r="D3203">
        <v>84</v>
      </c>
    </row>
    <row r="3204" spans="1:4" ht="15" x14ac:dyDescent="0.25">
      <c r="A3204" t="s">
        <v>9257</v>
      </c>
      <c r="B3204">
        <v>1</v>
      </c>
      <c r="C3204">
        <v>84</v>
      </c>
      <c r="D3204">
        <v>84</v>
      </c>
    </row>
    <row r="3205" spans="1:4" ht="15" x14ac:dyDescent="0.25">
      <c r="A3205" t="s">
        <v>9260</v>
      </c>
      <c r="B3205">
        <v>1</v>
      </c>
      <c r="C3205">
        <v>17</v>
      </c>
      <c r="D3205">
        <v>17</v>
      </c>
    </row>
    <row r="3206" spans="1:4" ht="15" x14ac:dyDescent="0.25">
      <c r="A3206" t="s">
        <v>9264</v>
      </c>
      <c r="B3206">
        <v>1</v>
      </c>
      <c r="C3206">
        <v>19</v>
      </c>
      <c r="D3206">
        <v>19</v>
      </c>
    </row>
    <row r="3207" spans="1:4" ht="15" x14ac:dyDescent="0.25">
      <c r="A3207" t="s">
        <v>9266</v>
      </c>
      <c r="B3207">
        <v>1</v>
      </c>
      <c r="C3207">
        <v>19</v>
      </c>
      <c r="D3207">
        <v>19</v>
      </c>
    </row>
    <row r="3208" spans="1:4" ht="15" x14ac:dyDescent="0.25">
      <c r="A3208" t="s">
        <v>9267</v>
      </c>
      <c r="B3208">
        <v>1</v>
      </c>
      <c r="C3208">
        <v>19</v>
      </c>
      <c r="D3208">
        <v>19</v>
      </c>
    </row>
    <row r="3209" spans="1:4" ht="15" x14ac:dyDescent="0.25">
      <c r="A3209" t="s">
        <v>9265</v>
      </c>
      <c r="B3209">
        <v>3</v>
      </c>
      <c r="C3209">
        <v>62</v>
      </c>
      <c r="D3209">
        <v>20.666666666666668</v>
      </c>
    </row>
    <row r="3210" spans="1:4" ht="15" x14ac:dyDescent="0.25">
      <c r="A3210" t="s">
        <v>9275</v>
      </c>
      <c r="B3210">
        <v>5</v>
      </c>
      <c r="C3210">
        <v>358</v>
      </c>
      <c r="D3210">
        <v>71.599999999999994</v>
      </c>
    </row>
    <row r="3211" spans="1:4" ht="15" x14ac:dyDescent="0.25">
      <c r="A3211" t="s">
        <v>9276</v>
      </c>
      <c r="B3211">
        <v>1</v>
      </c>
      <c r="C3211">
        <v>19</v>
      </c>
      <c r="D3211">
        <v>19</v>
      </c>
    </row>
    <row r="3212" spans="1:4" ht="15" x14ac:dyDescent="0.25">
      <c r="A3212" t="s">
        <v>9274</v>
      </c>
      <c r="B3212">
        <v>1</v>
      </c>
      <c r="C3212">
        <v>19</v>
      </c>
      <c r="D3212">
        <v>19</v>
      </c>
    </row>
    <row r="3213" spans="1:4" ht="15" x14ac:dyDescent="0.25">
      <c r="A3213" t="s">
        <v>9279</v>
      </c>
      <c r="B3213">
        <v>4</v>
      </c>
      <c r="C3213">
        <v>382</v>
      </c>
      <c r="D3213">
        <v>95.5</v>
      </c>
    </row>
    <row r="3214" spans="1:4" ht="15" x14ac:dyDescent="0.25">
      <c r="A3214" t="s">
        <v>9280</v>
      </c>
      <c r="B3214">
        <v>6</v>
      </c>
      <c r="C3214">
        <v>523</v>
      </c>
      <c r="D3214">
        <v>87.166666666666671</v>
      </c>
    </row>
    <row r="3215" spans="1:4" ht="15" x14ac:dyDescent="0.25">
      <c r="A3215" t="s">
        <v>9285</v>
      </c>
      <c r="B3215">
        <v>1</v>
      </c>
      <c r="C3215">
        <v>33</v>
      </c>
      <c r="D3215">
        <v>33</v>
      </c>
    </row>
    <row r="3216" spans="1:4" ht="15" x14ac:dyDescent="0.25">
      <c r="A3216" t="s">
        <v>9286</v>
      </c>
      <c r="B3216">
        <v>1</v>
      </c>
      <c r="C3216">
        <v>33</v>
      </c>
      <c r="D3216">
        <v>33</v>
      </c>
    </row>
    <row r="3217" spans="1:4" ht="15" x14ac:dyDescent="0.25">
      <c r="A3217" t="s">
        <v>9288</v>
      </c>
      <c r="B3217">
        <v>1</v>
      </c>
      <c r="C3217">
        <v>33</v>
      </c>
      <c r="D3217">
        <v>33</v>
      </c>
    </row>
    <row r="3218" spans="1:4" ht="15" x14ac:dyDescent="0.25">
      <c r="A3218" t="s">
        <v>9289</v>
      </c>
      <c r="B3218">
        <v>1</v>
      </c>
      <c r="C3218">
        <v>33</v>
      </c>
      <c r="D3218">
        <v>33</v>
      </c>
    </row>
    <row r="3219" spans="1:4" ht="15" x14ac:dyDescent="0.25">
      <c r="A3219" t="s">
        <v>9287</v>
      </c>
      <c r="B3219">
        <v>1</v>
      </c>
      <c r="C3219">
        <v>33</v>
      </c>
      <c r="D3219">
        <v>33</v>
      </c>
    </row>
    <row r="3220" spans="1:4" ht="15" x14ac:dyDescent="0.25">
      <c r="A3220" t="s">
        <v>9292</v>
      </c>
      <c r="B3220">
        <v>1</v>
      </c>
      <c r="C3220">
        <v>20</v>
      </c>
      <c r="D3220">
        <v>20</v>
      </c>
    </row>
    <row r="3221" spans="1:4" ht="15" x14ac:dyDescent="0.25">
      <c r="A3221" t="s">
        <v>9296</v>
      </c>
      <c r="B3221">
        <v>3</v>
      </c>
      <c r="C3221">
        <v>120</v>
      </c>
      <c r="D3221">
        <v>40</v>
      </c>
    </row>
    <row r="3222" spans="1:4" ht="15" x14ac:dyDescent="0.25">
      <c r="A3222" t="s">
        <v>9300</v>
      </c>
      <c r="B3222">
        <v>2</v>
      </c>
      <c r="C3222">
        <v>40</v>
      </c>
      <c r="D3222">
        <v>20</v>
      </c>
    </row>
    <row r="3223" spans="1:4" ht="15" x14ac:dyDescent="0.25">
      <c r="A3223" t="s">
        <v>9299</v>
      </c>
      <c r="B3223">
        <v>2</v>
      </c>
      <c r="C3223">
        <v>110</v>
      </c>
      <c r="D3223">
        <v>55</v>
      </c>
    </row>
    <row r="3224" spans="1:4" ht="15" x14ac:dyDescent="0.25">
      <c r="A3224" t="s">
        <v>9303</v>
      </c>
      <c r="B3224">
        <v>1</v>
      </c>
      <c r="C3224">
        <v>32</v>
      </c>
      <c r="D3224">
        <v>32</v>
      </c>
    </row>
    <row r="3225" spans="1:4" ht="15" x14ac:dyDescent="0.25">
      <c r="A3225" t="s">
        <v>9307</v>
      </c>
      <c r="B3225">
        <v>2</v>
      </c>
      <c r="C3225">
        <v>65</v>
      </c>
      <c r="D3225">
        <v>32.5</v>
      </c>
    </row>
    <row r="3226" spans="1:4" ht="15" x14ac:dyDescent="0.25">
      <c r="A3226" t="s">
        <v>9308</v>
      </c>
      <c r="B3226">
        <v>4</v>
      </c>
      <c r="C3226">
        <v>292</v>
      </c>
      <c r="D3226">
        <v>73</v>
      </c>
    </row>
    <row r="3227" spans="1:4" ht="15" x14ac:dyDescent="0.25">
      <c r="A3227" t="s">
        <v>9309</v>
      </c>
      <c r="B3227">
        <v>7</v>
      </c>
      <c r="C3227">
        <v>172</v>
      </c>
      <c r="D3227">
        <v>24.571428571428573</v>
      </c>
    </row>
    <row r="3228" spans="1:4" ht="15" x14ac:dyDescent="0.25">
      <c r="A3228" t="s">
        <v>9313</v>
      </c>
      <c r="B3228">
        <v>9</v>
      </c>
      <c r="C3228">
        <v>449</v>
      </c>
      <c r="D3228">
        <v>49.888888888888886</v>
      </c>
    </row>
    <row r="3229" spans="1:4" ht="15" x14ac:dyDescent="0.25">
      <c r="A3229" t="s">
        <v>9314</v>
      </c>
      <c r="B3229">
        <v>1</v>
      </c>
      <c r="C3229">
        <v>34</v>
      </c>
      <c r="D3229">
        <v>34</v>
      </c>
    </row>
    <row r="3230" spans="1:4" ht="15" x14ac:dyDescent="0.25">
      <c r="A3230" t="s">
        <v>9318</v>
      </c>
      <c r="B3230">
        <v>1</v>
      </c>
      <c r="C3230">
        <v>53</v>
      </c>
      <c r="D3230">
        <v>53</v>
      </c>
    </row>
    <row r="3231" spans="1:4" ht="15" x14ac:dyDescent="0.25">
      <c r="A3231" t="s">
        <v>9319</v>
      </c>
      <c r="B3231">
        <v>1</v>
      </c>
      <c r="C3231">
        <v>53</v>
      </c>
      <c r="D3231">
        <v>53</v>
      </c>
    </row>
    <row r="3232" spans="1:4" ht="15" x14ac:dyDescent="0.25">
      <c r="A3232" t="s">
        <v>9320</v>
      </c>
      <c r="B3232">
        <v>1</v>
      </c>
      <c r="C3232">
        <v>53</v>
      </c>
      <c r="D3232">
        <v>53</v>
      </c>
    </row>
    <row r="3233" spans="1:4" ht="15" x14ac:dyDescent="0.25">
      <c r="A3233" t="s">
        <v>9324</v>
      </c>
      <c r="B3233">
        <v>1</v>
      </c>
      <c r="C3233">
        <v>63</v>
      </c>
      <c r="D3233">
        <v>63</v>
      </c>
    </row>
    <row r="3234" spans="1:4" ht="15" x14ac:dyDescent="0.25">
      <c r="A3234" t="s">
        <v>9325</v>
      </c>
      <c r="B3234">
        <v>1</v>
      </c>
      <c r="C3234">
        <v>63</v>
      </c>
      <c r="D3234">
        <v>63</v>
      </c>
    </row>
    <row r="3235" spans="1:4" ht="15" x14ac:dyDescent="0.25">
      <c r="A3235" t="s">
        <v>9327</v>
      </c>
      <c r="B3235">
        <v>1</v>
      </c>
      <c r="C3235">
        <v>63</v>
      </c>
      <c r="D3235">
        <v>63</v>
      </c>
    </row>
    <row r="3236" spans="1:4" ht="15" x14ac:dyDescent="0.25">
      <c r="A3236" t="s">
        <v>9328</v>
      </c>
      <c r="B3236">
        <v>1</v>
      </c>
      <c r="C3236">
        <v>63</v>
      </c>
      <c r="D3236">
        <v>63</v>
      </c>
    </row>
    <row r="3237" spans="1:4" ht="15" x14ac:dyDescent="0.25">
      <c r="A3237" t="s">
        <v>9326</v>
      </c>
      <c r="B3237">
        <v>1</v>
      </c>
      <c r="C3237">
        <v>63</v>
      </c>
      <c r="D3237">
        <v>63</v>
      </c>
    </row>
    <row r="3238" spans="1:4" ht="15" x14ac:dyDescent="0.25">
      <c r="A3238" t="s">
        <v>9333</v>
      </c>
      <c r="B3238">
        <v>1</v>
      </c>
      <c r="C3238">
        <v>123</v>
      </c>
      <c r="D3238">
        <v>123</v>
      </c>
    </row>
    <row r="3239" spans="1:4" ht="15" x14ac:dyDescent="0.25">
      <c r="A3239" t="s">
        <v>9332</v>
      </c>
      <c r="B3239">
        <v>1</v>
      </c>
      <c r="C3239">
        <v>123</v>
      </c>
      <c r="D3239">
        <v>123</v>
      </c>
    </row>
    <row r="3240" spans="1:4" ht="15" x14ac:dyDescent="0.25">
      <c r="A3240" t="s">
        <v>9336</v>
      </c>
      <c r="B3240">
        <v>2</v>
      </c>
      <c r="C3240">
        <v>1391</v>
      </c>
      <c r="D3240">
        <v>695.5</v>
      </c>
    </row>
    <row r="3241" spans="1:4" ht="15" x14ac:dyDescent="0.25">
      <c r="A3241" t="s">
        <v>9337</v>
      </c>
      <c r="B3241">
        <v>2</v>
      </c>
      <c r="C3241">
        <v>2911</v>
      </c>
      <c r="D3241">
        <v>1455.5</v>
      </c>
    </row>
    <row r="3242" spans="1:4" ht="15" x14ac:dyDescent="0.25">
      <c r="A3242" t="s">
        <v>9339</v>
      </c>
      <c r="B3242">
        <v>1</v>
      </c>
      <c r="C3242">
        <v>1228</v>
      </c>
      <c r="D3242">
        <v>1228</v>
      </c>
    </row>
    <row r="3243" spans="1:4" ht="15" x14ac:dyDescent="0.25">
      <c r="A3243" t="s">
        <v>9338</v>
      </c>
      <c r="B3243">
        <v>2</v>
      </c>
      <c r="C3243">
        <v>1240</v>
      </c>
      <c r="D3243">
        <v>620</v>
      </c>
    </row>
    <row r="3244" spans="1:4" ht="15" x14ac:dyDescent="0.25">
      <c r="A3244" t="s">
        <v>9342</v>
      </c>
      <c r="B3244">
        <v>1</v>
      </c>
      <c r="C3244">
        <v>21</v>
      </c>
      <c r="D3244">
        <v>21</v>
      </c>
    </row>
    <row r="3245" spans="1:4" ht="15" x14ac:dyDescent="0.25">
      <c r="A3245" t="s">
        <v>9343</v>
      </c>
      <c r="B3245">
        <v>1</v>
      </c>
      <c r="C3245">
        <v>21</v>
      </c>
      <c r="D3245">
        <v>21</v>
      </c>
    </row>
    <row r="3246" spans="1:4" ht="15" x14ac:dyDescent="0.25">
      <c r="A3246" t="s">
        <v>9345</v>
      </c>
      <c r="B3246">
        <v>1</v>
      </c>
      <c r="C3246">
        <v>21</v>
      </c>
      <c r="D3246">
        <v>21</v>
      </c>
    </row>
    <row r="3247" spans="1:4" ht="15" x14ac:dyDescent="0.25">
      <c r="A3247" t="s">
        <v>9344</v>
      </c>
      <c r="B3247">
        <v>1</v>
      </c>
      <c r="C3247">
        <v>21</v>
      </c>
      <c r="D3247">
        <v>21</v>
      </c>
    </row>
    <row r="3248" spans="1:4" ht="15" x14ac:dyDescent="0.25">
      <c r="A3248" t="s">
        <v>9349</v>
      </c>
      <c r="B3248">
        <v>1</v>
      </c>
      <c r="C3248">
        <v>520</v>
      </c>
      <c r="D3248">
        <v>520</v>
      </c>
    </row>
    <row r="3249" spans="1:4" ht="15" x14ac:dyDescent="0.25">
      <c r="A3249" t="s">
        <v>9353</v>
      </c>
      <c r="B3249">
        <v>2</v>
      </c>
      <c r="C3249">
        <v>140</v>
      </c>
      <c r="D3249">
        <v>70</v>
      </c>
    </row>
    <row r="3250" spans="1:4" ht="15" x14ac:dyDescent="0.25">
      <c r="A3250" t="s">
        <v>9360</v>
      </c>
      <c r="B3250">
        <v>1</v>
      </c>
      <c r="C3250">
        <v>43</v>
      </c>
      <c r="D3250">
        <v>43</v>
      </c>
    </row>
    <row r="3251" spans="1:4" ht="15" x14ac:dyDescent="0.25">
      <c r="A3251" t="s">
        <v>9361</v>
      </c>
      <c r="B3251">
        <v>1</v>
      </c>
      <c r="C3251">
        <v>43</v>
      </c>
      <c r="D3251">
        <v>43</v>
      </c>
    </row>
    <row r="3252" spans="1:4" ht="15" x14ac:dyDescent="0.25">
      <c r="A3252" t="s">
        <v>9359</v>
      </c>
      <c r="B3252">
        <v>1</v>
      </c>
      <c r="C3252">
        <v>43</v>
      </c>
      <c r="D3252">
        <v>43</v>
      </c>
    </row>
    <row r="3253" spans="1:4" ht="15" x14ac:dyDescent="0.25">
      <c r="A3253" t="s">
        <v>9365</v>
      </c>
      <c r="B3253">
        <v>1</v>
      </c>
      <c r="C3253">
        <v>114</v>
      </c>
      <c r="D3253">
        <v>114</v>
      </c>
    </row>
    <row r="3254" spans="1:4" ht="15" x14ac:dyDescent="0.25">
      <c r="A3254" t="s">
        <v>9371</v>
      </c>
      <c r="B3254">
        <v>1</v>
      </c>
      <c r="C3254">
        <v>138</v>
      </c>
      <c r="D3254">
        <v>138</v>
      </c>
    </row>
    <row r="3255" spans="1:4" ht="15" x14ac:dyDescent="0.25">
      <c r="A3255" t="s">
        <v>9372</v>
      </c>
      <c r="B3255">
        <v>1</v>
      </c>
      <c r="C3255">
        <v>138</v>
      </c>
      <c r="D3255">
        <v>138</v>
      </c>
    </row>
    <row r="3256" spans="1:4" ht="15" x14ac:dyDescent="0.25">
      <c r="A3256" t="s">
        <v>9374</v>
      </c>
      <c r="B3256">
        <v>1</v>
      </c>
      <c r="C3256">
        <v>138</v>
      </c>
      <c r="D3256">
        <v>138</v>
      </c>
    </row>
    <row r="3257" spans="1:4" ht="15" x14ac:dyDescent="0.25">
      <c r="A3257" t="s">
        <v>9373</v>
      </c>
      <c r="B3257">
        <v>1</v>
      </c>
      <c r="C3257">
        <v>138</v>
      </c>
      <c r="D3257">
        <v>138</v>
      </c>
    </row>
    <row r="3258" spans="1:4" ht="15" x14ac:dyDescent="0.25">
      <c r="A3258" t="s">
        <v>9383</v>
      </c>
      <c r="B3258">
        <v>1</v>
      </c>
      <c r="C3258">
        <v>7</v>
      </c>
      <c r="D3258">
        <v>7</v>
      </c>
    </row>
    <row r="3259" spans="1:4" ht="15" x14ac:dyDescent="0.25">
      <c r="A3259" t="s">
        <v>9385</v>
      </c>
      <c r="B3259">
        <v>4</v>
      </c>
      <c r="C3259">
        <v>82</v>
      </c>
      <c r="D3259">
        <v>20.5</v>
      </c>
    </row>
    <row r="3260" spans="1:4" ht="15" x14ac:dyDescent="0.25">
      <c r="A3260" t="s">
        <v>9386</v>
      </c>
      <c r="B3260">
        <v>1</v>
      </c>
      <c r="C3260">
        <v>7</v>
      </c>
      <c r="D3260">
        <v>7</v>
      </c>
    </row>
    <row r="3261" spans="1:4" ht="15" x14ac:dyDescent="0.25">
      <c r="A3261" t="s">
        <v>9384</v>
      </c>
      <c r="B3261">
        <v>1</v>
      </c>
      <c r="C3261">
        <v>7</v>
      </c>
      <c r="D3261">
        <v>7</v>
      </c>
    </row>
    <row r="3262" spans="1:4" ht="15" x14ac:dyDescent="0.25">
      <c r="A3262" t="s">
        <v>9390</v>
      </c>
      <c r="B3262">
        <v>1</v>
      </c>
      <c r="C3262">
        <v>51</v>
      </c>
      <c r="D3262">
        <v>51</v>
      </c>
    </row>
    <row r="3263" spans="1:4" ht="15" x14ac:dyDescent="0.25">
      <c r="A3263" t="s">
        <v>9392</v>
      </c>
      <c r="B3263">
        <v>1</v>
      </c>
      <c r="C3263">
        <v>51</v>
      </c>
      <c r="D3263">
        <v>51</v>
      </c>
    </row>
    <row r="3264" spans="1:4" ht="15" x14ac:dyDescent="0.25">
      <c r="A3264" t="s">
        <v>9393</v>
      </c>
      <c r="B3264">
        <v>3</v>
      </c>
      <c r="C3264">
        <v>156</v>
      </c>
      <c r="D3264">
        <v>52</v>
      </c>
    </row>
    <row r="3265" spans="1:4" ht="15" x14ac:dyDescent="0.25">
      <c r="A3265" t="s">
        <v>9391</v>
      </c>
      <c r="B3265">
        <v>2</v>
      </c>
      <c r="C3265">
        <v>146</v>
      </c>
      <c r="D3265">
        <v>73</v>
      </c>
    </row>
    <row r="3266" spans="1:4" ht="15" x14ac:dyDescent="0.25">
      <c r="A3266" t="s">
        <v>9400</v>
      </c>
      <c r="B3266">
        <v>2</v>
      </c>
      <c r="C3266">
        <v>141</v>
      </c>
      <c r="D3266">
        <v>70.5</v>
      </c>
    </row>
    <row r="3267" spans="1:4" ht="15" x14ac:dyDescent="0.25">
      <c r="A3267" t="s">
        <v>9403</v>
      </c>
      <c r="B3267">
        <v>3</v>
      </c>
      <c r="C3267">
        <v>2003</v>
      </c>
      <c r="D3267">
        <v>667.66666666666663</v>
      </c>
    </row>
    <row r="3268" spans="1:4" ht="15" x14ac:dyDescent="0.25">
      <c r="A3268" t="s">
        <v>9407</v>
      </c>
      <c r="B3268">
        <v>4</v>
      </c>
      <c r="C3268">
        <v>135</v>
      </c>
      <c r="D3268">
        <v>33.75</v>
      </c>
    </row>
    <row r="3269" spans="1:4" ht="15" x14ac:dyDescent="0.25">
      <c r="A3269" t="s">
        <v>9408</v>
      </c>
      <c r="B3269">
        <v>8</v>
      </c>
      <c r="C3269">
        <v>371</v>
      </c>
      <c r="D3269">
        <v>46.375</v>
      </c>
    </row>
    <row r="3270" spans="1:4" ht="15" x14ac:dyDescent="0.25">
      <c r="A3270" t="s">
        <v>9409</v>
      </c>
      <c r="B3270">
        <v>1</v>
      </c>
      <c r="C3270">
        <v>6</v>
      </c>
      <c r="D3270">
        <v>6</v>
      </c>
    </row>
    <row r="3271" spans="1:4" ht="15" x14ac:dyDescent="0.25">
      <c r="A3271" t="s">
        <v>9413</v>
      </c>
      <c r="B3271">
        <v>1</v>
      </c>
      <c r="C3271">
        <v>189</v>
      </c>
      <c r="D3271">
        <v>189</v>
      </c>
    </row>
    <row r="3272" spans="1:4" ht="15" x14ac:dyDescent="0.25">
      <c r="A3272" t="s">
        <v>9417</v>
      </c>
      <c r="B3272">
        <v>1</v>
      </c>
      <c r="C3272">
        <v>42</v>
      </c>
      <c r="D3272">
        <v>42</v>
      </c>
    </row>
    <row r="3273" spans="1:4" ht="15" x14ac:dyDescent="0.25">
      <c r="A3273" t="s">
        <v>9418</v>
      </c>
      <c r="B3273">
        <v>1</v>
      </c>
      <c r="C3273">
        <v>42</v>
      </c>
      <c r="D3273">
        <v>42</v>
      </c>
    </row>
    <row r="3274" spans="1:4" ht="15" x14ac:dyDescent="0.25">
      <c r="A3274" t="s">
        <v>9422</v>
      </c>
      <c r="B3274">
        <v>3</v>
      </c>
      <c r="C3274">
        <v>165</v>
      </c>
      <c r="D3274">
        <v>55</v>
      </c>
    </row>
    <row r="3275" spans="1:4" ht="15" x14ac:dyDescent="0.25">
      <c r="A3275" t="s">
        <v>9423</v>
      </c>
      <c r="B3275">
        <v>1</v>
      </c>
      <c r="C3275">
        <v>92</v>
      </c>
      <c r="D3275">
        <v>92</v>
      </c>
    </row>
    <row r="3276" spans="1:4" ht="15" x14ac:dyDescent="0.25">
      <c r="A3276" t="s">
        <v>9424</v>
      </c>
      <c r="B3276">
        <v>1</v>
      </c>
      <c r="C3276">
        <v>92</v>
      </c>
      <c r="D3276">
        <v>92</v>
      </c>
    </row>
    <row r="3277" spans="1:4" ht="15" x14ac:dyDescent="0.25">
      <c r="A3277" t="s">
        <v>9428</v>
      </c>
      <c r="B3277">
        <v>1</v>
      </c>
      <c r="C3277">
        <v>2</v>
      </c>
      <c r="D3277">
        <v>2</v>
      </c>
    </row>
    <row r="3278" spans="1:4" ht="15" x14ac:dyDescent="0.25">
      <c r="A3278" t="s">
        <v>9430</v>
      </c>
      <c r="B3278">
        <v>1</v>
      </c>
      <c r="C3278">
        <v>2</v>
      </c>
      <c r="D3278">
        <v>2</v>
      </c>
    </row>
    <row r="3279" spans="1:4" ht="15" x14ac:dyDescent="0.25">
      <c r="A3279" t="s">
        <v>9429</v>
      </c>
      <c r="B3279">
        <v>1</v>
      </c>
      <c r="C3279">
        <v>2</v>
      </c>
      <c r="D3279">
        <v>2</v>
      </c>
    </row>
    <row r="3280" spans="1:4" ht="15" x14ac:dyDescent="0.25">
      <c r="A3280" t="s">
        <v>9435</v>
      </c>
      <c r="B3280">
        <v>1</v>
      </c>
      <c r="C3280">
        <v>613</v>
      </c>
      <c r="D3280">
        <v>613</v>
      </c>
    </row>
    <row r="3281" spans="1:4" ht="15" x14ac:dyDescent="0.25">
      <c r="A3281" t="s">
        <v>9436</v>
      </c>
      <c r="B3281">
        <v>1</v>
      </c>
      <c r="C3281">
        <v>613</v>
      </c>
      <c r="D3281">
        <v>613</v>
      </c>
    </row>
    <row r="3282" spans="1:4" ht="15" x14ac:dyDescent="0.25">
      <c r="A3282" t="s">
        <v>9437</v>
      </c>
      <c r="B3282">
        <v>1</v>
      </c>
      <c r="C3282">
        <v>613</v>
      </c>
      <c r="D3282">
        <v>613</v>
      </c>
    </row>
    <row r="3283" spans="1:4" ht="15" x14ac:dyDescent="0.25">
      <c r="A3283" t="s">
        <v>9441</v>
      </c>
      <c r="B3283">
        <v>2</v>
      </c>
      <c r="C3283">
        <v>52</v>
      </c>
      <c r="D3283">
        <v>26</v>
      </c>
    </row>
    <row r="3284" spans="1:4" ht="15" x14ac:dyDescent="0.25">
      <c r="A3284" t="s">
        <v>9445</v>
      </c>
      <c r="B3284">
        <v>5</v>
      </c>
      <c r="C3284">
        <v>860</v>
      </c>
      <c r="D3284">
        <v>172</v>
      </c>
    </row>
    <row r="3285" spans="1:4" ht="15" x14ac:dyDescent="0.25">
      <c r="A3285" t="s">
        <v>9444</v>
      </c>
      <c r="B3285">
        <v>1</v>
      </c>
      <c r="C3285">
        <v>17</v>
      </c>
      <c r="D3285">
        <v>17</v>
      </c>
    </row>
    <row r="3286" spans="1:4" ht="15" x14ac:dyDescent="0.25">
      <c r="A3286" t="s">
        <v>9449</v>
      </c>
      <c r="B3286">
        <v>1</v>
      </c>
      <c r="C3286">
        <v>17</v>
      </c>
      <c r="D3286">
        <v>17</v>
      </c>
    </row>
    <row r="3287" spans="1:4" ht="15" x14ac:dyDescent="0.25">
      <c r="A3287" t="s">
        <v>9453</v>
      </c>
      <c r="B3287">
        <v>7</v>
      </c>
      <c r="C3287">
        <v>597</v>
      </c>
      <c r="D3287">
        <v>85.285714285714292</v>
      </c>
    </row>
    <row r="3288" spans="1:4" ht="15" x14ac:dyDescent="0.25">
      <c r="A3288" t="s">
        <v>9454</v>
      </c>
      <c r="B3288">
        <v>1</v>
      </c>
      <c r="C3288">
        <v>300</v>
      </c>
      <c r="D3288">
        <v>300</v>
      </c>
    </row>
    <row r="3289" spans="1:4" ht="15" x14ac:dyDescent="0.25">
      <c r="A3289" t="s">
        <v>9458</v>
      </c>
      <c r="B3289">
        <v>1</v>
      </c>
      <c r="C3289">
        <v>36</v>
      </c>
      <c r="D3289">
        <v>36</v>
      </c>
    </row>
    <row r="3290" spans="1:4" ht="15" x14ac:dyDescent="0.25">
      <c r="A3290" t="s">
        <v>9459</v>
      </c>
      <c r="B3290">
        <v>1</v>
      </c>
      <c r="C3290">
        <v>36</v>
      </c>
      <c r="D3290">
        <v>36</v>
      </c>
    </row>
    <row r="3291" spans="1:4" ht="15" x14ac:dyDescent="0.25">
      <c r="A3291" t="s">
        <v>9461</v>
      </c>
      <c r="B3291">
        <v>1</v>
      </c>
      <c r="C3291">
        <v>36</v>
      </c>
      <c r="D3291">
        <v>36</v>
      </c>
    </row>
    <row r="3292" spans="1:4" ht="15" x14ac:dyDescent="0.25">
      <c r="A3292" t="s">
        <v>9462</v>
      </c>
      <c r="B3292">
        <v>1</v>
      </c>
      <c r="C3292">
        <v>36</v>
      </c>
      <c r="D3292">
        <v>36</v>
      </c>
    </row>
    <row r="3293" spans="1:4" ht="15" x14ac:dyDescent="0.25">
      <c r="A3293" t="s">
        <v>9460</v>
      </c>
      <c r="B3293">
        <v>1</v>
      </c>
      <c r="C3293">
        <v>36</v>
      </c>
      <c r="D3293">
        <v>36</v>
      </c>
    </row>
    <row r="3294" spans="1:4" ht="15" x14ac:dyDescent="0.25">
      <c r="A3294" t="s">
        <v>9469</v>
      </c>
      <c r="B3294">
        <v>1</v>
      </c>
      <c r="C3294">
        <v>16</v>
      </c>
      <c r="D3294">
        <v>16</v>
      </c>
    </row>
    <row r="3295" spans="1:4" ht="15" x14ac:dyDescent="0.25">
      <c r="A3295" t="s">
        <v>9470</v>
      </c>
      <c r="B3295">
        <v>4</v>
      </c>
      <c r="C3295">
        <v>335</v>
      </c>
      <c r="D3295">
        <v>83.75</v>
      </c>
    </row>
    <row r="3296" spans="1:4" ht="15" x14ac:dyDescent="0.25">
      <c r="A3296" t="s">
        <v>9476</v>
      </c>
      <c r="B3296">
        <v>2</v>
      </c>
      <c r="C3296">
        <v>30</v>
      </c>
      <c r="D3296">
        <v>15</v>
      </c>
    </row>
    <row r="3297" spans="1:4" ht="15" x14ac:dyDescent="0.25">
      <c r="A3297" t="s">
        <v>9477</v>
      </c>
      <c r="B3297">
        <v>1</v>
      </c>
      <c r="C3297">
        <v>25</v>
      </c>
      <c r="D3297">
        <v>25</v>
      </c>
    </row>
    <row r="3298" spans="1:4" ht="15" x14ac:dyDescent="0.25">
      <c r="A3298" t="s">
        <v>9479</v>
      </c>
      <c r="B3298">
        <v>1</v>
      </c>
      <c r="C3298">
        <v>25</v>
      </c>
      <c r="D3298">
        <v>25</v>
      </c>
    </row>
    <row r="3299" spans="1:4" ht="15" x14ac:dyDescent="0.25">
      <c r="A3299" t="s">
        <v>9478</v>
      </c>
      <c r="B3299">
        <v>1</v>
      </c>
      <c r="C3299">
        <v>25</v>
      </c>
      <c r="D3299">
        <v>25</v>
      </c>
    </row>
    <row r="3300" spans="1:4" ht="15" x14ac:dyDescent="0.25">
      <c r="A3300" t="s">
        <v>9483</v>
      </c>
      <c r="B3300">
        <v>5</v>
      </c>
      <c r="C3300">
        <v>255</v>
      </c>
      <c r="D3300">
        <v>51</v>
      </c>
    </row>
    <row r="3301" spans="1:4" ht="15" x14ac:dyDescent="0.25">
      <c r="A3301" t="s">
        <v>9484</v>
      </c>
      <c r="B3301">
        <v>1</v>
      </c>
      <c r="C3301">
        <v>18</v>
      </c>
      <c r="D3301">
        <v>18</v>
      </c>
    </row>
    <row r="3302" spans="1:4" ht="15" x14ac:dyDescent="0.25">
      <c r="A3302" t="s">
        <v>9488</v>
      </c>
      <c r="B3302">
        <v>2</v>
      </c>
      <c r="C3302">
        <v>73</v>
      </c>
      <c r="D3302">
        <v>36.5</v>
      </c>
    </row>
    <row r="3303" spans="1:4" ht="15" x14ac:dyDescent="0.25">
      <c r="A3303" t="s">
        <v>9489</v>
      </c>
      <c r="B3303">
        <v>2</v>
      </c>
      <c r="C3303">
        <v>30</v>
      </c>
      <c r="D3303">
        <v>15</v>
      </c>
    </row>
    <row r="3304" spans="1:4" ht="15" x14ac:dyDescent="0.25">
      <c r="A3304" t="s">
        <v>9495</v>
      </c>
      <c r="B3304">
        <v>1</v>
      </c>
      <c r="C3304">
        <v>3</v>
      </c>
      <c r="D3304">
        <v>3</v>
      </c>
    </row>
    <row r="3305" spans="1:4" ht="15" x14ac:dyDescent="0.25">
      <c r="A3305" t="s">
        <v>9496</v>
      </c>
      <c r="B3305">
        <v>2</v>
      </c>
      <c r="C3305">
        <v>23</v>
      </c>
      <c r="D3305">
        <v>11.5</v>
      </c>
    </row>
    <row r="3306" spans="1:4" ht="15" x14ac:dyDescent="0.25">
      <c r="A3306" t="s">
        <v>9500</v>
      </c>
      <c r="B3306">
        <v>1</v>
      </c>
      <c r="C3306">
        <v>108</v>
      </c>
      <c r="D3306">
        <v>108</v>
      </c>
    </row>
    <row r="3307" spans="1:4" ht="15" x14ac:dyDescent="0.25">
      <c r="A3307" t="s">
        <v>9505</v>
      </c>
      <c r="B3307">
        <v>1</v>
      </c>
      <c r="C3307">
        <v>87</v>
      </c>
      <c r="D3307">
        <v>87</v>
      </c>
    </row>
    <row r="3308" spans="1:4" ht="15" x14ac:dyDescent="0.25">
      <c r="A3308" t="s">
        <v>9506</v>
      </c>
      <c r="B3308">
        <v>1</v>
      </c>
      <c r="C3308">
        <v>87</v>
      </c>
      <c r="D3308">
        <v>87</v>
      </c>
    </row>
    <row r="3309" spans="1:4" ht="15" x14ac:dyDescent="0.25">
      <c r="A3309" t="s">
        <v>9508</v>
      </c>
      <c r="B3309">
        <v>1</v>
      </c>
      <c r="C3309">
        <v>87</v>
      </c>
      <c r="D3309">
        <v>87</v>
      </c>
    </row>
    <row r="3310" spans="1:4" ht="15" x14ac:dyDescent="0.25">
      <c r="A3310" t="s">
        <v>9509</v>
      </c>
      <c r="B3310">
        <v>1</v>
      </c>
      <c r="C3310">
        <v>87</v>
      </c>
      <c r="D3310">
        <v>87</v>
      </c>
    </row>
    <row r="3311" spans="1:4" ht="15" x14ac:dyDescent="0.25">
      <c r="A3311" t="s">
        <v>9507</v>
      </c>
      <c r="B3311">
        <v>1</v>
      </c>
      <c r="C3311">
        <v>87</v>
      </c>
      <c r="D3311">
        <v>87</v>
      </c>
    </row>
    <row r="3312" spans="1:4" ht="15" x14ac:dyDescent="0.25">
      <c r="A3312" t="s">
        <v>9513</v>
      </c>
      <c r="B3312">
        <v>1</v>
      </c>
      <c r="C3312">
        <v>36</v>
      </c>
      <c r="D3312">
        <v>36</v>
      </c>
    </row>
    <row r="3313" spans="1:4" ht="15" x14ac:dyDescent="0.25">
      <c r="A3313" t="s">
        <v>9517</v>
      </c>
      <c r="B3313">
        <v>1</v>
      </c>
      <c r="C3313">
        <v>1375</v>
      </c>
      <c r="D3313">
        <v>1375</v>
      </c>
    </row>
    <row r="3314" spans="1:4" ht="15" x14ac:dyDescent="0.25">
      <c r="A3314" t="s">
        <v>9521</v>
      </c>
      <c r="B3314">
        <v>1</v>
      </c>
      <c r="C3314">
        <v>24</v>
      </c>
      <c r="D3314">
        <v>24</v>
      </c>
    </row>
    <row r="3315" spans="1:4" ht="15" x14ac:dyDescent="0.25">
      <c r="A3315" t="s">
        <v>9522</v>
      </c>
      <c r="B3315">
        <v>1</v>
      </c>
      <c r="C3315">
        <v>24</v>
      </c>
      <c r="D3315">
        <v>24</v>
      </c>
    </row>
    <row r="3316" spans="1:4" ht="15" x14ac:dyDescent="0.25">
      <c r="A3316" t="s">
        <v>9527</v>
      </c>
      <c r="B3316">
        <v>1</v>
      </c>
      <c r="C3316">
        <v>39</v>
      </c>
      <c r="D3316">
        <v>39</v>
      </c>
    </row>
    <row r="3317" spans="1:4" ht="15" x14ac:dyDescent="0.25">
      <c r="A3317" t="s">
        <v>9528</v>
      </c>
      <c r="B3317">
        <v>2</v>
      </c>
      <c r="C3317">
        <v>124</v>
      </c>
      <c r="D3317">
        <v>62</v>
      </c>
    </row>
    <row r="3318" spans="1:4" ht="15" x14ac:dyDescent="0.25">
      <c r="A3318" t="s">
        <v>9529</v>
      </c>
      <c r="B3318">
        <v>6</v>
      </c>
      <c r="C3318">
        <v>676</v>
      </c>
      <c r="D3318">
        <v>112.66666666666667</v>
      </c>
    </row>
    <row r="3319" spans="1:4" ht="15" x14ac:dyDescent="0.25">
      <c r="A3319" t="s">
        <v>9534</v>
      </c>
      <c r="B3319">
        <v>1</v>
      </c>
      <c r="C3319">
        <v>18</v>
      </c>
      <c r="D3319">
        <v>18</v>
      </c>
    </row>
    <row r="3320" spans="1:4" ht="15" x14ac:dyDescent="0.25">
      <c r="A3320" t="s">
        <v>9535</v>
      </c>
      <c r="B3320">
        <v>4</v>
      </c>
      <c r="C3320">
        <v>5561</v>
      </c>
      <c r="D3320">
        <v>1390.25</v>
      </c>
    </row>
    <row r="3321" spans="1:4" ht="15" x14ac:dyDescent="0.25">
      <c r="A3321" t="s">
        <v>9536</v>
      </c>
      <c r="B3321">
        <v>1</v>
      </c>
      <c r="C3321">
        <v>18</v>
      </c>
      <c r="D3321">
        <v>18</v>
      </c>
    </row>
    <row r="3322" spans="1:4" ht="15" x14ac:dyDescent="0.25">
      <c r="A3322" t="s">
        <v>9541</v>
      </c>
      <c r="B3322">
        <v>1</v>
      </c>
      <c r="C3322">
        <v>39</v>
      </c>
      <c r="D3322">
        <v>39</v>
      </c>
    </row>
    <row r="3323" spans="1:4" ht="15" x14ac:dyDescent="0.25">
      <c r="A3323" t="s">
        <v>9542</v>
      </c>
      <c r="B3323">
        <v>3</v>
      </c>
      <c r="C3323">
        <v>194</v>
      </c>
      <c r="D3323">
        <v>64.666666666666671</v>
      </c>
    </row>
    <row r="3324" spans="1:4" ht="15" x14ac:dyDescent="0.25">
      <c r="A3324" t="s">
        <v>9543</v>
      </c>
      <c r="B3324">
        <v>1</v>
      </c>
      <c r="C3324">
        <v>39</v>
      </c>
      <c r="D3324">
        <v>39</v>
      </c>
    </row>
    <row r="3325" spans="1:4" ht="15" x14ac:dyDescent="0.25">
      <c r="A3325" t="s">
        <v>9549</v>
      </c>
      <c r="B3325">
        <v>11</v>
      </c>
      <c r="C3325">
        <v>350</v>
      </c>
      <c r="D3325">
        <v>31.818181818181817</v>
      </c>
    </row>
    <row r="3326" spans="1:4" ht="15" x14ac:dyDescent="0.25">
      <c r="A3326" t="s">
        <v>9553</v>
      </c>
      <c r="B3326">
        <v>1</v>
      </c>
      <c r="C3326">
        <v>34</v>
      </c>
      <c r="D3326">
        <v>34</v>
      </c>
    </row>
    <row r="3327" spans="1:4" ht="15" x14ac:dyDescent="0.25">
      <c r="A3327" t="s">
        <v>9555</v>
      </c>
      <c r="B3327">
        <v>3</v>
      </c>
      <c r="C3327">
        <v>72</v>
      </c>
      <c r="D3327">
        <v>24</v>
      </c>
    </row>
    <row r="3328" spans="1:4" ht="15" x14ac:dyDescent="0.25">
      <c r="A3328" t="s">
        <v>9556</v>
      </c>
      <c r="B3328">
        <v>1</v>
      </c>
      <c r="C3328">
        <v>34</v>
      </c>
      <c r="D3328">
        <v>34</v>
      </c>
    </row>
    <row r="3329" spans="1:4" ht="15" x14ac:dyDescent="0.25">
      <c r="A3329" t="s">
        <v>9554</v>
      </c>
      <c r="B3329">
        <v>1</v>
      </c>
      <c r="C3329">
        <v>34</v>
      </c>
      <c r="D3329">
        <v>34</v>
      </c>
    </row>
    <row r="3330" spans="1:4" ht="15" x14ac:dyDescent="0.25">
      <c r="A3330" t="s">
        <v>9559</v>
      </c>
      <c r="B3330">
        <v>1</v>
      </c>
      <c r="C3330">
        <v>33</v>
      </c>
      <c r="D3330">
        <v>33</v>
      </c>
    </row>
    <row r="3331" spans="1:4" ht="15" x14ac:dyDescent="0.25">
      <c r="A3331" t="s">
        <v>9564</v>
      </c>
      <c r="B3331">
        <v>1</v>
      </c>
      <c r="C3331">
        <v>26</v>
      </c>
      <c r="D3331">
        <v>26</v>
      </c>
    </row>
    <row r="3332" spans="1:4" ht="15" x14ac:dyDescent="0.25">
      <c r="A3332" t="s">
        <v>9566</v>
      </c>
      <c r="B3332">
        <v>2</v>
      </c>
      <c r="C3332">
        <v>92</v>
      </c>
      <c r="D3332">
        <v>46</v>
      </c>
    </row>
    <row r="3333" spans="1:4" ht="15" x14ac:dyDescent="0.25">
      <c r="A3333" t="s">
        <v>9565</v>
      </c>
      <c r="B3333">
        <v>1</v>
      </c>
      <c r="C3333">
        <v>26</v>
      </c>
      <c r="D3333">
        <v>26</v>
      </c>
    </row>
    <row r="3334" spans="1:4" ht="15" x14ac:dyDescent="0.25">
      <c r="A3334" t="s">
        <v>9571</v>
      </c>
      <c r="B3334">
        <v>1</v>
      </c>
      <c r="C3334">
        <v>6</v>
      </c>
      <c r="D3334">
        <v>6</v>
      </c>
    </row>
    <row r="3335" spans="1:4" ht="15" x14ac:dyDescent="0.25">
      <c r="A3335" t="s">
        <v>9576</v>
      </c>
      <c r="B3335">
        <v>1</v>
      </c>
      <c r="C3335">
        <v>26</v>
      </c>
      <c r="D3335">
        <v>26</v>
      </c>
    </row>
    <row r="3336" spans="1:4" ht="15" x14ac:dyDescent="0.25">
      <c r="A3336" t="s">
        <v>9575</v>
      </c>
      <c r="B3336">
        <v>1</v>
      </c>
      <c r="C3336">
        <v>26</v>
      </c>
      <c r="D3336">
        <v>26</v>
      </c>
    </row>
    <row r="3337" spans="1:4" ht="15" x14ac:dyDescent="0.25">
      <c r="A3337" t="s">
        <v>9579</v>
      </c>
      <c r="B3337">
        <v>1</v>
      </c>
      <c r="C3337">
        <v>43</v>
      </c>
      <c r="D3337">
        <v>43</v>
      </c>
    </row>
    <row r="3338" spans="1:4" ht="15" x14ac:dyDescent="0.25">
      <c r="A3338" t="s">
        <v>9580</v>
      </c>
      <c r="B3338">
        <v>1</v>
      </c>
      <c r="C3338">
        <v>43</v>
      </c>
      <c r="D3338">
        <v>43</v>
      </c>
    </row>
    <row r="3339" spans="1:4" ht="15" x14ac:dyDescent="0.25">
      <c r="A3339" t="s">
        <v>9583</v>
      </c>
      <c r="B3339">
        <v>1</v>
      </c>
      <c r="C3339">
        <v>35</v>
      </c>
      <c r="D3339">
        <v>35</v>
      </c>
    </row>
    <row r="3340" spans="1:4" ht="15" x14ac:dyDescent="0.25">
      <c r="A3340" t="s">
        <v>9587</v>
      </c>
      <c r="B3340">
        <v>1</v>
      </c>
      <c r="C3340">
        <v>66</v>
      </c>
      <c r="D3340">
        <v>66</v>
      </c>
    </row>
    <row r="3341" spans="1:4" ht="15" x14ac:dyDescent="0.25">
      <c r="A3341" t="s">
        <v>9591</v>
      </c>
      <c r="B3341">
        <v>1</v>
      </c>
      <c r="C3341">
        <v>34</v>
      </c>
      <c r="D3341">
        <v>34</v>
      </c>
    </row>
    <row r="3342" spans="1:4" ht="15" x14ac:dyDescent="0.25">
      <c r="A3342" t="s">
        <v>9593</v>
      </c>
      <c r="B3342">
        <v>4</v>
      </c>
      <c r="C3342">
        <v>137</v>
      </c>
      <c r="D3342">
        <v>34.25</v>
      </c>
    </row>
    <row r="3343" spans="1:4" ht="15" x14ac:dyDescent="0.25">
      <c r="A3343" t="s">
        <v>9592</v>
      </c>
      <c r="B3343">
        <v>1</v>
      </c>
      <c r="C3343">
        <v>34</v>
      </c>
      <c r="D3343">
        <v>34</v>
      </c>
    </row>
    <row r="3344" spans="1:4" ht="15" x14ac:dyDescent="0.25">
      <c r="A3344" t="s">
        <v>9598</v>
      </c>
      <c r="B3344">
        <v>1</v>
      </c>
      <c r="C3344">
        <v>34</v>
      </c>
      <c r="D3344">
        <v>34</v>
      </c>
    </row>
    <row r="3345" spans="1:4" ht="15" x14ac:dyDescent="0.25">
      <c r="A3345" t="s">
        <v>9600</v>
      </c>
      <c r="B3345">
        <v>1</v>
      </c>
      <c r="C3345">
        <v>34</v>
      </c>
      <c r="D3345">
        <v>34</v>
      </c>
    </row>
    <row r="3346" spans="1:4" ht="15" x14ac:dyDescent="0.25">
      <c r="A3346" t="s">
        <v>9599</v>
      </c>
      <c r="B3346">
        <v>4</v>
      </c>
      <c r="C3346">
        <v>189</v>
      </c>
      <c r="D3346">
        <v>47.25</v>
      </c>
    </row>
    <row r="3347" spans="1:4" ht="15" x14ac:dyDescent="0.25">
      <c r="A3347" t="s">
        <v>9603</v>
      </c>
      <c r="B3347">
        <v>2</v>
      </c>
      <c r="C3347">
        <v>644</v>
      </c>
      <c r="D3347">
        <v>322</v>
      </c>
    </row>
    <row r="3348" spans="1:4" ht="15" x14ac:dyDescent="0.25">
      <c r="A3348" t="s">
        <v>9607</v>
      </c>
      <c r="B3348">
        <v>1</v>
      </c>
      <c r="C3348">
        <v>18</v>
      </c>
      <c r="D3348">
        <v>18</v>
      </c>
    </row>
    <row r="3349" spans="1:4" ht="15" x14ac:dyDescent="0.25">
      <c r="A3349" t="s">
        <v>9609</v>
      </c>
      <c r="B3349">
        <v>1</v>
      </c>
      <c r="C3349">
        <v>18</v>
      </c>
      <c r="D3349">
        <v>18</v>
      </c>
    </row>
    <row r="3350" spans="1:4" ht="15" x14ac:dyDescent="0.25">
      <c r="A3350" t="s">
        <v>9610</v>
      </c>
      <c r="B3350">
        <v>1</v>
      </c>
      <c r="C3350">
        <v>18</v>
      </c>
      <c r="D3350">
        <v>18</v>
      </c>
    </row>
    <row r="3351" spans="1:4" ht="15" x14ac:dyDescent="0.25">
      <c r="A3351" t="s">
        <v>9608</v>
      </c>
      <c r="B3351">
        <v>5</v>
      </c>
      <c r="C3351">
        <v>216</v>
      </c>
      <c r="D3351">
        <v>43.2</v>
      </c>
    </row>
    <row r="3352" spans="1:4" ht="15" x14ac:dyDescent="0.25">
      <c r="A3352" t="s">
        <v>9614</v>
      </c>
      <c r="B3352">
        <v>1</v>
      </c>
      <c r="C3352">
        <v>15</v>
      </c>
      <c r="D3352">
        <v>15</v>
      </c>
    </row>
    <row r="3353" spans="1:4" ht="15" x14ac:dyDescent="0.25">
      <c r="A3353" t="s">
        <v>9615</v>
      </c>
      <c r="B3353">
        <v>1</v>
      </c>
      <c r="C3353">
        <v>15</v>
      </c>
      <c r="D3353">
        <v>15</v>
      </c>
    </row>
    <row r="3354" spans="1:4" ht="15" x14ac:dyDescent="0.25">
      <c r="A3354" t="s">
        <v>9616</v>
      </c>
      <c r="B3354">
        <v>1</v>
      </c>
      <c r="C3354">
        <v>15</v>
      </c>
      <c r="D3354">
        <v>15</v>
      </c>
    </row>
    <row r="3355" spans="1:4" ht="15" x14ac:dyDescent="0.25">
      <c r="A3355" t="s">
        <v>9621</v>
      </c>
      <c r="B3355">
        <v>1</v>
      </c>
      <c r="C3355">
        <v>25</v>
      </c>
      <c r="D3355">
        <v>25</v>
      </c>
    </row>
    <row r="3356" spans="1:4" ht="15" x14ac:dyDescent="0.25">
      <c r="A3356" t="s">
        <v>9623</v>
      </c>
      <c r="B3356">
        <v>1</v>
      </c>
      <c r="C3356">
        <v>25</v>
      </c>
      <c r="D3356">
        <v>25</v>
      </c>
    </row>
    <row r="3357" spans="1:4" ht="15" x14ac:dyDescent="0.25">
      <c r="A3357" t="s">
        <v>59</v>
      </c>
      <c r="B3357">
        <v>1</v>
      </c>
      <c r="C3357">
        <v>25</v>
      </c>
      <c r="D3357">
        <v>25</v>
      </c>
    </row>
    <row r="3358" spans="1:4" ht="15" x14ac:dyDescent="0.25">
      <c r="A3358" t="s">
        <v>9622</v>
      </c>
      <c r="B3358">
        <v>5</v>
      </c>
      <c r="C3358">
        <v>81</v>
      </c>
      <c r="D3358">
        <v>16.2</v>
      </c>
    </row>
    <row r="3359" spans="1:4" ht="15" x14ac:dyDescent="0.25">
      <c r="A3359" t="s">
        <v>9629</v>
      </c>
      <c r="B3359">
        <v>2</v>
      </c>
      <c r="C3359">
        <v>179</v>
      </c>
      <c r="D3359">
        <v>89.5</v>
      </c>
    </row>
    <row r="3360" spans="1:4" ht="15" x14ac:dyDescent="0.25">
      <c r="A3360" t="s">
        <v>9630</v>
      </c>
      <c r="B3360">
        <v>1</v>
      </c>
      <c r="C3360">
        <v>157</v>
      </c>
      <c r="D3360">
        <v>157</v>
      </c>
    </row>
    <row r="3361" spans="1:4" ht="15" x14ac:dyDescent="0.25">
      <c r="A3361" t="s">
        <v>9631</v>
      </c>
      <c r="B3361">
        <v>1</v>
      </c>
      <c r="C3361">
        <v>157</v>
      </c>
      <c r="D3361">
        <v>157</v>
      </c>
    </row>
    <row r="3362" spans="1:4" ht="15" x14ac:dyDescent="0.25">
      <c r="A3362" t="s">
        <v>9632</v>
      </c>
      <c r="B3362">
        <v>1</v>
      </c>
      <c r="C3362">
        <v>157</v>
      </c>
      <c r="D3362">
        <v>157</v>
      </c>
    </row>
    <row r="3363" spans="1:4" ht="15" x14ac:dyDescent="0.25">
      <c r="A3363" t="s">
        <v>9636</v>
      </c>
      <c r="B3363">
        <v>1</v>
      </c>
      <c r="C3363">
        <v>1293</v>
      </c>
      <c r="D3363">
        <v>1293</v>
      </c>
    </row>
    <row r="3364" spans="1:4" ht="15" x14ac:dyDescent="0.25">
      <c r="A3364" t="s">
        <v>9637</v>
      </c>
      <c r="B3364">
        <v>1</v>
      </c>
      <c r="C3364">
        <v>1293</v>
      </c>
      <c r="D3364">
        <v>1293</v>
      </c>
    </row>
    <row r="3365" spans="1:4" ht="15" x14ac:dyDescent="0.25">
      <c r="A3365" t="s">
        <v>9633</v>
      </c>
      <c r="B3365">
        <v>1</v>
      </c>
      <c r="C3365">
        <v>1293</v>
      </c>
      <c r="D3365">
        <v>1293</v>
      </c>
    </row>
    <row r="3366" spans="1:4" ht="15" x14ac:dyDescent="0.25">
      <c r="A3366" t="s">
        <v>9638</v>
      </c>
      <c r="B3366">
        <v>1</v>
      </c>
      <c r="C3366">
        <v>1293</v>
      </c>
      <c r="D3366">
        <v>1293</v>
      </c>
    </row>
    <row r="3367" spans="1:4" ht="15" x14ac:dyDescent="0.25">
      <c r="A3367" t="s">
        <v>9643</v>
      </c>
      <c r="B3367">
        <v>2</v>
      </c>
      <c r="C3367">
        <v>68</v>
      </c>
      <c r="D3367">
        <v>34</v>
      </c>
    </row>
    <row r="3368" spans="1:4" ht="15" x14ac:dyDescent="0.25">
      <c r="A3368" t="s">
        <v>9644</v>
      </c>
      <c r="B3368">
        <v>1</v>
      </c>
      <c r="C3368">
        <v>39</v>
      </c>
      <c r="D3368">
        <v>39</v>
      </c>
    </row>
    <row r="3369" spans="1:4" ht="15" x14ac:dyDescent="0.25">
      <c r="A3369" t="s">
        <v>9651</v>
      </c>
      <c r="B3369">
        <v>1</v>
      </c>
      <c r="C3369">
        <v>1</v>
      </c>
      <c r="D3369">
        <v>1</v>
      </c>
    </row>
    <row r="3370" spans="1:4" ht="15" x14ac:dyDescent="0.25">
      <c r="A3370" t="s">
        <v>9652</v>
      </c>
      <c r="B3370">
        <v>1</v>
      </c>
      <c r="C3370">
        <v>1</v>
      </c>
      <c r="D3370">
        <v>1</v>
      </c>
    </row>
    <row r="3371" spans="1:4" ht="15" x14ac:dyDescent="0.25">
      <c r="A3371" t="s">
        <v>9653</v>
      </c>
      <c r="B3371">
        <v>1</v>
      </c>
      <c r="C3371">
        <v>1</v>
      </c>
      <c r="D3371">
        <v>1</v>
      </c>
    </row>
    <row r="3372" spans="1:4" ht="15" x14ac:dyDescent="0.25">
      <c r="A3372" t="s">
        <v>9657</v>
      </c>
      <c r="B3372">
        <v>3</v>
      </c>
      <c r="C3372">
        <v>360</v>
      </c>
      <c r="D3372">
        <v>120</v>
      </c>
    </row>
    <row r="3373" spans="1:4" ht="15" x14ac:dyDescent="0.25">
      <c r="A3373" t="s">
        <v>9658</v>
      </c>
      <c r="B3373">
        <v>2</v>
      </c>
      <c r="C3373">
        <v>150</v>
      </c>
      <c r="D3373">
        <v>75</v>
      </c>
    </row>
    <row r="3374" spans="1:4" ht="15" x14ac:dyDescent="0.25">
      <c r="A3374" t="s">
        <v>9669</v>
      </c>
      <c r="B3374">
        <v>5</v>
      </c>
      <c r="C3374">
        <v>457</v>
      </c>
      <c r="D3374">
        <v>91.4</v>
      </c>
    </row>
    <row r="3375" spans="1:4" ht="15" x14ac:dyDescent="0.25">
      <c r="A3375" t="s">
        <v>9670</v>
      </c>
      <c r="B3375">
        <v>3</v>
      </c>
      <c r="C3375">
        <v>423</v>
      </c>
      <c r="D3375">
        <v>141</v>
      </c>
    </row>
    <row r="3376" spans="1:4" ht="15" x14ac:dyDescent="0.25">
      <c r="A3376" t="s">
        <v>9672</v>
      </c>
      <c r="B3376">
        <v>3</v>
      </c>
      <c r="C3376">
        <v>136</v>
      </c>
      <c r="D3376">
        <v>45.333333333333336</v>
      </c>
    </row>
    <row r="3377" spans="1:4" ht="15" x14ac:dyDescent="0.25">
      <c r="A3377" t="s">
        <v>9673</v>
      </c>
      <c r="B3377">
        <v>3</v>
      </c>
      <c r="C3377">
        <v>91</v>
      </c>
      <c r="D3377">
        <v>30.333333333333332</v>
      </c>
    </row>
    <row r="3378" spans="1:4" ht="15" x14ac:dyDescent="0.25">
      <c r="A3378" t="s">
        <v>9671</v>
      </c>
      <c r="B3378">
        <v>1</v>
      </c>
      <c r="C3378">
        <v>40</v>
      </c>
      <c r="D3378">
        <v>40</v>
      </c>
    </row>
    <row r="3379" spans="1:4" ht="15" x14ac:dyDescent="0.25">
      <c r="A3379" t="s">
        <v>9677</v>
      </c>
      <c r="B3379">
        <v>2</v>
      </c>
      <c r="C3379">
        <v>88</v>
      </c>
      <c r="D3379">
        <v>44</v>
      </c>
    </row>
    <row r="3380" spans="1:4" ht="15" x14ac:dyDescent="0.25">
      <c r="A3380" t="s">
        <v>9678</v>
      </c>
      <c r="B3380">
        <v>1</v>
      </c>
      <c r="C3380">
        <v>60</v>
      </c>
      <c r="D3380">
        <v>60</v>
      </c>
    </row>
    <row r="3381" spans="1:4" ht="15" x14ac:dyDescent="0.25">
      <c r="A3381" t="s">
        <v>9679</v>
      </c>
      <c r="B3381">
        <v>4</v>
      </c>
      <c r="C3381">
        <v>237</v>
      </c>
      <c r="D3381">
        <v>59.25</v>
      </c>
    </row>
    <row r="3382" spans="1:4" ht="15" x14ac:dyDescent="0.25">
      <c r="A3382" t="s">
        <v>9682</v>
      </c>
      <c r="B3382">
        <v>1</v>
      </c>
      <c r="C3382">
        <v>112</v>
      </c>
      <c r="D3382">
        <v>112</v>
      </c>
    </row>
    <row r="3383" spans="1:4" ht="15" x14ac:dyDescent="0.25">
      <c r="A3383" t="s">
        <v>9688</v>
      </c>
      <c r="B3383">
        <v>2</v>
      </c>
      <c r="C3383">
        <v>185</v>
      </c>
      <c r="D3383">
        <v>92.5</v>
      </c>
    </row>
    <row r="3384" spans="1:4" ht="15" x14ac:dyDescent="0.25">
      <c r="A3384" t="s">
        <v>9692</v>
      </c>
      <c r="B3384">
        <v>2</v>
      </c>
      <c r="C3384">
        <v>132</v>
      </c>
      <c r="D3384">
        <v>66</v>
      </c>
    </row>
    <row r="3385" spans="1:4" ht="15" x14ac:dyDescent="0.25">
      <c r="A3385" t="s">
        <v>9697</v>
      </c>
      <c r="B3385">
        <v>1</v>
      </c>
      <c r="C3385">
        <v>122</v>
      </c>
      <c r="D3385">
        <v>122</v>
      </c>
    </row>
    <row r="3386" spans="1:4" ht="15" x14ac:dyDescent="0.25">
      <c r="A3386" t="s">
        <v>9698</v>
      </c>
      <c r="B3386">
        <v>1</v>
      </c>
      <c r="C3386">
        <v>122</v>
      </c>
      <c r="D3386">
        <v>122</v>
      </c>
    </row>
    <row r="3387" spans="1:4" ht="15" x14ac:dyDescent="0.25">
      <c r="A3387" t="s">
        <v>9696</v>
      </c>
      <c r="B3387">
        <v>1</v>
      </c>
      <c r="C3387">
        <v>122</v>
      </c>
      <c r="D3387">
        <v>122</v>
      </c>
    </row>
    <row r="3388" spans="1:4" ht="15" x14ac:dyDescent="0.25">
      <c r="A3388" t="s">
        <v>9702</v>
      </c>
      <c r="B3388">
        <v>1</v>
      </c>
      <c r="C3388">
        <v>71</v>
      </c>
      <c r="D3388">
        <v>71</v>
      </c>
    </row>
    <row r="3389" spans="1:4" ht="15" x14ac:dyDescent="0.25">
      <c r="A3389" t="s">
        <v>9704</v>
      </c>
      <c r="B3389">
        <v>1</v>
      </c>
      <c r="C3389">
        <v>71</v>
      </c>
      <c r="D3389">
        <v>71</v>
      </c>
    </row>
    <row r="3390" spans="1:4" ht="15" x14ac:dyDescent="0.25">
      <c r="A3390" t="s">
        <v>9703</v>
      </c>
      <c r="B3390">
        <v>1</v>
      </c>
      <c r="C3390">
        <v>71</v>
      </c>
      <c r="D3390">
        <v>71</v>
      </c>
    </row>
    <row r="3391" spans="1:4" ht="15" x14ac:dyDescent="0.25">
      <c r="A3391" t="s">
        <v>9709</v>
      </c>
      <c r="B3391">
        <v>1</v>
      </c>
      <c r="C3391">
        <v>50</v>
      </c>
      <c r="D3391">
        <v>50</v>
      </c>
    </row>
    <row r="3392" spans="1:4" ht="15" x14ac:dyDescent="0.25">
      <c r="A3392" t="s">
        <v>9710</v>
      </c>
      <c r="B3392">
        <v>1</v>
      </c>
      <c r="C3392">
        <v>50</v>
      </c>
      <c r="D3392">
        <v>50</v>
      </c>
    </row>
    <row r="3393" spans="1:4" ht="15" x14ac:dyDescent="0.25">
      <c r="A3393" t="s">
        <v>9715</v>
      </c>
      <c r="B3393">
        <v>1</v>
      </c>
      <c r="C3393">
        <v>23</v>
      </c>
      <c r="D3393">
        <v>23</v>
      </c>
    </row>
    <row r="3394" spans="1:4" ht="15" x14ac:dyDescent="0.25">
      <c r="A3394" t="s">
        <v>9717</v>
      </c>
      <c r="B3394">
        <v>7</v>
      </c>
      <c r="C3394">
        <v>271</v>
      </c>
      <c r="D3394">
        <v>38.714285714285715</v>
      </c>
    </row>
    <row r="3395" spans="1:4" ht="15" x14ac:dyDescent="0.25">
      <c r="A3395" t="s">
        <v>9716</v>
      </c>
      <c r="B3395">
        <v>1</v>
      </c>
      <c r="C3395">
        <v>23</v>
      </c>
      <c r="D3395">
        <v>23</v>
      </c>
    </row>
    <row r="3396" spans="1:4" ht="15" x14ac:dyDescent="0.25">
      <c r="A3396" t="s">
        <v>9723</v>
      </c>
      <c r="B3396">
        <v>2</v>
      </c>
      <c r="C3396">
        <v>46</v>
      </c>
      <c r="D3396">
        <v>23</v>
      </c>
    </row>
    <row r="3397" spans="1:4" ht="15" x14ac:dyDescent="0.25">
      <c r="A3397" t="s">
        <v>9728</v>
      </c>
      <c r="B3397">
        <v>1</v>
      </c>
      <c r="C3397">
        <v>3</v>
      </c>
      <c r="D3397">
        <v>3</v>
      </c>
    </row>
    <row r="3398" spans="1:4" ht="15" x14ac:dyDescent="0.25">
      <c r="A3398" t="s">
        <v>9729</v>
      </c>
      <c r="B3398">
        <v>1</v>
      </c>
      <c r="C3398">
        <v>3</v>
      </c>
      <c r="D3398">
        <v>3</v>
      </c>
    </row>
    <row r="3399" spans="1:4" ht="15" x14ac:dyDescent="0.25">
      <c r="A3399" t="s">
        <v>9732</v>
      </c>
      <c r="B3399">
        <v>1</v>
      </c>
      <c r="C3399">
        <v>31</v>
      </c>
      <c r="D3399">
        <v>31</v>
      </c>
    </row>
    <row r="3400" spans="1:4" ht="15" x14ac:dyDescent="0.25">
      <c r="A3400" t="s">
        <v>9733</v>
      </c>
      <c r="B3400">
        <v>1</v>
      </c>
      <c r="C3400">
        <v>31</v>
      </c>
      <c r="D3400">
        <v>31</v>
      </c>
    </row>
    <row r="3401" spans="1:4" ht="15" x14ac:dyDescent="0.25">
      <c r="A3401" t="s">
        <v>9734</v>
      </c>
      <c r="B3401">
        <v>2</v>
      </c>
      <c r="C3401">
        <v>62</v>
      </c>
      <c r="D3401">
        <v>31</v>
      </c>
    </row>
    <row r="3402" spans="1:4" ht="15" x14ac:dyDescent="0.25">
      <c r="A3402" t="s">
        <v>9738</v>
      </c>
      <c r="B3402">
        <v>5</v>
      </c>
      <c r="C3402">
        <v>212</v>
      </c>
      <c r="D3402">
        <v>42.4</v>
      </c>
    </row>
    <row r="3403" spans="1:4" ht="15" x14ac:dyDescent="0.25">
      <c r="A3403" t="s">
        <v>9740</v>
      </c>
      <c r="B3403">
        <v>2</v>
      </c>
      <c r="C3403">
        <v>80</v>
      </c>
      <c r="D3403">
        <v>40</v>
      </c>
    </row>
    <row r="3404" spans="1:4" ht="15" x14ac:dyDescent="0.25">
      <c r="A3404" t="s">
        <v>9739</v>
      </c>
      <c r="B3404">
        <v>1</v>
      </c>
      <c r="C3404">
        <v>72</v>
      </c>
      <c r="D3404">
        <v>72</v>
      </c>
    </row>
    <row r="3405" spans="1:4" ht="15" x14ac:dyDescent="0.25">
      <c r="A3405" t="s">
        <v>9747</v>
      </c>
      <c r="B3405">
        <v>1</v>
      </c>
      <c r="C3405">
        <v>11</v>
      </c>
      <c r="D3405">
        <v>11</v>
      </c>
    </row>
    <row r="3406" spans="1:4" ht="15" x14ac:dyDescent="0.25">
      <c r="A3406" t="s">
        <v>9748</v>
      </c>
      <c r="B3406">
        <v>1</v>
      </c>
      <c r="C3406">
        <v>11</v>
      </c>
      <c r="D3406">
        <v>11</v>
      </c>
    </row>
    <row r="3407" spans="1:4" ht="15" x14ac:dyDescent="0.25">
      <c r="A3407" t="s">
        <v>9750</v>
      </c>
      <c r="B3407">
        <v>1</v>
      </c>
      <c r="C3407">
        <v>11</v>
      </c>
      <c r="D3407">
        <v>11</v>
      </c>
    </row>
    <row r="3408" spans="1:4" ht="15" x14ac:dyDescent="0.25">
      <c r="A3408" t="s">
        <v>9749</v>
      </c>
      <c r="B3408">
        <v>1</v>
      </c>
      <c r="C3408">
        <v>11</v>
      </c>
      <c r="D3408">
        <v>11</v>
      </c>
    </row>
    <row r="3409" spans="1:4" ht="15" x14ac:dyDescent="0.25">
      <c r="A3409" t="s">
        <v>9753</v>
      </c>
      <c r="B3409">
        <v>1</v>
      </c>
      <c r="C3409">
        <v>53</v>
      </c>
      <c r="D3409">
        <v>53</v>
      </c>
    </row>
    <row r="3410" spans="1:4" ht="15" x14ac:dyDescent="0.25">
      <c r="A3410" t="s">
        <v>9754</v>
      </c>
      <c r="B3410">
        <v>1</v>
      </c>
      <c r="C3410">
        <v>53</v>
      </c>
      <c r="D3410">
        <v>53</v>
      </c>
    </row>
    <row r="3411" spans="1:4" ht="15" x14ac:dyDescent="0.25">
      <c r="A3411" t="s">
        <v>9755</v>
      </c>
      <c r="B3411">
        <v>2</v>
      </c>
      <c r="C3411">
        <v>83</v>
      </c>
      <c r="D3411">
        <v>41.5</v>
      </c>
    </row>
    <row r="3412" spans="1:4" ht="15" x14ac:dyDescent="0.25">
      <c r="A3412" t="s">
        <v>9760</v>
      </c>
      <c r="B3412">
        <v>3</v>
      </c>
      <c r="C3412">
        <v>164</v>
      </c>
      <c r="D3412">
        <v>54.666666666666664</v>
      </c>
    </row>
    <row r="3413" spans="1:4" ht="15" x14ac:dyDescent="0.25">
      <c r="A3413" t="s">
        <v>9762</v>
      </c>
      <c r="B3413">
        <v>4</v>
      </c>
      <c r="C3413">
        <v>209</v>
      </c>
      <c r="D3413">
        <v>52.25</v>
      </c>
    </row>
    <row r="3414" spans="1:4" ht="15" x14ac:dyDescent="0.25">
      <c r="A3414" t="s">
        <v>9761</v>
      </c>
      <c r="B3414">
        <v>1</v>
      </c>
      <c r="C3414">
        <v>33</v>
      </c>
      <c r="D3414">
        <v>33</v>
      </c>
    </row>
    <row r="3415" spans="1:4" ht="15" x14ac:dyDescent="0.25">
      <c r="A3415" t="s">
        <v>9766</v>
      </c>
      <c r="B3415">
        <v>1</v>
      </c>
      <c r="C3415">
        <v>38</v>
      </c>
      <c r="D3415">
        <v>38</v>
      </c>
    </row>
    <row r="3416" spans="1:4" ht="15" x14ac:dyDescent="0.25">
      <c r="A3416" t="s">
        <v>9771</v>
      </c>
      <c r="B3416">
        <v>1</v>
      </c>
      <c r="C3416">
        <v>76</v>
      </c>
      <c r="D3416">
        <v>76</v>
      </c>
    </row>
    <row r="3417" spans="1:4" ht="15" x14ac:dyDescent="0.25">
      <c r="A3417" t="s">
        <v>9772</v>
      </c>
      <c r="B3417">
        <v>1</v>
      </c>
      <c r="C3417">
        <v>76</v>
      </c>
      <c r="D3417">
        <v>76</v>
      </c>
    </row>
    <row r="3418" spans="1:4" ht="15" x14ac:dyDescent="0.25">
      <c r="A3418" t="s">
        <v>9773</v>
      </c>
      <c r="B3418">
        <v>1</v>
      </c>
      <c r="C3418">
        <v>76</v>
      </c>
      <c r="D3418">
        <v>76</v>
      </c>
    </row>
    <row r="3419" spans="1:4" ht="15" x14ac:dyDescent="0.25">
      <c r="A3419" t="s">
        <v>9774</v>
      </c>
      <c r="B3419">
        <v>1</v>
      </c>
      <c r="C3419">
        <v>76</v>
      </c>
      <c r="D3419">
        <v>76</v>
      </c>
    </row>
    <row r="3420" spans="1:4" ht="15" x14ac:dyDescent="0.25">
      <c r="A3420" t="s">
        <v>9782</v>
      </c>
      <c r="B3420">
        <v>1</v>
      </c>
      <c r="C3420">
        <v>72</v>
      </c>
      <c r="D3420">
        <v>72</v>
      </c>
    </row>
    <row r="3421" spans="1:4" ht="15" x14ac:dyDescent="0.25">
      <c r="A3421" t="s">
        <v>9781</v>
      </c>
      <c r="B3421">
        <v>1</v>
      </c>
      <c r="C3421">
        <v>72</v>
      </c>
      <c r="D3421">
        <v>72</v>
      </c>
    </row>
    <row r="3422" spans="1:4" ht="15" x14ac:dyDescent="0.25">
      <c r="A3422" t="s">
        <v>9786</v>
      </c>
      <c r="B3422">
        <v>1</v>
      </c>
      <c r="C3422">
        <v>15</v>
      </c>
      <c r="D3422">
        <v>15</v>
      </c>
    </row>
    <row r="3423" spans="1:4" ht="15" x14ac:dyDescent="0.25">
      <c r="A3423" t="s">
        <v>9788</v>
      </c>
      <c r="B3423">
        <v>1</v>
      </c>
      <c r="C3423">
        <v>15</v>
      </c>
      <c r="D3423">
        <v>15</v>
      </c>
    </row>
    <row r="3424" spans="1:4" ht="15" x14ac:dyDescent="0.25">
      <c r="A3424" t="s">
        <v>9787</v>
      </c>
      <c r="B3424">
        <v>1</v>
      </c>
      <c r="C3424">
        <v>15</v>
      </c>
      <c r="D3424">
        <v>15</v>
      </c>
    </row>
    <row r="3425" spans="1:4" ht="15" x14ac:dyDescent="0.25">
      <c r="A3425" t="s">
        <v>9794</v>
      </c>
      <c r="B3425">
        <v>14</v>
      </c>
      <c r="C3425">
        <v>528</v>
      </c>
      <c r="D3425">
        <v>37.714285714285715</v>
      </c>
    </row>
    <row r="3426" spans="1:4" ht="15" x14ac:dyDescent="0.25">
      <c r="A3426" t="s">
        <v>9795</v>
      </c>
      <c r="B3426">
        <v>1</v>
      </c>
      <c r="C3426">
        <v>27</v>
      </c>
      <c r="D3426">
        <v>27</v>
      </c>
    </row>
    <row r="3427" spans="1:4" ht="15" x14ac:dyDescent="0.25">
      <c r="A3427" t="s">
        <v>9798</v>
      </c>
      <c r="B3427">
        <v>1</v>
      </c>
      <c r="C3427">
        <v>938</v>
      </c>
      <c r="D3427">
        <v>938</v>
      </c>
    </row>
    <row r="3428" spans="1:4" ht="15" x14ac:dyDescent="0.25">
      <c r="A3428" t="s">
        <v>9803</v>
      </c>
      <c r="B3428">
        <v>8</v>
      </c>
      <c r="C3428">
        <v>212</v>
      </c>
      <c r="D3428">
        <v>26.5</v>
      </c>
    </row>
    <row r="3429" spans="1:4" ht="15" x14ac:dyDescent="0.25">
      <c r="A3429" t="s">
        <v>9804</v>
      </c>
      <c r="B3429">
        <v>6</v>
      </c>
      <c r="C3429">
        <v>434</v>
      </c>
      <c r="D3429">
        <v>72.333333333333329</v>
      </c>
    </row>
    <row r="3430" spans="1:4" ht="15" x14ac:dyDescent="0.25">
      <c r="A3430" t="s">
        <v>9805</v>
      </c>
      <c r="B3430">
        <v>1</v>
      </c>
      <c r="C3430">
        <v>110</v>
      </c>
      <c r="D3430">
        <v>110</v>
      </c>
    </row>
    <row r="3431" spans="1:4" ht="15" x14ac:dyDescent="0.25">
      <c r="A3431" t="s">
        <v>9806</v>
      </c>
      <c r="B3431">
        <v>1</v>
      </c>
      <c r="C3431">
        <v>110</v>
      </c>
      <c r="D3431">
        <v>110</v>
      </c>
    </row>
    <row r="3432" spans="1:4" ht="15" x14ac:dyDescent="0.25">
      <c r="A3432" t="s">
        <v>9810</v>
      </c>
      <c r="B3432">
        <v>4</v>
      </c>
      <c r="C3432">
        <v>56</v>
      </c>
      <c r="D3432">
        <v>14</v>
      </c>
    </row>
    <row r="3433" spans="1:4" ht="15" x14ac:dyDescent="0.25">
      <c r="A3433" t="s">
        <v>9811</v>
      </c>
      <c r="B3433">
        <v>1</v>
      </c>
      <c r="C3433">
        <v>11</v>
      </c>
      <c r="D3433">
        <v>11</v>
      </c>
    </row>
    <row r="3434" spans="1:4" ht="15" x14ac:dyDescent="0.25">
      <c r="A3434" t="s">
        <v>9813</v>
      </c>
      <c r="B3434">
        <v>1</v>
      </c>
      <c r="C3434">
        <v>11</v>
      </c>
      <c r="D3434">
        <v>11</v>
      </c>
    </row>
    <row r="3435" spans="1:4" ht="15" x14ac:dyDescent="0.25">
      <c r="A3435" t="s">
        <v>9812</v>
      </c>
      <c r="B3435">
        <v>1</v>
      </c>
      <c r="C3435">
        <v>11</v>
      </c>
      <c r="D3435">
        <v>11</v>
      </c>
    </row>
    <row r="3436" spans="1:4" ht="15" x14ac:dyDescent="0.25">
      <c r="A3436" t="s">
        <v>9817</v>
      </c>
      <c r="B3436">
        <v>2</v>
      </c>
      <c r="C3436">
        <v>126</v>
      </c>
      <c r="D3436">
        <v>63</v>
      </c>
    </row>
    <row r="3437" spans="1:4" ht="15" x14ac:dyDescent="0.25">
      <c r="A3437" t="s">
        <v>9818</v>
      </c>
      <c r="B3437">
        <v>1</v>
      </c>
      <c r="C3437">
        <v>98</v>
      </c>
      <c r="D3437">
        <v>98</v>
      </c>
    </row>
    <row r="3438" spans="1:4" ht="15" x14ac:dyDescent="0.25">
      <c r="A3438" t="s">
        <v>9822</v>
      </c>
      <c r="B3438">
        <v>1</v>
      </c>
      <c r="C3438">
        <v>15</v>
      </c>
      <c r="D3438">
        <v>15</v>
      </c>
    </row>
    <row r="3439" spans="1:4" ht="15" x14ac:dyDescent="0.25">
      <c r="A3439" t="s">
        <v>9826</v>
      </c>
      <c r="B3439">
        <v>1</v>
      </c>
      <c r="C3439">
        <v>69</v>
      </c>
      <c r="D3439">
        <v>69</v>
      </c>
    </row>
    <row r="3440" spans="1:4" ht="15" x14ac:dyDescent="0.25">
      <c r="A3440" t="s">
        <v>9831</v>
      </c>
      <c r="B3440">
        <v>1</v>
      </c>
      <c r="C3440">
        <v>11</v>
      </c>
      <c r="D3440">
        <v>11</v>
      </c>
    </row>
    <row r="3441" spans="1:4" ht="15" x14ac:dyDescent="0.25">
      <c r="A3441" t="s">
        <v>9832</v>
      </c>
      <c r="B3441">
        <v>1</v>
      </c>
      <c r="C3441">
        <v>11</v>
      </c>
      <c r="D3441">
        <v>11</v>
      </c>
    </row>
    <row r="3442" spans="1:4" ht="15" x14ac:dyDescent="0.25">
      <c r="A3442" t="s">
        <v>9830</v>
      </c>
      <c r="B3442">
        <v>1</v>
      </c>
      <c r="C3442">
        <v>11</v>
      </c>
      <c r="D3442">
        <v>11</v>
      </c>
    </row>
    <row r="3443" spans="1:4" ht="15" x14ac:dyDescent="0.25">
      <c r="A3443" t="s">
        <v>9835</v>
      </c>
      <c r="B3443">
        <v>5</v>
      </c>
      <c r="C3443">
        <v>155</v>
      </c>
      <c r="D3443">
        <v>31</v>
      </c>
    </row>
    <row r="3444" spans="1:4" ht="15" x14ac:dyDescent="0.25">
      <c r="A3444" t="s">
        <v>9836</v>
      </c>
      <c r="B3444">
        <v>7</v>
      </c>
      <c r="C3444">
        <v>263</v>
      </c>
      <c r="D3444">
        <v>37.571428571428569</v>
      </c>
    </row>
    <row r="3445" spans="1:4" ht="15" x14ac:dyDescent="0.25">
      <c r="A3445" t="s">
        <v>9841</v>
      </c>
      <c r="B3445">
        <v>3</v>
      </c>
      <c r="C3445">
        <v>133</v>
      </c>
      <c r="D3445">
        <v>44.333333333333336</v>
      </c>
    </row>
    <row r="3446" spans="1:4" ht="15" x14ac:dyDescent="0.25">
      <c r="A3446" t="s">
        <v>9849</v>
      </c>
      <c r="B3446">
        <v>1</v>
      </c>
      <c r="C3446">
        <v>20</v>
      </c>
      <c r="D3446">
        <v>20</v>
      </c>
    </row>
    <row r="3447" spans="1:4" ht="15" x14ac:dyDescent="0.25">
      <c r="A3447" t="s">
        <v>9850</v>
      </c>
      <c r="B3447">
        <v>8</v>
      </c>
      <c r="C3447">
        <v>222</v>
      </c>
      <c r="D3447">
        <v>27.75</v>
      </c>
    </row>
    <row r="3448" spans="1:4" ht="15" x14ac:dyDescent="0.25">
      <c r="A3448" t="s">
        <v>9854</v>
      </c>
      <c r="B3448">
        <v>1</v>
      </c>
      <c r="C3448">
        <v>30</v>
      </c>
      <c r="D3448">
        <v>30</v>
      </c>
    </row>
    <row r="3449" spans="1:4" ht="15" x14ac:dyDescent="0.25">
      <c r="A3449" t="s">
        <v>9855</v>
      </c>
      <c r="B3449">
        <v>1</v>
      </c>
      <c r="C3449">
        <v>30</v>
      </c>
      <c r="D3449">
        <v>30</v>
      </c>
    </row>
    <row r="3450" spans="1:4" ht="15" x14ac:dyDescent="0.25">
      <c r="A3450" t="s">
        <v>9856</v>
      </c>
      <c r="B3450">
        <v>2</v>
      </c>
      <c r="C3450">
        <v>187</v>
      </c>
      <c r="D3450">
        <v>93.5</v>
      </c>
    </row>
    <row r="3451" spans="1:4" ht="15" x14ac:dyDescent="0.25">
      <c r="A3451" t="s">
        <v>9862</v>
      </c>
      <c r="B3451">
        <v>1</v>
      </c>
      <c r="C3451">
        <v>30</v>
      </c>
      <c r="D3451">
        <v>30</v>
      </c>
    </row>
    <row r="3452" spans="1:4" ht="15" x14ac:dyDescent="0.25">
      <c r="A3452" t="s">
        <v>9863</v>
      </c>
      <c r="B3452">
        <v>1</v>
      </c>
      <c r="C3452">
        <v>30</v>
      </c>
      <c r="D3452">
        <v>30</v>
      </c>
    </row>
    <row r="3453" spans="1:4" ht="15" x14ac:dyDescent="0.25">
      <c r="A3453" t="s">
        <v>9864</v>
      </c>
      <c r="B3453">
        <v>3</v>
      </c>
      <c r="C3453">
        <v>103</v>
      </c>
      <c r="D3453">
        <v>34.333333333333336</v>
      </c>
    </row>
    <row r="3454" spans="1:4" ht="15" x14ac:dyDescent="0.25">
      <c r="A3454" t="s">
        <v>9865</v>
      </c>
      <c r="B3454">
        <v>1</v>
      </c>
      <c r="C3454">
        <v>30</v>
      </c>
      <c r="D3454">
        <v>30</v>
      </c>
    </row>
    <row r="3455" spans="1:4" ht="15" x14ac:dyDescent="0.25">
      <c r="A3455" t="s">
        <v>9869</v>
      </c>
      <c r="B3455">
        <v>1</v>
      </c>
      <c r="C3455">
        <v>9</v>
      </c>
      <c r="D3455">
        <v>9</v>
      </c>
    </row>
    <row r="3456" spans="1:4" ht="15" x14ac:dyDescent="0.25">
      <c r="A3456" t="s">
        <v>9870</v>
      </c>
      <c r="B3456">
        <v>1</v>
      </c>
      <c r="C3456">
        <v>9</v>
      </c>
      <c r="D3456">
        <v>9</v>
      </c>
    </row>
    <row r="3457" spans="1:4" ht="15" x14ac:dyDescent="0.25">
      <c r="A3457" t="s">
        <v>9876</v>
      </c>
      <c r="B3457">
        <v>2</v>
      </c>
      <c r="C3457">
        <v>117</v>
      </c>
      <c r="D3457">
        <v>58.5</v>
      </c>
    </row>
    <row r="3458" spans="1:4" ht="15" x14ac:dyDescent="0.25">
      <c r="A3458" t="s">
        <v>7152</v>
      </c>
      <c r="B3458">
        <v>1</v>
      </c>
      <c r="C3458">
        <v>24</v>
      </c>
      <c r="D3458">
        <v>24</v>
      </c>
    </row>
    <row r="3459" spans="1:4" ht="15" x14ac:dyDescent="0.25">
      <c r="A3459" t="s">
        <v>9882</v>
      </c>
      <c r="B3459">
        <v>1</v>
      </c>
      <c r="C3459">
        <v>21</v>
      </c>
      <c r="D3459">
        <v>21</v>
      </c>
    </row>
    <row r="3460" spans="1:4" ht="15" x14ac:dyDescent="0.25">
      <c r="A3460" t="s">
        <v>9883</v>
      </c>
      <c r="B3460">
        <v>1</v>
      </c>
      <c r="C3460">
        <v>21</v>
      </c>
      <c r="D3460">
        <v>21</v>
      </c>
    </row>
    <row r="3461" spans="1:4" ht="15" x14ac:dyDescent="0.25">
      <c r="A3461" t="s">
        <v>9885</v>
      </c>
      <c r="B3461">
        <v>1</v>
      </c>
      <c r="C3461">
        <v>21</v>
      </c>
      <c r="D3461">
        <v>21</v>
      </c>
    </row>
    <row r="3462" spans="1:4" ht="15" x14ac:dyDescent="0.25">
      <c r="A3462" t="s">
        <v>9884</v>
      </c>
      <c r="B3462">
        <v>1</v>
      </c>
      <c r="C3462">
        <v>21</v>
      </c>
      <c r="D3462">
        <v>21</v>
      </c>
    </row>
    <row r="3463" spans="1:4" ht="15" x14ac:dyDescent="0.25">
      <c r="A3463" t="s">
        <v>9888</v>
      </c>
      <c r="B3463">
        <v>5</v>
      </c>
      <c r="C3463">
        <v>245</v>
      </c>
      <c r="D3463">
        <v>49</v>
      </c>
    </row>
    <row r="3464" spans="1:4" ht="15" x14ac:dyDescent="0.25">
      <c r="A3464" t="s">
        <v>9894</v>
      </c>
      <c r="B3464">
        <v>1</v>
      </c>
      <c r="C3464">
        <v>41</v>
      </c>
      <c r="D3464">
        <v>41</v>
      </c>
    </row>
    <row r="3465" spans="1:4" ht="15" x14ac:dyDescent="0.25">
      <c r="A3465" t="s">
        <v>9895</v>
      </c>
      <c r="B3465">
        <v>1</v>
      </c>
      <c r="C3465">
        <v>41</v>
      </c>
      <c r="D3465">
        <v>41</v>
      </c>
    </row>
    <row r="3466" spans="1:4" ht="15" x14ac:dyDescent="0.25">
      <c r="A3466" t="s">
        <v>9897</v>
      </c>
      <c r="B3466">
        <v>3</v>
      </c>
      <c r="C3466">
        <v>108</v>
      </c>
      <c r="D3466">
        <v>36</v>
      </c>
    </row>
    <row r="3467" spans="1:4" ht="15" x14ac:dyDescent="0.25">
      <c r="A3467" t="s">
        <v>9896</v>
      </c>
      <c r="B3467">
        <v>1</v>
      </c>
      <c r="C3467">
        <v>41</v>
      </c>
      <c r="D3467">
        <v>41</v>
      </c>
    </row>
    <row r="3468" spans="1:4" ht="15" x14ac:dyDescent="0.25">
      <c r="A3468" t="s">
        <v>9903</v>
      </c>
      <c r="B3468">
        <v>5</v>
      </c>
      <c r="C3468">
        <v>689</v>
      </c>
      <c r="D3468">
        <v>137.80000000000001</v>
      </c>
    </row>
    <row r="3469" spans="1:4" ht="15" x14ac:dyDescent="0.25">
      <c r="A3469" t="s">
        <v>9904</v>
      </c>
      <c r="B3469">
        <v>2</v>
      </c>
      <c r="C3469">
        <v>63</v>
      </c>
      <c r="D3469">
        <v>31.5</v>
      </c>
    </row>
    <row r="3470" spans="1:4" ht="15" x14ac:dyDescent="0.25">
      <c r="A3470" t="s">
        <v>9907</v>
      </c>
      <c r="B3470">
        <v>6</v>
      </c>
      <c r="C3470">
        <v>122</v>
      </c>
      <c r="D3470">
        <v>20.333333333333332</v>
      </c>
    </row>
    <row r="3471" spans="1:4" ht="15" x14ac:dyDescent="0.25">
      <c r="A3471" t="s">
        <v>9910</v>
      </c>
      <c r="B3471">
        <v>1</v>
      </c>
      <c r="C3471">
        <v>468</v>
      </c>
      <c r="D3471">
        <v>468</v>
      </c>
    </row>
    <row r="3472" spans="1:4" ht="15" x14ac:dyDescent="0.25">
      <c r="A3472" t="s">
        <v>9911</v>
      </c>
      <c r="B3472">
        <v>2</v>
      </c>
      <c r="C3472">
        <v>505</v>
      </c>
      <c r="D3472">
        <v>252.5</v>
      </c>
    </row>
    <row r="3473" spans="1:4" ht="15" x14ac:dyDescent="0.25">
      <c r="A3473" t="s">
        <v>9913</v>
      </c>
      <c r="B3473">
        <v>2</v>
      </c>
      <c r="C3473">
        <v>1016</v>
      </c>
      <c r="D3473">
        <v>508</v>
      </c>
    </row>
    <row r="3474" spans="1:4" ht="15" x14ac:dyDescent="0.25">
      <c r="A3474" t="s">
        <v>9914</v>
      </c>
      <c r="B3474">
        <v>2</v>
      </c>
      <c r="C3474">
        <v>1254</v>
      </c>
      <c r="D3474">
        <v>627</v>
      </c>
    </row>
    <row r="3475" spans="1:4" ht="15" x14ac:dyDescent="0.25">
      <c r="A3475" t="s">
        <v>9912</v>
      </c>
      <c r="B3475">
        <v>1</v>
      </c>
      <c r="C3475">
        <v>468</v>
      </c>
      <c r="D3475">
        <v>468</v>
      </c>
    </row>
    <row r="3476" spans="1:4" ht="15" x14ac:dyDescent="0.25">
      <c r="A3476" t="s">
        <v>9919</v>
      </c>
      <c r="B3476">
        <v>1</v>
      </c>
      <c r="C3476">
        <v>33</v>
      </c>
      <c r="D3476">
        <v>33</v>
      </c>
    </row>
    <row r="3477" spans="1:4" ht="15" x14ac:dyDescent="0.25">
      <c r="A3477" t="s">
        <v>9918</v>
      </c>
      <c r="B3477">
        <v>2</v>
      </c>
      <c r="C3477">
        <v>64</v>
      </c>
      <c r="D3477">
        <v>32</v>
      </c>
    </row>
    <row r="3478" spans="1:4" ht="15" x14ac:dyDescent="0.25">
      <c r="A3478" t="s">
        <v>9925</v>
      </c>
      <c r="B3478">
        <v>1</v>
      </c>
      <c r="C3478">
        <v>35</v>
      </c>
      <c r="D3478">
        <v>35</v>
      </c>
    </row>
    <row r="3479" spans="1:4" ht="15" x14ac:dyDescent="0.25">
      <c r="A3479" t="s">
        <v>9926</v>
      </c>
      <c r="B3479">
        <v>7</v>
      </c>
      <c r="C3479">
        <v>183</v>
      </c>
      <c r="D3479">
        <v>26.142857142857142</v>
      </c>
    </row>
    <row r="3480" spans="1:4" ht="15" x14ac:dyDescent="0.25">
      <c r="A3480" t="s">
        <v>9930</v>
      </c>
      <c r="B3480">
        <v>1</v>
      </c>
      <c r="C3480">
        <v>54</v>
      </c>
      <c r="D3480">
        <v>54</v>
      </c>
    </row>
    <row r="3481" spans="1:4" ht="15" x14ac:dyDescent="0.25">
      <c r="A3481" t="s">
        <v>9931</v>
      </c>
      <c r="B3481">
        <v>1</v>
      </c>
      <c r="C3481">
        <v>54</v>
      </c>
      <c r="D3481">
        <v>54</v>
      </c>
    </row>
    <row r="3482" spans="1:4" ht="15" x14ac:dyDescent="0.25">
      <c r="A3482" t="s">
        <v>9932</v>
      </c>
      <c r="B3482">
        <v>1</v>
      </c>
      <c r="C3482">
        <v>54</v>
      </c>
      <c r="D3482">
        <v>54</v>
      </c>
    </row>
    <row r="3483" spans="1:4" ht="15" x14ac:dyDescent="0.25">
      <c r="A3483" t="s">
        <v>9938</v>
      </c>
      <c r="B3483">
        <v>6</v>
      </c>
      <c r="C3483">
        <v>247</v>
      </c>
      <c r="D3483">
        <v>41.166666666666664</v>
      </c>
    </row>
    <row r="3484" spans="1:4" ht="15" x14ac:dyDescent="0.25">
      <c r="A3484" t="s">
        <v>9941</v>
      </c>
      <c r="B3484">
        <v>7</v>
      </c>
      <c r="C3484">
        <v>589</v>
      </c>
      <c r="D3484">
        <v>84.142857142857139</v>
      </c>
    </row>
    <row r="3485" spans="1:4" ht="15" x14ac:dyDescent="0.25">
      <c r="A3485" t="s">
        <v>9942</v>
      </c>
      <c r="B3485">
        <v>3</v>
      </c>
      <c r="C3485">
        <v>122</v>
      </c>
      <c r="D3485">
        <v>40.666666666666664</v>
      </c>
    </row>
    <row r="3486" spans="1:4" ht="15" x14ac:dyDescent="0.25">
      <c r="A3486" t="s">
        <v>9946</v>
      </c>
      <c r="B3486">
        <v>2</v>
      </c>
      <c r="C3486">
        <v>49</v>
      </c>
      <c r="D3486">
        <v>24.5</v>
      </c>
    </row>
    <row r="3487" spans="1:4" ht="15" x14ac:dyDescent="0.25">
      <c r="A3487" t="s">
        <v>9948</v>
      </c>
      <c r="B3487">
        <v>1</v>
      </c>
      <c r="C3487">
        <v>35</v>
      </c>
      <c r="D3487">
        <v>35</v>
      </c>
    </row>
    <row r="3488" spans="1:4" ht="15" x14ac:dyDescent="0.25">
      <c r="A3488" t="s">
        <v>9949</v>
      </c>
      <c r="B3488">
        <v>1</v>
      </c>
      <c r="C3488">
        <v>35</v>
      </c>
      <c r="D3488">
        <v>35</v>
      </c>
    </row>
    <row r="3489" spans="1:4" ht="15" x14ac:dyDescent="0.25">
      <c r="A3489" t="s">
        <v>9947</v>
      </c>
      <c r="B3489">
        <v>1</v>
      </c>
      <c r="C3489">
        <v>35</v>
      </c>
      <c r="D3489">
        <v>35</v>
      </c>
    </row>
    <row r="3490" spans="1:4" ht="15" x14ac:dyDescent="0.25">
      <c r="A3490" t="s">
        <v>9953</v>
      </c>
      <c r="B3490">
        <v>1</v>
      </c>
      <c r="C3490">
        <v>40</v>
      </c>
      <c r="D3490">
        <v>40</v>
      </c>
    </row>
    <row r="3491" spans="1:4" ht="15" x14ac:dyDescent="0.25">
      <c r="A3491" t="s">
        <v>9954</v>
      </c>
      <c r="B3491">
        <v>2</v>
      </c>
      <c r="C3491">
        <v>81</v>
      </c>
      <c r="D3491">
        <v>40.5</v>
      </c>
    </row>
    <row r="3492" spans="1:4" ht="15" x14ac:dyDescent="0.25">
      <c r="A3492" t="s">
        <v>9955</v>
      </c>
      <c r="B3492">
        <v>1</v>
      </c>
      <c r="C3492">
        <v>40</v>
      </c>
      <c r="D3492">
        <v>40</v>
      </c>
    </row>
    <row r="3493" spans="1:4" ht="15" x14ac:dyDescent="0.25">
      <c r="A3493" t="s">
        <v>9960</v>
      </c>
      <c r="B3493">
        <v>1</v>
      </c>
      <c r="C3493">
        <v>207</v>
      </c>
      <c r="D3493">
        <v>207</v>
      </c>
    </row>
    <row r="3494" spans="1:4" ht="15" x14ac:dyDescent="0.25">
      <c r="A3494" t="s">
        <v>9961</v>
      </c>
      <c r="B3494">
        <v>1</v>
      </c>
      <c r="C3494">
        <v>207</v>
      </c>
      <c r="D3494">
        <v>207</v>
      </c>
    </row>
    <row r="3495" spans="1:4" ht="15" x14ac:dyDescent="0.25">
      <c r="A3495" t="s">
        <v>9963</v>
      </c>
      <c r="B3495">
        <v>5</v>
      </c>
      <c r="C3495">
        <v>319</v>
      </c>
      <c r="D3495">
        <v>63.8</v>
      </c>
    </row>
    <row r="3496" spans="1:4" ht="15" x14ac:dyDescent="0.25">
      <c r="A3496" t="s">
        <v>9964</v>
      </c>
      <c r="B3496">
        <v>1</v>
      </c>
      <c r="C3496">
        <v>207</v>
      </c>
      <c r="D3496">
        <v>207</v>
      </c>
    </row>
    <row r="3497" spans="1:4" ht="15" x14ac:dyDescent="0.25">
      <c r="A3497" t="s">
        <v>9962</v>
      </c>
      <c r="B3497">
        <v>1</v>
      </c>
      <c r="C3497">
        <v>207</v>
      </c>
      <c r="D3497">
        <v>207</v>
      </c>
    </row>
    <row r="3498" spans="1:4" ht="15" x14ac:dyDescent="0.25">
      <c r="A3498" t="s">
        <v>9967</v>
      </c>
      <c r="B3498">
        <v>1</v>
      </c>
      <c r="C3498">
        <v>36</v>
      </c>
      <c r="D3498">
        <v>36</v>
      </c>
    </row>
    <row r="3499" spans="1:4" ht="15" x14ac:dyDescent="0.25">
      <c r="A3499" t="s">
        <v>9968</v>
      </c>
      <c r="B3499">
        <v>1</v>
      </c>
      <c r="C3499">
        <v>36</v>
      </c>
      <c r="D3499">
        <v>36</v>
      </c>
    </row>
    <row r="3500" spans="1:4" ht="15" x14ac:dyDescent="0.25">
      <c r="A3500" t="s">
        <v>9970</v>
      </c>
      <c r="B3500">
        <v>1</v>
      </c>
      <c r="C3500">
        <v>36</v>
      </c>
      <c r="D3500">
        <v>36</v>
      </c>
    </row>
    <row r="3501" spans="1:4" ht="15" x14ac:dyDescent="0.25">
      <c r="A3501" t="s">
        <v>9971</v>
      </c>
      <c r="B3501">
        <v>1</v>
      </c>
      <c r="C3501">
        <v>36</v>
      </c>
      <c r="D3501">
        <v>36</v>
      </c>
    </row>
    <row r="3502" spans="1:4" ht="15" x14ac:dyDescent="0.25">
      <c r="A3502" t="s">
        <v>9969</v>
      </c>
      <c r="B3502">
        <v>1</v>
      </c>
      <c r="C3502">
        <v>36</v>
      </c>
      <c r="D3502">
        <v>36</v>
      </c>
    </row>
    <row r="3503" spans="1:4" ht="15" x14ac:dyDescent="0.25">
      <c r="A3503" t="s">
        <v>9975</v>
      </c>
      <c r="B3503">
        <v>1</v>
      </c>
      <c r="C3503">
        <v>41</v>
      </c>
      <c r="D3503">
        <v>41</v>
      </c>
    </row>
    <row r="3504" spans="1:4" ht="15" x14ac:dyDescent="0.25">
      <c r="A3504" t="s">
        <v>9976</v>
      </c>
      <c r="B3504">
        <v>2</v>
      </c>
      <c r="C3504">
        <v>52</v>
      </c>
      <c r="D3504">
        <v>26</v>
      </c>
    </row>
    <row r="3505" spans="1:4" ht="15" x14ac:dyDescent="0.25">
      <c r="A3505" t="s">
        <v>9978</v>
      </c>
      <c r="B3505">
        <v>2</v>
      </c>
      <c r="C3505">
        <v>70</v>
      </c>
      <c r="D3505">
        <v>35</v>
      </c>
    </row>
    <row r="3506" spans="1:4" ht="15" x14ac:dyDescent="0.25">
      <c r="A3506" t="s">
        <v>9979</v>
      </c>
      <c r="B3506">
        <v>1</v>
      </c>
      <c r="C3506">
        <v>41</v>
      </c>
      <c r="D3506">
        <v>41</v>
      </c>
    </row>
    <row r="3507" spans="1:4" ht="15" x14ac:dyDescent="0.25">
      <c r="A3507" t="s">
        <v>9977</v>
      </c>
      <c r="B3507">
        <v>1</v>
      </c>
      <c r="C3507">
        <v>41</v>
      </c>
      <c r="D3507">
        <v>41</v>
      </c>
    </row>
    <row r="3508" spans="1:4" ht="15" x14ac:dyDescent="0.25">
      <c r="A3508" t="s">
        <v>9985</v>
      </c>
      <c r="B3508">
        <v>2</v>
      </c>
      <c r="C3508">
        <v>103</v>
      </c>
      <c r="D3508">
        <v>51.5</v>
      </c>
    </row>
    <row r="3509" spans="1:4" ht="15" x14ac:dyDescent="0.25">
      <c r="A3509" t="s">
        <v>9984</v>
      </c>
      <c r="B3509">
        <v>2</v>
      </c>
      <c r="C3509">
        <v>109</v>
      </c>
      <c r="D3509">
        <v>54.5</v>
      </c>
    </row>
    <row r="3510" spans="1:4" ht="15" x14ac:dyDescent="0.25">
      <c r="A3510" t="s">
        <v>9991</v>
      </c>
      <c r="B3510">
        <v>2</v>
      </c>
      <c r="C3510">
        <v>58</v>
      </c>
      <c r="D3510">
        <v>29</v>
      </c>
    </row>
    <row r="3511" spans="1:4" ht="15" x14ac:dyDescent="0.25">
      <c r="A3511" t="s">
        <v>9993</v>
      </c>
      <c r="B3511">
        <v>1</v>
      </c>
      <c r="C3511">
        <v>32</v>
      </c>
      <c r="D3511">
        <v>32</v>
      </c>
    </row>
    <row r="3512" spans="1:4" ht="15" x14ac:dyDescent="0.25">
      <c r="A3512" t="s">
        <v>9992</v>
      </c>
      <c r="B3512">
        <v>1</v>
      </c>
      <c r="C3512">
        <v>32</v>
      </c>
      <c r="D3512">
        <v>32</v>
      </c>
    </row>
    <row r="3513" spans="1:4" ht="15" x14ac:dyDescent="0.25">
      <c r="A3513" t="s">
        <v>9998</v>
      </c>
      <c r="B3513">
        <v>3</v>
      </c>
      <c r="C3513">
        <v>1887</v>
      </c>
      <c r="D3513">
        <v>629</v>
      </c>
    </row>
    <row r="3514" spans="1:4" ht="15" x14ac:dyDescent="0.25">
      <c r="A3514" t="s">
        <v>10000</v>
      </c>
      <c r="B3514">
        <v>3</v>
      </c>
      <c r="C3514">
        <v>4221</v>
      </c>
      <c r="D3514">
        <v>1407</v>
      </c>
    </row>
    <row r="3515" spans="1:4" ht="15" x14ac:dyDescent="0.25">
      <c r="A3515" t="s">
        <v>10001</v>
      </c>
      <c r="B3515">
        <v>1</v>
      </c>
      <c r="C3515">
        <v>1494</v>
      </c>
      <c r="D3515">
        <v>1494</v>
      </c>
    </row>
    <row r="3516" spans="1:4" ht="15" x14ac:dyDescent="0.25">
      <c r="A3516" t="s">
        <v>9999</v>
      </c>
      <c r="B3516">
        <v>3</v>
      </c>
      <c r="C3516">
        <v>2676</v>
      </c>
      <c r="D3516">
        <v>892</v>
      </c>
    </row>
    <row r="3517" spans="1:4" ht="15" x14ac:dyDescent="0.25">
      <c r="A3517" t="s">
        <v>10004</v>
      </c>
      <c r="B3517">
        <v>1</v>
      </c>
      <c r="C3517">
        <v>67</v>
      </c>
      <c r="D3517">
        <v>67</v>
      </c>
    </row>
    <row r="3518" spans="1:4" ht="15" x14ac:dyDescent="0.25">
      <c r="A3518" t="s">
        <v>10005</v>
      </c>
      <c r="B3518">
        <v>4</v>
      </c>
      <c r="C3518">
        <v>224</v>
      </c>
      <c r="D3518">
        <v>56</v>
      </c>
    </row>
    <row r="3519" spans="1:4" ht="15" x14ac:dyDescent="0.25">
      <c r="A3519" t="s">
        <v>10009</v>
      </c>
      <c r="B3519">
        <v>1</v>
      </c>
      <c r="C3519">
        <v>129</v>
      </c>
      <c r="D3519">
        <v>129</v>
      </c>
    </row>
    <row r="3520" spans="1:4" ht="15" x14ac:dyDescent="0.25">
      <c r="A3520" t="s">
        <v>10011</v>
      </c>
      <c r="B3520">
        <v>1</v>
      </c>
      <c r="C3520">
        <v>129</v>
      </c>
      <c r="D3520">
        <v>129</v>
      </c>
    </row>
    <row r="3521" spans="1:4" ht="15" x14ac:dyDescent="0.25">
      <c r="A3521" t="s">
        <v>10012</v>
      </c>
      <c r="B3521">
        <v>1</v>
      </c>
      <c r="C3521">
        <v>129</v>
      </c>
      <c r="D3521">
        <v>129</v>
      </c>
    </row>
    <row r="3522" spans="1:4" ht="15" x14ac:dyDescent="0.25">
      <c r="A3522" t="s">
        <v>10010</v>
      </c>
      <c r="B3522">
        <v>1</v>
      </c>
      <c r="C3522">
        <v>129</v>
      </c>
      <c r="D3522">
        <v>129</v>
      </c>
    </row>
    <row r="3523" spans="1:4" ht="15" x14ac:dyDescent="0.25">
      <c r="A3523" t="s">
        <v>10019</v>
      </c>
      <c r="B3523">
        <v>1</v>
      </c>
      <c r="C3523">
        <v>29</v>
      </c>
      <c r="D3523">
        <v>29</v>
      </c>
    </row>
    <row r="3524" spans="1:4" ht="15" x14ac:dyDescent="0.25">
      <c r="A3524" t="s">
        <v>10021</v>
      </c>
      <c r="B3524">
        <v>1</v>
      </c>
      <c r="C3524">
        <v>29</v>
      </c>
      <c r="D3524">
        <v>29</v>
      </c>
    </row>
    <row r="3525" spans="1:4" ht="15" x14ac:dyDescent="0.25">
      <c r="A3525" t="s">
        <v>10020</v>
      </c>
      <c r="B3525">
        <v>1</v>
      </c>
      <c r="C3525">
        <v>29</v>
      </c>
      <c r="D3525">
        <v>29</v>
      </c>
    </row>
    <row r="3526" spans="1:4" ht="15" x14ac:dyDescent="0.25">
      <c r="A3526" t="s">
        <v>10026</v>
      </c>
      <c r="B3526">
        <v>1</v>
      </c>
      <c r="C3526">
        <v>26</v>
      </c>
      <c r="D3526">
        <v>26</v>
      </c>
    </row>
    <row r="3527" spans="1:4" ht="15" x14ac:dyDescent="0.25">
      <c r="A3527" t="s">
        <v>10027</v>
      </c>
      <c r="B3527">
        <v>1</v>
      </c>
      <c r="C3527">
        <v>26</v>
      </c>
      <c r="D3527">
        <v>26</v>
      </c>
    </row>
    <row r="3528" spans="1:4" ht="15" x14ac:dyDescent="0.25">
      <c r="A3528" t="s">
        <v>10028</v>
      </c>
      <c r="B3528">
        <v>1</v>
      </c>
      <c r="C3528">
        <v>26</v>
      </c>
      <c r="D3528">
        <v>26</v>
      </c>
    </row>
    <row r="3529" spans="1:4" ht="15" x14ac:dyDescent="0.25">
      <c r="A3529" t="s">
        <v>10029</v>
      </c>
      <c r="B3529">
        <v>1</v>
      </c>
      <c r="C3529">
        <v>26</v>
      </c>
      <c r="D3529">
        <v>26</v>
      </c>
    </row>
    <row r="3530" spans="1:4" ht="15" x14ac:dyDescent="0.25">
      <c r="A3530" t="s">
        <v>10032</v>
      </c>
      <c r="B3530">
        <v>16</v>
      </c>
      <c r="C3530">
        <v>657</v>
      </c>
      <c r="D3530">
        <v>41.0625</v>
      </c>
    </row>
    <row r="3531" spans="1:4" ht="15" x14ac:dyDescent="0.25">
      <c r="A3531" t="s">
        <v>10036</v>
      </c>
      <c r="B3531">
        <v>2</v>
      </c>
      <c r="C3531">
        <v>82</v>
      </c>
      <c r="D3531">
        <v>41</v>
      </c>
    </row>
    <row r="3532" spans="1:4" ht="15" x14ac:dyDescent="0.25">
      <c r="A3532" t="s">
        <v>10042</v>
      </c>
      <c r="B3532">
        <v>1</v>
      </c>
      <c r="C3532">
        <v>16</v>
      </c>
      <c r="D3532">
        <v>16</v>
      </c>
    </row>
    <row r="3533" spans="1:4" ht="15" x14ac:dyDescent="0.25">
      <c r="A3533" t="s">
        <v>10043</v>
      </c>
      <c r="B3533">
        <v>1</v>
      </c>
      <c r="C3533">
        <v>16</v>
      </c>
      <c r="D3533">
        <v>16</v>
      </c>
    </row>
    <row r="3534" spans="1:4" ht="15" x14ac:dyDescent="0.25">
      <c r="A3534" t="s">
        <v>10044</v>
      </c>
      <c r="B3534">
        <v>1</v>
      </c>
      <c r="C3534">
        <v>16</v>
      </c>
      <c r="D3534">
        <v>16</v>
      </c>
    </row>
    <row r="3535" spans="1:4" ht="15" x14ac:dyDescent="0.25">
      <c r="A3535" t="s">
        <v>10049</v>
      </c>
      <c r="B3535">
        <v>1</v>
      </c>
      <c r="C3535">
        <v>31</v>
      </c>
      <c r="D3535">
        <v>31</v>
      </c>
    </row>
    <row r="3536" spans="1:4" ht="15" x14ac:dyDescent="0.25">
      <c r="A3536" t="s">
        <v>10050</v>
      </c>
      <c r="B3536">
        <v>1</v>
      </c>
      <c r="C3536">
        <v>31</v>
      </c>
      <c r="D3536">
        <v>31</v>
      </c>
    </row>
    <row r="3537" spans="1:4" ht="15" x14ac:dyDescent="0.25">
      <c r="A3537" t="s">
        <v>10052</v>
      </c>
      <c r="B3537">
        <v>1</v>
      </c>
      <c r="C3537">
        <v>31</v>
      </c>
      <c r="D3537">
        <v>31</v>
      </c>
    </row>
    <row r="3538" spans="1:4" ht="15" x14ac:dyDescent="0.25">
      <c r="A3538" t="s">
        <v>10053</v>
      </c>
      <c r="B3538">
        <v>1</v>
      </c>
      <c r="C3538">
        <v>31</v>
      </c>
      <c r="D3538">
        <v>31</v>
      </c>
    </row>
    <row r="3539" spans="1:4" ht="15" x14ac:dyDescent="0.25">
      <c r="A3539" t="s">
        <v>10051</v>
      </c>
      <c r="B3539">
        <v>1</v>
      </c>
      <c r="C3539">
        <v>31</v>
      </c>
      <c r="D3539">
        <v>31</v>
      </c>
    </row>
    <row r="3540" spans="1:4" ht="15" x14ac:dyDescent="0.25">
      <c r="A3540" t="s">
        <v>10058</v>
      </c>
      <c r="B3540">
        <v>1</v>
      </c>
      <c r="C3540">
        <v>70</v>
      </c>
      <c r="D3540">
        <v>70</v>
      </c>
    </row>
    <row r="3541" spans="1:4" ht="15" x14ac:dyDescent="0.25">
      <c r="A3541" t="s">
        <v>10059</v>
      </c>
      <c r="B3541">
        <v>1</v>
      </c>
      <c r="C3541">
        <v>70</v>
      </c>
      <c r="D3541">
        <v>70</v>
      </c>
    </row>
    <row r="3542" spans="1:4" ht="15" x14ac:dyDescent="0.25">
      <c r="A3542" t="s">
        <v>10061</v>
      </c>
      <c r="B3542">
        <v>2</v>
      </c>
      <c r="C3542">
        <v>156</v>
      </c>
      <c r="D3542">
        <v>78</v>
      </c>
    </row>
    <row r="3543" spans="1:4" ht="15" x14ac:dyDescent="0.25">
      <c r="A3543" t="s">
        <v>10060</v>
      </c>
      <c r="B3543">
        <v>2</v>
      </c>
      <c r="C3543">
        <v>156</v>
      </c>
      <c r="D3543">
        <v>78</v>
      </c>
    </row>
    <row r="3544" spans="1:4" ht="15" x14ac:dyDescent="0.25">
      <c r="A3544" t="s">
        <v>10064</v>
      </c>
      <c r="B3544">
        <v>1</v>
      </c>
      <c r="C3544">
        <v>51</v>
      </c>
      <c r="D3544">
        <v>51</v>
      </c>
    </row>
    <row r="3545" spans="1:4" ht="15" x14ac:dyDescent="0.25">
      <c r="A3545" t="s">
        <v>10065</v>
      </c>
      <c r="B3545">
        <v>1</v>
      </c>
      <c r="C3545">
        <v>51</v>
      </c>
      <c r="D3545">
        <v>51</v>
      </c>
    </row>
    <row r="3546" spans="1:4" ht="15" x14ac:dyDescent="0.25">
      <c r="A3546" t="s">
        <v>10069</v>
      </c>
      <c r="B3546">
        <v>1</v>
      </c>
      <c r="C3546">
        <v>10</v>
      </c>
      <c r="D3546">
        <v>10</v>
      </c>
    </row>
    <row r="3547" spans="1:4" ht="15" x14ac:dyDescent="0.25">
      <c r="A3547" t="s">
        <v>10070</v>
      </c>
      <c r="B3547">
        <v>1</v>
      </c>
      <c r="C3547">
        <v>10</v>
      </c>
      <c r="D3547">
        <v>10</v>
      </c>
    </row>
    <row r="3548" spans="1:4" ht="15" x14ac:dyDescent="0.25">
      <c r="A3548" t="s">
        <v>10074</v>
      </c>
      <c r="B3548">
        <v>1</v>
      </c>
      <c r="C3548">
        <v>39</v>
      </c>
      <c r="D3548">
        <v>39</v>
      </c>
    </row>
    <row r="3549" spans="1:4" ht="15" x14ac:dyDescent="0.25">
      <c r="A3549" t="s">
        <v>10078</v>
      </c>
      <c r="B3549">
        <v>2</v>
      </c>
      <c r="C3549">
        <v>69</v>
      </c>
      <c r="D3549">
        <v>34.5</v>
      </c>
    </row>
    <row r="3550" spans="1:4" ht="15" x14ac:dyDescent="0.25">
      <c r="A3550" t="s">
        <v>10080</v>
      </c>
      <c r="B3550">
        <v>1</v>
      </c>
      <c r="C3550">
        <v>8</v>
      </c>
      <c r="D3550">
        <v>8</v>
      </c>
    </row>
    <row r="3551" spans="1:4" ht="15" x14ac:dyDescent="0.25">
      <c r="A3551" t="s">
        <v>10079</v>
      </c>
      <c r="B3551">
        <v>1</v>
      </c>
      <c r="C3551">
        <v>8</v>
      </c>
      <c r="D3551">
        <v>8</v>
      </c>
    </row>
    <row r="3552" spans="1:4" ht="15" x14ac:dyDescent="0.25">
      <c r="A3552" t="s">
        <v>10084</v>
      </c>
      <c r="B3552">
        <v>3</v>
      </c>
      <c r="C3552">
        <v>76</v>
      </c>
      <c r="D3552">
        <v>25.333333333333332</v>
      </c>
    </row>
    <row r="3553" spans="1:4" ht="15" x14ac:dyDescent="0.25">
      <c r="A3553" t="s">
        <v>10085</v>
      </c>
      <c r="B3553">
        <v>1</v>
      </c>
      <c r="C3553">
        <v>23</v>
      </c>
      <c r="D3553">
        <v>23</v>
      </c>
    </row>
    <row r="3554" spans="1:4" ht="15" x14ac:dyDescent="0.25">
      <c r="A3554" t="s">
        <v>10087</v>
      </c>
      <c r="B3554">
        <v>2</v>
      </c>
      <c r="C3554">
        <v>51</v>
      </c>
      <c r="D3554">
        <v>25.5</v>
      </c>
    </row>
    <row r="3555" spans="1:4" ht="15" x14ac:dyDescent="0.25">
      <c r="A3555" t="s">
        <v>10088</v>
      </c>
      <c r="B3555">
        <v>1</v>
      </c>
      <c r="C3555">
        <v>23</v>
      </c>
      <c r="D3555">
        <v>23</v>
      </c>
    </row>
    <row r="3556" spans="1:4" ht="15" x14ac:dyDescent="0.25">
      <c r="A3556" t="s">
        <v>10086</v>
      </c>
      <c r="B3556">
        <v>1</v>
      </c>
      <c r="C3556">
        <v>23</v>
      </c>
      <c r="D3556">
        <v>23</v>
      </c>
    </row>
    <row r="3557" spans="1:4" ht="15" x14ac:dyDescent="0.25">
      <c r="A3557" t="s">
        <v>10093</v>
      </c>
      <c r="B3557">
        <v>1</v>
      </c>
      <c r="C3557">
        <v>37</v>
      </c>
      <c r="D3557">
        <v>37</v>
      </c>
    </row>
    <row r="3558" spans="1:4" ht="15" x14ac:dyDescent="0.25">
      <c r="A3558" t="s">
        <v>10094</v>
      </c>
      <c r="B3558">
        <v>3</v>
      </c>
      <c r="C3558">
        <v>133</v>
      </c>
      <c r="D3558">
        <v>44.333333333333336</v>
      </c>
    </row>
    <row r="3559" spans="1:4" ht="15" x14ac:dyDescent="0.25">
      <c r="A3559" t="s">
        <v>10095</v>
      </c>
      <c r="B3559">
        <v>1</v>
      </c>
      <c r="C3559">
        <v>37</v>
      </c>
      <c r="D3559">
        <v>37</v>
      </c>
    </row>
    <row r="3560" spans="1:4" ht="15" x14ac:dyDescent="0.25">
      <c r="A3560" t="s">
        <v>10096</v>
      </c>
      <c r="B3560">
        <v>1</v>
      </c>
      <c r="C3560">
        <v>37</v>
      </c>
      <c r="D3560">
        <v>37</v>
      </c>
    </row>
    <row r="3561" spans="1:4" ht="15" x14ac:dyDescent="0.25">
      <c r="A3561" t="s">
        <v>10100</v>
      </c>
      <c r="B3561">
        <v>2</v>
      </c>
      <c r="C3561">
        <v>61</v>
      </c>
      <c r="D3561">
        <v>30.5</v>
      </c>
    </row>
    <row r="3562" spans="1:4" ht="15" x14ac:dyDescent="0.25">
      <c r="A3562" t="s">
        <v>10102</v>
      </c>
      <c r="B3562">
        <v>2</v>
      </c>
      <c r="C3562">
        <v>61</v>
      </c>
      <c r="D3562">
        <v>30.5</v>
      </c>
    </row>
    <row r="3563" spans="1:4" ht="15" x14ac:dyDescent="0.25">
      <c r="A3563" t="s">
        <v>10101</v>
      </c>
      <c r="B3563">
        <v>7</v>
      </c>
      <c r="C3563">
        <v>119</v>
      </c>
      <c r="D3563">
        <v>17</v>
      </c>
    </row>
    <row r="3564" spans="1:4" ht="15" x14ac:dyDescent="0.25">
      <c r="A3564" t="s">
        <v>10105</v>
      </c>
      <c r="B3564">
        <v>3</v>
      </c>
      <c r="C3564">
        <v>147</v>
      </c>
      <c r="D3564">
        <v>49</v>
      </c>
    </row>
    <row r="3565" spans="1:4" ht="15" x14ac:dyDescent="0.25">
      <c r="A3565" t="s">
        <v>10109</v>
      </c>
      <c r="B3565">
        <v>1</v>
      </c>
      <c r="C3565">
        <v>27</v>
      </c>
      <c r="D3565">
        <v>27</v>
      </c>
    </row>
    <row r="3566" spans="1:4" ht="15" x14ac:dyDescent="0.25">
      <c r="A3566" t="s">
        <v>10110</v>
      </c>
      <c r="B3566">
        <v>1</v>
      </c>
      <c r="C3566">
        <v>27</v>
      </c>
      <c r="D3566">
        <v>27</v>
      </c>
    </row>
    <row r="3567" spans="1:4" ht="15" x14ac:dyDescent="0.25">
      <c r="A3567" t="s">
        <v>10112</v>
      </c>
      <c r="B3567">
        <v>1</v>
      </c>
      <c r="C3567">
        <v>27</v>
      </c>
      <c r="D3567">
        <v>27</v>
      </c>
    </row>
    <row r="3568" spans="1:4" ht="15" x14ac:dyDescent="0.25">
      <c r="A3568" t="s">
        <v>10111</v>
      </c>
      <c r="B3568">
        <v>1</v>
      </c>
      <c r="C3568">
        <v>27</v>
      </c>
      <c r="D3568">
        <v>27</v>
      </c>
    </row>
    <row r="3569" spans="1:4" ht="15" x14ac:dyDescent="0.25">
      <c r="A3569" t="s">
        <v>10115</v>
      </c>
      <c r="B3569">
        <v>5</v>
      </c>
      <c r="C3569">
        <v>293</v>
      </c>
      <c r="D3569">
        <v>58.6</v>
      </c>
    </row>
    <row r="3570" spans="1:4" ht="15" x14ac:dyDescent="0.25">
      <c r="A3570" t="s">
        <v>10119</v>
      </c>
      <c r="B3570">
        <v>1</v>
      </c>
      <c r="C3570">
        <v>30</v>
      </c>
      <c r="D3570">
        <v>30</v>
      </c>
    </row>
    <row r="3571" spans="1:4" ht="15" x14ac:dyDescent="0.25">
      <c r="A3571" t="s">
        <v>10120</v>
      </c>
      <c r="B3571">
        <v>1</v>
      </c>
      <c r="C3571">
        <v>30</v>
      </c>
      <c r="D3571">
        <v>30</v>
      </c>
    </row>
    <row r="3572" spans="1:4" ht="15" x14ac:dyDescent="0.25">
      <c r="A3572" t="s">
        <v>10121</v>
      </c>
      <c r="B3572">
        <v>1</v>
      </c>
      <c r="C3572">
        <v>30</v>
      </c>
      <c r="D3572">
        <v>30</v>
      </c>
    </row>
    <row r="3573" spans="1:4" ht="15" x14ac:dyDescent="0.25">
      <c r="A3573" t="s">
        <v>10122</v>
      </c>
      <c r="B3573">
        <v>1</v>
      </c>
      <c r="C3573">
        <v>30</v>
      </c>
      <c r="D3573">
        <v>30</v>
      </c>
    </row>
    <row r="3574" spans="1:4" ht="15" x14ac:dyDescent="0.25">
      <c r="A3574" t="s">
        <v>10126</v>
      </c>
      <c r="B3574">
        <v>2</v>
      </c>
      <c r="C3574">
        <v>254</v>
      </c>
      <c r="D3574">
        <v>127</v>
      </c>
    </row>
    <row r="3575" spans="1:4" ht="15" x14ac:dyDescent="0.25">
      <c r="A3575" t="s">
        <v>10127</v>
      </c>
      <c r="B3575">
        <v>2</v>
      </c>
      <c r="C3575">
        <v>253</v>
      </c>
      <c r="D3575">
        <v>126.5</v>
      </c>
    </row>
    <row r="3576" spans="1:4" ht="15" x14ac:dyDescent="0.25">
      <c r="A3576" t="s">
        <v>10129</v>
      </c>
      <c r="B3576">
        <v>1</v>
      </c>
      <c r="C3576">
        <v>250</v>
      </c>
      <c r="D3576">
        <v>250</v>
      </c>
    </row>
    <row r="3577" spans="1:4" ht="15" x14ac:dyDescent="0.25">
      <c r="A3577" t="s">
        <v>10128</v>
      </c>
      <c r="B3577">
        <v>3</v>
      </c>
      <c r="C3577">
        <v>535</v>
      </c>
      <c r="D3577">
        <v>178.33333333333334</v>
      </c>
    </row>
    <row r="3578" spans="1:4" ht="15" x14ac:dyDescent="0.25">
      <c r="A3578" t="s">
        <v>10134</v>
      </c>
      <c r="B3578">
        <v>2</v>
      </c>
      <c r="C3578">
        <v>36</v>
      </c>
      <c r="D3578">
        <v>18</v>
      </c>
    </row>
    <row r="3579" spans="1:4" ht="15" x14ac:dyDescent="0.25">
      <c r="A3579" t="s">
        <v>10135</v>
      </c>
      <c r="B3579">
        <v>3</v>
      </c>
      <c r="C3579">
        <v>95</v>
      </c>
      <c r="D3579">
        <v>31.666666666666668</v>
      </c>
    </row>
    <row r="3580" spans="1:4" ht="15" x14ac:dyDescent="0.25">
      <c r="A3580" t="s">
        <v>10136</v>
      </c>
      <c r="B3580">
        <v>1</v>
      </c>
      <c r="C3580">
        <v>26</v>
      </c>
      <c r="D3580">
        <v>26</v>
      </c>
    </row>
    <row r="3581" spans="1:4" ht="15" x14ac:dyDescent="0.25">
      <c r="A3581" t="s">
        <v>10142</v>
      </c>
      <c r="B3581">
        <v>1</v>
      </c>
      <c r="C3581">
        <v>23</v>
      </c>
      <c r="D3581">
        <v>23</v>
      </c>
    </row>
    <row r="3582" spans="1:4" ht="15" x14ac:dyDescent="0.25">
      <c r="A3582" t="s">
        <v>10146</v>
      </c>
      <c r="B3582">
        <v>1</v>
      </c>
      <c r="C3582">
        <v>19</v>
      </c>
      <c r="D3582">
        <v>19</v>
      </c>
    </row>
    <row r="3583" spans="1:4" ht="15" x14ac:dyDescent="0.25">
      <c r="A3583" t="s">
        <v>10147</v>
      </c>
      <c r="B3583">
        <v>1</v>
      </c>
      <c r="C3583">
        <v>19</v>
      </c>
      <c r="D3583">
        <v>19</v>
      </c>
    </row>
    <row r="3584" spans="1:4" ht="15" x14ac:dyDescent="0.25">
      <c r="A3584" t="s">
        <v>10148</v>
      </c>
      <c r="B3584">
        <v>1</v>
      </c>
      <c r="C3584">
        <v>19</v>
      </c>
      <c r="D3584">
        <v>19</v>
      </c>
    </row>
    <row r="3585" spans="1:4" ht="15" x14ac:dyDescent="0.25">
      <c r="A3585" t="s">
        <v>10152</v>
      </c>
      <c r="B3585">
        <v>1</v>
      </c>
      <c r="C3585">
        <v>14</v>
      </c>
      <c r="D3585">
        <v>14</v>
      </c>
    </row>
    <row r="3586" spans="1:4" ht="15" x14ac:dyDescent="0.25">
      <c r="A3586" t="s">
        <v>10153</v>
      </c>
      <c r="B3586">
        <v>1</v>
      </c>
      <c r="C3586">
        <v>14</v>
      </c>
      <c r="D3586">
        <v>14</v>
      </c>
    </row>
    <row r="3587" spans="1:4" ht="15" x14ac:dyDescent="0.25">
      <c r="A3587" t="s">
        <v>10155</v>
      </c>
      <c r="B3587">
        <v>2</v>
      </c>
      <c r="C3587">
        <v>90</v>
      </c>
      <c r="D3587">
        <v>45</v>
      </c>
    </row>
    <row r="3588" spans="1:4" ht="15" x14ac:dyDescent="0.25">
      <c r="A3588" t="s">
        <v>10154</v>
      </c>
      <c r="B3588">
        <v>1</v>
      </c>
      <c r="C3588">
        <v>14</v>
      </c>
      <c r="D3588">
        <v>14</v>
      </c>
    </row>
    <row r="3589" spans="1:4" ht="15" x14ac:dyDescent="0.25">
      <c r="A3589" t="s">
        <v>10159</v>
      </c>
      <c r="B3589">
        <v>1</v>
      </c>
      <c r="C3589">
        <v>18</v>
      </c>
      <c r="D3589">
        <v>18</v>
      </c>
    </row>
    <row r="3590" spans="1:4" ht="15" x14ac:dyDescent="0.25">
      <c r="A3590" t="s">
        <v>10161</v>
      </c>
      <c r="B3590">
        <v>1</v>
      </c>
      <c r="C3590">
        <v>18</v>
      </c>
      <c r="D3590">
        <v>18</v>
      </c>
    </row>
    <row r="3591" spans="1:4" ht="15" x14ac:dyDescent="0.25">
      <c r="A3591" t="s">
        <v>10162</v>
      </c>
      <c r="B3591">
        <v>1</v>
      </c>
      <c r="C3591">
        <v>18</v>
      </c>
      <c r="D3591">
        <v>18</v>
      </c>
    </row>
    <row r="3592" spans="1:4" ht="15" x14ac:dyDescent="0.25">
      <c r="A3592" t="s">
        <v>10160</v>
      </c>
      <c r="B3592">
        <v>2</v>
      </c>
      <c r="C3592">
        <v>27</v>
      </c>
      <c r="D3592">
        <v>13.5</v>
      </c>
    </row>
    <row r="3593" spans="1:4" ht="15" x14ac:dyDescent="0.25">
      <c r="A3593" t="s">
        <v>10167</v>
      </c>
      <c r="B3593">
        <v>1</v>
      </c>
      <c r="C3593">
        <v>7</v>
      </c>
      <c r="D3593">
        <v>7</v>
      </c>
    </row>
    <row r="3594" spans="1:4" ht="15" x14ac:dyDescent="0.25">
      <c r="A3594" t="s">
        <v>10168</v>
      </c>
      <c r="B3594">
        <v>1</v>
      </c>
      <c r="C3594">
        <v>7</v>
      </c>
      <c r="D3594">
        <v>7</v>
      </c>
    </row>
    <row r="3595" spans="1:4" ht="15" x14ac:dyDescent="0.25">
      <c r="A3595" t="s">
        <v>10171</v>
      </c>
      <c r="B3595">
        <v>4</v>
      </c>
      <c r="C3595">
        <v>196</v>
      </c>
      <c r="D3595">
        <v>49</v>
      </c>
    </row>
    <row r="3596" spans="1:4" ht="15" x14ac:dyDescent="0.25">
      <c r="A3596" t="s">
        <v>10172</v>
      </c>
      <c r="B3596">
        <v>6</v>
      </c>
      <c r="C3596">
        <v>271</v>
      </c>
      <c r="D3596">
        <v>45.166666666666664</v>
      </c>
    </row>
    <row r="3597" spans="1:4" ht="15" x14ac:dyDescent="0.25">
      <c r="A3597" t="s">
        <v>10177</v>
      </c>
      <c r="B3597">
        <v>1</v>
      </c>
      <c r="C3597">
        <v>0</v>
      </c>
      <c r="D3597">
        <v>0</v>
      </c>
    </row>
    <row r="3598" spans="1:4" ht="15" x14ac:dyDescent="0.25">
      <c r="A3598" t="s">
        <v>10176</v>
      </c>
      <c r="B3598">
        <v>1</v>
      </c>
      <c r="C3598">
        <v>0</v>
      </c>
      <c r="D3598">
        <v>0</v>
      </c>
    </row>
    <row r="3599" spans="1:4" ht="15" x14ac:dyDescent="0.25">
      <c r="A3599" t="s">
        <v>10181</v>
      </c>
      <c r="B3599">
        <v>1</v>
      </c>
      <c r="C3599">
        <v>38</v>
      </c>
      <c r="D3599">
        <v>38</v>
      </c>
    </row>
    <row r="3600" spans="1:4" ht="15" x14ac:dyDescent="0.25">
      <c r="A3600" t="s">
        <v>10183</v>
      </c>
      <c r="B3600">
        <v>1</v>
      </c>
      <c r="C3600">
        <v>38</v>
      </c>
      <c r="D3600">
        <v>38</v>
      </c>
    </row>
    <row r="3601" spans="1:4" ht="15" x14ac:dyDescent="0.25">
      <c r="A3601" t="s">
        <v>10182</v>
      </c>
      <c r="B3601">
        <v>1</v>
      </c>
      <c r="C3601">
        <v>38</v>
      </c>
      <c r="D3601">
        <v>38</v>
      </c>
    </row>
    <row r="3602" spans="1:4" ht="15" x14ac:dyDescent="0.25">
      <c r="A3602" t="s">
        <v>10186</v>
      </c>
      <c r="B3602">
        <v>5</v>
      </c>
      <c r="C3602">
        <v>339</v>
      </c>
      <c r="D3602">
        <v>67.8</v>
      </c>
    </row>
    <row r="3603" spans="1:4" ht="15" x14ac:dyDescent="0.25">
      <c r="A3603" t="s">
        <v>10190</v>
      </c>
      <c r="B3603">
        <v>1</v>
      </c>
      <c r="C3603">
        <v>15</v>
      </c>
      <c r="D3603">
        <v>15</v>
      </c>
    </row>
    <row r="3604" spans="1:4" ht="15" x14ac:dyDescent="0.25">
      <c r="A3604" t="s">
        <v>10189</v>
      </c>
      <c r="B3604">
        <v>1</v>
      </c>
      <c r="C3604">
        <v>15</v>
      </c>
      <c r="D3604">
        <v>15</v>
      </c>
    </row>
    <row r="3605" spans="1:4" ht="15" x14ac:dyDescent="0.25">
      <c r="A3605" t="s">
        <v>10195</v>
      </c>
      <c r="B3605">
        <v>2</v>
      </c>
      <c r="C3605">
        <v>180</v>
      </c>
      <c r="D3605">
        <v>90</v>
      </c>
    </row>
    <row r="3606" spans="1:4" ht="15" x14ac:dyDescent="0.25">
      <c r="A3606" t="s">
        <v>10199</v>
      </c>
      <c r="B3606">
        <v>16</v>
      </c>
      <c r="C3606">
        <v>1649</v>
      </c>
      <c r="D3606">
        <v>103.0625</v>
      </c>
    </row>
    <row r="3607" spans="1:4" ht="15" x14ac:dyDescent="0.25">
      <c r="A3607" t="s">
        <v>10205</v>
      </c>
      <c r="B3607">
        <v>1</v>
      </c>
      <c r="C3607">
        <v>18</v>
      </c>
      <c r="D3607">
        <v>18</v>
      </c>
    </row>
    <row r="3608" spans="1:4" ht="15" x14ac:dyDescent="0.25">
      <c r="A3608" t="s">
        <v>10207</v>
      </c>
      <c r="B3608">
        <v>1</v>
      </c>
      <c r="C3608">
        <v>18</v>
      </c>
      <c r="D3608">
        <v>18</v>
      </c>
    </row>
    <row r="3609" spans="1:4" ht="15" x14ac:dyDescent="0.25">
      <c r="A3609" t="s">
        <v>10208</v>
      </c>
      <c r="B3609">
        <v>1</v>
      </c>
      <c r="C3609">
        <v>18</v>
      </c>
      <c r="D3609">
        <v>18</v>
      </c>
    </row>
    <row r="3610" spans="1:4" ht="15" x14ac:dyDescent="0.25">
      <c r="A3610" t="s">
        <v>10206</v>
      </c>
      <c r="B3610">
        <v>1</v>
      </c>
      <c r="C3610">
        <v>18</v>
      </c>
      <c r="D3610">
        <v>18</v>
      </c>
    </row>
    <row r="3611" spans="1:4" ht="15" x14ac:dyDescent="0.25">
      <c r="A3611" t="s">
        <v>10212</v>
      </c>
      <c r="B3611">
        <v>1</v>
      </c>
      <c r="C3611">
        <v>73</v>
      </c>
      <c r="D3611">
        <v>73</v>
      </c>
    </row>
    <row r="3612" spans="1:4" ht="15" x14ac:dyDescent="0.25">
      <c r="A3612" t="s">
        <v>10216</v>
      </c>
      <c r="B3612">
        <v>2</v>
      </c>
      <c r="C3612">
        <v>82</v>
      </c>
      <c r="D3612">
        <v>41</v>
      </c>
    </row>
    <row r="3613" spans="1:4" ht="15" x14ac:dyDescent="0.25">
      <c r="A3613" t="s">
        <v>10217</v>
      </c>
      <c r="B3613">
        <v>2</v>
      </c>
      <c r="C3613">
        <v>157</v>
      </c>
      <c r="D3613">
        <v>78.5</v>
      </c>
    </row>
    <row r="3614" spans="1:4" ht="15" x14ac:dyDescent="0.25">
      <c r="A3614" t="s">
        <v>10219</v>
      </c>
      <c r="B3614">
        <v>2</v>
      </c>
      <c r="C3614">
        <v>162</v>
      </c>
      <c r="D3614">
        <v>81</v>
      </c>
    </row>
    <row r="3615" spans="1:4" ht="15" x14ac:dyDescent="0.25">
      <c r="A3615" t="s">
        <v>10218</v>
      </c>
      <c r="B3615">
        <v>1</v>
      </c>
      <c r="C3615">
        <v>62</v>
      </c>
      <c r="D3615">
        <v>62</v>
      </c>
    </row>
    <row r="3616" spans="1:4" ht="15" x14ac:dyDescent="0.25">
      <c r="A3616" t="s">
        <v>10223</v>
      </c>
      <c r="B3616">
        <v>7</v>
      </c>
      <c r="C3616">
        <v>468</v>
      </c>
      <c r="D3616">
        <v>66.857142857142861</v>
      </c>
    </row>
    <row r="3617" spans="1:4" ht="15" x14ac:dyDescent="0.25">
      <c r="A3617" t="s">
        <v>10225</v>
      </c>
      <c r="B3617">
        <v>1</v>
      </c>
      <c r="C3617">
        <v>16</v>
      </c>
      <c r="D3617">
        <v>16</v>
      </c>
    </row>
    <row r="3618" spans="1:4" ht="15" x14ac:dyDescent="0.25">
      <c r="A3618" t="s">
        <v>10224</v>
      </c>
      <c r="B3618">
        <v>2</v>
      </c>
      <c r="C3618">
        <v>27</v>
      </c>
      <c r="D3618">
        <v>13.5</v>
      </c>
    </row>
    <row r="3619" spans="1:4" ht="15" x14ac:dyDescent="0.25">
      <c r="A3619" t="s">
        <v>10229</v>
      </c>
      <c r="B3619">
        <v>1</v>
      </c>
      <c r="C3619">
        <v>18</v>
      </c>
      <c r="D3619">
        <v>18</v>
      </c>
    </row>
    <row r="3620" spans="1:4" ht="15" x14ac:dyDescent="0.25">
      <c r="A3620" t="s">
        <v>10230</v>
      </c>
      <c r="B3620">
        <v>1</v>
      </c>
      <c r="C3620">
        <v>18</v>
      </c>
      <c r="D3620">
        <v>18</v>
      </c>
    </row>
    <row r="3621" spans="1:4" ht="15" x14ac:dyDescent="0.25">
      <c r="A3621" t="s">
        <v>10232</v>
      </c>
      <c r="B3621">
        <v>1</v>
      </c>
      <c r="C3621">
        <v>18</v>
      </c>
      <c r="D3621">
        <v>18</v>
      </c>
    </row>
    <row r="3622" spans="1:4" ht="15" x14ac:dyDescent="0.25">
      <c r="A3622" t="s">
        <v>10233</v>
      </c>
      <c r="B3622">
        <v>1</v>
      </c>
      <c r="C3622">
        <v>18</v>
      </c>
      <c r="D3622">
        <v>18</v>
      </c>
    </row>
    <row r="3623" spans="1:4" ht="15" x14ac:dyDescent="0.25">
      <c r="A3623" t="s">
        <v>10231</v>
      </c>
      <c r="B3623">
        <v>1</v>
      </c>
      <c r="C3623">
        <v>18</v>
      </c>
      <c r="D3623">
        <v>18</v>
      </c>
    </row>
    <row r="3624" spans="1:4" ht="15" x14ac:dyDescent="0.25">
      <c r="A3624" t="s">
        <v>10236</v>
      </c>
      <c r="B3624">
        <v>4</v>
      </c>
      <c r="C3624">
        <v>101</v>
      </c>
      <c r="D3624">
        <v>25.25</v>
      </c>
    </row>
    <row r="3625" spans="1:4" ht="15" x14ac:dyDescent="0.25">
      <c r="A3625" t="s">
        <v>10240</v>
      </c>
      <c r="B3625">
        <v>1</v>
      </c>
      <c r="C3625">
        <v>21</v>
      </c>
      <c r="D3625">
        <v>21</v>
      </c>
    </row>
    <row r="3626" spans="1:4" ht="15" x14ac:dyDescent="0.25">
      <c r="A3626" t="s">
        <v>10242</v>
      </c>
      <c r="B3626">
        <v>2</v>
      </c>
      <c r="C3626">
        <v>34</v>
      </c>
      <c r="D3626">
        <v>17</v>
      </c>
    </row>
    <row r="3627" spans="1:4" ht="15" x14ac:dyDescent="0.25">
      <c r="A3627" t="s">
        <v>10241</v>
      </c>
      <c r="B3627">
        <v>1</v>
      </c>
      <c r="C3627">
        <v>21</v>
      </c>
      <c r="D3627">
        <v>21</v>
      </c>
    </row>
    <row r="3628" spans="1:4" ht="15" x14ac:dyDescent="0.25">
      <c r="A3628" t="s">
        <v>10246</v>
      </c>
      <c r="B3628">
        <v>1</v>
      </c>
      <c r="C3628">
        <v>193</v>
      </c>
      <c r="D3628">
        <v>193</v>
      </c>
    </row>
    <row r="3629" spans="1:4" ht="15" x14ac:dyDescent="0.25">
      <c r="A3629" t="s">
        <v>10247</v>
      </c>
      <c r="B3629">
        <v>1</v>
      </c>
      <c r="C3629">
        <v>193</v>
      </c>
      <c r="D3629">
        <v>193</v>
      </c>
    </row>
    <row r="3630" spans="1:4" ht="15" x14ac:dyDescent="0.25">
      <c r="A3630" t="s">
        <v>10249</v>
      </c>
      <c r="B3630">
        <v>1</v>
      </c>
      <c r="C3630">
        <v>193</v>
      </c>
      <c r="D3630">
        <v>193</v>
      </c>
    </row>
    <row r="3631" spans="1:4" ht="15" x14ac:dyDescent="0.25">
      <c r="A3631" t="s">
        <v>10250</v>
      </c>
      <c r="B3631">
        <v>1</v>
      </c>
      <c r="C3631">
        <v>193</v>
      </c>
      <c r="D3631">
        <v>193</v>
      </c>
    </row>
    <row r="3632" spans="1:4" ht="15" x14ac:dyDescent="0.25">
      <c r="A3632" t="s">
        <v>10248</v>
      </c>
      <c r="B3632">
        <v>1</v>
      </c>
      <c r="C3632">
        <v>193</v>
      </c>
      <c r="D3632">
        <v>193</v>
      </c>
    </row>
    <row r="3633" spans="1:4" ht="15" x14ac:dyDescent="0.25">
      <c r="A3633" t="s">
        <v>10254</v>
      </c>
      <c r="B3633">
        <v>1</v>
      </c>
      <c r="C3633">
        <v>15</v>
      </c>
      <c r="D3633">
        <v>15</v>
      </c>
    </row>
    <row r="3634" spans="1:4" ht="15" x14ac:dyDescent="0.25">
      <c r="A3634" t="s">
        <v>10257</v>
      </c>
      <c r="B3634">
        <v>2</v>
      </c>
      <c r="C3634">
        <v>102</v>
      </c>
      <c r="D3634">
        <v>51</v>
      </c>
    </row>
    <row r="3635" spans="1:4" ht="15" x14ac:dyDescent="0.25">
      <c r="A3635" t="s">
        <v>10264</v>
      </c>
      <c r="B3635">
        <v>1</v>
      </c>
      <c r="C3635">
        <v>98</v>
      </c>
      <c r="D3635">
        <v>98</v>
      </c>
    </row>
    <row r="3636" spans="1:4" ht="15" x14ac:dyDescent="0.25">
      <c r="A3636" t="s">
        <v>10268</v>
      </c>
      <c r="B3636">
        <v>2</v>
      </c>
      <c r="C3636">
        <v>30</v>
      </c>
      <c r="D3636">
        <v>15</v>
      </c>
    </row>
    <row r="3637" spans="1:4" ht="15" x14ac:dyDescent="0.25">
      <c r="A3637" t="s">
        <v>10269</v>
      </c>
      <c r="B3637">
        <v>1</v>
      </c>
      <c r="C3637">
        <v>28</v>
      </c>
      <c r="D3637">
        <v>28</v>
      </c>
    </row>
    <row r="3638" spans="1:4" ht="15" x14ac:dyDescent="0.25">
      <c r="A3638" t="s">
        <v>10275</v>
      </c>
      <c r="B3638">
        <v>1</v>
      </c>
      <c r="C3638">
        <v>26</v>
      </c>
      <c r="D3638">
        <v>26</v>
      </c>
    </row>
    <row r="3639" spans="1:4" ht="15" x14ac:dyDescent="0.25">
      <c r="A3639" t="s">
        <v>10276</v>
      </c>
      <c r="B3639">
        <v>1</v>
      </c>
      <c r="C3639">
        <v>26</v>
      </c>
      <c r="D3639">
        <v>26</v>
      </c>
    </row>
    <row r="3640" spans="1:4" ht="15" x14ac:dyDescent="0.25">
      <c r="A3640" t="s">
        <v>10285</v>
      </c>
      <c r="B3640">
        <v>1</v>
      </c>
      <c r="C3640">
        <v>28</v>
      </c>
      <c r="D3640">
        <v>28</v>
      </c>
    </row>
    <row r="3641" spans="1:4" ht="15" x14ac:dyDescent="0.25">
      <c r="A3641" t="s">
        <v>10286</v>
      </c>
      <c r="B3641">
        <v>3</v>
      </c>
      <c r="C3641">
        <v>82</v>
      </c>
      <c r="D3641">
        <v>27.333333333333332</v>
      </c>
    </row>
    <row r="3642" spans="1:4" ht="15" x14ac:dyDescent="0.25">
      <c r="A3642" t="s">
        <v>10291</v>
      </c>
      <c r="B3642">
        <v>1</v>
      </c>
      <c r="C3642">
        <v>11</v>
      </c>
      <c r="D3642">
        <v>11</v>
      </c>
    </row>
    <row r="3643" spans="1:4" ht="15" x14ac:dyDescent="0.25">
      <c r="A3643" t="s">
        <v>10290</v>
      </c>
      <c r="B3643">
        <v>1</v>
      </c>
      <c r="C3643">
        <v>11</v>
      </c>
      <c r="D3643">
        <v>11</v>
      </c>
    </row>
    <row r="3644" spans="1:4" ht="15" x14ac:dyDescent="0.25">
      <c r="A3644" t="s">
        <v>10295</v>
      </c>
      <c r="B3644">
        <v>1</v>
      </c>
      <c r="C3644">
        <v>8</v>
      </c>
      <c r="D3644">
        <v>8</v>
      </c>
    </row>
    <row r="3645" spans="1:4" ht="15" x14ac:dyDescent="0.25">
      <c r="A3645" t="s">
        <v>10296</v>
      </c>
      <c r="B3645">
        <v>2</v>
      </c>
      <c r="C3645">
        <v>59</v>
      </c>
      <c r="D3645">
        <v>29.5</v>
      </c>
    </row>
    <row r="3646" spans="1:4" ht="15" x14ac:dyDescent="0.25">
      <c r="A3646" t="s">
        <v>10298</v>
      </c>
      <c r="B3646">
        <v>1</v>
      </c>
      <c r="C3646">
        <v>8</v>
      </c>
      <c r="D3646">
        <v>8</v>
      </c>
    </row>
    <row r="3647" spans="1:4" ht="15" x14ac:dyDescent="0.25">
      <c r="A3647" t="s">
        <v>10299</v>
      </c>
      <c r="B3647">
        <v>7</v>
      </c>
      <c r="C3647">
        <v>429</v>
      </c>
      <c r="D3647">
        <v>61.285714285714285</v>
      </c>
    </row>
    <row r="3648" spans="1:4" ht="15" x14ac:dyDescent="0.25">
      <c r="A3648" t="s">
        <v>10297</v>
      </c>
      <c r="B3648">
        <v>3</v>
      </c>
      <c r="C3648">
        <v>29</v>
      </c>
      <c r="D3648">
        <v>9.6666666666666661</v>
      </c>
    </row>
    <row r="3649" spans="1:4" ht="15" x14ac:dyDescent="0.25">
      <c r="A3649" t="s">
        <v>10302</v>
      </c>
      <c r="B3649">
        <v>1</v>
      </c>
      <c r="C3649">
        <v>27</v>
      </c>
      <c r="D3649">
        <v>27</v>
      </c>
    </row>
    <row r="3650" spans="1:4" ht="15" x14ac:dyDescent="0.25">
      <c r="A3650" t="s">
        <v>10303</v>
      </c>
      <c r="B3650">
        <v>1</v>
      </c>
      <c r="C3650">
        <v>27</v>
      </c>
      <c r="D3650">
        <v>27</v>
      </c>
    </row>
    <row r="3651" spans="1:4" ht="15" x14ac:dyDescent="0.25">
      <c r="A3651" t="s">
        <v>10304</v>
      </c>
      <c r="B3651">
        <v>1</v>
      </c>
      <c r="C3651">
        <v>27</v>
      </c>
      <c r="D3651">
        <v>27</v>
      </c>
    </row>
    <row r="3652" spans="1:4" ht="15" x14ac:dyDescent="0.25">
      <c r="A3652" t="s">
        <v>10311</v>
      </c>
      <c r="B3652">
        <v>8</v>
      </c>
      <c r="C3652">
        <v>375</v>
      </c>
      <c r="D3652">
        <v>46.875</v>
      </c>
    </row>
    <row r="3653" spans="1:4" ht="15" x14ac:dyDescent="0.25">
      <c r="A3653" t="s">
        <v>10312</v>
      </c>
      <c r="B3653">
        <v>1</v>
      </c>
      <c r="C3653">
        <v>87</v>
      </c>
      <c r="D3653">
        <v>87</v>
      </c>
    </row>
    <row r="3654" spans="1:4" ht="15" x14ac:dyDescent="0.25">
      <c r="A3654" t="s">
        <v>10319</v>
      </c>
      <c r="B3654">
        <v>1</v>
      </c>
      <c r="C3654">
        <v>13</v>
      </c>
      <c r="D3654">
        <v>13</v>
      </c>
    </row>
    <row r="3655" spans="1:4" ht="15" x14ac:dyDescent="0.25">
      <c r="A3655" t="s">
        <v>10320</v>
      </c>
      <c r="B3655">
        <v>1</v>
      </c>
      <c r="C3655">
        <v>13</v>
      </c>
      <c r="D3655">
        <v>13</v>
      </c>
    </row>
    <row r="3656" spans="1:4" ht="15" x14ac:dyDescent="0.25">
      <c r="A3656" t="s">
        <v>10321</v>
      </c>
      <c r="B3656">
        <v>1</v>
      </c>
      <c r="C3656">
        <v>13</v>
      </c>
      <c r="D3656">
        <v>13</v>
      </c>
    </row>
    <row r="3657" spans="1:4" ht="15" x14ac:dyDescent="0.25">
      <c r="A3657" t="s">
        <v>10325</v>
      </c>
      <c r="B3657">
        <v>2</v>
      </c>
      <c r="C3657">
        <v>64</v>
      </c>
      <c r="D3657">
        <v>32</v>
      </c>
    </row>
    <row r="3658" spans="1:4" ht="15" x14ac:dyDescent="0.25">
      <c r="A3658" t="s">
        <v>10326</v>
      </c>
      <c r="B3658">
        <v>4</v>
      </c>
      <c r="C3658">
        <v>175</v>
      </c>
      <c r="D3658">
        <v>43.75</v>
      </c>
    </row>
    <row r="3659" spans="1:4" ht="15" x14ac:dyDescent="0.25">
      <c r="A3659" t="s">
        <v>10330</v>
      </c>
      <c r="B3659">
        <v>1</v>
      </c>
      <c r="C3659">
        <v>21</v>
      </c>
      <c r="D3659">
        <v>21</v>
      </c>
    </row>
    <row r="3660" spans="1:4" ht="15" x14ac:dyDescent="0.25">
      <c r="A3660" t="s">
        <v>10331</v>
      </c>
      <c r="B3660">
        <v>2</v>
      </c>
      <c r="C3660">
        <v>36</v>
      </c>
      <c r="D3660">
        <v>18</v>
      </c>
    </row>
    <row r="3661" spans="1:4" ht="15" x14ac:dyDescent="0.25">
      <c r="A3661" t="s">
        <v>10335</v>
      </c>
      <c r="B3661">
        <v>1</v>
      </c>
      <c r="C3661">
        <v>255</v>
      </c>
      <c r="D3661">
        <v>255</v>
      </c>
    </row>
    <row r="3662" spans="1:4" ht="15" x14ac:dyDescent="0.25">
      <c r="A3662" t="s">
        <v>10337</v>
      </c>
      <c r="B3662">
        <v>1</v>
      </c>
      <c r="C3662">
        <v>255</v>
      </c>
      <c r="D3662">
        <v>255</v>
      </c>
    </row>
    <row r="3663" spans="1:4" ht="15" x14ac:dyDescent="0.25">
      <c r="A3663" t="s">
        <v>10338</v>
      </c>
      <c r="B3663">
        <v>2</v>
      </c>
      <c r="C3663">
        <v>273</v>
      </c>
      <c r="D3663">
        <v>136.5</v>
      </c>
    </row>
    <row r="3664" spans="1:4" ht="15" x14ac:dyDescent="0.25">
      <c r="A3664" t="s">
        <v>10336</v>
      </c>
      <c r="B3664">
        <v>1</v>
      </c>
      <c r="C3664">
        <v>255</v>
      </c>
      <c r="D3664">
        <v>255</v>
      </c>
    </row>
    <row r="3665" spans="1:4" ht="15" x14ac:dyDescent="0.25">
      <c r="A3665" t="s">
        <v>10344</v>
      </c>
      <c r="B3665">
        <v>1</v>
      </c>
      <c r="C3665">
        <v>132</v>
      </c>
      <c r="D3665">
        <v>132</v>
      </c>
    </row>
    <row r="3666" spans="1:4" ht="15" x14ac:dyDescent="0.25">
      <c r="A3666" t="s">
        <v>10346</v>
      </c>
      <c r="B3666">
        <v>1</v>
      </c>
      <c r="C3666">
        <v>132</v>
      </c>
      <c r="D3666">
        <v>132</v>
      </c>
    </row>
    <row r="3667" spans="1:4" ht="15" x14ac:dyDescent="0.25">
      <c r="A3667" t="s">
        <v>10345</v>
      </c>
      <c r="B3667">
        <v>2</v>
      </c>
      <c r="C3667">
        <v>159</v>
      </c>
      <c r="D3667">
        <v>79.5</v>
      </c>
    </row>
    <row r="3668" spans="1:4" ht="15" x14ac:dyDescent="0.25">
      <c r="A3668" t="s">
        <v>10351</v>
      </c>
      <c r="B3668">
        <v>3</v>
      </c>
      <c r="C3668">
        <v>416</v>
      </c>
      <c r="D3668">
        <v>138.66666666666666</v>
      </c>
    </row>
    <row r="3669" spans="1:4" ht="15" x14ac:dyDescent="0.25">
      <c r="A3669" t="s">
        <v>10352</v>
      </c>
      <c r="B3669">
        <v>1</v>
      </c>
      <c r="C3669">
        <v>140</v>
      </c>
      <c r="D3669">
        <v>140</v>
      </c>
    </row>
    <row r="3670" spans="1:4" ht="15" x14ac:dyDescent="0.25">
      <c r="A3670" t="s">
        <v>10353</v>
      </c>
      <c r="B3670">
        <v>1</v>
      </c>
      <c r="C3670">
        <v>140</v>
      </c>
      <c r="D3670">
        <v>140</v>
      </c>
    </row>
    <row r="3671" spans="1:4" ht="15" x14ac:dyDescent="0.25">
      <c r="A3671" t="s">
        <v>10358</v>
      </c>
      <c r="B3671">
        <v>1</v>
      </c>
      <c r="C3671">
        <v>0</v>
      </c>
      <c r="D3671">
        <v>0</v>
      </c>
    </row>
    <row r="3672" spans="1:4" ht="15" x14ac:dyDescent="0.25">
      <c r="A3672" t="s">
        <v>10359</v>
      </c>
      <c r="B3672">
        <v>1</v>
      </c>
      <c r="C3672">
        <v>0</v>
      </c>
      <c r="D3672">
        <v>0</v>
      </c>
    </row>
    <row r="3673" spans="1:4" ht="15" x14ac:dyDescent="0.25">
      <c r="A3673" t="s">
        <v>10364</v>
      </c>
      <c r="B3673">
        <v>5</v>
      </c>
      <c r="C3673">
        <v>1301</v>
      </c>
      <c r="D3673">
        <v>260.2</v>
      </c>
    </row>
    <row r="3674" spans="1:4" ht="15" x14ac:dyDescent="0.25">
      <c r="A3674" t="s">
        <v>10367</v>
      </c>
      <c r="B3674">
        <v>1</v>
      </c>
      <c r="C3674">
        <v>64</v>
      </c>
      <c r="D3674">
        <v>64</v>
      </c>
    </row>
    <row r="3675" spans="1:4" ht="15" x14ac:dyDescent="0.25">
      <c r="A3675" t="s">
        <v>10369</v>
      </c>
      <c r="B3675">
        <v>1</v>
      </c>
      <c r="C3675">
        <v>64</v>
      </c>
      <c r="D3675">
        <v>64</v>
      </c>
    </row>
    <row r="3676" spans="1:4" ht="15" x14ac:dyDescent="0.25">
      <c r="A3676" t="s">
        <v>10368</v>
      </c>
      <c r="B3676">
        <v>1</v>
      </c>
      <c r="C3676">
        <v>64</v>
      </c>
      <c r="D3676">
        <v>64</v>
      </c>
    </row>
    <row r="3677" spans="1:4" ht="15" x14ac:dyDescent="0.25">
      <c r="A3677" t="s">
        <v>10373</v>
      </c>
      <c r="B3677">
        <v>1</v>
      </c>
      <c r="C3677">
        <v>14</v>
      </c>
      <c r="D3677">
        <v>14</v>
      </c>
    </row>
    <row r="3678" spans="1:4" ht="15" x14ac:dyDescent="0.25">
      <c r="A3678" t="s">
        <v>10375</v>
      </c>
      <c r="B3678">
        <v>2</v>
      </c>
      <c r="C3678">
        <v>40</v>
      </c>
      <c r="D3678">
        <v>20</v>
      </c>
    </row>
    <row r="3679" spans="1:4" ht="15" x14ac:dyDescent="0.25">
      <c r="A3679" t="s">
        <v>10376</v>
      </c>
      <c r="B3679">
        <v>1</v>
      </c>
      <c r="C3679">
        <v>14</v>
      </c>
      <c r="D3679">
        <v>14</v>
      </c>
    </row>
    <row r="3680" spans="1:4" ht="15" x14ac:dyDescent="0.25">
      <c r="A3680" t="s">
        <v>10374</v>
      </c>
      <c r="B3680">
        <v>13</v>
      </c>
      <c r="C3680">
        <v>208</v>
      </c>
      <c r="D3680">
        <v>16</v>
      </c>
    </row>
    <row r="3681" spans="1:4" ht="15" x14ac:dyDescent="0.25">
      <c r="A3681" t="s">
        <v>10380</v>
      </c>
      <c r="B3681">
        <v>1</v>
      </c>
      <c r="C3681">
        <v>17</v>
      </c>
      <c r="D3681">
        <v>17</v>
      </c>
    </row>
    <row r="3682" spans="1:4" ht="15" x14ac:dyDescent="0.25">
      <c r="A3682" t="s">
        <v>10386</v>
      </c>
      <c r="B3682">
        <v>2</v>
      </c>
      <c r="C3682">
        <v>117</v>
      </c>
      <c r="D3682">
        <v>58.5</v>
      </c>
    </row>
    <row r="3683" spans="1:4" ht="15" x14ac:dyDescent="0.25">
      <c r="A3683" t="s">
        <v>10387</v>
      </c>
      <c r="B3683">
        <v>2</v>
      </c>
      <c r="C3683">
        <v>164</v>
      </c>
      <c r="D3683">
        <v>82</v>
      </c>
    </row>
    <row r="3684" spans="1:4" ht="15" x14ac:dyDescent="0.25">
      <c r="A3684" t="s">
        <v>10385</v>
      </c>
      <c r="B3684">
        <v>3</v>
      </c>
      <c r="C3684">
        <v>183</v>
      </c>
      <c r="D3684">
        <v>61</v>
      </c>
    </row>
    <row r="3685" spans="1:4" ht="15" x14ac:dyDescent="0.25">
      <c r="A3685" t="s">
        <v>10392</v>
      </c>
      <c r="B3685">
        <v>4</v>
      </c>
      <c r="C3685">
        <v>229</v>
      </c>
      <c r="D3685">
        <v>57.25</v>
      </c>
    </row>
    <row r="3686" spans="1:4" ht="15" x14ac:dyDescent="0.25">
      <c r="A3686" t="s">
        <v>10391</v>
      </c>
      <c r="B3686">
        <v>1</v>
      </c>
      <c r="C3686">
        <v>26</v>
      </c>
      <c r="D3686">
        <v>26</v>
      </c>
    </row>
    <row r="3687" spans="1:4" ht="15" x14ac:dyDescent="0.25">
      <c r="A3687" t="s">
        <v>10395</v>
      </c>
      <c r="B3687">
        <v>1</v>
      </c>
      <c r="C3687">
        <v>41</v>
      </c>
      <c r="D3687">
        <v>41</v>
      </c>
    </row>
    <row r="3688" spans="1:4" ht="15" x14ac:dyDescent="0.25">
      <c r="A3688" t="s">
        <v>10399</v>
      </c>
      <c r="B3688">
        <v>2</v>
      </c>
      <c r="C3688">
        <v>58</v>
      </c>
      <c r="D3688">
        <v>29</v>
      </c>
    </row>
    <row r="3689" spans="1:4" ht="15" x14ac:dyDescent="0.25">
      <c r="A3689" t="s">
        <v>10401</v>
      </c>
      <c r="B3689">
        <v>1</v>
      </c>
      <c r="C3689">
        <v>40</v>
      </c>
      <c r="D3689">
        <v>40</v>
      </c>
    </row>
    <row r="3690" spans="1:4" ht="15" x14ac:dyDescent="0.25">
      <c r="A3690" t="s">
        <v>10400</v>
      </c>
      <c r="B3690">
        <v>1</v>
      </c>
      <c r="C3690">
        <v>40</v>
      </c>
      <c r="D3690">
        <v>40</v>
      </c>
    </row>
    <row r="3691" spans="1:4" ht="15" x14ac:dyDescent="0.25">
      <c r="A3691" t="s">
        <v>10405</v>
      </c>
      <c r="B3691">
        <v>1</v>
      </c>
      <c r="C3691">
        <v>9</v>
      </c>
      <c r="D3691">
        <v>9</v>
      </c>
    </row>
    <row r="3692" spans="1:4" ht="15" x14ac:dyDescent="0.25">
      <c r="A3692" t="s">
        <v>10406</v>
      </c>
      <c r="B3692">
        <v>1</v>
      </c>
      <c r="C3692">
        <v>9</v>
      </c>
      <c r="D3692">
        <v>9</v>
      </c>
    </row>
    <row r="3693" spans="1:4" ht="15" x14ac:dyDescent="0.25">
      <c r="A3693" t="s">
        <v>10410</v>
      </c>
      <c r="B3693">
        <v>1</v>
      </c>
      <c r="C3693">
        <v>193</v>
      </c>
      <c r="D3693">
        <v>193</v>
      </c>
    </row>
    <row r="3694" spans="1:4" ht="15" x14ac:dyDescent="0.25">
      <c r="A3694" t="s">
        <v>10411</v>
      </c>
      <c r="B3694">
        <v>1</v>
      </c>
      <c r="C3694">
        <v>193</v>
      </c>
      <c r="D3694">
        <v>193</v>
      </c>
    </row>
    <row r="3695" spans="1:4" ht="15" x14ac:dyDescent="0.25">
      <c r="A3695" t="s">
        <v>10414</v>
      </c>
      <c r="B3695">
        <v>1</v>
      </c>
      <c r="C3695">
        <v>14</v>
      </c>
      <c r="D3695">
        <v>14</v>
      </c>
    </row>
    <row r="3696" spans="1:4" ht="15" x14ac:dyDescent="0.25">
      <c r="A3696" t="s">
        <v>10415</v>
      </c>
      <c r="B3696">
        <v>6</v>
      </c>
      <c r="C3696">
        <v>249</v>
      </c>
      <c r="D3696">
        <v>41.5</v>
      </c>
    </row>
    <row r="3697" spans="1:4" ht="15" x14ac:dyDescent="0.25">
      <c r="A3697" t="s">
        <v>10416</v>
      </c>
      <c r="B3697">
        <v>6</v>
      </c>
      <c r="C3697">
        <v>177</v>
      </c>
      <c r="D3697">
        <v>29.5</v>
      </c>
    </row>
    <row r="3698" spans="1:4" ht="15" x14ac:dyDescent="0.25">
      <c r="A3698" t="s">
        <v>10420</v>
      </c>
      <c r="B3698">
        <v>1</v>
      </c>
      <c r="C3698">
        <v>63</v>
      </c>
      <c r="D3698">
        <v>63</v>
      </c>
    </row>
    <row r="3699" spans="1:4" ht="15" x14ac:dyDescent="0.25">
      <c r="A3699" t="s">
        <v>10421</v>
      </c>
      <c r="B3699">
        <v>5</v>
      </c>
      <c r="C3699">
        <v>280</v>
      </c>
      <c r="D3699">
        <v>56</v>
      </c>
    </row>
    <row r="3700" spans="1:4" ht="15" x14ac:dyDescent="0.25">
      <c r="A3700" t="s">
        <v>10422</v>
      </c>
      <c r="B3700">
        <v>1</v>
      </c>
      <c r="C3700">
        <v>63</v>
      </c>
      <c r="D3700">
        <v>63</v>
      </c>
    </row>
    <row r="3701" spans="1:4" ht="15" x14ac:dyDescent="0.25">
      <c r="A3701" t="s">
        <v>10429</v>
      </c>
      <c r="B3701">
        <v>1</v>
      </c>
      <c r="C3701">
        <v>47</v>
      </c>
      <c r="D3701">
        <v>47</v>
      </c>
    </row>
    <row r="3702" spans="1:4" ht="15" x14ac:dyDescent="0.25">
      <c r="A3702" t="s">
        <v>10437</v>
      </c>
      <c r="B3702">
        <v>1</v>
      </c>
      <c r="C3702">
        <v>90</v>
      </c>
      <c r="D3702">
        <v>90</v>
      </c>
    </row>
    <row r="3703" spans="1:4" ht="15" x14ac:dyDescent="0.25">
      <c r="A3703" t="s">
        <v>10438</v>
      </c>
      <c r="B3703">
        <v>1</v>
      </c>
      <c r="C3703">
        <v>90</v>
      </c>
      <c r="D3703">
        <v>90</v>
      </c>
    </row>
    <row r="3704" spans="1:4" ht="15" x14ac:dyDescent="0.25">
      <c r="A3704" t="s">
        <v>10447</v>
      </c>
      <c r="B3704">
        <v>1</v>
      </c>
      <c r="C3704">
        <v>35</v>
      </c>
      <c r="D3704">
        <v>35</v>
      </c>
    </row>
    <row r="3705" spans="1:4" ht="15" x14ac:dyDescent="0.25">
      <c r="A3705" t="s">
        <v>10446</v>
      </c>
      <c r="B3705">
        <v>1</v>
      </c>
      <c r="C3705">
        <v>35</v>
      </c>
      <c r="D3705">
        <v>35</v>
      </c>
    </row>
    <row r="3706" spans="1:4" ht="15" x14ac:dyDescent="0.25">
      <c r="A3706" t="s">
        <v>10451</v>
      </c>
      <c r="B3706">
        <v>1</v>
      </c>
      <c r="C3706">
        <v>60</v>
      </c>
      <c r="D3706">
        <v>60</v>
      </c>
    </row>
    <row r="3707" spans="1:4" ht="15" x14ac:dyDescent="0.25">
      <c r="A3707" t="s">
        <v>10453</v>
      </c>
      <c r="B3707">
        <v>2</v>
      </c>
      <c r="C3707">
        <v>99</v>
      </c>
      <c r="D3707">
        <v>49.5</v>
      </c>
    </row>
    <row r="3708" spans="1:4" ht="15" x14ac:dyDescent="0.25">
      <c r="A3708" t="s">
        <v>10452</v>
      </c>
      <c r="B3708">
        <v>1</v>
      </c>
      <c r="C3708">
        <v>60</v>
      </c>
      <c r="D3708">
        <v>60</v>
      </c>
    </row>
    <row r="3709" spans="1:4" ht="15" x14ac:dyDescent="0.25">
      <c r="A3709" t="s">
        <v>10459</v>
      </c>
      <c r="B3709">
        <v>2</v>
      </c>
      <c r="C3709">
        <v>44</v>
      </c>
      <c r="D3709">
        <v>22</v>
      </c>
    </row>
    <row r="3710" spans="1:4" ht="15" x14ac:dyDescent="0.25">
      <c r="A3710" t="s">
        <v>10458</v>
      </c>
      <c r="B3710">
        <v>1</v>
      </c>
      <c r="C3710">
        <v>26</v>
      </c>
      <c r="D3710">
        <v>26</v>
      </c>
    </row>
    <row r="3711" spans="1:4" ht="15" x14ac:dyDescent="0.25">
      <c r="A3711" t="s">
        <v>10463</v>
      </c>
      <c r="B3711">
        <v>1</v>
      </c>
      <c r="C3711">
        <v>1702</v>
      </c>
      <c r="D3711">
        <v>1702</v>
      </c>
    </row>
    <row r="3712" spans="1:4" ht="15" x14ac:dyDescent="0.25">
      <c r="A3712" t="s">
        <v>10464</v>
      </c>
      <c r="B3712">
        <v>1</v>
      </c>
      <c r="C3712">
        <v>1702</v>
      </c>
      <c r="D3712">
        <v>1702</v>
      </c>
    </row>
    <row r="3713" spans="1:4" ht="15" x14ac:dyDescent="0.25">
      <c r="A3713" t="s">
        <v>10465</v>
      </c>
      <c r="B3713">
        <v>1</v>
      </c>
      <c r="C3713">
        <v>1702</v>
      </c>
      <c r="D3713">
        <v>1702</v>
      </c>
    </row>
    <row r="3714" spans="1:4" ht="15" x14ac:dyDescent="0.25">
      <c r="A3714" t="s">
        <v>10468</v>
      </c>
      <c r="B3714">
        <v>15</v>
      </c>
      <c r="C3714">
        <v>518</v>
      </c>
      <c r="D3714">
        <v>34.533333333333331</v>
      </c>
    </row>
    <row r="3715" spans="1:4" ht="15" x14ac:dyDescent="0.25">
      <c r="A3715" t="s">
        <v>10472</v>
      </c>
      <c r="B3715">
        <v>1</v>
      </c>
      <c r="C3715">
        <v>14</v>
      </c>
      <c r="D3715">
        <v>14</v>
      </c>
    </row>
    <row r="3716" spans="1:4" ht="15" x14ac:dyDescent="0.25">
      <c r="A3716" t="s">
        <v>10473</v>
      </c>
      <c r="B3716">
        <v>1</v>
      </c>
      <c r="C3716">
        <v>14</v>
      </c>
      <c r="D3716">
        <v>14</v>
      </c>
    </row>
    <row r="3717" spans="1:4" ht="15" x14ac:dyDescent="0.25">
      <c r="A3717" t="s">
        <v>10479</v>
      </c>
      <c r="B3717">
        <v>2</v>
      </c>
      <c r="C3717">
        <v>457</v>
      </c>
      <c r="D3717">
        <v>228.5</v>
      </c>
    </row>
    <row r="3718" spans="1:4" ht="15" x14ac:dyDescent="0.25">
      <c r="A3718" t="s">
        <v>10480</v>
      </c>
      <c r="B3718">
        <v>1</v>
      </c>
      <c r="C3718">
        <v>424</v>
      </c>
      <c r="D3718">
        <v>424</v>
      </c>
    </row>
    <row r="3719" spans="1:4" ht="15" x14ac:dyDescent="0.25">
      <c r="A3719" t="s">
        <v>10481</v>
      </c>
      <c r="B3719">
        <v>1</v>
      </c>
      <c r="C3719">
        <v>424</v>
      </c>
      <c r="D3719">
        <v>424</v>
      </c>
    </row>
    <row r="3720" spans="1:4" ht="15" x14ac:dyDescent="0.25">
      <c r="A3720" t="s">
        <v>10485</v>
      </c>
      <c r="B3720">
        <v>1</v>
      </c>
      <c r="C3720">
        <v>97</v>
      </c>
      <c r="D3720">
        <v>97</v>
      </c>
    </row>
    <row r="3721" spans="1:4" ht="15" x14ac:dyDescent="0.25">
      <c r="A3721" t="s">
        <v>10486</v>
      </c>
      <c r="B3721">
        <v>1</v>
      </c>
      <c r="C3721">
        <v>97</v>
      </c>
      <c r="D3721">
        <v>97</v>
      </c>
    </row>
    <row r="3722" spans="1:4" ht="15" x14ac:dyDescent="0.25">
      <c r="A3722" t="s">
        <v>10490</v>
      </c>
      <c r="B3722">
        <v>1</v>
      </c>
      <c r="C3722">
        <v>43</v>
      </c>
      <c r="D3722">
        <v>43</v>
      </c>
    </row>
    <row r="3723" spans="1:4" ht="15" x14ac:dyDescent="0.25">
      <c r="A3723" t="s">
        <v>10491</v>
      </c>
      <c r="B3723">
        <v>3</v>
      </c>
      <c r="C3723">
        <v>59</v>
      </c>
      <c r="D3723">
        <v>19.666666666666668</v>
      </c>
    </row>
    <row r="3724" spans="1:4" ht="15" x14ac:dyDescent="0.25">
      <c r="A3724" t="s">
        <v>10494</v>
      </c>
      <c r="B3724">
        <v>1</v>
      </c>
      <c r="C3724">
        <v>9</v>
      </c>
      <c r="D3724">
        <v>9</v>
      </c>
    </row>
    <row r="3725" spans="1:4" ht="15" x14ac:dyDescent="0.25">
      <c r="A3725" t="s">
        <v>10495</v>
      </c>
      <c r="B3725">
        <v>1</v>
      </c>
      <c r="C3725">
        <v>9</v>
      </c>
      <c r="D3725">
        <v>9</v>
      </c>
    </row>
    <row r="3726" spans="1:4" ht="15" x14ac:dyDescent="0.25">
      <c r="A3726" t="s">
        <v>10498</v>
      </c>
      <c r="B3726">
        <v>1</v>
      </c>
      <c r="C3726">
        <v>13</v>
      </c>
      <c r="D3726">
        <v>13</v>
      </c>
    </row>
    <row r="3727" spans="1:4" ht="15" x14ac:dyDescent="0.25">
      <c r="A3727" t="s">
        <v>10499</v>
      </c>
      <c r="B3727">
        <v>1</v>
      </c>
      <c r="C3727">
        <v>13</v>
      </c>
      <c r="D3727">
        <v>13</v>
      </c>
    </row>
    <row r="3728" spans="1:4" ht="15" x14ac:dyDescent="0.25">
      <c r="A3728" t="s">
        <v>10509</v>
      </c>
      <c r="B3728">
        <v>6</v>
      </c>
      <c r="C3728">
        <v>210</v>
      </c>
      <c r="D3728">
        <v>35</v>
      </c>
    </row>
    <row r="3729" spans="1:4" ht="15" x14ac:dyDescent="0.25">
      <c r="A3729" t="s">
        <v>10514</v>
      </c>
      <c r="B3729">
        <v>2</v>
      </c>
      <c r="C3729">
        <v>15</v>
      </c>
      <c r="D3729">
        <v>7.5</v>
      </c>
    </row>
    <row r="3730" spans="1:4" ht="15" x14ac:dyDescent="0.25">
      <c r="A3730" t="s">
        <v>10515</v>
      </c>
      <c r="B3730">
        <v>2</v>
      </c>
      <c r="C3730">
        <v>29</v>
      </c>
      <c r="D3730">
        <v>14.5</v>
      </c>
    </row>
    <row r="3731" spans="1:4" ht="15" x14ac:dyDescent="0.25">
      <c r="A3731" t="s">
        <v>10516</v>
      </c>
      <c r="B3731">
        <v>1</v>
      </c>
      <c r="C3731">
        <v>6</v>
      </c>
      <c r="D3731">
        <v>6</v>
      </c>
    </row>
    <row r="3732" spans="1:4" ht="15" x14ac:dyDescent="0.25">
      <c r="A3732" t="s">
        <v>10524</v>
      </c>
      <c r="B3732">
        <v>1</v>
      </c>
      <c r="C3732">
        <v>13</v>
      </c>
      <c r="D3732">
        <v>13</v>
      </c>
    </row>
    <row r="3733" spans="1:4" ht="15" x14ac:dyDescent="0.25">
      <c r="A3733" t="s">
        <v>10526</v>
      </c>
      <c r="B3733">
        <v>1</v>
      </c>
      <c r="C3733">
        <v>13</v>
      </c>
      <c r="D3733">
        <v>13</v>
      </c>
    </row>
    <row r="3734" spans="1:4" ht="15" x14ac:dyDescent="0.25">
      <c r="A3734" t="s">
        <v>10527</v>
      </c>
      <c r="B3734">
        <v>2</v>
      </c>
      <c r="C3734">
        <v>20</v>
      </c>
      <c r="D3734">
        <v>10</v>
      </c>
    </row>
    <row r="3735" spans="1:4" ht="15" x14ac:dyDescent="0.25">
      <c r="A3735" t="s">
        <v>10525</v>
      </c>
      <c r="B3735">
        <v>1</v>
      </c>
      <c r="C3735">
        <v>13</v>
      </c>
      <c r="D3735">
        <v>13</v>
      </c>
    </row>
    <row r="3736" spans="1:4" ht="15" x14ac:dyDescent="0.25">
      <c r="A3736" t="s">
        <v>10531</v>
      </c>
      <c r="B3736">
        <v>1</v>
      </c>
      <c r="C3736">
        <v>46</v>
      </c>
      <c r="D3736">
        <v>46</v>
      </c>
    </row>
    <row r="3737" spans="1:4" ht="15" x14ac:dyDescent="0.25">
      <c r="A3737" t="s">
        <v>10532</v>
      </c>
      <c r="B3737">
        <v>1</v>
      </c>
      <c r="C3737">
        <v>46</v>
      </c>
      <c r="D3737">
        <v>46</v>
      </c>
    </row>
    <row r="3738" spans="1:4" ht="15" x14ac:dyDescent="0.25">
      <c r="A3738" t="s">
        <v>10536</v>
      </c>
      <c r="B3738">
        <v>1</v>
      </c>
      <c r="C3738">
        <v>51</v>
      </c>
      <c r="D3738">
        <v>51</v>
      </c>
    </row>
    <row r="3739" spans="1:4" ht="15" x14ac:dyDescent="0.25">
      <c r="A3739" t="s">
        <v>10537</v>
      </c>
      <c r="B3739">
        <v>1</v>
      </c>
      <c r="C3739">
        <v>51</v>
      </c>
      <c r="D3739">
        <v>51</v>
      </c>
    </row>
    <row r="3740" spans="1:4" ht="15" x14ac:dyDescent="0.25">
      <c r="A3740" t="s">
        <v>10538</v>
      </c>
      <c r="B3740">
        <v>2</v>
      </c>
      <c r="C3740">
        <v>58</v>
      </c>
      <c r="D3740">
        <v>29</v>
      </c>
    </row>
    <row r="3741" spans="1:4" ht="15" x14ac:dyDescent="0.25">
      <c r="A3741" t="s">
        <v>10542</v>
      </c>
      <c r="B3741">
        <v>1</v>
      </c>
      <c r="C3741">
        <v>27</v>
      </c>
      <c r="D3741">
        <v>27</v>
      </c>
    </row>
    <row r="3742" spans="1:4" ht="15" x14ac:dyDescent="0.25">
      <c r="A3742" t="s">
        <v>10546</v>
      </c>
      <c r="B3742">
        <v>2</v>
      </c>
      <c r="C3742">
        <v>3051</v>
      </c>
      <c r="D3742">
        <v>1525.5</v>
      </c>
    </row>
    <row r="3743" spans="1:4" ht="15" x14ac:dyDescent="0.25">
      <c r="A3743" t="s">
        <v>10547</v>
      </c>
      <c r="B3743">
        <v>1</v>
      </c>
      <c r="C3743">
        <v>89</v>
      </c>
      <c r="D3743">
        <v>89</v>
      </c>
    </row>
    <row r="3744" spans="1:4" ht="15" x14ac:dyDescent="0.25">
      <c r="A3744" t="s">
        <v>10553</v>
      </c>
      <c r="B3744">
        <v>2</v>
      </c>
      <c r="C3744">
        <v>96</v>
      </c>
      <c r="D3744">
        <v>48</v>
      </c>
    </row>
    <row r="3745" spans="1:4" ht="15" x14ac:dyDescent="0.25">
      <c r="A3745" t="s">
        <v>10557</v>
      </c>
      <c r="B3745">
        <v>3</v>
      </c>
      <c r="C3745">
        <v>101</v>
      </c>
      <c r="D3745">
        <v>33.666666666666664</v>
      </c>
    </row>
    <row r="3746" spans="1:4" ht="15" x14ac:dyDescent="0.25">
      <c r="A3746" t="s">
        <v>10561</v>
      </c>
      <c r="B3746">
        <v>1</v>
      </c>
      <c r="C3746">
        <v>28</v>
      </c>
      <c r="D3746">
        <v>28</v>
      </c>
    </row>
    <row r="3747" spans="1:4" ht="15" x14ac:dyDescent="0.25">
      <c r="A3747" t="s">
        <v>10562</v>
      </c>
      <c r="B3747">
        <v>1</v>
      </c>
      <c r="C3747">
        <v>28</v>
      </c>
      <c r="D3747">
        <v>28</v>
      </c>
    </row>
    <row r="3748" spans="1:4" ht="15" x14ac:dyDescent="0.25">
      <c r="A3748" t="s">
        <v>10564</v>
      </c>
      <c r="B3748">
        <v>1</v>
      </c>
      <c r="C3748">
        <v>28</v>
      </c>
      <c r="D3748">
        <v>28</v>
      </c>
    </row>
    <row r="3749" spans="1:4" ht="15" x14ac:dyDescent="0.25">
      <c r="A3749" t="s">
        <v>10563</v>
      </c>
      <c r="B3749">
        <v>1</v>
      </c>
      <c r="C3749">
        <v>28</v>
      </c>
      <c r="D3749">
        <v>28</v>
      </c>
    </row>
    <row r="3750" spans="1:4" ht="15" x14ac:dyDescent="0.25">
      <c r="A3750" t="s">
        <v>10569</v>
      </c>
      <c r="B3750">
        <v>1</v>
      </c>
      <c r="C3750">
        <v>19</v>
      </c>
      <c r="D3750">
        <v>19</v>
      </c>
    </row>
    <row r="3751" spans="1:4" ht="15" x14ac:dyDescent="0.25">
      <c r="A3751" t="s">
        <v>10570</v>
      </c>
      <c r="B3751">
        <v>1</v>
      </c>
      <c r="C3751">
        <v>19</v>
      </c>
      <c r="D3751">
        <v>19</v>
      </c>
    </row>
    <row r="3752" spans="1:4" ht="15" x14ac:dyDescent="0.25">
      <c r="A3752" t="s">
        <v>10571</v>
      </c>
      <c r="B3752">
        <v>1</v>
      </c>
      <c r="C3752">
        <v>19</v>
      </c>
      <c r="D3752">
        <v>19</v>
      </c>
    </row>
    <row r="3753" spans="1:4" ht="15" x14ac:dyDescent="0.25">
      <c r="A3753" t="s">
        <v>10578</v>
      </c>
      <c r="B3753">
        <v>1</v>
      </c>
      <c r="C3753">
        <v>194</v>
      </c>
      <c r="D3753">
        <v>194</v>
      </c>
    </row>
    <row r="3754" spans="1:4" ht="15" x14ac:dyDescent="0.25">
      <c r="A3754" t="s">
        <v>10579</v>
      </c>
      <c r="B3754">
        <v>1</v>
      </c>
      <c r="C3754">
        <v>194</v>
      </c>
      <c r="D3754">
        <v>194</v>
      </c>
    </row>
    <row r="3755" spans="1:4" ht="15" x14ac:dyDescent="0.25">
      <c r="A3755" t="s">
        <v>10583</v>
      </c>
      <c r="B3755">
        <v>1</v>
      </c>
      <c r="C3755">
        <v>30</v>
      </c>
      <c r="D3755">
        <v>30</v>
      </c>
    </row>
    <row r="3756" spans="1:4" ht="15" x14ac:dyDescent="0.25">
      <c r="A3756" t="s">
        <v>10584</v>
      </c>
      <c r="B3756">
        <v>1</v>
      </c>
      <c r="C3756">
        <v>30</v>
      </c>
      <c r="D3756">
        <v>30</v>
      </c>
    </row>
    <row r="3757" spans="1:4" ht="15" x14ac:dyDescent="0.25">
      <c r="A3757" t="s">
        <v>10586</v>
      </c>
      <c r="B3757">
        <v>2</v>
      </c>
      <c r="C3757">
        <v>64</v>
      </c>
      <c r="D3757">
        <v>32</v>
      </c>
    </row>
    <row r="3758" spans="1:4" ht="15" x14ac:dyDescent="0.25">
      <c r="A3758" t="s">
        <v>10585</v>
      </c>
      <c r="B3758">
        <v>1</v>
      </c>
      <c r="C3758">
        <v>30</v>
      </c>
      <c r="D3758">
        <v>30</v>
      </c>
    </row>
    <row r="3759" spans="1:4" ht="15" x14ac:dyDescent="0.25">
      <c r="A3759" t="s">
        <v>10590</v>
      </c>
      <c r="B3759">
        <v>1</v>
      </c>
      <c r="C3759">
        <v>2</v>
      </c>
      <c r="D3759">
        <v>2</v>
      </c>
    </row>
    <row r="3760" spans="1:4" ht="15" x14ac:dyDescent="0.25">
      <c r="A3760" t="s">
        <v>10595</v>
      </c>
      <c r="B3760">
        <v>1</v>
      </c>
      <c r="C3760">
        <v>2</v>
      </c>
      <c r="D3760">
        <v>2</v>
      </c>
    </row>
    <row r="3761" spans="1:4" ht="15" x14ac:dyDescent="0.25">
      <c r="A3761" t="s">
        <v>10596</v>
      </c>
      <c r="B3761">
        <v>3</v>
      </c>
      <c r="C3761">
        <v>67</v>
      </c>
      <c r="D3761">
        <v>22.333333333333332</v>
      </c>
    </row>
    <row r="3762" spans="1:4" ht="15" x14ac:dyDescent="0.25">
      <c r="A3762" t="s">
        <v>10598</v>
      </c>
      <c r="B3762">
        <v>1</v>
      </c>
      <c r="C3762">
        <v>2</v>
      </c>
      <c r="D3762">
        <v>2</v>
      </c>
    </row>
    <row r="3763" spans="1:4" ht="15" x14ac:dyDescent="0.25">
      <c r="A3763" t="s">
        <v>10599</v>
      </c>
      <c r="B3763">
        <v>1</v>
      </c>
      <c r="C3763">
        <v>2</v>
      </c>
      <c r="D3763">
        <v>2</v>
      </c>
    </row>
    <row r="3764" spans="1:4" ht="15" x14ac:dyDescent="0.25">
      <c r="A3764" t="s">
        <v>10597</v>
      </c>
      <c r="B3764">
        <v>1</v>
      </c>
      <c r="C3764">
        <v>2</v>
      </c>
      <c r="D3764">
        <v>2</v>
      </c>
    </row>
    <row r="3765" spans="1:4" ht="15" x14ac:dyDescent="0.25">
      <c r="A3765" t="s">
        <v>10605</v>
      </c>
      <c r="B3765">
        <v>1</v>
      </c>
      <c r="C3765">
        <v>258</v>
      </c>
      <c r="D3765">
        <v>258</v>
      </c>
    </row>
    <row r="3766" spans="1:4" ht="15" x14ac:dyDescent="0.25">
      <c r="A3766" t="s">
        <v>10606</v>
      </c>
      <c r="B3766">
        <v>1</v>
      </c>
      <c r="C3766">
        <v>258</v>
      </c>
      <c r="D3766">
        <v>258</v>
      </c>
    </row>
    <row r="3767" spans="1:4" ht="15" x14ac:dyDescent="0.25">
      <c r="A3767" t="s">
        <v>10607</v>
      </c>
      <c r="B3767">
        <v>1</v>
      </c>
      <c r="C3767">
        <v>258</v>
      </c>
      <c r="D3767">
        <v>258</v>
      </c>
    </row>
    <row r="3768" spans="1:4" ht="15" x14ac:dyDescent="0.25">
      <c r="A3768" t="s">
        <v>10611</v>
      </c>
      <c r="B3768">
        <v>1</v>
      </c>
      <c r="C3768">
        <v>32</v>
      </c>
      <c r="D3768">
        <v>32</v>
      </c>
    </row>
    <row r="3769" spans="1:4" ht="15" x14ac:dyDescent="0.25">
      <c r="A3769" t="s">
        <v>10612</v>
      </c>
      <c r="B3769">
        <v>1</v>
      </c>
      <c r="C3769">
        <v>32</v>
      </c>
      <c r="D3769">
        <v>32</v>
      </c>
    </row>
    <row r="3770" spans="1:4" ht="15" x14ac:dyDescent="0.25">
      <c r="A3770" t="s">
        <v>10613</v>
      </c>
      <c r="B3770">
        <v>1</v>
      </c>
      <c r="C3770">
        <v>32</v>
      </c>
      <c r="D3770">
        <v>32</v>
      </c>
    </row>
    <row r="3771" spans="1:4" ht="15" x14ac:dyDescent="0.25">
      <c r="A3771" t="s">
        <v>10619</v>
      </c>
      <c r="B3771">
        <v>4</v>
      </c>
      <c r="C3771">
        <v>351</v>
      </c>
      <c r="D3771">
        <v>87.75</v>
      </c>
    </row>
    <row r="3772" spans="1:4" ht="15" x14ac:dyDescent="0.25">
      <c r="A3772" t="s">
        <v>10620</v>
      </c>
      <c r="B3772">
        <v>1</v>
      </c>
      <c r="C3772">
        <v>248</v>
      </c>
      <c r="D3772">
        <v>248</v>
      </c>
    </row>
    <row r="3773" spans="1:4" ht="15" x14ac:dyDescent="0.25">
      <c r="A3773" t="s">
        <v>10624</v>
      </c>
      <c r="B3773">
        <v>1</v>
      </c>
      <c r="C3773">
        <v>19</v>
      </c>
      <c r="D3773">
        <v>19</v>
      </c>
    </row>
    <row r="3774" spans="1:4" ht="15" x14ac:dyDescent="0.25">
      <c r="A3774" t="s">
        <v>10625</v>
      </c>
      <c r="B3774">
        <v>1</v>
      </c>
      <c r="C3774">
        <v>19</v>
      </c>
      <c r="D3774">
        <v>19</v>
      </c>
    </row>
    <row r="3775" spans="1:4" ht="15" x14ac:dyDescent="0.25">
      <c r="A3775" t="s">
        <v>10627</v>
      </c>
      <c r="B3775">
        <v>1</v>
      </c>
      <c r="C3775">
        <v>19</v>
      </c>
      <c r="D3775">
        <v>19</v>
      </c>
    </row>
    <row r="3776" spans="1:4" ht="15" x14ac:dyDescent="0.25">
      <c r="A3776" t="s">
        <v>10626</v>
      </c>
      <c r="B3776">
        <v>1</v>
      </c>
      <c r="C3776">
        <v>19</v>
      </c>
      <c r="D3776">
        <v>19</v>
      </c>
    </row>
    <row r="3777" spans="1:4" ht="15" x14ac:dyDescent="0.25">
      <c r="A3777" t="s">
        <v>10631</v>
      </c>
      <c r="B3777">
        <v>1</v>
      </c>
      <c r="C3777">
        <v>19</v>
      </c>
      <c r="D3777">
        <v>19</v>
      </c>
    </row>
    <row r="3778" spans="1:4" ht="15" x14ac:dyDescent="0.25">
      <c r="A3778" t="s">
        <v>10632</v>
      </c>
      <c r="B3778">
        <v>1</v>
      </c>
      <c r="C3778">
        <v>19</v>
      </c>
      <c r="D3778">
        <v>19</v>
      </c>
    </row>
    <row r="3779" spans="1:4" ht="15" x14ac:dyDescent="0.25">
      <c r="A3779" t="s">
        <v>10634</v>
      </c>
      <c r="B3779">
        <v>1</v>
      </c>
      <c r="C3779">
        <v>19</v>
      </c>
      <c r="D3779">
        <v>19</v>
      </c>
    </row>
    <row r="3780" spans="1:4" ht="15" x14ac:dyDescent="0.25">
      <c r="A3780" t="s">
        <v>10635</v>
      </c>
      <c r="B3780">
        <v>1</v>
      </c>
      <c r="C3780">
        <v>19</v>
      </c>
      <c r="D3780">
        <v>19</v>
      </c>
    </row>
    <row r="3781" spans="1:4" ht="15" x14ac:dyDescent="0.25">
      <c r="A3781" t="s">
        <v>10633</v>
      </c>
      <c r="B3781">
        <v>1</v>
      </c>
      <c r="C3781">
        <v>19</v>
      </c>
      <c r="D3781">
        <v>19</v>
      </c>
    </row>
    <row r="3782" spans="1:4" ht="15" x14ac:dyDescent="0.25">
      <c r="A3782" t="s">
        <v>10638</v>
      </c>
      <c r="B3782">
        <v>3</v>
      </c>
      <c r="C3782">
        <v>139</v>
      </c>
      <c r="D3782">
        <v>46.333333333333336</v>
      </c>
    </row>
    <row r="3783" spans="1:4" ht="15" x14ac:dyDescent="0.25">
      <c r="A3783" t="s">
        <v>10639</v>
      </c>
      <c r="B3783">
        <v>3</v>
      </c>
      <c r="C3783">
        <v>109</v>
      </c>
      <c r="D3783">
        <v>36.333333333333336</v>
      </c>
    </row>
    <row r="3784" spans="1:4" ht="15" x14ac:dyDescent="0.25">
      <c r="A3784" t="s">
        <v>10640</v>
      </c>
      <c r="B3784">
        <v>5</v>
      </c>
      <c r="C3784">
        <v>345</v>
      </c>
      <c r="D3784">
        <v>69</v>
      </c>
    </row>
    <row r="3785" spans="1:4" ht="15" x14ac:dyDescent="0.25">
      <c r="A3785" t="s">
        <v>10644</v>
      </c>
      <c r="B3785">
        <v>7</v>
      </c>
      <c r="C3785">
        <v>727</v>
      </c>
      <c r="D3785">
        <v>103.85714285714286</v>
      </c>
    </row>
    <row r="3786" spans="1:4" ht="15" x14ac:dyDescent="0.25">
      <c r="A3786" t="s">
        <v>10648</v>
      </c>
      <c r="B3786">
        <v>1</v>
      </c>
      <c r="C3786">
        <v>7</v>
      </c>
      <c r="D3786">
        <v>7</v>
      </c>
    </row>
    <row r="3787" spans="1:4" ht="15" x14ac:dyDescent="0.25">
      <c r="A3787" t="s">
        <v>10650</v>
      </c>
      <c r="B3787">
        <v>1</v>
      </c>
      <c r="C3787">
        <v>7</v>
      </c>
      <c r="D3787">
        <v>7</v>
      </c>
    </row>
    <row r="3788" spans="1:4" ht="15" x14ac:dyDescent="0.25">
      <c r="A3788" t="s">
        <v>10651</v>
      </c>
      <c r="B3788">
        <v>1</v>
      </c>
      <c r="C3788">
        <v>7</v>
      </c>
      <c r="D3788">
        <v>7</v>
      </c>
    </row>
    <row r="3789" spans="1:4" ht="15" x14ac:dyDescent="0.25">
      <c r="A3789" t="s">
        <v>10649</v>
      </c>
      <c r="B3789">
        <v>1</v>
      </c>
      <c r="C3789">
        <v>7</v>
      </c>
      <c r="D3789">
        <v>7</v>
      </c>
    </row>
    <row r="3790" spans="1:4" ht="15" x14ac:dyDescent="0.25">
      <c r="A3790" t="s">
        <v>10655</v>
      </c>
      <c r="B3790">
        <v>1</v>
      </c>
      <c r="C3790">
        <v>60</v>
      </c>
      <c r="D3790">
        <v>60</v>
      </c>
    </row>
    <row r="3791" spans="1:4" ht="15" x14ac:dyDescent="0.25">
      <c r="A3791" t="s">
        <v>10656</v>
      </c>
      <c r="B3791">
        <v>1</v>
      </c>
      <c r="C3791">
        <v>60</v>
      </c>
      <c r="D3791">
        <v>60</v>
      </c>
    </row>
    <row r="3792" spans="1:4" ht="15" x14ac:dyDescent="0.25">
      <c r="A3792" t="s">
        <v>10658</v>
      </c>
      <c r="B3792">
        <v>1</v>
      </c>
      <c r="C3792">
        <v>60</v>
      </c>
      <c r="D3792">
        <v>60</v>
      </c>
    </row>
    <row r="3793" spans="1:4" ht="15" x14ac:dyDescent="0.25">
      <c r="A3793" t="s">
        <v>10659</v>
      </c>
      <c r="B3793">
        <v>1</v>
      </c>
      <c r="C3793">
        <v>60</v>
      </c>
      <c r="D3793">
        <v>60</v>
      </c>
    </row>
    <row r="3794" spans="1:4" ht="15" x14ac:dyDescent="0.25">
      <c r="A3794" t="s">
        <v>10657</v>
      </c>
      <c r="B3794">
        <v>1</v>
      </c>
      <c r="C3794">
        <v>60</v>
      </c>
      <c r="D3794">
        <v>60</v>
      </c>
    </row>
    <row r="3795" spans="1:4" ht="15" x14ac:dyDescent="0.25">
      <c r="A3795" t="s">
        <v>10662</v>
      </c>
      <c r="B3795">
        <v>1</v>
      </c>
      <c r="C3795">
        <v>74</v>
      </c>
      <c r="D3795">
        <v>74</v>
      </c>
    </row>
    <row r="3796" spans="1:4" ht="15" x14ac:dyDescent="0.25">
      <c r="A3796" t="s">
        <v>10667</v>
      </c>
      <c r="B3796">
        <v>1</v>
      </c>
      <c r="C3796">
        <v>67</v>
      </c>
      <c r="D3796">
        <v>67</v>
      </c>
    </row>
    <row r="3797" spans="1:4" ht="15" x14ac:dyDescent="0.25">
      <c r="A3797" t="s">
        <v>10668</v>
      </c>
      <c r="B3797">
        <v>1</v>
      </c>
      <c r="C3797">
        <v>67</v>
      </c>
      <c r="D3797">
        <v>67</v>
      </c>
    </row>
    <row r="3798" spans="1:4" ht="15" x14ac:dyDescent="0.25">
      <c r="A3798" t="s">
        <v>10669</v>
      </c>
      <c r="B3798">
        <v>1</v>
      </c>
      <c r="C3798">
        <v>67</v>
      </c>
      <c r="D3798">
        <v>67</v>
      </c>
    </row>
    <row r="3799" spans="1:4" ht="15" x14ac:dyDescent="0.25">
      <c r="A3799" t="s">
        <v>10670</v>
      </c>
      <c r="B3799">
        <v>1</v>
      </c>
      <c r="C3799">
        <v>67</v>
      </c>
      <c r="D3799">
        <v>67</v>
      </c>
    </row>
    <row r="3800" spans="1:4" ht="15" x14ac:dyDescent="0.25">
      <c r="A3800" t="s">
        <v>10673</v>
      </c>
      <c r="B3800">
        <v>28</v>
      </c>
      <c r="C3800">
        <v>872</v>
      </c>
      <c r="D3800">
        <v>31.142857142857142</v>
      </c>
    </row>
    <row r="3801" spans="1:4" ht="15" x14ac:dyDescent="0.25">
      <c r="A3801" t="s">
        <v>10677</v>
      </c>
      <c r="B3801">
        <v>1</v>
      </c>
      <c r="C3801">
        <v>26</v>
      </c>
      <c r="D3801">
        <v>26</v>
      </c>
    </row>
    <row r="3802" spans="1:4" ht="15" x14ac:dyDescent="0.25">
      <c r="A3802" t="s">
        <v>10678</v>
      </c>
      <c r="B3802">
        <v>1</v>
      </c>
      <c r="C3802">
        <v>26</v>
      </c>
      <c r="D3802">
        <v>26</v>
      </c>
    </row>
    <row r="3803" spans="1:4" ht="15" x14ac:dyDescent="0.25">
      <c r="A3803" t="s">
        <v>10680</v>
      </c>
      <c r="B3803">
        <v>1</v>
      </c>
      <c r="C3803">
        <v>26</v>
      </c>
      <c r="D3803">
        <v>26</v>
      </c>
    </row>
    <row r="3804" spans="1:4" ht="15" x14ac:dyDescent="0.25">
      <c r="A3804" t="s">
        <v>10681</v>
      </c>
      <c r="B3804">
        <v>1</v>
      </c>
      <c r="C3804">
        <v>26</v>
      </c>
      <c r="D3804">
        <v>26</v>
      </c>
    </row>
    <row r="3805" spans="1:4" ht="15" x14ac:dyDescent="0.25">
      <c r="A3805" t="s">
        <v>10679</v>
      </c>
      <c r="B3805">
        <v>1</v>
      </c>
      <c r="C3805">
        <v>26</v>
      </c>
      <c r="D3805">
        <v>26</v>
      </c>
    </row>
    <row r="3806" spans="1:4" ht="15" x14ac:dyDescent="0.25">
      <c r="A3806" t="s">
        <v>10684</v>
      </c>
      <c r="B3806">
        <v>47</v>
      </c>
      <c r="C3806">
        <v>1221</v>
      </c>
      <c r="D3806">
        <v>25.978723404255319</v>
      </c>
    </row>
    <row r="3807" spans="1:4" ht="15" x14ac:dyDescent="0.25">
      <c r="A3807" t="s">
        <v>10688</v>
      </c>
      <c r="B3807">
        <v>1</v>
      </c>
      <c r="C3807">
        <v>6</v>
      </c>
      <c r="D3807">
        <v>6</v>
      </c>
    </row>
    <row r="3808" spans="1:4" ht="15" x14ac:dyDescent="0.25">
      <c r="A3808" t="s">
        <v>10689</v>
      </c>
      <c r="B3808">
        <v>1</v>
      </c>
      <c r="C3808">
        <v>6</v>
      </c>
      <c r="D3808">
        <v>6</v>
      </c>
    </row>
    <row r="3809" spans="1:4" ht="15" x14ac:dyDescent="0.25">
      <c r="A3809" t="s">
        <v>10690</v>
      </c>
      <c r="B3809">
        <v>1</v>
      </c>
      <c r="C3809">
        <v>6</v>
      </c>
      <c r="D3809">
        <v>6</v>
      </c>
    </row>
    <row r="3810" spans="1:4" ht="15" x14ac:dyDescent="0.25">
      <c r="A3810" t="s">
        <v>10696</v>
      </c>
      <c r="B3810">
        <v>1</v>
      </c>
      <c r="C3810">
        <v>14</v>
      </c>
      <c r="D3810">
        <v>14</v>
      </c>
    </row>
    <row r="3811" spans="1:4" ht="15" x14ac:dyDescent="0.25">
      <c r="A3811" t="s">
        <v>10697</v>
      </c>
      <c r="B3811">
        <v>1</v>
      </c>
      <c r="C3811">
        <v>14</v>
      </c>
      <c r="D3811">
        <v>14</v>
      </c>
    </row>
    <row r="3812" spans="1:4" ht="15" x14ac:dyDescent="0.25">
      <c r="A3812" t="s">
        <v>10698</v>
      </c>
      <c r="B3812">
        <v>1</v>
      </c>
      <c r="C3812">
        <v>14</v>
      </c>
      <c r="D3812">
        <v>14</v>
      </c>
    </row>
    <row r="3813" spans="1:4" ht="15" x14ac:dyDescent="0.25">
      <c r="A3813" t="s">
        <v>10702</v>
      </c>
      <c r="B3813">
        <v>1</v>
      </c>
      <c r="C3813">
        <v>22</v>
      </c>
      <c r="D3813">
        <v>22</v>
      </c>
    </row>
    <row r="3814" spans="1:4" ht="15" x14ac:dyDescent="0.25">
      <c r="A3814" t="s">
        <v>10703</v>
      </c>
      <c r="B3814">
        <v>1</v>
      </c>
      <c r="C3814">
        <v>22</v>
      </c>
      <c r="D3814">
        <v>22</v>
      </c>
    </row>
    <row r="3815" spans="1:4" ht="15" x14ac:dyDescent="0.25">
      <c r="A3815" t="s">
        <v>10711</v>
      </c>
      <c r="B3815">
        <v>1</v>
      </c>
      <c r="C3815">
        <v>135</v>
      </c>
      <c r="D3815">
        <v>135</v>
      </c>
    </row>
    <row r="3816" spans="1:4" ht="15" x14ac:dyDescent="0.25">
      <c r="A3816" t="s">
        <v>10712</v>
      </c>
      <c r="B3816">
        <v>17</v>
      </c>
      <c r="C3816">
        <v>865</v>
      </c>
      <c r="D3816">
        <v>50.882352941176471</v>
      </c>
    </row>
    <row r="3817" spans="1:4" ht="15" x14ac:dyDescent="0.25">
      <c r="A3817" t="s">
        <v>10714</v>
      </c>
      <c r="B3817">
        <v>3</v>
      </c>
      <c r="C3817">
        <v>187</v>
      </c>
      <c r="D3817">
        <v>62.333333333333336</v>
      </c>
    </row>
    <row r="3818" spans="1:4" ht="15" x14ac:dyDescent="0.25">
      <c r="A3818" t="s">
        <v>10713</v>
      </c>
      <c r="B3818">
        <v>1</v>
      </c>
      <c r="C3818">
        <v>135</v>
      </c>
      <c r="D3818">
        <v>135</v>
      </c>
    </row>
    <row r="3819" spans="1:4" ht="15" x14ac:dyDescent="0.25">
      <c r="A3819" t="s">
        <v>10718</v>
      </c>
      <c r="B3819">
        <v>1</v>
      </c>
      <c r="C3819">
        <v>42</v>
      </c>
      <c r="D3819">
        <v>42</v>
      </c>
    </row>
    <row r="3820" spans="1:4" ht="15" x14ac:dyDescent="0.25">
      <c r="A3820" t="s">
        <v>10719</v>
      </c>
      <c r="B3820">
        <v>1</v>
      </c>
      <c r="C3820">
        <v>42</v>
      </c>
      <c r="D3820">
        <v>42</v>
      </c>
    </row>
    <row r="3821" spans="1:4" ht="15" x14ac:dyDescent="0.25">
      <c r="A3821" t="s">
        <v>10721</v>
      </c>
      <c r="B3821">
        <v>1</v>
      </c>
      <c r="C3821">
        <v>42</v>
      </c>
      <c r="D3821">
        <v>42</v>
      </c>
    </row>
    <row r="3822" spans="1:4" ht="15" x14ac:dyDescent="0.25">
      <c r="A3822" t="s">
        <v>10720</v>
      </c>
      <c r="B3822">
        <v>1</v>
      </c>
      <c r="C3822">
        <v>42</v>
      </c>
      <c r="D3822">
        <v>42</v>
      </c>
    </row>
    <row r="3823" spans="1:4" ht="15" x14ac:dyDescent="0.25">
      <c r="A3823" t="s">
        <v>10726</v>
      </c>
      <c r="B3823">
        <v>1</v>
      </c>
      <c r="C3823">
        <v>74</v>
      </c>
      <c r="D3823">
        <v>74</v>
      </c>
    </row>
    <row r="3824" spans="1:4" ht="15" x14ac:dyDescent="0.25">
      <c r="A3824" t="s">
        <v>10728</v>
      </c>
      <c r="B3824">
        <v>1</v>
      </c>
      <c r="C3824">
        <v>74</v>
      </c>
      <c r="D3824">
        <v>74</v>
      </c>
    </row>
    <row r="3825" spans="1:4" ht="15" x14ac:dyDescent="0.25">
      <c r="A3825" t="s">
        <v>10727</v>
      </c>
      <c r="B3825">
        <v>1</v>
      </c>
      <c r="C3825">
        <v>74</v>
      </c>
      <c r="D3825">
        <v>74</v>
      </c>
    </row>
    <row r="3826" spans="1:4" ht="15" x14ac:dyDescent="0.25">
      <c r="A3826" t="s">
        <v>10732</v>
      </c>
      <c r="B3826">
        <v>1</v>
      </c>
      <c r="C3826">
        <v>87</v>
      </c>
      <c r="D3826">
        <v>87</v>
      </c>
    </row>
    <row r="3827" spans="1:4" ht="15" x14ac:dyDescent="0.25">
      <c r="A3827" t="s">
        <v>10734</v>
      </c>
      <c r="B3827">
        <v>1</v>
      </c>
      <c r="C3827">
        <v>87</v>
      </c>
      <c r="D3827">
        <v>87</v>
      </c>
    </row>
    <row r="3828" spans="1:4" ht="15" x14ac:dyDescent="0.25">
      <c r="A3828" t="s">
        <v>10735</v>
      </c>
      <c r="B3828">
        <v>1</v>
      </c>
      <c r="C3828">
        <v>87</v>
      </c>
      <c r="D3828">
        <v>87</v>
      </c>
    </row>
    <row r="3829" spans="1:4" ht="15" x14ac:dyDescent="0.25">
      <c r="A3829" t="s">
        <v>10733</v>
      </c>
      <c r="B3829">
        <v>1</v>
      </c>
      <c r="C3829">
        <v>87</v>
      </c>
      <c r="D3829">
        <v>87</v>
      </c>
    </row>
    <row r="3830" spans="1:4" ht="15" x14ac:dyDescent="0.25">
      <c r="A3830" t="s">
        <v>10739</v>
      </c>
      <c r="B3830">
        <v>1</v>
      </c>
      <c r="C3830">
        <v>9</v>
      </c>
      <c r="D3830">
        <v>9</v>
      </c>
    </row>
    <row r="3831" spans="1:4" ht="15" x14ac:dyDescent="0.25">
      <c r="A3831" t="s">
        <v>10736</v>
      </c>
      <c r="B3831">
        <v>7</v>
      </c>
      <c r="C3831">
        <v>56</v>
      </c>
      <c r="D3831">
        <v>8</v>
      </c>
    </row>
    <row r="3832" spans="1:4" ht="15" x14ac:dyDescent="0.25">
      <c r="A3832" t="s">
        <v>10751</v>
      </c>
      <c r="B3832">
        <v>1</v>
      </c>
      <c r="C3832">
        <v>9</v>
      </c>
      <c r="D3832">
        <v>9</v>
      </c>
    </row>
    <row r="3833" spans="1:4" ht="15" x14ac:dyDescent="0.25">
      <c r="A3833" t="s">
        <v>10752</v>
      </c>
      <c r="B3833">
        <v>1</v>
      </c>
      <c r="C3833">
        <v>9</v>
      </c>
      <c r="D3833">
        <v>9</v>
      </c>
    </row>
    <row r="3834" spans="1:4" ht="15" x14ac:dyDescent="0.25">
      <c r="A3834" t="s">
        <v>10759</v>
      </c>
      <c r="B3834">
        <v>2</v>
      </c>
      <c r="C3834">
        <v>23</v>
      </c>
      <c r="D3834">
        <v>11.5</v>
      </c>
    </row>
    <row r="3835" spans="1:4" ht="15" x14ac:dyDescent="0.25">
      <c r="A3835" t="s">
        <v>10763</v>
      </c>
      <c r="B3835">
        <v>2</v>
      </c>
      <c r="C3835">
        <v>159</v>
      </c>
      <c r="D3835">
        <v>79.5</v>
      </c>
    </row>
    <row r="3836" spans="1:4" ht="15" x14ac:dyDescent="0.25">
      <c r="A3836" t="s">
        <v>10767</v>
      </c>
      <c r="B3836">
        <v>1</v>
      </c>
      <c r="C3836">
        <v>121</v>
      </c>
      <c r="D3836">
        <v>121</v>
      </c>
    </row>
    <row r="3837" spans="1:4" ht="15" x14ac:dyDescent="0.25">
      <c r="A3837" t="s">
        <v>10768</v>
      </c>
      <c r="B3837">
        <v>1</v>
      </c>
      <c r="C3837">
        <v>121</v>
      </c>
      <c r="D3837">
        <v>121</v>
      </c>
    </row>
    <row r="3838" spans="1:4" ht="15" x14ac:dyDescent="0.25">
      <c r="A3838" t="s">
        <v>10770</v>
      </c>
      <c r="B3838">
        <v>1</v>
      </c>
      <c r="C3838">
        <v>121</v>
      </c>
      <c r="D3838">
        <v>121</v>
      </c>
    </row>
    <row r="3839" spans="1:4" ht="15" x14ac:dyDescent="0.25">
      <c r="A3839" t="s">
        <v>10769</v>
      </c>
      <c r="B3839">
        <v>1</v>
      </c>
      <c r="C3839">
        <v>121</v>
      </c>
      <c r="D3839">
        <v>121</v>
      </c>
    </row>
    <row r="3840" spans="1:4" ht="15" x14ac:dyDescent="0.25">
      <c r="A3840" t="s">
        <v>10775</v>
      </c>
      <c r="B3840">
        <v>1</v>
      </c>
      <c r="C3840">
        <v>28</v>
      </c>
      <c r="D3840">
        <v>28</v>
      </c>
    </row>
    <row r="3841" spans="1:4" ht="15" x14ac:dyDescent="0.25">
      <c r="A3841" t="s">
        <v>10776</v>
      </c>
      <c r="B3841">
        <v>2</v>
      </c>
      <c r="C3841">
        <v>60</v>
      </c>
      <c r="D3841">
        <v>30</v>
      </c>
    </row>
    <row r="3842" spans="1:4" ht="15" x14ac:dyDescent="0.25">
      <c r="A3842" t="s">
        <v>10778</v>
      </c>
      <c r="B3842">
        <v>1</v>
      </c>
      <c r="C3842">
        <v>28</v>
      </c>
      <c r="D3842">
        <v>28</v>
      </c>
    </row>
    <row r="3843" spans="1:4" ht="15" x14ac:dyDescent="0.25">
      <c r="A3843" t="s">
        <v>10779</v>
      </c>
      <c r="B3843">
        <v>1</v>
      </c>
      <c r="C3843">
        <v>28</v>
      </c>
      <c r="D3843">
        <v>28</v>
      </c>
    </row>
    <row r="3844" spans="1:4" ht="15" x14ac:dyDescent="0.25">
      <c r="A3844" t="s">
        <v>10777</v>
      </c>
      <c r="B3844">
        <v>1</v>
      </c>
      <c r="C3844">
        <v>28</v>
      </c>
      <c r="D3844">
        <v>28</v>
      </c>
    </row>
    <row r="3845" spans="1:4" ht="15" x14ac:dyDescent="0.25">
      <c r="A3845" t="s">
        <v>10782</v>
      </c>
      <c r="B3845">
        <v>1</v>
      </c>
      <c r="C3845">
        <v>14</v>
      </c>
      <c r="D3845">
        <v>14</v>
      </c>
    </row>
    <row r="3846" spans="1:4" ht="15" x14ac:dyDescent="0.25">
      <c r="A3846" t="s">
        <v>10783</v>
      </c>
      <c r="B3846">
        <v>1</v>
      </c>
      <c r="C3846">
        <v>14</v>
      </c>
      <c r="D3846">
        <v>14</v>
      </c>
    </row>
    <row r="3847" spans="1:4" ht="15" x14ac:dyDescent="0.25">
      <c r="A3847" t="s">
        <v>10784</v>
      </c>
      <c r="B3847">
        <v>1</v>
      </c>
      <c r="C3847">
        <v>14</v>
      </c>
      <c r="D3847">
        <v>14</v>
      </c>
    </row>
    <row r="3848" spans="1:4" ht="15" x14ac:dyDescent="0.25">
      <c r="A3848" t="s">
        <v>10788</v>
      </c>
      <c r="B3848">
        <v>1</v>
      </c>
      <c r="C3848">
        <v>55</v>
      </c>
      <c r="D3848">
        <v>55</v>
      </c>
    </row>
    <row r="3849" spans="1:4" ht="15" x14ac:dyDescent="0.25">
      <c r="A3849" t="s">
        <v>10794</v>
      </c>
      <c r="B3849">
        <v>1</v>
      </c>
      <c r="C3849">
        <v>89</v>
      </c>
      <c r="D3849">
        <v>89</v>
      </c>
    </row>
    <row r="3850" spans="1:4" ht="15" x14ac:dyDescent="0.25">
      <c r="A3850" t="s">
        <v>10795</v>
      </c>
      <c r="B3850">
        <v>1</v>
      </c>
      <c r="C3850">
        <v>89</v>
      </c>
      <c r="D3850">
        <v>89</v>
      </c>
    </row>
    <row r="3851" spans="1:4" ht="15" x14ac:dyDescent="0.25">
      <c r="A3851" t="s">
        <v>10797</v>
      </c>
      <c r="B3851">
        <v>1</v>
      </c>
      <c r="C3851">
        <v>89</v>
      </c>
      <c r="D3851">
        <v>89</v>
      </c>
    </row>
    <row r="3852" spans="1:4" ht="15" x14ac:dyDescent="0.25">
      <c r="A3852" t="s">
        <v>10796</v>
      </c>
      <c r="B3852">
        <v>5</v>
      </c>
      <c r="C3852">
        <v>217</v>
      </c>
      <c r="D3852">
        <v>43.4</v>
      </c>
    </row>
    <row r="3853" spans="1:4" ht="15" x14ac:dyDescent="0.25">
      <c r="A3853" t="s">
        <v>10803</v>
      </c>
      <c r="B3853">
        <v>2</v>
      </c>
      <c r="C3853">
        <v>121</v>
      </c>
      <c r="D3853">
        <v>60.5</v>
      </c>
    </row>
    <row r="3854" spans="1:4" ht="15" x14ac:dyDescent="0.25">
      <c r="A3854" t="s">
        <v>10804</v>
      </c>
      <c r="B3854">
        <v>1</v>
      </c>
      <c r="C3854">
        <v>89</v>
      </c>
      <c r="D3854">
        <v>89</v>
      </c>
    </row>
    <row r="3855" spans="1:4" ht="15" x14ac:dyDescent="0.25">
      <c r="A3855" t="s">
        <v>10806</v>
      </c>
      <c r="B3855">
        <v>2</v>
      </c>
      <c r="C3855">
        <v>516</v>
      </c>
      <c r="D3855">
        <v>258</v>
      </c>
    </row>
    <row r="3856" spans="1:4" ht="15" x14ac:dyDescent="0.25">
      <c r="A3856" t="s">
        <v>10805</v>
      </c>
      <c r="B3856">
        <v>1</v>
      </c>
      <c r="C3856">
        <v>89</v>
      </c>
      <c r="D3856">
        <v>89</v>
      </c>
    </row>
    <row r="3857" spans="1:4" ht="15" x14ac:dyDescent="0.25">
      <c r="A3857" t="s">
        <v>10814</v>
      </c>
      <c r="B3857">
        <v>1</v>
      </c>
      <c r="C3857">
        <v>59</v>
      </c>
      <c r="D3857">
        <v>59</v>
      </c>
    </row>
    <row r="3858" spans="1:4" ht="15" x14ac:dyDescent="0.25">
      <c r="A3858" t="s">
        <v>10816</v>
      </c>
      <c r="B3858">
        <v>1</v>
      </c>
      <c r="C3858">
        <v>59</v>
      </c>
      <c r="D3858">
        <v>59</v>
      </c>
    </row>
    <row r="3859" spans="1:4" ht="15" x14ac:dyDescent="0.25">
      <c r="A3859" t="s">
        <v>10815</v>
      </c>
      <c r="B3859">
        <v>1</v>
      </c>
      <c r="C3859">
        <v>59</v>
      </c>
      <c r="D3859">
        <v>59</v>
      </c>
    </row>
    <row r="3860" spans="1:4" ht="15" x14ac:dyDescent="0.25">
      <c r="A3860" t="s">
        <v>10822</v>
      </c>
      <c r="B3860">
        <v>1</v>
      </c>
      <c r="C3860">
        <v>33</v>
      </c>
      <c r="D3860">
        <v>33</v>
      </c>
    </row>
    <row r="3861" spans="1:4" ht="15" x14ac:dyDescent="0.25">
      <c r="A3861" t="s">
        <v>10823</v>
      </c>
      <c r="B3861">
        <v>1</v>
      </c>
      <c r="C3861">
        <v>33</v>
      </c>
      <c r="D3861">
        <v>33</v>
      </c>
    </row>
    <row r="3862" spans="1:4" ht="15" x14ac:dyDescent="0.25">
      <c r="A3862" t="s">
        <v>10825</v>
      </c>
      <c r="B3862">
        <v>1</v>
      </c>
      <c r="C3862">
        <v>33</v>
      </c>
      <c r="D3862">
        <v>33</v>
      </c>
    </row>
    <row r="3863" spans="1:4" ht="15" x14ac:dyDescent="0.25">
      <c r="A3863" t="s">
        <v>10826</v>
      </c>
      <c r="B3863">
        <v>1</v>
      </c>
      <c r="C3863">
        <v>33</v>
      </c>
      <c r="D3863">
        <v>33</v>
      </c>
    </row>
    <row r="3864" spans="1:4" ht="15" x14ac:dyDescent="0.25">
      <c r="A3864" t="s">
        <v>10824</v>
      </c>
      <c r="B3864">
        <v>1</v>
      </c>
      <c r="C3864">
        <v>33</v>
      </c>
      <c r="D3864">
        <v>33</v>
      </c>
    </row>
    <row r="3865" spans="1:4" ht="15" x14ac:dyDescent="0.25">
      <c r="A3865" t="s">
        <v>10830</v>
      </c>
      <c r="B3865">
        <v>1</v>
      </c>
      <c r="C3865">
        <v>27</v>
      </c>
      <c r="D3865">
        <v>27</v>
      </c>
    </row>
    <row r="3866" spans="1:4" ht="15" x14ac:dyDescent="0.25">
      <c r="A3866" t="s">
        <v>10837</v>
      </c>
      <c r="B3866">
        <v>1</v>
      </c>
      <c r="C3866">
        <v>49</v>
      </c>
      <c r="D3866">
        <v>49</v>
      </c>
    </row>
    <row r="3867" spans="1:4" ht="15" x14ac:dyDescent="0.25">
      <c r="A3867" t="s">
        <v>10838</v>
      </c>
      <c r="B3867">
        <v>1</v>
      </c>
      <c r="C3867">
        <v>49</v>
      </c>
      <c r="D3867">
        <v>49</v>
      </c>
    </row>
    <row r="3868" spans="1:4" ht="15" x14ac:dyDescent="0.25">
      <c r="A3868" t="s">
        <v>10840</v>
      </c>
      <c r="B3868">
        <v>1</v>
      </c>
      <c r="C3868">
        <v>49</v>
      </c>
      <c r="D3868">
        <v>49</v>
      </c>
    </row>
    <row r="3869" spans="1:4" ht="15" x14ac:dyDescent="0.25">
      <c r="A3869" t="s">
        <v>10841</v>
      </c>
      <c r="B3869">
        <v>1</v>
      </c>
      <c r="C3869">
        <v>49</v>
      </c>
      <c r="D3869">
        <v>49</v>
      </c>
    </row>
    <row r="3870" spans="1:4" ht="15" x14ac:dyDescent="0.25">
      <c r="A3870" t="s">
        <v>10839</v>
      </c>
      <c r="B3870">
        <v>2</v>
      </c>
      <c r="C3870">
        <v>67</v>
      </c>
      <c r="D3870">
        <v>33.5</v>
      </c>
    </row>
    <row r="3871" spans="1:4" ht="15" x14ac:dyDescent="0.25">
      <c r="A3871" t="s">
        <v>10845</v>
      </c>
      <c r="B3871">
        <v>2</v>
      </c>
      <c r="C3871">
        <v>78</v>
      </c>
      <c r="D3871">
        <v>39</v>
      </c>
    </row>
    <row r="3872" spans="1:4" ht="15" x14ac:dyDescent="0.25">
      <c r="A3872" t="s">
        <v>10846</v>
      </c>
      <c r="B3872">
        <v>1</v>
      </c>
      <c r="C3872">
        <v>40</v>
      </c>
      <c r="D3872">
        <v>40</v>
      </c>
    </row>
    <row r="3873" spans="1:4" ht="15" x14ac:dyDescent="0.25">
      <c r="A3873" t="s">
        <v>10849</v>
      </c>
      <c r="B3873">
        <v>1</v>
      </c>
      <c r="C3873">
        <v>39</v>
      </c>
      <c r="D3873">
        <v>39</v>
      </c>
    </row>
    <row r="3874" spans="1:4" ht="15" x14ac:dyDescent="0.25">
      <c r="A3874" t="s">
        <v>10850</v>
      </c>
      <c r="B3874">
        <v>1</v>
      </c>
      <c r="C3874">
        <v>39</v>
      </c>
      <c r="D3874">
        <v>39</v>
      </c>
    </row>
    <row r="3875" spans="1:4" ht="15" x14ac:dyDescent="0.25">
      <c r="A3875" t="s">
        <v>10851</v>
      </c>
      <c r="B3875">
        <v>1</v>
      </c>
      <c r="C3875">
        <v>39</v>
      </c>
      <c r="D3875">
        <v>39</v>
      </c>
    </row>
    <row r="3876" spans="1:4" ht="15" x14ac:dyDescent="0.25">
      <c r="A3876" t="s">
        <v>10852</v>
      </c>
      <c r="B3876">
        <v>1</v>
      </c>
      <c r="C3876">
        <v>39</v>
      </c>
      <c r="D3876">
        <v>39</v>
      </c>
    </row>
    <row r="3877" spans="1:4" ht="15" x14ac:dyDescent="0.25">
      <c r="A3877" t="s">
        <v>10855</v>
      </c>
      <c r="B3877">
        <v>3</v>
      </c>
      <c r="C3877">
        <v>95</v>
      </c>
      <c r="D3877">
        <v>31.666666666666668</v>
      </c>
    </row>
    <row r="3878" spans="1:4" ht="15" x14ac:dyDescent="0.25">
      <c r="A3878" t="s">
        <v>10863</v>
      </c>
      <c r="B3878">
        <v>1</v>
      </c>
      <c r="C3878">
        <v>61</v>
      </c>
      <c r="D3878">
        <v>61</v>
      </c>
    </row>
    <row r="3879" spans="1:4" ht="15" x14ac:dyDescent="0.25">
      <c r="A3879" t="s">
        <v>10864</v>
      </c>
      <c r="B3879">
        <v>1</v>
      </c>
      <c r="C3879">
        <v>61</v>
      </c>
      <c r="D3879">
        <v>61</v>
      </c>
    </row>
    <row r="3880" spans="1:4" ht="15" x14ac:dyDescent="0.25">
      <c r="A3880" t="s">
        <v>10865</v>
      </c>
      <c r="B3880">
        <v>1</v>
      </c>
      <c r="C3880">
        <v>61</v>
      </c>
      <c r="D3880">
        <v>61</v>
      </c>
    </row>
    <row r="3881" spans="1:4" ht="15" x14ac:dyDescent="0.25">
      <c r="A3881" t="s">
        <v>10869</v>
      </c>
      <c r="B3881">
        <v>1</v>
      </c>
      <c r="C3881">
        <v>32</v>
      </c>
      <c r="D3881">
        <v>32</v>
      </c>
    </row>
    <row r="3882" spans="1:4" ht="15" x14ac:dyDescent="0.25">
      <c r="A3882" t="s">
        <v>10870</v>
      </c>
      <c r="B3882">
        <v>1</v>
      </c>
      <c r="C3882">
        <v>32</v>
      </c>
      <c r="D3882">
        <v>32</v>
      </c>
    </row>
    <row r="3883" spans="1:4" ht="15" x14ac:dyDescent="0.25">
      <c r="A3883" t="s">
        <v>10872</v>
      </c>
      <c r="B3883">
        <v>1</v>
      </c>
      <c r="C3883">
        <v>32</v>
      </c>
      <c r="D3883">
        <v>32</v>
      </c>
    </row>
    <row r="3884" spans="1:4" ht="15" x14ac:dyDescent="0.25">
      <c r="A3884" t="s">
        <v>10873</v>
      </c>
      <c r="B3884">
        <v>1</v>
      </c>
      <c r="C3884">
        <v>32</v>
      </c>
      <c r="D3884">
        <v>32</v>
      </c>
    </row>
    <row r="3885" spans="1:4" ht="15" x14ac:dyDescent="0.25">
      <c r="A3885" t="s">
        <v>10871</v>
      </c>
      <c r="B3885">
        <v>1</v>
      </c>
      <c r="C3885">
        <v>32</v>
      </c>
      <c r="D3885">
        <v>32</v>
      </c>
    </row>
    <row r="3886" spans="1:4" ht="15" x14ac:dyDescent="0.25">
      <c r="A3886" t="s">
        <v>10878</v>
      </c>
      <c r="B3886">
        <v>6</v>
      </c>
      <c r="C3886">
        <v>475</v>
      </c>
      <c r="D3886">
        <v>79.166666666666671</v>
      </c>
    </row>
    <row r="3887" spans="1:4" ht="15" x14ac:dyDescent="0.25">
      <c r="A3887" t="s">
        <v>10883</v>
      </c>
      <c r="B3887">
        <v>1</v>
      </c>
      <c r="C3887">
        <v>77</v>
      </c>
      <c r="D3887">
        <v>77</v>
      </c>
    </row>
    <row r="3888" spans="1:4" ht="15" x14ac:dyDescent="0.25">
      <c r="A3888" t="s">
        <v>10884</v>
      </c>
      <c r="B3888">
        <v>2</v>
      </c>
      <c r="C3888">
        <v>105</v>
      </c>
      <c r="D3888">
        <v>52.5</v>
      </c>
    </row>
    <row r="3889" spans="1:4" ht="15" x14ac:dyDescent="0.25">
      <c r="A3889" t="s">
        <v>10886</v>
      </c>
      <c r="B3889">
        <v>1</v>
      </c>
      <c r="C3889">
        <v>77</v>
      </c>
      <c r="D3889">
        <v>77</v>
      </c>
    </row>
    <row r="3890" spans="1:4" ht="15" x14ac:dyDescent="0.25">
      <c r="A3890" t="s">
        <v>10885</v>
      </c>
      <c r="B3890">
        <v>1</v>
      </c>
      <c r="C3890">
        <v>77</v>
      </c>
      <c r="D3890">
        <v>77</v>
      </c>
    </row>
    <row r="3891" spans="1:4" ht="15" x14ac:dyDescent="0.25">
      <c r="A3891" t="s">
        <v>10895</v>
      </c>
      <c r="B3891">
        <v>2</v>
      </c>
      <c r="C3891">
        <v>314</v>
      </c>
      <c r="D3891">
        <v>157</v>
      </c>
    </row>
    <row r="3892" spans="1:4" ht="15" x14ac:dyDescent="0.25">
      <c r="A3892" t="s">
        <v>10896</v>
      </c>
      <c r="B3892">
        <v>4</v>
      </c>
      <c r="C3892">
        <v>481</v>
      </c>
      <c r="D3892">
        <v>120.25</v>
      </c>
    </row>
    <row r="3893" spans="1:4" ht="15" x14ac:dyDescent="0.25">
      <c r="A3893" t="s">
        <v>10900</v>
      </c>
      <c r="B3893">
        <v>1</v>
      </c>
      <c r="C3893">
        <v>29</v>
      </c>
      <c r="D3893">
        <v>29</v>
      </c>
    </row>
    <row r="3894" spans="1:4" ht="15" x14ac:dyDescent="0.25">
      <c r="A3894" t="s">
        <v>10901</v>
      </c>
      <c r="B3894">
        <v>3</v>
      </c>
      <c r="C3894">
        <v>128</v>
      </c>
      <c r="D3894">
        <v>42.666666666666664</v>
      </c>
    </row>
    <row r="3895" spans="1:4" ht="15" x14ac:dyDescent="0.25">
      <c r="A3895" t="s">
        <v>10905</v>
      </c>
      <c r="B3895">
        <v>6</v>
      </c>
      <c r="C3895">
        <v>3852</v>
      </c>
      <c r="D3895">
        <v>642</v>
      </c>
    </row>
    <row r="3896" spans="1:4" ht="15" x14ac:dyDescent="0.25">
      <c r="A3896" t="s">
        <v>10906</v>
      </c>
      <c r="B3896">
        <v>1</v>
      </c>
      <c r="C3896">
        <v>22</v>
      </c>
      <c r="D3896">
        <v>22</v>
      </c>
    </row>
    <row r="3897" spans="1:4" ht="15" x14ac:dyDescent="0.25">
      <c r="A3897" t="s">
        <v>10910</v>
      </c>
      <c r="B3897">
        <v>1</v>
      </c>
      <c r="C3897">
        <v>92</v>
      </c>
      <c r="D3897">
        <v>92</v>
      </c>
    </row>
    <row r="3898" spans="1:4" ht="15" x14ac:dyDescent="0.25">
      <c r="A3898" t="s">
        <v>10911</v>
      </c>
      <c r="B3898">
        <v>1</v>
      </c>
      <c r="C3898">
        <v>92</v>
      </c>
      <c r="D3898">
        <v>92</v>
      </c>
    </row>
    <row r="3899" spans="1:4" ht="15" x14ac:dyDescent="0.25">
      <c r="A3899" t="s">
        <v>10916</v>
      </c>
      <c r="B3899">
        <v>1</v>
      </c>
      <c r="C3899">
        <v>13</v>
      </c>
      <c r="D3899">
        <v>13</v>
      </c>
    </row>
    <row r="3900" spans="1:4" ht="15" x14ac:dyDescent="0.25">
      <c r="A3900" t="s">
        <v>10915</v>
      </c>
      <c r="B3900">
        <v>1</v>
      </c>
      <c r="C3900">
        <v>13</v>
      </c>
      <c r="D3900">
        <v>13</v>
      </c>
    </row>
    <row r="3901" spans="1:4" ht="15" x14ac:dyDescent="0.25">
      <c r="A3901" t="s">
        <v>10919</v>
      </c>
      <c r="B3901">
        <v>2</v>
      </c>
      <c r="C3901">
        <v>85</v>
      </c>
      <c r="D3901">
        <v>42.5</v>
      </c>
    </row>
    <row r="3902" spans="1:4" ht="15" x14ac:dyDescent="0.25">
      <c r="A3902" t="s">
        <v>10920</v>
      </c>
      <c r="B3902">
        <v>1</v>
      </c>
      <c r="C3902">
        <v>24</v>
      </c>
      <c r="D3902">
        <v>24</v>
      </c>
    </row>
    <row r="3903" spans="1:4" ht="15" x14ac:dyDescent="0.25">
      <c r="A3903" t="s">
        <v>10921</v>
      </c>
      <c r="B3903">
        <v>2</v>
      </c>
      <c r="C3903">
        <v>40</v>
      </c>
      <c r="D3903">
        <v>20</v>
      </c>
    </row>
    <row r="3904" spans="1:4" ht="15" x14ac:dyDescent="0.25">
      <c r="A3904" t="s">
        <v>10922</v>
      </c>
      <c r="B3904">
        <v>2</v>
      </c>
      <c r="C3904">
        <v>38</v>
      </c>
      <c r="D3904">
        <v>19</v>
      </c>
    </row>
    <row r="3905" spans="1:4" ht="15" x14ac:dyDescent="0.25">
      <c r="A3905" t="s">
        <v>10927</v>
      </c>
      <c r="B3905">
        <v>1</v>
      </c>
      <c r="C3905">
        <v>59</v>
      </c>
      <c r="D3905">
        <v>59</v>
      </c>
    </row>
    <row r="3906" spans="1:4" ht="15" x14ac:dyDescent="0.25">
      <c r="A3906" t="s">
        <v>10928</v>
      </c>
      <c r="B3906">
        <v>1</v>
      </c>
      <c r="C3906">
        <v>59</v>
      </c>
      <c r="D3906">
        <v>59</v>
      </c>
    </row>
    <row r="3907" spans="1:4" ht="15" x14ac:dyDescent="0.25">
      <c r="A3907" t="s">
        <v>10932</v>
      </c>
      <c r="B3907">
        <v>1</v>
      </c>
      <c r="C3907">
        <v>34</v>
      </c>
      <c r="D3907">
        <v>34</v>
      </c>
    </row>
    <row r="3908" spans="1:4" ht="15" x14ac:dyDescent="0.25">
      <c r="A3908" t="s">
        <v>10933</v>
      </c>
      <c r="B3908">
        <v>1</v>
      </c>
      <c r="C3908">
        <v>34</v>
      </c>
      <c r="D3908">
        <v>34</v>
      </c>
    </row>
    <row r="3909" spans="1:4" ht="15" x14ac:dyDescent="0.25">
      <c r="A3909" t="s">
        <v>10935</v>
      </c>
      <c r="B3909">
        <v>1</v>
      </c>
      <c r="C3909">
        <v>34</v>
      </c>
      <c r="D3909">
        <v>34</v>
      </c>
    </row>
    <row r="3910" spans="1:4" ht="15" x14ac:dyDescent="0.25">
      <c r="A3910" t="s">
        <v>10934</v>
      </c>
      <c r="B3910">
        <v>1</v>
      </c>
      <c r="C3910">
        <v>34</v>
      </c>
      <c r="D3910">
        <v>34</v>
      </c>
    </row>
    <row r="3911" spans="1:4" ht="15" x14ac:dyDescent="0.25">
      <c r="A3911" t="s">
        <v>10939</v>
      </c>
      <c r="B3911">
        <v>1</v>
      </c>
      <c r="C3911">
        <v>86</v>
      </c>
      <c r="D3911">
        <v>86</v>
      </c>
    </row>
    <row r="3912" spans="1:4" ht="15" x14ac:dyDescent="0.25">
      <c r="A3912" t="s">
        <v>10940</v>
      </c>
      <c r="B3912">
        <v>1</v>
      </c>
      <c r="C3912">
        <v>86</v>
      </c>
      <c r="D3912">
        <v>86</v>
      </c>
    </row>
    <row r="3913" spans="1:4" ht="15" x14ac:dyDescent="0.25">
      <c r="A3913" t="s">
        <v>10942</v>
      </c>
      <c r="B3913">
        <v>1</v>
      </c>
      <c r="C3913">
        <v>86</v>
      </c>
      <c r="D3913">
        <v>86</v>
      </c>
    </row>
    <row r="3914" spans="1:4" ht="15" x14ac:dyDescent="0.25">
      <c r="A3914" t="s">
        <v>10941</v>
      </c>
      <c r="B3914">
        <v>1</v>
      </c>
      <c r="C3914">
        <v>86</v>
      </c>
      <c r="D3914">
        <v>86</v>
      </c>
    </row>
    <row r="3915" spans="1:4" ht="15" x14ac:dyDescent="0.25">
      <c r="A3915" t="s">
        <v>10946</v>
      </c>
      <c r="B3915">
        <v>1</v>
      </c>
      <c r="C3915">
        <v>69</v>
      </c>
      <c r="D3915">
        <v>69</v>
      </c>
    </row>
    <row r="3916" spans="1:4" ht="15" x14ac:dyDescent="0.25">
      <c r="A3916" t="s">
        <v>10948</v>
      </c>
      <c r="B3916">
        <v>3</v>
      </c>
      <c r="C3916">
        <v>108</v>
      </c>
      <c r="D3916">
        <v>36</v>
      </c>
    </row>
    <row r="3917" spans="1:4" ht="15" x14ac:dyDescent="0.25">
      <c r="A3917" t="s">
        <v>10947</v>
      </c>
      <c r="B3917">
        <v>1</v>
      </c>
      <c r="C3917">
        <v>69</v>
      </c>
      <c r="D3917">
        <v>69</v>
      </c>
    </row>
    <row r="3918" spans="1:4" ht="15" x14ac:dyDescent="0.25">
      <c r="A3918" t="s">
        <v>10953</v>
      </c>
      <c r="B3918">
        <v>1</v>
      </c>
      <c r="C3918">
        <v>58</v>
      </c>
      <c r="D3918">
        <v>58</v>
      </c>
    </row>
    <row r="3919" spans="1:4" ht="15" x14ac:dyDescent="0.25">
      <c r="A3919" t="s">
        <v>10954</v>
      </c>
      <c r="B3919">
        <v>1</v>
      </c>
      <c r="C3919">
        <v>58</v>
      </c>
      <c r="D3919">
        <v>58</v>
      </c>
    </row>
    <row r="3920" spans="1:4" ht="15" x14ac:dyDescent="0.25">
      <c r="A3920" t="s">
        <v>10955</v>
      </c>
      <c r="B3920">
        <v>1</v>
      </c>
      <c r="C3920">
        <v>58</v>
      </c>
      <c r="D3920">
        <v>58</v>
      </c>
    </row>
    <row r="3921" spans="1:4" ht="15" x14ac:dyDescent="0.25">
      <c r="A3921" t="s">
        <v>10958</v>
      </c>
      <c r="B3921">
        <v>3</v>
      </c>
      <c r="C3921">
        <v>1949</v>
      </c>
      <c r="D3921">
        <v>649.66666666666663</v>
      </c>
    </row>
    <row r="3922" spans="1:4" ht="15" x14ac:dyDescent="0.25">
      <c r="A3922" t="s">
        <v>10959</v>
      </c>
      <c r="B3922">
        <v>3</v>
      </c>
      <c r="C3922">
        <v>4459</v>
      </c>
      <c r="D3922">
        <v>1486.3333333333333</v>
      </c>
    </row>
    <row r="3923" spans="1:4" ht="15" x14ac:dyDescent="0.25">
      <c r="A3923" t="s">
        <v>10961</v>
      </c>
      <c r="B3923">
        <v>1</v>
      </c>
      <c r="C3923">
        <v>1382</v>
      </c>
      <c r="D3923">
        <v>1382</v>
      </c>
    </row>
    <row r="3924" spans="1:4" ht="15" x14ac:dyDescent="0.25">
      <c r="A3924" t="s">
        <v>10962</v>
      </c>
      <c r="B3924">
        <v>2</v>
      </c>
      <c r="C3924">
        <v>1425</v>
      </c>
      <c r="D3924">
        <v>712.5</v>
      </c>
    </row>
    <row r="3925" spans="1:4" ht="15" x14ac:dyDescent="0.25">
      <c r="A3925" t="s">
        <v>10960</v>
      </c>
      <c r="B3925">
        <v>1</v>
      </c>
      <c r="C3925">
        <v>1382</v>
      </c>
      <c r="D3925">
        <v>1382</v>
      </c>
    </row>
    <row r="3926" spans="1:4" ht="15" x14ac:dyDescent="0.25">
      <c r="A3926" t="s">
        <v>10966</v>
      </c>
      <c r="B3926">
        <v>1</v>
      </c>
      <c r="C3926">
        <v>4</v>
      </c>
      <c r="D3926">
        <v>4</v>
      </c>
    </row>
    <row r="3927" spans="1:4" ht="15" x14ac:dyDescent="0.25">
      <c r="A3927" t="s">
        <v>10967</v>
      </c>
      <c r="B3927">
        <v>1</v>
      </c>
      <c r="C3927">
        <v>4</v>
      </c>
      <c r="D3927">
        <v>4</v>
      </c>
    </row>
    <row r="3928" spans="1:4" ht="15" x14ac:dyDescent="0.25">
      <c r="A3928" t="s">
        <v>10972</v>
      </c>
      <c r="B3928">
        <v>1</v>
      </c>
      <c r="C3928">
        <v>33</v>
      </c>
      <c r="D3928">
        <v>33</v>
      </c>
    </row>
    <row r="3929" spans="1:4" ht="15" x14ac:dyDescent="0.25">
      <c r="A3929" t="s">
        <v>10973</v>
      </c>
      <c r="B3929">
        <v>1</v>
      </c>
      <c r="C3929">
        <v>33</v>
      </c>
      <c r="D3929">
        <v>33</v>
      </c>
    </row>
    <row r="3930" spans="1:4" ht="15" x14ac:dyDescent="0.25">
      <c r="A3930" t="s">
        <v>10974</v>
      </c>
      <c r="B3930">
        <v>2</v>
      </c>
      <c r="C3930">
        <v>51</v>
      </c>
      <c r="D3930">
        <v>25.5</v>
      </c>
    </row>
    <row r="3931" spans="1:4" ht="15" x14ac:dyDescent="0.25">
      <c r="A3931" t="s">
        <v>10975</v>
      </c>
      <c r="B3931">
        <v>1</v>
      </c>
      <c r="C3931">
        <v>33</v>
      </c>
      <c r="D3931">
        <v>33</v>
      </c>
    </row>
    <row r="3932" spans="1:4" ht="15" x14ac:dyDescent="0.25">
      <c r="A3932" t="s">
        <v>10979</v>
      </c>
      <c r="B3932">
        <v>8</v>
      </c>
      <c r="C3932">
        <v>204</v>
      </c>
      <c r="D3932">
        <v>25.5</v>
      </c>
    </row>
    <row r="3933" spans="1:4" ht="15" x14ac:dyDescent="0.25">
      <c r="A3933" t="s">
        <v>10978</v>
      </c>
      <c r="B3933">
        <v>1</v>
      </c>
      <c r="C3933">
        <v>21</v>
      </c>
      <c r="D3933">
        <v>21</v>
      </c>
    </row>
    <row r="3934" spans="1:4" ht="15" x14ac:dyDescent="0.25">
      <c r="A3934" t="s">
        <v>10984</v>
      </c>
      <c r="B3934">
        <v>1</v>
      </c>
      <c r="C3934">
        <v>78</v>
      </c>
      <c r="D3934">
        <v>78</v>
      </c>
    </row>
    <row r="3935" spans="1:4" ht="15" x14ac:dyDescent="0.25">
      <c r="A3935" t="s">
        <v>10986</v>
      </c>
      <c r="B3935">
        <v>1</v>
      </c>
      <c r="C3935">
        <v>78</v>
      </c>
      <c r="D3935">
        <v>78</v>
      </c>
    </row>
    <row r="3936" spans="1:4" ht="15" x14ac:dyDescent="0.25">
      <c r="A3936" t="s">
        <v>10985</v>
      </c>
      <c r="B3936">
        <v>1</v>
      </c>
      <c r="C3936">
        <v>78</v>
      </c>
      <c r="D3936">
        <v>78</v>
      </c>
    </row>
    <row r="3937" spans="1:4" ht="15" x14ac:dyDescent="0.25">
      <c r="A3937" t="s">
        <v>10990</v>
      </c>
      <c r="B3937">
        <v>1</v>
      </c>
      <c r="C3937">
        <v>4</v>
      </c>
      <c r="D3937">
        <v>4</v>
      </c>
    </row>
    <row r="3938" spans="1:4" ht="15" x14ac:dyDescent="0.25">
      <c r="A3938" t="s">
        <v>10992</v>
      </c>
      <c r="B3938">
        <v>1</v>
      </c>
      <c r="C3938">
        <v>4</v>
      </c>
      <c r="D3938">
        <v>4</v>
      </c>
    </row>
    <row r="3939" spans="1:4" ht="15" x14ac:dyDescent="0.25">
      <c r="A3939" t="s">
        <v>10993</v>
      </c>
      <c r="B3939">
        <v>1</v>
      </c>
      <c r="C3939">
        <v>4</v>
      </c>
      <c r="D3939">
        <v>4</v>
      </c>
    </row>
    <row r="3940" spans="1:4" ht="15" x14ac:dyDescent="0.25">
      <c r="A3940" t="s">
        <v>10991</v>
      </c>
      <c r="B3940">
        <v>1</v>
      </c>
      <c r="C3940">
        <v>4</v>
      </c>
      <c r="D3940">
        <v>4</v>
      </c>
    </row>
    <row r="3941" spans="1:4" ht="15" x14ac:dyDescent="0.25">
      <c r="A3941" t="s">
        <v>10997</v>
      </c>
      <c r="B3941">
        <v>2</v>
      </c>
      <c r="C3941">
        <v>63</v>
      </c>
      <c r="D3941">
        <v>31.5</v>
      </c>
    </row>
    <row r="3942" spans="1:4" ht="15" x14ac:dyDescent="0.25">
      <c r="A3942" t="s">
        <v>10999</v>
      </c>
      <c r="B3942">
        <v>1</v>
      </c>
      <c r="C3942">
        <v>33</v>
      </c>
      <c r="D3942">
        <v>33</v>
      </c>
    </row>
    <row r="3943" spans="1:4" ht="15" x14ac:dyDescent="0.25">
      <c r="A3943" t="s">
        <v>10998</v>
      </c>
      <c r="B3943">
        <v>1</v>
      </c>
      <c r="C3943">
        <v>33</v>
      </c>
      <c r="D3943">
        <v>33</v>
      </c>
    </row>
    <row r="3944" spans="1:4" ht="15" x14ac:dyDescent="0.25">
      <c r="A3944" t="s">
        <v>11006</v>
      </c>
      <c r="B3944">
        <v>2</v>
      </c>
      <c r="C3944">
        <v>40</v>
      </c>
      <c r="D3944">
        <v>20</v>
      </c>
    </row>
    <row r="3945" spans="1:4" ht="15" x14ac:dyDescent="0.25">
      <c r="A3945" t="s">
        <v>11007</v>
      </c>
      <c r="B3945">
        <v>1</v>
      </c>
      <c r="C3945">
        <v>9</v>
      </c>
      <c r="D3945">
        <v>9</v>
      </c>
    </row>
    <row r="3946" spans="1:4" ht="15" x14ac:dyDescent="0.25">
      <c r="A3946" t="s">
        <v>11011</v>
      </c>
      <c r="B3946">
        <v>1</v>
      </c>
      <c r="C3946">
        <v>35</v>
      </c>
      <c r="D3946">
        <v>35</v>
      </c>
    </row>
    <row r="3947" spans="1:4" ht="15" x14ac:dyDescent="0.25">
      <c r="A3947" t="s">
        <v>11012</v>
      </c>
      <c r="B3947">
        <v>2</v>
      </c>
      <c r="C3947">
        <v>61</v>
      </c>
      <c r="D3947">
        <v>30.5</v>
      </c>
    </row>
    <row r="3948" spans="1:4" ht="15" x14ac:dyDescent="0.25">
      <c r="A3948" t="s">
        <v>11014</v>
      </c>
      <c r="B3948">
        <v>1</v>
      </c>
      <c r="C3948">
        <v>35</v>
      </c>
      <c r="D3948">
        <v>35</v>
      </c>
    </row>
    <row r="3949" spans="1:4" ht="15" x14ac:dyDescent="0.25">
      <c r="A3949" t="s">
        <v>11013</v>
      </c>
      <c r="B3949">
        <v>1</v>
      </c>
      <c r="C3949">
        <v>35</v>
      </c>
      <c r="D3949">
        <v>35</v>
      </c>
    </row>
    <row r="3950" spans="1:4" ht="15" x14ac:dyDescent="0.25">
      <c r="A3950" t="s">
        <v>11017</v>
      </c>
      <c r="B3950">
        <v>1</v>
      </c>
      <c r="C3950">
        <v>160</v>
      </c>
      <c r="D3950">
        <v>160</v>
      </c>
    </row>
    <row r="3951" spans="1:4" ht="15" x14ac:dyDescent="0.25">
      <c r="A3951" t="s">
        <v>11018</v>
      </c>
      <c r="B3951">
        <v>1</v>
      </c>
      <c r="C3951">
        <v>160</v>
      </c>
      <c r="D3951">
        <v>160</v>
      </c>
    </row>
    <row r="3952" spans="1:4" ht="15" x14ac:dyDescent="0.25">
      <c r="A3952" t="s">
        <v>11023</v>
      </c>
      <c r="B3952">
        <v>1</v>
      </c>
      <c r="C3952">
        <v>19</v>
      </c>
      <c r="D3952">
        <v>19</v>
      </c>
    </row>
    <row r="3953" spans="1:4" ht="15" x14ac:dyDescent="0.25">
      <c r="A3953" t="s">
        <v>11027</v>
      </c>
      <c r="B3953">
        <v>1</v>
      </c>
      <c r="C3953">
        <v>58</v>
      </c>
      <c r="D3953">
        <v>58</v>
      </c>
    </row>
    <row r="3954" spans="1:4" ht="15" x14ac:dyDescent="0.25">
      <c r="A3954" t="s">
        <v>11031</v>
      </c>
      <c r="B3954">
        <v>1</v>
      </c>
      <c r="C3954">
        <v>15</v>
      </c>
      <c r="D3954">
        <v>15</v>
      </c>
    </row>
    <row r="3955" spans="1:4" ht="15" x14ac:dyDescent="0.25">
      <c r="A3955" t="s">
        <v>11032</v>
      </c>
      <c r="B3955">
        <v>1</v>
      </c>
      <c r="C3955">
        <v>15</v>
      </c>
      <c r="D3955">
        <v>15</v>
      </c>
    </row>
    <row r="3956" spans="1:4" ht="15" x14ac:dyDescent="0.25">
      <c r="A3956" t="s">
        <v>11034</v>
      </c>
      <c r="B3956">
        <v>1</v>
      </c>
      <c r="C3956">
        <v>15</v>
      </c>
      <c r="D3956">
        <v>15</v>
      </c>
    </row>
    <row r="3957" spans="1:4" ht="15" x14ac:dyDescent="0.25">
      <c r="A3957" t="s">
        <v>11035</v>
      </c>
      <c r="B3957">
        <v>8</v>
      </c>
      <c r="C3957">
        <v>454</v>
      </c>
      <c r="D3957">
        <v>56.75</v>
      </c>
    </row>
    <row r="3958" spans="1:4" ht="15" x14ac:dyDescent="0.25">
      <c r="A3958" t="s">
        <v>11033</v>
      </c>
      <c r="B3958">
        <v>1</v>
      </c>
      <c r="C3958">
        <v>15</v>
      </c>
      <c r="D3958">
        <v>15</v>
      </c>
    </row>
    <row r="3959" spans="1:4" ht="15" x14ac:dyDescent="0.25">
      <c r="A3959" t="s">
        <v>11039</v>
      </c>
      <c r="B3959">
        <v>1</v>
      </c>
      <c r="C3959">
        <v>104</v>
      </c>
      <c r="D3959">
        <v>104</v>
      </c>
    </row>
    <row r="3960" spans="1:4" ht="15" x14ac:dyDescent="0.25">
      <c r="A3960" t="s">
        <v>11040</v>
      </c>
      <c r="B3960">
        <v>1</v>
      </c>
      <c r="C3960">
        <v>104</v>
      </c>
      <c r="D3960">
        <v>104</v>
      </c>
    </row>
    <row r="3961" spans="1:4" ht="15" x14ac:dyDescent="0.25">
      <c r="A3961" t="s">
        <v>11042</v>
      </c>
      <c r="B3961">
        <v>2</v>
      </c>
      <c r="C3961">
        <v>132</v>
      </c>
      <c r="D3961">
        <v>66</v>
      </c>
    </row>
    <row r="3962" spans="1:4" ht="15" x14ac:dyDescent="0.25">
      <c r="A3962" t="s">
        <v>11043</v>
      </c>
      <c r="B3962">
        <v>1</v>
      </c>
      <c r="C3962">
        <v>104</v>
      </c>
      <c r="D3962">
        <v>104</v>
      </c>
    </row>
    <row r="3963" spans="1:4" ht="15" x14ac:dyDescent="0.25">
      <c r="A3963" t="s">
        <v>11041</v>
      </c>
      <c r="B3963">
        <v>4</v>
      </c>
      <c r="C3963">
        <v>206</v>
      </c>
      <c r="D3963">
        <v>51.5</v>
      </c>
    </row>
    <row r="3964" spans="1:4" ht="15" x14ac:dyDescent="0.25">
      <c r="A3964" t="s">
        <v>11046</v>
      </c>
      <c r="B3964">
        <v>1</v>
      </c>
      <c r="C3964">
        <v>9</v>
      </c>
      <c r="D3964">
        <v>9</v>
      </c>
    </row>
    <row r="3965" spans="1:4" ht="15" x14ac:dyDescent="0.25">
      <c r="A3965" t="s">
        <v>11049</v>
      </c>
      <c r="B3965">
        <v>2</v>
      </c>
      <c r="C3965">
        <v>43</v>
      </c>
      <c r="D3965">
        <v>21.5</v>
      </c>
    </row>
    <row r="3966" spans="1:4" ht="15" x14ac:dyDescent="0.25">
      <c r="A3966" t="s">
        <v>11054</v>
      </c>
      <c r="B3966">
        <v>1</v>
      </c>
      <c r="C3966">
        <v>80</v>
      </c>
      <c r="D3966">
        <v>80</v>
      </c>
    </row>
    <row r="3967" spans="1:4" ht="15" x14ac:dyDescent="0.25">
      <c r="A3967" t="s">
        <v>11056</v>
      </c>
      <c r="B3967">
        <v>3</v>
      </c>
      <c r="C3967">
        <v>251</v>
      </c>
      <c r="D3967">
        <v>83.666666666666671</v>
      </c>
    </row>
    <row r="3968" spans="1:4" ht="15" x14ac:dyDescent="0.25">
      <c r="A3968" t="s">
        <v>11055</v>
      </c>
      <c r="B3968">
        <v>1</v>
      </c>
      <c r="C3968">
        <v>80</v>
      </c>
      <c r="D3968">
        <v>80</v>
      </c>
    </row>
    <row r="3969" spans="1:4" ht="15" x14ac:dyDescent="0.25">
      <c r="A3969" t="s">
        <v>11061</v>
      </c>
      <c r="B3969">
        <v>1</v>
      </c>
      <c r="C3969">
        <v>137</v>
      </c>
      <c r="D3969">
        <v>137</v>
      </c>
    </row>
    <row r="3970" spans="1:4" ht="15" x14ac:dyDescent="0.25">
      <c r="A3970" t="s">
        <v>11063</v>
      </c>
      <c r="B3970">
        <v>1</v>
      </c>
      <c r="C3970">
        <v>137</v>
      </c>
      <c r="D3970">
        <v>137</v>
      </c>
    </row>
    <row r="3971" spans="1:4" ht="15" x14ac:dyDescent="0.25">
      <c r="A3971" t="s">
        <v>11062</v>
      </c>
      <c r="B3971">
        <v>1</v>
      </c>
      <c r="C3971">
        <v>137</v>
      </c>
      <c r="D3971">
        <v>137</v>
      </c>
    </row>
    <row r="3972" spans="1:4" ht="15" x14ac:dyDescent="0.25">
      <c r="A3972" t="s">
        <v>11068</v>
      </c>
      <c r="B3972">
        <v>1</v>
      </c>
      <c r="C3972">
        <v>100</v>
      </c>
      <c r="D3972">
        <v>100</v>
      </c>
    </row>
    <row r="3973" spans="1:4" ht="15" x14ac:dyDescent="0.25">
      <c r="A3973" t="s">
        <v>11069</v>
      </c>
      <c r="B3973">
        <v>1</v>
      </c>
      <c r="C3973">
        <v>100</v>
      </c>
      <c r="D3973">
        <v>100</v>
      </c>
    </row>
    <row r="3974" spans="1:4" ht="15" x14ac:dyDescent="0.25">
      <c r="A3974" t="s">
        <v>11073</v>
      </c>
      <c r="B3974">
        <v>1</v>
      </c>
      <c r="C3974">
        <v>21</v>
      </c>
      <c r="D3974">
        <v>21</v>
      </c>
    </row>
    <row r="3975" spans="1:4" ht="15" x14ac:dyDescent="0.25">
      <c r="A3975" t="s">
        <v>11074</v>
      </c>
      <c r="B3975">
        <v>1</v>
      </c>
      <c r="C3975">
        <v>21</v>
      </c>
      <c r="D3975">
        <v>21</v>
      </c>
    </row>
    <row r="3976" spans="1:4" ht="15" x14ac:dyDescent="0.25">
      <c r="A3976" t="s">
        <v>11075</v>
      </c>
      <c r="B3976">
        <v>1</v>
      </c>
      <c r="C3976">
        <v>21</v>
      </c>
      <c r="D3976">
        <v>21</v>
      </c>
    </row>
    <row r="3977" spans="1:4" ht="15" x14ac:dyDescent="0.25">
      <c r="A3977" t="s">
        <v>11079</v>
      </c>
      <c r="B3977">
        <v>1</v>
      </c>
      <c r="C3977">
        <v>84</v>
      </c>
      <c r="D3977">
        <v>84</v>
      </c>
    </row>
    <row r="3978" spans="1:4" ht="15" x14ac:dyDescent="0.25">
      <c r="A3978" t="s">
        <v>11081</v>
      </c>
      <c r="B3978">
        <v>1</v>
      </c>
      <c r="C3978">
        <v>84</v>
      </c>
      <c r="D3978">
        <v>84</v>
      </c>
    </row>
    <row r="3979" spans="1:4" ht="15" x14ac:dyDescent="0.25">
      <c r="A3979" t="s">
        <v>11080</v>
      </c>
      <c r="B3979">
        <v>1</v>
      </c>
      <c r="C3979">
        <v>84</v>
      </c>
      <c r="D3979">
        <v>84</v>
      </c>
    </row>
    <row r="3980" spans="1:4" ht="15" x14ac:dyDescent="0.25">
      <c r="A3980" t="s">
        <v>11085</v>
      </c>
      <c r="B3980">
        <v>6</v>
      </c>
      <c r="C3980">
        <v>309</v>
      </c>
      <c r="D3980">
        <v>51.5</v>
      </c>
    </row>
    <row r="3981" spans="1:4" ht="15" x14ac:dyDescent="0.25">
      <c r="A3981" t="s">
        <v>11086</v>
      </c>
      <c r="B3981">
        <v>1</v>
      </c>
      <c r="C3981">
        <v>98</v>
      </c>
      <c r="D3981">
        <v>98</v>
      </c>
    </row>
    <row r="3982" spans="1:4" ht="15" x14ac:dyDescent="0.25">
      <c r="A3982" t="s">
        <v>11089</v>
      </c>
      <c r="B3982">
        <v>4</v>
      </c>
      <c r="C3982">
        <v>1827</v>
      </c>
      <c r="D3982">
        <v>456.75</v>
      </c>
    </row>
    <row r="3983" spans="1:4" ht="15" x14ac:dyDescent="0.25">
      <c r="A3983" t="s">
        <v>11090</v>
      </c>
      <c r="B3983">
        <v>6</v>
      </c>
      <c r="C3983">
        <v>2534</v>
      </c>
      <c r="D3983">
        <v>422.33333333333331</v>
      </c>
    </row>
    <row r="3984" spans="1:4" ht="15" x14ac:dyDescent="0.25">
      <c r="A3984" t="s">
        <v>11093</v>
      </c>
      <c r="B3984">
        <v>3</v>
      </c>
      <c r="C3984">
        <v>164</v>
      </c>
      <c r="D3984">
        <v>54.666666666666664</v>
      </c>
    </row>
    <row r="3985" spans="1:4" ht="15" x14ac:dyDescent="0.25">
      <c r="A3985" t="s">
        <v>11097</v>
      </c>
      <c r="B3985">
        <v>6</v>
      </c>
      <c r="C3985">
        <v>474</v>
      </c>
      <c r="D3985">
        <v>79</v>
      </c>
    </row>
    <row r="3986" spans="1:4" ht="15" x14ac:dyDescent="0.25">
      <c r="A3986" t="s">
        <v>11096</v>
      </c>
      <c r="B3986">
        <v>5</v>
      </c>
      <c r="C3986">
        <v>454</v>
      </c>
      <c r="D3986">
        <v>90.8</v>
      </c>
    </row>
    <row r="3987" spans="1:4" ht="15" x14ac:dyDescent="0.25">
      <c r="A3987" t="s">
        <v>11105</v>
      </c>
      <c r="B3987">
        <v>1</v>
      </c>
      <c r="C3987">
        <v>97</v>
      </c>
      <c r="D3987">
        <v>97</v>
      </c>
    </row>
    <row r="3988" spans="1:4" ht="15" x14ac:dyDescent="0.25">
      <c r="A3988" t="s">
        <v>11106</v>
      </c>
      <c r="B3988">
        <v>1</v>
      </c>
      <c r="C3988">
        <v>97</v>
      </c>
      <c r="D3988">
        <v>97</v>
      </c>
    </row>
    <row r="3989" spans="1:4" ht="15" x14ac:dyDescent="0.25">
      <c r="A3989" t="s">
        <v>11108</v>
      </c>
      <c r="B3989">
        <v>1</v>
      </c>
      <c r="C3989">
        <v>97</v>
      </c>
      <c r="D3989">
        <v>97</v>
      </c>
    </row>
    <row r="3990" spans="1:4" ht="15" x14ac:dyDescent="0.25">
      <c r="A3990" t="s">
        <v>11107</v>
      </c>
      <c r="B3990">
        <v>1</v>
      </c>
      <c r="C3990">
        <v>97</v>
      </c>
      <c r="D3990">
        <v>97</v>
      </c>
    </row>
    <row r="3991" spans="1:4" ht="15" x14ac:dyDescent="0.25">
      <c r="A3991" t="s">
        <v>11113</v>
      </c>
      <c r="B3991">
        <v>1</v>
      </c>
      <c r="C3991">
        <v>14</v>
      </c>
      <c r="D3991">
        <v>14</v>
      </c>
    </row>
    <row r="3992" spans="1:4" ht="15" x14ac:dyDescent="0.25">
      <c r="A3992" t="s">
        <v>11117</v>
      </c>
      <c r="B3992">
        <v>1</v>
      </c>
      <c r="C3992">
        <v>36</v>
      </c>
      <c r="D3992">
        <v>36</v>
      </c>
    </row>
    <row r="3993" spans="1:4" ht="15" x14ac:dyDescent="0.25">
      <c r="A3993" t="s">
        <v>11121</v>
      </c>
      <c r="B3993">
        <v>3</v>
      </c>
      <c r="C3993">
        <v>124</v>
      </c>
      <c r="D3993">
        <v>41.333333333333336</v>
      </c>
    </row>
    <row r="3994" spans="1:4" ht="15" x14ac:dyDescent="0.25">
      <c r="A3994" t="s">
        <v>11125</v>
      </c>
      <c r="B3994">
        <v>1</v>
      </c>
      <c r="C3994">
        <v>50</v>
      </c>
      <c r="D3994">
        <v>50</v>
      </c>
    </row>
    <row r="3995" spans="1:4" ht="15" x14ac:dyDescent="0.25">
      <c r="A3995" t="s">
        <v>11126</v>
      </c>
      <c r="B3995">
        <v>1</v>
      </c>
      <c r="C3995">
        <v>50</v>
      </c>
      <c r="D3995">
        <v>50</v>
      </c>
    </row>
    <row r="3996" spans="1:4" ht="15" x14ac:dyDescent="0.25">
      <c r="A3996" t="s">
        <v>11127</v>
      </c>
      <c r="B3996">
        <v>1</v>
      </c>
      <c r="C3996">
        <v>50</v>
      </c>
      <c r="D3996">
        <v>50</v>
      </c>
    </row>
    <row r="3997" spans="1:4" ht="15" x14ac:dyDescent="0.25">
      <c r="A3997" t="s">
        <v>11131</v>
      </c>
      <c r="B3997">
        <v>1</v>
      </c>
      <c r="C3997">
        <v>4</v>
      </c>
      <c r="D3997">
        <v>4</v>
      </c>
    </row>
    <row r="3998" spans="1:4" ht="15" x14ac:dyDescent="0.25">
      <c r="A3998" t="s">
        <v>11136</v>
      </c>
      <c r="B3998">
        <v>2</v>
      </c>
      <c r="C3998">
        <v>54</v>
      </c>
      <c r="D3998">
        <v>27</v>
      </c>
    </row>
    <row r="3999" spans="1:4" ht="15" x14ac:dyDescent="0.25">
      <c r="A3999" t="s">
        <v>11137</v>
      </c>
      <c r="B3999">
        <v>1</v>
      </c>
      <c r="C3999">
        <v>43</v>
      </c>
      <c r="D3999">
        <v>43</v>
      </c>
    </row>
    <row r="4000" spans="1:4" ht="15" x14ac:dyDescent="0.25">
      <c r="A4000" t="s">
        <v>11141</v>
      </c>
      <c r="B4000">
        <v>2</v>
      </c>
      <c r="C4000">
        <v>49</v>
      </c>
      <c r="D4000">
        <v>24.5</v>
      </c>
    </row>
    <row r="4001" spans="1:4" ht="15" x14ac:dyDescent="0.25">
      <c r="A4001" t="s">
        <v>11144</v>
      </c>
      <c r="B4001">
        <v>2</v>
      </c>
      <c r="C4001">
        <v>2890</v>
      </c>
      <c r="D4001">
        <v>1445</v>
      </c>
    </row>
    <row r="4002" spans="1:4" ht="15" x14ac:dyDescent="0.25">
      <c r="A4002" t="s">
        <v>11146</v>
      </c>
      <c r="B4002">
        <v>2</v>
      </c>
      <c r="C4002">
        <v>3245</v>
      </c>
      <c r="D4002">
        <v>1622.5</v>
      </c>
    </row>
    <row r="4003" spans="1:4" ht="15" x14ac:dyDescent="0.25">
      <c r="A4003" t="s">
        <v>11145</v>
      </c>
      <c r="B4003">
        <v>1</v>
      </c>
      <c r="C4003">
        <v>1562</v>
      </c>
      <c r="D4003">
        <v>1562</v>
      </c>
    </row>
    <row r="4004" spans="1:4" ht="15" x14ac:dyDescent="0.25">
      <c r="A4004" t="s">
        <v>11150</v>
      </c>
      <c r="B4004">
        <v>1</v>
      </c>
      <c r="C4004">
        <v>37</v>
      </c>
      <c r="D4004">
        <v>37</v>
      </c>
    </row>
    <row r="4005" spans="1:4" ht="15" x14ac:dyDescent="0.25">
      <c r="A4005" t="s">
        <v>11152</v>
      </c>
      <c r="B4005">
        <v>1</v>
      </c>
      <c r="C4005">
        <v>37</v>
      </c>
      <c r="D4005">
        <v>37</v>
      </c>
    </row>
    <row r="4006" spans="1:4" ht="15" x14ac:dyDescent="0.25">
      <c r="A4006" t="s">
        <v>11153</v>
      </c>
      <c r="B4006">
        <v>2</v>
      </c>
      <c r="C4006">
        <v>72</v>
      </c>
      <c r="D4006">
        <v>36</v>
      </c>
    </row>
    <row r="4007" spans="1:4" ht="15" x14ac:dyDescent="0.25">
      <c r="A4007" t="s">
        <v>11151</v>
      </c>
      <c r="B4007">
        <v>2</v>
      </c>
      <c r="C4007">
        <v>207</v>
      </c>
      <c r="D4007">
        <v>103.5</v>
      </c>
    </row>
    <row r="4008" spans="1:4" ht="15" x14ac:dyDescent="0.25">
      <c r="A4008" t="s">
        <v>11157</v>
      </c>
      <c r="B4008">
        <v>1</v>
      </c>
      <c r="C4008">
        <v>47</v>
      </c>
      <c r="D4008">
        <v>47</v>
      </c>
    </row>
    <row r="4009" spans="1:4" ht="15" x14ac:dyDescent="0.25">
      <c r="A4009" t="s">
        <v>11161</v>
      </c>
      <c r="B4009">
        <v>1</v>
      </c>
      <c r="C4009">
        <v>19</v>
      </c>
      <c r="D4009">
        <v>19</v>
      </c>
    </row>
    <row r="4010" spans="1:4" ht="15" x14ac:dyDescent="0.25">
      <c r="A4010" t="s">
        <v>11162</v>
      </c>
      <c r="B4010">
        <v>3</v>
      </c>
      <c r="C4010">
        <v>56</v>
      </c>
      <c r="D4010">
        <v>18.666666666666668</v>
      </c>
    </row>
    <row r="4011" spans="1:4" ht="15" x14ac:dyDescent="0.25">
      <c r="A4011" t="s">
        <v>11163</v>
      </c>
      <c r="B4011">
        <v>1</v>
      </c>
      <c r="C4011">
        <v>19</v>
      </c>
      <c r="D4011">
        <v>19</v>
      </c>
    </row>
    <row r="4012" spans="1:4" ht="15" x14ac:dyDescent="0.25">
      <c r="A4012" t="s">
        <v>11167</v>
      </c>
      <c r="B4012">
        <v>1</v>
      </c>
      <c r="C4012">
        <v>14</v>
      </c>
      <c r="D4012">
        <v>14</v>
      </c>
    </row>
    <row r="4013" spans="1:4" ht="15" x14ac:dyDescent="0.25">
      <c r="A4013" t="s">
        <v>11172</v>
      </c>
      <c r="B4013">
        <v>1</v>
      </c>
      <c r="C4013">
        <v>39</v>
      </c>
      <c r="D4013">
        <v>39</v>
      </c>
    </row>
    <row r="4014" spans="1:4" ht="15" x14ac:dyDescent="0.25">
      <c r="A4014" t="s">
        <v>11174</v>
      </c>
      <c r="B4014">
        <v>4</v>
      </c>
      <c r="C4014">
        <v>3710</v>
      </c>
      <c r="D4014">
        <v>927.5</v>
      </c>
    </row>
    <row r="4015" spans="1:4" ht="15" x14ac:dyDescent="0.25">
      <c r="A4015" t="s">
        <v>11173</v>
      </c>
      <c r="B4015">
        <v>1</v>
      </c>
      <c r="C4015">
        <v>39</v>
      </c>
      <c r="D4015">
        <v>39</v>
      </c>
    </row>
    <row r="4016" spans="1:4" ht="15" x14ac:dyDescent="0.25">
      <c r="A4016" t="s">
        <v>11186</v>
      </c>
      <c r="B4016">
        <v>2</v>
      </c>
      <c r="C4016">
        <v>128</v>
      </c>
      <c r="D4016">
        <v>64</v>
      </c>
    </row>
    <row r="4017" spans="1:4" ht="15" x14ac:dyDescent="0.25">
      <c r="A4017" t="s">
        <v>11185</v>
      </c>
      <c r="B4017">
        <v>1</v>
      </c>
      <c r="C4017">
        <v>61</v>
      </c>
      <c r="D4017">
        <v>61</v>
      </c>
    </row>
    <row r="4018" spans="1:4" ht="15" x14ac:dyDescent="0.25">
      <c r="A4018" t="s">
        <v>11189</v>
      </c>
      <c r="B4018">
        <v>7</v>
      </c>
      <c r="C4018">
        <v>174</v>
      </c>
      <c r="D4018">
        <v>24.857142857142858</v>
      </c>
    </row>
    <row r="4019" spans="1:4" ht="15" x14ac:dyDescent="0.25">
      <c r="A4019" t="s">
        <v>11190</v>
      </c>
      <c r="B4019">
        <v>3</v>
      </c>
      <c r="C4019">
        <v>58</v>
      </c>
      <c r="D4019">
        <v>19.333333333333332</v>
      </c>
    </row>
    <row r="4020" spans="1:4" ht="15" x14ac:dyDescent="0.25">
      <c r="A4020" t="s">
        <v>11195</v>
      </c>
      <c r="B4020">
        <v>1</v>
      </c>
      <c r="C4020">
        <v>96</v>
      </c>
      <c r="D4020">
        <v>96</v>
      </c>
    </row>
    <row r="4021" spans="1:4" ht="15" x14ac:dyDescent="0.25">
      <c r="A4021" t="s">
        <v>11197</v>
      </c>
      <c r="B4021">
        <v>1</v>
      </c>
      <c r="C4021">
        <v>96</v>
      </c>
      <c r="D4021">
        <v>96</v>
      </c>
    </row>
    <row r="4022" spans="1:4" ht="15" x14ac:dyDescent="0.25">
      <c r="A4022" t="s">
        <v>11198</v>
      </c>
      <c r="B4022">
        <v>3</v>
      </c>
      <c r="C4022">
        <v>216</v>
      </c>
      <c r="D4022">
        <v>72</v>
      </c>
    </row>
    <row r="4023" spans="1:4" ht="15" x14ac:dyDescent="0.25">
      <c r="A4023" t="s">
        <v>11196</v>
      </c>
      <c r="B4023">
        <v>1</v>
      </c>
      <c r="C4023">
        <v>96</v>
      </c>
      <c r="D4023">
        <v>96</v>
      </c>
    </row>
    <row r="4024" spans="1:4" ht="15" x14ac:dyDescent="0.25">
      <c r="A4024" t="s">
        <v>11205</v>
      </c>
      <c r="B4024">
        <v>2</v>
      </c>
      <c r="C4024">
        <v>58</v>
      </c>
      <c r="D4024">
        <v>29</v>
      </c>
    </row>
    <row r="4025" spans="1:4" ht="15" x14ac:dyDescent="0.25">
      <c r="A4025" t="s">
        <v>11206</v>
      </c>
      <c r="B4025">
        <v>2</v>
      </c>
      <c r="C4025">
        <v>73</v>
      </c>
      <c r="D4025">
        <v>36.5</v>
      </c>
    </row>
    <row r="4026" spans="1:4" ht="15" x14ac:dyDescent="0.25">
      <c r="A4026" t="s">
        <v>11208</v>
      </c>
      <c r="B4026">
        <v>3</v>
      </c>
      <c r="C4026">
        <v>135</v>
      </c>
      <c r="D4026">
        <v>45</v>
      </c>
    </row>
    <row r="4027" spans="1:4" ht="15" x14ac:dyDescent="0.25">
      <c r="A4027" t="s">
        <v>11207</v>
      </c>
      <c r="B4027">
        <v>1</v>
      </c>
      <c r="C4027">
        <v>36</v>
      </c>
      <c r="D4027">
        <v>36</v>
      </c>
    </row>
    <row r="4028" spans="1:4" ht="15" x14ac:dyDescent="0.25">
      <c r="A4028" t="s">
        <v>11213</v>
      </c>
      <c r="B4028">
        <v>1</v>
      </c>
      <c r="C4028">
        <v>133</v>
      </c>
      <c r="D4028">
        <v>133</v>
      </c>
    </row>
    <row r="4029" spans="1:4" ht="15" x14ac:dyDescent="0.25">
      <c r="A4029" t="s">
        <v>11215</v>
      </c>
      <c r="B4029">
        <v>1</v>
      </c>
      <c r="C4029">
        <v>133</v>
      </c>
      <c r="D4029">
        <v>133</v>
      </c>
    </row>
    <row r="4030" spans="1:4" ht="15" x14ac:dyDescent="0.25">
      <c r="A4030" t="s">
        <v>11214</v>
      </c>
      <c r="B4030">
        <v>1</v>
      </c>
      <c r="C4030">
        <v>133</v>
      </c>
      <c r="D4030">
        <v>133</v>
      </c>
    </row>
    <row r="4031" spans="1:4" ht="15" x14ac:dyDescent="0.25">
      <c r="A4031" t="s">
        <v>11220</v>
      </c>
      <c r="B4031">
        <v>1</v>
      </c>
      <c r="C4031">
        <v>65</v>
      </c>
      <c r="D4031">
        <v>65</v>
      </c>
    </row>
    <row r="4032" spans="1:4" ht="15" x14ac:dyDescent="0.25">
      <c r="A4032" t="s">
        <v>11222</v>
      </c>
      <c r="B4032">
        <v>1</v>
      </c>
      <c r="C4032">
        <v>65</v>
      </c>
      <c r="D4032">
        <v>65</v>
      </c>
    </row>
    <row r="4033" spans="1:4" ht="15" x14ac:dyDescent="0.25">
      <c r="A4033" t="s">
        <v>11221</v>
      </c>
      <c r="B4033">
        <v>1</v>
      </c>
      <c r="C4033">
        <v>65</v>
      </c>
      <c r="D4033">
        <v>65</v>
      </c>
    </row>
    <row r="4034" spans="1:4" ht="15" x14ac:dyDescent="0.25">
      <c r="A4034" t="s">
        <v>11226</v>
      </c>
      <c r="B4034">
        <v>2</v>
      </c>
      <c r="C4034">
        <v>79</v>
      </c>
      <c r="D4034">
        <v>39.5</v>
      </c>
    </row>
    <row r="4035" spans="1:4" ht="15" x14ac:dyDescent="0.25">
      <c r="A4035" t="s">
        <v>11228</v>
      </c>
      <c r="B4035">
        <v>1</v>
      </c>
      <c r="C4035">
        <v>33</v>
      </c>
      <c r="D4035">
        <v>33</v>
      </c>
    </row>
    <row r="4036" spans="1:4" ht="15" x14ac:dyDescent="0.25">
      <c r="A4036" t="s">
        <v>11229</v>
      </c>
      <c r="B4036">
        <v>1</v>
      </c>
      <c r="C4036">
        <v>33</v>
      </c>
      <c r="D4036">
        <v>33</v>
      </c>
    </row>
    <row r="4037" spans="1:4" ht="15" x14ac:dyDescent="0.25">
      <c r="A4037" t="s">
        <v>11227</v>
      </c>
      <c r="B4037">
        <v>2</v>
      </c>
      <c r="C4037">
        <v>43</v>
      </c>
      <c r="D4037">
        <v>21.5</v>
      </c>
    </row>
    <row r="4038" spans="1:4" ht="15" x14ac:dyDescent="0.25">
      <c r="A4038" t="s">
        <v>11234</v>
      </c>
      <c r="B4038">
        <v>1</v>
      </c>
      <c r="C4038">
        <v>57</v>
      </c>
      <c r="D4038">
        <v>57</v>
      </c>
    </row>
    <row r="4039" spans="1:4" ht="15" x14ac:dyDescent="0.25">
      <c r="A4039" t="s">
        <v>11235</v>
      </c>
      <c r="B4039">
        <v>1</v>
      </c>
      <c r="C4039">
        <v>57</v>
      </c>
      <c r="D4039">
        <v>57</v>
      </c>
    </row>
    <row r="4040" spans="1:4" ht="15" x14ac:dyDescent="0.25">
      <c r="A4040" t="s">
        <v>11237</v>
      </c>
      <c r="B4040">
        <v>1</v>
      </c>
      <c r="C4040">
        <v>57</v>
      </c>
      <c r="D4040">
        <v>57</v>
      </c>
    </row>
    <row r="4041" spans="1:4" ht="15" x14ac:dyDescent="0.25">
      <c r="A4041" t="s">
        <v>11230</v>
      </c>
      <c r="B4041">
        <v>1</v>
      </c>
      <c r="C4041">
        <v>57</v>
      </c>
      <c r="D4041">
        <v>57</v>
      </c>
    </row>
    <row r="4042" spans="1:4" ht="15" x14ac:dyDescent="0.25">
      <c r="A4042" t="s">
        <v>11236</v>
      </c>
      <c r="B4042">
        <v>1</v>
      </c>
      <c r="C4042">
        <v>57</v>
      </c>
      <c r="D4042">
        <v>57</v>
      </c>
    </row>
    <row r="4043" spans="1:4" ht="15" x14ac:dyDescent="0.25">
      <c r="A4043" t="s">
        <v>11240</v>
      </c>
      <c r="B4043">
        <v>1</v>
      </c>
      <c r="C4043">
        <v>16</v>
      </c>
      <c r="D4043">
        <v>16</v>
      </c>
    </row>
    <row r="4044" spans="1:4" ht="15" x14ac:dyDescent="0.25">
      <c r="A4044" t="s">
        <v>11241</v>
      </c>
      <c r="B4044">
        <v>1</v>
      </c>
      <c r="C4044">
        <v>16</v>
      </c>
      <c r="D4044">
        <v>16</v>
      </c>
    </row>
    <row r="4045" spans="1:4" ht="15" x14ac:dyDescent="0.25">
      <c r="A4045" t="s">
        <v>11247</v>
      </c>
      <c r="B4045">
        <v>3</v>
      </c>
      <c r="C4045">
        <v>183</v>
      </c>
      <c r="D4045">
        <v>61</v>
      </c>
    </row>
    <row r="4046" spans="1:4" ht="15" x14ac:dyDescent="0.25">
      <c r="A4046" t="s">
        <v>11248</v>
      </c>
      <c r="B4046">
        <v>1</v>
      </c>
      <c r="C4046">
        <v>129</v>
      </c>
      <c r="D4046">
        <v>129</v>
      </c>
    </row>
    <row r="4047" spans="1:4" ht="15" x14ac:dyDescent="0.25">
      <c r="A4047" t="s">
        <v>11249</v>
      </c>
      <c r="B4047">
        <v>5</v>
      </c>
      <c r="C4047">
        <v>277</v>
      </c>
      <c r="D4047">
        <v>55.4</v>
      </c>
    </row>
    <row r="4048" spans="1:4" ht="15" x14ac:dyDescent="0.25">
      <c r="A4048" t="s">
        <v>11253</v>
      </c>
      <c r="B4048">
        <v>1</v>
      </c>
      <c r="C4048">
        <v>80</v>
      </c>
      <c r="D4048">
        <v>80</v>
      </c>
    </row>
    <row r="4049" spans="1:4" ht="15" x14ac:dyDescent="0.25">
      <c r="A4049" t="s">
        <v>11254</v>
      </c>
      <c r="B4049">
        <v>3</v>
      </c>
      <c r="C4049">
        <v>128</v>
      </c>
      <c r="D4049">
        <v>42.666666666666664</v>
      </c>
    </row>
    <row r="4050" spans="1:4" ht="15" x14ac:dyDescent="0.25">
      <c r="A4050" t="s">
        <v>11256</v>
      </c>
      <c r="B4050">
        <v>1</v>
      </c>
      <c r="C4050">
        <v>80</v>
      </c>
      <c r="D4050">
        <v>80</v>
      </c>
    </row>
    <row r="4051" spans="1:4" ht="15" x14ac:dyDescent="0.25">
      <c r="A4051" t="s">
        <v>11257</v>
      </c>
      <c r="B4051">
        <v>1</v>
      </c>
      <c r="C4051">
        <v>80</v>
      </c>
      <c r="D4051">
        <v>80</v>
      </c>
    </row>
    <row r="4052" spans="1:4" ht="15" x14ac:dyDescent="0.25">
      <c r="A4052" t="s">
        <v>11255</v>
      </c>
      <c r="B4052">
        <v>2</v>
      </c>
      <c r="C4052">
        <v>141</v>
      </c>
      <c r="D4052">
        <v>70.5</v>
      </c>
    </row>
    <row r="4053" spans="1:4" ht="15" x14ac:dyDescent="0.25">
      <c r="A4053" t="s">
        <v>11262</v>
      </c>
      <c r="B4053">
        <v>1</v>
      </c>
      <c r="C4053">
        <v>53</v>
      </c>
      <c r="D4053">
        <v>53</v>
      </c>
    </row>
    <row r="4054" spans="1:4" ht="15" x14ac:dyDescent="0.25">
      <c r="A4054" t="s">
        <v>11261</v>
      </c>
      <c r="B4054">
        <v>1</v>
      </c>
      <c r="C4054">
        <v>53</v>
      </c>
      <c r="D4054">
        <v>53</v>
      </c>
    </row>
    <row r="4055" spans="1:4" ht="15" x14ac:dyDescent="0.25">
      <c r="A4055" t="s">
        <v>11270</v>
      </c>
      <c r="B4055">
        <v>1</v>
      </c>
      <c r="C4055">
        <v>21</v>
      </c>
      <c r="D4055">
        <v>21</v>
      </c>
    </row>
    <row r="4056" spans="1:4" ht="15" x14ac:dyDescent="0.25">
      <c r="A4056" t="s">
        <v>11271</v>
      </c>
      <c r="B4056">
        <v>1</v>
      </c>
      <c r="C4056">
        <v>21</v>
      </c>
      <c r="D4056">
        <v>21</v>
      </c>
    </row>
    <row r="4057" spans="1:4" ht="15" x14ac:dyDescent="0.25">
      <c r="A4057" t="s">
        <v>11272</v>
      </c>
      <c r="B4057">
        <v>1</v>
      </c>
      <c r="C4057">
        <v>21</v>
      </c>
      <c r="D4057">
        <v>21</v>
      </c>
    </row>
    <row r="4058" spans="1:4" ht="15" x14ac:dyDescent="0.25">
      <c r="A4058" t="s">
        <v>11276</v>
      </c>
      <c r="B4058">
        <v>1</v>
      </c>
      <c r="C4058">
        <v>34</v>
      </c>
      <c r="D4058">
        <v>34</v>
      </c>
    </row>
    <row r="4059" spans="1:4" ht="15" x14ac:dyDescent="0.25">
      <c r="A4059" t="s">
        <v>11277</v>
      </c>
      <c r="B4059">
        <v>1</v>
      </c>
      <c r="C4059">
        <v>34</v>
      </c>
      <c r="D4059">
        <v>34</v>
      </c>
    </row>
    <row r="4060" spans="1:4" ht="15" x14ac:dyDescent="0.25">
      <c r="A4060" t="s">
        <v>11278</v>
      </c>
      <c r="B4060">
        <v>5</v>
      </c>
      <c r="C4060">
        <v>106</v>
      </c>
      <c r="D4060">
        <v>21.2</v>
      </c>
    </row>
    <row r="4061" spans="1:4" ht="15" x14ac:dyDescent="0.25">
      <c r="A4061" t="s">
        <v>11283</v>
      </c>
      <c r="B4061">
        <v>1</v>
      </c>
      <c r="C4061">
        <v>32</v>
      </c>
      <c r="D4061">
        <v>32</v>
      </c>
    </row>
    <row r="4062" spans="1:4" ht="15" x14ac:dyDescent="0.25">
      <c r="A4062" t="s">
        <v>11284</v>
      </c>
      <c r="B4062">
        <v>1</v>
      </c>
      <c r="C4062">
        <v>32</v>
      </c>
      <c r="D4062">
        <v>32</v>
      </c>
    </row>
    <row r="4063" spans="1:4" ht="15" x14ac:dyDescent="0.25">
      <c r="A4063" t="s">
        <v>11287</v>
      </c>
      <c r="B4063">
        <v>1</v>
      </c>
      <c r="C4063">
        <v>22</v>
      </c>
      <c r="D4063">
        <v>22</v>
      </c>
    </row>
    <row r="4064" spans="1:4" ht="15" x14ac:dyDescent="0.25">
      <c r="A4064" t="s">
        <v>11292</v>
      </c>
      <c r="B4064">
        <v>1</v>
      </c>
      <c r="C4064">
        <v>72</v>
      </c>
      <c r="D4064">
        <v>72</v>
      </c>
    </row>
    <row r="4065" spans="1:4" ht="15" x14ac:dyDescent="0.25">
      <c r="A4065" t="s">
        <v>11293</v>
      </c>
      <c r="B4065">
        <v>1</v>
      </c>
      <c r="C4065">
        <v>72</v>
      </c>
      <c r="D4065">
        <v>72</v>
      </c>
    </row>
    <row r="4066" spans="1:4" ht="15" x14ac:dyDescent="0.25">
      <c r="A4066" t="s">
        <v>11298</v>
      </c>
      <c r="B4066">
        <v>1</v>
      </c>
      <c r="C4066">
        <v>74</v>
      </c>
      <c r="D4066">
        <v>74</v>
      </c>
    </row>
    <row r="4067" spans="1:4" ht="15" x14ac:dyDescent="0.25">
      <c r="A4067" t="s">
        <v>11297</v>
      </c>
      <c r="B4067">
        <v>1</v>
      </c>
      <c r="C4067">
        <v>74</v>
      </c>
      <c r="D4067">
        <v>74</v>
      </c>
    </row>
    <row r="4068" spans="1:4" ht="15" x14ac:dyDescent="0.25">
      <c r="A4068" t="s">
        <v>11302</v>
      </c>
      <c r="B4068">
        <v>1</v>
      </c>
      <c r="C4068">
        <v>46</v>
      </c>
      <c r="D4068">
        <v>46</v>
      </c>
    </row>
    <row r="4069" spans="1:4" ht="15" x14ac:dyDescent="0.25">
      <c r="A4069" t="s">
        <v>11303</v>
      </c>
      <c r="B4069">
        <v>1</v>
      </c>
      <c r="C4069">
        <v>46</v>
      </c>
      <c r="D4069">
        <v>46</v>
      </c>
    </row>
    <row r="4070" spans="1:4" ht="15" x14ac:dyDescent="0.25">
      <c r="A4070" t="s">
        <v>11305</v>
      </c>
      <c r="B4070">
        <v>2</v>
      </c>
      <c r="C4070">
        <v>71</v>
      </c>
      <c r="D4070">
        <v>35.5</v>
      </c>
    </row>
    <row r="4071" spans="1:4" ht="15" x14ac:dyDescent="0.25">
      <c r="A4071" t="s">
        <v>11304</v>
      </c>
      <c r="B4071">
        <v>1</v>
      </c>
      <c r="C4071">
        <v>46</v>
      </c>
      <c r="D4071">
        <v>46</v>
      </c>
    </row>
    <row r="4072" spans="1:4" ht="15" x14ac:dyDescent="0.25">
      <c r="A4072" t="s">
        <v>11308</v>
      </c>
      <c r="B4072">
        <v>3</v>
      </c>
      <c r="C4072">
        <v>97</v>
      </c>
      <c r="D4072">
        <v>32.333333333333336</v>
      </c>
    </row>
    <row r="4073" spans="1:4" ht="15" x14ac:dyDescent="0.25">
      <c r="A4073" t="s">
        <v>11309</v>
      </c>
      <c r="B4073">
        <v>1</v>
      </c>
      <c r="C4073">
        <v>31</v>
      </c>
      <c r="D4073">
        <v>31</v>
      </c>
    </row>
    <row r="4074" spans="1:4" ht="15" x14ac:dyDescent="0.25">
      <c r="A4074" t="s">
        <v>11313</v>
      </c>
      <c r="B4074">
        <v>1</v>
      </c>
      <c r="C4074">
        <v>20</v>
      </c>
      <c r="D4074">
        <v>20</v>
      </c>
    </row>
    <row r="4075" spans="1:4" ht="15" x14ac:dyDescent="0.25">
      <c r="A4075" t="s">
        <v>11314</v>
      </c>
      <c r="B4075">
        <v>1</v>
      </c>
      <c r="C4075">
        <v>20</v>
      </c>
      <c r="D4075">
        <v>20</v>
      </c>
    </row>
    <row r="4076" spans="1:4" ht="15" x14ac:dyDescent="0.25">
      <c r="A4076" t="s">
        <v>11315</v>
      </c>
      <c r="B4076">
        <v>2</v>
      </c>
      <c r="C4076">
        <v>50</v>
      </c>
      <c r="D4076">
        <v>25</v>
      </c>
    </row>
    <row r="4077" spans="1:4" ht="15" x14ac:dyDescent="0.25">
      <c r="A4077" t="s">
        <v>11319</v>
      </c>
      <c r="B4077">
        <v>7</v>
      </c>
      <c r="C4077">
        <v>168</v>
      </c>
      <c r="D4077">
        <v>24</v>
      </c>
    </row>
    <row r="4078" spans="1:4" ht="15" x14ac:dyDescent="0.25">
      <c r="A4078" t="s">
        <v>11318</v>
      </c>
      <c r="B4078">
        <v>1</v>
      </c>
      <c r="C4078">
        <v>23</v>
      </c>
      <c r="D4078">
        <v>23</v>
      </c>
    </row>
    <row r="4079" spans="1:4" ht="15" x14ac:dyDescent="0.25">
      <c r="A4079" t="s">
        <v>11324</v>
      </c>
      <c r="B4079">
        <v>1</v>
      </c>
      <c r="C4079">
        <v>58</v>
      </c>
      <c r="D4079">
        <v>58</v>
      </c>
    </row>
    <row r="4080" spans="1:4" ht="15" x14ac:dyDescent="0.25">
      <c r="A4080" t="s">
        <v>11325</v>
      </c>
      <c r="B4080">
        <v>1</v>
      </c>
      <c r="C4080">
        <v>58</v>
      </c>
      <c r="D4080">
        <v>58</v>
      </c>
    </row>
    <row r="4081" spans="1:4" ht="15" x14ac:dyDescent="0.25">
      <c r="A4081" t="s">
        <v>11326</v>
      </c>
      <c r="B4081">
        <v>1</v>
      </c>
      <c r="C4081">
        <v>58</v>
      </c>
      <c r="D4081">
        <v>58</v>
      </c>
    </row>
    <row r="4082" spans="1:4" ht="15" x14ac:dyDescent="0.25">
      <c r="A4082" t="s">
        <v>11327</v>
      </c>
      <c r="B4082">
        <v>1</v>
      </c>
      <c r="C4082">
        <v>58</v>
      </c>
      <c r="D4082">
        <v>58</v>
      </c>
    </row>
    <row r="4083" spans="1:4" ht="15" x14ac:dyDescent="0.25">
      <c r="A4083" t="s">
        <v>11331</v>
      </c>
      <c r="B4083">
        <v>5</v>
      </c>
      <c r="C4083">
        <v>141</v>
      </c>
      <c r="D4083">
        <v>28.2</v>
      </c>
    </row>
    <row r="4084" spans="1:4" ht="15" x14ac:dyDescent="0.25">
      <c r="A4084" t="s">
        <v>11332</v>
      </c>
      <c r="B4084">
        <v>1</v>
      </c>
      <c r="C4084">
        <v>16</v>
      </c>
      <c r="D4084">
        <v>16</v>
      </c>
    </row>
    <row r="4085" spans="1:4" ht="15" x14ac:dyDescent="0.25">
      <c r="A4085" t="s">
        <v>11338</v>
      </c>
      <c r="B4085">
        <v>1</v>
      </c>
      <c r="C4085">
        <v>59</v>
      </c>
      <c r="D4085">
        <v>59</v>
      </c>
    </row>
    <row r="4086" spans="1:4" ht="15" x14ac:dyDescent="0.25">
      <c r="A4086" t="s">
        <v>11340</v>
      </c>
      <c r="B4086">
        <v>1</v>
      </c>
      <c r="C4086">
        <v>59</v>
      </c>
      <c r="D4086">
        <v>59</v>
      </c>
    </row>
    <row r="4087" spans="1:4" ht="15" x14ac:dyDescent="0.25">
      <c r="A4087" t="s">
        <v>11339</v>
      </c>
      <c r="B4087">
        <v>1</v>
      </c>
      <c r="C4087">
        <v>59</v>
      </c>
      <c r="D4087">
        <v>59</v>
      </c>
    </row>
    <row r="4088" spans="1:4" ht="15" x14ac:dyDescent="0.25">
      <c r="A4088" t="s">
        <v>11346</v>
      </c>
      <c r="B4088">
        <v>1</v>
      </c>
      <c r="C4088">
        <v>4</v>
      </c>
      <c r="D4088">
        <v>4</v>
      </c>
    </row>
    <row r="4089" spans="1:4" ht="15" x14ac:dyDescent="0.25">
      <c r="A4089" t="s">
        <v>11349</v>
      </c>
      <c r="B4089">
        <v>1</v>
      </c>
      <c r="C4089">
        <v>30</v>
      </c>
      <c r="D4089">
        <v>30</v>
      </c>
    </row>
    <row r="4090" spans="1:4" ht="15" x14ac:dyDescent="0.25">
      <c r="A4090" t="s">
        <v>11362</v>
      </c>
      <c r="B4090">
        <v>1</v>
      </c>
      <c r="C4090">
        <v>18</v>
      </c>
      <c r="D4090">
        <v>18</v>
      </c>
    </row>
    <row r="4091" spans="1:4" ht="15" x14ac:dyDescent="0.25">
      <c r="A4091" t="s">
        <v>11363</v>
      </c>
      <c r="B4091">
        <v>2</v>
      </c>
      <c r="C4091">
        <v>41</v>
      </c>
      <c r="D4091">
        <v>20.5</v>
      </c>
    </row>
    <row r="4092" spans="1:4" ht="15" x14ac:dyDescent="0.25">
      <c r="A4092" t="s">
        <v>11367</v>
      </c>
      <c r="B4092">
        <v>1</v>
      </c>
      <c r="C4092">
        <v>51</v>
      </c>
      <c r="D4092">
        <v>51</v>
      </c>
    </row>
    <row r="4093" spans="1:4" ht="15" x14ac:dyDescent="0.25">
      <c r="A4093" t="s">
        <v>11369</v>
      </c>
      <c r="B4093">
        <v>2</v>
      </c>
      <c r="C4093">
        <v>79</v>
      </c>
      <c r="D4093">
        <v>39.5</v>
      </c>
    </row>
    <row r="4094" spans="1:4" ht="15" x14ac:dyDescent="0.25">
      <c r="A4094" t="s">
        <v>11368</v>
      </c>
      <c r="B4094">
        <v>1</v>
      </c>
      <c r="C4094">
        <v>51</v>
      </c>
      <c r="D4094">
        <v>51</v>
      </c>
    </row>
    <row r="4095" spans="1:4" ht="15" x14ac:dyDescent="0.25">
      <c r="A4095" t="s">
        <v>11373</v>
      </c>
      <c r="B4095">
        <v>4</v>
      </c>
      <c r="C4095">
        <v>77</v>
      </c>
      <c r="D4095">
        <v>19.25</v>
      </c>
    </row>
    <row r="4096" spans="1:4" ht="15" x14ac:dyDescent="0.25">
      <c r="A4096" t="s">
        <v>11374</v>
      </c>
      <c r="B4096">
        <v>1</v>
      </c>
      <c r="C4096">
        <v>10</v>
      </c>
      <c r="D4096">
        <v>10</v>
      </c>
    </row>
    <row r="4097" spans="1:4" ht="15" x14ac:dyDescent="0.25">
      <c r="A4097" t="s">
        <v>11375</v>
      </c>
      <c r="B4097">
        <v>2</v>
      </c>
      <c r="C4097">
        <v>71</v>
      </c>
      <c r="D4097">
        <v>35.5</v>
      </c>
    </row>
    <row r="4098" spans="1:4" ht="15" x14ac:dyDescent="0.25">
      <c r="A4098" t="s">
        <v>11378</v>
      </c>
      <c r="B4098">
        <v>1</v>
      </c>
      <c r="C4098">
        <v>13</v>
      </c>
      <c r="D4098">
        <v>13</v>
      </c>
    </row>
    <row r="4099" spans="1:4" ht="15" x14ac:dyDescent="0.25">
      <c r="A4099" t="s">
        <v>11379</v>
      </c>
      <c r="B4099">
        <v>1</v>
      </c>
      <c r="C4099">
        <v>13</v>
      </c>
      <c r="D4099">
        <v>13</v>
      </c>
    </row>
    <row r="4100" spans="1:4" ht="15" x14ac:dyDescent="0.25">
      <c r="A4100" t="s">
        <v>11382</v>
      </c>
      <c r="B4100">
        <v>1</v>
      </c>
      <c r="C4100">
        <v>28</v>
      </c>
      <c r="D4100">
        <v>28</v>
      </c>
    </row>
    <row r="4101" spans="1:4" ht="15" x14ac:dyDescent="0.25">
      <c r="A4101" t="s">
        <v>11386</v>
      </c>
      <c r="B4101">
        <v>1</v>
      </c>
      <c r="C4101">
        <v>42</v>
      </c>
      <c r="D4101">
        <v>42</v>
      </c>
    </row>
    <row r="4102" spans="1:4" ht="15" x14ac:dyDescent="0.25">
      <c r="A4102" t="s">
        <v>11387</v>
      </c>
      <c r="B4102">
        <v>1</v>
      </c>
      <c r="C4102">
        <v>42</v>
      </c>
      <c r="D4102">
        <v>42</v>
      </c>
    </row>
    <row r="4103" spans="1:4" ht="15" x14ac:dyDescent="0.25">
      <c r="A4103" t="s">
        <v>11389</v>
      </c>
      <c r="B4103">
        <v>1</v>
      </c>
      <c r="C4103">
        <v>42</v>
      </c>
      <c r="D4103">
        <v>42</v>
      </c>
    </row>
    <row r="4104" spans="1:4" ht="15" x14ac:dyDescent="0.25">
      <c r="A4104" t="s">
        <v>11388</v>
      </c>
      <c r="B4104">
        <v>1</v>
      </c>
      <c r="C4104">
        <v>42</v>
      </c>
      <c r="D4104">
        <v>42</v>
      </c>
    </row>
    <row r="4105" spans="1:4" ht="15" x14ac:dyDescent="0.25">
      <c r="A4105" t="s">
        <v>11395</v>
      </c>
      <c r="B4105">
        <v>11</v>
      </c>
      <c r="C4105">
        <v>1002</v>
      </c>
      <c r="D4105">
        <v>91.090909090909093</v>
      </c>
    </row>
    <row r="4106" spans="1:4" ht="15" x14ac:dyDescent="0.25">
      <c r="A4106" t="s">
        <v>11399</v>
      </c>
      <c r="B4106">
        <v>1</v>
      </c>
      <c r="C4106">
        <v>103</v>
      </c>
      <c r="D4106">
        <v>103</v>
      </c>
    </row>
    <row r="4107" spans="1:4" ht="15" x14ac:dyDescent="0.25">
      <c r="A4107" t="s">
        <v>11400</v>
      </c>
      <c r="B4107">
        <v>10</v>
      </c>
      <c r="C4107">
        <v>369</v>
      </c>
      <c r="D4107">
        <v>36.9</v>
      </c>
    </row>
    <row r="4108" spans="1:4" ht="15" x14ac:dyDescent="0.25">
      <c r="A4108" t="s">
        <v>11405</v>
      </c>
      <c r="B4108">
        <v>2</v>
      </c>
      <c r="C4108">
        <v>179</v>
      </c>
      <c r="D4108">
        <v>89.5</v>
      </c>
    </row>
    <row r="4109" spans="1:4" ht="15" x14ac:dyDescent="0.25">
      <c r="A4109" t="s">
        <v>11407</v>
      </c>
      <c r="B4109">
        <v>1</v>
      </c>
      <c r="C4109">
        <v>108</v>
      </c>
      <c r="D4109">
        <v>108</v>
      </c>
    </row>
    <row r="4110" spans="1:4" ht="15" x14ac:dyDescent="0.25">
      <c r="A4110" t="s">
        <v>11408</v>
      </c>
      <c r="B4110">
        <v>1</v>
      </c>
      <c r="C4110">
        <v>108</v>
      </c>
      <c r="D4110">
        <v>108</v>
      </c>
    </row>
    <row r="4111" spans="1:4" ht="15" x14ac:dyDescent="0.25">
      <c r="A4111" t="s">
        <v>11406</v>
      </c>
      <c r="B4111">
        <v>1</v>
      </c>
      <c r="C4111">
        <v>108</v>
      </c>
      <c r="D4111">
        <v>108</v>
      </c>
    </row>
    <row r="4112" spans="1:4" ht="15" x14ac:dyDescent="0.25">
      <c r="A4112" t="s">
        <v>11409</v>
      </c>
      <c r="B4112">
        <v>1</v>
      </c>
      <c r="C4112">
        <v>21</v>
      </c>
      <c r="D4112">
        <v>21</v>
      </c>
    </row>
    <row r="4113" spans="1:4" ht="15" x14ac:dyDescent="0.25">
      <c r="A4113" t="s">
        <v>11412</v>
      </c>
      <c r="B4113">
        <v>1</v>
      </c>
      <c r="C4113">
        <v>21</v>
      </c>
      <c r="D4113">
        <v>21</v>
      </c>
    </row>
    <row r="4114" spans="1:4" ht="15" x14ac:dyDescent="0.25">
      <c r="A4114" t="s">
        <v>11414</v>
      </c>
      <c r="B4114">
        <v>3</v>
      </c>
      <c r="C4114">
        <v>97</v>
      </c>
      <c r="D4114">
        <v>32.333333333333336</v>
      </c>
    </row>
    <row r="4115" spans="1:4" ht="15" x14ac:dyDescent="0.25">
      <c r="A4115" t="s">
        <v>11413</v>
      </c>
      <c r="B4115">
        <v>1</v>
      </c>
      <c r="C4115">
        <v>21</v>
      </c>
      <c r="D4115">
        <v>21</v>
      </c>
    </row>
    <row r="4116" spans="1:4" ht="15" x14ac:dyDescent="0.25">
      <c r="A4116" t="s">
        <v>11418</v>
      </c>
      <c r="B4116">
        <v>1</v>
      </c>
      <c r="C4116">
        <v>25</v>
      </c>
      <c r="D4116">
        <v>25</v>
      </c>
    </row>
    <row r="4117" spans="1:4" ht="15" x14ac:dyDescent="0.25">
      <c r="A4117" t="s">
        <v>11419</v>
      </c>
      <c r="B4117">
        <v>1</v>
      </c>
      <c r="C4117">
        <v>25</v>
      </c>
      <c r="D4117">
        <v>25</v>
      </c>
    </row>
    <row r="4118" spans="1:4" ht="15" x14ac:dyDescent="0.25">
      <c r="A4118" t="s">
        <v>11423</v>
      </c>
      <c r="B4118">
        <v>1</v>
      </c>
      <c r="C4118">
        <v>41</v>
      </c>
      <c r="D4118">
        <v>41</v>
      </c>
    </row>
    <row r="4119" spans="1:4" ht="15" x14ac:dyDescent="0.25">
      <c r="A4119" t="s">
        <v>11424</v>
      </c>
      <c r="B4119">
        <v>1</v>
      </c>
      <c r="C4119">
        <v>41</v>
      </c>
      <c r="D4119">
        <v>41</v>
      </c>
    </row>
    <row r="4120" spans="1:4" ht="15" x14ac:dyDescent="0.25">
      <c r="A4120" t="s">
        <v>11428</v>
      </c>
      <c r="B4120">
        <v>1</v>
      </c>
      <c r="C4120">
        <v>45</v>
      </c>
      <c r="D4120">
        <v>45</v>
      </c>
    </row>
    <row r="4121" spans="1:4" ht="15" x14ac:dyDescent="0.25">
      <c r="A4121" t="s">
        <v>11429</v>
      </c>
      <c r="B4121">
        <v>1</v>
      </c>
      <c r="C4121">
        <v>45</v>
      </c>
      <c r="D4121">
        <v>45</v>
      </c>
    </row>
    <row r="4122" spans="1:4" ht="15" x14ac:dyDescent="0.25">
      <c r="A4122" t="s">
        <v>11435</v>
      </c>
      <c r="B4122">
        <v>1</v>
      </c>
      <c r="C4122">
        <v>45</v>
      </c>
      <c r="D4122">
        <v>45</v>
      </c>
    </row>
    <row r="4123" spans="1:4" ht="15" x14ac:dyDescent="0.25">
      <c r="A4123" t="s">
        <v>11434</v>
      </c>
      <c r="B4123">
        <v>2</v>
      </c>
      <c r="C4123">
        <v>54</v>
      </c>
      <c r="D4123">
        <v>27</v>
      </c>
    </row>
    <row r="4124" spans="1:4" ht="15" x14ac:dyDescent="0.25">
      <c r="A4124" t="s">
        <v>11440</v>
      </c>
      <c r="B4124">
        <v>1</v>
      </c>
      <c r="C4124">
        <v>60</v>
      </c>
      <c r="D4124">
        <v>60</v>
      </c>
    </row>
    <row r="4125" spans="1:4" ht="15" x14ac:dyDescent="0.25">
      <c r="A4125" t="s">
        <v>11444</v>
      </c>
      <c r="B4125">
        <v>1</v>
      </c>
      <c r="C4125">
        <v>148</v>
      </c>
      <c r="D4125">
        <v>148</v>
      </c>
    </row>
    <row r="4126" spans="1:4" ht="15" x14ac:dyDescent="0.25">
      <c r="A4126" t="s">
        <v>11445</v>
      </c>
      <c r="B4126">
        <v>1</v>
      </c>
      <c r="C4126">
        <v>148</v>
      </c>
      <c r="D4126">
        <v>148</v>
      </c>
    </row>
    <row r="4127" spans="1:4" ht="15" x14ac:dyDescent="0.25">
      <c r="A4127" t="s">
        <v>11447</v>
      </c>
      <c r="B4127">
        <v>1</v>
      </c>
      <c r="C4127">
        <v>148</v>
      </c>
      <c r="D4127">
        <v>148</v>
      </c>
    </row>
    <row r="4128" spans="1:4" ht="15" x14ac:dyDescent="0.25">
      <c r="A4128" t="s">
        <v>11446</v>
      </c>
      <c r="B4128">
        <v>1</v>
      </c>
      <c r="C4128">
        <v>148</v>
      </c>
      <c r="D4128">
        <v>148</v>
      </c>
    </row>
    <row r="4129" spans="1:4" ht="15" x14ac:dyDescent="0.25">
      <c r="A4129" t="s">
        <v>11452</v>
      </c>
      <c r="B4129">
        <v>2</v>
      </c>
      <c r="C4129">
        <v>24</v>
      </c>
      <c r="D4129">
        <v>12</v>
      </c>
    </row>
    <row r="4130" spans="1:4" ht="15" x14ac:dyDescent="0.25">
      <c r="A4130" t="s">
        <v>11451</v>
      </c>
      <c r="B4130">
        <v>1</v>
      </c>
      <c r="C4130">
        <v>14</v>
      </c>
      <c r="D4130">
        <v>14</v>
      </c>
    </row>
    <row r="4131" spans="1:4" ht="15" x14ac:dyDescent="0.25">
      <c r="A4131" t="s">
        <v>11457</v>
      </c>
      <c r="B4131">
        <v>1</v>
      </c>
      <c r="C4131">
        <v>229</v>
      </c>
      <c r="D4131">
        <v>229</v>
      </c>
    </row>
    <row r="4132" spans="1:4" ht="15" x14ac:dyDescent="0.25">
      <c r="A4132" t="s">
        <v>11458</v>
      </c>
      <c r="B4132">
        <v>1</v>
      </c>
      <c r="C4132">
        <v>229</v>
      </c>
      <c r="D4132">
        <v>229</v>
      </c>
    </row>
    <row r="4133" spans="1:4" ht="15" x14ac:dyDescent="0.25">
      <c r="A4133" t="s">
        <v>11460</v>
      </c>
      <c r="B4133">
        <v>1</v>
      </c>
      <c r="C4133">
        <v>229</v>
      </c>
      <c r="D4133">
        <v>229</v>
      </c>
    </row>
    <row r="4134" spans="1:4" ht="15" x14ac:dyDescent="0.25">
      <c r="A4134" t="s">
        <v>11461</v>
      </c>
      <c r="B4134">
        <v>1</v>
      </c>
      <c r="C4134">
        <v>229</v>
      </c>
      <c r="D4134">
        <v>229</v>
      </c>
    </row>
    <row r="4135" spans="1:4" ht="15" x14ac:dyDescent="0.25">
      <c r="A4135" t="s">
        <v>11459</v>
      </c>
      <c r="B4135">
        <v>1</v>
      </c>
      <c r="C4135">
        <v>229</v>
      </c>
      <c r="D4135">
        <v>229</v>
      </c>
    </row>
    <row r="4136" spans="1:4" ht="15" x14ac:dyDescent="0.25">
      <c r="A4136" t="s">
        <v>11465</v>
      </c>
      <c r="B4136">
        <v>1</v>
      </c>
      <c r="C4136">
        <v>2</v>
      </c>
      <c r="D4136">
        <v>2</v>
      </c>
    </row>
    <row r="4137" spans="1:4" ht="15" x14ac:dyDescent="0.25">
      <c r="A4137" t="s">
        <v>11467</v>
      </c>
      <c r="B4137">
        <v>1</v>
      </c>
      <c r="C4137">
        <v>2</v>
      </c>
      <c r="D4137">
        <v>2</v>
      </c>
    </row>
    <row r="4138" spans="1:4" ht="15" x14ac:dyDescent="0.25">
      <c r="A4138" t="s">
        <v>11466</v>
      </c>
      <c r="B4138">
        <v>3</v>
      </c>
      <c r="C4138">
        <v>63</v>
      </c>
      <c r="D4138">
        <v>21</v>
      </c>
    </row>
    <row r="4139" spans="1:4" ht="15" x14ac:dyDescent="0.25">
      <c r="A4139" t="s">
        <v>11471</v>
      </c>
      <c r="B4139">
        <v>1</v>
      </c>
      <c r="C4139">
        <v>19</v>
      </c>
      <c r="D4139">
        <v>19</v>
      </c>
    </row>
    <row r="4140" spans="1:4" ht="15" x14ac:dyDescent="0.25">
      <c r="A4140" t="s">
        <v>11472</v>
      </c>
      <c r="B4140">
        <v>1</v>
      </c>
      <c r="C4140">
        <v>19</v>
      </c>
      <c r="D4140">
        <v>19</v>
      </c>
    </row>
    <row r="4141" spans="1:4" ht="15" x14ac:dyDescent="0.25">
      <c r="A4141" t="s">
        <v>11474</v>
      </c>
      <c r="B4141">
        <v>1</v>
      </c>
      <c r="C4141">
        <v>19</v>
      </c>
      <c r="D4141">
        <v>19</v>
      </c>
    </row>
    <row r="4142" spans="1:4" ht="15" x14ac:dyDescent="0.25">
      <c r="A4142" t="s">
        <v>11473</v>
      </c>
      <c r="B4142">
        <v>1</v>
      </c>
      <c r="C4142">
        <v>19</v>
      </c>
      <c r="D4142">
        <v>19</v>
      </c>
    </row>
    <row r="4143" spans="1:4" ht="15" x14ac:dyDescent="0.25">
      <c r="A4143" t="s">
        <v>11480</v>
      </c>
      <c r="B4143">
        <v>1</v>
      </c>
      <c r="C4143">
        <v>29</v>
      </c>
      <c r="D4143">
        <v>29</v>
      </c>
    </row>
    <row r="4144" spans="1:4" ht="15" x14ac:dyDescent="0.25">
      <c r="A4144" t="s">
        <v>11481</v>
      </c>
      <c r="B4144">
        <v>1</v>
      </c>
      <c r="C4144">
        <v>29</v>
      </c>
      <c r="D4144">
        <v>29</v>
      </c>
    </row>
    <row r="4145" spans="1:4" ht="15" x14ac:dyDescent="0.25">
      <c r="A4145" t="s">
        <v>11482</v>
      </c>
      <c r="B4145">
        <v>1</v>
      </c>
      <c r="C4145">
        <v>29</v>
      </c>
      <c r="D4145">
        <v>29</v>
      </c>
    </row>
    <row r="4146" spans="1:4" ht="15" x14ac:dyDescent="0.25">
      <c r="A4146" t="s">
        <v>11486</v>
      </c>
      <c r="B4146">
        <v>1</v>
      </c>
      <c r="C4146">
        <v>26</v>
      </c>
      <c r="D4146">
        <v>26</v>
      </c>
    </row>
    <row r="4147" spans="1:4" ht="15" x14ac:dyDescent="0.25">
      <c r="A4147" t="s">
        <v>11487</v>
      </c>
      <c r="B4147">
        <v>1</v>
      </c>
      <c r="C4147">
        <v>26</v>
      </c>
      <c r="D4147">
        <v>26</v>
      </c>
    </row>
    <row r="4148" spans="1:4" ht="15" x14ac:dyDescent="0.25">
      <c r="A4148" t="s">
        <v>11489</v>
      </c>
      <c r="B4148">
        <v>2</v>
      </c>
      <c r="C4148">
        <v>118</v>
      </c>
      <c r="D4148">
        <v>59</v>
      </c>
    </row>
    <row r="4149" spans="1:4" ht="15" x14ac:dyDescent="0.25">
      <c r="A4149" t="s">
        <v>11490</v>
      </c>
      <c r="B4149">
        <v>1</v>
      </c>
      <c r="C4149">
        <v>26</v>
      </c>
      <c r="D4149">
        <v>26</v>
      </c>
    </row>
    <row r="4150" spans="1:4" ht="15" x14ac:dyDescent="0.25">
      <c r="A4150" t="s">
        <v>11488</v>
      </c>
      <c r="B4150">
        <v>2</v>
      </c>
      <c r="C4150">
        <v>46</v>
      </c>
      <c r="D4150">
        <v>23</v>
      </c>
    </row>
    <row r="4151" spans="1:4" ht="15" x14ac:dyDescent="0.25">
      <c r="A4151" t="s">
        <v>11497</v>
      </c>
      <c r="B4151">
        <v>1</v>
      </c>
      <c r="C4151">
        <v>36</v>
      </c>
      <c r="D4151">
        <v>36</v>
      </c>
    </row>
    <row r="4152" spans="1:4" ht="15" x14ac:dyDescent="0.25">
      <c r="A4152" t="s">
        <v>11499</v>
      </c>
      <c r="B4152">
        <v>2</v>
      </c>
      <c r="C4152">
        <v>78</v>
      </c>
      <c r="D4152">
        <v>39</v>
      </c>
    </row>
    <row r="4153" spans="1:4" ht="15" x14ac:dyDescent="0.25">
      <c r="A4153" t="s">
        <v>11500</v>
      </c>
      <c r="B4153">
        <v>2</v>
      </c>
      <c r="C4153">
        <v>66</v>
      </c>
      <c r="D4153">
        <v>33</v>
      </c>
    </row>
    <row r="4154" spans="1:4" ht="15" x14ac:dyDescent="0.25">
      <c r="A4154" t="s">
        <v>11498</v>
      </c>
      <c r="B4154">
        <v>1</v>
      </c>
      <c r="C4154">
        <v>36</v>
      </c>
      <c r="D4154">
        <v>36</v>
      </c>
    </row>
    <row r="4155" spans="1:4" ht="15" x14ac:dyDescent="0.25">
      <c r="A4155" t="s">
        <v>11507</v>
      </c>
      <c r="B4155">
        <v>3</v>
      </c>
      <c r="C4155">
        <v>112</v>
      </c>
      <c r="D4155">
        <v>37.333333333333336</v>
      </c>
    </row>
    <row r="4156" spans="1:4" ht="15" x14ac:dyDescent="0.25">
      <c r="A4156" t="s">
        <v>11508</v>
      </c>
      <c r="B4156">
        <v>1</v>
      </c>
      <c r="C4156">
        <v>58</v>
      </c>
      <c r="D4156">
        <v>58</v>
      </c>
    </row>
    <row r="4157" spans="1:4" ht="15" x14ac:dyDescent="0.25">
      <c r="A4157" t="s">
        <v>11509</v>
      </c>
      <c r="B4157">
        <v>2</v>
      </c>
      <c r="C4157">
        <v>206</v>
      </c>
      <c r="D4157">
        <v>103</v>
      </c>
    </row>
    <row r="4158" spans="1:4" ht="15" x14ac:dyDescent="0.25">
      <c r="A4158" t="s">
        <v>11510</v>
      </c>
      <c r="B4158">
        <v>2</v>
      </c>
      <c r="C4158">
        <v>76</v>
      </c>
      <c r="D4158">
        <v>38</v>
      </c>
    </row>
    <row r="4159" spans="1:4" ht="15" x14ac:dyDescent="0.25">
      <c r="A4159" t="s">
        <v>11515</v>
      </c>
      <c r="B4159">
        <v>1</v>
      </c>
      <c r="C4159">
        <v>132</v>
      </c>
      <c r="D4159">
        <v>132</v>
      </c>
    </row>
    <row r="4160" spans="1:4" ht="15" x14ac:dyDescent="0.25">
      <c r="A4160" t="s">
        <v>11516</v>
      </c>
      <c r="B4160">
        <v>1</v>
      </c>
      <c r="C4160">
        <v>132</v>
      </c>
      <c r="D4160">
        <v>132</v>
      </c>
    </row>
    <row r="4161" spans="1:4" ht="15" x14ac:dyDescent="0.25">
      <c r="A4161" t="s">
        <v>11517</v>
      </c>
      <c r="B4161">
        <v>1</v>
      </c>
      <c r="C4161">
        <v>13</v>
      </c>
      <c r="D4161">
        <v>13</v>
      </c>
    </row>
    <row r="4162" spans="1:4" ht="15" x14ac:dyDescent="0.25">
      <c r="A4162" t="s">
        <v>11520</v>
      </c>
      <c r="B4162">
        <v>1</v>
      </c>
      <c r="C4162">
        <v>13</v>
      </c>
      <c r="D4162">
        <v>13</v>
      </c>
    </row>
    <row r="4163" spans="1:4" ht="15" x14ac:dyDescent="0.25">
      <c r="A4163" t="s">
        <v>11521</v>
      </c>
      <c r="B4163">
        <v>1</v>
      </c>
      <c r="C4163">
        <v>13</v>
      </c>
      <c r="D4163">
        <v>13</v>
      </c>
    </row>
    <row r="4164" spans="1:4" ht="15" x14ac:dyDescent="0.25">
      <c r="A4164" t="s">
        <v>11522</v>
      </c>
      <c r="B4164">
        <v>1</v>
      </c>
      <c r="C4164">
        <v>13</v>
      </c>
      <c r="D4164">
        <v>13</v>
      </c>
    </row>
    <row r="4165" spans="1:4" ht="15" x14ac:dyDescent="0.25">
      <c r="A4165" t="s">
        <v>11527</v>
      </c>
      <c r="B4165">
        <v>1</v>
      </c>
      <c r="C4165">
        <v>36</v>
      </c>
      <c r="D4165">
        <v>36</v>
      </c>
    </row>
    <row r="4166" spans="1:4" ht="15" x14ac:dyDescent="0.25">
      <c r="A4166" t="s">
        <v>11528</v>
      </c>
      <c r="B4166">
        <v>1</v>
      </c>
      <c r="C4166">
        <v>36</v>
      </c>
      <c r="D4166">
        <v>36</v>
      </c>
    </row>
    <row r="4167" spans="1:4" ht="15" x14ac:dyDescent="0.25">
      <c r="A4167" t="s">
        <v>11523</v>
      </c>
      <c r="B4167">
        <v>1</v>
      </c>
      <c r="C4167">
        <v>36</v>
      </c>
      <c r="D4167">
        <v>36</v>
      </c>
    </row>
    <row r="4168" spans="1:4" ht="15" x14ac:dyDescent="0.25">
      <c r="A4168" t="s">
        <v>11532</v>
      </c>
      <c r="B4168">
        <v>2</v>
      </c>
      <c r="C4168">
        <v>84</v>
      </c>
      <c r="D4168">
        <v>42</v>
      </c>
    </row>
    <row r="4169" spans="1:4" ht="15" x14ac:dyDescent="0.25">
      <c r="A4169" t="s">
        <v>11539</v>
      </c>
      <c r="B4169">
        <v>1</v>
      </c>
      <c r="C4169">
        <v>32</v>
      </c>
      <c r="D4169">
        <v>32</v>
      </c>
    </row>
    <row r="4170" spans="1:4" ht="15" x14ac:dyDescent="0.25">
      <c r="A4170" t="s">
        <v>11540</v>
      </c>
      <c r="B4170">
        <v>2</v>
      </c>
      <c r="C4170">
        <v>40</v>
      </c>
      <c r="D4170">
        <v>20</v>
      </c>
    </row>
    <row r="4171" spans="1:4" ht="15" x14ac:dyDescent="0.25">
      <c r="A4171" t="s">
        <v>11544</v>
      </c>
      <c r="B4171">
        <v>4</v>
      </c>
      <c r="C4171">
        <v>154</v>
      </c>
      <c r="D4171">
        <v>38.5</v>
      </c>
    </row>
    <row r="4172" spans="1:4" ht="15" x14ac:dyDescent="0.25">
      <c r="A4172" t="s">
        <v>11548</v>
      </c>
      <c r="B4172">
        <v>1</v>
      </c>
      <c r="C4172">
        <v>35</v>
      </c>
      <c r="D4172">
        <v>35</v>
      </c>
    </row>
    <row r="4173" spans="1:4" ht="15" x14ac:dyDescent="0.25">
      <c r="A4173" t="s">
        <v>11549</v>
      </c>
      <c r="B4173">
        <v>1</v>
      </c>
      <c r="C4173">
        <v>35</v>
      </c>
      <c r="D4173">
        <v>35</v>
      </c>
    </row>
    <row r="4174" spans="1:4" ht="15" x14ac:dyDescent="0.25">
      <c r="A4174" t="s">
        <v>11555</v>
      </c>
      <c r="B4174">
        <v>1</v>
      </c>
      <c r="C4174">
        <v>41</v>
      </c>
      <c r="D4174">
        <v>41</v>
      </c>
    </row>
    <row r="4175" spans="1:4" ht="15" x14ac:dyDescent="0.25">
      <c r="A4175" t="s">
        <v>11556</v>
      </c>
      <c r="B4175">
        <v>1</v>
      </c>
      <c r="C4175">
        <v>41</v>
      </c>
      <c r="D4175">
        <v>41</v>
      </c>
    </row>
    <row r="4176" spans="1:4" ht="15" x14ac:dyDescent="0.25">
      <c r="A4176" t="s">
        <v>11566</v>
      </c>
      <c r="B4176">
        <v>3</v>
      </c>
      <c r="C4176">
        <v>101</v>
      </c>
      <c r="D4176">
        <v>33.666666666666664</v>
      </c>
    </row>
    <row r="4177" spans="1:4" ht="15" x14ac:dyDescent="0.25">
      <c r="A4177" t="s">
        <v>11570</v>
      </c>
      <c r="B4177">
        <v>1</v>
      </c>
      <c r="C4177">
        <v>44</v>
      </c>
      <c r="D4177">
        <v>44</v>
      </c>
    </row>
    <row r="4178" spans="1:4" ht="15" x14ac:dyDescent="0.25">
      <c r="A4178" t="s">
        <v>11571</v>
      </c>
      <c r="B4178">
        <v>1</v>
      </c>
      <c r="C4178">
        <v>44</v>
      </c>
      <c r="D4178">
        <v>44</v>
      </c>
    </row>
    <row r="4179" spans="1:4" ht="15" x14ac:dyDescent="0.25">
      <c r="A4179" t="s">
        <v>11572</v>
      </c>
      <c r="B4179">
        <v>1</v>
      </c>
      <c r="C4179">
        <v>44</v>
      </c>
      <c r="D4179">
        <v>44</v>
      </c>
    </row>
    <row r="4180" spans="1:4" ht="15" x14ac:dyDescent="0.25">
      <c r="A4180" t="s">
        <v>11573</v>
      </c>
      <c r="B4180">
        <v>1</v>
      </c>
      <c r="C4180">
        <v>44</v>
      </c>
      <c r="D4180">
        <v>44</v>
      </c>
    </row>
    <row r="4181" spans="1:4" ht="15" x14ac:dyDescent="0.25">
      <c r="A4181" t="s">
        <v>11577</v>
      </c>
      <c r="B4181">
        <v>1</v>
      </c>
      <c r="C4181">
        <v>5</v>
      </c>
      <c r="D4181">
        <v>5</v>
      </c>
    </row>
    <row r="4182" spans="1:4" ht="15" x14ac:dyDescent="0.25">
      <c r="A4182" t="s">
        <v>11579</v>
      </c>
      <c r="B4182">
        <v>1</v>
      </c>
      <c r="C4182">
        <v>5</v>
      </c>
      <c r="D4182">
        <v>5</v>
      </c>
    </row>
    <row r="4183" spans="1:4" ht="15" x14ac:dyDescent="0.25">
      <c r="A4183" t="s">
        <v>11580</v>
      </c>
      <c r="B4183">
        <v>1</v>
      </c>
      <c r="C4183">
        <v>5</v>
      </c>
      <c r="D4183">
        <v>5</v>
      </c>
    </row>
    <row r="4184" spans="1:4" ht="15" x14ac:dyDescent="0.25">
      <c r="A4184" t="s">
        <v>11578</v>
      </c>
      <c r="B4184">
        <v>1</v>
      </c>
      <c r="C4184">
        <v>5</v>
      </c>
      <c r="D4184">
        <v>5</v>
      </c>
    </row>
    <row r="4185" spans="1:4" ht="15" x14ac:dyDescent="0.25">
      <c r="A4185" t="s">
        <v>11586</v>
      </c>
      <c r="B4185">
        <v>1</v>
      </c>
      <c r="C4185">
        <v>80</v>
      </c>
      <c r="D4185">
        <v>80</v>
      </c>
    </row>
    <row r="4186" spans="1:4" ht="15" x14ac:dyDescent="0.25">
      <c r="A4186" t="s">
        <v>11587</v>
      </c>
      <c r="B4186">
        <v>2</v>
      </c>
      <c r="C4186">
        <v>97</v>
      </c>
      <c r="D4186">
        <v>48.5</v>
      </c>
    </row>
    <row r="4187" spans="1:4" ht="15" x14ac:dyDescent="0.25">
      <c r="A4187" t="s">
        <v>11588</v>
      </c>
      <c r="B4187">
        <v>2</v>
      </c>
      <c r="C4187">
        <v>226</v>
      </c>
      <c r="D4187">
        <v>113</v>
      </c>
    </row>
    <row r="4188" spans="1:4" ht="15" x14ac:dyDescent="0.25">
      <c r="A4188" t="s">
        <v>11593</v>
      </c>
      <c r="B4188">
        <v>1</v>
      </c>
      <c r="C4188">
        <v>7</v>
      </c>
      <c r="D4188">
        <v>7</v>
      </c>
    </row>
    <row r="4189" spans="1:4" ht="15" x14ac:dyDescent="0.25">
      <c r="A4189" t="s">
        <v>11594</v>
      </c>
      <c r="B4189">
        <v>1</v>
      </c>
      <c r="C4189">
        <v>7</v>
      </c>
      <c r="D4189">
        <v>7</v>
      </c>
    </row>
    <row r="4190" spans="1:4" ht="15" x14ac:dyDescent="0.25">
      <c r="A4190" t="s">
        <v>11598</v>
      </c>
      <c r="B4190">
        <v>1</v>
      </c>
      <c r="C4190">
        <v>55</v>
      </c>
      <c r="D4190">
        <v>55</v>
      </c>
    </row>
    <row r="4191" spans="1:4" ht="15" x14ac:dyDescent="0.25">
      <c r="A4191" t="s">
        <v>11599</v>
      </c>
      <c r="B4191">
        <v>4</v>
      </c>
      <c r="C4191">
        <v>163</v>
      </c>
      <c r="D4191">
        <v>40.75</v>
      </c>
    </row>
    <row r="4192" spans="1:4" ht="15" x14ac:dyDescent="0.25">
      <c r="A4192" t="s">
        <v>11601</v>
      </c>
      <c r="B4192">
        <v>1</v>
      </c>
      <c r="C4192">
        <v>55</v>
      </c>
      <c r="D4192">
        <v>55</v>
      </c>
    </row>
    <row r="4193" spans="1:4" ht="15" x14ac:dyDescent="0.25">
      <c r="A4193" t="s">
        <v>11600</v>
      </c>
      <c r="B4193">
        <v>1</v>
      </c>
      <c r="C4193">
        <v>55</v>
      </c>
      <c r="D4193">
        <v>55</v>
      </c>
    </row>
    <row r="4194" spans="1:4" ht="15" x14ac:dyDescent="0.25">
      <c r="A4194" t="s">
        <v>11605</v>
      </c>
      <c r="B4194">
        <v>1</v>
      </c>
      <c r="C4194">
        <v>114</v>
      </c>
      <c r="D4194">
        <v>114</v>
      </c>
    </row>
    <row r="4195" spans="1:4" ht="15" x14ac:dyDescent="0.25">
      <c r="A4195" t="s">
        <v>11606</v>
      </c>
      <c r="B4195">
        <v>2</v>
      </c>
      <c r="C4195">
        <v>133</v>
      </c>
      <c r="D4195">
        <v>66.5</v>
      </c>
    </row>
    <row r="4196" spans="1:4" ht="15" x14ac:dyDescent="0.25">
      <c r="A4196" t="s">
        <v>11611</v>
      </c>
      <c r="B4196">
        <v>1</v>
      </c>
      <c r="C4196">
        <v>37</v>
      </c>
      <c r="D4196">
        <v>37</v>
      </c>
    </row>
    <row r="4197" spans="1:4" ht="15" x14ac:dyDescent="0.25">
      <c r="A4197" t="s">
        <v>11612</v>
      </c>
      <c r="B4197">
        <v>1</v>
      </c>
      <c r="C4197">
        <v>37</v>
      </c>
      <c r="D4197">
        <v>37</v>
      </c>
    </row>
    <row r="4198" spans="1:4" ht="15" x14ac:dyDescent="0.25">
      <c r="A4198" t="s">
        <v>11615</v>
      </c>
      <c r="B4198">
        <v>6</v>
      </c>
      <c r="C4198">
        <v>182</v>
      </c>
      <c r="D4198">
        <v>30.333333333333332</v>
      </c>
    </row>
    <row r="4199" spans="1:4" ht="15" x14ac:dyDescent="0.25">
      <c r="A4199" t="s">
        <v>11620</v>
      </c>
      <c r="B4199">
        <v>2</v>
      </c>
      <c r="C4199">
        <v>27</v>
      </c>
      <c r="D4199">
        <v>13.5</v>
      </c>
    </row>
    <row r="4200" spans="1:4" ht="15" x14ac:dyDescent="0.25">
      <c r="A4200" t="s">
        <v>11621</v>
      </c>
      <c r="B4200">
        <v>2</v>
      </c>
      <c r="C4200">
        <v>27</v>
      </c>
      <c r="D4200">
        <v>13.5</v>
      </c>
    </row>
    <row r="4201" spans="1:4" ht="15" x14ac:dyDescent="0.25">
      <c r="A4201" t="s">
        <v>11622</v>
      </c>
      <c r="B4201">
        <v>1</v>
      </c>
      <c r="C4201">
        <v>16</v>
      </c>
      <c r="D4201">
        <v>16</v>
      </c>
    </row>
    <row r="4202" spans="1:4" ht="15" x14ac:dyDescent="0.25">
      <c r="A4202" t="s">
        <v>11626</v>
      </c>
      <c r="B4202">
        <v>1</v>
      </c>
      <c r="C4202">
        <v>11</v>
      </c>
      <c r="D4202">
        <v>11</v>
      </c>
    </row>
    <row r="4203" spans="1:4" ht="15" x14ac:dyDescent="0.25">
      <c r="A4203" t="s">
        <v>11627</v>
      </c>
      <c r="B4203">
        <v>6</v>
      </c>
      <c r="C4203">
        <v>770</v>
      </c>
      <c r="D4203">
        <v>128.33333333333334</v>
      </c>
    </row>
    <row r="4204" spans="1:4" ht="15" x14ac:dyDescent="0.25">
      <c r="A4204" t="s">
        <v>11632</v>
      </c>
      <c r="B4204">
        <v>1</v>
      </c>
      <c r="C4204">
        <v>46</v>
      </c>
      <c r="D4204">
        <v>46</v>
      </c>
    </row>
    <row r="4205" spans="1:4" ht="15" x14ac:dyDescent="0.25">
      <c r="A4205" t="s">
        <v>11633</v>
      </c>
      <c r="B4205">
        <v>1</v>
      </c>
      <c r="C4205">
        <v>46</v>
      </c>
      <c r="D4205">
        <v>46</v>
      </c>
    </row>
    <row r="4206" spans="1:4" ht="15" x14ac:dyDescent="0.25">
      <c r="A4206" t="s">
        <v>11635</v>
      </c>
      <c r="B4206">
        <v>1</v>
      </c>
      <c r="C4206">
        <v>46</v>
      </c>
      <c r="D4206">
        <v>46</v>
      </c>
    </row>
    <row r="4207" spans="1:4" ht="15" x14ac:dyDescent="0.25">
      <c r="A4207" t="s">
        <v>11636</v>
      </c>
      <c r="B4207">
        <v>1</v>
      </c>
      <c r="C4207">
        <v>46</v>
      </c>
      <c r="D4207">
        <v>46</v>
      </c>
    </row>
    <row r="4208" spans="1:4" ht="15" x14ac:dyDescent="0.25">
      <c r="A4208" t="s">
        <v>11634</v>
      </c>
      <c r="B4208">
        <v>2</v>
      </c>
      <c r="C4208">
        <v>76</v>
      </c>
      <c r="D4208">
        <v>38</v>
      </c>
    </row>
    <row r="4209" spans="1:4" ht="15" x14ac:dyDescent="0.25">
      <c r="A4209" t="s">
        <v>11640</v>
      </c>
      <c r="B4209">
        <v>2</v>
      </c>
      <c r="C4209">
        <v>113</v>
      </c>
      <c r="D4209">
        <v>56.5</v>
      </c>
    </row>
    <row r="4210" spans="1:4" ht="15" x14ac:dyDescent="0.25">
      <c r="A4210" t="s">
        <v>11642</v>
      </c>
      <c r="B4210">
        <v>2</v>
      </c>
      <c r="C4210">
        <v>77</v>
      </c>
      <c r="D4210">
        <v>38.5</v>
      </c>
    </row>
    <row r="4211" spans="1:4" ht="15" x14ac:dyDescent="0.25">
      <c r="A4211" t="s">
        <v>11641</v>
      </c>
      <c r="B4211">
        <v>4</v>
      </c>
      <c r="C4211">
        <v>158</v>
      </c>
      <c r="D4211">
        <v>39.5</v>
      </c>
    </row>
    <row r="4212" spans="1:4" ht="15" x14ac:dyDescent="0.25">
      <c r="A4212" t="s">
        <v>11647</v>
      </c>
      <c r="B4212">
        <v>3</v>
      </c>
      <c r="C4212">
        <v>463</v>
      </c>
      <c r="D4212">
        <v>154.33333333333334</v>
      </c>
    </row>
    <row r="4213" spans="1:4" ht="15" x14ac:dyDescent="0.25">
      <c r="A4213" t="s">
        <v>11648</v>
      </c>
      <c r="B4213">
        <v>1</v>
      </c>
      <c r="C4213">
        <v>173</v>
      </c>
      <c r="D4213">
        <v>173</v>
      </c>
    </row>
    <row r="4214" spans="1:4" ht="15" x14ac:dyDescent="0.25">
      <c r="A4214" t="s">
        <v>11650</v>
      </c>
      <c r="B4214">
        <v>1</v>
      </c>
      <c r="C4214">
        <v>173</v>
      </c>
      <c r="D4214">
        <v>173</v>
      </c>
    </row>
    <row r="4215" spans="1:4" ht="15" x14ac:dyDescent="0.25">
      <c r="A4215" t="s">
        <v>11651</v>
      </c>
      <c r="B4215">
        <v>5</v>
      </c>
      <c r="C4215">
        <v>2515</v>
      </c>
      <c r="D4215">
        <v>503</v>
      </c>
    </row>
    <row r="4216" spans="1:4" ht="15" x14ac:dyDescent="0.25">
      <c r="A4216" t="s">
        <v>11649</v>
      </c>
      <c r="B4216">
        <v>1</v>
      </c>
      <c r="C4216">
        <v>173</v>
      </c>
      <c r="D4216">
        <v>173</v>
      </c>
    </row>
    <row r="4217" spans="1:4" ht="15" x14ac:dyDescent="0.25">
      <c r="A4217" t="s">
        <v>11654</v>
      </c>
      <c r="B4217">
        <v>1</v>
      </c>
      <c r="C4217">
        <v>25</v>
      </c>
      <c r="D4217">
        <v>25</v>
      </c>
    </row>
    <row r="4218" spans="1:4" ht="15" x14ac:dyDescent="0.25">
      <c r="A4218" t="s">
        <v>11657</v>
      </c>
      <c r="B4218">
        <v>3</v>
      </c>
      <c r="C4218">
        <v>93</v>
      </c>
      <c r="D4218">
        <v>31</v>
      </c>
    </row>
    <row r="4219" spans="1:4" ht="15" x14ac:dyDescent="0.25">
      <c r="A4219" t="s">
        <v>11659</v>
      </c>
      <c r="B4219">
        <v>1</v>
      </c>
      <c r="C4219">
        <v>40</v>
      </c>
      <c r="D4219">
        <v>40</v>
      </c>
    </row>
    <row r="4220" spans="1:4" ht="15" x14ac:dyDescent="0.25">
      <c r="A4220" t="s">
        <v>11658</v>
      </c>
      <c r="B4220">
        <v>3</v>
      </c>
      <c r="C4220">
        <v>96</v>
      </c>
      <c r="D4220">
        <v>32</v>
      </c>
    </row>
    <row r="4221" spans="1:4" ht="15" x14ac:dyDescent="0.25">
      <c r="A4221" t="s">
        <v>11663</v>
      </c>
      <c r="B4221">
        <v>1</v>
      </c>
      <c r="C4221">
        <v>90</v>
      </c>
      <c r="D4221">
        <v>90</v>
      </c>
    </row>
    <row r="4222" spans="1:4" ht="15" x14ac:dyDescent="0.25">
      <c r="A4222" t="s">
        <v>11664</v>
      </c>
      <c r="B4222">
        <v>1</v>
      </c>
      <c r="C4222">
        <v>90</v>
      </c>
      <c r="D4222">
        <v>90</v>
      </c>
    </row>
    <row r="4223" spans="1:4" ht="15" x14ac:dyDescent="0.25">
      <c r="A4223" t="s">
        <v>11666</v>
      </c>
      <c r="B4223">
        <v>1</v>
      </c>
      <c r="C4223">
        <v>90</v>
      </c>
      <c r="D4223">
        <v>90</v>
      </c>
    </row>
    <row r="4224" spans="1:4" ht="15" x14ac:dyDescent="0.25">
      <c r="A4224" t="s">
        <v>11665</v>
      </c>
      <c r="B4224">
        <v>1</v>
      </c>
      <c r="C4224">
        <v>90</v>
      </c>
      <c r="D4224">
        <v>90</v>
      </c>
    </row>
    <row r="4225" spans="1:4" ht="15" x14ac:dyDescent="0.25">
      <c r="A4225" t="s">
        <v>11671</v>
      </c>
      <c r="B4225">
        <v>1</v>
      </c>
      <c r="C4225">
        <v>59</v>
      </c>
      <c r="D4225">
        <v>59</v>
      </c>
    </row>
    <row r="4226" spans="1:4" ht="15" x14ac:dyDescent="0.25">
      <c r="A4226" t="s">
        <v>11674</v>
      </c>
      <c r="B4226">
        <v>3</v>
      </c>
      <c r="C4226">
        <v>1454</v>
      </c>
      <c r="D4226">
        <v>484.66666666666669</v>
      </c>
    </row>
    <row r="4227" spans="1:4" ht="15" x14ac:dyDescent="0.25">
      <c r="A4227" t="s">
        <v>11676</v>
      </c>
      <c r="B4227">
        <v>3</v>
      </c>
      <c r="C4227">
        <v>3017</v>
      </c>
      <c r="D4227">
        <v>1005.6666666666666</v>
      </c>
    </row>
    <row r="4228" spans="1:4" ht="15" x14ac:dyDescent="0.25">
      <c r="A4228" t="s">
        <v>11675</v>
      </c>
      <c r="B4228">
        <v>1</v>
      </c>
      <c r="C4228">
        <v>1294</v>
      </c>
      <c r="D4228">
        <v>1294</v>
      </c>
    </row>
    <row r="4229" spans="1:4" ht="15" x14ac:dyDescent="0.25">
      <c r="A4229" t="s">
        <v>11681</v>
      </c>
      <c r="B4229">
        <v>1</v>
      </c>
      <c r="C4229">
        <v>157</v>
      </c>
      <c r="D4229">
        <v>157</v>
      </c>
    </row>
    <row r="4230" spans="1:4" ht="15" x14ac:dyDescent="0.25">
      <c r="A4230" t="s">
        <v>11682</v>
      </c>
      <c r="B4230">
        <v>1</v>
      </c>
      <c r="C4230">
        <v>157</v>
      </c>
      <c r="D4230">
        <v>157</v>
      </c>
    </row>
    <row r="4231" spans="1:4" ht="15" x14ac:dyDescent="0.25">
      <c r="A4231" t="s">
        <v>11687</v>
      </c>
      <c r="B4231">
        <v>1</v>
      </c>
      <c r="C4231">
        <v>160</v>
      </c>
      <c r="D4231">
        <v>160</v>
      </c>
    </row>
    <row r="4232" spans="1:4" ht="15" x14ac:dyDescent="0.25">
      <c r="A4232" t="s">
        <v>11688</v>
      </c>
      <c r="B4232">
        <v>1</v>
      </c>
      <c r="C4232">
        <v>160</v>
      </c>
      <c r="D4232">
        <v>160</v>
      </c>
    </row>
    <row r="4233" spans="1:4" ht="15" x14ac:dyDescent="0.25">
      <c r="A4233" t="s">
        <v>11690</v>
      </c>
      <c r="B4233">
        <v>1</v>
      </c>
      <c r="C4233">
        <v>160</v>
      </c>
      <c r="D4233">
        <v>160</v>
      </c>
    </row>
    <row r="4234" spans="1:4" ht="15" x14ac:dyDescent="0.25">
      <c r="A4234" t="s">
        <v>11689</v>
      </c>
      <c r="B4234">
        <v>1</v>
      </c>
      <c r="C4234">
        <v>160</v>
      </c>
      <c r="D4234">
        <v>160</v>
      </c>
    </row>
    <row r="4235" spans="1:4" ht="15" x14ac:dyDescent="0.25">
      <c r="A4235" t="s">
        <v>11696</v>
      </c>
      <c r="B4235">
        <v>1</v>
      </c>
      <c r="C4235">
        <v>23</v>
      </c>
      <c r="D4235">
        <v>23</v>
      </c>
    </row>
    <row r="4236" spans="1:4" ht="15" x14ac:dyDescent="0.25">
      <c r="A4236" t="s">
        <v>11697</v>
      </c>
      <c r="B4236">
        <v>1</v>
      </c>
      <c r="C4236">
        <v>23</v>
      </c>
      <c r="D4236">
        <v>23</v>
      </c>
    </row>
    <row r="4237" spans="1:4" ht="15" x14ac:dyDescent="0.25">
      <c r="A4237" t="s">
        <v>11700</v>
      </c>
      <c r="B4237">
        <v>1</v>
      </c>
      <c r="C4237">
        <v>47</v>
      </c>
      <c r="D4237">
        <v>47</v>
      </c>
    </row>
    <row r="4238" spans="1:4" ht="15" x14ac:dyDescent="0.25">
      <c r="A4238" t="s">
        <v>11704</v>
      </c>
      <c r="B4238">
        <v>1</v>
      </c>
      <c r="C4238">
        <v>70</v>
      </c>
      <c r="D4238">
        <v>70</v>
      </c>
    </row>
    <row r="4239" spans="1:4" ht="15" x14ac:dyDescent="0.25">
      <c r="A4239" t="s">
        <v>11706</v>
      </c>
      <c r="B4239">
        <v>1</v>
      </c>
      <c r="C4239">
        <v>70</v>
      </c>
      <c r="D4239">
        <v>70</v>
      </c>
    </row>
    <row r="4240" spans="1:4" ht="15" x14ac:dyDescent="0.25">
      <c r="A4240" t="s">
        <v>11705</v>
      </c>
      <c r="B4240">
        <v>1</v>
      </c>
      <c r="C4240">
        <v>70</v>
      </c>
      <c r="D4240">
        <v>70</v>
      </c>
    </row>
    <row r="4241" spans="1:4" ht="15" x14ac:dyDescent="0.25">
      <c r="A4241" t="s">
        <v>11710</v>
      </c>
      <c r="B4241">
        <v>1</v>
      </c>
      <c r="C4241">
        <v>1</v>
      </c>
      <c r="D4241">
        <v>1</v>
      </c>
    </row>
    <row r="4242" spans="1:4" ht="15" x14ac:dyDescent="0.25">
      <c r="A4242" t="s">
        <v>11711</v>
      </c>
      <c r="B4242">
        <v>1</v>
      </c>
      <c r="C4242">
        <v>1</v>
      </c>
      <c r="D4242">
        <v>1</v>
      </c>
    </row>
    <row r="4243" spans="1:4" ht="15" x14ac:dyDescent="0.25">
      <c r="A4243" t="s">
        <v>11713</v>
      </c>
      <c r="B4243">
        <v>1</v>
      </c>
      <c r="C4243">
        <v>1</v>
      </c>
      <c r="D4243">
        <v>1</v>
      </c>
    </row>
    <row r="4244" spans="1:4" ht="15" x14ac:dyDescent="0.25">
      <c r="A4244" t="s">
        <v>11712</v>
      </c>
      <c r="B4244">
        <v>1</v>
      </c>
      <c r="C4244">
        <v>1</v>
      </c>
      <c r="D4244">
        <v>1</v>
      </c>
    </row>
    <row r="4245" spans="1:4" ht="15" x14ac:dyDescent="0.25">
      <c r="A4245" t="s">
        <v>11716</v>
      </c>
      <c r="B4245">
        <v>1</v>
      </c>
      <c r="C4245">
        <v>33</v>
      </c>
      <c r="D4245">
        <v>33</v>
      </c>
    </row>
    <row r="4246" spans="1:4" ht="15" x14ac:dyDescent="0.25">
      <c r="A4246" t="s">
        <v>11717</v>
      </c>
      <c r="B4246">
        <v>1</v>
      </c>
      <c r="C4246">
        <v>33</v>
      </c>
      <c r="D4246">
        <v>33</v>
      </c>
    </row>
    <row r="4247" spans="1:4" ht="15" x14ac:dyDescent="0.25">
      <c r="A4247" t="s">
        <v>11718</v>
      </c>
      <c r="B4247">
        <v>1</v>
      </c>
      <c r="C4247">
        <v>33</v>
      </c>
      <c r="D4247">
        <v>33</v>
      </c>
    </row>
    <row r="4248" spans="1:4" ht="15" x14ac:dyDescent="0.25">
      <c r="A4248" t="s">
        <v>11719</v>
      </c>
      <c r="B4248">
        <v>1</v>
      </c>
      <c r="C4248">
        <v>33</v>
      </c>
      <c r="D4248">
        <v>33</v>
      </c>
    </row>
    <row r="4249" spans="1:4" ht="15" x14ac:dyDescent="0.25">
      <c r="A4249" t="s">
        <v>11723</v>
      </c>
      <c r="B4249">
        <v>1</v>
      </c>
      <c r="C4249">
        <v>701</v>
      </c>
      <c r="D4249">
        <v>701</v>
      </c>
    </row>
    <row r="4250" spans="1:4" ht="15" x14ac:dyDescent="0.25">
      <c r="A4250" t="s">
        <v>11724</v>
      </c>
      <c r="B4250">
        <v>1</v>
      </c>
      <c r="C4250">
        <v>701</v>
      </c>
      <c r="D4250">
        <v>701</v>
      </c>
    </row>
    <row r="4251" spans="1:4" ht="15" x14ac:dyDescent="0.25">
      <c r="A4251" t="s">
        <v>11726</v>
      </c>
      <c r="B4251">
        <v>1</v>
      </c>
      <c r="C4251">
        <v>701</v>
      </c>
      <c r="D4251">
        <v>701</v>
      </c>
    </row>
    <row r="4252" spans="1:4" ht="15" x14ac:dyDescent="0.25">
      <c r="A4252" t="s">
        <v>11725</v>
      </c>
      <c r="B4252">
        <v>1</v>
      </c>
      <c r="C4252">
        <v>701</v>
      </c>
      <c r="D4252">
        <v>701</v>
      </c>
    </row>
    <row r="4253" spans="1:4" ht="15" x14ac:dyDescent="0.25">
      <c r="A4253" t="s">
        <v>11730</v>
      </c>
      <c r="B4253">
        <v>1</v>
      </c>
      <c r="C4253">
        <v>250</v>
      </c>
      <c r="D4253">
        <v>250</v>
      </c>
    </row>
    <row r="4254" spans="1:4" ht="15" x14ac:dyDescent="0.25">
      <c r="A4254" t="s">
        <v>11731</v>
      </c>
      <c r="B4254">
        <v>1</v>
      </c>
      <c r="C4254">
        <v>250</v>
      </c>
      <c r="D4254">
        <v>250</v>
      </c>
    </row>
    <row r="4255" spans="1:4" ht="15" x14ac:dyDescent="0.25">
      <c r="A4255" t="s">
        <v>11732</v>
      </c>
      <c r="B4255">
        <v>1</v>
      </c>
      <c r="C4255">
        <v>250</v>
      </c>
      <c r="D4255">
        <v>250</v>
      </c>
    </row>
    <row r="4256" spans="1:4" ht="15" x14ac:dyDescent="0.25">
      <c r="A4256" t="s">
        <v>11736</v>
      </c>
      <c r="B4256">
        <v>3</v>
      </c>
      <c r="C4256">
        <v>182</v>
      </c>
      <c r="D4256">
        <v>60.666666666666664</v>
      </c>
    </row>
    <row r="4257" spans="1:4" ht="15" x14ac:dyDescent="0.25">
      <c r="A4257" t="s">
        <v>11737</v>
      </c>
      <c r="B4257">
        <v>1</v>
      </c>
      <c r="C4257">
        <v>54</v>
      </c>
      <c r="D4257">
        <v>54</v>
      </c>
    </row>
    <row r="4258" spans="1:4" ht="15" x14ac:dyDescent="0.25">
      <c r="A4258" t="s">
        <v>11742</v>
      </c>
      <c r="B4258">
        <v>1</v>
      </c>
      <c r="C4258">
        <v>31</v>
      </c>
      <c r="D4258">
        <v>31</v>
      </c>
    </row>
    <row r="4259" spans="1:4" ht="15" x14ac:dyDescent="0.25">
      <c r="A4259" t="s">
        <v>11743</v>
      </c>
      <c r="B4259">
        <v>1</v>
      </c>
      <c r="C4259">
        <v>31</v>
      </c>
      <c r="D4259">
        <v>31</v>
      </c>
    </row>
    <row r="4260" spans="1:4" ht="15" x14ac:dyDescent="0.25">
      <c r="A4260" t="s">
        <v>11745</v>
      </c>
      <c r="B4260">
        <v>3</v>
      </c>
      <c r="C4260">
        <v>158</v>
      </c>
      <c r="D4260">
        <v>52.666666666666664</v>
      </c>
    </row>
    <row r="4261" spans="1:4" ht="15" x14ac:dyDescent="0.25">
      <c r="A4261" t="s">
        <v>11744</v>
      </c>
      <c r="B4261">
        <v>1</v>
      </c>
      <c r="C4261">
        <v>31</v>
      </c>
      <c r="D4261">
        <v>31</v>
      </c>
    </row>
    <row r="4262" spans="1:4" ht="15" x14ac:dyDescent="0.25">
      <c r="A4262" t="s">
        <v>11748</v>
      </c>
      <c r="B4262">
        <v>5</v>
      </c>
      <c r="C4262">
        <v>462</v>
      </c>
      <c r="D4262">
        <v>92.4</v>
      </c>
    </row>
    <row r="4263" spans="1:4" ht="15" x14ac:dyDescent="0.25">
      <c r="A4263" t="s">
        <v>11755</v>
      </c>
      <c r="B4263">
        <v>1</v>
      </c>
      <c r="C4263">
        <v>52</v>
      </c>
      <c r="D4263">
        <v>52</v>
      </c>
    </row>
    <row r="4264" spans="1:4" ht="15" x14ac:dyDescent="0.25">
      <c r="A4264" t="s">
        <v>11756</v>
      </c>
      <c r="B4264">
        <v>1</v>
      </c>
      <c r="C4264">
        <v>52</v>
      </c>
      <c r="D4264">
        <v>52</v>
      </c>
    </row>
    <row r="4265" spans="1:4" ht="15" x14ac:dyDescent="0.25">
      <c r="A4265" t="s">
        <v>11759</v>
      </c>
      <c r="B4265">
        <v>2</v>
      </c>
      <c r="C4265">
        <v>71</v>
      </c>
      <c r="D4265">
        <v>35.5</v>
      </c>
    </row>
    <row r="4266" spans="1:4" ht="15" x14ac:dyDescent="0.25">
      <c r="A4266" t="s">
        <v>11763</v>
      </c>
      <c r="B4266">
        <v>1</v>
      </c>
      <c r="C4266">
        <v>117</v>
      </c>
      <c r="D4266">
        <v>117</v>
      </c>
    </row>
    <row r="4267" spans="1:4" ht="15" x14ac:dyDescent="0.25">
      <c r="A4267" t="s">
        <v>11762</v>
      </c>
      <c r="B4267">
        <v>1</v>
      </c>
      <c r="C4267">
        <v>117</v>
      </c>
      <c r="D4267">
        <v>117</v>
      </c>
    </row>
    <row r="4268" spans="1:4" ht="15" x14ac:dyDescent="0.25">
      <c r="A4268" t="s">
        <v>11767</v>
      </c>
      <c r="B4268">
        <v>1</v>
      </c>
      <c r="C4268">
        <v>45</v>
      </c>
      <c r="D4268">
        <v>45</v>
      </c>
    </row>
    <row r="4269" spans="1:4" ht="15" x14ac:dyDescent="0.25">
      <c r="A4269" t="s">
        <v>11768</v>
      </c>
      <c r="B4269">
        <v>3</v>
      </c>
      <c r="C4269">
        <v>153</v>
      </c>
      <c r="D4269">
        <v>51</v>
      </c>
    </row>
    <row r="4270" spans="1:4" ht="15" x14ac:dyDescent="0.25">
      <c r="A4270" t="s">
        <v>11770</v>
      </c>
      <c r="B4270">
        <v>1</v>
      </c>
      <c r="C4270">
        <v>45</v>
      </c>
      <c r="D4270">
        <v>45</v>
      </c>
    </row>
    <row r="4271" spans="1:4" ht="15" x14ac:dyDescent="0.25">
      <c r="A4271" t="s">
        <v>11771</v>
      </c>
      <c r="B4271">
        <v>1</v>
      </c>
      <c r="C4271">
        <v>45</v>
      </c>
      <c r="D4271">
        <v>45</v>
      </c>
    </row>
    <row r="4272" spans="1:4" ht="15" x14ac:dyDescent="0.25">
      <c r="A4272" t="s">
        <v>11769</v>
      </c>
      <c r="B4272">
        <v>1</v>
      </c>
      <c r="C4272">
        <v>45</v>
      </c>
      <c r="D4272">
        <v>45</v>
      </c>
    </row>
    <row r="4273" spans="1:4" ht="15" x14ac:dyDescent="0.25">
      <c r="A4273" t="s">
        <v>11777</v>
      </c>
      <c r="B4273">
        <v>4</v>
      </c>
      <c r="C4273">
        <v>63</v>
      </c>
      <c r="D4273">
        <v>15.75</v>
      </c>
    </row>
    <row r="4274" spans="1:4" ht="15" x14ac:dyDescent="0.25">
      <c r="A4274" t="s">
        <v>11778</v>
      </c>
      <c r="B4274">
        <v>1</v>
      </c>
      <c r="C4274">
        <v>23</v>
      </c>
      <c r="D4274">
        <v>23</v>
      </c>
    </row>
    <row r="4275" spans="1:4" ht="15" x14ac:dyDescent="0.25">
      <c r="A4275" t="s">
        <v>11779</v>
      </c>
      <c r="B4275">
        <v>3</v>
      </c>
      <c r="C4275">
        <v>81</v>
      </c>
      <c r="D4275">
        <v>27</v>
      </c>
    </row>
    <row r="4276" spans="1:4" ht="15" x14ac:dyDescent="0.25">
      <c r="A4276" t="s">
        <v>11783</v>
      </c>
      <c r="B4276">
        <v>1</v>
      </c>
      <c r="C4276">
        <v>47</v>
      </c>
      <c r="D4276">
        <v>47</v>
      </c>
    </row>
    <row r="4277" spans="1:4" ht="15" x14ac:dyDescent="0.25">
      <c r="A4277" t="s">
        <v>11785</v>
      </c>
      <c r="B4277">
        <v>1</v>
      </c>
      <c r="C4277">
        <v>47</v>
      </c>
      <c r="D4277">
        <v>47</v>
      </c>
    </row>
    <row r="4278" spans="1:4" ht="15" x14ac:dyDescent="0.25">
      <c r="A4278" t="s">
        <v>11784</v>
      </c>
      <c r="B4278">
        <v>1</v>
      </c>
      <c r="C4278">
        <v>47</v>
      </c>
      <c r="D4278">
        <v>47</v>
      </c>
    </row>
    <row r="4279" spans="1:4" ht="15" x14ac:dyDescent="0.25">
      <c r="A4279" t="s">
        <v>11792</v>
      </c>
      <c r="B4279">
        <v>2</v>
      </c>
      <c r="C4279">
        <v>20</v>
      </c>
      <c r="D4279">
        <v>10</v>
      </c>
    </row>
    <row r="4280" spans="1:4" ht="15" x14ac:dyDescent="0.25">
      <c r="A4280" t="s">
        <v>11793</v>
      </c>
      <c r="B4280">
        <v>1</v>
      </c>
      <c r="C4280">
        <v>13</v>
      </c>
      <c r="D4280">
        <v>13</v>
      </c>
    </row>
    <row r="4281" spans="1:4" ht="15" x14ac:dyDescent="0.25">
      <c r="A4281" t="s">
        <v>11796</v>
      </c>
      <c r="B4281">
        <v>11</v>
      </c>
      <c r="C4281">
        <v>447</v>
      </c>
      <c r="D4281">
        <v>40.636363636363633</v>
      </c>
    </row>
    <row r="4282" spans="1:4" ht="15" x14ac:dyDescent="0.25">
      <c r="A4282" t="s">
        <v>11800</v>
      </c>
      <c r="B4282">
        <v>1</v>
      </c>
      <c r="C4282">
        <v>83</v>
      </c>
      <c r="D4282">
        <v>83</v>
      </c>
    </row>
    <row r="4283" spans="1:4" ht="15" x14ac:dyDescent="0.25">
      <c r="A4283" t="s">
        <v>11801</v>
      </c>
      <c r="B4283">
        <v>5</v>
      </c>
      <c r="C4283">
        <v>199</v>
      </c>
      <c r="D4283">
        <v>39.799999999999997</v>
      </c>
    </row>
    <row r="4284" spans="1:4" ht="15" x14ac:dyDescent="0.25">
      <c r="A4284" t="s">
        <v>11803</v>
      </c>
      <c r="B4284">
        <v>1</v>
      </c>
      <c r="C4284">
        <v>83</v>
      </c>
      <c r="D4284">
        <v>83</v>
      </c>
    </row>
    <row r="4285" spans="1:4" ht="15" x14ac:dyDescent="0.25">
      <c r="A4285" t="s">
        <v>11804</v>
      </c>
      <c r="B4285">
        <v>1</v>
      </c>
      <c r="C4285">
        <v>83</v>
      </c>
      <c r="D4285">
        <v>83</v>
      </c>
    </row>
    <row r="4286" spans="1:4" ht="15" x14ac:dyDescent="0.25">
      <c r="A4286" t="s">
        <v>11802</v>
      </c>
      <c r="B4286">
        <v>1</v>
      </c>
      <c r="C4286">
        <v>83</v>
      </c>
      <c r="D4286">
        <v>83</v>
      </c>
    </row>
    <row r="4287" spans="1:4" ht="15" x14ac:dyDescent="0.25">
      <c r="A4287" t="s">
        <v>11807</v>
      </c>
      <c r="B4287">
        <v>1</v>
      </c>
      <c r="C4287">
        <v>33</v>
      </c>
      <c r="D4287">
        <v>33</v>
      </c>
    </row>
    <row r="4288" spans="1:4" ht="15" x14ac:dyDescent="0.25">
      <c r="A4288" t="s">
        <v>11808</v>
      </c>
      <c r="B4288">
        <v>1</v>
      </c>
      <c r="C4288">
        <v>33</v>
      </c>
      <c r="D4288">
        <v>33</v>
      </c>
    </row>
    <row r="4289" spans="1:4" ht="15" x14ac:dyDescent="0.25">
      <c r="A4289" t="s">
        <v>11812</v>
      </c>
      <c r="B4289">
        <v>1</v>
      </c>
      <c r="C4289">
        <v>64</v>
      </c>
      <c r="D4289">
        <v>64</v>
      </c>
    </row>
    <row r="4290" spans="1:4" ht="15" x14ac:dyDescent="0.25">
      <c r="A4290" t="s">
        <v>11814</v>
      </c>
      <c r="B4290">
        <v>1</v>
      </c>
      <c r="C4290">
        <v>64</v>
      </c>
      <c r="D4290">
        <v>64</v>
      </c>
    </row>
    <row r="4291" spans="1:4" ht="15" x14ac:dyDescent="0.25">
      <c r="A4291" t="s">
        <v>11813</v>
      </c>
      <c r="B4291">
        <v>1</v>
      </c>
      <c r="C4291">
        <v>64</v>
      </c>
      <c r="D4291">
        <v>64</v>
      </c>
    </row>
    <row r="4292" spans="1:4" ht="15" x14ac:dyDescent="0.25">
      <c r="A4292" t="s">
        <v>11818</v>
      </c>
      <c r="B4292">
        <v>3</v>
      </c>
      <c r="C4292">
        <v>160</v>
      </c>
      <c r="D4292">
        <v>53.333333333333336</v>
      </c>
    </row>
    <row r="4293" spans="1:4" ht="15" x14ac:dyDescent="0.25">
      <c r="A4293" t="s">
        <v>11821</v>
      </c>
      <c r="B4293">
        <v>1</v>
      </c>
      <c r="C4293">
        <v>27</v>
      </c>
      <c r="D4293">
        <v>27</v>
      </c>
    </row>
    <row r="4294" spans="1:4" ht="15" x14ac:dyDescent="0.25">
      <c r="A4294" t="s">
        <v>11823</v>
      </c>
      <c r="B4294">
        <v>1</v>
      </c>
      <c r="C4294">
        <v>27</v>
      </c>
      <c r="D4294">
        <v>27</v>
      </c>
    </row>
    <row r="4295" spans="1:4" ht="15" x14ac:dyDescent="0.25">
      <c r="A4295" t="s">
        <v>11822</v>
      </c>
      <c r="B4295">
        <v>1</v>
      </c>
      <c r="C4295">
        <v>27</v>
      </c>
      <c r="D4295">
        <v>27</v>
      </c>
    </row>
    <row r="4296" spans="1:4" ht="15" x14ac:dyDescent="0.25">
      <c r="A4296" t="s">
        <v>11826</v>
      </c>
      <c r="B4296">
        <v>1</v>
      </c>
      <c r="C4296">
        <v>61</v>
      </c>
      <c r="D4296">
        <v>61</v>
      </c>
    </row>
    <row r="4297" spans="1:4" ht="15" x14ac:dyDescent="0.25">
      <c r="A4297" t="s">
        <v>11827</v>
      </c>
      <c r="B4297">
        <v>3</v>
      </c>
      <c r="C4297">
        <v>140</v>
      </c>
      <c r="D4297">
        <v>46.666666666666664</v>
      </c>
    </row>
    <row r="4298" spans="1:4" ht="15" x14ac:dyDescent="0.25">
      <c r="A4298" t="s">
        <v>11831</v>
      </c>
      <c r="B4298">
        <v>2</v>
      </c>
      <c r="C4298">
        <v>3149</v>
      </c>
      <c r="D4298">
        <v>1574.5</v>
      </c>
    </row>
    <row r="4299" spans="1:4" ht="15" x14ac:dyDescent="0.25">
      <c r="A4299" t="s">
        <v>11832</v>
      </c>
      <c r="B4299">
        <v>3</v>
      </c>
      <c r="C4299">
        <v>3015</v>
      </c>
      <c r="D4299">
        <v>1005</v>
      </c>
    </row>
    <row r="4300" spans="1:4" ht="15" x14ac:dyDescent="0.25">
      <c r="A4300" t="s">
        <v>11834</v>
      </c>
      <c r="B4300">
        <v>4</v>
      </c>
      <c r="C4300">
        <v>3475</v>
      </c>
      <c r="D4300">
        <v>868.75</v>
      </c>
    </row>
    <row r="4301" spans="1:4" ht="15" x14ac:dyDescent="0.25">
      <c r="A4301" t="s">
        <v>11833</v>
      </c>
      <c r="B4301">
        <v>4</v>
      </c>
      <c r="C4301">
        <v>5799</v>
      </c>
      <c r="D4301">
        <v>1449.75</v>
      </c>
    </row>
    <row r="4302" spans="1:4" ht="15" x14ac:dyDescent="0.25">
      <c r="A4302" t="s">
        <v>11839</v>
      </c>
      <c r="B4302">
        <v>1</v>
      </c>
      <c r="C4302">
        <v>38</v>
      </c>
      <c r="D4302">
        <v>38</v>
      </c>
    </row>
    <row r="4303" spans="1:4" ht="15" x14ac:dyDescent="0.25">
      <c r="A4303" t="s">
        <v>11840</v>
      </c>
      <c r="B4303">
        <v>1</v>
      </c>
      <c r="C4303">
        <v>38</v>
      </c>
      <c r="D4303">
        <v>38</v>
      </c>
    </row>
    <row r="4304" spans="1:4" ht="15" x14ac:dyDescent="0.25">
      <c r="A4304" t="s">
        <v>11841</v>
      </c>
      <c r="B4304">
        <v>1</v>
      </c>
      <c r="C4304">
        <v>38</v>
      </c>
      <c r="D4304">
        <v>38</v>
      </c>
    </row>
    <row r="4305" spans="1:4" ht="15" x14ac:dyDescent="0.25">
      <c r="A4305" t="s">
        <v>11845</v>
      </c>
      <c r="B4305">
        <v>1</v>
      </c>
      <c r="C4305">
        <v>1</v>
      </c>
      <c r="D4305">
        <v>1</v>
      </c>
    </row>
    <row r="4306" spans="1:4" ht="15" x14ac:dyDescent="0.25">
      <c r="A4306" t="s">
        <v>11846</v>
      </c>
      <c r="B4306">
        <v>2</v>
      </c>
      <c r="C4306">
        <v>28</v>
      </c>
      <c r="D4306">
        <v>14</v>
      </c>
    </row>
    <row r="4307" spans="1:4" ht="15" x14ac:dyDescent="0.25">
      <c r="A4307" t="s">
        <v>11848</v>
      </c>
      <c r="B4307">
        <v>1</v>
      </c>
      <c r="C4307">
        <v>1</v>
      </c>
      <c r="D4307">
        <v>1</v>
      </c>
    </row>
    <row r="4308" spans="1:4" ht="15" x14ac:dyDescent="0.25">
      <c r="A4308" t="s">
        <v>11847</v>
      </c>
      <c r="B4308">
        <v>1</v>
      </c>
      <c r="C4308">
        <v>1</v>
      </c>
      <c r="D4308">
        <v>1</v>
      </c>
    </row>
    <row r="4309" spans="1:4" ht="15" x14ac:dyDescent="0.25">
      <c r="A4309" t="s">
        <v>11852</v>
      </c>
      <c r="B4309">
        <v>1</v>
      </c>
      <c r="C4309">
        <v>28</v>
      </c>
      <c r="D4309">
        <v>28</v>
      </c>
    </row>
    <row r="4310" spans="1:4" ht="15" x14ac:dyDescent="0.25">
      <c r="A4310" t="s">
        <v>11853</v>
      </c>
      <c r="B4310">
        <v>2</v>
      </c>
      <c r="C4310">
        <v>56</v>
      </c>
      <c r="D4310">
        <v>28</v>
      </c>
    </row>
    <row r="4311" spans="1:4" ht="15" x14ac:dyDescent="0.25">
      <c r="A4311" t="s">
        <v>11854</v>
      </c>
      <c r="B4311">
        <v>1</v>
      </c>
      <c r="C4311">
        <v>28</v>
      </c>
      <c r="D4311">
        <v>28</v>
      </c>
    </row>
    <row r="4312" spans="1:4" ht="15" x14ac:dyDescent="0.25">
      <c r="A4312" t="s">
        <v>11859</v>
      </c>
      <c r="B4312">
        <v>1</v>
      </c>
      <c r="C4312">
        <v>828</v>
      </c>
      <c r="D4312">
        <v>828</v>
      </c>
    </row>
    <row r="4313" spans="1:4" ht="15" x14ac:dyDescent="0.25">
      <c r="A4313" t="s">
        <v>11860</v>
      </c>
      <c r="B4313">
        <v>2</v>
      </c>
      <c r="C4313">
        <v>866</v>
      </c>
      <c r="D4313">
        <v>433</v>
      </c>
    </row>
    <row r="4314" spans="1:4" ht="15" x14ac:dyDescent="0.25">
      <c r="A4314" t="s">
        <v>11861</v>
      </c>
      <c r="B4314">
        <v>2</v>
      </c>
      <c r="C4314">
        <v>921</v>
      </c>
      <c r="D4314">
        <v>460.5</v>
      </c>
    </row>
    <row r="4315" spans="1:4" ht="15" x14ac:dyDescent="0.25">
      <c r="A4315" t="s">
        <v>11866</v>
      </c>
      <c r="B4315">
        <v>1</v>
      </c>
      <c r="C4315">
        <v>11</v>
      </c>
      <c r="D4315">
        <v>11</v>
      </c>
    </row>
    <row r="4316" spans="1:4" ht="15" x14ac:dyDescent="0.25">
      <c r="A4316" t="s">
        <v>11867</v>
      </c>
      <c r="B4316">
        <v>1</v>
      </c>
      <c r="C4316">
        <v>11</v>
      </c>
      <c r="D4316">
        <v>11</v>
      </c>
    </row>
    <row r="4317" spans="1:4" ht="15" x14ac:dyDescent="0.25">
      <c r="A4317" t="s">
        <v>11871</v>
      </c>
      <c r="B4317">
        <v>3</v>
      </c>
      <c r="C4317">
        <v>87</v>
      </c>
      <c r="D4317">
        <v>29</v>
      </c>
    </row>
    <row r="4318" spans="1:4" ht="15" x14ac:dyDescent="0.25">
      <c r="A4318" t="s">
        <v>11872</v>
      </c>
      <c r="B4318">
        <v>1</v>
      </c>
      <c r="C4318">
        <v>10</v>
      </c>
      <c r="D4318">
        <v>10</v>
      </c>
    </row>
    <row r="4319" spans="1:4" ht="15" x14ac:dyDescent="0.25">
      <c r="A4319" t="s">
        <v>11876</v>
      </c>
      <c r="B4319">
        <v>2</v>
      </c>
      <c r="C4319">
        <v>73</v>
      </c>
      <c r="D4319">
        <v>36.5</v>
      </c>
    </row>
    <row r="4320" spans="1:4" ht="15" x14ac:dyDescent="0.25">
      <c r="A4320" t="s">
        <v>11880</v>
      </c>
      <c r="B4320">
        <v>1</v>
      </c>
      <c r="C4320">
        <v>23</v>
      </c>
      <c r="D4320">
        <v>23</v>
      </c>
    </row>
    <row r="4321" spans="1:4" ht="15" x14ac:dyDescent="0.25">
      <c r="A4321" t="s">
        <v>11881</v>
      </c>
      <c r="B4321">
        <v>3</v>
      </c>
      <c r="C4321">
        <v>59</v>
      </c>
      <c r="D4321">
        <v>19.666666666666668</v>
      </c>
    </row>
    <row r="4322" spans="1:4" ht="15" x14ac:dyDescent="0.25">
      <c r="A4322" t="s">
        <v>11891</v>
      </c>
      <c r="B4322">
        <v>3</v>
      </c>
      <c r="C4322">
        <v>211</v>
      </c>
      <c r="D4322">
        <v>70.333333333333329</v>
      </c>
    </row>
    <row r="4323" spans="1:4" ht="15" x14ac:dyDescent="0.25">
      <c r="A4323" t="s">
        <v>11892</v>
      </c>
      <c r="B4323">
        <v>1</v>
      </c>
      <c r="C4323">
        <v>39</v>
      </c>
      <c r="D4323">
        <v>39</v>
      </c>
    </row>
    <row r="4324" spans="1:4" ht="15" x14ac:dyDescent="0.25">
      <c r="A4324" t="s">
        <v>11893</v>
      </c>
      <c r="B4324">
        <v>6</v>
      </c>
      <c r="C4324">
        <v>413</v>
      </c>
      <c r="D4324">
        <v>68.833333333333329</v>
      </c>
    </row>
    <row r="4325" spans="1:4" ht="15" x14ac:dyDescent="0.25">
      <c r="A4325" t="s">
        <v>11897</v>
      </c>
      <c r="B4325">
        <v>3</v>
      </c>
      <c r="C4325">
        <v>2100</v>
      </c>
      <c r="D4325">
        <v>700</v>
      </c>
    </row>
    <row r="4326" spans="1:4" ht="15" x14ac:dyDescent="0.25">
      <c r="A4326" t="s">
        <v>11899</v>
      </c>
      <c r="B4326">
        <v>3</v>
      </c>
      <c r="C4326">
        <v>1719</v>
      </c>
      <c r="D4326">
        <v>573</v>
      </c>
    </row>
    <row r="4327" spans="1:4" ht="15" x14ac:dyDescent="0.25">
      <c r="A4327" t="s">
        <v>11898</v>
      </c>
      <c r="B4327">
        <v>3</v>
      </c>
      <c r="C4327">
        <v>1918</v>
      </c>
      <c r="D4327">
        <v>639.33333333333337</v>
      </c>
    </row>
    <row r="4328" spans="1:4" ht="15" x14ac:dyDescent="0.25">
      <c r="A4328" t="s">
        <v>11904</v>
      </c>
      <c r="B4328">
        <v>3</v>
      </c>
      <c r="C4328">
        <v>102</v>
      </c>
      <c r="D4328">
        <v>34</v>
      </c>
    </row>
    <row r="4329" spans="1:4" ht="15" x14ac:dyDescent="0.25">
      <c r="A4329" t="s">
        <v>11903</v>
      </c>
      <c r="B4329">
        <v>1</v>
      </c>
      <c r="C4329">
        <v>48</v>
      </c>
      <c r="D4329">
        <v>48</v>
      </c>
    </row>
    <row r="4330" spans="1:4" ht="15" x14ac:dyDescent="0.25">
      <c r="A4330" t="s">
        <v>11907</v>
      </c>
      <c r="B4330">
        <v>3</v>
      </c>
      <c r="C4330">
        <v>104</v>
      </c>
      <c r="D4330">
        <v>34.666666666666664</v>
      </c>
    </row>
    <row r="4331" spans="1:4" ht="15" x14ac:dyDescent="0.25">
      <c r="A4331" t="s">
        <v>11915</v>
      </c>
      <c r="B4331">
        <v>1</v>
      </c>
      <c r="C4331">
        <v>13</v>
      </c>
      <c r="D4331">
        <v>13</v>
      </c>
    </row>
    <row r="4332" spans="1:4" ht="15" x14ac:dyDescent="0.25">
      <c r="A4332" t="s">
        <v>11916</v>
      </c>
      <c r="B4332">
        <v>1</v>
      </c>
      <c r="C4332">
        <v>13</v>
      </c>
      <c r="D4332">
        <v>13</v>
      </c>
    </row>
    <row r="4333" spans="1:4" ht="15" x14ac:dyDescent="0.25">
      <c r="A4333" t="s">
        <v>11917</v>
      </c>
      <c r="B4333">
        <v>1</v>
      </c>
      <c r="C4333">
        <v>13</v>
      </c>
      <c r="D4333">
        <v>13</v>
      </c>
    </row>
    <row r="4334" spans="1:4" ht="15" x14ac:dyDescent="0.25">
      <c r="A4334" t="s">
        <v>11922</v>
      </c>
      <c r="B4334">
        <v>1</v>
      </c>
      <c r="C4334">
        <v>38</v>
      </c>
      <c r="D4334">
        <v>38</v>
      </c>
    </row>
    <row r="4335" spans="1:4" ht="15" x14ac:dyDescent="0.25">
      <c r="A4335" t="s">
        <v>11923</v>
      </c>
      <c r="B4335">
        <v>1</v>
      </c>
      <c r="C4335">
        <v>38</v>
      </c>
      <c r="D4335">
        <v>38</v>
      </c>
    </row>
    <row r="4336" spans="1:4" ht="15" x14ac:dyDescent="0.25">
      <c r="A4336" t="s">
        <v>11924</v>
      </c>
      <c r="B4336">
        <v>3</v>
      </c>
      <c r="C4336">
        <v>101</v>
      </c>
      <c r="D4336">
        <v>33.666666666666664</v>
      </c>
    </row>
    <row r="4337" spans="1:4" ht="15" x14ac:dyDescent="0.25">
      <c r="A4337" t="s">
        <v>11928</v>
      </c>
      <c r="B4337">
        <v>3</v>
      </c>
      <c r="C4337">
        <v>143</v>
      </c>
      <c r="D4337">
        <v>47.666666666666664</v>
      </c>
    </row>
    <row r="4338" spans="1:4" ht="15" x14ac:dyDescent="0.25">
      <c r="A4338" t="s">
        <v>11930</v>
      </c>
      <c r="B4338">
        <v>1</v>
      </c>
      <c r="C4338">
        <v>41</v>
      </c>
      <c r="D4338">
        <v>41</v>
      </c>
    </row>
    <row r="4339" spans="1:4" ht="15" x14ac:dyDescent="0.25">
      <c r="A4339" t="s">
        <v>11929</v>
      </c>
      <c r="B4339">
        <v>1</v>
      </c>
      <c r="C4339">
        <v>41</v>
      </c>
      <c r="D4339">
        <v>41</v>
      </c>
    </row>
    <row r="4340" spans="1:4" ht="15" x14ac:dyDescent="0.25">
      <c r="A4340" t="s">
        <v>11934</v>
      </c>
      <c r="B4340">
        <v>2</v>
      </c>
      <c r="C4340">
        <v>27</v>
      </c>
      <c r="D4340">
        <v>13.5</v>
      </c>
    </row>
    <row r="4341" spans="1:4" ht="15" x14ac:dyDescent="0.25">
      <c r="A4341" t="s">
        <v>11935</v>
      </c>
      <c r="B4341">
        <v>1</v>
      </c>
      <c r="C4341">
        <v>18</v>
      </c>
      <c r="D4341">
        <v>18</v>
      </c>
    </row>
    <row r="4342" spans="1:4" ht="15" x14ac:dyDescent="0.25">
      <c r="A4342" t="s">
        <v>11937</v>
      </c>
      <c r="B4342">
        <v>2</v>
      </c>
      <c r="C4342">
        <v>71</v>
      </c>
      <c r="D4342">
        <v>35.5</v>
      </c>
    </row>
    <row r="4343" spans="1:4" ht="15" x14ac:dyDescent="0.25">
      <c r="A4343" t="s">
        <v>11938</v>
      </c>
      <c r="B4343">
        <v>1</v>
      </c>
      <c r="C4343">
        <v>18</v>
      </c>
      <c r="D4343">
        <v>18</v>
      </c>
    </row>
    <row r="4344" spans="1:4" ht="15" x14ac:dyDescent="0.25">
      <c r="A4344" t="s">
        <v>11936</v>
      </c>
      <c r="B4344">
        <v>1</v>
      </c>
      <c r="C4344">
        <v>18</v>
      </c>
      <c r="D4344">
        <v>18</v>
      </c>
    </row>
    <row r="4345" spans="1:4" ht="15" x14ac:dyDescent="0.25">
      <c r="A4345" t="s">
        <v>11942</v>
      </c>
      <c r="B4345">
        <v>1</v>
      </c>
      <c r="C4345">
        <v>1</v>
      </c>
      <c r="D4345">
        <v>1</v>
      </c>
    </row>
    <row r="4346" spans="1:4" ht="15" x14ac:dyDescent="0.25">
      <c r="A4346" t="s">
        <v>11944</v>
      </c>
      <c r="B4346">
        <v>1</v>
      </c>
      <c r="C4346">
        <v>1</v>
      </c>
      <c r="D4346">
        <v>1</v>
      </c>
    </row>
    <row r="4347" spans="1:4" ht="15" x14ac:dyDescent="0.25">
      <c r="A4347" t="s">
        <v>11945</v>
      </c>
      <c r="B4347">
        <v>1</v>
      </c>
      <c r="C4347">
        <v>1</v>
      </c>
      <c r="D4347">
        <v>1</v>
      </c>
    </row>
    <row r="4348" spans="1:4" ht="15" x14ac:dyDescent="0.25">
      <c r="A4348" t="s">
        <v>11943</v>
      </c>
      <c r="B4348">
        <v>3</v>
      </c>
      <c r="C4348">
        <v>100</v>
      </c>
      <c r="D4348">
        <v>33.333333333333336</v>
      </c>
    </row>
    <row r="4349" spans="1:4" ht="15" x14ac:dyDescent="0.25">
      <c r="A4349" t="s">
        <v>11947</v>
      </c>
      <c r="B4349">
        <v>1</v>
      </c>
      <c r="C4349">
        <v>51</v>
      </c>
      <c r="D4349">
        <v>51</v>
      </c>
    </row>
    <row r="4350" spans="1:4" ht="15" x14ac:dyDescent="0.25">
      <c r="A4350" t="s">
        <v>11949</v>
      </c>
      <c r="B4350">
        <v>1</v>
      </c>
      <c r="C4350">
        <v>51</v>
      </c>
      <c r="D4350">
        <v>51</v>
      </c>
    </row>
    <row r="4351" spans="1:4" ht="15" x14ac:dyDescent="0.25">
      <c r="A4351" t="s">
        <v>11948</v>
      </c>
      <c r="B4351">
        <v>7</v>
      </c>
      <c r="C4351">
        <v>207</v>
      </c>
      <c r="D4351">
        <v>29.571428571428573</v>
      </c>
    </row>
    <row r="4352" spans="1:4" ht="15" x14ac:dyDescent="0.25">
      <c r="A4352" t="s">
        <v>11952</v>
      </c>
      <c r="B4352">
        <v>2</v>
      </c>
      <c r="C4352">
        <v>47</v>
      </c>
      <c r="D4352">
        <v>23.5</v>
      </c>
    </row>
    <row r="4353" spans="1:4" ht="15" x14ac:dyDescent="0.25">
      <c r="A4353" t="s">
        <v>11953</v>
      </c>
      <c r="B4353">
        <v>1</v>
      </c>
      <c r="C4353">
        <v>23</v>
      </c>
      <c r="D4353">
        <v>23</v>
      </c>
    </row>
    <row r="4354" spans="1:4" ht="15" x14ac:dyDescent="0.25">
      <c r="A4354" t="s">
        <v>11954</v>
      </c>
      <c r="B4354">
        <v>1</v>
      </c>
      <c r="C4354">
        <v>23</v>
      </c>
      <c r="D4354">
        <v>23</v>
      </c>
    </row>
    <row r="4355" spans="1:4" ht="15" x14ac:dyDescent="0.25">
      <c r="A4355" t="s">
        <v>11955</v>
      </c>
      <c r="B4355">
        <v>1</v>
      </c>
      <c r="C4355">
        <v>23</v>
      </c>
      <c r="D4355">
        <v>23</v>
      </c>
    </row>
    <row r="4356" spans="1:4" ht="15" x14ac:dyDescent="0.25">
      <c r="A4356" t="s">
        <v>11959</v>
      </c>
      <c r="B4356">
        <v>1</v>
      </c>
      <c r="C4356">
        <v>67</v>
      </c>
      <c r="D4356">
        <v>67</v>
      </c>
    </row>
    <row r="4357" spans="1:4" ht="15" x14ac:dyDescent="0.25">
      <c r="A4357" t="s">
        <v>11960</v>
      </c>
      <c r="B4357">
        <v>1</v>
      </c>
      <c r="C4357">
        <v>67</v>
      </c>
      <c r="D4357">
        <v>67</v>
      </c>
    </row>
    <row r="4358" spans="1:4" ht="15" x14ac:dyDescent="0.25">
      <c r="A4358" t="s">
        <v>11969</v>
      </c>
      <c r="B4358">
        <v>1</v>
      </c>
      <c r="C4358">
        <v>34</v>
      </c>
      <c r="D4358">
        <v>34</v>
      </c>
    </row>
    <row r="4359" spans="1:4" ht="15" x14ac:dyDescent="0.25">
      <c r="A4359" t="s">
        <v>11970</v>
      </c>
      <c r="B4359">
        <v>2</v>
      </c>
      <c r="C4359">
        <v>67</v>
      </c>
      <c r="D4359">
        <v>33.5</v>
      </c>
    </row>
    <row r="4360" spans="1:4" ht="15" x14ac:dyDescent="0.25">
      <c r="A4360" t="s">
        <v>11976</v>
      </c>
      <c r="B4360">
        <v>1</v>
      </c>
      <c r="C4360">
        <v>114</v>
      </c>
      <c r="D4360">
        <v>114</v>
      </c>
    </row>
    <row r="4361" spans="1:4" ht="15" x14ac:dyDescent="0.25">
      <c r="A4361" t="s">
        <v>11977</v>
      </c>
      <c r="B4361">
        <v>1</v>
      </c>
      <c r="C4361">
        <v>114</v>
      </c>
      <c r="D4361">
        <v>114</v>
      </c>
    </row>
    <row r="4362" spans="1:4" ht="15" x14ac:dyDescent="0.25">
      <c r="A4362" t="s">
        <v>11975</v>
      </c>
      <c r="B4362">
        <v>1</v>
      </c>
      <c r="C4362">
        <v>114</v>
      </c>
      <c r="D4362">
        <v>114</v>
      </c>
    </row>
    <row r="4363" spans="1:4" ht="15" x14ac:dyDescent="0.25">
      <c r="A4363" t="s">
        <v>11978</v>
      </c>
      <c r="B4363">
        <v>5</v>
      </c>
      <c r="C4363">
        <v>10055</v>
      </c>
      <c r="D4363">
        <v>2011</v>
      </c>
    </row>
    <row r="4364" spans="1:4" ht="15" x14ac:dyDescent="0.25">
      <c r="A4364" t="s">
        <v>11985</v>
      </c>
      <c r="B4364">
        <v>1</v>
      </c>
      <c r="C4364">
        <v>46</v>
      </c>
      <c r="D4364">
        <v>46</v>
      </c>
    </row>
    <row r="4365" spans="1:4" ht="15" x14ac:dyDescent="0.25">
      <c r="A4365" t="s">
        <v>11984</v>
      </c>
      <c r="B4365">
        <v>1</v>
      </c>
      <c r="C4365">
        <v>46</v>
      </c>
      <c r="D4365">
        <v>46</v>
      </c>
    </row>
    <row r="4366" spans="1:4" ht="15" x14ac:dyDescent="0.25">
      <c r="A4366" t="s">
        <v>11988</v>
      </c>
      <c r="B4366">
        <v>1</v>
      </c>
      <c r="C4366">
        <v>140</v>
      </c>
      <c r="D4366">
        <v>140</v>
      </c>
    </row>
    <row r="4367" spans="1:4" ht="15" x14ac:dyDescent="0.25">
      <c r="A4367" t="s">
        <v>11992</v>
      </c>
      <c r="B4367">
        <v>1</v>
      </c>
      <c r="C4367">
        <v>21</v>
      </c>
      <c r="D4367">
        <v>21</v>
      </c>
    </row>
    <row r="4368" spans="1:4" ht="15" x14ac:dyDescent="0.25">
      <c r="A4368" t="s">
        <v>11994</v>
      </c>
      <c r="B4368">
        <v>1</v>
      </c>
      <c r="C4368">
        <v>21</v>
      </c>
      <c r="D4368">
        <v>21</v>
      </c>
    </row>
    <row r="4369" spans="1:4" ht="15" x14ac:dyDescent="0.25">
      <c r="A4369" t="s">
        <v>11993</v>
      </c>
      <c r="B4369">
        <v>1</v>
      </c>
      <c r="C4369">
        <v>21</v>
      </c>
      <c r="D4369">
        <v>21</v>
      </c>
    </row>
    <row r="4370" spans="1:4" ht="15" x14ac:dyDescent="0.25">
      <c r="A4370" t="s">
        <v>11998</v>
      </c>
      <c r="B4370">
        <v>1</v>
      </c>
      <c r="C4370">
        <v>73</v>
      </c>
      <c r="D4370">
        <v>73</v>
      </c>
    </row>
    <row r="4371" spans="1:4" ht="15" x14ac:dyDescent="0.25">
      <c r="A4371" t="s">
        <v>12002</v>
      </c>
      <c r="B4371">
        <v>5</v>
      </c>
      <c r="C4371">
        <v>241</v>
      </c>
      <c r="D4371">
        <v>48.2</v>
      </c>
    </row>
    <row r="4372" spans="1:4" ht="15" x14ac:dyDescent="0.25">
      <c r="A4372" t="s">
        <v>12008</v>
      </c>
      <c r="B4372">
        <v>1</v>
      </c>
      <c r="C4372">
        <v>47</v>
      </c>
      <c r="D4372">
        <v>47</v>
      </c>
    </row>
    <row r="4373" spans="1:4" ht="15" x14ac:dyDescent="0.25">
      <c r="A4373" t="s">
        <v>12009</v>
      </c>
      <c r="B4373">
        <v>1</v>
      </c>
      <c r="C4373">
        <v>47</v>
      </c>
      <c r="D4373">
        <v>47</v>
      </c>
    </row>
    <row r="4374" spans="1:4" ht="15" x14ac:dyDescent="0.25">
      <c r="A4374" t="s">
        <v>12013</v>
      </c>
      <c r="B4374">
        <v>6</v>
      </c>
      <c r="C4374">
        <v>579</v>
      </c>
      <c r="D4374">
        <v>96.5</v>
      </c>
    </row>
    <row r="4375" spans="1:4" ht="15" x14ac:dyDescent="0.25">
      <c r="A4375" t="s">
        <v>12014</v>
      </c>
      <c r="B4375">
        <v>3</v>
      </c>
      <c r="C4375">
        <v>121</v>
      </c>
      <c r="D4375">
        <v>40.333333333333336</v>
      </c>
    </row>
    <row r="4376" spans="1:4" ht="15" x14ac:dyDescent="0.25">
      <c r="A4376" t="s">
        <v>12022</v>
      </c>
      <c r="B4376">
        <v>1</v>
      </c>
      <c r="C4376">
        <v>29</v>
      </c>
      <c r="D4376">
        <v>29</v>
      </c>
    </row>
    <row r="4377" spans="1:4" ht="15" x14ac:dyDescent="0.25">
      <c r="A4377" t="s">
        <v>12023</v>
      </c>
      <c r="B4377">
        <v>2</v>
      </c>
      <c r="C4377">
        <v>50</v>
      </c>
      <c r="D4377">
        <v>25</v>
      </c>
    </row>
    <row r="4378" spans="1:4" ht="15" x14ac:dyDescent="0.25">
      <c r="A4378" t="s">
        <v>12027</v>
      </c>
      <c r="B4378">
        <v>1</v>
      </c>
      <c r="C4378">
        <v>34</v>
      </c>
      <c r="D4378">
        <v>34</v>
      </c>
    </row>
    <row r="4379" spans="1:4" ht="15" x14ac:dyDescent="0.25">
      <c r="A4379" t="s">
        <v>12028</v>
      </c>
      <c r="B4379">
        <v>1</v>
      </c>
      <c r="C4379">
        <v>34</v>
      </c>
      <c r="D4379">
        <v>34</v>
      </c>
    </row>
    <row r="4380" spans="1:4" ht="15" x14ac:dyDescent="0.25">
      <c r="A4380" t="s">
        <v>12032</v>
      </c>
      <c r="B4380">
        <v>1</v>
      </c>
      <c r="C4380">
        <v>7</v>
      </c>
      <c r="D4380">
        <v>7</v>
      </c>
    </row>
    <row r="4381" spans="1:4" ht="15" x14ac:dyDescent="0.25">
      <c r="A4381" t="s">
        <v>12033</v>
      </c>
      <c r="B4381">
        <v>1</v>
      </c>
      <c r="C4381">
        <v>7</v>
      </c>
      <c r="D4381">
        <v>7</v>
      </c>
    </row>
    <row r="4382" spans="1:4" ht="15" x14ac:dyDescent="0.25">
      <c r="A4382" t="s">
        <v>12035</v>
      </c>
      <c r="B4382">
        <v>1</v>
      </c>
      <c r="C4382">
        <v>7</v>
      </c>
      <c r="D4382">
        <v>7</v>
      </c>
    </row>
    <row r="4383" spans="1:4" ht="15" x14ac:dyDescent="0.25">
      <c r="A4383" t="s">
        <v>12034</v>
      </c>
      <c r="B4383">
        <v>1</v>
      </c>
      <c r="C4383">
        <v>7</v>
      </c>
      <c r="D4383">
        <v>7</v>
      </c>
    </row>
    <row r="4384" spans="1:4" ht="15" x14ac:dyDescent="0.25">
      <c r="A4384" t="s">
        <v>12041</v>
      </c>
      <c r="B4384">
        <v>1</v>
      </c>
      <c r="C4384">
        <v>15</v>
      </c>
      <c r="D4384">
        <v>15</v>
      </c>
    </row>
    <row r="4385" spans="1:4" ht="15" x14ac:dyDescent="0.25">
      <c r="A4385" t="s">
        <v>12042</v>
      </c>
      <c r="B4385">
        <v>1</v>
      </c>
      <c r="C4385">
        <v>15</v>
      </c>
      <c r="D4385">
        <v>15</v>
      </c>
    </row>
    <row r="4386" spans="1:4" ht="15" x14ac:dyDescent="0.25">
      <c r="A4386" t="s">
        <v>12044</v>
      </c>
      <c r="B4386">
        <v>2</v>
      </c>
      <c r="C4386">
        <v>27</v>
      </c>
      <c r="D4386">
        <v>13.5</v>
      </c>
    </row>
    <row r="4387" spans="1:4" ht="15" x14ac:dyDescent="0.25">
      <c r="A4387" t="s">
        <v>12043</v>
      </c>
      <c r="B4387">
        <v>4</v>
      </c>
      <c r="C4387">
        <v>226</v>
      </c>
      <c r="D4387">
        <v>56.5</v>
      </c>
    </row>
    <row r="4388" spans="1:4" ht="15" x14ac:dyDescent="0.25">
      <c r="A4388" t="s">
        <v>12047</v>
      </c>
      <c r="B4388">
        <v>14</v>
      </c>
      <c r="C4388">
        <v>510</v>
      </c>
      <c r="D4388">
        <v>36.428571428571431</v>
      </c>
    </row>
    <row r="4389" spans="1:4" ht="15" x14ac:dyDescent="0.25">
      <c r="A4389" t="s">
        <v>12057</v>
      </c>
      <c r="B4389">
        <v>1</v>
      </c>
      <c r="C4389">
        <v>70</v>
      </c>
      <c r="D4389">
        <v>70</v>
      </c>
    </row>
    <row r="4390" spans="1:4" ht="15" x14ac:dyDescent="0.25">
      <c r="A4390" t="s">
        <v>12059</v>
      </c>
      <c r="B4390">
        <v>1</v>
      </c>
      <c r="C4390">
        <v>70</v>
      </c>
      <c r="D4390">
        <v>70</v>
      </c>
    </row>
    <row r="4391" spans="1:4" ht="15" x14ac:dyDescent="0.25">
      <c r="A4391" t="s">
        <v>12058</v>
      </c>
      <c r="B4391">
        <v>1</v>
      </c>
      <c r="C4391">
        <v>70</v>
      </c>
      <c r="D4391">
        <v>70</v>
      </c>
    </row>
    <row r="4392" spans="1:4" ht="15" x14ac:dyDescent="0.25">
      <c r="A4392" t="s">
        <v>12064</v>
      </c>
      <c r="B4392">
        <v>4</v>
      </c>
      <c r="C4392">
        <v>102</v>
      </c>
      <c r="D4392">
        <v>25.5</v>
      </c>
    </row>
    <row r="4393" spans="1:4" ht="15" x14ac:dyDescent="0.25">
      <c r="A4393" t="s">
        <v>12068</v>
      </c>
      <c r="B4393">
        <v>1</v>
      </c>
      <c r="C4393">
        <v>31</v>
      </c>
      <c r="D4393">
        <v>31</v>
      </c>
    </row>
    <row r="4394" spans="1:4" ht="15" x14ac:dyDescent="0.25">
      <c r="A4394" t="s">
        <v>12070</v>
      </c>
      <c r="B4394">
        <v>1</v>
      </c>
      <c r="C4394">
        <v>31</v>
      </c>
      <c r="D4394">
        <v>31</v>
      </c>
    </row>
    <row r="4395" spans="1:4" ht="15" x14ac:dyDescent="0.25">
      <c r="A4395" t="s">
        <v>12071</v>
      </c>
      <c r="B4395">
        <v>2</v>
      </c>
      <c r="C4395">
        <v>40</v>
      </c>
      <c r="D4395">
        <v>20</v>
      </c>
    </row>
    <row r="4396" spans="1:4" ht="15" x14ac:dyDescent="0.25">
      <c r="A4396" t="s">
        <v>12069</v>
      </c>
      <c r="B4396">
        <v>1</v>
      </c>
      <c r="C4396">
        <v>31</v>
      </c>
      <c r="D4396">
        <v>31</v>
      </c>
    </row>
    <row r="4397" spans="1:4" ht="15" x14ac:dyDescent="0.25">
      <c r="A4397" t="s">
        <v>12076</v>
      </c>
      <c r="B4397">
        <v>1</v>
      </c>
      <c r="C4397">
        <v>64</v>
      </c>
      <c r="D4397">
        <v>64</v>
      </c>
    </row>
    <row r="4398" spans="1:4" ht="15" x14ac:dyDescent="0.25">
      <c r="A4398" t="s">
        <v>12075</v>
      </c>
      <c r="B4398">
        <v>1</v>
      </c>
      <c r="C4398">
        <v>64</v>
      </c>
      <c r="D4398">
        <v>64</v>
      </c>
    </row>
    <row r="4399" spans="1:4" ht="15" x14ac:dyDescent="0.25">
      <c r="A4399" t="s">
        <v>12080</v>
      </c>
      <c r="B4399">
        <v>1</v>
      </c>
      <c r="C4399">
        <v>61</v>
      </c>
      <c r="D4399">
        <v>61</v>
      </c>
    </row>
    <row r="4400" spans="1:4" ht="15" x14ac:dyDescent="0.25">
      <c r="A4400" t="s">
        <v>12081</v>
      </c>
      <c r="B4400">
        <v>1</v>
      </c>
      <c r="C4400">
        <v>61</v>
      </c>
      <c r="D4400">
        <v>61</v>
      </c>
    </row>
    <row r="4401" spans="1:4" ht="15" x14ac:dyDescent="0.25">
      <c r="A4401" t="s">
        <v>12085</v>
      </c>
      <c r="B4401">
        <v>2</v>
      </c>
      <c r="C4401">
        <v>58</v>
      </c>
      <c r="D4401">
        <v>29</v>
      </c>
    </row>
    <row r="4402" spans="1:4" ht="15" x14ac:dyDescent="0.25">
      <c r="A4402" t="s">
        <v>12086</v>
      </c>
      <c r="B4402">
        <v>1</v>
      </c>
      <c r="C4402">
        <v>33</v>
      </c>
      <c r="D4402">
        <v>33</v>
      </c>
    </row>
    <row r="4403" spans="1:4" ht="15" x14ac:dyDescent="0.25">
      <c r="A4403" t="s">
        <v>12090</v>
      </c>
      <c r="B4403">
        <v>1</v>
      </c>
      <c r="C4403">
        <v>142</v>
      </c>
      <c r="D4403">
        <v>142</v>
      </c>
    </row>
    <row r="4404" spans="1:4" ht="15" x14ac:dyDescent="0.25">
      <c r="A4404" t="s">
        <v>12091</v>
      </c>
      <c r="B4404">
        <v>1</v>
      </c>
      <c r="C4404">
        <v>142</v>
      </c>
      <c r="D4404">
        <v>142</v>
      </c>
    </row>
    <row r="4405" spans="1:4" ht="15" x14ac:dyDescent="0.25">
      <c r="A4405" t="s">
        <v>12092</v>
      </c>
      <c r="B4405">
        <v>1</v>
      </c>
      <c r="C4405">
        <v>142</v>
      </c>
      <c r="D4405">
        <v>142</v>
      </c>
    </row>
    <row r="4406" spans="1:4" ht="15" x14ac:dyDescent="0.25">
      <c r="A4406" t="s">
        <v>12095</v>
      </c>
      <c r="B4406">
        <v>1</v>
      </c>
      <c r="C4406">
        <v>25</v>
      </c>
      <c r="D4406">
        <v>25</v>
      </c>
    </row>
    <row r="4407" spans="1:4" ht="15" x14ac:dyDescent="0.25">
      <c r="A4407" t="s">
        <v>12096</v>
      </c>
      <c r="B4407">
        <v>1</v>
      </c>
      <c r="C4407">
        <v>25</v>
      </c>
      <c r="D4407">
        <v>25</v>
      </c>
    </row>
    <row r="4408" spans="1:4" ht="15" x14ac:dyDescent="0.25">
      <c r="A4408" t="s">
        <v>12097</v>
      </c>
      <c r="B4408">
        <v>4</v>
      </c>
      <c r="C4408">
        <v>114</v>
      </c>
      <c r="D4408">
        <v>28.5</v>
      </c>
    </row>
    <row r="4409" spans="1:4" ht="15" x14ac:dyDescent="0.25">
      <c r="A4409" t="s">
        <v>12100</v>
      </c>
      <c r="B4409">
        <v>10</v>
      </c>
      <c r="C4409">
        <v>1213</v>
      </c>
      <c r="D4409">
        <v>121.3</v>
      </c>
    </row>
    <row r="4410" spans="1:4" ht="15" x14ac:dyDescent="0.25">
      <c r="A4410" t="s">
        <v>12101</v>
      </c>
      <c r="B4410">
        <v>2</v>
      </c>
      <c r="C4410">
        <v>251</v>
      </c>
      <c r="D4410">
        <v>125.5</v>
      </c>
    </row>
    <row r="4411" spans="1:4" ht="15" x14ac:dyDescent="0.25">
      <c r="A4411" t="s">
        <v>12106</v>
      </c>
      <c r="B4411">
        <v>1</v>
      </c>
      <c r="C4411">
        <v>39</v>
      </c>
      <c r="D4411">
        <v>39</v>
      </c>
    </row>
    <row r="4412" spans="1:4" ht="15" x14ac:dyDescent="0.25">
      <c r="A4412" t="s">
        <v>12107</v>
      </c>
      <c r="B4412">
        <v>1</v>
      </c>
      <c r="C4412">
        <v>39</v>
      </c>
      <c r="D4412">
        <v>39</v>
      </c>
    </row>
    <row r="4413" spans="1:4" ht="15" x14ac:dyDescent="0.25">
      <c r="A4413" t="s">
        <v>12109</v>
      </c>
      <c r="B4413">
        <v>4</v>
      </c>
      <c r="C4413">
        <v>135</v>
      </c>
      <c r="D4413">
        <v>33.75</v>
      </c>
    </row>
    <row r="4414" spans="1:4" ht="15" x14ac:dyDescent="0.25">
      <c r="A4414" t="s">
        <v>12108</v>
      </c>
      <c r="B4414">
        <v>1</v>
      </c>
      <c r="C4414">
        <v>39</v>
      </c>
      <c r="D4414">
        <v>39</v>
      </c>
    </row>
    <row r="4415" spans="1:4" ht="15" x14ac:dyDescent="0.25">
      <c r="A4415" t="s">
        <v>12112</v>
      </c>
      <c r="B4415">
        <v>1</v>
      </c>
      <c r="C4415">
        <v>35</v>
      </c>
      <c r="D4415">
        <v>35</v>
      </c>
    </row>
    <row r="4416" spans="1:4" ht="15" x14ac:dyDescent="0.25">
      <c r="A4416" t="s">
        <v>12115</v>
      </c>
      <c r="B4416">
        <v>1</v>
      </c>
      <c r="C4416">
        <v>80</v>
      </c>
      <c r="D4416">
        <v>80</v>
      </c>
    </row>
    <row r="4417" spans="1:4" ht="15" x14ac:dyDescent="0.25">
      <c r="A4417" t="s">
        <v>12116</v>
      </c>
      <c r="B4417">
        <v>1</v>
      </c>
      <c r="C4417">
        <v>80</v>
      </c>
      <c r="D4417">
        <v>80</v>
      </c>
    </row>
    <row r="4418" spans="1:4" ht="15" x14ac:dyDescent="0.25">
      <c r="A4418" t="s">
        <v>12122</v>
      </c>
      <c r="B4418">
        <v>2</v>
      </c>
      <c r="C4418">
        <v>50</v>
      </c>
      <c r="D4418">
        <v>25</v>
      </c>
    </row>
    <row r="4419" spans="1:4" ht="15" x14ac:dyDescent="0.25">
      <c r="A4419" t="s">
        <v>12123</v>
      </c>
      <c r="B4419">
        <v>3</v>
      </c>
      <c r="C4419">
        <v>193</v>
      </c>
      <c r="D4419">
        <v>64.333333333333329</v>
      </c>
    </row>
    <row r="4420" spans="1:4" ht="15" x14ac:dyDescent="0.25">
      <c r="A4420" t="s">
        <v>12128</v>
      </c>
      <c r="B4420">
        <v>2</v>
      </c>
      <c r="C4420">
        <v>269</v>
      </c>
      <c r="D4420">
        <v>134.5</v>
      </c>
    </row>
    <row r="4421" spans="1:4" ht="15" x14ac:dyDescent="0.25">
      <c r="A4421" t="s">
        <v>12129</v>
      </c>
      <c r="B4421">
        <v>1</v>
      </c>
      <c r="C4421">
        <v>199</v>
      </c>
      <c r="D4421">
        <v>199</v>
      </c>
    </row>
    <row r="4422" spans="1:4" ht="15" x14ac:dyDescent="0.25">
      <c r="A4422" t="s">
        <v>12127</v>
      </c>
      <c r="B4422">
        <v>1</v>
      </c>
      <c r="C4422">
        <v>199</v>
      </c>
      <c r="D4422">
        <v>199</v>
      </c>
    </row>
    <row r="4423" spans="1:4" ht="15" x14ac:dyDescent="0.25">
      <c r="A4423" t="s">
        <v>12133</v>
      </c>
      <c r="B4423">
        <v>1</v>
      </c>
      <c r="C4423">
        <v>43</v>
      </c>
      <c r="D4423">
        <v>43</v>
      </c>
    </row>
    <row r="4424" spans="1:4" ht="15" x14ac:dyDescent="0.25">
      <c r="A4424" t="s">
        <v>12135</v>
      </c>
      <c r="B4424">
        <v>1</v>
      </c>
      <c r="C4424">
        <v>43</v>
      </c>
      <c r="D4424">
        <v>43</v>
      </c>
    </row>
    <row r="4425" spans="1:4" ht="15" x14ac:dyDescent="0.25">
      <c r="A4425" t="s">
        <v>12136</v>
      </c>
      <c r="B4425">
        <v>1</v>
      </c>
      <c r="C4425">
        <v>43</v>
      </c>
      <c r="D4425">
        <v>43</v>
      </c>
    </row>
    <row r="4426" spans="1:4" ht="15" x14ac:dyDescent="0.25">
      <c r="A4426" t="s">
        <v>12134</v>
      </c>
      <c r="B4426">
        <v>2</v>
      </c>
      <c r="C4426">
        <v>61</v>
      </c>
      <c r="D4426">
        <v>30.5</v>
      </c>
    </row>
    <row r="4427" spans="1:4" ht="15" x14ac:dyDescent="0.25">
      <c r="A4427" t="s">
        <v>12142</v>
      </c>
      <c r="B4427">
        <v>1</v>
      </c>
      <c r="C4427">
        <v>20</v>
      </c>
      <c r="D4427">
        <v>20</v>
      </c>
    </row>
    <row r="4428" spans="1:4" ht="15" x14ac:dyDescent="0.25">
      <c r="A4428" t="s">
        <v>12143</v>
      </c>
      <c r="B4428">
        <v>1</v>
      </c>
      <c r="C4428">
        <v>20</v>
      </c>
      <c r="D4428">
        <v>20</v>
      </c>
    </row>
    <row r="4429" spans="1:4" ht="15" x14ac:dyDescent="0.25">
      <c r="A4429" t="s">
        <v>12144</v>
      </c>
      <c r="B4429">
        <v>2</v>
      </c>
      <c r="C4429">
        <v>41</v>
      </c>
      <c r="D4429">
        <v>20.5</v>
      </c>
    </row>
    <row r="4430" spans="1:4" ht="15" x14ac:dyDescent="0.25">
      <c r="A4430" t="s">
        <v>12149</v>
      </c>
      <c r="B4430">
        <v>1</v>
      </c>
      <c r="C4430">
        <v>97</v>
      </c>
      <c r="D4430">
        <v>97</v>
      </c>
    </row>
    <row r="4431" spans="1:4" ht="15" x14ac:dyDescent="0.25">
      <c r="A4431" t="s">
        <v>12150</v>
      </c>
      <c r="B4431">
        <v>1</v>
      </c>
      <c r="C4431">
        <v>97</v>
      </c>
      <c r="D4431">
        <v>97</v>
      </c>
    </row>
    <row r="4432" spans="1:4" ht="15" x14ac:dyDescent="0.25">
      <c r="A4432" t="s">
        <v>12152</v>
      </c>
      <c r="B4432">
        <v>1</v>
      </c>
      <c r="C4432">
        <v>97</v>
      </c>
      <c r="D4432">
        <v>97</v>
      </c>
    </row>
    <row r="4433" spans="1:4" ht="15" x14ac:dyDescent="0.25">
      <c r="A4433" t="s">
        <v>12153</v>
      </c>
      <c r="B4433">
        <v>1</v>
      </c>
      <c r="C4433">
        <v>97</v>
      </c>
      <c r="D4433">
        <v>97</v>
      </c>
    </row>
    <row r="4434" spans="1:4" ht="15" x14ac:dyDescent="0.25">
      <c r="A4434" t="s">
        <v>12151</v>
      </c>
      <c r="B4434">
        <v>1</v>
      </c>
      <c r="C4434">
        <v>97</v>
      </c>
      <c r="D4434">
        <v>97</v>
      </c>
    </row>
    <row r="4435" spans="1:4" ht="15" x14ac:dyDescent="0.25">
      <c r="A4435" t="s">
        <v>12156</v>
      </c>
      <c r="B4435">
        <v>3</v>
      </c>
      <c r="C4435">
        <v>533</v>
      </c>
      <c r="D4435">
        <v>177.66666666666666</v>
      </c>
    </row>
    <row r="4436" spans="1:4" ht="15" x14ac:dyDescent="0.25">
      <c r="A4436" t="s">
        <v>12157</v>
      </c>
      <c r="B4436">
        <v>1</v>
      </c>
      <c r="C4436">
        <v>291</v>
      </c>
      <c r="D4436">
        <v>291</v>
      </c>
    </row>
    <row r="4437" spans="1:4" ht="15" x14ac:dyDescent="0.25">
      <c r="A4437" t="s">
        <v>12158</v>
      </c>
      <c r="B4437">
        <v>1</v>
      </c>
      <c r="C4437">
        <v>291</v>
      </c>
      <c r="D4437">
        <v>291</v>
      </c>
    </row>
    <row r="4438" spans="1:4" ht="15" x14ac:dyDescent="0.25">
      <c r="A4438" t="s">
        <v>12162</v>
      </c>
      <c r="B4438">
        <v>1</v>
      </c>
      <c r="C4438">
        <v>47</v>
      </c>
      <c r="D4438">
        <v>47</v>
      </c>
    </row>
    <row r="4439" spans="1:4" ht="15" x14ac:dyDescent="0.25">
      <c r="A4439" t="s">
        <v>12166</v>
      </c>
      <c r="B4439">
        <v>1</v>
      </c>
      <c r="C4439">
        <v>21</v>
      </c>
      <c r="D4439">
        <v>21</v>
      </c>
    </row>
    <row r="4440" spans="1:4" ht="15" x14ac:dyDescent="0.25">
      <c r="A4440" t="s">
        <v>12167</v>
      </c>
      <c r="B4440">
        <v>1</v>
      </c>
      <c r="C4440">
        <v>21</v>
      </c>
      <c r="D4440">
        <v>21</v>
      </c>
    </row>
    <row r="4441" spans="1:4" ht="15" x14ac:dyDescent="0.25">
      <c r="A4441" t="s">
        <v>12170</v>
      </c>
      <c r="B4441">
        <v>1</v>
      </c>
      <c r="C4441">
        <v>16</v>
      </c>
      <c r="D4441">
        <v>16</v>
      </c>
    </row>
    <row r="4442" spans="1:4" ht="15" x14ac:dyDescent="0.25">
      <c r="A4442" t="s">
        <v>12171</v>
      </c>
      <c r="B4442">
        <v>1</v>
      </c>
      <c r="C4442">
        <v>16</v>
      </c>
      <c r="D4442">
        <v>16</v>
      </c>
    </row>
    <row r="4443" spans="1:4" ht="15" x14ac:dyDescent="0.25">
      <c r="A4443" t="s">
        <v>12174</v>
      </c>
      <c r="B4443">
        <v>13</v>
      </c>
      <c r="C4443">
        <v>410</v>
      </c>
      <c r="D4443">
        <v>31.53846153846154</v>
      </c>
    </row>
    <row r="4444" spans="1:4" ht="15" x14ac:dyDescent="0.25">
      <c r="A4444" t="s">
        <v>12175</v>
      </c>
      <c r="B4444">
        <v>2</v>
      </c>
      <c r="C4444">
        <v>53</v>
      </c>
      <c r="D4444">
        <v>26.5</v>
      </c>
    </row>
    <row r="4445" spans="1:4" ht="15" x14ac:dyDescent="0.25">
      <c r="A4445" t="s">
        <v>12183</v>
      </c>
      <c r="B4445">
        <v>1</v>
      </c>
      <c r="C4445">
        <v>15</v>
      </c>
      <c r="D4445">
        <v>15</v>
      </c>
    </row>
    <row r="4446" spans="1:4" ht="15" x14ac:dyDescent="0.25">
      <c r="A4446" t="s">
        <v>12184</v>
      </c>
      <c r="B4446">
        <v>1</v>
      </c>
      <c r="C4446">
        <v>15</v>
      </c>
      <c r="D4446">
        <v>15</v>
      </c>
    </row>
    <row r="4447" spans="1:4" ht="15" x14ac:dyDescent="0.25">
      <c r="A4447" t="s">
        <v>12186</v>
      </c>
      <c r="B4447">
        <v>1</v>
      </c>
      <c r="C4447">
        <v>15</v>
      </c>
      <c r="D4447">
        <v>15</v>
      </c>
    </row>
    <row r="4448" spans="1:4" ht="15" x14ac:dyDescent="0.25">
      <c r="A4448" t="s">
        <v>12185</v>
      </c>
      <c r="B4448">
        <v>1</v>
      </c>
      <c r="C4448">
        <v>15</v>
      </c>
      <c r="D4448">
        <v>15</v>
      </c>
    </row>
    <row r="4449" spans="1:4" ht="15" x14ac:dyDescent="0.25">
      <c r="A4449" t="s">
        <v>12190</v>
      </c>
      <c r="B4449">
        <v>1</v>
      </c>
      <c r="C4449">
        <v>11</v>
      </c>
      <c r="D4449">
        <v>11</v>
      </c>
    </row>
    <row r="4450" spans="1:4" ht="15" x14ac:dyDescent="0.25">
      <c r="A4450" t="s">
        <v>12191</v>
      </c>
      <c r="B4450">
        <v>1</v>
      </c>
      <c r="C4450">
        <v>11</v>
      </c>
      <c r="D4450">
        <v>11</v>
      </c>
    </row>
    <row r="4451" spans="1:4" ht="15" x14ac:dyDescent="0.25">
      <c r="A4451" t="s">
        <v>12194</v>
      </c>
      <c r="B4451">
        <v>2</v>
      </c>
      <c r="C4451">
        <v>74</v>
      </c>
      <c r="D4451">
        <v>37</v>
      </c>
    </row>
    <row r="4452" spans="1:4" ht="15" x14ac:dyDescent="0.25">
      <c r="A4452" t="s">
        <v>12195</v>
      </c>
      <c r="B4452">
        <v>1</v>
      </c>
      <c r="C4452">
        <v>55</v>
      </c>
      <c r="D4452">
        <v>55</v>
      </c>
    </row>
    <row r="4453" spans="1:4" ht="15" x14ac:dyDescent="0.25">
      <c r="A4453" t="s">
        <v>12199</v>
      </c>
      <c r="B4453">
        <v>2</v>
      </c>
      <c r="C4453">
        <v>177</v>
      </c>
      <c r="D4453">
        <v>88.5</v>
      </c>
    </row>
    <row r="4454" spans="1:4" ht="15" x14ac:dyDescent="0.25">
      <c r="A4454" t="s">
        <v>12196</v>
      </c>
      <c r="B4454">
        <v>1</v>
      </c>
      <c r="C4454">
        <v>108</v>
      </c>
      <c r="D4454">
        <v>108</v>
      </c>
    </row>
    <row r="4455" spans="1:4" ht="15" x14ac:dyDescent="0.25">
      <c r="A4455" t="s">
        <v>12200</v>
      </c>
      <c r="B4455">
        <v>1</v>
      </c>
      <c r="C4455">
        <v>108</v>
      </c>
      <c r="D4455">
        <v>108</v>
      </c>
    </row>
    <row r="4456" spans="1:4" ht="15" x14ac:dyDescent="0.25">
      <c r="A4456" t="s">
        <v>12204</v>
      </c>
      <c r="B4456">
        <v>1</v>
      </c>
      <c r="C4456">
        <v>290</v>
      </c>
      <c r="D4456">
        <v>290</v>
      </c>
    </row>
    <row r="4457" spans="1:4" ht="15" x14ac:dyDescent="0.25">
      <c r="A4457" t="s">
        <v>12205</v>
      </c>
      <c r="B4457">
        <v>1</v>
      </c>
      <c r="C4457">
        <v>290</v>
      </c>
      <c r="D4457">
        <v>290</v>
      </c>
    </row>
    <row r="4458" spans="1:4" ht="15" x14ac:dyDescent="0.25">
      <c r="A4458" t="s">
        <v>12209</v>
      </c>
      <c r="B4458">
        <v>1</v>
      </c>
      <c r="C4458">
        <v>50</v>
      </c>
      <c r="D4458">
        <v>50</v>
      </c>
    </row>
    <row r="4459" spans="1:4" ht="15" x14ac:dyDescent="0.25">
      <c r="A4459" t="s">
        <v>12213</v>
      </c>
      <c r="B4459">
        <v>6</v>
      </c>
      <c r="C4459">
        <v>415</v>
      </c>
      <c r="D4459">
        <v>69.166666666666671</v>
      </c>
    </row>
    <row r="4460" spans="1:4" ht="15" x14ac:dyDescent="0.25">
      <c r="A4460" t="s">
        <v>12214</v>
      </c>
      <c r="B4460">
        <v>1</v>
      </c>
      <c r="C4460">
        <v>14</v>
      </c>
      <c r="D4460">
        <v>14</v>
      </c>
    </row>
    <row r="4461" spans="1:4" ht="15" x14ac:dyDescent="0.25">
      <c r="A4461" t="s">
        <v>12219</v>
      </c>
      <c r="B4461">
        <v>1</v>
      </c>
      <c r="C4461">
        <v>60</v>
      </c>
      <c r="D4461">
        <v>60</v>
      </c>
    </row>
    <row r="4462" spans="1:4" ht="15" x14ac:dyDescent="0.25">
      <c r="A4462" t="s">
        <v>12220</v>
      </c>
      <c r="B4462">
        <v>1</v>
      </c>
      <c r="C4462">
        <v>60</v>
      </c>
      <c r="D4462">
        <v>60</v>
      </c>
    </row>
    <row r="4463" spans="1:4" ht="15" x14ac:dyDescent="0.25">
      <c r="A4463" t="s">
        <v>12224</v>
      </c>
      <c r="B4463">
        <v>2</v>
      </c>
      <c r="C4463">
        <v>125</v>
      </c>
      <c r="D4463">
        <v>62.5</v>
      </c>
    </row>
    <row r="4464" spans="1:4" ht="15" x14ac:dyDescent="0.25">
      <c r="A4464" t="s">
        <v>12228</v>
      </c>
      <c r="B4464">
        <v>1</v>
      </c>
      <c r="C4464">
        <v>35</v>
      </c>
      <c r="D4464">
        <v>35</v>
      </c>
    </row>
    <row r="4465" spans="1:4" ht="15" x14ac:dyDescent="0.25">
      <c r="A4465" t="s">
        <v>12230</v>
      </c>
      <c r="B4465">
        <v>1</v>
      </c>
      <c r="C4465">
        <v>35</v>
      </c>
      <c r="D4465">
        <v>35</v>
      </c>
    </row>
    <row r="4466" spans="1:4" ht="15" x14ac:dyDescent="0.25">
      <c r="A4466" t="s">
        <v>12231</v>
      </c>
      <c r="B4466">
        <v>1</v>
      </c>
      <c r="C4466">
        <v>35</v>
      </c>
      <c r="D4466">
        <v>35</v>
      </c>
    </row>
    <row r="4467" spans="1:4" ht="15" x14ac:dyDescent="0.25">
      <c r="A4467" t="s">
        <v>12229</v>
      </c>
      <c r="B4467">
        <v>1</v>
      </c>
      <c r="C4467">
        <v>35</v>
      </c>
      <c r="D4467">
        <v>35</v>
      </c>
    </row>
    <row r="4468" spans="1:4" ht="15" x14ac:dyDescent="0.25">
      <c r="A4468" t="s">
        <v>12235</v>
      </c>
      <c r="B4468">
        <v>1</v>
      </c>
      <c r="C4468">
        <v>48</v>
      </c>
      <c r="D4468">
        <v>48</v>
      </c>
    </row>
    <row r="4469" spans="1:4" ht="15" x14ac:dyDescent="0.25">
      <c r="A4469" t="s">
        <v>12239</v>
      </c>
      <c r="B4469">
        <v>1</v>
      </c>
      <c r="C4469">
        <v>59</v>
      </c>
      <c r="D4469">
        <v>59</v>
      </c>
    </row>
    <row r="4470" spans="1:4" ht="15" x14ac:dyDescent="0.25">
      <c r="A4470" t="s">
        <v>12240</v>
      </c>
      <c r="B4470">
        <v>1</v>
      </c>
      <c r="C4470">
        <v>59</v>
      </c>
      <c r="D4470">
        <v>59</v>
      </c>
    </row>
    <row r="4471" spans="1:4" ht="15" x14ac:dyDescent="0.25">
      <c r="A4471" t="s">
        <v>12244</v>
      </c>
      <c r="B4471">
        <v>1</v>
      </c>
      <c r="C4471">
        <v>62</v>
      </c>
      <c r="D4471">
        <v>62</v>
      </c>
    </row>
    <row r="4472" spans="1:4" ht="15" x14ac:dyDescent="0.25">
      <c r="A4472" t="s">
        <v>12245</v>
      </c>
      <c r="B4472">
        <v>1</v>
      </c>
      <c r="C4472">
        <v>62</v>
      </c>
      <c r="D4472">
        <v>62</v>
      </c>
    </row>
    <row r="4473" spans="1:4" ht="15" x14ac:dyDescent="0.25">
      <c r="A4473" t="s">
        <v>12246</v>
      </c>
      <c r="B4473">
        <v>1</v>
      </c>
      <c r="C4473">
        <v>62</v>
      </c>
      <c r="D4473">
        <v>62</v>
      </c>
    </row>
    <row r="4474" spans="1:4" ht="15" x14ac:dyDescent="0.25">
      <c r="A4474" t="s">
        <v>12250</v>
      </c>
      <c r="B4474">
        <v>1</v>
      </c>
      <c r="C4474">
        <v>29</v>
      </c>
      <c r="D4474">
        <v>29</v>
      </c>
    </row>
    <row r="4475" spans="1:4" ht="15" x14ac:dyDescent="0.25">
      <c r="A4475" t="s">
        <v>12251</v>
      </c>
      <c r="B4475">
        <v>2</v>
      </c>
      <c r="C4475">
        <v>96</v>
      </c>
      <c r="D4475">
        <v>48</v>
      </c>
    </row>
    <row r="4476" spans="1:4" ht="15" x14ac:dyDescent="0.25">
      <c r="A4476" t="s">
        <v>12252</v>
      </c>
      <c r="B4476">
        <v>3</v>
      </c>
      <c r="C4476">
        <v>92</v>
      </c>
      <c r="D4476">
        <v>30.666666666666668</v>
      </c>
    </row>
    <row r="4477" spans="1:4" ht="15" x14ac:dyDescent="0.25">
      <c r="A4477" t="s">
        <v>12253</v>
      </c>
      <c r="B4477">
        <v>1</v>
      </c>
      <c r="C4477">
        <v>29</v>
      </c>
      <c r="D4477">
        <v>29</v>
      </c>
    </row>
    <row r="4478" spans="1:4" ht="15" x14ac:dyDescent="0.25">
      <c r="A4478" t="s">
        <v>12257</v>
      </c>
      <c r="B4478">
        <v>1</v>
      </c>
      <c r="C4478">
        <v>8</v>
      </c>
      <c r="D4478">
        <v>8</v>
      </c>
    </row>
    <row r="4479" spans="1:4" ht="15" x14ac:dyDescent="0.25">
      <c r="A4479" t="s">
        <v>12258</v>
      </c>
      <c r="B4479">
        <v>1</v>
      </c>
      <c r="C4479">
        <v>8</v>
      </c>
      <c r="D4479">
        <v>8</v>
      </c>
    </row>
    <row r="4480" spans="1:4" ht="15" x14ac:dyDescent="0.25">
      <c r="A4480" t="s">
        <v>12259</v>
      </c>
      <c r="B4480">
        <v>1</v>
      </c>
      <c r="C4480">
        <v>8</v>
      </c>
      <c r="D4480">
        <v>8</v>
      </c>
    </row>
    <row r="4481" spans="1:4" ht="15" x14ac:dyDescent="0.25">
      <c r="A4481" t="s">
        <v>12265</v>
      </c>
      <c r="B4481">
        <v>2</v>
      </c>
      <c r="C4481">
        <v>137</v>
      </c>
      <c r="D4481">
        <v>68.5</v>
      </c>
    </row>
    <row r="4482" spans="1:4" ht="15" x14ac:dyDescent="0.25">
      <c r="A4482" t="s">
        <v>12266</v>
      </c>
      <c r="B4482">
        <v>1</v>
      </c>
      <c r="C4482">
        <v>56</v>
      </c>
      <c r="D4482">
        <v>56</v>
      </c>
    </row>
    <row r="4483" spans="1:4" ht="15" x14ac:dyDescent="0.25">
      <c r="A4483" t="s">
        <v>12270</v>
      </c>
      <c r="B4483">
        <v>6</v>
      </c>
      <c r="C4483">
        <v>1096</v>
      </c>
      <c r="D4483">
        <v>182.66666666666666</v>
      </c>
    </row>
    <row r="4484" spans="1:4" ht="15" x14ac:dyDescent="0.25">
      <c r="A4484" t="s">
        <v>12274</v>
      </c>
      <c r="B4484">
        <v>1</v>
      </c>
      <c r="C4484">
        <v>35</v>
      </c>
      <c r="D4484">
        <v>35</v>
      </c>
    </row>
    <row r="4485" spans="1:4" ht="15" x14ac:dyDescent="0.25">
      <c r="A4485" t="s">
        <v>12276</v>
      </c>
      <c r="B4485">
        <v>1</v>
      </c>
      <c r="C4485">
        <v>35</v>
      </c>
      <c r="D4485">
        <v>35</v>
      </c>
    </row>
    <row r="4486" spans="1:4" ht="15" x14ac:dyDescent="0.25">
      <c r="A4486" t="s">
        <v>12275</v>
      </c>
      <c r="B4486">
        <v>1</v>
      </c>
      <c r="C4486">
        <v>35</v>
      </c>
      <c r="D4486">
        <v>35</v>
      </c>
    </row>
    <row r="4487" spans="1:4" ht="15" x14ac:dyDescent="0.25">
      <c r="A4487" t="s">
        <v>12280</v>
      </c>
      <c r="B4487">
        <v>1</v>
      </c>
      <c r="C4487">
        <v>98</v>
      </c>
      <c r="D4487">
        <v>98</v>
      </c>
    </row>
    <row r="4488" spans="1:4" ht="15" x14ac:dyDescent="0.25">
      <c r="A4488" t="s">
        <v>12281</v>
      </c>
      <c r="B4488">
        <v>1</v>
      </c>
      <c r="C4488">
        <v>98</v>
      </c>
      <c r="D4488">
        <v>98</v>
      </c>
    </row>
    <row r="4489" spans="1:4" ht="15" x14ac:dyDescent="0.25">
      <c r="A4489" t="s">
        <v>12283</v>
      </c>
      <c r="B4489">
        <v>2</v>
      </c>
      <c r="C4489">
        <v>206</v>
      </c>
      <c r="D4489">
        <v>103</v>
      </c>
    </row>
    <row r="4490" spans="1:4" ht="15" x14ac:dyDescent="0.25">
      <c r="A4490" t="s">
        <v>12282</v>
      </c>
      <c r="B4490">
        <v>1</v>
      </c>
      <c r="C4490">
        <v>98</v>
      </c>
      <c r="D4490">
        <v>98</v>
      </c>
    </row>
    <row r="4491" spans="1:4" ht="15" x14ac:dyDescent="0.25">
      <c r="A4491" t="s">
        <v>12287</v>
      </c>
      <c r="B4491">
        <v>1</v>
      </c>
      <c r="C4491">
        <v>30</v>
      </c>
      <c r="D4491">
        <v>30</v>
      </c>
    </row>
    <row r="4492" spans="1:4" ht="15" x14ac:dyDescent="0.25">
      <c r="A4492" t="s">
        <v>12288</v>
      </c>
      <c r="B4492">
        <v>1</v>
      </c>
      <c r="C4492">
        <v>30</v>
      </c>
      <c r="D4492">
        <v>30</v>
      </c>
    </row>
    <row r="4493" spans="1:4" ht="15" x14ac:dyDescent="0.25">
      <c r="A4493" t="s">
        <v>12290</v>
      </c>
      <c r="B4493">
        <v>2</v>
      </c>
      <c r="C4493">
        <v>89</v>
      </c>
      <c r="D4493">
        <v>44.5</v>
      </c>
    </row>
    <row r="4494" spans="1:4" ht="15" x14ac:dyDescent="0.25">
      <c r="A4494" t="s">
        <v>12289</v>
      </c>
      <c r="B4494">
        <v>3</v>
      </c>
      <c r="C4494">
        <v>439</v>
      </c>
      <c r="D4494">
        <v>146.33333333333334</v>
      </c>
    </row>
    <row r="4495" spans="1:4" ht="15" x14ac:dyDescent="0.25">
      <c r="A4495" t="s">
        <v>12294</v>
      </c>
      <c r="B4495">
        <v>1</v>
      </c>
      <c r="C4495">
        <v>18</v>
      </c>
      <c r="D4495">
        <v>18</v>
      </c>
    </row>
    <row r="4496" spans="1:4" ht="15" x14ac:dyDescent="0.25">
      <c r="A4496" t="s">
        <v>12295</v>
      </c>
      <c r="B4496">
        <v>10</v>
      </c>
      <c r="C4496">
        <v>1842</v>
      </c>
      <c r="D4496">
        <v>184.2</v>
      </c>
    </row>
    <row r="4497" spans="1:4" ht="15" x14ac:dyDescent="0.25">
      <c r="A4497" t="s">
        <v>12299</v>
      </c>
      <c r="B4497">
        <v>1</v>
      </c>
      <c r="C4497">
        <v>17</v>
      </c>
      <c r="D4497">
        <v>17</v>
      </c>
    </row>
    <row r="4498" spans="1:4" ht="15" x14ac:dyDescent="0.25">
      <c r="A4498" t="s">
        <v>12301</v>
      </c>
      <c r="B4498">
        <v>2</v>
      </c>
      <c r="C4498">
        <v>50</v>
      </c>
      <c r="D4498">
        <v>25</v>
      </c>
    </row>
    <row r="4499" spans="1:4" ht="15" x14ac:dyDescent="0.25">
      <c r="A4499" t="s">
        <v>12300</v>
      </c>
      <c r="B4499">
        <v>1</v>
      </c>
      <c r="C4499">
        <v>17</v>
      </c>
      <c r="D4499">
        <v>17</v>
      </c>
    </row>
    <row r="4500" spans="1:4" ht="15" x14ac:dyDescent="0.25">
      <c r="A4500" t="s">
        <v>12307</v>
      </c>
      <c r="B4500">
        <v>4</v>
      </c>
      <c r="C4500">
        <v>161</v>
      </c>
      <c r="D4500">
        <v>40.25</v>
      </c>
    </row>
    <row r="4501" spans="1:4" ht="15" x14ac:dyDescent="0.25">
      <c r="A4501" t="s">
        <v>12308</v>
      </c>
      <c r="B4501">
        <v>1</v>
      </c>
      <c r="C4501">
        <v>42</v>
      </c>
      <c r="D4501">
        <v>42</v>
      </c>
    </row>
    <row r="4502" spans="1:4" ht="15" x14ac:dyDescent="0.25">
      <c r="A4502" t="s">
        <v>12310</v>
      </c>
      <c r="B4502">
        <v>1</v>
      </c>
      <c r="C4502">
        <v>42</v>
      </c>
      <c r="D4502">
        <v>42</v>
      </c>
    </row>
    <row r="4503" spans="1:4" ht="15" x14ac:dyDescent="0.25">
      <c r="A4503" t="s">
        <v>12309</v>
      </c>
      <c r="B4503">
        <v>1</v>
      </c>
      <c r="C4503">
        <v>42</v>
      </c>
      <c r="D4503">
        <v>42</v>
      </c>
    </row>
    <row r="4504" spans="1:4" ht="15" x14ac:dyDescent="0.25">
      <c r="A4504" t="s">
        <v>12314</v>
      </c>
      <c r="B4504">
        <v>2</v>
      </c>
      <c r="C4504">
        <v>382</v>
      </c>
      <c r="D4504">
        <v>191</v>
      </c>
    </row>
    <row r="4505" spans="1:4" ht="15" x14ac:dyDescent="0.25">
      <c r="A4505" t="s">
        <v>12313</v>
      </c>
      <c r="B4505">
        <v>1</v>
      </c>
      <c r="C4505">
        <v>324</v>
      </c>
      <c r="D4505">
        <v>324</v>
      </c>
    </row>
    <row r="4506" spans="1:4" ht="15" x14ac:dyDescent="0.25">
      <c r="A4506" t="s">
        <v>12320</v>
      </c>
      <c r="B4506">
        <v>1</v>
      </c>
      <c r="C4506">
        <v>55</v>
      </c>
      <c r="D4506">
        <v>55</v>
      </c>
    </row>
    <row r="4507" spans="1:4" ht="15" x14ac:dyDescent="0.25">
      <c r="A4507" t="s">
        <v>12321</v>
      </c>
      <c r="B4507">
        <v>1</v>
      </c>
      <c r="C4507">
        <v>55</v>
      </c>
      <c r="D4507">
        <v>55</v>
      </c>
    </row>
    <row r="4508" spans="1:4" ht="15" x14ac:dyDescent="0.25">
      <c r="A4508" t="s">
        <v>12322</v>
      </c>
      <c r="B4508">
        <v>2</v>
      </c>
      <c r="C4508">
        <v>81</v>
      </c>
      <c r="D4508">
        <v>40.5</v>
      </c>
    </row>
    <row r="4509" spans="1:4" ht="15" x14ac:dyDescent="0.25">
      <c r="A4509" t="s">
        <v>12326</v>
      </c>
      <c r="B4509">
        <v>1</v>
      </c>
      <c r="C4509">
        <v>18</v>
      </c>
      <c r="D4509">
        <v>18</v>
      </c>
    </row>
    <row r="4510" spans="1:4" ht="15" x14ac:dyDescent="0.25">
      <c r="A4510" t="s">
        <v>12327</v>
      </c>
      <c r="B4510">
        <v>2</v>
      </c>
      <c r="C4510">
        <v>49</v>
      </c>
      <c r="D4510">
        <v>24.5</v>
      </c>
    </row>
    <row r="4511" spans="1:4" ht="15" x14ac:dyDescent="0.25">
      <c r="A4511" t="s">
        <v>12328</v>
      </c>
      <c r="B4511">
        <v>2</v>
      </c>
      <c r="C4511">
        <v>58</v>
      </c>
      <c r="D4511">
        <v>29</v>
      </c>
    </row>
    <row r="4512" spans="1:4" ht="15" x14ac:dyDescent="0.25">
      <c r="A4512" t="s">
        <v>12331</v>
      </c>
      <c r="B4512">
        <v>1</v>
      </c>
      <c r="C4512">
        <v>23</v>
      </c>
      <c r="D4512">
        <v>23</v>
      </c>
    </row>
    <row r="4513" spans="1:4" ht="15" x14ac:dyDescent="0.25">
      <c r="A4513" t="s">
        <v>12332</v>
      </c>
      <c r="B4513">
        <v>3</v>
      </c>
      <c r="C4513">
        <v>111</v>
      </c>
      <c r="D4513">
        <v>37</v>
      </c>
    </row>
    <row r="4514" spans="1:4" ht="15" x14ac:dyDescent="0.25">
      <c r="A4514" t="s">
        <v>12335</v>
      </c>
      <c r="B4514">
        <v>2</v>
      </c>
      <c r="C4514">
        <v>2</v>
      </c>
      <c r="D4514">
        <v>1</v>
      </c>
    </row>
    <row r="4515" spans="1:4" ht="15" x14ac:dyDescent="0.25">
      <c r="A4515" t="s">
        <v>12336</v>
      </c>
      <c r="B4515">
        <v>1</v>
      </c>
      <c r="C4515">
        <v>1</v>
      </c>
      <c r="D4515">
        <v>1</v>
      </c>
    </row>
    <row r="4516" spans="1:4" ht="15" x14ac:dyDescent="0.25">
      <c r="A4516" t="s">
        <v>12345</v>
      </c>
      <c r="B4516">
        <v>1</v>
      </c>
      <c r="C4516">
        <v>13</v>
      </c>
      <c r="D4516">
        <v>13</v>
      </c>
    </row>
    <row r="4517" spans="1:4" ht="15" x14ac:dyDescent="0.25">
      <c r="A4517" t="s">
        <v>12346</v>
      </c>
      <c r="B4517">
        <v>1</v>
      </c>
      <c r="C4517">
        <v>13</v>
      </c>
      <c r="D4517">
        <v>13</v>
      </c>
    </row>
    <row r="4518" spans="1:4" ht="15" x14ac:dyDescent="0.25">
      <c r="A4518" t="s">
        <v>12347</v>
      </c>
      <c r="B4518">
        <v>1</v>
      </c>
      <c r="C4518">
        <v>13</v>
      </c>
      <c r="D4518">
        <v>13</v>
      </c>
    </row>
    <row r="4519" spans="1:4" ht="15" x14ac:dyDescent="0.25">
      <c r="A4519" t="s">
        <v>12348</v>
      </c>
      <c r="B4519">
        <v>1</v>
      </c>
      <c r="C4519">
        <v>13</v>
      </c>
      <c r="D4519">
        <v>13</v>
      </c>
    </row>
    <row r="4520" spans="1:4" ht="15" x14ac:dyDescent="0.25">
      <c r="A4520" t="s">
        <v>12353</v>
      </c>
      <c r="B4520">
        <v>15</v>
      </c>
      <c r="C4520">
        <v>565</v>
      </c>
      <c r="D4520">
        <v>37.666666666666664</v>
      </c>
    </row>
    <row r="4521" spans="1:4" ht="15" x14ac:dyDescent="0.25">
      <c r="A4521" t="s">
        <v>12358</v>
      </c>
      <c r="B4521">
        <v>19</v>
      </c>
      <c r="C4521">
        <v>659</v>
      </c>
      <c r="D4521">
        <v>34.684210526315788</v>
      </c>
    </row>
    <row r="4522" spans="1:4" ht="15" x14ac:dyDescent="0.25">
      <c r="A4522" t="s">
        <v>12362</v>
      </c>
      <c r="B4522">
        <v>1</v>
      </c>
      <c r="C4522">
        <v>100</v>
      </c>
      <c r="D4522">
        <v>100</v>
      </c>
    </row>
    <row r="4523" spans="1:4" ht="15" x14ac:dyDescent="0.25">
      <c r="A4523" t="s">
        <v>12364</v>
      </c>
      <c r="B4523">
        <v>1</v>
      </c>
      <c r="C4523">
        <v>100</v>
      </c>
      <c r="D4523">
        <v>100</v>
      </c>
    </row>
    <row r="4524" spans="1:4" ht="15" x14ac:dyDescent="0.25">
      <c r="A4524" t="s">
        <v>12365</v>
      </c>
      <c r="B4524">
        <v>1</v>
      </c>
      <c r="C4524">
        <v>100</v>
      </c>
      <c r="D4524">
        <v>100</v>
      </c>
    </row>
    <row r="4525" spans="1:4" ht="15" x14ac:dyDescent="0.25">
      <c r="A4525" t="s">
        <v>12363</v>
      </c>
      <c r="B4525">
        <v>1</v>
      </c>
      <c r="C4525">
        <v>100</v>
      </c>
      <c r="D4525">
        <v>100</v>
      </c>
    </row>
    <row r="4526" spans="1:4" ht="15" x14ac:dyDescent="0.25">
      <c r="A4526" t="s">
        <v>12368</v>
      </c>
      <c r="B4526">
        <v>1</v>
      </c>
      <c r="C4526">
        <v>1531</v>
      </c>
      <c r="D4526">
        <v>1531</v>
      </c>
    </row>
    <row r="4527" spans="1:4" ht="15" x14ac:dyDescent="0.25">
      <c r="A4527" t="s">
        <v>12370</v>
      </c>
      <c r="B4527">
        <v>3</v>
      </c>
      <c r="C4527">
        <v>2929</v>
      </c>
      <c r="D4527">
        <v>976.33333333333337</v>
      </c>
    </row>
    <row r="4528" spans="1:4" ht="15" x14ac:dyDescent="0.25">
      <c r="A4528" t="s">
        <v>12369</v>
      </c>
      <c r="B4528">
        <v>1</v>
      </c>
      <c r="C4528">
        <v>1531</v>
      </c>
      <c r="D4528">
        <v>1531</v>
      </c>
    </row>
    <row r="4529" spans="1:4" ht="15" x14ac:dyDescent="0.25">
      <c r="A4529" t="s">
        <v>12374</v>
      </c>
      <c r="B4529">
        <v>1</v>
      </c>
      <c r="C4529">
        <v>163</v>
      </c>
      <c r="D4529">
        <v>163</v>
      </c>
    </row>
    <row r="4530" spans="1:4" ht="15" x14ac:dyDescent="0.25">
      <c r="A4530" t="s">
        <v>12376</v>
      </c>
      <c r="B4530">
        <v>1</v>
      </c>
      <c r="C4530">
        <v>163</v>
      </c>
      <c r="D4530">
        <v>163</v>
      </c>
    </row>
    <row r="4531" spans="1:4" ht="15" x14ac:dyDescent="0.25">
      <c r="A4531" t="s">
        <v>12375</v>
      </c>
      <c r="B4531">
        <v>1</v>
      </c>
      <c r="C4531">
        <v>163</v>
      </c>
      <c r="D4531">
        <v>163</v>
      </c>
    </row>
    <row r="4532" spans="1:4" ht="15" x14ac:dyDescent="0.25">
      <c r="A4532" t="s">
        <v>12380</v>
      </c>
      <c r="B4532">
        <v>3</v>
      </c>
      <c r="C4532">
        <v>118</v>
      </c>
      <c r="D4532">
        <v>39.333333333333336</v>
      </c>
    </row>
    <row r="4533" spans="1:4" ht="15" x14ac:dyDescent="0.25">
      <c r="A4533" t="s">
        <v>12387</v>
      </c>
      <c r="B4533">
        <v>1</v>
      </c>
      <c r="C4533">
        <v>70</v>
      </c>
      <c r="D4533">
        <v>70</v>
      </c>
    </row>
    <row r="4534" spans="1:4" ht="15" x14ac:dyDescent="0.25">
      <c r="A4534" t="s">
        <v>12388</v>
      </c>
      <c r="B4534">
        <v>1</v>
      </c>
      <c r="C4534">
        <v>70</v>
      </c>
      <c r="D4534">
        <v>70</v>
      </c>
    </row>
    <row r="4535" spans="1:4" ht="15" x14ac:dyDescent="0.25">
      <c r="A4535" t="s">
        <v>12390</v>
      </c>
      <c r="B4535">
        <v>3</v>
      </c>
      <c r="C4535">
        <v>121</v>
      </c>
      <c r="D4535">
        <v>40.333333333333336</v>
      </c>
    </row>
    <row r="4536" spans="1:4" ht="15" x14ac:dyDescent="0.25">
      <c r="A4536" t="s">
        <v>12389</v>
      </c>
      <c r="B4536">
        <v>1</v>
      </c>
      <c r="C4536">
        <v>70</v>
      </c>
      <c r="D4536">
        <v>70</v>
      </c>
    </row>
    <row r="4537" spans="1:4" ht="15" x14ac:dyDescent="0.25">
      <c r="A4537" t="s">
        <v>12395</v>
      </c>
      <c r="B4537">
        <v>1</v>
      </c>
      <c r="C4537">
        <v>45</v>
      </c>
      <c r="D4537">
        <v>45</v>
      </c>
    </row>
    <row r="4538" spans="1:4" ht="15" x14ac:dyDescent="0.25">
      <c r="A4538" t="s">
        <v>12396</v>
      </c>
      <c r="B4538">
        <v>1</v>
      </c>
      <c r="C4538">
        <v>45</v>
      </c>
      <c r="D4538">
        <v>45</v>
      </c>
    </row>
    <row r="4539" spans="1:4" ht="15" x14ac:dyDescent="0.25">
      <c r="A4539" t="s">
        <v>12401</v>
      </c>
      <c r="B4539">
        <v>1</v>
      </c>
      <c r="C4539">
        <v>8</v>
      </c>
      <c r="D4539">
        <v>8</v>
      </c>
    </row>
    <row r="4540" spans="1:4" ht="15" x14ac:dyDescent="0.25">
      <c r="A4540" t="s">
        <v>12400</v>
      </c>
      <c r="B4540">
        <v>1</v>
      </c>
      <c r="C4540">
        <v>8</v>
      </c>
      <c r="D4540">
        <v>8</v>
      </c>
    </row>
    <row r="4541" spans="1:4" ht="15" x14ac:dyDescent="0.25">
      <c r="A4541" t="s">
        <v>12405</v>
      </c>
      <c r="B4541">
        <v>1</v>
      </c>
      <c r="C4541">
        <v>117</v>
      </c>
      <c r="D4541">
        <v>117</v>
      </c>
    </row>
    <row r="4542" spans="1:4" ht="15" x14ac:dyDescent="0.25">
      <c r="A4542" t="s">
        <v>12407</v>
      </c>
      <c r="B4542">
        <v>1</v>
      </c>
      <c r="C4542">
        <v>117</v>
      </c>
      <c r="D4542">
        <v>117</v>
      </c>
    </row>
    <row r="4543" spans="1:4" ht="15" x14ac:dyDescent="0.25">
      <c r="A4543" t="s">
        <v>12406</v>
      </c>
      <c r="B4543">
        <v>1</v>
      </c>
      <c r="C4543">
        <v>117</v>
      </c>
      <c r="D4543">
        <v>117</v>
      </c>
    </row>
    <row r="4544" spans="1:4" ht="15" x14ac:dyDescent="0.25">
      <c r="A4544" t="s">
        <v>12412</v>
      </c>
      <c r="B4544">
        <v>6</v>
      </c>
      <c r="C4544">
        <v>422</v>
      </c>
      <c r="D4544">
        <v>70.333333333333329</v>
      </c>
    </row>
    <row r="4545" spans="1:4" ht="15" x14ac:dyDescent="0.25">
      <c r="A4545" t="s">
        <v>12413</v>
      </c>
      <c r="B4545">
        <v>10</v>
      </c>
      <c r="C4545">
        <v>387</v>
      </c>
      <c r="D4545">
        <v>38.700000000000003</v>
      </c>
    </row>
    <row r="4546" spans="1:4" ht="15" x14ac:dyDescent="0.25">
      <c r="A4546" t="s">
        <v>12414</v>
      </c>
      <c r="B4546">
        <v>4</v>
      </c>
      <c r="C4546">
        <v>192</v>
      </c>
      <c r="D4546">
        <v>48</v>
      </c>
    </row>
    <row r="4547" spans="1:4" ht="15" x14ac:dyDescent="0.25">
      <c r="A4547" t="s">
        <v>12421</v>
      </c>
      <c r="B4547">
        <v>27</v>
      </c>
      <c r="C4547">
        <v>763</v>
      </c>
      <c r="D4547">
        <v>28.25925925925926</v>
      </c>
    </row>
    <row r="4548" spans="1:4" ht="15" x14ac:dyDescent="0.25">
      <c r="A4548" t="s">
        <v>12428</v>
      </c>
      <c r="B4548">
        <v>1</v>
      </c>
      <c r="C4548">
        <v>10</v>
      </c>
      <c r="D4548">
        <v>10</v>
      </c>
    </row>
    <row r="4549" spans="1:4" ht="15" x14ac:dyDescent="0.25">
      <c r="A4549" t="s">
        <v>12429</v>
      </c>
      <c r="B4549">
        <v>1</v>
      </c>
      <c r="C4549">
        <v>10</v>
      </c>
      <c r="D4549">
        <v>10</v>
      </c>
    </row>
    <row r="4550" spans="1:4" ht="15" x14ac:dyDescent="0.25">
      <c r="A4550" t="s">
        <v>12431</v>
      </c>
      <c r="B4550">
        <v>1</v>
      </c>
      <c r="C4550">
        <v>10</v>
      </c>
      <c r="D4550">
        <v>10</v>
      </c>
    </row>
    <row r="4551" spans="1:4" ht="15" x14ac:dyDescent="0.25">
      <c r="A4551" t="s">
        <v>12430</v>
      </c>
      <c r="B4551">
        <v>1</v>
      </c>
      <c r="C4551">
        <v>10</v>
      </c>
      <c r="D4551">
        <v>10</v>
      </c>
    </row>
    <row r="4552" spans="1:4" ht="15" x14ac:dyDescent="0.25">
      <c r="A4552" t="s">
        <v>12435</v>
      </c>
      <c r="B4552">
        <v>1</v>
      </c>
      <c r="C4552">
        <v>29</v>
      </c>
      <c r="D4552">
        <v>29</v>
      </c>
    </row>
    <row r="4553" spans="1:4" ht="15" x14ac:dyDescent="0.25">
      <c r="A4553" t="s">
        <v>12436</v>
      </c>
      <c r="B4553">
        <v>1</v>
      </c>
      <c r="C4553">
        <v>29</v>
      </c>
      <c r="D4553">
        <v>29</v>
      </c>
    </row>
    <row r="4554" spans="1:4" ht="15" x14ac:dyDescent="0.25">
      <c r="A4554" t="s">
        <v>12440</v>
      </c>
      <c r="B4554">
        <v>1</v>
      </c>
      <c r="C4554">
        <v>16</v>
      </c>
      <c r="D4554">
        <v>16</v>
      </c>
    </row>
    <row r="4555" spans="1:4" ht="15" x14ac:dyDescent="0.25">
      <c r="A4555" t="s">
        <v>12447</v>
      </c>
      <c r="B4555">
        <v>1</v>
      </c>
      <c r="C4555">
        <v>13</v>
      </c>
      <c r="D4555">
        <v>13</v>
      </c>
    </row>
    <row r="4556" spans="1:4" ht="15" x14ac:dyDescent="0.25">
      <c r="A4556" t="s">
        <v>12457</v>
      </c>
      <c r="B4556">
        <v>1</v>
      </c>
      <c r="C4556">
        <v>6</v>
      </c>
      <c r="D4556">
        <v>6</v>
      </c>
    </row>
    <row r="4557" spans="1:4" ht="15" x14ac:dyDescent="0.25">
      <c r="A4557" t="s">
        <v>12458</v>
      </c>
      <c r="B4557">
        <v>1</v>
      </c>
      <c r="C4557">
        <v>6</v>
      </c>
      <c r="D4557">
        <v>6</v>
      </c>
    </row>
    <row r="4558" spans="1:4" ht="15" x14ac:dyDescent="0.25">
      <c r="A4558" t="s">
        <v>12462</v>
      </c>
      <c r="B4558">
        <v>1</v>
      </c>
      <c r="C4558">
        <v>1</v>
      </c>
      <c r="D4558">
        <v>1</v>
      </c>
    </row>
    <row r="4559" spans="1:4" ht="15" x14ac:dyDescent="0.25">
      <c r="A4559" t="s">
        <v>12466</v>
      </c>
      <c r="B4559">
        <v>1</v>
      </c>
      <c r="C4559">
        <v>34</v>
      </c>
      <c r="D4559">
        <v>34</v>
      </c>
    </row>
    <row r="4560" spans="1:4" ht="15" x14ac:dyDescent="0.25">
      <c r="A4560" t="s">
        <v>12467</v>
      </c>
      <c r="B4560">
        <v>2</v>
      </c>
      <c r="C4560">
        <v>46</v>
      </c>
      <c r="D4560">
        <v>23</v>
      </c>
    </row>
    <row r="4561" spans="1:4" ht="15" x14ac:dyDescent="0.25">
      <c r="A4561" t="s">
        <v>12468</v>
      </c>
      <c r="B4561">
        <v>11</v>
      </c>
      <c r="C4561">
        <v>476</v>
      </c>
      <c r="D4561">
        <v>43.272727272727273</v>
      </c>
    </row>
    <row r="4562" spans="1:4" ht="15" x14ac:dyDescent="0.25">
      <c r="A4562" t="s">
        <v>12469</v>
      </c>
      <c r="B4562">
        <v>1</v>
      </c>
      <c r="C4562">
        <v>34</v>
      </c>
      <c r="D4562">
        <v>34</v>
      </c>
    </row>
    <row r="4563" spans="1:4" ht="15" x14ac:dyDescent="0.25">
      <c r="A4563" t="s">
        <v>12474</v>
      </c>
      <c r="B4563">
        <v>1</v>
      </c>
      <c r="C4563">
        <v>86</v>
      </c>
      <c r="D4563">
        <v>86</v>
      </c>
    </row>
    <row r="4564" spans="1:4" ht="15" x14ac:dyDescent="0.25">
      <c r="A4564" t="s">
        <v>12476</v>
      </c>
      <c r="B4564">
        <v>2</v>
      </c>
      <c r="C4564">
        <v>93</v>
      </c>
      <c r="D4564">
        <v>46.5</v>
      </c>
    </row>
    <row r="4565" spans="1:4" ht="15" x14ac:dyDescent="0.25">
      <c r="A4565" t="s">
        <v>12475</v>
      </c>
      <c r="B4565">
        <v>2</v>
      </c>
      <c r="C4565">
        <v>338</v>
      </c>
      <c r="D4565">
        <v>169</v>
      </c>
    </row>
    <row r="4566" spans="1:4" ht="15" x14ac:dyDescent="0.25">
      <c r="A4566" t="s">
        <v>12480</v>
      </c>
      <c r="B4566">
        <v>1</v>
      </c>
      <c r="C4566">
        <v>33</v>
      </c>
      <c r="D4566">
        <v>33</v>
      </c>
    </row>
    <row r="4567" spans="1:4" ht="15" x14ac:dyDescent="0.25">
      <c r="A4567" t="s">
        <v>12482</v>
      </c>
      <c r="B4567">
        <v>1</v>
      </c>
      <c r="C4567">
        <v>33</v>
      </c>
      <c r="D4567">
        <v>33</v>
      </c>
    </row>
    <row r="4568" spans="1:4" ht="15" x14ac:dyDescent="0.25">
      <c r="A4568" t="s">
        <v>12481</v>
      </c>
      <c r="B4568">
        <v>1</v>
      </c>
      <c r="C4568">
        <v>33</v>
      </c>
      <c r="D4568">
        <v>33</v>
      </c>
    </row>
    <row r="4569" spans="1:4" ht="15" x14ac:dyDescent="0.25">
      <c r="A4569" t="s">
        <v>12487</v>
      </c>
      <c r="B4569">
        <v>2</v>
      </c>
      <c r="C4569">
        <v>420</v>
      </c>
      <c r="D4569">
        <v>210</v>
      </c>
    </row>
    <row r="4570" spans="1:4" ht="15" x14ac:dyDescent="0.25">
      <c r="A4570" t="s">
        <v>12489</v>
      </c>
      <c r="B4570">
        <v>1</v>
      </c>
      <c r="C4570">
        <v>157</v>
      </c>
      <c r="D4570">
        <v>157</v>
      </c>
    </row>
    <row r="4571" spans="1:4" ht="15" x14ac:dyDescent="0.25">
      <c r="A4571" t="s">
        <v>12488</v>
      </c>
      <c r="B4571">
        <v>1</v>
      </c>
      <c r="C4571">
        <v>157</v>
      </c>
      <c r="D4571">
        <v>157</v>
      </c>
    </row>
    <row r="4572" spans="1:4" ht="15" x14ac:dyDescent="0.25">
      <c r="A4572" t="s">
        <v>12493</v>
      </c>
      <c r="B4572">
        <v>1</v>
      </c>
      <c r="C4572">
        <v>53</v>
      </c>
      <c r="D4572">
        <v>53</v>
      </c>
    </row>
    <row r="4573" spans="1:4" ht="15" x14ac:dyDescent="0.25">
      <c r="A4573" t="s">
        <v>12494</v>
      </c>
      <c r="B4573">
        <v>1</v>
      </c>
      <c r="C4573">
        <v>53</v>
      </c>
      <c r="D4573">
        <v>53</v>
      </c>
    </row>
    <row r="4574" spans="1:4" ht="15" x14ac:dyDescent="0.25">
      <c r="A4574" t="s">
        <v>12498</v>
      </c>
      <c r="B4574">
        <v>3</v>
      </c>
      <c r="C4574">
        <v>182</v>
      </c>
      <c r="D4574">
        <v>60.666666666666664</v>
      </c>
    </row>
    <row r="4575" spans="1:4" ht="15" x14ac:dyDescent="0.25">
      <c r="A4575" t="s">
        <v>12499</v>
      </c>
      <c r="B4575">
        <v>3</v>
      </c>
      <c r="C4575">
        <v>182</v>
      </c>
      <c r="D4575">
        <v>60.666666666666664</v>
      </c>
    </row>
    <row r="4576" spans="1:4" ht="15" x14ac:dyDescent="0.25">
      <c r="A4576" t="s">
        <v>12501</v>
      </c>
      <c r="B4576">
        <v>3</v>
      </c>
      <c r="C4576">
        <v>182</v>
      </c>
      <c r="D4576">
        <v>60.666666666666664</v>
      </c>
    </row>
    <row r="4577" spans="1:4" ht="15" x14ac:dyDescent="0.25">
      <c r="A4577" t="s">
        <v>12500</v>
      </c>
      <c r="B4577">
        <v>3</v>
      </c>
      <c r="C4577">
        <v>182</v>
      </c>
      <c r="D4577">
        <v>60.666666666666664</v>
      </c>
    </row>
    <row r="4578" spans="1:4" ht="15" x14ac:dyDescent="0.25">
      <c r="A4578" t="s">
        <v>12508</v>
      </c>
      <c r="B4578">
        <v>1</v>
      </c>
      <c r="C4578">
        <v>39</v>
      </c>
      <c r="D4578">
        <v>39</v>
      </c>
    </row>
    <row r="4579" spans="1:4" ht="15" x14ac:dyDescent="0.25">
      <c r="A4579" t="s">
        <v>12511</v>
      </c>
      <c r="B4579">
        <v>1</v>
      </c>
      <c r="C4579">
        <v>56</v>
      </c>
      <c r="D4579">
        <v>56</v>
      </c>
    </row>
    <row r="4580" spans="1:4" ht="15" x14ac:dyDescent="0.25">
      <c r="A4580" t="s">
        <v>12516</v>
      </c>
      <c r="B4580">
        <v>1</v>
      </c>
      <c r="C4580">
        <v>229</v>
      </c>
      <c r="D4580">
        <v>229</v>
      </c>
    </row>
    <row r="4581" spans="1:4" ht="15" x14ac:dyDescent="0.25">
      <c r="A4581" t="s">
        <v>12518</v>
      </c>
      <c r="B4581">
        <v>1</v>
      </c>
      <c r="C4581">
        <v>229</v>
      </c>
      <c r="D4581">
        <v>229</v>
      </c>
    </row>
    <row r="4582" spans="1:4" ht="15" x14ac:dyDescent="0.25">
      <c r="A4582" t="s">
        <v>12519</v>
      </c>
      <c r="B4582">
        <v>1</v>
      </c>
      <c r="C4582">
        <v>229</v>
      </c>
      <c r="D4582">
        <v>229</v>
      </c>
    </row>
    <row r="4583" spans="1:4" ht="15" x14ac:dyDescent="0.25">
      <c r="A4583" t="s">
        <v>12517</v>
      </c>
      <c r="B4583">
        <v>2</v>
      </c>
      <c r="C4583">
        <v>237</v>
      </c>
      <c r="D4583">
        <v>118.5</v>
      </c>
    </row>
    <row r="4584" spans="1:4" ht="15" x14ac:dyDescent="0.25">
      <c r="A4584" t="s">
        <v>12522</v>
      </c>
      <c r="B4584">
        <v>3</v>
      </c>
      <c r="C4584">
        <v>118</v>
      </c>
      <c r="D4584">
        <v>39.333333333333336</v>
      </c>
    </row>
    <row r="4585" spans="1:4" ht="15" x14ac:dyDescent="0.25">
      <c r="A4585" t="s">
        <v>12523</v>
      </c>
      <c r="B4585">
        <v>1</v>
      </c>
      <c r="C4585">
        <v>43</v>
      </c>
      <c r="D4585">
        <v>43</v>
      </c>
    </row>
    <row r="4586" spans="1:4" ht="15" x14ac:dyDescent="0.25">
      <c r="A4586" t="s">
        <v>12525</v>
      </c>
      <c r="B4586">
        <v>5</v>
      </c>
      <c r="C4586">
        <v>176</v>
      </c>
      <c r="D4586">
        <v>35.200000000000003</v>
      </c>
    </row>
    <row r="4587" spans="1:4" ht="15" x14ac:dyDescent="0.25">
      <c r="A4587" t="s">
        <v>12524</v>
      </c>
      <c r="B4587">
        <v>5</v>
      </c>
      <c r="C4587">
        <v>176</v>
      </c>
      <c r="D4587">
        <v>35.200000000000003</v>
      </c>
    </row>
    <row r="4588" spans="1:4" ht="15" x14ac:dyDescent="0.25">
      <c r="A4588" t="s">
        <v>12529</v>
      </c>
      <c r="B4588">
        <v>2</v>
      </c>
      <c r="C4588">
        <v>47</v>
      </c>
      <c r="D4588">
        <v>23.5</v>
      </c>
    </row>
    <row r="4589" spans="1:4" ht="15" x14ac:dyDescent="0.25">
      <c r="A4589" t="s">
        <v>12530</v>
      </c>
      <c r="B4589">
        <v>1</v>
      </c>
      <c r="C4589">
        <v>19</v>
      </c>
      <c r="D4589">
        <v>19</v>
      </c>
    </row>
    <row r="4590" spans="1:4" ht="15" x14ac:dyDescent="0.25">
      <c r="A4590" t="s">
        <v>12532</v>
      </c>
      <c r="B4590">
        <v>3</v>
      </c>
      <c r="C4590">
        <v>77</v>
      </c>
      <c r="D4590">
        <v>25.666666666666668</v>
      </c>
    </row>
    <row r="4591" spans="1:4" ht="15" x14ac:dyDescent="0.25">
      <c r="A4591" t="s">
        <v>12533</v>
      </c>
      <c r="B4591">
        <v>4</v>
      </c>
      <c r="C4591">
        <v>66</v>
      </c>
      <c r="D4591">
        <v>16.5</v>
      </c>
    </row>
    <row r="4592" spans="1:4" ht="15" x14ac:dyDescent="0.25">
      <c r="A4592" t="s">
        <v>12531</v>
      </c>
      <c r="B4592">
        <v>4</v>
      </c>
      <c r="C4592">
        <v>52</v>
      </c>
      <c r="D4592">
        <v>13</v>
      </c>
    </row>
    <row r="4593" spans="1:4" ht="15" x14ac:dyDescent="0.25">
      <c r="A4593" t="s">
        <v>12535</v>
      </c>
      <c r="B4593">
        <v>3</v>
      </c>
      <c r="C4593">
        <v>121</v>
      </c>
      <c r="D4593">
        <v>40.333333333333336</v>
      </c>
    </row>
    <row r="4594" spans="1:4" ht="15" x14ac:dyDescent="0.25">
      <c r="A4594" t="s">
        <v>12539</v>
      </c>
      <c r="B4594">
        <v>1</v>
      </c>
      <c r="C4594">
        <v>18</v>
      </c>
      <c r="D4594">
        <v>18</v>
      </c>
    </row>
    <row r="4595" spans="1:4" ht="15" x14ac:dyDescent="0.25">
      <c r="A4595" t="s">
        <v>12543</v>
      </c>
      <c r="B4595">
        <v>1</v>
      </c>
      <c r="C4595">
        <v>20</v>
      </c>
      <c r="D4595">
        <v>20</v>
      </c>
    </row>
    <row r="4596" spans="1:4" ht="15" x14ac:dyDescent="0.25">
      <c r="A4596" t="s">
        <v>12544</v>
      </c>
      <c r="B4596">
        <v>1</v>
      </c>
      <c r="C4596">
        <v>20</v>
      </c>
      <c r="D4596">
        <v>20</v>
      </c>
    </row>
    <row r="4597" spans="1:4" ht="15" x14ac:dyDescent="0.25">
      <c r="A4597" t="s">
        <v>12546</v>
      </c>
      <c r="B4597">
        <v>1</v>
      </c>
      <c r="C4597">
        <v>20</v>
      </c>
      <c r="D4597">
        <v>20</v>
      </c>
    </row>
    <row r="4598" spans="1:4" ht="15" x14ac:dyDescent="0.25">
      <c r="A4598" t="s">
        <v>12545</v>
      </c>
      <c r="B4598">
        <v>1</v>
      </c>
      <c r="C4598">
        <v>20</v>
      </c>
      <c r="D4598">
        <v>20</v>
      </c>
    </row>
    <row r="4599" spans="1:4" ht="15" x14ac:dyDescent="0.25">
      <c r="A4599" t="s">
        <v>12554</v>
      </c>
      <c r="B4599">
        <v>1</v>
      </c>
      <c r="C4599">
        <v>64</v>
      </c>
      <c r="D4599">
        <v>64</v>
      </c>
    </row>
    <row r="4600" spans="1:4" ht="15" x14ac:dyDescent="0.25">
      <c r="A4600" t="s">
        <v>12555</v>
      </c>
      <c r="B4600">
        <v>4</v>
      </c>
      <c r="C4600">
        <v>195</v>
      </c>
      <c r="D4600">
        <v>48.75</v>
      </c>
    </row>
    <row r="4601" spans="1:4" ht="15" x14ac:dyDescent="0.25">
      <c r="A4601" t="s">
        <v>12556</v>
      </c>
      <c r="B4601">
        <v>5</v>
      </c>
      <c r="C4601">
        <v>227</v>
      </c>
      <c r="D4601">
        <v>45.4</v>
      </c>
    </row>
    <row r="4602" spans="1:4" ht="15" x14ac:dyDescent="0.25">
      <c r="A4602" t="s">
        <v>12560</v>
      </c>
      <c r="B4602">
        <v>1</v>
      </c>
      <c r="C4602">
        <v>7</v>
      </c>
      <c r="D4602">
        <v>7</v>
      </c>
    </row>
    <row r="4603" spans="1:4" ht="15" x14ac:dyDescent="0.25">
      <c r="A4603" t="s">
        <v>12561</v>
      </c>
      <c r="B4603">
        <v>1</v>
      </c>
      <c r="C4603">
        <v>7</v>
      </c>
      <c r="D4603">
        <v>7</v>
      </c>
    </row>
    <row r="4604" spans="1:4" ht="15" x14ac:dyDescent="0.25">
      <c r="A4604" t="s">
        <v>12562</v>
      </c>
      <c r="B4604">
        <v>1</v>
      </c>
      <c r="C4604">
        <v>7</v>
      </c>
      <c r="D4604">
        <v>7</v>
      </c>
    </row>
    <row r="4605" spans="1:4" ht="15" x14ac:dyDescent="0.25">
      <c r="A4605" t="s">
        <v>12557</v>
      </c>
      <c r="B4605">
        <v>1</v>
      </c>
      <c r="C4605">
        <v>7</v>
      </c>
      <c r="D4605">
        <v>7</v>
      </c>
    </row>
    <row r="4606" spans="1:4" ht="15" x14ac:dyDescent="0.25">
      <c r="A4606" t="s">
        <v>12565</v>
      </c>
      <c r="B4606">
        <v>2</v>
      </c>
      <c r="C4606">
        <v>202</v>
      </c>
      <c r="D4606">
        <v>101</v>
      </c>
    </row>
    <row r="4607" spans="1:4" ht="15" x14ac:dyDescent="0.25">
      <c r="A4607" t="s">
        <v>12569</v>
      </c>
      <c r="B4607">
        <v>5</v>
      </c>
      <c r="C4607">
        <v>2225</v>
      </c>
      <c r="D4607">
        <v>445</v>
      </c>
    </row>
    <row r="4608" spans="1:4" ht="15" x14ac:dyDescent="0.25">
      <c r="A4608" t="s">
        <v>12571</v>
      </c>
      <c r="B4608">
        <v>1</v>
      </c>
      <c r="C4608">
        <v>78</v>
      </c>
      <c r="D4608">
        <v>78</v>
      </c>
    </row>
    <row r="4609" spans="1:4" ht="15" x14ac:dyDescent="0.25">
      <c r="A4609" t="s">
        <v>12572</v>
      </c>
      <c r="B4609">
        <v>1</v>
      </c>
      <c r="C4609">
        <v>78</v>
      </c>
      <c r="D4609">
        <v>78</v>
      </c>
    </row>
    <row r="4610" spans="1:4" ht="15" x14ac:dyDescent="0.25">
      <c r="A4610" t="s">
        <v>12570</v>
      </c>
      <c r="B4610">
        <v>1</v>
      </c>
      <c r="C4610">
        <v>78</v>
      </c>
      <c r="D4610">
        <v>78</v>
      </c>
    </row>
    <row r="4611" spans="1:4" ht="15" x14ac:dyDescent="0.25">
      <c r="A4611" t="s">
        <v>12579</v>
      </c>
      <c r="B4611">
        <v>1</v>
      </c>
      <c r="C4611">
        <v>16</v>
      </c>
      <c r="D4611">
        <v>16</v>
      </c>
    </row>
    <row r="4612" spans="1:4" ht="15" x14ac:dyDescent="0.25">
      <c r="A4612" t="s">
        <v>12581</v>
      </c>
      <c r="B4612">
        <v>1</v>
      </c>
      <c r="C4612">
        <v>16</v>
      </c>
      <c r="D4612">
        <v>16</v>
      </c>
    </row>
    <row r="4613" spans="1:4" ht="15" x14ac:dyDescent="0.25">
      <c r="A4613" t="s">
        <v>12580</v>
      </c>
      <c r="B4613">
        <v>1</v>
      </c>
      <c r="C4613">
        <v>16</v>
      </c>
      <c r="D4613">
        <v>16</v>
      </c>
    </row>
    <row r="4614" spans="1:4" ht="15" x14ac:dyDescent="0.25">
      <c r="A4614" t="s">
        <v>12586</v>
      </c>
      <c r="B4614">
        <v>4</v>
      </c>
      <c r="C4614">
        <v>122</v>
      </c>
      <c r="D4614">
        <v>30.5</v>
      </c>
    </row>
    <row r="4615" spans="1:4" ht="15" x14ac:dyDescent="0.25">
      <c r="A4615" t="s">
        <v>12582</v>
      </c>
      <c r="B4615">
        <v>1</v>
      </c>
      <c r="C4615">
        <v>22</v>
      </c>
      <c r="D4615">
        <v>22</v>
      </c>
    </row>
    <row r="4616" spans="1:4" ht="15" x14ac:dyDescent="0.25">
      <c r="A4616" t="s">
        <v>12593</v>
      </c>
      <c r="B4616">
        <v>5</v>
      </c>
      <c r="C4616">
        <v>653</v>
      </c>
      <c r="D4616">
        <v>130.6</v>
      </c>
    </row>
    <row r="4617" spans="1:4" ht="15" x14ac:dyDescent="0.25">
      <c r="A4617" t="s">
        <v>12592</v>
      </c>
      <c r="B4617">
        <v>1</v>
      </c>
      <c r="C4617">
        <v>18</v>
      </c>
      <c r="D4617">
        <v>18</v>
      </c>
    </row>
    <row r="4618" spans="1:4" ht="15" x14ac:dyDescent="0.25">
      <c r="A4618" t="s">
        <v>12597</v>
      </c>
      <c r="B4618">
        <v>1</v>
      </c>
      <c r="C4618">
        <v>61</v>
      </c>
      <c r="D4618">
        <v>61</v>
      </c>
    </row>
    <row r="4619" spans="1:4" ht="15" x14ac:dyDescent="0.25">
      <c r="A4619" t="s">
        <v>12599</v>
      </c>
      <c r="B4619">
        <v>1</v>
      </c>
      <c r="C4619">
        <v>61</v>
      </c>
      <c r="D4619">
        <v>61</v>
      </c>
    </row>
    <row r="4620" spans="1:4" ht="15" x14ac:dyDescent="0.25">
      <c r="A4620" t="s">
        <v>12598</v>
      </c>
      <c r="B4620">
        <v>1</v>
      </c>
      <c r="C4620">
        <v>61</v>
      </c>
      <c r="D4620">
        <v>61</v>
      </c>
    </row>
    <row r="4621" spans="1:4" ht="15" x14ac:dyDescent="0.25">
      <c r="A4621" t="s">
        <v>12603</v>
      </c>
      <c r="B4621">
        <v>1</v>
      </c>
      <c r="C4621">
        <v>51</v>
      </c>
      <c r="D4621">
        <v>51</v>
      </c>
    </row>
    <row r="4622" spans="1:4" ht="15" x14ac:dyDescent="0.25">
      <c r="A4622" t="s">
        <v>12605</v>
      </c>
      <c r="B4622">
        <v>1</v>
      </c>
      <c r="C4622">
        <v>51</v>
      </c>
      <c r="D4622">
        <v>51</v>
      </c>
    </row>
    <row r="4623" spans="1:4" ht="15" x14ac:dyDescent="0.25">
      <c r="A4623" t="s">
        <v>12604</v>
      </c>
      <c r="B4623">
        <v>1</v>
      </c>
      <c r="C4623">
        <v>51</v>
      </c>
      <c r="D4623">
        <v>51</v>
      </c>
    </row>
    <row r="4624" spans="1:4" ht="15" x14ac:dyDescent="0.25">
      <c r="A4624" t="s">
        <v>12609</v>
      </c>
      <c r="B4624">
        <v>1</v>
      </c>
      <c r="C4624">
        <v>18</v>
      </c>
      <c r="D4624">
        <v>18</v>
      </c>
    </row>
    <row r="4625" spans="1:4" ht="15" x14ac:dyDescent="0.25">
      <c r="A4625" t="s">
        <v>12610</v>
      </c>
      <c r="B4625">
        <v>1</v>
      </c>
      <c r="C4625">
        <v>18</v>
      </c>
      <c r="D4625">
        <v>18</v>
      </c>
    </row>
    <row r="4626" spans="1:4" ht="15" x14ac:dyDescent="0.25">
      <c r="A4626" t="s">
        <v>12612</v>
      </c>
      <c r="B4626">
        <v>1</v>
      </c>
      <c r="C4626">
        <v>18</v>
      </c>
      <c r="D4626">
        <v>18</v>
      </c>
    </row>
    <row r="4627" spans="1:4" ht="15" x14ac:dyDescent="0.25">
      <c r="A4627" t="s">
        <v>12611</v>
      </c>
      <c r="B4627">
        <v>1</v>
      </c>
      <c r="C4627">
        <v>18</v>
      </c>
      <c r="D4627">
        <v>18</v>
      </c>
    </row>
    <row r="4628" spans="1:4" ht="15" x14ac:dyDescent="0.25">
      <c r="A4628" t="s">
        <v>12620</v>
      </c>
      <c r="B4628">
        <v>1</v>
      </c>
      <c r="C4628">
        <v>62</v>
      </c>
      <c r="D4628">
        <v>62</v>
      </c>
    </row>
    <row r="4629" spans="1:4" ht="15" x14ac:dyDescent="0.25">
      <c r="A4629" t="s">
        <v>12621</v>
      </c>
      <c r="B4629">
        <v>3</v>
      </c>
      <c r="C4629">
        <v>270</v>
      </c>
      <c r="D4629">
        <v>90</v>
      </c>
    </row>
    <row r="4630" spans="1:4" ht="15" x14ac:dyDescent="0.25">
      <c r="A4630" t="s">
        <v>12622</v>
      </c>
      <c r="B4630">
        <v>1</v>
      </c>
      <c r="C4630">
        <v>62</v>
      </c>
      <c r="D4630">
        <v>62</v>
      </c>
    </row>
    <row r="4631" spans="1:4" ht="15" x14ac:dyDescent="0.25">
      <c r="A4631" t="s">
        <v>12626</v>
      </c>
      <c r="B4631">
        <v>5</v>
      </c>
      <c r="C4631">
        <v>132</v>
      </c>
      <c r="D4631">
        <v>26.4</v>
      </c>
    </row>
    <row r="4632" spans="1:4" ht="15" x14ac:dyDescent="0.25">
      <c r="A4632" t="s">
        <v>12627</v>
      </c>
      <c r="B4632">
        <v>1</v>
      </c>
      <c r="C4632">
        <v>9</v>
      </c>
      <c r="D4632">
        <v>9</v>
      </c>
    </row>
    <row r="4633" spans="1:4" ht="15" x14ac:dyDescent="0.25">
      <c r="A4633" t="s">
        <v>12632</v>
      </c>
      <c r="B4633">
        <v>1</v>
      </c>
      <c r="C4633">
        <v>142</v>
      </c>
      <c r="D4633">
        <v>142</v>
      </c>
    </row>
    <row r="4634" spans="1:4" ht="15" x14ac:dyDescent="0.25">
      <c r="A4634" t="s">
        <v>12634</v>
      </c>
      <c r="B4634">
        <v>1</v>
      </c>
      <c r="C4634">
        <v>142</v>
      </c>
      <c r="D4634">
        <v>142</v>
      </c>
    </row>
    <row r="4635" spans="1:4" ht="15" x14ac:dyDescent="0.25">
      <c r="A4635" t="s">
        <v>12633</v>
      </c>
      <c r="B4635">
        <v>1</v>
      </c>
      <c r="C4635">
        <v>142</v>
      </c>
      <c r="D4635">
        <v>142</v>
      </c>
    </row>
    <row r="4636" spans="1:4" ht="15" x14ac:dyDescent="0.25">
      <c r="A4636" t="s">
        <v>12637</v>
      </c>
      <c r="B4636">
        <v>8</v>
      </c>
      <c r="C4636">
        <v>294</v>
      </c>
      <c r="D4636">
        <v>36.75</v>
      </c>
    </row>
    <row r="4637" spans="1:4" ht="15" x14ac:dyDescent="0.25">
      <c r="A4637" t="s">
        <v>12641</v>
      </c>
      <c r="B4637">
        <v>1</v>
      </c>
      <c r="C4637">
        <v>47</v>
      </c>
      <c r="D4637">
        <v>47</v>
      </c>
    </row>
    <row r="4638" spans="1:4" ht="15" x14ac:dyDescent="0.25">
      <c r="A4638" t="s">
        <v>12646</v>
      </c>
      <c r="B4638">
        <v>1</v>
      </c>
      <c r="C4638">
        <v>70</v>
      </c>
      <c r="D4638">
        <v>70</v>
      </c>
    </row>
    <row r="4639" spans="1:4" ht="15" x14ac:dyDescent="0.25">
      <c r="A4639" t="s">
        <v>12651</v>
      </c>
      <c r="B4639">
        <v>3</v>
      </c>
      <c r="C4639">
        <v>60</v>
      </c>
      <c r="D4639">
        <v>20</v>
      </c>
    </row>
    <row r="4640" spans="1:4" ht="15" x14ac:dyDescent="0.25">
      <c r="A4640" t="s">
        <v>12658</v>
      </c>
      <c r="B4640">
        <v>1</v>
      </c>
      <c r="C4640">
        <v>32</v>
      </c>
      <c r="D4640">
        <v>32</v>
      </c>
    </row>
    <row r="4641" spans="1:4" ht="15" x14ac:dyDescent="0.25">
      <c r="A4641" t="s">
        <v>12660</v>
      </c>
      <c r="B4641">
        <v>3</v>
      </c>
      <c r="C4641">
        <v>67</v>
      </c>
      <c r="D4641">
        <v>22.333333333333332</v>
      </c>
    </row>
    <row r="4642" spans="1:4" ht="15" x14ac:dyDescent="0.25">
      <c r="A4642" t="s">
        <v>12661</v>
      </c>
      <c r="B4642">
        <v>1</v>
      </c>
      <c r="C4642">
        <v>32</v>
      </c>
      <c r="D4642">
        <v>32</v>
      </c>
    </row>
    <row r="4643" spans="1:4" ht="15" x14ac:dyDescent="0.25">
      <c r="A4643" t="s">
        <v>12659</v>
      </c>
      <c r="B4643">
        <v>1</v>
      </c>
      <c r="C4643">
        <v>32</v>
      </c>
      <c r="D4643">
        <v>32</v>
      </c>
    </row>
    <row r="4644" spans="1:4" ht="15" x14ac:dyDescent="0.25">
      <c r="A4644" t="s">
        <v>12665</v>
      </c>
      <c r="B4644">
        <v>2</v>
      </c>
      <c r="C4644">
        <v>159</v>
      </c>
      <c r="D4644">
        <v>79.5</v>
      </c>
    </row>
    <row r="4645" spans="1:4" ht="15" x14ac:dyDescent="0.25">
      <c r="A4645" t="s">
        <v>12668</v>
      </c>
      <c r="B4645">
        <v>1</v>
      </c>
      <c r="C4645">
        <v>10</v>
      </c>
      <c r="D4645">
        <v>10</v>
      </c>
    </row>
    <row r="4646" spans="1:4" ht="15" x14ac:dyDescent="0.25">
      <c r="A4646" t="s">
        <v>12669</v>
      </c>
      <c r="B4646">
        <v>8</v>
      </c>
      <c r="C4646">
        <v>241</v>
      </c>
      <c r="D4646">
        <v>30.125</v>
      </c>
    </row>
    <row r="4647" spans="1:4" ht="15" x14ac:dyDescent="0.25">
      <c r="A4647" t="s">
        <v>12672</v>
      </c>
      <c r="B4647">
        <v>2</v>
      </c>
      <c r="C4647">
        <v>128</v>
      </c>
      <c r="D4647">
        <v>64</v>
      </c>
    </row>
    <row r="4648" spans="1:4" ht="15" x14ac:dyDescent="0.25">
      <c r="A4648" t="s">
        <v>12676</v>
      </c>
      <c r="B4648">
        <v>1</v>
      </c>
      <c r="C4648">
        <v>51</v>
      </c>
      <c r="D4648">
        <v>51</v>
      </c>
    </row>
    <row r="4649" spans="1:4" ht="15" x14ac:dyDescent="0.25">
      <c r="A4649" t="s">
        <v>12678</v>
      </c>
      <c r="B4649">
        <v>1</v>
      </c>
      <c r="C4649">
        <v>51</v>
      </c>
      <c r="D4649">
        <v>51</v>
      </c>
    </row>
    <row r="4650" spans="1:4" ht="15" x14ac:dyDescent="0.25">
      <c r="A4650" t="s">
        <v>12679</v>
      </c>
      <c r="B4650">
        <v>1</v>
      </c>
      <c r="C4650">
        <v>51</v>
      </c>
      <c r="D4650">
        <v>51</v>
      </c>
    </row>
    <row r="4651" spans="1:4" ht="15" x14ac:dyDescent="0.25">
      <c r="A4651" t="s">
        <v>12677</v>
      </c>
      <c r="B4651">
        <v>1</v>
      </c>
      <c r="C4651">
        <v>51</v>
      </c>
      <c r="D4651">
        <v>51</v>
      </c>
    </row>
    <row r="4652" spans="1:4" ht="15" x14ac:dyDescent="0.25">
      <c r="A4652" t="s">
        <v>12681</v>
      </c>
      <c r="B4652">
        <v>6</v>
      </c>
      <c r="C4652">
        <v>184</v>
      </c>
      <c r="D4652">
        <v>30.666666666666668</v>
      </c>
    </row>
    <row r="4653" spans="1:4" ht="15" x14ac:dyDescent="0.25">
      <c r="A4653" t="s">
        <v>12686</v>
      </c>
      <c r="B4653">
        <v>3</v>
      </c>
      <c r="C4653">
        <v>150</v>
      </c>
      <c r="D4653">
        <v>50</v>
      </c>
    </row>
    <row r="4654" spans="1:4" ht="15" x14ac:dyDescent="0.25">
      <c r="A4654" t="s">
        <v>12682</v>
      </c>
      <c r="B4654">
        <v>1</v>
      </c>
      <c r="C4654">
        <v>100</v>
      </c>
      <c r="D4654">
        <v>100</v>
      </c>
    </row>
    <row r="4655" spans="1:4" ht="15" x14ac:dyDescent="0.25">
      <c r="A4655" t="s">
        <v>12687</v>
      </c>
      <c r="B4655">
        <v>1</v>
      </c>
      <c r="C4655">
        <v>100</v>
      </c>
      <c r="D4655">
        <v>100</v>
      </c>
    </row>
    <row r="4656" spans="1:4" ht="15" x14ac:dyDescent="0.25">
      <c r="A4656" t="s">
        <v>12692</v>
      </c>
      <c r="B4656">
        <v>1</v>
      </c>
      <c r="C4656">
        <v>21</v>
      </c>
      <c r="D4656">
        <v>21</v>
      </c>
    </row>
    <row r="4657" spans="1:4" ht="15" x14ac:dyDescent="0.25">
      <c r="A4657" t="s">
        <v>12693</v>
      </c>
      <c r="B4657">
        <v>1</v>
      </c>
      <c r="C4657">
        <v>21</v>
      </c>
      <c r="D4657">
        <v>21</v>
      </c>
    </row>
    <row r="4658" spans="1:4" ht="15" x14ac:dyDescent="0.25">
      <c r="A4658" t="s">
        <v>12694</v>
      </c>
      <c r="B4658">
        <v>1</v>
      </c>
      <c r="C4658">
        <v>21</v>
      </c>
      <c r="D4658">
        <v>21</v>
      </c>
    </row>
    <row r="4659" spans="1:4" ht="15" x14ac:dyDescent="0.25">
      <c r="A4659" t="s">
        <v>12697</v>
      </c>
      <c r="B4659">
        <v>2</v>
      </c>
      <c r="C4659">
        <v>121</v>
      </c>
      <c r="D4659">
        <v>60.5</v>
      </c>
    </row>
    <row r="4660" spans="1:4" ht="15" x14ac:dyDescent="0.25">
      <c r="A4660" t="s">
        <v>12698</v>
      </c>
      <c r="B4660">
        <v>2</v>
      </c>
      <c r="C4660">
        <v>47</v>
      </c>
      <c r="D4660">
        <v>23.5</v>
      </c>
    </row>
    <row r="4661" spans="1:4" ht="15" x14ac:dyDescent="0.25">
      <c r="A4661" t="s">
        <v>12705</v>
      </c>
      <c r="B4661">
        <v>3</v>
      </c>
      <c r="C4661">
        <v>1153</v>
      </c>
      <c r="D4661">
        <v>384.33333333333331</v>
      </c>
    </row>
    <row r="4662" spans="1:4" ht="15" x14ac:dyDescent="0.25">
      <c r="A4662" t="s">
        <v>12706</v>
      </c>
      <c r="B4662">
        <v>4</v>
      </c>
      <c r="C4662">
        <v>1551</v>
      </c>
      <c r="D4662">
        <v>387.75</v>
      </c>
    </row>
    <row r="4663" spans="1:4" ht="15" x14ac:dyDescent="0.25">
      <c r="A4663" t="s">
        <v>12710</v>
      </c>
      <c r="B4663">
        <v>1</v>
      </c>
      <c r="C4663">
        <v>65</v>
      </c>
      <c r="D4663">
        <v>65</v>
      </c>
    </row>
    <row r="4664" spans="1:4" ht="15" x14ac:dyDescent="0.25">
      <c r="A4664" t="s">
        <v>12714</v>
      </c>
      <c r="B4664">
        <v>1</v>
      </c>
      <c r="C4664">
        <v>17</v>
      </c>
      <c r="D4664">
        <v>17</v>
      </c>
    </row>
    <row r="4665" spans="1:4" ht="15" x14ac:dyDescent="0.25">
      <c r="A4665" t="s">
        <v>12718</v>
      </c>
      <c r="B4665">
        <v>1</v>
      </c>
      <c r="C4665">
        <v>47</v>
      </c>
      <c r="D4665">
        <v>47</v>
      </c>
    </row>
    <row r="4666" spans="1:4" ht="15" x14ac:dyDescent="0.25">
      <c r="A4666" t="s">
        <v>12719</v>
      </c>
      <c r="B4666">
        <v>1</v>
      </c>
      <c r="C4666">
        <v>47</v>
      </c>
      <c r="D4666">
        <v>47</v>
      </c>
    </row>
    <row r="4667" spans="1:4" ht="15" x14ac:dyDescent="0.25">
      <c r="A4667" t="s">
        <v>12726</v>
      </c>
      <c r="B4667">
        <v>1</v>
      </c>
      <c r="C4667">
        <v>43</v>
      </c>
      <c r="D4667">
        <v>43</v>
      </c>
    </row>
    <row r="4668" spans="1:4" ht="15" x14ac:dyDescent="0.25">
      <c r="A4668" t="s">
        <v>12728</v>
      </c>
      <c r="B4668">
        <v>2</v>
      </c>
      <c r="C4668">
        <v>156</v>
      </c>
      <c r="D4668">
        <v>78</v>
      </c>
    </row>
    <row r="4669" spans="1:4" ht="15" x14ac:dyDescent="0.25">
      <c r="A4669" t="s">
        <v>12727</v>
      </c>
      <c r="B4669">
        <v>1</v>
      </c>
      <c r="C4669">
        <v>43</v>
      </c>
      <c r="D4669">
        <v>43</v>
      </c>
    </row>
    <row r="4670" spans="1:4" ht="15" x14ac:dyDescent="0.25">
      <c r="A4670" t="s">
        <v>12731</v>
      </c>
      <c r="B4670">
        <v>1</v>
      </c>
      <c r="C4670">
        <v>46</v>
      </c>
      <c r="D4670">
        <v>46</v>
      </c>
    </row>
    <row r="4671" spans="1:4" ht="15" x14ac:dyDescent="0.25">
      <c r="A4671" t="s">
        <v>12732</v>
      </c>
      <c r="B4671">
        <v>4</v>
      </c>
      <c r="C4671">
        <v>241</v>
      </c>
      <c r="D4671">
        <v>60.25</v>
      </c>
    </row>
    <row r="4672" spans="1:4" ht="15" x14ac:dyDescent="0.25">
      <c r="A4672" t="s">
        <v>12736</v>
      </c>
      <c r="B4672">
        <v>1</v>
      </c>
      <c r="C4672">
        <v>109</v>
      </c>
      <c r="D4672">
        <v>109</v>
      </c>
    </row>
    <row r="4673" spans="1:4" ht="15" x14ac:dyDescent="0.25">
      <c r="A4673" t="s">
        <v>12740</v>
      </c>
      <c r="B4673">
        <v>2</v>
      </c>
      <c r="C4673">
        <v>40</v>
      </c>
      <c r="D4673">
        <v>20</v>
      </c>
    </row>
    <row r="4674" spans="1:4" ht="15" x14ac:dyDescent="0.25">
      <c r="A4674" t="s">
        <v>12741</v>
      </c>
      <c r="B4674">
        <v>1</v>
      </c>
      <c r="C4674">
        <v>21</v>
      </c>
      <c r="D4674">
        <v>21</v>
      </c>
    </row>
    <row r="4675" spans="1:4" ht="15" x14ac:dyDescent="0.25">
      <c r="A4675" t="s">
        <v>12742</v>
      </c>
      <c r="B4675">
        <v>1</v>
      </c>
      <c r="C4675">
        <v>21</v>
      </c>
      <c r="D4675">
        <v>21</v>
      </c>
    </row>
    <row r="4676" spans="1:4" ht="15" x14ac:dyDescent="0.25">
      <c r="A4676" t="s">
        <v>12746</v>
      </c>
      <c r="B4676">
        <v>1</v>
      </c>
      <c r="C4676">
        <v>20</v>
      </c>
      <c r="D4676">
        <v>20</v>
      </c>
    </row>
    <row r="4677" spans="1:4" ht="15" x14ac:dyDescent="0.25">
      <c r="A4677" t="s">
        <v>12747</v>
      </c>
      <c r="B4677">
        <v>3</v>
      </c>
      <c r="C4677">
        <v>93</v>
      </c>
      <c r="D4677">
        <v>31</v>
      </c>
    </row>
    <row r="4678" spans="1:4" ht="15" x14ac:dyDescent="0.25">
      <c r="A4678" t="s">
        <v>12749</v>
      </c>
      <c r="B4678">
        <v>2</v>
      </c>
      <c r="C4678">
        <v>35</v>
      </c>
      <c r="D4678">
        <v>17.5</v>
      </c>
    </row>
    <row r="4679" spans="1:4" ht="15" x14ac:dyDescent="0.25">
      <c r="A4679" t="s">
        <v>12748</v>
      </c>
      <c r="B4679">
        <v>4</v>
      </c>
      <c r="C4679">
        <v>140</v>
      </c>
      <c r="D4679">
        <v>35</v>
      </c>
    </row>
    <row r="4680" spans="1:4" ht="15" x14ac:dyDescent="0.25">
      <c r="A4680" t="s">
        <v>12752</v>
      </c>
      <c r="B4680">
        <v>3</v>
      </c>
      <c r="C4680">
        <v>53</v>
      </c>
      <c r="D4680">
        <v>17.666666666666668</v>
      </c>
    </row>
    <row r="4681" spans="1:4" ht="15" x14ac:dyDescent="0.25">
      <c r="A4681" t="s">
        <v>12756</v>
      </c>
      <c r="B4681">
        <v>1</v>
      </c>
      <c r="C4681">
        <v>101</v>
      </c>
      <c r="D4681">
        <v>101</v>
      </c>
    </row>
    <row r="4682" spans="1:4" ht="15" x14ac:dyDescent="0.25">
      <c r="A4682" t="s">
        <v>12757</v>
      </c>
      <c r="B4682">
        <v>1</v>
      </c>
      <c r="C4682">
        <v>101</v>
      </c>
      <c r="D4682">
        <v>101</v>
      </c>
    </row>
    <row r="4683" spans="1:4" ht="15" x14ac:dyDescent="0.25">
      <c r="A4683" t="s">
        <v>12763</v>
      </c>
      <c r="B4683">
        <v>1</v>
      </c>
      <c r="C4683">
        <v>32</v>
      </c>
      <c r="D4683">
        <v>32</v>
      </c>
    </row>
    <row r="4684" spans="1:4" ht="15" x14ac:dyDescent="0.25">
      <c r="A4684" t="s">
        <v>12764</v>
      </c>
      <c r="B4684">
        <v>1</v>
      </c>
      <c r="C4684">
        <v>32</v>
      </c>
      <c r="D4684">
        <v>32</v>
      </c>
    </row>
    <row r="4685" spans="1:4" ht="15" x14ac:dyDescent="0.25">
      <c r="A4685" t="s">
        <v>12762</v>
      </c>
      <c r="B4685">
        <v>1</v>
      </c>
      <c r="C4685">
        <v>32</v>
      </c>
      <c r="D4685">
        <v>32</v>
      </c>
    </row>
    <row r="4686" spans="1:4" ht="15" x14ac:dyDescent="0.25">
      <c r="A4686" t="s">
        <v>12769</v>
      </c>
      <c r="B4686">
        <v>1</v>
      </c>
      <c r="C4686">
        <v>30</v>
      </c>
      <c r="D4686">
        <v>30</v>
      </c>
    </row>
    <row r="4687" spans="1:4" ht="15" x14ac:dyDescent="0.25">
      <c r="A4687" t="s">
        <v>12770</v>
      </c>
      <c r="B4687">
        <v>1</v>
      </c>
      <c r="C4687">
        <v>30</v>
      </c>
      <c r="D4687">
        <v>30</v>
      </c>
    </row>
    <row r="4688" spans="1:4" ht="15" x14ac:dyDescent="0.25">
      <c r="A4688" t="s">
        <v>12772</v>
      </c>
      <c r="B4688">
        <v>1</v>
      </c>
      <c r="C4688">
        <v>30</v>
      </c>
      <c r="D4688">
        <v>30</v>
      </c>
    </row>
    <row r="4689" spans="1:4" ht="15" x14ac:dyDescent="0.25">
      <c r="A4689" t="s">
        <v>12771</v>
      </c>
      <c r="B4689">
        <v>2</v>
      </c>
      <c r="C4689">
        <v>103</v>
      </c>
      <c r="D4689">
        <v>51.5</v>
      </c>
    </row>
    <row r="4690" spans="1:4" ht="15" x14ac:dyDescent="0.25">
      <c r="A4690" t="s">
        <v>12778</v>
      </c>
      <c r="B4690">
        <v>1</v>
      </c>
      <c r="C4690">
        <v>22</v>
      </c>
      <c r="D4690">
        <v>22</v>
      </c>
    </row>
    <row r="4691" spans="1:4" ht="15" x14ac:dyDescent="0.25">
      <c r="A4691" t="s">
        <v>12779</v>
      </c>
      <c r="B4691">
        <v>1</v>
      </c>
      <c r="C4691">
        <v>22</v>
      </c>
      <c r="D4691">
        <v>22</v>
      </c>
    </row>
    <row r="4692" spans="1:4" ht="15" x14ac:dyDescent="0.25">
      <c r="A4692" t="s">
        <v>12781</v>
      </c>
      <c r="B4692">
        <v>1</v>
      </c>
      <c r="C4692">
        <v>22</v>
      </c>
      <c r="D4692">
        <v>22</v>
      </c>
    </row>
    <row r="4693" spans="1:4" ht="15" x14ac:dyDescent="0.25">
      <c r="A4693" t="s">
        <v>12782</v>
      </c>
      <c r="B4693">
        <v>1</v>
      </c>
      <c r="C4693">
        <v>22</v>
      </c>
      <c r="D4693">
        <v>22</v>
      </c>
    </row>
    <row r="4694" spans="1:4" ht="15" x14ac:dyDescent="0.25">
      <c r="A4694" t="s">
        <v>12780</v>
      </c>
      <c r="B4694">
        <v>1</v>
      </c>
      <c r="C4694">
        <v>22</v>
      </c>
      <c r="D4694">
        <v>22</v>
      </c>
    </row>
    <row r="4695" spans="1:4" ht="15" x14ac:dyDescent="0.25">
      <c r="A4695" t="s">
        <v>12786</v>
      </c>
      <c r="B4695">
        <v>1</v>
      </c>
      <c r="C4695">
        <v>80</v>
      </c>
      <c r="D4695">
        <v>80</v>
      </c>
    </row>
    <row r="4696" spans="1:4" ht="15" x14ac:dyDescent="0.25">
      <c r="A4696" t="s">
        <v>12788</v>
      </c>
      <c r="B4696">
        <v>1</v>
      </c>
      <c r="C4696">
        <v>80</v>
      </c>
      <c r="D4696">
        <v>80</v>
      </c>
    </row>
    <row r="4697" spans="1:4" ht="15" x14ac:dyDescent="0.25">
      <c r="A4697" t="s">
        <v>12789</v>
      </c>
      <c r="B4697">
        <v>1</v>
      </c>
      <c r="C4697">
        <v>80</v>
      </c>
      <c r="D4697">
        <v>80</v>
      </c>
    </row>
    <row r="4698" spans="1:4" ht="15" x14ac:dyDescent="0.25">
      <c r="A4698" t="s">
        <v>12787</v>
      </c>
      <c r="B4698">
        <v>1</v>
      </c>
      <c r="C4698">
        <v>80</v>
      </c>
      <c r="D4698">
        <v>80</v>
      </c>
    </row>
    <row r="4699" spans="1:4" ht="15" x14ac:dyDescent="0.25">
      <c r="A4699" t="s">
        <v>12793</v>
      </c>
      <c r="B4699">
        <v>1</v>
      </c>
      <c r="C4699">
        <v>71</v>
      </c>
      <c r="D4699">
        <v>71</v>
      </c>
    </row>
    <row r="4700" spans="1:4" ht="15" x14ac:dyDescent="0.25">
      <c r="A4700" t="s">
        <v>12794</v>
      </c>
      <c r="B4700">
        <v>1</v>
      </c>
      <c r="C4700">
        <v>71</v>
      </c>
      <c r="D4700">
        <v>71</v>
      </c>
    </row>
    <row r="4701" spans="1:4" ht="15" x14ac:dyDescent="0.25">
      <c r="A4701" t="s">
        <v>12795</v>
      </c>
      <c r="B4701">
        <v>1</v>
      </c>
      <c r="C4701">
        <v>71</v>
      </c>
      <c r="D4701">
        <v>71</v>
      </c>
    </row>
    <row r="4702" spans="1:4" ht="15" x14ac:dyDescent="0.25">
      <c r="A4702" t="s">
        <v>12800</v>
      </c>
      <c r="B4702">
        <v>1</v>
      </c>
      <c r="C4702">
        <v>43</v>
      </c>
      <c r="D4702">
        <v>43</v>
      </c>
    </row>
    <row r="4703" spans="1:4" ht="15" x14ac:dyDescent="0.25">
      <c r="A4703" t="s">
        <v>12801</v>
      </c>
      <c r="B4703">
        <v>1</v>
      </c>
      <c r="C4703">
        <v>43</v>
      </c>
      <c r="D4703">
        <v>43</v>
      </c>
    </row>
    <row r="4704" spans="1:4" ht="15" x14ac:dyDescent="0.25">
      <c r="A4704" t="s">
        <v>12803</v>
      </c>
      <c r="B4704">
        <v>2</v>
      </c>
      <c r="C4704">
        <v>84</v>
      </c>
      <c r="D4704">
        <v>42</v>
      </c>
    </row>
    <row r="4705" spans="1:4" ht="15" x14ac:dyDescent="0.25">
      <c r="A4705" t="s">
        <v>12804</v>
      </c>
      <c r="B4705">
        <v>1</v>
      </c>
      <c r="C4705">
        <v>43</v>
      </c>
      <c r="D4705">
        <v>43</v>
      </c>
    </row>
    <row r="4706" spans="1:4" ht="15" x14ac:dyDescent="0.25">
      <c r="A4706" t="s">
        <v>12802</v>
      </c>
      <c r="B4706">
        <v>1</v>
      </c>
      <c r="C4706">
        <v>43</v>
      </c>
      <c r="D4706">
        <v>43</v>
      </c>
    </row>
    <row r="4707" spans="1:4" ht="15" x14ac:dyDescent="0.25">
      <c r="A4707" t="s">
        <v>12809</v>
      </c>
      <c r="B4707">
        <v>2</v>
      </c>
      <c r="C4707">
        <v>112</v>
      </c>
      <c r="D4707">
        <v>56</v>
      </c>
    </row>
    <row r="4708" spans="1:4" ht="15" x14ac:dyDescent="0.25">
      <c r="A4708" t="s">
        <v>12811</v>
      </c>
      <c r="B4708">
        <v>1</v>
      </c>
      <c r="C4708">
        <v>51</v>
      </c>
      <c r="D4708">
        <v>51</v>
      </c>
    </row>
    <row r="4709" spans="1:4" ht="15" x14ac:dyDescent="0.25">
      <c r="A4709" t="s">
        <v>12810</v>
      </c>
      <c r="B4709">
        <v>2</v>
      </c>
      <c r="C4709">
        <v>73</v>
      </c>
      <c r="D4709">
        <v>36.5</v>
      </c>
    </row>
    <row r="4710" spans="1:4" ht="15" x14ac:dyDescent="0.25">
      <c r="A4710" t="s">
        <v>12817</v>
      </c>
      <c r="B4710">
        <v>1</v>
      </c>
      <c r="C4710">
        <v>18</v>
      </c>
      <c r="D4710">
        <v>18</v>
      </c>
    </row>
    <row r="4711" spans="1:4" ht="15" x14ac:dyDescent="0.25">
      <c r="A4711" t="s">
        <v>12818</v>
      </c>
      <c r="B4711">
        <v>2</v>
      </c>
      <c r="C4711">
        <v>37</v>
      </c>
      <c r="D4711">
        <v>18.5</v>
      </c>
    </row>
    <row r="4712" spans="1:4" ht="15" x14ac:dyDescent="0.25">
      <c r="A4712" t="s">
        <v>12819</v>
      </c>
      <c r="B4712">
        <v>1</v>
      </c>
      <c r="C4712">
        <v>18</v>
      </c>
      <c r="D4712">
        <v>18</v>
      </c>
    </row>
    <row r="4713" spans="1:4" ht="15" x14ac:dyDescent="0.25">
      <c r="A4713" t="s">
        <v>12820</v>
      </c>
      <c r="B4713">
        <v>1</v>
      </c>
      <c r="C4713">
        <v>18</v>
      </c>
      <c r="D4713">
        <v>18</v>
      </c>
    </row>
    <row r="4714" spans="1:4" ht="15" x14ac:dyDescent="0.25">
      <c r="A4714" t="s">
        <v>12830</v>
      </c>
      <c r="B4714">
        <v>3</v>
      </c>
      <c r="C4714">
        <v>44</v>
      </c>
      <c r="D4714">
        <v>14.666666666666666</v>
      </c>
    </row>
    <row r="4715" spans="1:4" ht="15" x14ac:dyDescent="0.25">
      <c r="A4715" t="s">
        <v>12832</v>
      </c>
      <c r="B4715">
        <v>1</v>
      </c>
      <c r="C4715">
        <v>12</v>
      </c>
      <c r="D4715">
        <v>12</v>
      </c>
    </row>
    <row r="4716" spans="1:4" ht="15" x14ac:dyDescent="0.25">
      <c r="A4716" t="s">
        <v>12831</v>
      </c>
      <c r="B4716">
        <v>1</v>
      </c>
      <c r="C4716">
        <v>12</v>
      </c>
      <c r="D4716">
        <v>12</v>
      </c>
    </row>
    <row r="4717" spans="1:4" ht="15" x14ac:dyDescent="0.25">
      <c r="A4717" t="s">
        <v>12837</v>
      </c>
      <c r="B4717">
        <v>1</v>
      </c>
      <c r="C4717">
        <v>18</v>
      </c>
      <c r="D4717">
        <v>18</v>
      </c>
    </row>
    <row r="4718" spans="1:4" ht="15" x14ac:dyDescent="0.25">
      <c r="A4718" t="s">
        <v>12838</v>
      </c>
      <c r="B4718">
        <v>1</v>
      </c>
      <c r="C4718">
        <v>18</v>
      </c>
      <c r="D4718">
        <v>18</v>
      </c>
    </row>
    <row r="4719" spans="1:4" ht="15" x14ac:dyDescent="0.25">
      <c r="A4719" t="s">
        <v>12839</v>
      </c>
      <c r="B4719">
        <v>1</v>
      </c>
      <c r="C4719">
        <v>18</v>
      </c>
      <c r="D4719">
        <v>18</v>
      </c>
    </row>
    <row r="4720" spans="1:4" ht="15" x14ac:dyDescent="0.25">
      <c r="A4720" t="s">
        <v>12843</v>
      </c>
      <c r="B4720">
        <v>1</v>
      </c>
      <c r="C4720">
        <v>31</v>
      </c>
      <c r="D4720">
        <v>31</v>
      </c>
    </row>
    <row r="4721" spans="1:4" ht="15" x14ac:dyDescent="0.25">
      <c r="A4721" t="s">
        <v>12844</v>
      </c>
      <c r="B4721">
        <v>1</v>
      </c>
      <c r="C4721">
        <v>31</v>
      </c>
      <c r="D4721">
        <v>31</v>
      </c>
    </row>
    <row r="4722" spans="1:4" ht="15" x14ac:dyDescent="0.25">
      <c r="A4722" t="s">
        <v>12851</v>
      </c>
      <c r="B4722">
        <v>1</v>
      </c>
      <c r="C4722">
        <v>29</v>
      </c>
      <c r="D4722">
        <v>29</v>
      </c>
    </row>
    <row r="4723" spans="1:4" ht="15" x14ac:dyDescent="0.25">
      <c r="A4723" t="s">
        <v>12852</v>
      </c>
      <c r="B4723">
        <v>1</v>
      </c>
      <c r="C4723">
        <v>29</v>
      </c>
      <c r="D4723">
        <v>29</v>
      </c>
    </row>
    <row r="4724" spans="1:4" ht="15" x14ac:dyDescent="0.25">
      <c r="A4724" t="s">
        <v>12853</v>
      </c>
      <c r="B4724">
        <v>1</v>
      </c>
      <c r="C4724">
        <v>29</v>
      </c>
      <c r="D4724">
        <v>29</v>
      </c>
    </row>
    <row r="4725" spans="1:4" ht="15" x14ac:dyDescent="0.25">
      <c r="A4725" t="s">
        <v>12859</v>
      </c>
      <c r="B4725">
        <v>1</v>
      </c>
      <c r="C4725">
        <v>28</v>
      </c>
      <c r="D4725">
        <v>28</v>
      </c>
    </row>
    <row r="4726" spans="1:4" ht="15" x14ac:dyDescent="0.25">
      <c r="A4726" t="s">
        <v>12861</v>
      </c>
      <c r="B4726">
        <v>1</v>
      </c>
      <c r="C4726">
        <v>28</v>
      </c>
      <c r="D4726">
        <v>28</v>
      </c>
    </row>
    <row r="4727" spans="1:4" ht="15" x14ac:dyDescent="0.25">
      <c r="A4727" t="s">
        <v>12860</v>
      </c>
      <c r="B4727">
        <v>2</v>
      </c>
      <c r="C4727">
        <v>52</v>
      </c>
      <c r="D4727">
        <v>26</v>
      </c>
    </row>
    <row r="4728" spans="1:4" ht="15" x14ac:dyDescent="0.25">
      <c r="A4728" t="s">
        <v>12869</v>
      </c>
      <c r="B4728">
        <v>1</v>
      </c>
      <c r="C4728">
        <v>857</v>
      </c>
      <c r="D4728">
        <v>857</v>
      </c>
    </row>
    <row r="4729" spans="1:4" ht="15" x14ac:dyDescent="0.25">
      <c r="A4729" t="s">
        <v>12870</v>
      </c>
      <c r="B4729">
        <v>1</v>
      </c>
      <c r="C4729">
        <v>857</v>
      </c>
      <c r="D4729">
        <v>857</v>
      </c>
    </row>
    <row r="4730" spans="1:4" ht="15" x14ac:dyDescent="0.25">
      <c r="A4730" t="s">
        <v>12871</v>
      </c>
      <c r="B4730">
        <v>2</v>
      </c>
      <c r="C4730">
        <v>883</v>
      </c>
      <c r="D4730">
        <v>441.5</v>
      </c>
    </row>
    <row r="4731" spans="1:4" ht="15" x14ac:dyDescent="0.25">
      <c r="A4731" t="s">
        <v>12874</v>
      </c>
      <c r="B4731">
        <v>1</v>
      </c>
      <c r="C4731">
        <v>23</v>
      </c>
      <c r="D4731">
        <v>23</v>
      </c>
    </row>
    <row r="4732" spans="1:4" ht="15" x14ac:dyDescent="0.25">
      <c r="A4732" t="s">
        <v>12875</v>
      </c>
      <c r="B4732">
        <v>1</v>
      </c>
      <c r="C4732">
        <v>23</v>
      </c>
      <c r="D4732">
        <v>23</v>
      </c>
    </row>
    <row r="4733" spans="1:4" ht="15" x14ac:dyDescent="0.25">
      <c r="A4733" t="s">
        <v>12876</v>
      </c>
      <c r="B4733">
        <v>1</v>
      </c>
      <c r="C4733">
        <v>23</v>
      </c>
      <c r="D4733">
        <v>23</v>
      </c>
    </row>
    <row r="4734" spans="1:4" ht="15" x14ac:dyDescent="0.25">
      <c r="A4734" t="s">
        <v>12881</v>
      </c>
      <c r="B4734">
        <v>1</v>
      </c>
      <c r="C4734">
        <v>8</v>
      </c>
      <c r="D4734">
        <v>8</v>
      </c>
    </row>
    <row r="4735" spans="1:4" ht="15" x14ac:dyDescent="0.25">
      <c r="A4735" t="s">
        <v>12882</v>
      </c>
      <c r="B4735">
        <v>1</v>
      </c>
      <c r="C4735">
        <v>8</v>
      </c>
      <c r="D4735">
        <v>8</v>
      </c>
    </row>
    <row r="4736" spans="1:4" ht="15" x14ac:dyDescent="0.25">
      <c r="A4736" t="s">
        <v>12886</v>
      </c>
      <c r="B4736">
        <v>1</v>
      </c>
      <c r="C4736">
        <v>233</v>
      </c>
      <c r="D4736">
        <v>233</v>
      </c>
    </row>
    <row r="4737" spans="1:4" ht="15" x14ac:dyDescent="0.25">
      <c r="A4737" t="s">
        <v>12887</v>
      </c>
      <c r="B4737">
        <v>1</v>
      </c>
      <c r="C4737">
        <v>233</v>
      </c>
      <c r="D4737">
        <v>233</v>
      </c>
    </row>
    <row r="4738" spans="1:4" ht="15" x14ac:dyDescent="0.25">
      <c r="A4738" t="s">
        <v>12889</v>
      </c>
      <c r="B4738">
        <v>1</v>
      </c>
      <c r="C4738">
        <v>233</v>
      </c>
      <c r="D4738">
        <v>233</v>
      </c>
    </row>
    <row r="4739" spans="1:4" ht="15" x14ac:dyDescent="0.25">
      <c r="A4739" t="s">
        <v>12890</v>
      </c>
      <c r="B4739">
        <v>1</v>
      </c>
      <c r="C4739">
        <v>233</v>
      </c>
      <c r="D4739">
        <v>233</v>
      </c>
    </row>
    <row r="4740" spans="1:4" ht="15" x14ac:dyDescent="0.25">
      <c r="A4740" t="s">
        <v>12888</v>
      </c>
      <c r="B4740">
        <v>1</v>
      </c>
      <c r="C4740">
        <v>233</v>
      </c>
      <c r="D4740">
        <v>233</v>
      </c>
    </row>
    <row r="4741" spans="1:4" ht="15" x14ac:dyDescent="0.25">
      <c r="A4741" t="s">
        <v>12894</v>
      </c>
      <c r="B4741">
        <v>1</v>
      </c>
      <c r="C4741">
        <v>19</v>
      </c>
      <c r="D4741">
        <v>19</v>
      </c>
    </row>
    <row r="4742" spans="1:4" ht="15" x14ac:dyDescent="0.25">
      <c r="A4742" t="s">
        <v>12895</v>
      </c>
      <c r="B4742">
        <v>1</v>
      </c>
      <c r="C4742">
        <v>19</v>
      </c>
      <c r="D4742">
        <v>19</v>
      </c>
    </row>
    <row r="4743" spans="1:4" ht="15" x14ac:dyDescent="0.25">
      <c r="A4743" t="s">
        <v>12899</v>
      </c>
      <c r="B4743">
        <v>1</v>
      </c>
      <c r="C4743">
        <v>29</v>
      </c>
      <c r="D4743">
        <v>29</v>
      </c>
    </row>
    <row r="4744" spans="1:4" ht="15" x14ac:dyDescent="0.25">
      <c r="A4744" t="s">
        <v>12905</v>
      </c>
      <c r="B4744">
        <v>1</v>
      </c>
      <c r="C4744">
        <v>21</v>
      </c>
      <c r="D4744">
        <v>21</v>
      </c>
    </row>
    <row r="4745" spans="1:4" ht="15" x14ac:dyDescent="0.25">
      <c r="A4745" t="s">
        <v>12904</v>
      </c>
      <c r="B4745">
        <v>1</v>
      </c>
      <c r="C4745">
        <v>21</v>
      </c>
      <c r="D4745">
        <v>21</v>
      </c>
    </row>
    <row r="4746" spans="1:4" ht="15" x14ac:dyDescent="0.25">
      <c r="A4746" t="s">
        <v>12910</v>
      </c>
      <c r="B4746">
        <v>9</v>
      </c>
      <c r="C4746">
        <v>335</v>
      </c>
      <c r="D4746">
        <v>37.222222222222221</v>
      </c>
    </row>
    <row r="4747" spans="1:4" ht="15" x14ac:dyDescent="0.25">
      <c r="A4747" t="s">
        <v>12911</v>
      </c>
      <c r="B4747">
        <v>2</v>
      </c>
      <c r="C4747">
        <v>45</v>
      </c>
      <c r="D4747">
        <v>22.5</v>
      </c>
    </row>
    <row r="4748" spans="1:4" ht="15" x14ac:dyDescent="0.25">
      <c r="A4748" t="s">
        <v>12916</v>
      </c>
      <c r="B4748">
        <v>1</v>
      </c>
      <c r="C4748">
        <v>43</v>
      </c>
      <c r="D4748">
        <v>43</v>
      </c>
    </row>
    <row r="4749" spans="1:4" ht="15" x14ac:dyDescent="0.25">
      <c r="A4749" t="s">
        <v>12920</v>
      </c>
      <c r="B4749">
        <v>1</v>
      </c>
      <c r="C4749">
        <v>32</v>
      </c>
      <c r="D4749">
        <v>32</v>
      </c>
    </row>
    <row r="4750" spans="1:4" ht="15" x14ac:dyDescent="0.25">
      <c r="A4750" t="s">
        <v>12921</v>
      </c>
      <c r="B4750">
        <v>1</v>
      </c>
      <c r="C4750">
        <v>32</v>
      </c>
      <c r="D4750">
        <v>32</v>
      </c>
    </row>
    <row r="4751" spans="1:4" ht="15" x14ac:dyDescent="0.25">
      <c r="A4751" t="s">
        <v>12923</v>
      </c>
      <c r="B4751">
        <v>1</v>
      </c>
      <c r="C4751">
        <v>32</v>
      </c>
      <c r="D4751">
        <v>32</v>
      </c>
    </row>
    <row r="4752" spans="1:4" ht="15" x14ac:dyDescent="0.25">
      <c r="A4752" t="s">
        <v>12924</v>
      </c>
      <c r="B4752">
        <v>2</v>
      </c>
      <c r="C4752">
        <v>66</v>
      </c>
      <c r="D4752">
        <v>33</v>
      </c>
    </row>
    <row r="4753" spans="1:4" ht="15" x14ac:dyDescent="0.25">
      <c r="A4753" t="s">
        <v>12922</v>
      </c>
      <c r="B4753">
        <v>2</v>
      </c>
      <c r="C4753">
        <v>47</v>
      </c>
      <c r="D4753">
        <v>23.5</v>
      </c>
    </row>
    <row r="4754" spans="1:4" ht="15" x14ac:dyDescent="0.25">
      <c r="A4754" t="s">
        <v>12929</v>
      </c>
      <c r="B4754">
        <v>1</v>
      </c>
      <c r="C4754">
        <v>52</v>
      </c>
      <c r="D4754">
        <v>52</v>
      </c>
    </row>
    <row r="4755" spans="1:4" ht="15" x14ac:dyDescent="0.25">
      <c r="A4755" t="s">
        <v>12930</v>
      </c>
      <c r="B4755">
        <v>1</v>
      </c>
      <c r="C4755">
        <v>52</v>
      </c>
      <c r="D4755">
        <v>52</v>
      </c>
    </row>
    <row r="4756" spans="1:4" ht="15" x14ac:dyDescent="0.25">
      <c r="A4756" t="s">
        <v>12935</v>
      </c>
      <c r="B4756">
        <v>1</v>
      </c>
      <c r="C4756">
        <v>22</v>
      </c>
      <c r="D4756">
        <v>22</v>
      </c>
    </row>
    <row r="4757" spans="1:4" ht="15" x14ac:dyDescent="0.25">
      <c r="A4757" t="s">
        <v>12936</v>
      </c>
      <c r="B4757">
        <v>1</v>
      </c>
      <c r="C4757">
        <v>22</v>
      </c>
      <c r="D4757">
        <v>22</v>
      </c>
    </row>
    <row r="4758" spans="1:4" ht="15" x14ac:dyDescent="0.25">
      <c r="A4758" t="s">
        <v>12938</v>
      </c>
      <c r="B4758">
        <v>2</v>
      </c>
      <c r="C4758">
        <v>65</v>
      </c>
      <c r="D4758">
        <v>32.5</v>
      </c>
    </row>
    <row r="4759" spans="1:4" ht="15" x14ac:dyDescent="0.25">
      <c r="A4759" t="s">
        <v>12937</v>
      </c>
      <c r="B4759">
        <v>1</v>
      </c>
      <c r="C4759">
        <v>22</v>
      </c>
      <c r="D4759">
        <v>22</v>
      </c>
    </row>
    <row r="4760" spans="1:4" ht="15" x14ac:dyDescent="0.25">
      <c r="A4760" t="s">
        <v>12942</v>
      </c>
      <c r="B4760">
        <v>1</v>
      </c>
      <c r="C4760">
        <v>102</v>
      </c>
      <c r="D4760">
        <v>102</v>
      </c>
    </row>
    <row r="4761" spans="1:4" ht="15" x14ac:dyDescent="0.25">
      <c r="A4761" t="s">
        <v>12943</v>
      </c>
      <c r="B4761">
        <v>1</v>
      </c>
      <c r="C4761">
        <v>102</v>
      </c>
      <c r="D4761">
        <v>102</v>
      </c>
    </row>
    <row r="4762" spans="1:4" ht="15" x14ac:dyDescent="0.25">
      <c r="A4762" t="s">
        <v>12945</v>
      </c>
      <c r="B4762">
        <v>1</v>
      </c>
      <c r="C4762">
        <v>102</v>
      </c>
      <c r="D4762">
        <v>102</v>
      </c>
    </row>
    <row r="4763" spans="1:4" ht="15" x14ac:dyDescent="0.25">
      <c r="A4763" t="s">
        <v>12944</v>
      </c>
      <c r="B4763">
        <v>1</v>
      </c>
      <c r="C4763">
        <v>102</v>
      </c>
      <c r="D4763">
        <v>102</v>
      </c>
    </row>
    <row r="4764" spans="1:4" ht="15" x14ac:dyDescent="0.25">
      <c r="A4764" t="s">
        <v>12949</v>
      </c>
      <c r="B4764">
        <v>1</v>
      </c>
      <c r="C4764">
        <v>61</v>
      </c>
      <c r="D4764">
        <v>61</v>
      </c>
    </row>
    <row r="4765" spans="1:4" ht="15" x14ac:dyDescent="0.25">
      <c r="A4765" t="s">
        <v>12953</v>
      </c>
      <c r="B4765">
        <v>1</v>
      </c>
      <c r="C4765">
        <v>28</v>
      </c>
      <c r="D4765">
        <v>28</v>
      </c>
    </row>
    <row r="4766" spans="1:4" ht="15" x14ac:dyDescent="0.25">
      <c r="A4766" t="s">
        <v>12954</v>
      </c>
      <c r="B4766">
        <v>1</v>
      </c>
      <c r="C4766">
        <v>28</v>
      </c>
      <c r="D4766">
        <v>28</v>
      </c>
    </row>
    <row r="4767" spans="1:4" ht="15" x14ac:dyDescent="0.25">
      <c r="A4767" t="s">
        <v>12956</v>
      </c>
      <c r="B4767">
        <v>1</v>
      </c>
      <c r="C4767">
        <v>28</v>
      </c>
      <c r="D4767">
        <v>28</v>
      </c>
    </row>
    <row r="4768" spans="1:4" ht="15" x14ac:dyDescent="0.25">
      <c r="A4768" t="s">
        <v>12957</v>
      </c>
      <c r="B4768">
        <v>1</v>
      </c>
      <c r="C4768">
        <v>28</v>
      </c>
      <c r="D4768">
        <v>28</v>
      </c>
    </row>
    <row r="4769" spans="1:4" ht="15" x14ac:dyDescent="0.25">
      <c r="A4769" t="s">
        <v>12955</v>
      </c>
      <c r="B4769">
        <v>1</v>
      </c>
      <c r="C4769">
        <v>28</v>
      </c>
      <c r="D4769">
        <v>28</v>
      </c>
    </row>
    <row r="4770" spans="1:4" ht="15" x14ac:dyDescent="0.25">
      <c r="A4770" t="s">
        <v>12961</v>
      </c>
      <c r="B4770">
        <v>1</v>
      </c>
      <c r="C4770">
        <v>5</v>
      </c>
      <c r="D4770">
        <v>5</v>
      </c>
    </row>
    <row r="4771" spans="1:4" ht="15" x14ac:dyDescent="0.25">
      <c r="A4771" t="s">
        <v>12962</v>
      </c>
      <c r="B4771">
        <v>1</v>
      </c>
      <c r="C4771">
        <v>5</v>
      </c>
      <c r="D4771">
        <v>5</v>
      </c>
    </row>
    <row r="4772" spans="1:4" ht="15" x14ac:dyDescent="0.25">
      <c r="A4772" t="s">
        <v>12966</v>
      </c>
      <c r="B4772">
        <v>1</v>
      </c>
      <c r="C4772">
        <v>0</v>
      </c>
      <c r="D4772">
        <v>0</v>
      </c>
    </row>
    <row r="4773" spans="1:4" ht="15" x14ac:dyDescent="0.25">
      <c r="A4773" t="s">
        <v>12967</v>
      </c>
      <c r="B4773">
        <v>1</v>
      </c>
      <c r="C4773">
        <v>0</v>
      </c>
      <c r="D4773">
        <v>0</v>
      </c>
    </row>
    <row r="4774" spans="1:4" ht="15" x14ac:dyDescent="0.25">
      <c r="A4774" t="s">
        <v>12968</v>
      </c>
      <c r="B4774">
        <v>2</v>
      </c>
      <c r="C4774">
        <v>17</v>
      </c>
      <c r="D4774">
        <v>8.5</v>
      </c>
    </row>
    <row r="4775" spans="1:4" ht="15" x14ac:dyDescent="0.25">
      <c r="A4775" t="s">
        <v>12972</v>
      </c>
      <c r="B4775">
        <v>1</v>
      </c>
      <c r="C4775">
        <v>28</v>
      </c>
      <c r="D4775">
        <v>28</v>
      </c>
    </row>
    <row r="4776" spans="1:4" ht="15" x14ac:dyDescent="0.25">
      <c r="A4776" t="s">
        <v>12974</v>
      </c>
      <c r="B4776">
        <v>1</v>
      </c>
      <c r="C4776">
        <v>28</v>
      </c>
      <c r="D4776">
        <v>28</v>
      </c>
    </row>
    <row r="4777" spans="1:4" ht="15" x14ac:dyDescent="0.25">
      <c r="A4777" t="s">
        <v>12973</v>
      </c>
      <c r="B4777">
        <v>6</v>
      </c>
      <c r="C4777">
        <v>266</v>
      </c>
      <c r="D4777">
        <v>44.333333333333336</v>
      </c>
    </row>
    <row r="4778" spans="1:4" ht="15" x14ac:dyDescent="0.25">
      <c r="A4778" t="s">
        <v>12982</v>
      </c>
      <c r="B4778">
        <v>1</v>
      </c>
      <c r="C4778">
        <v>36</v>
      </c>
      <c r="D4778">
        <v>36</v>
      </c>
    </row>
    <row r="4779" spans="1:4" ht="15" x14ac:dyDescent="0.25">
      <c r="A4779" t="s">
        <v>12983</v>
      </c>
      <c r="B4779">
        <v>1</v>
      </c>
      <c r="C4779">
        <v>36</v>
      </c>
      <c r="D4779">
        <v>36</v>
      </c>
    </row>
    <row r="4780" spans="1:4" ht="15" x14ac:dyDescent="0.25">
      <c r="A4780" t="s">
        <v>12985</v>
      </c>
      <c r="B4780">
        <v>1</v>
      </c>
      <c r="C4780">
        <v>36</v>
      </c>
      <c r="D4780">
        <v>36</v>
      </c>
    </row>
    <row r="4781" spans="1:4" ht="15" x14ac:dyDescent="0.25">
      <c r="A4781" t="s">
        <v>12984</v>
      </c>
      <c r="B4781">
        <v>1</v>
      </c>
      <c r="C4781">
        <v>36</v>
      </c>
      <c r="D4781">
        <v>36</v>
      </c>
    </row>
    <row r="4782" spans="1:4" ht="15" x14ac:dyDescent="0.25">
      <c r="A4782" t="s">
        <v>12990</v>
      </c>
      <c r="B4782">
        <v>2</v>
      </c>
      <c r="C4782">
        <v>19</v>
      </c>
      <c r="D4782">
        <v>9.5</v>
      </c>
    </row>
    <row r="4783" spans="1:4" ht="15" x14ac:dyDescent="0.25">
      <c r="A4783" t="s">
        <v>12991</v>
      </c>
      <c r="B4783">
        <v>1</v>
      </c>
      <c r="C4783">
        <v>10</v>
      </c>
      <c r="D4783">
        <v>10</v>
      </c>
    </row>
    <row r="4784" spans="1:4" ht="15" x14ac:dyDescent="0.25">
      <c r="A4784" t="s">
        <v>12993</v>
      </c>
      <c r="B4784">
        <v>1</v>
      </c>
      <c r="C4784">
        <v>10</v>
      </c>
      <c r="D4784">
        <v>10</v>
      </c>
    </row>
    <row r="4785" spans="1:4" ht="15" x14ac:dyDescent="0.25">
      <c r="A4785" t="s">
        <v>12992</v>
      </c>
      <c r="B4785">
        <v>1</v>
      </c>
      <c r="C4785">
        <v>10</v>
      </c>
      <c r="D4785">
        <v>10</v>
      </c>
    </row>
    <row r="4786" spans="1:4" ht="15" x14ac:dyDescent="0.25">
      <c r="A4786" t="s">
        <v>12996</v>
      </c>
      <c r="B4786">
        <v>1</v>
      </c>
      <c r="C4786">
        <v>38</v>
      </c>
      <c r="D4786">
        <v>38</v>
      </c>
    </row>
    <row r="4787" spans="1:4" ht="15" x14ac:dyDescent="0.25">
      <c r="A4787" t="s">
        <v>13000</v>
      </c>
      <c r="B4787">
        <v>1</v>
      </c>
      <c r="C4787">
        <v>154</v>
      </c>
      <c r="D4787">
        <v>154</v>
      </c>
    </row>
    <row r="4788" spans="1:4" ht="15" x14ac:dyDescent="0.25">
      <c r="A4788" t="s">
        <v>13001</v>
      </c>
      <c r="B4788">
        <v>1</v>
      </c>
      <c r="C4788">
        <v>154</v>
      </c>
      <c r="D4788">
        <v>154</v>
      </c>
    </row>
    <row r="4789" spans="1:4" ht="15" x14ac:dyDescent="0.25">
      <c r="A4789" t="s">
        <v>13006</v>
      </c>
      <c r="B4789">
        <v>1</v>
      </c>
      <c r="C4789">
        <v>132</v>
      </c>
      <c r="D4789">
        <v>132</v>
      </c>
    </row>
    <row r="4790" spans="1:4" ht="15" x14ac:dyDescent="0.25">
      <c r="A4790" t="s">
        <v>13007</v>
      </c>
      <c r="B4790">
        <v>1</v>
      </c>
      <c r="C4790">
        <v>132</v>
      </c>
      <c r="D4790">
        <v>132</v>
      </c>
    </row>
    <row r="4791" spans="1:4" ht="15" x14ac:dyDescent="0.25">
      <c r="A4791" t="s">
        <v>13009</v>
      </c>
      <c r="B4791">
        <v>1</v>
      </c>
      <c r="C4791">
        <v>132</v>
      </c>
      <c r="D4791">
        <v>132</v>
      </c>
    </row>
    <row r="4792" spans="1:4" ht="15" x14ac:dyDescent="0.25">
      <c r="A4792" t="s">
        <v>13008</v>
      </c>
      <c r="B4792">
        <v>1</v>
      </c>
      <c r="C4792">
        <v>132</v>
      </c>
      <c r="D4792">
        <v>132</v>
      </c>
    </row>
    <row r="4793" spans="1:4" ht="15" x14ac:dyDescent="0.25">
      <c r="A4793" t="s">
        <v>13013</v>
      </c>
      <c r="B4793">
        <v>1</v>
      </c>
      <c r="C4793">
        <v>67</v>
      </c>
      <c r="D4793">
        <v>67</v>
      </c>
    </row>
    <row r="4794" spans="1:4" ht="15" x14ac:dyDescent="0.25">
      <c r="A4794" t="s">
        <v>13014</v>
      </c>
      <c r="B4794">
        <v>1</v>
      </c>
      <c r="C4794">
        <v>67</v>
      </c>
      <c r="D4794">
        <v>67</v>
      </c>
    </row>
    <row r="4795" spans="1:4" ht="15" x14ac:dyDescent="0.25">
      <c r="A4795" t="s">
        <v>13016</v>
      </c>
      <c r="B4795">
        <v>1</v>
      </c>
      <c r="C4795">
        <v>67</v>
      </c>
      <c r="D4795">
        <v>67</v>
      </c>
    </row>
    <row r="4796" spans="1:4" ht="15" x14ac:dyDescent="0.25">
      <c r="A4796" t="s">
        <v>13017</v>
      </c>
      <c r="B4796">
        <v>1</v>
      </c>
      <c r="C4796">
        <v>67</v>
      </c>
      <c r="D4796">
        <v>67</v>
      </c>
    </row>
    <row r="4797" spans="1:4" ht="15" x14ac:dyDescent="0.25">
      <c r="A4797" t="s">
        <v>13015</v>
      </c>
      <c r="B4797">
        <v>1</v>
      </c>
      <c r="C4797">
        <v>67</v>
      </c>
      <c r="D4797">
        <v>67</v>
      </c>
    </row>
    <row r="4798" spans="1:4" ht="15" x14ac:dyDescent="0.25">
      <c r="A4798" t="s">
        <v>13023</v>
      </c>
      <c r="B4798">
        <v>1</v>
      </c>
      <c r="C4798">
        <v>198</v>
      </c>
      <c r="D4798">
        <v>198</v>
      </c>
    </row>
    <row r="4799" spans="1:4" ht="15" x14ac:dyDescent="0.25">
      <c r="A4799" t="s">
        <v>13024</v>
      </c>
      <c r="B4799">
        <v>1</v>
      </c>
      <c r="C4799">
        <v>198</v>
      </c>
      <c r="D4799">
        <v>198</v>
      </c>
    </row>
    <row r="4800" spans="1:4" ht="15" x14ac:dyDescent="0.25">
      <c r="A4800" t="s">
        <v>13026</v>
      </c>
      <c r="B4800">
        <v>1</v>
      </c>
      <c r="C4800">
        <v>198</v>
      </c>
      <c r="D4800">
        <v>198</v>
      </c>
    </row>
    <row r="4801" spans="1:4" ht="15" x14ac:dyDescent="0.25">
      <c r="A4801" t="s">
        <v>13025</v>
      </c>
      <c r="B4801">
        <v>1</v>
      </c>
      <c r="C4801">
        <v>198</v>
      </c>
      <c r="D4801">
        <v>198</v>
      </c>
    </row>
    <row r="4802" spans="1:4" ht="15" x14ac:dyDescent="0.25">
      <c r="A4802" t="s">
        <v>13030</v>
      </c>
      <c r="B4802">
        <v>1</v>
      </c>
      <c r="C4802">
        <v>26</v>
      </c>
      <c r="D4802">
        <v>26</v>
      </c>
    </row>
    <row r="4803" spans="1:4" ht="15" x14ac:dyDescent="0.25">
      <c r="A4803" t="s">
        <v>13037</v>
      </c>
      <c r="B4803">
        <v>1</v>
      </c>
      <c r="C4803">
        <v>18</v>
      </c>
      <c r="D4803">
        <v>18</v>
      </c>
    </row>
    <row r="4804" spans="1:4" ht="15" x14ac:dyDescent="0.25">
      <c r="A4804" t="s">
        <v>13039</v>
      </c>
      <c r="B4804">
        <v>1</v>
      </c>
      <c r="C4804">
        <v>18</v>
      </c>
      <c r="D4804">
        <v>18</v>
      </c>
    </row>
    <row r="4805" spans="1:4" ht="15" x14ac:dyDescent="0.25">
      <c r="A4805" t="s">
        <v>13040</v>
      </c>
      <c r="B4805">
        <v>1</v>
      </c>
      <c r="C4805">
        <v>18</v>
      </c>
      <c r="D4805">
        <v>18</v>
      </c>
    </row>
    <row r="4806" spans="1:4" ht="15" x14ac:dyDescent="0.25">
      <c r="A4806" t="s">
        <v>13038</v>
      </c>
      <c r="B4806">
        <v>1</v>
      </c>
      <c r="C4806">
        <v>18</v>
      </c>
      <c r="D4806">
        <v>18</v>
      </c>
    </row>
    <row r="4807" spans="1:4" ht="15" x14ac:dyDescent="0.25">
      <c r="A4807" t="s">
        <v>13044</v>
      </c>
      <c r="B4807">
        <v>1</v>
      </c>
      <c r="C4807">
        <v>15</v>
      </c>
      <c r="D4807">
        <v>15</v>
      </c>
    </row>
    <row r="4808" spans="1:4" ht="15" x14ac:dyDescent="0.25">
      <c r="A4808" t="s">
        <v>13045</v>
      </c>
      <c r="B4808">
        <v>1</v>
      </c>
      <c r="C4808">
        <v>15</v>
      </c>
      <c r="D4808">
        <v>15</v>
      </c>
    </row>
    <row r="4809" spans="1:4" ht="15" x14ac:dyDescent="0.25">
      <c r="A4809" t="s">
        <v>13047</v>
      </c>
      <c r="B4809">
        <v>1</v>
      </c>
      <c r="C4809">
        <v>15</v>
      </c>
      <c r="D4809">
        <v>15</v>
      </c>
    </row>
    <row r="4810" spans="1:4" ht="15" x14ac:dyDescent="0.25">
      <c r="A4810" t="s">
        <v>13046</v>
      </c>
      <c r="B4810">
        <v>1</v>
      </c>
      <c r="C4810">
        <v>15</v>
      </c>
      <c r="D4810">
        <v>15</v>
      </c>
    </row>
    <row r="4811" spans="1:4" ht="15" x14ac:dyDescent="0.25">
      <c r="A4811" t="s">
        <v>13056</v>
      </c>
      <c r="B4811">
        <v>3</v>
      </c>
      <c r="C4811">
        <v>87</v>
      </c>
      <c r="D4811">
        <v>29</v>
      </c>
    </row>
    <row r="4812" spans="1:4" ht="15" x14ac:dyDescent="0.25">
      <c r="A4812" t="s">
        <v>13057</v>
      </c>
      <c r="B4812">
        <v>1</v>
      </c>
      <c r="C4812">
        <v>35</v>
      </c>
      <c r="D4812">
        <v>35</v>
      </c>
    </row>
    <row r="4813" spans="1:4" ht="15" x14ac:dyDescent="0.25">
      <c r="A4813" t="s">
        <v>13058</v>
      </c>
      <c r="B4813">
        <v>1</v>
      </c>
      <c r="C4813">
        <v>35</v>
      </c>
      <c r="D4813">
        <v>35</v>
      </c>
    </row>
    <row r="4814" spans="1:4" ht="15" x14ac:dyDescent="0.25">
      <c r="A4814" t="s">
        <v>13062</v>
      </c>
      <c r="B4814">
        <v>1</v>
      </c>
      <c r="C4814">
        <v>36</v>
      </c>
      <c r="D4814">
        <v>36</v>
      </c>
    </row>
    <row r="4815" spans="1:4" ht="15" x14ac:dyDescent="0.25">
      <c r="A4815" t="s">
        <v>13063</v>
      </c>
      <c r="B4815">
        <v>2</v>
      </c>
      <c r="C4815">
        <v>63</v>
      </c>
      <c r="D4815">
        <v>31.5</v>
      </c>
    </row>
    <row r="4816" spans="1:4" ht="15" x14ac:dyDescent="0.25">
      <c r="A4816" t="s">
        <v>13064</v>
      </c>
      <c r="B4816">
        <v>1</v>
      </c>
      <c r="C4816">
        <v>36</v>
      </c>
      <c r="D4816">
        <v>36</v>
      </c>
    </row>
    <row r="4817" spans="1:4" ht="15" x14ac:dyDescent="0.25">
      <c r="A4817" t="s">
        <v>13068</v>
      </c>
      <c r="B4817">
        <v>1</v>
      </c>
      <c r="C4817">
        <v>13</v>
      </c>
      <c r="D4817">
        <v>13</v>
      </c>
    </row>
    <row r="4818" spans="1:4" ht="15" x14ac:dyDescent="0.25">
      <c r="A4818" t="s">
        <v>13069</v>
      </c>
      <c r="B4818">
        <v>1</v>
      </c>
      <c r="C4818">
        <v>13</v>
      </c>
      <c r="D4818">
        <v>13</v>
      </c>
    </row>
    <row r="4819" spans="1:4" ht="15" x14ac:dyDescent="0.25">
      <c r="A4819" t="s">
        <v>13071</v>
      </c>
      <c r="B4819">
        <v>1</v>
      </c>
      <c r="C4819">
        <v>13</v>
      </c>
      <c r="D4819">
        <v>13</v>
      </c>
    </row>
    <row r="4820" spans="1:4" ht="15" x14ac:dyDescent="0.25">
      <c r="A4820" t="s">
        <v>13070</v>
      </c>
      <c r="B4820">
        <v>1</v>
      </c>
      <c r="C4820">
        <v>13</v>
      </c>
      <c r="D4820">
        <v>13</v>
      </c>
    </row>
    <row r="4821" spans="1:4" ht="15" x14ac:dyDescent="0.25">
      <c r="A4821" t="s">
        <v>13076</v>
      </c>
      <c r="B4821">
        <v>1</v>
      </c>
      <c r="C4821">
        <v>29</v>
      </c>
      <c r="D4821">
        <v>29</v>
      </c>
    </row>
    <row r="4822" spans="1:4" ht="15" x14ac:dyDescent="0.25">
      <c r="A4822" t="s">
        <v>13078</v>
      </c>
      <c r="B4822">
        <v>1</v>
      </c>
      <c r="C4822">
        <v>29</v>
      </c>
      <c r="D4822">
        <v>29</v>
      </c>
    </row>
    <row r="4823" spans="1:4" ht="15" x14ac:dyDescent="0.25">
      <c r="A4823" t="s">
        <v>13079</v>
      </c>
      <c r="B4823">
        <v>1</v>
      </c>
      <c r="C4823">
        <v>29</v>
      </c>
      <c r="D4823">
        <v>29</v>
      </c>
    </row>
    <row r="4824" spans="1:4" ht="15" x14ac:dyDescent="0.25">
      <c r="A4824" t="s">
        <v>13077</v>
      </c>
      <c r="B4824">
        <v>1</v>
      </c>
      <c r="C4824">
        <v>29</v>
      </c>
      <c r="D4824">
        <v>29</v>
      </c>
    </row>
    <row r="4825" spans="1:4" ht="15" x14ac:dyDescent="0.25">
      <c r="A4825" t="s">
        <v>13083</v>
      </c>
      <c r="B4825">
        <v>2</v>
      </c>
      <c r="C4825">
        <v>879</v>
      </c>
      <c r="D4825">
        <v>439.5</v>
      </c>
    </row>
    <row r="4826" spans="1:4" ht="15" x14ac:dyDescent="0.25">
      <c r="A4826" t="s">
        <v>13084</v>
      </c>
      <c r="B4826">
        <v>1</v>
      </c>
      <c r="C4826">
        <v>0</v>
      </c>
      <c r="D4826">
        <v>0</v>
      </c>
    </row>
    <row r="4827" spans="1:4" ht="15" x14ac:dyDescent="0.25">
      <c r="A4827" t="s">
        <v>13087</v>
      </c>
      <c r="B4827">
        <v>1</v>
      </c>
      <c r="C4827">
        <v>21</v>
      </c>
      <c r="D4827">
        <v>21</v>
      </c>
    </row>
    <row r="4828" spans="1:4" ht="15" x14ac:dyDescent="0.25">
      <c r="A4828" t="s">
        <v>13089</v>
      </c>
      <c r="B4828">
        <v>1</v>
      </c>
      <c r="C4828">
        <v>21</v>
      </c>
      <c r="D4828">
        <v>21</v>
      </c>
    </row>
    <row r="4829" spans="1:4" ht="15" x14ac:dyDescent="0.25">
      <c r="A4829" t="s">
        <v>13088</v>
      </c>
      <c r="B4829">
        <v>3</v>
      </c>
      <c r="C4829">
        <v>77</v>
      </c>
      <c r="D4829">
        <v>25.666666666666668</v>
      </c>
    </row>
    <row r="4830" spans="1:4" ht="15" x14ac:dyDescent="0.25">
      <c r="A4830" t="s">
        <v>13092</v>
      </c>
      <c r="B4830">
        <v>1</v>
      </c>
      <c r="C4830">
        <v>9</v>
      </c>
      <c r="D4830">
        <v>9</v>
      </c>
    </row>
    <row r="4831" spans="1:4" ht="15" x14ac:dyDescent="0.25">
      <c r="A4831" t="s">
        <v>13098</v>
      </c>
      <c r="B4831">
        <v>1</v>
      </c>
      <c r="C4831">
        <v>160</v>
      </c>
      <c r="D4831">
        <v>160</v>
      </c>
    </row>
    <row r="4832" spans="1:4" ht="15" x14ac:dyDescent="0.25">
      <c r="A4832" t="s">
        <v>13095</v>
      </c>
      <c r="B4832">
        <v>2</v>
      </c>
      <c r="C4832">
        <v>305</v>
      </c>
      <c r="D4832">
        <v>152.5</v>
      </c>
    </row>
    <row r="4833" spans="1:4" ht="15" x14ac:dyDescent="0.25">
      <c r="A4833" t="s">
        <v>13100</v>
      </c>
      <c r="B4833">
        <v>1</v>
      </c>
      <c r="C4833">
        <v>160</v>
      </c>
      <c r="D4833">
        <v>160</v>
      </c>
    </row>
    <row r="4834" spans="1:4" ht="15" x14ac:dyDescent="0.25">
      <c r="A4834" t="s">
        <v>13101</v>
      </c>
      <c r="B4834">
        <v>1</v>
      </c>
      <c r="C4834">
        <v>160</v>
      </c>
      <c r="D4834">
        <v>160</v>
      </c>
    </row>
    <row r="4835" spans="1:4" ht="15" x14ac:dyDescent="0.25">
      <c r="A4835" t="s">
        <v>13099</v>
      </c>
      <c r="B4835">
        <v>2</v>
      </c>
      <c r="C4835">
        <v>305</v>
      </c>
      <c r="D4835">
        <v>152.5</v>
      </c>
    </row>
    <row r="4836" spans="1:4" ht="15" x14ac:dyDescent="0.25">
      <c r="A4836" t="s">
        <v>13105</v>
      </c>
      <c r="B4836">
        <v>1</v>
      </c>
      <c r="C4836">
        <v>25</v>
      </c>
      <c r="D4836">
        <v>25</v>
      </c>
    </row>
    <row r="4837" spans="1:4" ht="15" x14ac:dyDescent="0.25">
      <c r="A4837" t="s">
        <v>13106</v>
      </c>
      <c r="B4837">
        <v>1</v>
      </c>
      <c r="C4837">
        <v>25</v>
      </c>
      <c r="D4837">
        <v>25</v>
      </c>
    </row>
    <row r="4838" spans="1:4" ht="15" x14ac:dyDescent="0.25">
      <c r="A4838" t="s">
        <v>13111</v>
      </c>
      <c r="B4838">
        <v>1</v>
      </c>
      <c r="C4838">
        <v>108</v>
      </c>
      <c r="D4838">
        <v>108</v>
      </c>
    </row>
    <row r="4839" spans="1:4" ht="15" x14ac:dyDescent="0.25">
      <c r="A4839" t="s">
        <v>13112</v>
      </c>
      <c r="B4839">
        <v>1</v>
      </c>
      <c r="C4839">
        <v>108</v>
      </c>
      <c r="D4839">
        <v>108</v>
      </c>
    </row>
    <row r="4840" spans="1:4" ht="15" x14ac:dyDescent="0.25">
      <c r="A4840" t="s">
        <v>13113</v>
      </c>
      <c r="B4840">
        <v>1</v>
      </c>
      <c r="C4840">
        <v>108</v>
      </c>
      <c r="D4840">
        <v>108</v>
      </c>
    </row>
    <row r="4841" spans="1:4" ht="15" x14ac:dyDescent="0.25">
      <c r="A4841" t="s">
        <v>13117</v>
      </c>
      <c r="B4841">
        <v>1</v>
      </c>
      <c r="C4841">
        <v>54</v>
      </c>
      <c r="D4841">
        <v>54</v>
      </c>
    </row>
    <row r="4842" spans="1:4" ht="15" x14ac:dyDescent="0.25">
      <c r="A4842" t="s">
        <v>13118</v>
      </c>
      <c r="B4842">
        <v>4</v>
      </c>
      <c r="C4842">
        <v>148</v>
      </c>
      <c r="D4842">
        <v>37</v>
      </c>
    </row>
    <row r="4843" spans="1:4" ht="15" x14ac:dyDescent="0.25">
      <c r="A4843" t="s">
        <v>13122</v>
      </c>
      <c r="B4843">
        <v>1</v>
      </c>
      <c r="C4843">
        <v>40</v>
      </c>
      <c r="D4843">
        <v>40</v>
      </c>
    </row>
    <row r="4844" spans="1:4" ht="15" x14ac:dyDescent="0.25">
      <c r="A4844" t="s">
        <v>13123</v>
      </c>
      <c r="B4844">
        <v>2</v>
      </c>
      <c r="C4844">
        <v>226</v>
      </c>
      <c r="D4844">
        <v>113</v>
      </c>
    </row>
    <row r="4845" spans="1:4" ht="15" x14ac:dyDescent="0.25">
      <c r="A4845" t="s">
        <v>13128</v>
      </c>
      <c r="B4845">
        <v>1</v>
      </c>
      <c r="C4845">
        <v>126</v>
      </c>
      <c r="D4845">
        <v>126</v>
      </c>
    </row>
    <row r="4846" spans="1:4" ht="15" x14ac:dyDescent="0.25">
      <c r="A4846" t="s">
        <v>13129</v>
      </c>
      <c r="B4846">
        <v>1</v>
      </c>
      <c r="C4846">
        <v>126</v>
      </c>
      <c r="D4846">
        <v>126</v>
      </c>
    </row>
    <row r="4847" spans="1:4" ht="15" x14ac:dyDescent="0.25">
      <c r="A4847" t="s">
        <v>13130</v>
      </c>
      <c r="B4847">
        <v>1</v>
      </c>
      <c r="C4847">
        <v>126</v>
      </c>
      <c r="D4847">
        <v>126</v>
      </c>
    </row>
    <row r="4848" spans="1:4" ht="15" x14ac:dyDescent="0.25">
      <c r="A4848" t="s">
        <v>13135</v>
      </c>
      <c r="B4848">
        <v>1</v>
      </c>
      <c r="C4848">
        <v>119</v>
      </c>
      <c r="D4848">
        <v>119</v>
      </c>
    </row>
    <row r="4849" spans="1:4" ht="15" x14ac:dyDescent="0.25">
      <c r="A4849" t="s">
        <v>13136</v>
      </c>
      <c r="B4849">
        <v>1</v>
      </c>
      <c r="C4849">
        <v>119</v>
      </c>
      <c r="D4849">
        <v>119</v>
      </c>
    </row>
    <row r="4850" spans="1:4" ht="15" x14ac:dyDescent="0.25">
      <c r="A4850" t="s">
        <v>13138</v>
      </c>
      <c r="B4850">
        <v>1</v>
      </c>
      <c r="C4850">
        <v>119</v>
      </c>
      <c r="D4850">
        <v>119</v>
      </c>
    </row>
    <row r="4851" spans="1:4" ht="15" x14ac:dyDescent="0.25">
      <c r="A4851" t="s">
        <v>13139</v>
      </c>
      <c r="B4851">
        <v>1</v>
      </c>
      <c r="C4851">
        <v>119</v>
      </c>
      <c r="D4851">
        <v>119</v>
      </c>
    </row>
    <row r="4852" spans="1:4" ht="15" x14ac:dyDescent="0.25">
      <c r="A4852" t="s">
        <v>13137</v>
      </c>
      <c r="B4852">
        <v>1</v>
      </c>
      <c r="C4852">
        <v>119</v>
      </c>
      <c r="D4852">
        <v>119</v>
      </c>
    </row>
    <row r="4853" spans="1:4" ht="15" x14ac:dyDescent="0.25">
      <c r="A4853" t="s">
        <v>13142</v>
      </c>
      <c r="B4853">
        <v>1</v>
      </c>
      <c r="C4853">
        <v>51</v>
      </c>
      <c r="D4853">
        <v>51</v>
      </c>
    </row>
    <row r="4854" spans="1:4" ht="15" x14ac:dyDescent="0.25">
      <c r="A4854" t="s">
        <v>13146</v>
      </c>
      <c r="B4854">
        <v>1</v>
      </c>
      <c r="C4854">
        <v>19</v>
      </c>
      <c r="D4854">
        <v>19</v>
      </c>
    </row>
    <row r="4855" spans="1:4" ht="15" x14ac:dyDescent="0.25">
      <c r="A4855" t="s">
        <v>13147</v>
      </c>
      <c r="B4855">
        <v>1</v>
      </c>
      <c r="C4855">
        <v>19</v>
      </c>
      <c r="D4855">
        <v>19</v>
      </c>
    </row>
    <row r="4856" spans="1:4" ht="15" x14ac:dyDescent="0.25">
      <c r="A4856" t="s">
        <v>13149</v>
      </c>
      <c r="B4856">
        <v>2</v>
      </c>
      <c r="C4856">
        <v>90</v>
      </c>
      <c r="D4856">
        <v>45</v>
      </c>
    </row>
    <row r="4857" spans="1:4" ht="15" x14ac:dyDescent="0.25">
      <c r="A4857" t="s">
        <v>13150</v>
      </c>
      <c r="B4857">
        <v>1</v>
      </c>
      <c r="C4857">
        <v>19</v>
      </c>
      <c r="D4857">
        <v>19</v>
      </c>
    </row>
    <row r="4858" spans="1:4" ht="15" x14ac:dyDescent="0.25">
      <c r="A4858" t="s">
        <v>13148</v>
      </c>
      <c r="B4858">
        <v>1</v>
      </c>
      <c r="C4858">
        <v>19</v>
      </c>
      <c r="D4858">
        <v>19</v>
      </c>
    </row>
    <row r="4859" spans="1:4" ht="15" x14ac:dyDescent="0.25">
      <c r="A4859" t="s">
        <v>13154</v>
      </c>
      <c r="B4859">
        <v>1</v>
      </c>
      <c r="C4859">
        <v>17</v>
      </c>
      <c r="D4859">
        <v>17</v>
      </c>
    </row>
    <row r="4860" spans="1:4" ht="15" x14ac:dyDescent="0.25">
      <c r="A4860" t="s">
        <v>13156</v>
      </c>
      <c r="B4860">
        <v>2</v>
      </c>
      <c r="C4860">
        <v>156</v>
      </c>
      <c r="D4860">
        <v>78</v>
      </c>
    </row>
    <row r="4861" spans="1:4" ht="15" x14ac:dyDescent="0.25">
      <c r="A4861" t="s">
        <v>13155</v>
      </c>
      <c r="B4861">
        <v>1</v>
      </c>
      <c r="C4861">
        <v>17</v>
      </c>
      <c r="D4861">
        <v>17</v>
      </c>
    </row>
    <row r="4862" spans="1:4" ht="15" x14ac:dyDescent="0.25">
      <c r="A4862" t="s">
        <v>13160</v>
      </c>
      <c r="B4862">
        <v>1</v>
      </c>
      <c r="C4862">
        <v>73</v>
      </c>
      <c r="D4862">
        <v>73</v>
      </c>
    </row>
    <row r="4863" spans="1:4" ht="15" x14ac:dyDescent="0.25">
      <c r="A4863" t="s">
        <v>13161</v>
      </c>
      <c r="B4863">
        <v>1</v>
      </c>
      <c r="C4863">
        <v>73</v>
      </c>
      <c r="D4863">
        <v>73</v>
      </c>
    </row>
    <row r="4864" spans="1:4" ht="15" x14ac:dyDescent="0.25">
      <c r="A4864" t="s">
        <v>13163</v>
      </c>
      <c r="B4864">
        <v>1</v>
      </c>
      <c r="C4864">
        <v>73</v>
      </c>
      <c r="D4864">
        <v>73</v>
      </c>
    </row>
    <row r="4865" spans="1:4" ht="15" x14ac:dyDescent="0.25">
      <c r="A4865" t="s">
        <v>13164</v>
      </c>
      <c r="B4865">
        <v>1</v>
      </c>
      <c r="C4865">
        <v>73</v>
      </c>
      <c r="D4865">
        <v>73</v>
      </c>
    </row>
    <row r="4866" spans="1:4" ht="15" x14ac:dyDescent="0.25">
      <c r="A4866" t="s">
        <v>13162</v>
      </c>
      <c r="B4866">
        <v>1</v>
      </c>
      <c r="C4866">
        <v>73</v>
      </c>
      <c r="D4866">
        <v>73</v>
      </c>
    </row>
    <row r="4867" spans="1:4" ht="15" x14ac:dyDescent="0.25">
      <c r="A4867" t="s">
        <v>13168</v>
      </c>
      <c r="B4867">
        <v>1</v>
      </c>
      <c r="C4867">
        <v>21</v>
      </c>
      <c r="D4867">
        <v>21</v>
      </c>
    </row>
    <row r="4868" spans="1:4" ht="15" x14ac:dyDescent="0.25">
      <c r="A4868" t="s">
        <v>13171</v>
      </c>
      <c r="B4868">
        <v>3</v>
      </c>
      <c r="C4868">
        <v>152</v>
      </c>
      <c r="D4868">
        <v>50.666666666666664</v>
      </c>
    </row>
    <row r="4869" spans="1:4" ht="15" x14ac:dyDescent="0.25">
      <c r="A4869" t="s">
        <v>13172</v>
      </c>
      <c r="B4869">
        <v>2</v>
      </c>
      <c r="C4869">
        <v>76</v>
      </c>
      <c r="D4869">
        <v>38</v>
      </c>
    </row>
    <row r="4870" spans="1:4" ht="15" x14ac:dyDescent="0.25">
      <c r="A4870" t="s">
        <v>13173</v>
      </c>
      <c r="B4870">
        <v>5</v>
      </c>
      <c r="C4870">
        <v>175</v>
      </c>
      <c r="D4870">
        <v>35</v>
      </c>
    </row>
    <row r="4871" spans="1:4" ht="15" x14ac:dyDescent="0.25">
      <c r="A4871" t="s">
        <v>13178</v>
      </c>
      <c r="B4871">
        <v>1</v>
      </c>
      <c r="C4871">
        <v>186</v>
      </c>
      <c r="D4871">
        <v>186</v>
      </c>
    </row>
    <row r="4872" spans="1:4" ht="15" x14ac:dyDescent="0.25">
      <c r="A4872" t="s">
        <v>13179</v>
      </c>
      <c r="B4872">
        <v>1</v>
      </c>
      <c r="C4872">
        <v>186</v>
      </c>
      <c r="D4872">
        <v>186</v>
      </c>
    </row>
    <row r="4873" spans="1:4" ht="15" x14ac:dyDescent="0.25">
      <c r="A4873" t="s">
        <v>13180</v>
      </c>
      <c r="B4873">
        <v>1</v>
      </c>
      <c r="C4873">
        <v>186</v>
      </c>
      <c r="D4873">
        <v>186</v>
      </c>
    </row>
    <row r="4874" spans="1:4" ht="15" x14ac:dyDescent="0.25">
      <c r="A4874" t="s">
        <v>13183</v>
      </c>
      <c r="B4874">
        <v>1</v>
      </c>
      <c r="C4874">
        <v>225</v>
      </c>
      <c r="D4874">
        <v>225</v>
      </c>
    </row>
    <row r="4875" spans="1:4" ht="15" x14ac:dyDescent="0.25">
      <c r="A4875" t="s">
        <v>13184</v>
      </c>
      <c r="B4875">
        <v>1</v>
      </c>
      <c r="C4875">
        <v>225</v>
      </c>
      <c r="D4875">
        <v>225</v>
      </c>
    </row>
    <row r="4876" spans="1:4" ht="15" x14ac:dyDescent="0.25">
      <c r="A4876" t="s">
        <v>13185</v>
      </c>
      <c r="B4876">
        <v>1</v>
      </c>
      <c r="C4876">
        <v>225</v>
      </c>
      <c r="D4876">
        <v>225</v>
      </c>
    </row>
    <row r="4877" spans="1:4" ht="15" x14ac:dyDescent="0.25">
      <c r="A4877" t="s">
        <v>13186</v>
      </c>
      <c r="B4877">
        <v>1</v>
      </c>
      <c r="C4877">
        <v>225</v>
      </c>
      <c r="D4877">
        <v>225</v>
      </c>
    </row>
    <row r="4878" spans="1:4" ht="15" x14ac:dyDescent="0.25">
      <c r="A4878" t="s">
        <v>13190</v>
      </c>
      <c r="B4878">
        <v>1</v>
      </c>
      <c r="C4878">
        <v>93</v>
      </c>
      <c r="D4878">
        <v>93</v>
      </c>
    </row>
    <row r="4879" spans="1:4" ht="15" x14ac:dyDescent="0.25">
      <c r="A4879" t="s">
        <v>13191</v>
      </c>
      <c r="B4879">
        <v>2</v>
      </c>
      <c r="C4879">
        <v>106</v>
      </c>
      <c r="D4879">
        <v>53</v>
      </c>
    </row>
    <row r="4880" spans="1:4" ht="15" x14ac:dyDescent="0.25">
      <c r="A4880" t="s">
        <v>13194</v>
      </c>
      <c r="B4880">
        <v>1</v>
      </c>
      <c r="C4880">
        <v>24</v>
      </c>
      <c r="D4880">
        <v>24</v>
      </c>
    </row>
    <row r="4881" spans="1:4" ht="15" x14ac:dyDescent="0.25">
      <c r="A4881" t="s">
        <v>13195</v>
      </c>
      <c r="B4881">
        <v>1</v>
      </c>
      <c r="C4881">
        <v>24</v>
      </c>
      <c r="D4881">
        <v>24</v>
      </c>
    </row>
    <row r="4882" spans="1:4" ht="15" x14ac:dyDescent="0.25">
      <c r="A4882" t="s">
        <v>13198</v>
      </c>
      <c r="B4882">
        <v>1</v>
      </c>
      <c r="C4882">
        <v>14</v>
      </c>
      <c r="D4882">
        <v>14</v>
      </c>
    </row>
    <row r="4883" spans="1:4" ht="15" x14ac:dyDescent="0.25">
      <c r="A4883" t="s">
        <v>13199</v>
      </c>
      <c r="B4883">
        <v>1</v>
      </c>
      <c r="C4883">
        <v>14</v>
      </c>
      <c r="D4883">
        <v>14</v>
      </c>
    </row>
    <row r="4884" spans="1:4" ht="15" x14ac:dyDescent="0.25">
      <c r="A4884" t="s">
        <v>13201</v>
      </c>
      <c r="B4884">
        <v>1</v>
      </c>
      <c r="C4884">
        <v>14</v>
      </c>
      <c r="D4884">
        <v>14</v>
      </c>
    </row>
    <row r="4885" spans="1:4" ht="15" x14ac:dyDescent="0.25">
      <c r="A4885" t="s">
        <v>13200</v>
      </c>
      <c r="B4885">
        <v>1</v>
      </c>
      <c r="C4885">
        <v>14</v>
      </c>
      <c r="D4885">
        <v>14</v>
      </c>
    </row>
    <row r="4886" spans="1:4" ht="15" x14ac:dyDescent="0.25">
      <c r="A4886" t="s">
        <v>13204</v>
      </c>
      <c r="B4886">
        <v>1</v>
      </c>
      <c r="C4886">
        <v>9</v>
      </c>
      <c r="D4886">
        <v>9</v>
      </c>
    </row>
    <row r="4887" spans="1:4" ht="15" x14ac:dyDescent="0.25">
      <c r="A4887" t="s">
        <v>13205</v>
      </c>
      <c r="B4887">
        <v>2</v>
      </c>
      <c r="C4887">
        <v>23</v>
      </c>
      <c r="D4887">
        <v>11.5</v>
      </c>
    </row>
    <row r="4888" spans="1:4" ht="15" x14ac:dyDescent="0.25">
      <c r="A4888" t="s">
        <v>13207</v>
      </c>
      <c r="B4888">
        <v>1</v>
      </c>
      <c r="C4888">
        <v>9</v>
      </c>
      <c r="D4888">
        <v>9</v>
      </c>
    </row>
    <row r="4889" spans="1:4" ht="15" x14ac:dyDescent="0.25">
      <c r="A4889" t="s">
        <v>13208</v>
      </c>
      <c r="B4889">
        <v>1</v>
      </c>
      <c r="C4889">
        <v>9</v>
      </c>
      <c r="D4889">
        <v>9</v>
      </c>
    </row>
    <row r="4890" spans="1:4" ht="15" x14ac:dyDescent="0.25">
      <c r="A4890" t="s">
        <v>13206</v>
      </c>
      <c r="B4890">
        <v>1</v>
      </c>
      <c r="C4890">
        <v>9</v>
      </c>
      <c r="D4890">
        <v>9</v>
      </c>
    </row>
    <row r="4891" spans="1:4" ht="15" x14ac:dyDescent="0.25">
      <c r="A4891" t="s">
        <v>13213</v>
      </c>
      <c r="B4891">
        <v>1</v>
      </c>
      <c r="C4891">
        <v>53</v>
      </c>
      <c r="D4891">
        <v>53</v>
      </c>
    </row>
    <row r="4892" spans="1:4" ht="15" x14ac:dyDescent="0.25">
      <c r="A4892" t="s">
        <v>13214</v>
      </c>
      <c r="B4892">
        <v>1</v>
      </c>
      <c r="C4892">
        <v>53</v>
      </c>
      <c r="D4892">
        <v>53</v>
      </c>
    </row>
    <row r="4893" spans="1:4" ht="15" x14ac:dyDescent="0.25">
      <c r="A4893" t="s">
        <v>13215</v>
      </c>
      <c r="B4893">
        <v>1</v>
      </c>
      <c r="C4893">
        <v>53</v>
      </c>
      <c r="D4893">
        <v>53</v>
      </c>
    </row>
    <row r="4894" spans="1:4" ht="15" x14ac:dyDescent="0.25">
      <c r="A4894" t="s">
        <v>13216</v>
      </c>
      <c r="B4894">
        <v>1</v>
      </c>
      <c r="C4894">
        <v>53</v>
      </c>
      <c r="D4894">
        <v>53</v>
      </c>
    </row>
    <row r="4895" spans="1:4" ht="15" x14ac:dyDescent="0.25">
      <c r="A4895" t="s">
        <v>13221</v>
      </c>
      <c r="B4895">
        <v>1</v>
      </c>
      <c r="C4895">
        <v>30</v>
      </c>
      <c r="D4895">
        <v>30</v>
      </c>
    </row>
    <row r="4896" spans="1:4" ht="15" x14ac:dyDescent="0.25">
      <c r="A4896" t="s">
        <v>13222</v>
      </c>
      <c r="B4896">
        <v>1</v>
      </c>
      <c r="C4896">
        <v>30</v>
      </c>
      <c r="D4896">
        <v>30</v>
      </c>
    </row>
    <row r="4897" spans="1:4" ht="15" x14ac:dyDescent="0.25">
      <c r="A4897" t="s">
        <v>13224</v>
      </c>
      <c r="B4897">
        <v>1</v>
      </c>
      <c r="C4897">
        <v>30</v>
      </c>
      <c r="D4897">
        <v>30</v>
      </c>
    </row>
    <row r="4898" spans="1:4" ht="15" x14ac:dyDescent="0.25">
      <c r="A4898" t="s">
        <v>13223</v>
      </c>
      <c r="B4898">
        <v>1</v>
      </c>
      <c r="C4898">
        <v>30</v>
      </c>
      <c r="D4898">
        <v>30</v>
      </c>
    </row>
    <row r="4899" spans="1:4" ht="15" x14ac:dyDescent="0.25">
      <c r="A4899" t="s">
        <v>13228</v>
      </c>
      <c r="B4899">
        <v>1</v>
      </c>
      <c r="C4899">
        <v>64</v>
      </c>
      <c r="D4899">
        <v>64</v>
      </c>
    </row>
    <row r="4900" spans="1:4" ht="15" x14ac:dyDescent="0.25">
      <c r="A4900" t="s">
        <v>13230</v>
      </c>
      <c r="B4900">
        <v>1</v>
      </c>
      <c r="C4900">
        <v>64</v>
      </c>
      <c r="D4900">
        <v>64</v>
      </c>
    </row>
    <row r="4901" spans="1:4" ht="15" x14ac:dyDescent="0.25">
      <c r="A4901" t="s">
        <v>13231</v>
      </c>
      <c r="B4901">
        <v>1</v>
      </c>
      <c r="C4901">
        <v>64</v>
      </c>
      <c r="D4901">
        <v>64</v>
      </c>
    </row>
    <row r="4902" spans="1:4" ht="15" x14ac:dyDescent="0.25">
      <c r="A4902" t="s">
        <v>13229</v>
      </c>
      <c r="B4902">
        <v>1</v>
      </c>
      <c r="C4902">
        <v>64</v>
      </c>
      <c r="D4902">
        <v>64</v>
      </c>
    </row>
    <row r="4903" spans="1:4" ht="15" x14ac:dyDescent="0.25">
      <c r="A4903" t="s">
        <v>13234</v>
      </c>
      <c r="B4903">
        <v>1</v>
      </c>
      <c r="C4903">
        <v>15</v>
      </c>
      <c r="D4903">
        <v>15</v>
      </c>
    </row>
    <row r="4904" spans="1:4" ht="15" x14ac:dyDescent="0.25">
      <c r="A4904" t="s">
        <v>13236</v>
      </c>
      <c r="B4904">
        <v>4</v>
      </c>
      <c r="C4904">
        <v>236</v>
      </c>
      <c r="D4904">
        <v>59</v>
      </c>
    </row>
    <row r="4905" spans="1:4" ht="15" x14ac:dyDescent="0.25">
      <c r="A4905" t="s">
        <v>13235</v>
      </c>
      <c r="B4905">
        <v>2</v>
      </c>
      <c r="C4905">
        <v>49</v>
      </c>
      <c r="D4905">
        <v>24.5</v>
      </c>
    </row>
    <row r="4906" spans="1:4" ht="15" x14ac:dyDescent="0.25">
      <c r="A4906" t="s">
        <v>13240</v>
      </c>
      <c r="B4906">
        <v>1</v>
      </c>
      <c r="C4906">
        <v>19</v>
      </c>
      <c r="D4906">
        <v>19</v>
      </c>
    </row>
    <row r="4907" spans="1:4" ht="15" x14ac:dyDescent="0.25">
      <c r="A4907" t="s">
        <v>13241</v>
      </c>
      <c r="B4907">
        <v>1</v>
      </c>
      <c r="C4907">
        <v>19</v>
      </c>
      <c r="D4907">
        <v>19</v>
      </c>
    </row>
    <row r="4908" spans="1:4" ht="15" x14ac:dyDescent="0.25">
      <c r="A4908" t="s">
        <v>13243</v>
      </c>
      <c r="B4908">
        <v>1</v>
      </c>
      <c r="C4908">
        <v>19</v>
      </c>
      <c r="D4908">
        <v>19</v>
      </c>
    </row>
    <row r="4909" spans="1:4" ht="15" x14ac:dyDescent="0.25">
      <c r="A4909" t="s">
        <v>13242</v>
      </c>
      <c r="B4909">
        <v>2</v>
      </c>
      <c r="C4909">
        <v>100</v>
      </c>
      <c r="D4909">
        <v>50</v>
      </c>
    </row>
    <row r="4910" spans="1:4" ht="15" x14ac:dyDescent="0.25">
      <c r="A4910" t="s">
        <v>13247</v>
      </c>
      <c r="B4910">
        <v>1</v>
      </c>
      <c r="C4910">
        <v>11</v>
      </c>
      <c r="D4910">
        <v>11</v>
      </c>
    </row>
    <row r="4911" spans="1:4" ht="15" x14ac:dyDescent="0.25">
      <c r="A4911" t="s">
        <v>13248</v>
      </c>
      <c r="B4911">
        <v>1</v>
      </c>
      <c r="C4911">
        <v>11</v>
      </c>
      <c r="D4911">
        <v>11</v>
      </c>
    </row>
    <row r="4912" spans="1:4" ht="15" x14ac:dyDescent="0.25">
      <c r="A4912" t="s">
        <v>13249</v>
      </c>
      <c r="B4912">
        <v>1</v>
      </c>
      <c r="C4912">
        <v>11</v>
      </c>
      <c r="D4912">
        <v>11</v>
      </c>
    </row>
    <row r="4913" spans="1:4" ht="15" x14ac:dyDescent="0.25">
      <c r="A4913" t="s">
        <v>13253</v>
      </c>
      <c r="B4913">
        <v>1</v>
      </c>
      <c r="C4913">
        <v>101</v>
      </c>
      <c r="D4913">
        <v>101</v>
      </c>
    </row>
    <row r="4914" spans="1:4" ht="15" x14ac:dyDescent="0.25">
      <c r="A4914" t="s">
        <v>13254</v>
      </c>
      <c r="B4914">
        <v>2</v>
      </c>
      <c r="C4914">
        <v>204</v>
      </c>
      <c r="D4914">
        <v>102</v>
      </c>
    </row>
    <row r="4915" spans="1:4" ht="15" x14ac:dyDescent="0.25">
      <c r="A4915" t="s">
        <v>13258</v>
      </c>
      <c r="B4915">
        <v>1</v>
      </c>
      <c r="C4915">
        <v>17</v>
      </c>
      <c r="D4915">
        <v>17</v>
      </c>
    </row>
    <row r="4916" spans="1:4" ht="15" x14ac:dyDescent="0.25">
      <c r="A4916" t="s">
        <v>13259</v>
      </c>
      <c r="B4916">
        <v>1</v>
      </c>
      <c r="C4916">
        <v>17</v>
      </c>
      <c r="D4916">
        <v>17</v>
      </c>
    </row>
    <row r="4917" spans="1:4" ht="15" x14ac:dyDescent="0.25">
      <c r="A4917" t="s">
        <v>13260</v>
      </c>
      <c r="B4917">
        <v>1</v>
      </c>
      <c r="C4917">
        <v>17</v>
      </c>
      <c r="D4917">
        <v>17</v>
      </c>
    </row>
    <row r="4918" spans="1:4" ht="15" x14ac:dyDescent="0.25">
      <c r="A4918" t="s">
        <v>13264</v>
      </c>
      <c r="B4918">
        <v>1</v>
      </c>
      <c r="C4918">
        <v>28</v>
      </c>
      <c r="D4918">
        <v>28</v>
      </c>
    </row>
    <row r="4919" spans="1:4" ht="15" x14ac:dyDescent="0.25">
      <c r="A4919" t="s">
        <v>13268</v>
      </c>
      <c r="B4919">
        <v>1</v>
      </c>
      <c r="C4919">
        <v>63</v>
      </c>
      <c r="D4919">
        <v>63</v>
      </c>
    </row>
    <row r="4920" spans="1:4" ht="15" x14ac:dyDescent="0.25">
      <c r="A4920" t="s">
        <v>13270</v>
      </c>
      <c r="B4920">
        <v>1</v>
      </c>
      <c r="C4920">
        <v>63</v>
      </c>
      <c r="D4920">
        <v>63</v>
      </c>
    </row>
    <row r="4921" spans="1:4" ht="15" x14ac:dyDescent="0.25">
      <c r="A4921" t="s">
        <v>13269</v>
      </c>
      <c r="B4921">
        <v>3</v>
      </c>
      <c r="C4921">
        <v>132</v>
      </c>
      <c r="D4921">
        <v>44</v>
      </c>
    </row>
    <row r="4922" spans="1:4" ht="15" x14ac:dyDescent="0.25">
      <c r="A4922" t="s">
        <v>13276</v>
      </c>
      <c r="B4922">
        <v>1</v>
      </c>
      <c r="C4922">
        <v>58</v>
      </c>
      <c r="D4922">
        <v>58</v>
      </c>
    </row>
    <row r="4923" spans="1:4" ht="15" x14ac:dyDescent="0.25">
      <c r="A4923" t="s">
        <v>13275</v>
      </c>
      <c r="B4923">
        <v>1</v>
      </c>
      <c r="C4923">
        <v>58</v>
      </c>
      <c r="D4923">
        <v>58</v>
      </c>
    </row>
    <row r="4924" spans="1:4" ht="15" x14ac:dyDescent="0.25">
      <c r="A4924" t="s">
        <v>13280</v>
      </c>
      <c r="B4924">
        <v>1</v>
      </c>
      <c r="C4924">
        <v>9</v>
      </c>
      <c r="D4924">
        <v>9</v>
      </c>
    </row>
    <row r="4925" spans="1:4" ht="15" x14ac:dyDescent="0.25">
      <c r="A4925" t="s">
        <v>13281</v>
      </c>
      <c r="B4925">
        <v>5</v>
      </c>
      <c r="C4925">
        <v>161</v>
      </c>
      <c r="D4925">
        <v>32.200000000000003</v>
      </c>
    </row>
    <row r="4926" spans="1:4" ht="15" x14ac:dyDescent="0.25">
      <c r="A4926" t="s">
        <v>13282</v>
      </c>
      <c r="B4926">
        <v>1</v>
      </c>
      <c r="C4926">
        <v>9</v>
      </c>
      <c r="D4926">
        <v>9</v>
      </c>
    </row>
    <row r="4927" spans="1:4" ht="15" x14ac:dyDescent="0.25">
      <c r="A4927" t="s">
        <v>13290</v>
      </c>
      <c r="B4927">
        <v>1</v>
      </c>
      <c r="C4927">
        <v>19</v>
      </c>
      <c r="D4927">
        <v>19</v>
      </c>
    </row>
    <row r="4928" spans="1:4" ht="15" x14ac:dyDescent="0.25">
      <c r="A4928" t="s">
        <v>13291</v>
      </c>
      <c r="B4928">
        <v>2</v>
      </c>
      <c r="C4928">
        <v>38</v>
      </c>
      <c r="D4928">
        <v>19</v>
      </c>
    </row>
    <row r="4929" spans="1:4" ht="15" x14ac:dyDescent="0.25">
      <c r="A4929" t="s">
        <v>13292</v>
      </c>
      <c r="B4929">
        <v>1</v>
      </c>
      <c r="C4929">
        <v>19</v>
      </c>
      <c r="D4929">
        <v>19</v>
      </c>
    </row>
    <row r="4930" spans="1:4" ht="15" x14ac:dyDescent="0.25">
      <c r="A4930" t="s">
        <v>13296</v>
      </c>
      <c r="B4930">
        <v>1</v>
      </c>
      <c r="C4930">
        <v>10</v>
      </c>
      <c r="D4930">
        <v>10</v>
      </c>
    </row>
    <row r="4931" spans="1:4" ht="15" x14ac:dyDescent="0.25">
      <c r="A4931" t="s">
        <v>13297</v>
      </c>
      <c r="B4931">
        <v>1</v>
      </c>
      <c r="C4931">
        <v>10</v>
      </c>
      <c r="D4931">
        <v>10</v>
      </c>
    </row>
    <row r="4932" spans="1:4" ht="15" x14ac:dyDescent="0.25">
      <c r="A4932" t="s">
        <v>13299</v>
      </c>
      <c r="B4932">
        <v>1</v>
      </c>
      <c r="C4932">
        <v>10</v>
      </c>
      <c r="D4932">
        <v>10</v>
      </c>
    </row>
    <row r="4933" spans="1:4" ht="15" x14ac:dyDescent="0.25">
      <c r="A4933" t="s">
        <v>13298</v>
      </c>
      <c r="B4933">
        <v>1</v>
      </c>
      <c r="C4933">
        <v>10</v>
      </c>
      <c r="D4933">
        <v>10</v>
      </c>
    </row>
    <row r="4934" spans="1:4" ht="15" x14ac:dyDescent="0.25">
      <c r="A4934" t="s">
        <v>13306</v>
      </c>
      <c r="B4934">
        <v>1</v>
      </c>
      <c r="C4934">
        <v>12</v>
      </c>
      <c r="D4934">
        <v>12</v>
      </c>
    </row>
    <row r="4935" spans="1:4" ht="15" x14ac:dyDescent="0.25">
      <c r="A4935" t="s">
        <v>13309</v>
      </c>
      <c r="B4935">
        <v>1</v>
      </c>
      <c r="C4935">
        <v>37</v>
      </c>
      <c r="D4935">
        <v>37</v>
      </c>
    </row>
    <row r="4936" spans="1:4" ht="15" x14ac:dyDescent="0.25">
      <c r="A4936" t="s">
        <v>13311</v>
      </c>
      <c r="B4936">
        <v>1</v>
      </c>
      <c r="C4936">
        <v>37</v>
      </c>
      <c r="D4936">
        <v>37</v>
      </c>
    </row>
    <row r="4937" spans="1:4" ht="15" x14ac:dyDescent="0.25">
      <c r="A4937" t="s">
        <v>13312</v>
      </c>
      <c r="B4937">
        <v>1</v>
      </c>
      <c r="C4937">
        <v>37</v>
      </c>
      <c r="D4937">
        <v>37</v>
      </c>
    </row>
    <row r="4938" spans="1:4" ht="15" x14ac:dyDescent="0.25">
      <c r="A4938" t="s">
        <v>13310</v>
      </c>
      <c r="B4938">
        <v>2</v>
      </c>
      <c r="C4938">
        <v>84</v>
      </c>
      <c r="D4938">
        <v>42</v>
      </c>
    </row>
    <row r="4939" spans="1:4" ht="15" x14ac:dyDescent="0.25">
      <c r="A4939" t="s">
        <v>13323</v>
      </c>
      <c r="B4939">
        <v>1</v>
      </c>
      <c r="C4939">
        <v>47</v>
      </c>
      <c r="D4939">
        <v>47</v>
      </c>
    </row>
    <row r="4940" spans="1:4" ht="15" x14ac:dyDescent="0.25">
      <c r="A4940" t="s">
        <v>13324</v>
      </c>
      <c r="B4940">
        <v>1</v>
      </c>
      <c r="C4940">
        <v>47</v>
      </c>
      <c r="D4940">
        <v>47</v>
      </c>
    </row>
    <row r="4941" spans="1:4" ht="15" x14ac:dyDescent="0.25">
      <c r="A4941" t="s">
        <v>13328</v>
      </c>
      <c r="B4941">
        <v>2</v>
      </c>
      <c r="C4941">
        <v>31</v>
      </c>
      <c r="D4941">
        <v>15.5</v>
      </c>
    </row>
    <row r="4942" spans="1:4" ht="15" x14ac:dyDescent="0.25">
      <c r="A4942" t="s">
        <v>13329</v>
      </c>
      <c r="B4942">
        <v>2</v>
      </c>
      <c r="C4942">
        <v>147</v>
      </c>
      <c r="D4942">
        <v>73.5</v>
      </c>
    </row>
    <row r="4943" spans="1:4" ht="15" x14ac:dyDescent="0.25">
      <c r="A4943" t="s">
        <v>13332</v>
      </c>
      <c r="B4943">
        <v>1</v>
      </c>
      <c r="C4943">
        <v>64</v>
      </c>
      <c r="D4943">
        <v>64</v>
      </c>
    </row>
    <row r="4944" spans="1:4" ht="15" x14ac:dyDescent="0.25">
      <c r="A4944" t="s">
        <v>13334</v>
      </c>
      <c r="B4944">
        <v>1</v>
      </c>
      <c r="C4944">
        <v>64</v>
      </c>
      <c r="D4944">
        <v>64</v>
      </c>
    </row>
    <row r="4945" spans="1:4" ht="15" x14ac:dyDescent="0.25">
      <c r="A4945" t="s">
        <v>13335</v>
      </c>
      <c r="B4945">
        <v>1</v>
      </c>
      <c r="C4945">
        <v>64</v>
      </c>
      <c r="D4945">
        <v>64</v>
      </c>
    </row>
    <row r="4946" spans="1:4" ht="15" x14ac:dyDescent="0.25">
      <c r="A4946" t="s">
        <v>13333</v>
      </c>
      <c r="B4946">
        <v>1</v>
      </c>
      <c r="C4946">
        <v>64</v>
      </c>
      <c r="D4946">
        <v>64</v>
      </c>
    </row>
    <row r="4947" spans="1:4" ht="15" x14ac:dyDescent="0.25">
      <c r="A4947" t="s">
        <v>13341</v>
      </c>
      <c r="B4947">
        <v>21</v>
      </c>
      <c r="C4947">
        <v>2286</v>
      </c>
      <c r="D4947">
        <v>108.85714285714286</v>
      </c>
    </row>
    <row r="4948" spans="1:4" ht="15" x14ac:dyDescent="0.25">
      <c r="A4948" t="s">
        <v>13344</v>
      </c>
      <c r="B4948">
        <v>1</v>
      </c>
      <c r="C4948">
        <v>32</v>
      </c>
      <c r="D4948">
        <v>32</v>
      </c>
    </row>
    <row r="4949" spans="1:4" ht="15" x14ac:dyDescent="0.25">
      <c r="A4949" t="s">
        <v>13345</v>
      </c>
      <c r="B4949">
        <v>1</v>
      </c>
      <c r="C4949">
        <v>32</v>
      </c>
      <c r="D4949">
        <v>32</v>
      </c>
    </row>
    <row r="4950" spans="1:4" ht="15" x14ac:dyDescent="0.25">
      <c r="A4950" t="s">
        <v>13349</v>
      </c>
      <c r="B4950">
        <v>1</v>
      </c>
      <c r="C4950">
        <v>130</v>
      </c>
      <c r="D4950">
        <v>130</v>
      </c>
    </row>
    <row r="4951" spans="1:4" ht="15" x14ac:dyDescent="0.25">
      <c r="A4951" t="s">
        <v>13354</v>
      </c>
      <c r="B4951">
        <v>1</v>
      </c>
      <c r="C4951">
        <v>15</v>
      </c>
      <c r="D4951">
        <v>15</v>
      </c>
    </row>
    <row r="4952" spans="1:4" ht="15" x14ac:dyDescent="0.25">
      <c r="A4952" t="s">
        <v>13356</v>
      </c>
      <c r="B4952">
        <v>1</v>
      </c>
      <c r="C4952">
        <v>15</v>
      </c>
      <c r="D4952">
        <v>15</v>
      </c>
    </row>
    <row r="4953" spans="1:4" ht="15" x14ac:dyDescent="0.25">
      <c r="A4953" t="s">
        <v>13355</v>
      </c>
      <c r="B4953">
        <v>1</v>
      </c>
      <c r="C4953">
        <v>15</v>
      </c>
      <c r="D4953">
        <v>15</v>
      </c>
    </row>
    <row r="4954" spans="1:4" ht="15" x14ac:dyDescent="0.25">
      <c r="A4954" t="s">
        <v>13359</v>
      </c>
      <c r="B4954">
        <v>4</v>
      </c>
      <c r="C4954">
        <v>290</v>
      </c>
      <c r="D4954">
        <v>72.5</v>
      </c>
    </row>
    <row r="4955" spans="1:4" ht="15" x14ac:dyDescent="0.25">
      <c r="A4955" t="s">
        <v>13362</v>
      </c>
      <c r="B4955">
        <v>8</v>
      </c>
      <c r="C4955">
        <v>287</v>
      </c>
      <c r="D4955">
        <v>35.875</v>
      </c>
    </row>
    <row r="4956" spans="1:4" ht="15" x14ac:dyDescent="0.25">
      <c r="A4956" t="s">
        <v>13366</v>
      </c>
      <c r="B4956">
        <v>3</v>
      </c>
      <c r="C4956">
        <v>359</v>
      </c>
      <c r="D4956">
        <v>119.66666666666667</v>
      </c>
    </row>
    <row r="4957" spans="1:4" ht="15" x14ac:dyDescent="0.25">
      <c r="A4957" t="s">
        <v>13370</v>
      </c>
      <c r="B4957">
        <v>1</v>
      </c>
      <c r="C4957">
        <v>12</v>
      </c>
      <c r="D4957">
        <v>12</v>
      </c>
    </row>
    <row r="4958" spans="1:4" ht="15" x14ac:dyDescent="0.25">
      <c r="A4958" t="s">
        <v>13371</v>
      </c>
      <c r="B4958">
        <v>1</v>
      </c>
      <c r="C4958">
        <v>12</v>
      </c>
      <c r="D4958">
        <v>12</v>
      </c>
    </row>
    <row r="4959" spans="1:4" ht="15" x14ac:dyDescent="0.25">
      <c r="A4959" t="s">
        <v>13387</v>
      </c>
      <c r="B4959">
        <v>1</v>
      </c>
      <c r="C4959">
        <v>35</v>
      </c>
      <c r="D4959">
        <v>35</v>
      </c>
    </row>
    <row r="4960" spans="1:4" ht="15" x14ac:dyDescent="0.25">
      <c r="A4960" t="s">
        <v>13388</v>
      </c>
      <c r="B4960">
        <v>1</v>
      </c>
      <c r="C4960">
        <v>35</v>
      </c>
      <c r="D4960">
        <v>35</v>
      </c>
    </row>
    <row r="4961" spans="1:4" ht="15" x14ac:dyDescent="0.25">
      <c r="A4961" t="s">
        <v>13392</v>
      </c>
      <c r="B4961">
        <v>1</v>
      </c>
      <c r="C4961">
        <v>1</v>
      </c>
      <c r="D4961">
        <v>1</v>
      </c>
    </row>
    <row r="4962" spans="1:4" ht="15" x14ac:dyDescent="0.25">
      <c r="A4962" t="s">
        <v>13393</v>
      </c>
      <c r="B4962">
        <v>1</v>
      </c>
      <c r="C4962">
        <v>1</v>
      </c>
      <c r="D4962">
        <v>1</v>
      </c>
    </row>
    <row r="4963" spans="1:4" ht="15" x14ac:dyDescent="0.25">
      <c r="A4963" t="s">
        <v>13389</v>
      </c>
      <c r="B4963">
        <v>1</v>
      </c>
      <c r="C4963">
        <v>1</v>
      </c>
      <c r="D4963">
        <v>1</v>
      </c>
    </row>
    <row r="4964" spans="1:4" ht="15" x14ac:dyDescent="0.25">
      <c r="A4964" t="s">
        <v>13397</v>
      </c>
      <c r="B4964">
        <v>1</v>
      </c>
      <c r="C4964">
        <v>10</v>
      </c>
      <c r="D4964">
        <v>10</v>
      </c>
    </row>
    <row r="4965" spans="1:4" ht="15" x14ac:dyDescent="0.25">
      <c r="A4965" t="s">
        <v>13398</v>
      </c>
      <c r="B4965">
        <v>1</v>
      </c>
      <c r="C4965">
        <v>10</v>
      </c>
      <c r="D4965">
        <v>10</v>
      </c>
    </row>
    <row r="4966" spans="1:4" ht="15" x14ac:dyDescent="0.25">
      <c r="A4966" t="s">
        <v>13399</v>
      </c>
      <c r="B4966">
        <v>1</v>
      </c>
      <c r="C4966">
        <v>10</v>
      </c>
      <c r="D4966">
        <v>10</v>
      </c>
    </row>
    <row r="4967" spans="1:4" ht="15" x14ac:dyDescent="0.25">
      <c r="A4967" t="s">
        <v>13403</v>
      </c>
      <c r="B4967">
        <v>1</v>
      </c>
      <c r="C4967">
        <v>11</v>
      </c>
      <c r="D4967">
        <v>11</v>
      </c>
    </row>
    <row r="4968" spans="1:4" ht="15" x14ac:dyDescent="0.25">
      <c r="A4968" t="s">
        <v>13407</v>
      </c>
      <c r="B4968">
        <v>1</v>
      </c>
      <c r="C4968">
        <v>12</v>
      </c>
      <c r="D4968">
        <v>12</v>
      </c>
    </row>
    <row r="4969" spans="1:4" ht="15" x14ac:dyDescent="0.25">
      <c r="A4969" t="s">
        <v>13408</v>
      </c>
      <c r="B4969">
        <v>1</v>
      </c>
      <c r="C4969">
        <v>12</v>
      </c>
      <c r="D4969">
        <v>12</v>
      </c>
    </row>
    <row r="4970" spans="1:4" ht="15" x14ac:dyDescent="0.25">
      <c r="A4970" t="s">
        <v>13409</v>
      </c>
      <c r="B4970">
        <v>3</v>
      </c>
      <c r="C4970">
        <v>181</v>
      </c>
      <c r="D4970">
        <v>60.333333333333336</v>
      </c>
    </row>
    <row r="4971" spans="1:4" ht="15" x14ac:dyDescent="0.25">
      <c r="A4971" t="s">
        <v>13410</v>
      </c>
      <c r="B4971">
        <v>1</v>
      </c>
      <c r="C4971">
        <v>12</v>
      </c>
      <c r="D4971">
        <v>12</v>
      </c>
    </row>
    <row r="4972" spans="1:4" ht="15" x14ac:dyDescent="0.25">
      <c r="A4972" t="s">
        <v>13414</v>
      </c>
      <c r="B4972">
        <v>1</v>
      </c>
      <c r="C4972">
        <v>19</v>
      </c>
      <c r="D4972">
        <v>19</v>
      </c>
    </row>
    <row r="4973" spans="1:4" ht="15" x14ac:dyDescent="0.25">
      <c r="A4973" t="s">
        <v>13415</v>
      </c>
      <c r="B4973">
        <v>1</v>
      </c>
      <c r="C4973">
        <v>19</v>
      </c>
      <c r="D4973">
        <v>19</v>
      </c>
    </row>
    <row r="4974" spans="1:4" ht="15" x14ac:dyDescent="0.25">
      <c r="A4974" t="s">
        <v>13420</v>
      </c>
      <c r="B4974">
        <v>2</v>
      </c>
      <c r="C4974">
        <v>1890</v>
      </c>
      <c r="D4974">
        <v>945</v>
      </c>
    </row>
    <row r="4975" spans="1:4" ht="15" x14ac:dyDescent="0.25">
      <c r="A4975" t="s">
        <v>13421</v>
      </c>
      <c r="B4975">
        <v>1</v>
      </c>
      <c r="C4975">
        <v>24</v>
      </c>
      <c r="D4975">
        <v>24</v>
      </c>
    </row>
    <row r="4976" spans="1:4" ht="15" x14ac:dyDescent="0.25">
      <c r="A4976" t="s">
        <v>13426</v>
      </c>
      <c r="B4976">
        <v>1</v>
      </c>
      <c r="C4976">
        <v>12</v>
      </c>
      <c r="D4976">
        <v>12</v>
      </c>
    </row>
    <row r="4977" spans="1:4" ht="15" x14ac:dyDescent="0.25">
      <c r="A4977" t="s">
        <v>13427</v>
      </c>
      <c r="B4977">
        <v>1</v>
      </c>
      <c r="C4977">
        <v>12</v>
      </c>
      <c r="D4977">
        <v>12</v>
      </c>
    </row>
    <row r="4978" spans="1:4" ht="15" x14ac:dyDescent="0.25">
      <c r="A4978" t="s">
        <v>13429</v>
      </c>
      <c r="B4978">
        <v>1</v>
      </c>
      <c r="C4978">
        <v>12</v>
      </c>
      <c r="D4978">
        <v>12</v>
      </c>
    </row>
    <row r="4979" spans="1:4" ht="15" x14ac:dyDescent="0.25">
      <c r="A4979" t="s">
        <v>13430</v>
      </c>
      <c r="B4979">
        <v>1</v>
      </c>
      <c r="C4979">
        <v>12</v>
      </c>
      <c r="D4979">
        <v>12</v>
      </c>
    </row>
    <row r="4980" spans="1:4" ht="15" x14ac:dyDescent="0.25">
      <c r="A4980" t="s">
        <v>13428</v>
      </c>
      <c r="B4980">
        <v>1</v>
      </c>
      <c r="C4980">
        <v>12</v>
      </c>
      <c r="D4980">
        <v>12</v>
      </c>
    </row>
    <row r="4981" spans="1:4" ht="15" x14ac:dyDescent="0.25">
      <c r="A4981" t="s">
        <v>13436</v>
      </c>
      <c r="B4981">
        <v>27</v>
      </c>
      <c r="C4981">
        <v>803</v>
      </c>
      <c r="D4981">
        <v>29.74074074074074</v>
      </c>
    </row>
    <row r="4982" spans="1:4" ht="15" x14ac:dyDescent="0.25">
      <c r="A4982" t="s">
        <v>13441</v>
      </c>
      <c r="B4982">
        <v>1</v>
      </c>
      <c r="C4982">
        <v>34</v>
      </c>
      <c r="D4982">
        <v>34</v>
      </c>
    </row>
    <row r="4983" spans="1:4" ht="15" x14ac:dyDescent="0.25">
      <c r="A4983" t="s">
        <v>13442</v>
      </c>
      <c r="B4983">
        <v>1</v>
      </c>
      <c r="C4983">
        <v>34</v>
      </c>
      <c r="D4983">
        <v>34</v>
      </c>
    </row>
    <row r="4984" spans="1:4" ht="15" x14ac:dyDescent="0.25">
      <c r="A4984" t="s">
        <v>13443</v>
      </c>
      <c r="B4984">
        <v>1</v>
      </c>
      <c r="C4984">
        <v>34</v>
      </c>
      <c r="D4984">
        <v>34</v>
      </c>
    </row>
    <row r="4985" spans="1:4" ht="15" x14ac:dyDescent="0.25">
      <c r="A4985" t="s">
        <v>13437</v>
      </c>
      <c r="B4985">
        <v>1</v>
      </c>
      <c r="C4985">
        <v>34</v>
      </c>
      <c r="D4985">
        <v>34</v>
      </c>
    </row>
    <row r="4986" spans="1:4" ht="15" x14ac:dyDescent="0.25">
      <c r="A4986" t="s">
        <v>13447</v>
      </c>
      <c r="B4986">
        <v>1</v>
      </c>
      <c r="C4986">
        <v>34</v>
      </c>
      <c r="D4986">
        <v>34</v>
      </c>
    </row>
    <row r="4987" spans="1:4" ht="15" x14ac:dyDescent="0.25">
      <c r="A4987" t="s">
        <v>13448</v>
      </c>
      <c r="B4987">
        <v>3</v>
      </c>
      <c r="C4987">
        <v>63</v>
      </c>
      <c r="D4987">
        <v>21</v>
      </c>
    </row>
    <row r="4988" spans="1:4" ht="15" x14ac:dyDescent="0.25">
      <c r="A4988" t="s">
        <v>13450</v>
      </c>
      <c r="B4988">
        <v>1</v>
      </c>
      <c r="C4988">
        <v>34</v>
      </c>
      <c r="D4988">
        <v>34</v>
      </c>
    </row>
    <row r="4989" spans="1:4" ht="15" x14ac:dyDescent="0.25">
      <c r="A4989" t="s">
        <v>13451</v>
      </c>
      <c r="B4989">
        <v>4</v>
      </c>
      <c r="C4989">
        <v>109</v>
      </c>
      <c r="D4989">
        <v>27.25</v>
      </c>
    </row>
    <row r="4990" spans="1:4" ht="15" x14ac:dyDescent="0.25">
      <c r="A4990" t="s">
        <v>13449</v>
      </c>
      <c r="B4990">
        <v>1</v>
      </c>
      <c r="C4990">
        <v>34</v>
      </c>
      <c r="D4990">
        <v>34</v>
      </c>
    </row>
    <row r="4991" spans="1:4" ht="15" x14ac:dyDescent="0.25">
      <c r="A4991" t="s">
        <v>13456</v>
      </c>
      <c r="B4991">
        <v>1</v>
      </c>
      <c r="C4991">
        <v>57</v>
      </c>
      <c r="D4991">
        <v>57</v>
      </c>
    </row>
    <row r="4992" spans="1:4" ht="15" x14ac:dyDescent="0.25">
      <c r="A4992" t="s">
        <v>13457</v>
      </c>
      <c r="B4992">
        <v>1</v>
      </c>
      <c r="C4992">
        <v>57</v>
      </c>
      <c r="D4992">
        <v>57</v>
      </c>
    </row>
    <row r="4993" spans="1:4" ht="15" x14ac:dyDescent="0.25">
      <c r="A4993" t="s">
        <v>13461</v>
      </c>
      <c r="B4993">
        <v>3</v>
      </c>
      <c r="C4993">
        <v>52</v>
      </c>
      <c r="D4993">
        <v>17.333333333333332</v>
      </c>
    </row>
    <row r="4994" spans="1:4" ht="15" x14ac:dyDescent="0.25">
      <c r="A4994" t="s">
        <v>13462</v>
      </c>
      <c r="B4994">
        <v>1</v>
      </c>
      <c r="C4994">
        <v>18</v>
      </c>
      <c r="D4994">
        <v>18</v>
      </c>
    </row>
    <row r="4995" spans="1:4" ht="15" x14ac:dyDescent="0.25">
      <c r="A4995" t="s">
        <v>13463</v>
      </c>
      <c r="B4995">
        <v>1</v>
      </c>
      <c r="C4995">
        <v>18</v>
      </c>
      <c r="D4995">
        <v>18</v>
      </c>
    </row>
    <row r="4996" spans="1:4" ht="15" x14ac:dyDescent="0.25">
      <c r="A4996" t="s">
        <v>13468</v>
      </c>
      <c r="B4996">
        <v>1</v>
      </c>
      <c r="C4996">
        <v>44</v>
      </c>
      <c r="D4996">
        <v>44</v>
      </c>
    </row>
    <row r="4997" spans="1:4" ht="15" x14ac:dyDescent="0.25">
      <c r="A4997" t="s">
        <v>13469</v>
      </c>
      <c r="B4997">
        <v>1</v>
      </c>
      <c r="C4997">
        <v>44</v>
      </c>
      <c r="D4997">
        <v>44</v>
      </c>
    </row>
    <row r="4998" spans="1:4" ht="15" x14ac:dyDescent="0.25">
      <c r="A4998" t="s">
        <v>13471</v>
      </c>
      <c r="B4998">
        <v>2</v>
      </c>
      <c r="C4998">
        <v>632</v>
      </c>
      <c r="D4998">
        <v>316</v>
      </c>
    </row>
    <row r="4999" spans="1:4" ht="15" x14ac:dyDescent="0.25">
      <c r="A4999" t="s">
        <v>13472</v>
      </c>
      <c r="B4999">
        <v>1</v>
      </c>
      <c r="C4999">
        <v>44</v>
      </c>
      <c r="D4999">
        <v>44</v>
      </c>
    </row>
    <row r="5000" spans="1:4" ht="15" x14ac:dyDescent="0.25">
      <c r="A5000" t="s">
        <v>13470</v>
      </c>
      <c r="B5000">
        <v>1</v>
      </c>
      <c r="C5000">
        <v>44</v>
      </c>
      <c r="D5000">
        <v>44</v>
      </c>
    </row>
    <row r="5001" spans="1:4" ht="15" x14ac:dyDescent="0.25">
      <c r="A5001" t="s">
        <v>13476</v>
      </c>
      <c r="B5001">
        <v>1</v>
      </c>
      <c r="C5001">
        <v>61</v>
      </c>
      <c r="D5001">
        <v>61</v>
      </c>
    </row>
    <row r="5002" spans="1:4" ht="15" x14ac:dyDescent="0.25">
      <c r="A5002" t="s">
        <v>13477</v>
      </c>
      <c r="B5002">
        <v>1</v>
      </c>
      <c r="C5002">
        <v>61</v>
      </c>
      <c r="D5002">
        <v>61</v>
      </c>
    </row>
    <row r="5003" spans="1:4" ht="15" x14ac:dyDescent="0.25">
      <c r="A5003" t="s">
        <v>13479</v>
      </c>
      <c r="B5003">
        <v>1</v>
      </c>
      <c r="C5003">
        <v>61</v>
      </c>
      <c r="D5003">
        <v>61</v>
      </c>
    </row>
    <row r="5004" spans="1:4" ht="15" x14ac:dyDescent="0.25">
      <c r="A5004" t="s">
        <v>13480</v>
      </c>
      <c r="B5004">
        <v>1</v>
      </c>
      <c r="C5004">
        <v>61</v>
      </c>
      <c r="D5004">
        <v>61</v>
      </c>
    </row>
    <row r="5005" spans="1:4" ht="15" x14ac:dyDescent="0.25">
      <c r="A5005" t="s">
        <v>13478</v>
      </c>
      <c r="B5005">
        <v>1</v>
      </c>
      <c r="C5005">
        <v>61</v>
      </c>
      <c r="D5005">
        <v>61</v>
      </c>
    </row>
    <row r="5006" spans="1:4" ht="15" x14ac:dyDescent="0.25">
      <c r="A5006" t="s">
        <v>13484</v>
      </c>
      <c r="B5006">
        <v>1</v>
      </c>
      <c r="C5006">
        <v>28</v>
      </c>
      <c r="D5006">
        <v>28</v>
      </c>
    </row>
    <row r="5007" spans="1:4" ht="15" x14ac:dyDescent="0.25">
      <c r="A5007" t="s">
        <v>13485</v>
      </c>
      <c r="B5007">
        <v>2</v>
      </c>
      <c r="C5007">
        <v>98</v>
      </c>
      <c r="D5007">
        <v>49</v>
      </c>
    </row>
    <row r="5008" spans="1:4" ht="15" x14ac:dyDescent="0.25">
      <c r="A5008" t="s">
        <v>13489</v>
      </c>
      <c r="B5008">
        <v>3</v>
      </c>
      <c r="C5008">
        <v>1196</v>
      </c>
      <c r="D5008">
        <v>398.66666666666669</v>
      </c>
    </row>
    <row r="5009" spans="1:4" ht="15" x14ac:dyDescent="0.25">
      <c r="A5009" t="s">
        <v>13490</v>
      </c>
      <c r="B5009">
        <v>1</v>
      </c>
      <c r="C5009">
        <v>15</v>
      </c>
      <c r="D5009">
        <v>15</v>
      </c>
    </row>
    <row r="5010" spans="1:4" ht="15" x14ac:dyDescent="0.25">
      <c r="A5010" t="s">
        <v>13492</v>
      </c>
      <c r="B5010">
        <v>1</v>
      </c>
      <c r="C5010">
        <v>15</v>
      </c>
      <c r="D5010">
        <v>15</v>
      </c>
    </row>
    <row r="5011" spans="1:4" ht="15" x14ac:dyDescent="0.25">
      <c r="A5011" t="s">
        <v>13491</v>
      </c>
      <c r="B5011">
        <v>1</v>
      </c>
      <c r="C5011">
        <v>15</v>
      </c>
      <c r="D5011">
        <v>15</v>
      </c>
    </row>
    <row r="5012" spans="1:4" ht="15" x14ac:dyDescent="0.25">
      <c r="A5012" t="s">
        <v>13496</v>
      </c>
      <c r="B5012">
        <v>2</v>
      </c>
      <c r="C5012">
        <v>152</v>
      </c>
      <c r="D5012">
        <v>76</v>
      </c>
    </row>
    <row r="5013" spans="1:4" ht="15" x14ac:dyDescent="0.25">
      <c r="A5013" t="s">
        <v>13497</v>
      </c>
      <c r="B5013">
        <v>1</v>
      </c>
      <c r="C5013">
        <v>138</v>
      </c>
      <c r="D5013">
        <v>138</v>
      </c>
    </row>
    <row r="5014" spans="1:4" ht="15" x14ac:dyDescent="0.25">
      <c r="A5014" t="s">
        <v>13499</v>
      </c>
      <c r="B5014">
        <v>1</v>
      </c>
      <c r="C5014">
        <v>138</v>
      </c>
      <c r="D5014">
        <v>138</v>
      </c>
    </row>
    <row r="5015" spans="1:4" ht="15" x14ac:dyDescent="0.25">
      <c r="A5015" t="s">
        <v>13500</v>
      </c>
      <c r="B5015">
        <v>1</v>
      </c>
      <c r="C5015">
        <v>138</v>
      </c>
      <c r="D5015">
        <v>138</v>
      </c>
    </row>
    <row r="5016" spans="1:4" ht="15" x14ac:dyDescent="0.25">
      <c r="A5016" t="s">
        <v>13498</v>
      </c>
      <c r="B5016">
        <v>1</v>
      </c>
      <c r="C5016">
        <v>138</v>
      </c>
      <c r="D5016">
        <v>138</v>
      </c>
    </row>
    <row r="5017" spans="1:4" ht="15" x14ac:dyDescent="0.25">
      <c r="A5017" t="s">
        <v>13505</v>
      </c>
      <c r="B5017">
        <v>1</v>
      </c>
      <c r="C5017">
        <v>25</v>
      </c>
      <c r="D5017">
        <v>25</v>
      </c>
    </row>
    <row r="5018" spans="1:4" ht="15" x14ac:dyDescent="0.25">
      <c r="A5018" t="s">
        <v>13510</v>
      </c>
      <c r="B5018">
        <v>1</v>
      </c>
      <c r="C5018">
        <v>98</v>
      </c>
      <c r="D5018">
        <v>98</v>
      </c>
    </row>
    <row r="5019" spans="1:4" ht="15" x14ac:dyDescent="0.25">
      <c r="A5019" t="s">
        <v>13511</v>
      </c>
      <c r="B5019">
        <v>1</v>
      </c>
      <c r="C5019">
        <v>98</v>
      </c>
      <c r="D5019">
        <v>98</v>
      </c>
    </row>
    <row r="5020" spans="1:4" ht="15" x14ac:dyDescent="0.25">
      <c r="A5020" t="s">
        <v>13515</v>
      </c>
      <c r="B5020">
        <v>4</v>
      </c>
      <c r="C5020">
        <v>110</v>
      </c>
      <c r="D5020">
        <v>27.5</v>
      </c>
    </row>
    <row r="5021" spans="1:4" ht="15" x14ac:dyDescent="0.25">
      <c r="A5021" t="s">
        <v>13516</v>
      </c>
      <c r="B5021">
        <v>1</v>
      </c>
      <c r="C5021">
        <v>26</v>
      </c>
      <c r="D5021">
        <v>26</v>
      </c>
    </row>
    <row r="5022" spans="1:4" ht="15" x14ac:dyDescent="0.25">
      <c r="A5022" t="s">
        <v>13517</v>
      </c>
      <c r="B5022">
        <v>4</v>
      </c>
      <c r="C5022">
        <v>145</v>
      </c>
      <c r="D5022">
        <v>36.25</v>
      </c>
    </row>
    <row r="5023" spans="1:4" ht="15" x14ac:dyDescent="0.25">
      <c r="A5023" t="s">
        <v>13524</v>
      </c>
      <c r="B5023">
        <v>1</v>
      </c>
      <c r="C5023">
        <v>96</v>
      </c>
      <c r="D5023">
        <v>96</v>
      </c>
    </row>
    <row r="5024" spans="1:4" ht="15" x14ac:dyDescent="0.25">
      <c r="A5024" t="s">
        <v>13526</v>
      </c>
      <c r="B5024">
        <v>1</v>
      </c>
      <c r="C5024">
        <v>96</v>
      </c>
      <c r="D5024">
        <v>96</v>
      </c>
    </row>
    <row r="5025" spans="1:4" ht="15" x14ac:dyDescent="0.25">
      <c r="A5025" t="s">
        <v>13525</v>
      </c>
      <c r="B5025">
        <v>2</v>
      </c>
      <c r="C5025">
        <v>186</v>
      </c>
      <c r="D5025">
        <v>93</v>
      </c>
    </row>
    <row r="5026" spans="1:4" ht="15" x14ac:dyDescent="0.25">
      <c r="A5026" t="s">
        <v>13529</v>
      </c>
      <c r="B5026">
        <v>2</v>
      </c>
      <c r="C5026">
        <v>96</v>
      </c>
      <c r="D5026">
        <v>48</v>
      </c>
    </row>
    <row r="5027" spans="1:4" ht="15" x14ac:dyDescent="0.25">
      <c r="A5027" t="s">
        <v>13530</v>
      </c>
      <c r="B5027">
        <v>1</v>
      </c>
      <c r="C5027">
        <v>51</v>
      </c>
      <c r="D5027">
        <v>51</v>
      </c>
    </row>
    <row r="5028" spans="1:4" ht="15" x14ac:dyDescent="0.25">
      <c r="A5028" t="s">
        <v>13534</v>
      </c>
      <c r="B5028">
        <v>1</v>
      </c>
      <c r="C5028">
        <v>54</v>
      </c>
      <c r="D5028">
        <v>54</v>
      </c>
    </row>
    <row r="5029" spans="1:4" ht="15" x14ac:dyDescent="0.25">
      <c r="A5029" t="s">
        <v>13535</v>
      </c>
      <c r="B5029">
        <v>3</v>
      </c>
      <c r="C5029">
        <v>162</v>
      </c>
      <c r="D5029">
        <v>54</v>
      </c>
    </row>
    <row r="5030" spans="1:4" ht="15" x14ac:dyDescent="0.25">
      <c r="A5030" t="s">
        <v>13536</v>
      </c>
      <c r="B5030">
        <v>1</v>
      </c>
      <c r="C5030">
        <v>54</v>
      </c>
      <c r="D5030">
        <v>54</v>
      </c>
    </row>
    <row r="5031" spans="1:4" ht="15" x14ac:dyDescent="0.25">
      <c r="A5031" t="s">
        <v>13540</v>
      </c>
      <c r="B5031">
        <v>6</v>
      </c>
      <c r="C5031">
        <v>209</v>
      </c>
      <c r="D5031">
        <v>34.833333333333336</v>
      </c>
    </row>
    <row r="5032" spans="1:4" ht="15" x14ac:dyDescent="0.25">
      <c r="A5032" t="s">
        <v>13541</v>
      </c>
      <c r="B5032">
        <v>2</v>
      </c>
      <c r="C5032">
        <v>24</v>
      </c>
      <c r="D5032">
        <v>12</v>
      </c>
    </row>
    <row r="5033" spans="1:4" ht="15" x14ac:dyDescent="0.25">
      <c r="A5033" t="s">
        <v>13545</v>
      </c>
      <c r="B5033">
        <v>1</v>
      </c>
      <c r="C5033">
        <v>25</v>
      </c>
      <c r="D5033">
        <v>25</v>
      </c>
    </row>
    <row r="5034" spans="1:4" ht="15" x14ac:dyDescent="0.25">
      <c r="A5034" t="s">
        <v>13546</v>
      </c>
      <c r="B5034">
        <v>1</v>
      </c>
      <c r="C5034">
        <v>25</v>
      </c>
      <c r="D5034">
        <v>25</v>
      </c>
    </row>
    <row r="5035" spans="1:4" ht="15" x14ac:dyDescent="0.25">
      <c r="A5035" t="s">
        <v>13547</v>
      </c>
      <c r="B5035">
        <v>1</v>
      </c>
      <c r="C5035">
        <v>25</v>
      </c>
      <c r="D5035">
        <v>25</v>
      </c>
    </row>
    <row r="5036" spans="1:4" ht="15" x14ac:dyDescent="0.25">
      <c r="A5036" t="s">
        <v>13552</v>
      </c>
      <c r="B5036">
        <v>1</v>
      </c>
      <c r="C5036">
        <v>126</v>
      </c>
      <c r="D5036">
        <v>126</v>
      </c>
    </row>
    <row r="5037" spans="1:4" ht="15" x14ac:dyDescent="0.25">
      <c r="A5037" t="s">
        <v>13553</v>
      </c>
      <c r="B5037">
        <v>1</v>
      </c>
      <c r="C5037">
        <v>126</v>
      </c>
      <c r="D5037">
        <v>126</v>
      </c>
    </row>
    <row r="5038" spans="1:4" ht="15" x14ac:dyDescent="0.25">
      <c r="A5038" t="s">
        <v>13554</v>
      </c>
      <c r="B5038">
        <v>1</v>
      </c>
      <c r="C5038">
        <v>126</v>
      </c>
      <c r="D5038">
        <v>126</v>
      </c>
    </row>
    <row r="5039" spans="1:4" ht="15" x14ac:dyDescent="0.25">
      <c r="A5039" t="s">
        <v>13558</v>
      </c>
      <c r="B5039">
        <v>1</v>
      </c>
      <c r="C5039">
        <v>30</v>
      </c>
      <c r="D5039">
        <v>30</v>
      </c>
    </row>
    <row r="5040" spans="1:4" ht="15" x14ac:dyDescent="0.25">
      <c r="A5040" t="s">
        <v>13559</v>
      </c>
      <c r="B5040">
        <v>1</v>
      </c>
      <c r="C5040">
        <v>30</v>
      </c>
      <c r="D5040">
        <v>30</v>
      </c>
    </row>
    <row r="5041" spans="1:4" ht="15" x14ac:dyDescent="0.25">
      <c r="A5041" t="s">
        <v>13562</v>
      </c>
      <c r="B5041">
        <v>1</v>
      </c>
      <c r="C5041">
        <v>66</v>
      </c>
      <c r="D5041">
        <v>66</v>
      </c>
    </row>
    <row r="5042" spans="1:4" ht="15" x14ac:dyDescent="0.25">
      <c r="A5042" t="s">
        <v>13566</v>
      </c>
      <c r="B5042">
        <v>1</v>
      </c>
      <c r="C5042">
        <v>72</v>
      </c>
      <c r="D5042">
        <v>72</v>
      </c>
    </row>
    <row r="5043" spans="1:4" ht="15" x14ac:dyDescent="0.25">
      <c r="A5043" t="s">
        <v>13567</v>
      </c>
      <c r="B5043">
        <v>1</v>
      </c>
      <c r="C5043">
        <v>72</v>
      </c>
      <c r="D5043">
        <v>72</v>
      </c>
    </row>
    <row r="5044" spans="1:4" ht="15" x14ac:dyDescent="0.25">
      <c r="A5044" t="s">
        <v>13571</v>
      </c>
      <c r="B5044">
        <v>1</v>
      </c>
      <c r="C5044">
        <v>619</v>
      </c>
      <c r="D5044">
        <v>619</v>
      </c>
    </row>
    <row r="5045" spans="1:4" ht="15" x14ac:dyDescent="0.25">
      <c r="A5045" t="s">
        <v>13572</v>
      </c>
      <c r="B5045">
        <v>1</v>
      </c>
      <c r="C5045">
        <v>619</v>
      </c>
      <c r="D5045">
        <v>619</v>
      </c>
    </row>
    <row r="5046" spans="1:4" ht="15" x14ac:dyDescent="0.25">
      <c r="A5046" t="s">
        <v>13574</v>
      </c>
      <c r="B5046">
        <v>1</v>
      </c>
      <c r="C5046">
        <v>619</v>
      </c>
      <c r="D5046">
        <v>619</v>
      </c>
    </row>
    <row r="5047" spans="1:4" ht="15" x14ac:dyDescent="0.25">
      <c r="A5047" t="s">
        <v>13573</v>
      </c>
      <c r="B5047">
        <v>1</v>
      </c>
      <c r="C5047">
        <v>619</v>
      </c>
      <c r="D5047">
        <v>619</v>
      </c>
    </row>
    <row r="5048" spans="1:4" ht="15" x14ac:dyDescent="0.25">
      <c r="A5048" t="s">
        <v>13578</v>
      </c>
      <c r="B5048">
        <v>1</v>
      </c>
      <c r="C5048">
        <v>15</v>
      </c>
      <c r="D5048">
        <v>15</v>
      </c>
    </row>
    <row r="5049" spans="1:4" ht="15" x14ac:dyDescent="0.25">
      <c r="A5049" t="s">
        <v>13579</v>
      </c>
      <c r="B5049">
        <v>1</v>
      </c>
      <c r="C5049">
        <v>15</v>
      </c>
      <c r="D5049">
        <v>15</v>
      </c>
    </row>
    <row r="5050" spans="1:4" ht="15" x14ac:dyDescent="0.25">
      <c r="A5050" t="s">
        <v>13590</v>
      </c>
      <c r="B5050">
        <v>1</v>
      </c>
      <c r="C5050">
        <v>71</v>
      </c>
      <c r="D5050">
        <v>71</v>
      </c>
    </row>
    <row r="5051" spans="1:4" ht="15" x14ac:dyDescent="0.25">
      <c r="A5051" t="s">
        <v>13589</v>
      </c>
      <c r="B5051">
        <v>1</v>
      </c>
      <c r="C5051">
        <v>71</v>
      </c>
      <c r="D5051">
        <v>71</v>
      </c>
    </row>
    <row r="5052" spans="1:4" ht="15" x14ac:dyDescent="0.25">
      <c r="A5052" t="s">
        <v>13594</v>
      </c>
      <c r="B5052">
        <v>1</v>
      </c>
      <c r="C5052">
        <v>48</v>
      </c>
      <c r="D5052">
        <v>48</v>
      </c>
    </row>
    <row r="5053" spans="1:4" ht="15" x14ac:dyDescent="0.25">
      <c r="A5053" t="s">
        <v>13595</v>
      </c>
      <c r="B5053">
        <v>1</v>
      </c>
      <c r="C5053">
        <v>48</v>
      </c>
      <c r="D5053">
        <v>48</v>
      </c>
    </row>
    <row r="5054" spans="1:4" ht="15" x14ac:dyDescent="0.25">
      <c r="A5054" t="s">
        <v>13596</v>
      </c>
      <c r="B5054">
        <v>1</v>
      </c>
      <c r="C5054">
        <v>48</v>
      </c>
      <c r="D5054">
        <v>48</v>
      </c>
    </row>
    <row r="5055" spans="1:4" ht="15" x14ac:dyDescent="0.25">
      <c r="A5055" t="s">
        <v>13600</v>
      </c>
      <c r="B5055">
        <v>1</v>
      </c>
      <c r="C5055">
        <v>26</v>
      </c>
      <c r="D5055">
        <v>26</v>
      </c>
    </row>
    <row r="5056" spans="1:4" ht="15" x14ac:dyDescent="0.25">
      <c r="A5056" t="s">
        <v>13601</v>
      </c>
      <c r="B5056">
        <v>1</v>
      </c>
      <c r="C5056">
        <v>26</v>
      </c>
      <c r="D5056">
        <v>26</v>
      </c>
    </row>
    <row r="5057" spans="1:4" ht="15" x14ac:dyDescent="0.25">
      <c r="A5057" t="s">
        <v>13603</v>
      </c>
      <c r="B5057">
        <v>1</v>
      </c>
      <c r="C5057">
        <v>26</v>
      </c>
      <c r="D5057">
        <v>26</v>
      </c>
    </row>
    <row r="5058" spans="1:4" ht="15" x14ac:dyDescent="0.25">
      <c r="A5058" t="s">
        <v>13604</v>
      </c>
      <c r="B5058">
        <v>1</v>
      </c>
      <c r="C5058">
        <v>26</v>
      </c>
      <c r="D5058">
        <v>26</v>
      </c>
    </row>
    <row r="5059" spans="1:4" ht="15" x14ac:dyDescent="0.25">
      <c r="A5059" t="s">
        <v>13602</v>
      </c>
      <c r="B5059">
        <v>1</v>
      </c>
      <c r="C5059">
        <v>26</v>
      </c>
      <c r="D5059">
        <v>26</v>
      </c>
    </row>
    <row r="5060" spans="1:4" ht="15" x14ac:dyDescent="0.25">
      <c r="A5060" t="s">
        <v>13609</v>
      </c>
      <c r="B5060">
        <v>2</v>
      </c>
      <c r="C5060">
        <v>71</v>
      </c>
      <c r="D5060">
        <v>35.5</v>
      </c>
    </row>
    <row r="5061" spans="1:4" ht="15" x14ac:dyDescent="0.25">
      <c r="A5061" t="s">
        <v>13610</v>
      </c>
      <c r="B5061">
        <v>1</v>
      </c>
      <c r="C5061">
        <v>38</v>
      </c>
      <c r="D5061">
        <v>38</v>
      </c>
    </row>
    <row r="5062" spans="1:4" ht="15" x14ac:dyDescent="0.25">
      <c r="A5062" t="s">
        <v>13611</v>
      </c>
      <c r="B5062">
        <v>1</v>
      </c>
      <c r="C5062">
        <v>38</v>
      </c>
      <c r="D5062">
        <v>38</v>
      </c>
    </row>
    <row r="5063" spans="1:4" ht="15" x14ac:dyDescent="0.25">
      <c r="A5063" t="s">
        <v>13614</v>
      </c>
      <c r="B5063">
        <v>3</v>
      </c>
      <c r="C5063">
        <v>219</v>
      </c>
      <c r="D5063">
        <v>73</v>
      </c>
    </row>
    <row r="5064" spans="1:4" ht="15" x14ac:dyDescent="0.25">
      <c r="A5064" t="s">
        <v>13615</v>
      </c>
      <c r="B5064">
        <v>6</v>
      </c>
      <c r="C5064">
        <v>269</v>
      </c>
      <c r="D5064">
        <v>44.833333333333336</v>
      </c>
    </row>
    <row r="5065" spans="1:4" ht="15" x14ac:dyDescent="0.25">
      <c r="A5065" t="s">
        <v>13620</v>
      </c>
      <c r="B5065">
        <v>1</v>
      </c>
      <c r="C5065">
        <v>36</v>
      </c>
      <c r="D5065">
        <v>36</v>
      </c>
    </row>
    <row r="5066" spans="1:4" ht="15" x14ac:dyDescent="0.25">
      <c r="A5066" t="s">
        <v>13621</v>
      </c>
      <c r="B5066">
        <v>2</v>
      </c>
      <c r="C5066">
        <v>72</v>
      </c>
      <c r="D5066">
        <v>36</v>
      </c>
    </row>
    <row r="5067" spans="1:4" ht="15" x14ac:dyDescent="0.25">
      <c r="A5067" t="s">
        <v>13622</v>
      </c>
      <c r="B5067">
        <v>1</v>
      </c>
      <c r="C5067">
        <v>36</v>
      </c>
      <c r="D5067">
        <v>36</v>
      </c>
    </row>
    <row r="5068" spans="1:4" ht="15" x14ac:dyDescent="0.25">
      <c r="A5068" t="s">
        <v>13626</v>
      </c>
      <c r="B5068">
        <v>3</v>
      </c>
      <c r="C5068">
        <v>304</v>
      </c>
      <c r="D5068">
        <v>101.33333333333333</v>
      </c>
    </row>
    <row r="5069" spans="1:4" ht="15" x14ac:dyDescent="0.25">
      <c r="A5069" t="s">
        <v>13633</v>
      </c>
      <c r="B5069">
        <v>1</v>
      </c>
      <c r="C5069">
        <v>43</v>
      </c>
      <c r="D5069">
        <v>43</v>
      </c>
    </row>
    <row r="5070" spans="1:4" ht="15" x14ac:dyDescent="0.25">
      <c r="A5070" t="s">
        <v>13636</v>
      </c>
      <c r="B5070">
        <v>1</v>
      </c>
      <c r="C5070">
        <v>131</v>
      </c>
      <c r="D5070">
        <v>131</v>
      </c>
    </row>
    <row r="5071" spans="1:4" ht="15" x14ac:dyDescent="0.25">
      <c r="A5071" t="s">
        <v>13641</v>
      </c>
      <c r="B5071">
        <v>3</v>
      </c>
      <c r="C5071">
        <v>111</v>
      </c>
      <c r="D5071">
        <v>37</v>
      </c>
    </row>
    <row r="5072" spans="1:4" ht="15" x14ac:dyDescent="0.25">
      <c r="A5072" t="s">
        <v>13640</v>
      </c>
      <c r="B5072">
        <v>1</v>
      </c>
      <c r="C5072">
        <v>37</v>
      </c>
      <c r="D5072">
        <v>37</v>
      </c>
    </row>
    <row r="5073" spans="1:4" ht="15" x14ac:dyDescent="0.25">
      <c r="A5073" t="s">
        <v>13647</v>
      </c>
      <c r="B5073">
        <v>3</v>
      </c>
      <c r="C5073">
        <v>30</v>
      </c>
      <c r="D5073">
        <v>10</v>
      </c>
    </row>
    <row r="5074" spans="1:4" ht="15" x14ac:dyDescent="0.25">
      <c r="A5074" t="s">
        <v>13648</v>
      </c>
      <c r="B5074">
        <v>4</v>
      </c>
      <c r="C5074">
        <v>34</v>
      </c>
      <c r="D5074">
        <v>8.5</v>
      </c>
    </row>
    <row r="5075" spans="1:4" ht="15" x14ac:dyDescent="0.25">
      <c r="A5075" t="s">
        <v>13653</v>
      </c>
      <c r="B5075">
        <v>1</v>
      </c>
      <c r="C5075">
        <v>45</v>
      </c>
      <c r="D5075">
        <v>45</v>
      </c>
    </row>
    <row r="5076" spans="1:4" ht="15" x14ac:dyDescent="0.25">
      <c r="A5076" t="s">
        <v>13654</v>
      </c>
      <c r="B5076">
        <v>1</v>
      </c>
      <c r="C5076">
        <v>45</v>
      </c>
      <c r="D5076">
        <v>45</v>
      </c>
    </row>
    <row r="5077" spans="1:4" ht="15" x14ac:dyDescent="0.25">
      <c r="A5077" t="s">
        <v>13659</v>
      </c>
      <c r="B5077">
        <v>1</v>
      </c>
      <c r="C5077">
        <v>45</v>
      </c>
      <c r="D5077">
        <v>45</v>
      </c>
    </row>
    <row r="5078" spans="1:4" ht="15" x14ac:dyDescent="0.25">
      <c r="A5078" t="s">
        <v>13660</v>
      </c>
      <c r="B5078">
        <v>1</v>
      </c>
      <c r="C5078">
        <v>45</v>
      </c>
      <c r="D5078">
        <v>45</v>
      </c>
    </row>
    <row r="5079" spans="1:4" ht="15" x14ac:dyDescent="0.25">
      <c r="A5079" t="s">
        <v>13661</v>
      </c>
      <c r="B5079">
        <v>1</v>
      </c>
      <c r="C5079">
        <v>45</v>
      </c>
      <c r="D5079">
        <v>45</v>
      </c>
    </row>
    <row r="5080" spans="1:4" ht="15" x14ac:dyDescent="0.25">
      <c r="A5080" t="s">
        <v>13664</v>
      </c>
      <c r="B5080">
        <v>6</v>
      </c>
      <c r="C5080">
        <v>269</v>
      </c>
      <c r="D5080">
        <v>44.833333333333336</v>
      </c>
    </row>
    <row r="5081" spans="1:4" ht="15" x14ac:dyDescent="0.25">
      <c r="A5081" t="s">
        <v>13666</v>
      </c>
      <c r="B5081">
        <v>1</v>
      </c>
      <c r="C5081">
        <v>10</v>
      </c>
      <c r="D5081">
        <v>10</v>
      </c>
    </row>
    <row r="5082" spans="1:4" ht="15" x14ac:dyDescent="0.25">
      <c r="A5082" t="s">
        <v>13667</v>
      </c>
      <c r="B5082">
        <v>1</v>
      </c>
      <c r="C5082">
        <v>10</v>
      </c>
      <c r="D5082">
        <v>10</v>
      </c>
    </row>
    <row r="5083" spans="1:4" ht="15" x14ac:dyDescent="0.25">
      <c r="A5083" t="s">
        <v>13665</v>
      </c>
      <c r="B5083">
        <v>2</v>
      </c>
      <c r="C5083">
        <v>53</v>
      </c>
      <c r="D5083">
        <v>26.5</v>
      </c>
    </row>
    <row r="5084" spans="1:4" ht="15" x14ac:dyDescent="0.25">
      <c r="A5084" t="s">
        <v>13673</v>
      </c>
      <c r="B5084">
        <v>1</v>
      </c>
      <c r="C5084">
        <v>11</v>
      </c>
      <c r="D5084">
        <v>11</v>
      </c>
    </row>
    <row r="5085" spans="1:4" ht="15" x14ac:dyDescent="0.25">
      <c r="A5085" t="s">
        <v>13676</v>
      </c>
      <c r="B5085">
        <v>1</v>
      </c>
      <c r="C5085">
        <v>21</v>
      </c>
      <c r="D5085">
        <v>21</v>
      </c>
    </row>
    <row r="5086" spans="1:4" ht="15" x14ac:dyDescent="0.25">
      <c r="A5086" t="s">
        <v>13677</v>
      </c>
      <c r="B5086">
        <v>1</v>
      </c>
      <c r="C5086">
        <v>21</v>
      </c>
      <c r="D5086">
        <v>21</v>
      </c>
    </row>
    <row r="5087" spans="1:4" ht="15" x14ac:dyDescent="0.25">
      <c r="A5087" t="s">
        <v>13679</v>
      </c>
      <c r="B5087">
        <v>1</v>
      </c>
      <c r="C5087">
        <v>21</v>
      </c>
      <c r="D5087">
        <v>21</v>
      </c>
    </row>
    <row r="5088" spans="1:4" ht="15" x14ac:dyDescent="0.25">
      <c r="A5088" t="s">
        <v>13680</v>
      </c>
      <c r="B5088">
        <v>1</v>
      </c>
      <c r="C5088">
        <v>21</v>
      </c>
      <c r="D5088">
        <v>21</v>
      </c>
    </row>
    <row r="5089" spans="1:4" ht="15" x14ac:dyDescent="0.25">
      <c r="A5089" t="s">
        <v>13678</v>
      </c>
      <c r="B5089">
        <v>1</v>
      </c>
      <c r="C5089">
        <v>21</v>
      </c>
      <c r="D5089">
        <v>21</v>
      </c>
    </row>
    <row r="5090" spans="1:4" ht="15" x14ac:dyDescent="0.25">
      <c r="A5090" t="s">
        <v>13684</v>
      </c>
      <c r="B5090">
        <v>4</v>
      </c>
      <c r="C5090">
        <v>283</v>
      </c>
      <c r="D5090">
        <v>70.75</v>
      </c>
    </row>
    <row r="5091" spans="1:4" ht="15" x14ac:dyDescent="0.25">
      <c r="A5091" t="s">
        <v>13688</v>
      </c>
      <c r="B5091">
        <v>1</v>
      </c>
      <c r="C5091">
        <v>1</v>
      </c>
      <c r="D5091">
        <v>1</v>
      </c>
    </row>
    <row r="5092" spans="1:4" ht="15" x14ac:dyDescent="0.25">
      <c r="A5092" t="s">
        <v>13689</v>
      </c>
      <c r="B5092">
        <v>4</v>
      </c>
      <c r="C5092">
        <v>56</v>
      </c>
      <c r="D5092">
        <v>14</v>
      </c>
    </row>
    <row r="5093" spans="1:4" ht="15" x14ac:dyDescent="0.25">
      <c r="A5093" t="s">
        <v>13691</v>
      </c>
      <c r="B5093">
        <v>2</v>
      </c>
      <c r="C5093">
        <v>2</v>
      </c>
      <c r="D5093">
        <v>1</v>
      </c>
    </row>
    <row r="5094" spans="1:4" ht="15" x14ac:dyDescent="0.25">
      <c r="A5094" t="s">
        <v>13685</v>
      </c>
      <c r="B5094">
        <v>2</v>
      </c>
      <c r="C5094">
        <v>2</v>
      </c>
      <c r="D5094">
        <v>1</v>
      </c>
    </row>
    <row r="5095" spans="1:4" ht="15" x14ac:dyDescent="0.25">
      <c r="A5095" t="s">
        <v>13690</v>
      </c>
      <c r="B5095">
        <v>1</v>
      </c>
      <c r="C5095">
        <v>1</v>
      </c>
      <c r="D5095">
        <v>1</v>
      </c>
    </row>
    <row r="5096" spans="1:4" ht="15" x14ac:dyDescent="0.25">
      <c r="A5096" t="s">
        <v>13697</v>
      </c>
      <c r="B5096">
        <v>3</v>
      </c>
      <c r="C5096">
        <v>232</v>
      </c>
      <c r="D5096">
        <v>77.333333333333329</v>
      </c>
    </row>
    <row r="5097" spans="1:4" ht="15" x14ac:dyDescent="0.25">
      <c r="A5097" t="s">
        <v>13698</v>
      </c>
      <c r="B5097">
        <v>1</v>
      </c>
      <c r="C5097">
        <v>23</v>
      </c>
      <c r="D5097">
        <v>23</v>
      </c>
    </row>
    <row r="5098" spans="1:4" ht="15" x14ac:dyDescent="0.25">
      <c r="A5098" t="s">
        <v>13699</v>
      </c>
      <c r="B5098">
        <v>1</v>
      </c>
      <c r="C5098">
        <v>23</v>
      </c>
      <c r="D5098">
        <v>23</v>
      </c>
    </row>
    <row r="5099" spans="1:4" ht="15" x14ac:dyDescent="0.25">
      <c r="A5099" t="s">
        <v>13694</v>
      </c>
      <c r="B5099">
        <v>1</v>
      </c>
      <c r="C5099">
        <v>23</v>
      </c>
      <c r="D5099">
        <v>23</v>
      </c>
    </row>
    <row r="5100" spans="1:4" ht="15" x14ac:dyDescent="0.25">
      <c r="A5100" t="s">
        <v>13705</v>
      </c>
      <c r="B5100">
        <v>1</v>
      </c>
      <c r="C5100">
        <v>21</v>
      </c>
      <c r="D5100">
        <v>21</v>
      </c>
    </row>
    <row r="5101" spans="1:4" ht="15" x14ac:dyDescent="0.25">
      <c r="A5101" t="s">
        <v>13706</v>
      </c>
      <c r="B5101">
        <v>1</v>
      </c>
      <c r="C5101">
        <v>21</v>
      </c>
      <c r="D5101">
        <v>21</v>
      </c>
    </row>
    <row r="5102" spans="1:4" ht="15" x14ac:dyDescent="0.25">
      <c r="A5102" t="s">
        <v>13710</v>
      </c>
      <c r="B5102">
        <v>1</v>
      </c>
      <c r="C5102">
        <v>42</v>
      </c>
      <c r="D5102">
        <v>42</v>
      </c>
    </row>
    <row r="5103" spans="1:4" ht="15" x14ac:dyDescent="0.25">
      <c r="A5103" t="s">
        <v>13717</v>
      </c>
      <c r="B5103">
        <v>1</v>
      </c>
      <c r="C5103">
        <v>14</v>
      </c>
      <c r="D5103">
        <v>14</v>
      </c>
    </row>
    <row r="5104" spans="1:4" ht="15" x14ac:dyDescent="0.25">
      <c r="A5104" t="s">
        <v>13720</v>
      </c>
      <c r="B5104">
        <v>2</v>
      </c>
      <c r="C5104">
        <v>61</v>
      </c>
      <c r="D5104">
        <v>30.5</v>
      </c>
    </row>
    <row r="5105" spans="1:4" ht="15" x14ac:dyDescent="0.25">
      <c r="A5105" t="s">
        <v>13726</v>
      </c>
      <c r="B5105">
        <v>1</v>
      </c>
      <c r="C5105">
        <v>20</v>
      </c>
      <c r="D5105">
        <v>20</v>
      </c>
    </row>
    <row r="5106" spans="1:4" ht="15" x14ac:dyDescent="0.25">
      <c r="A5106" t="s">
        <v>13731</v>
      </c>
      <c r="B5106">
        <v>1</v>
      </c>
      <c r="C5106">
        <v>127</v>
      </c>
      <c r="D5106">
        <v>127</v>
      </c>
    </row>
    <row r="5107" spans="1:4" ht="15" x14ac:dyDescent="0.25">
      <c r="A5107" t="s">
        <v>13727</v>
      </c>
      <c r="B5107">
        <v>1</v>
      </c>
      <c r="C5107">
        <v>127</v>
      </c>
      <c r="D5107">
        <v>127</v>
      </c>
    </row>
    <row r="5108" spans="1:4" ht="15" x14ac:dyDescent="0.25">
      <c r="A5108" t="s">
        <v>13733</v>
      </c>
      <c r="B5108">
        <v>1</v>
      </c>
      <c r="C5108">
        <v>127</v>
      </c>
      <c r="D5108">
        <v>127</v>
      </c>
    </row>
    <row r="5109" spans="1:4" ht="15" x14ac:dyDescent="0.25">
      <c r="A5109" t="s">
        <v>13732</v>
      </c>
      <c r="B5109">
        <v>1</v>
      </c>
      <c r="C5109">
        <v>127</v>
      </c>
      <c r="D5109">
        <v>127</v>
      </c>
    </row>
    <row r="5110" spans="1:4" ht="15" x14ac:dyDescent="0.25">
      <c r="A5110" t="s">
        <v>13738</v>
      </c>
      <c r="B5110">
        <v>1</v>
      </c>
      <c r="C5110">
        <v>22</v>
      </c>
      <c r="D5110">
        <v>22</v>
      </c>
    </row>
    <row r="5111" spans="1:4" ht="15" x14ac:dyDescent="0.25">
      <c r="A5111" t="s">
        <v>13740</v>
      </c>
      <c r="B5111">
        <v>1</v>
      </c>
      <c r="C5111">
        <v>22</v>
      </c>
      <c r="D5111">
        <v>22</v>
      </c>
    </row>
    <row r="5112" spans="1:4" ht="15" x14ac:dyDescent="0.25">
      <c r="A5112" t="s">
        <v>13739</v>
      </c>
      <c r="B5112">
        <v>1</v>
      </c>
      <c r="C5112">
        <v>22</v>
      </c>
      <c r="D5112">
        <v>22</v>
      </c>
    </row>
    <row r="5113" spans="1:4" ht="15" x14ac:dyDescent="0.25">
      <c r="A5113" t="s">
        <v>13744</v>
      </c>
      <c r="B5113">
        <v>1</v>
      </c>
      <c r="C5113">
        <v>30</v>
      </c>
      <c r="D5113">
        <v>30</v>
      </c>
    </row>
    <row r="5114" spans="1:4" ht="15" x14ac:dyDescent="0.25">
      <c r="A5114" t="s">
        <v>13745</v>
      </c>
      <c r="B5114">
        <v>1</v>
      </c>
      <c r="C5114">
        <v>30</v>
      </c>
      <c r="D5114">
        <v>30</v>
      </c>
    </row>
    <row r="5115" spans="1:4" ht="15" x14ac:dyDescent="0.25">
      <c r="A5115" t="s">
        <v>13746</v>
      </c>
      <c r="B5115">
        <v>2</v>
      </c>
      <c r="C5115">
        <v>44</v>
      </c>
      <c r="D5115">
        <v>22</v>
      </c>
    </row>
    <row r="5116" spans="1:4" ht="15" x14ac:dyDescent="0.25">
      <c r="A5116" t="s">
        <v>13750</v>
      </c>
      <c r="B5116">
        <v>1</v>
      </c>
      <c r="C5116">
        <v>32</v>
      </c>
      <c r="D5116">
        <v>32</v>
      </c>
    </row>
    <row r="5117" spans="1:4" ht="15" x14ac:dyDescent="0.25">
      <c r="A5117" t="s">
        <v>13751</v>
      </c>
      <c r="B5117">
        <v>2</v>
      </c>
      <c r="C5117">
        <v>45</v>
      </c>
      <c r="D5117">
        <v>22.5</v>
      </c>
    </row>
    <row r="5118" spans="1:4" ht="15" x14ac:dyDescent="0.25">
      <c r="A5118" t="s">
        <v>13754</v>
      </c>
      <c r="B5118">
        <v>2</v>
      </c>
      <c r="C5118">
        <v>620</v>
      </c>
      <c r="D5118">
        <v>310</v>
      </c>
    </row>
    <row r="5119" spans="1:4" ht="15" x14ac:dyDescent="0.25">
      <c r="A5119" t="s">
        <v>13759</v>
      </c>
      <c r="B5119">
        <v>1</v>
      </c>
      <c r="C5119">
        <v>36</v>
      </c>
      <c r="D5119">
        <v>36</v>
      </c>
    </row>
    <row r="5120" spans="1:4" ht="15" x14ac:dyDescent="0.25">
      <c r="A5120" t="s">
        <v>13760</v>
      </c>
      <c r="B5120">
        <v>1</v>
      </c>
      <c r="C5120">
        <v>36</v>
      </c>
      <c r="D5120">
        <v>36</v>
      </c>
    </row>
    <row r="5121" spans="1:4" ht="15" x14ac:dyDescent="0.25">
      <c r="A5121" t="s">
        <v>13762</v>
      </c>
      <c r="B5121">
        <v>1</v>
      </c>
      <c r="C5121">
        <v>36</v>
      </c>
      <c r="D5121">
        <v>36</v>
      </c>
    </row>
    <row r="5122" spans="1:4" ht="15" x14ac:dyDescent="0.25">
      <c r="A5122" t="s">
        <v>13763</v>
      </c>
      <c r="B5122">
        <v>1</v>
      </c>
      <c r="C5122">
        <v>36</v>
      </c>
      <c r="D5122">
        <v>36</v>
      </c>
    </row>
    <row r="5123" spans="1:4" ht="15" x14ac:dyDescent="0.25">
      <c r="A5123" t="s">
        <v>13761</v>
      </c>
      <c r="B5123">
        <v>1</v>
      </c>
      <c r="C5123">
        <v>36</v>
      </c>
      <c r="D5123">
        <v>36</v>
      </c>
    </row>
    <row r="5124" spans="1:4" ht="15" x14ac:dyDescent="0.25">
      <c r="A5124" t="s">
        <v>13770</v>
      </c>
      <c r="B5124">
        <v>1</v>
      </c>
      <c r="C5124">
        <v>67</v>
      </c>
      <c r="D5124">
        <v>67</v>
      </c>
    </row>
    <row r="5125" spans="1:4" ht="15" x14ac:dyDescent="0.25">
      <c r="A5125" t="s">
        <v>13772</v>
      </c>
      <c r="B5125">
        <v>2</v>
      </c>
      <c r="C5125">
        <v>132</v>
      </c>
      <c r="D5125">
        <v>66</v>
      </c>
    </row>
    <row r="5126" spans="1:4" ht="15" x14ac:dyDescent="0.25">
      <c r="A5126" t="s">
        <v>13771</v>
      </c>
      <c r="B5126">
        <v>1</v>
      </c>
      <c r="C5126">
        <v>67</v>
      </c>
      <c r="D5126">
        <v>67</v>
      </c>
    </row>
    <row r="5127" spans="1:4" ht="15" x14ac:dyDescent="0.25">
      <c r="A5127" t="s">
        <v>13776</v>
      </c>
      <c r="B5127">
        <v>1</v>
      </c>
      <c r="C5127">
        <v>18</v>
      </c>
      <c r="D5127">
        <v>18</v>
      </c>
    </row>
    <row r="5128" spans="1:4" ht="15" x14ac:dyDescent="0.25">
      <c r="A5128" t="s">
        <v>13777</v>
      </c>
      <c r="B5128">
        <v>8</v>
      </c>
      <c r="C5128">
        <v>268</v>
      </c>
      <c r="D5128">
        <v>33.5</v>
      </c>
    </row>
    <row r="5129" spans="1:4" ht="15" x14ac:dyDescent="0.25">
      <c r="A5129" t="s">
        <v>13779</v>
      </c>
      <c r="B5129">
        <v>2</v>
      </c>
      <c r="C5129">
        <v>49</v>
      </c>
      <c r="D5129">
        <v>24.5</v>
      </c>
    </row>
    <row r="5130" spans="1:4" ht="15" x14ac:dyDescent="0.25">
      <c r="A5130" t="s">
        <v>13778</v>
      </c>
      <c r="B5130">
        <v>1</v>
      </c>
      <c r="C5130">
        <v>18</v>
      </c>
      <c r="D5130">
        <v>18</v>
      </c>
    </row>
    <row r="5131" spans="1:4" ht="15" x14ac:dyDescent="0.25">
      <c r="A5131" t="s">
        <v>13783</v>
      </c>
      <c r="B5131">
        <v>1</v>
      </c>
      <c r="C5131">
        <v>187</v>
      </c>
      <c r="D5131">
        <v>187</v>
      </c>
    </row>
    <row r="5132" spans="1:4" ht="15" x14ac:dyDescent="0.25">
      <c r="A5132" t="s">
        <v>13784</v>
      </c>
      <c r="B5132">
        <v>1</v>
      </c>
      <c r="C5132">
        <v>187</v>
      </c>
      <c r="D5132">
        <v>187</v>
      </c>
    </row>
    <row r="5133" spans="1:4" ht="15" x14ac:dyDescent="0.25">
      <c r="A5133" t="s">
        <v>13785</v>
      </c>
      <c r="B5133">
        <v>1</v>
      </c>
      <c r="C5133">
        <v>187</v>
      </c>
      <c r="D5133">
        <v>187</v>
      </c>
    </row>
    <row r="5134" spans="1:4" ht="15" x14ac:dyDescent="0.25">
      <c r="A5134" t="s">
        <v>13790</v>
      </c>
      <c r="B5134">
        <v>3</v>
      </c>
      <c r="C5134">
        <v>55</v>
      </c>
      <c r="D5134">
        <v>18.333333333333332</v>
      </c>
    </row>
    <row r="5135" spans="1:4" ht="15" x14ac:dyDescent="0.25">
      <c r="A5135" t="s">
        <v>13792</v>
      </c>
      <c r="B5135">
        <v>1</v>
      </c>
      <c r="C5135">
        <v>24</v>
      </c>
      <c r="D5135">
        <v>24</v>
      </c>
    </row>
    <row r="5136" spans="1:4" ht="15" x14ac:dyDescent="0.25">
      <c r="A5136" t="s">
        <v>13793</v>
      </c>
      <c r="B5136">
        <v>1</v>
      </c>
      <c r="C5136">
        <v>24</v>
      </c>
      <c r="D5136">
        <v>24</v>
      </c>
    </row>
    <row r="5137" spans="1:4" ht="15" x14ac:dyDescent="0.25">
      <c r="A5137" t="s">
        <v>13791</v>
      </c>
      <c r="B5137">
        <v>1</v>
      </c>
      <c r="C5137">
        <v>24</v>
      </c>
      <c r="D5137">
        <v>24</v>
      </c>
    </row>
    <row r="5138" spans="1:4" ht="15" x14ac:dyDescent="0.25">
      <c r="A5138" t="s">
        <v>13796</v>
      </c>
      <c r="B5138">
        <v>1</v>
      </c>
      <c r="C5138">
        <v>21</v>
      </c>
      <c r="D5138">
        <v>21</v>
      </c>
    </row>
    <row r="5139" spans="1:4" ht="15" x14ac:dyDescent="0.25">
      <c r="A5139" t="s">
        <v>13797</v>
      </c>
      <c r="B5139">
        <v>1</v>
      </c>
      <c r="C5139">
        <v>21</v>
      </c>
      <c r="D5139">
        <v>21</v>
      </c>
    </row>
    <row r="5140" spans="1:4" ht="15" x14ac:dyDescent="0.25">
      <c r="A5140" t="s">
        <v>13799</v>
      </c>
      <c r="B5140">
        <v>1</v>
      </c>
      <c r="C5140">
        <v>21</v>
      </c>
      <c r="D5140">
        <v>21</v>
      </c>
    </row>
    <row r="5141" spans="1:4" ht="15" x14ac:dyDescent="0.25">
      <c r="A5141" t="s">
        <v>13800</v>
      </c>
      <c r="B5141">
        <v>2</v>
      </c>
      <c r="C5141">
        <v>30</v>
      </c>
      <c r="D5141">
        <v>15</v>
      </c>
    </row>
    <row r="5142" spans="1:4" ht="15" x14ac:dyDescent="0.25">
      <c r="A5142" t="s">
        <v>13798</v>
      </c>
      <c r="B5142">
        <v>3</v>
      </c>
      <c r="C5142">
        <v>75</v>
      </c>
      <c r="D5142">
        <v>25</v>
      </c>
    </row>
    <row r="5143" spans="1:4" ht="15" x14ac:dyDescent="0.25">
      <c r="A5143" t="s">
        <v>13802</v>
      </c>
      <c r="B5143">
        <v>6</v>
      </c>
      <c r="C5143">
        <v>706</v>
      </c>
      <c r="D5143">
        <v>117.66666666666667</v>
      </c>
    </row>
    <row r="5144" spans="1:4" ht="15" x14ac:dyDescent="0.25">
      <c r="A5144" t="s">
        <v>13806</v>
      </c>
      <c r="B5144">
        <v>1</v>
      </c>
      <c r="C5144">
        <v>20</v>
      </c>
      <c r="D5144">
        <v>20</v>
      </c>
    </row>
    <row r="5145" spans="1:4" ht="15" x14ac:dyDescent="0.25">
      <c r="A5145" t="s">
        <v>13807</v>
      </c>
      <c r="B5145">
        <v>1</v>
      </c>
      <c r="C5145">
        <v>20</v>
      </c>
      <c r="D5145">
        <v>20</v>
      </c>
    </row>
    <row r="5146" spans="1:4" ht="15" x14ac:dyDescent="0.25">
      <c r="A5146" t="s">
        <v>13808</v>
      </c>
      <c r="B5146">
        <v>1</v>
      </c>
      <c r="C5146">
        <v>20</v>
      </c>
      <c r="D5146">
        <v>20</v>
      </c>
    </row>
    <row r="5147" spans="1:4" ht="15" x14ac:dyDescent="0.25">
      <c r="A5147" t="s">
        <v>13812</v>
      </c>
      <c r="B5147">
        <v>1</v>
      </c>
      <c r="C5147">
        <v>12</v>
      </c>
      <c r="D5147">
        <v>12</v>
      </c>
    </row>
    <row r="5148" spans="1:4" ht="15" x14ac:dyDescent="0.25">
      <c r="A5148" t="s">
        <v>13813</v>
      </c>
      <c r="B5148">
        <v>1</v>
      </c>
      <c r="C5148">
        <v>12</v>
      </c>
      <c r="D5148">
        <v>12</v>
      </c>
    </row>
    <row r="5149" spans="1:4" ht="15" x14ac:dyDescent="0.25">
      <c r="A5149" t="s">
        <v>13815</v>
      </c>
      <c r="B5149">
        <v>1</v>
      </c>
      <c r="C5149">
        <v>12</v>
      </c>
      <c r="D5149">
        <v>12</v>
      </c>
    </row>
    <row r="5150" spans="1:4" ht="15" x14ac:dyDescent="0.25">
      <c r="A5150" t="s">
        <v>13814</v>
      </c>
      <c r="B5150">
        <v>1</v>
      </c>
      <c r="C5150">
        <v>12</v>
      </c>
      <c r="D5150">
        <v>12</v>
      </c>
    </row>
    <row r="5151" spans="1:4" ht="15" x14ac:dyDescent="0.25">
      <c r="A5151" t="s">
        <v>13820</v>
      </c>
      <c r="B5151">
        <v>4</v>
      </c>
      <c r="C5151">
        <v>131</v>
      </c>
      <c r="D5151">
        <v>32.75</v>
      </c>
    </row>
    <row r="5152" spans="1:4" ht="15" x14ac:dyDescent="0.25">
      <c r="A5152" t="s">
        <v>13824</v>
      </c>
      <c r="B5152">
        <v>2</v>
      </c>
      <c r="C5152">
        <v>53</v>
      </c>
      <c r="D5152">
        <v>26.5</v>
      </c>
    </row>
    <row r="5153" spans="1:4" ht="15" x14ac:dyDescent="0.25">
      <c r="A5153" t="s">
        <v>13823</v>
      </c>
      <c r="B5153">
        <v>1</v>
      </c>
      <c r="C5153">
        <v>21</v>
      </c>
      <c r="D5153">
        <v>21</v>
      </c>
    </row>
    <row r="5154" spans="1:4" ht="15" x14ac:dyDescent="0.25">
      <c r="A5154" t="s">
        <v>13828</v>
      </c>
      <c r="B5154">
        <v>2</v>
      </c>
      <c r="C5154">
        <v>30</v>
      </c>
      <c r="D5154">
        <v>15</v>
      </c>
    </row>
    <row r="5155" spans="1:4" ht="15" x14ac:dyDescent="0.25">
      <c r="A5155" t="s">
        <v>13829</v>
      </c>
      <c r="B5155">
        <v>2</v>
      </c>
      <c r="C5155">
        <v>30</v>
      </c>
      <c r="D5155">
        <v>15</v>
      </c>
    </row>
    <row r="5156" spans="1:4" ht="15" x14ac:dyDescent="0.25">
      <c r="A5156" t="s">
        <v>13830</v>
      </c>
      <c r="B5156">
        <v>3</v>
      </c>
      <c r="C5156">
        <v>71</v>
      </c>
      <c r="D5156">
        <v>23.666666666666668</v>
      </c>
    </row>
    <row r="5157" spans="1:4" ht="15" x14ac:dyDescent="0.25">
      <c r="A5157" t="s">
        <v>13835</v>
      </c>
      <c r="B5157">
        <v>5</v>
      </c>
      <c r="C5157">
        <v>338</v>
      </c>
      <c r="D5157">
        <v>67.599999999999994</v>
      </c>
    </row>
    <row r="5158" spans="1:4" ht="15" x14ac:dyDescent="0.25">
      <c r="A5158" t="s">
        <v>13837</v>
      </c>
      <c r="B5158">
        <v>1</v>
      </c>
      <c r="C5158">
        <v>25</v>
      </c>
      <c r="D5158">
        <v>25</v>
      </c>
    </row>
    <row r="5159" spans="1:4" ht="15" x14ac:dyDescent="0.25">
      <c r="A5159" t="s">
        <v>13836</v>
      </c>
      <c r="B5159">
        <v>3</v>
      </c>
      <c r="C5159">
        <v>75</v>
      </c>
      <c r="D5159">
        <v>25</v>
      </c>
    </row>
    <row r="5160" spans="1:4" ht="15" x14ac:dyDescent="0.25">
      <c r="A5160" t="s">
        <v>13840</v>
      </c>
      <c r="B5160">
        <v>1</v>
      </c>
      <c r="C5160">
        <v>104</v>
      </c>
      <c r="D5160">
        <v>104</v>
      </c>
    </row>
    <row r="5161" spans="1:4" ht="15" x14ac:dyDescent="0.25">
      <c r="A5161" t="s">
        <v>13843</v>
      </c>
      <c r="B5161">
        <v>2</v>
      </c>
      <c r="C5161">
        <v>10</v>
      </c>
      <c r="D5161">
        <v>5</v>
      </c>
    </row>
    <row r="5162" spans="1:4" ht="15" x14ac:dyDescent="0.25">
      <c r="A5162" t="s">
        <v>13848</v>
      </c>
      <c r="B5162">
        <v>2</v>
      </c>
      <c r="C5162">
        <v>443</v>
      </c>
      <c r="D5162">
        <v>221.5</v>
      </c>
    </row>
    <row r="5163" spans="1:4" ht="15" x14ac:dyDescent="0.25">
      <c r="A5163" t="s">
        <v>13849</v>
      </c>
      <c r="B5163">
        <v>1</v>
      </c>
      <c r="C5163">
        <v>216</v>
      </c>
      <c r="D5163">
        <v>216</v>
      </c>
    </row>
    <row r="5164" spans="1:4" ht="15" x14ac:dyDescent="0.25">
      <c r="A5164" t="s">
        <v>13858</v>
      </c>
      <c r="B5164">
        <v>1</v>
      </c>
      <c r="C5164">
        <v>14</v>
      </c>
      <c r="D5164">
        <v>14</v>
      </c>
    </row>
    <row r="5165" spans="1:4" ht="15" x14ac:dyDescent="0.25">
      <c r="A5165" t="s">
        <v>13859</v>
      </c>
      <c r="B5165">
        <v>2</v>
      </c>
      <c r="C5165">
        <v>101</v>
      </c>
      <c r="D5165">
        <v>50.5</v>
      </c>
    </row>
    <row r="5166" spans="1:4" ht="15" x14ac:dyDescent="0.25">
      <c r="A5166" t="s">
        <v>13866</v>
      </c>
      <c r="B5166">
        <v>3</v>
      </c>
      <c r="C5166">
        <v>128</v>
      </c>
      <c r="D5166">
        <v>42.666666666666664</v>
      </c>
    </row>
    <row r="5167" spans="1:4" ht="15" x14ac:dyDescent="0.25">
      <c r="A5167" t="s">
        <v>13867</v>
      </c>
      <c r="B5167">
        <v>2</v>
      </c>
      <c r="C5167">
        <v>122</v>
      </c>
      <c r="D5167">
        <v>61</v>
      </c>
    </row>
    <row r="5168" spans="1:4" ht="15" x14ac:dyDescent="0.25">
      <c r="A5168" t="s">
        <v>13869</v>
      </c>
      <c r="B5168">
        <v>1</v>
      </c>
      <c r="C5168">
        <v>11</v>
      </c>
      <c r="D5168">
        <v>11</v>
      </c>
    </row>
    <row r="5169" spans="1:4" ht="15" x14ac:dyDescent="0.25">
      <c r="A5169" t="s">
        <v>13868</v>
      </c>
      <c r="B5169">
        <v>1</v>
      </c>
      <c r="C5169">
        <v>11</v>
      </c>
      <c r="D5169">
        <v>11</v>
      </c>
    </row>
    <row r="5170" spans="1:4" ht="15" x14ac:dyDescent="0.25">
      <c r="A5170" t="s">
        <v>13874</v>
      </c>
      <c r="B5170">
        <v>1</v>
      </c>
      <c r="C5170">
        <v>27</v>
      </c>
      <c r="D5170">
        <v>27</v>
      </c>
    </row>
    <row r="5171" spans="1:4" ht="15" x14ac:dyDescent="0.25">
      <c r="A5171" t="s">
        <v>13885</v>
      </c>
      <c r="B5171">
        <v>2</v>
      </c>
      <c r="C5171">
        <v>47</v>
      </c>
      <c r="D5171">
        <v>23.5</v>
      </c>
    </row>
    <row r="5172" spans="1:4" ht="15" x14ac:dyDescent="0.25">
      <c r="A5172" t="s">
        <v>13887</v>
      </c>
      <c r="B5172">
        <v>8</v>
      </c>
      <c r="C5172">
        <v>488</v>
      </c>
      <c r="D5172">
        <v>61</v>
      </c>
    </row>
    <row r="5173" spans="1:4" ht="15" x14ac:dyDescent="0.25">
      <c r="A5173" t="s">
        <v>13886</v>
      </c>
      <c r="B5173">
        <v>1</v>
      </c>
      <c r="C5173">
        <v>33</v>
      </c>
      <c r="D5173">
        <v>33</v>
      </c>
    </row>
    <row r="5174" spans="1:4" ht="15" x14ac:dyDescent="0.25">
      <c r="A5174" t="s">
        <v>13892</v>
      </c>
      <c r="B5174">
        <v>2</v>
      </c>
      <c r="C5174">
        <v>55</v>
      </c>
      <c r="D5174">
        <v>27.5</v>
      </c>
    </row>
    <row r="5175" spans="1:4" ht="15" x14ac:dyDescent="0.25">
      <c r="A5175" t="s">
        <v>13893</v>
      </c>
      <c r="B5175">
        <v>1</v>
      </c>
      <c r="C5175">
        <v>49</v>
      </c>
      <c r="D5175">
        <v>49</v>
      </c>
    </row>
    <row r="5176" spans="1:4" ht="15" x14ac:dyDescent="0.25">
      <c r="A5176" t="s">
        <v>13894</v>
      </c>
      <c r="B5176">
        <v>1</v>
      </c>
      <c r="C5176">
        <v>49</v>
      </c>
      <c r="D5176">
        <v>49</v>
      </c>
    </row>
    <row r="5177" spans="1:4" ht="15" x14ac:dyDescent="0.25">
      <c r="A5177" t="s">
        <v>13898</v>
      </c>
      <c r="B5177">
        <v>1</v>
      </c>
      <c r="C5177">
        <v>7</v>
      </c>
      <c r="D5177">
        <v>7</v>
      </c>
    </row>
    <row r="5178" spans="1:4" ht="15" x14ac:dyDescent="0.25">
      <c r="A5178" t="s">
        <v>13902</v>
      </c>
      <c r="B5178">
        <v>1</v>
      </c>
      <c r="C5178">
        <v>18</v>
      </c>
      <c r="D5178">
        <v>18</v>
      </c>
    </row>
    <row r="5179" spans="1:4" ht="15" x14ac:dyDescent="0.25">
      <c r="A5179" t="s">
        <v>13904</v>
      </c>
      <c r="B5179">
        <v>1</v>
      </c>
      <c r="C5179">
        <v>18</v>
      </c>
      <c r="D5179">
        <v>18</v>
      </c>
    </row>
    <row r="5180" spans="1:4" ht="15" x14ac:dyDescent="0.25">
      <c r="A5180" t="s">
        <v>13905</v>
      </c>
      <c r="B5180">
        <v>1</v>
      </c>
      <c r="C5180">
        <v>18</v>
      </c>
      <c r="D5180">
        <v>18</v>
      </c>
    </row>
    <row r="5181" spans="1:4" ht="15" x14ac:dyDescent="0.25">
      <c r="A5181" t="s">
        <v>13903</v>
      </c>
      <c r="B5181">
        <v>1</v>
      </c>
      <c r="C5181">
        <v>18</v>
      </c>
      <c r="D5181">
        <v>18</v>
      </c>
    </row>
    <row r="5182" spans="1:4" ht="15" x14ac:dyDescent="0.25">
      <c r="A5182" t="s">
        <v>13912</v>
      </c>
      <c r="B5182">
        <v>4</v>
      </c>
      <c r="C5182">
        <v>130</v>
      </c>
      <c r="D5182">
        <v>32.5</v>
      </c>
    </row>
    <row r="5183" spans="1:4" ht="15" x14ac:dyDescent="0.25">
      <c r="A5183" t="s">
        <v>13917</v>
      </c>
      <c r="B5183">
        <v>1</v>
      </c>
      <c r="C5183">
        <v>7</v>
      </c>
      <c r="D5183">
        <v>7</v>
      </c>
    </row>
    <row r="5184" spans="1:4" ht="15" x14ac:dyDescent="0.25">
      <c r="A5184" t="s">
        <v>13919</v>
      </c>
      <c r="B5184">
        <v>1</v>
      </c>
      <c r="C5184">
        <v>7</v>
      </c>
      <c r="D5184">
        <v>7</v>
      </c>
    </row>
    <row r="5185" spans="1:4" ht="15" x14ac:dyDescent="0.25">
      <c r="A5185" t="s">
        <v>13918</v>
      </c>
      <c r="B5185">
        <v>1</v>
      </c>
      <c r="C5185">
        <v>7</v>
      </c>
      <c r="D5185">
        <v>7</v>
      </c>
    </row>
    <row r="5186" spans="1:4" ht="15" x14ac:dyDescent="0.25">
      <c r="A5186" t="s">
        <v>13923</v>
      </c>
      <c r="B5186">
        <v>1</v>
      </c>
      <c r="C5186">
        <v>4</v>
      </c>
      <c r="D5186">
        <v>4</v>
      </c>
    </row>
    <row r="5187" spans="1:4" ht="15" x14ac:dyDescent="0.25">
      <c r="A5187" t="s">
        <v>13925</v>
      </c>
      <c r="B5187">
        <v>1</v>
      </c>
      <c r="C5187">
        <v>4</v>
      </c>
      <c r="D5187">
        <v>4</v>
      </c>
    </row>
    <row r="5188" spans="1:4" ht="15" x14ac:dyDescent="0.25">
      <c r="A5188" t="s">
        <v>13924</v>
      </c>
      <c r="B5188">
        <v>2</v>
      </c>
      <c r="C5188">
        <v>22</v>
      </c>
      <c r="D5188">
        <v>11</v>
      </c>
    </row>
    <row r="5189" spans="1:4" ht="15" x14ac:dyDescent="0.25">
      <c r="A5189" t="s">
        <v>13929</v>
      </c>
      <c r="B5189">
        <v>1</v>
      </c>
      <c r="C5189">
        <v>22</v>
      </c>
      <c r="D5189">
        <v>22</v>
      </c>
    </row>
    <row r="5190" spans="1:4" ht="15" x14ac:dyDescent="0.25">
      <c r="A5190" t="s">
        <v>13932</v>
      </c>
      <c r="B5190">
        <v>1</v>
      </c>
      <c r="C5190">
        <v>4</v>
      </c>
      <c r="D5190">
        <v>4</v>
      </c>
    </row>
    <row r="5191" spans="1:4" ht="15" x14ac:dyDescent="0.25">
      <c r="A5191" t="s">
        <v>13936</v>
      </c>
      <c r="B5191">
        <v>1</v>
      </c>
      <c r="C5191">
        <v>63</v>
      </c>
      <c r="D5191">
        <v>63</v>
      </c>
    </row>
    <row r="5192" spans="1:4" ht="15" x14ac:dyDescent="0.25">
      <c r="A5192" t="s">
        <v>13938</v>
      </c>
      <c r="B5192">
        <v>1</v>
      </c>
      <c r="C5192">
        <v>63</v>
      </c>
      <c r="D5192">
        <v>63</v>
      </c>
    </row>
    <row r="5193" spans="1:4" ht="15" x14ac:dyDescent="0.25">
      <c r="A5193" t="s">
        <v>13937</v>
      </c>
      <c r="B5193">
        <v>1</v>
      </c>
      <c r="C5193">
        <v>63</v>
      </c>
      <c r="D5193">
        <v>63</v>
      </c>
    </row>
    <row r="5194" spans="1:4" ht="15" x14ac:dyDescent="0.25">
      <c r="A5194" t="s">
        <v>13943</v>
      </c>
      <c r="B5194">
        <v>1</v>
      </c>
      <c r="C5194">
        <v>15</v>
      </c>
      <c r="D5194">
        <v>15</v>
      </c>
    </row>
    <row r="5195" spans="1:4" ht="15" x14ac:dyDescent="0.25">
      <c r="A5195" t="s">
        <v>13944</v>
      </c>
      <c r="B5195">
        <v>3</v>
      </c>
      <c r="C5195">
        <v>140</v>
      </c>
      <c r="D5195">
        <v>46.666666666666664</v>
      </c>
    </row>
    <row r="5196" spans="1:4" ht="15" x14ac:dyDescent="0.25">
      <c r="A5196" t="s">
        <v>13942</v>
      </c>
      <c r="B5196">
        <v>1</v>
      </c>
      <c r="C5196">
        <v>15</v>
      </c>
      <c r="D5196">
        <v>15</v>
      </c>
    </row>
    <row r="5197" spans="1:4" ht="15" x14ac:dyDescent="0.25">
      <c r="A5197" t="s">
        <v>13949</v>
      </c>
      <c r="B5197">
        <v>1</v>
      </c>
      <c r="C5197">
        <v>93</v>
      </c>
      <c r="D5197">
        <v>93</v>
      </c>
    </row>
    <row r="5198" spans="1:4" ht="15" x14ac:dyDescent="0.25">
      <c r="A5198" t="s">
        <v>13951</v>
      </c>
      <c r="B5198">
        <v>2</v>
      </c>
      <c r="C5198">
        <v>126</v>
      </c>
      <c r="D5198">
        <v>63</v>
      </c>
    </row>
    <row r="5199" spans="1:4" ht="15" x14ac:dyDescent="0.25">
      <c r="A5199" t="s">
        <v>13950</v>
      </c>
      <c r="B5199">
        <v>1</v>
      </c>
      <c r="C5199">
        <v>93</v>
      </c>
      <c r="D5199">
        <v>93</v>
      </c>
    </row>
    <row r="5200" spans="1:4" ht="15" x14ac:dyDescent="0.25">
      <c r="A5200" t="s">
        <v>13957</v>
      </c>
      <c r="B5200">
        <v>3</v>
      </c>
      <c r="C5200">
        <v>125</v>
      </c>
      <c r="D5200">
        <v>41.666666666666664</v>
      </c>
    </row>
    <row r="5201" spans="1:4" ht="15" x14ac:dyDescent="0.25">
      <c r="A5201" t="s">
        <v>13958</v>
      </c>
      <c r="B5201">
        <v>1</v>
      </c>
      <c r="C5201">
        <v>54</v>
      </c>
      <c r="D5201">
        <v>54</v>
      </c>
    </row>
    <row r="5202" spans="1:4" ht="15" x14ac:dyDescent="0.25">
      <c r="A5202" t="s">
        <v>13956</v>
      </c>
      <c r="B5202">
        <v>2</v>
      </c>
      <c r="C5202">
        <v>111</v>
      </c>
      <c r="D5202">
        <v>55.5</v>
      </c>
    </row>
    <row r="5203" spans="1:4" ht="15" x14ac:dyDescent="0.25">
      <c r="A5203" t="s">
        <v>13962</v>
      </c>
      <c r="B5203">
        <v>1</v>
      </c>
      <c r="C5203">
        <v>9</v>
      </c>
      <c r="D5203">
        <v>9</v>
      </c>
    </row>
    <row r="5204" spans="1:4" ht="15" x14ac:dyDescent="0.25">
      <c r="A5204" t="s">
        <v>13963</v>
      </c>
      <c r="B5204">
        <v>1</v>
      </c>
      <c r="C5204">
        <v>9</v>
      </c>
      <c r="D5204">
        <v>9</v>
      </c>
    </row>
    <row r="5205" spans="1:4" ht="15" x14ac:dyDescent="0.25">
      <c r="A5205" t="s">
        <v>13967</v>
      </c>
      <c r="B5205">
        <v>1</v>
      </c>
      <c r="C5205">
        <v>263</v>
      </c>
      <c r="D5205">
        <v>263</v>
      </c>
    </row>
    <row r="5206" spans="1:4" ht="15" x14ac:dyDescent="0.25">
      <c r="A5206" t="s">
        <v>13971</v>
      </c>
      <c r="B5206">
        <v>1</v>
      </c>
      <c r="C5206">
        <v>26</v>
      </c>
      <c r="D5206">
        <v>26</v>
      </c>
    </row>
    <row r="5207" spans="1:4" ht="15" x14ac:dyDescent="0.25">
      <c r="A5207" t="s">
        <v>13972</v>
      </c>
      <c r="B5207">
        <v>1</v>
      </c>
      <c r="C5207">
        <v>26</v>
      </c>
      <c r="D5207">
        <v>26</v>
      </c>
    </row>
    <row r="5208" spans="1:4" ht="15" x14ac:dyDescent="0.25">
      <c r="A5208" t="s">
        <v>13976</v>
      </c>
      <c r="B5208">
        <v>1</v>
      </c>
      <c r="C5208">
        <v>8</v>
      </c>
      <c r="D5208">
        <v>8</v>
      </c>
    </row>
    <row r="5209" spans="1:4" ht="15" x14ac:dyDescent="0.25">
      <c r="A5209" t="s">
        <v>13981</v>
      </c>
      <c r="B5209">
        <v>2</v>
      </c>
      <c r="C5209">
        <v>115</v>
      </c>
      <c r="D5209">
        <v>57.5</v>
      </c>
    </row>
    <row r="5210" spans="1:4" ht="15" x14ac:dyDescent="0.25">
      <c r="A5210" t="s">
        <v>13982</v>
      </c>
      <c r="B5210">
        <v>1</v>
      </c>
      <c r="C5210">
        <v>50</v>
      </c>
      <c r="D5210">
        <v>50</v>
      </c>
    </row>
    <row r="5211" spans="1:4" ht="15" x14ac:dyDescent="0.25">
      <c r="A5211" t="s">
        <v>13984</v>
      </c>
      <c r="B5211">
        <v>1</v>
      </c>
      <c r="C5211">
        <v>50</v>
      </c>
      <c r="D5211">
        <v>50</v>
      </c>
    </row>
    <row r="5212" spans="1:4" ht="15" x14ac:dyDescent="0.25">
      <c r="A5212" t="s">
        <v>13985</v>
      </c>
      <c r="B5212">
        <v>1</v>
      </c>
      <c r="C5212">
        <v>50</v>
      </c>
      <c r="D5212">
        <v>50</v>
      </c>
    </row>
    <row r="5213" spans="1:4" ht="15" x14ac:dyDescent="0.25">
      <c r="A5213" t="s">
        <v>13983</v>
      </c>
      <c r="B5213">
        <v>1</v>
      </c>
      <c r="C5213">
        <v>50</v>
      </c>
      <c r="D5213">
        <v>50</v>
      </c>
    </row>
    <row r="5214" spans="1:4" ht="15" x14ac:dyDescent="0.25">
      <c r="A5214" t="s">
        <v>13989</v>
      </c>
      <c r="B5214">
        <v>1</v>
      </c>
      <c r="C5214">
        <v>48</v>
      </c>
      <c r="D5214">
        <v>48</v>
      </c>
    </row>
    <row r="5215" spans="1:4" ht="15" x14ac:dyDescent="0.25">
      <c r="A5215" t="s">
        <v>13990</v>
      </c>
      <c r="B5215">
        <v>1</v>
      </c>
      <c r="C5215">
        <v>48</v>
      </c>
      <c r="D5215">
        <v>48</v>
      </c>
    </row>
    <row r="5216" spans="1:4" ht="15" x14ac:dyDescent="0.25">
      <c r="A5216" t="s">
        <v>13992</v>
      </c>
      <c r="B5216">
        <v>2</v>
      </c>
      <c r="C5216">
        <v>93</v>
      </c>
      <c r="D5216">
        <v>46.5</v>
      </c>
    </row>
    <row r="5217" spans="1:4" ht="15" x14ac:dyDescent="0.25">
      <c r="A5217" t="s">
        <v>13993</v>
      </c>
      <c r="B5217">
        <v>1</v>
      </c>
      <c r="C5217">
        <v>48</v>
      </c>
      <c r="D5217">
        <v>48</v>
      </c>
    </row>
    <row r="5218" spans="1:4" ht="15" x14ac:dyDescent="0.25">
      <c r="A5218" t="s">
        <v>13991</v>
      </c>
      <c r="B5218">
        <v>2</v>
      </c>
      <c r="C5218">
        <v>85</v>
      </c>
      <c r="D5218">
        <v>42.5</v>
      </c>
    </row>
    <row r="5219" spans="1:4" ht="15" x14ac:dyDescent="0.25">
      <c r="A5219" t="s">
        <v>13996</v>
      </c>
      <c r="B5219">
        <v>1</v>
      </c>
      <c r="C5219">
        <v>28</v>
      </c>
      <c r="D5219">
        <v>28</v>
      </c>
    </row>
    <row r="5220" spans="1:4" ht="15" x14ac:dyDescent="0.25">
      <c r="A5220" t="s">
        <v>13998</v>
      </c>
      <c r="B5220">
        <v>1</v>
      </c>
      <c r="C5220">
        <v>28</v>
      </c>
      <c r="D5220">
        <v>28</v>
      </c>
    </row>
    <row r="5221" spans="1:4" ht="15" x14ac:dyDescent="0.25">
      <c r="A5221" t="s">
        <v>13997</v>
      </c>
      <c r="B5221">
        <v>1</v>
      </c>
      <c r="C5221">
        <v>28</v>
      </c>
      <c r="D5221">
        <v>28</v>
      </c>
    </row>
    <row r="5222" spans="1:4" ht="15" x14ac:dyDescent="0.25">
      <c r="A5222" t="s">
        <v>14006</v>
      </c>
      <c r="B5222">
        <v>1</v>
      </c>
      <c r="C5222">
        <v>26</v>
      </c>
      <c r="D5222">
        <v>26</v>
      </c>
    </row>
    <row r="5223" spans="1:4" ht="15" x14ac:dyDescent="0.25">
      <c r="A5223" t="s">
        <v>14008</v>
      </c>
      <c r="B5223">
        <v>1</v>
      </c>
      <c r="C5223">
        <v>26</v>
      </c>
      <c r="D5223">
        <v>26</v>
      </c>
    </row>
    <row r="5224" spans="1:4" ht="15" x14ac:dyDescent="0.25">
      <c r="A5224" t="s">
        <v>14007</v>
      </c>
      <c r="B5224">
        <v>1</v>
      </c>
      <c r="C5224">
        <v>26</v>
      </c>
      <c r="D5224">
        <v>26</v>
      </c>
    </row>
    <row r="5225" spans="1:4" ht="15" x14ac:dyDescent="0.25">
      <c r="A5225" t="s">
        <v>14012</v>
      </c>
      <c r="B5225">
        <v>2</v>
      </c>
      <c r="C5225">
        <v>1770</v>
      </c>
      <c r="D5225">
        <v>885</v>
      </c>
    </row>
    <row r="5226" spans="1:4" ht="15" x14ac:dyDescent="0.25">
      <c r="A5226" t="s">
        <v>14014</v>
      </c>
      <c r="B5226">
        <v>2</v>
      </c>
      <c r="C5226">
        <v>322</v>
      </c>
      <c r="D5226">
        <v>161</v>
      </c>
    </row>
    <row r="5227" spans="1:4" ht="15" x14ac:dyDescent="0.25">
      <c r="A5227" t="s">
        <v>14013</v>
      </c>
      <c r="B5227">
        <v>3</v>
      </c>
      <c r="C5227">
        <v>302</v>
      </c>
      <c r="D5227">
        <v>100.66666666666667</v>
      </c>
    </row>
    <row r="5228" spans="1:4" ht="15" x14ac:dyDescent="0.25">
      <c r="A5228" t="s">
        <v>14020</v>
      </c>
      <c r="B5228">
        <v>1</v>
      </c>
      <c r="C5228">
        <v>50</v>
      </c>
      <c r="D5228">
        <v>50</v>
      </c>
    </row>
    <row r="5229" spans="1:4" ht="15" x14ac:dyDescent="0.25">
      <c r="A5229" t="s">
        <v>14019</v>
      </c>
      <c r="B5229">
        <v>1</v>
      </c>
      <c r="C5229">
        <v>50</v>
      </c>
      <c r="D5229">
        <v>50</v>
      </c>
    </row>
    <row r="5230" spans="1:4" ht="15" x14ac:dyDescent="0.25">
      <c r="A5230" t="s">
        <v>14024</v>
      </c>
      <c r="B5230">
        <v>1</v>
      </c>
      <c r="C5230">
        <v>55</v>
      </c>
      <c r="D5230">
        <v>55</v>
      </c>
    </row>
    <row r="5231" spans="1:4" ht="15" x14ac:dyDescent="0.25">
      <c r="A5231" t="s">
        <v>14025</v>
      </c>
      <c r="B5231">
        <v>3</v>
      </c>
      <c r="C5231">
        <v>78</v>
      </c>
      <c r="D5231">
        <v>26</v>
      </c>
    </row>
    <row r="5232" spans="1:4" ht="15" x14ac:dyDescent="0.25">
      <c r="A5232" t="s">
        <v>14027</v>
      </c>
      <c r="B5232">
        <v>1</v>
      </c>
      <c r="C5232">
        <v>55</v>
      </c>
      <c r="D5232">
        <v>55</v>
      </c>
    </row>
    <row r="5233" spans="1:4" ht="15" x14ac:dyDescent="0.25">
      <c r="A5233" t="s">
        <v>14026</v>
      </c>
      <c r="B5233">
        <v>1</v>
      </c>
      <c r="C5233">
        <v>55</v>
      </c>
      <c r="D5233">
        <v>55</v>
      </c>
    </row>
    <row r="5234" spans="1:4" ht="15" x14ac:dyDescent="0.25">
      <c r="A5234" t="s">
        <v>14034</v>
      </c>
      <c r="B5234">
        <v>1</v>
      </c>
      <c r="C5234">
        <v>11</v>
      </c>
      <c r="D5234">
        <v>11</v>
      </c>
    </row>
    <row r="5235" spans="1:4" ht="15" x14ac:dyDescent="0.25">
      <c r="A5235" t="s">
        <v>14035</v>
      </c>
      <c r="B5235">
        <v>1</v>
      </c>
      <c r="C5235">
        <v>11</v>
      </c>
      <c r="D5235">
        <v>11</v>
      </c>
    </row>
    <row r="5236" spans="1:4" ht="15" x14ac:dyDescent="0.25">
      <c r="A5236" t="s">
        <v>14036</v>
      </c>
      <c r="B5236">
        <v>1</v>
      </c>
      <c r="C5236">
        <v>11</v>
      </c>
      <c r="D5236">
        <v>11</v>
      </c>
    </row>
    <row r="5237" spans="1:4" ht="15" x14ac:dyDescent="0.25">
      <c r="A5237" t="s">
        <v>14037</v>
      </c>
      <c r="B5237">
        <v>1</v>
      </c>
      <c r="C5237">
        <v>11</v>
      </c>
      <c r="D5237">
        <v>11</v>
      </c>
    </row>
    <row r="5238" spans="1:4" ht="15" x14ac:dyDescent="0.25">
      <c r="A5238" t="s">
        <v>14040</v>
      </c>
      <c r="B5238">
        <v>3</v>
      </c>
      <c r="C5238">
        <v>190</v>
      </c>
      <c r="D5238">
        <v>63.333333333333336</v>
      </c>
    </row>
    <row r="5239" spans="1:4" ht="15" x14ac:dyDescent="0.25">
      <c r="A5239" t="s">
        <v>14045</v>
      </c>
      <c r="B5239">
        <v>1</v>
      </c>
      <c r="C5239">
        <v>156</v>
      </c>
      <c r="D5239">
        <v>156</v>
      </c>
    </row>
    <row r="5240" spans="1:4" ht="15" x14ac:dyDescent="0.25">
      <c r="A5240" t="s">
        <v>14046</v>
      </c>
      <c r="B5240">
        <v>1</v>
      </c>
      <c r="C5240">
        <v>156</v>
      </c>
      <c r="D5240">
        <v>156</v>
      </c>
    </row>
    <row r="5241" spans="1:4" ht="15" x14ac:dyDescent="0.25">
      <c r="A5241" t="s">
        <v>14051</v>
      </c>
      <c r="B5241">
        <v>2</v>
      </c>
      <c r="C5241">
        <v>56</v>
      </c>
      <c r="D5241">
        <v>28</v>
      </c>
    </row>
    <row r="5242" spans="1:4" ht="15" x14ac:dyDescent="0.25">
      <c r="A5242" t="s">
        <v>14052</v>
      </c>
      <c r="B5242">
        <v>1</v>
      </c>
      <c r="C5242">
        <v>26</v>
      </c>
      <c r="D5242">
        <v>26</v>
      </c>
    </row>
    <row r="5243" spans="1:4" ht="15" x14ac:dyDescent="0.25">
      <c r="A5243" t="s">
        <v>14053</v>
      </c>
      <c r="B5243">
        <v>2</v>
      </c>
      <c r="C5243">
        <v>56</v>
      </c>
      <c r="D5243">
        <v>28</v>
      </c>
    </row>
    <row r="5244" spans="1:4" ht="15" x14ac:dyDescent="0.25">
      <c r="A5244" t="s">
        <v>14056</v>
      </c>
      <c r="B5244">
        <v>2</v>
      </c>
      <c r="C5244">
        <v>75</v>
      </c>
      <c r="D5244">
        <v>37.5</v>
      </c>
    </row>
    <row r="5245" spans="1:4" ht="15" x14ac:dyDescent="0.25">
      <c r="A5245" t="s">
        <v>14058</v>
      </c>
      <c r="B5245">
        <v>1</v>
      </c>
      <c r="C5245">
        <v>16</v>
      </c>
      <c r="D5245">
        <v>16</v>
      </c>
    </row>
    <row r="5246" spans="1:4" ht="15" x14ac:dyDescent="0.25">
      <c r="A5246" t="s">
        <v>14057</v>
      </c>
      <c r="B5246">
        <v>2</v>
      </c>
      <c r="C5246">
        <v>43</v>
      </c>
      <c r="D5246">
        <v>21.5</v>
      </c>
    </row>
    <row r="5247" spans="1:4" ht="15" x14ac:dyDescent="0.25">
      <c r="A5247" t="s">
        <v>14062</v>
      </c>
      <c r="B5247">
        <v>1</v>
      </c>
      <c r="C5247">
        <v>22</v>
      </c>
      <c r="D5247">
        <v>22</v>
      </c>
    </row>
    <row r="5248" spans="1:4" ht="15" x14ac:dyDescent="0.25">
      <c r="A5248" t="s">
        <v>14067</v>
      </c>
      <c r="B5248">
        <v>1</v>
      </c>
      <c r="C5248">
        <v>12</v>
      </c>
      <c r="D5248">
        <v>12</v>
      </c>
    </row>
    <row r="5249" spans="1:4" ht="15" x14ac:dyDescent="0.25">
      <c r="A5249" t="s">
        <v>14071</v>
      </c>
      <c r="B5249">
        <v>2</v>
      </c>
      <c r="C5249">
        <v>74</v>
      </c>
      <c r="D5249">
        <v>37</v>
      </c>
    </row>
    <row r="5250" spans="1:4" ht="15" x14ac:dyDescent="0.25">
      <c r="A5250" t="s">
        <v>14072</v>
      </c>
      <c r="B5250">
        <v>1</v>
      </c>
      <c r="C5250">
        <v>26</v>
      </c>
      <c r="D5250">
        <v>26</v>
      </c>
    </row>
    <row r="5251" spans="1:4" ht="15" x14ac:dyDescent="0.25">
      <c r="A5251" t="s">
        <v>14077</v>
      </c>
      <c r="B5251">
        <v>1</v>
      </c>
      <c r="C5251">
        <v>39</v>
      </c>
      <c r="D5251">
        <v>39</v>
      </c>
    </row>
    <row r="5252" spans="1:4" ht="15" x14ac:dyDescent="0.25">
      <c r="A5252" t="s">
        <v>14078</v>
      </c>
      <c r="B5252">
        <v>1</v>
      </c>
      <c r="C5252">
        <v>39</v>
      </c>
      <c r="D5252">
        <v>39</v>
      </c>
    </row>
    <row r="5253" spans="1:4" ht="15" x14ac:dyDescent="0.25">
      <c r="A5253" t="s">
        <v>14083</v>
      </c>
      <c r="B5253">
        <v>1</v>
      </c>
      <c r="C5253">
        <v>17</v>
      </c>
      <c r="D5253">
        <v>17</v>
      </c>
    </row>
    <row r="5254" spans="1:4" ht="15" x14ac:dyDescent="0.25">
      <c r="A5254" t="s">
        <v>14089</v>
      </c>
      <c r="B5254">
        <v>1</v>
      </c>
      <c r="C5254">
        <v>5</v>
      </c>
      <c r="D5254">
        <v>5</v>
      </c>
    </row>
    <row r="5255" spans="1:4" ht="15" x14ac:dyDescent="0.25">
      <c r="A5255" t="s">
        <v>14090</v>
      </c>
      <c r="B5255">
        <v>2</v>
      </c>
      <c r="C5255">
        <v>77</v>
      </c>
      <c r="D5255">
        <v>38.5</v>
      </c>
    </row>
    <row r="5256" spans="1:4" ht="15" x14ac:dyDescent="0.25">
      <c r="A5256" t="s">
        <v>14094</v>
      </c>
      <c r="B5256">
        <v>2</v>
      </c>
      <c r="C5256">
        <v>33</v>
      </c>
      <c r="D5256">
        <v>16.5</v>
      </c>
    </row>
    <row r="5257" spans="1:4" ht="15" x14ac:dyDescent="0.25">
      <c r="A5257" t="s">
        <v>14095</v>
      </c>
      <c r="B5257">
        <v>3</v>
      </c>
      <c r="C5257">
        <v>81</v>
      </c>
      <c r="D5257">
        <v>27</v>
      </c>
    </row>
    <row r="5258" spans="1:4" ht="15" x14ac:dyDescent="0.25">
      <c r="A5258" t="s">
        <v>14097</v>
      </c>
      <c r="B5258">
        <v>2</v>
      </c>
      <c r="C5258">
        <v>46</v>
      </c>
      <c r="D5258">
        <v>23</v>
      </c>
    </row>
    <row r="5259" spans="1:4" ht="15" x14ac:dyDescent="0.25">
      <c r="A5259" t="s">
        <v>14096</v>
      </c>
      <c r="B5259">
        <v>1</v>
      </c>
      <c r="C5259">
        <v>13</v>
      </c>
      <c r="D5259">
        <v>13</v>
      </c>
    </row>
    <row r="5260" spans="1:4" ht="15" x14ac:dyDescent="0.25">
      <c r="A5260" t="s">
        <v>14101</v>
      </c>
      <c r="B5260">
        <v>1</v>
      </c>
      <c r="C5260">
        <v>6</v>
      </c>
      <c r="D5260">
        <v>6</v>
      </c>
    </row>
    <row r="5261" spans="1:4" ht="15" x14ac:dyDescent="0.25">
      <c r="A5261" t="s">
        <v>14103</v>
      </c>
      <c r="B5261">
        <v>1</v>
      </c>
      <c r="C5261">
        <v>6</v>
      </c>
      <c r="D5261">
        <v>6</v>
      </c>
    </row>
    <row r="5262" spans="1:4" ht="15" x14ac:dyDescent="0.25">
      <c r="A5262" t="s">
        <v>14104</v>
      </c>
      <c r="B5262">
        <v>1</v>
      </c>
      <c r="C5262">
        <v>6</v>
      </c>
      <c r="D5262">
        <v>6</v>
      </c>
    </row>
    <row r="5263" spans="1:4" ht="15" x14ac:dyDescent="0.25">
      <c r="A5263" t="s">
        <v>14102</v>
      </c>
      <c r="B5263">
        <v>1</v>
      </c>
      <c r="C5263">
        <v>6</v>
      </c>
      <c r="D5263">
        <v>6</v>
      </c>
    </row>
    <row r="5264" spans="1:4" ht="15" x14ac:dyDescent="0.25">
      <c r="A5264" t="s">
        <v>14108</v>
      </c>
      <c r="B5264">
        <v>1</v>
      </c>
      <c r="C5264">
        <v>4</v>
      </c>
      <c r="D5264">
        <v>4</v>
      </c>
    </row>
    <row r="5265" spans="1:4" ht="15" x14ac:dyDescent="0.25">
      <c r="A5265" t="s">
        <v>14112</v>
      </c>
      <c r="B5265">
        <v>1</v>
      </c>
      <c r="C5265">
        <v>9</v>
      </c>
      <c r="D5265">
        <v>9</v>
      </c>
    </row>
    <row r="5266" spans="1:4" ht="15" x14ac:dyDescent="0.25">
      <c r="A5266" t="s">
        <v>14113</v>
      </c>
      <c r="B5266">
        <v>2</v>
      </c>
      <c r="C5266">
        <v>40</v>
      </c>
      <c r="D5266">
        <v>20</v>
      </c>
    </row>
    <row r="5267" spans="1:4" ht="15" x14ac:dyDescent="0.25">
      <c r="A5267" t="s">
        <v>14117</v>
      </c>
      <c r="B5267">
        <v>3</v>
      </c>
      <c r="C5267">
        <v>83</v>
      </c>
      <c r="D5267">
        <v>27.666666666666668</v>
      </c>
    </row>
    <row r="5268" spans="1:4" ht="15" x14ac:dyDescent="0.25">
      <c r="A5268" t="s">
        <v>14118</v>
      </c>
      <c r="B5268">
        <v>1</v>
      </c>
      <c r="C5268">
        <v>18</v>
      </c>
      <c r="D5268">
        <v>18</v>
      </c>
    </row>
    <row r="5269" spans="1:4" ht="15" x14ac:dyDescent="0.25">
      <c r="A5269" t="s">
        <v>14122</v>
      </c>
      <c r="B5269">
        <v>5</v>
      </c>
      <c r="C5269">
        <v>216</v>
      </c>
      <c r="D5269">
        <v>43.2</v>
      </c>
    </row>
    <row r="5270" spans="1:4" ht="15" x14ac:dyDescent="0.25">
      <c r="A5270" t="s">
        <v>14127</v>
      </c>
      <c r="B5270">
        <v>2</v>
      </c>
      <c r="C5270">
        <v>166</v>
      </c>
      <c r="D5270">
        <v>83</v>
      </c>
    </row>
    <row r="5271" spans="1:4" ht="15" x14ac:dyDescent="0.25">
      <c r="A5271" t="s">
        <v>14126</v>
      </c>
      <c r="B5271">
        <v>2</v>
      </c>
      <c r="C5271">
        <v>76</v>
      </c>
      <c r="D5271">
        <v>38</v>
      </c>
    </row>
    <row r="5272" spans="1:4" ht="15" x14ac:dyDescent="0.25">
      <c r="A5272" t="s">
        <v>14135</v>
      </c>
      <c r="B5272">
        <v>4</v>
      </c>
      <c r="C5272">
        <v>148</v>
      </c>
      <c r="D5272">
        <v>37</v>
      </c>
    </row>
    <row r="5273" spans="1:4" ht="15" x14ac:dyDescent="0.25">
      <c r="A5273" t="s">
        <v>14137</v>
      </c>
      <c r="B5273">
        <v>1</v>
      </c>
      <c r="C5273">
        <v>92</v>
      </c>
      <c r="D5273">
        <v>92</v>
      </c>
    </row>
    <row r="5274" spans="1:4" ht="15" x14ac:dyDescent="0.25">
      <c r="A5274" t="s">
        <v>14136</v>
      </c>
      <c r="B5274">
        <v>1</v>
      </c>
      <c r="C5274">
        <v>92</v>
      </c>
      <c r="D5274">
        <v>92</v>
      </c>
    </row>
    <row r="5275" spans="1:4" ht="15" x14ac:dyDescent="0.25">
      <c r="A5275" t="s">
        <v>14141</v>
      </c>
      <c r="B5275">
        <v>2</v>
      </c>
      <c r="C5275">
        <v>67</v>
      </c>
      <c r="D5275">
        <v>33.5</v>
      </c>
    </row>
    <row r="5276" spans="1:4" ht="15" x14ac:dyDescent="0.25">
      <c r="A5276" t="s">
        <v>14145</v>
      </c>
      <c r="B5276">
        <v>1</v>
      </c>
      <c r="C5276">
        <v>48</v>
      </c>
      <c r="D5276">
        <v>48</v>
      </c>
    </row>
    <row r="5277" spans="1:4" ht="15" x14ac:dyDescent="0.25">
      <c r="A5277" t="s">
        <v>14147</v>
      </c>
      <c r="B5277">
        <v>1</v>
      </c>
      <c r="C5277">
        <v>48</v>
      </c>
      <c r="D5277">
        <v>48</v>
      </c>
    </row>
    <row r="5278" spans="1:4" ht="15" x14ac:dyDescent="0.25">
      <c r="A5278" t="s">
        <v>14146</v>
      </c>
      <c r="B5278">
        <v>1</v>
      </c>
      <c r="C5278">
        <v>48</v>
      </c>
      <c r="D5278">
        <v>48</v>
      </c>
    </row>
    <row r="5279" spans="1:4" ht="15" x14ac:dyDescent="0.25">
      <c r="A5279" t="s">
        <v>14151</v>
      </c>
      <c r="B5279">
        <v>1</v>
      </c>
      <c r="C5279">
        <v>25</v>
      </c>
      <c r="D5279">
        <v>25</v>
      </c>
    </row>
    <row r="5280" spans="1:4" ht="15" x14ac:dyDescent="0.25">
      <c r="A5280" t="s">
        <v>14154</v>
      </c>
      <c r="B5280">
        <v>2</v>
      </c>
      <c r="C5280">
        <v>2379</v>
      </c>
      <c r="D5280">
        <v>1189.5</v>
      </c>
    </row>
    <row r="5281" spans="1:4" ht="15" x14ac:dyDescent="0.25">
      <c r="A5281" t="s">
        <v>14158</v>
      </c>
      <c r="B5281">
        <v>1</v>
      </c>
      <c r="C5281">
        <v>14</v>
      </c>
      <c r="D5281">
        <v>14</v>
      </c>
    </row>
    <row r="5282" spans="1:4" ht="15" x14ac:dyDescent="0.25">
      <c r="A5282" t="s">
        <v>14165</v>
      </c>
      <c r="B5282">
        <v>1</v>
      </c>
      <c r="C5282">
        <v>23</v>
      </c>
      <c r="D5282">
        <v>23</v>
      </c>
    </row>
    <row r="5283" spans="1:4" ht="15" x14ac:dyDescent="0.25">
      <c r="A5283" t="s">
        <v>14167</v>
      </c>
      <c r="B5283">
        <v>1</v>
      </c>
      <c r="C5283">
        <v>23</v>
      </c>
      <c r="D5283">
        <v>23</v>
      </c>
    </row>
    <row r="5284" spans="1:4" ht="15" x14ac:dyDescent="0.25">
      <c r="A5284" t="s">
        <v>14168</v>
      </c>
      <c r="B5284">
        <v>1</v>
      </c>
      <c r="C5284">
        <v>23</v>
      </c>
      <c r="D5284">
        <v>23</v>
      </c>
    </row>
    <row r="5285" spans="1:4" ht="15" x14ac:dyDescent="0.25">
      <c r="A5285" t="s">
        <v>14166</v>
      </c>
      <c r="B5285">
        <v>1</v>
      </c>
      <c r="C5285">
        <v>23</v>
      </c>
      <c r="D5285">
        <v>23</v>
      </c>
    </row>
    <row r="5286" spans="1:4" ht="15" x14ac:dyDescent="0.25">
      <c r="A5286" t="s">
        <v>14171</v>
      </c>
      <c r="B5286">
        <v>4</v>
      </c>
      <c r="C5286">
        <v>74</v>
      </c>
      <c r="D5286">
        <v>18.5</v>
      </c>
    </row>
    <row r="5287" spans="1:4" ht="15" x14ac:dyDescent="0.25">
      <c r="A5287" t="s">
        <v>14176</v>
      </c>
      <c r="B5287">
        <v>2</v>
      </c>
      <c r="C5287">
        <v>75</v>
      </c>
      <c r="D5287">
        <v>37.5</v>
      </c>
    </row>
    <row r="5288" spans="1:4" ht="15" x14ac:dyDescent="0.25">
      <c r="A5288" t="s">
        <v>14175</v>
      </c>
      <c r="B5288">
        <v>1</v>
      </c>
      <c r="C5288">
        <v>60</v>
      </c>
      <c r="D5288">
        <v>60</v>
      </c>
    </row>
    <row r="5289" spans="1:4" ht="15" x14ac:dyDescent="0.25">
      <c r="A5289" t="s">
        <v>14183</v>
      </c>
      <c r="B5289">
        <v>2</v>
      </c>
      <c r="C5289">
        <v>59</v>
      </c>
      <c r="D5289">
        <v>29.5</v>
      </c>
    </row>
    <row r="5290" spans="1:4" ht="15" x14ac:dyDescent="0.25">
      <c r="A5290" t="s">
        <v>14185</v>
      </c>
      <c r="B5290">
        <v>2</v>
      </c>
      <c r="C5290">
        <v>47</v>
      </c>
      <c r="D5290">
        <v>23.5</v>
      </c>
    </row>
    <row r="5291" spans="1:4" ht="15" x14ac:dyDescent="0.25">
      <c r="A5291" t="s">
        <v>14184</v>
      </c>
      <c r="B5291">
        <v>2</v>
      </c>
      <c r="C5291">
        <v>47</v>
      </c>
      <c r="D5291">
        <v>23.5</v>
      </c>
    </row>
    <row r="5292" spans="1:4" ht="15" x14ac:dyDescent="0.25">
      <c r="A5292" t="s">
        <v>14189</v>
      </c>
      <c r="B5292">
        <v>1</v>
      </c>
      <c r="C5292">
        <v>2</v>
      </c>
      <c r="D5292">
        <v>2</v>
      </c>
    </row>
    <row r="5293" spans="1:4" ht="15" x14ac:dyDescent="0.25">
      <c r="A5293" t="s">
        <v>14190</v>
      </c>
      <c r="B5293">
        <v>3</v>
      </c>
      <c r="C5293">
        <v>53</v>
      </c>
      <c r="D5293">
        <v>17.666666666666668</v>
      </c>
    </row>
    <row r="5294" spans="1:4" ht="15" x14ac:dyDescent="0.25">
      <c r="A5294" t="s">
        <v>14192</v>
      </c>
      <c r="B5294">
        <v>1</v>
      </c>
      <c r="C5294">
        <v>33</v>
      </c>
      <c r="D5294">
        <v>33</v>
      </c>
    </row>
    <row r="5295" spans="1:4" ht="15" x14ac:dyDescent="0.25">
      <c r="A5295" t="s">
        <v>14193</v>
      </c>
      <c r="B5295">
        <v>1</v>
      </c>
      <c r="C5295">
        <v>33</v>
      </c>
      <c r="D5295">
        <v>33</v>
      </c>
    </row>
    <row r="5296" spans="1:4" ht="15" x14ac:dyDescent="0.25">
      <c r="A5296" t="s">
        <v>14197</v>
      </c>
      <c r="B5296">
        <v>1</v>
      </c>
      <c r="C5296">
        <v>20</v>
      </c>
      <c r="D5296">
        <v>20</v>
      </c>
    </row>
    <row r="5297" spans="1:4" ht="15" x14ac:dyDescent="0.25">
      <c r="A5297" t="s">
        <v>14199</v>
      </c>
      <c r="B5297">
        <v>1</v>
      </c>
      <c r="C5297">
        <v>20</v>
      </c>
      <c r="D5297">
        <v>20</v>
      </c>
    </row>
    <row r="5298" spans="1:4" ht="15" x14ac:dyDescent="0.25">
      <c r="A5298" t="s">
        <v>14198</v>
      </c>
      <c r="B5298">
        <v>1</v>
      </c>
      <c r="C5298">
        <v>20</v>
      </c>
      <c r="D5298">
        <v>20</v>
      </c>
    </row>
    <row r="5299" spans="1:4" ht="15" x14ac:dyDescent="0.25">
      <c r="A5299" t="s">
        <v>14203</v>
      </c>
      <c r="B5299">
        <v>1</v>
      </c>
      <c r="C5299">
        <v>80</v>
      </c>
      <c r="D5299">
        <v>80</v>
      </c>
    </row>
    <row r="5300" spans="1:4" ht="15" x14ac:dyDescent="0.25">
      <c r="A5300" t="s">
        <v>14204</v>
      </c>
      <c r="B5300">
        <v>1</v>
      </c>
      <c r="C5300">
        <v>80</v>
      </c>
      <c r="D5300">
        <v>80</v>
      </c>
    </row>
    <row r="5301" spans="1:4" ht="15" x14ac:dyDescent="0.25">
      <c r="A5301" t="s">
        <v>14205</v>
      </c>
      <c r="B5301">
        <v>1</v>
      </c>
      <c r="C5301">
        <v>80</v>
      </c>
      <c r="D5301">
        <v>80</v>
      </c>
    </row>
    <row r="5302" spans="1:4" ht="15" x14ac:dyDescent="0.25">
      <c r="A5302" t="s">
        <v>14211</v>
      </c>
      <c r="B5302">
        <v>1</v>
      </c>
      <c r="C5302">
        <v>47</v>
      </c>
      <c r="D5302">
        <v>47</v>
      </c>
    </row>
    <row r="5303" spans="1:4" ht="15" x14ac:dyDescent="0.25">
      <c r="A5303" t="s">
        <v>14219</v>
      </c>
      <c r="B5303">
        <v>1</v>
      </c>
      <c r="C5303">
        <v>31</v>
      </c>
      <c r="D5303">
        <v>31</v>
      </c>
    </row>
    <row r="5304" spans="1:4" ht="15" x14ac:dyDescent="0.25">
      <c r="A5304" t="s">
        <v>14220</v>
      </c>
      <c r="B5304">
        <v>1</v>
      </c>
      <c r="C5304">
        <v>31</v>
      </c>
      <c r="D5304">
        <v>31</v>
      </c>
    </row>
    <row r="5305" spans="1:4" ht="15" x14ac:dyDescent="0.25">
      <c r="A5305" t="s">
        <v>14221</v>
      </c>
      <c r="B5305">
        <v>1</v>
      </c>
      <c r="C5305">
        <v>31</v>
      </c>
      <c r="D5305">
        <v>31</v>
      </c>
    </row>
    <row r="5306" spans="1:4" ht="15" x14ac:dyDescent="0.25">
      <c r="A5306" t="s">
        <v>14222</v>
      </c>
      <c r="B5306">
        <v>1</v>
      </c>
      <c r="C5306">
        <v>31</v>
      </c>
      <c r="D5306">
        <v>31</v>
      </c>
    </row>
    <row r="5307" spans="1:4" ht="15" x14ac:dyDescent="0.25">
      <c r="A5307" t="s">
        <v>14232</v>
      </c>
      <c r="B5307">
        <v>1</v>
      </c>
      <c r="C5307">
        <v>18</v>
      </c>
      <c r="D5307">
        <v>18</v>
      </c>
    </row>
    <row r="5308" spans="1:4" ht="15" x14ac:dyDescent="0.25">
      <c r="A5308" t="s">
        <v>14233</v>
      </c>
      <c r="B5308">
        <v>1</v>
      </c>
      <c r="C5308">
        <v>18</v>
      </c>
      <c r="D5308">
        <v>18</v>
      </c>
    </row>
    <row r="5309" spans="1:4" ht="15" x14ac:dyDescent="0.25">
      <c r="A5309" t="s">
        <v>14234</v>
      </c>
      <c r="B5309">
        <v>1</v>
      </c>
      <c r="C5309">
        <v>18</v>
      </c>
      <c r="D5309">
        <v>18</v>
      </c>
    </row>
    <row r="5310" spans="1:4" ht="15" x14ac:dyDescent="0.25">
      <c r="A5310" t="s">
        <v>14242</v>
      </c>
      <c r="B5310">
        <v>1</v>
      </c>
      <c r="C5310">
        <v>30</v>
      </c>
      <c r="D5310">
        <v>30</v>
      </c>
    </row>
    <row r="5311" spans="1:4" ht="15" x14ac:dyDescent="0.25">
      <c r="A5311" t="s">
        <v>14243</v>
      </c>
      <c r="B5311">
        <v>7</v>
      </c>
      <c r="C5311">
        <v>392</v>
      </c>
      <c r="D5311">
        <v>56</v>
      </c>
    </row>
    <row r="5312" spans="1:4" ht="15" x14ac:dyDescent="0.25">
      <c r="A5312" t="s">
        <v>14241</v>
      </c>
      <c r="B5312">
        <v>1</v>
      </c>
      <c r="C5312">
        <v>30</v>
      </c>
      <c r="D5312">
        <v>30</v>
      </c>
    </row>
    <row r="5313" spans="1:4" ht="15" x14ac:dyDescent="0.25">
      <c r="A5313" t="s">
        <v>14248</v>
      </c>
      <c r="B5313">
        <v>1</v>
      </c>
      <c r="C5313">
        <v>37</v>
      </c>
      <c r="D5313">
        <v>37</v>
      </c>
    </row>
    <row r="5314" spans="1:4" ht="15" x14ac:dyDescent="0.25">
      <c r="A5314" t="s">
        <v>14249</v>
      </c>
      <c r="B5314">
        <v>1</v>
      </c>
      <c r="C5314">
        <v>37</v>
      </c>
      <c r="D5314">
        <v>37</v>
      </c>
    </row>
    <row r="5315" spans="1:4" ht="15" x14ac:dyDescent="0.25">
      <c r="A5315" t="s">
        <v>14251</v>
      </c>
      <c r="B5315">
        <v>2</v>
      </c>
      <c r="C5315">
        <v>86</v>
      </c>
      <c r="D5315">
        <v>43</v>
      </c>
    </row>
    <row r="5316" spans="1:4" ht="15" x14ac:dyDescent="0.25">
      <c r="A5316" t="s">
        <v>14252</v>
      </c>
      <c r="B5316">
        <v>1</v>
      </c>
      <c r="C5316">
        <v>37</v>
      </c>
      <c r="D5316">
        <v>37</v>
      </c>
    </row>
    <row r="5317" spans="1:4" ht="15" x14ac:dyDescent="0.25">
      <c r="A5317" t="s">
        <v>14250</v>
      </c>
      <c r="B5317">
        <v>1</v>
      </c>
      <c r="C5317">
        <v>37</v>
      </c>
      <c r="D5317">
        <v>37</v>
      </c>
    </row>
    <row r="5318" spans="1:4" ht="15" x14ac:dyDescent="0.25">
      <c r="A5318" t="s">
        <v>14260</v>
      </c>
      <c r="B5318">
        <v>1</v>
      </c>
      <c r="C5318">
        <v>36</v>
      </c>
      <c r="D5318">
        <v>36</v>
      </c>
    </row>
    <row r="5319" spans="1:4" ht="15" x14ac:dyDescent="0.25">
      <c r="A5319" t="s">
        <v>14259</v>
      </c>
      <c r="B5319">
        <v>1</v>
      </c>
      <c r="C5319">
        <v>36</v>
      </c>
      <c r="D5319">
        <v>36</v>
      </c>
    </row>
    <row r="5320" spans="1:4" ht="15" x14ac:dyDescent="0.25">
      <c r="A5320" t="s">
        <v>14264</v>
      </c>
      <c r="B5320">
        <v>4</v>
      </c>
      <c r="C5320">
        <v>76</v>
      </c>
      <c r="D5320">
        <v>19</v>
      </c>
    </row>
    <row r="5321" spans="1:4" ht="15" x14ac:dyDescent="0.25">
      <c r="A5321" t="s">
        <v>14268</v>
      </c>
      <c r="B5321">
        <v>1</v>
      </c>
      <c r="C5321">
        <v>136</v>
      </c>
      <c r="D5321">
        <v>136</v>
      </c>
    </row>
    <row r="5322" spans="1:4" ht="15" x14ac:dyDescent="0.25">
      <c r="A5322" t="s">
        <v>14269</v>
      </c>
      <c r="B5322">
        <v>1</v>
      </c>
      <c r="C5322">
        <v>136</v>
      </c>
      <c r="D5322">
        <v>136</v>
      </c>
    </row>
    <row r="5323" spans="1:4" ht="15" x14ac:dyDescent="0.25">
      <c r="A5323" t="s">
        <v>14270</v>
      </c>
      <c r="B5323">
        <v>2</v>
      </c>
      <c r="C5323">
        <v>295</v>
      </c>
      <c r="D5323">
        <v>147.5</v>
      </c>
    </row>
    <row r="5324" spans="1:4" ht="15" x14ac:dyDescent="0.25">
      <c r="A5324" t="s">
        <v>14271</v>
      </c>
      <c r="B5324">
        <v>1</v>
      </c>
      <c r="C5324">
        <v>136</v>
      </c>
      <c r="D5324">
        <v>136</v>
      </c>
    </row>
    <row r="5325" spans="1:4" ht="15" x14ac:dyDescent="0.25">
      <c r="A5325" t="s">
        <v>14278</v>
      </c>
      <c r="B5325">
        <v>1</v>
      </c>
      <c r="C5325">
        <v>19</v>
      </c>
      <c r="D5325">
        <v>19</v>
      </c>
    </row>
    <row r="5326" spans="1:4" ht="15" x14ac:dyDescent="0.25">
      <c r="A5326" t="s">
        <v>14279</v>
      </c>
      <c r="B5326">
        <v>1</v>
      </c>
      <c r="C5326">
        <v>19</v>
      </c>
      <c r="D5326">
        <v>19</v>
      </c>
    </row>
    <row r="5327" spans="1:4" ht="15" x14ac:dyDescent="0.25">
      <c r="A5327" t="s">
        <v>14283</v>
      </c>
      <c r="B5327">
        <v>1</v>
      </c>
      <c r="C5327">
        <v>5</v>
      </c>
      <c r="D5327">
        <v>5</v>
      </c>
    </row>
    <row r="5328" spans="1:4" ht="15" x14ac:dyDescent="0.25">
      <c r="A5328" t="s">
        <v>14285</v>
      </c>
      <c r="B5328">
        <v>1</v>
      </c>
      <c r="C5328">
        <v>5</v>
      </c>
      <c r="D5328">
        <v>5</v>
      </c>
    </row>
    <row r="5329" spans="1:4" ht="15" x14ac:dyDescent="0.25">
      <c r="A5329" t="s">
        <v>14286</v>
      </c>
      <c r="B5329">
        <v>1</v>
      </c>
      <c r="C5329">
        <v>5</v>
      </c>
      <c r="D5329">
        <v>5</v>
      </c>
    </row>
    <row r="5330" spans="1:4" ht="15" x14ac:dyDescent="0.25">
      <c r="A5330" t="s">
        <v>14284</v>
      </c>
      <c r="B5330">
        <v>1</v>
      </c>
      <c r="C5330">
        <v>5</v>
      </c>
      <c r="D5330">
        <v>5</v>
      </c>
    </row>
    <row r="5331" spans="1:4" ht="15" x14ac:dyDescent="0.25">
      <c r="A5331" t="s">
        <v>14289</v>
      </c>
      <c r="B5331">
        <v>1</v>
      </c>
      <c r="C5331">
        <v>76</v>
      </c>
      <c r="D5331">
        <v>76</v>
      </c>
    </row>
    <row r="5332" spans="1:4" ht="15" x14ac:dyDescent="0.25">
      <c r="A5332" t="s">
        <v>14291</v>
      </c>
      <c r="B5332">
        <v>1</v>
      </c>
      <c r="C5332">
        <v>76</v>
      </c>
      <c r="D5332">
        <v>76</v>
      </c>
    </row>
    <row r="5333" spans="1:4" ht="15" x14ac:dyDescent="0.25">
      <c r="A5333" t="s">
        <v>14290</v>
      </c>
      <c r="B5333">
        <v>2</v>
      </c>
      <c r="C5333">
        <v>151</v>
      </c>
      <c r="D5333">
        <v>75.5</v>
      </c>
    </row>
    <row r="5334" spans="1:4" ht="15" x14ac:dyDescent="0.25">
      <c r="A5334" t="s">
        <v>14295</v>
      </c>
      <c r="B5334">
        <v>2</v>
      </c>
      <c r="C5334">
        <v>75</v>
      </c>
      <c r="D5334">
        <v>37.5</v>
      </c>
    </row>
    <row r="5335" spans="1:4" ht="15" x14ac:dyDescent="0.25">
      <c r="A5335" t="s">
        <v>14296</v>
      </c>
      <c r="B5335">
        <v>1</v>
      </c>
      <c r="C5335">
        <v>8</v>
      </c>
      <c r="D5335">
        <v>8</v>
      </c>
    </row>
    <row r="5336" spans="1:4" ht="15" x14ac:dyDescent="0.25">
      <c r="A5336" t="s">
        <v>14299</v>
      </c>
      <c r="B5336">
        <v>1</v>
      </c>
      <c r="C5336">
        <v>14</v>
      </c>
      <c r="D5336">
        <v>14</v>
      </c>
    </row>
    <row r="5337" spans="1:4" ht="15" x14ac:dyDescent="0.25">
      <c r="A5337" t="s">
        <v>14300</v>
      </c>
      <c r="B5337">
        <v>1</v>
      </c>
      <c r="C5337">
        <v>14</v>
      </c>
      <c r="D5337">
        <v>14</v>
      </c>
    </row>
    <row r="5338" spans="1:4" ht="15" x14ac:dyDescent="0.25">
      <c r="A5338" t="s">
        <v>14302</v>
      </c>
      <c r="B5338">
        <v>1</v>
      </c>
      <c r="C5338">
        <v>14</v>
      </c>
      <c r="D5338">
        <v>14</v>
      </c>
    </row>
    <row r="5339" spans="1:4" ht="15" x14ac:dyDescent="0.25">
      <c r="A5339" t="s">
        <v>14303</v>
      </c>
      <c r="B5339">
        <v>1</v>
      </c>
      <c r="C5339">
        <v>14</v>
      </c>
      <c r="D5339">
        <v>14</v>
      </c>
    </row>
    <row r="5340" spans="1:4" ht="15" x14ac:dyDescent="0.25">
      <c r="A5340" t="s">
        <v>14301</v>
      </c>
      <c r="B5340">
        <v>1</v>
      </c>
      <c r="C5340">
        <v>14</v>
      </c>
      <c r="D5340">
        <v>14</v>
      </c>
    </row>
    <row r="5341" spans="1:4" ht="15" x14ac:dyDescent="0.25">
      <c r="A5341" t="s">
        <v>14308</v>
      </c>
      <c r="B5341">
        <v>1</v>
      </c>
      <c r="C5341">
        <v>11</v>
      </c>
      <c r="D5341">
        <v>11</v>
      </c>
    </row>
    <row r="5342" spans="1:4" ht="15" x14ac:dyDescent="0.25">
      <c r="A5342" t="s">
        <v>14309</v>
      </c>
      <c r="B5342">
        <v>1</v>
      </c>
      <c r="C5342">
        <v>11</v>
      </c>
      <c r="D5342">
        <v>11</v>
      </c>
    </row>
    <row r="5343" spans="1:4" ht="15" x14ac:dyDescent="0.25">
      <c r="A5343" t="s">
        <v>14307</v>
      </c>
      <c r="B5343">
        <v>1</v>
      </c>
      <c r="C5343">
        <v>11</v>
      </c>
      <c r="D5343">
        <v>11</v>
      </c>
    </row>
    <row r="5344" spans="1:4" ht="15" x14ac:dyDescent="0.25">
      <c r="A5344" t="s">
        <v>14313</v>
      </c>
      <c r="B5344">
        <v>5</v>
      </c>
      <c r="C5344">
        <v>761</v>
      </c>
      <c r="D5344">
        <v>152.19999999999999</v>
      </c>
    </row>
    <row r="5345" spans="1:4" ht="15" x14ac:dyDescent="0.25">
      <c r="A5345" t="s">
        <v>14315</v>
      </c>
      <c r="B5345">
        <v>3</v>
      </c>
      <c r="C5345">
        <v>105</v>
      </c>
      <c r="D5345">
        <v>35</v>
      </c>
    </row>
    <row r="5346" spans="1:4" ht="15" x14ac:dyDescent="0.25">
      <c r="A5346" t="s">
        <v>14314</v>
      </c>
      <c r="B5346">
        <v>1</v>
      </c>
      <c r="C5346">
        <v>23</v>
      </c>
      <c r="D5346">
        <v>23</v>
      </c>
    </row>
    <row r="5347" spans="1:4" ht="15" x14ac:dyDescent="0.25">
      <c r="A5347" t="s">
        <v>14319</v>
      </c>
      <c r="B5347">
        <v>1</v>
      </c>
      <c r="C5347">
        <v>17</v>
      </c>
      <c r="D5347">
        <v>17</v>
      </c>
    </row>
    <row r="5348" spans="1:4" ht="15" x14ac:dyDescent="0.25">
      <c r="A5348" t="s">
        <v>14321</v>
      </c>
      <c r="B5348">
        <v>1</v>
      </c>
      <c r="C5348">
        <v>17</v>
      </c>
      <c r="D5348">
        <v>17</v>
      </c>
    </row>
    <row r="5349" spans="1:4" ht="15" x14ac:dyDescent="0.25">
      <c r="A5349" t="s">
        <v>14320</v>
      </c>
      <c r="B5349">
        <v>1</v>
      </c>
      <c r="C5349">
        <v>17</v>
      </c>
      <c r="D5349">
        <v>17</v>
      </c>
    </row>
    <row r="5350" spans="1:4" ht="15" x14ac:dyDescent="0.25">
      <c r="A5350" t="s">
        <v>14325</v>
      </c>
      <c r="B5350">
        <v>1</v>
      </c>
      <c r="C5350">
        <v>59</v>
      </c>
      <c r="D5350">
        <v>59</v>
      </c>
    </row>
    <row r="5351" spans="1:4" ht="15" x14ac:dyDescent="0.25">
      <c r="A5351" t="s">
        <v>14327</v>
      </c>
      <c r="B5351">
        <v>1</v>
      </c>
      <c r="C5351">
        <v>59</v>
      </c>
      <c r="D5351">
        <v>59</v>
      </c>
    </row>
    <row r="5352" spans="1:4" ht="15" x14ac:dyDescent="0.25">
      <c r="A5352" t="s">
        <v>14328</v>
      </c>
      <c r="B5352">
        <v>1</v>
      </c>
      <c r="C5352">
        <v>59</v>
      </c>
      <c r="D5352">
        <v>59</v>
      </c>
    </row>
    <row r="5353" spans="1:4" ht="15" x14ac:dyDescent="0.25">
      <c r="A5353" t="s">
        <v>14326</v>
      </c>
      <c r="B5353">
        <v>1</v>
      </c>
      <c r="C5353">
        <v>59</v>
      </c>
      <c r="D5353">
        <v>59</v>
      </c>
    </row>
    <row r="5354" spans="1:4" ht="15" x14ac:dyDescent="0.25">
      <c r="A5354" t="s">
        <v>14332</v>
      </c>
      <c r="B5354">
        <v>1</v>
      </c>
      <c r="C5354">
        <v>125</v>
      </c>
      <c r="D5354">
        <v>125</v>
      </c>
    </row>
    <row r="5355" spans="1:4" ht="15" x14ac:dyDescent="0.25">
      <c r="A5355" t="s">
        <v>14333</v>
      </c>
      <c r="B5355">
        <v>1</v>
      </c>
      <c r="C5355">
        <v>125</v>
      </c>
      <c r="D5355">
        <v>125</v>
      </c>
    </row>
    <row r="5356" spans="1:4" ht="15" x14ac:dyDescent="0.25">
      <c r="A5356" t="s">
        <v>14335</v>
      </c>
      <c r="B5356">
        <v>1</v>
      </c>
      <c r="C5356">
        <v>125</v>
      </c>
      <c r="D5356">
        <v>125</v>
      </c>
    </row>
    <row r="5357" spans="1:4" ht="15" x14ac:dyDescent="0.25">
      <c r="A5357" t="s">
        <v>14336</v>
      </c>
      <c r="B5357">
        <v>1</v>
      </c>
      <c r="C5357">
        <v>125</v>
      </c>
      <c r="D5357">
        <v>125</v>
      </c>
    </row>
    <row r="5358" spans="1:4" ht="15" x14ac:dyDescent="0.25">
      <c r="A5358" t="s">
        <v>14334</v>
      </c>
      <c r="B5358">
        <v>1</v>
      </c>
      <c r="C5358">
        <v>125</v>
      </c>
      <c r="D5358">
        <v>125</v>
      </c>
    </row>
    <row r="5359" spans="1:4" ht="15" x14ac:dyDescent="0.25">
      <c r="A5359" t="s">
        <v>14341</v>
      </c>
      <c r="B5359">
        <v>2</v>
      </c>
      <c r="C5359">
        <v>105</v>
      </c>
      <c r="D5359">
        <v>52.5</v>
      </c>
    </row>
    <row r="5360" spans="1:4" ht="15" x14ac:dyDescent="0.25">
      <c r="A5360" t="s">
        <v>14340</v>
      </c>
      <c r="B5360">
        <v>1</v>
      </c>
      <c r="C5360">
        <v>34</v>
      </c>
      <c r="D5360">
        <v>34</v>
      </c>
    </row>
    <row r="5361" spans="1:4" ht="15" x14ac:dyDescent="0.25">
      <c r="A5361" t="s">
        <v>14344</v>
      </c>
      <c r="B5361">
        <v>4</v>
      </c>
      <c r="C5361">
        <v>156</v>
      </c>
      <c r="D5361">
        <v>39</v>
      </c>
    </row>
    <row r="5362" spans="1:4" ht="15" x14ac:dyDescent="0.25">
      <c r="A5362" t="s">
        <v>14345</v>
      </c>
      <c r="B5362">
        <v>4</v>
      </c>
      <c r="C5362">
        <v>156</v>
      </c>
      <c r="D5362">
        <v>39</v>
      </c>
    </row>
    <row r="5363" spans="1:4" ht="15" x14ac:dyDescent="0.25">
      <c r="A5363" t="s">
        <v>14347</v>
      </c>
      <c r="B5363">
        <v>5</v>
      </c>
      <c r="C5363">
        <v>224</v>
      </c>
      <c r="D5363">
        <v>44.8</v>
      </c>
    </row>
    <row r="5364" spans="1:4" ht="15" x14ac:dyDescent="0.25">
      <c r="A5364" t="s">
        <v>14348</v>
      </c>
      <c r="B5364">
        <v>4</v>
      </c>
      <c r="C5364">
        <v>156</v>
      </c>
      <c r="D5364">
        <v>39</v>
      </c>
    </row>
    <row r="5365" spans="1:4" ht="15" x14ac:dyDescent="0.25">
      <c r="A5365" t="s">
        <v>14346</v>
      </c>
      <c r="B5365">
        <v>4</v>
      </c>
      <c r="C5365">
        <v>156</v>
      </c>
      <c r="D5365">
        <v>39</v>
      </c>
    </row>
    <row r="5366" spans="1:4" ht="15" x14ac:dyDescent="0.25">
      <c r="A5366" t="s">
        <v>14352</v>
      </c>
      <c r="B5366">
        <v>1</v>
      </c>
      <c r="C5366">
        <v>10</v>
      </c>
      <c r="D5366">
        <v>10</v>
      </c>
    </row>
    <row r="5367" spans="1:4" ht="15" x14ac:dyDescent="0.25">
      <c r="A5367" t="s">
        <v>14354</v>
      </c>
      <c r="B5367">
        <v>1</v>
      </c>
      <c r="C5367">
        <v>10</v>
      </c>
      <c r="D5367">
        <v>10</v>
      </c>
    </row>
    <row r="5368" spans="1:4" ht="15" x14ac:dyDescent="0.25">
      <c r="A5368" t="s">
        <v>14353</v>
      </c>
      <c r="B5368">
        <v>1</v>
      </c>
      <c r="C5368">
        <v>10</v>
      </c>
      <c r="D5368">
        <v>10</v>
      </c>
    </row>
    <row r="5369" spans="1:4" ht="15" x14ac:dyDescent="0.25">
      <c r="A5369" t="s">
        <v>14361</v>
      </c>
      <c r="B5369">
        <v>2</v>
      </c>
      <c r="C5369">
        <v>47</v>
      </c>
      <c r="D5369">
        <v>23.5</v>
      </c>
    </row>
    <row r="5370" spans="1:4" ht="15" x14ac:dyDescent="0.25">
      <c r="A5370" t="s">
        <v>14362</v>
      </c>
      <c r="B5370">
        <v>1</v>
      </c>
      <c r="C5370">
        <v>19</v>
      </c>
      <c r="D5370">
        <v>19</v>
      </c>
    </row>
    <row r="5371" spans="1:4" ht="15" x14ac:dyDescent="0.25">
      <c r="A5371" t="s">
        <v>14360</v>
      </c>
      <c r="B5371">
        <v>1</v>
      </c>
      <c r="C5371">
        <v>19</v>
      </c>
      <c r="D5371">
        <v>19</v>
      </c>
    </row>
    <row r="5372" spans="1:4" ht="15" x14ac:dyDescent="0.25">
      <c r="A5372" t="s">
        <v>14369</v>
      </c>
      <c r="B5372">
        <v>1</v>
      </c>
      <c r="C5372">
        <v>15</v>
      </c>
      <c r="D5372">
        <v>15</v>
      </c>
    </row>
    <row r="5373" spans="1:4" ht="15" x14ac:dyDescent="0.25">
      <c r="A5373" t="s">
        <v>14370</v>
      </c>
      <c r="B5373">
        <v>1</v>
      </c>
      <c r="C5373">
        <v>15</v>
      </c>
      <c r="D5373">
        <v>15</v>
      </c>
    </row>
    <row r="5374" spans="1:4" ht="15" x14ac:dyDescent="0.25">
      <c r="A5374" t="s">
        <v>14371</v>
      </c>
      <c r="B5374">
        <v>1</v>
      </c>
      <c r="C5374">
        <v>15</v>
      </c>
      <c r="D5374">
        <v>15</v>
      </c>
    </row>
    <row r="5375" spans="1:4" ht="15" x14ac:dyDescent="0.25">
      <c r="A5375" t="s">
        <v>14374</v>
      </c>
      <c r="B5375">
        <v>1</v>
      </c>
      <c r="C5375">
        <v>1104</v>
      </c>
      <c r="D5375">
        <v>1104</v>
      </c>
    </row>
    <row r="5376" spans="1:4" ht="15" x14ac:dyDescent="0.25">
      <c r="A5376" t="s">
        <v>14375</v>
      </c>
      <c r="B5376">
        <v>1</v>
      </c>
      <c r="C5376">
        <v>1104</v>
      </c>
      <c r="D5376">
        <v>1104</v>
      </c>
    </row>
    <row r="5377" spans="1:4" ht="15" x14ac:dyDescent="0.25">
      <c r="A5377" t="s">
        <v>14378</v>
      </c>
      <c r="B5377">
        <v>1</v>
      </c>
      <c r="C5377">
        <v>31</v>
      </c>
      <c r="D5377">
        <v>31</v>
      </c>
    </row>
    <row r="5378" spans="1:4" ht="15" x14ac:dyDescent="0.25">
      <c r="A5378" t="s">
        <v>14379</v>
      </c>
      <c r="B5378">
        <v>1</v>
      </c>
      <c r="C5378">
        <v>31</v>
      </c>
      <c r="D5378">
        <v>31</v>
      </c>
    </row>
    <row r="5379" spans="1:4" ht="15" x14ac:dyDescent="0.25">
      <c r="A5379" t="s">
        <v>14380</v>
      </c>
      <c r="B5379">
        <v>1</v>
      </c>
      <c r="C5379">
        <v>31</v>
      </c>
      <c r="D5379">
        <v>31</v>
      </c>
    </row>
    <row r="5380" spans="1:4" ht="15" x14ac:dyDescent="0.25">
      <c r="A5380" t="s">
        <v>14384</v>
      </c>
      <c r="B5380">
        <v>1</v>
      </c>
      <c r="C5380">
        <v>5</v>
      </c>
      <c r="D5380">
        <v>5</v>
      </c>
    </row>
    <row r="5381" spans="1:4" ht="15" x14ac:dyDescent="0.25">
      <c r="A5381" t="s">
        <v>14385</v>
      </c>
      <c r="B5381">
        <v>1</v>
      </c>
      <c r="C5381">
        <v>5</v>
      </c>
      <c r="D5381">
        <v>5</v>
      </c>
    </row>
    <row r="5382" spans="1:4" ht="15" x14ac:dyDescent="0.25">
      <c r="A5382" t="s">
        <v>14389</v>
      </c>
      <c r="B5382">
        <v>1</v>
      </c>
      <c r="C5382">
        <v>22</v>
      </c>
      <c r="D5382">
        <v>22</v>
      </c>
    </row>
    <row r="5383" spans="1:4" ht="15" x14ac:dyDescent="0.25">
      <c r="A5383" t="s">
        <v>14390</v>
      </c>
      <c r="B5383">
        <v>1</v>
      </c>
      <c r="C5383">
        <v>22</v>
      </c>
      <c r="D5383">
        <v>22</v>
      </c>
    </row>
    <row r="5384" spans="1:4" ht="15" x14ac:dyDescent="0.25">
      <c r="A5384" t="s">
        <v>14392</v>
      </c>
      <c r="B5384">
        <v>1</v>
      </c>
      <c r="C5384">
        <v>22</v>
      </c>
      <c r="D5384">
        <v>22</v>
      </c>
    </row>
    <row r="5385" spans="1:4" ht="15" x14ac:dyDescent="0.25">
      <c r="A5385" t="s">
        <v>14393</v>
      </c>
      <c r="B5385">
        <v>1</v>
      </c>
      <c r="C5385">
        <v>22</v>
      </c>
      <c r="D5385">
        <v>22</v>
      </c>
    </row>
    <row r="5386" spans="1:4" ht="15" x14ac:dyDescent="0.25">
      <c r="A5386" t="s">
        <v>14391</v>
      </c>
      <c r="B5386">
        <v>2</v>
      </c>
      <c r="C5386">
        <v>41</v>
      </c>
      <c r="D5386">
        <v>20.5</v>
      </c>
    </row>
    <row r="5387" spans="1:4" ht="15" x14ac:dyDescent="0.25">
      <c r="A5387" t="s">
        <v>14397</v>
      </c>
      <c r="B5387">
        <v>1</v>
      </c>
      <c r="C5387">
        <v>24</v>
      </c>
      <c r="D5387">
        <v>24</v>
      </c>
    </row>
    <row r="5388" spans="1:4" ht="15" x14ac:dyDescent="0.25">
      <c r="A5388" t="s">
        <v>14398</v>
      </c>
      <c r="B5388">
        <v>1</v>
      </c>
      <c r="C5388">
        <v>24</v>
      </c>
      <c r="D5388">
        <v>24</v>
      </c>
    </row>
    <row r="5389" spans="1:4" ht="15" x14ac:dyDescent="0.25">
      <c r="A5389" t="s">
        <v>14399</v>
      </c>
      <c r="B5389">
        <v>1</v>
      </c>
      <c r="C5389">
        <v>24</v>
      </c>
      <c r="D5389">
        <v>24</v>
      </c>
    </row>
    <row r="5390" spans="1:4" ht="15" x14ac:dyDescent="0.25">
      <c r="A5390" t="s">
        <v>14402</v>
      </c>
      <c r="B5390">
        <v>4</v>
      </c>
      <c r="C5390">
        <v>160</v>
      </c>
      <c r="D5390">
        <v>40</v>
      </c>
    </row>
    <row r="5391" spans="1:4" ht="15" x14ac:dyDescent="0.25">
      <c r="A5391" t="s">
        <v>14406</v>
      </c>
      <c r="B5391">
        <v>2</v>
      </c>
      <c r="C5391">
        <v>71</v>
      </c>
      <c r="D5391">
        <v>35.5</v>
      </c>
    </row>
    <row r="5392" spans="1:4" ht="15" x14ac:dyDescent="0.25">
      <c r="A5392" t="s">
        <v>14408</v>
      </c>
      <c r="B5392">
        <v>1</v>
      </c>
      <c r="C5392">
        <v>6</v>
      </c>
      <c r="D5392">
        <v>6</v>
      </c>
    </row>
    <row r="5393" spans="1:4" ht="15" x14ac:dyDescent="0.25">
      <c r="A5393" t="s">
        <v>14407</v>
      </c>
      <c r="B5393">
        <v>1</v>
      </c>
      <c r="C5393">
        <v>6</v>
      </c>
      <c r="D5393">
        <v>6</v>
      </c>
    </row>
    <row r="5394" spans="1:4" ht="15" x14ac:dyDescent="0.25">
      <c r="A5394" t="s">
        <v>14412</v>
      </c>
      <c r="B5394">
        <v>2</v>
      </c>
      <c r="C5394">
        <v>31</v>
      </c>
      <c r="D5394">
        <v>15.5</v>
      </c>
    </row>
    <row r="5395" spans="1:4" ht="15" x14ac:dyDescent="0.25">
      <c r="A5395" t="s">
        <v>14421</v>
      </c>
      <c r="B5395">
        <v>1</v>
      </c>
      <c r="C5395">
        <v>29</v>
      </c>
      <c r="D5395">
        <v>29</v>
      </c>
    </row>
    <row r="5396" spans="1:4" ht="15" x14ac:dyDescent="0.25">
      <c r="A5396" t="s">
        <v>14420</v>
      </c>
      <c r="B5396">
        <v>1</v>
      </c>
      <c r="C5396">
        <v>29</v>
      </c>
      <c r="D5396">
        <v>29</v>
      </c>
    </row>
    <row r="5397" spans="1:4" ht="15" x14ac:dyDescent="0.25">
      <c r="A5397" t="s">
        <v>14425</v>
      </c>
      <c r="B5397">
        <v>1</v>
      </c>
      <c r="C5397">
        <v>19</v>
      </c>
      <c r="D5397">
        <v>19</v>
      </c>
    </row>
    <row r="5398" spans="1:4" ht="15" x14ac:dyDescent="0.25">
      <c r="A5398" t="s">
        <v>14426</v>
      </c>
      <c r="B5398">
        <v>1</v>
      </c>
      <c r="C5398">
        <v>19</v>
      </c>
      <c r="D5398">
        <v>19</v>
      </c>
    </row>
    <row r="5399" spans="1:4" ht="15" x14ac:dyDescent="0.25">
      <c r="A5399" t="s">
        <v>14428</v>
      </c>
      <c r="B5399">
        <v>1</v>
      </c>
      <c r="C5399">
        <v>19</v>
      </c>
      <c r="D5399">
        <v>19</v>
      </c>
    </row>
    <row r="5400" spans="1:4" ht="15" x14ac:dyDescent="0.25">
      <c r="A5400" t="s">
        <v>14427</v>
      </c>
      <c r="B5400">
        <v>1</v>
      </c>
      <c r="C5400">
        <v>19</v>
      </c>
      <c r="D5400">
        <v>19</v>
      </c>
    </row>
    <row r="5401" spans="1:4" ht="15" x14ac:dyDescent="0.25">
      <c r="A5401" t="s">
        <v>14432</v>
      </c>
      <c r="B5401">
        <v>1</v>
      </c>
      <c r="C5401">
        <v>55</v>
      </c>
      <c r="D5401">
        <v>55</v>
      </c>
    </row>
    <row r="5402" spans="1:4" ht="15" x14ac:dyDescent="0.25">
      <c r="A5402" t="s">
        <v>14438</v>
      </c>
      <c r="B5402">
        <v>1</v>
      </c>
      <c r="C5402">
        <v>12</v>
      </c>
      <c r="D5402">
        <v>12</v>
      </c>
    </row>
    <row r="5403" spans="1:4" ht="15" x14ac:dyDescent="0.25">
      <c r="A5403" t="s">
        <v>14439</v>
      </c>
      <c r="B5403">
        <v>1</v>
      </c>
      <c r="C5403">
        <v>12</v>
      </c>
      <c r="D5403">
        <v>12</v>
      </c>
    </row>
    <row r="5404" spans="1:4" ht="15" x14ac:dyDescent="0.25">
      <c r="A5404" t="s">
        <v>14441</v>
      </c>
      <c r="B5404">
        <v>1</v>
      </c>
      <c r="C5404">
        <v>12</v>
      </c>
      <c r="D5404">
        <v>12</v>
      </c>
    </row>
    <row r="5405" spans="1:4" ht="15" x14ac:dyDescent="0.25">
      <c r="A5405" t="s">
        <v>14442</v>
      </c>
      <c r="B5405">
        <v>1</v>
      </c>
      <c r="C5405">
        <v>12</v>
      </c>
      <c r="D5405">
        <v>12</v>
      </c>
    </row>
    <row r="5406" spans="1:4" ht="15" x14ac:dyDescent="0.25">
      <c r="A5406" t="s">
        <v>14440</v>
      </c>
      <c r="B5406">
        <v>1</v>
      </c>
      <c r="C5406">
        <v>12</v>
      </c>
      <c r="D5406">
        <v>12</v>
      </c>
    </row>
    <row r="5407" spans="1:4" ht="15" x14ac:dyDescent="0.25">
      <c r="A5407" t="s">
        <v>14447</v>
      </c>
      <c r="B5407">
        <v>2</v>
      </c>
      <c r="C5407">
        <v>43</v>
      </c>
      <c r="D5407">
        <v>21.5</v>
      </c>
    </row>
    <row r="5408" spans="1:4" ht="15" x14ac:dyDescent="0.25">
      <c r="A5408" t="s">
        <v>14449</v>
      </c>
      <c r="B5408">
        <v>1</v>
      </c>
      <c r="C5408">
        <v>31</v>
      </c>
      <c r="D5408">
        <v>31</v>
      </c>
    </row>
    <row r="5409" spans="1:4" ht="15" x14ac:dyDescent="0.25">
      <c r="A5409" t="s">
        <v>14448</v>
      </c>
      <c r="B5409">
        <v>1</v>
      </c>
      <c r="C5409">
        <v>31</v>
      </c>
      <c r="D5409">
        <v>31</v>
      </c>
    </row>
    <row r="5410" spans="1:4" ht="15" x14ac:dyDescent="0.25">
      <c r="A5410" t="s">
        <v>14453</v>
      </c>
      <c r="B5410">
        <v>1</v>
      </c>
      <c r="C5410">
        <v>27</v>
      </c>
      <c r="D5410">
        <v>27</v>
      </c>
    </row>
    <row r="5411" spans="1:4" ht="15" x14ac:dyDescent="0.25">
      <c r="A5411" t="s">
        <v>14454</v>
      </c>
      <c r="B5411">
        <v>1</v>
      </c>
      <c r="C5411">
        <v>27</v>
      </c>
      <c r="D5411">
        <v>27</v>
      </c>
    </row>
    <row r="5412" spans="1:4" ht="15" x14ac:dyDescent="0.25">
      <c r="A5412" t="s">
        <v>14456</v>
      </c>
      <c r="B5412">
        <v>1</v>
      </c>
      <c r="C5412">
        <v>27</v>
      </c>
      <c r="D5412">
        <v>27</v>
      </c>
    </row>
    <row r="5413" spans="1:4" ht="15" x14ac:dyDescent="0.25">
      <c r="A5413" t="s">
        <v>14457</v>
      </c>
      <c r="B5413">
        <v>1</v>
      </c>
      <c r="C5413">
        <v>27</v>
      </c>
      <c r="D5413">
        <v>27</v>
      </c>
    </row>
    <row r="5414" spans="1:4" ht="15" x14ac:dyDescent="0.25">
      <c r="A5414" t="s">
        <v>14455</v>
      </c>
      <c r="B5414">
        <v>1</v>
      </c>
      <c r="C5414">
        <v>27</v>
      </c>
      <c r="D5414">
        <v>27</v>
      </c>
    </row>
    <row r="5415" spans="1:4" ht="15" x14ac:dyDescent="0.25">
      <c r="A5415" t="s">
        <v>14465</v>
      </c>
      <c r="B5415">
        <v>1</v>
      </c>
      <c r="C5415">
        <v>61</v>
      </c>
      <c r="D5415">
        <v>61</v>
      </c>
    </row>
    <row r="5416" spans="1:4" ht="15" x14ac:dyDescent="0.25">
      <c r="A5416" t="s">
        <v>14466</v>
      </c>
      <c r="B5416">
        <v>3</v>
      </c>
      <c r="C5416">
        <v>117</v>
      </c>
      <c r="D5416">
        <v>39</v>
      </c>
    </row>
    <row r="5417" spans="1:4" ht="15" x14ac:dyDescent="0.25">
      <c r="A5417" t="s">
        <v>14470</v>
      </c>
      <c r="B5417">
        <v>3</v>
      </c>
      <c r="C5417">
        <v>92</v>
      </c>
      <c r="D5417">
        <v>30.666666666666668</v>
      </c>
    </row>
    <row r="5418" spans="1:4" ht="15" x14ac:dyDescent="0.25">
      <c r="A5418" t="s">
        <v>14474</v>
      </c>
      <c r="B5418">
        <v>1</v>
      </c>
      <c r="C5418">
        <v>6</v>
      </c>
      <c r="D5418">
        <v>6</v>
      </c>
    </row>
    <row r="5419" spans="1:4" ht="15" x14ac:dyDescent="0.25">
      <c r="A5419" t="s">
        <v>14476</v>
      </c>
      <c r="B5419">
        <v>1</v>
      </c>
      <c r="C5419">
        <v>6</v>
      </c>
      <c r="D5419">
        <v>6</v>
      </c>
    </row>
    <row r="5420" spans="1:4" ht="15" x14ac:dyDescent="0.25">
      <c r="A5420" t="s">
        <v>14475</v>
      </c>
      <c r="B5420">
        <v>1</v>
      </c>
      <c r="C5420">
        <v>6</v>
      </c>
      <c r="D5420">
        <v>6</v>
      </c>
    </row>
    <row r="5421" spans="1:4" ht="15" x14ac:dyDescent="0.25">
      <c r="A5421" t="s">
        <v>14480</v>
      </c>
      <c r="B5421">
        <v>3</v>
      </c>
      <c r="C5421">
        <v>4610</v>
      </c>
      <c r="D5421">
        <v>1536.6666666666667</v>
      </c>
    </row>
    <row r="5422" spans="1:4" ht="15" x14ac:dyDescent="0.25">
      <c r="A5422" t="s">
        <v>14481</v>
      </c>
      <c r="B5422">
        <v>2</v>
      </c>
      <c r="C5422">
        <v>4592</v>
      </c>
      <c r="D5422">
        <v>2296</v>
      </c>
    </row>
    <row r="5423" spans="1:4" ht="15" x14ac:dyDescent="0.25">
      <c r="A5423" t="s">
        <v>14483</v>
      </c>
      <c r="B5423">
        <v>1</v>
      </c>
      <c r="C5423">
        <v>4555</v>
      </c>
      <c r="D5423">
        <v>4555</v>
      </c>
    </row>
    <row r="5424" spans="1:4" ht="15" x14ac:dyDescent="0.25">
      <c r="A5424" t="s">
        <v>14484</v>
      </c>
      <c r="B5424">
        <v>1</v>
      </c>
      <c r="C5424">
        <v>4555</v>
      </c>
      <c r="D5424">
        <v>4555</v>
      </c>
    </row>
    <row r="5425" spans="1:4" ht="15" x14ac:dyDescent="0.25">
      <c r="A5425" t="s">
        <v>14482</v>
      </c>
      <c r="B5425">
        <v>1</v>
      </c>
      <c r="C5425">
        <v>4555</v>
      </c>
      <c r="D5425">
        <v>4555</v>
      </c>
    </row>
    <row r="5426" spans="1:4" ht="15" x14ac:dyDescent="0.25">
      <c r="A5426" t="s">
        <v>14488</v>
      </c>
      <c r="B5426">
        <v>1</v>
      </c>
      <c r="C5426">
        <v>65</v>
      </c>
      <c r="D5426">
        <v>65</v>
      </c>
    </row>
    <row r="5427" spans="1:4" ht="15" x14ac:dyDescent="0.25">
      <c r="A5427" t="s">
        <v>14489</v>
      </c>
      <c r="B5427">
        <v>1</v>
      </c>
      <c r="C5427">
        <v>65</v>
      </c>
      <c r="D5427">
        <v>65</v>
      </c>
    </row>
    <row r="5428" spans="1:4" ht="15" x14ac:dyDescent="0.25">
      <c r="A5428" t="s">
        <v>14490</v>
      </c>
      <c r="B5428">
        <v>2</v>
      </c>
      <c r="C5428">
        <v>99</v>
      </c>
      <c r="D5428">
        <v>49.5</v>
      </c>
    </row>
    <row r="5429" spans="1:4" ht="15" x14ac:dyDescent="0.25">
      <c r="A5429" t="s">
        <v>14497</v>
      </c>
      <c r="B5429">
        <v>1</v>
      </c>
      <c r="C5429">
        <v>29</v>
      </c>
      <c r="D5429">
        <v>29</v>
      </c>
    </row>
    <row r="5430" spans="1:4" ht="15" x14ac:dyDescent="0.25">
      <c r="A5430" t="s">
        <v>14498</v>
      </c>
      <c r="B5430">
        <v>1</v>
      </c>
      <c r="C5430">
        <v>29</v>
      </c>
      <c r="D5430">
        <v>29</v>
      </c>
    </row>
    <row r="5431" spans="1:4" ht="15" x14ac:dyDescent="0.25">
      <c r="A5431" t="s">
        <v>14503</v>
      </c>
      <c r="B5431">
        <v>1</v>
      </c>
      <c r="C5431">
        <v>40</v>
      </c>
      <c r="D5431">
        <v>40</v>
      </c>
    </row>
    <row r="5432" spans="1:4" ht="15" x14ac:dyDescent="0.25">
      <c r="A5432" t="s">
        <v>14502</v>
      </c>
      <c r="B5432">
        <v>2</v>
      </c>
      <c r="C5432">
        <v>131</v>
      </c>
      <c r="D5432">
        <v>65.5</v>
      </c>
    </row>
    <row r="5433" spans="1:4" ht="15" x14ac:dyDescent="0.25">
      <c r="A5433" t="s">
        <v>14507</v>
      </c>
      <c r="B5433">
        <v>2</v>
      </c>
      <c r="C5433">
        <v>22</v>
      </c>
      <c r="D5433">
        <v>11</v>
      </c>
    </row>
    <row r="5434" spans="1:4" ht="15" x14ac:dyDescent="0.25">
      <c r="A5434" t="s">
        <v>14508</v>
      </c>
      <c r="B5434">
        <v>2</v>
      </c>
      <c r="C5434">
        <v>50</v>
      </c>
      <c r="D5434">
        <v>25</v>
      </c>
    </row>
    <row r="5435" spans="1:4" ht="15" x14ac:dyDescent="0.25">
      <c r="A5435" t="s">
        <v>14517</v>
      </c>
      <c r="B5435">
        <v>4</v>
      </c>
      <c r="C5435">
        <v>224</v>
      </c>
      <c r="D5435">
        <v>56</v>
      </c>
    </row>
    <row r="5436" spans="1:4" ht="15" x14ac:dyDescent="0.25">
      <c r="A5436" t="s">
        <v>14519</v>
      </c>
      <c r="B5436">
        <v>1</v>
      </c>
      <c r="C5436">
        <v>120</v>
      </c>
      <c r="D5436">
        <v>120</v>
      </c>
    </row>
    <row r="5437" spans="1:4" ht="15" x14ac:dyDescent="0.25">
      <c r="A5437" t="s">
        <v>14518</v>
      </c>
      <c r="B5437">
        <v>1</v>
      </c>
      <c r="C5437">
        <v>120</v>
      </c>
      <c r="D5437">
        <v>120</v>
      </c>
    </row>
    <row r="5438" spans="1:4" ht="15" x14ac:dyDescent="0.25">
      <c r="A5438" t="s">
        <v>14527</v>
      </c>
      <c r="B5438">
        <v>1</v>
      </c>
      <c r="C5438">
        <v>11</v>
      </c>
      <c r="D5438">
        <v>11</v>
      </c>
    </row>
    <row r="5439" spans="1:4" ht="15" x14ac:dyDescent="0.25">
      <c r="A5439" t="s">
        <v>14526</v>
      </c>
      <c r="B5439">
        <v>1</v>
      </c>
      <c r="C5439">
        <v>11</v>
      </c>
      <c r="D5439">
        <v>11</v>
      </c>
    </row>
    <row r="5440" spans="1:4" ht="15" x14ac:dyDescent="0.25">
      <c r="A5440" t="s">
        <v>14530</v>
      </c>
      <c r="B5440">
        <v>1</v>
      </c>
      <c r="C5440">
        <v>340</v>
      </c>
      <c r="D5440">
        <v>340</v>
      </c>
    </row>
    <row r="5441" spans="1:4" ht="15" x14ac:dyDescent="0.25">
      <c r="A5441" t="s">
        <v>14532</v>
      </c>
      <c r="B5441">
        <v>1</v>
      </c>
      <c r="C5441">
        <v>340</v>
      </c>
      <c r="D5441">
        <v>340</v>
      </c>
    </row>
    <row r="5442" spans="1:4" ht="15" x14ac:dyDescent="0.25">
      <c r="A5442" t="s">
        <v>14531</v>
      </c>
      <c r="B5442">
        <v>1</v>
      </c>
      <c r="C5442">
        <v>340</v>
      </c>
      <c r="D5442">
        <v>340</v>
      </c>
    </row>
    <row r="5443" spans="1:4" ht="15" x14ac:dyDescent="0.25">
      <c r="A5443" t="s">
        <v>14540</v>
      </c>
      <c r="B5443">
        <v>1</v>
      </c>
      <c r="C5443">
        <v>52</v>
      </c>
      <c r="D5443">
        <v>52</v>
      </c>
    </row>
    <row r="5444" spans="1:4" ht="15" x14ac:dyDescent="0.25">
      <c r="A5444" t="s">
        <v>14542</v>
      </c>
      <c r="B5444">
        <v>1</v>
      </c>
      <c r="C5444">
        <v>52</v>
      </c>
      <c r="D5444">
        <v>52</v>
      </c>
    </row>
    <row r="5445" spans="1:4" ht="15" x14ac:dyDescent="0.25">
      <c r="A5445" t="s">
        <v>14541</v>
      </c>
      <c r="B5445">
        <v>2</v>
      </c>
      <c r="C5445">
        <v>91</v>
      </c>
      <c r="D5445">
        <v>45.5</v>
      </c>
    </row>
    <row r="5446" spans="1:4" ht="15" x14ac:dyDescent="0.25">
      <c r="A5446" t="s">
        <v>14546</v>
      </c>
      <c r="B5446">
        <v>2</v>
      </c>
      <c r="C5446">
        <v>138</v>
      </c>
      <c r="D5446">
        <v>69</v>
      </c>
    </row>
    <row r="5447" spans="1:4" ht="15" x14ac:dyDescent="0.25">
      <c r="A5447" t="s">
        <v>14550</v>
      </c>
      <c r="B5447">
        <v>1</v>
      </c>
      <c r="C5447">
        <v>12</v>
      </c>
      <c r="D5447">
        <v>12</v>
      </c>
    </row>
    <row r="5448" spans="1:4" ht="15" x14ac:dyDescent="0.25">
      <c r="A5448" t="s">
        <v>14552</v>
      </c>
      <c r="B5448">
        <v>1</v>
      </c>
      <c r="C5448">
        <v>12</v>
      </c>
      <c r="D5448">
        <v>12</v>
      </c>
    </row>
    <row r="5449" spans="1:4" ht="15" x14ac:dyDescent="0.25">
      <c r="A5449" t="s">
        <v>14551</v>
      </c>
      <c r="B5449">
        <v>1</v>
      </c>
      <c r="C5449">
        <v>12</v>
      </c>
      <c r="D5449">
        <v>12</v>
      </c>
    </row>
    <row r="5450" spans="1:4" ht="15" x14ac:dyDescent="0.25">
      <c r="A5450" t="s">
        <v>14556</v>
      </c>
      <c r="B5450">
        <v>2</v>
      </c>
      <c r="C5450">
        <v>41</v>
      </c>
      <c r="D5450">
        <v>20.5</v>
      </c>
    </row>
    <row r="5451" spans="1:4" ht="15" x14ac:dyDescent="0.25">
      <c r="A5451" t="s">
        <v>14560</v>
      </c>
      <c r="B5451">
        <v>2</v>
      </c>
      <c r="C5451">
        <v>121</v>
      </c>
      <c r="D5451">
        <v>60.5</v>
      </c>
    </row>
    <row r="5452" spans="1:4" ht="15" x14ac:dyDescent="0.25">
      <c r="A5452" t="s">
        <v>14561</v>
      </c>
      <c r="B5452">
        <v>1</v>
      </c>
      <c r="C5452">
        <v>108</v>
      </c>
      <c r="D5452">
        <v>108</v>
      </c>
    </row>
    <row r="5453" spans="1:4" ht="15" x14ac:dyDescent="0.25">
      <c r="A5453" t="s">
        <v>14562</v>
      </c>
      <c r="B5453">
        <v>1</v>
      </c>
      <c r="C5453">
        <v>108</v>
      </c>
      <c r="D5453">
        <v>108</v>
      </c>
    </row>
    <row r="5454" spans="1:4" ht="15" x14ac:dyDescent="0.25">
      <c r="A5454" t="s">
        <v>14566</v>
      </c>
      <c r="B5454">
        <v>1</v>
      </c>
      <c r="C5454">
        <v>19</v>
      </c>
      <c r="D5454">
        <v>19</v>
      </c>
    </row>
    <row r="5455" spans="1:4" ht="15" x14ac:dyDescent="0.25">
      <c r="A5455" t="s">
        <v>14565</v>
      </c>
      <c r="B5455">
        <v>3</v>
      </c>
      <c r="C5455">
        <v>68</v>
      </c>
      <c r="D5455">
        <v>22.666666666666668</v>
      </c>
    </row>
    <row r="5456" spans="1:4" ht="15" x14ac:dyDescent="0.25">
      <c r="A5456" t="s">
        <v>14570</v>
      </c>
      <c r="B5456">
        <v>1</v>
      </c>
      <c r="C5456">
        <v>45</v>
      </c>
      <c r="D5456">
        <v>45</v>
      </c>
    </row>
    <row r="5457" spans="1:4" ht="15" x14ac:dyDescent="0.25">
      <c r="A5457" t="s">
        <v>14571</v>
      </c>
      <c r="B5457">
        <v>1</v>
      </c>
      <c r="C5457">
        <v>45</v>
      </c>
      <c r="D5457">
        <v>45</v>
      </c>
    </row>
    <row r="5458" spans="1:4" ht="15" x14ac:dyDescent="0.25">
      <c r="A5458" t="s">
        <v>14573</v>
      </c>
      <c r="B5458">
        <v>2</v>
      </c>
      <c r="C5458">
        <v>112</v>
      </c>
      <c r="D5458">
        <v>56</v>
      </c>
    </row>
    <row r="5459" spans="1:4" ht="15" x14ac:dyDescent="0.25">
      <c r="A5459" t="s">
        <v>14574</v>
      </c>
      <c r="B5459">
        <v>1</v>
      </c>
      <c r="C5459">
        <v>45</v>
      </c>
      <c r="D5459">
        <v>45</v>
      </c>
    </row>
    <row r="5460" spans="1:4" ht="15" x14ac:dyDescent="0.25">
      <c r="A5460" t="s">
        <v>14572</v>
      </c>
      <c r="B5460">
        <v>1</v>
      </c>
      <c r="C5460">
        <v>45</v>
      </c>
      <c r="D5460">
        <v>45</v>
      </c>
    </row>
    <row r="5461" spans="1:4" ht="15" x14ac:dyDescent="0.25">
      <c r="A5461" t="s">
        <v>14579</v>
      </c>
      <c r="B5461">
        <v>2</v>
      </c>
      <c r="C5461">
        <v>53</v>
      </c>
      <c r="D5461">
        <v>26.5</v>
      </c>
    </row>
    <row r="5462" spans="1:4" ht="15" x14ac:dyDescent="0.25">
      <c r="A5462" t="s">
        <v>14580</v>
      </c>
      <c r="B5462">
        <v>1</v>
      </c>
      <c r="C5462">
        <v>41</v>
      </c>
      <c r="D5462">
        <v>41</v>
      </c>
    </row>
    <row r="5463" spans="1:4" ht="15" x14ac:dyDescent="0.25">
      <c r="A5463" t="s">
        <v>14581</v>
      </c>
      <c r="B5463">
        <v>1</v>
      </c>
      <c r="C5463">
        <v>41</v>
      </c>
      <c r="D5463">
        <v>41</v>
      </c>
    </row>
    <row r="5464" spans="1:4" ht="15" x14ac:dyDescent="0.25">
      <c r="A5464" t="s">
        <v>14584</v>
      </c>
      <c r="B5464">
        <v>1</v>
      </c>
      <c r="C5464">
        <v>13</v>
      </c>
      <c r="D5464">
        <v>13</v>
      </c>
    </row>
    <row r="5465" spans="1:4" ht="15" x14ac:dyDescent="0.25">
      <c r="A5465" t="s">
        <v>14585</v>
      </c>
      <c r="B5465">
        <v>1</v>
      </c>
      <c r="C5465">
        <v>13</v>
      </c>
      <c r="D5465">
        <v>13</v>
      </c>
    </row>
    <row r="5466" spans="1:4" ht="15" x14ac:dyDescent="0.25">
      <c r="A5466" t="s">
        <v>14586</v>
      </c>
      <c r="B5466">
        <v>1</v>
      </c>
      <c r="C5466">
        <v>13</v>
      </c>
      <c r="D5466">
        <v>13</v>
      </c>
    </row>
    <row r="5467" spans="1:4" ht="15" x14ac:dyDescent="0.25">
      <c r="A5467" t="s">
        <v>14592</v>
      </c>
      <c r="B5467">
        <v>1</v>
      </c>
      <c r="C5467">
        <v>10</v>
      </c>
      <c r="D5467">
        <v>10</v>
      </c>
    </row>
    <row r="5468" spans="1:4" ht="15" x14ac:dyDescent="0.25">
      <c r="A5468" t="s">
        <v>14595</v>
      </c>
      <c r="B5468">
        <v>1</v>
      </c>
      <c r="C5468">
        <v>68</v>
      </c>
      <c r="D5468">
        <v>68</v>
      </c>
    </row>
    <row r="5469" spans="1:4" ht="15" x14ac:dyDescent="0.25">
      <c r="A5469" t="s">
        <v>14607</v>
      </c>
      <c r="B5469">
        <v>6</v>
      </c>
      <c r="C5469">
        <v>406</v>
      </c>
      <c r="D5469">
        <v>67.666666666666671</v>
      </c>
    </row>
    <row r="5470" spans="1:4" ht="15" x14ac:dyDescent="0.25">
      <c r="A5470" t="s">
        <v>14611</v>
      </c>
      <c r="B5470">
        <v>1</v>
      </c>
      <c r="C5470">
        <v>16</v>
      </c>
      <c r="D5470">
        <v>16</v>
      </c>
    </row>
    <row r="5471" spans="1:4" ht="15" x14ac:dyDescent="0.25">
      <c r="A5471" t="s">
        <v>14612</v>
      </c>
      <c r="B5471">
        <v>1</v>
      </c>
      <c r="C5471">
        <v>16</v>
      </c>
      <c r="D5471">
        <v>16</v>
      </c>
    </row>
    <row r="5472" spans="1:4" ht="15" x14ac:dyDescent="0.25">
      <c r="A5472" t="s">
        <v>14613</v>
      </c>
      <c r="B5472">
        <v>1</v>
      </c>
      <c r="C5472">
        <v>16</v>
      </c>
      <c r="D5472">
        <v>16</v>
      </c>
    </row>
    <row r="5473" spans="1:4" ht="15" x14ac:dyDescent="0.25">
      <c r="A5473" t="s">
        <v>14617</v>
      </c>
      <c r="B5473">
        <v>1</v>
      </c>
      <c r="C5473">
        <v>64</v>
      </c>
      <c r="D5473">
        <v>64</v>
      </c>
    </row>
    <row r="5474" spans="1:4" ht="15" x14ac:dyDescent="0.25">
      <c r="A5474" t="s">
        <v>14621</v>
      </c>
      <c r="B5474">
        <v>1</v>
      </c>
      <c r="C5474">
        <v>38</v>
      </c>
      <c r="D5474">
        <v>38</v>
      </c>
    </row>
    <row r="5475" spans="1:4" ht="15" x14ac:dyDescent="0.25">
      <c r="A5475" t="s">
        <v>14623</v>
      </c>
      <c r="B5475">
        <v>1</v>
      </c>
      <c r="C5475">
        <v>38</v>
      </c>
      <c r="D5475">
        <v>38</v>
      </c>
    </row>
    <row r="5476" spans="1:4" ht="15" x14ac:dyDescent="0.25">
      <c r="A5476" t="s">
        <v>14622</v>
      </c>
      <c r="B5476">
        <v>3</v>
      </c>
      <c r="C5476">
        <v>117</v>
      </c>
      <c r="D5476">
        <v>39</v>
      </c>
    </row>
    <row r="5477" spans="1:4" ht="15" x14ac:dyDescent="0.25">
      <c r="A5477" t="s">
        <v>14627</v>
      </c>
      <c r="B5477">
        <v>1</v>
      </c>
      <c r="C5477">
        <v>33</v>
      </c>
      <c r="D5477">
        <v>33</v>
      </c>
    </row>
    <row r="5478" spans="1:4" ht="15" x14ac:dyDescent="0.25">
      <c r="A5478" t="s">
        <v>14629</v>
      </c>
      <c r="B5478">
        <v>2</v>
      </c>
      <c r="C5478">
        <v>35</v>
      </c>
      <c r="D5478">
        <v>17.5</v>
      </c>
    </row>
    <row r="5479" spans="1:4" ht="15" x14ac:dyDescent="0.25">
      <c r="A5479" t="s">
        <v>14628</v>
      </c>
      <c r="B5479">
        <v>1</v>
      </c>
      <c r="C5479">
        <v>33</v>
      </c>
      <c r="D5479">
        <v>33</v>
      </c>
    </row>
    <row r="5480" spans="1:4" ht="15" x14ac:dyDescent="0.25">
      <c r="A5480" t="s">
        <v>14634</v>
      </c>
      <c r="B5480">
        <v>1</v>
      </c>
      <c r="C5480">
        <v>29</v>
      </c>
      <c r="D5480">
        <v>29</v>
      </c>
    </row>
    <row r="5481" spans="1:4" ht="15" x14ac:dyDescent="0.25">
      <c r="A5481" t="s">
        <v>14635</v>
      </c>
      <c r="B5481">
        <v>1</v>
      </c>
      <c r="C5481">
        <v>29</v>
      </c>
      <c r="D5481">
        <v>29</v>
      </c>
    </row>
    <row r="5482" spans="1:4" ht="15" x14ac:dyDescent="0.25">
      <c r="A5482" t="s">
        <v>14637</v>
      </c>
      <c r="B5482">
        <v>1</v>
      </c>
      <c r="C5482">
        <v>29</v>
      </c>
      <c r="D5482">
        <v>29</v>
      </c>
    </row>
    <row r="5483" spans="1:4" ht="15" x14ac:dyDescent="0.25">
      <c r="A5483" t="s">
        <v>14638</v>
      </c>
      <c r="B5483">
        <v>1</v>
      </c>
      <c r="C5483">
        <v>29</v>
      </c>
      <c r="D5483">
        <v>29</v>
      </c>
    </row>
    <row r="5484" spans="1:4" ht="15" x14ac:dyDescent="0.25">
      <c r="A5484" t="s">
        <v>14636</v>
      </c>
      <c r="B5484">
        <v>1</v>
      </c>
      <c r="C5484">
        <v>29</v>
      </c>
      <c r="D5484">
        <v>29</v>
      </c>
    </row>
    <row r="5485" spans="1:4" ht="15" x14ac:dyDescent="0.25">
      <c r="A5485" t="s">
        <v>14642</v>
      </c>
      <c r="B5485">
        <v>1</v>
      </c>
      <c r="C5485">
        <v>41</v>
      </c>
      <c r="D5485">
        <v>41</v>
      </c>
    </row>
    <row r="5486" spans="1:4" ht="15" x14ac:dyDescent="0.25">
      <c r="A5486" t="s">
        <v>14644</v>
      </c>
      <c r="B5486">
        <v>1</v>
      </c>
      <c r="C5486">
        <v>43</v>
      </c>
      <c r="D5486">
        <v>43</v>
      </c>
    </row>
    <row r="5487" spans="1:4" ht="15" x14ac:dyDescent="0.25">
      <c r="A5487" t="s">
        <v>14648</v>
      </c>
      <c r="B5487">
        <v>8</v>
      </c>
      <c r="C5487">
        <v>337</v>
      </c>
      <c r="D5487">
        <v>42.125</v>
      </c>
    </row>
    <row r="5488" spans="1:4" ht="15" x14ac:dyDescent="0.25">
      <c r="A5488" t="s">
        <v>14650</v>
      </c>
      <c r="B5488">
        <v>1</v>
      </c>
      <c r="C5488">
        <v>112</v>
      </c>
      <c r="D5488">
        <v>112</v>
      </c>
    </row>
    <row r="5489" spans="1:4" ht="15" x14ac:dyDescent="0.25">
      <c r="A5489" t="s">
        <v>14651</v>
      </c>
      <c r="B5489">
        <v>2</v>
      </c>
      <c r="C5489">
        <v>120</v>
      </c>
      <c r="D5489">
        <v>60</v>
      </c>
    </row>
    <row r="5490" spans="1:4" ht="15" x14ac:dyDescent="0.25">
      <c r="A5490" t="s">
        <v>14649</v>
      </c>
      <c r="B5490">
        <v>1</v>
      </c>
      <c r="C5490">
        <v>112</v>
      </c>
      <c r="D5490">
        <v>112</v>
      </c>
    </row>
    <row r="5491" spans="1:4" ht="15" x14ac:dyDescent="0.25">
      <c r="A5491" t="s">
        <v>14654</v>
      </c>
      <c r="B5491">
        <v>1</v>
      </c>
      <c r="C5491">
        <v>35</v>
      </c>
      <c r="D5491">
        <v>35</v>
      </c>
    </row>
    <row r="5492" spans="1:4" ht="15" x14ac:dyDescent="0.25">
      <c r="A5492" t="s">
        <v>14655</v>
      </c>
      <c r="B5492">
        <v>1</v>
      </c>
      <c r="C5492">
        <v>35</v>
      </c>
      <c r="D5492">
        <v>35</v>
      </c>
    </row>
    <row r="5493" spans="1:4" ht="15" x14ac:dyDescent="0.25">
      <c r="A5493" t="s">
        <v>14662</v>
      </c>
      <c r="B5493">
        <v>1</v>
      </c>
      <c r="C5493">
        <v>67</v>
      </c>
      <c r="D5493">
        <v>67</v>
      </c>
    </row>
    <row r="5494" spans="1:4" ht="15" x14ac:dyDescent="0.25">
      <c r="A5494" t="s">
        <v>14664</v>
      </c>
      <c r="B5494">
        <v>1</v>
      </c>
      <c r="C5494">
        <v>67</v>
      </c>
      <c r="D5494">
        <v>67</v>
      </c>
    </row>
    <row r="5495" spans="1:4" ht="15" x14ac:dyDescent="0.25">
      <c r="A5495" t="s">
        <v>14665</v>
      </c>
      <c r="B5495">
        <v>1</v>
      </c>
      <c r="C5495">
        <v>67</v>
      </c>
      <c r="D5495">
        <v>67</v>
      </c>
    </row>
    <row r="5496" spans="1:4" ht="15" x14ac:dyDescent="0.25">
      <c r="A5496" t="s">
        <v>14663</v>
      </c>
      <c r="B5496">
        <v>1</v>
      </c>
      <c r="C5496">
        <v>67</v>
      </c>
      <c r="D5496">
        <v>67</v>
      </c>
    </row>
    <row r="5497" spans="1:4" ht="15" x14ac:dyDescent="0.25">
      <c r="A5497" t="s">
        <v>14669</v>
      </c>
      <c r="B5497">
        <v>1</v>
      </c>
      <c r="C5497">
        <v>151</v>
      </c>
      <c r="D5497">
        <v>151</v>
      </c>
    </row>
    <row r="5498" spans="1:4" ht="15" x14ac:dyDescent="0.25">
      <c r="A5498" t="s">
        <v>14675</v>
      </c>
      <c r="B5498">
        <v>1</v>
      </c>
      <c r="C5498">
        <v>52</v>
      </c>
      <c r="D5498">
        <v>52</v>
      </c>
    </row>
    <row r="5499" spans="1:4" ht="15" x14ac:dyDescent="0.25">
      <c r="A5499" t="s">
        <v>14678</v>
      </c>
      <c r="B5499">
        <v>2</v>
      </c>
      <c r="C5499">
        <v>108</v>
      </c>
      <c r="D5499">
        <v>54</v>
      </c>
    </row>
    <row r="5500" spans="1:4" ht="15" x14ac:dyDescent="0.25">
      <c r="A5500" t="s">
        <v>14680</v>
      </c>
      <c r="B5500">
        <v>3</v>
      </c>
      <c r="C5500">
        <v>162</v>
      </c>
      <c r="D5500">
        <v>54</v>
      </c>
    </row>
    <row r="5501" spans="1:4" ht="15" x14ac:dyDescent="0.25">
      <c r="A5501" t="s">
        <v>14679</v>
      </c>
      <c r="B5501">
        <v>3</v>
      </c>
      <c r="C5501">
        <v>154</v>
      </c>
      <c r="D5501">
        <v>51.333333333333336</v>
      </c>
    </row>
    <row r="5502" spans="1:4" ht="15" x14ac:dyDescent="0.25">
      <c r="A5502" t="s">
        <v>14684</v>
      </c>
      <c r="B5502">
        <v>1</v>
      </c>
      <c r="C5502">
        <v>314</v>
      </c>
      <c r="D5502">
        <v>314</v>
      </c>
    </row>
    <row r="5503" spans="1:4" ht="15" x14ac:dyDescent="0.25">
      <c r="A5503" t="s">
        <v>14685</v>
      </c>
      <c r="B5503">
        <v>1</v>
      </c>
      <c r="C5503">
        <v>314</v>
      </c>
      <c r="D5503">
        <v>314</v>
      </c>
    </row>
    <row r="5504" spans="1:4" ht="15" x14ac:dyDescent="0.25">
      <c r="A5504" t="s">
        <v>14689</v>
      </c>
      <c r="B5504">
        <v>1</v>
      </c>
      <c r="C5504">
        <v>3</v>
      </c>
      <c r="D5504">
        <v>3</v>
      </c>
    </row>
    <row r="5505" spans="1:4" ht="15" x14ac:dyDescent="0.25">
      <c r="A5505" t="s">
        <v>14692</v>
      </c>
      <c r="B5505">
        <v>1</v>
      </c>
      <c r="C5505">
        <v>15</v>
      </c>
      <c r="D5505">
        <v>15</v>
      </c>
    </row>
    <row r="5506" spans="1:4" ht="15" x14ac:dyDescent="0.25">
      <c r="A5506" t="s">
        <v>14695</v>
      </c>
      <c r="B5506">
        <v>9</v>
      </c>
      <c r="C5506">
        <v>335</v>
      </c>
      <c r="D5506">
        <v>37.222222222222221</v>
      </c>
    </row>
    <row r="5507" spans="1:4" ht="15" x14ac:dyDescent="0.25">
      <c r="A5507" t="s">
        <v>14699</v>
      </c>
      <c r="B5507">
        <v>1</v>
      </c>
      <c r="C5507">
        <v>64</v>
      </c>
      <c r="D5507">
        <v>64</v>
      </c>
    </row>
    <row r="5508" spans="1:4" ht="15" x14ac:dyDescent="0.25">
      <c r="A5508" t="s">
        <v>14701</v>
      </c>
      <c r="B5508">
        <v>1</v>
      </c>
      <c r="C5508">
        <v>64</v>
      </c>
      <c r="D5508">
        <v>64</v>
      </c>
    </row>
    <row r="5509" spans="1:4" ht="15" x14ac:dyDescent="0.25">
      <c r="A5509" t="s">
        <v>14700</v>
      </c>
      <c r="B5509">
        <v>3</v>
      </c>
      <c r="C5509">
        <v>103</v>
      </c>
      <c r="D5509">
        <v>34.333333333333336</v>
      </c>
    </row>
    <row r="5510" spans="1:4" ht="15" x14ac:dyDescent="0.25">
      <c r="A5510" t="s">
        <v>14708</v>
      </c>
      <c r="B5510">
        <v>1</v>
      </c>
      <c r="C5510">
        <v>84</v>
      </c>
      <c r="D5510">
        <v>84</v>
      </c>
    </row>
    <row r="5511" spans="1:4" ht="15" x14ac:dyDescent="0.25">
      <c r="A5511" t="s">
        <v>14709</v>
      </c>
      <c r="B5511">
        <v>1</v>
      </c>
      <c r="C5511">
        <v>84</v>
      </c>
      <c r="D5511">
        <v>84</v>
      </c>
    </row>
    <row r="5512" spans="1:4" ht="15" x14ac:dyDescent="0.25">
      <c r="A5512" t="s">
        <v>14713</v>
      </c>
      <c r="B5512">
        <v>3</v>
      </c>
      <c r="C5512">
        <v>184</v>
      </c>
      <c r="D5512">
        <v>61.333333333333336</v>
      </c>
    </row>
    <row r="5513" spans="1:4" ht="15" x14ac:dyDescent="0.25">
      <c r="A5513" t="s">
        <v>14714</v>
      </c>
      <c r="B5513">
        <v>1</v>
      </c>
      <c r="C5513">
        <v>37</v>
      </c>
      <c r="D5513">
        <v>37</v>
      </c>
    </row>
    <row r="5514" spans="1:4" ht="15" x14ac:dyDescent="0.25">
      <c r="A5514" t="s">
        <v>14718</v>
      </c>
      <c r="B5514">
        <v>1</v>
      </c>
      <c r="C5514">
        <v>47</v>
      </c>
      <c r="D5514">
        <v>47</v>
      </c>
    </row>
    <row r="5515" spans="1:4" ht="15" x14ac:dyDescent="0.25">
      <c r="A5515" t="s">
        <v>14717</v>
      </c>
      <c r="B5515">
        <v>2</v>
      </c>
      <c r="C5515">
        <v>62</v>
      </c>
      <c r="D5515">
        <v>31</v>
      </c>
    </row>
    <row r="5516" spans="1:4" ht="15" x14ac:dyDescent="0.25">
      <c r="A5516" t="s">
        <v>14721</v>
      </c>
      <c r="B5516">
        <v>1</v>
      </c>
      <c r="C5516">
        <v>15</v>
      </c>
      <c r="D5516">
        <v>15</v>
      </c>
    </row>
    <row r="5517" spans="1:4" ht="15" x14ac:dyDescent="0.25">
      <c r="A5517" t="s">
        <v>14722</v>
      </c>
      <c r="B5517">
        <v>1</v>
      </c>
      <c r="C5517">
        <v>15</v>
      </c>
      <c r="D5517">
        <v>15</v>
      </c>
    </row>
    <row r="5518" spans="1:4" ht="15" x14ac:dyDescent="0.25">
      <c r="A5518" t="s">
        <v>14726</v>
      </c>
      <c r="B5518">
        <v>1</v>
      </c>
      <c r="C5518">
        <v>44</v>
      </c>
      <c r="D5518">
        <v>44</v>
      </c>
    </row>
    <row r="5519" spans="1:4" ht="15" x14ac:dyDescent="0.25">
      <c r="A5519" t="s">
        <v>14728</v>
      </c>
      <c r="B5519">
        <v>1</v>
      </c>
      <c r="C5519">
        <v>44</v>
      </c>
      <c r="D5519">
        <v>44</v>
      </c>
    </row>
    <row r="5520" spans="1:4" ht="15" x14ac:dyDescent="0.25">
      <c r="A5520" t="s">
        <v>14727</v>
      </c>
      <c r="B5520">
        <v>1</v>
      </c>
      <c r="C5520">
        <v>44</v>
      </c>
      <c r="D5520">
        <v>44</v>
      </c>
    </row>
    <row r="5521" spans="1:4" ht="15" x14ac:dyDescent="0.25">
      <c r="A5521" t="s">
        <v>14731</v>
      </c>
      <c r="B5521">
        <v>2</v>
      </c>
      <c r="C5521">
        <v>117</v>
      </c>
      <c r="D5521">
        <v>58.5</v>
      </c>
    </row>
    <row r="5522" spans="1:4" ht="15" x14ac:dyDescent="0.25">
      <c r="A5522" t="s">
        <v>14733</v>
      </c>
      <c r="B5522">
        <v>4</v>
      </c>
      <c r="C5522">
        <v>206</v>
      </c>
      <c r="D5522">
        <v>51.5</v>
      </c>
    </row>
    <row r="5523" spans="1:4" ht="15" x14ac:dyDescent="0.25">
      <c r="A5523" t="s">
        <v>14732</v>
      </c>
      <c r="B5523">
        <v>2</v>
      </c>
      <c r="C5523">
        <v>61</v>
      </c>
      <c r="D5523">
        <v>30.5</v>
      </c>
    </row>
    <row r="5524" spans="1:4" ht="15" x14ac:dyDescent="0.25">
      <c r="A5524" t="s">
        <v>14737</v>
      </c>
      <c r="B5524">
        <v>2</v>
      </c>
      <c r="C5524">
        <v>63</v>
      </c>
      <c r="D5524">
        <v>31.5</v>
      </c>
    </row>
    <row r="5525" spans="1:4" ht="15" x14ac:dyDescent="0.25">
      <c r="A5525" t="s">
        <v>14744</v>
      </c>
      <c r="B5525">
        <v>7</v>
      </c>
      <c r="C5525">
        <v>610</v>
      </c>
      <c r="D5525">
        <v>87.142857142857139</v>
      </c>
    </row>
    <row r="5526" spans="1:4" ht="15" x14ac:dyDescent="0.25">
      <c r="A5526" t="s">
        <v>14745</v>
      </c>
      <c r="B5526">
        <v>1</v>
      </c>
      <c r="C5526">
        <v>55</v>
      </c>
      <c r="D5526">
        <v>55</v>
      </c>
    </row>
    <row r="5527" spans="1:4" ht="15" x14ac:dyDescent="0.25">
      <c r="A5527" t="s">
        <v>14747</v>
      </c>
      <c r="B5527">
        <v>1</v>
      </c>
      <c r="C5527">
        <v>55</v>
      </c>
      <c r="D5527">
        <v>55</v>
      </c>
    </row>
    <row r="5528" spans="1:4" ht="15" x14ac:dyDescent="0.25">
      <c r="A5528" t="s">
        <v>14748</v>
      </c>
      <c r="B5528">
        <v>1</v>
      </c>
      <c r="C5528">
        <v>55</v>
      </c>
      <c r="D5528">
        <v>55</v>
      </c>
    </row>
    <row r="5529" spans="1:4" ht="15" x14ac:dyDescent="0.25">
      <c r="A5529" t="s">
        <v>14746</v>
      </c>
      <c r="B5529">
        <v>1</v>
      </c>
      <c r="C5529">
        <v>55</v>
      </c>
      <c r="D5529">
        <v>55</v>
      </c>
    </row>
    <row r="5530" spans="1:4" ht="15" x14ac:dyDescent="0.25">
      <c r="A5530" t="s">
        <v>14752</v>
      </c>
      <c r="B5530">
        <v>1</v>
      </c>
      <c r="C5530">
        <v>39</v>
      </c>
      <c r="D5530">
        <v>39</v>
      </c>
    </row>
    <row r="5531" spans="1:4" ht="15" x14ac:dyDescent="0.25">
      <c r="A5531" t="s">
        <v>14753</v>
      </c>
      <c r="B5531">
        <v>4</v>
      </c>
      <c r="C5531">
        <v>161</v>
      </c>
      <c r="D5531">
        <v>40.25</v>
      </c>
    </row>
    <row r="5532" spans="1:4" ht="15" x14ac:dyDescent="0.25">
      <c r="A5532" t="s">
        <v>14755</v>
      </c>
      <c r="B5532">
        <v>1</v>
      </c>
      <c r="C5532">
        <v>39</v>
      </c>
      <c r="D5532">
        <v>39</v>
      </c>
    </row>
    <row r="5533" spans="1:4" ht="15" x14ac:dyDescent="0.25">
      <c r="A5533" t="s">
        <v>14756</v>
      </c>
      <c r="B5533">
        <v>1</v>
      </c>
      <c r="C5533">
        <v>39</v>
      </c>
      <c r="D5533">
        <v>39</v>
      </c>
    </row>
    <row r="5534" spans="1:4" ht="15" x14ac:dyDescent="0.25">
      <c r="A5534" t="s">
        <v>14754</v>
      </c>
      <c r="B5534">
        <v>1</v>
      </c>
      <c r="C5534">
        <v>39</v>
      </c>
      <c r="D5534">
        <v>39</v>
      </c>
    </row>
    <row r="5535" spans="1:4" ht="15" x14ac:dyDescent="0.25">
      <c r="A5535" t="s">
        <v>14760</v>
      </c>
      <c r="B5535">
        <v>2</v>
      </c>
      <c r="C5535">
        <v>107</v>
      </c>
      <c r="D5535">
        <v>53.5</v>
      </c>
    </row>
    <row r="5536" spans="1:4" ht="15" x14ac:dyDescent="0.25">
      <c r="A5536" t="s">
        <v>14761</v>
      </c>
      <c r="B5536">
        <v>2</v>
      </c>
      <c r="C5536">
        <v>90</v>
      </c>
      <c r="D5536">
        <v>45</v>
      </c>
    </row>
    <row r="5537" spans="1:4" ht="15" x14ac:dyDescent="0.25">
      <c r="A5537" t="s">
        <v>14762</v>
      </c>
      <c r="B5537">
        <v>1</v>
      </c>
      <c r="C5537">
        <v>55</v>
      </c>
      <c r="D5537">
        <v>55</v>
      </c>
    </row>
    <row r="5538" spans="1:4" ht="15" x14ac:dyDescent="0.25">
      <c r="A5538" t="s">
        <v>14766</v>
      </c>
      <c r="B5538">
        <v>1</v>
      </c>
      <c r="C5538">
        <v>8</v>
      </c>
      <c r="D5538">
        <v>8</v>
      </c>
    </row>
    <row r="5539" spans="1:4" ht="15" x14ac:dyDescent="0.25">
      <c r="A5539" t="s">
        <v>14770</v>
      </c>
      <c r="B5539">
        <v>1</v>
      </c>
      <c r="C5539">
        <v>77</v>
      </c>
      <c r="D5539">
        <v>77</v>
      </c>
    </row>
    <row r="5540" spans="1:4" ht="15" x14ac:dyDescent="0.25">
      <c r="A5540" t="s">
        <v>14771</v>
      </c>
      <c r="B5540">
        <v>1</v>
      </c>
      <c r="C5540">
        <v>77</v>
      </c>
      <c r="D5540">
        <v>77</v>
      </c>
    </row>
    <row r="5541" spans="1:4" ht="15" x14ac:dyDescent="0.25">
      <c r="A5541" t="s">
        <v>14767</v>
      </c>
      <c r="B5541">
        <v>1</v>
      </c>
      <c r="C5541">
        <v>77</v>
      </c>
      <c r="D5541">
        <v>77</v>
      </c>
    </row>
    <row r="5542" spans="1:4" ht="15" x14ac:dyDescent="0.25">
      <c r="A5542" t="s">
        <v>14773</v>
      </c>
      <c r="B5542">
        <v>2</v>
      </c>
      <c r="C5542">
        <v>136</v>
      </c>
      <c r="D5542">
        <v>68</v>
      </c>
    </row>
    <row r="5543" spans="1:4" ht="15" x14ac:dyDescent="0.25">
      <c r="A5543" t="s">
        <v>14772</v>
      </c>
      <c r="B5543">
        <v>1</v>
      </c>
      <c r="C5543">
        <v>77</v>
      </c>
      <c r="D5543">
        <v>77</v>
      </c>
    </row>
    <row r="5544" spans="1:4" ht="15" x14ac:dyDescent="0.25">
      <c r="A5544" t="s">
        <v>14780</v>
      </c>
      <c r="B5544">
        <v>1</v>
      </c>
      <c r="C5544">
        <v>33</v>
      </c>
      <c r="D5544">
        <v>33</v>
      </c>
    </row>
    <row r="5545" spans="1:4" ht="15" x14ac:dyDescent="0.25">
      <c r="A5545" t="s">
        <v>14786</v>
      </c>
      <c r="B5545">
        <v>2</v>
      </c>
      <c r="C5545">
        <v>91</v>
      </c>
      <c r="D5545">
        <v>45.5</v>
      </c>
    </row>
    <row r="5546" spans="1:4" ht="15" x14ac:dyDescent="0.25">
      <c r="A5546" t="s">
        <v>14785</v>
      </c>
      <c r="B5546">
        <v>1</v>
      </c>
      <c r="C5546">
        <v>50</v>
      </c>
      <c r="D5546">
        <v>50</v>
      </c>
    </row>
    <row r="5547" spans="1:4" ht="15" x14ac:dyDescent="0.25">
      <c r="A5547" t="s">
        <v>14791</v>
      </c>
      <c r="B5547">
        <v>1</v>
      </c>
      <c r="C5547">
        <v>78</v>
      </c>
      <c r="D5547">
        <v>78</v>
      </c>
    </row>
    <row r="5548" spans="1:4" ht="15" x14ac:dyDescent="0.25">
      <c r="A5548" t="s">
        <v>14793</v>
      </c>
      <c r="B5548">
        <v>1</v>
      </c>
      <c r="C5548">
        <v>78</v>
      </c>
      <c r="D5548">
        <v>78</v>
      </c>
    </row>
    <row r="5549" spans="1:4" ht="15" x14ac:dyDescent="0.25">
      <c r="A5549" t="s">
        <v>14794</v>
      </c>
      <c r="B5549">
        <v>1</v>
      </c>
      <c r="C5549">
        <v>78</v>
      </c>
      <c r="D5549">
        <v>78</v>
      </c>
    </row>
    <row r="5550" spans="1:4" ht="15" x14ac:dyDescent="0.25">
      <c r="A5550" t="s">
        <v>14792</v>
      </c>
      <c r="B5550">
        <v>1</v>
      </c>
      <c r="C5550">
        <v>78</v>
      </c>
      <c r="D5550">
        <v>78</v>
      </c>
    </row>
    <row r="5551" spans="1:4" ht="15" x14ac:dyDescent="0.25">
      <c r="A5551" t="s">
        <v>14804</v>
      </c>
      <c r="B5551">
        <v>1</v>
      </c>
      <c r="C5551">
        <v>1038</v>
      </c>
      <c r="D5551">
        <v>1038</v>
      </c>
    </row>
    <row r="5552" spans="1:4" ht="15" x14ac:dyDescent="0.25">
      <c r="A5552" t="s">
        <v>14805</v>
      </c>
      <c r="B5552">
        <v>1</v>
      </c>
      <c r="C5552">
        <v>1038</v>
      </c>
      <c r="D5552">
        <v>1038</v>
      </c>
    </row>
    <row r="5553" spans="1:4" ht="15" x14ac:dyDescent="0.25">
      <c r="A5553" t="s">
        <v>14809</v>
      </c>
      <c r="B5553">
        <v>1</v>
      </c>
      <c r="C5553">
        <v>40</v>
      </c>
      <c r="D5553">
        <v>40</v>
      </c>
    </row>
    <row r="5554" spans="1:4" ht="15" x14ac:dyDescent="0.25">
      <c r="A5554" t="s">
        <v>14810</v>
      </c>
      <c r="B5554">
        <v>1</v>
      </c>
      <c r="C5554">
        <v>40</v>
      </c>
      <c r="D5554">
        <v>40</v>
      </c>
    </row>
    <row r="5555" spans="1:4" ht="15" x14ac:dyDescent="0.25">
      <c r="A5555" t="s">
        <v>14812</v>
      </c>
      <c r="B5555">
        <v>1</v>
      </c>
      <c r="C5555">
        <v>40</v>
      </c>
      <c r="D5555">
        <v>40</v>
      </c>
    </row>
    <row r="5556" spans="1:4" ht="15" x14ac:dyDescent="0.25">
      <c r="A5556" t="s">
        <v>14811</v>
      </c>
      <c r="B5556">
        <v>1</v>
      </c>
      <c r="C5556">
        <v>40</v>
      </c>
      <c r="D5556">
        <v>40</v>
      </c>
    </row>
    <row r="5557" spans="1:4" ht="15" x14ac:dyDescent="0.25">
      <c r="A5557" t="s">
        <v>14816</v>
      </c>
      <c r="B5557">
        <v>2</v>
      </c>
      <c r="C5557">
        <v>41</v>
      </c>
      <c r="D5557">
        <v>20.5</v>
      </c>
    </row>
    <row r="5558" spans="1:4" ht="15" x14ac:dyDescent="0.25">
      <c r="A5558" t="s">
        <v>14818</v>
      </c>
      <c r="B5558">
        <v>1</v>
      </c>
      <c r="C5558">
        <v>31</v>
      </c>
      <c r="D5558">
        <v>31</v>
      </c>
    </row>
    <row r="5559" spans="1:4" ht="15" x14ac:dyDescent="0.25">
      <c r="A5559" t="s">
        <v>14819</v>
      </c>
      <c r="B5559">
        <v>1</v>
      </c>
      <c r="C5559">
        <v>31</v>
      </c>
      <c r="D5559">
        <v>31</v>
      </c>
    </row>
    <row r="5560" spans="1:4" ht="15" x14ac:dyDescent="0.25">
      <c r="A5560" t="s">
        <v>14817</v>
      </c>
      <c r="B5560">
        <v>1</v>
      </c>
      <c r="C5560">
        <v>31</v>
      </c>
      <c r="D5560">
        <v>31</v>
      </c>
    </row>
    <row r="5561" spans="1:4" ht="15" x14ac:dyDescent="0.25">
      <c r="A5561" t="s">
        <v>14823</v>
      </c>
      <c r="B5561">
        <v>1</v>
      </c>
      <c r="C5561">
        <v>15</v>
      </c>
      <c r="D5561">
        <v>15</v>
      </c>
    </row>
    <row r="5562" spans="1:4" ht="15" x14ac:dyDescent="0.25">
      <c r="A5562" t="s">
        <v>14824</v>
      </c>
      <c r="B5562">
        <v>1</v>
      </c>
      <c r="C5562">
        <v>15</v>
      </c>
      <c r="D5562">
        <v>15</v>
      </c>
    </row>
    <row r="5563" spans="1:4" ht="15" x14ac:dyDescent="0.25">
      <c r="A5563" t="s">
        <v>14828</v>
      </c>
      <c r="B5563">
        <v>1</v>
      </c>
      <c r="C5563">
        <v>29</v>
      </c>
      <c r="D5563">
        <v>29</v>
      </c>
    </row>
    <row r="5564" spans="1:4" ht="15" x14ac:dyDescent="0.25">
      <c r="A5564" t="s">
        <v>14830</v>
      </c>
      <c r="B5564">
        <v>1</v>
      </c>
      <c r="C5564">
        <v>29</v>
      </c>
      <c r="D5564">
        <v>29</v>
      </c>
    </row>
    <row r="5565" spans="1:4" ht="15" x14ac:dyDescent="0.25">
      <c r="A5565" t="s">
        <v>14831</v>
      </c>
      <c r="B5565">
        <v>1</v>
      </c>
      <c r="C5565">
        <v>29</v>
      </c>
      <c r="D5565">
        <v>29</v>
      </c>
    </row>
    <row r="5566" spans="1:4" ht="15" x14ac:dyDescent="0.25">
      <c r="A5566" t="s">
        <v>14829</v>
      </c>
      <c r="B5566">
        <v>1</v>
      </c>
      <c r="C5566">
        <v>29</v>
      </c>
      <c r="D5566">
        <v>29</v>
      </c>
    </row>
    <row r="5567" spans="1:4" ht="15" x14ac:dyDescent="0.25">
      <c r="A5567" t="s">
        <v>14835</v>
      </c>
      <c r="B5567">
        <v>1</v>
      </c>
      <c r="C5567">
        <v>56</v>
      </c>
      <c r="D5567">
        <v>56</v>
      </c>
    </row>
    <row r="5568" spans="1:4" ht="15" x14ac:dyDescent="0.25">
      <c r="A5568" t="s">
        <v>14837</v>
      </c>
      <c r="B5568">
        <v>1</v>
      </c>
      <c r="C5568">
        <v>56</v>
      </c>
      <c r="D5568">
        <v>56</v>
      </c>
    </row>
    <row r="5569" spans="1:4" ht="15" x14ac:dyDescent="0.25">
      <c r="A5569" t="s">
        <v>14836</v>
      </c>
      <c r="B5569">
        <v>1</v>
      </c>
      <c r="C5569">
        <v>56</v>
      </c>
      <c r="D5569">
        <v>56</v>
      </c>
    </row>
    <row r="5570" spans="1:4" ht="15" x14ac:dyDescent="0.25">
      <c r="A5570" t="s">
        <v>14840</v>
      </c>
      <c r="B5570">
        <v>1</v>
      </c>
      <c r="C5570">
        <v>43</v>
      </c>
      <c r="D5570">
        <v>43</v>
      </c>
    </row>
    <row r="5571" spans="1:4" ht="15" x14ac:dyDescent="0.25">
      <c r="A5571" t="s">
        <v>14841</v>
      </c>
      <c r="B5571">
        <v>1</v>
      </c>
      <c r="C5571">
        <v>43</v>
      </c>
      <c r="D5571">
        <v>43</v>
      </c>
    </row>
    <row r="5572" spans="1:4" ht="15" x14ac:dyDescent="0.25">
      <c r="A5572" t="s">
        <v>14848</v>
      </c>
      <c r="B5572">
        <v>1</v>
      </c>
      <c r="C5572">
        <v>68</v>
      </c>
      <c r="D5572">
        <v>68</v>
      </c>
    </row>
    <row r="5573" spans="1:4" ht="15" x14ac:dyDescent="0.25">
      <c r="A5573" t="s">
        <v>14849</v>
      </c>
      <c r="B5573">
        <v>1</v>
      </c>
      <c r="C5573">
        <v>68</v>
      </c>
      <c r="D5573">
        <v>68</v>
      </c>
    </row>
    <row r="5574" spans="1:4" ht="15" x14ac:dyDescent="0.25">
      <c r="A5574" t="s">
        <v>14847</v>
      </c>
      <c r="B5574">
        <v>2</v>
      </c>
      <c r="C5574">
        <v>134</v>
      </c>
      <c r="D5574">
        <v>67</v>
      </c>
    </row>
    <row r="5575" spans="1:4" ht="15" x14ac:dyDescent="0.25">
      <c r="A5575" t="s">
        <v>14854</v>
      </c>
      <c r="B5575">
        <v>1</v>
      </c>
      <c r="C5575">
        <v>21</v>
      </c>
      <c r="D5575">
        <v>21</v>
      </c>
    </row>
    <row r="5576" spans="1:4" ht="15" x14ac:dyDescent="0.25">
      <c r="A5576" t="s">
        <v>14855</v>
      </c>
      <c r="B5576">
        <v>1</v>
      </c>
      <c r="C5576">
        <v>21</v>
      </c>
      <c r="D5576">
        <v>21</v>
      </c>
    </row>
    <row r="5577" spans="1:4" ht="15" x14ac:dyDescent="0.25">
      <c r="A5577" t="s">
        <v>14859</v>
      </c>
      <c r="B5577">
        <v>1</v>
      </c>
      <c r="C5577">
        <v>95</v>
      </c>
      <c r="D5577">
        <v>95</v>
      </c>
    </row>
    <row r="5578" spans="1:4" ht="15" x14ac:dyDescent="0.25">
      <c r="A5578" t="s">
        <v>14860</v>
      </c>
      <c r="B5578">
        <v>1</v>
      </c>
      <c r="C5578">
        <v>95</v>
      </c>
      <c r="D5578">
        <v>95</v>
      </c>
    </row>
    <row r="5579" spans="1:4" ht="15" x14ac:dyDescent="0.25">
      <c r="A5579" t="s">
        <v>14861</v>
      </c>
      <c r="B5579">
        <v>1</v>
      </c>
      <c r="C5579">
        <v>95</v>
      </c>
      <c r="D5579">
        <v>95</v>
      </c>
    </row>
    <row r="5580" spans="1:4" ht="15" x14ac:dyDescent="0.25">
      <c r="A5580" t="s">
        <v>14862</v>
      </c>
      <c r="B5580">
        <v>1</v>
      </c>
      <c r="C5580">
        <v>95</v>
      </c>
      <c r="D5580">
        <v>95</v>
      </c>
    </row>
    <row r="5581" spans="1:4" ht="15" x14ac:dyDescent="0.25">
      <c r="A5581" t="s">
        <v>5275</v>
      </c>
      <c r="B5581">
        <v>3</v>
      </c>
      <c r="C5581">
        <v>108</v>
      </c>
      <c r="D5581">
        <v>36</v>
      </c>
    </row>
    <row r="5582" spans="1:4" ht="15" x14ac:dyDescent="0.25">
      <c r="A5582" t="s">
        <v>14868</v>
      </c>
      <c r="B5582">
        <v>1</v>
      </c>
      <c r="C5582">
        <v>45</v>
      </c>
      <c r="D5582">
        <v>45</v>
      </c>
    </row>
    <row r="5583" spans="1:4" ht="15" x14ac:dyDescent="0.25">
      <c r="A5583" t="s">
        <v>14873</v>
      </c>
      <c r="B5583">
        <v>2</v>
      </c>
      <c r="C5583">
        <v>124</v>
      </c>
      <c r="D5583">
        <v>62</v>
      </c>
    </row>
    <row r="5584" spans="1:4" ht="15" x14ac:dyDescent="0.25">
      <c r="A5584" t="s">
        <v>14874</v>
      </c>
      <c r="B5584">
        <v>1</v>
      </c>
      <c r="C5584">
        <v>65</v>
      </c>
      <c r="D5584">
        <v>65</v>
      </c>
    </row>
    <row r="5585" spans="1:4" ht="15" x14ac:dyDescent="0.25">
      <c r="A5585" t="s">
        <v>14875</v>
      </c>
      <c r="B5585">
        <v>1</v>
      </c>
      <c r="C5585">
        <v>65</v>
      </c>
      <c r="D5585">
        <v>65</v>
      </c>
    </row>
    <row r="5586" spans="1:4" ht="15" x14ac:dyDescent="0.25">
      <c r="A5586" t="s">
        <v>14880</v>
      </c>
      <c r="B5586">
        <v>2</v>
      </c>
      <c r="C5586">
        <v>59</v>
      </c>
      <c r="D5586">
        <v>29.5</v>
      </c>
    </row>
    <row r="5587" spans="1:4" ht="15" x14ac:dyDescent="0.25">
      <c r="A5587" t="s">
        <v>14881</v>
      </c>
      <c r="B5587">
        <v>5</v>
      </c>
      <c r="C5587">
        <v>312</v>
      </c>
      <c r="D5587">
        <v>62.4</v>
      </c>
    </row>
    <row r="5588" spans="1:4" ht="15" x14ac:dyDescent="0.25">
      <c r="A5588" t="s">
        <v>14882</v>
      </c>
      <c r="B5588">
        <v>3</v>
      </c>
      <c r="C5588">
        <v>159</v>
      </c>
      <c r="D5588">
        <v>53</v>
      </c>
    </row>
    <row r="5589" spans="1:4" ht="15" x14ac:dyDescent="0.25">
      <c r="A5589" t="s">
        <v>14885</v>
      </c>
      <c r="B5589">
        <v>2</v>
      </c>
      <c r="C5589">
        <v>40</v>
      </c>
      <c r="D5589">
        <v>20</v>
      </c>
    </row>
    <row r="5590" spans="1:4" ht="15" x14ac:dyDescent="0.25">
      <c r="A5590" t="s">
        <v>14886</v>
      </c>
      <c r="B5590">
        <v>1</v>
      </c>
      <c r="C5590">
        <v>25</v>
      </c>
      <c r="D5590">
        <v>25</v>
      </c>
    </row>
    <row r="5591" spans="1:4" ht="15" x14ac:dyDescent="0.25">
      <c r="A5591" t="s">
        <v>14888</v>
      </c>
      <c r="B5591">
        <v>1</v>
      </c>
      <c r="C5591">
        <v>25</v>
      </c>
      <c r="D5591">
        <v>25</v>
      </c>
    </row>
    <row r="5592" spans="1:4" ht="15" x14ac:dyDescent="0.25">
      <c r="A5592" t="s">
        <v>14887</v>
      </c>
      <c r="B5592">
        <v>1</v>
      </c>
      <c r="C5592">
        <v>25</v>
      </c>
      <c r="D5592">
        <v>25</v>
      </c>
    </row>
    <row r="5593" spans="1:4" ht="15" x14ac:dyDescent="0.25">
      <c r="A5593" t="s">
        <v>14899</v>
      </c>
      <c r="B5593">
        <v>1</v>
      </c>
      <c r="C5593">
        <v>285</v>
      </c>
      <c r="D5593">
        <v>285</v>
      </c>
    </row>
    <row r="5594" spans="1:4" ht="15" x14ac:dyDescent="0.25">
      <c r="A5594" t="s">
        <v>14903</v>
      </c>
      <c r="B5594">
        <v>2</v>
      </c>
      <c r="C5594">
        <v>1760</v>
      </c>
      <c r="D5594">
        <v>880</v>
      </c>
    </row>
    <row r="5595" spans="1:4" ht="15" x14ac:dyDescent="0.25">
      <c r="A5595" t="s">
        <v>14904</v>
      </c>
      <c r="B5595">
        <v>2</v>
      </c>
      <c r="C5595">
        <v>1909</v>
      </c>
      <c r="D5595">
        <v>954.5</v>
      </c>
    </row>
    <row r="5596" spans="1:4" ht="15" x14ac:dyDescent="0.25">
      <c r="A5596" t="s">
        <v>14909</v>
      </c>
      <c r="B5596">
        <v>1</v>
      </c>
      <c r="C5596">
        <v>140</v>
      </c>
      <c r="D5596">
        <v>140</v>
      </c>
    </row>
    <row r="5597" spans="1:4" ht="15" x14ac:dyDescent="0.25">
      <c r="A5597" t="s">
        <v>14910</v>
      </c>
      <c r="B5597">
        <v>1</v>
      </c>
      <c r="C5597">
        <v>140</v>
      </c>
      <c r="D5597">
        <v>140</v>
      </c>
    </row>
    <row r="5598" spans="1:4" ht="15" x14ac:dyDescent="0.25">
      <c r="A5598" t="s">
        <v>14914</v>
      </c>
      <c r="B5598">
        <v>1</v>
      </c>
      <c r="C5598">
        <v>41</v>
      </c>
      <c r="D5598">
        <v>41</v>
      </c>
    </row>
    <row r="5599" spans="1:4" ht="15" x14ac:dyDescent="0.25">
      <c r="A5599" t="s">
        <v>14919</v>
      </c>
      <c r="B5599">
        <v>1</v>
      </c>
      <c r="C5599">
        <v>1390</v>
      </c>
      <c r="D5599">
        <v>1390</v>
      </c>
    </row>
    <row r="5600" spans="1:4" ht="15" x14ac:dyDescent="0.25">
      <c r="A5600" t="s">
        <v>14920</v>
      </c>
      <c r="B5600">
        <v>2</v>
      </c>
      <c r="C5600">
        <v>2303</v>
      </c>
      <c r="D5600">
        <v>1151.5</v>
      </c>
    </row>
    <row r="5601" spans="1:4" ht="15" x14ac:dyDescent="0.25">
      <c r="A5601" t="s">
        <v>14921</v>
      </c>
      <c r="B5601">
        <v>1</v>
      </c>
      <c r="C5601">
        <v>1390</v>
      </c>
      <c r="D5601">
        <v>1390</v>
      </c>
    </row>
    <row r="5602" spans="1:4" ht="15" x14ac:dyDescent="0.25">
      <c r="A5602" t="s">
        <v>14925</v>
      </c>
      <c r="B5602">
        <v>1</v>
      </c>
      <c r="C5602">
        <v>18</v>
      </c>
      <c r="D5602">
        <v>18</v>
      </c>
    </row>
    <row r="5603" spans="1:4" ht="15" x14ac:dyDescent="0.25">
      <c r="A5603" t="s">
        <v>14927</v>
      </c>
      <c r="B5603">
        <v>2</v>
      </c>
      <c r="C5603">
        <v>151</v>
      </c>
      <c r="D5603">
        <v>75.5</v>
      </c>
    </row>
    <row r="5604" spans="1:4" ht="15" x14ac:dyDescent="0.25">
      <c r="A5604" t="s">
        <v>14926</v>
      </c>
      <c r="B5604">
        <v>1</v>
      </c>
      <c r="C5604">
        <v>18</v>
      </c>
      <c r="D5604">
        <v>18</v>
      </c>
    </row>
    <row r="5605" spans="1:4" ht="15" x14ac:dyDescent="0.25">
      <c r="A5605" t="s">
        <v>14930</v>
      </c>
      <c r="B5605">
        <v>3</v>
      </c>
      <c r="C5605">
        <v>16</v>
      </c>
      <c r="D5605">
        <v>5.333333333333333</v>
      </c>
    </row>
    <row r="5606" spans="1:4" ht="15" x14ac:dyDescent="0.25">
      <c r="A5606" t="s">
        <v>14931</v>
      </c>
      <c r="B5606">
        <v>3</v>
      </c>
      <c r="C5606">
        <v>16</v>
      </c>
      <c r="D5606">
        <v>5.333333333333333</v>
      </c>
    </row>
    <row r="5607" spans="1:4" ht="15" x14ac:dyDescent="0.25">
      <c r="A5607" t="s">
        <v>14935</v>
      </c>
      <c r="B5607">
        <v>1</v>
      </c>
      <c r="C5607">
        <v>32</v>
      </c>
      <c r="D5607">
        <v>32</v>
      </c>
    </row>
    <row r="5608" spans="1:4" ht="15" x14ac:dyDescent="0.25">
      <c r="A5608" t="s">
        <v>14936</v>
      </c>
      <c r="B5608">
        <v>1</v>
      </c>
      <c r="C5608">
        <v>32</v>
      </c>
      <c r="D5608">
        <v>32</v>
      </c>
    </row>
    <row r="5609" spans="1:4" ht="15" x14ac:dyDescent="0.25">
      <c r="A5609" t="s">
        <v>14937</v>
      </c>
      <c r="B5609">
        <v>1</v>
      </c>
      <c r="C5609">
        <v>32</v>
      </c>
      <c r="D5609">
        <v>32</v>
      </c>
    </row>
    <row r="5610" spans="1:4" ht="15" x14ac:dyDescent="0.25">
      <c r="A5610" t="s">
        <v>14944</v>
      </c>
      <c r="B5610">
        <v>1</v>
      </c>
      <c r="C5610">
        <v>32</v>
      </c>
      <c r="D5610">
        <v>32</v>
      </c>
    </row>
    <row r="5611" spans="1:4" ht="15" x14ac:dyDescent="0.25">
      <c r="A5611" t="s">
        <v>14947</v>
      </c>
      <c r="B5611">
        <v>1</v>
      </c>
      <c r="C5611">
        <v>38</v>
      </c>
      <c r="D5611">
        <v>38</v>
      </c>
    </row>
    <row r="5612" spans="1:4" ht="15" x14ac:dyDescent="0.25">
      <c r="A5612" t="s">
        <v>14949</v>
      </c>
      <c r="B5612">
        <v>1</v>
      </c>
      <c r="C5612">
        <v>38</v>
      </c>
      <c r="D5612">
        <v>38</v>
      </c>
    </row>
    <row r="5613" spans="1:4" ht="15" x14ac:dyDescent="0.25">
      <c r="A5613" t="s">
        <v>14948</v>
      </c>
      <c r="B5613">
        <v>1</v>
      </c>
      <c r="C5613">
        <v>38</v>
      </c>
      <c r="D5613">
        <v>38</v>
      </c>
    </row>
    <row r="5614" spans="1:4" ht="15" x14ac:dyDescent="0.25">
      <c r="A5614" t="s">
        <v>14954</v>
      </c>
      <c r="B5614">
        <v>1</v>
      </c>
      <c r="C5614">
        <v>111</v>
      </c>
      <c r="D5614">
        <v>111</v>
      </c>
    </row>
    <row r="5615" spans="1:4" ht="15" x14ac:dyDescent="0.25">
      <c r="A5615" t="s">
        <v>14959</v>
      </c>
      <c r="B5615">
        <v>2</v>
      </c>
      <c r="C5615">
        <v>180</v>
      </c>
      <c r="D5615">
        <v>90</v>
      </c>
    </row>
    <row r="5616" spans="1:4" ht="15" x14ac:dyDescent="0.25">
      <c r="A5616" t="s">
        <v>14960</v>
      </c>
      <c r="B5616">
        <v>1</v>
      </c>
      <c r="C5616">
        <v>138</v>
      </c>
      <c r="D5616">
        <v>138</v>
      </c>
    </row>
    <row r="5617" spans="1:4" ht="15" x14ac:dyDescent="0.25">
      <c r="A5617" t="s">
        <v>14963</v>
      </c>
      <c r="B5617">
        <v>6</v>
      </c>
      <c r="C5617">
        <v>332</v>
      </c>
      <c r="D5617">
        <v>55.333333333333336</v>
      </c>
    </row>
    <row r="5618" spans="1:4" ht="15" x14ac:dyDescent="0.25">
      <c r="A5618" t="s">
        <v>14966</v>
      </c>
      <c r="B5618">
        <v>1</v>
      </c>
      <c r="C5618">
        <v>32</v>
      </c>
      <c r="D5618">
        <v>32</v>
      </c>
    </row>
    <row r="5619" spans="1:4" ht="15" x14ac:dyDescent="0.25">
      <c r="A5619" t="s">
        <v>14968</v>
      </c>
      <c r="B5619">
        <v>4</v>
      </c>
      <c r="C5619">
        <v>144</v>
      </c>
      <c r="D5619">
        <v>36</v>
      </c>
    </row>
    <row r="5620" spans="1:4" ht="15" x14ac:dyDescent="0.25">
      <c r="A5620" t="s">
        <v>14967</v>
      </c>
      <c r="B5620">
        <v>1</v>
      </c>
      <c r="C5620">
        <v>32</v>
      </c>
      <c r="D5620">
        <v>32</v>
      </c>
    </row>
    <row r="5621" spans="1:4" ht="15" x14ac:dyDescent="0.25">
      <c r="A5621" t="s">
        <v>14972</v>
      </c>
      <c r="B5621">
        <v>1</v>
      </c>
      <c r="C5621">
        <v>53</v>
      </c>
      <c r="D5621">
        <v>53</v>
      </c>
    </row>
    <row r="5622" spans="1:4" ht="15" x14ac:dyDescent="0.25">
      <c r="A5622" t="s">
        <v>14973</v>
      </c>
      <c r="B5622">
        <v>1</v>
      </c>
      <c r="C5622">
        <v>53</v>
      </c>
      <c r="D5622">
        <v>53</v>
      </c>
    </row>
    <row r="5623" spans="1:4" ht="15" x14ac:dyDescent="0.25">
      <c r="A5623" t="s">
        <v>14977</v>
      </c>
      <c r="B5623">
        <v>1</v>
      </c>
      <c r="C5623">
        <v>26</v>
      </c>
      <c r="D5623">
        <v>26</v>
      </c>
    </row>
    <row r="5624" spans="1:4" ht="15" x14ac:dyDescent="0.25">
      <c r="A5624" t="s">
        <v>14978</v>
      </c>
      <c r="B5624">
        <v>1</v>
      </c>
      <c r="C5624">
        <v>26</v>
      </c>
      <c r="D5624">
        <v>26</v>
      </c>
    </row>
    <row r="5625" spans="1:4" ht="15" x14ac:dyDescent="0.25">
      <c r="A5625" t="s">
        <v>14979</v>
      </c>
      <c r="B5625">
        <v>1</v>
      </c>
      <c r="C5625">
        <v>26</v>
      </c>
      <c r="D5625">
        <v>26</v>
      </c>
    </row>
    <row r="5626" spans="1:4" ht="15" x14ac:dyDescent="0.25">
      <c r="A5626" t="s">
        <v>14984</v>
      </c>
      <c r="B5626">
        <v>1</v>
      </c>
      <c r="C5626">
        <v>6</v>
      </c>
      <c r="D5626">
        <v>6</v>
      </c>
    </row>
    <row r="5627" spans="1:4" ht="15" x14ac:dyDescent="0.25">
      <c r="A5627" t="s">
        <v>14985</v>
      </c>
      <c r="B5627">
        <v>1</v>
      </c>
      <c r="C5627">
        <v>6</v>
      </c>
      <c r="D5627">
        <v>6</v>
      </c>
    </row>
    <row r="5628" spans="1:4" ht="15" x14ac:dyDescent="0.25">
      <c r="A5628" t="s">
        <v>14990</v>
      </c>
      <c r="B5628">
        <v>1</v>
      </c>
      <c r="C5628">
        <v>29</v>
      </c>
      <c r="D5628">
        <v>29</v>
      </c>
    </row>
    <row r="5629" spans="1:4" ht="15" x14ac:dyDescent="0.25">
      <c r="A5629" t="s">
        <v>14992</v>
      </c>
      <c r="B5629">
        <v>1</v>
      </c>
      <c r="C5629">
        <v>29</v>
      </c>
      <c r="D5629">
        <v>29</v>
      </c>
    </row>
    <row r="5630" spans="1:4" ht="15" x14ac:dyDescent="0.25">
      <c r="A5630" t="s">
        <v>14991</v>
      </c>
      <c r="B5630">
        <v>1</v>
      </c>
      <c r="C5630">
        <v>29</v>
      </c>
      <c r="D5630">
        <v>29</v>
      </c>
    </row>
    <row r="5631" spans="1:4" ht="15" x14ac:dyDescent="0.25">
      <c r="A5631" t="s">
        <v>14997</v>
      </c>
      <c r="B5631">
        <v>2</v>
      </c>
      <c r="C5631">
        <v>129</v>
      </c>
      <c r="D5631">
        <v>64.5</v>
      </c>
    </row>
    <row r="5632" spans="1:4" ht="15" x14ac:dyDescent="0.25">
      <c r="A5632" t="s">
        <v>15005</v>
      </c>
      <c r="B5632">
        <v>2</v>
      </c>
      <c r="C5632">
        <v>111</v>
      </c>
      <c r="D5632">
        <v>55.5</v>
      </c>
    </row>
    <row r="5633" spans="1:4" ht="15" x14ac:dyDescent="0.25">
      <c r="A5633" t="s">
        <v>15007</v>
      </c>
      <c r="B5633">
        <v>2</v>
      </c>
      <c r="C5633">
        <v>21</v>
      </c>
      <c r="D5633">
        <v>10.5</v>
      </c>
    </row>
    <row r="5634" spans="1:4" ht="15" x14ac:dyDescent="0.25">
      <c r="A5634" t="s">
        <v>15006</v>
      </c>
      <c r="B5634">
        <v>1</v>
      </c>
      <c r="C5634">
        <v>16</v>
      </c>
      <c r="D5634">
        <v>16</v>
      </c>
    </row>
    <row r="5635" spans="1:4" ht="15" x14ac:dyDescent="0.25">
      <c r="A5635" t="s">
        <v>15013</v>
      </c>
      <c r="B5635">
        <v>2</v>
      </c>
      <c r="C5635">
        <v>54</v>
      </c>
      <c r="D5635">
        <v>27</v>
      </c>
    </row>
    <row r="5636" spans="1:4" ht="15" x14ac:dyDescent="0.25">
      <c r="A5636" t="s">
        <v>15012</v>
      </c>
      <c r="B5636">
        <v>1</v>
      </c>
      <c r="C5636">
        <v>22</v>
      </c>
      <c r="D5636">
        <v>22</v>
      </c>
    </row>
    <row r="5637" spans="1:4" ht="15" x14ac:dyDescent="0.25">
      <c r="A5637" t="s">
        <v>15017</v>
      </c>
      <c r="B5637">
        <v>1</v>
      </c>
      <c r="C5637">
        <v>31</v>
      </c>
      <c r="D5637">
        <v>31</v>
      </c>
    </row>
    <row r="5638" spans="1:4" ht="15" x14ac:dyDescent="0.25">
      <c r="A5638" t="s">
        <v>15018</v>
      </c>
      <c r="B5638">
        <v>2</v>
      </c>
      <c r="C5638">
        <v>61</v>
      </c>
      <c r="D5638">
        <v>30.5</v>
      </c>
    </row>
    <row r="5639" spans="1:4" ht="15" x14ac:dyDescent="0.25">
      <c r="A5639" t="s">
        <v>15023</v>
      </c>
      <c r="B5639">
        <v>1</v>
      </c>
      <c r="C5639">
        <v>93</v>
      </c>
      <c r="D5639">
        <v>93</v>
      </c>
    </row>
    <row r="5640" spans="1:4" ht="15" x14ac:dyDescent="0.25">
      <c r="A5640" t="s">
        <v>15024</v>
      </c>
      <c r="B5640">
        <v>1</v>
      </c>
      <c r="C5640">
        <v>93</v>
      </c>
      <c r="D5640">
        <v>93</v>
      </c>
    </row>
    <row r="5641" spans="1:4" ht="15" x14ac:dyDescent="0.25">
      <c r="A5641" t="s">
        <v>15028</v>
      </c>
      <c r="B5641">
        <v>1</v>
      </c>
      <c r="C5641">
        <v>12</v>
      </c>
      <c r="D5641">
        <v>12</v>
      </c>
    </row>
    <row r="5642" spans="1:4" ht="15" x14ac:dyDescent="0.25">
      <c r="A5642" t="s">
        <v>15030</v>
      </c>
      <c r="B5642">
        <v>1</v>
      </c>
      <c r="C5642">
        <v>12</v>
      </c>
      <c r="D5642">
        <v>12</v>
      </c>
    </row>
    <row r="5643" spans="1:4" ht="15" x14ac:dyDescent="0.25">
      <c r="A5643" t="s">
        <v>15029</v>
      </c>
      <c r="B5643">
        <v>2</v>
      </c>
      <c r="C5643">
        <v>28</v>
      </c>
      <c r="D5643">
        <v>14</v>
      </c>
    </row>
    <row r="5644" spans="1:4" ht="15" x14ac:dyDescent="0.25">
      <c r="A5644" t="s">
        <v>15034</v>
      </c>
      <c r="B5644">
        <v>1</v>
      </c>
      <c r="C5644">
        <v>32</v>
      </c>
      <c r="D5644">
        <v>32</v>
      </c>
    </row>
    <row r="5645" spans="1:4" ht="15" x14ac:dyDescent="0.25">
      <c r="A5645" t="s">
        <v>15035</v>
      </c>
      <c r="B5645">
        <v>1</v>
      </c>
      <c r="C5645">
        <v>32</v>
      </c>
      <c r="D5645">
        <v>32</v>
      </c>
    </row>
    <row r="5646" spans="1:4" ht="15" x14ac:dyDescent="0.25">
      <c r="A5646" t="s">
        <v>15039</v>
      </c>
      <c r="B5646">
        <v>1</v>
      </c>
      <c r="C5646">
        <v>30</v>
      </c>
      <c r="D5646">
        <v>30</v>
      </c>
    </row>
    <row r="5647" spans="1:4" ht="15" x14ac:dyDescent="0.25">
      <c r="A5647" t="s">
        <v>15041</v>
      </c>
      <c r="B5647">
        <v>1</v>
      </c>
      <c r="C5647">
        <v>30</v>
      </c>
      <c r="D5647">
        <v>30</v>
      </c>
    </row>
    <row r="5648" spans="1:4" ht="15" x14ac:dyDescent="0.25">
      <c r="A5648" t="s">
        <v>15040</v>
      </c>
      <c r="B5648">
        <v>1</v>
      </c>
      <c r="C5648">
        <v>30</v>
      </c>
      <c r="D5648">
        <v>30</v>
      </c>
    </row>
    <row r="5649" spans="1:4" ht="15" x14ac:dyDescent="0.25">
      <c r="A5649" t="s">
        <v>15047</v>
      </c>
      <c r="B5649">
        <v>2</v>
      </c>
      <c r="C5649">
        <v>55</v>
      </c>
      <c r="D5649">
        <v>27.5</v>
      </c>
    </row>
    <row r="5650" spans="1:4" ht="15" x14ac:dyDescent="0.25">
      <c r="A5650" t="s">
        <v>15048</v>
      </c>
      <c r="B5650">
        <v>1</v>
      </c>
      <c r="C5650">
        <v>24</v>
      </c>
      <c r="D5650">
        <v>24</v>
      </c>
    </row>
    <row r="5651" spans="1:4" ht="15" x14ac:dyDescent="0.25">
      <c r="A5651" t="s">
        <v>15050</v>
      </c>
      <c r="B5651">
        <v>1</v>
      </c>
      <c r="C5651">
        <v>24</v>
      </c>
      <c r="D5651">
        <v>24</v>
      </c>
    </row>
    <row r="5652" spans="1:4" ht="15" x14ac:dyDescent="0.25">
      <c r="A5652" t="s">
        <v>15051</v>
      </c>
      <c r="B5652">
        <v>2</v>
      </c>
      <c r="C5652">
        <v>65</v>
      </c>
      <c r="D5652">
        <v>32.5</v>
      </c>
    </row>
    <row r="5653" spans="1:4" ht="15" x14ac:dyDescent="0.25">
      <c r="A5653" t="s">
        <v>15049</v>
      </c>
      <c r="B5653">
        <v>1</v>
      </c>
      <c r="C5653">
        <v>24</v>
      </c>
      <c r="D5653">
        <v>24</v>
      </c>
    </row>
    <row r="5654" spans="1:4" ht="15" x14ac:dyDescent="0.25">
      <c r="A5654" t="s">
        <v>15061</v>
      </c>
      <c r="B5654">
        <v>1</v>
      </c>
      <c r="C5654">
        <v>12</v>
      </c>
      <c r="D5654">
        <v>12</v>
      </c>
    </row>
    <row r="5655" spans="1:4" ht="15" x14ac:dyDescent="0.25">
      <c r="A5655" t="s">
        <v>15063</v>
      </c>
      <c r="B5655">
        <v>1</v>
      </c>
      <c r="C5655">
        <v>12</v>
      </c>
      <c r="D5655">
        <v>12</v>
      </c>
    </row>
    <row r="5656" spans="1:4" ht="15" x14ac:dyDescent="0.25">
      <c r="A5656" t="s">
        <v>15064</v>
      </c>
      <c r="B5656">
        <v>1</v>
      </c>
      <c r="C5656">
        <v>12</v>
      </c>
      <c r="D5656">
        <v>12</v>
      </c>
    </row>
    <row r="5657" spans="1:4" ht="15" x14ac:dyDescent="0.25">
      <c r="A5657" t="s">
        <v>15062</v>
      </c>
      <c r="B5657">
        <v>1</v>
      </c>
      <c r="C5657">
        <v>12</v>
      </c>
      <c r="D5657">
        <v>12</v>
      </c>
    </row>
    <row r="5658" spans="1:4" ht="15" x14ac:dyDescent="0.25">
      <c r="A5658" t="s">
        <v>15069</v>
      </c>
      <c r="B5658">
        <v>1</v>
      </c>
      <c r="C5658">
        <v>105</v>
      </c>
      <c r="D5658">
        <v>105</v>
      </c>
    </row>
    <row r="5659" spans="1:4" ht="15" x14ac:dyDescent="0.25">
      <c r="A5659" t="s">
        <v>15070</v>
      </c>
      <c r="B5659">
        <v>1</v>
      </c>
      <c r="C5659">
        <v>105</v>
      </c>
      <c r="D5659">
        <v>105</v>
      </c>
    </row>
    <row r="5660" spans="1:4" ht="15" x14ac:dyDescent="0.25">
      <c r="A5660" t="s">
        <v>15072</v>
      </c>
      <c r="B5660">
        <v>1</v>
      </c>
      <c r="C5660">
        <v>105</v>
      </c>
      <c r="D5660">
        <v>105</v>
      </c>
    </row>
    <row r="5661" spans="1:4" ht="15" x14ac:dyDescent="0.25">
      <c r="A5661" t="s">
        <v>15071</v>
      </c>
      <c r="B5661">
        <v>1</v>
      </c>
      <c r="C5661">
        <v>105</v>
      </c>
      <c r="D5661">
        <v>105</v>
      </c>
    </row>
    <row r="5662" spans="1:4" ht="15" x14ac:dyDescent="0.25">
      <c r="A5662" t="s">
        <v>15083</v>
      </c>
      <c r="B5662">
        <v>1</v>
      </c>
      <c r="C5662">
        <v>30</v>
      </c>
      <c r="D5662">
        <v>30</v>
      </c>
    </row>
    <row r="5663" spans="1:4" ht="15" x14ac:dyDescent="0.25">
      <c r="A5663" t="s">
        <v>15084</v>
      </c>
      <c r="B5663">
        <v>1</v>
      </c>
      <c r="C5663">
        <v>30</v>
      </c>
      <c r="D5663">
        <v>30</v>
      </c>
    </row>
    <row r="5664" spans="1:4" ht="15" x14ac:dyDescent="0.25">
      <c r="A5664" t="s">
        <v>15085</v>
      </c>
      <c r="B5664">
        <v>1</v>
      </c>
      <c r="C5664">
        <v>30</v>
      </c>
      <c r="D5664">
        <v>30</v>
      </c>
    </row>
    <row r="5665" spans="1:4" ht="15" x14ac:dyDescent="0.25">
      <c r="A5665" t="s">
        <v>15089</v>
      </c>
      <c r="B5665">
        <v>1</v>
      </c>
      <c r="C5665">
        <v>9</v>
      </c>
      <c r="D5665">
        <v>9</v>
      </c>
    </row>
    <row r="5666" spans="1:4" ht="15" x14ac:dyDescent="0.25">
      <c r="A5666" t="s">
        <v>15090</v>
      </c>
      <c r="B5666">
        <v>1</v>
      </c>
      <c r="C5666">
        <v>9</v>
      </c>
      <c r="D5666">
        <v>9</v>
      </c>
    </row>
    <row r="5667" spans="1:4" ht="15" x14ac:dyDescent="0.25">
      <c r="A5667" t="s">
        <v>15091</v>
      </c>
      <c r="B5667">
        <v>1</v>
      </c>
      <c r="C5667">
        <v>9</v>
      </c>
      <c r="D5667">
        <v>9</v>
      </c>
    </row>
    <row r="5668" spans="1:4" ht="15" x14ac:dyDescent="0.25">
      <c r="A5668" t="s">
        <v>15095</v>
      </c>
      <c r="B5668">
        <v>1</v>
      </c>
      <c r="C5668">
        <v>122</v>
      </c>
      <c r="D5668">
        <v>122</v>
      </c>
    </row>
    <row r="5669" spans="1:4" ht="15" x14ac:dyDescent="0.25">
      <c r="A5669" t="s">
        <v>15099</v>
      </c>
      <c r="B5669">
        <v>1</v>
      </c>
      <c r="C5669">
        <v>7</v>
      </c>
      <c r="D5669">
        <v>7</v>
      </c>
    </row>
    <row r="5670" spans="1:4" ht="15" x14ac:dyDescent="0.25">
      <c r="A5670" t="s">
        <v>15101</v>
      </c>
      <c r="B5670">
        <v>1</v>
      </c>
      <c r="C5670">
        <v>7</v>
      </c>
      <c r="D5670">
        <v>7</v>
      </c>
    </row>
    <row r="5671" spans="1:4" ht="15" x14ac:dyDescent="0.25">
      <c r="A5671" t="s">
        <v>15100</v>
      </c>
      <c r="B5671">
        <v>1</v>
      </c>
      <c r="C5671">
        <v>7</v>
      </c>
      <c r="D5671">
        <v>7</v>
      </c>
    </row>
    <row r="5672" spans="1:4" ht="15" x14ac:dyDescent="0.25">
      <c r="A5672" t="s">
        <v>15104</v>
      </c>
      <c r="B5672">
        <v>1</v>
      </c>
      <c r="C5672">
        <v>52</v>
      </c>
      <c r="D5672">
        <v>52</v>
      </c>
    </row>
    <row r="5673" spans="1:4" ht="15" x14ac:dyDescent="0.25">
      <c r="A5673" t="s">
        <v>15109</v>
      </c>
      <c r="B5673">
        <v>1</v>
      </c>
      <c r="C5673">
        <v>85</v>
      </c>
      <c r="D5673">
        <v>85</v>
      </c>
    </row>
    <row r="5674" spans="1:4" ht="15" x14ac:dyDescent="0.25">
      <c r="A5674" t="s">
        <v>15111</v>
      </c>
      <c r="B5674">
        <v>1</v>
      </c>
      <c r="C5674">
        <v>85</v>
      </c>
      <c r="D5674">
        <v>85</v>
      </c>
    </row>
    <row r="5675" spans="1:4" ht="15" x14ac:dyDescent="0.25">
      <c r="A5675" t="s">
        <v>15112</v>
      </c>
      <c r="B5675">
        <v>1</v>
      </c>
      <c r="C5675">
        <v>85</v>
      </c>
      <c r="D5675">
        <v>85</v>
      </c>
    </row>
    <row r="5676" spans="1:4" ht="15" x14ac:dyDescent="0.25">
      <c r="A5676" t="s">
        <v>15110</v>
      </c>
      <c r="B5676">
        <v>1</v>
      </c>
      <c r="C5676">
        <v>85</v>
      </c>
      <c r="D5676">
        <v>85</v>
      </c>
    </row>
    <row r="5677" spans="1:4" ht="15" x14ac:dyDescent="0.25">
      <c r="A5677" t="s">
        <v>15116</v>
      </c>
      <c r="B5677">
        <v>2</v>
      </c>
      <c r="C5677">
        <v>165</v>
      </c>
      <c r="D5677">
        <v>82.5</v>
      </c>
    </row>
    <row r="5678" spans="1:4" ht="15" x14ac:dyDescent="0.25">
      <c r="A5678" t="s">
        <v>15117</v>
      </c>
      <c r="B5678">
        <v>2</v>
      </c>
      <c r="C5678">
        <v>62</v>
      </c>
      <c r="D5678">
        <v>31</v>
      </c>
    </row>
    <row r="5679" spans="1:4" ht="15" x14ac:dyDescent="0.25">
      <c r="A5679" t="s">
        <v>15125</v>
      </c>
      <c r="B5679">
        <v>2</v>
      </c>
      <c r="C5679">
        <v>107</v>
      </c>
      <c r="D5679">
        <v>53.5</v>
      </c>
    </row>
    <row r="5680" spans="1:4" ht="15" x14ac:dyDescent="0.25">
      <c r="A5680" t="s">
        <v>15127</v>
      </c>
      <c r="B5680">
        <v>1</v>
      </c>
      <c r="C5680">
        <v>52</v>
      </c>
      <c r="D5680">
        <v>52</v>
      </c>
    </row>
    <row r="5681" spans="1:4" ht="15" x14ac:dyDescent="0.25">
      <c r="A5681" t="s">
        <v>15126</v>
      </c>
      <c r="B5681">
        <v>2</v>
      </c>
      <c r="C5681">
        <v>123</v>
      </c>
      <c r="D5681">
        <v>61.5</v>
      </c>
    </row>
    <row r="5682" spans="1:4" ht="15" x14ac:dyDescent="0.25">
      <c r="A5682" t="s">
        <v>15131</v>
      </c>
      <c r="B5682">
        <v>1</v>
      </c>
      <c r="C5682">
        <v>14</v>
      </c>
      <c r="D5682">
        <v>14</v>
      </c>
    </row>
    <row r="5683" spans="1:4" ht="15" x14ac:dyDescent="0.25">
      <c r="A5683" t="s">
        <v>15132</v>
      </c>
      <c r="B5683">
        <v>1</v>
      </c>
      <c r="C5683">
        <v>14</v>
      </c>
      <c r="D5683">
        <v>14</v>
      </c>
    </row>
    <row r="5684" spans="1:4" ht="15" x14ac:dyDescent="0.25">
      <c r="A5684" t="s">
        <v>15133</v>
      </c>
      <c r="B5684">
        <v>1</v>
      </c>
      <c r="C5684">
        <v>14</v>
      </c>
      <c r="D5684">
        <v>14</v>
      </c>
    </row>
    <row r="5685" spans="1:4" ht="15" x14ac:dyDescent="0.25">
      <c r="A5685" t="s">
        <v>15137</v>
      </c>
      <c r="B5685">
        <v>1</v>
      </c>
      <c r="C5685">
        <v>17</v>
      </c>
      <c r="D5685">
        <v>17</v>
      </c>
    </row>
    <row r="5686" spans="1:4" ht="15" x14ac:dyDescent="0.25">
      <c r="A5686" t="s">
        <v>15138</v>
      </c>
      <c r="B5686">
        <v>1</v>
      </c>
      <c r="C5686">
        <v>17</v>
      </c>
      <c r="D5686">
        <v>17</v>
      </c>
    </row>
    <row r="5687" spans="1:4" ht="15" x14ac:dyDescent="0.25">
      <c r="A5687" t="s">
        <v>15140</v>
      </c>
      <c r="B5687">
        <v>1</v>
      </c>
      <c r="C5687">
        <v>17</v>
      </c>
      <c r="D5687">
        <v>17</v>
      </c>
    </row>
    <row r="5688" spans="1:4" ht="15" x14ac:dyDescent="0.25">
      <c r="A5688" t="s">
        <v>15141</v>
      </c>
      <c r="B5688">
        <v>1</v>
      </c>
      <c r="C5688">
        <v>17</v>
      </c>
      <c r="D5688">
        <v>17</v>
      </c>
    </row>
    <row r="5689" spans="1:4" ht="15" x14ac:dyDescent="0.25">
      <c r="A5689" t="s">
        <v>15139</v>
      </c>
      <c r="B5689">
        <v>1</v>
      </c>
      <c r="C5689">
        <v>17</v>
      </c>
      <c r="D5689">
        <v>17</v>
      </c>
    </row>
    <row r="5690" spans="1:4" ht="15" x14ac:dyDescent="0.25">
      <c r="A5690" t="s">
        <v>15145</v>
      </c>
      <c r="B5690">
        <v>2</v>
      </c>
      <c r="C5690">
        <v>65</v>
      </c>
      <c r="D5690">
        <v>32.5</v>
      </c>
    </row>
    <row r="5691" spans="1:4" ht="15" x14ac:dyDescent="0.25">
      <c r="A5691" t="s">
        <v>15147</v>
      </c>
      <c r="B5691">
        <v>1</v>
      </c>
      <c r="C5691">
        <v>24</v>
      </c>
      <c r="D5691">
        <v>24</v>
      </c>
    </row>
    <row r="5692" spans="1:4" ht="15" x14ac:dyDescent="0.25">
      <c r="A5692" t="s">
        <v>15148</v>
      </c>
      <c r="B5692">
        <v>1</v>
      </c>
      <c r="C5692">
        <v>24</v>
      </c>
      <c r="D5692">
        <v>24</v>
      </c>
    </row>
    <row r="5693" spans="1:4" ht="15" x14ac:dyDescent="0.25">
      <c r="A5693" t="s">
        <v>15146</v>
      </c>
      <c r="B5693">
        <v>1</v>
      </c>
      <c r="C5693">
        <v>24</v>
      </c>
      <c r="D5693">
        <v>24</v>
      </c>
    </row>
    <row r="5694" spans="1:4" ht="15" x14ac:dyDescent="0.25">
      <c r="A5694" t="s">
        <v>15154</v>
      </c>
      <c r="B5694">
        <v>1</v>
      </c>
      <c r="C5694">
        <v>4</v>
      </c>
      <c r="D5694">
        <v>4</v>
      </c>
    </row>
    <row r="5695" spans="1:4" ht="15" x14ac:dyDescent="0.25">
      <c r="A5695" t="s">
        <v>15158</v>
      </c>
      <c r="B5695">
        <v>2</v>
      </c>
      <c r="C5695">
        <v>90</v>
      </c>
      <c r="D5695">
        <v>45</v>
      </c>
    </row>
    <row r="5696" spans="1:4" ht="15" x14ac:dyDescent="0.25">
      <c r="A5696" t="s">
        <v>15164</v>
      </c>
      <c r="B5696">
        <v>3</v>
      </c>
      <c r="C5696">
        <v>178</v>
      </c>
      <c r="D5696">
        <v>59.333333333333336</v>
      </c>
    </row>
    <row r="5697" spans="1:4" ht="15" x14ac:dyDescent="0.25">
      <c r="A5697" t="s">
        <v>15167</v>
      </c>
      <c r="B5697">
        <v>1</v>
      </c>
      <c r="C5697">
        <v>27</v>
      </c>
      <c r="D5697">
        <v>27</v>
      </c>
    </row>
    <row r="5698" spans="1:4" ht="15" x14ac:dyDescent="0.25">
      <c r="A5698" t="s">
        <v>15169</v>
      </c>
      <c r="B5698">
        <v>2</v>
      </c>
      <c r="C5698">
        <v>48</v>
      </c>
      <c r="D5698">
        <v>24</v>
      </c>
    </row>
    <row r="5699" spans="1:4" ht="15" x14ac:dyDescent="0.25">
      <c r="A5699" t="s">
        <v>15168</v>
      </c>
      <c r="B5699">
        <v>1</v>
      </c>
      <c r="C5699">
        <v>27</v>
      </c>
      <c r="D5699">
        <v>27</v>
      </c>
    </row>
    <row r="5700" spans="1:4" ht="15" x14ac:dyDescent="0.25">
      <c r="A5700" t="s">
        <v>15178</v>
      </c>
      <c r="B5700">
        <v>1</v>
      </c>
      <c r="C5700">
        <v>45</v>
      </c>
      <c r="D5700">
        <v>45</v>
      </c>
    </row>
    <row r="5701" spans="1:4" ht="15" x14ac:dyDescent="0.25">
      <c r="A5701" t="s">
        <v>15179</v>
      </c>
      <c r="B5701">
        <v>1</v>
      </c>
      <c r="C5701">
        <v>45</v>
      </c>
      <c r="D5701">
        <v>45</v>
      </c>
    </row>
    <row r="5702" spans="1:4" ht="15" x14ac:dyDescent="0.25">
      <c r="A5702" t="s">
        <v>15185</v>
      </c>
      <c r="B5702">
        <v>3</v>
      </c>
      <c r="C5702">
        <v>298</v>
      </c>
      <c r="D5702">
        <v>99.333333333333329</v>
      </c>
    </row>
    <row r="5703" spans="1:4" ht="15" x14ac:dyDescent="0.25">
      <c r="A5703" t="s">
        <v>15186</v>
      </c>
      <c r="B5703">
        <v>1</v>
      </c>
      <c r="C5703">
        <v>98</v>
      </c>
      <c r="D5703">
        <v>98</v>
      </c>
    </row>
    <row r="5704" spans="1:4" ht="15" x14ac:dyDescent="0.25">
      <c r="A5704" t="s">
        <v>15187</v>
      </c>
      <c r="B5704">
        <v>3</v>
      </c>
      <c r="C5704">
        <v>260</v>
      </c>
      <c r="D5704">
        <v>86.666666666666671</v>
      </c>
    </row>
    <row r="5705" spans="1:4" ht="15" x14ac:dyDescent="0.25">
      <c r="A5705" t="s">
        <v>15194</v>
      </c>
      <c r="B5705">
        <v>1</v>
      </c>
      <c r="C5705">
        <v>22</v>
      </c>
      <c r="D5705">
        <v>22</v>
      </c>
    </row>
    <row r="5706" spans="1:4" ht="15" x14ac:dyDescent="0.25">
      <c r="A5706" t="s">
        <v>15195</v>
      </c>
      <c r="B5706">
        <v>1</v>
      </c>
      <c r="C5706">
        <v>22</v>
      </c>
      <c r="D5706">
        <v>22</v>
      </c>
    </row>
    <row r="5707" spans="1:4" ht="15" x14ac:dyDescent="0.25">
      <c r="A5707" t="s">
        <v>15196</v>
      </c>
      <c r="B5707">
        <v>1</v>
      </c>
      <c r="C5707">
        <v>22</v>
      </c>
      <c r="D5707">
        <v>22</v>
      </c>
    </row>
    <row r="5708" spans="1:4" ht="15" x14ac:dyDescent="0.25">
      <c r="A5708" t="s">
        <v>15200</v>
      </c>
      <c r="B5708">
        <v>2</v>
      </c>
      <c r="C5708">
        <v>68</v>
      </c>
      <c r="D5708">
        <v>34</v>
      </c>
    </row>
    <row r="5709" spans="1:4" ht="15" x14ac:dyDescent="0.25">
      <c r="A5709" t="s">
        <v>15201</v>
      </c>
      <c r="B5709">
        <v>3</v>
      </c>
      <c r="C5709">
        <v>87</v>
      </c>
      <c r="D5709">
        <v>29</v>
      </c>
    </row>
    <row r="5710" spans="1:4" ht="15" x14ac:dyDescent="0.25">
      <c r="A5710" t="s">
        <v>15205</v>
      </c>
      <c r="B5710">
        <v>1</v>
      </c>
      <c r="C5710">
        <v>83</v>
      </c>
      <c r="D5710">
        <v>83</v>
      </c>
    </row>
    <row r="5711" spans="1:4" ht="15" x14ac:dyDescent="0.25">
      <c r="A5711" t="s">
        <v>15212</v>
      </c>
      <c r="B5711">
        <v>1</v>
      </c>
      <c r="C5711">
        <v>19</v>
      </c>
      <c r="D5711">
        <v>19</v>
      </c>
    </row>
    <row r="5712" spans="1:4" ht="15" x14ac:dyDescent="0.25">
      <c r="A5712" t="s">
        <v>15213</v>
      </c>
      <c r="B5712">
        <v>1</v>
      </c>
      <c r="C5712">
        <v>19</v>
      </c>
      <c r="D5712">
        <v>19</v>
      </c>
    </row>
    <row r="5713" spans="1:4" ht="15" x14ac:dyDescent="0.25">
      <c r="A5713" t="s">
        <v>15214</v>
      </c>
      <c r="B5713">
        <v>1</v>
      </c>
      <c r="C5713">
        <v>19</v>
      </c>
      <c r="D5713">
        <v>19</v>
      </c>
    </row>
    <row r="5714" spans="1:4" ht="15" x14ac:dyDescent="0.25">
      <c r="A5714" t="s">
        <v>15219</v>
      </c>
      <c r="B5714">
        <v>1</v>
      </c>
      <c r="C5714">
        <v>1662</v>
      </c>
      <c r="D5714">
        <v>1662</v>
      </c>
    </row>
    <row r="5715" spans="1:4" ht="15" x14ac:dyDescent="0.25">
      <c r="A5715" t="s">
        <v>15218</v>
      </c>
      <c r="B5715">
        <v>2</v>
      </c>
      <c r="C5715">
        <v>2159</v>
      </c>
      <c r="D5715">
        <v>1079.5</v>
      </c>
    </row>
    <row r="5716" spans="1:4" ht="15" x14ac:dyDescent="0.25">
      <c r="A5716" t="s">
        <v>15226</v>
      </c>
      <c r="B5716">
        <v>1</v>
      </c>
      <c r="C5716">
        <v>17</v>
      </c>
      <c r="D5716">
        <v>17</v>
      </c>
    </row>
    <row r="5717" spans="1:4" ht="15" x14ac:dyDescent="0.25">
      <c r="A5717" t="s">
        <v>15227</v>
      </c>
      <c r="B5717">
        <v>1</v>
      </c>
      <c r="C5717">
        <v>17</v>
      </c>
      <c r="D5717">
        <v>17</v>
      </c>
    </row>
    <row r="5718" spans="1:4" ht="15" x14ac:dyDescent="0.25">
      <c r="A5718" t="s">
        <v>15228</v>
      </c>
      <c r="B5718">
        <v>1</v>
      </c>
      <c r="C5718">
        <v>17</v>
      </c>
      <c r="D5718">
        <v>17</v>
      </c>
    </row>
    <row r="5719" spans="1:4" ht="15" x14ac:dyDescent="0.25">
      <c r="A5719" t="s">
        <v>15236</v>
      </c>
      <c r="B5719">
        <v>1</v>
      </c>
      <c r="C5719">
        <v>59</v>
      </c>
      <c r="D5719">
        <v>59</v>
      </c>
    </row>
    <row r="5720" spans="1:4" ht="15" x14ac:dyDescent="0.25">
      <c r="A5720" t="s">
        <v>15237</v>
      </c>
      <c r="B5720">
        <v>1</v>
      </c>
      <c r="C5720">
        <v>59</v>
      </c>
      <c r="D5720">
        <v>59</v>
      </c>
    </row>
    <row r="5721" spans="1:4" ht="15" x14ac:dyDescent="0.25">
      <c r="A5721" t="s">
        <v>15245</v>
      </c>
      <c r="B5721">
        <v>1</v>
      </c>
      <c r="C5721">
        <v>31</v>
      </c>
      <c r="D5721">
        <v>31</v>
      </c>
    </row>
    <row r="5722" spans="1:4" ht="15" x14ac:dyDescent="0.25">
      <c r="A5722" t="s">
        <v>15246</v>
      </c>
      <c r="B5722">
        <v>2</v>
      </c>
      <c r="C5722">
        <v>71</v>
      </c>
      <c r="D5722">
        <v>35.5</v>
      </c>
    </row>
    <row r="5723" spans="1:4" ht="15" x14ac:dyDescent="0.25">
      <c r="A5723" t="s">
        <v>15247</v>
      </c>
      <c r="B5723">
        <v>1</v>
      </c>
      <c r="C5723">
        <v>31</v>
      </c>
      <c r="D5723">
        <v>31</v>
      </c>
    </row>
    <row r="5724" spans="1:4" ht="15" x14ac:dyDescent="0.25">
      <c r="A5724" t="s">
        <v>15250</v>
      </c>
      <c r="B5724">
        <v>1</v>
      </c>
      <c r="C5724">
        <v>16</v>
      </c>
      <c r="D5724">
        <v>16</v>
      </c>
    </row>
    <row r="5725" spans="1:4" ht="15" x14ac:dyDescent="0.25">
      <c r="A5725" t="s">
        <v>15251</v>
      </c>
      <c r="B5725">
        <v>1</v>
      </c>
      <c r="C5725">
        <v>16</v>
      </c>
      <c r="D5725">
        <v>16</v>
      </c>
    </row>
    <row r="5726" spans="1:4" ht="15" x14ac:dyDescent="0.25">
      <c r="A5726" t="s">
        <v>15259</v>
      </c>
      <c r="B5726">
        <v>1</v>
      </c>
      <c r="C5726">
        <v>90</v>
      </c>
      <c r="D5726">
        <v>90</v>
      </c>
    </row>
    <row r="5727" spans="1:4" ht="15" x14ac:dyDescent="0.25">
      <c r="A5727" t="s">
        <v>15260</v>
      </c>
      <c r="B5727">
        <v>7</v>
      </c>
      <c r="C5727">
        <v>189</v>
      </c>
      <c r="D5727">
        <v>27</v>
      </c>
    </row>
    <row r="5728" spans="1:4" ht="15" x14ac:dyDescent="0.25">
      <c r="A5728" t="s">
        <v>15262</v>
      </c>
      <c r="B5728">
        <v>1</v>
      </c>
      <c r="C5728">
        <v>90</v>
      </c>
      <c r="D5728">
        <v>90</v>
      </c>
    </row>
    <row r="5729" spans="1:4" ht="15" x14ac:dyDescent="0.25">
      <c r="A5729" t="s">
        <v>15261</v>
      </c>
      <c r="B5729">
        <v>1</v>
      </c>
      <c r="C5729">
        <v>90</v>
      </c>
      <c r="D5729">
        <v>90</v>
      </c>
    </row>
    <row r="5730" spans="1:4" ht="15" x14ac:dyDescent="0.25">
      <c r="A5730" t="s">
        <v>15266</v>
      </c>
      <c r="B5730">
        <v>1</v>
      </c>
      <c r="C5730">
        <v>11</v>
      </c>
      <c r="D5730">
        <v>11</v>
      </c>
    </row>
    <row r="5731" spans="1:4" ht="15" x14ac:dyDescent="0.25">
      <c r="A5731" t="s">
        <v>15268</v>
      </c>
      <c r="B5731">
        <v>1</v>
      </c>
      <c r="C5731">
        <v>11</v>
      </c>
      <c r="D5731">
        <v>11</v>
      </c>
    </row>
    <row r="5732" spans="1:4" ht="15" x14ac:dyDescent="0.25">
      <c r="A5732" t="s">
        <v>15267</v>
      </c>
      <c r="B5732">
        <v>2</v>
      </c>
      <c r="C5732">
        <v>109</v>
      </c>
      <c r="D5732">
        <v>54.5</v>
      </c>
    </row>
    <row r="5733" spans="1:4" ht="15" x14ac:dyDescent="0.25">
      <c r="A5733" t="s">
        <v>15272</v>
      </c>
      <c r="B5733">
        <v>1</v>
      </c>
      <c r="C5733">
        <v>34</v>
      </c>
      <c r="D5733">
        <v>34</v>
      </c>
    </row>
    <row r="5734" spans="1:4" ht="15" x14ac:dyDescent="0.25">
      <c r="A5734" t="s">
        <v>15282</v>
      </c>
      <c r="B5734">
        <v>1</v>
      </c>
      <c r="C5734">
        <v>67</v>
      </c>
      <c r="D5734">
        <v>67</v>
      </c>
    </row>
    <row r="5735" spans="1:4" ht="15" x14ac:dyDescent="0.25">
      <c r="A5735" t="s">
        <v>15281</v>
      </c>
      <c r="B5735">
        <v>1</v>
      </c>
      <c r="C5735">
        <v>67</v>
      </c>
      <c r="D5735">
        <v>67</v>
      </c>
    </row>
    <row r="5736" spans="1:4" ht="15" x14ac:dyDescent="0.25">
      <c r="A5736" t="s">
        <v>15283</v>
      </c>
      <c r="B5736">
        <v>1</v>
      </c>
      <c r="C5736">
        <v>129</v>
      </c>
      <c r="D5736">
        <v>129</v>
      </c>
    </row>
    <row r="5737" spans="1:4" ht="15" x14ac:dyDescent="0.25">
      <c r="A5737" t="s">
        <v>15287</v>
      </c>
      <c r="B5737">
        <v>1</v>
      </c>
      <c r="C5737">
        <v>129</v>
      </c>
      <c r="D5737">
        <v>129</v>
      </c>
    </row>
    <row r="5738" spans="1:4" ht="15" x14ac:dyDescent="0.25">
      <c r="A5738" t="s">
        <v>15289</v>
      </c>
      <c r="B5738">
        <v>1</v>
      </c>
      <c r="C5738">
        <v>129</v>
      </c>
      <c r="D5738">
        <v>129</v>
      </c>
    </row>
    <row r="5739" spans="1:4" ht="15" x14ac:dyDescent="0.25">
      <c r="A5739" t="s">
        <v>15288</v>
      </c>
      <c r="B5739">
        <v>1</v>
      </c>
      <c r="C5739">
        <v>129</v>
      </c>
      <c r="D5739">
        <v>129</v>
      </c>
    </row>
    <row r="5740" spans="1:4" ht="15" x14ac:dyDescent="0.25">
      <c r="A5740" t="s">
        <v>15290</v>
      </c>
      <c r="B5740">
        <v>1</v>
      </c>
      <c r="C5740">
        <v>65</v>
      </c>
      <c r="D5740">
        <v>65</v>
      </c>
    </row>
    <row r="5741" spans="1:4" ht="15" x14ac:dyDescent="0.25">
      <c r="A5741" t="s">
        <v>15297</v>
      </c>
      <c r="B5741">
        <v>5</v>
      </c>
      <c r="C5741">
        <v>995</v>
      </c>
      <c r="D5741">
        <v>199</v>
      </c>
    </row>
    <row r="5742" spans="1:4" ht="15" x14ac:dyDescent="0.25">
      <c r="A5742" t="s">
        <v>15300</v>
      </c>
      <c r="B5742">
        <v>1</v>
      </c>
      <c r="C5742">
        <v>37</v>
      </c>
      <c r="D5742">
        <v>37</v>
      </c>
    </row>
    <row r="5743" spans="1:4" ht="15" x14ac:dyDescent="0.25">
      <c r="A5743" t="s">
        <v>15301</v>
      </c>
      <c r="B5743">
        <v>1</v>
      </c>
      <c r="C5743">
        <v>37</v>
      </c>
      <c r="D5743">
        <v>37</v>
      </c>
    </row>
    <row r="5744" spans="1:4" ht="15" x14ac:dyDescent="0.25">
      <c r="A5744" t="s">
        <v>15302</v>
      </c>
      <c r="B5744">
        <v>1</v>
      </c>
      <c r="C5744">
        <v>37</v>
      </c>
      <c r="D5744">
        <v>37</v>
      </c>
    </row>
    <row r="5745" spans="1:4" ht="15" x14ac:dyDescent="0.25">
      <c r="A5745" t="s">
        <v>15306</v>
      </c>
      <c r="B5745">
        <v>1</v>
      </c>
      <c r="C5745">
        <v>30</v>
      </c>
      <c r="D5745">
        <v>30</v>
      </c>
    </row>
    <row r="5746" spans="1:4" ht="15" x14ac:dyDescent="0.25">
      <c r="A5746" t="s">
        <v>15307</v>
      </c>
      <c r="B5746">
        <v>3</v>
      </c>
      <c r="C5746">
        <v>138</v>
      </c>
      <c r="D5746">
        <v>46</v>
      </c>
    </row>
    <row r="5747" spans="1:4" ht="15" x14ac:dyDescent="0.25">
      <c r="A5747" t="s">
        <v>15309</v>
      </c>
      <c r="B5747">
        <v>1</v>
      </c>
      <c r="C5747">
        <v>30</v>
      </c>
      <c r="D5747">
        <v>30</v>
      </c>
    </row>
    <row r="5748" spans="1:4" ht="15" x14ac:dyDescent="0.25">
      <c r="A5748" t="s">
        <v>15308</v>
      </c>
      <c r="B5748">
        <v>1</v>
      </c>
      <c r="C5748">
        <v>30</v>
      </c>
      <c r="D5748">
        <v>30</v>
      </c>
    </row>
    <row r="5749" spans="1:4" ht="15" x14ac:dyDescent="0.25">
      <c r="A5749" t="s">
        <v>15314</v>
      </c>
      <c r="B5749">
        <v>1</v>
      </c>
      <c r="C5749">
        <v>103</v>
      </c>
      <c r="D5749">
        <v>103</v>
      </c>
    </row>
    <row r="5750" spans="1:4" ht="15" x14ac:dyDescent="0.25">
      <c r="A5750" t="s">
        <v>15316</v>
      </c>
      <c r="B5750">
        <v>1</v>
      </c>
      <c r="C5750">
        <v>103</v>
      </c>
      <c r="D5750">
        <v>103</v>
      </c>
    </row>
    <row r="5751" spans="1:4" ht="15" x14ac:dyDescent="0.25">
      <c r="A5751" t="s">
        <v>15317</v>
      </c>
      <c r="B5751">
        <v>1</v>
      </c>
      <c r="C5751">
        <v>103</v>
      </c>
      <c r="D5751">
        <v>103</v>
      </c>
    </row>
    <row r="5752" spans="1:4" ht="15" x14ac:dyDescent="0.25">
      <c r="A5752" t="s">
        <v>15315</v>
      </c>
      <c r="B5752">
        <v>1</v>
      </c>
      <c r="C5752">
        <v>103</v>
      </c>
      <c r="D5752">
        <v>103</v>
      </c>
    </row>
    <row r="5753" spans="1:4" ht="15" x14ac:dyDescent="0.25">
      <c r="A5753" t="s">
        <v>15322</v>
      </c>
      <c r="B5753">
        <v>1</v>
      </c>
      <c r="C5753">
        <v>31</v>
      </c>
      <c r="D5753">
        <v>31</v>
      </c>
    </row>
    <row r="5754" spans="1:4" ht="15" x14ac:dyDescent="0.25">
      <c r="A5754" t="s">
        <v>15330</v>
      </c>
      <c r="B5754">
        <v>1</v>
      </c>
      <c r="C5754">
        <v>25</v>
      </c>
      <c r="D5754">
        <v>25</v>
      </c>
    </row>
    <row r="5755" spans="1:4" ht="15" x14ac:dyDescent="0.25">
      <c r="A5755" t="s">
        <v>15334</v>
      </c>
      <c r="B5755">
        <v>1</v>
      </c>
      <c r="C5755">
        <v>25</v>
      </c>
      <c r="D5755">
        <v>25</v>
      </c>
    </row>
    <row r="5756" spans="1:4" ht="15" x14ac:dyDescent="0.25">
      <c r="A5756" t="s">
        <v>15336</v>
      </c>
      <c r="B5756">
        <v>3</v>
      </c>
      <c r="C5756">
        <v>126</v>
      </c>
      <c r="D5756">
        <v>42</v>
      </c>
    </row>
    <row r="5757" spans="1:4" ht="15" x14ac:dyDescent="0.25">
      <c r="A5757" t="s">
        <v>15335</v>
      </c>
      <c r="B5757">
        <v>1</v>
      </c>
      <c r="C5757">
        <v>25</v>
      </c>
      <c r="D5757">
        <v>25</v>
      </c>
    </row>
    <row r="5758" spans="1:4" ht="15" x14ac:dyDescent="0.25">
      <c r="A5758" t="s">
        <v>15341</v>
      </c>
      <c r="B5758">
        <v>1</v>
      </c>
      <c r="C5758">
        <v>69</v>
      </c>
      <c r="D5758">
        <v>69</v>
      </c>
    </row>
    <row r="5759" spans="1:4" ht="15" x14ac:dyDescent="0.25">
      <c r="A5759" t="s">
        <v>15342</v>
      </c>
      <c r="B5759">
        <v>1</v>
      </c>
      <c r="C5759">
        <v>69</v>
      </c>
      <c r="D5759">
        <v>69</v>
      </c>
    </row>
    <row r="5760" spans="1:4" ht="15" x14ac:dyDescent="0.25">
      <c r="A5760" t="s">
        <v>15343</v>
      </c>
      <c r="B5760">
        <v>1</v>
      </c>
      <c r="C5760">
        <v>16</v>
      </c>
      <c r="D5760">
        <v>16</v>
      </c>
    </row>
    <row r="5761" spans="1:4" ht="15" x14ac:dyDescent="0.25">
      <c r="A5761" t="s">
        <v>15346</v>
      </c>
      <c r="B5761">
        <v>1</v>
      </c>
      <c r="C5761">
        <v>16</v>
      </c>
      <c r="D5761">
        <v>16</v>
      </c>
    </row>
    <row r="5762" spans="1:4" ht="15" x14ac:dyDescent="0.25">
      <c r="A5762" t="s">
        <v>15350</v>
      </c>
      <c r="B5762">
        <v>1</v>
      </c>
      <c r="C5762">
        <v>63</v>
      </c>
      <c r="D5762">
        <v>63</v>
      </c>
    </row>
    <row r="5763" spans="1:4" ht="15" x14ac:dyDescent="0.25">
      <c r="A5763" t="s">
        <v>15352</v>
      </c>
      <c r="B5763">
        <v>1</v>
      </c>
      <c r="C5763">
        <v>63</v>
      </c>
      <c r="D5763">
        <v>63</v>
      </c>
    </row>
    <row r="5764" spans="1:4" ht="15" x14ac:dyDescent="0.25">
      <c r="A5764" t="s">
        <v>15353</v>
      </c>
      <c r="B5764">
        <v>1</v>
      </c>
      <c r="C5764">
        <v>63</v>
      </c>
      <c r="D5764">
        <v>63</v>
      </c>
    </row>
    <row r="5765" spans="1:4" ht="15" x14ac:dyDescent="0.25">
      <c r="A5765" t="s">
        <v>15351</v>
      </c>
      <c r="B5765">
        <v>1</v>
      </c>
      <c r="C5765">
        <v>63</v>
      </c>
      <c r="D5765">
        <v>63</v>
      </c>
    </row>
    <row r="5766" spans="1:4" ht="15" x14ac:dyDescent="0.25">
      <c r="A5766" t="s">
        <v>15356</v>
      </c>
      <c r="B5766">
        <v>1</v>
      </c>
      <c r="C5766">
        <v>119</v>
      </c>
      <c r="D5766">
        <v>119</v>
      </c>
    </row>
    <row r="5767" spans="1:4" ht="15" x14ac:dyDescent="0.25">
      <c r="A5767" t="s">
        <v>15359</v>
      </c>
      <c r="B5767">
        <v>1</v>
      </c>
      <c r="C5767">
        <v>50</v>
      </c>
      <c r="D5767">
        <v>50</v>
      </c>
    </row>
    <row r="5768" spans="1:4" ht="15" x14ac:dyDescent="0.25">
      <c r="A5768" t="s">
        <v>15363</v>
      </c>
      <c r="B5768">
        <v>1</v>
      </c>
      <c r="C5768">
        <v>47</v>
      </c>
      <c r="D5768">
        <v>47</v>
      </c>
    </row>
    <row r="5769" spans="1:4" ht="15" x14ac:dyDescent="0.25">
      <c r="A5769" t="s">
        <v>15364</v>
      </c>
      <c r="B5769">
        <v>1</v>
      </c>
      <c r="C5769">
        <v>47</v>
      </c>
      <c r="D5769">
        <v>47</v>
      </c>
    </row>
    <row r="5770" spans="1:4" ht="15" x14ac:dyDescent="0.25">
      <c r="A5770" t="s">
        <v>15366</v>
      </c>
      <c r="B5770">
        <v>2</v>
      </c>
      <c r="C5770">
        <v>87</v>
      </c>
      <c r="D5770">
        <v>43.5</v>
      </c>
    </row>
    <row r="5771" spans="1:4" ht="15" x14ac:dyDescent="0.25">
      <c r="A5771" t="s">
        <v>15367</v>
      </c>
      <c r="B5771">
        <v>1</v>
      </c>
      <c r="C5771">
        <v>47</v>
      </c>
      <c r="D5771">
        <v>47</v>
      </c>
    </row>
    <row r="5772" spans="1:4" ht="15" x14ac:dyDescent="0.25">
      <c r="A5772" t="s">
        <v>15365</v>
      </c>
      <c r="B5772">
        <v>1</v>
      </c>
      <c r="C5772">
        <v>47</v>
      </c>
      <c r="D5772">
        <v>47</v>
      </c>
    </row>
    <row r="5773" spans="1:4" ht="15" x14ac:dyDescent="0.25">
      <c r="A5773" t="s">
        <v>15368</v>
      </c>
      <c r="B5773">
        <v>1</v>
      </c>
      <c r="C5773">
        <v>40</v>
      </c>
      <c r="D5773">
        <v>40</v>
      </c>
    </row>
    <row r="5774" spans="1:4" ht="15" x14ac:dyDescent="0.25">
      <c r="A5774" t="s">
        <v>15372</v>
      </c>
      <c r="B5774">
        <v>1</v>
      </c>
      <c r="C5774">
        <v>40</v>
      </c>
      <c r="D5774">
        <v>40</v>
      </c>
    </row>
    <row r="5775" spans="1:4" ht="15" x14ac:dyDescent="0.25">
      <c r="A5775" t="s">
        <v>15375</v>
      </c>
      <c r="B5775">
        <v>1</v>
      </c>
      <c r="C5775">
        <v>28</v>
      </c>
      <c r="D5775">
        <v>28</v>
      </c>
    </row>
    <row r="5776" spans="1:4" ht="15" x14ac:dyDescent="0.25">
      <c r="A5776" t="s">
        <v>15376</v>
      </c>
      <c r="B5776">
        <v>1</v>
      </c>
      <c r="C5776">
        <v>28</v>
      </c>
      <c r="D5776">
        <v>28</v>
      </c>
    </row>
    <row r="5777" spans="1:4" ht="15" x14ac:dyDescent="0.25">
      <c r="A5777" t="s">
        <v>15379</v>
      </c>
      <c r="B5777">
        <v>1</v>
      </c>
      <c r="C5777">
        <v>9</v>
      </c>
      <c r="D5777">
        <v>9</v>
      </c>
    </row>
    <row r="5778" spans="1:4" ht="15" x14ac:dyDescent="0.25">
      <c r="A5778" t="s">
        <v>15380</v>
      </c>
      <c r="B5778">
        <v>1</v>
      </c>
      <c r="C5778">
        <v>9</v>
      </c>
      <c r="D5778">
        <v>9</v>
      </c>
    </row>
    <row r="5779" spans="1:4" ht="15" x14ac:dyDescent="0.25">
      <c r="A5779" t="s">
        <v>15381</v>
      </c>
      <c r="B5779">
        <v>4</v>
      </c>
      <c r="C5779">
        <v>56</v>
      </c>
      <c r="D5779">
        <v>14</v>
      </c>
    </row>
    <row r="5780" spans="1:4" ht="15" x14ac:dyDescent="0.25">
      <c r="A5780" t="s">
        <v>15388</v>
      </c>
      <c r="B5780">
        <v>1</v>
      </c>
      <c r="C5780">
        <v>33</v>
      </c>
      <c r="D5780">
        <v>33</v>
      </c>
    </row>
    <row r="5781" spans="1:4" ht="15" x14ac:dyDescent="0.25">
      <c r="A5781" t="s">
        <v>15389</v>
      </c>
      <c r="B5781">
        <v>1</v>
      </c>
      <c r="C5781">
        <v>33</v>
      </c>
      <c r="D5781">
        <v>33</v>
      </c>
    </row>
    <row r="5782" spans="1:4" ht="15" x14ac:dyDescent="0.25">
      <c r="A5782" t="s">
        <v>15391</v>
      </c>
      <c r="B5782">
        <v>1</v>
      </c>
      <c r="C5782">
        <v>33</v>
      </c>
      <c r="D5782">
        <v>33</v>
      </c>
    </row>
    <row r="5783" spans="1:4" ht="15" x14ac:dyDescent="0.25">
      <c r="A5783" t="s">
        <v>15390</v>
      </c>
      <c r="B5783">
        <v>2</v>
      </c>
      <c r="C5783">
        <v>175</v>
      </c>
      <c r="D5783">
        <v>87.5</v>
      </c>
    </row>
    <row r="5784" spans="1:4" ht="15" x14ac:dyDescent="0.25">
      <c r="A5784" t="s">
        <v>15400</v>
      </c>
      <c r="B5784">
        <v>1</v>
      </c>
      <c r="C5784">
        <v>113</v>
      </c>
      <c r="D5784">
        <v>113</v>
      </c>
    </row>
    <row r="5785" spans="1:4" ht="15" x14ac:dyDescent="0.25">
      <c r="A5785" t="s">
        <v>15401</v>
      </c>
      <c r="B5785">
        <v>1</v>
      </c>
      <c r="C5785">
        <v>113</v>
      </c>
      <c r="D5785">
        <v>113</v>
      </c>
    </row>
    <row r="5786" spans="1:4" ht="15" x14ac:dyDescent="0.25">
      <c r="A5786" t="s">
        <v>15402</v>
      </c>
      <c r="B5786">
        <v>1</v>
      </c>
      <c r="C5786">
        <v>113</v>
      </c>
      <c r="D5786">
        <v>113</v>
      </c>
    </row>
    <row r="5787" spans="1:4" ht="15" x14ac:dyDescent="0.25">
      <c r="A5787" t="s">
        <v>15406</v>
      </c>
      <c r="B5787">
        <v>1</v>
      </c>
      <c r="C5787">
        <v>29</v>
      </c>
      <c r="D5787">
        <v>29</v>
      </c>
    </row>
    <row r="5788" spans="1:4" ht="15" x14ac:dyDescent="0.25">
      <c r="A5788" t="s">
        <v>15409</v>
      </c>
      <c r="B5788">
        <v>2</v>
      </c>
      <c r="C5788">
        <v>34</v>
      </c>
      <c r="D5788">
        <v>17</v>
      </c>
    </row>
    <row r="5789" spans="1:4" ht="15" x14ac:dyDescent="0.25">
      <c r="A5789" t="s">
        <v>15414</v>
      </c>
      <c r="B5789">
        <v>1</v>
      </c>
      <c r="C5789">
        <v>75</v>
      </c>
      <c r="D5789">
        <v>75</v>
      </c>
    </row>
    <row r="5790" spans="1:4" ht="15" x14ac:dyDescent="0.25">
      <c r="A5790" t="s">
        <v>15415</v>
      </c>
      <c r="B5790">
        <v>1</v>
      </c>
      <c r="C5790">
        <v>75</v>
      </c>
      <c r="D5790">
        <v>75</v>
      </c>
    </row>
    <row r="5791" spans="1:4" ht="15" x14ac:dyDescent="0.25">
      <c r="A5791" t="s">
        <v>15416</v>
      </c>
      <c r="B5791">
        <v>1</v>
      </c>
      <c r="C5791">
        <v>75</v>
      </c>
      <c r="D5791">
        <v>75</v>
      </c>
    </row>
    <row r="5792" spans="1:4" ht="15" x14ac:dyDescent="0.25">
      <c r="A5792" t="s">
        <v>15421</v>
      </c>
      <c r="B5792">
        <v>1</v>
      </c>
      <c r="C5792">
        <v>12</v>
      </c>
      <c r="D5792">
        <v>12</v>
      </c>
    </row>
    <row r="5793" spans="1:4" ht="15" x14ac:dyDescent="0.25">
      <c r="A5793" t="s">
        <v>15422</v>
      </c>
      <c r="B5793">
        <v>1</v>
      </c>
      <c r="C5793">
        <v>12</v>
      </c>
      <c r="D5793">
        <v>12</v>
      </c>
    </row>
    <row r="5794" spans="1:4" ht="15" x14ac:dyDescent="0.25">
      <c r="A5794" t="s">
        <v>15420</v>
      </c>
      <c r="B5794">
        <v>1</v>
      </c>
      <c r="C5794">
        <v>12</v>
      </c>
      <c r="D5794">
        <v>12</v>
      </c>
    </row>
    <row r="5795" spans="1:4" ht="15" x14ac:dyDescent="0.25">
      <c r="A5795" t="s">
        <v>15427</v>
      </c>
      <c r="B5795">
        <v>1</v>
      </c>
      <c r="C5795">
        <v>11</v>
      </c>
      <c r="D5795">
        <v>11</v>
      </c>
    </row>
    <row r="5796" spans="1:4" ht="15" x14ac:dyDescent="0.25">
      <c r="A5796" t="s">
        <v>15428</v>
      </c>
      <c r="B5796">
        <v>1</v>
      </c>
      <c r="C5796">
        <v>11</v>
      </c>
      <c r="D5796">
        <v>11</v>
      </c>
    </row>
    <row r="5797" spans="1:4" ht="15" x14ac:dyDescent="0.25">
      <c r="A5797" t="s">
        <v>15430</v>
      </c>
      <c r="B5797">
        <v>1</v>
      </c>
      <c r="C5797">
        <v>11</v>
      </c>
      <c r="D5797">
        <v>11</v>
      </c>
    </row>
    <row r="5798" spans="1:4" ht="15" x14ac:dyDescent="0.25">
      <c r="A5798" t="s">
        <v>15431</v>
      </c>
      <c r="B5798">
        <v>1</v>
      </c>
      <c r="C5798">
        <v>11</v>
      </c>
      <c r="D5798">
        <v>11</v>
      </c>
    </row>
    <row r="5799" spans="1:4" ht="15" x14ac:dyDescent="0.25">
      <c r="A5799" t="s">
        <v>15429</v>
      </c>
      <c r="B5799">
        <v>1</v>
      </c>
      <c r="C5799">
        <v>11</v>
      </c>
      <c r="D5799">
        <v>11</v>
      </c>
    </row>
    <row r="5800" spans="1:4" ht="15" x14ac:dyDescent="0.25">
      <c r="A5800" t="s">
        <v>15434</v>
      </c>
      <c r="B5800">
        <v>1</v>
      </c>
      <c r="C5800">
        <v>10</v>
      </c>
      <c r="D5800">
        <v>10</v>
      </c>
    </row>
    <row r="5801" spans="1:4" ht="15" x14ac:dyDescent="0.25">
      <c r="A5801" t="s">
        <v>15437</v>
      </c>
      <c r="B5801">
        <v>1</v>
      </c>
      <c r="C5801">
        <v>786</v>
      </c>
      <c r="D5801">
        <v>786</v>
      </c>
    </row>
    <row r="5802" spans="1:4" ht="15" x14ac:dyDescent="0.25">
      <c r="A5802" t="s">
        <v>15438</v>
      </c>
      <c r="B5802">
        <v>1</v>
      </c>
      <c r="C5802">
        <v>786</v>
      </c>
      <c r="D5802">
        <v>786</v>
      </c>
    </row>
    <row r="5803" spans="1:4" ht="15" x14ac:dyDescent="0.25">
      <c r="A5803" t="s">
        <v>15440</v>
      </c>
      <c r="B5803">
        <v>1</v>
      </c>
      <c r="C5803">
        <v>786</v>
      </c>
      <c r="D5803">
        <v>786</v>
      </c>
    </row>
    <row r="5804" spans="1:4" ht="15" x14ac:dyDescent="0.25">
      <c r="A5804" t="s">
        <v>15439</v>
      </c>
      <c r="B5804">
        <v>1</v>
      </c>
      <c r="C5804">
        <v>786</v>
      </c>
      <c r="D5804">
        <v>786</v>
      </c>
    </row>
    <row r="5805" spans="1:4" ht="15" x14ac:dyDescent="0.25">
      <c r="A5805" t="s">
        <v>15444</v>
      </c>
      <c r="B5805">
        <v>1</v>
      </c>
      <c r="C5805">
        <v>30</v>
      </c>
      <c r="D5805">
        <v>30</v>
      </c>
    </row>
    <row r="5806" spans="1:4" ht="15" x14ac:dyDescent="0.25">
      <c r="A5806" t="s">
        <v>15445</v>
      </c>
      <c r="B5806">
        <v>1</v>
      </c>
      <c r="C5806">
        <v>30</v>
      </c>
      <c r="D5806">
        <v>30</v>
      </c>
    </row>
    <row r="5807" spans="1:4" ht="15" x14ac:dyDescent="0.25">
      <c r="A5807" t="s">
        <v>15447</v>
      </c>
      <c r="B5807">
        <v>1</v>
      </c>
      <c r="C5807">
        <v>30</v>
      </c>
      <c r="D5807">
        <v>30</v>
      </c>
    </row>
    <row r="5808" spans="1:4" ht="15" x14ac:dyDescent="0.25">
      <c r="A5808" t="s">
        <v>15446</v>
      </c>
      <c r="B5808">
        <v>1</v>
      </c>
      <c r="C5808">
        <v>30</v>
      </c>
      <c r="D5808">
        <v>30</v>
      </c>
    </row>
    <row r="5809" spans="1:4" ht="15" x14ac:dyDescent="0.25">
      <c r="A5809" t="s">
        <v>15451</v>
      </c>
      <c r="B5809">
        <v>1</v>
      </c>
      <c r="C5809">
        <v>25</v>
      </c>
      <c r="D5809">
        <v>25</v>
      </c>
    </row>
    <row r="5810" spans="1:4" ht="15" x14ac:dyDescent="0.25">
      <c r="A5810" t="s">
        <v>15452</v>
      </c>
      <c r="B5810">
        <v>1</v>
      </c>
      <c r="C5810">
        <v>25</v>
      </c>
      <c r="D5810">
        <v>25</v>
      </c>
    </row>
    <row r="5811" spans="1:4" ht="15" x14ac:dyDescent="0.25">
      <c r="A5811" t="s">
        <v>15454</v>
      </c>
      <c r="B5811">
        <v>1</v>
      </c>
      <c r="C5811">
        <v>25</v>
      </c>
      <c r="D5811">
        <v>25</v>
      </c>
    </row>
    <row r="5812" spans="1:4" ht="15" x14ac:dyDescent="0.25">
      <c r="A5812" t="s">
        <v>15453</v>
      </c>
      <c r="B5812">
        <v>4</v>
      </c>
      <c r="C5812">
        <v>190</v>
      </c>
      <c r="D5812">
        <v>47.5</v>
      </c>
    </row>
    <row r="5813" spans="1:4" ht="15" x14ac:dyDescent="0.25">
      <c r="A5813" t="s">
        <v>15457</v>
      </c>
      <c r="B5813">
        <v>1</v>
      </c>
      <c r="C5813">
        <v>81</v>
      </c>
      <c r="D5813">
        <v>81</v>
      </c>
    </row>
    <row r="5814" spans="1:4" ht="15" x14ac:dyDescent="0.25">
      <c r="A5814" t="s">
        <v>15463</v>
      </c>
      <c r="B5814">
        <v>1</v>
      </c>
      <c r="C5814">
        <v>8</v>
      </c>
      <c r="D5814">
        <v>8</v>
      </c>
    </row>
    <row r="5815" spans="1:4" ht="15" x14ac:dyDescent="0.25">
      <c r="A5815" t="s">
        <v>15464</v>
      </c>
      <c r="B5815">
        <v>1</v>
      </c>
      <c r="C5815">
        <v>8</v>
      </c>
      <c r="D5815">
        <v>8</v>
      </c>
    </row>
    <row r="5816" spans="1:4" ht="15" x14ac:dyDescent="0.25">
      <c r="A5816" t="s">
        <v>15466</v>
      </c>
      <c r="B5816">
        <v>1</v>
      </c>
      <c r="C5816">
        <v>8</v>
      </c>
      <c r="D5816">
        <v>8</v>
      </c>
    </row>
    <row r="5817" spans="1:4" ht="15" x14ac:dyDescent="0.25">
      <c r="A5817" t="s">
        <v>15467</v>
      </c>
      <c r="B5817">
        <v>1</v>
      </c>
      <c r="C5817">
        <v>8</v>
      </c>
      <c r="D5817">
        <v>8</v>
      </c>
    </row>
    <row r="5818" spans="1:4" ht="15" x14ac:dyDescent="0.25">
      <c r="A5818" t="s">
        <v>15465</v>
      </c>
      <c r="B5818">
        <v>1</v>
      </c>
      <c r="C5818">
        <v>8</v>
      </c>
      <c r="D5818">
        <v>8</v>
      </c>
    </row>
    <row r="5819" spans="1:4" ht="15" x14ac:dyDescent="0.25">
      <c r="A5819" t="s">
        <v>15472</v>
      </c>
      <c r="B5819">
        <v>1</v>
      </c>
      <c r="C5819">
        <v>2</v>
      </c>
      <c r="D5819">
        <v>2</v>
      </c>
    </row>
    <row r="5820" spans="1:4" ht="15" x14ac:dyDescent="0.25">
      <c r="A5820" t="s">
        <v>15476</v>
      </c>
      <c r="B5820">
        <v>1</v>
      </c>
      <c r="C5820">
        <v>49</v>
      </c>
      <c r="D5820">
        <v>49</v>
      </c>
    </row>
    <row r="5821" spans="1:4" ht="15" x14ac:dyDescent="0.25">
      <c r="A5821" t="s">
        <v>15483</v>
      </c>
      <c r="B5821">
        <v>1</v>
      </c>
      <c r="C5821">
        <v>31</v>
      </c>
      <c r="D5821">
        <v>31</v>
      </c>
    </row>
    <row r="5822" spans="1:4" ht="15" x14ac:dyDescent="0.25">
      <c r="A5822" t="s">
        <v>15484</v>
      </c>
      <c r="B5822">
        <v>2</v>
      </c>
      <c r="C5822">
        <v>58</v>
      </c>
      <c r="D5822">
        <v>29</v>
      </c>
    </row>
    <row r="5823" spans="1:4" ht="15" x14ac:dyDescent="0.25">
      <c r="A5823" t="s">
        <v>15485</v>
      </c>
      <c r="B5823">
        <v>1</v>
      </c>
      <c r="C5823">
        <v>31</v>
      </c>
      <c r="D5823">
        <v>31</v>
      </c>
    </row>
    <row r="5824" spans="1:4" ht="15" x14ac:dyDescent="0.25">
      <c r="A5824" t="s">
        <v>15489</v>
      </c>
      <c r="B5824">
        <v>1</v>
      </c>
      <c r="C5824">
        <v>14</v>
      </c>
      <c r="D5824">
        <v>14</v>
      </c>
    </row>
    <row r="5825" spans="1:4" ht="15" x14ac:dyDescent="0.25">
      <c r="A5825" t="s">
        <v>15490</v>
      </c>
      <c r="B5825">
        <v>1</v>
      </c>
      <c r="C5825">
        <v>14</v>
      </c>
      <c r="D5825">
        <v>14</v>
      </c>
    </row>
    <row r="5826" spans="1:4" ht="15" x14ac:dyDescent="0.25">
      <c r="A5826" t="s">
        <v>15494</v>
      </c>
      <c r="B5826">
        <v>1</v>
      </c>
      <c r="C5826">
        <v>31</v>
      </c>
      <c r="D5826">
        <v>31</v>
      </c>
    </row>
    <row r="5827" spans="1:4" ht="15" x14ac:dyDescent="0.25">
      <c r="A5827" t="s">
        <v>15495</v>
      </c>
      <c r="B5827">
        <v>1</v>
      </c>
      <c r="C5827">
        <v>31</v>
      </c>
      <c r="D5827">
        <v>31</v>
      </c>
    </row>
    <row r="5828" spans="1:4" ht="15" x14ac:dyDescent="0.25">
      <c r="A5828" t="s">
        <v>15499</v>
      </c>
      <c r="B5828">
        <v>1</v>
      </c>
      <c r="C5828">
        <v>33</v>
      </c>
      <c r="D5828">
        <v>33</v>
      </c>
    </row>
    <row r="5829" spans="1:4" ht="15" x14ac:dyDescent="0.25">
      <c r="A5829" t="s">
        <v>15500</v>
      </c>
      <c r="B5829">
        <v>1</v>
      </c>
      <c r="C5829">
        <v>33</v>
      </c>
      <c r="D5829">
        <v>33</v>
      </c>
    </row>
    <row r="5830" spans="1:4" ht="15" x14ac:dyDescent="0.25">
      <c r="A5830" t="s">
        <v>15505</v>
      </c>
      <c r="B5830">
        <v>1</v>
      </c>
      <c r="C5830">
        <v>45</v>
      </c>
      <c r="D5830">
        <v>45</v>
      </c>
    </row>
    <row r="5831" spans="1:4" ht="15" x14ac:dyDescent="0.25">
      <c r="A5831" t="s">
        <v>15506</v>
      </c>
      <c r="B5831">
        <v>1</v>
      </c>
      <c r="C5831">
        <v>45</v>
      </c>
      <c r="D5831">
        <v>45</v>
      </c>
    </row>
    <row r="5832" spans="1:4" ht="15" x14ac:dyDescent="0.25">
      <c r="A5832" t="s">
        <v>15508</v>
      </c>
      <c r="B5832">
        <v>1</v>
      </c>
      <c r="C5832">
        <v>45</v>
      </c>
      <c r="D5832">
        <v>45</v>
      </c>
    </row>
    <row r="5833" spans="1:4" ht="15" x14ac:dyDescent="0.25">
      <c r="A5833" t="s">
        <v>15507</v>
      </c>
      <c r="B5833">
        <v>1</v>
      </c>
      <c r="C5833">
        <v>45</v>
      </c>
      <c r="D5833">
        <v>45</v>
      </c>
    </row>
    <row r="5834" spans="1:4" ht="15" x14ac:dyDescent="0.25">
      <c r="A5834" t="s">
        <v>15512</v>
      </c>
      <c r="B5834">
        <v>2</v>
      </c>
      <c r="C5834">
        <v>130</v>
      </c>
      <c r="D5834">
        <v>65</v>
      </c>
    </row>
    <row r="5835" spans="1:4" ht="15" x14ac:dyDescent="0.25">
      <c r="A5835" t="s">
        <v>15516</v>
      </c>
      <c r="B5835">
        <v>2</v>
      </c>
      <c r="C5835">
        <v>27</v>
      </c>
      <c r="D5835">
        <v>13.5</v>
      </c>
    </row>
    <row r="5836" spans="1:4" ht="15" x14ac:dyDescent="0.25">
      <c r="A5836" t="s">
        <v>15517</v>
      </c>
      <c r="B5836">
        <v>1</v>
      </c>
      <c r="C5836">
        <v>2</v>
      </c>
      <c r="D5836">
        <v>2</v>
      </c>
    </row>
    <row r="5837" spans="1:4" ht="15" x14ac:dyDescent="0.25">
      <c r="A5837" t="s">
        <v>15521</v>
      </c>
      <c r="B5837">
        <v>2</v>
      </c>
      <c r="C5837">
        <v>53</v>
      </c>
      <c r="D5837">
        <v>26.5</v>
      </c>
    </row>
    <row r="5838" spans="1:4" ht="15" x14ac:dyDescent="0.25">
      <c r="A5838" t="s">
        <v>15525</v>
      </c>
      <c r="B5838">
        <v>1</v>
      </c>
      <c r="C5838">
        <v>12</v>
      </c>
      <c r="D5838">
        <v>12</v>
      </c>
    </row>
    <row r="5839" spans="1:4" ht="15" x14ac:dyDescent="0.25">
      <c r="A5839" t="s">
        <v>15527</v>
      </c>
      <c r="B5839">
        <v>1</v>
      </c>
      <c r="C5839">
        <v>12</v>
      </c>
      <c r="D5839">
        <v>12</v>
      </c>
    </row>
    <row r="5840" spans="1:4" ht="15" x14ac:dyDescent="0.25">
      <c r="A5840" t="s">
        <v>15528</v>
      </c>
      <c r="B5840">
        <v>1</v>
      </c>
      <c r="C5840">
        <v>12</v>
      </c>
      <c r="D5840">
        <v>12</v>
      </c>
    </row>
    <row r="5841" spans="1:4" ht="15" x14ac:dyDescent="0.25">
      <c r="A5841" t="s">
        <v>15526</v>
      </c>
      <c r="B5841">
        <v>2</v>
      </c>
      <c r="C5841">
        <v>20</v>
      </c>
      <c r="D5841">
        <v>10</v>
      </c>
    </row>
    <row r="5842" spans="1:4" ht="15" x14ac:dyDescent="0.25">
      <c r="A5842" t="s">
        <v>15532</v>
      </c>
      <c r="B5842">
        <v>1</v>
      </c>
      <c r="C5842">
        <v>57</v>
      </c>
      <c r="D5842">
        <v>57</v>
      </c>
    </row>
    <row r="5843" spans="1:4" ht="15" x14ac:dyDescent="0.25">
      <c r="A5843" t="s">
        <v>15531</v>
      </c>
      <c r="B5843">
        <v>1</v>
      </c>
      <c r="C5843">
        <v>57</v>
      </c>
      <c r="D5843">
        <v>57</v>
      </c>
    </row>
    <row r="5844" spans="1:4" ht="15" x14ac:dyDescent="0.25">
      <c r="A5844" t="s">
        <v>15535</v>
      </c>
      <c r="B5844">
        <v>2</v>
      </c>
      <c r="C5844">
        <v>29</v>
      </c>
      <c r="D5844">
        <v>14.5</v>
      </c>
    </row>
    <row r="5845" spans="1:4" ht="15" x14ac:dyDescent="0.25">
      <c r="A5845" t="s">
        <v>15539</v>
      </c>
      <c r="B5845">
        <v>1</v>
      </c>
      <c r="C5845">
        <v>17</v>
      </c>
      <c r="D5845">
        <v>17</v>
      </c>
    </row>
    <row r="5846" spans="1:4" ht="15" x14ac:dyDescent="0.25">
      <c r="A5846" t="s">
        <v>15540</v>
      </c>
      <c r="B5846">
        <v>1</v>
      </c>
      <c r="C5846">
        <v>17</v>
      </c>
      <c r="D5846">
        <v>17</v>
      </c>
    </row>
    <row r="5847" spans="1:4" ht="15" x14ac:dyDescent="0.25">
      <c r="A5847" t="s">
        <v>15541</v>
      </c>
      <c r="B5847">
        <v>1</v>
      </c>
      <c r="C5847">
        <v>17</v>
      </c>
      <c r="D5847">
        <v>17</v>
      </c>
    </row>
    <row r="5848" spans="1:4" ht="15" x14ac:dyDescent="0.25">
      <c r="A5848" t="s">
        <v>15545</v>
      </c>
      <c r="B5848">
        <v>1</v>
      </c>
      <c r="C5848">
        <v>14</v>
      </c>
      <c r="D5848">
        <v>14</v>
      </c>
    </row>
    <row r="5849" spans="1:4" ht="15" x14ac:dyDescent="0.25">
      <c r="A5849" t="s">
        <v>15546</v>
      </c>
      <c r="B5849">
        <v>1</v>
      </c>
      <c r="C5849">
        <v>14</v>
      </c>
      <c r="D5849">
        <v>14</v>
      </c>
    </row>
    <row r="5850" spans="1:4" ht="15" x14ac:dyDescent="0.25">
      <c r="A5850" t="s">
        <v>15552</v>
      </c>
      <c r="B5850">
        <v>1</v>
      </c>
      <c r="C5850">
        <v>29</v>
      </c>
      <c r="D5850">
        <v>29</v>
      </c>
    </row>
    <row r="5851" spans="1:4" ht="15" x14ac:dyDescent="0.25">
      <c r="A5851" t="s">
        <v>15553</v>
      </c>
      <c r="B5851">
        <v>1</v>
      </c>
      <c r="C5851">
        <v>29</v>
      </c>
      <c r="D5851">
        <v>29</v>
      </c>
    </row>
    <row r="5852" spans="1:4" ht="15" x14ac:dyDescent="0.25">
      <c r="A5852" t="s">
        <v>15557</v>
      </c>
      <c r="B5852">
        <v>1</v>
      </c>
      <c r="C5852">
        <v>86</v>
      </c>
      <c r="D5852">
        <v>86</v>
      </c>
    </row>
    <row r="5853" spans="1:4" ht="15" x14ac:dyDescent="0.25">
      <c r="A5853" t="s">
        <v>15558</v>
      </c>
      <c r="B5853">
        <v>1</v>
      </c>
      <c r="C5853">
        <v>86</v>
      </c>
      <c r="D5853">
        <v>86</v>
      </c>
    </row>
    <row r="5854" spans="1:4" ht="15" x14ac:dyDescent="0.25">
      <c r="A5854" t="s">
        <v>15559</v>
      </c>
      <c r="B5854">
        <v>1</v>
      </c>
      <c r="C5854">
        <v>86</v>
      </c>
      <c r="D5854">
        <v>86</v>
      </c>
    </row>
    <row r="5855" spans="1:4" ht="15" x14ac:dyDescent="0.25">
      <c r="A5855" t="s">
        <v>15560</v>
      </c>
      <c r="B5855">
        <v>3</v>
      </c>
      <c r="C5855">
        <v>165</v>
      </c>
      <c r="D5855">
        <v>55</v>
      </c>
    </row>
    <row r="5856" spans="1:4" ht="15" x14ac:dyDescent="0.25">
      <c r="A5856" t="s">
        <v>15564</v>
      </c>
      <c r="B5856">
        <v>1</v>
      </c>
      <c r="C5856">
        <v>69</v>
      </c>
      <c r="D5856">
        <v>69</v>
      </c>
    </row>
    <row r="5857" spans="1:4" ht="15" x14ac:dyDescent="0.25">
      <c r="A5857" t="s">
        <v>15565</v>
      </c>
      <c r="B5857">
        <v>1</v>
      </c>
      <c r="C5857">
        <v>69</v>
      </c>
      <c r="D5857">
        <v>69</v>
      </c>
    </row>
    <row r="5858" spans="1:4" ht="15" x14ac:dyDescent="0.25">
      <c r="A5858" t="s">
        <v>15566</v>
      </c>
      <c r="B5858">
        <v>1</v>
      </c>
      <c r="C5858">
        <v>69</v>
      </c>
      <c r="D5858">
        <v>69</v>
      </c>
    </row>
    <row r="5859" spans="1:4" ht="15" x14ac:dyDescent="0.25">
      <c r="A5859" t="s">
        <v>15567</v>
      </c>
      <c r="B5859">
        <v>1</v>
      </c>
      <c r="C5859">
        <v>69</v>
      </c>
      <c r="D5859">
        <v>69</v>
      </c>
    </row>
    <row r="5860" spans="1:4" ht="15" x14ac:dyDescent="0.25">
      <c r="A5860" t="s">
        <v>15571</v>
      </c>
      <c r="B5860">
        <v>1</v>
      </c>
      <c r="C5860">
        <v>81</v>
      </c>
      <c r="D5860">
        <v>81</v>
      </c>
    </row>
    <row r="5861" spans="1:4" ht="15" x14ac:dyDescent="0.25">
      <c r="A5861" t="s">
        <v>15572</v>
      </c>
      <c r="B5861">
        <v>1</v>
      </c>
      <c r="C5861">
        <v>81</v>
      </c>
      <c r="D5861">
        <v>81</v>
      </c>
    </row>
    <row r="5862" spans="1:4" ht="15" x14ac:dyDescent="0.25">
      <c r="A5862" t="s">
        <v>15576</v>
      </c>
      <c r="B5862">
        <v>2</v>
      </c>
      <c r="C5862">
        <v>64</v>
      </c>
      <c r="D5862">
        <v>32</v>
      </c>
    </row>
    <row r="5863" spans="1:4" ht="15" x14ac:dyDescent="0.25">
      <c r="A5863" t="s">
        <v>15577</v>
      </c>
      <c r="B5863">
        <v>1</v>
      </c>
      <c r="C5863">
        <v>50</v>
      </c>
      <c r="D5863">
        <v>50</v>
      </c>
    </row>
    <row r="5864" spans="1:4" ht="15" x14ac:dyDescent="0.25">
      <c r="A5864" t="s">
        <v>15581</v>
      </c>
      <c r="B5864">
        <v>1</v>
      </c>
      <c r="C5864">
        <v>26</v>
      </c>
      <c r="D5864">
        <v>26</v>
      </c>
    </row>
    <row r="5865" spans="1:4" ht="15" x14ac:dyDescent="0.25">
      <c r="A5865" t="s">
        <v>15582</v>
      </c>
      <c r="B5865">
        <v>1</v>
      </c>
      <c r="C5865">
        <v>26</v>
      </c>
      <c r="D5865">
        <v>26</v>
      </c>
    </row>
    <row r="5866" spans="1:4" ht="15" x14ac:dyDescent="0.25">
      <c r="A5866" t="s">
        <v>15587</v>
      </c>
      <c r="B5866">
        <v>2</v>
      </c>
      <c r="C5866">
        <v>66</v>
      </c>
      <c r="D5866">
        <v>33</v>
      </c>
    </row>
    <row r="5867" spans="1:4" ht="15" x14ac:dyDescent="0.25">
      <c r="A5867" t="s">
        <v>15588</v>
      </c>
      <c r="B5867">
        <v>1</v>
      </c>
      <c r="C5867">
        <v>32</v>
      </c>
      <c r="D5867">
        <v>32</v>
      </c>
    </row>
    <row r="5868" spans="1:4" ht="15" x14ac:dyDescent="0.25">
      <c r="A5868" t="s">
        <v>15589</v>
      </c>
      <c r="B5868">
        <v>1</v>
      </c>
      <c r="C5868">
        <v>32</v>
      </c>
      <c r="D5868">
        <v>32</v>
      </c>
    </row>
    <row r="5869" spans="1:4" ht="15" x14ac:dyDescent="0.25">
      <c r="A5869" t="s">
        <v>15590</v>
      </c>
      <c r="B5869">
        <v>1</v>
      </c>
      <c r="C5869">
        <v>32</v>
      </c>
      <c r="D5869">
        <v>32</v>
      </c>
    </row>
    <row r="5870" spans="1:4" ht="15" x14ac:dyDescent="0.25">
      <c r="A5870" t="s">
        <v>15595</v>
      </c>
      <c r="B5870">
        <v>1</v>
      </c>
      <c r="C5870">
        <v>38</v>
      </c>
      <c r="D5870">
        <v>38</v>
      </c>
    </row>
    <row r="5871" spans="1:4" ht="15" x14ac:dyDescent="0.25">
      <c r="A5871" t="s">
        <v>15597</v>
      </c>
      <c r="B5871">
        <v>2</v>
      </c>
      <c r="C5871">
        <v>184</v>
      </c>
      <c r="D5871">
        <v>92</v>
      </c>
    </row>
    <row r="5872" spans="1:4" ht="15" x14ac:dyDescent="0.25">
      <c r="A5872" t="s">
        <v>15598</v>
      </c>
      <c r="B5872">
        <v>3</v>
      </c>
      <c r="C5872">
        <v>101</v>
      </c>
      <c r="D5872">
        <v>33.666666666666664</v>
      </c>
    </row>
    <row r="5873" spans="1:4" ht="15" x14ac:dyDescent="0.25">
      <c r="A5873" t="s">
        <v>15596</v>
      </c>
      <c r="B5873">
        <v>1</v>
      </c>
      <c r="C5873">
        <v>38</v>
      </c>
      <c r="D5873">
        <v>38</v>
      </c>
    </row>
    <row r="5874" spans="1:4" ht="15" x14ac:dyDescent="0.25">
      <c r="A5874" t="s">
        <v>15603</v>
      </c>
      <c r="B5874">
        <v>1</v>
      </c>
      <c r="C5874">
        <v>22</v>
      </c>
      <c r="D5874">
        <v>22</v>
      </c>
    </row>
    <row r="5875" spans="1:4" ht="15" x14ac:dyDescent="0.25">
      <c r="A5875" t="s">
        <v>15604</v>
      </c>
      <c r="B5875">
        <v>1</v>
      </c>
      <c r="C5875">
        <v>22</v>
      </c>
      <c r="D5875">
        <v>22</v>
      </c>
    </row>
    <row r="5876" spans="1:4" ht="15" x14ac:dyDescent="0.25">
      <c r="A5876" t="s">
        <v>15606</v>
      </c>
      <c r="B5876">
        <v>1</v>
      </c>
      <c r="C5876">
        <v>22</v>
      </c>
      <c r="D5876">
        <v>22</v>
      </c>
    </row>
    <row r="5877" spans="1:4" ht="15" x14ac:dyDescent="0.25">
      <c r="A5877" t="s">
        <v>15605</v>
      </c>
      <c r="B5877">
        <v>1</v>
      </c>
      <c r="C5877">
        <v>22</v>
      </c>
      <c r="D5877">
        <v>22</v>
      </c>
    </row>
    <row r="5878" spans="1:4" ht="15" x14ac:dyDescent="0.25">
      <c r="A5878" t="s">
        <v>15610</v>
      </c>
      <c r="B5878">
        <v>3</v>
      </c>
      <c r="C5878">
        <v>450</v>
      </c>
      <c r="D5878">
        <v>150</v>
      </c>
    </row>
    <row r="5879" spans="1:4" ht="15" x14ac:dyDescent="0.25">
      <c r="A5879" t="s">
        <v>15618</v>
      </c>
      <c r="B5879">
        <v>1</v>
      </c>
      <c r="C5879">
        <v>57</v>
      </c>
      <c r="D5879">
        <v>57</v>
      </c>
    </row>
    <row r="5880" spans="1:4" ht="15" x14ac:dyDescent="0.25">
      <c r="A5880" t="s">
        <v>15623</v>
      </c>
      <c r="B5880">
        <v>1</v>
      </c>
      <c r="C5880">
        <v>79</v>
      </c>
      <c r="D5880">
        <v>79</v>
      </c>
    </row>
    <row r="5881" spans="1:4" ht="15" x14ac:dyDescent="0.25">
      <c r="A5881" t="s">
        <v>15628</v>
      </c>
      <c r="B5881">
        <v>2</v>
      </c>
      <c r="C5881">
        <v>44</v>
      </c>
      <c r="D5881">
        <v>22</v>
      </c>
    </row>
    <row r="5882" spans="1:4" ht="15" x14ac:dyDescent="0.25">
      <c r="A5882" t="s">
        <v>15627</v>
      </c>
      <c r="B5882">
        <v>1</v>
      </c>
      <c r="C5882">
        <v>20</v>
      </c>
      <c r="D5882">
        <v>20</v>
      </c>
    </row>
    <row r="5883" spans="1:4" ht="15" x14ac:dyDescent="0.25">
      <c r="A5883" t="s">
        <v>15631</v>
      </c>
      <c r="B5883">
        <v>1</v>
      </c>
      <c r="C5883">
        <v>73</v>
      </c>
      <c r="D5883">
        <v>73</v>
      </c>
    </row>
    <row r="5884" spans="1:4" ht="15" x14ac:dyDescent="0.25">
      <c r="A5884" t="s">
        <v>15633</v>
      </c>
      <c r="B5884">
        <v>1</v>
      </c>
      <c r="C5884">
        <v>73</v>
      </c>
      <c r="D5884">
        <v>73</v>
      </c>
    </row>
    <row r="5885" spans="1:4" ht="15" x14ac:dyDescent="0.25">
      <c r="A5885" t="s">
        <v>15634</v>
      </c>
      <c r="B5885">
        <v>1</v>
      </c>
      <c r="C5885">
        <v>73</v>
      </c>
      <c r="D5885">
        <v>73</v>
      </c>
    </row>
    <row r="5886" spans="1:4" ht="15" x14ac:dyDescent="0.25">
      <c r="A5886" t="s">
        <v>15632</v>
      </c>
      <c r="B5886">
        <v>1</v>
      </c>
      <c r="C5886">
        <v>73</v>
      </c>
      <c r="D5886">
        <v>73</v>
      </c>
    </row>
    <row r="5887" spans="1:4" ht="15" x14ac:dyDescent="0.25">
      <c r="A5887" t="s">
        <v>15637</v>
      </c>
      <c r="B5887">
        <v>2</v>
      </c>
      <c r="C5887">
        <v>44</v>
      </c>
      <c r="D5887">
        <v>22</v>
      </c>
    </row>
    <row r="5888" spans="1:4" ht="15" x14ac:dyDescent="0.25">
      <c r="A5888" t="s">
        <v>15638</v>
      </c>
      <c r="B5888">
        <v>1</v>
      </c>
      <c r="C5888">
        <v>29</v>
      </c>
      <c r="D5888">
        <v>29</v>
      </c>
    </row>
    <row r="5889" spans="1:4" ht="15" x14ac:dyDescent="0.25">
      <c r="A5889" t="s">
        <v>15643</v>
      </c>
      <c r="B5889">
        <v>1</v>
      </c>
      <c r="C5889">
        <v>42</v>
      </c>
      <c r="D5889">
        <v>42</v>
      </c>
    </row>
    <row r="5890" spans="1:4" ht="15" x14ac:dyDescent="0.25">
      <c r="A5890" t="s">
        <v>15644</v>
      </c>
      <c r="B5890">
        <v>1</v>
      </c>
      <c r="C5890">
        <v>42</v>
      </c>
      <c r="D5890">
        <v>42</v>
      </c>
    </row>
    <row r="5891" spans="1:4" ht="15" x14ac:dyDescent="0.25">
      <c r="A5891" t="s">
        <v>15646</v>
      </c>
      <c r="B5891">
        <v>1</v>
      </c>
      <c r="C5891">
        <v>42</v>
      </c>
      <c r="D5891">
        <v>42</v>
      </c>
    </row>
    <row r="5892" spans="1:4" ht="15" x14ac:dyDescent="0.25">
      <c r="A5892" t="s">
        <v>15645</v>
      </c>
      <c r="B5892">
        <v>1</v>
      </c>
      <c r="C5892">
        <v>42</v>
      </c>
      <c r="D5892">
        <v>42</v>
      </c>
    </row>
    <row r="5893" spans="1:4" ht="15" x14ac:dyDescent="0.25">
      <c r="A5893" t="s">
        <v>15653</v>
      </c>
      <c r="B5893">
        <v>1</v>
      </c>
      <c r="C5893">
        <v>63</v>
      </c>
      <c r="D5893">
        <v>63</v>
      </c>
    </row>
    <row r="5894" spans="1:4" ht="15" x14ac:dyDescent="0.25">
      <c r="A5894" t="s">
        <v>15654</v>
      </c>
      <c r="B5894">
        <v>1</v>
      </c>
      <c r="C5894">
        <v>63</v>
      </c>
      <c r="D5894">
        <v>63</v>
      </c>
    </row>
    <row r="5895" spans="1:4" ht="15" x14ac:dyDescent="0.25">
      <c r="A5895" t="s">
        <v>15655</v>
      </c>
      <c r="B5895">
        <v>1</v>
      </c>
      <c r="C5895">
        <v>63</v>
      </c>
      <c r="D5895">
        <v>63</v>
      </c>
    </row>
    <row r="5896" spans="1:4" ht="15" x14ac:dyDescent="0.25">
      <c r="A5896" t="s">
        <v>15665</v>
      </c>
      <c r="B5896">
        <v>1</v>
      </c>
      <c r="C5896">
        <v>36</v>
      </c>
      <c r="D5896">
        <v>36</v>
      </c>
    </row>
    <row r="5897" spans="1:4" ht="15" x14ac:dyDescent="0.25">
      <c r="A5897" t="s">
        <v>15668</v>
      </c>
      <c r="B5897">
        <v>1</v>
      </c>
      <c r="C5897">
        <v>37</v>
      </c>
      <c r="D5897">
        <v>37</v>
      </c>
    </row>
    <row r="5898" spans="1:4" ht="15" x14ac:dyDescent="0.25">
      <c r="A5898" t="s">
        <v>15669</v>
      </c>
      <c r="B5898">
        <v>1</v>
      </c>
      <c r="C5898">
        <v>37</v>
      </c>
      <c r="D5898">
        <v>37</v>
      </c>
    </row>
    <row r="5899" spans="1:4" ht="15" x14ac:dyDescent="0.25">
      <c r="A5899" t="s">
        <v>15673</v>
      </c>
      <c r="B5899">
        <v>1</v>
      </c>
      <c r="C5899">
        <v>31</v>
      </c>
      <c r="D5899">
        <v>31</v>
      </c>
    </row>
    <row r="5900" spans="1:4" ht="15" x14ac:dyDescent="0.25">
      <c r="A5900" t="s">
        <v>15674</v>
      </c>
      <c r="B5900">
        <v>1</v>
      </c>
      <c r="C5900">
        <v>31</v>
      </c>
      <c r="D5900">
        <v>31</v>
      </c>
    </row>
    <row r="5901" spans="1:4" ht="15" x14ac:dyDescent="0.25">
      <c r="A5901" t="s">
        <v>15680</v>
      </c>
      <c r="B5901">
        <v>1</v>
      </c>
      <c r="C5901">
        <v>28</v>
      </c>
      <c r="D5901">
        <v>28</v>
      </c>
    </row>
    <row r="5902" spans="1:4" ht="15" x14ac:dyDescent="0.25">
      <c r="A5902" t="s">
        <v>15681</v>
      </c>
      <c r="B5902">
        <v>4</v>
      </c>
      <c r="C5902">
        <v>132</v>
      </c>
      <c r="D5902">
        <v>33</v>
      </c>
    </row>
    <row r="5903" spans="1:4" ht="15" x14ac:dyDescent="0.25">
      <c r="A5903" t="s">
        <v>15682</v>
      </c>
      <c r="B5903">
        <v>2</v>
      </c>
      <c r="C5903">
        <v>228</v>
      </c>
      <c r="D5903">
        <v>114</v>
      </c>
    </row>
    <row r="5904" spans="1:4" ht="15" x14ac:dyDescent="0.25">
      <c r="A5904" t="s">
        <v>15692</v>
      </c>
      <c r="B5904">
        <v>1</v>
      </c>
      <c r="C5904">
        <v>13</v>
      </c>
      <c r="D5904">
        <v>13</v>
      </c>
    </row>
    <row r="5905" spans="1:4" ht="15" x14ac:dyDescent="0.25">
      <c r="A5905" t="s">
        <v>15693</v>
      </c>
      <c r="B5905">
        <v>3</v>
      </c>
      <c r="C5905">
        <v>34</v>
      </c>
      <c r="D5905">
        <v>11.333333333333334</v>
      </c>
    </row>
    <row r="5906" spans="1:4" ht="15" x14ac:dyDescent="0.25">
      <c r="A5906" t="s">
        <v>15697</v>
      </c>
      <c r="B5906">
        <v>2</v>
      </c>
      <c r="C5906">
        <v>131</v>
      </c>
      <c r="D5906">
        <v>65.5</v>
      </c>
    </row>
    <row r="5907" spans="1:4" ht="15" x14ac:dyDescent="0.25">
      <c r="A5907" t="s">
        <v>15698</v>
      </c>
      <c r="B5907">
        <v>1</v>
      </c>
      <c r="C5907">
        <v>41</v>
      </c>
      <c r="D5907">
        <v>41</v>
      </c>
    </row>
    <row r="5908" spans="1:4" ht="15" x14ac:dyDescent="0.25">
      <c r="A5908" t="s">
        <v>15702</v>
      </c>
      <c r="B5908">
        <v>1</v>
      </c>
      <c r="C5908">
        <v>47</v>
      </c>
      <c r="D5908">
        <v>47</v>
      </c>
    </row>
    <row r="5909" spans="1:4" ht="15" x14ac:dyDescent="0.25">
      <c r="A5909" t="s">
        <v>15703</v>
      </c>
      <c r="B5909">
        <v>1</v>
      </c>
      <c r="C5909">
        <v>47</v>
      </c>
      <c r="D5909">
        <v>47</v>
      </c>
    </row>
    <row r="5910" spans="1:4" ht="15" x14ac:dyDescent="0.25">
      <c r="A5910" t="s">
        <v>15704</v>
      </c>
      <c r="B5910">
        <v>1</v>
      </c>
      <c r="C5910">
        <v>47</v>
      </c>
      <c r="D5910">
        <v>47</v>
      </c>
    </row>
    <row r="5911" spans="1:4" ht="15" x14ac:dyDescent="0.25">
      <c r="A5911" t="s">
        <v>15705</v>
      </c>
      <c r="B5911">
        <v>1</v>
      </c>
      <c r="C5911">
        <v>47</v>
      </c>
      <c r="D5911">
        <v>47</v>
      </c>
    </row>
    <row r="5912" spans="1:4" ht="15" x14ac:dyDescent="0.25">
      <c r="A5912" t="s">
        <v>15709</v>
      </c>
      <c r="B5912">
        <v>2</v>
      </c>
      <c r="C5912">
        <v>53</v>
      </c>
      <c r="D5912">
        <v>26.5</v>
      </c>
    </row>
    <row r="5913" spans="1:4" ht="15" x14ac:dyDescent="0.25">
      <c r="A5913" t="s">
        <v>15710</v>
      </c>
      <c r="B5913">
        <v>1</v>
      </c>
      <c r="C5913">
        <v>23</v>
      </c>
      <c r="D5913">
        <v>23</v>
      </c>
    </row>
    <row r="5914" spans="1:4" ht="15" x14ac:dyDescent="0.25">
      <c r="A5914" t="s">
        <v>15706</v>
      </c>
      <c r="B5914">
        <v>1</v>
      </c>
      <c r="C5914">
        <v>23</v>
      </c>
      <c r="D5914">
        <v>23</v>
      </c>
    </row>
    <row r="5915" spans="1:4" ht="15" x14ac:dyDescent="0.25">
      <c r="A5915" t="s">
        <v>15712</v>
      </c>
      <c r="B5915">
        <v>1</v>
      </c>
      <c r="C5915">
        <v>23</v>
      </c>
      <c r="D5915">
        <v>23</v>
      </c>
    </row>
    <row r="5916" spans="1:4" ht="15" x14ac:dyDescent="0.25">
      <c r="A5916" t="s">
        <v>15711</v>
      </c>
      <c r="B5916">
        <v>1</v>
      </c>
      <c r="C5916">
        <v>23</v>
      </c>
      <c r="D5916">
        <v>23</v>
      </c>
    </row>
    <row r="5917" spans="1:4" ht="15" x14ac:dyDescent="0.25">
      <c r="A5917" t="s">
        <v>15720</v>
      </c>
      <c r="B5917">
        <v>1</v>
      </c>
      <c r="C5917">
        <v>6</v>
      </c>
      <c r="D5917">
        <v>6</v>
      </c>
    </row>
    <row r="5918" spans="1:4" ht="15" x14ac:dyDescent="0.25">
      <c r="A5918" t="s">
        <v>15722</v>
      </c>
      <c r="B5918">
        <v>1</v>
      </c>
      <c r="C5918">
        <v>6</v>
      </c>
      <c r="D5918">
        <v>6</v>
      </c>
    </row>
    <row r="5919" spans="1:4" ht="15" x14ac:dyDescent="0.25">
      <c r="A5919" t="s">
        <v>15721</v>
      </c>
      <c r="B5919">
        <v>1</v>
      </c>
      <c r="C5919">
        <v>6</v>
      </c>
      <c r="D5919">
        <v>6</v>
      </c>
    </row>
    <row r="5920" spans="1:4" ht="15" x14ac:dyDescent="0.25">
      <c r="A5920" t="s">
        <v>15726</v>
      </c>
      <c r="B5920">
        <v>1</v>
      </c>
      <c r="C5920">
        <v>32</v>
      </c>
      <c r="D5920">
        <v>32</v>
      </c>
    </row>
    <row r="5921" spans="1:4" ht="15" x14ac:dyDescent="0.25">
      <c r="A5921" t="s">
        <v>15725</v>
      </c>
      <c r="B5921">
        <v>1</v>
      </c>
      <c r="C5921">
        <v>32</v>
      </c>
      <c r="D5921">
        <v>32</v>
      </c>
    </row>
    <row r="5922" spans="1:4" ht="15" x14ac:dyDescent="0.25">
      <c r="A5922" t="s">
        <v>15734</v>
      </c>
      <c r="B5922">
        <v>1</v>
      </c>
      <c r="C5922">
        <v>33</v>
      </c>
      <c r="D5922">
        <v>33</v>
      </c>
    </row>
    <row r="5923" spans="1:4" ht="15" x14ac:dyDescent="0.25">
      <c r="A5923" t="s">
        <v>15735</v>
      </c>
      <c r="B5923">
        <v>1</v>
      </c>
      <c r="C5923">
        <v>33</v>
      </c>
      <c r="D5923">
        <v>33</v>
      </c>
    </row>
    <row r="5924" spans="1:4" ht="15" x14ac:dyDescent="0.25">
      <c r="A5924" t="s">
        <v>15736</v>
      </c>
      <c r="B5924">
        <v>1</v>
      </c>
      <c r="C5924">
        <v>33</v>
      </c>
      <c r="D5924">
        <v>33</v>
      </c>
    </row>
    <row r="5925" spans="1:4" ht="15" x14ac:dyDescent="0.25">
      <c r="A5925" t="s">
        <v>15737</v>
      </c>
      <c r="B5925">
        <v>1</v>
      </c>
      <c r="C5925">
        <v>33</v>
      </c>
      <c r="D5925">
        <v>33</v>
      </c>
    </row>
    <row r="5926" spans="1:4" ht="15" x14ac:dyDescent="0.25">
      <c r="A5926" t="s">
        <v>15743</v>
      </c>
      <c r="B5926">
        <v>1</v>
      </c>
      <c r="C5926">
        <v>80</v>
      </c>
      <c r="D5926">
        <v>80</v>
      </c>
    </row>
    <row r="5927" spans="1:4" ht="15" x14ac:dyDescent="0.25">
      <c r="A5927" t="s">
        <v>15752</v>
      </c>
      <c r="B5927">
        <v>1</v>
      </c>
      <c r="C5927">
        <v>56</v>
      </c>
      <c r="D5927">
        <v>56</v>
      </c>
    </row>
    <row r="5928" spans="1:4" ht="15" x14ac:dyDescent="0.25">
      <c r="A5928" t="s">
        <v>15753</v>
      </c>
      <c r="B5928">
        <v>1</v>
      </c>
      <c r="C5928">
        <v>56</v>
      </c>
      <c r="D5928">
        <v>56</v>
      </c>
    </row>
    <row r="5929" spans="1:4" ht="15" x14ac:dyDescent="0.25">
      <c r="A5929" t="s">
        <v>15755</v>
      </c>
      <c r="B5929">
        <v>1</v>
      </c>
      <c r="C5929">
        <v>56</v>
      </c>
      <c r="D5929">
        <v>56</v>
      </c>
    </row>
    <row r="5930" spans="1:4" ht="15" x14ac:dyDescent="0.25">
      <c r="A5930" t="s">
        <v>15756</v>
      </c>
      <c r="B5930">
        <v>1</v>
      </c>
      <c r="C5930">
        <v>56</v>
      </c>
      <c r="D5930">
        <v>56</v>
      </c>
    </row>
    <row r="5931" spans="1:4" ht="15" x14ac:dyDescent="0.25">
      <c r="A5931" t="s">
        <v>15754</v>
      </c>
      <c r="B5931">
        <v>1</v>
      </c>
      <c r="C5931">
        <v>56</v>
      </c>
      <c r="D5931">
        <v>56</v>
      </c>
    </row>
    <row r="5932" spans="1:4" ht="15" x14ac:dyDescent="0.25">
      <c r="A5932" t="s">
        <v>15759</v>
      </c>
      <c r="B5932">
        <v>3</v>
      </c>
      <c r="C5932">
        <v>33</v>
      </c>
      <c r="D5932">
        <v>11</v>
      </c>
    </row>
    <row r="5933" spans="1:4" ht="15" x14ac:dyDescent="0.25">
      <c r="A5933" t="s">
        <v>15760</v>
      </c>
      <c r="B5933">
        <v>3</v>
      </c>
      <c r="C5933">
        <v>33</v>
      </c>
      <c r="D5933">
        <v>11</v>
      </c>
    </row>
    <row r="5934" spans="1:4" ht="15" x14ac:dyDescent="0.25">
      <c r="A5934" t="s">
        <v>15761</v>
      </c>
      <c r="B5934">
        <v>3</v>
      </c>
      <c r="C5934">
        <v>33</v>
      </c>
      <c r="D5934">
        <v>11</v>
      </c>
    </row>
    <row r="5935" spans="1:4" ht="15" x14ac:dyDescent="0.25">
      <c r="A5935" t="s">
        <v>15766</v>
      </c>
      <c r="B5935">
        <v>1</v>
      </c>
      <c r="C5935">
        <v>14</v>
      </c>
      <c r="D5935">
        <v>14</v>
      </c>
    </row>
    <row r="5936" spans="1:4" ht="15" x14ac:dyDescent="0.25">
      <c r="A5936" t="s">
        <v>15770</v>
      </c>
      <c r="B5936">
        <v>2</v>
      </c>
      <c r="C5936">
        <v>42</v>
      </c>
      <c r="D5936">
        <v>21</v>
      </c>
    </row>
    <row r="5937" spans="1:4" ht="15" x14ac:dyDescent="0.25">
      <c r="A5937" t="s">
        <v>15772</v>
      </c>
      <c r="B5937">
        <v>2</v>
      </c>
      <c r="C5937">
        <v>42</v>
      </c>
      <c r="D5937">
        <v>21</v>
      </c>
    </row>
    <row r="5938" spans="1:4" ht="15" x14ac:dyDescent="0.25">
      <c r="A5938" t="s">
        <v>15771</v>
      </c>
      <c r="B5938">
        <v>2</v>
      </c>
      <c r="C5938">
        <v>42</v>
      </c>
      <c r="D5938">
        <v>21</v>
      </c>
    </row>
    <row r="5939" spans="1:4" ht="15" x14ac:dyDescent="0.25">
      <c r="A5939" t="s">
        <v>15787</v>
      </c>
      <c r="B5939">
        <v>1</v>
      </c>
      <c r="C5939">
        <v>95</v>
      </c>
      <c r="D5939">
        <v>95</v>
      </c>
    </row>
    <row r="5940" spans="1:4" ht="15" x14ac:dyDescent="0.25">
      <c r="A5940" t="s">
        <v>15788</v>
      </c>
      <c r="B5940">
        <v>1</v>
      </c>
      <c r="C5940">
        <v>95</v>
      </c>
      <c r="D5940">
        <v>95</v>
      </c>
    </row>
    <row r="5941" spans="1:4" ht="15" x14ac:dyDescent="0.25">
      <c r="A5941" t="s">
        <v>15789</v>
      </c>
      <c r="B5941">
        <v>1</v>
      </c>
      <c r="C5941">
        <v>95</v>
      </c>
      <c r="D5941">
        <v>95</v>
      </c>
    </row>
    <row r="5942" spans="1:4" ht="15" x14ac:dyDescent="0.25">
      <c r="A5942" t="s">
        <v>15794</v>
      </c>
      <c r="B5942">
        <v>1</v>
      </c>
      <c r="C5942">
        <v>27</v>
      </c>
      <c r="D5942">
        <v>27</v>
      </c>
    </row>
    <row r="5943" spans="1:4" ht="15" x14ac:dyDescent="0.25">
      <c r="A5943" t="s">
        <v>15795</v>
      </c>
      <c r="B5943">
        <v>1</v>
      </c>
      <c r="C5943">
        <v>27</v>
      </c>
      <c r="D5943">
        <v>27</v>
      </c>
    </row>
    <row r="5944" spans="1:4" ht="15" x14ac:dyDescent="0.25">
      <c r="A5944" t="s">
        <v>15797</v>
      </c>
      <c r="B5944">
        <v>1</v>
      </c>
      <c r="C5944">
        <v>27</v>
      </c>
      <c r="D5944">
        <v>27</v>
      </c>
    </row>
    <row r="5945" spans="1:4" ht="15" x14ac:dyDescent="0.25">
      <c r="A5945" t="s">
        <v>15796</v>
      </c>
      <c r="B5945">
        <v>1</v>
      </c>
      <c r="C5945">
        <v>27</v>
      </c>
      <c r="D5945">
        <v>27</v>
      </c>
    </row>
    <row r="5946" spans="1:4" ht="15" x14ac:dyDescent="0.25">
      <c r="A5946" t="s">
        <v>15803</v>
      </c>
      <c r="B5946">
        <v>2</v>
      </c>
      <c r="C5946">
        <v>55</v>
      </c>
      <c r="D5946">
        <v>27.5</v>
      </c>
    </row>
    <row r="5947" spans="1:4" ht="15" x14ac:dyDescent="0.25">
      <c r="A5947" t="s">
        <v>15804</v>
      </c>
      <c r="B5947">
        <v>2</v>
      </c>
      <c r="C5947">
        <v>55</v>
      </c>
      <c r="D5947">
        <v>27.5</v>
      </c>
    </row>
    <row r="5948" spans="1:4" ht="15" x14ac:dyDescent="0.25">
      <c r="A5948" t="s">
        <v>15806</v>
      </c>
      <c r="B5948">
        <v>1</v>
      </c>
      <c r="C5948">
        <v>33</v>
      </c>
      <c r="D5948">
        <v>33</v>
      </c>
    </row>
    <row r="5949" spans="1:4" ht="15" x14ac:dyDescent="0.25">
      <c r="A5949" t="s">
        <v>15807</v>
      </c>
      <c r="B5949">
        <v>5</v>
      </c>
      <c r="C5949">
        <v>137</v>
      </c>
      <c r="D5949">
        <v>27.4</v>
      </c>
    </row>
    <row r="5950" spans="1:4" ht="15" x14ac:dyDescent="0.25">
      <c r="A5950" t="s">
        <v>15805</v>
      </c>
      <c r="B5950">
        <v>1</v>
      </c>
      <c r="C5950">
        <v>33</v>
      </c>
      <c r="D5950">
        <v>33</v>
      </c>
    </row>
    <row r="5951" spans="1:4" ht="15" x14ac:dyDescent="0.25">
      <c r="A5951" t="s">
        <v>15810</v>
      </c>
      <c r="B5951">
        <v>3</v>
      </c>
      <c r="C5951">
        <v>157</v>
      </c>
      <c r="D5951">
        <v>52.333333333333336</v>
      </c>
    </row>
    <row r="5952" spans="1:4" ht="15" x14ac:dyDescent="0.25">
      <c r="A5952" t="s">
        <v>15813</v>
      </c>
      <c r="B5952">
        <v>1</v>
      </c>
      <c r="C5952">
        <v>70</v>
      </c>
      <c r="D5952">
        <v>70</v>
      </c>
    </row>
    <row r="5953" spans="1:4" ht="15" x14ac:dyDescent="0.25">
      <c r="A5953" t="s">
        <v>15814</v>
      </c>
      <c r="B5953">
        <v>1</v>
      </c>
      <c r="C5953">
        <v>70</v>
      </c>
      <c r="D5953">
        <v>70</v>
      </c>
    </row>
    <row r="5954" spans="1:4" ht="15" x14ac:dyDescent="0.25">
      <c r="A5954" t="s">
        <v>15815</v>
      </c>
      <c r="B5954">
        <v>2</v>
      </c>
      <c r="C5954">
        <v>106</v>
      </c>
      <c r="D5954">
        <v>53</v>
      </c>
    </row>
    <row r="5955" spans="1:4" ht="15" x14ac:dyDescent="0.25">
      <c r="A5955" t="s">
        <v>15820</v>
      </c>
      <c r="B5955">
        <v>2</v>
      </c>
      <c r="C5955">
        <v>84</v>
      </c>
      <c r="D5955">
        <v>42</v>
      </c>
    </row>
    <row r="5956" spans="1:4" ht="15" x14ac:dyDescent="0.25">
      <c r="A5956" t="s">
        <v>15821</v>
      </c>
      <c r="B5956">
        <v>1</v>
      </c>
      <c r="C5956">
        <v>35</v>
      </c>
      <c r="D5956">
        <v>35</v>
      </c>
    </row>
    <row r="5957" spans="1:4" ht="15" x14ac:dyDescent="0.25">
      <c r="A5957" t="s">
        <v>15823</v>
      </c>
      <c r="B5957">
        <v>2</v>
      </c>
      <c r="C5957">
        <v>106</v>
      </c>
      <c r="D5957">
        <v>53</v>
      </c>
    </row>
    <row r="5958" spans="1:4" ht="15" x14ac:dyDescent="0.25">
      <c r="A5958" t="s">
        <v>15822</v>
      </c>
      <c r="B5958">
        <v>1</v>
      </c>
      <c r="C5958">
        <v>35</v>
      </c>
      <c r="D5958">
        <v>35</v>
      </c>
    </row>
    <row r="5959" spans="1:4" ht="15" x14ac:dyDescent="0.25">
      <c r="A5959" t="s">
        <v>15826</v>
      </c>
      <c r="B5959">
        <v>1</v>
      </c>
      <c r="C5959">
        <v>31</v>
      </c>
      <c r="D5959">
        <v>31</v>
      </c>
    </row>
    <row r="5960" spans="1:4" ht="15" x14ac:dyDescent="0.25">
      <c r="A5960" t="s">
        <v>15828</v>
      </c>
      <c r="B5960">
        <v>1</v>
      </c>
      <c r="C5960">
        <v>31</v>
      </c>
      <c r="D5960">
        <v>31</v>
      </c>
    </row>
    <row r="5961" spans="1:4" ht="15" x14ac:dyDescent="0.25">
      <c r="A5961" t="s">
        <v>15827</v>
      </c>
      <c r="B5961">
        <v>1</v>
      </c>
      <c r="C5961">
        <v>31</v>
      </c>
      <c r="D5961">
        <v>31</v>
      </c>
    </row>
    <row r="5962" spans="1:4" ht="15" x14ac:dyDescent="0.25">
      <c r="A5962" t="s">
        <v>15832</v>
      </c>
      <c r="B5962">
        <v>1</v>
      </c>
      <c r="C5962">
        <v>74</v>
      </c>
      <c r="D5962">
        <v>74</v>
      </c>
    </row>
    <row r="5963" spans="1:4" ht="15" x14ac:dyDescent="0.25">
      <c r="A5963" t="s">
        <v>15834</v>
      </c>
      <c r="B5963">
        <v>1</v>
      </c>
      <c r="C5963">
        <v>74</v>
      </c>
      <c r="D5963">
        <v>74</v>
      </c>
    </row>
    <row r="5964" spans="1:4" ht="15" x14ac:dyDescent="0.25">
      <c r="A5964" t="s">
        <v>15833</v>
      </c>
      <c r="B5964">
        <v>1</v>
      </c>
      <c r="C5964">
        <v>74</v>
      </c>
      <c r="D5964">
        <v>74</v>
      </c>
    </row>
    <row r="5965" spans="1:4" ht="15" x14ac:dyDescent="0.25">
      <c r="A5965" t="s">
        <v>15839</v>
      </c>
      <c r="B5965">
        <v>1</v>
      </c>
      <c r="C5965">
        <v>74</v>
      </c>
      <c r="D5965">
        <v>74</v>
      </c>
    </row>
    <row r="5966" spans="1:4" ht="15" x14ac:dyDescent="0.25">
      <c r="A5966" t="s">
        <v>15840</v>
      </c>
      <c r="B5966">
        <v>1</v>
      </c>
      <c r="C5966">
        <v>74</v>
      </c>
      <c r="D5966">
        <v>74</v>
      </c>
    </row>
    <row r="5967" spans="1:4" ht="15" x14ac:dyDescent="0.25">
      <c r="A5967" t="s">
        <v>15841</v>
      </c>
      <c r="B5967">
        <v>1</v>
      </c>
      <c r="C5967">
        <v>74</v>
      </c>
      <c r="D5967">
        <v>74</v>
      </c>
    </row>
    <row r="5968" spans="1:4" ht="15" x14ac:dyDescent="0.25">
      <c r="A5968" t="s">
        <v>15845</v>
      </c>
      <c r="B5968">
        <v>2</v>
      </c>
      <c r="C5968">
        <v>70</v>
      </c>
      <c r="D5968">
        <v>35</v>
      </c>
    </row>
    <row r="5969" spans="1:4" ht="15" x14ac:dyDescent="0.25">
      <c r="A5969" t="s">
        <v>15849</v>
      </c>
      <c r="B5969">
        <v>1</v>
      </c>
      <c r="C5969">
        <v>18</v>
      </c>
      <c r="D5969">
        <v>18</v>
      </c>
    </row>
    <row r="5970" spans="1:4" ht="15" x14ac:dyDescent="0.25">
      <c r="A5970" t="s">
        <v>15854</v>
      </c>
      <c r="B5970">
        <v>3</v>
      </c>
      <c r="C5970">
        <v>92</v>
      </c>
      <c r="D5970">
        <v>30.666666666666668</v>
      </c>
    </row>
    <row r="5971" spans="1:4" ht="15" x14ac:dyDescent="0.25">
      <c r="A5971" t="s">
        <v>15855</v>
      </c>
      <c r="B5971">
        <v>4</v>
      </c>
      <c r="C5971">
        <v>157</v>
      </c>
      <c r="D5971">
        <v>39.25</v>
      </c>
    </row>
    <row r="5972" spans="1:4" ht="15" x14ac:dyDescent="0.25">
      <c r="A5972" t="s">
        <v>15861</v>
      </c>
      <c r="B5972">
        <v>2</v>
      </c>
      <c r="C5972">
        <v>68</v>
      </c>
      <c r="D5972">
        <v>34</v>
      </c>
    </row>
    <row r="5973" spans="1:4" ht="15" x14ac:dyDescent="0.25">
      <c r="A5973" t="s">
        <v>15871</v>
      </c>
      <c r="B5973">
        <v>1</v>
      </c>
      <c r="C5973">
        <v>38</v>
      </c>
      <c r="D5973">
        <v>38</v>
      </c>
    </row>
    <row r="5974" spans="1:4" ht="15" x14ac:dyDescent="0.25">
      <c r="A5974" t="s">
        <v>15872</v>
      </c>
      <c r="B5974">
        <v>1</v>
      </c>
      <c r="C5974">
        <v>38</v>
      </c>
      <c r="D5974">
        <v>38</v>
      </c>
    </row>
    <row r="5975" spans="1:4" ht="15" x14ac:dyDescent="0.25">
      <c r="A5975" t="s">
        <v>15873</v>
      </c>
      <c r="B5975">
        <v>1</v>
      </c>
      <c r="C5975">
        <v>38</v>
      </c>
      <c r="D5975">
        <v>38</v>
      </c>
    </row>
    <row r="5976" spans="1:4" ht="15" x14ac:dyDescent="0.25">
      <c r="A5976" t="s">
        <v>15878</v>
      </c>
      <c r="B5976">
        <v>1</v>
      </c>
      <c r="C5976">
        <v>11</v>
      </c>
      <c r="D5976">
        <v>11</v>
      </c>
    </row>
    <row r="5977" spans="1:4" ht="15" x14ac:dyDescent="0.25">
      <c r="A5977" t="s">
        <v>15879</v>
      </c>
      <c r="B5977">
        <v>2</v>
      </c>
      <c r="C5977">
        <v>1750</v>
      </c>
      <c r="D5977">
        <v>875</v>
      </c>
    </row>
    <row r="5978" spans="1:4" ht="15" x14ac:dyDescent="0.25">
      <c r="A5978" t="s">
        <v>15884</v>
      </c>
      <c r="B5978">
        <v>1</v>
      </c>
      <c r="C5978">
        <v>6</v>
      </c>
      <c r="D5978">
        <v>6</v>
      </c>
    </row>
    <row r="5979" spans="1:4" ht="15" x14ac:dyDescent="0.25">
      <c r="A5979" t="s">
        <v>15885</v>
      </c>
      <c r="B5979">
        <v>1</v>
      </c>
      <c r="C5979">
        <v>6</v>
      </c>
      <c r="D5979">
        <v>6</v>
      </c>
    </row>
    <row r="5980" spans="1:4" ht="15" x14ac:dyDescent="0.25">
      <c r="A5980" t="s">
        <v>15891</v>
      </c>
      <c r="B5980">
        <v>2</v>
      </c>
      <c r="C5980">
        <v>34</v>
      </c>
      <c r="D5980">
        <v>17</v>
      </c>
    </row>
    <row r="5981" spans="1:4" ht="15" x14ac:dyDescent="0.25">
      <c r="A5981" t="s">
        <v>15892</v>
      </c>
      <c r="B5981">
        <v>1</v>
      </c>
      <c r="C5981">
        <v>24</v>
      </c>
      <c r="D5981">
        <v>24</v>
      </c>
    </row>
    <row r="5982" spans="1:4" ht="15" x14ac:dyDescent="0.25">
      <c r="A5982" t="s">
        <v>15893</v>
      </c>
      <c r="B5982">
        <v>1</v>
      </c>
      <c r="C5982">
        <v>24</v>
      </c>
      <c r="D5982">
        <v>24</v>
      </c>
    </row>
    <row r="5983" spans="1:4" ht="15" x14ac:dyDescent="0.25">
      <c r="A5983" t="s">
        <v>15898</v>
      </c>
      <c r="B5983">
        <v>1</v>
      </c>
      <c r="C5983">
        <v>191</v>
      </c>
      <c r="D5983">
        <v>191</v>
      </c>
    </row>
    <row r="5984" spans="1:4" ht="15" x14ac:dyDescent="0.25">
      <c r="A5984" t="s">
        <v>15899</v>
      </c>
      <c r="B5984">
        <v>2</v>
      </c>
      <c r="C5984">
        <v>216</v>
      </c>
      <c r="D5984">
        <v>108</v>
      </c>
    </row>
    <row r="5985" spans="1:4" ht="15" x14ac:dyDescent="0.25">
      <c r="A5985" t="s">
        <v>15902</v>
      </c>
      <c r="B5985">
        <v>1</v>
      </c>
      <c r="C5985">
        <v>24</v>
      </c>
      <c r="D5985">
        <v>24</v>
      </c>
    </row>
    <row r="5986" spans="1:4" ht="15" x14ac:dyDescent="0.25">
      <c r="A5986" t="s">
        <v>15903</v>
      </c>
      <c r="B5986">
        <v>1</v>
      </c>
      <c r="C5986">
        <v>24</v>
      </c>
      <c r="D5986">
        <v>24</v>
      </c>
    </row>
    <row r="5987" spans="1:4" ht="15" x14ac:dyDescent="0.25">
      <c r="A5987" t="s">
        <v>15906</v>
      </c>
      <c r="B5987">
        <v>1</v>
      </c>
      <c r="C5987">
        <v>65</v>
      </c>
      <c r="D5987">
        <v>65</v>
      </c>
    </row>
    <row r="5988" spans="1:4" ht="15" x14ac:dyDescent="0.25">
      <c r="A5988" t="s">
        <v>15907</v>
      </c>
      <c r="B5988">
        <v>1</v>
      </c>
      <c r="C5988">
        <v>65</v>
      </c>
      <c r="D5988">
        <v>65</v>
      </c>
    </row>
    <row r="5989" spans="1:4" ht="15" x14ac:dyDescent="0.25">
      <c r="A5989" t="s">
        <v>15908</v>
      </c>
      <c r="B5989">
        <v>3</v>
      </c>
      <c r="C5989">
        <v>177</v>
      </c>
      <c r="D5989">
        <v>59</v>
      </c>
    </row>
    <row r="5990" spans="1:4" ht="15" x14ac:dyDescent="0.25">
      <c r="A5990" t="s">
        <v>15912</v>
      </c>
      <c r="B5990">
        <v>1</v>
      </c>
      <c r="C5990">
        <v>41</v>
      </c>
      <c r="D5990">
        <v>41</v>
      </c>
    </row>
    <row r="5991" spans="1:4" ht="15" x14ac:dyDescent="0.25">
      <c r="A5991" t="s">
        <v>15914</v>
      </c>
      <c r="B5991">
        <v>1</v>
      </c>
      <c r="C5991">
        <v>41</v>
      </c>
      <c r="D5991">
        <v>41</v>
      </c>
    </row>
    <row r="5992" spans="1:4" ht="15" x14ac:dyDescent="0.25">
      <c r="A5992" t="s">
        <v>15915</v>
      </c>
      <c r="B5992">
        <v>4</v>
      </c>
      <c r="C5992">
        <v>152</v>
      </c>
      <c r="D5992">
        <v>38</v>
      </c>
    </row>
    <row r="5993" spans="1:4" ht="15" x14ac:dyDescent="0.25">
      <c r="A5993" t="s">
        <v>15913</v>
      </c>
      <c r="B5993">
        <v>1</v>
      </c>
      <c r="C5993">
        <v>41</v>
      </c>
      <c r="D5993">
        <v>41</v>
      </c>
    </row>
    <row r="5994" spans="1:4" ht="15" x14ac:dyDescent="0.25">
      <c r="A5994" t="s">
        <v>15919</v>
      </c>
      <c r="B5994">
        <v>1</v>
      </c>
      <c r="C5994">
        <v>38</v>
      </c>
      <c r="D5994">
        <v>38</v>
      </c>
    </row>
    <row r="5995" spans="1:4" ht="15" x14ac:dyDescent="0.25">
      <c r="A5995" t="s">
        <v>15920</v>
      </c>
      <c r="B5995">
        <v>1</v>
      </c>
      <c r="C5995">
        <v>38</v>
      </c>
      <c r="D5995">
        <v>38</v>
      </c>
    </row>
    <row r="5996" spans="1:4" ht="15" x14ac:dyDescent="0.25">
      <c r="A5996" t="s">
        <v>15924</v>
      </c>
      <c r="B5996">
        <v>1</v>
      </c>
      <c r="C5996">
        <v>14</v>
      </c>
      <c r="D5996">
        <v>14</v>
      </c>
    </row>
    <row r="5997" spans="1:4" ht="15" x14ac:dyDescent="0.25">
      <c r="A5997" t="s">
        <v>15925</v>
      </c>
      <c r="B5997">
        <v>1</v>
      </c>
      <c r="C5997">
        <v>14</v>
      </c>
      <c r="D5997">
        <v>14</v>
      </c>
    </row>
    <row r="5998" spans="1:4" ht="15" x14ac:dyDescent="0.25">
      <c r="A5998" t="s">
        <v>15926</v>
      </c>
      <c r="B5998">
        <v>1</v>
      </c>
      <c r="C5998">
        <v>14</v>
      </c>
      <c r="D5998">
        <v>14</v>
      </c>
    </row>
    <row r="5999" spans="1:4" ht="15" x14ac:dyDescent="0.25">
      <c r="A5999" t="s">
        <v>15930</v>
      </c>
      <c r="B5999">
        <v>1</v>
      </c>
      <c r="C5999">
        <v>399</v>
      </c>
      <c r="D5999">
        <v>399</v>
      </c>
    </row>
    <row r="6000" spans="1:4" ht="15" x14ac:dyDescent="0.25">
      <c r="A6000" t="s">
        <v>15934</v>
      </c>
      <c r="B6000">
        <v>1</v>
      </c>
      <c r="C6000">
        <v>3</v>
      </c>
      <c r="D6000">
        <v>3</v>
      </c>
    </row>
    <row r="6001" spans="1:4" ht="15" x14ac:dyDescent="0.25">
      <c r="A6001" t="s">
        <v>15938</v>
      </c>
      <c r="B6001">
        <v>1</v>
      </c>
      <c r="C6001">
        <v>49</v>
      </c>
      <c r="D6001">
        <v>49</v>
      </c>
    </row>
    <row r="6002" spans="1:4" ht="15" x14ac:dyDescent="0.25">
      <c r="A6002" t="s">
        <v>15937</v>
      </c>
      <c r="B6002">
        <v>1</v>
      </c>
      <c r="C6002">
        <v>49</v>
      </c>
      <c r="D6002">
        <v>49</v>
      </c>
    </row>
    <row r="6003" spans="1:4" ht="15" x14ac:dyDescent="0.25">
      <c r="A6003" t="s">
        <v>15942</v>
      </c>
      <c r="B6003">
        <v>2</v>
      </c>
      <c r="C6003">
        <v>88</v>
      </c>
      <c r="D6003">
        <v>44</v>
      </c>
    </row>
    <row r="6004" spans="1:4" ht="15" x14ac:dyDescent="0.25">
      <c r="A6004" t="s">
        <v>15946</v>
      </c>
      <c r="B6004">
        <v>1</v>
      </c>
      <c r="C6004">
        <v>33</v>
      </c>
      <c r="D6004">
        <v>33</v>
      </c>
    </row>
    <row r="6005" spans="1:4" ht="15" x14ac:dyDescent="0.25">
      <c r="A6005" t="s">
        <v>15950</v>
      </c>
      <c r="B6005">
        <v>1</v>
      </c>
      <c r="C6005">
        <v>22</v>
      </c>
      <c r="D6005">
        <v>22</v>
      </c>
    </row>
    <row r="6006" spans="1:4" ht="15" x14ac:dyDescent="0.25">
      <c r="A6006" t="s">
        <v>15951</v>
      </c>
      <c r="B6006">
        <v>1</v>
      </c>
      <c r="C6006">
        <v>22</v>
      </c>
      <c r="D6006">
        <v>22</v>
      </c>
    </row>
    <row r="6007" spans="1:4" ht="15" x14ac:dyDescent="0.25">
      <c r="A6007" t="s">
        <v>15953</v>
      </c>
      <c r="B6007">
        <v>1</v>
      </c>
      <c r="C6007">
        <v>22</v>
      </c>
      <c r="D6007">
        <v>22</v>
      </c>
    </row>
    <row r="6008" spans="1:4" ht="15" x14ac:dyDescent="0.25">
      <c r="A6008" t="s">
        <v>15952</v>
      </c>
      <c r="B6008">
        <v>1</v>
      </c>
      <c r="C6008">
        <v>22</v>
      </c>
      <c r="D6008">
        <v>22</v>
      </c>
    </row>
    <row r="6009" spans="1:4" ht="15" x14ac:dyDescent="0.25">
      <c r="A6009" t="s">
        <v>15957</v>
      </c>
      <c r="B6009">
        <v>5</v>
      </c>
      <c r="C6009">
        <v>227</v>
      </c>
      <c r="D6009">
        <v>45.4</v>
      </c>
    </row>
    <row r="6010" spans="1:4" ht="15" x14ac:dyDescent="0.25">
      <c r="A6010" t="s">
        <v>15961</v>
      </c>
      <c r="B6010">
        <v>1</v>
      </c>
      <c r="C6010">
        <v>33</v>
      </c>
      <c r="D6010">
        <v>33</v>
      </c>
    </row>
    <row r="6011" spans="1:4" ht="15" x14ac:dyDescent="0.25">
      <c r="A6011" t="s">
        <v>15965</v>
      </c>
      <c r="B6011">
        <v>3</v>
      </c>
      <c r="C6011">
        <v>102</v>
      </c>
      <c r="D6011">
        <v>34</v>
      </c>
    </row>
    <row r="6012" spans="1:4" ht="15" x14ac:dyDescent="0.25">
      <c r="A6012" t="s">
        <v>15966</v>
      </c>
      <c r="B6012">
        <v>1</v>
      </c>
      <c r="C6012">
        <v>19</v>
      </c>
      <c r="D6012">
        <v>19</v>
      </c>
    </row>
    <row r="6013" spans="1:4" ht="15" x14ac:dyDescent="0.25">
      <c r="A6013" t="s">
        <v>15971</v>
      </c>
      <c r="B6013">
        <v>1</v>
      </c>
      <c r="C6013">
        <v>112</v>
      </c>
      <c r="D6013">
        <v>112</v>
      </c>
    </row>
    <row r="6014" spans="1:4" ht="15" x14ac:dyDescent="0.25">
      <c r="A6014" t="s">
        <v>15975</v>
      </c>
      <c r="B6014">
        <v>1</v>
      </c>
      <c r="C6014">
        <v>78</v>
      </c>
      <c r="D6014">
        <v>78</v>
      </c>
    </row>
    <row r="6015" spans="1:4" ht="15" x14ac:dyDescent="0.25">
      <c r="A6015" t="s">
        <v>15976</v>
      </c>
      <c r="B6015">
        <v>4</v>
      </c>
      <c r="C6015">
        <v>338</v>
      </c>
      <c r="D6015">
        <v>84.5</v>
      </c>
    </row>
    <row r="6016" spans="1:4" ht="15" x14ac:dyDescent="0.25">
      <c r="A6016" t="s">
        <v>7369</v>
      </c>
      <c r="B6016">
        <v>2</v>
      </c>
      <c r="C6016">
        <v>21</v>
      </c>
      <c r="D6016">
        <v>10.5</v>
      </c>
    </row>
    <row r="6017" spans="1:4" ht="15" x14ac:dyDescent="0.25">
      <c r="A6017" t="s">
        <v>15983</v>
      </c>
      <c r="B6017">
        <v>1</v>
      </c>
      <c r="C6017">
        <v>6</v>
      </c>
      <c r="D6017">
        <v>6</v>
      </c>
    </row>
    <row r="6018" spans="1:4" ht="15" x14ac:dyDescent="0.25">
      <c r="A6018" t="s">
        <v>15984</v>
      </c>
      <c r="B6018">
        <v>3</v>
      </c>
      <c r="C6018">
        <v>103</v>
      </c>
      <c r="D6018">
        <v>34.333333333333336</v>
      </c>
    </row>
    <row r="6019" spans="1:4" ht="15" x14ac:dyDescent="0.25">
      <c r="A6019" t="s">
        <v>15988</v>
      </c>
      <c r="B6019">
        <v>1</v>
      </c>
      <c r="C6019">
        <v>111</v>
      </c>
      <c r="D6019">
        <v>111</v>
      </c>
    </row>
    <row r="6020" spans="1:4" ht="15" x14ac:dyDescent="0.25">
      <c r="A6020" t="s">
        <v>15989</v>
      </c>
      <c r="B6020">
        <v>1</v>
      </c>
      <c r="C6020">
        <v>111</v>
      </c>
      <c r="D6020">
        <v>111</v>
      </c>
    </row>
    <row r="6021" spans="1:4" ht="15" x14ac:dyDescent="0.25">
      <c r="A6021" t="s">
        <v>15991</v>
      </c>
      <c r="B6021">
        <v>1</v>
      </c>
      <c r="C6021">
        <v>111</v>
      </c>
      <c r="D6021">
        <v>111</v>
      </c>
    </row>
    <row r="6022" spans="1:4" ht="15" x14ac:dyDescent="0.25">
      <c r="A6022" t="s">
        <v>15990</v>
      </c>
      <c r="B6022">
        <v>1</v>
      </c>
      <c r="C6022">
        <v>111</v>
      </c>
      <c r="D6022">
        <v>111</v>
      </c>
    </row>
    <row r="6023" spans="1:4" ht="15" x14ac:dyDescent="0.25">
      <c r="A6023" t="s">
        <v>15995</v>
      </c>
      <c r="B6023">
        <v>1</v>
      </c>
      <c r="C6023">
        <v>10</v>
      </c>
      <c r="D6023">
        <v>10</v>
      </c>
    </row>
    <row r="6024" spans="1:4" ht="15" x14ac:dyDescent="0.25">
      <c r="A6024" t="s">
        <v>15996</v>
      </c>
      <c r="B6024">
        <v>1</v>
      </c>
      <c r="C6024">
        <v>10</v>
      </c>
      <c r="D6024">
        <v>10</v>
      </c>
    </row>
    <row r="6025" spans="1:4" ht="15" x14ac:dyDescent="0.25">
      <c r="A6025" t="s">
        <v>16000</v>
      </c>
      <c r="B6025">
        <v>1</v>
      </c>
      <c r="C6025">
        <v>71</v>
      </c>
      <c r="D6025">
        <v>71</v>
      </c>
    </row>
    <row r="6026" spans="1:4" ht="15" x14ac:dyDescent="0.25">
      <c r="A6026" t="s">
        <v>16001</v>
      </c>
      <c r="B6026">
        <v>1</v>
      </c>
      <c r="C6026">
        <v>71</v>
      </c>
      <c r="D6026">
        <v>71</v>
      </c>
    </row>
    <row r="6027" spans="1:4" ht="15" x14ac:dyDescent="0.25">
      <c r="A6027" t="s">
        <v>16002</v>
      </c>
      <c r="B6027">
        <v>1</v>
      </c>
      <c r="C6027">
        <v>71</v>
      </c>
      <c r="D6027">
        <v>71</v>
      </c>
    </row>
    <row r="6028" spans="1:4" ht="15" x14ac:dyDescent="0.25">
      <c r="A6028" t="s">
        <v>16006</v>
      </c>
      <c r="B6028">
        <v>1</v>
      </c>
      <c r="C6028">
        <v>33</v>
      </c>
      <c r="D6028">
        <v>33</v>
      </c>
    </row>
    <row r="6029" spans="1:4" ht="15" x14ac:dyDescent="0.25">
      <c r="A6029" t="s">
        <v>16007</v>
      </c>
      <c r="B6029">
        <v>1</v>
      </c>
      <c r="C6029">
        <v>33</v>
      </c>
      <c r="D6029">
        <v>33</v>
      </c>
    </row>
    <row r="6030" spans="1:4" ht="15" x14ac:dyDescent="0.25">
      <c r="A6030" t="s">
        <v>16010</v>
      </c>
      <c r="B6030">
        <v>1</v>
      </c>
      <c r="C6030">
        <v>26</v>
      </c>
      <c r="D6030">
        <v>26</v>
      </c>
    </row>
    <row r="6031" spans="1:4" ht="15" x14ac:dyDescent="0.25">
      <c r="A6031" t="s">
        <v>16011</v>
      </c>
      <c r="B6031">
        <v>2</v>
      </c>
      <c r="C6031">
        <v>47</v>
      </c>
      <c r="D6031">
        <v>23.5</v>
      </c>
    </row>
    <row r="6032" spans="1:4" ht="15" x14ac:dyDescent="0.25">
      <c r="A6032" t="s">
        <v>16012</v>
      </c>
      <c r="B6032">
        <v>1</v>
      </c>
      <c r="C6032">
        <v>26</v>
      </c>
      <c r="D6032">
        <v>26</v>
      </c>
    </row>
    <row r="6033" spans="1:4" ht="15" x14ac:dyDescent="0.25">
      <c r="A6033" t="s">
        <v>16018</v>
      </c>
      <c r="B6033">
        <v>1</v>
      </c>
      <c r="C6033">
        <v>221</v>
      </c>
      <c r="D6033">
        <v>221</v>
      </c>
    </row>
    <row r="6034" spans="1:4" ht="15" x14ac:dyDescent="0.25">
      <c r="A6034" t="s">
        <v>16019</v>
      </c>
      <c r="B6034">
        <v>1</v>
      </c>
      <c r="C6034">
        <v>221</v>
      </c>
      <c r="D6034">
        <v>221</v>
      </c>
    </row>
    <row r="6035" spans="1:4" ht="15" x14ac:dyDescent="0.25">
      <c r="A6035" t="s">
        <v>16021</v>
      </c>
      <c r="B6035">
        <v>1</v>
      </c>
      <c r="C6035">
        <v>221</v>
      </c>
      <c r="D6035">
        <v>221</v>
      </c>
    </row>
    <row r="6036" spans="1:4" ht="15" x14ac:dyDescent="0.25">
      <c r="A6036" t="s">
        <v>16020</v>
      </c>
      <c r="B6036">
        <v>1</v>
      </c>
      <c r="C6036">
        <v>221</v>
      </c>
      <c r="D6036">
        <v>221</v>
      </c>
    </row>
    <row r="6037" spans="1:4" ht="15" x14ac:dyDescent="0.25">
      <c r="A6037" t="s">
        <v>16028</v>
      </c>
      <c r="B6037">
        <v>1</v>
      </c>
      <c r="C6037">
        <v>21</v>
      </c>
      <c r="D6037">
        <v>21</v>
      </c>
    </row>
    <row r="6038" spans="1:4" ht="15" x14ac:dyDescent="0.25">
      <c r="A6038" t="s">
        <v>16029</v>
      </c>
      <c r="B6038">
        <v>1</v>
      </c>
      <c r="C6038">
        <v>21</v>
      </c>
      <c r="D6038">
        <v>21</v>
      </c>
    </row>
    <row r="6039" spans="1:4" ht="15" x14ac:dyDescent="0.25">
      <c r="A6039" t="s">
        <v>16031</v>
      </c>
      <c r="B6039">
        <v>1</v>
      </c>
      <c r="C6039">
        <v>21</v>
      </c>
      <c r="D6039">
        <v>21</v>
      </c>
    </row>
    <row r="6040" spans="1:4" ht="15" x14ac:dyDescent="0.25">
      <c r="A6040" t="s">
        <v>16032</v>
      </c>
      <c r="B6040">
        <v>1</v>
      </c>
      <c r="C6040">
        <v>21</v>
      </c>
      <c r="D6040">
        <v>21</v>
      </c>
    </row>
    <row r="6041" spans="1:4" ht="15" x14ac:dyDescent="0.25">
      <c r="A6041" t="s">
        <v>16030</v>
      </c>
      <c r="B6041">
        <v>1</v>
      </c>
      <c r="C6041">
        <v>21</v>
      </c>
      <c r="D6041">
        <v>21</v>
      </c>
    </row>
    <row r="6042" spans="1:4" ht="15" x14ac:dyDescent="0.25">
      <c r="A6042" t="s">
        <v>16036</v>
      </c>
      <c r="B6042">
        <v>1</v>
      </c>
      <c r="C6042">
        <v>12</v>
      </c>
      <c r="D6042">
        <v>12</v>
      </c>
    </row>
    <row r="6043" spans="1:4" ht="15" x14ac:dyDescent="0.25">
      <c r="A6043" t="s">
        <v>16038</v>
      </c>
      <c r="B6043">
        <v>1</v>
      </c>
      <c r="C6043">
        <v>12</v>
      </c>
      <c r="D6043">
        <v>12</v>
      </c>
    </row>
    <row r="6044" spans="1:4" ht="15" x14ac:dyDescent="0.25">
      <c r="A6044" t="s">
        <v>16037</v>
      </c>
      <c r="B6044">
        <v>1</v>
      </c>
      <c r="C6044">
        <v>12</v>
      </c>
      <c r="D6044">
        <v>12</v>
      </c>
    </row>
    <row r="6045" spans="1:4" ht="15" x14ac:dyDescent="0.25">
      <c r="A6045" t="s">
        <v>16043</v>
      </c>
      <c r="B6045">
        <v>1</v>
      </c>
      <c r="C6045">
        <v>20</v>
      </c>
      <c r="D6045">
        <v>20</v>
      </c>
    </row>
    <row r="6046" spans="1:4" ht="15" x14ac:dyDescent="0.25">
      <c r="A6046" t="s">
        <v>16048</v>
      </c>
      <c r="B6046">
        <v>1</v>
      </c>
      <c r="C6046">
        <v>67</v>
      </c>
      <c r="D6046">
        <v>67</v>
      </c>
    </row>
    <row r="6047" spans="1:4" ht="15" x14ac:dyDescent="0.25">
      <c r="A6047" t="s">
        <v>16050</v>
      </c>
      <c r="B6047">
        <v>1</v>
      </c>
      <c r="C6047">
        <v>67</v>
      </c>
      <c r="D6047">
        <v>67</v>
      </c>
    </row>
    <row r="6048" spans="1:4" ht="15" x14ac:dyDescent="0.25">
      <c r="A6048" t="s">
        <v>16051</v>
      </c>
      <c r="B6048">
        <v>1</v>
      </c>
      <c r="C6048">
        <v>67</v>
      </c>
      <c r="D6048">
        <v>67</v>
      </c>
    </row>
    <row r="6049" spans="1:4" ht="15" x14ac:dyDescent="0.25">
      <c r="A6049" t="s">
        <v>16049</v>
      </c>
      <c r="B6049">
        <v>1</v>
      </c>
      <c r="C6049">
        <v>67</v>
      </c>
      <c r="D6049">
        <v>67</v>
      </c>
    </row>
    <row r="6050" spans="1:4" ht="15" x14ac:dyDescent="0.25">
      <c r="A6050" t="s">
        <v>16058</v>
      </c>
      <c r="B6050">
        <v>3</v>
      </c>
      <c r="C6050">
        <v>978</v>
      </c>
      <c r="D6050">
        <v>326</v>
      </c>
    </row>
    <row r="6051" spans="1:4" ht="15" x14ac:dyDescent="0.25">
      <c r="A6051" t="s">
        <v>16062</v>
      </c>
      <c r="B6051">
        <v>1</v>
      </c>
      <c r="C6051">
        <v>33</v>
      </c>
      <c r="D6051">
        <v>33</v>
      </c>
    </row>
    <row r="6052" spans="1:4" ht="15" x14ac:dyDescent="0.25">
      <c r="A6052" t="s">
        <v>16064</v>
      </c>
      <c r="B6052">
        <v>1</v>
      </c>
      <c r="C6052">
        <v>33</v>
      </c>
      <c r="D6052">
        <v>33</v>
      </c>
    </row>
    <row r="6053" spans="1:4" ht="15" x14ac:dyDescent="0.25">
      <c r="A6053" t="s">
        <v>16063</v>
      </c>
      <c r="B6053">
        <v>2</v>
      </c>
      <c r="C6053">
        <v>69</v>
      </c>
      <c r="D6053">
        <v>34.5</v>
      </c>
    </row>
    <row r="6054" spans="1:4" ht="15" x14ac:dyDescent="0.25">
      <c r="A6054" t="s">
        <v>16069</v>
      </c>
      <c r="B6054">
        <v>1</v>
      </c>
      <c r="C6054">
        <v>90</v>
      </c>
      <c r="D6054">
        <v>90</v>
      </c>
    </row>
    <row r="6055" spans="1:4" ht="15" x14ac:dyDescent="0.25">
      <c r="A6055" t="s">
        <v>16071</v>
      </c>
      <c r="B6055">
        <v>1</v>
      </c>
      <c r="C6055">
        <v>90</v>
      </c>
      <c r="D6055">
        <v>90</v>
      </c>
    </row>
    <row r="6056" spans="1:4" ht="15" x14ac:dyDescent="0.25">
      <c r="A6056" t="s">
        <v>16072</v>
      </c>
      <c r="B6056">
        <v>2</v>
      </c>
      <c r="C6056">
        <v>116</v>
      </c>
      <c r="D6056">
        <v>58</v>
      </c>
    </row>
    <row r="6057" spans="1:4" ht="15" x14ac:dyDescent="0.25">
      <c r="A6057" t="s">
        <v>16070</v>
      </c>
      <c r="B6057">
        <v>1</v>
      </c>
      <c r="C6057">
        <v>90</v>
      </c>
      <c r="D6057">
        <v>90</v>
      </c>
    </row>
    <row r="6058" spans="1:4" ht="15" x14ac:dyDescent="0.25">
      <c r="A6058" t="s">
        <v>16077</v>
      </c>
      <c r="B6058">
        <v>2</v>
      </c>
      <c r="C6058">
        <v>46</v>
      </c>
      <c r="D6058">
        <v>23</v>
      </c>
    </row>
    <row r="6059" spans="1:4" ht="15" x14ac:dyDescent="0.25">
      <c r="A6059" t="s">
        <v>16081</v>
      </c>
      <c r="B6059">
        <v>1</v>
      </c>
      <c r="C6059">
        <v>11</v>
      </c>
      <c r="D6059">
        <v>11</v>
      </c>
    </row>
    <row r="6060" spans="1:4" ht="15" x14ac:dyDescent="0.25">
      <c r="A6060" t="s">
        <v>16085</v>
      </c>
      <c r="B6060">
        <v>1</v>
      </c>
      <c r="C6060">
        <v>121</v>
      </c>
      <c r="D6060">
        <v>121</v>
      </c>
    </row>
    <row r="6061" spans="1:4" ht="15" x14ac:dyDescent="0.25">
      <c r="A6061" t="s">
        <v>16089</v>
      </c>
      <c r="B6061">
        <v>2</v>
      </c>
      <c r="C6061">
        <v>116</v>
      </c>
      <c r="D6061">
        <v>58</v>
      </c>
    </row>
    <row r="6062" spans="1:4" ht="15" x14ac:dyDescent="0.25">
      <c r="A6062" t="s">
        <v>16093</v>
      </c>
      <c r="B6062">
        <v>1</v>
      </c>
      <c r="C6062">
        <v>18</v>
      </c>
      <c r="D6062">
        <v>18</v>
      </c>
    </row>
    <row r="6063" spans="1:4" ht="15" x14ac:dyDescent="0.25">
      <c r="A6063" t="s">
        <v>16097</v>
      </c>
      <c r="B6063">
        <v>1</v>
      </c>
      <c r="C6063">
        <v>27</v>
      </c>
      <c r="D6063">
        <v>27</v>
      </c>
    </row>
    <row r="6064" spans="1:4" ht="15" x14ac:dyDescent="0.25">
      <c r="A6064" t="s">
        <v>16098</v>
      </c>
      <c r="B6064">
        <v>1</v>
      </c>
      <c r="C6064">
        <v>27</v>
      </c>
      <c r="D6064">
        <v>27</v>
      </c>
    </row>
    <row r="6065" spans="1:4" ht="15" x14ac:dyDescent="0.25">
      <c r="A6065" t="s">
        <v>16099</v>
      </c>
      <c r="B6065">
        <v>1</v>
      </c>
      <c r="C6065">
        <v>27</v>
      </c>
      <c r="D6065">
        <v>27</v>
      </c>
    </row>
    <row r="6066" spans="1:4" ht="15" x14ac:dyDescent="0.25">
      <c r="A6066" t="s">
        <v>16100</v>
      </c>
      <c r="B6066">
        <v>1</v>
      </c>
      <c r="C6066">
        <v>27</v>
      </c>
      <c r="D6066">
        <v>27</v>
      </c>
    </row>
    <row r="6067" spans="1:4" ht="15" x14ac:dyDescent="0.25">
      <c r="A6067" t="s">
        <v>16104</v>
      </c>
      <c r="B6067">
        <v>1</v>
      </c>
      <c r="C6067">
        <v>34</v>
      </c>
      <c r="D6067">
        <v>34</v>
      </c>
    </row>
    <row r="6068" spans="1:4" ht="15" x14ac:dyDescent="0.25">
      <c r="A6068" t="s">
        <v>16107</v>
      </c>
      <c r="B6068">
        <v>2</v>
      </c>
      <c r="C6068">
        <v>87</v>
      </c>
      <c r="D6068">
        <v>43.5</v>
      </c>
    </row>
    <row r="6069" spans="1:4" ht="15" x14ac:dyDescent="0.25">
      <c r="A6069" t="s">
        <v>16109</v>
      </c>
      <c r="B6069">
        <v>1</v>
      </c>
      <c r="C6069">
        <v>37</v>
      </c>
      <c r="D6069">
        <v>37</v>
      </c>
    </row>
    <row r="6070" spans="1:4" ht="15" x14ac:dyDescent="0.25">
      <c r="A6070" t="s">
        <v>16108</v>
      </c>
      <c r="B6070">
        <v>2</v>
      </c>
      <c r="C6070">
        <v>188</v>
      </c>
      <c r="D6070">
        <v>94</v>
      </c>
    </row>
    <row r="6071" spans="1:4" ht="15" x14ac:dyDescent="0.25">
      <c r="A6071" t="s">
        <v>16117</v>
      </c>
      <c r="B6071">
        <v>2</v>
      </c>
      <c r="C6071">
        <v>68</v>
      </c>
      <c r="D6071">
        <v>34</v>
      </c>
    </row>
    <row r="6072" spans="1:4" ht="15" x14ac:dyDescent="0.25">
      <c r="A6072" t="s">
        <v>16114</v>
      </c>
      <c r="B6072">
        <v>1</v>
      </c>
      <c r="C6072">
        <v>47</v>
      </c>
      <c r="D6072">
        <v>47</v>
      </c>
    </row>
    <row r="6073" spans="1:4" ht="15" x14ac:dyDescent="0.25">
      <c r="A6073" t="s">
        <v>16119</v>
      </c>
      <c r="B6073">
        <v>1</v>
      </c>
      <c r="C6073">
        <v>47</v>
      </c>
      <c r="D6073">
        <v>47</v>
      </c>
    </row>
    <row r="6074" spans="1:4" ht="15" x14ac:dyDescent="0.25">
      <c r="A6074" t="s">
        <v>16118</v>
      </c>
      <c r="B6074">
        <v>2</v>
      </c>
      <c r="C6074">
        <v>51</v>
      </c>
      <c r="D6074">
        <v>25.5</v>
      </c>
    </row>
    <row r="6075" spans="1:4" ht="15" x14ac:dyDescent="0.25">
      <c r="A6075" t="s">
        <v>16124</v>
      </c>
      <c r="B6075">
        <v>1</v>
      </c>
      <c r="C6075">
        <v>19</v>
      </c>
      <c r="D6075">
        <v>19</v>
      </c>
    </row>
    <row r="6076" spans="1:4" ht="15" x14ac:dyDescent="0.25">
      <c r="A6076" t="s">
        <v>16126</v>
      </c>
      <c r="B6076">
        <v>2</v>
      </c>
      <c r="C6076">
        <v>35</v>
      </c>
      <c r="D6076">
        <v>17.5</v>
      </c>
    </row>
    <row r="6077" spans="1:4" ht="15" x14ac:dyDescent="0.25">
      <c r="A6077" t="s">
        <v>16125</v>
      </c>
      <c r="B6077">
        <v>1</v>
      </c>
      <c r="C6077">
        <v>19</v>
      </c>
      <c r="D6077">
        <v>19</v>
      </c>
    </row>
    <row r="6078" spans="1:4" ht="15" x14ac:dyDescent="0.25">
      <c r="A6078" t="s">
        <v>16130</v>
      </c>
      <c r="B6078">
        <v>1</v>
      </c>
      <c r="C6078">
        <v>36</v>
      </c>
      <c r="D6078">
        <v>36</v>
      </c>
    </row>
    <row r="6079" spans="1:4" ht="15" x14ac:dyDescent="0.25">
      <c r="A6079" t="s">
        <v>16131</v>
      </c>
      <c r="B6079">
        <v>1</v>
      </c>
      <c r="C6079">
        <v>36</v>
      </c>
      <c r="D6079">
        <v>36</v>
      </c>
    </row>
    <row r="6080" spans="1:4" ht="15" x14ac:dyDescent="0.25">
      <c r="A6080" t="s">
        <v>16133</v>
      </c>
      <c r="B6080">
        <v>1</v>
      </c>
      <c r="C6080">
        <v>36</v>
      </c>
      <c r="D6080">
        <v>36</v>
      </c>
    </row>
    <row r="6081" spans="1:4" ht="15" x14ac:dyDescent="0.25">
      <c r="A6081" t="s">
        <v>16132</v>
      </c>
      <c r="B6081">
        <v>1</v>
      </c>
      <c r="C6081">
        <v>36</v>
      </c>
      <c r="D6081">
        <v>36</v>
      </c>
    </row>
    <row r="6082" spans="1:4" ht="15" x14ac:dyDescent="0.25">
      <c r="A6082" t="s">
        <v>16137</v>
      </c>
      <c r="B6082">
        <v>1</v>
      </c>
      <c r="C6082">
        <v>35</v>
      </c>
      <c r="D6082">
        <v>35</v>
      </c>
    </row>
    <row r="6083" spans="1:4" ht="15" x14ac:dyDescent="0.25">
      <c r="A6083" t="s">
        <v>16138</v>
      </c>
      <c r="B6083">
        <v>1</v>
      </c>
      <c r="C6083">
        <v>35</v>
      </c>
      <c r="D6083">
        <v>35</v>
      </c>
    </row>
    <row r="6084" spans="1:4" ht="15" x14ac:dyDescent="0.25">
      <c r="A6084" t="s">
        <v>16139</v>
      </c>
      <c r="B6084">
        <v>1</v>
      </c>
      <c r="C6084">
        <v>35</v>
      </c>
      <c r="D6084">
        <v>35</v>
      </c>
    </row>
    <row r="6085" spans="1:4" ht="15" x14ac:dyDescent="0.25">
      <c r="A6085" t="s">
        <v>16134</v>
      </c>
      <c r="B6085">
        <v>1</v>
      </c>
      <c r="C6085">
        <v>35</v>
      </c>
      <c r="D6085">
        <v>35</v>
      </c>
    </row>
    <row r="6086" spans="1:4" ht="15" x14ac:dyDescent="0.25">
      <c r="A6086" t="s">
        <v>16143</v>
      </c>
      <c r="B6086">
        <v>1</v>
      </c>
      <c r="C6086">
        <v>48</v>
      </c>
      <c r="D6086">
        <v>48</v>
      </c>
    </row>
    <row r="6087" spans="1:4" ht="15" x14ac:dyDescent="0.25">
      <c r="A6087" t="s">
        <v>16144</v>
      </c>
      <c r="B6087">
        <v>1</v>
      </c>
      <c r="C6087">
        <v>48</v>
      </c>
      <c r="D6087">
        <v>48</v>
      </c>
    </row>
    <row r="6088" spans="1:4" ht="15" x14ac:dyDescent="0.25">
      <c r="A6088" t="s">
        <v>16149</v>
      </c>
      <c r="B6088">
        <v>2</v>
      </c>
      <c r="C6088">
        <v>86</v>
      </c>
      <c r="D6088">
        <v>43</v>
      </c>
    </row>
    <row r="6089" spans="1:4" ht="15" x14ac:dyDescent="0.25">
      <c r="A6089" t="s">
        <v>16152</v>
      </c>
      <c r="B6089">
        <v>1</v>
      </c>
      <c r="C6089">
        <v>38</v>
      </c>
      <c r="D6089">
        <v>38</v>
      </c>
    </row>
    <row r="6090" spans="1:4" ht="15" x14ac:dyDescent="0.25">
      <c r="A6090" t="s">
        <v>16153</v>
      </c>
      <c r="B6090">
        <v>1</v>
      </c>
      <c r="C6090">
        <v>38</v>
      </c>
      <c r="D6090">
        <v>38</v>
      </c>
    </row>
    <row r="6091" spans="1:4" ht="15" x14ac:dyDescent="0.25">
      <c r="A6091" t="s">
        <v>16159</v>
      </c>
      <c r="B6091">
        <v>1</v>
      </c>
      <c r="C6091">
        <v>160</v>
      </c>
      <c r="D6091">
        <v>160</v>
      </c>
    </row>
    <row r="6092" spans="1:4" ht="15" x14ac:dyDescent="0.25">
      <c r="A6092" t="s">
        <v>16160</v>
      </c>
      <c r="B6092">
        <v>1</v>
      </c>
      <c r="C6092">
        <v>160</v>
      </c>
      <c r="D6092">
        <v>160</v>
      </c>
    </row>
    <row r="6093" spans="1:4" ht="15" x14ac:dyDescent="0.25">
      <c r="A6093" t="s">
        <v>16161</v>
      </c>
      <c r="B6093">
        <v>1</v>
      </c>
      <c r="C6093">
        <v>160</v>
      </c>
      <c r="D6093">
        <v>160</v>
      </c>
    </row>
    <row r="6094" spans="1:4" ht="15" x14ac:dyDescent="0.25">
      <c r="A6094" t="s">
        <v>16166</v>
      </c>
      <c r="B6094">
        <v>1</v>
      </c>
      <c r="C6094">
        <v>14</v>
      </c>
      <c r="D6094">
        <v>14</v>
      </c>
    </row>
    <row r="6095" spans="1:4" ht="15" x14ac:dyDescent="0.25">
      <c r="A6095" t="s">
        <v>16165</v>
      </c>
      <c r="B6095">
        <v>1</v>
      </c>
      <c r="C6095">
        <v>14</v>
      </c>
      <c r="D6095">
        <v>14</v>
      </c>
    </row>
    <row r="6096" spans="1:4" ht="15" x14ac:dyDescent="0.25">
      <c r="A6096" t="s">
        <v>16170</v>
      </c>
      <c r="B6096">
        <v>1</v>
      </c>
      <c r="C6096">
        <v>46</v>
      </c>
      <c r="D6096">
        <v>46</v>
      </c>
    </row>
    <row r="6097" spans="1:4" ht="15" x14ac:dyDescent="0.25">
      <c r="A6097" t="s">
        <v>16171</v>
      </c>
      <c r="B6097">
        <v>1</v>
      </c>
      <c r="C6097">
        <v>46</v>
      </c>
      <c r="D6097">
        <v>46</v>
      </c>
    </row>
    <row r="6098" spans="1:4" ht="15" x14ac:dyDescent="0.25">
      <c r="A6098" t="s">
        <v>16172</v>
      </c>
      <c r="B6098">
        <v>1</v>
      </c>
      <c r="C6098">
        <v>46</v>
      </c>
      <c r="D6098">
        <v>46</v>
      </c>
    </row>
    <row r="6099" spans="1:4" ht="15" x14ac:dyDescent="0.25">
      <c r="A6099" t="s">
        <v>16176</v>
      </c>
      <c r="B6099">
        <v>1</v>
      </c>
      <c r="C6099">
        <v>65</v>
      </c>
      <c r="D6099">
        <v>65</v>
      </c>
    </row>
    <row r="6100" spans="1:4" ht="15" x14ac:dyDescent="0.25">
      <c r="A6100" t="s">
        <v>16178</v>
      </c>
      <c r="B6100">
        <v>1</v>
      </c>
      <c r="C6100">
        <v>65</v>
      </c>
      <c r="D6100">
        <v>65</v>
      </c>
    </row>
    <row r="6101" spans="1:4" ht="15" x14ac:dyDescent="0.25">
      <c r="A6101" t="s">
        <v>16177</v>
      </c>
      <c r="B6101">
        <v>1</v>
      </c>
      <c r="C6101">
        <v>65</v>
      </c>
      <c r="D6101">
        <v>65</v>
      </c>
    </row>
    <row r="6102" spans="1:4" ht="15" x14ac:dyDescent="0.25">
      <c r="A6102" t="s">
        <v>16182</v>
      </c>
      <c r="B6102">
        <v>1</v>
      </c>
      <c r="C6102">
        <v>32</v>
      </c>
      <c r="D6102">
        <v>32</v>
      </c>
    </row>
    <row r="6103" spans="1:4" ht="15" x14ac:dyDescent="0.25">
      <c r="A6103" t="s">
        <v>16184</v>
      </c>
      <c r="B6103">
        <v>1</v>
      </c>
      <c r="C6103">
        <v>32</v>
      </c>
      <c r="D6103">
        <v>32</v>
      </c>
    </row>
    <row r="6104" spans="1:4" ht="15" x14ac:dyDescent="0.25">
      <c r="A6104" t="s">
        <v>16183</v>
      </c>
      <c r="B6104">
        <v>1</v>
      </c>
      <c r="C6104">
        <v>32</v>
      </c>
      <c r="D6104">
        <v>32</v>
      </c>
    </row>
    <row r="6105" spans="1:4" ht="15" x14ac:dyDescent="0.25">
      <c r="A6105" t="s">
        <v>16188</v>
      </c>
      <c r="B6105">
        <v>1</v>
      </c>
      <c r="C6105">
        <v>59</v>
      </c>
      <c r="D6105">
        <v>59</v>
      </c>
    </row>
    <row r="6106" spans="1:4" ht="15" x14ac:dyDescent="0.25">
      <c r="A6106" t="s">
        <v>16189</v>
      </c>
      <c r="B6106">
        <v>1</v>
      </c>
      <c r="C6106">
        <v>59</v>
      </c>
      <c r="D6106">
        <v>59</v>
      </c>
    </row>
    <row r="6107" spans="1:4" ht="15" x14ac:dyDescent="0.25">
      <c r="A6107" t="s">
        <v>16190</v>
      </c>
      <c r="B6107">
        <v>1</v>
      </c>
      <c r="C6107">
        <v>59</v>
      </c>
      <c r="D6107">
        <v>59</v>
      </c>
    </row>
    <row r="6108" spans="1:4" ht="15" x14ac:dyDescent="0.25">
      <c r="A6108" t="s">
        <v>16194</v>
      </c>
      <c r="B6108">
        <v>1</v>
      </c>
      <c r="C6108">
        <v>49</v>
      </c>
      <c r="D6108">
        <v>49</v>
      </c>
    </row>
    <row r="6109" spans="1:4" ht="15" x14ac:dyDescent="0.25">
      <c r="A6109" t="s">
        <v>16195</v>
      </c>
      <c r="B6109">
        <v>1</v>
      </c>
      <c r="C6109">
        <v>49</v>
      </c>
      <c r="D6109">
        <v>49</v>
      </c>
    </row>
    <row r="6110" spans="1:4" ht="15" x14ac:dyDescent="0.25">
      <c r="A6110" t="s">
        <v>16197</v>
      </c>
      <c r="B6110">
        <v>1</v>
      </c>
      <c r="C6110">
        <v>49</v>
      </c>
      <c r="D6110">
        <v>49</v>
      </c>
    </row>
    <row r="6111" spans="1:4" ht="15" x14ac:dyDescent="0.25">
      <c r="A6111" t="s">
        <v>16198</v>
      </c>
      <c r="B6111">
        <v>1</v>
      </c>
      <c r="C6111">
        <v>49</v>
      </c>
      <c r="D6111">
        <v>49</v>
      </c>
    </row>
    <row r="6112" spans="1:4" ht="15" x14ac:dyDescent="0.25">
      <c r="A6112" t="s">
        <v>16196</v>
      </c>
      <c r="B6112">
        <v>1</v>
      </c>
      <c r="C6112">
        <v>49</v>
      </c>
      <c r="D6112">
        <v>49</v>
      </c>
    </row>
    <row r="6113" spans="1:4" ht="15" x14ac:dyDescent="0.25">
      <c r="A6113" t="s">
        <v>16203</v>
      </c>
      <c r="B6113">
        <v>1</v>
      </c>
      <c r="C6113">
        <v>61</v>
      </c>
      <c r="D6113">
        <v>61</v>
      </c>
    </row>
    <row r="6114" spans="1:4" ht="15" x14ac:dyDescent="0.25">
      <c r="A6114" t="s">
        <v>16210</v>
      </c>
      <c r="B6114">
        <v>1</v>
      </c>
      <c r="C6114">
        <v>29</v>
      </c>
      <c r="D6114">
        <v>29</v>
      </c>
    </row>
    <row r="6115" spans="1:4" ht="15" x14ac:dyDescent="0.25">
      <c r="A6115" t="s">
        <v>16212</v>
      </c>
      <c r="B6115">
        <v>1</v>
      </c>
      <c r="C6115">
        <v>29</v>
      </c>
      <c r="D6115">
        <v>29</v>
      </c>
    </row>
    <row r="6116" spans="1:4" ht="15" x14ac:dyDescent="0.25">
      <c r="A6116" t="s">
        <v>16213</v>
      </c>
      <c r="B6116">
        <v>1</v>
      </c>
      <c r="C6116">
        <v>29</v>
      </c>
      <c r="D6116">
        <v>29</v>
      </c>
    </row>
    <row r="6117" spans="1:4" ht="15" x14ac:dyDescent="0.25">
      <c r="A6117" t="s">
        <v>16211</v>
      </c>
      <c r="B6117">
        <v>1</v>
      </c>
      <c r="C6117">
        <v>29</v>
      </c>
      <c r="D6117">
        <v>29</v>
      </c>
    </row>
    <row r="6118" spans="1:4" ht="15" x14ac:dyDescent="0.25">
      <c r="A6118" t="s">
        <v>16217</v>
      </c>
      <c r="B6118">
        <v>2</v>
      </c>
      <c r="C6118">
        <v>62</v>
      </c>
      <c r="D6118">
        <v>31</v>
      </c>
    </row>
    <row r="6119" spans="1:4" ht="15" x14ac:dyDescent="0.25">
      <c r="A6119" t="s">
        <v>16221</v>
      </c>
      <c r="B6119">
        <v>1</v>
      </c>
      <c r="C6119">
        <v>9</v>
      </c>
      <c r="D6119">
        <v>9</v>
      </c>
    </row>
    <row r="6120" spans="1:4" ht="15" x14ac:dyDescent="0.25">
      <c r="A6120" t="s">
        <v>16222</v>
      </c>
      <c r="B6120">
        <v>1</v>
      </c>
      <c r="C6120">
        <v>9</v>
      </c>
      <c r="D6120">
        <v>9</v>
      </c>
    </row>
    <row r="6121" spans="1:4" ht="15" x14ac:dyDescent="0.25">
      <c r="A6121" t="s">
        <v>16226</v>
      </c>
      <c r="B6121">
        <v>2</v>
      </c>
      <c r="C6121">
        <v>9</v>
      </c>
      <c r="D6121">
        <v>4.5</v>
      </c>
    </row>
    <row r="6122" spans="1:4" ht="15" x14ac:dyDescent="0.25">
      <c r="A6122" t="s">
        <v>16227</v>
      </c>
      <c r="B6122">
        <v>1</v>
      </c>
      <c r="C6122">
        <v>9</v>
      </c>
      <c r="D6122">
        <v>9</v>
      </c>
    </row>
    <row r="6123" spans="1:4" ht="15" x14ac:dyDescent="0.25">
      <c r="A6123" t="s">
        <v>16231</v>
      </c>
      <c r="B6123">
        <v>1</v>
      </c>
      <c r="C6123">
        <v>10</v>
      </c>
      <c r="D6123">
        <v>10</v>
      </c>
    </row>
    <row r="6124" spans="1:4" ht="15" x14ac:dyDescent="0.25">
      <c r="A6124" t="s">
        <v>16232</v>
      </c>
      <c r="B6124">
        <v>1</v>
      </c>
      <c r="C6124">
        <v>10</v>
      </c>
      <c r="D6124">
        <v>10</v>
      </c>
    </row>
    <row r="6125" spans="1:4" ht="15" x14ac:dyDescent="0.25">
      <c r="A6125" t="s">
        <v>16233</v>
      </c>
      <c r="B6125">
        <v>1</v>
      </c>
      <c r="C6125">
        <v>10</v>
      </c>
      <c r="D6125">
        <v>10</v>
      </c>
    </row>
    <row r="6126" spans="1:4" ht="15" x14ac:dyDescent="0.25">
      <c r="A6126" t="s">
        <v>16238</v>
      </c>
      <c r="B6126">
        <v>2</v>
      </c>
      <c r="C6126">
        <v>68</v>
      </c>
      <c r="D6126">
        <v>34</v>
      </c>
    </row>
    <row r="6127" spans="1:4" ht="15" x14ac:dyDescent="0.25">
      <c r="A6127" t="s">
        <v>16239</v>
      </c>
      <c r="B6127">
        <v>1</v>
      </c>
      <c r="C6127">
        <v>43</v>
      </c>
      <c r="D6127">
        <v>43</v>
      </c>
    </row>
    <row r="6128" spans="1:4" ht="15" x14ac:dyDescent="0.25">
      <c r="A6128" t="s">
        <v>16237</v>
      </c>
      <c r="B6128">
        <v>3</v>
      </c>
      <c r="C6128">
        <v>91</v>
      </c>
      <c r="D6128">
        <v>30.333333333333332</v>
      </c>
    </row>
    <row r="6129" spans="1:4" ht="15" x14ac:dyDescent="0.25">
      <c r="A6129" t="s">
        <v>16243</v>
      </c>
      <c r="B6129">
        <v>1</v>
      </c>
      <c r="C6129">
        <v>69</v>
      </c>
      <c r="D6129">
        <v>69</v>
      </c>
    </row>
    <row r="6130" spans="1:4" ht="15" x14ac:dyDescent="0.25">
      <c r="A6130" t="s">
        <v>16244</v>
      </c>
      <c r="B6130">
        <v>1</v>
      </c>
      <c r="C6130">
        <v>69</v>
      </c>
      <c r="D6130">
        <v>69</v>
      </c>
    </row>
    <row r="6131" spans="1:4" ht="15" x14ac:dyDescent="0.25">
      <c r="A6131" t="s">
        <v>16246</v>
      </c>
      <c r="B6131">
        <v>3</v>
      </c>
      <c r="C6131">
        <v>167</v>
      </c>
      <c r="D6131">
        <v>55.666666666666664</v>
      </c>
    </row>
    <row r="6132" spans="1:4" ht="15" x14ac:dyDescent="0.25">
      <c r="A6132" t="s">
        <v>16245</v>
      </c>
      <c r="B6132">
        <v>2</v>
      </c>
      <c r="C6132">
        <v>154</v>
      </c>
      <c r="D6132">
        <v>77</v>
      </c>
    </row>
    <row r="6133" spans="1:4" ht="15" x14ac:dyDescent="0.25">
      <c r="A6133" t="s">
        <v>16249</v>
      </c>
      <c r="B6133">
        <v>3</v>
      </c>
      <c r="C6133">
        <v>95</v>
      </c>
      <c r="D6133">
        <v>31.666666666666668</v>
      </c>
    </row>
    <row r="6134" spans="1:4" ht="15" x14ac:dyDescent="0.25">
      <c r="A6134" t="s">
        <v>16250</v>
      </c>
      <c r="B6134">
        <v>3</v>
      </c>
      <c r="C6134">
        <v>140</v>
      </c>
      <c r="D6134">
        <v>46.666666666666664</v>
      </c>
    </row>
    <row r="6135" spans="1:4" ht="15" x14ac:dyDescent="0.25">
      <c r="A6135" t="s">
        <v>16251</v>
      </c>
      <c r="B6135">
        <v>1</v>
      </c>
      <c r="C6135">
        <v>34</v>
      </c>
      <c r="D6135">
        <v>34</v>
      </c>
    </row>
    <row r="6136" spans="1:4" ht="15" x14ac:dyDescent="0.25">
      <c r="A6136" t="s">
        <v>16254</v>
      </c>
      <c r="B6136">
        <v>1</v>
      </c>
      <c r="C6136">
        <v>16</v>
      </c>
      <c r="D6136">
        <v>16</v>
      </c>
    </row>
    <row r="6137" spans="1:4" ht="15" x14ac:dyDescent="0.25">
      <c r="A6137" t="s">
        <v>16255</v>
      </c>
      <c r="B6137">
        <v>1</v>
      </c>
      <c r="C6137">
        <v>16</v>
      </c>
      <c r="D6137">
        <v>16</v>
      </c>
    </row>
    <row r="6138" spans="1:4" ht="15" x14ac:dyDescent="0.25">
      <c r="A6138" t="s">
        <v>16257</v>
      </c>
      <c r="B6138">
        <v>1</v>
      </c>
      <c r="C6138">
        <v>16</v>
      </c>
      <c r="D6138">
        <v>16</v>
      </c>
    </row>
    <row r="6139" spans="1:4" ht="15" x14ac:dyDescent="0.25">
      <c r="A6139" t="s">
        <v>16256</v>
      </c>
      <c r="B6139">
        <v>1</v>
      </c>
      <c r="C6139">
        <v>16</v>
      </c>
      <c r="D6139">
        <v>16</v>
      </c>
    </row>
    <row r="6140" spans="1:4" ht="15" x14ac:dyDescent="0.25">
      <c r="A6140" t="s">
        <v>16259</v>
      </c>
      <c r="B6140">
        <v>1</v>
      </c>
      <c r="C6140">
        <v>526</v>
      </c>
      <c r="D6140">
        <v>526</v>
      </c>
    </row>
    <row r="6141" spans="1:4" ht="15" x14ac:dyDescent="0.25">
      <c r="A6141" t="s">
        <v>16260</v>
      </c>
      <c r="B6141">
        <v>1</v>
      </c>
      <c r="C6141">
        <v>526</v>
      </c>
      <c r="D6141">
        <v>526</v>
      </c>
    </row>
    <row r="6142" spans="1:4" ht="15" x14ac:dyDescent="0.25">
      <c r="A6142" t="s">
        <v>16262</v>
      </c>
      <c r="B6142">
        <v>2</v>
      </c>
      <c r="C6142">
        <v>626</v>
      </c>
      <c r="D6142">
        <v>313</v>
      </c>
    </row>
    <row r="6143" spans="1:4" ht="15" x14ac:dyDescent="0.25">
      <c r="A6143" t="s">
        <v>16263</v>
      </c>
      <c r="B6143">
        <v>1</v>
      </c>
      <c r="C6143">
        <v>526</v>
      </c>
      <c r="D6143">
        <v>526</v>
      </c>
    </row>
    <row r="6144" spans="1:4" ht="15" x14ac:dyDescent="0.25">
      <c r="A6144" t="s">
        <v>16261</v>
      </c>
      <c r="B6144">
        <v>1</v>
      </c>
      <c r="C6144">
        <v>526</v>
      </c>
      <c r="D6144">
        <v>526</v>
      </c>
    </row>
    <row r="6145" spans="1:4" ht="15" x14ac:dyDescent="0.25">
      <c r="A6145" t="s">
        <v>16268</v>
      </c>
      <c r="B6145">
        <v>1</v>
      </c>
      <c r="C6145">
        <v>55</v>
      </c>
      <c r="D6145">
        <v>55</v>
      </c>
    </row>
    <row r="6146" spans="1:4" ht="15" x14ac:dyDescent="0.25">
      <c r="A6146" t="s">
        <v>16269</v>
      </c>
      <c r="B6146">
        <v>1</v>
      </c>
      <c r="C6146">
        <v>55</v>
      </c>
      <c r="D6146">
        <v>55</v>
      </c>
    </row>
    <row r="6147" spans="1:4" ht="15" x14ac:dyDescent="0.25">
      <c r="A6147" t="s">
        <v>16271</v>
      </c>
      <c r="B6147">
        <v>1</v>
      </c>
      <c r="C6147">
        <v>55</v>
      </c>
      <c r="D6147">
        <v>55</v>
      </c>
    </row>
    <row r="6148" spans="1:4" ht="15" x14ac:dyDescent="0.25">
      <c r="A6148" t="s">
        <v>16272</v>
      </c>
      <c r="B6148">
        <v>1</v>
      </c>
      <c r="C6148">
        <v>55</v>
      </c>
      <c r="D6148">
        <v>55</v>
      </c>
    </row>
    <row r="6149" spans="1:4" ht="15" x14ac:dyDescent="0.25">
      <c r="A6149" t="s">
        <v>16270</v>
      </c>
      <c r="B6149">
        <v>1</v>
      </c>
      <c r="C6149">
        <v>55</v>
      </c>
      <c r="D6149">
        <v>55</v>
      </c>
    </row>
    <row r="6150" spans="1:4" ht="15" x14ac:dyDescent="0.25">
      <c r="A6150" t="s">
        <v>16276</v>
      </c>
      <c r="B6150">
        <v>1</v>
      </c>
      <c r="C6150">
        <v>22</v>
      </c>
      <c r="D6150">
        <v>22</v>
      </c>
    </row>
    <row r="6151" spans="1:4" ht="15" x14ac:dyDescent="0.25">
      <c r="A6151" t="s">
        <v>16277</v>
      </c>
      <c r="B6151">
        <v>1</v>
      </c>
      <c r="C6151">
        <v>22</v>
      </c>
      <c r="D6151">
        <v>22</v>
      </c>
    </row>
    <row r="6152" spans="1:4" ht="15" x14ac:dyDescent="0.25">
      <c r="A6152" t="s">
        <v>16278</v>
      </c>
      <c r="B6152">
        <v>1</v>
      </c>
      <c r="C6152">
        <v>22</v>
      </c>
      <c r="D6152">
        <v>22</v>
      </c>
    </row>
    <row r="6153" spans="1:4" ht="15" x14ac:dyDescent="0.25">
      <c r="A6153" t="s">
        <v>16279</v>
      </c>
      <c r="B6153">
        <v>1</v>
      </c>
      <c r="C6153">
        <v>22</v>
      </c>
      <c r="D6153">
        <v>22</v>
      </c>
    </row>
    <row r="6154" spans="1:4" ht="15" x14ac:dyDescent="0.25">
      <c r="A6154" t="s">
        <v>16282</v>
      </c>
      <c r="B6154">
        <v>1</v>
      </c>
      <c r="C6154">
        <v>913</v>
      </c>
      <c r="D6154">
        <v>913</v>
      </c>
    </row>
    <row r="6155" spans="1:4" ht="15" x14ac:dyDescent="0.25">
      <c r="A6155" t="s">
        <v>16286</v>
      </c>
      <c r="B6155">
        <v>1</v>
      </c>
      <c r="C6155">
        <v>11</v>
      </c>
      <c r="D6155">
        <v>11</v>
      </c>
    </row>
    <row r="6156" spans="1:4" ht="15" x14ac:dyDescent="0.25">
      <c r="A6156" t="s">
        <v>16290</v>
      </c>
      <c r="B6156">
        <v>1</v>
      </c>
      <c r="C6156">
        <v>69</v>
      </c>
      <c r="D6156">
        <v>69</v>
      </c>
    </row>
    <row r="6157" spans="1:4" ht="15" x14ac:dyDescent="0.25">
      <c r="A6157" t="s">
        <v>16294</v>
      </c>
      <c r="B6157">
        <v>1</v>
      </c>
      <c r="C6157">
        <v>3</v>
      </c>
      <c r="D6157">
        <v>3</v>
      </c>
    </row>
    <row r="6158" spans="1:4" ht="15" x14ac:dyDescent="0.25">
      <c r="A6158" t="s">
        <v>16295</v>
      </c>
      <c r="B6158">
        <v>1</v>
      </c>
      <c r="C6158">
        <v>3</v>
      </c>
      <c r="D6158">
        <v>3</v>
      </c>
    </row>
    <row r="6159" spans="1:4" ht="15" x14ac:dyDescent="0.25">
      <c r="A6159" t="s">
        <v>16299</v>
      </c>
      <c r="B6159">
        <v>1</v>
      </c>
      <c r="C6159">
        <v>31</v>
      </c>
      <c r="D6159">
        <v>31</v>
      </c>
    </row>
    <row r="6160" spans="1:4" ht="15" x14ac:dyDescent="0.25">
      <c r="A6160" t="s">
        <v>16300</v>
      </c>
      <c r="B6160">
        <v>1</v>
      </c>
      <c r="C6160">
        <v>31</v>
      </c>
      <c r="D6160">
        <v>31</v>
      </c>
    </row>
    <row r="6161" spans="1:4" ht="15" x14ac:dyDescent="0.25">
      <c r="A6161" t="s">
        <v>16302</v>
      </c>
      <c r="B6161">
        <v>1</v>
      </c>
      <c r="C6161">
        <v>31</v>
      </c>
      <c r="D6161">
        <v>31</v>
      </c>
    </row>
    <row r="6162" spans="1:4" ht="15" x14ac:dyDescent="0.25">
      <c r="A6162" t="s">
        <v>16301</v>
      </c>
      <c r="B6162">
        <v>1</v>
      </c>
      <c r="C6162">
        <v>31</v>
      </c>
      <c r="D6162">
        <v>31</v>
      </c>
    </row>
    <row r="6163" spans="1:4" ht="15" x14ac:dyDescent="0.25">
      <c r="A6163" t="s">
        <v>16306</v>
      </c>
      <c r="B6163">
        <v>1</v>
      </c>
      <c r="C6163">
        <v>57</v>
      </c>
      <c r="D6163">
        <v>57</v>
      </c>
    </row>
    <row r="6164" spans="1:4" ht="15" x14ac:dyDescent="0.25">
      <c r="A6164" t="s">
        <v>16307</v>
      </c>
      <c r="B6164">
        <v>1</v>
      </c>
      <c r="C6164">
        <v>57</v>
      </c>
      <c r="D6164">
        <v>57</v>
      </c>
    </row>
    <row r="6165" spans="1:4" ht="15" x14ac:dyDescent="0.25">
      <c r="A6165" t="s">
        <v>16310</v>
      </c>
      <c r="B6165">
        <v>1</v>
      </c>
      <c r="C6165">
        <v>25</v>
      </c>
      <c r="D6165">
        <v>25</v>
      </c>
    </row>
    <row r="6166" spans="1:4" ht="15" x14ac:dyDescent="0.25">
      <c r="A6166" t="s">
        <v>16312</v>
      </c>
      <c r="B6166">
        <v>4</v>
      </c>
      <c r="C6166">
        <v>93</v>
      </c>
      <c r="D6166">
        <v>23.25</v>
      </c>
    </row>
    <row r="6167" spans="1:4" ht="15" x14ac:dyDescent="0.25">
      <c r="A6167" t="s">
        <v>16313</v>
      </c>
      <c r="B6167">
        <v>1</v>
      </c>
      <c r="C6167">
        <v>25</v>
      </c>
      <c r="D6167">
        <v>25</v>
      </c>
    </row>
    <row r="6168" spans="1:4" ht="15" x14ac:dyDescent="0.25">
      <c r="A6168" t="s">
        <v>16311</v>
      </c>
      <c r="B6168">
        <v>1</v>
      </c>
      <c r="C6168">
        <v>25</v>
      </c>
      <c r="D6168">
        <v>25</v>
      </c>
    </row>
    <row r="6169" spans="1:4" ht="15" x14ac:dyDescent="0.25">
      <c r="A6169" t="s">
        <v>16318</v>
      </c>
      <c r="B6169">
        <v>1</v>
      </c>
      <c r="C6169">
        <v>31</v>
      </c>
      <c r="D6169">
        <v>31</v>
      </c>
    </row>
    <row r="6170" spans="1:4" ht="15" x14ac:dyDescent="0.25">
      <c r="A6170" t="s">
        <v>16317</v>
      </c>
      <c r="B6170">
        <v>1</v>
      </c>
      <c r="C6170">
        <v>31</v>
      </c>
      <c r="D6170">
        <v>31</v>
      </c>
    </row>
    <row r="6171" spans="1:4" ht="15" x14ac:dyDescent="0.25">
      <c r="A6171" t="s">
        <v>16322</v>
      </c>
      <c r="B6171">
        <v>1</v>
      </c>
      <c r="C6171">
        <v>33</v>
      </c>
      <c r="D6171">
        <v>33</v>
      </c>
    </row>
    <row r="6172" spans="1:4" ht="15" x14ac:dyDescent="0.25">
      <c r="A6172" t="s">
        <v>16324</v>
      </c>
      <c r="B6172">
        <v>1</v>
      </c>
      <c r="C6172">
        <v>33</v>
      </c>
      <c r="D6172">
        <v>33</v>
      </c>
    </row>
    <row r="6173" spans="1:4" ht="15" x14ac:dyDescent="0.25">
      <c r="A6173" t="s">
        <v>16323</v>
      </c>
      <c r="B6173">
        <v>4</v>
      </c>
      <c r="C6173">
        <v>372</v>
      </c>
      <c r="D6173">
        <v>93</v>
      </c>
    </row>
    <row r="6174" spans="1:4" ht="15" x14ac:dyDescent="0.25">
      <c r="A6174" t="s">
        <v>16328</v>
      </c>
      <c r="B6174">
        <v>1</v>
      </c>
      <c r="C6174">
        <v>18</v>
      </c>
      <c r="D6174">
        <v>18</v>
      </c>
    </row>
    <row r="6175" spans="1:4" ht="15" x14ac:dyDescent="0.25">
      <c r="A6175" t="s">
        <v>16329</v>
      </c>
      <c r="B6175">
        <v>1</v>
      </c>
      <c r="C6175">
        <v>18</v>
      </c>
      <c r="D6175">
        <v>18</v>
      </c>
    </row>
    <row r="6176" spans="1:4" ht="15" x14ac:dyDescent="0.25">
      <c r="A6176" t="s">
        <v>16330</v>
      </c>
      <c r="B6176">
        <v>1</v>
      </c>
      <c r="C6176">
        <v>18</v>
      </c>
      <c r="D6176">
        <v>18</v>
      </c>
    </row>
    <row r="6177" spans="1:4" ht="15" x14ac:dyDescent="0.25">
      <c r="A6177" t="s">
        <v>16334</v>
      </c>
      <c r="B6177">
        <v>3</v>
      </c>
      <c r="C6177">
        <v>129</v>
      </c>
      <c r="D6177">
        <v>43</v>
      </c>
    </row>
    <row r="6178" spans="1:4" ht="15" x14ac:dyDescent="0.25">
      <c r="A6178" t="s">
        <v>16335</v>
      </c>
      <c r="B6178">
        <v>1</v>
      </c>
      <c r="C6178">
        <v>14</v>
      </c>
      <c r="D6178">
        <v>14</v>
      </c>
    </row>
    <row r="6179" spans="1:4" ht="15" x14ac:dyDescent="0.25">
      <c r="A6179" t="s">
        <v>16336</v>
      </c>
      <c r="B6179">
        <v>1</v>
      </c>
      <c r="C6179">
        <v>14</v>
      </c>
      <c r="D6179">
        <v>14</v>
      </c>
    </row>
    <row r="6180" spans="1:4" ht="15" x14ac:dyDescent="0.25">
      <c r="A6180" t="s">
        <v>16340</v>
      </c>
      <c r="B6180">
        <v>1</v>
      </c>
      <c r="C6180">
        <v>37</v>
      </c>
      <c r="D6180">
        <v>37</v>
      </c>
    </row>
    <row r="6181" spans="1:4" ht="15" x14ac:dyDescent="0.25">
      <c r="A6181" t="s">
        <v>16342</v>
      </c>
      <c r="B6181">
        <v>1</v>
      </c>
      <c r="C6181">
        <v>37</v>
      </c>
      <c r="D6181">
        <v>37</v>
      </c>
    </row>
    <row r="6182" spans="1:4" ht="15" x14ac:dyDescent="0.25">
      <c r="A6182" t="s">
        <v>16343</v>
      </c>
      <c r="B6182">
        <v>1</v>
      </c>
      <c r="C6182">
        <v>37</v>
      </c>
      <c r="D6182">
        <v>37</v>
      </c>
    </row>
    <row r="6183" spans="1:4" ht="15" x14ac:dyDescent="0.25">
      <c r="A6183" t="s">
        <v>16341</v>
      </c>
      <c r="B6183">
        <v>1</v>
      </c>
      <c r="C6183">
        <v>37</v>
      </c>
      <c r="D6183">
        <v>37</v>
      </c>
    </row>
    <row r="6184" spans="1:4" ht="15" x14ac:dyDescent="0.25">
      <c r="A6184" t="s">
        <v>16347</v>
      </c>
      <c r="B6184">
        <v>1</v>
      </c>
      <c r="C6184">
        <v>33</v>
      </c>
      <c r="D6184">
        <v>33</v>
      </c>
    </row>
    <row r="6185" spans="1:4" ht="15" x14ac:dyDescent="0.25">
      <c r="A6185" t="s">
        <v>16348</v>
      </c>
      <c r="B6185">
        <v>1</v>
      </c>
      <c r="C6185">
        <v>33</v>
      </c>
      <c r="D6185">
        <v>33</v>
      </c>
    </row>
    <row r="6186" spans="1:4" ht="15" x14ac:dyDescent="0.25">
      <c r="A6186" t="s">
        <v>16352</v>
      </c>
      <c r="B6186">
        <v>2</v>
      </c>
      <c r="C6186">
        <v>25</v>
      </c>
      <c r="D6186">
        <v>12.5</v>
      </c>
    </row>
    <row r="6187" spans="1:4" ht="15" x14ac:dyDescent="0.25">
      <c r="A6187" t="s">
        <v>16357</v>
      </c>
      <c r="B6187">
        <v>1</v>
      </c>
      <c r="C6187">
        <v>55</v>
      </c>
      <c r="D6187">
        <v>55</v>
      </c>
    </row>
    <row r="6188" spans="1:4" ht="15" x14ac:dyDescent="0.25">
      <c r="A6188" t="s">
        <v>16362</v>
      </c>
      <c r="B6188">
        <v>1</v>
      </c>
      <c r="C6188">
        <v>21</v>
      </c>
      <c r="D6188">
        <v>21</v>
      </c>
    </row>
    <row r="6189" spans="1:4" ht="15" x14ac:dyDescent="0.25">
      <c r="A6189" t="s">
        <v>16363</v>
      </c>
      <c r="B6189">
        <v>1</v>
      </c>
      <c r="C6189">
        <v>21</v>
      </c>
      <c r="D6189">
        <v>21</v>
      </c>
    </row>
    <row r="6190" spans="1:4" ht="15" x14ac:dyDescent="0.25">
      <c r="A6190" t="s">
        <v>16364</v>
      </c>
      <c r="B6190">
        <v>2</v>
      </c>
      <c r="C6190">
        <v>52</v>
      </c>
      <c r="D6190">
        <v>26</v>
      </c>
    </row>
    <row r="6191" spans="1:4" ht="15" x14ac:dyDescent="0.25">
      <c r="A6191" t="s">
        <v>16365</v>
      </c>
      <c r="B6191">
        <v>1</v>
      </c>
      <c r="C6191">
        <v>21</v>
      </c>
      <c r="D6191">
        <v>21</v>
      </c>
    </row>
    <row r="6192" spans="1:4" ht="15" x14ac:dyDescent="0.25">
      <c r="A6192" t="s">
        <v>16372</v>
      </c>
      <c r="B6192">
        <v>1</v>
      </c>
      <c r="C6192">
        <v>39</v>
      </c>
      <c r="D6192">
        <v>39</v>
      </c>
    </row>
    <row r="6193" spans="1:4" ht="15" x14ac:dyDescent="0.25">
      <c r="A6193" t="s">
        <v>16379</v>
      </c>
      <c r="B6193">
        <v>1</v>
      </c>
      <c r="C6193">
        <v>117</v>
      </c>
      <c r="D6193">
        <v>117</v>
      </c>
    </row>
    <row r="6194" spans="1:4" ht="15" x14ac:dyDescent="0.25">
      <c r="A6194" t="s">
        <v>16380</v>
      </c>
      <c r="B6194">
        <v>1</v>
      </c>
      <c r="C6194">
        <v>117</v>
      </c>
      <c r="D6194">
        <v>117</v>
      </c>
    </row>
    <row r="6195" spans="1:4" ht="15" x14ac:dyDescent="0.25">
      <c r="A6195" t="s">
        <v>16382</v>
      </c>
      <c r="B6195">
        <v>1</v>
      </c>
      <c r="C6195">
        <v>117</v>
      </c>
      <c r="D6195">
        <v>117</v>
      </c>
    </row>
    <row r="6196" spans="1:4" ht="15" x14ac:dyDescent="0.25">
      <c r="A6196" t="s">
        <v>16383</v>
      </c>
      <c r="B6196">
        <v>1</v>
      </c>
      <c r="C6196">
        <v>117</v>
      </c>
      <c r="D6196">
        <v>117</v>
      </c>
    </row>
    <row r="6197" spans="1:4" ht="15" x14ac:dyDescent="0.25">
      <c r="A6197" t="s">
        <v>16381</v>
      </c>
      <c r="B6197">
        <v>1</v>
      </c>
      <c r="C6197">
        <v>117</v>
      </c>
      <c r="D6197">
        <v>117</v>
      </c>
    </row>
    <row r="6198" spans="1:4" ht="15" x14ac:dyDescent="0.25">
      <c r="A6198" t="s">
        <v>16388</v>
      </c>
      <c r="B6198">
        <v>1</v>
      </c>
      <c r="C6198">
        <v>16</v>
      </c>
      <c r="D6198">
        <v>16</v>
      </c>
    </row>
    <row r="6199" spans="1:4" ht="15" x14ac:dyDescent="0.25">
      <c r="A6199" t="s">
        <v>16390</v>
      </c>
      <c r="B6199">
        <v>2</v>
      </c>
      <c r="C6199">
        <v>48</v>
      </c>
      <c r="D6199">
        <v>24</v>
      </c>
    </row>
    <row r="6200" spans="1:4" ht="15" x14ac:dyDescent="0.25">
      <c r="A6200" t="s">
        <v>16391</v>
      </c>
      <c r="B6200">
        <v>1</v>
      </c>
      <c r="C6200">
        <v>16</v>
      </c>
      <c r="D6200">
        <v>16</v>
      </c>
    </row>
    <row r="6201" spans="1:4" ht="15" x14ac:dyDescent="0.25">
      <c r="A6201" t="s">
        <v>16389</v>
      </c>
      <c r="B6201">
        <v>1</v>
      </c>
      <c r="C6201">
        <v>16</v>
      </c>
      <c r="D6201">
        <v>16</v>
      </c>
    </row>
    <row r="6202" spans="1:4" ht="15" x14ac:dyDescent="0.25">
      <c r="A6202" t="s">
        <v>16394</v>
      </c>
      <c r="B6202">
        <v>2</v>
      </c>
      <c r="C6202">
        <v>1055</v>
      </c>
      <c r="D6202">
        <v>527.5</v>
      </c>
    </row>
    <row r="6203" spans="1:4" ht="15" x14ac:dyDescent="0.25">
      <c r="A6203" t="s">
        <v>16395</v>
      </c>
      <c r="B6203">
        <v>1</v>
      </c>
      <c r="C6203">
        <v>401</v>
      </c>
      <c r="D6203">
        <v>401</v>
      </c>
    </row>
    <row r="6204" spans="1:4" ht="15" x14ac:dyDescent="0.25">
      <c r="A6204" t="s">
        <v>16405</v>
      </c>
      <c r="B6204">
        <v>1</v>
      </c>
      <c r="C6204">
        <v>18</v>
      </c>
      <c r="D6204">
        <v>18</v>
      </c>
    </row>
    <row r="6205" spans="1:4" ht="15" x14ac:dyDescent="0.25">
      <c r="A6205" t="s">
        <v>16407</v>
      </c>
      <c r="B6205">
        <v>2</v>
      </c>
      <c r="C6205">
        <v>44</v>
      </c>
      <c r="D6205">
        <v>22</v>
      </c>
    </row>
    <row r="6206" spans="1:4" ht="15" x14ac:dyDescent="0.25">
      <c r="A6206" t="s">
        <v>16406</v>
      </c>
      <c r="B6206">
        <v>2</v>
      </c>
      <c r="C6206">
        <v>39</v>
      </c>
      <c r="D6206">
        <v>19.5</v>
      </c>
    </row>
    <row r="6207" spans="1:4" ht="15" x14ac:dyDescent="0.25">
      <c r="A6207" t="s">
        <v>16411</v>
      </c>
      <c r="B6207">
        <v>1</v>
      </c>
      <c r="C6207">
        <v>23</v>
      </c>
      <c r="D6207">
        <v>23</v>
      </c>
    </row>
    <row r="6208" spans="1:4" ht="15" x14ac:dyDescent="0.25">
      <c r="A6208" t="s">
        <v>16412</v>
      </c>
      <c r="B6208">
        <v>1</v>
      </c>
      <c r="C6208">
        <v>23</v>
      </c>
      <c r="D6208">
        <v>23</v>
      </c>
    </row>
    <row r="6209" spans="1:4" ht="15" x14ac:dyDescent="0.25">
      <c r="A6209" t="s">
        <v>16414</v>
      </c>
      <c r="B6209">
        <v>1</v>
      </c>
      <c r="C6209">
        <v>23</v>
      </c>
      <c r="D6209">
        <v>23</v>
      </c>
    </row>
    <row r="6210" spans="1:4" ht="15" x14ac:dyDescent="0.25">
      <c r="A6210" t="s">
        <v>16415</v>
      </c>
      <c r="B6210">
        <v>1</v>
      </c>
      <c r="C6210">
        <v>23</v>
      </c>
      <c r="D6210">
        <v>23</v>
      </c>
    </row>
    <row r="6211" spans="1:4" ht="15" x14ac:dyDescent="0.25">
      <c r="A6211" t="s">
        <v>16413</v>
      </c>
      <c r="B6211">
        <v>1</v>
      </c>
      <c r="C6211">
        <v>23</v>
      </c>
      <c r="D6211">
        <v>23</v>
      </c>
    </row>
    <row r="6212" spans="1:4" ht="15" x14ac:dyDescent="0.25">
      <c r="A6212" t="s">
        <v>16424</v>
      </c>
      <c r="B6212">
        <v>1</v>
      </c>
      <c r="C6212">
        <v>210</v>
      </c>
      <c r="D6212">
        <v>210</v>
      </c>
    </row>
    <row r="6213" spans="1:4" ht="15" x14ac:dyDescent="0.25">
      <c r="A6213" t="s">
        <v>16426</v>
      </c>
      <c r="B6213">
        <v>1</v>
      </c>
      <c r="C6213">
        <v>210</v>
      </c>
      <c r="D6213">
        <v>210</v>
      </c>
    </row>
    <row r="6214" spans="1:4" ht="15" x14ac:dyDescent="0.25">
      <c r="A6214" t="s">
        <v>16425</v>
      </c>
      <c r="B6214">
        <v>1</v>
      </c>
      <c r="C6214">
        <v>210</v>
      </c>
      <c r="D6214">
        <v>210</v>
      </c>
    </row>
    <row r="6215" spans="1:4" ht="15" x14ac:dyDescent="0.25">
      <c r="A6215" t="s">
        <v>16429</v>
      </c>
      <c r="B6215">
        <v>1</v>
      </c>
      <c r="C6215">
        <v>33</v>
      </c>
      <c r="D6215">
        <v>33</v>
      </c>
    </row>
    <row r="6216" spans="1:4" ht="15" x14ac:dyDescent="0.25">
      <c r="A6216" t="s">
        <v>16431</v>
      </c>
      <c r="B6216">
        <v>1</v>
      </c>
      <c r="C6216">
        <v>33</v>
      </c>
      <c r="D6216">
        <v>33</v>
      </c>
    </row>
    <row r="6217" spans="1:4" ht="15" x14ac:dyDescent="0.25">
      <c r="A6217" t="s">
        <v>16430</v>
      </c>
      <c r="B6217">
        <v>6</v>
      </c>
      <c r="C6217">
        <v>166</v>
      </c>
      <c r="D6217">
        <v>27.666666666666668</v>
      </c>
    </row>
    <row r="6218" spans="1:4" ht="15" x14ac:dyDescent="0.25">
      <c r="A6218" t="s">
        <v>16435</v>
      </c>
      <c r="B6218">
        <v>3</v>
      </c>
      <c r="C6218">
        <v>232</v>
      </c>
      <c r="D6218">
        <v>77.333333333333329</v>
      </c>
    </row>
    <row r="6219" spans="1:4" ht="15" x14ac:dyDescent="0.25">
      <c r="A6219" t="s">
        <v>14413</v>
      </c>
      <c r="B6219">
        <v>2</v>
      </c>
      <c r="C6219">
        <v>50</v>
      </c>
      <c r="D6219">
        <v>25</v>
      </c>
    </row>
    <row r="6220" spans="1:4" ht="15" x14ac:dyDescent="0.25">
      <c r="A6220" t="s">
        <v>16439</v>
      </c>
      <c r="B6220">
        <v>2</v>
      </c>
      <c r="C6220">
        <v>50</v>
      </c>
      <c r="D6220">
        <v>25</v>
      </c>
    </row>
    <row r="6221" spans="1:4" ht="15" x14ac:dyDescent="0.25">
      <c r="A6221" t="s">
        <v>16443</v>
      </c>
      <c r="B6221">
        <v>1</v>
      </c>
      <c r="C6221">
        <v>87</v>
      </c>
      <c r="D6221">
        <v>87</v>
      </c>
    </row>
    <row r="6222" spans="1:4" ht="15" x14ac:dyDescent="0.25">
      <c r="A6222" t="s">
        <v>16445</v>
      </c>
      <c r="B6222">
        <v>1</v>
      </c>
      <c r="C6222">
        <v>87</v>
      </c>
      <c r="D6222">
        <v>87</v>
      </c>
    </row>
    <row r="6223" spans="1:4" ht="15" x14ac:dyDescent="0.25">
      <c r="A6223" t="s">
        <v>16446</v>
      </c>
      <c r="B6223">
        <v>1</v>
      </c>
      <c r="C6223">
        <v>87</v>
      </c>
      <c r="D6223">
        <v>87</v>
      </c>
    </row>
    <row r="6224" spans="1:4" ht="15" x14ac:dyDescent="0.25">
      <c r="A6224" t="s">
        <v>16444</v>
      </c>
      <c r="B6224">
        <v>3</v>
      </c>
      <c r="C6224">
        <v>128</v>
      </c>
      <c r="D6224">
        <v>42.666666666666664</v>
      </c>
    </row>
    <row r="6225" spans="1:4" ht="15" x14ac:dyDescent="0.25">
      <c r="A6225" t="s">
        <v>16452</v>
      </c>
      <c r="B6225">
        <v>1</v>
      </c>
      <c r="C6225">
        <v>30</v>
      </c>
      <c r="D6225">
        <v>30</v>
      </c>
    </row>
    <row r="6226" spans="1:4" ht="15" x14ac:dyDescent="0.25">
      <c r="A6226" t="s">
        <v>16454</v>
      </c>
      <c r="B6226">
        <v>1</v>
      </c>
      <c r="C6226">
        <v>30</v>
      </c>
      <c r="D6226">
        <v>30</v>
      </c>
    </row>
    <row r="6227" spans="1:4" ht="15" x14ac:dyDescent="0.25">
      <c r="A6227" t="s">
        <v>16453</v>
      </c>
      <c r="B6227">
        <v>1</v>
      </c>
      <c r="C6227">
        <v>30</v>
      </c>
      <c r="D6227">
        <v>30</v>
      </c>
    </row>
    <row r="6228" spans="1:4" ht="15" x14ac:dyDescent="0.25">
      <c r="A6228" t="s">
        <v>16462</v>
      </c>
      <c r="B6228">
        <v>1</v>
      </c>
      <c r="C6228">
        <v>15</v>
      </c>
      <c r="D6228">
        <v>15</v>
      </c>
    </row>
    <row r="6229" spans="1:4" ht="15" x14ac:dyDescent="0.25">
      <c r="A6229" t="s">
        <v>16467</v>
      </c>
      <c r="B6229">
        <v>6</v>
      </c>
      <c r="C6229">
        <v>163</v>
      </c>
      <c r="D6229">
        <v>27.166666666666668</v>
      </c>
    </row>
    <row r="6230" spans="1:4" ht="15" x14ac:dyDescent="0.25">
      <c r="A6230" t="s">
        <v>16470</v>
      </c>
      <c r="B6230">
        <v>2</v>
      </c>
      <c r="C6230">
        <v>41</v>
      </c>
      <c r="D6230">
        <v>20.5</v>
      </c>
    </row>
    <row r="6231" spans="1:4" ht="15" x14ac:dyDescent="0.25">
      <c r="A6231" t="s">
        <v>16471</v>
      </c>
      <c r="B6231">
        <v>1</v>
      </c>
      <c r="C6231">
        <v>21</v>
      </c>
      <c r="D6231">
        <v>21</v>
      </c>
    </row>
    <row r="6232" spans="1:4" ht="15" x14ac:dyDescent="0.25">
      <c r="A6232" t="s">
        <v>16476</v>
      </c>
      <c r="B6232">
        <v>2</v>
      </c>
      <c r="C6232">
        <v>419</v>
      </c>
      <c r="D6232">
        <v>209.5</v>
      </c>
    </row>
    <row r="6233" spans="1:4" ht="15" x14ac:dyDescent="0.25">
      <c r="A6233" t="s">
        <v>16477</v>
      </c>
      <c r="B6233">
        <v>1</v>
      </c>
      <c r="C6233">
        <v>381</v>
      </c>
      <c r="D6233">
        <v>381</v>
      </c>
    </row>
    <row r="6234" spans="1:4" ht="15" x14ac:dyDescent="0.25">
      <c r="A6234" t="s">
        <v>16481</v>
      </c>
      <c r="B6234">
        <v>1</v>
      </c>
      <c r="C6234">
        <v>98</v>
      </c>
      <c r="D6234">
        <v>98</v>
      </c>
    </row>
    <row r="6235" spans="1:4" ht="15" x14ac:dyDescent="0.25">
      <c r="A6235" t="s">
        <v>16482</v>
      </c>
      <c r="B6235">
        <v>1</v>
      </c>
      <c r="C6235">
        <v>98</v>
      </c>
      <c r="D6235">
        <v>98</v>
      </c>
    </row>
    <row r="6236" spans="1:4" ht="15" x14ac:dyDescent="0.25">
      <c r="A6236" t="s">
        <v>16483</v>
      </c>
      <c r="B6236">
        <v>3</v>
      </c>
      <c r="C6236">
        <v>236</v>
      </c>
      <c r="D6236">
        <v>78.666666666666671</v>
      </c>
    </row>
    <row r="6237" spans="1:4" ht="15" x14ac:dyDescent="0.25">
      <c r="A6237" t="s">
        <v>16487</v>
      </c>
      <c r="B6237">
        <v>1</v>
      </c>
      <c r="C6237">
        <v>20</v>
      </c>
      <c r="D6237">
        <v>20</v>
      </c>
    </row>
    <row r="6238" spans="1:4" ht="15" x14ac:dyDescent="0.25">
      <c r="A6238" t="s">
        <v>16488</v>
      </c>
      <c r="B6238">
        <v>1</v>
      </c>
      <c r="C6238">
        <v>20</v>
      </c>
      <c r="D6238">
        <v>20</v>
      </c>
    </row>
    <row r="6239" spans="1:4" ht="15" x14ac:dyDescent="0.25">
      <c r="A6239" t="s">
        <v>16489</v>
      </c>
      <c r="B6239">
        <v>1</v>
      </c>
      <c r="C6239">
        <v>20</v>
      </c>
      <c r="D6239">
        <v>20</v>
      </c>
    </row>
    <row r="6240" spans="1:4" ht="15" x14ac:dyDescent="0.25">
      <c r="A6240" t="s">
        <v>16490</v>
      </c>
      <c r="B6240">
        <v>2</v>
      </c>
      <c r="C6240">
        <v>27</v>
      </c>
      <c r="D6240">
        <v>13.5</v>
      </c>
    </row>
    <row r="6241" spans="1:4" ht="15" x14ac:dyDescent="0.25">
      <c r="A6241" t="s">
        <v>16494</v>
      </c>
      <c r="B6241">
        <v>1</v>
      </c>
      <c r="C6241">
        <v>34</v>
      </c>
      <c r="D6241">
        <v>34</v>
      </c>
    </row>
    <row r="6242" spans="1:4" ht="15" x14ac:dyDescent="0.25">
      <c r="A6242" t="s">
        <v>16495</v>
      </c>
      <c r="B6242">
        <v>1</v>
      </c>
      <c r="C6242">
        <v>34</v>
      </c>
      <c r="D6242">
        <v>34</v>
      </c>
    </row>
    <row r="6243" spans="1:4" ht="15" x14ac:dyDescent="0.25">
      <c r="A6243" t="s">
        <v>16498</v>
      </c>
      <c r="B6243">
        <v>2</v>
      </c>
      <c r="C6243">
        <v>2119</v>
      </c>
      <c r="D6243">
        <v>1059.5</v>
      </c>
    </row>
    <row r="6244" spans="1:4" ht="15" x14ac:dyDescent="0.25">
      <c r="A6244" t="s">
        <v>16499</v>
      </c>
      <c r="B6244">
        <v>2</v>
      </c>
      <c r="C6244">
        <v>1743</v>
      </c>
      <c r="D6244">
        <v>871.5</v>
      </c>
    </row>
    <row r="6245" spans="1:4" ht="15" x14ac:dyDescent="0.25">
      <c r="A6245" t="s">
        <v>16504</v>
      </c>
      <c r="B6245">
        <v>1</v>
      </c>
      <c r="C6245">
        <v>159</v>
      </c>
      <c r="D6245">
        <v>159</v>
      </c>
    </row>
    <row r="6246" spans="1:4" ht="15" x14ac:dyDescent="0.25">
      <c r="A6246" t="s">
        <v>16507</v>
      </c>
      <c r="B6246">
        <v>3</v>
      </c>
      <c r="C6246">
        <v>6595</v>
      </c>
      <c r="D6246">
        <v>2198.3333333333335</v>
      </c>
    </row>
    <row r="6247" spans="1:4" ht="15" x14ac:dyDescent="0.25">
      <c r="A6247" t="s">
        <v>16509</v>
      </c>
      <c r="B6247">
        <v>2</v>
      </c>
      <c r="C6247">
        <v>97</v>
      </c>
      <c r="D6247">
        <v>48.5</v>
      </c>
    </row>
    <row r="6248" spans="1:4" ht="15" x14ac:dyDescent="0.25">
      <c r="A6248" t="s">
        <v>16517</v>
      </c>
      <c r="B6248">
        <v>1</v>
      </c>
      <c r="C6248">
        <v>29</v>
      </c>
      <c r="D6248">
        <v>29</v>
      </c>
    </row>
    <row r="6249" spans="1:4" ht="15" x14ac:dyDescent="0.25">
      <c r="A6249" t="s">
        <v>16521</v>
      </c>
      <c r="B6249">
        <v>1</v>
      </c>
      <c r="C6249">
        <v>39</v>
      </c>
      <c r="D6249">
        <v>39</v>
      </c>
    </row>
    <row r="6250" spans="1:4" ht="15" x14ac:dyDescent="0.25">
      <c r="A6250" t="s">
        <v>16522</v>
      </c>
      <c r="B6250">
        <v>1</v>
      </c>
      <c r="C6250">
        <v>39</v>
      </c>
      <c r="D6250">
        <v>39</v>
      </c>
    </row>
    <row r="6251" spans="1:4" ht="15" x14ac:dyDescent="0.25">
      <c r="A6251" t="s">
        <v>16523</v>
      </c>
      <c r="B6251">
        <v>1</v>
      </c>
      <c r="C6251">
        <v>39</v>
      </c>
      <c r="D6251">
        <v>39</v>
      </c>
    </row>
    <row r="6252" spans="1:4" ht="15" x14ac:dyDescent="0.25">
      <c r="A6252" t="s">
        <v>16527</v>
      </c>
      <c r="B6252">
        <v>1</v>
      </c>
      <c r="C6252">
        <v>12</v>
      </c>
      <c r="D6252">
        <v>12</v>
      </c>
    </row>
    <row r="6253" spans="1:4" ht="15" x14ac:dyDescent="0.25">
      <c r="A6253" t="s">
        <v>16533</v>
      </c>
      <c r="B6253">
        <v>2</v>
      </c>
      <c r="C6253">
        <v>69</v>
      </c>
      <c r="D6253">
        <v>34.5</v>
      </c>
    </row>
    <row r="6254" spans="1:4" ht="15" x14ac:dyDescent="0.25">
      <c r="A6254" t="s">
        <v>16534</v>
      </c>
      <c r="B6254">
        <v>1</v>
      </c>
      <c r="C6254">
        <v>13</v>
      </c>
      <c r="D6254">
        <v>13</v>
      </c>
    </row>
    <row r="6255" spans="1:4" ht="15" x14ac:dyDescent="0.25">
      <c r="A6255" t="s">
        <v>16532</v>
      </c>
      <c r="B6255">
        <v>1</v>
      </c>
      <c r="C6255">
        <v>13</v>
      </c>
      <c r="D6255">
        <v>13</v>
      </c>
    </row>
    <row r="6256" spans="1:4" ht="15" x14ac:dyDescent="0.25">
      <c r="A6256" t="s">
        <v>16543</v>
      </c>
      <c r="B6256">
        <v>1</v>
      </c>
      <c r="C6256">
        <v>24</v>
      </c>
      <c r="D6256">
        <v>24</v>
      </c>
    </row>
    <row r="6257" spans="1:4" ht="15" x14ac:dyDescent="0.25">
      <c r="A6257" t="s">
        <v>16544</v>
      </c>
      <c r="B6257">
        <v>1</v>
      </c>
      <c r="C6257">
        <v>24</v>
      </c>
      <c r="D6257">
        <v>24</v>
      </c>
    </row>
    <row r="6258" spans="1:4" ht="15" x14ac:dyDescent="0.25">
      <c r="A6258" t="s">
        <v>16546</v>
      </c>
      <c r="B6258">
        <v>1</v>
      </c>
      <c r="C6258">
        <v>24</v>
      </c>
      <c r="D6258">
        <v>24</v>
      </c>
    </row>
    <row r="6259" spans="1:4" ht="15" x14ac:dyDescent="0.25">
      <c r="A6259" t="s">
        <v>16545</v>
      </c>
      <c r="B6259">
        <v>1</v>
      </c>
      <c r="C6259">
        <v>24</v>
      </c>
      <c r="D6259">
        <v>24</v>
      </c>
    </row>
    <row r="6260" spans="1:4" ht="15" x14ac:dyDescent="0.25">
      <c r="A6260" t="s">
        <v>16550</v>
      </c>
      <c r="B6260">
        <v>1</v>
      </c>
      <c r="C6260">
        <v>7</v>
      </c>
      <c r="D6260">
        <v>7</v>
      </c>
    </row>
    <row r="6261" spans="1:4" ht="15" x14ac:dyDescent="0.25">
      <c r="A6261" t="s">
        <v>16551</v>
      </c>
      <c r="B6261">
        <v>1</v>
      </c>
      <c r="C6261">
        <v>7</v>
      </c>
      <c r="D6261">
        <v>7</v>
      </c>
    </row>
    <row r="6262" spans="1:4" ht="15" x14ac:dyDescent="0.25">
      <c r="A6262" t="s">
        <v>16553</v>
      </c>
      <c r="B6262">
        <v>1</v>
      </c>
      <c r="C6262">
        <v>7</v>
      </c>
      <c r="D6262">
        <v>7</v>
      </c>
    </row>
    <row r="6263" spans="1:4" ht="15" x14ac:dyDescent="0.25">
      <c r="A6263" t="s">
        <v>16552</v>
      </c>
      <c r="B6263">
        <v>1</v>
      </c>
      <c r="C6263">
        <v>7</v>
      </c>
      <c r="D6263">
        <v>7</v>
      </c>
    </row>
    <row r="6264" spans="1:4" ht="15" x14ac:dyDescent="0.25">
      <c r="A6264" t="s">
        <v>16556</v>
      </c>
      <c r="B6264">
        <v>1</v>
      </c>
      <c r="C6264">
        <v>390</v>
      </c>
      <c r="D6264">
        <v>390</v>
      </c>
    </row>
    <row r="6265" spans="1:4" ht="15" x14ac:dyDescent="0.25">
      <c r="A6265" t="s">
        <v>16557</v>
      </c>
      <c r="B6265">
        <v>15</v>
      </c>
      <c r="C6265">
        <v>1723</v>
      </c>
      <c r="D6265">
        <v>114.86666666666666</v>
      </c>
    </row>
    <row r="6266" spans="1:4" ht="15" x14ac:dyDescent="0.25">
      <c r="A6266" t="s">
        <v>16565</v>
      </c>
      <c r="B6266">
        <v>1</v>
      </c>
      <c r="C6266">
        <v>51</v>
      </c>
      <c r="D6266">
        <v>51</v>
      </c>
    </row>
    <row r="6267" spans="1:4" ht="15" x14ac:dyDescent="0.25">
      <c r="A6267" t="s">
        <v>16567</v>
      </c>
      <c r="B6267">
        <v>1</v>
      </c>
      <c r="C6267">
        <v>51</v>
      </c>
      <c r="D6267">
        <v>51</v>
      </c>
    </row>
    <row r="6268" spans="1:4" ht="15" x14ac:dyDescent="0.25">
      <c r="A6268" t="s">
        <v>16568</v>
      </c>
      <c r="B6268">
        <v>1</v>
      </c>
      <c r="C6268">
        <v>51</v>
      </c>
      <c r="D6268">
        <v>51</v>
      </c>
    </row>
    <row r="6269" spans="1:4" ht="15" x14ac:dyDescent="0.25">
      <c r="A6269" t="s">
        <v>16566</v>
      </c>
      <c r="B6269">
        <v>1</v>
      </c>
      <c r="C6269">
        <v>51</v>
      </c>
      <c r="D6269">
        <v>51</v>
      </c>
    </row>
    <row r="6270" spans="1:4" ht="15" x14ac:dyDescent="0.25">
      <c r="A6270" t="s">
        <v>16575</v>
      </c>
      <c r="B6270">
        <v>3</v>
      </c>
      <c r="C6270">
        <v>118</v>
      </c>
      <c r="D6270">
        <v>39.333333333333336</v>
      </c>
    </row>
    <row r="6271" spans="1:4" ht="15" x14ac:dyDescent="0.25">
      <c r="A6271" t="s">
        <v>16576</v>
      </c>
      <c r="B6271">
        <v>1</v>
      </c>
      <c r="C6271">
        <v>43</v>
      </c>
      <c r="D6271">
        <v>43</v>
      </c>
    </row>
    <row r="6272" spans="1:4" ht="15" x14ac:dyDescent="0.25">
      <c r="A6272" t="s">
        <v>16577</v>
      </c>
      <c r="B6272">
        <v>1</v>
      </c>
      <c r="C6272">
        <v>43</v>
      </c>
      <c r="D6272">
        <v>43</v>
      </c>
    </row>
    <row r="6273" spans="1:4" ht="15" x14ac:dyDescent="0.25">
      <c r="A6273" t="s">
        <v>16582</v>
      </c>
      <c r="B6273">
        <v>1</v>
      </c>
      <c r="C6273">
        <v>61</v>
      </c>
      <c r="D6273">
        <v>61</v>
      </c>
    </row>
    <row r="6274" spans="1:4" ht="15" x14ac:dyDescent="0.25">
      <c r="A6274" t="s">
        <v>16578</v>
      </c>
      <c r="B6274">
        <v>1</v>
      </c>
      <c r="C6274">
        <v>61</v>
      </c>
      <c r="D6274">
        <v>61</v>
      </c>
    </row>
    <row r="6275" spans="1:4" ht="15" x14ac:dyDescent="0.25">
      <c r="A6275" t="s">
        <v>16584</v>
      </c>
      <c r="B6275">
        <v>1</v>
      </c>
      <c r="C6275">
        <v>61</v>
      </c>
      <c r="D6275">
        <v>61</v>
      </c>
    </row>
    <row r="6276" spans="1:4" ht="15" x14ac:dyDescent="0.25">
      <c r="A6276" t="s">
        <v>16583</v>
      </c>
      <c r="B6276">
        <v>1</v>
      </c>
      <c r="C6276">
        <v>61</v>
      </c>
      <c r="D6276">
        <v>61</v>
      </c>
    </row>
    <row r="6277" spans="1:4" ht="15" x14ac:dyDescent="0.25">
      <c r="A6277" t="s">
        <v>16588</v>
      </c>
      <c r="B6277">
        <v>1</v>
      </c>
      <c r="C6277">
        <v>176</v>
      </c>
      <c r="D6277">
        <v>176</v>
      </c>
    </row>
    <row r="6278" spans="1:4" ht="15" x14ac:dyDescent="0.25">
      <c r="A6278" t="s">
        <v>16589</v>
      </c>
      <c r="B6278">
        <v>1</v>
      </c>
      <c r="C6278">
        <v>176</v>
      </c>
      <c r="D6278">
        <v>176</v>
      </c>
    </row>
    <row r="6279" spans="1:4" ht="15" x14ac:dyDescent="0.25">
      <c r="A6279" t="s">
        <v>16590</v>
      </c>
      <c r="B6279">
        <v>1</v>
      </c>
      <c r="C6279">
        <v>176</v>
      </c>
      <c r="D6279">
        <v>176</v>
      </c>
    </row>
    <row r="6280" spans="1:4" ht="15" x14ac:dyDescent="0.25">
      <c r="A6280" t="s">
        <v>16594</v>
      </c>
      <c r="B6280">
        <v>4</v>
      </c>
      <c r="C6280">
        <v>62</v>
      </c>
      <c r="D6280">
        <v>15.5</v>
      </c>
    </row>
    <row r="6281" spans="1:4" ht="15" x14ac:dyDescent="0.25">
      <c r="A6281" t="s">
        <v>16595</v>
      </c>
      <c r="B6281">
        <v>1</v>
      </c>
      <c r="C6281">
        <v>6</v>
      </c>
      <c r="D6281">
        <v>6</v>
      </c>
    </row>
    <row r="6282" spans="1:4" ht="15" x14ac:dyDescent="0.25">
      <c r="A6282" t="s">
        <v>16607</v>
      </c>
      <c r="B6282">
        <v>1</v>
      </c>
      <c r="C6282">
        <v>33</v>
      </c>
      <c r="D6282">
        <v>33</v>
      </c>
    </row>
    <row r="6283" spans="1:4" ht="15" x14ac:dyDescent="0.25">
      <c r="A6283" t="s">
        <v>16606</v>
      </c>
      <c r="B6283">
        <v>1</v>
      </c>
      <c r="C6283">
        <v>33</v>
      </c>
      <c r="D6283">
        <v>33</v>
      </c>
    </row>
    <row r="6284" spans="1:4" ht="15" x14ac:dyDescent="0.25">
      <c r="A6284" t="s">
        <v>16610</v>
      </c>
      <c r="B6284">
        <v>1</v>
      </c>
      <c r="C6284">
        <v>53</v>
      </c>
      <c r="D6284">
        <v>53</v>
      </c>
    </row>
    <row r="6285" spans="1:4" ht="15" x14ac:dyDescent="0.25">
      <c r="A6285" t="s">
        <v>16611</v>
      </c>
      <c r="B6285">
        <v>3</v>
      </c>
      <c r="C6285">
        <v>146</v>
      </c>
      <c r="D6285">
        <v>48.666666666666664</v>
      </c>
    </row>
    <row r="6286" spans="1:4" ht="15" x14ac:dyDescent="0.25">
      <c r="A6286" t="s">
        <v>16615</v>
      </c>
      <c r="B6286">
        <v>1</v>
      </c>
      <c r="C6286">
        <v>36</v>
      </c>
      <c r="D6286">
        <v>36</v>
      </c>
    </row>
    <row r="6287" spans="1:4" ht="15" x14ac:dyDescent="0.25">
      <c r="A6287" t="s">
        <v>16618</v>
      </c>
      <c r="B6287">
        <v>1</v>
      </c>
      <c r="C6287">
        <v>8</v>
      </c>
      <c r="D6287">
        <v>8</v>
      </c>
    </row>
    <row r="6288" spans="1:4" ht="15" x14ac:dyDescent="0.25">
      <c r="A6288" t="s">
        <v>16619</v>
      </c>
      <c r="B6288">
        <v>1</v>
      </c>
      <c r="C6288">
        <v>8</v>
      </c>
      <c r="D6288">
        <v>8</v>
      </c>
    </row>
    <row r="6289" spans="1:4" ht="15" x14ac:dyDescent="0.25">
      <c r="A6289" t="s">
        <v>16623</v>
      </c>
      <c r="B6289">
        <v>1</v>
      </c>
      <c r="C6289">
        <v>17</v>
      </c>
      <c r="D6289">
        <v>17</v>
      </c>
    </row>
    <row r="6290" spans="1:4" ht="15" x14ac:dyDescent="0.25">
      <c r="A6290" t="s">
        <v>16624</v>
      </c>
      <c r="B6290">
        <v>1</v>
      </c>
      <c r="C6290">
        <v>17</v>
      </c>
      <c r="D6290">
        <v>17</v>
      </c>
    </row>
    <row r="6291" spans="1:4" ht="15" x14ac:dyDescent="0.25">
      <c r="A6291" t="s">
        <v>16625</v>
      </c>
      <c r="B6291">
        <v>2</v>
      </c>
      <c r="C6291">
        <v>40</v>
      </c>
      <c r="D6291">
        <v>20</v>
      </c>
    </row>
    <row r="6292" spans="1:4" ht="15" x14ac:dyDescent="0.25">
      <c r="A6292" t="s">
        <v>16630</v>
      </c>
      <c r="B6292">
        <v>1</v>
      </c>
      <c r="C6292">
        <v>50</v>
      </c>
      <c r="D6292">
        <v>50</v>
      </c>
    </row>
    <row r="6293" spans="1:4" ht="15" x14ac:dyDescent="0.25">
      <c r="A6293" t="s">
        <v>16634</v>
      </c>
      <c r="B6293">
        <v>1</v>
      </c>
      <c r="C6293">
        <v>52</v>
      </c>
      <c r="D6293">
        <v>52</v>
      </c>
    </row>
    <row r="6294" spans="1:4" ht="15" x14ac:dyDescent="0.25">
      <c r="A6294" t="s">
        <v>16635</v>
      </c>
      <c r="B6294">
        <v>1</v>
      </c>
      <c r="C6294">
        <v>52</v>
      </c>
      <c r="D6294">
        <v>52</v>
      </c>
    </row>
    <row r="6295" spans="1:4" ht="15" x14ac:dyDescent="0.25">
      <c r="A6295" t="s">
        <v>16639</v>
      </c>
      <c r="B6295">
        <v>1</v>
      </c>
      <c r="C6295">
        <v>35</v>
      </c>
      <c r="D6295">
        <v>35</v>
      </c>
    </row>
    <row r="6296" spans="1:4" ht="15" x14ac:dyDescent="0.25">
      <c r="A6296" t="s">
        <v>16643</v>
      </c>
      <c r="B6296">
        <v>1</v>
      </c>
      <c r="C6296">
        <v>52</v>
      </c>
      <c r="D6296">
        <v>52</v>
      </c>
    </row>
    <row r="6297" spans="1:4" ht="15" x14ac:dyDescent="0.25">
      <c r="A6297" t="s">
        <v>16648</v>
      </c>
      <c r="B6297">
        <v>1</v>
      </c>
      <c r="C6297">
        <v>49</v>
      </c>
      <c r="D6297">
        <v>49</v>
      </c>
    </row>
    <row r="6298" spans="1:4" ht="15" x14ac:dyDescent="0.25">
      <c r="A6298" t="s">
        <v>16652</v>
      </c>
      <c r="B6298">
        <v>1</v>
      </c>
      <c r="C6298">
        <v>22</v>
      </c>
      <c r="D6298">
        <v>22</v>
      </c>
    </row>
    <row r="6299" spans="1:4" ht="15" x14ac:dyDescent="0.25">
      <c r="A6299" t="s">
        <v>16653</v>
      </c>
      <c r="B6299">
        <v>3</v>
      </c>
      <c r="C6299">
        <v>2018</v>
      </c>
      <c r="D6299">
        <v>672.66666666666663</v>
      </c>
    </row>
    <row r="6300" spans="1:4" ht="15" x14ac:dyDescent="0.25">
      <c r="A6300" t="s">
        <v>16655</v>
      </c>
      <c r="B6300">
        <v>1</v>
      </c>
      <c r="C6300">
        <v>22</v>
      </c>
      <c r="D6300">
        <v>22</v>
      </c>
    </row>
    <row r="6301" spans="1:4" ht="15" x14ac:dyDescent="0.25">
      <c r="A6301" t="s">
        <v>16654</v>
      </c>
      <c r="B6301">
        <v>1</v>
      </c>
      <c r="C6301">
        <v>22</v>
      </c>
      <c r="D6301">
        <v>22</v>
      </c>
    </row>
    <row r="6302" spans="1:4" ht="15" x14ac:dyDescent="0.25">
      <c r="A6302" t="s">
        <v>16659</v>
      </c>
      <c r="B6302">
        <v>1</v>
      </c>
      <c r="C6302">
        <v>24</v>
      </c>
      <c r="D6302">
        <v>24</v>
      </c>
    </row>
    <row r="6303" spans="1:4" ht="15" x14ac:dyDescent="0.25">
      <c r="A6303" t="s">
        <v>16660</v>
      </c>
      <c r="B6303">
        <v>2</v>
      </c>
      <c r="C6303">
        <v>45</v>
      </c>
      <c r="D6303">
        <v>22.5</v>
      </c>
    </row>
    <row r="6304" spans="1:4" ht="15" x14ac:dyDescent="0.25">
      <c r="A6304" t="s">
        <v>16664</v>
      </c>
      <c r="B6304">
        <v>1</v>
      </c>
      <c r="C6304">
        <v>247</v>
      </c>
      <c r="D6304">
        <v>247</v>
      </c>
    </row>
    <row r="6305" spans="1:4" ht="15" x14ac:dyDescent="0.25">
      <c r="A6305" t="s">
        <v>16665</v>
      </c>
      <c r="B6305">
        <v>2</v>
      </c>
      <c r="C6305">
        <v>282</v>
      </c>
      <c r="D6305">
        <v>141</v>
      </c>
    </row>
    <row r="6306" spans="1:4" ht="15" x14ac:dyDescent="0.25">
      <c r="A6306" t="s">
        <v>16667</v>
      </c>
      <c r="B6306">
        <v>1</v>
      </c>
      <c r="C6306">
        <v>247</v>
      </c>
      <c r="D6306">
        <v>247</v>
      </c>
    </row>
    <row r="6307" spans="1:4" ht="15" x14ac:dyDescent="0.25">
      <c r="A6307" t="s">
        <v>16666</v>
      </c>
      <c r="B6307">
        <v>1</v>
      </c>
      <c r="C6307">
        <v>247</v>
      </c>
      <c r="D6307">
        <v>247</v>
      </c>
    </row>
    <row r="6308" spans="1:4" ht="15" x14ac:dyDescent="0.25">
      <c r="A6308" t="s">
        <v>16673</v>
      </c>
      <c r="B6308">
        <v>1</v>
      </c>
      <c r="C6308">
        <v>21</v>
      </c>
      <c r="D6308">
        <v>21</v>
      </c>
    </row>
    <row r="6309" spans="1:4" ht="15" x14ac:dyDescent="0.25">
      <c r="A6309" t="s">
        <v>16674</v>
      </c>
      <c r="B6309">
        <v>1</v>
      </c>
      <c r="C6309">
        <v>21</v>
      </c>
      <c r="D6309">
        <v>21</v>
      </c>
    </row>
    <row r="6310" spans="1:4" ht="15" x14ac:dyDescent="0.25">
      <c r="A6310" t="s">
        <v>16675</v>
      </c>
      <c r="B6310">
        <v>3</v>
      </c>
      <c r="C6310">
        <v>82</v>
      </c>
      <c r="D6310">
        <v>27.333333333333332</v>
      </c>
    </row>
    <row r="6311" spans="1:4" ht="15" x14ac:dyDescent="0.25">
      <c r="A6311" t="s">
        <v>16676</v>
      </c>
      <c r="B6311">
        <v>1</v>
      </c>
      <c r="C6311">
        <v>21</v>
      </c>
      <c r="D6311">
        <v>21</v>
      </c>
    </row>
    <row r="6312" spans="1:4" ht="15" x14ac:dyDescent="0.25">
      <c r="A6312" t="s">
        <v>16680</v>
      </c>
      <c r="B6312">
        <v>1</v>
      </c>
      <c r="C6312">
        <v>12</v>
      </c>
      <c r="D6312">
        <v>12</v>
      </c>
    </row>
    <row r="6313" spans="1:4" ht="15" x14ac:dyDescent="0.25">
      <c r="A6313" t="s">
        <v>16681</v>
      </c>
      <c r="B6313">
        <v>1</v>
      </c>
      <c r="C6313">
        <v>12</v>
      </c>
      <c r="D6313">
        <v>12</v>
      </c>
    </row>
    <row r="6314" spans="1:4" ht="15" x14ac:dyDescent="0.25">
      <c r="A6314" t="s">
        <v>16689</v>
      </c>
      <c r="B6314">
        <v>4</v>
      </c>
      <c r="C6314">
        <v>40</v>
      </c>
      <c r="D6314">
        <v>10</v>
      </c>
    </row>
    <row r="6315" spans="1:4" ht="15" x14ac:dyDescent="0.25">
      <c r="A6315" t="s">
        <v>16690</v>
      </c>
      <c r="B6315">
        <v>4</v>
      </c>
      <c r="C6315">
        <v>40</v>
      </c>
      <c r="D6315">
        <v>10</v>
      </c>
    </row>
    <row r="6316" spans="1:4" ht="15" x14ac:dyDescent="0.25">
      <c r="A6316" t="s">
        <v>16694</v>
      </c>
      <c r="B6316">
        <v>1</v>
      </c>
      <c r="C6316">
        <v>16</v>
      </c>
      <c r="D6316">
        <v>16</v>
      </c>
    </row>
    <row r="6317" spans="1:4" ht="15" x14ac:dyDescent="0.25">
      <c r="A6317" t="s">
        <v>16698</v>
      </c>
      <c r="B6317">
        <v>1</v>
      </c>
      <c r="C6317">
        <v>11</v>
      </c>
      <c r="D6317">
        <v>11</v>
      </c>
    </row>
    <row r="6318" spans="1:4" ht="15" x14ac:dyDescent="0.25">
      <c r="A6318" t="s">
        <v>16699</v>
      </c>
      <c r="B6318">
        <v>1</v>
      </c>
      <c r="C6318">
        <v>11</v>
      </c>
      <c r="D6318">
        <v>11</v>
      </c>
    </row>
    <row r="6319" spans="1:4" ht="15" x14ac:dyDescent="0.25">
      <c r="A6319" t="s">
        <v>16700</v>
      </c>
      <c r="B6319">
        <v>1</v>
      </c>
      <c r="C6319">
        <v>11</v>
      </c>
      <c r="D6319">
        <v>11</v>
      </c>
    </row>
    <row r="6320" spans="1:4" ht="15" x14ac:dyDescent="0.25">
      <c r="A6320" t="s">
        <v>16701</v>
      </c>
      <c r="B6320">
        <v>1</v>
      </c>
      <c r="C6320">
        <v>11</v>
      </c>
      <c r="D6320">
        <v>11</v>
      </c>
    </row>
    <row r="6321" spans="1:4" ht="15" x14ac:dyDescent="0.25">
      <c r="A6321" t="s">
        <v>16705</v>
      </c>
      <c r="B6321">
        <v>1</v>
      </c>
      <c r="C6321">
        <v>20</v>
      </c>
      <c r="D6321">
        <v>20</v>
      </c>
    </row>
    <row r="6322" spans="1:4" ht="15" x14ac:dyDescent="0.25">
      <c r="A6322" t="s">
        <v>16709</v>
      </c>
      <c r="B6322">
        <v>1</v>
      </c>
      <c r="C6322">
        <v>33</v>
      </c>
      <c r="D6322">
        <v>33</v>
      </c>
    </row>
    <row r="6323" spans="1:4" ht="15" x14ac:dyDescent="0.25">
      <c r="A6323" t="s">
        <v>16710</v>
      </c>
      <c r="B6323">
        <v>1</v>
      </c>
      <c r="C6323">
        <v>33</v>
      </c>
      <c r="D6323">
        <v>33</v>
      </c>
    </row>
    <row r="6324" spans="1:4" ht="15" x14ac:dyDescent="0.25">
      <c r="A6324" t="s">
        <v>16715</v>
      </c>
      <c r="B6324">
        <v>1</v>
      </c>
      <c r="C6324">
        <v>19</v>
      </c>
      <c r="D6324">
        <v>19</v>
      </c>
    </row>
    <row r="6325" spans="1:4" ht="15" x14ac:dyDescent="0.25">
      <c r="A6325" t="s">
        <v>16716</v>
      </c>
      <c r="B6325">
        <v>1</v>
      </c>
      <c r="C6325">
        <v>19</v>
      </c>
      <c r="D6325">
        <v>19</v>
      </c>
    </row>
    <row r="6326" spans="1:4" ht="15" x14ac:dyDescent="0.25">
      <c r="A6326" t="s">
        <v>16717</v>
      </c>
      <c r="B6326">
        <v>1</v>
      </c>
      <c r="C6326">
        <v>19</v>
      </c>
      <c r="D6326">
        <v>19</v>
      </c>
    </row>
    <row r="6327" spans="1:4" ht="15" x14ac:dyDescent="0.25">
      <c r="A6327" t="s">
        <v>16722</v>
      </c>
      <c r="B6327">
        <v>1</v>
      </c>
      <c r="C6327">
        <v>30</v>
      </c>
      <c r="D6327">
        <v>30</v>
      </c>
    </row>
    <row r="6328" spans="1:4" ht="15" x14ac:dyDescent="0.25">
      <c r="A6328" t="s">
        <v>16723</v>
      </c>
      <c r="B6328">
        <v>1</v>
      </c>
      <c r="C6328">
        <v>30</v>
      </c>
      <c r="D6328">
        <v>30</v>
      </c>
    </row>
    <row r="6329" spans="1:4" ht="15" x14ac:dyDescent="0.25">
      <c r="A6329" t="s">
        <v>16729</v>
      </c>
      <c r="B6329">
        <v>1</v>
      </c>
      <c r="C6329">
        <v>72</v>
      </c>
      <c r="D6329">
        <v>72</v>
      </c>
    </row>
    <row r="6330" spans="1:4" ht="15" x14ac:dyDescent="0.25">
      <c r="A6330" t="s">
        <v>16730</v>
      </c>
      <c r="B6330">
        <v>1</v>
      </c>
      <c r="C6330">
        <v>78</v>
      </c>
      <c r="D6330">
        <v>78</v>
      </c>
    </row>
    <row r="6331" spans="1:4" ht="15" x14ac:dyDescent="0.25">
      <c r="A6331" t="s">
        <v>16741</v>
      </c>
      <c r="B6331">
        <v>1</v>
      </c>
      <c r="C6331">
        <v>8</v>
      </c>
      <c r="D6331">
        <v>8</v>
      </c>
    </row>
    <row r="6332" spans="1:4" ht="15" x14ac:dyDescent="0.25">
      <c r="A6332" t="s">
        <v>16742</v>
      </c>
      <c r="B6332">
        <v>1</v>
      </c>
      <c r="C6332">
        <v>8</v>
      </c>
      <c r="D6332">
        <v>8</v>
      </c>
    </row>
    <row r="6333" spans="1:4" ht="15" x14ac:dyDescent="0.25">
      <c r="A6333" t="s">
        <v>16743</v>
      </c>
      <c r="B6333">
        <v>13</v>
      </c>
      <c r="C6333">
        <v>506</v>
      </c>
      <c r="D6333">
        <v>38.92307692307692</v>
      </c>
    </row>
    <row r="6334" spans="1:4" ht="15" x14ac:dyDescent="0.25">
      <c r="A6334" t="s">
        <v>16748</v>
      </c>
      <c r="B6334">
        <v>1</v>
      </c>
      <c r="C6334">
        <v>188</v>
      </c>
      <c r="D6334">
        <v>188</v>
      </c>
    </row>
    <row r="6335" spans="1:4" ht="15" x14ac:dyDescent="0.25">
      <c r="A6335" t="s">
        <v>16749</v>
      </c>
      <c r="B6335">
        <v>1</v>
      </c>
      <c r="C6335">
        <v>188</v>
      </c>
      <c r="D6335">
        <v>188</v>
      </c>
    </row>
    <row r="6336" spans="1:4" ht="15" x14ac:dyDescent="0.25">
      <c r="A6336" t="s">
        <v>16750</v>
      </c>
      <c r="B6336">
        <v>1</v>
      </c>
      <c r="C6336">
        <v>188</v>
      </c>
      <c r="D6336">
        <v>188</v>
      </c>
    </row>
    <row r="6337" spans="1:4" ht="15" x14ac:dyDescent="0.25">
      <c r="A6337" t="s">
        <v>16754</v>
      </c>
      <c r="B6337">
        <v>1</v>
      </c>
      <c r="C6337">
        <v>8</v>
      </c>
      <c r="D6337">
        <v>8</v>
      </c>
    </row>
    <row r="6338" spans="1:4" ht="15" x14ac:dyDescent="0.25">
      <c r="A6338" t="s">
        <v>16755</v>
      </c>
      <c r="B6338">
        <v>1</v>
      </c>
      <c r="C6338">
        <v>8</v>
      </c>
      <c r="D6338">
        <v>8</v>
      </c>
    </row>
    <row r="6339" spans="1:4" ht="15" x14ac:dyDescent="0.25">
      <c r="A6339" t="s">
        <v>16756</v>
      </c>
      <c r="B6339">
        <v>1</v>
      </c>
      <c r="C6339">
        <v>8</v>
      </c>
      <c r="D6339">
        <v>8</v>
      </c>
    </row>
    <row r="6340" spans="1:4" ht="15" x14ac:dyDescent="0.25">
      <c r="A6340" t="s">
        <v>16760</v>
      </c>
      <c r="B6340">
        <v>2</v>
      </c>
      <c r="C6340">
        <v>113</v>
      </c>
      <c r="D6340">
        <v>56.5</v>
      </c>
    </row>
    <row r="6341" spans="1:4" ht="15" x14ac:dyDescent="0.25">
      <c r="A6341" t="s">
        <v>16761</v>
      </c>
      <c r="B6341">
        <v>2</v>
      </c>
      <c r="C6341">
        <v>3007</v>
      </c>
      <c r="D6341">
        <v>1503.5</v>
      </c>
    </row>
    <row r="6342" spans="1:4" ht="15" x14ac:dyDescent="0.25">
      <c r="A6342" t="s">
        <v>16765</v>
      </c>
      <c r="B6342">
        <v>1</v>
      </c>
      <c r="C6342">
        <v>17</v>
      </c>
      <c r="D6342">
        <v>17</v>
      </c>
    </row>
    <row r="6343" spans="1:4" ht="15" x14ac:dyDescent="0.25">
      <c r="A6343" t="s">
        <v>16766</v>
      </c>
      <c r="B6343">
        <v>4</v>
      </c>
      <c r="C6343">
        <v>65</v>
      </c>
      <c r="D6343">
        <v>16.25</v>
      </c>
    </row>
    <row r="6344" spans="1:4" ht="15" x14ac:dyDescent="0.25">
      <c r="A6344" t="s">
        <v>16770</v>
      </c>
      <c r="B6344">
        <v>1</v>
      </c>
      <c r="C6344">
        <v>58</v>
      </c>
      <c r="D6344">
        <v>58</v>
      </c>
    </row>
    <row r="6345" spans="1:4" ht="15" x14ac:dyDescent="0.25">
      <c r="A6345" t="s">
        <v>16772</v>
      </c>
      <c r="B6345">
        <v>1</v>
      </c>
      <c r="C6345">
        <v>58</v>
      </c>
      <c r="D6345">
        <v>58</v>
      </c>
    </row>
    <row r="6346" spans="1:4" ht="15" x14ac:dyDescent="0.25">
      <c r="A6346" t="s">
        <v>16773</v>
      </c>
      <c r="B6346">
        <v>1</v>
      </c>
      <c r="C6346">
        <v>58</v>
      </c>
      <c r="D6346">
        <v>58</v>
      </c>
    </row>
    <row r="6347" spans="1:4" ht="15" x14ac:dyDescent="0.25">
      <c r="A6347" t="s">
        <v>16771</v>
      </c>
      <c r="B6347">
        <v>1</v>
      </c>
      <c r="C6347">
        <v>58</v>
      </c>
      <c r="D6347">
        <v>58</v>
      </c>
    </row>
    <row r="6348" spans="1:4" ht="15" x14ac:dyDescent="0.25">
      <c r="A6348" t="s">
        <v>16777</v>
      </c>
      <c r="B6348">
        <v>1</v>
      </c>
      <c r="C6348">
        <v>14</v>
      </c>
      <c r="D6348">
        <v>14</v>
      </c>
    </row>
    <row r="6349" spans="1:4" ht="15" x14ac:dyDescent="0.25">
      <c r="A6349" t="s">
        <v>16778</v>
      </c>
      <c r="B6349">
        <v>1</v>
      </c>
      <c r="C6349">
        <v>14</v>
      </c>
      <c r="D6349">
        <v>14</v>
      </c>
    </row>
    <row r="6350" spans="1:4" ht="15" x14ac:dyDescent="0.25">
      <c r="A6350" t="s">
        <v>16781</v>
      </c>
      <c r="B6350">
        <v>1</v>
      </c>
      <c r="C6350">
        <v>17</v>
      </c>
      <c r="D6350">
        <v>17</v>
      </c>
    </row>
    <row r="6351" spans="1:4" ht="15" x14ac:dyDescent="0.25">
      <c r="A6351" t="s">
        <v>16782</v>
      </c>
      <c r="B6351">
        <v>4</v>
      </c>
      <c r="C6351">
        <v>89</v>
      </c>
      <c r="D6351">
        <v>22.25</v>
      </c>
    </row>
    <row r="6352" spans="1:4" ht="15" x14ac:dyDescent="0.25">
      <c r="A6352" t="s">
        <v>16788</v>
      </c>
      <c r="B6352">
        <v>1</v>
      </c>
      <c r="C6352">
        <v>10</v>
      </c>
      <c r="D6352">
        <v>10</v>
      </c>
    </row>
    <row r="6353" spans="1:4" ht="15" x14ac:dyDescent="0.25">
      <c r="A6353" t="s">
        <v>16789</v>
      </c>
      <c r="B6353">
        <v>1</v>
      </c>
      <c r="C6353">
        <v>10</v>
      </c>
      <c r="D6353">
        <v>10</v>
      </c>
    </row>
    <row r="6354" spans="1:4" ht="15" x14ac:dyDescent="0.25">
      <c r="A6354" t="s">
        <v>16793</v>
      </c>
      <c r="B6354">
        <v>1</v>
      </c>
      <c r="C6354">
        <v>3</v>
      </c>
      <c r="D6354">
        <v>3</v>
      </c>
    </row>
    <row r="6355" spans="1:4" ht="15" x14ac:dyDescent="0.25">
      <c r="A6355" t="s">
        <v>16794</v>
      </c>
      <c r="B6355">
        <v>1</v>
      </c>
      <c r="C6355">
        <v>3</v>
      </c>
      <c r="D6355">
        <v>3</v>
      </c>
    </row>
    <row r="6356" spans="1:4" ht="15" x14ac:dyDescent="0.25">
      <c r="A6356" t="s">
        <v>16796</v>
      </c>
      <c r="B6356">
        <v>1</v>
      </c>
      <c r="C6356">
        <v>3</v>
      </c>
      <c r="D6356">
        <v>3</v>
      </c>
    </row>
    <row r="6357" spans="1:4" ht="15" x14ac:dyDescent="0.25">
      <c r="A6357" t="s">
        <v>16795</v>
      </c>
      <c r="B6357">
        <v>1</v>
      </c>
      <c r="C6357">
        <v>3</v>
      </c>
      <c r="D6357">
        <v>3</v>
      </c>
    </row>
    <row r="6358" spans="1:4" ht="15" x14ac:dyDescent="0.25">
      <c r="A6358" t="s">
        <v>16802</v>
      </c>
      <c r="B6358">
        <v>1</v>
      </c>
      <c r="C6358">
        <v>43</v>
      </c>
      <c r="D6358">
        <v>43</v>
      </c>
    </row>
    <row r="6359" spans="1:4" ht="15" x14ac:dyDescent="0.25">
      <c r="A6359" t="s">
        <v>16804</v>
      </c>
      <c r="B6359">
        <v>1</v>
      </c>
      <c r="C6359">
        <v>43</v>
      </c>
      <c r="D6359">
        <v>43</v>
      </c>
    </row>
    <row r="6360" spans="1:4" ht="15" x14ac:dyDescent="0.25">
      <c r="A6360" t="s">
        <v>16805</v>
      </c>
      <c r="B6360">
        <v>1</v>
      </c>
      <c r="C6360">
        <v>43</v>
      </c>
      <c r="D6360">
        <v>43</v>
      </c>
    </row>
    <row r="6361" spans="1:4" ht="15" x14ac:dyDescent="0.25">
      <c r="A6361" t="s">
        <v>16803</v>
      </c>
      <c r="B6361">
        <v>1</v>
      </c>
      <c r="C6361">
        <v>43</v>
      </c>
      <c r="D6361">
        <v>43</v>
      </c>
    </row>
    <row r="6362" spans="1:4" ht="15" x14ac:dyDescent="0.25">
      <c r="A6362" t="s">
        <v>16813</v>
      </c>
      <c r="B6362">
        <v>1</v>
      </c>
      <c r="C6362">
        <v>20</v>
      </c>
      <c r="D6362">
        <v>20</v>
      </c>
    </row>
    <row r="6363" spans="1:4" ht="15" x14ac:dyDescent="0.25">
      <c r="A6363" t="s">
        <v>16821</v>
      </c>
      <c r="B6363">
        <v>1</v>
      </c>
      <c r="C6363">
        <v>158</v>
      </c>
      <c r="D6363">
        <v>158</v>
      </c>
    </row>
    <row r="6364" spans="1:4" ht="15" x14ac:dyDescent="0.25">
      <c r="A6364" t="s">
        <v>16826</v>
      </c>
      <c r="B6364">
        <v>1</v>
      </c>
      <c r="C6364">
        <v>28</v>
      </c>
      <c r="D6364">
        <v>28</v>
      </c>
    </row>
    <row r="6365" spans="1:4" ht="15" x14ac:dyDescent="0.25">
      <c r="A6365" t="s">
        <v>16827</v>
      </c>
      <c r="B6365">
        <v>1</v>
      </c>
      <c r="C6365">
        <v>28</v>
      </c>
      <c r="D6365">
        <v>28</v>
      </c>
    </row>
    <row r="6366" spans="1:4" ht="15" x14ac:dyDescent="0.25">
      <c r="A6366" t="s">
        <v>16829</v>
      </c>
      <c r="B6366">
        <v>2</v>
      </c>
      <c r="C6366">
        <v>50</v>
      </c>
      <c r="D6366">
        <v>25</v>
      </c>
    </row>
    <row r="6367" spans="1:4" ht="15" x14ac:dyDescent="0.25">
      <c r="A6367" t="s">
        <v>16830</v>
      </c>
      <c r="B6367">
        <v>2</v>
      </c>
      <c r="C6367">
        <v>49</v>
      </c>
      <c r="D6367">
        <v>24.5</v>
      </c>
    </row>
    <row r="6368" spans="1:4" ht="15" x14ac:dyDescent="0.25">
      <c r="A6368" t="s">
        <v>16828</v>
      </c>
      <c r="B6368">
        <v>1</v>
      </c>
      <c r="C6368">
        <v>28</v>
      </c>
      <c r="D6368">
        <v>28</v>
      </c>
    </row>
    <row r="6369" spans="1:4" ht="15" x14ac:dyDescent="0.25">
      <c r="A6369" t="s">
        <v>16840</v>
      </c>
      <c r="B6369">
        <v>1</v>
      </c>
      <c r="C6369">
        <v>35</v>
      </c>
      <c r="D6369">
        <v>35</v>
      </c>
    </row>
    <row r="6370" spans="1:4" ht="15" x14ac:dyDescent="0.25">
      <c r="A6370" t="s">
        <v>16841</v>
      </c>
      <c r="B6370">
        <v>1</v>
      </c>
      <c r="C6370">
        <v>35</v>
      </c>
      <c r="D6370">
        <v>35</v>
      </c>
    </row>
    <row r="6371" spans="1:4" ht="15" x14ac:dyDescent="0.25">
      <c r="A6371" t="s">
        <v>16842</v>
      </c>
      <c r="B6371">
        <v>1</v>
      </c>
      <c r="C6371">
        <v>35</v>
      </c>
      <c r="D6371">
        <v>35</v>
      </c>
    </row>
    <row r="6372" spans="1:4" ht="15" x14ac:dyDescent="0.25">
      <c r="A6372" t="s">
        <v>16846</v>
      </c>
      <c r="B6372">
        <v>1</v>
      </c>
      <c r="C6372">
        <v>4</v>
      </c>
      <c r="D6372">
        <v>4</v>
      </c>
    </row>
    <row r="6373" spans="1:4" ht="15" x14ac:dyDescent="0.25">
      <c r="A6373" t="s">
        <v>16848</v>
      </c>
      <c r="B6373">
        <v>1</v>
      </c>
      <c r="C6373">
        <v>4</v>
      </c>
      <c r="D6373">
        <v>4</v>
      </c>
    </row>
    <row r="6374" spans="1:4" ht="15" x14ac:dyDescent="0.25">
      <c r="A6374" t="s">
        <v>16847</v>
      </c>
      <c r="B6374">
        <v>1</v>
      </c>
      <c r="C6374">
        <v>4</v>
      </c>
      <c r="D6374">
        <v>4</v>
      </c>
    </row>
    <row r="6375" spans="1:4" ht="15" x14ac:dyDescent="0.25">
      <c r="A6375" t="s">
        <v>16855</v>
      </c>
      <c r="B6375">
        <v>1</v>
      </c>
      <c r="C6375">
        <v>50</v>
      </c>
      <c r="D6375">
        <v>50</v>
      </c>
    </row>
    <row r="6376" spans="1:4" ht="15" x14ac:dyDescent="0.25">
      <c r="A6376" t="s">
        <v>16860</v>
      </c>
      <c r="B6376">
        <v>1</v>
      </c>
      <c r="C6376">
        <v>61</v>
      </c>
      <c r="D6376">
        <v>61</v>
      </c>
    </row>
    <row r="6377" spans="1:4" ht="15" x14ac:dyDescent="0.25">
      <c r="A6377" t="s">
        <v>16861</v>
      </c>
      <c r="B6377">
        <v>1</v>
      </c>
      <c r="C6377">
        <v>61</v>
      </c>
      <c r="D6377">
        <v>61</v>
      </c>
    </row>
    <row r="6378" spans="1:4" ht="15" x14ac:dyDescent="0.25">
      <c r="A6378" t="s">
        <v>16862</v>
      </c>
      <c r="B6378">
        <v>1</v>
      </c>
      <c r="C6378">
        <v>61</v>
      </c>
      <c r="D6378">
        <v>61</v>
      </c>
    </row>
    <row r="6379" spans="1:4" ht="15" x14ac:dyDescent="0.25">
      <c r="A6379" t="s">
        <v>16868</v>
      </c>
      <c r="B6379">
        <v>2</v>
      </c>
      <c r="C6379">
        <v>92</v>
      </c>
      <c r="D6379">
        <v>46</v>
      </c>
    </row>
    <row r="6380" spans="1:4" ht="15" x14ac:dyDescent="0.25">
      <c r="A6380" t="s">
        <v>16869</v>
      </c>
      <c r="B6380">
        <v>1</v>
      </c>
      <c r="C6380">
        <v>38</v>
      </c>
      <c r="D6380">
        <v>38</v>
      </c>
    </row>
    <row r="6381" spans="1:4" ht="15" x14ac:dyDescent="0.25">
      <c r="A6381" t="s">
        <v>16867</v>
      </c>
      <c r="B6381">
        <v>4</v>
      </c>
      <c r="C6381">
        <v>189</v>
      </c>
      <c r="D6381">
        <v>47.25</v>
      </c>
    </row>
    <row r="6382" spans="1:4" ht="15" x14ac:dyDescent="0.25">
      <c r="A6382" t="s">
        <v>16873</v>
      </c>
      <c r="B6382">
        <v>1</v>
      </c>
      <c r="C6382">
        <v>40</v>
      </c>
      <c r="D6382">
        <v>40</v>
      </c>
    </row>
    <row r="6383" spans="1:4" ht="15" x14ac:dyDescent="0.25">
      <c r="A6383" t="s">
        <v>16874</v>
      </c>
      <c r="B6383">
        <v>1</v>
      </c>
      <c r="C6383">
        <v>40</v>
      </c>
      <c r="D6383">
        <v>40</v>
      </c>
    </row>
    <row r="6384" spans="1:4" ht="15" x14ac:dyDescent="0.25">
      <c r="A6384" t="s">
        <v>16876</v>
      </c>
      <c r="B6384">
        <v>1</v>
      </c>
      <c r="C6384">
        <v>40</v>
      </c>
      <c r="D6384">
        <v>40</v>
      </c>
    </row>
    <row r="6385" spans="1:4" ht="15" x14ac:dyDescent="0.25">
      <c r="A6385" t="s">
        <v>16875</v>
      </c>
      <c r="B6385">
        <v>1</v>
      </c>
      <c r="C6385">
        <v>40</v>
      </c>
      <c r="D6385">
        <v>40</v>
      </c>
    </row>
    <row r="6386" spans="1:4" ht="15" x14ac:dyDescent="0.25">
      <c r="A6386" t="s">
        <v>16880</v>
      </c>
      <c r="B6386">
        <v>1</v>
      </c>
      <c r="C6386">
        <v>24</v>
      </c>
      <c r="D6386">
        <v>24</v>
      </c>
    </row>
    <row r="6387" spans="1:4" ht="15" x14ac:dyDescent="0.25">
      <c r="A6387" t="s">
        <v>16881</v>
      </c>
      <c r="B6387">
        <v>4</v>
      </c>
      <c r="C6387">
        <v>120</v>
      </c>
      <c r="D6387">
        <v>30</v>
      </c>
    </row>
    <row r="6388" spans="1:4" ht="15" x14ac:dyDescent="0.25">
      <c r="A6388" t="s">
        <v>16885</v>
      </c>
      <c r="B6388">
        <v>1</v>
      </c>
      <c r="C6388">
        <v>13</v>
      </c>
      <c r="D6388">
        <v>13</v>
      </c>
    </row>
    <row r="6389" spans="1:4" ht="15" x14ac:dyDescent="0.25">
      <c r="A6389" t="s">
        <v>16886</v>
      </c>
      <c r="B6389">
        <v>1</v>
      </c>
      <c r="C6389">
        <v>13</v>
      </c>
      <c r="D6389">
        <v>13</v>
      </c>
    </row>
    <row r="6390" spans="1:4" ht="15" x14ac:dyDescent="0.25">
      <c r="A6390" t="s">
        <v>16889</v>
      </c>
      <c r="B6390">
        <v>8</v>
      </c>
      <c r="C6390">
        <v>657</v>
      </c>
      <c r="D6390">
        <v>82.125</v>
      </c>
    </row>
    <row r="6391" spans="1:4" ht="15" x14ac:dyDescent="0.25">
      <c r="A6391" t="s">
        <v>16894</v>
      </c>
      <c r="B6391">
        <v>2</v>
      </c>
      <c r="C6391">
        <v>146</v>
      </c>
      <c r="D6391">
        <v>73</v>
      </c>
    </row>
    <row r="6392" spans="1:4" ht="15" x14ac:dyDescent="0.25">
      <c r="A6392" t="s">
        <v>16895</v>
      </c>
      <c r="B6392">
        <v>1</v>
      </c>
      <c r="C6392">
        <v>63</v>
      </c>
      <c r="D6392">
        <v>63</v>
      </c>
    </row>
    <row r="6393" spans="1:4" ht="15" x14ac:dyDescent="0.25">
      <c r="A6393" t="s">
        <v>16896</v>
      </c>
      <c r="B6393">
        <v>1</v>
      </c>
      <c r="C6393">
        <v>63</v>
      </c>
      <c r="D6393">
        <v>63</v>
      </c>
    </row>
    <row r="6394" spans="1:4" ht="15" x14ac:dyDescent="0.25">
      <c r="A6394" t="s">
        <v>16900</v>
      </c>
      <c r="B6394">
        <v>1</v>
      </c>
      <c r="C6394">
        <v>138</v>
      </c>
      <c r="D6394">
        <v>138</v>
      </c>
    </row>
    <row r="6395" spans="1:4" ht="15" x14ac:dyDescent="0.25">
      <c r="A6395" t="s">
        <v>16901</v>
      </c>
      <c r="B6395">
        <v>2</v>
      </c>
      <c r="C6395">
        <v>152</v>
      </c>
      <c r="D6395">
        <v>76</v>
      </c>
    </row>
    <row r="6396" spans="1:4" ht="15" x14ac:dyDescent="0.25">
      <c r="A6396" t="s">
        <v>16902</v>
      </c>
      <c r="B6396">
        <v>1</v>
      </c>
      <c r="C6396">
        <v>138</v>
      </c>
      <c r="D6396">
        <v>138</v>
      </c>
    </row>
    <row r="6397" spans="1:4" ht="15" x14ac:dyDescent="0.25">
      <c r="A6397" t="s">
        <v>16907</v>
      </c>
      <c r="B6397">
        <v>2</v>
      </c>
      <c r="C6397">
        <v>24</v>
      </c>
      <c r="D6397">
        <v>12</v>
      </c>
    </row>
    <row r="6398" spans="1:4" ht="15" x14ac:dyDescent="0.25">
      <c r="A6398" t="s">
        <v>16908</v>
      </c>
      <c r="B6398">
        <v>1</v>
      </c>
      <c r="C6398">
        <v>13</v>
      </c>
      <c r="D6398">
        <v>13</v>
      </c>
    </row>
    <row r="6399" spans="1:4" ht="15" x14ac:dyDescent="0.25">
      <c r="A6399" t="s">
        <v>16909</v>
      </c>
      <c r="B6399">
        <v>1</v>
      </c>
      <c r="C6399">
        <v>13</v>
      </c>
      <c r="D6399">
        <v>13</v>
      </c>
    </row>
    <row r="6400" spans="1:4" ht="15" x14ac:dyDescent="0.25">
      <c r="A6400" t="s">
        <v>16914</v>
      </c>
      <c r="B6400">
        <v>1</v>
      </c>
      <c r="C6400">
        <v>58</v>
      </c>
      <c r="D6400">
        <v>58</v>
      </c>
    </row>
    <row r="6401" spans="1:4" ht="15" x14ac:dyDescent="0.25">
      <c r="A6401" t="s">
        <v>16915</v>
      </c>
      <c r="B6401">
        <v>3</v>
      </c>
      <c r="C6401">
        <v>120</v>
      </c>
      <c r="D6401">
        <v>40</v>
      </c>
    </row>
    <row r="6402" spans="1:4" ht="15" x14ac:dyDescent="0.25">
      <c r="A6402" t="s">
        <v>16918</v>
      </c>
      <c r="B6402">
        <v>1</v>
      </c>
      <c r="C6402">
        <v>28</v>
      </c>
      <c r="D6402">
        <v>28</v>
      </c>
    </row>
    <row r="6403" spans="1:4" ht="15" x14ac:dyDescent="0.25">
      <c r="A6403" t="s">
        <v>16920</v>
      </c>
      <c r="B6403">
        <v>1</v>
      </c>
      <c r="C6403">
        <v>28</v>
      </c>
      <c r="D6403">
        <v>28</v>
      </c>
    </row>
    <row r="6404" spans="1:4" ht="15" x14ac:dyDescent="0.25">
      <c r="A6404" t="s">
        <v>16919</v>
      </c>
      <c r="B6404">
        <v>1</v>
      </c>
      <c r="C6404">
        <v>28</v>
      </c>
      <c r="D6404">
        <v>28</v>
      </c>
    </row>
    <row r="6405" spans="1:4" ht="15" x14ac:dyDescent="0.25">
      <c r="A6405" t="s">
        <v>16923</v>
      </c>
      <c r="B6405">
        <v>1</v>
      </c>
      <c r="C6405">
        <v>23</v>
      </c>
      <c r="D6405">
        <v>23</v>
      </c>
    </row>
    <row r="6406" spans="1:4" ht="15" x14ac:dyDescent="0.25">
      <c r="A6406" t="s">
        <v>16928</v>
      </c>
      <c r="B6406">
        <v>1</v>
      </c>
      <c r="C6406">
        <v>106</v>
      </c>
      <c r="D6406">
        <v>106</v>
      </c>
    </row>
    <row r="6407" spans="1:4" ht="15" x14ac:dyDescent="0.25">
      <c r="A6407" t="s">
        <v>16929</v>
      </c>
      <c r="B6407">
        <v>1</v>
      </c>
      <c r="C6407">
        <v>106</v>
      </c>
      <c r="D6407">
        <v>106</v>
      </c>
    </row>
    <row r="6408" spans="1:4" ht="15" x14ac:dyDescent="0.25">
      <c r="A6408" t="s">
        <v>16933</v>
      </c>
      <c r="B6408">
        <v>1</v>
      </c>
      <c r="C6408">
        <v>21</v>
      </c>
      <c r="D6408">
        <v>21</v>
      </c>
    </row>
    <row r="6409" spans="1:4" ht="15" x14ac:dyDescent="0.25">
      <c r="A6409" t="s">
        <v>16935</v>
      </c>
      <c r="B6409">
        <v>1</v>
      </c>
      <c r="C6409">
        <v>21</v>
      </c>
      <c r="D6409">
        <v>21</v>
      </c>
    </row>
    <row r="6410" spans="1:4" ht="15" x14ac:dyDescent="0.25">
      <c r="A6410" t="s">
        <v>16934</v>
      </c>
      <c r="B6410">
        <v>1</v>
      </c>
      <c r="C6410">
        <v>21</v>
      </c>
      <c r="D6410">
        <v>21</v>
      </c>
    </row>
    <row r="6411" spans="1:4" ht="15" x14ac:dyDescent="0.25">
      <c r="A6411" t="s">
        <v>16939</v>
      </c>
      <c r="B6411">
        <v>1</v>
      </c>
      <c r="C6411">
        <v>21</v>
      </c>
      <c r="D6411">
        <v>21</v>
      </c>
    </row>
    <row r="6412" spans="1:4" ht="15" x14ac:dyDescent="0.25">
      <c r="A6412" t="s">
        <v>16941</v>
      </c>
      <c r="B6412">
        <v>1</v>
      </c>
      <c r="C6412">
        <v>21</v>
      </c>
      <c r="D6412">
        <v>21</v>
      </c>
    </row>
    <row r="6413" spans="1:4" ht="15" x14ac:dyDescent="0.25">
      <c r="A6413" t="s">
        <v>16940</v>
      </c>
      <c r="B6413">
        <v>1</v>
      </c>
      <c r="C6413">
        <v>21</v>
      </c>
      <c r="D6413">
        <v>21</v>
      </c>
    </row>
    <row r="6414" spans="1:4" ht="15" x14ac:dyDescent="0.25">
      <c r="A6414" t="s">
        <v>16945</v>
      </c>
      <c r="B6414">
        <v>1</v>
      </c>
      <c r="C6414">
        <v>59</v>
      </c>
      <c r="D6414">
        <v>59</v>
      </c>
    </row>
    <row r="6415" spans="1:4" ht="15" x14ac:dyDescent="0.25">
      <c r="A6415" t="s">
        <v>16946</v>
      </c>
      <c r="B6415">
        <v>1</v>
      </c>
      <c r="C6415">
        <v>59</v>
      </c>
      <c r="D6415">
        <v>59</v>
      </c>
    </row>
    <row r="6416" spans="1:4" ht="15" x14ac:dyDescent="0.25">
      <c r="A6416" t="s">
        <v>16947</v>
      </c>
      <c r="B6416">
        <v>1</v>
      </c>
      <c r="C6416">
        <v>59</v>
      </c>
      <c r="D6416">
        <v>59</v>
      </c>
    </row>
    <row r="6417" spans="1:4" ht="15" x14ac:dyDescent="0.25">
      <c r="A6417" t="s">
        <v>16948</v>
      </c>
      <c r="B6417">
        <v>1</v>
      </c>
      <c r="C6417">
        <v>59</v>
      </c>
      <c r="D6417">
        <v>59</v>
      </c>
    </row>
    <row r="6418" spans="1:4" ht="15" x14ac:dyDescent="0.25">
      <c r="A6418" t="s">
        <v>16951</v>
      </c>
      <c r="B6418">
        <v>1</v>
      </c>
      <c r="C6418">
        <v>83</v>
      </c>
      <c r="D6418">
        <v>83</v>
      </c>
    </row>
    <row r="6419" spans="1:4" ht="15" x14ac:dyDescent="0.25">
      <c r="A6419" t="s">
        <v>16952</v>
      </c>
      <c r="B6419">
        <v>1</v>
      </c>
      <c r="C6419">
        <v>83</v>
      </c>
      <c r="D6419">
        <v>83</v>
      </c>
    </row>
    <row r="6420" spans="1:4" ht="15" x14ac:dyDescent="0.25">
      <c r="A6420" t="s">
        <v>16954</v>
      </c>
      <c r="B6420">
        <v>1</v>
      </c>
      <c r="C6420">
        <v>83</v>
      </c>
      <c r="D6420">
        <v>83</v>
      </c>
    </row>
    <row r="6421" spans="1:4" ht="15" x14ac:dyDescent="0.25">
      <c r="A6421" t="s">
        <v>16953</v>
      </c>
      <c r="B6421">
        <v>1</v>
      </c>
      <c r="C6421">
        <v>83</v>
      </c>
      <c r="D6421">
        <v>83</v>
      </c>
    </row>
    <row r="6422" spans="1:4" ht="15" x14ac:dyDescent="0.25">
      <c r="A6422" t="s">
        <v>16958</v>
      </c>
      <c r="B6422">
        <v>1</v>
      </c>
      <c r="C6422">
        <v>39</v>
      </c>
      <c r="D6422">
        <v>39</v>
      </c>
    </row>
    <row r="6423" spans="1:4" ht="15" x14ac:dyDescent="0.25">
      <c r="A6423" t="s">
        <v>16959</v>
      </c>
      <c r="B6423">
        <v>2</v>
      </c>
      <c r="C6423">
        <v>124</v>
      </c>
      <c r="D6423">
        <v>62</v>
      </c>
    </row>
    <row r="6424" spans="1:4" ht="15" x14ac:dyDescent="0.25">
      <c r="A6424" t="s">
        <v>16963</v>
      </c>
      <c r="B6424">
        <v>1</v>
      </c>
      <c r="C6424">
        <v>42</v>
      </c>
      <c r="D6424">
        <v>42</v>
      </c>
    </row>
    <row r="6425" spans="1:4" ht="15" x14ac:dyDescent="0.25">
      <c r="A6425" t="s">
        <v>16975</v>
      </c>
      <c r="B6425">
        <v>1</v>
      </c>
      <c r="C6425">
        <v>21</v>
      </c>
      <c r="D6425">
        <v>21</v>
      </c>
    </row>
    <row r="6426" spans="1:4" ht="15" x14ac:dyDescent="0.25">
      <c r="A6426" t="s">
        <v>16974</v>
      </c>
      <c r="B6426">
        <v>1</v>
      </c>
      <c r="C6426">
        <v>21</v>
      </c>
      <c r="D6426">
        <v>21</v>
      </c>
    </row>
    <row r="6427" spans="1:4" ht="15" x14ac:dyDescent="0.25">
      <c r="A6427" t="s">
        <v>16978</v>
      </c>
      <c r="B6427">
        <v>1</v>
      </c>
      <c r="C6427">
        <v>24</v>
      </c>
      <c r="D6427">
        <v>24</v>
      </c>
    </row>
    <row r="6428" spans="1:4" ht="15" x14ac:dyDescent="0.25">
      <c r="A6428" t="s">
        <v>16979</v>
      </c>
      <c r="B6428">
        <v>1</v>
      </c>
      <c r="C6428">
        <v>24</v>
      </c>
      <c r="D6428">
        <v>24</v>
      </c>
    </row>
    <row r="6429" spans="1:4" ht="15" x14ac:dyDescent="0.25">
      <c r="A6429" t="s">
        <v>16984</v>
      </c>
      <c r="B6429">
        <v>1</v>
      </c>
      <c r="C6429">
        <v>37</v>
      </c>
      <c r="D6429">
        <v>37</v>
      </c>
    </row>
    <row r="6430" spans="1:4" ht="15" x14ac:dyDescent="0.25">
      <c r="A6430" t="s">
        <v>16987</v>
      </c>
      <c r="B6430">
        <v>2</v>
      </c>
      <c r="C6430">
        <v>200</v>
      </c>
      <c r="D6430">
        <v>100</v>
      </c>
    </row>
    <row r="6431" spans="1:4" ht="15" x14ac:dyDescent="0.25">
      <c r="A6431" t="s">
        <v>16988</v>
      </c>
      <c r="B6431">
        <v>1</v>
      </c>
      <c r="C6431">
        <v>64</v>
      </c>
      <c r="D6431">
        <v>64</v>
      </c>
    </row>
    <row r="6432" spans="1:4" ht="15" x14ac:dyDescent="0.25">
      <c r="A6432" t="s">
        <v>16989</v>
      </c>
      <c r="B6432">
        <v>1</v>
      </c>
      <c r="C6432">
        <v>64</v>
      </c>
      <c r="D6432">
        <v>64</v>
      </c>
    </row>
    <row r="6433" spans="1:4" ht="15" x14ac:dyDescent="0.25">
      <c r="A6433" t="s">
        <v>16995</v>
      </c>
      <c r="B6433">
        <v>2</v>
      </c>
      <c r="C6433">
        <v>14</v>
      </c>
      <c r="D6433">
        <v>7</v>
      </c>
    </row>
    <row r="6434" spans="1:4" ht="15" x14ac:dyDescent="0.25">
      <c r="A6434" t="s">
        <v>16996</v>
      </c>
      <c r="B6434">
        <v>1</v>
      </c>
      <c r="C6434">
        <v>8</v>
      </c>
      <c r="D6434">
        <v>8</v>
      </c>
    </row>
    <row r="6435" spans="1:4" ht="15" x14ac:dyDescent="0.25">
      <c r="A6435" t="s">
        <v>16998</v>
      </c>
      <c r="B6435">
        <v>2</v>
      </c>
      <c r="C6435">
        <v>14</v>
      </c>
      <c r="D6435">
        <v>7</v>
      </c>
    </row>
    <row r="6436" spans="1:4" ht="15" x14ac:dyDescent="0.25">
      <c r="A6436" t="s">
        <v>16997</v>
      </c>
      <c r="B6436">
        <v>2</v>
      </c>
      <c r="C6436">
        <v>14</v>
      </c>
      <c r="D6436">
        <v>7</v>
      </c>
    </row>
    <row r="6437" spans="1:4" ht="15" x14ac:dyDescent="0.25">
      <c r="A6437" t="s">
        <v>17002</v>
      </c>
      <c r="B6437">
        <v>1</v>
      </c>
      <c r="C6437">
        <v>49</v>
      </c>
      <c r="D6437">
        <v>49</v>
      </c>
    </row>
    <row r="6438" spans="1:4" ht="15" x14ac:dyDescent="0.25">
      <c r="A6438" t="s">
        <v>17001</v>
      </c>
      <c r="B6438">
        <v>1</v>
      </c>
      <c r="C6438">
        <v>49</v>
      </c>
      <c r="D6438">
        <v>49</v>
      </c>
    </row>
    <row r="6439" spans="1:4" ht="15" x14ac:dyDescent="0.25">
      <c r="A6439" t="s">
        <v>17006</v>
      </c>
      <c r="B6439">
        <v>1</v>
      </c>
      <c r="C6439">
        <v>26</v>
      </c>
      <c r="D6439">
        <v>26</v>
      </c>
    </row>
    <row r="6440" spans="1:4" ht="15" x14ac:dyDescent="0.25">
      <c r="A6440" t="s">
        <v>17008</v>
      </c>
      <c r="B6440">
        <v>1</v>
      </c>
      <c r="C6440">
        <v>26</v>
      </c>
      <c r="D6440">
        <v>26</v>
      </c>
    </row>
    <row r="6441" spans="1:4" ht="15" x14ac:dyDescent="0.25">
      <c r="A6441" t="s">
        <v>17007</v>
      </c>
      <c r="B6441">
        <v>2</v>
      </c>
      <c r="C6441">
        <v>38</v>
      </c>
      <c r="D6441">
        <v>19</v>
      </c>
    </row>
    <row r="6442" spans="1:4" ht="15" x14ac:dyDescent="0.25">
      <c r="A6442" t="s">
        <v>17014</v>
      </c>
      <c r="B6442">
        <v>1</v>
      </c>
      <c r="C6442">
        <v>804</v>
      </c>
      <c r="D6442">
        <v>804</v>
      </c>
    </row>
    <row r="6443" spans="1:4" ht="15" x14ac:dyDescent="0.25">
      <c r="A6443" t="s">
        <v>17015</v>
      </c>
      <c r="B6443">
        <v>1</v>
      </c>
      <c r="C6443">
        <v>804</v>
      </c>
      <c r="D6443">
        <v>804</v>
      </c>
    </row>
    <row r="6444" spans="1:4" ht="15" x14ac:dyDescent="0.25">
      <c r="A6444" t="s">
        <v>17016</v>
      </c>
      <c r="B6444">
        <v>1</v>
      </c>
      <c r="C6444">
        <v>804</v>
      </c>
      <c r="D6444">
        <v>804</v>
      </c>
    </row>
    <row r="6445" spans="1:4" ht="15" x14ac:dyDescent="0.25">
      <c r="A6445" t="s">
        <v>17021</v>
      </c>
      <c r="B6445">
        <v>1</v>
      </c>
      <c r="C6445">
        <v>38</v>
      </c>
      <c r="D6445">
        <v>38</v>
      </c>
    </row>
    <row r="6446" spans="1:4" ht="15" x14ac:dyDescent="0.25">
      <c r="A6446" t="s">
        <v>17022</v>
      </c>
      <c r="B6446">
        <v>1</v>
      </c>
      <c r="C6446">
        <v>38</v>
      </c>
      <c r="D6446">
        <v>38</v>
      </c>
    </row>
    <row r="6447" spans="1:4" ht="15" x14ac:dyDescent="0.25">
      <c r="A6447" t="s">
        <v>17023</v>
      </c>
      <c r="B6447">
        <v>1</v>
      </c>
      <c r="C6447">
        <v>38</v>
      </c>
      <c r="D6447">
        <v>38</v>
      </c>
    </row>
    <row r="6448" spans="1:4" ht="15" x14ac:dyDescent="0.25">
      <c r="A6448" t="s">
        <v>17027</v>
      </c>
      <c r="B6448">
        <v>2</v>
      </c>
      <c r="C6448">
        <v>442</v>
      </c>
      <c r="D6448">
        <v>221</v>
      </c>
    </row>
    <row r="6449" spans="1:4" ht="15" x14ac:dyDescent="0.25">
      <c r="A6449" t="s">
        <v>17028</v>
      </c>
      <c r="B6449">
        <v>2</v>
      </c>
      <c r="C6449">
        <v>454</v>
      </c>
      <c r="D6449">
        <v>227</v>
      </c>
    </row>
    <row r="6450" spans="1:4" ht="15" x14ac:dyDescent="0.25">
      <c r="A6450" t="s">
        <v>17033</v>
      </c>
      <c r="B6450">
        <v>1</v>
      </c>
      <c r="C6450">
        <v>76</v>
      </c>
      <c r="D6450">
        <v>76</v>
      </c>
    </row>
    <row r="6451" spans="1:4" ht="15" x14ac:dyDescent="0.25">
      <c r="A6451" t="s">
        <v>17035</v>
      </c>
      <c r="B6451">
        <v>1</v>
      </c>
      <c r="C6451">
        <v>76</v>
      </c>
      <c r="D6451">
        <v>76</v>
      </c>
    </row>
    <row r="6452" spans="1:4" ht="15" x14ac:dyDescent="0.25">
      <c r="A6452" t="s">
        <v>17034</v>
      </c>
      <c r="B6452">
        <v>1</v>
      </c>
      <c r="C6452">
        <v>76</v>
      </c>
      <c r="D6452">
        <v>76</v>
      </c>
    </row>
    <row r="6453" spans="1:4" ht="15" x14ac:dyDescent="0.25">
      <c r="A6453" t="s">
        <v>17041</v>
      </c>
      <c r="B6453">
        <v>1</v>
      </c>
      <c r="C6453">
        <v>46</v>
      </c>
      <c r="D6453">
        <v>46</v>
      </c>
    </row>
    <row r="6454" spans="1:4" ht="15" x14ac:dyDescent="0.25">
      <c r="A6454" t="s">
        <v>17043</v>
      </c>
      <c r="B6454">
        <v>2</v>
      </c>
      <c r="C6454">
        <v>64</v>
      </c>
      <c r="D6454">
        <v>32</v>
      </c>
    </row>
    <row r="6455" spans="1:4" ht="15" x14ac:dyDescent="0.25">
      <c r="A6455" t="s">
        <v>17044</v>
      </c>
      <c r="B6455">
        <v>1</v>
      </c>
      <c r="C6455">
        <v>46</v>
      </c>
      <c r="D6455">
        <v>46</v>
      </c>
    </row>
    <row r="6456" spans="1:4" ht="15" x14ac:dyDescent="0.25">
      <c r="A6456" t="s">
        <v>17042</v>
      </c>
      <c r="B6456">
        <v>1</v>
      </c>
      <c r="C6456">
        <v>46</v>
      </c>
      <c r="D6456">
        <v>46</v>
      </c>
    </row>
    <row r="6457" spans="1:4" ht="15" x14ac:dyDescent="0.25">
      <c r="A6457" t="s">
        <v>17047</v>
      </c>
      <c r="B6457">
        <v>2</v>
      </c>
      <c r="C6457">
        <v>249</v>
      </c>
      <c r="D6457">
        <v>124.5</v>
      </c>
    </row>
    <row r="6458" spans="1:4" ht="15" x14ac:dyDescent="0.25">
      <c r="A6458" t="s">
        <v>17052</v>
      </c>
      <c r="B6458">
        <v>1</v>
      </c>
      <c r="C6458">
        <v>13</v>
      </c>
      <c r="D6458">
        <v>13</v>
      </c>
    </row>
    <row r="6459" spans="1:4" ht="15" x14ac:dyDescent="0.25">
      <c r="A6459" t="s">
        <v>17054</v>
      </c>
      <c r="B6459">
        <v>1</v>
      </c>
      <c r="C6459">
        <v>13</v>
      </c>
      <c r="D6459">
        <v>13</v>
      </c>
    </row>
    <row r="6460" spans="1:4" ht="15" x14ac:dyDescent="0.25">
      <c r="A6460" t="s">
        <v>17055</v>
      </c>
      <c r="B6460">
        <v>1</v>
      </c>
      <c r="C6460">
        <v>13</v>
      </c>
      <c r="D6460">
        <v>13</v>
      </c>
    </row>
    <row r="6461" spans="1:4" ht="15" x14ac:dyDescent="0.25">
      <c r="A6461" t="s">
        <v>17053</v>
      </c>
      <c r="B6461">
        <v>1</v>
      </c>
      <c r="C6461">
        <v>13</v>
      </c>
      <c r="D6461">
        <v>13</v>
      </c>
    </row>
    <row r="6462" spans="1:4" ht="15" x14ac:dyDescent="0.25">
      <c r="A6462" t="s">
        <v>17060</v>
      </c>
      <c r="B6462">
        <v>1</v>
      </c>
      <c r="C6462">
        <v>95</v>
      </c>
      <c r="D6462">
        <v>95</v>
      </c>
    </row>
    <row r="6463" spans="1:4" ht="15" x14ac:dyDescent="0.25">
      <c r="A6463" t="s">
        <v>17062</v>
      </c>
      <c r="B6463">
        <v>1</v>
      </c>
      <c r="C6463">
        <v>95</v>
      </c>
      <c r="D6463">
        <v>95</v>
      </c>
    </row>
    <row r="6464" spans="1:4" ht="15" x14ac:dyDescent="0.25">
      <c r="A6464" t="s">
        <v>17063</v>
      </c>
      <c r="B6464">
        <v>1</v>
      </c>
      <c r="C6464">
        <v>95</v>
      </c>
      <c r="D6464">
        <v>95</v>
      </c>
    </row>
    <row r="6465" spans="1:4" ht="15" x14ac:dyDescent="0.25">
      <c r="A6465" t="s">
        <v>17061</v>
      </c>
      <c r="B6465">
        <v>2</v>
      </c>
      <c r="C6465">
        <v>185</v>
      </c>
      <c r="D6465">
        <v>92.5</v>
      </c>
    </row>
    <row r="6466" spans="1:4" ht="15" x14ac:dyDescent="0.25">
      <c r="A6466" t="s">
        <v>17066</v>
      </c>
      <c r="B6466">
        <v>2</v>
      </c>
      <c r="C6466">
        <v>59</v>
      </c>
      <c r="D6466">
        <v>29.5</v>
      </c>
    </row>
    <row r="6467" spans="1:4" ht="15" x14ac:dyDescent="0.25">
      <c r="A6467" t="s">
        <v>17067</v>
      </c>
      <c r="B6467">
        <v>2</v>
      </c>
      <c r="C6467">
        <v>59</v>
      </c>
      <c r="D6467">
        <v>29.5</v>
      </c>
    </row>
    <row r="6468" spans="1:4" ht="15" x14ac:dyDescent="0.25">
      <c r="A6468" t="s">
        <v>17071</v>
      </c>
      <c r="B6468">
        <v>1</v>
      </c>
      <c r="C6468">
        <v>24</v>
      </c>
      <c r="D6468">
        <v>24</v>
      </c>
    </row>
    <row r="6469" spans="1:4" ht="15" x14ac:dyDescent="0.25">
      <c r="A6469" t="s">
        <v>17075</v>
      </c>
      <c r="B6469">
        <v>4</v>
      </c>
      <c r="C6469">
        <v>395</v>
      </c>
      <c r="D6469">
        <v>98.75</v>
      </c>
    </row>
    <row r="6470" spans="1:4" ht="15" x14ac:dyDescent="0.25">
      <c r="A6470" t="s">
        <v>17081</v>
      </c>
      <c r="B6470">
        <v>1</v>
      </c>
      <c r="C6470">
        <v>42</v>
      </c>
      <c r="D6470">
        <v>42</v>
      </c>
    </row>
    <row r="6471" spans="1:4" ht="15" x14ac:dyDescent="0.25">
      <c r="A6471" t="s">
        <v>17082</v>
      </c>
      <c r="B6471">
        <v>1</v>
      </c>
      <c r="C6471">
        <v>42</v>
      </c>
      <c r="D6471">
        <v>42</v>
      </c>
    </row>
    <row r="6472" spans="1:4" ht="15" x14ac:dyDescent="0.25">
      <c r="A6472" t="s">
        <v>17089</v>
      </c>
      <c r="B6472">
        <v>2</v>
      </c>
      <c r="C6472">
        <v>39</v>
      </c>
      <c r="D6472">
        <v>19.5</v>
      </c>
    </row>
    <row r="6473" spans="1:4" ht="15" x14ac:dyDescent="0.25">
      <c r="A6473" t="s">
        <v>17097</v>
      </c>
      <c r="B6473">
        <v>1</v>
      </c>
      <c r="C6473">
        <v>35</v>
      </c>
      <c r="D6473">
        <v>35</v>
      </c>
    </row>
    <row r="6474" spans="1:4" ht="15" x14ac:dyDescent="0.25">
      <c r="A6474" t="s">
        <v>17098</v>
      </c>
      <c r="B6474">
        <v>2</v>
      </c>
      <c r="C6474">
        <v>71</v>
      </c>
      <c r="D6474">
        <v>35.5</v>
      </c>
    </row>
    <row r="6475" spans="1:4" ht="15" x14ac:dyDescent="0.25">
      <c r="A6475" t="s">
        <v>17099</v>
      </c>
      <c r="B6475">
        <v>1</v>
      </c>
      <c r="C6475">
        <v>35</v>
      </c>
      <c r="D6475">
        <v>35</v>
      </c>
    </row>
    <row r="6476" spans="1:4" ht="15" x14ac:dyDescent="0.25">
      <c r="A6476" t="s">
        <v>17103</v>
      </c>
      <c r="B6476">
        <v>1</v>
      </c>
      <c r="C6476">
        <v>26</v>
      </c>
      <c r="D6476">
        <v>26</v>
      </c>
    </row>
    <row r="6477" spans="1:4" ht="15" x14ac:dyDescent="0.25">
      <c r="A6477" t="s">
        <v>17104</v>
      </c>
      <c r="B6477">
        <v>1</v>
      </c>
      <c r="C6477">
        <v>26</v>
      </c>
      <c r="D6477">
        <v>26</v>
      </c>
    </row>
    <row r="6478" spans="1:4" ht="15" x14ac:dyDescent="0.25">
      <c r="A6478" t="s">
        <v>17105</v>
      </c>
      <c r="B6478">
        <v>2</v>
      </c>
      <c r="C6478">
        <v>47</v>
      </c>
      <c r="D6478">
        <v>23.5</v>
      </c>
    </row>
    <row r="6479" spans="1:4" ht="15" x14ac:dyDescent="0.25">
      <c r="A6479" t="s">
        <v>17111</v>
      </c>
      <c r="B6479">
        <v>1</v>
      </c>
      <c r="C6479">
        <v>43</v>
      </c>
      <c r="D6479">
        <v>43</v>
      </c>
    </row>
    <row r="6480" spans="1:4" ht="15" x14ac:dyDescent="0.25">
      <c r="A6480" t="s">
        <v>17110</v>
      </c>
      <c r="B6480">
        <v>5</v>
      </c>
      <c r="C6480">
        <v>215</v>
      </c>
      <c r="D6480">
        <v>43</v>
      </c>
    </row>
    <row r="6481" spans="1:4" ht="15" x14ac:dyDescent="0.25">
      <c r="A6481" t="s">
        <v>17115</v>
      </c>
      <c r="B6481">
        <v>3</v>
      </c>
      <c r="C6481">
        <v>134</v>
      </c>
      <c r="D6481">
        <v>44.666666666666664</v>
      </c>
    </row>
    <row r="6482" spans="1:4" ht="15" x14ac:dyDescent="0.25">
      <c r="A6482" t="s">
        <v>17116</v>
      </c>
      <c r="B6482">
        <v>1</v>
      </c>
      <c r="C6482">
        <v>80</v>
      </c>
      <c r="D6482">
        <v>80</v>
      </c>
    </row>
    <row r="6483" spans="1:4" ht="15" x14ac:dyDescent="0.25">
      <c r="A6483" t="s">
        <v>17117</v>
      </c>
      <c r="B6483">
        <v>1</v>
      </c>
      <c r="C6483">
        <v>80</v>
      </c>
      <c r="D6483">
        <v>80</v>
      </c>
    </row>
    <row r="6484" spans="1:4" ht="15" x14ac:dyDescent="0.25">
      <c r="A6484" t="s">
        <v>17121</v>
      </c>
      <c r="B6484">
        <v>1</v>
      </c>
      <c r="C6484">
        <v>2</v>
      </c>
      <c r="D6484">
        <v>2</v>
      </c>
    </row>
    <row r="6485" spans="1:4" ht="15" x14ac:dyDescent="0.25">
      <c r="A6485" t="s">
        <v>17122</v>
      </c>
      <c r="B6485">
        <v>1</v>
      </c>
      <c r="C6485">
        <v>2</v>
      </c>
      <c r="D6485">
        <v>2</v>
      </c>
    </row>
    <row r="6486" spans="1:4" ht="15" x14ac:dyDescent="0.25">
      <c r="A6486" t="s">
        <v>17126</v>
      </c>
      <c r="B6486">
        <v>1</v>
      </c>
      <c r="C6486">
        <v>54</v>
      </c>
      <c r="D6486">
        <v>54</v>
      </c>
    </row>
    <row r="6487" spans="1:4" ht="15" x14ac:dyDescent="0.25">
      <c r="A6487" t="s">
        <v>17132</v>
      </c>
      <c r="B6487">
        <v>1</v>
      </c>
      <c r="C6487">
        <v>13</v>
      </c>
      <c r="D6487">
        <v>13</v>
      </c>
    </row>
    <row r="6488" spans="1:4" ht="15" x14ac:dyDescent="0.25">
      <c r="A6488" t="s">
        <v>17131</v>
      </c>
      <c r="B6488">
        <v>1</v>
      </c>
      <c r="C6488">
        <v>13</v>
      </c>
      <c r="D6488">
        <v>13</v>
      </c>
    </row>
    <row r="6489" spans="1:4" ht="15" x14ac:dyDescent="0.25">
      <c r="A6489" t="s">
        <v>17139</v>
      </c>
      <c r="B6489">
        <v>1</v>
      </c>
      <c r="C6489">
        <v>139</v>
      </c>
      <c r="D6489">
        <v>139</v>
      </c>
    </row>
    <row r="6490" spans="1:4" ht="15" x14ac:dyDescent="0.25">
      <c r="A6490" t="s">
        <v>17138</v>
      </c>
      <c r="B6490">
        <v>1</v>
      </c>
      <c r="C6490">
        <v>139</v>
      </c>
      <c r="D6490">
        <v>139</v>
      </c>
    </row>
    <row r="6491" spans="1:4" ht="15" x14ac:dyDescent="0.25">
      <c r="A6491" t="s">
        <v>17146</v>
      </c>
      <c r="B6491">
        <v>1</v>
      </c>
      <c r="C6491">
        <v>34</v>
      </c>
      <c r="D6491">
        <v>34</v>
      </c>
    </row>
    <row r="6492" spans="1:4" ht="15" x14ac:dyDescent="0.25">
      <c r="A6492" t="s">
        <v>17150</v>
      </c>
      <c r="B6492">
        <v>1</v>
      </c>
      <c r="C6492">
        <v>40</v>
      </c>
      <c r="D6492">
        <v>40</v>
      </c>
    </row>
    <row r="6493" spans="1:4" ht="15" x14ac:dyDescent="0.25">
      <c r="A6493" t="s">
        <v>17154</v>
      </c>
      <c r="B6493">
        <v>4</v>
      </c>
      <c r="C6493">
        <v>49</v>
      </c>
      <c r="D6493">
        <v>12.25</v>
      </c>
    </row>
    <row r="6494" spans="1:4" ht="15" x14ac:dyDescent="0.25">
      <c r="A6494" t="s">
        <v>17162</v>
      </c>
      <c r="B6494">
        <v>5</v>
      </c>
      <c r="C6494">
        <v>254</v>
      </c>
      <c r="D6494">
        <v>50.8</v>
      </c>
    </row>
    <row r="6495" spans="1:4" ht="15" x14ac:dyDescent="0.25">
      <c r="A6495" t="s">
        <v>17161</v>
      </c>
      <c r="B6495">
        <v>4</v>
      </c>
      <c r="C6495">
        <v>224</v>
      </c>
      <c r="D6495">
        <v>56</v>
      </c>
    </row>
    <row r="6496" spans="1:4" ht="15" x14ac:dyDescent="0.25">
      <c r="A6496" t="s">
        <v>17166</v>
      </c>
      <c r="B6496">
        <v>1</v>
      </c>
      <c r="C6496">
        <v>6</v>
      </c>
      <c r="D6496">
        <v>6</v>
      </c>
    </row>
    <row r="6497" spans="1:4" ht="15" x14ac:dyDescent="0.25">
      <c r="A6497" t="s">
        <v>17167</v>
      </c>
      <c r="B6497">
        <v>1</v>
      </c>
      <c r="C6497">
        <v>6</v>
      </c>
      <c r="D6497">
        <v>6</v>
      </c>
    </row>
    <row r="6498" spans="1:4" ht="15" x14ac:dyDescent="0.25">
      <c r="A6498" t="s">
        <v>17168</v>
      </c>
      <c r="B6498">
        <v>1</v>
      </c>
      <c r="C6498">
        <v>6</v>
      </c>
      <c r="D6498">
        <v>6</v>
      </c>
    </row>
    <row r="6499" spans="1:4" ht="15" x14ac:dyDescent="0.25">
      <c r="A6499" t="s">
        <v>17171</v>
      </c>
      <c r="B6499">
        <v>1</v>
      </c>
      <c r="C6499">
        <v>22</v>
      </c>
      <c r="D6499">
        <v>22</v>
      </c>
    </row>
    <row r="6500" spans="1:4" ht="15" x14ac:dyDescent="0.25">
      <c r="A6500" t="s">
        <v>17175</v>
      </c>
      <c r="B6500">
        <v>1</v>
      </c>
      <c r="C6500">
        <v>16</v>
      </c>
      <c r="D6500">
        <v>16</v>
      </c>
    </row>
    <row r="6501" spans="1:4" ht="15" x14ac:dyDescent="0.25">
      <c r="A6501" t="s">
        <v>17176</v>
      </c>
      <c r="B6501">
        <v>1</v>
      </c>
      <c r="C6501">
        <v>16</v>
      </c>
      <c r="D6501">
        <v>16</v>
      </c>
    </row>
    <row r="6502" spans="1:4" ht="15" x14ac:dyDescent="0.25">
      <c r="A6502" t="s">
        <v>17180</v>
      </c>
      <c r="B6502">
        <v>1</v>
      </c>
      <c r="C6502">
        <v>46</v>
      </c>
      <c r="D6502">
        <v>46</v>
      </c>
    </row>
    <row r="6503" spans="1:4" ht="15" x14ac:dyDescent="0.25">
      <c r="A6503" t="s">
        <v>17181</v>
      </c>
      <c r="B6503">
        <v>1</v>
      </c>
      <c r="C6503">
        <v>46</v>
      </c>
      <c r="D6503">
        <v>46</v>
      </c>
    </row>
    <row r="6504" spans="1:4" ht="15" x14ac:dyDescent="0.25">
      <c r="A6504" t="s">
        <v>17183</v>
      </c>
      <c r="B6504">
        <v>2</v>
      </c>
      <c r="C6504">
        <v>94</v>
      </c>
      <c r="D6504">
        <v>47</v>
      </c>
    </row>
    <row r="6505" spans="1:4" ht="15" x14ac:dyDescent="0.25">
      <c r="A6505" t="s">
        <v>17182</v>
      </c>
      <c r="B6505">
        <v>1</v>
      </c>
      <c r="C6505">
        <v>46</v>
      </c>
      <c r="D6505">
        <v>46</v>
      </c>
    </row>
    <row r="6506" spans="1:4" ht="15" x14ac:dyDescent="0.25">
      <c r="A6506" t="s">
        <v>17188</v>
      </c>
      <c r="B6506">
        <v>1</v>
      </c>
      <c r="C6506">
        <v>15</v>
      </c>
      <c r="D6506">
        <v>15</v>
      </c>
    </row>
    <row r="6507" spans="1:4" ht="15" x14ac:dyDescent="0.25">
      <c r="A6507" t="s">
        <v>17187</v>
      </c>
      <c r="B6507">
        <v>1</v>
      </c>
      <c r="C6507">
        <v>15</v>
      </c>
      <c r="D6507">
        <v>15</v>
      </c>
    </row>
    <row r="6508" spans="1:4" ht="15" x14ac:dyDescent="0.25">
      <c r="A6508" t="s">
        <v>17192</v>
      </c>
      <c r="B6508">
        <v>1</v>
      </c>
      <c r="C6508">
        <v>55</v>
      </c>
      <c r="D6508">
        <v>55</v>
      </c>
    </row>
    <row r="6509" spans="1:4" ht="15" x14ac:dyDescent="0.25">
      <c r="A6509" t="s">
        <v>17194</v>
      </c>
      <c r="B6509">
        <v>1</v>
      </c>
      <c r="C6509">
        <v>55</v>
      </c>
      <c r="D6509">
        <v>55</v>
      </c>
    </row>
    <row r="6510" spans="1:4" ht="15" x14ac:dyDescent="0.25">
      <c r="A6510" t="s">
        <v>17193</v>
      </c>
      <c r="B6510">
        <v>1</v>
      </c>
      <c r="C6510">
        <v>55</v>
      </c>
      <c r="D6510">
        <v>55</v>
      </c>
    </row>
    <row r="6511" spans="1:4" ht="15" x14ac:dyDescent="0.25">
      <c r="A6511" t="s">
        <v>17198</v>
      </c>
      <c r="B6511">
        <v>1</v>
      </c>
      <c r="C6511">
        <v>35</v>
      </c>
      <c r="D6511">
        <v>35</v>
      </c>
    </row>
    <row r="6512" spans="1:4" ht="15" x14ac:dyDescent="0.25">
      <c r="A6512" t="s">
        <v>17201</v>
      </c>
      <c r="B6512">
        <v>1</v>
      </c>
      <c r="C6512">
        <v>19</v>
      </c>
      <c r="D6512">
        <v>19</v>
      </c>
    </row>
    <row r="6513" spans="1:4" ht="15" x14ac:dyDescent="0.25">
      <c r="A6513" t="s">
        <v>17205</v>
      </c>
      <c r="B6513">
        <v>1</v>
      </c>
      <c r="C6513">
        <v>48</v>
      </c>
      <c r="D6513">
        <v>48</v>
      </c>
    </row>
    <row r="6514" spans="1:4" ht="15" x14ac:dyDescent="0.25">
      <c r="A6514" t="s">
        <v>17204</v>
      </c>
      <c r="B6514">
        <v>1</v>
      </c>
      <c r="C6514">
        <v>48</v>
      </c>
      <c r="D6514">
        <v>48</v>
      </c>
    </row>
    <row r="6515" spans="1:4" ht="15" x14ac:dyDescent="0.25">
      <c r="A6515" t="s">
        <v>17209</v>
      </c>
      <c r="B6515">
        <v>1</v>
      </c>
      <c r="C6515">
        <v>4</v>
      </c>
      <c r="D6515">
        <v>4</v>
      </c>
    </row>
    <row r="6516" spans="1:4" ht="15" x14ac:dyDescent="0.25">
      <c r="A6516" t="s">
        <v>17219</v>
      </c>
      <c r="B6516">
        <v>1</v>
      </c>
      <c r="C6516">
        <v>24</v>
      </c>
      <c r="D6516">
        <v>24</v>
      </c>
    </row>
    <row r="6517" spans="1:4" ht="15" x14ac:dyDescent="0.25">
      <c r="A6517" t="s">
        <v>17222</v>
      </c>
      <c r="B6517">
        <v>2</v>
      </c>
      <c r="C6517">
        <v>1536</v>
      </c>
      <c r="D6517">
        <v>768</v>
      </c>
    </row>
    <row r="6518" spans="1:4" ht="15" x14ac:dyDescent="0.25">
      <c r="A6518" t="s">
        <v>17225</v>
      </c>
      <c r="B6518">
        <v>1</v>
      </c>
      <c r="C6518">
        <v>1645</v>
      </c>
      <c r="D6518">
        <v>1645</v>
      </c>
    </row>
    <row r="6519" spans="1:4" ht="15" x14ac:dyDescent="0.25">
      <c r="A6519" t="s">
        <v>17226</v>
      </c>
      <c r="B6519">
        <v>4</v>
      </c>
      <c r="C6519">
        <v>4166</v>
      </c>
      <c r="D6519">
        <v>1041.5</v>
      </c>
    </row>
    <row r="6520" spans="1:4" ht="15" x14ac:dyDescent="0.25">
      <c r="A6520" t="s">
        <v>17227</v>
      </c>
      <c r="B6520">
        <v>2</v>
      </c>
      <c r="C6520">
        <v>1703</v>
      </c>
      <c r="D6520">
        <v>851.5</v>
      </c>
    </row>
    <row r="6521" spans="1:4" ht="15" x14ac:dyDescent="0.25">
      <c r="A6521" t="s">
        <v>17231</v>
      </c>
      <c r="B6521">
        <v>1</v>
      </c>
      <c r="C6521">
        <v>8</v>
      </c>
      <c r="D6521">
        <v>8</v>
      </c>
    </row>
    <row r="6522" spans="1:4" ht="15" x14ac:dyDescent="0.25">
      <c r="A6522" t="s">
        <v>17233</v>
      </c>
      <c r="B6522">
        <v>1</v>
      </c>
      <c r="C6522">
        <v>8</v>
      </c>
      <c r="D6522">
        <v>8</v>
      </c>
    </row>
    <row r="6523" spans="1:4" ht="15" x14ac:dyDescent="0.25">
      <c r="A6523" t="s">
        <v>17232</v>
      </c>
      <c r="B6523">
        <v>1</v>
      </c>
      <c r="C6523">
        <v>8</v>
      </c>
      <c r="D6523">
        <v>8</v>
      </c>
    </row>
    <row r="6524" spans="1:4" ht="15" x14ac:dyDescent="0.25">
      <c r="A6524" t="s">
        <v>17237</v>
      </c>
      <c r="B6524">
        <v>1</v>
      </c>
      <c r="C6524">
        <v>22</v>
      </c>
      <c r="D6524">
        <v>22</v>
      </c>
    </row>
    <row r="6525" spans="1:4" ht="15" x14ac:dyDescent="0.25">
      <c r="A6525" t="s">
        <v>17238</v>
      </c>
      <c r="B6525">
        <v>1</v>
      </c>
      <c r="C6525">
        <v>22</v>
      </c>
      <c r="D6525">
        <v>22</v>
      </c>
    </row>
    <row r="6526" spans="1:4" ht="15" x14ac:dyDescent="0.25">
      <c r="A6526" t="s">
        <v>17243</v>
      </c>
      <c r="B6526">
        <v>3</v>
      </c>
      <c r="C6526">
        <v>410</v>
      </c>
      <c r="D6526">
        <v>136.66666666666666</v>
      </c>
    </row>
    <row r="6527" spans="1:4" ht="15" x14ac:dyDescent="0.25">
      <c r="A6527" t="s">
        <v>17242</v>
      </c>
      <c r="B6527">
        <v>1</v>
      </c>
      <c r="C6527">
        <v>39</v>
      </c>
      <c r="D6527">
        <v>39</v>
      </c>
    </row>
    <row r="6528" spans="1:4" ht="15" x14ac:dyDescent="0.25">
      <c r="A6528" t="s">
        <v>17247</v>
      </c>
      <c r="B6528">
        <v>1</v>
      </c>
      <c r="C6528">
        <v>49</v>
      </c>
      <c r="D6528">
        <v>49</v>
      </c>
    </row>
    <row r="6529" spans="1:4" ht="15" x14ac:dyDescent="0.25">
      <c r="A6529" t="s">
        <v>17248</v>
      </c>
      <c r="B6529">
        <v>3</v>
      </c>
      <c r="C6529">
        <v>163</v>
      </c>
      <c r="D6529">
        <v>54.333333333333336</v>
      </c>
    </row>
    <row r="6530" spans="1:4" ht="15" x14ac:dyDescent="0.25">
      <c r="A6530" t="s">
        <v>17255</v>
      </c>
      <c r="B6530">
        <v>1</v>
      </c>
      <c r="C6530">
        <v>9</v>
      </c>
      <c r="D6530">
        <v>9</v>
      </c>
    </row>
    <row r="6531" spans="1:4" ht="15" x14ac:dyDescent="0.25">
      <c r="A6531" t="s">
        <v>17259</v>
      </c>
      <c r="B6531">
        <v>1</v>
      </c>
      <c r="C6531">
        <v>95</v>
      </c>
      <c r="D6531">
        <v>95</v>
      </c>
    </row>
    <row r="6532" spans="1:4" ht="15" x14ac:dyDescent="0.25">
      <c r="A6532" t="s">
        <v>17260</v>
      </c>
      <c r="B6532">
        <v>1</v>
      </c>
      <c r="C6532">
        <v>95</v>
      </c>
      <c r="D6532">
        <v>95</v>
      </c>
    </row>
    <row r="6533" spans="1:4" ht="15" x14ac:dyDescent="0.25">
      <c r="A6533" t="s">
        <v>17262</v>
      </c>
      <c r="B6533">
        <v>1</v>
      </c>
      <c r="C6533">
        <v>95</v>
      </c>
      <c r="D6533">
        <v>95</v>
      </c>
    </row>
    <row r="6534" spans="1:4" ht="15" x14ac:dyDescent="0.25">
      <c r="A6534" t="s">
        <v>17261</v>
      </c>
      <c r="B6534">
        <v>3</v>
      </c>
      <c r="C6534">
        <v>174</v>
      </c>
      <c r="D6534">
        <v>58</v>
      </c>
    </row>
    <row r="6535" spans="1:4" ht="15" x14ac:dyDescent="0.25">
      <c r="A6535" t="s">
        <v>17266</v>
      </c>
      <c r="B6535">
        <v>1</v>
      </c>
      <c r="C6535">
        <v>130</v>
      </c>
      <c r="D6535">
        <v>130</v>
      </c>
    </row>
    <row r="6536" spans="1:4" ht="15" x14ac:dyDescent="0.25">
      <c r="A6536" t="s">
        <v>17268</v>
      </c>
      <c r="B6536">
        <v>1</v>
      </c>
      <c r="C6536">
        <v>130</v>
      </c>
      <c r="D6536">
        <v>130</v>
      </c>
    </row>
    <row r="6537" spans="1:4" ht="15" x14ac:dyDescent="0.25">
      <c r="A6537" t="s">
        <v>17269</v>
      </c>
      <c r="B6537">
        <v>1</v>
      </c>
      <c r="C6537">
        <v>130</v>
      </c>
      <c r="D6537">
        <v>130</v>
      </c>
    </row>
    <row r="6538" spans="1:4" ht="15" x14ac:dyDescent="0.25">
      <c r="A6538" t="s">
        <v>17267</v>
      </c>
      <c r="B6538">
        <v>1</v>
      </c>
      <c r="C6538">
        <v>130</v>
      </c>
      <c r="D6538">
        <v>130</v>
      </c>
    </row>
    <row r="6539" spans="1:4" ht="15" x14ac:dyDescent="0.25">
      <c r="A6539" t="s">
        <v>17272</v>
      </c>
      <c r="B6539">
        <v>1</v>
      </c>
      <c r="C6539">
        <v>174</v>
      </c>
      <c r="D6539">
        <v>174</v>
      </c>
    </row>
    <row r="6540" spans="1:4" ht="15" x14ac:dyDescent="0.25">
      <c r="A6540" t="s">
        <v>17273</v>
      </c>
      <c r="B6540">
        <v>1</v>
      </c>
      <c r="C6540">
        <v>174</v>
      </c>
      <c r="D6540">
        <v>174</v>
      </c>
    </row>
    <row r="6541" spans="1:4" ht="15" x14ac:dyDescent="0.25">
      <c r="A6541" t="s">
        <v>17280</v>
      </c>
      <c r="B6541">
        <v>2</v>
      </c>
      <c r="C6541">
        <v>66</v>
      </c>
      <c r="D6541">
        <v>33</v>
      </c>
    </row>
    <row r="6542" spans="1:4" ht="15" x14ac:dyDescent="0.25">
      <c r="A6542" t="s">
        <v>17281</v>
      </c>
      <c r="B6542">
        <v>1</v>
      </c>
      <c r="C6542">
        <v>34</v>
      </c>
      <c r="D6542">
        <v>34</v>
      </c>
    </row>
    <row r="6543" spans="1:4" ht="15" x14ac:dyDescent="0.25">
      <c r="A6543" t="s">
        <v>17283</v>
      </c>
      <c r="B6543">
        <v>1</v>
      </c>
      <c r="C6543">
        <v>34</v>
      </c>
      <c r="D6543">
        <v>34</v>
      </c>
    </row>
    <row r="6544" spans="1:4" ht="15" x14ac:dyDescent="0.25">
      <c r="A6544" t="s">
        <v>17284</v>
      </c>
      <c r="B6544">
        <v>1</v>
      </c>
      <c r="C6544">
        <v>34</v>
      </c>
      <c r="D6544">
        <v>34</v>
      </c>
    </row>
    <row r="6545" spans="1:4" ht="15" x14ac:dyDescent="0.25">
      <c r="A6545" t="s">
        <v>17282</v>
      </c>
      <c r="B6545">
        <v>1</v>
      </c>
      <c r="C6545">
        <v>34</v>
      </c>
      <c r="D6545">
        <v>34</v>
      </c>
    </row>
    <row r="6546" spans="1:4" ht="15" x14ac:dyDescent="0.25">
      <c r="A6546" t="s">
        <v>17287</v>
      </c>
      <c r="B6546">
        <v>1</v>
      </c>
      <c r="C6546">
        <v>72</v>
      </c>
      <c r="D6546">
        <v>72</v>
      </c>
    </row>
    <row r="6547" spans="1:4" ht="15" x14ac:dyDescent="0.25">
      <c r="A6547" t="s">
        <v>17288</v>
      </c>
      <c r="B6547">
        <v>1</v>
      </c>
      <c r="C6547">
        <v>72</v>
      </c>
      <c r="D6547">
        <v>72</v>
      </c>
    </row>
    <row r="6548" spans="1:4" ht="15" x14ac:dyDescent="0.25">
      <c r="A6548" t="s">
        <v>17289</v>
      </c>
      <c r="B6548">
        <v>1</v>
      </c>
      <c r="C6548">
        <v>72</v>
      </c>
      <c r="D6548">
        <v>72</v>
      </c>
    </row>
    <row r="6549" spans="1:4" ht="15" x14ac:dyDescent="0.25">
      <c r="A6549" t="s">
        <v>17294</v>
      </c>
      <c r="B6549">
        <v>1</v>
      </c>
      <c r="C6549">
        <v>8</v>
      </c>
      <c r="D6549">
        <v>8</v>
      </c>
    </row>
    <row r="6550" spans="1:4" ht="15" x14ac:dyDescent="0.25">
      <c r="A6550" t="s">
        <v>17295</v>
      </c>
      <c r="B6550">
        <v>1</v>
      </c>
      <c r="C6550">
        <v>8</v>
      </c>
      <c r="D6550">
        <v>8</v>
      </c>
    </row>
    <row r="6551" spans="1:4" ht="15" x14ac:dyDescent="0.25">
      <c r="A6551" t="s">
        <v>17297</v>
      </c>
      <c r="B6551">
        <v>1</v>
      </c>
      <c r="C6551">
        <v>8</v>
      </c>
      <c r="D6551">
        <v>8</v>
      </c>
    </row>
    <row r="6552" spans="1:4" ht="15" x14ac:dyDescent="0.25">
      <c r="A6552" t="s">
        <v>17296</v>
      </c>
      <c r="B6552">
        <v>1</v>
      </c>
      <c r="C6552">
        <v>8</v>
      </c>
      <c r="D6552">
        <v>8</v>
      </c>
    </row>
    <row r="6553" spans="1:4" ht="15" x14ac:dyDescent="0.25">
      <c r="A6553" t="s">
        <v>17301</v>
      </c>
      <c r="B6553">
        <v>1</v>
      </c>
      <c r="C6553">
        <v>76</v>
      </c>
      <c r="D6553">
        <v>76</v>
      </c>
    </row>
    <row r="6554" spans="1:4" ht="15" x14ac:dyDescent="0.25">
      <c r="A6554" t="s">
        <v>17302</v>
      </c>
      <c r="B6554">
        <v>1</v>
      </c>
      <c r="C6554">
        <v>76</v>
      </c>
      <c r="D6554">
        <v>76</v>
      </c>
    </row>
    <row r="6555" spans="1:4" ht="15" x14ac:dyDescent="0.25">
      <c r="A6555" t="s">
        <v>17304</v>
      </c>
      <c r="B6555">
        <v>1</v>
      </c>
      <c r="C6555">
        <v>76</v>
      </c>
      <c r="D6555">
        <v>76</v>
      </c>
    </row>
    <row r="6556" spans="1:4" ht="15" x14ac:dyDescent="0.25">
      <c r="A6556" t="s">
        <v>17303</v>
      </c>
      <c r="B6556">
        <v>1</v>
      </c>
      <c r="C6556">
        <v>76</v>
      </c>
      <c r="D6556">
        <v>76</v>
      </c>
    </row>
    <row r="6557" spans="1:4" ht="15" x14ac:dyDescent="0.25">
      <c r="A6557" t="s">
        <v>17307</v>
      </c>
      <c r="B6557">
        <v>1</v>
      </c>
      <c r="C6557">
        <v>206</v>
      </c>
      <c r="D6557">
        <v>206</v>
      </c>
    </row>
    <row r="6558" spans="1:4" ht="15" x14ac:dyDescent="0.25">
      <c r="A6558" t="s">
        <v>17308</v>
      </c>
      <c r="B6558">
        <v>1</v>
      </c>
      <c r="C6558">
        <v>206</v>
      </c>
      <c r="D6558">
        <v>206</v>
      </c>
    </row>
    <row r="6559" spans="1:4" ht="15" x14ac:dyDescent="0.25">
      <c r="A6559" t="s">
        <v>17311</v>
      </c>
      <c r="B6559">
        <v>1</v>
      </c>
      <c r="C6559">
        <v>1093</v>
      </c>
      <c r="D6559">
        <v>1093</v>
      </c>
    </row>
    <row r="6560" spans="1:4" ht="15" x14ac:dyDescent="0.25">
      <c r="A6560" t="s">
        <v>17324</v>
      </c>
      <c r="B6560">
        <v>1</v>
      </c>
      <c r="C6560">
        <v>10</v>
      </c>
      <c r="D6560">
        <v>10</v>
      </c>
    </row>
    <row r="6561" spans="1:4" ht="15" x14ac:dyDescent="0.25">
      <c r="A6561" t="s">
        <v>17325</v>
      </c>
      <c r="B6561">
        <v>1</v>
      </c>
      <c r="C6561">
        <v>10</v>
      </c>
      <c r="D6561">
        <v>10</v>
      </c>
    </row>
    <row r="6562" spans="1:4" ht="15" x14ac:dyDescent="0.25">
      <c r="A6562" t="s">
        <v>17326</v>
      </c>
      <c r="B6562">
        <v>1</v>
      </c>
      <c r="C6562">
        <v>10</v>
      </c>
      <c r="D6562">
        <v>10</v>
      </c>
    </row>
    <row r="6563" spans="1:4" ht="15" x14ac:dyDescent="0.25">
      <c r="A6563" t="s">
        <v>17341</v>
      </c>
      <c r="B6563">
        <v>1</v>
      </c>
      <c r="C6563">
        <v>44</v>
      </c>
      <c r="D6563">
        <v>44</v>
      </c>
    </row>
    <row r="6564" spans="1:4" ht="15" x14ac:dyDescent="0.25">
      <c r="A6564" t="s">
        <v>17342</v>
      </c>
      <c r="B6564">
        <v>1</v>
      </c>
      <c r="C6564">
        <v>44</v>
      </c>
      <c r="D6564">
        <v>44</v>
      </c>
    </row>
    <row r="6565" spans="1:4" ht="15" x14ac:dyDescent="0.25">
      <c r="A6565" t="s">
        <v>17346</v>
      </c>
      <c r="B6565">
        <v>1</v>
      </c>
      <c r="C6565">
        <v>19</v>
      </c>
      <c r="D6565">
        <v>19</v>
      </c>
    </row>
    <row r="6566" spans="1:4" ht="15" x14ac:dyDescent="0.25">
      <c r="A6566" t="s">
        <v>17351</v>
      </c>
      <c r="B6566">
        <v>1</v>
      </c>
      <c r="C6566">
        <v>54</v>
      </c>
      <c r="D6566">
        <v>54</v>
      </c>
    </row>
    <row r="6567" spans="1:4" ht="15" x14ac:dyDescent="0.25">
      <c r="A6567" t="s">
        <v>17353</v>
      </c>
      <c r="B6567">
        <v>1</v>
      </c>
      <c r="C6567">
        <v>54</v>
      </c>
      <c r="D6567">
        <v>54</v>
      </c>
    </row>
    <row r="6568" spans="1:4" ht="15" x14ac:dyDescent="0.25">
      <c r="A6568" t="s">
        <v>17354</v>
      </c>
      <c r="B6568">
        <v>1</v>
      </c>
      <c r="C6568">
        <v>54</v>
      </c>
      <c r="D6568">
        <v>54</v>
      </c>
    </row>
    <row r="6569" spans="1:4" ht="15" x14ac:dyDescent="0.25">
      <c r="A6569" t="s">
        <v>17352</v>
      </c>
      <c r="B6569">
        <v>1</v>
      </c>
      <c r="C6569">
        <v>54</v>
      </c>
      <c r="D6569">
        <v>54</v>
      </c>
    </row>
    <row r="6570" spans="1:4" ht="15" x14ac:dyDescent="0.25">
      <c r="A6570" t="s">
        <v>17357</v>
      </c>
      <c r="B6570">
        <v>1</v>
      </c>
      <c r="C6570">
        <v>33</v>
      </c>
      <c r="D6570">
        <v>33</v>
      </c>
    </row>
    <row r="6571" spans="1:4" ht="15" x14ac:dyDescent="0.25">
      <c r="A6571" t="s">
        <v>17358</v>
      </c>
      <c r="B6571">
        <v>1</v>
      </c>
      <c r="C6571">
        <v>33</v>
      </c>
      <c r="D6571">
        <v>33</v>
      </c>
    </row>
    <row r="6572" spans="1:4" ht="15" x14ac:dyDescent="0.25">
      <c r="A6572" t="s">
        <v>17359</v>
      </c>
      <c r="B6572">
        <v>1</v>
      </c>
      <c r="C6572">
        <v>33</v>
      </c>
      <c r="D6572">
        <v>33</v>
      </c>
    </row>
    <row r="6573" spans="1:4" ht="15" x14ac:dyDescent="0.25">
      <c r="A6573" t="s">
        <v>17360</v>
      </c>
      <c r="B6573">
        <v>1</v>
      </c>
      <c r="C6573">
        <v>33</v>
      </c>
      <c r="D6573">
        <v>33</v>
      </c>
    </row>
    <row r="6574" spans="1:4" ht="15" x14ac:dyDescent="0.25">
      <c r="A6574" t="s">
        <v>17369</v>
      </c>
      <c r="B6574">
        <v>1</v>
      </c>
      <c r="C6574">
        <v>26</v>
      </c>
      <c r="D6574">
        <v>26</v>
      </c>
    </row>
    <row r="6575" spans="1:4" ht="15" x14ac:dyDescent="0.25">
      <c r="A6575" t="s">
        <v>17370</v>
      </c>
      <c r="B6575">
        <v>1</v>
      </c>
      <c r="C6575">
        <v>26</v>
      </c>
      <c r="D6575">
        <v>26</v>
      </c>
    </row>
    <row r="6576" spans="1:4" ht="15" x14ac:dyDescent="0.25">
      <c r="A6576" t="s">
        <v>17368</v>
      </c>
      <c r="B6576">
        <v>1</v>
      </c>
      <c r="C6576">
        <v>26</v>
      </c>
      <c r="D6576">
        <v>26</v>
      </c>
    </row>
    <row r="6577" spans="1:4" ht="15" x14ac:dyDescent="0.25">
      <c r="A6577" t="s">
        <v>17379</v>
      </c>
      <c r="B6577">
        <v>1</v>
      </c>
      <c r="C6577">
        <v>27</v>
      </c>
      <c r="D6577">
        <v>27</v>
      </c>
    </row>
    <row r="6578" spans="1:4" ht="15" x14ac:dyDescent="0.25">
      <c r="A6578" t="s">
        <v>17380</v>
      </c>
      <c r="B6578">
        <v>1</v>
      </c>
      <c r="C6578">
        <v>27</v>
      </c>
      <c r="D6578">
        <v>27</v>
      </c>
    </row>
    <row r="6579" spans="1:4" ht="15" x14ac:dyDescent="0.25">
      <c r="A6579" t="s">
        <v>17382</v>
      </c>
      <c r="B6579">
        <v>2</v>
      </c>
      <c r="C6579">
        <v>54</v>
      </c>
      <c r="D6579">
        <v>27</v>
      </c>
    </row>
    <row r="6580" spans="1:4" ht="15" x14ac:dyDescent="0.25">
      <c r="A6580" t="s">
        <v>17381</v>
      </c>
      <c r="B6580">
        <v>1</v>
      </c>
      <c r="C6580">
        <v>27</v>
      </c>
      <c r="D6580">
        <v>27</v>
      </c>
    </row>
    <row r="6581" spans="1:4" ht="15" x14ac:dyDescent="0.25">
      <c r="A6581" t="s">
        <v>17386</v>
      </c>
      <c r="B6581">
        <v>1</v>
      </c>
      <c r="C6581">
        <v>17</v>
      </c>
      <c r="D6581">
        <v>17</v>
      </c>
    </row>
    <row r="6582" spans="1:4" ht="15" x14ac:dyDescent="0.25">
      <c r="A6582" t="s">
        <v>17387</v>
      </c>
      <c r="B6582">
        <v>1</v>
      </c>
      <c r="C6582">
        <v>17</v>
      </c>
      <c r="D6582">
        <v>17</v>
      </c>
    </row>
    <row r="6583" spans="1:4" ht="15" x14ac:dyDescent="0.25">
      <c r="A6583" t="s">
        <v>17391</v>
      </c>
      <c r="B6583">
        <v>1</v>
      </c>
      <c r="C6583">
        <v>170</v>
      </c>
      <c r="D6583">
        <v>170</v>
      </c>
    </row>
    <row r="6584" spans="1:4" ht="15" x14ac:dyDescent="0.25">
      <c r="A6584" t="s">
        <v>17392</v>
      </c>
      <c r="B6584">
        <v>3</v>
      </c>
      <c r="C6584">
        <v>242</v>
      </c>
      <c r="D6584">
        <v>80.666666666666671</v>
      </c>
    </row>
    <row r="6585" spans="1:4" ht="15" x14ac:dyDescent="0.25">
      <c r="A6585" t="s">
        <v>17390</v>
      </c>
      <c r="B6585">
        <v>1</v>
      </c>
      <c r="C6585">
        <v>170</v>
      </c>
      <c r="D6585">
        <v>170</v>
      </c>
    </row>
    <row r="6586" spans="1:4" ht="15" x14ac:dyDescent="0.25">
      <c r="A6586" t="s">
        <v>17396</v>
      </c>
      <c r="B6586">
        <v>2</v>
      </c>
      <c r="C6586">
        <v>59</v>
      </c>
      <c r="D6586">
        <v>29.5</v>
      </c>
    </row>
    <row r="6587" spans="1:4" ht="15" x14ac:dyDescent="0.25">
      <c r="A6587" t="s">
        <v>17397</v>
      </c>
      <c r="B6587">
        <v>3</v>
      </c>
      <c r="C6587">
        <v>1456</v>
      </c>
      <c r="D6587">
        <v>485.33333333333331</v>
      </c>
    </row>
    <row r="6588" spans="1:4" ht="15" x14ac:dyDescent="0.25">
      <c r="A6588" t="s">
        <v>17398</v>
      </c>
      <c r="B6588">
        <v>1</v>
      </c>
      <c r="C6588">
        <v>58</v>
      </c>
      <c r="D6588">
        <v>58</v>
      </c>
    </row>
    <row r="6589" spans="1:4" ht="15" x14ac:dyDescent="0.25">
      <c r="A6589" t="s">
        <v>17402</v>
      </c>
      <c r="B6589">
        <v>1</v>
      </c>
      <c r="C6589">
        <v>77</v>
      </c>
      <c r="D6589">
        <v>77</v>
      </c>
    </row>
    <row r="6590" spans="1:4" ht="15" x14ac:dyDescent="0.25">
      <c r="A6590" t="s">
        <v>17403</v>
      </c>
      <c r="B6590">
        <v>1</v>
      </c>
      <c r="C6590">
        <v>77</v>
      </c>
      <c r="D6590">
        <v>77</v>
      </c>
    </row>
    <row r="6591" spans="1:4" ht="15" x14ac:dyDescent="0.25">
      <c r="A6591" t="s">
        <v>17405</v>
      </c>
      <c r="B6591">
        <v>1</v>
      </c>
      <c r="C6591">
        <v>77</v>
      </c>
      <c r="D6591">
        <v>77</v>
      </c>
    </row>
    <row r="6592" spans="1:4" ht="15" x14ac:dyDescent="0.25">
      <c r="A6592" t="s">
        <v>17404</v>
      </c>
      <c r="B6592">
        <v>4</v>
      </c>
      <c r="C6592">
        <v>149</v>
      </c>
      <c r="D6592">
        <v>37.25</v>
      </c>
    </row>
    <row r="6593" spans="1:4" ht="15" x14ac:dyDescent="0.25">
      <c r="A6593" t="s">
        <v>17409</v>
      </c>
      <c r="B6593">
        <v>2</v>
      </c>
      <c r="C6593">
        <v>167</v>
      </c>
      <c r="D6593">
        <v>83.5</v>
      </c>
    </row>
    <row r="6594" spans="1:4" ht="15" x14ac:dyDescent="0.25">
      <c r="A6594" t="s">
        <v>17410</v>
      </c>
      <c r="B6594">
        <v>1</v>
      </c>
      <c r="C6594">
        <v>126</v>
      </c>
      <c r="D6594">
        <v>126</v>
      </c>
    </row>
    <row r="6595" spans="1:4" ht="15" x14ac:dyDescent="0.25">
      <c r="A6595" t="s">
        <v>17412</v>
      </c>
      <c r="B6595">
        <v>2</v>
      </c>
      <c r="C6595">
        <v>149</v>
      </c>
      <c r="D6595">
        <v>74.5</v>
      </c>
    </row>
    <row r="6596" spans="1:4" ht="15" x14ac:dyDescent="0.25">
      <c r="A6596" t="s">
        <v>17411</v>
      </c>
      <c r="B6596">
        <v>1</v>
      </c>
      <c r="C6596">
        <v>126</v>
      </c>
      <c r="D6596">
        <v>126</v>
      </c>
    </row>
    <row r="6597" spans="1:4" ht="15" x14ac:dyDescent="0.25">
      <c r="A6597" t="s">
        <v>17418</v>
      </c>
      <c r="B6597">
        <v>1</v>
      </c>
      <c r="C6597">
        <v>199</v>
      </c>
      <c r="D6597">
        <v>199</v>
      </c>
    </row>
    <row r="6598" spans="1:4" ht="15" x14ac:dyDescent="0.25">
      <c r="A6598" t="s">
        <v>17419</v>
      </c>
      <c r="B6598">
        <v>1</v>
      </c>
      <c r="C6598">
        <v>199</v>
      </c>
      <c r="D6598">
        <v>199</v>
      </c>
    </row>
    <row r="6599" spans="1:4" ht="15" x14ac:dyDescent="0.25">
      <c r="A6599" t="s">
        <v>17421</v>
      </c>
      <c r="B6599">
        <v>1</v>
      </c>
      <c r="C6599">
        <v>199</v>
      </c>
      <c r="D6599">
        <v>199</v>
      </c>
    </row>
    <row r="6600" spans="1:4" ht="15" x14ac:dyDescent="0.25">
      <c r="A6600" t="s">
        <v>17422</v>
      </c>
      <c r="B6600">
        <v>3</v>
      </c>
      <c r="C6600">
        <v>224</v>
      </c>
      <c r="D6600">
        <v>74.666666666666671</v>
      </c>
    </row>
    <row r="6601" spans="1:4" ht="15" x14ac:dyDescent="0.25">
      <c r="A6601" t="s">
        <v>17420</v>
      </c>
      <c r="B6601">
        <v>1</v>
      </c>
      <c r="C6601">
        <v>199</v>
      </c>
      <c r="D6601">
        <v>199</v>
      </c>
    </row>
    <row r="6602" spans="1:4" ht="15" x14ac:dyDescent="0.25">
      <c r="A6602" t="s">
        <v>17426</v>
      </c>
      <c r="B6602">
        <v>1</v>
      </c>
      <c r="C6602">
        <v>22</v>
      </c>
      <c r="D6602">
        <v>22</v>
      </c>
    </row>
    <row r="6603" spans="1:4" ht="15" x14ac:dyDescent="0.25">
      <c r="A6603" t="s">
        <v>17428</v>
      </c>
      <c r="B6603">
        <v>2</v>
      </c>
      <c r="C6603">
        <v>53</v>
      </c>
      <c r="D6603">
        <v>26.5</v>
      </c>
    </row>
    <row r="6604" spans="1:4" ht="15" x14ac:dyDescent="0.25">
      <c r="A6604" t="s">
        <v>17429</v>
      </c>
      <c r="B6604">
        <v>1</v>
      </c>
      <c r="C6604">
        <v>22</v>
      </c>
      <c r="D6604">
        <v>22</v>
      </c>
    </row>
    <row r="6605" spans="1:4" ht="15" x14ac:dyDescent="0.25">
      <c r="A6605" t="s">
        <v>17427</v>
      </c>
      <c r="B6605">
        <v>1</v>
      </c>
      <c r="C6605">
        <v>22</v>
      </c>
      <c r="D6605">
        <v>22</v>
      </c>
    </row>
    <row r="6606" spans="1:4" ht="15" x14ac:dyDescent="0.25">
      <c r="A6606" t="s">
        <v>17433</v>
      </c>
      <c r="B6606">
        <v>1</v>
      </c>
      <c r="C6606">
        <v>23</v>
      </c>
      <c r="D6606">
        <v>23</v>
      </c>
    </row>
    <row r="6607" spans="1:4" ht="15" x14ac:dyDescent="0.25">
      <c r="A6607" t="s">
        <v>17434</v>
      </c>
      <c r="B6607">
        <v>1</v>
      </c>
      <c r="C6607">
        <v>23</v>
      </c>
      <c r="D6607">
        <v>23</v>
      </c>
    </row>
    <row r="6608" spans="1:4" ht="15" x14ac:dyDescent="0.25">
      <c r="A6608" t="s">
        <v>17436</v>
      </c>
      <c r="B6608">
        <v>1</v>
      </c>
      <c r="C6608">
        <v>23</v>
      </c>
      <c r="D6608">
        <v>23</v>
      </c>
    </row>
    <row r="6609" spans="1:4" ht="15" x14ac:dyDescent="0.25">
      <c r="A6609" t="s">
        <v>17437</v>
      </c>
      <c r="B6609">
        <v>1</v>
      </c>
      <c r="C6609">
        <v>23</v>
      </c>
      <c r="D6609">
        <v>23</v>
      </c>
    </row>
    <row r="6610" spans="1:4" ht="15" x14ac:dyDescent="0.25">
      <c r="A6610" t="s">
        <v>17435</v>
      </c>
      <c r="B6610">
        <v>1</v>
      </c>
      <c r="C6610">
        <v>23</v>
      </c>
      <c r="D6610">
        <v>23</v>
      </c>
    </row>
    <row r="6611" spans="1:4" ht="15" x14ac:dyDescent="0.25">
      <c r="A6611" t="s">
        <v>17440</v>
      </c>
      <c r="B6611">
        <v>4</v>
      </c>
      <c r="C6611">
        <v>119</v>
      </c>
      <c r="D6611">
        <v>29.75</v>
      </c>
    </row>
    <row r="6612" spans="1:4" ht="15" x14ac:dyDescent="0.25">
      <c r="A6612" t="s">
        <v>17442</v>
      </c>
      <c r="B6612">
        <v>4</v>
      </c>
      <c r="C6612">
        <v>283</v>
      </c>
      <c r="D6612">
        <v>70.75</v>
      </c>
    </row>
    <row r="6613" spans="1:4" ht="15" x14ac:dyDescent="0.25">
      <c r="A6613" t="s">
        <v>17441</v>
      </c>
      <c r="B6613">
        <v>2</v>
      </c>
      <c r="C6613">
        <v>166</v>
      </c>
      <c r="D6613">
        <v>83</v>
      </c>
    </row>
    <row r="6614" spans="1:4" ht="15" x14ac:dyDescent="0.25">
      <c r="A6614" t="s">
        <v>17446</v>
      </c>
      <c r="B6614">
        <v>1</v>
      </c>
      <c r="C6614">
        <v>62</v>
      </c>
      <c r="D6614">
        <v>62</v>
      </c>
    </row>
    <row r="6615" spans="1:4" ht="15" x14ac:dyDescent="0.25">
      <c r="A6615" t="s">
        <v>17452</v>
      </c>
      <c r="B6615">
        <v>1</v>
      </c>
      <c r="C6615">
        <v>26</v>
      </c>
      <c r="D6615">
        <v>26</v>
      </c>
    </row>
    <row r="6616" spans="1:4" ht="15" x14ac:dyDescent="0.25">
      <c r="A6616" t="s">
        <v>17453</v>
      </c>
      <c r="B6616">
        <v>1</v>
      </c>
      <c r="C6616">
        <v>26</v>
      </c>
      <c r="D6616">
        <v>26</v>
      </c>
    </row>
    <row r="6617" spans="1:4" ht="15" x14ac:dyDescent="0.25">
      <c r="A6617" t="s">
        <v>17454</v>
      </c>
      <c r="B6617">
        <v>1</v>
      </c>
      <c r="C6617">
        <v>26</v>
      </c>
      <c r="D6617">
        <v>26</v>
      </c>
    </row>
    <row r="6618" spans="1:4" ht="15" x14ac:dyDescent="0.25">
      <c r="A6618" t="s">
        <v>17455</v>
      </c>
      <c r="B6618">
        <v>2</v>
      </c>
      <c r="C6618">
        <v>43</v>
      </c>
      <c r="D6618">
        <v>21.5</v>
      </c>
    </row>
    <row r="6619" spans="1:4" ht="15" x14ac:dyDescent="0.25">
      <c r="A6619" t="s">
        <v>17459</v>
      </c>
      <c r="B6619">
        <v>1</v>
      </c>
      <c r="C6619">
        <v>741</v>
      </c>
      <c r="D6619">
        <v>741</v>
      </c>
    </row>
    <row r="6620" spans="1:4" ht="15" x14ac:dyDescent="0.25">
      <c r="A6620" t="s">
        <v>17460</v>
      </c>
      <c r="B6620">
        <v>1</v>
      </c>
      <c r="C6620">
        <v>741</v>
      </c>
      <c r="D6620">
        <v>741</v>
      </c>
    </row>
    <row r="6621" spans="1:4" ht="15" x14ac:dyDescent="0.25">
      <c r="A6621" t="s">
        <v>17462</v>
      </c>
      <c r="B6621">
        <v>1</v>
      </c>
      <c r="C6621">
        <v>741</v>
      </c>
      <c r="D6621">
        <v>741</v>
      </c>
    </row>
    <row r="6622" spans="1:4" ht="15" x14ac:dyDescent="0.25">
      <c r="A6622" t="s">
        <v>17463</v>
      </c>
      <c r="B6622">
        <v>1</v>
      </c>
      <c r="C6622">
        <v>741</v>
      </c>
      <c r="D6622">
        <v>741</v>
      </c>
    </row>
    <row r="6623" spans="1:4" ht="15" x14ac:dyDescent="0.25">
      <c r="A6623" t="s">
        <v>17461</v>
      </c>
      <c r="B6623">
        <v>1</v>
      </c>
      <c r="C6623">
        <v>741</v>
      </c>
      <c r="D6623">
        <v>741</v>
      </c>
    </row>
    <row r="6624" spans="1:4" ht="15" x14ac:dyDescent="0.25">
      <c r="A6624" t="s">
        <v>17466</v>
      </c>
      <c r="B6624">
        <v>1</v>
      </c>
      <c r="C6624">
        <v>22</v>
      </c>
      <c r="D6624">
        <v>22</v>
      </c>
    </row>
    <row r="6625" spans="1:4" ht="15" x14ac:dyDescent="0.25">
      <c r="A6625" t="s">
        <v>17470</v>
      </c>
      <c r="B6625">
        <v>1</v>
      </c>
      <c r="C6625">
        <v>63</v>
      </c>
      <c r="D6625">
        <v>63</v>
      </c>
    </row>
    <row r="6626" spans="1:4" ht="15" x14ac:dyDescent="0.25">
      <c r="A6626" t="s">
        <v>17475</v>
      </c>
      <c r="B6626">
        <v>1</v>
      </c>
      <c r="C6626">
        <v>63</v>
      </c>
      <c r="D6626">
        <v>63</v>
      </c>
    </row>
    <row r="6627" spans="1:4" ht="15" x14ac:dyDescent="0.25">
      <c r="A6627" t="s">
        <v>17476</v>
      </c>
      <c r="B6627">
        <v>1</v>
      </c>
      <c r="C6627">
        <v>63</v>
      </c>
      <c r="D6627">
        <v>63</v>
      </c>
    </row>
    <row r="6628" spans="1:4" ht="15" x14ac:dyDescent="0.25">
      <c r="A6628" t="s">
        <v>17478</v>
      </c>
      <c r="B6628">
        <v>1</v>
      </c>
      <c r="C6628">
        <v>63</v>
      </c>
      <c r="D6628">
        <v>63</v>
      </c>
    </row>
    <row r="6629" spans="1:4" ht="15" x14ac:dyDescent="0.25">
      <c r="A6629" t="s">
        <v>17479</v>
      </c>
      <c r="B6629">
        <v>1</v>
      </c>
      <c r="C6629">
        <v>63</v>
      </c>
      <c r="D6629">
        <v>63</v>
      </c>
    </row>
    <row r="6630" spans="1:4" ht="15" x14ac:dyDescent="0.25">
      <c r="A6630" t="s">
        <v>17477</v>
      </c>
      <c r="B6630">
        <v>2</v>
      </c>
      <c r="C6630">
        <v>93</v>
      </c>
      <c r="D6630">
        <v>46.5</v>
      </c>
    </row>
    <row r="6631" spans="1:4" ht="15" x14ac:dyDescent="0.25">
      <c r="A6631" t="s">
        <v>17483</v>
      </c>
      <c r="B6631">
        <v>1</v>
      </c>
      <c r="C6631">
        <v>67</v>
      </c>
      <c r="D6631">
        <v>67</v>
      </c>
    </row>
    <row r="6632" spans="1:4" ht="15" x14ac:dyDescent="0.25">
      <c r="A6632" t="s">
        <v>17485</v>
      </c>
      <c r="B6632">
        <v>2</v>
      </c>
      <c r="C6632">
        <v>81</v>
      </c>
      <c r="D6632">
        <v>40.5</v>
      </c>
    </row>
    <row r="6633" spans="1:4" ht="15" x14ac:dyDescent="0.25">
      <c r="A6633" t="s">
        <v>17484</v>
      </c>
      <c r="B6633">
        <v>1</v>
      </c>
      <c r="C6633">
        <v>67</v>
      </c>
      <c r="D6633">
        <v>67</v>
      </c>
    </row>
    <row r="6634" spans="1:4" ht="15" x14ac:dyDescent="0.25">
      <c r="A6634" t="s">
        <v>17487</v>
      </c>
      <c r="B6634">
        <v>2</v>
      </c>
      <c r="C6634">
        <v>40</v>
      </c>
      <c r="D6634">
        <v>20</v>
      </c>
    </row>
    <row r="6635" spans="1:4" ht="15" x14ac:dyDescent="0.25">
      <c r="A6635" t="s">
        <v>17488</v>
      </c>
      <c r="B6635">
        <v>1</v>
      </c>
      <c r="C6635">
        <v>26</v>
      </c>
      <c r="D6635">
        <v>26</v>
      </c>
    </row>
    <row r="6636" spans="1:4" ht="15" x14ac:dyDescent="0.25">
      <c r="A6636" t="s">
        <v>17491</v>
      </c>
      <c r="B6636">
        <v>3</v>
      </c>
      <c r="C6636">
        <v>2148</v>
      </c>
      <c r="D6636">
        <v>716</v>
      </c>
    </row>
    <row r="6637" spans="1:4" ht="15" x14ac:dyDescent="0.25">
      <c r="A6637" t="s">
        <v>17494</v>
      </c>
      <c r="B6637">
        <v>1</v>
      </c>
      <c r="C6637">
        <v>15</v>
      </c>
      <c r="D6637">
        <v>15</v>
      </c>
    </row>
    <row r="6638" spans="1:4" ht="15" x14ac:dyDescent="0.25">
      <c r="A6638" t="s">
        <v>17495</v>
      </c>
      <c r="B6638">
        <v>1</v>
      </c>
      <c r="C6638">
        <v>15</v>
      </c>
      <c r="D6638">
        <v>15</v>
      </c>
    </row>
    <row r="6639" spans="1:4" ht="15" x14ac:dyDescent="0.25">
      <c r="A6639" t="s">
        <v>17499</v>
      </c>
      <c r="B6639">
        <v>1</v>
      </c>
      <c r="C6639">
        <v>28</v>
      </c>
      <c r="D6639">
        <v>28</v>
      </c>
    </row>
    <row r="6640" spans="1:4" ht="15" x14ac:dyDescent="0.25">
      <c r="A6640" t="s">
        <v>17500</v>
      </c>
      <c r="B6640">
        <v>1</v>
      </c>
      <c r="C6640">
        <v>28</v>
      </c>
      <c r="D6640">
        <v>28</v>
      </c>
    </row>
    <row r="6641" spans="1:4" ht="15" x14ac:dyDescent="0.25">
      <c r="A6641" t="s">
        <v>17502</v>
      </c>
      <c r="B6641">
        <v>1</v>
      </c>
      <c r="C6641">
        <v>28</v>
      </c>
      <c r="D6641">
        <v>28</v>
      </c>
    </row>
    <row r="6642" spans="1:4" ht="15" x14ac:dyDescent="0.25">
      <c r="A6642" t="s">
        <v>17501</v>
      </c>
      <c r="B6642">
        <v>1</v>
      </c>
      <c r="C6642">
        <v>28</v>
      </c>
      <c r="D6642">
        <v>28</v>
      </c>
    </row>
    <row r="6643" spans="1:4" ht="15" x14ac:dyDescent="0.25">
      <c r="A6643" t="s">
        <v>17505</v>
      </c>
      <c r="B6643">
        <v>3</v>
      </c>
      <c r="C6643">
        <v>245</v>
      </c>
      <c r="D6643">
        <v>81.666666666666671</v>
      </c>
    </row>
    <row r="6644" spans="1:4" ht="15" x14ac:dyDescent="0.25">
      <c r="A6644" t="s">
        <v>17509</v>
      </c>
      <c r="B6644">
        <v>1</v>
      </c>
      <c r="C6644">
        <v>9</v>
      </c>
      <c r="D6644">
        <v>9</v>
      </c>
    </row>
    <row r="6645" spans="1:4" ht="15" x14ac:dyDescent="0.25">
      <c r="A6645" t="s">
        <v>17510</v>
      </c>
      <c r="B6645">
        <v>1</v>
      </c>
      <c r="C6645">
        <v>9</v>
      </c>
      <c r="D6645">
        <v>9</v>
      </c>
    </row>
    <row r="6646" spans="1:4" ht="15" x14ac:dyDescent="0.25">
      <c r="A6646" t="s">
        <v>17511</v>
      </c>
      <c r="B6646">
        <v>1</v>
      </c>
      <c r="C6646">
        <v>9</v>
      </c>
      <c r="D6646">
        <v>9</v>
      </c>
    </row>
    <row r="6647" spans="1:4" ht="15" x14ac:dyDescent="0.25">
      <c r="A6647" t="s">
        <v>17512</v>
      </c>
      <c r="B6647">
        <v>3</v>
      </c>
      <c r="C6647">
        <v>82</v>
      </c>
      <c r="D6647">
        <v>27.333333333333332</v>
      </c>
    </row>
    <row r="6648" spans="1:4" ht="15" x14ac:dyDescent="0.25">
      <c r="A6648" t="s">
        <v>17516</v>
      </c>
      <c r="B6648">
        <v>1</v>
      </c>
      <c r="C6648">
        <v>37</v>
      </c>
      <c r="D6648">
        <v>37</v>
      </c>
    </row>
    <row r="6649" spans="1:4" ht="15" x14ac:dyDescent="0.25">
      <c r="A6649" t="s">
        <v>17521</v>
      </c>
      <c r="B6649">
        <v>1</v>
      </c>
      <c r="C6649">
        <v>218</v>
      </c>
      <c r="D6649">
        <v>218</v>
      </c>
    </row>
    <row r="6650" spans="1:4" ht="15" x14ac:dyDescent="0.25">
      <c r="A6650" t="s">
        <v>17522</v>
      </c>
      <c r="B6650">
        <v>1</v>
      </c>
      <c r="C6650">
        <v>218</v>
      </c>
      <c r="D6650">
        <v>218</v>
      </c>
    </row>
    <row r="6651" spans="1:4" ht="15" x14ac:dyDescent="0.25">
      <c r="A6651" t="s">
        <v>17524</v>
      </c>
      <c r="B6651">
        <v>1</v>
      </c>
      <c r="C6651">
        <v>218</v>
      </c>
      <c r="D6651">
        <v>218</v>
      </c>
    </row>
    <row r="6652" spans="1:4" ht="15" x14ac:dyDescent="0.25">
      <c r="A6652" t="s">
        <v>17525</v>
      </c>
      <c r="B6652">
        <v>1</v>
      </c>
      <c r="C6652">
        <v>218</v>
      </c>
      <c r="D6652">
        <v>218</v>
      </c>
    </row>
    <row r="6653" spans="1:4" ht="15" x14ac:dyDescent="0.25">
      <c r="A6653" t="s">
        <v>17523</v>
      </c>
      <c r="B6653">
        <v>1</v>
      </c>
      <c r="C6653">
        <v>218</v>
      </c>
      <c r="D6653">
        <v>218</v>
      </c>
    </row>
    <row r="6654" spans="1:4" ht="15" x14ac:dyDescent="0.25">
      <c r="A6654" t="s">
        <v>17528</v>
      </c>
      <c r="B6654">
        <v>1</v>
      </c>
      <c r="C6654">
        <v>20</v>
      </c>
      <c r="D6654">
        <v>20</v>
      </c>
    </row>
    <row r="6655" spans="1:4" ht="15" x14ac:dyDescent="0.25">
      <c r="A6655" t="s">
        <v>17529</v>
      </c>
      <c r="B6655">
        <v>1</v>
      </c>
      <c r="C6655">
        <v>20</v>
      </c>
      <c r="D6655">
        <v>20</v>
      </c>
    </row>
    <row r="6656" spans="1:4" ht="15" x14ac:dyDescent="0.25">
      <c r="A6656" t="s">
        <v>17530</v>
      </c>
      <c r="B6656">
        <v>1</v>
      </c>
      <c r="C6656">
        <v>20</v>
      </c>
      <c r="D6656">
        <v>20</v>
      </c>
    </row>
    <row r="6657" spans="1:4" ht="15" x14ac:dyDescent="0.25">
      <c r="A6657" t="s">
        <v>17534</v>
      </c>
      <c r="B6657">
        <v>1</v>
      </c>
      <c r="C6657">
        <v>46</v>
      </c>
      <c r="D6657">
        <v>46</v>
      </c>
    </row>
    <row r="6658" spans="1:4" ht="15" x14ac:dyDescent="0.25">
      <c r="A6658" t="s">
        <v>17535</v>
      </c>
      <c r="B6658">
        <v>1</v>
      </c>
      <c r="C6658">
        <v>46</v>
      </c>
      <c r="D6658">
        <v>46</v>
      </c>
    </row>
    <row r="6659" spans="1:4" ht="15" x14ac:dyDescent="0.25">
      <c r="A6659" t="s">
        <v>17537</v>
      </c>
      <c r="B6659">
        <v>1</v>
      </c>
      <c r="C6659">
        <v>46</v>
      </c>
      <c r="D6659">
        <v>46</v>
      </c>
    </row>
    <row r="6660" spans="1:4" ht="15" x14ac:dyDescent="0.25">
      <c r="A6660" t="s">
        <v>17538</v>
      </c>
      <c r="B6660">
        <v>1</v>
      </c>
      <c r="C6660">
        <v>46</v>
      </c>
      <c r="D6660">
        <v>46</v>
      </c>
    </row>
    <row r="6661" spans="1:4" ht="15" x14ac:dyDescent="0.25">
      <c r="A6661" t="s">
        <v>17536</v>
      </c>
      <c r="B6661">
        <v>2</v>
      </c>
      <c r="C6661">
        <v>63</v>
      </c>
      <c r="D6661">
        <v>31.5</v>
      </c>
    </row>
    <row r="6662" spans="1:4" ht="15" x14ac:dyDescent="0.25">
      <c r="A6662" t="s">
        <v>17542</v>
      </c>
      <c r="B6662">
        <v>1</v>
      </c>
      <c r="C6662">
        <v>2</v>
      </c>
      <c r="D6662">
        <v>2</v>
      </c>
    </row>
    <row r="6663" spans="1:4" ht="15" x14ac:dyDescent="0.25">
      <c r="A6663" t="s">
        <v>17546</v>
      </c>
      <c r="B6663">
        <v>1</v>
      </c>
      <c r="C6663">
        <v>68</v>
      </c>
      <c r="D6663">
        <v>68</v>
      </c>
    </row>
    <row r="6664" spans="1:4" ht="15" x14ac:dyDescent="0.25">
      <c r="A6664" t="s">
        <v>17548</v>
      </c>
      <c r="B6664">
        <v>1</v>
      </c>
      <c r="C6664">
        <v>68</v>
      </c>
      <c r="D6664">
        <v>68</v>
      </c>
    </row>
    <row r="6665" spans="1:4" ht="15" x14ac:dyDescent="0.25">
      <c r="A6665" t="s">
        <v>17549</v>
      </c>
      <c r="B6665">
        <v>1</v>
      </c>
      <c r="C6665">
        <v>68</v>
      </c>
      <c r="D6665">
        <v>68</v>
      </c>
    </row>
    <row r="6666" spans="1:4" ht="15" x14ac:dyDescent="0.25">
      <c r="A6666" t="s">
        <v>17547</v>
      </c>
      <c r="B6666">
        <v>1</v>
      </c>
      <c r="C6666">
        <v>68</v>
      </c>
      <c r="D6666">
        <v>68</v>
      </c>
    </row>
    <row r="6667" spans="1:4" ht="15" x14ac:dyDescent="0.25">
      <c r="A6667" t="s">
        <v>17553</v>
      </c>
      <c r="B6667">
        <v>1</v>
      </c>
      <c r="C6667">
        <v>15</v>
      </c>
      <c r="D6667">
        <v>15</v>
      </c>
    </row>
    <row r="6668" spans="1:4" ht="15" x14ac:dyDescent="0.25">
      <c r="A6668" t="s">
        <v>17554</v>
      </c>
      <c r="B6668">
        <v>1</v>
      </c>
      <c r="C6668">
        <v>15</v>
      </c>
      <c r="D6668">
        <v>15</v>
      </c>
    </row>
    <row r="6669" spans="1:4" ht="15" x14ac:dyDescent="0.25">
      <c r="A6669" t="s">
        <v>17555</v>
      </c>
      <c r="B6669">
        <v>1</v>
      </c>
      <c r="C6669">
        <v>15</v>
      </c>
      <c r="D6669">
        <v>15</v>
      </c>
    </row>
    <row r="6670" spans="1:4" ht="15" x14ac:dyDescent="0.25">
      <c r="A6670" t="s">
        <v>17556</v>
      </c>
      <c r="B6670">
        <v>1</v>
      </c>
      <c r="C6670">
        <v>15</v>
      </c>
      <c r="D6670">
        <v>15</v>
      </c>
    </row>
    <row r="6671" spans="1:4" ht="15" x14ac:dyDescent="0.25">
      <c r="A6671" t="s">
        <v>17559</v>
      </c>
      <c r="B6671">
        <v>4</v>
      </c>
      <c r="C6671">
        <v>197</v>
      </c>
      <c r="D6671">
        <v>49.25</v>
      </c>
    </row>
    <row r="6672" spans="1:4" ht="15" x14ac:dyDescent="0.25">
      <c r="A6672" t="s">
        <v>17560</v>
      </c>
      <c r="B6672">
        <v>3</v>
      </c>
      <c r="C6672">
        <v>167</v>
      </c>
      <c r="D6672">
        <v>55.666666666666664</v>
      </c>
    </row>
    <row r="6673" spans="1:4" ht="15" x14ac:dyDescent="0.25">
      <c r="A6673" t="s">
        <v>17566</v>
      </c>
      <c r="B6673">
        <v>1</v>
      </c>
      <c r="C6673">
        <v>20</v>
      </c>
      <c r="D6673">
        <v>20</v>
      </c>
    </row>
    <row r="6674" spans="1:4" ht="15" x14ac:dyDescent="0.25">
      <c r="A6674" t="s">
        <v>17567</v>
      </c>
      <c r="B6674">
        <v>1</v>
      </c>
      <c r="C6674">
        <v>20</v>
      </c>
      <c r="D6674">
        <v>20</v>
      </c>
    </row>
    <row r="6675" spans="1:4" ht="15" x14ac:dyDescent="0.25">
      <c r="A6675" t="s">
        <v>17574</v>
      </c>
      <c r="B6675">
        <v>1</v>
      </c>
      <c r="C6675">
        <v>27</v>
      </c>
      <c r="D6675">
        <v>27</v>
      </c>
    </row>
    <row r="6676" spans="1:4" ht="15" x14ac:dyDescent="0.25">
      <c r="A6676" t="s">
        <v>17575</v>
      </c>
      <c r="B6676">
        <v>1</v>
      </c>
      <c r="C6676">
        <v>27</v>
      </c>
      <c r="D6676">
        <v>27</v>
      </c>
    </row>
    <row r="6677" spans="1:4" ht="15" x14ac:dyDescent="0.25">
      <c r="A6677" t="s">
        <v>17577</v>
      </c>
      <c r="B6677">
        <v>1</v>
      </c>
      <c r="C6677">
        <v>27</v>
      </c>
      <c r="D6677">
        <v>27</v>
      </c>
    </row>
    <row r="6678" spans="1:4" ht="15" x14ac:dyDescent="0.25">
      <c r="A6678" t="s">
        <v>17576</v>
      </c>
      <c r="B6678">
        <v>1</v>
      </c>
      <c r="C6678">
        <v>27</v>
      </c>
      <c r="D6678">
        <v>27</v>
      </c>
    </row>
    <row r="6679" spans="1:4" ht="15" x14ac:dyDescent="0.25">
      <c r="A6679" t="s">
        <v>17583</v>
      </c>
      <c r="B6679">
        <v>1</v>
      </c>
      <c r="C6679">
        <v>21</v>
      </c>
      <c r="D6679">
        <v>21</v>
      </c>
    </row>
    <row r="6680" spans="1:4" ht="15" x14ac:dyDescent="0.25">
      <c r="A6680" t="s">
        <v>17590</v>
      </c>
      <c r="B6680">
        <v>1</v>
      </c>
      <c r="C6680">
        <v>66</v>
      </c>
      <c r="D6680">
        <v>66</v>
      </c>
    </row>
    <row r="6681" spans="1:4" ht="15" x14ac:dyDescent="0.25">
      <c r="A6681" t="s">
        <v>17594</v>
      </c>
      <c r="B6681">
        <v>2</v>
      </c>
      <c r="C6681">
        <v>112</v>
      </c>
      <c r="D6681">
        <v>56</v>
      </c>
    </row>
    <row r="6682" spans="1:4" ht="15" x14ac:dyDescent="0.25">
      <c r="A6682" t="s">
        <v>17599</v>
      </c>
      <c r="B6682">
        <v>1</v>
      </c>
      <c r="C6682">
        <v>48</v>
      </c>
      <c r="D6682">
        <v>48</v>
      </c>
    </row>
    <row r="6683" spans="1:4" ht="15" x14ac:dyDescent="0.25">
      <c r="A6683" t="s">
        <v>17603</v>
      </c>
      <c r="B6683">
        <v>1</v>
      </c>
      <c r="C6683">
        <v>43</v>
      </c>
      <c r="D6683">
        <v>43</v>
      </c>
    </row>
    <row r="6684" spans="1:4" ht="15" x14ac:dyDescent="0.25">
      <c r="A6684" t="s">
        <v>17605</v>
      </c>
      <c r="B6684">
        <v>2</v>
      </c>
      <c r="C6684">
        <v>103</v>
      </c>
      <c r="D6684">
        <v>51.5</v>
      </c>
    </row>
    <row r="6685" spans="1:4" ht="15" x14ac:dyDescent="0.25">
      <c r="A6685" t="s">
        <v>17604</v>
      </c>
      <c r="B6685">
        <v>1</v>
      </c>
      <c r="C6685">
        <v>43</v>
      </c>
      <c r="D6685">
        <v>43</v>
      </c>
    </row>
    <row r="6686" spans="1:4" ht="15" x14ac:dyDescent="0.25">
      <c r="A6686" t="s">
        <v>17610</v>
      </c>
      <c r="B6686">
        <v>1</v>
      </c>
      <c r="C6686">
        <v>34</v>
      </c>
      <c r="D6686">
        <v>34</v>
      </c>
    </row>
    <row r="6687" spans="1:4" ht="15" x14ac:dyDescent="0.25">
      <c r="A6687" t="s">
        <v>17611</v>
      </c>
      <c r="B6687">
        <v>1</v>
      </c>
      <c r="C6687">
        <v>34</v>
      </c>
      <c r="D6687">
        <v>34</v>
      </c>
    </row>
    <row r="6688" spans="1:4" ht="15" x14ac:dyDescent="0.25">
      <c r="A6688" t="s">
        <v>17612</v>
      </c>
      <c r="B6688">
        <v>1</v>
      </c>
      <c r="C6688">
        <v>34</v>
      </c>
      <c r="D6688">
        <v>34</v>
      </c>
    </row>
    <row r="6689" spans="1:4" ht="15" x14ac:dyDescent="0.25">
      <c r="A6689" t="s">
        <v>17614</v>
      </c>
      <c r="B6689">
        <v>1</v>
      </c>
      <c r="C6689">
        <v>26</v>
      </c>
      <c r="D6689">
        <v>26</v>
      </c>
    </row>
    <row r="6690" spans="1:4" ht="15" x14ac:dyDescent="0.25">
      <c r="A6690" t="s">
        <v>17616</v>
      </c>
      <c r="B6690">
        <v>1</v>
      </c>
      <c r="C6690">
        <v>26</v>
      </c>
      <c r="D6690">
        <v>26</v>
      </c>
    </row>
    <row r="6691" spans="1:4" ht="15" x14ac:dyDescent="0.25">
      <c r="A6691" t="s">
        <v>17615</v>
      </c>
      <c r="B6691">
        <v>1</v>
      </c>
      <c r="C6691">
        <v>26</v>
      </c>
      <c r="D6691">
        <v>26</v>
      </c>
    </row>
    <row r="6692" spans="1:4" ht="15" x14ac:dyDescent="0.25">
      <c r="A6692" t="s">
        <v>17620</v>
      </c>
      <c r="B6692">
        <v>1</v>
      </c>
      <c r="C6692">
        <v>29</v>
      </c>
      <c r="D6692">
        <v>29</v>
      </c>
    </row>
    <row r="6693" spans="1:4" ht="15" x14ac:dyDescent="0.25">
      <c r="A6693" t="s">
        <v>17621</v>
      </c>
      <c r="B6693">
        <v>1</v>
      </c>
      <c r="C6693">
        <v>29</v>
      </c>
      <c r="D6693">
        <v>29</v>
      </c>
    </row>
    <row r="6694" spans="1:4" ht="15" x14ac:dyDescent="0.25">
      <c r="A6694" t="s">
        <v>17622</v>
      </c>
      <c r="B6694">
        <v>1</v>
      </c>
      <c r="C6694">
        <v>29</v>
      </c>
      <c r="D6694">
        <v>29</v>
      </c>
    </row>
    <row r="6695" spans="1:4" ht="15" x14ac:dyDescent="0.25">
      <c r="A6695" t="s">
        <v>17627</v>
      </c>
      <c r="B6695">
        <v>1</v>
      </c>
      <c r="C6695">
        <v>31</v>
      </c>
      <c r="D6695">
        <v>31</v>
      </c>
    </row>
    <row r="6696" spans="1:4" ht="15" x14ac:dyDescent="0.25">
      <c r="A6696" t="s">
        <v>17628</v>
      </c>
      <c r="B6696">
        <v>1</v>
      </c>
      <c r="C6696">
        <v>31</v>
      </c>
      <c r="D6696">
        <v>31</v>
      </c>
    </row>
    <row r="6697" spans="1:4" ht="15" x14ac:dyDescent="0.25">
      <c r="A6697" t="s">
        <v>17633</v>
      </c>
      <c r="B6697">
        <v>1</v>
      </c>
      <c r="C6697">
        <v>47</v>
      </c>
      <c r="D6697">
        <v>47</v>
      </c>
    </row>
    <row r="6698" spans="1:4" ht="15" x14ac:dyDescent="0.25">
      <c r="A6698" t="s">
        <v>17634</v>
      </c>
      <c r="B6698">
        <v>2</v>
      </c>
      <c r="C6698">
        <v>108</v>
      </c>
      <c r="D6698">
        <v>54</v>
      </c>
    </row>
    <row r="6699" spans="1:4" ht="15" x14ac:dyDescent="0.25">
      <c r="A6699" t="s">
        <v>17635</v>
      </c>
      <c r="B6699">
        <v>1</v>
      </c>
      <c r="C6699">
        <v>47</v>
      </c>
      <c r="D6699">
        <v>47</v>
      </c>
    </row>
    <row r="6700" spans="1:4" ht="15" x14ac:dyDescent="0.25">
      <c r="A6700" t="s">
        <v>17639</v>
      </c>
      <c r="B6700">
        <v>1</v>
      </c>
      <c r="C6700">
        <v>4</v>
      </c>
      <c r="D6700">
        <v>4</v>
      </c>
    </row>
    <row r="6701" spans="1:4" ht="15" x14ac:dyDescent="0.25">
      <c r="A6701" t="s">
        <v>17645</v>
      </c>
      <c r="B6701">
        <v>1</v>
      </c>
      <c r="C6701">
        <v>17</v>
      </c>
      <c r="D6701">
        <v>17</v>
      </c>
    </row>
    <row r="6702" spans="1:4" ht="15" x14ac:dyDescent="0.25">
      <c r="A6702" t="s">
        <v>17646</v>
      </c>
      <c r="B6702">
        <v>4</v>
      </c>
      <c r="C6702">
        <v>70</v>
      </c>
      <c r="D6702">
        <v>17.5</v>
      </c>
    </row>
    <row r="6703" spans="1:4" ht="15" x14ac:dyDescent="0.25">
      <c r="A6703" t="s">
        <v>17647</v>
      </c>
      <c r="B6703">
        <v>1</v>
      </c>
      <c r="C6703">
        <v>17</v>
      </c>
      <c r="D6703">
        <v>17</v>
      </c>
    </row>
    <row r="6704" spans="1:4" ht="15" x14ac:dyDescent="0.25">
      <c r="A6704" t="s">
        <v>17648</v>
      </c>
      <c r="B6704">
        <v>1</v>
      </c>
      <c r="C6704">
        <v>17</v>
      </c>
      <c r="D6704">
        <v>17</v>
      </c>
    </row>
    <row r="6705" spans="1:4" ht="15" x14ac:dyDescent="0.25">
      <c r="A6705" t="s">
        <v>17652</v>
      </c>
      <c r="B6705">
        <v>1</v>
      </c>
      <c r="C6705">
        <v>44</v>
      </c>
      <c r="D6705">
        <v>44</v>
      </c>
    </row>
    <row r="6706" spans="1:4" ht="15" x14ac:dyDescent="0.25">
      <c r="A6706" t="s">
        <v>17654</v>
      </c>
      <c r="B6706">
        <v>1</v>
      </c>
      <c r="C6706">
        <v>44</v>
      </c>
      <c r="D6706">
        <v>44</v>
      </c>
    </row>
    <row r="6707" spans="1:4" ht="15" x14ac:dyDescent="0.25">
      <c r="A6707" t="s">
        <v>17655</v>
      </c>
      <c r="B6707">
        <v>1</v>
      </c>
      <c r="C6707">
        <v>44</v>
      </c>
      <c r="D6707">
        <v>44</v>
      </c>
    </row>
    <row r="6708" spans="1:4" ht="15" x14ac:dyDescent="0.25">
      <c r="A6708" t="s">
        <v>17653</v>
      </c>
      <c r="B6708">
        <v>2</v>
      </c>
      <c r="C6708">
        <v>77</v>
      </c>
      <c r="D6708">
        <v>38.5</v>
      </c>
    </row>
    <row r="6709" spans="1:4" ht="15" x14ac:dyDescent="0.25">
      <c r="A6709" t="s">
        <v>17659</v>
      </c>
      <c r="B6709">
        <v>2</v>
      </c>
      <c r="C6709">
        <v>128</v>
      </c>
      <c r="D6709">
        <v>64</v>
      </c>
    </row>
    <row r="6710" spans="1:4" ht="15" x14ac:dyDescent="0.25">
      <c r="A6710" t="s">
        <v>17661</v>
      </c>
      <c r="B6710">
        <v>1</v>
      </c>
      <c r="C6710">
        <v>54</v>
      </c>
      <c r="D6710">
        <v>54</v>
      </c>
    </row>
    <row r="6711" spans="1:4" ht="15" x14ac:dyDescent="0.25">
      <c r="A6711" t="s">
        <v>17660</v>
      </c>
      <c r="B6711">
        <v>2</v>
      </c>
      <c r="C6711">
        <v>138</v>
      </c>
      <c r="D6711">
        <v>69</v>
      </c>
    </row>
    <row r="6712" spans="1:4" ht="15" x14ac:dyDescent="0.25">
      <c r="A6712" t="s">
        <v>17668</v>
      </c>
      <c r="B6712">
        <v>6</v>
      </c>
      <c r="C6712">
        <v>298</v>
      </c>
      <c r="D6712">
        <v>49.666666666666664</v>
      </c>
    </row>
    <row r="6713" spans="1:4" ht="15" x14ac:dyDescent="0.25">
      <c r="A6713" t="s">
        <v>17671</v>
      </c>
      <c r="B6713">
        <v>1</v>
      </c>
      <c r="C6713">
        <v>63</v>
      </c>
      <c r="D6713">
        <v>63</v>
      </c>
    </row>
    <row r="6714" spans="1:4" ht="15" x14ac:dyDescent="0.25">
      <c r="A6714" t="s">
        <v>17675</v>
      </c>
      <c r="B6714">
        <v>1</v>
      </c>
      <c r="C6714">
        <v>36</v>
      </c>
      <c r="D6714">
        <v>36</v>
      </c>
    </row>
    <row r="6715" spans="1:4" ht="15" x14ac:dyDescent="0.25">
      <c r="A6715" t="s">
        <v>17676</v>
      </c>
      <c r="B6715">
        <v>3</v>
      </c>
      <c r="C6715">
        <v>107</v>
      </c>
      <c r="D6715">
        <v>35.666666666666664</v>
      </c>
    </row>
    <row r="6716" spans="1:4" ht="15" x14ac:dyDescent="0.25">
      <c r="A6716" t="s">
        <v>17678</v>
      </c>
      <c r="B6716">
        <v>1</v>
      </c>
      <c r="C6716">
        <v>36</v>
      </c>
      <c r="D6716">
        <v>36</v>
      </c>
    </row>
    <row r="6717" spans="1:4" ht="15" x14ac:dyDescent="0.25">
      <c r="A6717" t="s">
        <v>17677</v>
      </c>
      <c r="B6717">
        <v>1</v>
      </c>
      <c r="C6717">
        <v>36</v>
      </c>
      <c r="D6717">
        <v>36</v>
      </c>
    </row>
    <row r="6718" spans="1:4" ht="15" x14ac:dyDescent="0.25">
      <c r="A6718" t="s">
        <v>17682</v>
      </c>
      <c r="B6718">
        <v>1</v>
      </c>
      <c r="C6718">
        <v>23</v>
      </c>
      <c r="D6718">
        <v>23</v>
      </c>
    </row>
    <row r="6719" spans="1:4" ht="15" x14ac:dyDescent="0.25">
      <c r="A6719" t="s">
        <v>17683</v>
      </c>
      <c r="B6719">
        <v>1</v>
      </c>
      <c r="C6719">
        <v>23</v>
      </c>
      <c r="D6719">
        <v>23</v>
      </c>
    </row>
    <row r="6720" spans="1:4" ht="15" x14ac:dyDescent="0.25">
      <c r="A6720" t="s">
        <v>17690</v>
      </c>
      <c r="B6720">
        <v>1</v>
      </c>
      <c r="C6720">
        <v>23</v>
      </c>
      <c r="D6720">
        <v>23</v>
      </c>
    </row>
    <row r="6721" spans="1:4" ht="15" x14ac:dyDescent="0.25">
      <c r="A6721" t="s">
        <v>17691</v>
      </c>
      <c r="B6721">
        <v>1</v>
      </c>
      <c r="C6721">
        <v>23</v>
      </c>
      <c r="D6721">
        <v>23</v>
      </c>
    </row>
    <row r="6722" spans="1:4" ht="15" x14ac:dyDescent="0.25">
      <c r="A6722" t="s">
        <v>17698</v>
      </c>
      <c r="B6722">
        <v>1</v>
      </c>
      <c r="C6722">
        <v>23</v>
      </c>
      <c r="D6722">
        <v>23</v>
      </c>
    </row>
    <row r="6723" spans="1:4" ht="15" x14ac:dyDescent="0.25">
      <c r="A6723" t="s">
        <v>17701</v>
      </c>
      <c r="B6723">
        <v>3</v>
      </c>
      <c r="C6723">
        <v>92</v>
      </c>
      <c r="D6723">
        <v>30.666666666666668</v>
      </c>
    </row>
    <row r="6724" spans="1:4" ht="15" x14ac:dyDescent="0.25">
      <c r="A6724" t="s">
        <v>17706</v>
      </c>
      <c r="B6724">
        <v>1</v>
      </c>
      <c r="C6724">
        <v>35</v>
      </c>
      <c r="D6724">
        <v>35</v>
      </c>
    </row>
    <row r="6725" spans="1:4" ht="15" x14ac:dyDescent="0.25">
      <c r="A6725" t="s">
        <v>17709</v>
      </c>
      <c r="B6725">
        <v>2</v>
      </c>
      <c r="C6725">
        <v>82</v>
      </c>
      <c r="D6725">
        <v>41</v>
      </c>
    </row>
    <row r="6726" spans="1:4" ht="15" x14ac:dyDescent="0.25">
      <c r="A6726" t="s">
        <v>17714</v>
      </c>
      <c r="B6726">
        <v>1</v>
      </c>
      <c r="C6726">
        <v>59</v>
      </c>
      <c r="D6726">
        <v>59</v>
      </c>
    </row>
    <row r="6727" spans="1:4" ht="15" x14ac:dyDescent="0.25">
      <c r="A6727" t="s">
        <v>17716</v>
      </c>
      <c r="B6727">
        <v>1</v>
      </c>
      <c r="C6727">
        <v>59</v>
      </c>
      <c r="D6727">
        <v>59</v>
      </c>
    </row>
    <row r="6728" spans="1:4" ht="15" x14ac:dyDescent="0.25">
      <c r="A6728" t="s">
        <v>17715</v>
      </c>
      <c r="B6728">
        <v>1</v>
      </c>
      <c r="C6728">
        <v>59</v>
      </c>
      <c r="D6728">
        <v>59</v>
      </c>
    </row>
    <row r="6729" spans="1:4" ht="15" x14ac:dyDescent="0.25">
      <c r="A6729" t="s">
        <v>17728</v>
      </c>
      <c r="B6729">
        <v>1</v>
      </c>
      <c r="C6729">
        <v>39</v>
      </c>
      <c r="D6729">
        <v>39</v>
      </c>
    </row>
    <row r="6730" spans="1:4" ht="15" x14ac:dyDescent="0.25">
      <c r="A6730" t="s">
        <v>17730</v>
      </c>
      <c r="B6730">
        <v>1</v>
      </c>
      <c r="C6730">
        <v>39</v>
      </c>
      <c r="D6730">
        <v>39</v>
      </c>
    </row>
    <row r="6731" spans="1:4" ht="15" x14ac:dyDescent="0.25">
      <c r="A6731" t="s">
        <v>17729</v>
      </c>
      <c r="B6731">
        <v>1</v>
      </c>
      <c r="C6731">
        <v>39</v>
      </c>
      <c r="D6731">
        <v>39</v>
      </c>
    </row>
    <row r="6732" spans="1:4" ht="15" x14ac:dyDescent="0.25">
      <c r="A6732" t="s">
        <v>17735</v>
      </c>
      <c r="B6732">
        <v>1</v>
      </c>
      <c r="C6732">
        <v>15</v>
      </c>
      <c r="D6732">
        <v>15</v>
      </c>
    </row>
    <row r="6733" spans="1:4" ht="15" x14ac:dyDescent="0.25">
      <c r="A6733" t="s">
        <v>17737</v>
      </c>
      <c r="B6733">
        <v>1</v>
      </c>
      <c r="C6733">
        <v>15</v>
      </c>
      <c r="D6733">
        <v>15</v>
      </c>
    </row>
    <row r="6734" spans="1:4" ht="15" x14ac:dyDescent="0.25">
      <c r="A6734" t="s">
        <v>17736</v>
      </c>
      <c r="B6734">
        <v>1</v>
      </c>
      <c r="C6734">
        <v>15</v>
      </c>
      <c r="D6734">
        <v>15</v>
      </c>
    </row>
    <row r="6735" spans="1:4" ht="15" x14ac:dyDescent="0.25">
      <c r="A6735" t="s">
        <v>17755</v>
      </c>
      <c r="B6735">
        <v>1</v>
      </c>
      <c r="C6735">
        <v>20</v>
      </c>
      <c r="D6735">
        <v>20</v>
      </c>
    </row>
    <row r="6736" spans="1:4" ht="15" x14ac:dyDescent="0.25">
      <c r="A6736" t="s">
        <v>17756</v>
      </c>
      <c r="B6736">
        <v>1</v>
      </c>
      <c r="C6736">
        <v>20</v>
      </c>
      <c r="D6736">
        <v>20</v>
      </c>
    </row>
    <row r="6737" spans="1:4" ht="15" x14ac:dyDescent="0.25">
      <c r="A6737" t="s">
        <v>17757</v>
      </c>
      <c r="B6737">
        <v>1</v>
      </c>
      <c r="C6737">
        <v>20</v>
      </c>
      <c r="D6737">
        <v>20</v>
      </c>
    </row>
    <row r="6738" spans="1:4" ht="15" x14ac:dyDescent="0.25">
      <c r="A6738" t="s">
        <v>17761</v>
      </c>
      <c r="B6738">
        <v>1</v>
      </c>
      <c r="C6738">
        <v>32</v>
      </c>
      <c r="D6738">
        <v>32</v>
      </c>
    </row>
    <row r="6739" spans="1:4" ht="15" x14ac:dyDescent="0.25">
      <c r="A6739" t="s">
        <v>17760</v>
      </c>
      <c r="B6739">
        <v>1</v>
      </c>
      <c r="C6739">
        <v>32</v>
      </c>
      <c r="D6739">
        <v>32</v>
      </c>
    </row>
    <row r="6740" spans="1:4" ht="15" x14ac:dyDescent="0.25">
      <c r="A6740" t="s">
        <v>17766</v>
      </c>
      <c r="B6740">
        <v>1</v>
      </c>
      <c r="C6740">
        <v>204</v>
      </c>
      <c r="D6740">
        <v>204</v>
      </c>
    </row>
    <row r="6741" spans="1:4" ht="15" x14ac:dyDescent="0.25">
      <c r="A6741" t="s">
        <v>17767</v>
      </c>
      <c r="B6741">
        <v>1</v>
      </c>
      <c r="C6741">
        <v>204</v>
      </c>
      <c r="D6741">
        <v>204</v>
      </c>
    </row>
    <row r="6742" spans="1:4" ht="15" x14ac:dyDescent="0.25">
      <c r="A6742" t="s">
        <v>17769</v>
      </c>
      <c r="B6742">
        <v>1</v>
      </c>
      <c r="C6742">
        <v>204</v>
      </c>
      <c r="D6742">
        <v>204</v>
      </c>
    </row>
    <row r="6743" spans="1:4" ht="15" x14ac:dyDescent="0.25">
      <c r="A6743" t="s">
        <v>17768</v>
      </c>
      <c r="B6743">
        <v>1</v>
      </c>
      <c r="C6743">
        <v>204</v>
      </c>
      <c r="D6743">
        <v>204</v>
      </c>
    </row>
    <row r="6744" spans="1:4" ht="15" x14ac:dyDescent="0.25">
      <c r="A6744" t="s">
        <v>17776</v>
      </c>
      <c r="B6744">
        <v>1</v>
      </c>
      <c r="C6744">
        <v>11</v>
      </c>
      <c r="D6744">
        <v>11</v>
      </c>
    </row>
    <row r="6745" spans="1:4" ht="15" x14ac:dyDescent="0.25">
      <c r="A6745" t="s">
        <v>17777</v>
      </c>
      <c r="B6745">
        <v>1</v>
      </c>
      <c r="C6745">
        <v>11</v>
      </c>
      <c r="D6745">
        <v>11</v>
      </c>
    </row>
    <row r="6746" spans="1:4" ht="15" x14ac:dyDescent="0.25">
      <c r="A6746" t="s">
        <v>17781</v>
      </c>
      <c r="B6746">
        <v>1</v>
      </c>
      <c r="C6746">
        <v>56</v>
      </c>
      <c r="D6746">
        <v>56</v>
      </c>
    </row>
    <row r="6747" spans="1:4" ht="15" x14ac:dyDescent="0.25">
      <c r="A6747" t="s">
        <v>17782</v>
      </c>
      <c r="B6747">
        <v>1</v>
      </c>
      <c r="C6747">
        <v>56</v>
      </c>
      <c r="D6747">
        <v>56</v>
      </c>
    </row>
    <row r="6748" spans="1:4" ht="15" x14ac:dyDescent="0.25">
      <c r="A6748" t="s">
        <v>17787</v>
      </c>
      <c r="B6748">
        <v>1</v>
      </c>
      <c r="C6748">
        <v>49</v>
      </c>
      <c r="D6748">
        <v>49</v>
      </c>
    </row>
    <row r="6749" spans="1:4" ht="15" x14ac:dyDescent="0.25">
      <c r="A6749" t="s">
        <v>17788</v>
      </c>
      <c r="B6749">
        <v>1</v>
      </c>
      <c r="C6749">
        <v>49</v>
      </c>
      <c r="D6749">
        <v>49</v>
      </c>
    </row>
    <row r="6750" spans="1:4" ht="15" x14ac:dyDescent="0.25">
      <c r="A6750" t="s">
        <v>17789</v>
      </c>
      <c r="B6750">
        <v>1</v>
      </c>
      <c r="C6750">
        <v>49</v>
      </c>
      <c r="D6750">
        <v>49</v>
      </c>
    </row>
    <row r="6751" spans="1:4" ht="15" x14ac:dyDescent="0.25">
      <c r="A6751" t="s">
        <v>17793</v>
      </c>
      <c r="B6751">
        <v>1</v>
      </c>
      <c r="C6751">
        <v>26</v>
      </c>
      <c r="D6751">
        <v>26</v>
      </c>
    </row>
    <row r="6752" spans="1:4" ht="15" x14ac:dyDescent="0.25">
      <c r="A6752" t="s">
        <v>17794</v>
      </c>
      <c r="B6752">
        <v>1</v>
      </c>
      <c r="C6752">
        <v>26</v>
      </c>
      <c r="D6752">
        <v>26</v>
      </c>
    </row>
    <row r="6753" spans="1:4" ht="15" x14ac:dyDescent="0.25">
      <c r="A6753" t="s">
        <v>17798</v>
      </c>
      <c r="B6753">
        <v>2</v>
      </c>
      <c r="C6753">
        <v>191</v>
      </c>
      <c r="D6753">
        <v>95.5</v>
      </c>
    </row>
    <row r="6754" spans="1:4" ht="15" x14ac:dyDescent="0.25">
      <c r="A6754" t="s">
        <v>17799</v>
      </c>
      <c r="B6754">
        <v>4</v>
      </c>
      <c r="C6754">
        <v>212</v>
      </c>
      <c r="D6754">
        <v>53</v>
      </c>
    </row>
    <row r="6755" spans="1:4" ht="15" x14ac:dyDescent="0.25">
      <c r="A6755" t="s">
        <v>17802</v>
      </c>
      <c r="B6755">
        <v>1</v>
      </c>
      <c r="C6755">
        <v>20</v>
      </c>
      <c r="D6755">
        <v>20</v>
      </c>
    </row>
    <row r="6756" spans="1:4" ht="15" x14ac:dyDescent="0.25">
      <c r="A6756" t="s">
        <v>17803</v>
      </c>
      <c r="B6756">
        <v>1</v>
      </c>
      <c r="C6756">
        <v>20</v>
      </c>
      <c r="D6756">
        <v>20</v>
      </c>
    </row>
    <row r="6757" spans="1:4" ht="15" x14ac:dyDescent="0.25">
      <c r="A6757" t="s">
        <v>17806</v>
      </c>
      <c r="B6757">
        <v>4</v>
      </c>
      <c r="C6757">
        <v>64</v>
      </c>
      <c r="D6757">
        <v>16</v>
      </c>
    </row>
    <row r="6758" spans="1:4" ht="15" x14ac:dyDescent="0.25">
      <c r="A6758" t="s">
        <v>17808</v>
      </c>
      <c r="B6758">
        <v>2</v>
      </c>
      <c r="C6758">
        <v>60</v>
      </c>
      <c r="D6758">
        <v>30</v>
      </c>
    </row>
    <row r="6759" spans="1:4" ht="15" x14ac:dyDescent="0.25">
      <c r="A6759" t="s">
        <v>17807</v>
      </c>
      <c r="B6759">
        <v>3</v>
      </c>
      <c r="C6759">
        <v>73</v>
      </c>
      <c r="D6759">
        <v>24.333333333333332</v>
      </c>
    </row>
    <row r="6760" spans="1:4" ht="15" x14ac:dyDescent="0.25">
      <c r="A6760" t="s">
        <v>17825</v>
      </c>
      <c r="B6760">
        <v>1</v>
      </c>
      <c r="C6760">
        <v>35</v>
      </c>
      <c r="D6760">
        <v>35</v>
      </c>
    </row>
    <row r="6761" spans="1:4" ht="15" x14ac:dyDescent="0.25">
      <c r="A6761" t="s">
        <v>17827</v>
      </c>
      <c r="B6761">
        <v>1</v>
      </c>
      <c r="C6761">
        <v>35</v>
      </c>
      <c r="D6761">
        <v>35</v>
      </c>
    </row>
    <row r="6762" spans="1:4" ht="15" x14ac:dyDescent="0.25">
      <c r="A6762" t="s">
        <v>17826</v>
      </c>
      <c r="B6762">
        <v>1</v>
      </c>
      <c r="C6762">
        <v>35</v>
      </c>
      <c r="D6762">
        <v>35</v>
      </c>
    </row>
    <row r="6763" spans="1:4" ht="15" x14ac:dyDescent="0.25">
      <c r="A6763" t="s">
        <v>17831</v>
      </c>
      <c r="B6763">
        <v>1</v>
      </c>
      <c r="C6763">
        <v>30</v>
      </c>
      <c r="D6763">
        <v>30</v>
      </c>
    </row>
    <row r="6764" spans="1:4" ht="15" x14ac:dyDescent="0.25">
      <c r="A6764" t="s">
        <v>17832</v>
      </c>
      <c r="B6764">
        <v>1</v>
      </c>
      <c r="C6764">
        <v>30</v>
      </c>
      <c r="D6764">
        <v>30</v>
      </c>
    </row>
    <row r="6765" spans="1:4" ht="15" x14ac:dyDescent="0.25">
      <c r="A6765" t="s">
        <v>17834</v>
      </c>
      <c r="B6765">
        <v>1</v>
      </c>
      <c r="C6765">
        <v>30</v>
      </c>
      <c r="D6765">
        <v>30</v>
      </c>
    </row>
    <row r="6766" spans="1:4" ht="15" x14ac:dyDescent="0.25">
      <c r="A6766" t="s">
        <v>17835</v>
      </c>
      <c r="B6766">
        <v>1</v>
      </c>
      <c r="C6766">
        <v>30</v>
      </c>
      <c r="D6766">
        <v>30</v>
      </c>
    </row>
    <row r="6767" spans="1:4" ht="15" x14ac:dyDescent="0.25">
      <c r="A6767" t="s">
        <v>17833</v>
      </c>
      <c r="B6767">
        <v>1</v>
      </c>
      <c r="C6767">
        <v>30</v>
      </c>
      <c r="D6767">
        <v>30</v>
      </c>
    </row>
    <row r="6768" spans="1:4" ht="15" x14ac:dyDescent="0.25">
      <c r="A6768" t="s">
        <v>17839</v>
      </c>
      <c r="B6768">
        <v>1</v>
      </c>
      <c r="C6768">
        <v>63</v>
      </c>
      <c r="D6768">
        <v>63</v>
      </c>
    </row>
    <row r="6769" spans="1:4" ht="15" x14ac:dyDescent="0.25">
      <c r="A6769" t="s">
        <v>17840</v>
      </c>
      <c r="B6769">
        <v>1</v>
      </c>
      <c r="C6769">
        <v>63</v>
      </c>
      <c r="D6769">
        <v>63</v>
      </c>
    </row>
    <row r="6770" spans="1:4" ht="15" x14ac:dyDescent="0.25">
      <c r="A6770" t="s">
        <v>17844</v>
      </c>
      <c r="B6770">
        <v>1</v>
      </c>
      <c r="C6770">
        <v>93</v>
      </c>
      <c r="D6770">
        <v>93</v>
      </c>
    </row>
    <row r="6771" spans="1:4" ht="15" x14ac:dyDescent="0.25">
      <c r="A6771" t="s">
        <v>17847</v>
      </c>
      <c r="B6771">
        <v>1</v>
      </c>
      <c r="C6771">
        <v>21</v>
      </c>
      <c r="D6771">
        <v>21</v>
      </c>
    </row>
    <row r="6772" spans="1:4" ht="15" x14ac:dyDescent="0.25">
      <c r="A6772" t="s">
        <v>17848</v>
      </c>
      <c r="B6772">
        <v>1</v>
      </c>
      <c r="C6772">
        <v>21</v>
      </c>
      <c r="D6772">
        <v>21</v>
      </c>
    </row>
    <row r="6773" spans="1:4" ht="15" x14ac:dyDescent="0.25">
      <c r="A6773" t="s">
        <v>17852</v>
      </c>
      <c r="B6773">
        <v>1</v>
      </c>
      <c r="C6773">
        <v>57</v>
      </c>
      <c r="D6773">
        <v>57</v>
      </c>
    </row>
    <row r="6774" spans="1:4" ht="15" x14ac:dyDescent="0.25">
      <c r="A6774" t="s">
        <v>17853</v>
      </c>
      <c r="B6774">
        <v>1</v>
      </c>
      <c r="C6774">
        <v>57</v>
      </c>
      <c r="D6774">
        <v>57</v>
      </c>
    </row>
    <row r="6775" spans="1:4" ht="15" x14ac:dyDescent="0.25">
      <c r="A6775" t="s">
        <v>17857</v>
      </c>
      <c r="B6775">
        <v>1</v>
      </c>
      <c r="C6775">
        <v>24</v>
      </c>
      <c r="D6775">
        <v>24</v>
      </c>
    </row>
    <row r="6776" spans="1:4" ht="15" x14ac:dyDescent="0.25">
      <c r="A6776" t="s">
        <v>17858</v>
      </c>
      <c r="B6776">
        <v>1</v>
      </c>
      <c r="C6776">
        <v>24</v>
      </c>
      <c r="D6776">
        <v>24</v>
      </c>
    </row>
    <row r="6777" spans="1:4" ht="15" x14ac:dyDescent="0.25">
      <c r="A6777" t="s">
        <v>17861</v>
      </c>
      <c r="B6777">
        <v>1</v>
      </c>
      <c r="C6777">
        <v>1116</v>
      </c>
      <c r="D6777">
        <v>1116</v>
      </c>
    </row>
    <row r="6778" spans="1:4" ht="15" x14ac:dyDescent="0.25">
      <c r="A6778" t="s">
        <v>17862</v>
      </c>
      <c r="B6778">
        <v>1</v>
      </c>
      <c r="C6778">
        <v>1116</v>
      </c>
      <c r="D6778">
        <v>1116</v>
      </c>
    </row>
    <row r="6779" spans="1:4" ht="15" x14ac:dyDescent="0.25">
      <c r="A6779" t="s">
        <v>17866</v>
      </c>
      <c r="B6779">
        <v>1</v>
      </c>
      <c r="C6779">
        <v>29</v>
      </c>
      <c r="D6779">
        <v>29</v>
      </c>
    </row>
    <row r="6780" spans="1:4" ht="15" x14ac:dyDescent="0.25">
      <c r="A6780" t="s">
        <v>17868</v>
      </c>
      <c r="B6780">
        <v>1</v>
      </c>
      <c r="C6780">
        <v>29</v>
      </c>
      <c r="D6780">
        <v>29</v>
      </c>
    </row>
    <row r="6781" spans="1:4" ht="15" x14ac:dyDescent="0.25">
      <c r="A6781" t="s">
        <v>17869</v>
      </c>
      <c r="B6781">
        <v>1</v>
      </c>
      <c r="C6781">
        <v>29</v>
      </c>
      <c r="D6781">
        <v>29</v>
      </c>
    </row>
    <row r="6782" spans="1:4" ht="15" x14ac:dyDescent="0.25">
      <c r="A6782" t="s">
        <v>17867</v>
      </c>
      <c r="B6782">
        <v>1</v>
      </c>
      <c r="C6782">
        <v>29</v>
      </c>
      <c r="D6782">
        <v>29</v>
      </c>
    </row>
    <row r="6783" spans="1:4" ht="15" x14ac:dyDescent="0.25">
      <c r="A6783" t="s">
        <v>17874</v>
      </c>
      <c r="B6783">
        <v>1</v>
      </c>
      <c r="C6783">
        <v>301</v>
      </c>
      <c r="D6783">
        <v>301</v>
      </c>
    </row>
    <row r="6784" spans="1:4" ht="15" x14ac:dyDescent="0.25">
      <c r="A6784" t="s">
        <v>17876</v>
      </c>
      <c r="B6784">
        <v>1</v>
      </c>
      <c r="C6784">
        <v>301</v>
      </c>
      <c r="D6784">
        <v>301</v>
      </c>
    </row>
    <row r="6785" spans="1:4" ht="15" x14ac:dyDescent="0.25">
      <c r="A6785" t="s">
        <v>17875</v>
      </c>
      <c r="B6785">
        <v>1</v>
      </c>
      <c r="C6785">
        <v>301</v>
      </c>
      <c r="D6785">
        <v>301</v>
      </c>
    </row>
    <row r="6786" spans="1:4" ht="15" x14ac:dyDescent="0.25">
      <c r="A6786" t="s">
        <v>17879</v>
      </c>
      <c r="B6786">
        <v>1</v>
      </c>
      <c r="C6786">
        <v>25</v>
      </c>
      <c r="D6786">
        <v>25</v>
      </c>
    </row>
    <row r="6787" spans="1:4" ht="15" x14ac:dyDescent="0.25">
      <c r="A6787" t="s">
        <v>17896</v>
      </c>
      <c r="B6787">
        <v>2</v>
      </c>
      <c r="C6787">
        <v>3482</v>
      </c>
      <c r="D6787">
        <v>1741</v>
      </c>
    </row>
    <row r="6788" spans="1:4" ht="15" x14ac:dyDescent="0.25">
      <c r="A6788" t="s">
        <v>17897</v>
      </c>
      <c r="B6788">
        <v>1</v>
      </c>
      <c r="C6788">
        <v>1524</v>
      </c>
      <c r="D6788">
        <v>1524</v>
      </c>
    </row>
    <row r="6789" spans="1:4" ht="15" x14ac:dyDescent="0.25">
      <c r="A6789" t="s">
        <v>17901</v>
      </c>
      <c r="B6789">
        <v>2</v>
      </c>
      <c r="C6789">
        <v>211</v>
      </c>
      <c r="D6789">
        <v>105.5</v>
      </c>
    </row>
    <row r="6790" spans="1:4" ht="15" x14ac:dyDescent="0.25">
      <c r="A6790" t="s">
        <v>17905</v>
      </c>
      <c r="B6790">
        <v>1</v>
      </c>
      <c r="C6790">
        <v>2</v>
      </c>
      <c r="D6790">
        <v>2</v>
      </c>
    </row>
    <row r="6791" spans="1:4" ht="15" x14ac:dyDescent="0.25">
      <c r="A6791" t="s">
        <v>17919</v>
      </c>
      <c r="B6791">
        <v>1</v>
      </c>
      <c r="C6791">
        <v>7</v>
      </c>
      <c r="D6791">
        <v>7</v>
      </c>
    </row>
    <row r="6792" spans="1:4" ht="15" x14ac:dyDescent="0.25">
      <c r="A6792" t="s">
        <v>17936</v>
      </c>
      <c r="B6792">
        <v>1</v>
      </c>
      <c r="C6792">
        <v>47</v>
      </c>
      <c r="D6792">
        <v>47</v>
      </c>
    </row>
    <row r="6793" spans="1:4" ht="15" x14ac:dyDescent="0.25">
      <c r="A6793" t="s">
        <v>17940</v>
      </c>
      <c r="B6793">
        <v>1</v>
      </c>
      <c r="C6793">
        <v>44</v>
      </c>
      <c r="D6793">
        <v>44</v>
      </c>
    </row>
    <row r="6794" spans="1:4" ht="15" x14ac:dyDescent="0.25">
      <c r="A6794" t="s">
        <v>17941</v>
      </c>
      <c r="B6794">
        <v>1</v>
      </c>
      <c r="C6794">
        <v>44</v>
      </c>
      <c r="D6794">
        <v>44</v>
      </c>
    </row>
    <row r="6795" spans="1:4" ht="15" x14ac:dyDescent="0.25">
      <c r="A6795" t="s">
        <v>17943</v>
      </c>
      <c r="B6795">
        <v>1</v>
      </c>
      <c r="C6795">
        <v>44</v>
      </c>
      <c r="D6795">
        <v>44</v>
      </c>
    </row>
    <row r="6796" spans="1:4" ht="15" x14ac:dyDescent="0.25">
      <c r="A6796" t="s">
        <v>17942</v>
      </c>
      <c r="B6796">
        <v>1</v>
      </c>
      <c r="C6796">
        <v>44</v>
      </c>
      <c r="D6796">
        <v>44</v>
      </c>
    </row>
    <row r="6797" spans="1:4" ht="15" x14ac:dyDescent="0.25">
      <c r="A6797" t="s">
        <v>17947</v>
      </c>
      <c r="B6797">
        <v>1</v>
      </c>
      <c r="C6797">
        <v>14</v>
      </c>
      <c r="D6797">
        <v>14</v>
      </c>
    </row>
    <row r="6798" spans="1:4" ht="15" x14ac:dyDescent="0.25">
      <c r="A6798" t="s">
        <v>17951</v>
      </c>
      <c r="B6798">
        <v>1</v>
      </c>
      <c r="C6798">
        <v>12</v>
      </c>
      <c r="D6798">
        <v>12</v>
      </c>
    </row>
    <row r="6799" spans="1:4" ht="15" x14ac:dyDescent="0.25">
      <c r="A6799" t="s">
        <v>17955</v>
      </c>
      <c r="B6799">
        <v>1</v>
      </c>
      <c r="C6799">
        <v>91</v>
      </c>
      <c r="D6799">
        <v>91</v>
      </c>
    </row>
    <row r="6800" spans="1:4" ht="15" x14ac:dyDescent="0.25">
      <c r="A6800" t="s">
        <v>17957</v>
      </c>
      <c r="B6800">
        <v>1</v>
      </c>
      <c r="C6800">
        <v>91</v>
      </c>
      <c r="D6800">
        <v>91</v>
      </c>
    </row>
    <row r="6801" spans="1:4" ht="15" x14ac:dyDescent="0.25">
      <c r="A6801" t="s">
        <v>17958</v>
      </c>
      <c r="B6801">
        <v>3</v>
      </c>
      <c r="C6801">
        <v>193</v>
      </c>
      <c r="D6801">
        <v>64.333333333333329</v>
      </c>
    </row>
    <row r="6802" spans="1:4" ht="15" x14ac:dyDescent="0.25">
      <c r="A6802" t="s">
        <v>17956</v>
      </c>
      <c r="B6802">
        <v>1</v>
      </c>
      <c r="C6802">
        <v>91</v>
      </c>
      <c r="D6802">
        <v>91</v>
      </c>
    </row>
    <row r="6803" spans="1:4" ht="15" x14ac:dyDescent="0.25">
      <c r="A6803" t="s">
        <v>17963</v>
      </c>
      <c r="B6803">
        <v>1</v>
      </c>
      <c r="C6803">
        <v>14</v>
      </c>
      <c r="D6803">
        <v>14</v>
      </c>
    </row>
    <row r="6804" spans="1:4" ht="15" x14ac:dyDescent="0.25">
      <c r="A6804" t="s">
        <v>17962</v>
      </c>
      <c r="B6804">
        <v>1</v>
      </c>
      <c r="C6804">
        <v>14</v>
      </c>
      <c r="D6804">
        <v>14</v>
      </c>
    </row>
    <row r="6805" spans="1:4" ht="15" x14ac:dyDescent="0.25">
      <c r="A6805" t="s">
        <v>17966</v>
      </c>
      <c r="B6805">
        <v>1</v>
      </c>
      <c r="C6805">
        <v>98</v>
      </c>
      <c r="D6805">
        <v>98</v>
      </c>
    </row>
    <row r="6806" spans="1:4" ht="15" x14ac:dyDescent="0.25">
      <c r="A6806" t="s">
        <v>17967</v>
      </c>
      <c r="B6806">
        <v>1</v>
      </c>
      <c r="C6806">
        <v>98</v>
      </c>
      <c r="D6806">
        <v>98</v>
      </c>
    </row>
    <row r="6807" spans="1:4" ht="15" x14ac:dyDescent="0.25">
      <c r="A6807" t="s">
        <v>17972</v>
      </c>
      <c r="B6807">
        <v>1</v>
      </c>
      <c r="C6807">
        <v>66</v>
      </c>
      <c r="D6807">
        <v>66</v>
      </c>
    </row>
    <row r="6808" spans="1:4" ht="15" x14ac:dyDescent="0.25">
      <c r="A6808" t="s">
        <v>17973</v>
      </c>
      <c r="B6808">
        <v>1</v>
      </c>
      <c r="C6808">
        <v>66</v>
      </c>
      <c r="D6808">
        <v>66</v>
      </c>
    </row>
    <row r="6809" spans="1:4" ht="15" x14ac:dyDescent="0.25">
      <c r="A6809" t="s">
        <v>17974</v>
      </c>
      <c r="B6809">
        <v>1</v>
      </c>
      <c r="C6809">
        <v>48</v>
      </c>
      <c r="D6809">
        <v>48</v>
      </c>
    </row>
    <row r="6810" spans="1:4" ht="15" x14ac:dyDescent="0.25">
      <c r="A6810" t="s">
        <v>17980</v>
      </c>
      <c r="B6810">
        <v>1</v>
      </c>
      <c r="C6810">
        <v>37</v>
      </c>
      <c r="D6810">
        <v>37</v>
      </c>
    </row>
    <row r="6811" spans="1:4" ht="15" x14ac:dyDescent="0.25">
      <c r="A6811" t="s">
        <v>17981</v>
      </c>
      <c r="B6811">
        <v>1</v>
      </c>
      <c r="C6811">
        <v>37</v>
      </c>
      <c r="D6811">
        <v>37</v>
      </c>
    </row>
    <row r="6812" spans="1:4" ht="15" x14ac:dyDescent="0.25">
      <c r="A6812" t="s">
        <v>17988</v>
      </c>
      <c r="B6812">
        <v>1</v>
      </c>
      <c r="C6812">
        <v>49</v>
      </c>
      <c r="D6812">
        <v>49</v>
      </c>
    </row>
    <row r="6813" spans="1:4" ht="15" x14ac:dyDescent="0.25">
      <c r="A6813" t="s">
        <v>17989</v>
      </c>
      <c r="B6813">
        <v>1</v>
      </c>
      <c r="C6813">
        <v>49</v>
      </c>
      <c r="D6813">
        <v>49</v>
      </c>
    </row>
    <row r="6814" spans="1:4" ht="15" x14ac:dyDescent="0.25">
      <c r="A6814" t="s">
        <v>17987</v>
      </c>
      <c r="B6814">
        <v>1</v>
      </c>
      <c r="C6814">
        <v>49</v>
      </c>
      <c r="D6814">
        <v>49</v>
      </c>
    </row>
    <row r="6815" spans="1:4" ht="15" x14ac:dyDescent="0.25">
      <c r="A6815" t="s">
        <v>17993</v>
      </c>
      <c r="B6815">
        <v>1</v>
      </c>
      <c r="C6815">
        <v>29</v>
      </c>
      <c r="D6815">
        <v>29</v>
      </c>
    </row>
    <row r="6816" spans="1:4" ht="15" x14ac:dyDescent="0.25">
      <c r="A6816" t="s">
        <v>17994</v>
      </c>
      <c r="B6816">
        <v>1</v>
      </c>
      <c r="C6816">
        <v>29</v>
      </c>
      <c r="D6816">
        <v>29</v>
      </c>
    </row>
    <row r="6817" spans="1:4" ht="15" x14ac:dyDescent="0.25">
      <c r="A6817" t="s">
        <v>17996</v>
      </c>
      <c r="B6817">
        <v>1</v>
      </c>
      <c r="C6817">
        <v>29</v>
      </c>
      <c r="D6817">
        <v>29</v>
      </c>
    </row>
    <row r="6818" spans="1:4" ht="15" x14ac:dyDescent="0.25">
      <c r="A6818" t="s">
        <v>17995</v>
      </c>
      <c r="B6818">
        <v>1</v>
      </c>
      <c r="C6818">
        <v>29</v>
      </c>
      <c r="D6818">
        <v>29</v>
      </c>
    </row>
    <row r="6819" spans="1:4" ht="15" x14ac:dyDescent="0.25">
      <c r="A6819" t="s">
        <v>18000</v>
      </c>
      <c r="B6819">
        <v>1</v>
      </c>
      <c r="C6819">
        <v>47</v>
      </c>
      <c r="D6819">
        <v>47</v>
      </c>
    </row>
    <row r="6820" spans="1:4" ht="15" x14ac:dyDescent="0.25">
      <c r="A6820" t="s">
        <v>18001</v>
      </c>
      <c r="B6820">
        <v>1</v>
      </c>
      <c r="C6820">
        <v>47</v>
      </c>
      <c r="D6820">
        <v>47</v>
      </c>
    </row>
    <row r="6821" spans="1:4" ht="15" x14ac:dyDescent="0.25">
      <c r="A6821" t="s">
        <v>18003</v>
      </c>
      <c r="B6821">
        <v>1</v>
      </c>
      <c r="C6821">
        <v>47</v>
      </c>
      <c r="D6821">
        <v>47</v>
      </c>
    </row>
    <row r="6822" spans="1:4" ht="15" x14ac:dyDescent="0.25">
      <c r="A6822" t="s">
        <v>18002</v>
      </c>
      <c r="B6822">
        <v>1</v>
      </c>
      <c r="C6822">
        <v>47</v>
      </c>
      <c r="D6822">
        <v>47</v>
      </c>
    </row>
    <row r="6823" spans="1:4" ht="15" x14ac:dyDescent="0.25">
      <c r="A6823" t="s">
        <v>18007</v>
      </c>
      <c r="B6823">
        <v>1</v>
      </c>
      <c r="C6823">
        <v>47</v>
      </c>
      <c r="D6823">
        <v>47</v>
      </c>
    </row>
    <row r="6824" spans="1:4" ht="15" x14ac:dyDescent="0.25">
      <c r="A6824" t="s">
        <v>18009</v>
      </c>
      <c r="B6824">
        <v>1</v>
      </c>
      <c r="C6824">
        <v>47</v>
      </c>
      <c r="D6824">
        <v>47</v>
      </c>
    </row>
    <row r="6825" spans="1:4" ht="15" x14ac:dyDescent="0.25">
      <c r="A6825" t="s">
        <v>18008</v>
      </c>
      <c r="B6825">
        <v>3</v>
      </c>
      <c r="C6825">
        <v>137</v>
      </c>
      <c r="D6825">
        <v>45.666666666666664</v>
      </c>
    </row>
    <row r="6826" spans="1:4" ht="15" x14ac:dyDescent="0.25">
      <c r="A6826" t="s">
        <v>18013</v>
      </c>
      <c r="B6826">
        <v>3</v>
      </c>
      <c r="C6826">
        <v>3766</v>
      </c>
      <c r="D6826">
        <v>1255.3333333333333</v>
      </c>
    </row>
    <row r="6827" spans="1:4" ht="15" x14ac:dyDescent="0.25">
      <c r="A6827" t="s">
        <v>18014</v>
      </c>
      <c r="B6827">
        <v>2</v>
      </c>
      <c r="C6827">
        <v>1633</v>
      </c>
      <c r="D6827">
        <v>816.5</v>
      </c>
    </row>
    <row r="6828" spans="1:4" ht="15" x14ac:dyDescent="0.25">
      <c r="A6828" t="s">
        <v>18012</v>
      </c>
      <c r="B6828">
        <v>1</v>
      </c>
      <c r="C6828">
        <v>1373</v>
      </c>
      <c r="D6828">
        <v>1373</v>
      </c>
    </row>
    <row r="6829" spans="1:4" ht="15" x14ac:dyDescent="0.25">
      <c r="A6829" t="s">
        <v>18018</v>
      </c>
      <c r="B6829">
        <v>4</v>
      </c>
      <c r="C6829">
        <v>215</v>
      </c>
      <c r="D6829">
        <v>53.75</v>
      </c>
    </row>
    <row r="6830" spans="1:4" ht="15" x14ac:dyDescent="0.25">
      <c r="A6830" t="s">
        <v>18019</v>
      </c>
      <c r="B6830">
        <v>4</v>
      </c>
      <c r="C6830">
        <v>107</v>
      </c>
      <c r="D6830">
        <v>26.75</v>
      </c>
    </row>
    <row r="6831" spans="1:4" ht="15" x14ac:dyDescent="0.25">
      <c r="A6831" t="s">
        <v>18021</v>
      </c>
      <c r="B6831">
        <v>1</v>
      </c>
      <c r="C6831">
        <v>21</v>
      </c>
      <c r="D6831">
        <v>21</v>
      </c>
    </row>
    <row r="6832" spans="1:4" ht="15" x14ac:dyDescent="0.25">
      <c r="A6832" t="s">
        <v>18020</v>
      </c>
      <c r="B6832">
        <v>1</v>
      </c>
      <c r="C6832">
        <v>21</v>
      </c>
      <c r="D6832">
        <v>21</v>
      </c>
    </row>
    <row r="6833" spans="1:4" ht="15" x14ac:dyDescent="0.25">
      <c r="A6833" t="s">
        <v>18026</v>
      </c>
      <c r="B6833">
        <v>1</v>
      </c>
      <c r="C6833">
        <v>22</v>
      </c>
      <c r="D6833">
        <v>22</v>
      </c>
    </row>
    <row r="6834" spans="1:4" ht="15" x14ac:dyDescent="0.25">
      <c r="A6834" t="s">
        <v>18027</v>
      </c>
      <c r="B6834">
        <v>1</v>
      </c>
      <c r="C6834">
        <v>22</v>
      </c>
      <c r="D6834">
        <v>22</v>
      </c>
    </row>
    <row r="6835" spans="1:4" ht="15" x14ac:dyDescent="0.25">
      <c r="A6835" t="s">
        <v>18030</v>
      </c>
      <c r="B6835">
        <v>2</v>
      </c>
      <c r="C6835">
        <v>764</v>
      </c>
      <c r="D6835">
        <v>382</v>
      </c>
    </row>
    <row r="6836" spans="1:4" ht="15" x14ac:dyDescent="0.25">
      <c r="A6836" t="s">
        <v>18031</v>
      </c>
      <c r="B6836">
        <v>2</v>
      </c>
      <c r="C6836">
        <v>741</v>
      </c>
      <c r="D6836">
        <v>370.5</v>
      </c>
    </row>
    <row r="6837" spans="1:4" ht="15" x14ac:dyDescent="0.25">
      <c r="A6837" t="s">
        <v>18032</v>
      </c>
      <c r="B6837">
        <v>1</v>
      </c>
      <c r="C6837">
        <v>698</v>
      </c>
      <c r="D6837">
        <v>698</v>
      </c>
    </row>
    <row r="6838" spans="1:4" ht="15" x14ac:dyDescent="0.25">
      <c r="A6838" t="s">
        <v>18039</v>
      </c>
      <c r="B6838">
        <v>1</v>
      </c>
      <c r="C6838">
        <v>130</v>
      </c>
      <c r="D6838">
        <v>130</v>
      </c>
    </row>
    <row r="6839" spans="1:4" ht="15" x14ac:dyDescent="0.25">
      <c r="A6839" t="s">
        <v>18041</v>
      </c>
      <c r="B6839">
        <v>1</v>
      </c>
      <c r="C6839">
        <v>130</v>
      </c>
      <c r="D6839">
        <v>130</v>
      </c>
    </row>
    <row r="6840" spans="1:4" ht="15" x14ac:dyDescent="0.25">
      <c r="A6840" t="s">
        <v>18040</v>
      </c>
      <c r="B6840">
        <v>1</v>
      </c>
      <c r="C6840">
        <v>130</v>
      </c>
      <c r="D6840">
        <v>130</v>
      </c>
    </row>
    <row r="6841" spans="1:4" ht="15" x14ac:dyDescent="0.25">
      <c r="A6841" t="s">
        <v>18048</v>
      </c>
      <c r="B6841">
        <v>1</v>
      </c>
      <c r="C6841">
        <v>46</v>
      </c>
      <c r="D6841">
        <v>46</v>
      </c>
    </row>
    <row r="6842" spans="1:4" ht="15" x14ac:dyDescent="0.25">
      <c r="A6842" t="s">
        <v>18050</v>
      </c>
      <c r="B6842">
        <v>2</v>
      </c>
      <c r="C6842">
        <v>56</v>
      </c>
      <c r="D6842">
        <v>28</v>
      </c>
    </row>
    <row r="6843" spans="1:4" ht="15" x14ac:dyDescent="0.25">
      <c r="A6843" t="s">
        <v>18049</v>
      </c>
      <c r="B6843">
        <v>1</v>
      </c>
      <c r="C6843">
        <v>46</v>
      </c>
      <c r="D6843">
        <v>46</v>
      </c>
    </row>
    <row r="6844" spans="1:4" ht="15" x14ac:dyDescent="0.25">
      <c r="A6844" t="s">
        <v>18057</v>
      </c>
      <c r="B6844">
        <v>1</v>
      </c>
      <c r="C6844">
        <v>81</v>
      </c>
      <c r="D6844">
        <v>81</v>
      </c>
    </row>
    <row r="6845" spans="1:4" ht="15" x14ac:dyDescent="0.25">
      <c r="A6845" t="s">
        <v>18059</v>
      </c>
      <c r="B6845">
        <v>1</v>
      </c>
      <c r="C6845">
        <v>81</v>
      </c>
      <c r="D6845">
        <v>81</v>
      </c>
    </row>
    <row r="6846" spans="1:4" ht="15" x14ac:dyDescent="0.25">
      <c r="A6846" t="s">
        <v>18058</v>
      </c>
      <c r="B6846">
        <v>1</v>
      </c>
      <c r="C6846">
        <v>81</v>
      </c>
      <c r="D6846">
        <v>81</v>
      </c>
    </row>
    <row r="6847" spans="1:4" ht="15" x14ac:dyDescent="0.25">
      <c r="A6847" t="s">
        <v>18064</v>
      </c>
      <c r="B6847">
        <v>2</v>
      </c>
      <c r="C6847">
        <v>305</v>
      </c>
      <c r="D6847">
        <v>152.5</v>
      </c>
    </row>
    <row r="6848" spans="1:4" ht="15" x14ac:dyDescent="0.25">
      <c r="A6848" t="s">
        <v>18065</v>
      </c>
      <c r="B6848">
        <v>1</v>
      </c>
      <c r="C6848">
        <v>148</v>
      </c>
      <c r="D6848">
        <v>148</v>
      </c>
    </row>
    <row r="6849" spans="1:4" ht="15" x14ac:dyDescent="0.25">
      <c r="A6849" t="s">
        <v>18066</v>
      </c>
      <c r="B6849">
        <v>1</v>
      </c>
      <c r="C6849">
        <v>148</v>
      </c>
      <c r="D6849">
        <v>148</v>
      </c>
    </row>
    <row r="6850" spans="1:4" ht="15" x14ac:dyDescent="0.25">
      <c r="A6850" t="s">
        <v>18070</v>
      </c>
      <c r="B6850">
        <v>1</v>
      </c>
      <c r="C6850">
        <v>33</v>
      </c>
      <c r="D6850">
        <v>33</v>
      </c>
    </row>
    <row r="6851" spans="1:4" ht="15" x14ac:dyDescent="0.25">
      <c r="A6851" t="s">
        <v>18071</v>
      </c>
      <c r="B6851">
        <v>1</v>
      </c>
      <c r="C6851">
        <v>33</v>
      </c>
      <c r="D6851">
        <v>33</v>
      </c>
    </row>
    <row r="6852" spans="1:4" ht="15" x14ac:dyDescent="0.25">
      <c r="A6852" t="s">
        <v>18072</v>
      </c>
      <c r="B6852">
        <v>1</v>
      </c>
      <c r="C6852">
        <v>33</v>
      </c>
      <c r="D6852">
        <v>33</v>
      </c>
    </row>
    <row r="6853" spans="1:4" ht="15" x14ac:dyDescent="0.25">
      <c r="A6853" t="s">
        <v>18076</v>
      </c>
      <c r="B6853">
        <v>1</v>
      </c>
      <c r="C6853">
        <v>19</v>
      </c>
      <c r="D6853">
        <v>19</v>
      </c>
    </row>
    <row r="6854" spans="1:4" ht="15" x14ac:dyDescent="0.25">
      <c r="A6854" t="s">
        <v>18078</v>
      </c>
      <c r="B6854">
        <v>2</v>
      </c>
      <c r="C6854">
        <v>46</v>
      </c>
      <c r="D6854">
        <v>23</v>
      </c>
    </row>
    <row r="6855" spans="1:4" ht="15" x14ac:dyDescent="0.25">
      <c r="A6855" t="s">
        <v>18077</v>
      </c>
      <c r="B6855">
        <v>1</v>
      </c>
      <c r="C6855">
        <v>19</v>
      </c>
      <c r="D6855">
        <v>19</v>
      </c>
    </row>
    <row r="6856" spans="1:4" ht="15" x14ac:dyDescent="0.25">
      <c r="A6856" t="s">
        <v>18081</v>
      </c>
      <c r="B6856">
        <v>1</v>
      </c>
      <c r="C6856">
        <v>21</v>
      </c>
      <c r="D6856">
        <v>21</v>
      </c>
    </row>
    <row r="6857" spans="1:4" ht="15" x14ac:dyDescent="0.25">
      <c r="A6857" t="s">
        <v>18088</v>
      </c>
      <c r="B6857">
        <v>1</v>
      </c>
      <c r="C6857">
        <v>68</v>
      </c>
      <c r="D6857">
        <v>68</v>
      </c>
    </row>
    <row r="6858" spans="1:4" ht="15" x14ac:dyDescent="0.25">
      <c r="A6858" t="s">
        <v>18087</v>
      </c>
      <c r="B6858">
        <v>2</v>
      </c>
      <c r="C6858">
        <v>77</v>
      </c>
      <c r="D6858">
        <v>38.5</v>
      </c>
    </row>
    <row r="6859" spans="1:4" ht="15" x14ac:dyDescent="0.25">
      <c r="A6859" t="s">
        <v>18093</v>
      </c>
      <c r="B6859">
        <v>1</v>
      </c>
      <c r="C6859">
        <v>11</v>
      </c>
      <c r="D6859">
        <v>11</v>
      </c>
    </row>
    <row r="6860" spans="1:4" ht="15" x14ac:dyDescent="0.25">
      <c r="A6860" t="s">
        <v>18094</v>
      </c>
      <c r="B6860">
        <v>1</v>
      </c>
      <c r="C6860">
        <v>11</v>
      </c>
      <c r="D6860">
        <v>11</v>
      </c>
    </row>
    <row r="6861" spans="1:4" ht="15" x14ac:dyDescent="0.25">
      <c r="A6861" t="s">
        <v>18095</v>
      </c>
      <c r="B6861">
        <v>1</v>
      </c>
      <c r="C6861">
        <v>11</v>
      </c>
      <c r="D6861">
        <v>11</v>
      </c>
    </row>
    <row r="6862" spans="1:4" ht="15" x14ac:dyDescent="0.25">
      <c r="A6862" t="s">
        <v>18104</v>
      </c>
      <c r="B6862">
        <v>1</v>
      </c>
      <c r="C6862">
        <v>22</v>
      </c>
      <c r="D6862">
        <v>22</v>
      </c>
    </row>
    <row r="6863" spans="1:4" ht="15" x14ac:dyDescent="0.25">
      <c r="A6863" t="s">
        <v>18105</v>
      </c>
      <c r="B6863">
        <v>1</v>
      </c>
      <c r="C6863">
        <v>22</v>
      </c>
      <c r="D6863">
        <v>22</v>
      </c>
    </row>
    <row r="6864" spans="1:4" ht="15" x14ac:dyDescent="0.25">
      <c r="A6864" t="s">
        <v>18107</v>
      </c>
      <c r="B6864">
        <v>1</v>
      </c>
      <c r="C6864">
        <v>22</v>
      </c>
      <c r="D6864">
        <v>22</v>
      </c>
    </row>
    <row r="6865" spans="1:4" ht="15" x14ac:dyDescent="0.25">
      <c r="A6865" t="s">
        <v>18106</v>
      </c>
      <c r="B6865">
        <v>1</v>
      </c>
      <c r="C6865">
        <v>22</v>
      </c>
      <c r="D6865">
        <v>22</v>
      </c>
    </row>
    <row r="6866" spans="1:4" ht="15" x14ac:dyDescent="0.25">
      <c r="A6866" t="s">
        <v>18111</v>
      </c>
      <c r="B6866">
        <v>1</v>
      </c>
      <c r="C6866">
        <v>19</v>
      </c>
      <c r="D6866">
        <v>19</v>
      </c>
    </row>
    <row r="6867" spans="1:4" ht="15" x14ac:dyDescent="0.25">
      <c r="A6867" t="s">
        <v>18112</v>
      </c>
      <c r="B6867">
        <v>1</v>
      </c>
      <c r="C6867">
        <v>19</v>
      </c>
      <c r="D6867">
        <v>19</v>
      </c>
    </row>
    <row r="6868" spans="1:4" ht="15" x14ac:dyDescent="0.25">
      <c r="A6868" t="s">
        <v>18115</v>
      </c>
      <c r="B6868">
        <v>5</v>
      </c>
      <c r="C6868">
        <v>406</v>
      </c>
      <c r="D6868">
        <v>81.2</v>
      </c>
    </row>
    <row r="6869" spans="1:4" ht="15" x14ac:dyDescent="0.25">
      <c r="A6869" t="s">
        <v>18119</v>
      </c>
      <c r="B6869">
        <v>1</v>
      </c>
      <c r="C6869">
        <v>11</v>
      </c>
      <c r="D6869">
        <v>11</v>
      </c>
    </row>
    <row r="6870" spans="1:4" ht="15" x14ac:dyDescent="0.25">
      <c r="A6870" t="s">
        <v>18120</v>
      </c>
      <c r="B6870">
        <v>1</v>
      </c>
      <c r="C6870">
        <v>11</v>
      </c>
      <c r="D6870">
        <v>11</v>
      </c>
    </row>
    <row r="6871" spans="1:4" ht="15" x14ac:dyDescent="0.25">
      <c r="A6871" t="s">
        <v>18121</v>
      </c>
      <c r="B6871">
        <v>1</v>
      </c>
      <c r="C6871">
        <v>11</v>
      </c>
      <c r="D6871">
        <v>11</v>
      </c>
    </row>
    <row r="6872" spans="1:4" ht="15" x14ac:dyDescent="0.25">
      <c r="A6872" t="s">
        <v>18125</v>
      </c>
      <c r="B6872">
        <v>1</v>
      </c>
      <c r="C6872">
        <v>84</v>
      </c>
      <c r="D6872">
        <v>84</v>
      </c>
    </row>
    <row r="6873" spans="1:4" ht="15" x14ac:dyDescent="0.25">
      <c r="A6873" t="s">
        <v>18129</v>
      </c>
      <c r="B6873">
        <v>1</v>
      </c>
      <c r="C6873">
        <v>77</v>
      </c>
      <c r="D6873">
        <v>77</v>
      </c>
    </row>
    <row r="6874" spans="1:4" ht="15" x14ac:dyDescent="0.25">
      <c r="A6874" t="s">
        <v>18131</v>
      </c>
      <c r="B6874">
        <v>1</v>
      </c>
      <c r="C6874">
        <v>77</v>
      </c>
      <c r="D6874">
        <v>77</v>
      </c>
    </row>
    <row r="6875" spans="1:4" ht="15" x14ac:dyDescent="0.25">
      <c r="A6875" t="s">
        <v>18132</v>
      </c>
      <c r="B6875">
        <v>1</v>
      </c>
      <c r="C6875">
        <v>77</v>
      </c>
      <c r="D6875">
        <v>77</v>
      </c>
    </row>
    <row r="6876" spans="1:4" ht="15" x14ac:dyDescent="0.25">
      <c r="A6876" t="s">
        <v>18130</v>
      </c>
      <c r="B6876">
        <v>1</v>
      </c>
      <c r="C6876">
        <v>77</v>
      </c>
      <c r="D6876">
        <v>77</v>
      </c>
    </row>
    <row r="6877" spans="1:4" ht="15" x14ac:dyDescent="0.25">
      <c r="A6877" t="s">
        <v>18135</v>
      </c>
      <c r="B6877">
        <v>3</v>
      </c>
      <c r="C6877">
        <v>167</v>
      </c>
      <c r="D6877">
        <v>55.666666666666664</v>
      </c>
    </row>
    <row r="6878" spans="1:4" ht="15" x14ac:dyDescent="0.25">
      <c r="A6878" t="s">
        <v>18136</v>
      </c>
      <c r="B6878">
        <v>1</v>
      </c>
      <c r="C6878">
        <v>35</v>
      </c>
      <c r="D6878">
        <v>35</v>
      </c>
    </row>
    <row r="6879" spans="1:4" ht="15" x14ac:dyDescent="0.25">
      <c r="A6879" t="s">
        <v>18139</v>
      </c>
      <c r="B6879">
        <v>1</v>
      </c>
      <c r="C6879">
        <v>8</v>
      </c>
      <c r="D6879">
        <v>8</v>
      </c>
    </row>
    <row r="6880" spans="1:4" ht="15" x14ac:dyDescent="0.25">
      <c r="A6880" t="s">
        <v>18147</v>
      </c>
      <c r="B6880">
        <v>1</v>
      </c>
      <c r="C6880">
        <v>67</v>
      </c>
      <c r="D6880">
        <v>67</v>
      </c>
    </row>
    <row r="6881" spans="1:4" ht="15" x14ac:dyDescent="0.25">
      <c r="A6881" t="s">
        <v>18149</v>
      </c>
      <c r="B6881">
        <v>3</v>
      </c>
      <c r="C6881">
        <v>105</v>
      </c>
      <c r="D6881">
        <v>35</v>
      </c>
    </row>
    <row r="6882" spans="1:4" ht="15" x14ac:dyDescent="0.25">
      <c r="A6882" t="s">
        <v>18150</v>
      </c>
      <c r="B6882">
        <v>2</v>
      </c>
      <c r="C6882">
        <v>127</v>
      </c>
      <c r="D6882">
        <v>63.5</v>
      </c>
    </row>
    <row r="6883" spans="1:4" ht="15" x14ac:dyDescent="0.25">
      <c r="A6883" t="s">
        <v>18148</v>
      </c>
      <c r="B6883">
        <v>1</v>
      </c>
      <c r="C6883">
        <v>67</v>
      </c>
      <c r="D6883">
        <v>67</v>
      </c>
    </row>
    <row r="6884" spans="1:4" ht="15" x14ac:dyDescent="0.25">
      <c r="A6884" t="s">
        <v>18155</v>
      </c>
      <c r="B6884">
        <v>1</v>
      </c>
      <c r="C6884">
        <v>24</v>
      </c>
      <c r="D6884">
        <v>24</v>
      </c>
    </row>
    <row r="6885" spans="1:4" ht="15" x14ac:dyDescent="0.25">
      <c r="A6885" t="s">
        <v>18154</v>
      </c>
      <c r="B6885">
        <v>1</v>
      </c>
      <c r="C6885">
        <v>24</v>
      </c>
      <c r="D6885">
        <v>24</v>
      </c>
    </row>
    <row r="6886" spans="1:4" ht="15" x14ac:dyDescent="0.25">
      <c r="A6886" t="s">
        <v>18159</v>
      </c>
      <c r="B6886">
        <v>1</v>
      </c>
      <c r="C6886">
        <v>8</v>
      </c>
      <c r="D6886">
        <v>8</v>
      </c>
    </row>
    <row r="6887" spans="1:4" ht="15" x14ac:dyDescent="0.25">
      <c r="A6887" t="s">
        <v>18165</v>
      </c>
      <c r="B6887">
        <v>1</v>
      </c>
      <c r="C6887">
        <v>918</v>
      </c>
      <c r="D6887">
        <v>918</v>
      </c>
    </row>
    <row r="6888" spans="1:4" ht="15" x14ac:dyDescent="0.25">
      <c r="A6888" t="s">
        <v>18164</v>
      </c>
      <c r="B6888">
        <v>1</v>
      </c>
      <c r="C6888">
        <v>918</v>
      </c>
      <c r="D6888">
        <v>918</v>
      </c>
    </row>
    <row r="6889" spans="1:4" ht="15" x14ac:dyDescent="0.25">
      <c r="A6889" t="s">
        <v>18173</v>
      </c>
      <c r="B6889">
        <v>1</v>
      </c>
      <c r="C6889">
        <v>5</v>
      </c>
      <c r="D6889">
        <v>5</v>
      </c>
    </row>
    <row r="6890" spans="1:4" ht="15" x14ac:dyDescent="0.25">
      <c r="A6890" t="s">
        <v>18174</v>
      </c>
      <c r="B6890">
        <v>1</v>
      </c>
      <c r="C6890">
        <v>5</v>
      </c>
      <c r="D6890">
        <v>5</v>
      </c>
    </row>
    <row r="6891" spans="1:4" ht="15" x14ac:dyDescent="0.25">
      <c r="A6891" t="s">
        <v>18175</v>
      </c>
      <c r="B6891">
        <v>1</v>
      </c>
      <c r="C6891">
        <v>5</v>
      </c>
      <c r="D6891">
        <v>5</v>
      </c>
    </row>
    <row r="6892" spans="1:4" ht="15" x14ac:dyDescent="0.25">
      <c r="A6892" t="s">
        <v>18178</v>
      </c>
      <c r="B6892">
        <v>1</v>
      </c>
      <c r="C6892">
        <v>293</v>
      </c>
      <c r="D6892">
        <v>293</v>
      </c>
    </row>
    <row r="6893" spans="1:4" ht="15" x14ac:dyDescent="0.25">
      <c r="A6893" t="s">
        <v>18179</v>
      </c>
      <c r="B6893">
        <v>1</v>
      </c>
      <c r="C6893">
        <v>293</v>
      </c>
      <c r="D6893">
        <v>293</v>
      </c>
    </row>
    <row r="6894" spans="1:4" ht="15" x14ac:dyDescent="0.25">
      <c r="A6894" t="s">
        <v>18182</v>
      </c>
      <c r="B6894">
        <v>1</v>
      </c>
      <c r="C6894">
        <v>60</v>
      </c>
      <c r="D6894">
        <v>60</v>
      </c>
    </row>
    <row r="6895" spans="1:4" ht="15" x14ac:dyDescent="0.25">
      <c r="A6895" t="s">
        <v>18188</v>
      </c>
      <c r="B6895">
        <v>1</v>
      </c>
      <c r="C6895">
        <v>54</v>
      </c>
      <c r="D6895">
        <v>54</v>
      </c>
    </row>
    <row r="6896" spans="1:4" ht="15" x14ac:dyDescent="0.25">
      <c r="A6896" t="s">
        <v>18196</v>
      </c>
      <c r="B6896">
        <v>1</v>
      </c>
      <c r="C6896">
        <v>24</v>
      </c>
      <c r="D6896">
        <v>24</v>
      </c>
    </row>
    <row r="6897" spans="1:4" ht="15" x14ac:dyDescent="0.25">
      <c r="A6897" t="s">
        <v>18197</v>
      </c>
      <c r="B6897">
        <v>1</v>
      </c>
      <c r="C6897">
        <v>24</v>
      </c>
      <c r="D6897">
        <v>24</v>
      </c>
    </row>
    <row r="6898" spans="1:4" ht="15" x14ac:dyDescent="0.25">
      <c r="A6898" t="s">
        <v>18205</v>
      </c>
      <c r="B6898">
        <v>1</v>
      </c>
      <c r="C6898">
        <v>95</v>
      </c>
      <c r="D6898">
        <v>95</v>
      </c>
    </row>
    <row r="6899" spans="1:4" ht="15" x14ac:dyDescent="0.25">
      <c r="A6899" t="s">
        <v>18206</v>
      </c>
      <c r="B6899">
        <v>1</v>
      </c>
      <c r="C6899">
        <v>95</v>
      </c>
      <c r="D6899">
        <v>95</v>
      </c>
    </row>
    <row r="6900" spans="1:4" ht="15" x14ac:dyDescent="0.25">
      <c r="A6900" t="s">
        <v>18204</v>
      </c>
      <c r="B6900">
        <v>1</v>
      </c>
      <c r="C6900">
        <v>95</v>
      </c>
      <c r="D6900">
        <v>95</v>
      </c>
    </row>
    <row r="6901" spans="1:4" ht="15" x14ac:dyDescent="0.25">
      <c r="A6901" t="s">
        <v>18214</v>
      </c>
      <c r="B6901">
        <v>1</v>
      </c>
      <c r="C6901">
        <v>1</v>
      </c>
      <c r="D6901">
        <v>1</v>
      </c>
    </row>
    <row r="6902" spans="1:4" ht="15" x14ac:dyDescent="0.25">
      <c r="A6902" t="s">
        <v>18215</v>
      </c>
      <c r="B6902">
        <v>1</v>
      </c>
      <c r="C6902">
        <v>1</v>
      </c>
      <c r="D6902">
        <v>1</v>
      </c>
    </row>
    <row r="6903" spans="1:4" ht="15" x14ac:dyDescent="0.25">
      <c r="A6903" t="s">
        <v>18219</v>
      </c>
      <c r="B6903">
        <v>1</v>
      </c>
      <c r="C6903">
        <v>27</v>
      </c>
      <c r="D6903">
        <v>27</v>
      </c>
    </row>
    <row r="6904" spans="1:4" ht="15" x14ac:dyDescent="0.25">
      <c r="A6904" t="s">
        <v>18220</v>
      </c>
      <c r="B6904">
        <v>1</v>
      </c>
      <c r="C6904">
        <v>27</v>
      </c>
      <c r="D6904">
        <v>27</v>
      </c>
    </row>
    <row r="6905" spans="1:4" ht="15" x14ac:dyDescent="0.25">
      <c r="A6905" t="s">
        <v>18225</v>
      </c>
      <c r="B6905">
        <v>2</v>
      </c>
      <c r="C6905">
        <v>1293</v>
      </c>
      <c r="D6905">
        <v>646.5</v>
      </c>
    </row>
    <row r="6906" spans="1:4" ht="15" x14ac:dyDescent="0.25">
      <c r="A6906" t="s">
        <v>18226</v>
      </c>
      <c r="B6906">
        <v>1</v>
      </c>
      <c r="C6906">
        <v>68</v>
      </c>
      <c r="D6906">
        <v>68</v>
      </c>
    </row>
    <row r="6907" spans="1:4" ht="15" x14ac:dyDescent="0.25">
      <c r="A6907" t="s">
        <v>18228</v>
      </c>
      <c r="B6907">
        <v>1</v>
      </c>
      <c r="C6907">
        <v>68</v>
      </c>
      <c r="D6907">
        <v>68</v>
      </c>
    </row>
    <row r="6908" spans="1:4" ht="15" x14ac:dyDescent="0.25">
      <c r="A6908" t="s">
        <v>18227</v>
      </c>
      <c r="B6908">
        <v>1</v>
      </c>
      <c r="C6908">
        <v>68</v>
      </c>
      <c r="D6908">
        <v>68</v>
      </c>
    </row>
    <row r="6909" spans="1:4" ht="15" x14ac:dyDescent="0.25">
      <c r="A6909" t="s">
        <v>18232</v>
      </c>
      <c r="B6909">
        <v>1</v>
      </c>
      <c r="C6909">
        <v>13</v>
      </c>
      <c r="D6909">
        <v>13</v>
      </c>
    </row>
    <row r="6910" spans="1:4" ht="15" x14ac:dyDescent="0.25">
      <c r="A6910" t="s">
        <v>18234</v>
      </c>
      <c r="B6910">
        <v>1</v>
      </c>
      <c r="C6910">
        <v>13</v>
      </c>
      <c r="D6910">
        <v>13</v>
      </c>
    </row>
    <row r="6911" spans="1:4" ht="15" x14ac:dyDescent="0.25">
      <c r="A6911" t="s">
        <v>18233</v>
      </c>
      <c r="B6911">
        <v>1</v>
      </c>
      <c r="C6911">
        <v>13</v>
      </c>
      <c r="D6911">
        <v>13</v>
      </c>
    </row>
    <row r="6912" spans="1:4" ht="15" x14ac:dyDescent="0.25">
      <c r="A6912" t="s">
        <v>18242</v>
      </c>
      <c r="B6912">
        <v>1</v>
      </c>
      <c r="C6912">
        <v>6</v>
      </c>
      <c r="D6912">
        <v>6</v>
      </c>
    </row>
    <row r="6913" spans="1:4" ht="15" x14ac:dyDescent="0.25">
      <c r="A6913" t="s">
        <v>18241</v>
      </c>
      <c r="B6913">
        <v>1</v>
      </c>
      <c r="C6913">
        <v>6</v>
      </c>
      <c r="D6913">
        <v>6</v>
      </c>
    </row>
    <row r="6914" spans="1:4" ht="15" x14ac:dyDescent="0.25">
      <c r="A6914" t="s">
        <v>18247</v>
      </c>
      <c r="B6914">
        <v>1</v>
      </c>
      <c r="C6914">
        <v>56</v>
      </c>
      <c r="D6914">
        <v>56</v>
      </c>
    </row>
    <row r="6915" spans="1:4" ht="15" x14ac:dyDescent="0.25">
      <c r="A6915" t="s">
        <v>18249</v>
      </c>
      <c r="B6915">
        <v>1</v>
      </c>
      <c r="C6915">
        <v>56</v>
      </c>
      <c r="D6915">
        <v>56</v>
      </c>
    </row>
    <row r="6916" spans="1:4" ht="15" x14ac:dyDescent="0.25">
      <c r="A6916" t="s">
        <v>18250</v>
      </c>
      <c r="B6916">
        <v>1</v>
      </c>
      <c r="C6916">
        <v>56</v>
      </c>
      <c r="D6916">
        <v>56</v>
      </c>
    </row>
    <row r="6917" spans="1:4" ht="15" x14ac:dyDescent="0.25">
      <c r="A6917" t="s">
        <v>18248</v>
      </c>
      <c r="B6917">
        <v>1</v>
      </c>
      <c r="C6917">
        <v>56</v>
      </c>
      <c r="D6917">
        <v>56</v>
      </c>
    </row>
    <row r="6918" spans="1:4" ht="15" x14ac:dyDescent="0.25">
      <c r="A6918" t="s">
        <v>18253</v>
      </c>
      <c r="B6918">
        <v>1</v>
      </c>
      <c r="C6918">
        <v>26</v>
      </c>
      <c r="D6918">
        <v>26</v>
      </c>
    </row>
    <row r="6919" spans="1:4" ht="15" x14ac:dyDescent="0.25">
      <c r="A6919" t="s">
        <v>18257</v>
      </c>
      <c r="B6919">
        <v>1</v>
      </c>
      <c r="C6919">
        <v>23</v>
      </c>
      <c r="D6919">
        <v>23</v>
      </c>
    </row>
    <row r="6920" spans="1:4" ht="15" x14ac:dyDescent="0.25">
      <c r="A6920" t="s">
        <v>18258</v>
      </c>
      <c r="B6920">
        <v>1</v>
      </c>
      <c r="C6920">
        <v>23</v>
      </c>
      <c r="D6920">
        <v>23</v>
      </c>
    </row>
    <row r="6921" spans="1:4" ht="15" x14ac:dyDescent="0.25">
      <c r="A6921" t="s">
        <v>18261</v>
      </c>
      <c r="B6921">
        <v>1</v>
      </c>
      <c r="C6921">
        <v>20</v>
      </c>
      <c r="D6921">
        <v>20</v>
      </c>
    </row>
    <row r="6922" spans="1:4" ht="15" x14ac:dyDescent="0.25">
      <c r="A6922" t="s">
        <v>18262</v>
      </c>
      <c r="B6922">
        <v>1</v>
      </c>
      <c r="C6922">
        <v>20</v>
      </c>
      <c r="D6922">
        <v>20</v>
      </c>
    </row>
    <row r="6923" spans="1:4" ht="15" x14ac:dyDescent="0.25">
      <c r="A6923" t="s">
        <v>18265</v>
      </c>
      <c r="B6923">
        <v>1</v>
      </c>
      <c r="C6923">
        <v>18</v>
      </c>
      <c r="D6923">
        <v>18</v>
      </c>
    </row>
    <row r="6924" spans="1:4" ht="15" x14ac:dyDescent="0.25">
      <c r="A6924" t="s">
        <v>18269</v>
      </c>
      <c r="B6924">
        <v>1</v>
      </c>
      <c r="C6924">
        <v>29</v>
      </c>
      <c r="D6924">
        <v>29</v>
      </c>
    </row>
    <row r="6925" spans="1:4" ht="15" x14ac:dyDescent="0.25">
      <c r="A6925" t="s">
        <v>18271</v>
      </c>
      <c r="B6925">
        <v>1</v>
      </c>
      <c r="C6925">
        <v>29</v>
      </c>
      <c r="D6925">
        <v>29</v>
      </c>
    </row>
    <row r="6926" spans="1:4" ht="15" x14ac:dyDescent="0.25">
      <c r="A6926" t="s">
        <v>18272</v>
      </c>
      <c r="B6926">
        <v>3</v>
      </c>
      <c r="C6926">
        <v>40</v>
      </c>
      <c r="D6926">
        <v>13.333333333333334</v>
      </c>
    </row>
    <row r="6927" spans="1:4" ht="15" x14ac:dyDescent="0.25">
      <c r="A6927" t="s">
        <v>18270</v>
      </c>
      <c r="B6927">
        <v>1</v>
      </c>
      <c r="C6927">
        <v>29</v>
      </c>
      <c r="D6927">
        <v>29</v>
      </c>
    </row>
    <row r="6928" spans="1:4" ht="15" x14ac:dyDescent="0.25">
      <c r="A6928" t="s">
        <v>18275</v>
      </c>
      <c r="B6928">
        <v>1</v>
      </c>
      <c r="C6928">
        <v>34</v>
      </c>
      <c r="D6928">
        <v>34</v>
      </c>
    </row>
    <row r="6929" spans="1:4" ht="15" x14ac:dyDescent="0.25">
      <c r="A6929" t="s">
        <v>18279</v>
      </c>
      <c r="B6929">
        <v>1</v>
      </c>
      <c r="C6929">
        <v>14</v>
      </c>
      <c r="D6929">
        <v>14</v>
      </c>
    </row>
    <row r="6930" spans="1:4" ht="15" x14ac:dyDescent="0.25">
      <c r="A6930" t="s">
        <v>18283</v>
      </c>
      <c r="B6930">
        <v>1</v>
      </c>
      <c r="C6930">
        <v>61</v>
      </c>
      <c r="D6930">
        <v>61</v>
      </c>
    </row>
    <row r="6931" spans="1:4" ht="15" x14ac:dyDescent="0.25">
      <c r="A6931" t="s">
        <v>18286</v>
      </c>
      <c r="B6931">
        <v>4</v>
      </c>
      <c r="C6931">
        <v>207</v>
      </c>
      <c r="D6931">
        <v>51.75</v>
      </c>
    </row>
    <row r="6932" spans="1:4" ht="15" x14ac:dyDescent="0.25">
      <c r="A6932" t="s">
        <v>18290</v>
      </c>
      <c r="B6932">
        <v>1</v>
      </c>
      <c r="C6932">
        <v>132</v>
      </c>
      <c r="D6932">
        <v>132</v>
      </c>
    </row>
    <row r="6933" spans="1:4" ht="15" x14ac:dyDescent="0.25">
      <c r="A6933" t="s">
        <v>18293</v>
      </c>
      <c r="B6933">
        <v>1</v>
      </c>
      <c r="C6933">
        <v>26</v>
      </c>
      <c r="D6933">
        <v>26</v>
      </c>
    </row>
    <row r="6934" spans="1:4" ht="15" x14ac:dyDescent="0.25">
      <c r="A6934" t="s">
        <v>18302</v>
      </c>
      <c r="B6934">
        <v>1</v>
      </c>
      <c r="C6934">
        <v>8</v>
      </c>
      <c r="D6934">
        <v>8</v>
      </c>
    </row>
    <row r="6935" spans="1:4" ht="15" x14ac:dyDescent="0.25">
      <c r="A6935" t="s">
        <v>18303</v>
      </c>
      <c r="B6935">
        <v>1</v>
      </c>
      <c r="C6935">
        <v>8</v>
      </c>
      <c r="D6935">
        <v>8</v>
      </c>
    </row>
    <row r="6936" spans="1:4" ht="15" x14ac:dyDescent="0.25">
      <c r="A6936" t="s">
        <v>18304</v>
      </c>
      <c r="B6936">
        <v>3</v>
      </c>
      <c r="C6936">
        <v>82</v>
      </c>
      <c r="D6936">
        <v>27.333333333333332</v>
      </c>
    </row>
    <row r="6937" spans="1:4" ht="15" x14ac:dyDescent="0.25">
      <c r="A6937" t="s">
        <v>18305</v>
      </c>
      <c r="B6937">
        <v>1</v>
      </c>
      <c r="C6937">
        <v>8</v>
      </c>
      <c r="D6937">
        <v>8</v>
      </c>
    </row>
    <row r="6938" spans="1:4" ht="15" x14ac:dyDescent="0.25">
      <c r="A6938" t="s">
        <v>18308</v>
      </c>
      <c r="B6938">
        <v>1</v>
      </c>
      <c r="C6938">
        <v>73</v>
      </c>
      <c r="D6938">
        <v>73</v>
      </c>
    </row>
    <row r="6939" spans="1:4" ht="15" x14ac:dyDescent="0.25">
      <c r="A6939" t="s">
        <v>18315</v>
      </c>
      <c r="B6939">
        <v>1</v>
      </c>
      <c r="C6939">
        <v>24</v>
      </c>
      <c r="D6939">
        <v>24</v>
      </c>
    </row>
    <row r="6940" spans="1:4" ht="15" x14ac:dyDescent="0.25">
      <c r="A6940" t="s">
        <v>18316</v>
      </c>
      <c r="B6940">
        <v>1</v>
      </c>
      <c r="C6940">
        <v>24</v>
      </c>
      <c r="D6940">
        <v>24</v>
      </c>
    </row>
    <row r="6941" spans="1:4" ht="15" x14ac:dyDescent="0.25">
      <c r="A6941" t="s">
        <v>18320</v>
      </c>
      <c r="B6941">
        <v>1</v>
      </c>
      <c r="C6941">
        <v>65</v>
      </c>
      <c r="D6941">
        <v>65</v>
      </c>
    </row>
    <row r="6942" spans="1:4" ht="15" x14ac:dyDescent="0.25">
      <c r="A6942" t="s">
        <v>18321</v>
      </c>
      <c r="B6942">
        <v>1</v>
      </c>
      <c r="C6942">
        <v>65</v>
      </c>
      <c r="D6942">
        <v>65</v>
      </c>
    </row>
    <row r="6943" spans="1:4" ht="15" x14ac:dyDescent="0.25">
      <c r="A6943" t="s">
        <v>18322</v>
      </c>
      <c r="B6943">
        <v>1</v>
      </c>
      <c r="C6943">
        <v>65</v>
      </c>
      <c r="D6943">
        <v>65</v>
      </c>
    </row>
    <row r="6944" spans="1:4" ht="15" x14ac:dyDescent="0.25">
      <c r="A6944" t="s">
        <v>18325</v>
      </c>
      <c r="B6944">
        <v>1</v>
      </c>
      <c r="C6944">
        <v>50</v>
      </c>
      <c r="D6944">
        <v>50</v>
      </c>
    </row>
    <row r="6945" spans="1:4" ht="15" x14ac:dyDescent="0.25">
      <c r="A6945" t="s">
        <v>18326</v>
      </c>
      <c r="B6945">
        <v>1</v>
      </c>
      <c r="C6945">
        <v>50</v>
      </c>
      <c r="D6945">
        <v>50</v>
      </c>
    </row>
    <row r="6946" spans="1:4" ht="15" x14ac:dyDescent="0.25">
      <c r="A6946" t="s">
        <v>18330</v>
      </c>
      <c r="B6946">
        <v>1</v>
      </c>
      <c r="C6946">
        <v>12</v>
      </c>
      <c r="D6946">
        <v>12</v>
      </c>
    </row>
    <row r="6947" spans="1:4" ht="15" x14ac:dyDescent="0.25">
      <c r="A6947" t="s">
        <v>18331</v>
      </c>
      <c r="B6947">
        <v>1</v>
      </c>
      <c r="C6947">
        <v>12</v>
      </c>
      <c r="D6947">
        <v>12</v>
      </c>
    </row>
    <row r="6948" spans="1:4" ht="15" x14ac:dyDescent="0.25">
      <c r="A6948" t="s">
        <v>18335</v>
      </c>
      <c r="B6948">
        <v>2</v>
      </c>
      <c r="C6948">
        <v>74</v>
      </c>
      <c r="D6948">
        <v>37</v>
      </c>
    </row>
    <row r="6949" spans="1:4" ht="15" x14ac:dyDescent="0.25">
      <c r="A6949" t="s">
        <v>18338</v>
      </c>
      <c r="B6949">
        <v>1</v>
      </c>
      <c r="C6949">
        <v>15</v>
      </c>
      <c r="D6949">
        <v>15</v>
      </c>
    </row>
    <row r="6950" spans="1:4" ht="15" x14ac:dyDescent="0.25">
      <c r="A6950" t="s">
        <v>18343</v>
      </c>
      <c r="B6950">
        <v>2</v>
      </c>
      <c r="C6950">
        <v>47</v>
      </c>
      <c r="D6950">
        <v>23.5</v>
      </c>
    </row>
    <row r="6951" spans="1:4" ht="15" x14ac:dyDescent="0.25">
      <c r="A6951" t="s">
        <v>18347</v>
      </c>
      <c r="B6951">
        <v>1</v>
      </c>
      <c r="C6951">
        <v>31</v>
      </c>
      <c r="D6951">
        <v>31</v>
      </c>
    </row>
    <row r="6952" spans="1:4" ht="15" x14ac:dyDescent="0.25">
      <c r="A6952" t="s">
        <v>18352</v>
      </c>
      <c r="B6952">
        <v>1</v>
      </c>
      <c r="C6952">
        <v>11</v>
      </c>
      <c r="D6952">
        <v>11</v>
      </c>
    </row>
    <row r="6953" spans="1:4" ht="15" x14ac:dyDescent="0.25">
      <c r="A6953" t="s">
        <v>18351</v>
      </c>
      <c r="B6953">
        <v>2</v>
      </c>
      <c r="C6953">
        <v>45</v>
      </c>
      <c r="D6953">
        <v>22.5</v>
      </c>
    </row>
    <row r="6954" spans="1:4" ht="15" x14ac:dyDescent="0.25">
      <c r="A6954" t="s">
        <v>18357</v>
      </c>
      <c r="B6954">
        <v>1</v>
      </c>
      <c r="C6954">
        <v>25</v>
      </c>
      <c r="D6954">
        <v>25</v>
      </c>
    </row>
    <row r="6955" spans="1:4" ht="15" x14ac:dyDescent="0.25">
      <c r="A6955" t="s">
        <v>18356</v>
      </c>
      <c r="B6955">
        <v>1</v>
      </c>
      <c r="C6955">
        <v>25</v>
      </c>
      <c r="D6955">
        <v>25</v>
      </c>
    </row>
    <row r="6956" spans="1:4" ht="15" x14ac:dyDescent="0.25">
      <c r="A6956" t="s">
        <v>18360</v>
      </c>
      <c r="B6956">
        <v>1</v>
      </c>
      <c r="C6956">
        <v>50</v>
      </c>
      <c r="D6956">
        <v>50</v>
      </c>
    </row>
    <row r="6957" spans="1:4" ht="15" x14ac:dyDescent="0.25">
      <c r="A6957" t="s">
        <v>18361</v>
      </c>
      <c r="B6957">
        <v>1</v>
      </c>
      <c r="C6957">
        <v>50</v>
      </c>
      <c r="D6957">
        <v>50</v>
      </c>
    </row>
    <row r="6958" spans="1:4" ht="15" x14ac:dyDescent="0.25">
      <c r="A6958" t="s">
        <v>18363</v>
      </c>
      <c r="B6958">
        <v>1</v>
      </c>
      <c r="C6958">
        <v>50</v>
      </c>
      <c r="D6958">
        <v>50</v>
      </c>
    </row>
    <row r="6959" spans="1:4" ht="15" x14ac:dyDescent="0.25">
      <c r="A6959" t="s">
        <v>18364</v>
      </c>
      <c r="B6959">
        <v>1</v>
      </c>
      <c r="C6959">
        <v>50</v>
      </c>
      <c r="D6959">
        <v>50</v>
      </c>
    </row>
    <row r="6960" spans="1:4" ht="15" x14ac:dyDescent="0.25">
      <c r="A6960" t="s">
        <v>18362</v>
      </c>
      <c r="B6960">
        <v>1</v>
      </c>
      <c r="C6960">
        <v>50</v>
      </c>
      <c r="D6960">
        <v>50</v>
      </c>
    </row>
    <row r="6961" spans="1:4" ht="15" x14ac:dyDescent="0.25">
      <c r="A6961" t="s">
        <v>18370</v>
      </c>
      <c r="B6961">
        <v>1</v>
      </c>
      <c r="C6961">
        <v>330</v>
      </c>
      <c r="D6961">
        <v>330</v>
      </c>
    </row>
    <row r="6962" spans="1:4" ht="15" x14ac:dyDescent="0.25">
      <c r="A6962" t="s">
        <v>18371</v>
      </c>
      <c r="B6962">
        <v>1</v>
      </c>
      <c r="C6962">
        <v>330</v>
      </c>
      <c r="D6962">
        <v>330</v>
      </c>
    </row>
    <row r="6963" spans="1:4" ht="15" x14ac:dyDescent="0.25">
      <c r="A6963" t="s">
        <v>18375</v>
      </c>
      <c r="B6963">
        <v>1</v>
      </c>
      <c r="C6963">
        <v>16</v>
      </c>
      <c r="D6963">
        <v>16</v>
      </c>
    </row>
    <row r="6964" spans="1:4" ht="15" x14ac:dyDescent="0.25">
      <c r="A6964" t="s">
        <v>18372</v>
      </c>
      <c r="B6964">
        <v>1</v>
      </c>
      <c r="C6964">
        <v>16</v>
      </c>
      <c r="D6964">
        <v>16</v>
      </c>
    </row>
    <row r="6965" spans="1:4" ht="15" x14ac:dyDescent="0.25">
      <c r="A6965" t="s">
        <v>18377</v>
      </c>
      <c r="B6965">
        <v>1</v>
      </c>
      <c r="C6965">
        <v>16</v>
      </c>
      <c r="D6965">
        <v>16</v>
      </c>
    </row>
    <row r="6966" spans="1:4" ht="15" x14ac:dyDescent="0.25">
      <c r="A6966" t="s">
        <v>18376</v>
      </c>
      <c r="B6966">
        <v>2</v>
      </c>
      <c r="C6966">
        <v>192</v>
      </c>
      <c r="D6966">
        <v>96</v>
      </c>
    </row>
    <row r="6967" spans="1:4" ht="15" x14ac:dyDescent="0.25">
      <c r="A6967" t="s">
        <v>18381</v>
      </c>
      <c r="B6967">
        <v>1</v>
      </c>
      <c r="C6967">
        <v>51</v>
      </c>
      <c r="D6967">
        <v>51</v>
      </c>
    </row>
    <row r="6968" spans="1:4" ht="15" x14ac:dyDescent="0.25">
      <c r="A6968" t="s">
        <v>18382</v>
      </c>
      <c r="B6968">
        <v>1</v>
      </c>
      <c r="C6968">
        <v>51</v>
      </c>
      <c r="D6968">
        <v>51</v>
      </c>
    </row>
    <row r="6969" spans="1:4" ht="15" x14ac:dyDescent="0.25">
      <c r="A6969" t="s">
        <v>18383</v>
      </c>
      <c r="B6969">
        <v>2</v>
      </c>
      <c r="C6969">
        <v>93</v>
      </c>
      <c r="D6969">
        <v>46.5</v>
      </c>
    </row>
    <row r="6970" spans="1:4" ht="15" x14ac:dyDescent="0.25">
      <c r="A6970" t="s">
        <v>18386</v>
      </c>
      <c r="B6970">
        <v>1</v>
      </c>
      <c r="C6970">
        <v>30</v>
      </c>
      <c r="D6970">
        <v>30</v>
      </c>
    </row>
    <row r="6971" spans="1:4" ht="15" x14ac:dyDescent="0.25">
      <c r="A6971" t="s">
        <v>18390</v>
      </c>
      <c r="B6971">
        <v>1</v>
      </c>
      <c r="C6971">
        <v>40</v>
      </c>
      <c r="D6971">
        <v>40</v>
      </c>
    </row>
    <row r="6972" spans="1:4" ht="15" x14ac:dyDescent="0.25">
      <c r="A6972" t="s">
        <v>18391</v>
      </c>
      <c r="B6972">
        <v>1</v>
      </c>
      <c r="C6972">
        <v>40</v>
      </c>
      <c r="D6972">
        <v>40</v>
      </c>
    </row>
    <row r="6973" spans="1:4" ht="15" x14ac:dyDescent="0.25">
      <c r="A6973" t="s">
        <v>18392</v>
      </c>
      <c r="B6973">
        <v>1</v>
      </c>
      <c r="C6973">
        <v>40</v>
      </c>
      <c r="D6973">
        <v>40</v>
      </c>
    </row>
    <row r="6974" spans="1:4" ht="15" x14ac:dyDescent="0.25">
      <c r="A6974" t="s">
        <v>18395</v>
      </c>
      <c r="B6974">
        <v>1</v>
      </c>
      <c r="C6974">
        <v>29</v>
      </c>
      <c r="D6974">
        <v>29</v>
      </c>
    </row>
    <row r="6975" spans="1:4" ht="15" x14ac:dyDescent="0.25">
      <c r="A6975" t="s">
        <v>18398</v>
      </c>
      <c r="B6975">
        <v>1</v>
      </c>
      <c r="C6975">
        <v>60</v>
      </c>
      <c r="D6975">
        <v>60</v>
      </c>
    </row>
    <row r="6976" spans="1:4" ht="15" x14ac:dyDescent="0.25">
      <c r="A6976" t="s">
        <v>18399</v>
      </c>
      <c r="B6976">
        <v>2</v>
      </c>
      <c r="C6976">
        <v>116</v>
      </c>
      <c r="D6976">
        <v>58</v>
      </c>
    </row>
    <row r="6977" spans="1:4" ht="15" x14ac:dyDescent="0.25">
      <c r="A6977" t="s">
        <v>18401</v>
      </c>
      <c r="B6977">
        <v>2</v>
      </c>
      <c r="C6977">
        <v>116</v>
      </c>
      <c r="D6977">
        <v>58</v>
      </c>
    </row>
    <row r="6978" spans="1:4" ht="15" x14ac:dyDescent="0.25">
      <c r="A6978" t="s">
        <v>18400</v>
      </c>
      <c r="B6978">
        <v>2</v>
      </c>
      <c r="C6978">
        <v>89</v>
      </c>
      <c r="D6978">
        <v>44.5</v>
      </c>
    </row>
    <row r="6979" spans="1:4" ht="15" x14ac:dyDescent="0.25">
      <c r="A6979" t="s">
        <v>18404</v>
      </c>
      <c r="B6979">
        <v>1</v>
      </c>
      <c r="C6979">
        <v>38</v>
      </c>
      <c r="D6979">
        <v>38</v>
      </c>
    </row>
    <row r="6980" spans="1:4" ht="15" x14ac:dyDescent="0.25">
      <c r="A6980" t="s">
        <v>18410</v>
      </c>
      <c r="B6980">
        <v>1</v>
      </c>
      <c r="C6980">
        <v>11</v>
      </c>
      <c r="D6980">
        <v>11</v>
      </c>
    </row>
    <row r="6981" spans="1:4" ht="15" x14ac:dyDescent="0.25">
      <c r="A6981" t="s">
        <v>18413</v>
      </c>
      <c r="B6981">
        <v>1</v>
      </c>
      <c r="C6981">
        <v>41</v>
      </c>
      <c r="D6981">
        <v>41</v>
      </c>
    </row>
    <row r="6982" spans="1:4" ht="15" x14ac:dyDescent="0.25">
      <c r="A6982" t="s">
        <v>18415</v>
      </c>
      <c r="B6982">
        <v>2</v>
      </c>
      <c r="C6982">
        <v>66</v>
      </c>
      <c r="D6982">
        <v>33</v>
      </c>
    </row>
    <row r="6983" spans="1:4" ht="15" x14ac:dyDescent="0.25">
      <c r="A6983" t="s">
        <v>18416</v>
      </c>
      <c r="B6983">
        <v>2</v>
      </c>
      <c r="C6983">
        <v>66</v>
      </c>
      <c r="D6983">
        <v>33</v>
      </c>
    </row>
    <row r="6984" spans="1:4" ht="15" x14ac:dyDescent="0.25">
      <c r="A6984" t="s">
        <v>18414</v>
      </c>
      <c r="B6984">
        <v>1</v>
      </c>
      <c r="C6984">
        <v>41</v>
      </c>
      <c r="D6984">
        <v>41</v>
      </c>
    </row>
    <row r="6985" spans="1:4" ht="15" x14ac:dyDescent="0.25">
      <c r="A6985" t="s">
        <v>18419</v>
      </c>
      <c r="B6985">
        <v>4</v>
      </c>
      <c r="C6985">
        <v>88</v>
      </c>
      <c r="D6985">
        <v>22</v>
      </c>
    </row>
    <row r="6986" spans="1:4" ht="15" x14ac:dyDescent="0.25">
      <c r="A6986" t="s">
        <v>18420</v>
      </c>
      <c r="B6986">
        <v>3</v>
      </c>
      <c r="C6986">
        <v>75</v>
      </c>
      <c r="D6986">
        <v>25</v>
      </c>
    </row>
    <row r="6987" spans="1:4" ht="15" x14ac:dyDescent="0.25">
      <c r="A6987" t="s">
        <v>18421</v>
      </c>
      <c r="B6987">
        <v>2</v>
      </c>
      <c r="C6987">
        <v>57</v>
      </c>
      <c r="D6987">
        <v>28.5</v>
      </c>
    </row>
    <row r="6988" spans="1:4" ht="15" x14ac:dyDescent="0.25">
      <c r="A6988" t="s">
        <v>18427</v>
      </c>
      <c r="B6988">
        <v>8</v>
      </c>
      <c r="C6988">
        <v>558</v>
      </c>
      <c r="D6988">
        <v>69.75</v>
      </c>
    </row>
    <row r="6989" spans="1:4" ht="15" x14ac:dyDescent="0.25">
      <c r="A6989" t="s">
        <v>18432</v>
      </c>
      <c r="B6989">
        <v>1</v>
      </c>
      <c r="C6989">
        <v>58</v>
      </c>
      <c r="D6989">
        <v>58</v>
      </c>
    </row>
    <row r="6990" spans="1:4" ht="15" x14ac:dyDescent="0.25">
      <c r="A6990" t="s">
        <v>18433</v>
      </c>
      <c r="B6990">
        <v>1</v>
      </c>
      <c r="C6990">
        <v>58</v>
      </c>
      <c r="D6990">
        <v>58</v>
      </c>
    </row>
    <row r="6991" spans="1:4" ht="15" x14ac:dyDescent="0.25">
      <c r="A6991" t="s">
        <v>18434</v>
      </c>
      <c r="B6991">
        <v>1</v>
      </c>
      <c r="C6991">
        <v>58</v>
      </c>
      <c r="D6991">
        <v>58</v>
      </c>
    </row>
    <row r="6992" spans="1:4" ht="15" x14ac:dyDescent="0.25">
      <c r="A6992" t="s">
        <v>18435</v>
      </c>
      <c r="B6992">
        <v>1</v>
      </c>
      <c r="C6992">
        <v>58</v>
      </c>
      <c r="D6992">
        <v>58</v>
      </c>
    </row>
    <row r="6993" spans="1:4" ht="15" x14ac:dyDescent="0.25">
      <c r="A6993" t="s">
        <v>18439</v>
      </c>
      <c r="B6993">
        <v>1</v>
      </c>
      <c r="C6993">
        <v>8</v>
      </c>
      <c r="D6993">
        <v>8</v>
      </c>
    </row>
    <row r="6994" spans="1:4" ht="15" x14ac:dyDescent="0.25">
      <c r="A6994" t="s">
        <v>18440</v>
      </c>
      <c r="B6994">
        <v>1</v>
      </c>
      <c r="C6994">
        <v>8</v>
      </c>
      <c r="D6994">
        <v>8</v>
      </c>
    </row>
    <row r="6995" spans="1:4" ht="15" x14ac:dyDescent="0.25">
      <c r="A6995" t="s">
        <v>18441</v>
      </c>
      <c r="B6995">
        <v>1</v>
      </c>
      <c r="C6995">
        <v>8</v>
      </c>
      <c r="D6995">
        <v>8</v>
      </c>
    </row>
    <row r="6996" spans="1:4" ht="15" x14ac:dyDescent="0.25">
      <c r="A6996" t="s">
        <v>18442</v>
      </c>
      <c r="B6996">
        <v>1</v>
      </c>
      <c r="C6996">
        <v>8</v>
      </c>
      <c r="D6996">
        <v>8</v>
      </c>
    </row>
    <row r="6997" spans="1:4" ht="15" x14ac:dyDescent="0.25">
      <c r="A6997" t="s">
        <v>18445</v>
      </c>
      <c r="B6997">
        <v>2</v>
      </c>
      <c r="C6997">
        <v>95</v>
      </c>
      <c r="D6997">
        <v>47.5</v>
      </c>
    </row>
    <row r="6998" spans="1:4" ht="15" x14ac:dyDescent="0.25">
      <c r="A6998" t="s">
        <v>18446</v>
      </c>
      <c r="B6998">
        <v>5</v>
      </c>
      <c r="C6998">
        <v>182</v>
      </c>
      <c r="D6998">
        <v>36.4</v>
      </c>
    </row>
    <row r="6999" spans="1:4" ht="15" x14ac:dyDescent="0.25">
      <c r="A6999" t="s">
        <v>18450</v>
      </c>
      <c r="B6999">
        <v>5</v>
      </c>
      <c r="C6999">
        <v>253</v>
      </c>
      <c r="D6999">
        <v>50.6</v>
      </c>
    </row>
    <row r="7000" spans="1:4" ht="15" x14ac:dyDescent="0.25">
      <c r="A7000" t="s">
        <v>18449</v>
      </c>
      <c r="B7000">
        <v>6</v>
      </c>
      <c r="C7000">
        <v>381</v>
      </c>
      <c r="D7000">
        <v>63.5</v>
      </c>
    </row>
    <row r="7001" spans="1:4" ht="15" x14ac:dyDescent="0.25">
      <c r="A7001" t="s">
        <v>18454</v>
      </c>
      <c r="B7001">
        <v>2</v>
      </c>
      <c r="C7001">
        <v>42</v>
      </c>
      <c r="D7001">
        <v>21</v>
      </c>
    </row>
    <row r="7002" spans="1:4" ht="15" x14ac:dyDescent="0.25">
      <c r="A7002" t="s">
        <v>18455</v>
      </c>
      <c r="B7002">
        <v>2</v>
      </c>
      <c r="C7002">
        <v>42</v>
      </c>
      <c r="D7002">
        <v>21</v>
      </c>
    </row>
    <row r="7003" spans="1:4" ht="15" x14ac:dyDescent="0.25">
      <c r="A7003" t="s">
        <v>18458</v>
      </c>
      <c r="B7003">
        <v>1</v>
      </c>
      <c r="C7003">
        <v>59</v>
      </c>
      <c r="D7003">
        <v>59</v>
      </c>
    </row>
    <row r="7004" spans="1:4" ht="15" x14ac:dyDescent="0.25">
      <c r="A7004" t="s">
        <v>18460</v>
      </c>
      <c r="B7004">
        <v>1</v>
      </c>
      <c r="C7004">
        <v>59</v>
      </c>
      <c r="D7004">
        <v>59</v>
      </c>
    </row>
    <row r="7005" spans="1:4" ht="15" x14ac:dyDescent="0.25">
      <c r="A7005" t="s">
        <v>18459</v>
      </c>
      <c r="B7005">
        <v>1</v>
      </c>
      <c r="C7005">
        <v>59</v>
      </c>
      <c r="D7005">
        <v>59</v>
      </c>
    </row>
    <row r="7006" spans="1:4" ht="15" x14ac:dyDescent="0.25">
      <c r="A7006" t="s">
        <v>18463</v>
      </c>
      <c r="B7006">
        <v>1</v>
      </c>
      <c r="C7006">
        <v>42</v>
      </c>
      <c r="D7006">
        <v>42</v>
      </c>
    </row>
    <row r="7007" spans="1:4" ht="15" x14ac:dyDescent="0.25">
      <c r="A7007" t="s">
        <v>18468</v>
      </c>
      <c r="B7007">
        <v>1</v>
      </c>
      <c r="C7007">
        <v>41</v>
      </c>
      <c r="D7007">
        <v>41</v>
      </c>
    </row>
    <row r="7008" spans="1:4" ht="15" x14ac:dyDescent="0.25">
      <c r="A7008" t="s">
        <v>18469</v>
      </c>
      <c r="B7008">
        <v>1</v>
      </c>
      <c r="C7008">
        <v>41</v>
      </c>
      <c r="D7008">
        <v>41</v>
      </c>
    </row>
    <row r="7009" spans="1:4" ht="15" x14ac:dyDescent="0.25">
      <c r="A7009" t="s">
        <v>18471</v>
      </c>
      <c r="B7009">
        <v>1</v>
      </c>
      <c r="C7009">
        <v>41</v>
      </c>
      <c r="D7009">
        <v>41</v>
      </c>
    </row>
    <row r="7010" spans="1:4" ht="15" x14ac:dyDescent="0.25">
      <c r="A7010" t="s">
        <v>18472</v>
      </c>
      <c r="B7010">
        <v>2</v>
      </c>
      <c r="C7010">
        <v>48</v>
      </c>
      <c r="D7010">
        <v>24</v>
      </c>
    </row>
    <row r="7011" spans="1:4" ht="15" x14ac:dyDescent="0.25">
      <c r="A7011" t="s">
        <v>18470</v>
      </c>
      <c r="B7011">
        <v>1</v>
      </c>
      <c r="C7011">
        <v>41</v>
      </c>
      <c r="D7011">
        <v>41</v>
      </c>
    </row>
    <row r="7012" spans="1:4" ht="15" x14ac:dyDescent="0.25">
      <c r="A7012" t="s">
        <v>18479</v>
      </c>
      <c r="B7012">
        <v>1</v>
      </c>
      <c r="C7012">
        <v>25</v>
      </c>
      <c r="D7012">
        <v>25</v>
      </c>
    </row>
    <row r="7013" spans="1:4" ht="15" x14ac:dyDescent="0.25">
      <c r="A7013" t="s">
        <v>18481</v>
      </c>
      <c r="B7013">
        <v>1</v>
      </c>
      <c r="C7013">
        <v>25</v>
      </c>
      <c r="D7013">
        <v>25</v>
      </c>
    </row>
    <row r="7014" spans="1:4" ht="15" x14ac:dyDescent="0.25">
      <c r="A7014" t="s">
        <v>18480</v>
      </c>
      <c r="B7014">
        <v>1</v>
      </c>
      <c r="C7014">
        <v>25</v>
      </c>
      <c r="D7014">
        <v>25</v>
      </c>
    </row>
    <row r="7015" spans="1:4" ht="15" x14ac:dyDescent="0.25">
      <c r="A7015" t="s">
        <v>18486</v>
      </c>
      <c r="B7015">
        <v>1</v>
      </c>
      <c r="C7015">
        <v>3</v>
      </c>
      <c r="D7015">
        <v>3</v>
      </c>
    </row>
    <row r="7016" spans="1:4" ht="15" x14ac:dyDescent="0.25">
      <c r="A7016" t="s">
        <v>18491</v>
      </c>
      <c r="B7016">
        <v>1</v>
      </c>
      <c r="C7016">
        <v>33</v>
      </c>
      <c r="D7016">
        <v>33</v>
      </c>
    </row>
    <row r="7017" spans="1:4" ht="15" x14ac:dyDescent="0.25">
      <c r="A7017" t="s">
        <v>18495</v>
      </c>
      <c r="B7017">
        <v>2</v>
      </c>
      <c r="C7017">
        <v>179</v>
      </c>
      <c r="D7017">
        <v>89.5</v>
      </c>
    </row>
    <row r="7018" spans="1:4" ht="15" x14ac:dyDescent="0.25">
      <c r="A7018" t="s">
        <v>18496</v>
      </c>
      <c r="B7018">
        <v>1</v>
      </c>
      <c r="C7018">
        <v>27</v>
      </c>
      <c r="D7018">
        <v>27</v>
      </c>
    </row>
    <row r="7019" spans="1:4" ht="15" x14ac:dyDescent="0.25">
      <c r="A7019" t="s">
        <v>18500</v>
      </c>
      <c r="B7019">
        <v>1</v>
      </c>
      <c r="C7019">
        <v>17</v>
      </c>
      <c r="D7019">
        <v>17</v>
      </c>
    </row>
    <row r="7020" spans="1:4" ht="15" x14ac:dyDescent="0.25">
      <c r="A7020" t="s">
        <v>18501</v>
      </c>
      <c r="B7020">
        <v>1</v>
      </c>
      <c r="C7020">
        <v>17</v>
      </c>
      <c r="D7020">
        <v>17</v>
      </c>
    </row>
    <row r="7021" spans="1:4" ht="15" x14ac:dyDescent="0.25">
      <c r="A7021" t="s">
        <v>18503</v>
      </c>
      <c r="B7021">
        <v>1</v>
      </c>
      <c r="C7021">
        <v>17</v>
      </c>
      <c r="D7021">
        <v>17</v>
      </c>
    </row>
    <row r="7022" spans="1:4" ht="15" x14ac:dyDescent="0.25">
      <c r="A7022" t="s">
        <v>18504</v>
      </c>
      <c r="B7022">
        <v>1</v>
      </c>
      <c r="C7022">
        <v>17</v>
      </c>
      <c r="D7022">
        <v>17</v>
      </c>
    </row>
    <row r="7023" spans="1:4" ht="15" x14ac:dyDescent="0.25">
      <c r="A7023" t="s">
        <v>18502</v>
      </c>
      <c r="B7023">
        <v>1</v>
      </c>
      <c r="C7023">
        <v>17</v>
      </c>
      <c r="D7023">
        <v>17</v>
      </c>
    </row>
    <row r="7024" spans="1:4" ht="15" x14ac:dyDescent="0.25">
      <c r="A7024" t="s">
        <v>18508</v>
      </c>
      <c r="B7024">
        <v>1</v>
      </c>
      <c r="C7024">
        <v>143</v>
      </c>
      <c r="D7024">
        <v>143</v>
      </c>
    </row>
    <row r="7025" spans="1:4" ht="15" x14ac:dyDescent="0.25">
      <c r="A7025" t="s">
        <v>18509</v>
      </c>
      <c r="B7025">
        <v>1</v>
      </c>
      <c r="C7025">
        <v>143</v>
      </c>
      <c r="D7025">
        <v>143</v>
      </c>
    </row>
    <row r="7026" spans="1:4" ht="15" x14ac:dyDescent="0.25">
      <c r="A7026" t="s">
        <v>18512</v>
      </c>
      <c r="B7026">
        <v>1</v>
      </c>
      <c r="C7026">
        <v>65</v>
      </c>
      <c r="D7026">
        <v>65</v>
      </c>
    </row>
    <row r="7027" spans="1:4" ht="15" x14ac:dyDescent="0.25">
      <c r="A7027" t="s">
        <v>18519</v>
      </c>
      <c r="B7027">
        <v>1</v>
      </c>
      <c r="C7027">
        <v>1</v>
      </c>
      <c r="D7027">
        <v>1</v>
      </c>
    </row>
    <row r="7028" spans="1:4" ht="15" x14ac:dyDescent="0.25">
      <c r="A7028" t="s">
        <v>18524</v>
      </c>
      <c r="B7028">
        <v>1</v>
      </c>
      <c r="C7028">
        <v>103</v>
      </c>
      <c r="D7028">
        <v>103</v>
      </c>
    </row>
    <row r="7029" spans="1:4" ht="15" x14ac:dyDescent="0.25">
      <c r="A7029" t="s">
        <v>18526</v>
      </c>
      <c r="B7029">
        <v>3</v>
      </c>
      <c r="C7029">
        <v>141</v>
      </c>
      <c r="D7029">
        <v>47</v>
      </c>
    </row>
    <row r="7030" spans="1:4" ht="15" x14ac:dyDescent="0.25">
      <c r="A7030" t="s">
        <v>18525</v>
      </c>
      <c r="B7030">
        <v>1</v>
      </c>
      <c r="C7030">
        <v>103</v>
      </c>
      <c r="D7030">
        <v>103</v>
      </c>
    </row>
    <row r="7031" spans="1:4" ht="15" x14ac:dyDescent="0.25">
      <c r="A7031" t="s">
        <v>18531</v>
      </c>
      <c r="B7031">
        <v>1</v>
      </c>
      <c r="C7031">
        <v>23</v>
      </c>
      <c r="D7031">
        <v>23</v>
      </c>
    </row>
    <row r="7032" spans="1:4" ht="15" x14ac:dyDescent="0.25">
      <c r="A7032" t="s">
        <v>18530</v>
      </c>
      <c r="B7032">
        <v>1</v>
      </c>
      <c r="C7032">
        <v>23</v>
      </c>
      <c r="D7032">
        <v>23</v>
      </c>
    </row>
    <row r="7033" spans="1:4" ht="15" x14ac:dyDescent="0.25">
      <c r="A7033" t="s">
        <v>18536</v>
      </c>
      <c r="B7033">
        <v>1</v>
      </c>
      <c r="C7033">
        <v>1</v>
      </c>
      <c r="D7033">
        <v>1</v>
      </c>
    </row>
    <row r="7034" spans="1:4" ht="15" x14ac:dyDescent="0.25">
      <c r="A7034" t="s">
        <v>18535</v>
      </c>
      <c r="B7034">
        <v>1</v>
      </c>
      <c r="C7034">
        <v>1</v>
      </c>
      <c r="D7034">
        <v>1</v>
      </c>
    </row>
    <row r="7035" spans="1:4" ht="15" x14ac:dyDescent="0.25">
      <c r="A7035" t="s">
        <v>18540</v>
      </c>
      <c r="B7035">
        <v>1</v>
      </c>
      <c r="C7035">
        <v>18</v>
      </c>
      <c r="D7035">
        <v>18</v>
      </c>
    </row>
    <row r="7036" spans="1:4" ht="15" x14ac:dyDescent="0.25">
      <c r="A7036" t="s">
        <v>18544</v>
      </c>
      <c r="B7036">
        <v>2</v>
      </c>
      <c r="C7036">
        <v>31</v>
      </c>
      <c r="D7036">
        <v>15.5</v>
      </c>
    </row>
    <row r="7037" spans="1:4" ht="15" x14ac:dyDescent="0.25">
      <c r="A7037" t="s">
        <v>18545</v>
      </c>
      <c r="B7037">
        <v>2</v>
      </c>
      <c r="C7037">
        <v>17</v>
      </c>
      <c r="D7037">
        <v>8.5</v>
      </c>
    </row>
    <row r="7038" spans="1:4" ht="15" x14ac:dyDescent="0.25">
      <c r="A7038" t="s">
        <v>18543</v>
      </c>
      <c r="B7038">
        <v>1</v>
      </c>
      <c r="C7038">
        <v>8</v>
      </c>
      <c r="D7038">
        <v>8</v>
      </c>
    </row>
    <row r="7039" spans="1:4" ht="15" x14ac:dyDescent="0.25">
      <c r="A7039" t="s">
        <v>18550</v>
      </c>
      <c r="B7039">
        <v>1</v>
      </c>
      <c r="C7039">
        <v>16</v>
      </c>
      <c r="D7039">
        <v>16</v>
      </c>
    </row>
    <row r="7040" spans="1:4" ht="15" x14ac:dyDescent="0.25">
      <c r="A7040" t="s">
        <v>18551</v>
      </c>
      <c r="B7040">
        <v>1</v>
      </c>
      <c r="C7040">
        <v>16</v>
      </c>
      <c r="D7040">
        <v>16</v>
      </c>
    </row>
    <row r="7041" spans="1:4" ht="15" x14ac:dyDescent="0.25">
      <c r="A7041" t="s">
        <v>18549</v>
      </c>
      <c r="B7041">
        <v>1</v>
      </c>
      <c r="C7041">
        <v>16</v>
      </c>
      <c r="D7041">
        <v>16</v>
      </c>
    </row>
    <row r="7042" spans="1:4" ht="15" x14ac:dyDescent="0.25">
      <c r="A7042" t="s">
        <v>18557</v>
      </c>
      <c r="B7042">
        <v>1</v>
      </c>
      <c r="C7042">
        <v>14</v>
      </c>
      <c r="D7042">
        <v>14</v>
      </c>
    </row>
    <row r="7043" spans="1:4" ht="15" x14ac:dyDescent="0.25">
      <c r="A7043" t="s">
        <v>18562</v>
      </c>
      <c r="B7043">
        <v>1</v>
      </c>
      <c r="C7043">
        <v>47</v>
      </c>
      <c r="D7043">
        <v>47</v>
      </c>
    </row>
    <row r="7044" spans="1:4" ht="15" x14ac:dyDescent="0.25">
      <c r="A7044" t="s">
        <v>18563</v>
      </c>
      <c r="B7044">
        <v>1</v>
      </c>
      <c r="C7044">
        <v>47</v>
      </c>
      <c r="D7044">
        <v>47</v>
      </c>
    </row>
    <row r="7045" spans="1:4" ht="15" x14ac:dyDescent="0.25">
      <c r="A7045" t="s">
        <v>18567</v>
      </c>
      <c r="B7045">
        <v>1</v>
      </c>
      <c r="C7045">
        <v>24</v>
      </c>
      <c r="D7045">
        <v>24</v>
      </c>
    </row>
    <row r="7046" spans="1:4" ht="15" x14ac:dyDescent="0.25">
      <c r="A7046" t="s">
        <v>18572</v>
      </c>
      <c r="B7046">
        <v>1</v>
      </c>
      <c r="C7046">
        <v>9</v>
      </c>
      <c r="D7046">
        <v>9</v>
      </c>
    </row>
    <row r="7047" spans="1:4" ht="15" x14ac:dyDescent="0.25">
      <c r="A7047" t="s">
        <v>18581</v>
      </c>
      <c r="B7047">
        <v>1</v>
      </c>
      <c r="C7047">
        <v>75</v>
      </c>
      <c r="D7047">
        <v>75</v>
      </c>
    </row>
    <row r="7048" spans="1:4" ht="15" x14ac:dyDescent="0.25">
      <c r="A7048" t="s">
        <v>18583</v>
      </c>
      <c r="B7048">
        <v>1</v>
      </c>
      <c r="C7048">
        <v>75</v>
      </c>
      <c r="D7048">
        <v>75</v>
      </c>
    </row>
    <row r="7049" spans="1:4" ht="15" x14ac:dyDescent="0.25">
      <c r="A7049" t="s">
        <v>18582</v>
      </c>
      <c r="B7049">
        <v>1</v>
      </c>
      <c r="C7049">
        <v>75</v>
      </c>
      <c r="D7049">
        <v>75</v>
      </c>
    </row>
    <row r="7050" spans="1:4" ht="15" x14ac:dyDescent="0.25">
      <c r="A7050" t="s">
        <v>18588</v>
      </c>
      <c r="B7050">
        <v>1</v>
      </c>
      <c r="C7050">
        <v>41</v>
      </c>
      <c r="D7050">
        <v>41</v>
      </c>
    </row>
    <row r="7051" spans="1:4" ht="15" x14ac:dyDescent="0.25">
      <c r="A7051" t="s">
        <v>18589</v>
      </c>
      <c r="B7051">
        <v>1</v>
      </c>
      <c r="C7051">
        <v>41</v>
      </c>
      <c r="D7051">
        <v>41</v>
      </c>
    </row>
    <row r="7052" spans="1:4" ht="15" x14ac:dyDescent="0.25">
      <c r="A7052" t="s">
        <v>18587</v>
      </c>
      <c r="B7052">
        <v>1</v>
      </c>
      <c r="C7052">
        <v>41</v>
      </c>
      <c r="D7052">
        <v>41</v>
      </c>
    </row>
    <row r="7053" spans="1:4" ht="15" x14ac:dyDescent="0.25">
      <c r="A7053" t="s">
        <v>18598</v>
      </c>
      <c r="B7053">
        <v>3</v>
      </c>
      <c r="C7053">
        <v>87</v>
      </c>
      <c r="D7053">
        <v>29</v>
      </c>
    </row>
    <row r="7054" spans="1:4" ht="15" x14ac:dyDescent="0.25">
      <c r="A7054" t="s">
        <v>18608</v>
      </c>
      <c r="B7054">
        <v>5</v>
      </c>
      <c r="C7054">
        <v>191</v>
      </c>
      <c r="D7054">
        <v>38.200000000000003</v>
      </c>
    </row>
    <row r="7055" spans="1:4" ht="15" x14ac:dyDescent="0.25">
      <c r="A7055" t="s">
        <v>18609</v>
      </c>
      <c r="B7055">
        <v>1</v>
      </c>
      <c r="C7055">
        <v>31</v>
      </c>
      <c r="D7055">
        <v>31</v>
      </c>
    </row>
    <row r="7056" spans="1:4" ht="15" x14ac:dyDescent="0.25">
      <c r="A7056" t="s">
        <v>18611</v>
      </c>
      <c r="B7056">
        <v>1</v>
      </c>
      <c r="C7056">
        <v>31</v>
      </c>
      <c r="D7056">
        <v>31</v>
      </c>
    </row>
    <row r="7057" spans="1:4" ht="15" x14ac:dyDescent="0.25">
      <c r="A7057" t="s">
        <v>18610</v>
      </c>
      <c r="B7057">
        <v>1</v>
      </c>
      <c r="C7057">
        <v>31</v>
      </c>
      <c r="D7057">
        <v>31</v>
      </c>
    </row>
    <row r="7058" spans="1:4" ht="15" x14ac:dyDescent="0.25">
      <c r="A7058" t="s">
        <v>18615</v>
      </c>
      <c r="B7058">
        <v>1</v>
      </c>
      <c r="C7058">
        <v>25</v>
      </c>
      <c r="D7058">
        <v>25</v>
      </c>
    </row>
    <row r="7059" spans="1:4" ht="15" x14ac:dyDescent="0.25">
      <c r="A7059" t="s">
        <v>18616</v>
      </c>
      <c r="B7059">
        <v>1</v>
      </c>
      <c r="C7059">
        <v>25</v>
      </c>
      <c r="D7059">
        <v>25</v>
      </c>
    </row>
    <row r="7060" spans="1:4" ht="15" x14ac:dyDescent="0.25">
      <c r="A7060" t="s">
        <v>18620</v>
      </c>
      <c r="B7060">
        <v>1</v>
      </c>
      <c r="C7060">
        <v>18</v>
      </c>
      <c r="D7060">
        <v>18</v>
      </c>
    </row>
    <row r="7061" spans="1:4" ht="15" x14ac:dyDescent="0.25">
      <c r="A7061" t="s">
        <v>18621</v>
      </c>
      <c r="B7061">
        <v>1</v>
      </c>
      <c r="C7061">
        <v>18</v>
      </c>
      <c r="D7061">
        <v>18</v>
      </c>
    </row>
    <row r="7062" spans="1:4" ht="15" x14ac:dyDescent="0.25">
      <c r="A7062" t="s">
        <v>18624</v>
      </c>
      <c r="B7062">
        <v>3</v>
      </c>
      <c r="C7062">
        <v>163</v>
      </c>
      <c r="D7062">
        <v>54.333333333333336</v>
      </c>
    </row>
    <row r="7063" spans="1:4" ht="15" x14ac:dyDescent="0.25">
      <c r="A7063" t="s">
        <v>18625</v>
      </c>
      <c r="B7063">
        <v>3</v>
      </c>
      <c r="C7063">
        <v>166</v>
      </c>
      <c r="D7063">
        <v>55.333333333333336</v>
      </c>
    </row>
    <row r="7064" spans="1:4" ht="15" x14ac:dyDescent="0.25">
      <c r="A7064" t="s">
        <v>18626</v>
      </c>
      <c r="B7064">
        <v>2</v>
      </c>
      <c r="C7064">
        <v>114</v>
      </c>
      <c r="D7064">
        <v>57</v>
      </c>
    </row>
    <row r="7065" spans="1:4" ht="15" x14ac:dyDescent="0.25">
      <c r="A7065" t="s">
        <v>18630</v>
      </c>
      <c r="B7065">
        <v>1</v>
      </c>
      <c r="C7065">
        <v>50</v>
      </c>
      <c r="D7065">
        <v>50</v>
      </c>
    </row>
    <row r="7066" spans="1:4" ht="15" x14ac:dyDescent="0.25">
      <c r="A7066" t="s">
        <v>18631</v>
      </c>
      <c r="B7066">
        <v>1</v>
      </c>
      <c r="C7066">
        <v>50</v>
      </c>
      <c r="D7066">
        <v>50</v>
      </c>
    </row>
    <row r="7067" spans="1:4" ht="15" x14ac:dyDescent="0.25">
      <c r="A7067" t="s">
        <v>18632</v>
      </c>
      <c r="B7067">
        <v>1</v>
      </c>
      <c r="C7067">
        <v>50</v>
      </c>
      <c r="D7067">
        <v>50</v>
      </c>
    </row>
    <row r="7068" spans="1:4" ht="15" x14ac:dyDescent="0.25">
      <c r="A7068" t="s">
        <v>18640</v>
      </c>
      <c r="B7068">
        <v>1</v>
      </c>
      <c r="C7068">
        <v>654</v>
      </c>
      <c r="D7068">
        <v>654</v>
      </c>
    </row>
    <row r="7069" spans="1:4" ht="15" x14ac:dyDescent="0.25">
      <c r="A7069" t="s">
        <v>18644</v>
      </c>
      <c r="B7069">
        <v>1</v>
      </c>
      <c r="C7069">
        <v>25</v>
      </c>
      <c r="D7069">
        <v>25</v>
      </c>
    </row>
    <row r="7070" spans="1:4" ht="15" x14ac:dyDescent="0.25">
      <c r="A7070" t="s">
        <v>18645</v>
      </c>
      <c r="B7070">
        <v>2</v>
      </c>
      <c r="C7070">
        <v>29</v>
      </c>
      <c r="D7070">
        <v>14.5</v>
      </c>
    </row>
    <row r="7071" spans="1:4" ht="15" x14ac:dyDescent="0.25">
      <c r="A7071" t="s">
        <v>18646</v>
      </c>
      <c r="B7071">
        <v>1</v>
      </c>
      <c r="C7071">
        <v>25</v>
      </c>
      <c r="D7071">
        <v>25</v>
      </c>
    </row>
    <row r="7072" spans="1:4" ht="15" x14ac:dyDescent="0.25">
      <c r="A7072" t="s">
        <v>18647</v>
      </c>
      <c r="B7072">
        <v>1</v>
      </c>
      <c r="C7072">
        <v>25</v>
      </c>
      <c r="D7072">
        <v>25</v>
      </c>
    </row>
    <row r="7073" spans="1:4" ht="15" x14ac:dyDescent="0.25">
      <c r="A7073" t="s">
        <v>18653</v>
      </c>
      <c r="B7073">
        <v>1</v>
      </c>
      <c r="C7073">
        <v>13</v>
      </c>
      <c r="D7073">
        <v>13</v>
      </c>
    </row>
    <row r="7074" spans="1:4" ht="15" x14ac:dyDescent="0.25">
      <c r="A7074" t="s">
        <v>18654</v>
      </c>
      <c r="B7074">
        <v>1</v>
      </c>
      <c r="C7074">
        <v>13</v>
      </c>
      <c r="D7074">
        <v>13</v>
      </c>
    </row>
    <row r="7075" spans="1:4" ht="15" x14ac:dyDescent="0.25">
      <c r="A7075" t="s">
        <v>18656</v>
      </c>
      <c r="B7075">
        <v>1</v>
      </c>
      <c r="C7075">
        <v>13</v>
      </c>
      <c r="D7075">
        <v>13</v>
      </c>
    </row>
    <row r="7076" spans="1:4" ht="15" x14ac:dyDescent="0.25">
      <c r="A7076" t="s">
        <v>18655</v>
      </c>
      <c r="B7076">
        <v>1</v>
      </c>
      <c r="C7076">
        <v>13</v>
      </c>
      <c r="D7076">
        <v>13</v>
      </c>
    </row>
    <row r="7077" spans="1:4" ht="15" x14ac:dyDescent="0.25">
      <c r="A7077" t="s">
        <v>18663</v>
      </c>
      <c r="B7077">
        <v>1</v>
      </c>
      <c r="C7077">
        <v>36</v>
      </c>
      <c r="D7077">
        <v>36</v>
      </c>
    </row>
    <row r="7078" spans="1:4" ht="15" x14ac:dyDescent="0.25">
      <c r="A7078" t="s">
        <v>18664</v>
      </c>
      <c r="B7078">
        <v>1</v>
      </c>
      <c r="C7078">
        <v>36</v>
      </c>
      <c r="D7078">
        <v>36</v>
      </c>
    </row>
    <row r="7079" spans="1:4" ht="15" x14ac:dyDescent="0.25">
      <c r="A7079" t="s">
        <v>18666</v>
      </c>
      <c r="B7079">
        <v>1</v>
      </c>
      <c r="C7079">
        <v>36</v>
      </c>
      <c r="D7079">
        <v>36</v>
      </c>
    </row>
    <row r="7080" spans="1:4" ht="15" x14ac:dyDescent="0.25">
      <c r="A7080" t="s">
        <v>18665</v>
      </c>
      <c r="B7080">
        <v>1</v>
      </c>
      <c r="C7080">
        <v>36</v>
      </c>
      <c r="D7080">
        <v>36</v>
      </c>
    </row>
    <row r="7081" spans="1:4" ht="15" x14ac:dyDescent="0.25">
      <c r="A7081" t="s">
        <v>18670</v>
      </c>
      <c r="B7081">
        <v>2</v>
      </c>
      <c r="C7081">
        <v>69</v>
      </c>
      <c r="D7081">
        <v>34.5</v>
      </c>
    </row>
    <row r="7082" spans="1:4" ht="15" x14ac:dyDescent="0.25">
      <c r="A7082" t="s">
        <v>18671</v>
      </c>
      <c r="B7082">
        <v>1</v>
      </c>
      <c r="C7082">
        <v>0</v>
      </c>
      <c r="D7082">
        <v>0</v>
      </c>
    </row>
    <row r="7083" spans="1:4" ht="15" x14ac:dyDescent="0.25">
      <c r="A7083" t="s">
        <v>18675</v>
      </c>
      <c r="B7083">
        <v>1</v>
      </c>
      <c r="C7083">
        <v>35</v>
      </c>
      <c r="D7083">
        <v>35</v>
      </c>
    </row>
    <row r="7084" spans="1:4" ht="15" x14ac:dyDescent="0.25">
      <c r="A7084" t="s">
        <v>18676</v>
      </c>
      <c r="B7084">
        <v>1</v>
      </c>
      <c r="C7084">
        <v>35</v>
      </c>
      <c r="D7084">
        <v>35</v>
      </c>
    </row>
    <row r="7085" spans="1:4" ht="15" x14ac:dyDescent="0.25">
      <c r="A7085" t="s">
        <v>18678</v>
      </c>
      <c r="B7085">
        <v>1</v>
      </c>
      <c r="C7085">
        <v>35</v>
      </c>
      <c r="D7085">
        <v>35</v>
      </c>
    </row>
    <row r="7086" spans="1:4" ht="15" x14ac:dyDescent="0.25">
      <c r="A7086" t="s">
        <v>18679</v>
      </c>
      <c r="B7086">
        <v>7</v>
      </c>
      <c r="C7086">
        <v>105</v>
      </c>
      <c r="D7086">
        <v>15</v>
      </c>
    </row>
    <row r="7087" spans="1:4" ht="15" x14ac:dyDescent="0.25">
      <c r="A7087" t="s">
        <v>18677</v>
      </c>
      <c r="B7087">
        <v>1</v>
      </c>
      <c r="C7087">
        <v>35</v>
      </c>
      <c r="D7087">
        <v>35</v>
      </c>
    </row>
    <row r="7088" spans="1:4" ht="15" x14ac:dyDescent="0.25">
      <c r="A7088" t="s">
        <v>18692</v>
      </c>
      <c r="B7088">
        <v>1</v>
      </c>
      <c r="C7088">
        <v>22</v>
      </c>
      <c r="D7088">
        <v>22</v>
      </c>
    </row>
    <row r="7089" spans="1:4" ht="15" x14ac:dyDescent="0.25">
      <c r="A7089" t="s">
        <v>18693</v>
      </c>
      <c r="B7089">
        <v>1</v>
      </c>
      <c r="C7089">
        <v>22</v>
      </c>
      <c r="D7089">
        <v>22</v>
      </c>
    </row>
    <row r="7090" spans="1:4" ht="15" x14ac:dyDescent="0.25">
      <c r="A7090" t="s">
        <v>18695</v>
      </c>
      <c r="B7090">
        <v>1</v>
      </c>
      <c r="C7090">
        <v>22</v>
      </c>
      <c r="D7090">
        <v>22</v>
      </c>
    </row>
    <row r="7091" spans="1:4" ht="15" x14ac:dyDescent="0.25">
      <c r="A7091" t="s">
        <v>18696</v>
      </c>
      <c r="B7091">
        <v>1</v>
      </c>
      <c r="C7091">
        <v>22</v>
      </c>
      <c r="D7091">
        <v>22</v>
      </c>
    </row>
    <row r="7092" spans="1:4" ht="15" x14ac:dyDescent="0.25">
      <c r="A7092" t="s">
        <v>18694</v>
      </c>
      <c r="B7092">
        <v>2</v>
      </c>
      <c r="C7092">
        <v>75</v>
      </c>
      <c r="D7092">
        <v>37.5</v>
      </c>
    </row>
    <row r="7093" spans="1:4" ht="15" x14ac:dyDescent="0.25">
      <c r="A7093" t="s">
        <v>18700</v>
      </c>
      <c r="B7093">
        <v>2</v>
      </c>
      <c r="C7093">
        <v>50</v>
      </c>
      <c r="D7093">
        <v>25</v>
      </c>
    </row>
    <row r="7094" spans="1:4" ht="15" x14ac:dyDescent="0.25">
      <c r="A7094" t="s">
        <v>18701</v>
      </c>
      <c r="B7094">
        <v>1</v>
      </c>
      <c r="C7094">
        <v>32</v>
      </c>
      <c r="D7094">
        <v>32</v>
      </c>
    </row>
    <row r="7095" spans="1:4" ht="15" x14ac:dyDescent="0.25">
      <c r="A7095" t="s">
        <v>18702</v>
      </c>
      <c r="B7095">
        <v>1</v>
      </c>
      <c r="C7095">
        <v>32</v>
      </c>
      <c r="D7095">
        <v>32</v>
      </c>
    </row>
    <row r="7096" spans="1:4" ht="15" x14ac:dyDescent="0.25">
      <c r="A7096" t="s">
        <v>18706</v>
      </c>
      <c r="B7096">
        <v>1</v>
      </c>
      <c r="C7096">
        <v>164</v>
      </c>
      <c r="D7096">
        <v>164</v>
      </c>
    </row>
    <row r="7097" spans="1:4" ht="15" x14ac:dyDescent="0.25">
      <c r="A7097" t="s">
        <v>18707</v>
      </c>
      <c r="B7097">
        <v>1</v>
      </c>
      <c r="C7097">
        <v>164</v>
      </c>
      <c r="D7097">
        <v>164</v>
      </c>
    </row>
    <row r="7098" spans="1:4" ht="15" x14ac:dyDescent="0.25">
      <c r="A7098" t="s">
        <v>18709</v>
      </c>
      <c r="B7098">
        <v>1</v>
      </c>
      <c r="C7098">
        <v>164</v>
      </c>
      <c r="D7098">
        <v>164</v>
      </c>
    </row>
    <row r="7099" spans="1:4" ht="15" x14ac:dyDescent="0.25">
      <c r="A7099" t="s">
        <v>18708</v>
      </c>
      <c r="B7099">
        <v>1</v>
      </c>
      <c r="C7099">
        <v>164</v>
      </c>
      <c r="D7099">
        <v>164</v>
      </c>
    </row>
    <row r="7100" spans="1:4" ht="15" x14ac:dyDescent="0.25">
      <c r="A7100" t="s">
        <v>18713</v>
      </c>
      <c r="B7100">
        <v>1</v>
      </c>
      <c r="C7100">
        <v>15</v>
      </c>
      <c r="D7100">
        <v>15</v>
      </c>
    </row>
    <row r="7101" spans="1:4" ht="15" x14ac:dyDescent="0.25">
      <c r="A7101" t="s">
        <v>18714</v>
      </c>
      <c r="B7101">
        <v>1</v>
      </c>
      <c r="C7101">
        <v>15</v>
      </c>
      <c r="D7101">
        <v>15</v>
      </c>
    </row>
    <row r="7102" spans="1:4" ht="15" x14ac:dyDescent="0.25">
      <c r="A7102" t="s">
        <v>18716</v>
      </c>
      <c r="B7102">
        <v>1</v>
      </c>
      <c r="C7102">
        <v>15</v>
      </c>
      <c r="D7102">
        <v>15</v>
      </c>
    </row>
    <row r="7103" spans="1:4" ht="15" x14ac:dyDescent="0.25">
      <c r="A7103" t="s">
        <v>18715</v>
      </c>
      <c r="B7103">
        <v>1</v>
      </c>
      <c r="C7103">
        <v>15</v>
      </c>
      <c r="D7103">
        <v>15</v>
      </c>
    </row>
    <row r="7104" spans="1:4" ht="15" x14ac:dyDescent="0.25">
      <c r="A7104" t="s">
        <v>18720</v>
      </c>
      <c r="B7104">
        <v>1</v>
      </c>
      <c r="C7104">
        <v>17</v>
      </c>
      <c r="D7104">
        <v>17</v>
      </c>
    </row>
    <row r="7105" spans="1:4" ht="15" x14ac:dyDescent="0.25">
      <c r="A7105" t="s">
        <v>18722</v>
      </c>
      <c r="B7105">
        <v>1</v>
      </c>
      <c r="C7105">
        <v>17</v>
      </c>
      <c r="D7105">
        <v>17</v>
      </c>
    </row>
    <row r="7106" spans="1:4" ht="15" x14ac:dyDescent="0.25">
      <c r="A7106" t="s">
        <v>18721</v>
      </c>
      <c r="B7106">
        <v>1</v>
      </c>
      <c r="C7106">
        <v>17</v>
      </c>
      <c r="D7106">
        <v>17</v>
      </c>
    </row>
    <row r="7107" spans="1:4" ht="15" x14ac:dyDescent="0.25">
      <c r="A7107" t="s">
        <v>18726</v>
      </c>
      <c r="B7107">
        <v>2</v>
      </c>
      <c r="C7107">
        <v>43</v>
      </c>
      <c r="D7107">
        <v>21.5</v>
      </c>
    </row>
    <row r="7108" spans="1:4" ht="15" x14ac:dyDescent="0.25">
      <c r="A7108" t="s">
        <v>18733</v>
      </c>
      <c r="B7108">
        <v>1</v>
      </c>
      <c r="C7108">
        <v>21</v>
      </c>
      <c r="D7108">
        <v>21</v>
      </c>
    </row>
    <row r="7109" spans="1:4" ht="15" x14ac:dyDescent="0.25">
      <c r="A7109" t="s">
        <v>18738</v>
      </c>
      <c r="B7109">
        <v>1</v>
      </c>
      <c r="C7109">
        <v>245</v>
      </c>
      <c r="D7109">
        <v>245</v>
      </c>
    </row>
    <row r="7110" spans="1:4" ht="15" x14ac:dyDescent="0.25">
      <c r="A7110" t="s">
        <v>18739</v>
      </c>
      <c r="B7110">
        <v>1</v>
      </c>
      <c r="C7110">
        <v>245</v>
      </c>
      <c r="D7110">
        <v>245</v>
      </c>
    </row>
    <row r="7111" spans="1:4" ht="15" x14ac:dyDescent="0.25">
      <c r="A7111" t="s">
        <v>18740</v>
      </c>
      <c r="B7111">
        <v>1</v>
      </c>
      <c r="C7111">
        <v>245</v>
      </c>
      <c r="D7111">
        <v>245</v>
      </c>
    </row>
    <row r="7112" spans="1:4" ht="15" x14ac:dyDescent="0.25">
      <c r="A7112" t="s">
        <v>18749</v>
      </c>
      <c r="B7112">
        <v>1</v>
      </c>
      <c r="C7112">
        <v>31</v>
      </c>
      <c r="D7112">
        <v>31</v>
      </c>
    </row>
    <row r="7113" spans="1:4" ht="15" x14ac:dyDescent="0.25">
      <c r="A7113" t="s">
        <v>18748</v>
      </c>
      <c r="B7113">
        <v>1</v>
      </c>
      <c r="C7113">
        <v>31</v>
      </c>
      <c r="D7113">
        <v>31</v>
      </c>
    </row>
    <row r="7114" spans="1:4" ht="15" x14ac:dyDescent="0.25">
      <c r="A7114" t="s">
        <v>18755</v>
      </c>
      <c r="B7114">
        <v>1</v>
      </c>
      <c r="C7114">
        <v>64</v>
      </c>
      <c r="D7114">
        <v>64</v>
      </c>
    </row>
    <row r="7115" spans="1:4" ht="15" x14ac:dyDescent="0.25">
      <c r="A7115" t="s">
        <v>18756</v>
      </c>
      <c r="B7115">
        <v>1</v>
      </c>
      <c r="C7115">
        <v>64</v>
      </c>
      <c r="D7115">
        <v>64</v>
      </c>
    </row>
    <row r="7116" spans="1:4" ht="15" x14ac:dyDescent="0.25">
      <c r="A7116" t="s">
        <v>18760</v>
      </c>
      <c r="B7116">
        <v>1</v>
      </c>
      <c r="C7116">
        <v>371</v>
      </c>
      <c r="D7116">
        <v>371</v>
      </c>
    </row>
    <row r="7117" spans="1:4" ht="15" x14ac:dyDescent="0.25">
      <c r="A7117" t="s">
        <v>18762</v>
      </c>
      <c r="B7117">
        <v>1</v>
      </c>
      <c r="C7117">
        <v>371</v>
      </c>
      <c r="D7117">
        <v>371</v>
      </c>
    </row>
    <row r="7118" spans="1:4" ht="15" x14ac:dyDescent="0.25">
      <c r="A7118" t="s">
        <v>18761</v>
      </c>
      <c r="B7118">
        <v>1</v>
      </c>
      <c r="C7118">
        <v>371</v>
      </c>
      <c r="D7118">
        <v>371</v>
      </c>
    </row>
    <row r="7119" spans="1:4" ht="15" x14ac:dyDescent="0.25">
      <c r="A7119" t="s">
        <v>18765</v>
      </c>
      <c r="B7119">
        <v>2</v>
      </c>
      <c r="C7119">
        <v>43</v>
      </c>
      <c r="D7119">
        <v>21.5</v>
      </c>
    </row>
    <row r="7120" spans="1:4" ht="15" x14ac:dyDescent="0.25">
      <c r="A7120" t="s">
        <v>18772</v>
      </c>
      <c r="B7120">
        <v>1</v>
      </c>
      <c r="C7120">
        <v>36</v>
      </c>
      <c r="D7120">
        <v>36</v>
      </c>
    </row>
    <row r="7121" spans="1:4" ht="15" x14ac:dyDescent="0.25">
      <c r="A7121" t="s">
        <v>18773</v>
      </c>
      <c r="B7121">
        <v>1</v>
      </c>
      <c r="C7121">
        <v>36</v>
      </c>
      <c r="D7121">
        <v>36</v>
      </c>
    </row>
    <row r="7122" spans="1:4" ht="15" x14ac:dyDescent="0.25">
      <c r="A7122" t="s">
        <v>18774</v>
      </c>
      <c r="B7122">
        <v>1</v>
      </c>
      <c r="C7122">
        <v>81</v>
      </c>
      <c r="D7122">
        <v>81</v>
      </c>
    </row>
    <row r="7123" spans="1:4" ht="15" x14ac:dyDescent="0.25">
      <c r="A7123" t="s">
        <v>18777</v>
      </c>
      <c r="B7123">
        <v>1</v>
      </c>
      <c r="C7123">
        <v>81</v>
      </c>
      <c r="D7123">
        <v>81</v>
      </c>
    </row>
    <row r="7124" spans="1:4" ht="15" x14ac:dyDescent="0.25">
      <c r="A7124" t="s">
        <v>18784</v>
      </c>
      <c r="B7124">
        <v>1</v>
      </c>
      <c r="C7124">
        <v>24</v>
      </c>
      <c r="D7124">
        <v>24</v>
      </c>
    </row>
    <row r="7125" spans="1:4" ht="15" x14ac:dyDescent="0.25">
      <c r="A7125" t="s">
        <v>18789</v>
      </c>
      <c r="B7125">
        <v>1</v>
      </c>
      <c r="C7125">
        <v>84</v>
      </c>
      <c r="D7125">
        <v>84</v>
      </c>
    </row>
    <row r="7126" spans="1:4" ht="15" x14ac:dyDescent="0.25">
      <c r="A7126" t="s">
        <v>18788</v>
      </c>
      <c r="B7126">
        <v>1</v>
      </c>
      <c r="C7126">
        <v>84</v>
      </c>
      <c r="D7126">
        <v>84</v>
      </c>
    </row>
    <row r="7127" spans="1:4" ht="15" x14ac:dyDescent="0.25">
      <c r="A7127" t="s">
        <v>18793</v>
      </c>
      <c r="B7127">
        <v>1</v>
      </c>
      <c r="C7127">
        <v>49</v>
      </c>
      <c r="D7127">
        <v>49</v>
      </c>
    </row>
    <row r="7128" spans="1:4" ht="15" x14ac:dyDescent="0.25">
      <c r="A7128" t="s">
        <v>18798</v>
      </c>
      <c r="B7128">
        <v>1</v>
      </c>
      <c r="C7128">
        <v>6</v>
      </c>
      <c r="D7128">
        <v>6</v>
      </c>
    </row>
    <row r="7129" spans="1:4" ht="15" x14ac:dyDescent="0.25">
      <c r="A7129" t="s">
        <v>18803</v>
      </c>
      <c r="B7129">
        <v>1</v>
      </c>
      <c r="C7129">
        <v>47</v>
      </c>
      <c r="D7129">
        <v>47</v>
      </c>
    </row>
    <row r="7130" spans="1:4" ht="15" x14ac:dyDescent="0.25">
      <c r="A7130" t="s">
        <v>18805</v>
      </c>
      <c r="B7130">
        <v>1</v>
      </c>
      <c r="C7130">
        <v>47</v>
      </c>
      <c r="D7130">
        <v>47</v>
      </c>
    </row>
    <row r="7131" spans="1:4" ht="15" x14ac:dyDescent="0.25">
      <c r="A7131" t="s">
        <v>18804</v>
      </c>
      <c r="B7131">
        <v>1</v>
      </c>
      <c r="C7131">
        <v>47</v>
      </c>
      <c r="D7131">
        <v>47</v>
      </c>
    </row>
    <row r="7132" spans="1:4" ht="15" x14ac:dyDescent="0.25">
      <c r="A7132" t="s">
        <v>18809</v>
      </c>
      <c r="B7132">
        <v>1</v>
      </c>
      <c r="C7132">
        <v>11</v>
      </c>
      <c r="D7132">
        <v>11</v>
      </c>
    </row>
    <row r="7133" spans="1:4" ht="15" x14ac:dyDescent="0.25">
      <c r="A7133" t="s">
        <v>18813</v>
      </c>
      <c r="B7133">
        <v>1</v>
      </c>
      <c r="C7133">
        <v>16</v>
      </c>
      <c r="D7133">
        <v>16</v>
      </c>
    </row>
    <row r="7134" spans="1:4" ht="15" x14ac:dyDescent="0.25">
      <c r="A7134" t="s">
        <v>18814</v>
      </c>
      <c r="B7134">
        <v>1</v>
      </c>
      <c r="C7134">
        <v>16</v>
      </c>
      <c r="D7134">
        <v>16</v>
      </c>
    </row>
    <row r="7135" spans="1:4" ht="15" x14ac:dyDescent="0.25">
      <c r="A7135" t="s">
        <v>18816</v>
      </c>
      <c r="B7135">
        <v>1</v>
      </c>
      <c r="C7135">
        <v>16</v>
      </c>
      <c r="D7135">
        <v>16</v>
      </c>
    </row>
    <row r="7136" spans="1:4" ht="15" x14ac:dyDescent="0.25">
      <c r="A7136" t="s">
        <v>18815</v>
      </c>
      <c r="B7136">
        <v>1</v>
      </c>
      <c r="C7136">
        <v>16</v>
      </c>
      <c r="D7136">
        <v>16</v>
      </c>
    </row>
    <row r="7137" spans="1:4" ht="15" x14ac:dyDescent="0.25">
      <c r="A7137" t="s">
        <v>18820</v>
      </c>
      <c r="B7137">
        <v>1</v>
      </c>
      <c r="C7137">
        <v>38</v>
      </c>
      <c r="D7137">
        <v>38</v>
      </c>
    </row>
    <row r="7138" spans="1:4" ht="15" x14ac:dyDescent="0.25">
      <c r="A7138" t="s">
        <v>18824</v>
      </c>
      <c r="B7138">
        <v>1</v>
      </c>
      <c r="C7138">
        <v>5</v>
      </c>
      <c r="D7138">
        <v>5</v>
      </c>
    </row>
    <row r="7139" spans="1:4" ht="15" x14ac:dyDescent="0.25">
      <c r="A7139" t="s">
        <v>18826</v>
      </c>
      <c r="B7139">
        <v>1</v>
      </c>
      <c r="C7139">
        <v>5</v>
      </c>
      <c r="D7139">
        <v>5</v>
      </c>
    </row>
    <row r="7140" spans="1:4" ht="15" x14ac:dyDescent="0.25">
      <c r="A7140" t="s">
        <v>18825</v>
      </c>
      <c r="B7140">
        <v>1</v>
      </c>
      <c r="C7140">
        <v>5</v>
      </c>
      <c r="D7140">
        <v>5</v>
      </c>
    </row>
    <row r="7141" spans="1:4" ht="15" x14ac:dyDescent="0.25">
      <c r="A7141" t="s">
        <v>18829</v>
      </c>
      <c r="B7141">
        <v>1</v>
      </c>
      <c r="C7141">
        <v>40</v>
      </c>
      <c r="D7141">
        <v>40</v>
      </c>
    </row>
    <row r="7142" spans="1:4" ht="15" x14ac:dyDescent="0.25">
      <c r="A7142" t="s">
        <v>18839</v>
      </c>
      <c r="B7142">
        <v>1</v>
      </c>
      <c r="C7142">
        <v>43</v>
      </c>
      <c r="D7142">
        <v>43</v>
      </c>
    </row>
    <row r="7143" spans="1:4" ht="15" x14ac:dyDescent="0.25">
      <c r="A7143" t="s">
        <v>18840</v>
      </c>
      <c r="B7143">
        <v>1</v>
      </c>
      <c r="C7143">
        <v>43</v>
      </c>
      <c r="D7143">
        <v>43</v>
      </c>
    </row>
    <row r="7144" spans="1:4" ht="15" x14ac:dyDescent="0.25">
      <c r="A7144" t="s">
        <v>18841</v>
      </c>
      <c r="B7144">
        <v>1</v>
      </c>
      <c r="C7144">
        <v>43</v>
      </c>
      <c r="D7144">
        <v>43</v>
      </c>
    </row>
    <row r="7145" spans="1:4" ht="15" x14ac:dyDescent="0.25">
      <c r="A7145" t="s">
        <v>18847</v>
      </c>
      <c r="B7145">
        <v>1</v>
      </c>
      <c r="C7145">
        <v>83</v>
      </c>
      <c r="D7145">
        <v>83</v>
      </c>
    </row>
    <row r="7146" spans="1:4" ht="15" x14ac:dyDescent="0.25">
      <c r="A7146" t="s">
        <v>18850</v>
      </c>
      <c r="B7146">
        <v>1</v>
      </c>
      <c r="C7146">
        <v>28</v>
      </c>
      <c r="D7146">
        <v>28</v>
      </c>
    </row>
    <row r="7147" spans="1:4" ht="15" x14ac:dyDescent="0.25">
      <c r="A7147" t="s">
        <v>18853</v>
      </c>
      <c r="B7147">
        <v>1</v>
      </c>
      <c r="C7147">
        <v>31</v>
      </c>
      <c r="D7147">
        <v>31</v>
      </c>
    </row>
    <row r="7148" spans="1:4" ht="15" x14ac:dyDescent="0.25">
      <c r="A7148" t="s">
        <v>18854</v>
      </c>
      <c r="B7148">
        <v>1</v>
      </c>
      <c r="C7148">
        <v>31</v>
      </c>
      <c r="D7148">
        <v>31</v>
      </c>
    </row>
    <row r="7149" spans="1:4" ht="15" x14ac:dyDescent="0.25">
      <c r="A7149" t="s">
        <v>18859</v>
      </c>
      <c r="B7149">
        <v>1</v>
      </c>
      <c r="C7149">
        <v>17</v>
      </c>
      <c r="D7149">
        <v>17</v>
      </c>
    </row>
    <row r="7150" spans="1:4" ht="15" x14ac:dyDescent="0.25">
      <c r="A7150" t="s">
        <v>18860</v>
      </c>
      <c r="B7150">
        <v>1</v>
      </c>
      <c r="C7150">
        <v>17</v>
      </c>
      <c r="D7150">
        <v>17</v>
      </c>
    </row>
    <row r="7151" spans="1:4" ht="15" x14ac:dyDescent="0.25">
      <c r="A7151" t="s">
        <v>18862</v>
      </c>
      <c r="B7151">
        <v>1</v>
      </c>
      <c r="C7151">
        <v>17</v>
      </c>
      <c r="D7151">
        <v>17</v>
      </c>
    </row>
    <row r="7152" spans="1:4" ht="15" x14ac:dyDescent="0.25">
      <c r="A7152" t="s">
        <v>18861</v>
      </c>
      <c r="B7152">
        <v>1</v>
      </c>
      <c r="C7152">
        <v>17</v>
      </c>
      <c r="D7152">
        <v>17</v>
      </c>
    </row>
    <row r="7153" spans="1:4" ht="15" x14ac:dyDescent="0.25">
      <c r="A7153" t="s">
        <v>18866</v>
      </c>
      <c r="B7153">
        <v>1</v>
      </c>
      <c r="C7153">
        <v>8</v>
      </c>
      <c r="D7153">
        <v>8</v>
      </c>
    </row>
    <row r="7154" spans="1:4" ht="15" x14ac:dyDescent="0.25">
      <c r="A7154" t="s">
        <v>18867</v>
      </c>
      <c r="B7154">
        <v>1</v>
      </c>
      <c r="C7154">
        <v>8</v>
      </c>
      <c r="D7154">
        <v>8</v>
      </c>
    </row>
    <row r="7155" spans="1:4" ht="15" x14ac:dyDescent="0.25">
      <c r="A7155" t="s">
        <v>18872</v>
      </c>
      <c r="B7155">
        <v>1</v>
      </c>
      <c r="C7155">
        <v>78</v>
      </c>
      <c r="D7155">
        <v>78</v>
      </c>
    </row>
    <row r="7156" spans="1:4" ht="15" x14ac:dyDescent="0.25">
      <c r="A7156" t="s">
        <v>18873</v>
      </c>
      <c r="B7156">
        <v>1</v>
      </c>
      <c r="C7156">
        <v>78</v>
      </c>
      <c r="D7156">
        <v>78</v>
      </c>
    </row>
    <row r="7157" spans="1:4" ht="15" x14ac:dyDescent="0.25">
      <c r="A7157" t="s">
        <v>18874</v>
      </c>
      <c r="B7157">
        <v>1</v>
      </c>
      <c r="C7157">
        <v>78</v>
      </c>
      <c r="D7157">
        <v>78</v>
      </c>
    </row>
    <row r="7158" spans="1:4" ht="15" x14ac:dyDescent="0.25">
      <c r="A7158" t="s">
        <v>18875</v>
      </c>
      <c r="B7158">
        <v>1</v>
      </c>
      <c r="C7158">
        <v>78</v>
      </c>
      <c r="D7158">
        <v>78</v>
      </c>
    </row>
    <row r="7159" spans="1:4" ht="15" x14ac:dyDescent="0.25">
      <c r="A7159" t="s">
        <v>18883</v>
      </c>
      <c r="B7159">
        <v>2</v>
      </c>
      <c r="C7159">
        <v>409</v>
      </c>
      <c r="D7159">
        <v>204.5</v>
      </c>
    </row>
    <row r="7160" spans="1:4" ht="15" x14ac:dyDescent="0.25">
      <c r="A7160" t="s">
        <v>18884</v>
      </c>
      <c r="B7160">
        <v>2</v>
      </c>
      <c r="C7160">
        <v>409</v>
      </c>
      <c r="D7160">
        <v>204.5</v>
      </c>
    </row>
    <row r="7161" spans="1:4" ht="15" x14ac:dyDescent="0.25">
      <c r="A7161" t="s">
        <v>18885</v>
      </c>
      <c r="B7161">
        <v>2</v>
      </c>
      <c r="C7161">
        <v>409</v>
      </c>
      <c r="D7161">
        <v>204.5</v>
      </c>
    </row>
    <row r="7162" spans="1:4" ht="15" x14ac:dyDescent="0.25">
      <c r="A7162" t="s">
        <v>18890</v>
      </c>
      <c r="B7162">
        <v>1</v>
      </c>
      <c r="C7162">
        <v>28</v>
      </c>
      <c r="D7162">
        <v>28</v>
      </c>
    </row>
    <row r="7163" spans="1:4" ht="15" x14ac:dyDescent="0.25">
      <c r="A7163" t="s">
        <v>18894</v>
      </c>
      <c r="B7163">
        <v>1</v>
      </c>
      <c r="C7163">
        <v>412</v>
      </c>
      <c r="D7163">
        <v>412</v>
      </c>
    </row>
    <row r="7164" spans="1:4" ht="15" x14ac:dyDescent="0.25">
      <c r="A7164" t="s">
        <v>18895</v>
      </c>
      <c r="B7164">
        <v>1</v>
      </c>
      <c r="C7164">
        <v>412</v>
      </c>
      <c r="D7164">
        <v>412</v>
      </c>
    </row>
    <row r="7165" spans="1:4" ht="15" x14ac:dyDescent="0.25">
      <c r="A7165" t="s">
        <v>18896</v>
      </c>
      <c r="B7165">
        <v>2</v>
      </c>
      <c r="C7165">
        <v>524</v>
      </c>
      <c r="D7165">
        <v>262</v>
      </c>
    </row>
    <row r="7166" spans="1:4" ht="15" x14ac:dyDescent="0.25">
      <c r="A7166" t="s">
        <v>18901</v>
      </c>
      <c r="B7166">
        <v>1</v>
      </c>
      <c r="C7166">
        <v>50</v>
      </c>
      <c r="D7166">
        <v>50</v>
      </c>
    </row>
    <row r="7167" spans="1:4" ht="15" x14ac:dyDescent="0.25">
      <c r="A7167" t="s">
        <v>18900</v>
      </c>
      <c r="B7167">
        <v>1</v>
      </c>
      <c r="C7167">
        <v>50</v>
      </c>
      <c r="D7167">
        <v>50</v>
      </c>
    </row>
    <row r="7168" spans="1:4" ht="15" x14ac:dyDescent="0.25">
      <c r="A7168" t="s">
        <v>18905</v>
      </c>
      <c r="B7168">
        <v>1</v>
      </c>
      <c r="C7168">
        <v>39</v>
      </c>
      <c r="D7168">
        <v>39</v>
      </c>
    </row>
    <row r="7169" spans="1:4" ht="15" x14ac:dyDescent="0.25">
      <c r="A7169" t="s">
        <v>18906</v>
      </c>
      <c r="B7169">
        <v>1</v>
      </c>
      <c r="C7169">
        <v>39</v>
      </c>
      <c r="D7169">
        <v>39</v>
      </c>
    </row>
    <row r="7170" spans="1:4" ht="15" x14ac:dyDescent="0.25">
      <c r="A7170" t="s">
        <v>18911</v>
      </c>
      <c r="B7170">
        <v>1</v>
      </c>
      <c r="C7170">
        <v>25</v>
      </c>
      <c r="D7170">
        <v>25</v>
      </c>
    </row>
    <row r="7171" spans="1:4" ht="15" x14ac:dyDescent="0.25">
      <c r="A7171" t="s">
        <v>18910</v>
      </c>
      <c r="B7171">
        <v>1</v>
      </c>
      <c r="C7171">
        <v>25</v>
      </c>
      <c r="D7171">
        <v>25</v>
      </c>
    </row>
    <row r="7172" spans="1:4" ht="15" x14ac:dyDescent="0.25">
      <c r="A7172" t="s">
        <v>18915</v>
      </c>
      <c r="B7172">
        <v>1</v>
      </c>
      <c r="C7172">
        <v>12</v>
      </c>
      <c r="D7172">
        <v>12</v>
      </c>
    </row>
    <row r="7173" spans="1:4" ht="15" x14ac:dyDescent="0.25">
      <c r="A7173" t="s">
        <v>18917</v>
      </c>
      <c r="B7173">
        <v>1</v>
      </c>
      <c r="C7173">
        <v>12</v>
      </c>
      <c r="D7173">
        <v>12</v>
      </c>
    </row>
    <row r="7174" spans="1:4" ht="15" x14ac:dyDescent="0.25">
      <c r="A7174" t="s">
        <v>18916</v>
      </c>
      <c r="B7174">
        <v>1</v>
      </c>
      <c r="C7174">
        <v>12</v>
      </c>
      <c r="D7174">
        <v>12</v>
      </c>
    </row>
    <row r="7175" spans="1:4" ht="15" x14ac:dyDescent="0.25">
      <c r="A7175" t="s">
        <v>18923</v>
      </c>
      <c r="B7175">
        <v>1</v>
      </c>
      <c r="C7175">
        <v>47</v>
      </c>
      <c r="D7175">
        <v>47</v>
      </c>
    </row>
    <row r="7176" spans="1:4" ht="15" x14ac:dyDescent="0.25">
      <c r="A7176" t="s">
        <v>18922</v>
      </c>
      <c r="B7176">
        <v>1</v>
      </c>
      <c r="C7176">
        <v>47</v>
      </c>
      <c r="D7176">
        <v>47</v>
      </c>
    </row>
    <row r="7177" spans="1:4" ht="15" x14ac:dyDescent="0.25">
      <c r="A7177" t="s">
        <v>18928</v>
      </c>
      <c r="B7177">
        <v>1</v>
      </c>
      <c r="C7177">
        <v>30</v>
      </c>
      <c r="D7177">
        <v>30</v>
      </c>
    </row>
    <row r="7178" spans="1:4" ht="15" x14ac:dyDescent="0.25">
      <c r="A7178" t="s">
        <v>18930</v>
      </c>
      <c r="B7178">
        <v>1</v>
      </c>
      <c r="C7178">
        <v>30</v>
      </c>
      <c r="D7178">
        <v>30</v>
      </c>
    </row>
    <row r="7179" spans="1:4" ht="15" x14ac:dyDescent="0.25">
      <c r="A7179" t="s">
        <v>18929</v>
      </c>
      <c r="B7179">
        <v>1</v>
      </c>
      <c r="C7179">
        <v>30</v>
      </c>
      <c r="D7179">
        <v>30</v>
      </c>
    </row>
    <row r="7180" spans="1:4" ht="15" x14ac:dyDescent="0.25">
      <c r="A7180" t="s">
        <v>18940</v>
      </c>
      <c r="B7180">
        <v>1</v>
      </c>
      <c r="C7180">
        <v>30</v>
      </c>
      <c r="D7180">
        <v>30</v>
      </c>
    </row>
    <row r="7181" spans="1:4" ht="15" x14ac:dyDescent="0.25">
      <c r="A7181" t="s">
        <v>18939</v>
      </c>
      <c r="B7181">
        <v>1</v>
      </c>
      <c r="C7181">
        <v>30</v>
      </c>
      <c r="D7181">
        <v>30</v>
      </c>
    </row>
    <row r="7182" spans="1:4" ht="15" x14ac:dyDescent="0.25">
      <c r="A7182" t="s">
        <v>18944</v>
      </c>
      <c r="B7182">
        <v>1</v>
      </c>
      <c r="C7182">
        <v>4</v>
      </c>
      <c r="D7182">
        <v>4</v>
      </c>
    </row>
    <row r="7183" spans="1:4" ht="15" x14ac:dyDescent="0.25">
      <c r="A7183" t="s">
        <v>18945</v>
      </c>
      <c r="B7183">
        <v>1</v>
      </c>
      <c r="C7183">
        <v>4</v>
      </c>
      <c r="D7183">
        <v>4</v>
      </c>
    </row>
    <row r="7184" spans="1:4" ht="15" x14ac:dyDescent="0.25">
      <c r="A7184" t="s">
        <v>18949</v>
      </c>
      <c r="B7184">
        <v>1</v>
      </c>
      <c r="C7184">
        <v>14</v>
      </c>
      <c r="D7184">
        <v>14</v>
      </c>
    </row>
    <row r="7185" spans="1:4" ht="15" x14ac:dyDescent="0.25">
      <c r="A7185" t="s">
        <v>18953</v>
      </c>
      <c r="B7185">
        <v>2</v>
      </c>
      <c r="C7185">
        <v>283</v>
      </c>
      <c r="D7185">
        <v>141.5</v>
      </c>
    </row>
    <row r="7186" spans="1:4" ht="15" x14ac:dyDescent="0.25">
      <c r="A7186" t="s">
        <v>18954</v>
      </c>
      <c r="B7186">
        <v>2</v>
      </c>
      <c r="C7186">
        <v>283</v>
      </c>
      <c r="D7186">
        <v>141.5</v>
      </c>
    </row>
    <row r="7187" spans="1:4" ht="15" x14ac:dyDescent="0.25">
      <c r="A7187" t="s">
        <v>18955</v>
      </c>
      <c r="B7187">
        <v>1</v>
      </c>
      <c r="C7187">
        <v>157</v>
      </c>
      <c r="D7187">
        <v>157</v>
      </c>
    </row>
    <row r="7188" spans="1:4" ht="15" x14ac:dyDescent="0.25">
      <c r="A7188" t="s">
        <v>18956</v>
      </c>
      <c r="B7188">
        <v>1</v>
      </c>
      <c r="C7188">
        <v>11</v>
      </c>
      <c r="D7188">
        <v>11</v>
      </c>
    </row>
    <row r="7189" spans="1:4" ht="15" x14ac:dyDescent="0.25">
      <c r="A7189" t="s">
        <v>18961</v>
      </c>
      <c r="B7189">
        <v>1</v>
      </c>
      <c r="C7189">
        <v>22</v>
      </c>
      <c r="D7189">
        <v>22</v>
      </c>
    </row>
    <row r="7190" spans="1:4" ht="15" x14ac:dyDescent="0.25">
      <c r="A7190" t="s">
        <v>18975</v>
      </c>
      <c r="B7190">
        <v>1</v>
      </c>
      <c r="C7190">
        <v>142</v>
      </c>
      <c r="D7190">
        <v>142</v>
      </c>
    </row>
    <row r="7191" spans="1:4" ht="15" x14ac:dyDescent="0.25">
      <c r="A7191" t="s">
        <v>18983</v>
      </c>
      <c r="B7191">
        <v>1</v>
      </c>
      <c r="C7191">
        <v>17</v>
      </c>
      <c r="D7191">
        <v>17</v>
      </c>
    </row>
    <row r="7192" spans="1:4" ht="15" x14ac:dyDescent="0.25">
      <c r="A7192" t="s">
        <v>18984</v>
      </c>
      <c r="B7192">
        <v>1</v>
      </c>
      <c r="C7192">
        <v>17</v>
      </c>
      <c r="D7192">
        <v>17</v>
      </c>
    </row>
    <row r="7193" spans="1:4" ht="15" x14ac:dyDescent="0.25">
      <c r="A7193" t="s">
        <v>18995</v>
      </c>
      <c r="B7193">
        <v>1</v>
      </c>
      <c r="C7193">
        <v>20</v>
      </c>
      <c r="D7193">
        <v>20</v>
      </c>
    </row>
    <row r="7194" spans="1:4" ht="15" x14ac:dyDescent="0.25">
      <c r="A7194" t="s">
        <v>18994</v>
      </c>
      <c r="B7194">
        <v>2</v>
      </c>
      <c r="C7194">
        <v>43</v>
      </c>
      <c r="D7194">
        <v>21.5</v>
      </c>
    </row>
    <row r="7195" spans="1:4" ht="15" x14ac:dyDescent="0.25">
      <c r="A7195" t="s">
        <v>19001</v>
      </c>
      <c r="B7195">
        <v>1</v>
      </c>
      <c r="C7195">
        <v>58</v>
      </c>
      <c r="D7195">
        <v>58</v>
      </c>
    </row>
    <row r="7196" spans="1:4" ht="15" x14ac:dyDescent="0.25">
      <c r="A7196" t="s">
        <v>19003</v>
      </c>
      <c r="B7196">
        <v>1</v>
      </c>
      <c r="C7196">
        <v>58</v>
      </c>
      <c r="D7196">
        <v>58</v>
      </c>
    </row>
    <row r="7197" spans="1:4" ht="15" x14ac:dyDescent="0.25">
      <c r="A7197" t="s">
        <v>19004</v>
      </c>
      <c r="B7197">
        <v>1</v>
      </c>
      <c r="C7197">
        <v>58</v>
      </c>
      <c r="D7197">
        <v>58</v>
      </c>
    </row>
    <row r="7198" spans="1:4" ht="15" x14ac:dyDescent="0.25">
      <c r="A7198" t="s">
        <v>19002</v>
      </c>
      <c r="B7198">
        <v>1</v>
      </c>
      <c r="C7198">
        <v>58</v>
      </c>
      <c r="D7198">
        <v>58</v>
      </c>
    </row>
    <row r="7199" spans="1:4" ht="15" x14ac:dyDescent="0.25">
      <c r="A7199" t="s">
        <v>19010</v>
      </c>
      <c r="B7199">
        <v>1</v>
      </c>
      <c r="C7199">
        <v>47</v>
      </c>
      <c r="D7199">
        <v>47</v>
      </c>
    </row>
    <row r="7200" spans="1:4" ht="15" x14ac:dyDescent="0.25">
      <c r="A7200" t="s">
        <v>19014</v>
      </c>
      <c r="B7200">
        <v>1</v>
      </c>
      <c r="C7200">
        <v>24</v>
      </c>
      <c r="D7200">
        <v>24</v>
      </c>
    </row>
    <row r="7201" spans="1:4" ht="15" x14ac:dyDescent="0.25">
      <c r="A7201" t="s">
        <v>19016</v>
      </c>
      <c r="B7201">
        <v>1</v>
      </c>
      <c r="C7201">
        <v>24</v>
      </c>
      <c r="D7201">
        <v>24</v>
      </c>
    </row>
    <row r="7202" spans="1:4" ht="15" x14ac:dyDescent="0.25">
      <c r="A7202" t="s">
        <v>19017</v>
      </c>
      <c r="B7202">
        <v>1</v>
      </c>
      <c r="C7202">
        <v>24</v>
      </c>
      <c r="D7202">
        <v>24</v>
      </c>
    </row>
    <row r="7203" spans="1:4" ht="15" x14ac:dyDescent="0.25">
      <c r="A7203" t="s">
        <v>19015</v>
      </c>
      <c r="B7203">
        <v>1</v>
      </c>
      <c r="C7203">
        <v>24</v>
      </c>
      <c r="D7203">
        <v>24</v>
      </c>
    </row>
    <row r="7204" spans="1:4" ht="15" x14ac:dyDescent="0.25">
      <c r="A7204" t="s">
        <v>19021</v>
      </c>
      <c r="B7204">
        <v>6</v>
      </c>
      <c r="C7204">
        <v>135</v>
      </c>
      <c r="D7204">
        <v>22.5</v>
      </c>
    </row>
    <row r="7205" spans="1:4" ht="15" x14ac:dyDescent="0.25">
      <c r="A7205" t="s">
        <v>19023</v>
      </c>
      <c r="B7205">
        <v>1</v>
      </c>
      <c r="C7205">
        <v>17</v>
      </c>
      <c r="D7205">
        <v>17</v>
      </c>
    </row>
    <row r="7206" spans="1:4" ht="15" x14ac:dyDescent="0.25">
      <c r="A7206" t="s">
        <v>19024</v>
      </c>
      <c r="B7206">
        <v>6</v>
      </c>
      <c r="C7206">
        <v>135</v>
      </c>
      <c r="D7206">
        <v>22.5</v>
      </c>
    </row>
    <row r="7207" spans="1:4" ht="15" x14ac:dyDescent="0.25">
      <c r="A7207" t="s">
        <v>19022</v>
      </c>
      <c r="B7207">
        <v>9</v>
      </c>
      <c r="C7207">
        <v>233</v>
      </c>
      <c r="D7207">
        <v>25.888888888888889</v>
      </c>
    </row>
    <row r="7208" spans="1:4" ht="15" x14ac:dyDescent="0.25">
      <c r="A7208" t="s">
        <v>19027</v>
      </c>
      <c r="B7208">
        <v>3</v>
      </c>
      <c r="C7208">
        <v>98</v>
      </c>
      <c r="D7208">
        <v>32.666666666666664</v>
      </c>
    </row>
    <row r="7209" spans="1:4" ht="15" x14ac:dyDescent="0.25">
      <c r="A7209" t="s">
        <v>19028</v>
      </c>
      <c r="B7209">
        <v>3</v>
      </c>
      <c r="C7209">
        <v>98</v>
      </c>
      <c r="D7209">
        <v>32.666666666666664</v>
      </c>
    </row>
    <row r="7210" spans="1:4" ht="15" x14ac:dyDescent="0.25">
      <c r="A7210" t="s">
        <v>19045</v>
      </c>
      <c r="B7210">
        <v>1</v>
      </c>
      <c r="C7210">
        <v>32</v>
      </c>
      <c r="D7210">
        <v>32</v>
      </c>
    </row>
    <row r="7211" spans="1:4" ht="15" x14ac:dyDescent="0.25">
      <c r="A7211" t="s">
        <v>19046</v>
      </c>
      <c r="B7211">
        <v>1</v>
      </c>
      <c r="C7211">
        <v>32</v>
      </c>
      <c r="D7211">
        <v>32</v>
      </c>
    </row>
    <row r="7212" spans="1:4" ht="15" x14ac:dyDescent="0.25">
      <c r="A7212" t="s">
        <v>19048</v>
      </c>
      <c r="B7212">
        <v>1</v>
      </c>
      <c r="C7212">
        <v>32</v>
      </c>
      <c r="D7212">
        <v>32</v>
      </c>
    </row>
    <row r="7213" spans="1:4" ht="15" x14ac:dyDescent="0.25">
      <c r="A7213" t="s">
        <v>19047</v>
      </c>
      <c r="B7213">
        <v>1</v>
      </c>
      <c r="C7213">
        <v>32</v>
      </c>
      <c r="D7213">
        <v>32</v>
      </c>
    </row>
    <row r="7214" spans="1:4" ht="15" x14ac:dyDescent="0.25">
      <c r="A7214" t="s">
        <v>19052</v>
      </c>
      <c r="B7214">
        <v>1</v>
      </c>
      <c r="C7214">
        <v>54</v>
      </c>
      <c r="D7214">
        <v>54</v>
      </c>
    </row>
    <row r="7215" spans="1:4" ht="15" x14ac:dyDescent="0.25">
      <c r="A7215" t="s">
        <v>19057</v>
      </c>
      <c r="B7215">
        <v>2</v>
      </c>
      <c r="C7215">
        <v>184</v>
      </c>
      <c r="D7215">
        <v>92</v>
      </c>
    </row>
    <row r="7216" spans="1:4" ht="15" x14ac:dyDescent="0.25">
      <c r="A7216" t="s">
        <v>19058</v>
      </c>
      <c r="B7216">
        <v>1</v>
      </c>
      <c r="C7216">
        <v>42</v>
      </c>
      <c r="D7216">
        <v>42</v>
      </c>
    </row>
    <row r="7217" spans="1:4" ht="15" x14ac:dyDescent="0.25">
      <c r="A7217" t="s">
        <v>2631</v>
      </c>
      <c r="B7217">
        <v>1</v>
      </c>
      <c r="C7217">
        <v>42</v>
      </c>
      <c r="D7217">
        <v>42</v>
      </c>
    </row>
    <row r="7218" spans="1:4" ht="15" x14ac:dyDescent="0.25">
      <c r="A7218" t="s">
        <v>19062</v>
      </c>
      <c r="B7218">
        <v>1</v>
      </c>
      <c r="C7218">
        <v>14</v>
      </c>
      <c r="D7218">
        <v>14</v>
      </c>
    </row>
    <row r="7219" spans="1:4" ht="15" x14ac:dyDescent="0.25">
      <c r="A7219" t="s">
        <v>19063</v>
      </c>
      <c r="B7219">
        <v>1</v>
      </c>
      <c r="C7219">
        <v>14</v>
      </c>
      <c r="D7219">
        <v>14</v>
      </c>
    </row>
    <row r="7220" spans="1:4" ht="15" x14ac:dyDescent="0.25">
      <c r="A7220" t="s">
        <v>19067</v>
      </c>
      <c r="B7220">
        <v>1</v>
      </c>
      <c r="C7220">
        <v>43</v>
      </c>
      <c r="D7220">
        <v>43</v>
      </c>
    </row>
    <row r="7221" spans="1:4" ht="15" x14ac:dyDescent="0.25">
      <c r="A7221" t="s">
        <v>19068</v>
      </c>
      <c r="B7221">
        <v>1</v>
      </c>
      <c r="C7221">
        <v>43</v>
      </c>
      <c r="D7221">
        <v>43</v>
      </c>
    </row>
    <row r="7222" spans="1:4" ht="15" x14ac:dyDescent="0.25">
      <c r="A7222" t="s">
        <v>19072</v>
      </c>
      <c r="B7222">
        <v>1</v>
      </c>
      <c r="C7222">
        <v>13</v>
      </c>
      <c r="D7222">
        <v>13</v>
      </c>
    </row>
    <row r="7223" spans="1:4" ht="15" x14ac:dyDescent="0.25">
      <c r="A7223" t="s">
        <v>19078</v>
      </c>
      <c r="B7223">
        <v>1</v>
      </c>
      <c r="C7223">
        <v>7</v>
      </c>
      <c r="D7223">
        <v>7</v>
      </c>
    </row>
    <row r="7224" spans="1:4" ht="15" x14ac:dyDescent="0.25">
      <c r="A7224" t="s">
        <v>19079</v>
      </c>
      <c r="B7224">
        <v>1</v>
      </c>
      <c r="C7224">
        <v>7</v>
      </c>
      <c r="D7224">
        <v>7</v>
      </c>
    </row>
    <row r="7225" spans="1:4" ht="15" x14ac:dyDescent="0.25">
      <c r="A7225" t="s">
        <v>19084</v>
      </c>
      <c r="B7225">
        <v>1</v>
      </c>
      <c r="C7225">
        <v>153</v>
      </c>
      <c r="D7225">
        <v>153</v>
      </c>
    </row>
    <row r="7226" spans="1:4" ht="15" x14ac:dyDescent="0.25">
      <c r="A7226" t="s">
        <v>19085</v>
      </c>
      <c r="B7226">
        <v>1</v>
      </c>
      <c r="C7226">
        <v>153</v>
      </c>
      <c r="D7226">
        <v>153</v>
      </c>
    </row>
    <row r="7227" spans="1:4" ht="15" x14ac:dyDescent="0.25">
      <c r="A7227" t="s">
        <v>19086</v>
      </c>
      <c r="B7227">
        <v>1</v>
      </c>
      <c r="C7227">
        <v>153</v>
      </c>
      <c r="D7227">
        <v>153</v>
      </c>
    </row>
    <row r="7228" spans="1:4" ht="15" x14ac:dyDescent="0.25">
      <c r="A7228" t="s">
        <v>19087</v>
      </c>
      <c r="B7228">
        <v>2</v>
      </c>
      <c r="C7228">
        <v>219</v>
      </c>
      <c r="D7228">
        <v>109.5</v>
      </c>
    </row>
    <row r="7229" spans="1:4" ht="15" x14ac:dyDescent="0.25">
      <c r="A7229" t="s">
        <v>19092</v>
      </c>
      <c r="B7229">
        <v>1</v>
      </c>
      <c r="C7229">
        <v>40</v>
      </c>
      <c r="D7229">
        <v>40</v>
      </c>
    </row>
    <row r="7230" spans="1:4" ht="15" x14ac:dyDescent="0.25">
      <c r="A7230" t="s">
        <v>19091</v>
      </c>
      <c r="B7230">
        <v>1</v>
      </c>
      <c r="C7230">
        <v>40</v>
      </c>
      <c r="D7230">
        <v>40</v>
      </c>
    </row>
    <row r="7231" spans="1:4" ht="15" x14ac:dyDescent="0.25">
      <c r="A7231" t="s">
        <v>19096</v>
      </c>
      <c r="B7231">
        <v>1</v>
      </c>
      <c r="C7231">
        <v>16</v>
      </c>
      <c r="D7231">
        <v>16</v>
      </c>
    </row>
    <row r="7232" spans="1:4" ht="15" x14ac:dyDescent="0.25">
      <c r="A7232" t="s">
        <v>19097</v>
      </c>
      <c r="B7232">
        <v>1</v>
      </c>
      <c r="C7232">
        <v>16</v>
      </c>
      <c r="D7232">
        <v>16</v>
      </c>
    </row>
    <row r="7233" spans="1:4" ht="15" x14ac:dyDescent="0.25">
      <c r="A7233" t="s">
        <v>19098</v>
      </c>
      <c r="B7233">
        <v>1</v>
      </c>
      <c r="C7233">
        <v>16</v>
      </c>
      <c r="D7233">
        <v>16</v>
      </c>
    </row>
    <row r="7234" spans="1:4" ht="15" x14ac:dyDescent="0.25">
      <c r="A7234" t="s">
        <v>19099</v>
      </c>
      <c r="B7234">
        <v>1</v>
      </c>
      <c r="C7234">
        <v>16</v>
      </c>
      <c r="D7234">
        <v>16</v>
      </c>
    </row>
    <row r="7235" spans="1:4" ht="15" x14ac:dyDescent="0.25">
      <c r="A7235" t="s">
        <v>19105</v>
      </c>
      <c r="B7235">
        <v>1</v>
      </c>
      <c r="C7235">
        <v>23</v>
      </c>
      <c r="D7235">
        <v>23</v>
      </c>
    </row>
    <row r="7236" spans="1:4" ht="15" x14ac:dyDescent="0.25">
      <c r="A7236" t="s">
        <v>19110</v>
      </c>
      <c r="B7236">
        <v>1</v>
      </c>
      <c r="C7236">
        <v>36</v>
      </c>
      <c r="D7236">
        <v>36</v>
      </c>
    </row>
    <row r="7237" spans="1:4" ht="15" x14ac:dyDescent="0.25">
      <c r="A7237" t="s">
        <v>19111</v>
      </c>
      <c r="B7237">
        <v>1</v>
      </c>
      <c r="C7237">
        <v>36</v>
      </c>
      <c r="D7237">
        <v>36</v>
      </c>
    </row>
    <row r="7238" spans="1:4" ht="15" x14ac:dyDescent="0.25">
      <c r="A7238" t="s">
        <v>19118</v>
      </c>
      <c r="B7238">
        <v>1</v>
      </c>
      <c r="C7238">
        <v>8</v>
      </c>
      <c r="D7238">
        <v>8</v>
      </c>
    </row>
    <row r="7239" spans="1:4" ht="15" x14ac:dyDescent="0.25">
      <c r="A7239" t="s">
        <v>19120</v>
      </c>
      <c r="B7239">
        <v>1</v>
      </c>
      <c r="C7239">
        <v>8</v>
      </c>
      <c r="D7239">
        <v>8</v>
      </c>
    </row>
    <row r="7240" spans="1:4" ht="15" x14ac:dyDescent="0.25">
      <c r="A7240" t="s">
        <v>19121</v>
      </c>
      <c r="B7240">
        <v>1</v>
      </c>
      <c r="C7240">
        <v>8</v>
      </c>
      <c r="D7240">
        <v>8</v>
      </c>
    </row>
    <row r="7241" spans="1:4" ht="15" x14ac:dyDescent="0.25">
      <c r="A7241" t="s">
        <v>19119</v>
      </c>
      <c r="B7241">
        <v>1</v>
      </c>
      <c r="C7241">
        <v>8</v>
      </c>
      <c r="D7241">
        <v>8</v>
      </c>
    </row>
    <row r="7242" spans="1:4" ht="15" x14ac:dyDescent="0.25">
      <c r="A7242" t="s">
        <v>19124</v>
      </c>
      <c r="B7242">
        <v>1</v>
      </c>
      <c r="C7242">
        <v>8</v>
      </c>
      <c r="D7242">
        <v>8</v>
      </c>
    </row>
    <row r="7243" spans="1:4" ht="15" x14ac:dyDescent="0.25">
      <c r="A7243" t="s">
        <v>19129</v>
      </c>
      <c r="B7243">
        <v>1</v>
      </c>
      <c r="C7243">
        <v>104</v>
      </c>
      <c r="D7243">
        <v>104</v>
      </c>
    </row>
    <row r="7244" spans="1:4" ht="15" x14ac:dyDescent="0.25">
      <c r="A7244" t="s">
        <v>19130</v>
      </c>
      <c r="B7244">
        <v>1</v>
      </c>
      <c r="C7244">
        <v>104</v>
      </c>
      <c r="D7244">
        <v>104</v>
      </c>
    </row>
    <row r="7245" spans="1:4" ht="15" x14ac:dyDescent="0.25">
      <c r="A7245" t="s">
        <v>19131</v>
      </c>
      <c r="B7245">
        <v>1</v>
      </c>
      <c r="C7245">
        <v>104</v>
      </c>
      <c r="D7245">
        <v>104</v>
      </c>
    </row>
    <row r="7246" spans="1:4" ht="15" x14ac:dyDescent="0.25">
      <c r="A7246" t="s">
        <v>19135</v>
      </c>
      <c r="B7246">
        <v>1</v>
      </c>
      <c r="C7246">
        <v>39</v>
      </c>
      <c r="D7246">
        <v>39</v>
      </c>
    </row>
    <row r="7247" spans="1:4" ht="15" x14ac:dyDescent="0.25">
      <c r="A7247" t="s">
        <v>19137</v>
      </c>
      <c r="B7247">
        <v>1</v>
      </c>
      <c r="C7247">
        <v>39</v>
      </c>
      <c r="D7247">
        <v>39</v>
      </c>
    </row>
    <row r="7248" spans="1:4" ht="15" x14ac:dyDescent="0.25">
      <c r="A7248" t="s">
        <v>19138</v>
      </c>
      <c r="B7248">
        <v>1</v>
      </c>
      <c r="C7248">
        <v>39</v>
      </c>
      <c r="D7248">
        <v>39</v>
      </c>
    </row>
    <row r="7249" spans="1:4" ht="15" x14ac:dyDescent="0.25">
      <c r="A7249" t="s">
        <v>19136</v>
      </c>
      <c r="B7249">
        <v>2</v>
      </c>
      <c r="C7249">
        <v>76</v>
      </c>
      <c r="D7249">
        <v>38</v>
      </c>
    </row>
    <row r="7250" spans="1:4" ht="15" x14ac:dyDescent="0.25">
      <c r="A7250" t="s">
        <v>19142</v>
      </c>
      <c r="B7250">
        <v>1</v>
      </c>
      <c r="C7250">
        <v>22</v>
      </c>
      <c r="D7250">
        <v>22</v>
      </c>
    </row>
    <row r="7251" spans="1:4" ht="15" x14ac:dyDescent="0.25">
      <c r="A7251" t="s">
        <v>19143</v>
      </c>
      <c r="B7251">
        <v>1</v>
      </c>
      <c r="C7251">
        <v>22</v>
      </c>
      <c r="D7251">
        <v>22</v>
      </c>
    </row>
    <row r="7252" spans="1:4" ht="15" x14ac:dyDescent="0.25">
      <c r="A7252" t="s">
        <v>19144</v>
      </c>
      <c r="B7252">
        <v>1</v>
      </c>
      <c r="C7252">
        <v>22</v>
      </c>
      <c r="D7252">
        <v>22</v>
      </c>
    </row>
    <row r="7253" spans="1:4" ht="15" x14ac:dyDescent="0.25">
      <c r="A7253" t="s">
        <v>19147</v>
      </c>
      <c r="B7253">
        <v>1</v>
      </c>
      <c r="C7253">
        <v>6</v>
      </c>
      <c r="D7253">
        <v>6</v>
      </c>
    </row>
    <row r="7254" spans="1:4" ht="15" x14ac:dyDescent="0.25">
      <c r="A7254" t="s">
        <v>19148</v>
      </c>
      <c r="B7254">
        <v>1</v>
      </c>
      <c r="C7254">
        <v>6</v>
      </c>
      <c r="D7254">
        <v>6</v>
      </c>
    </row>
    <row r="7255" spans="1:4" ht="15" x14ac:dyDescent="0.25">
      <c r="A7255" t="s">
        <v>19150</v>
      </c>
      <c r="B7255">
        <v>1</v>
      </c>
      <c r="C7255">
        <v>6</v>
      </c>
      <c r="D7255">
        <v>6</v>
      </c>
    </row>
    <row r="7256" spans="1:4" ht="15" x14ac:dyDescent="0.25">
      <c r="A7256" t="s">
        <v>19151</v>
      </c>
      <c r="B7256">
        <v>1</v>
      </c>
      <c r="C7256">
        <v>6</v>
      </c>
      <c r="D7256">
        <v>6</v>
      </c>
    </row>
    <row r="7257" spans="1:4" ht="15" x14ac:dyDescent="0.25">
      <c r="A7257" t="s">
        <v>19149</v>
      </c>
      <c r="B7257">
        <v>1</v>
      </c>
      <c r="C7257">
        <v>6</v>
      </c>
      <c r="D7257">
        <v>6</v>
      </c>
    </row>
    <row r="7258" spans="1:4" ht="15" x14ac:dyDescent="0.25">
      <c r="A7258" t="s">
        <v>19155</v>
      </c>
      <c r="B7258">
        <v>1</v>
      </c>
      <c r="C7258">
        <v>13</v>
      </c>
      <c r="D7258">
        <v>13</v>
      </c>
    </row>
    <row r="7259" spans="1:4" ht="15" x14ac:dyDescent="0.25">
      <c r="A7259" t="s">
        <v>19159</v>
      </c>
      <c r="B7259">
        <v>1</v>
      </c>
      <c r="C7259">
        <v>68</v>
      </c>
      <c r="D7259">
        <v>68</v>
      </c>
    </row>
    <row r="7260" spans="1:4" ht="15" x14ac:dyDescent="0.25">
      <c r="A7260" t="s">
        <v>19160</v>
      </c>
      <c r="B7260">
        <v>1</v>
      </c>
      <c r="C7260">
        <v>68</v>
      </c>
      <c r="D7260">
        <v>68</v>
      </c>
    </row>
    <row r="7261" spans="1:4" ht="15" x14ac:dyDescent="0.25">
      <c r="A7261" t="s">
        <v>19164</v>
      </c>
      <c r="B7261">
        <v>1</v>
      </c>
      <c r="C7261">
        <v>26</v>
      </c>
      <c r="D7261">
        <v>26</v>
      </c>
    </row>
    <row r="7262" spans="1:4" ht="15" x14ac:dyDescent="0.25">
      <c r="A7262" t="s">
        <v>19165</v>
      </c>
      <c r="B7262">
        <v>1</v>
      </c>
      <c r="C7262">
        <v>26</v>
      </c>
      <c r="D7262">
        <v>26</v>
      </c>
    </row>
    <row r="7263" spans="1:4" ht="15" x14ac:dyDescent="0.25">
      <c r="A7263" t="s">
        <v>19167</v>
      </c>
      <c r="B7263">
        <v>1</v>
      </c>
      <c r="C7263">
        <v>26</v>
      </c>
      <c r="D7263">
        <v>26</v>
      </c>
    </row>
    <row r="7264" spans="1:4" ht="15" x14ac:dyDescent="0.25">
      <c r="A7264" t="s">
        <v>19168</v>
      </c>
      <c r="B7264">
        <v>1</v>
      </c>
      <c r="C7264">
        <v>26</v>
      </c>
      <c r="D7264">
        <v>26</v>
      </c>
    </row>
    <row r="7265" spans="1:4" ht="15" x14ac:dyDescent="0.25">
      <c r="A7265" t="s">
        <v>19166</v>
      </c>
      <c r="B7265">
        <v>1</v>
      </c>
      <c r="C7265">
        <v>26</v>
      </c>
      <c r="D7265">
        <v>26</v>
      </c>
    </row>
    <row r="7266" spans="1:4" ht="15" x14ac:dyDescent="0.25">
      <c r="A7266" t="s">
        <v>19171</v>
      </c>
      <c r="B7266">
        <v>1</v>
      </c>
      <c r="C7266">
        <v>806</v>
      </c>
      <c r="D7266">
        <v>806</v>
      </c>
    </row>
    <row r="7267" spans="1:4" ht="15" x14ac:dyDescent="0.25">
      <c r="A7267" t="s">
        <v>19172</v>
      </c>
      <c r="B7267">
        <v>1</v>
      </c>
      <c r="C7267">
        <v>806</v>
      </c>
      <c r="D7267">
        <v>806</v>
      </c>
    </row>
    <row r="7268" spans="1:4" ht="15" x14ac:dyDescent="0.25">
      <c r="A7268" t="s">
        <v>19176</v>
      </c>
      <c r="B7268">
        <v>1</v>
      </c>
      <c r="C7268">
        <v>94</v>
      </c>
      <c r="D7268">
        <v>94</v>
      </c>
    </row>
    <row r="7269" spans="1:4" ht="15" x14ac:dyDescent="0.25">
      <c r="A7269" t="s">
        <v>19177</v>
      </c>
      <c r="B7269">
        <v>1</v>
      </c>
      <c r="C7269">
        <v>94</v>
      </c>
      <c r="D7269">
        <v>94</v>
      </c>
    </row>
    <row r="7270" spans="1:4" ht="15" x14ac:dyDescent="0.25">
      <c r="A7270" t="s">
        <v>19181</v>
      </c>
      <c r="B7270">
        <v>1</v>
      </c>
      <c r="C7270">
        <v>133</v>
      </c>
      <c r="D7270">
        <v>133</v>
      </c>
    </row>
    <row r="7271" spans="1:4" ht="15" x14ac:dyDescent="0.25">
      <c r="A7271" t="s">
        <v>19183</v>
      </c>
      <c r="B7271">
        <v>3</v>
      </c>
      <c r="C7271">
        <v>215</v>
      </c>
      <c r="D7271">
        <v>71.666666666666671</v>
      </c>
    </row>
    <row r="7272" spans="1:4" ht="15" x14ac:dyDescent="0.25">
      <c r="A7272" t="s">
        <v>19182</v>
      </c>
      <c r="B7272">
        <v>1</v>
      </c>
      <c r="C7272">
        <v>133</v>
      </c>
      <c r="D7272">
        <v>133</v>
      </c>
    </row>
    <row r="7273" spans="1:4" ht="15" x14ac:dyDescent="0.25">
      <c r="A7273" t="s">
        <v>19187</v>
      </c>
      <c r="B7273">
        <v>1</v>
      </c>
      <c r="C7273">
        <v>9</v>
      </c>
      <c r="D7273">
        <v>9</v>
      </c>
    </row>
    <row r="7274" spans="1:4" ht="15" x14ac:dyDescent="0.25">
      <c r="A7274" t="s">
        <v>19188</v>
      </c>
      <c r="B7274">
        <v>1</v>
      </c>
      <c r="C7274">
        <v>9</v>
      </c>
      <c r="D7274">
        <v>9</v>
      </c>
    </row>
    <row r="7275" spans="1:4" ht="15" x14ac:dyDescent="0.25">
      <c r="A7275" t="s">
        <v>19190</v>
      </c>
      <c r="B7275">
        <v>1</v>
      </c>
      <c r="C7275">
        <v>9</v>
      </c>
      <c r="D7275">
        <v>9</v>
      </c>
    </row>
    <row r="7276" spans="1:4" ht="15" x14ac:dyDescent="0.25">
      <c r="A7276" t="s">
        <v>19189</v>
      </c>
      <c r="B7276">
        <v>1</v>
      </c>
      <c r="C7276">
        <v>9</v>
      </c>
      <c r="D7276">
        <v>9</v>
      </c>
    </row>
    <row r="7277" spans="1:4" ht="15" x14ac:dyDescent="0.25">
      <c r="A7277" t="s">
        <v>19194</v>
      </c>
      <c r="B7277">
        <v>1</v>
      </c>
      <c r="C7277">
        <v>40</v>
      </c>
      <c r="D7277">
        <v>40</v>
      </c>
    </row>
    <row r="7278" spans="1:4" ht="15" x14ac:dyDescent="0.25">
      <c r="A7278" t="s">
        <v>19196</v>
      </c>
      <c r="B7278">
        <v>1</v>
      </c>
      <c r="C7278">
        <v>40</v>
      </c>
      <c r="D7278">
        <v>40</v>
      </c>
    </row>
    <row r="7279" spans="1:4" ht="15" x14ac:dyDescent="0.25">
      <c r="A7279" t="s">
        <v>19197</v>
      </c>
      <c r="B7279">
        <v>1</v>
      </c>
      <c r="C7279">
        <v>40</v>
      </c>
      <c r="D7279">
        <v>40</v>
      </c>
    </row>
    <row r="7280" spans="1:4" ht="15" x14ac:dyDescent="0.25">
      <c r="A7280" t="s">
        <v>19195</v>
      </c>
      <c r="B7280">
        <v>1</v>
      </c>
      <c r="C7280">
        <v>40</v>
      </c>
      <c r="D7280">
        <v>40</v>
      </c>
    </row>
    <row r="7281" spans="1:4" ht="15" x14ac:dyDescent="0.25">
      <c r="A7281" t="s">
        <v>19201</v>
      </c>
      <c r="B7281">
        <v>1</v>
      </c>
      <c r="C7281">
        <v>148</v>
      </c>
      <c r="D7281">
        <v>148</v>
      </c>
    </row>
    <row r="7282" spans="1:4" ht="15" x14ac:dyDescent="0.25">
      <c r="A7282" t="s">
        <v>19202</v>
      </c>
      <c r="B7282">
        <v>2</v>
      </c>
      <c r="C7282">
        <v>278</v>
      </c>
      <c r="D7282">
        <v>139</v>
      </c>
    </row>
    <row r="7283" spans="1:4" ht="15" x14ac:dyDescent="0.25">
      <c r="A7283" t="s">
        <v>19207</v>
      </c>
      <c r="B7283">
        <v>1</v>
      </c>
      <c r="C7283">
        <v>38</v>
      </c>
      <c r="D7283">
        <v>38</v>
      </c>
    </row>
    <row r="7284" spans="1:4" ht="15" x14ac:dyDescent="0.25">
      <c r="A7284" t="s">
        <v>19203</v>
      </c>
      <c r="B7284">
        <v>1</v>
      </c>
      <c r="C7284">
        <v>38</v>
      </c>
      <c r="D7284">
        <v>38</v>
      </c>
    </row>
    <row r="7285" spans="1:4" ht="15" x14ac:dyDescent="0.25">
      <c r="A7285" t="s">
        <v>19206</v>
      </c>
      <c r="B7285">
        <v>1</v>
      </c>
      <c r="C7285">
        <v>38</v>
      </c>
      <c r="D7285">
        <v>38</v>
      </c>
    </row>
    <row r="7286" spans="1:4" ht="15" x14ac:dyDescent="0.25">
      <c r="A7286" t="s">
        <v>19212</v>
      </c>
      <c r="B7286">
        <v>1</v>
      </c>
      <c r="C7286">
        <v>24</v>
      </c>
      <c r="D7286">
        <v>24</v>
      </c>
    </row>
    <row r="7287" spans="1:4" ht="15" x14ac:dyDescent="0.25">
      <c r="A7287" t="s">
        <v>19214</v>
      </c>
      <c r="B7287">
        <v>1</v>
      </c>
      <c r="C7287">
        <v>24</v>
      </c>
      <c r="D7287">
        <v>24</v>
      </c>
    </row>
    <row r="7288" spans="1:4" ht="15" x14ac:dyDescent="0.25">
      <c r="A7288" t="s">
        <v>19213</v>
      </c>
      <c r="B7288">
        <v>1</v>
      </c>
      <c r="C7288">
        <v>24</v>
      </c>
      <c r="D7288">
        <v>24</v>
      </c>
    </row>
    <row r="7289" spans="1:4" ht="15" x14ac:dyDescent="0.25">
      <c r="A7289" t="s">
        <v>19220</v>
      </c>
      <c r="B7289">
        <v>1</v>
      </c>
      <c r="C7289">
        <v>66</v>
      </c>
      <c r="D7289">
        <v>66</v>
      </c>
    </row>
    <row r="7290" spans="1:4" ht="15" x14ac:dyDescent="0.25">
      <c r="A7290" t="s">
        <v>19222</v>
      </c>
      <c r="B7290">
        <v>1</v>
      </c>
      <c r="C7290">
        <v>66</v>
      </c>
      <c r="D7290">
        <v>66</v>
      </c>
    </row>
    <row r="7291" spans="1:4" ht="15" x14ac:dyDescent="0.25">
      <c r="A7291" t="s">
        <v>19223</v>
      </c>
      <c r="B7291">
        <v>1</v>
      </c>
      <c r="C7291">
        <v>66</v>
      </c>
      <c r="D7291">
        <v>66</v>
      </c>
    </row>
    <row r="7292" spans="1:4" ht="15" x14ac:dyDescent="0.25">
      <c r="A7292" t="s">
        <v>19221</v>
      </c>
      <c r="B7292">
        <v>1</v>
      </c>
      <c r="C7292">
        <v>66</v>
      </c>
      <c r="D7292">
        <v>66</v>
      </c>
    </row>
    <row r="7293" spans="1:4" ht="15" x14ac:dyDescent="0.25">
      <c r="A7293" t="s">
        <v>19227</v>
      </c>
      <c r="B7293">
        <v>1</v>
      </c>
      <c r="C7293">
        <v>78</v>
      </c>
      <c r="D7293">
        <v>78</v>
      </c>
    </row>
    <row r="7294" spans="1:4" ht="15" x14ac:dyDescent="0.25">
      <c r="A7294" t="s">
        <v>19228</v>
      </c>
      <c r="B7294">
        <v>1</v>
      </c>
      <c r="C7294">
        <v>78</v>
      </c>
      <c r="D7294">
        <v>78</v>
      </c>
    </row>
    <row r="7295" spans="1:4" ht="15" x14ac:dyDescent="0.25">
      <c r="A7295" t="s">
        <v>19231</v>
      </c>
      <c r="B7295">
        <v>2</v>
      </c>
      <c r="C7295">
        <v>634</v>
      </c>
      <c r="D7295">
        <v>317</v>
      </c>
    </row>
    <row r="7296" spans="1:4" ht="15" x14ac:dyDescent="0.25">
      <c r="A7296" t="s">
        <v>19232</v>
      </c>
      <c r="B7296">
        <v>2</v>
      </c>
      <c r="C7296">
        <v>634</v>
      </c>
      <c r="D7296">
        <v>317</v>
      </c>
    </row>
    <row r="7297" spans="1:4" ht="15" x14ac:dyDescent="0.25">
      <c r="A7297" t="s">
        <v>19236</v>
      </c>
      <c r="B7297">
        <v>3</v>
      </c>
      <c r="C7297">
        <v>161</v>
      </c>
      <c r="D7297">
        <v>53.666666666666664</v>
      </c>
    </row>
    <row r="7298" spans="1:4" ht="15" x14ac:dyDescent="0.25">
      <c r="A7298" t="s">
        <v>19238</v>
      </c>
      <c r="B7298">
        <v>1</v>
      </c>
      <c r="C7298">
        <v>77</v>
      </c>
      <c r="D7298">
        <v>77</v>
      </c>
    </row>
    <row r="7299" spans="1:4" ht="15" x14ac:dyDescent="0.25">
      <c r="A7299" t="s">
        <v>19237</v>
      </c>
      <c r="B7299">
        <v>1</v>
      </c>
      <c r="C7299">
        <v>77</v>
      </c>
      <c r="D7299">
        <v>77</v>
      </c>
    </row>
    <row r="7300" spans="1:4" ht="15" x14ac:dyDescent="0.25">
      <c r="A7300" t="s">
        <v>19242</v>
      </c>
      <c r="B7300">
        <v>2</v>
      </c>
      <c r="C7300">
        <v>149</v>
      </c>
      <c r="D7300">
        <v>74.5</v>
      </c>
    </row>
    <row r="7301" spans="1:4" ht="15" x14ac:dyDescent="0.25">
      <c r="A7301" t="s">
        <v>19247</v>
      </c>
      <c r="B7301">
        <v>1</v>
      </c>
      <c r="C7301">
        <v>266</v>
      </c>
      <c r="D7301">
        <v>266</v>
      </c>
    </row>
    <row r="7302" spans="1:4" ht="15" x14ac:dyDescent="0.25">
      <c r="A7302" t="s">
        <v>19251</v>
      </c>
      <c r="B7302">
        <v>1</v>
      </c>
      <c r="C7302">
        <v>61</v>
      </c>
      <c r="D7302">
        <v>61</v>
      </c>
    </row>
    <row r="7303" spans="1:4" ht="15" x14ac:dyDescent="0.25">
      <c r="A7303" t="s">
        <v>19254</v>
      </c>
      <c r="B7303">
        <v>1</v>
      </c>
      <c r="C7303">
        <v>54</v>
      </c>
      <c r="D7303">
        <v>54</v>
      </c>
    </row>
    <row r="7304" spans="1:4" ht="15" x14ac:dyDescent="0.25">
      <c r="A7304" t="s">
        <v>19263</v>
      </c>
      <c r="B7304">
        <v>1</v>
      </c>
      <c r="C7304">
        <v>136</v>
      </c>
      <c r="D7304">
        <v>136</v>
      </c>
    </row>
    <row r="7305" spans="1:4" ht="15" x14ac:dyDescent="0.25">
      <c r="A7305" t="s">
        <v>19272</v>
      </c>
      <c r="B7305">
        <v>1</v>
      </c>
      <c r="C7305">
        <v>41</v>
      </c>
      <c r="D7305">
        <v>41</v>
      </c>
    </row>
    <row r="7306" spans="1:4" ht="15" x14ac:dyDescent="0.25">
      <c r="A7306" t="s">
        <v>19276</v>
      </c>
      <c r="B7306">
        <v>1</v>
      </c>
      <c r="C7306">
        <v>29</v>
      </c>
      <c r="D7306">
        <v>29</v>
      </c>
    </row>
    <row r="7307" spans="1:4" ht="15" x14ac:dyDescent="0.25">
      <c r="A7307" t="s">
        <v>19277</v>
      </c>
      <c r="B7307">
        <v>1</v>
      </c>
      <c r="C7307">
        <v>29</v>
      </c>
      <c r="D7307">
        <v>29</v>
      </c>
    </row>
    <row r="7308" spans="1:4" ht="15" x14ac:dyDescent="0.25">
      <c r="A7308" t="s">
        <v>19279</v>
      </c>
      <c r="B7308">
        <v>1</v>
      </c>
      <c r="C7308">
        <v>29</v>
      </c>
      <c r="D7308">
        <v>29</v>
      </c>
    </row>
    <row r="7309" spans="1:4" ht="15" x14ac:dyDescent="0.25">
      <c r="A7309" t="s">
        <v>19280</v>
      </c>
      <c r="B7309">
        <v>1</v>
      </c>
      <c r="C7309">
        <v>29</v>
      </c>
      <c r="D7309">
        <v>29</v>
      </c>
    </row>
    <row r="7310" spans="1:4" ht="15" x14ac:dyDescent="0.25">
      <c r="A7310" t="s">
        <v>19278</v>
      </c>
      <c r="B7310">
        <v>1</v>
      </c>
      <c r="C7310">
        <v>29</v>
      </c>
      <c r="D7310">
        <v>29</v>
      </c>
    </row>
    <row r="7311" spans="1:4" ht="15" x14ac:dyDescent="0.25">
      <c r="A7311" t="s">
        <v>19283</v>
      </c>
      <c r="B7311">
        <v>1</v>
      </c>
      <c r="C7311">
        <v>1273</v>
      </c>
      <c r="D7311">
        <v>1273</v>
      </c>
    </row>
    <row r="7312" spans="1:4" ht="15" x14ac:dyDescent="0.25">
      <c r="A7312" t="s">
        <v>19284</v>
      </c>
      <c r="B7312">
        <v>2</v>
      </c>
      <c r="C7312">
        <v>1525</v>
      </c>
      <c r="D7312">
        <v>762.5</v>
      </c>
    </row>
    <row r="7313" spans="1:4" ht="15" x14ac:dyDescent="0.25">
      <c r="A7313" t="s">
        <v>19285</v>
      </c>
      <c r="B7313">
        <v>3</v>
      </c>
      <c r="C7313">
        <v>2729</v>
      </c>
      <c r="D7313">
        <v>909.66666666666663</v>
      </c>
    </row>
    <row r="7314" spans="1:4" ht="15" x14ac:dyDescent="0.25">
      <c r="A7314" t="s">
        <v>19288</v>
      </c>
      <c r="B7314">
        <v>1</v>
      </c>
      <c r="C7314">
        <v>2075</v>
      </c>
      <c r="D7314">
        <v>2075</v>
      </c>
    </row>
    <row r="7315" spans="1:4" ht="15" x14ac:dyDescent="0.25">
      <c r="A7315" t="s">
        <v>19290</v>
      </c>
      <c r="B7315">
        <v>1</v>
      </c>
      <c r="C7315">
        <v>2075</v>
      </c>
      <c r="D7315">
        <v>2075</v>
      </c>
    </row>
    <row r="7316" spans="1:4" ht="15" x14ac:dyDescent="0.25">
      <c r="A7316" t="s">
        <v>19289</v>
      </c>
      <c r="B7316">
        <v>1</v>
      </c>
      <c r="C7316">
        <v>2075</v>
      </c>
      <c r="D7316">
        <v>2075</v>
      </c>
    </row>
    <row r="7317" spans="1:4" ht="15" x14ac:dyDescent="0.25">
      <c r="A7317" t="s">
        <v>19296</v>
      </c>
      <c r="B7317">
        <v>1</v>
      </c>
      <c r="C7317">
        <v>23</v>
      </c>
      <c r="D7317">
        <v>23</v>
      </c>
    </row>
    <row r="7318" spans="1:4" ht="15" x14ac:dyDescent="0.25">
      <c r="A7318" t="s">
        <v>19304</v>
      </c>
      <c r="B7318">
        <v>3</v>
      </c>
      <c r="C7318">
        <v>108</v>
      </c>
      <c r="D7318">
        <v>36</v>
      </c>
    </row>
    <row r="7319" spans="1:4" ht="15" x14ac:dyDescent="0.25">
      <c r="A7319" t="s">
        <v>19305</v>
      </c>
      <c r="B7319">
        <v>1</v>
      </c>
      <c r="C7319">
        <v>28</v>
      </c>
      <c r="D7319">
        <v>28</v>
      </c>
    </row>
    <row r="7320" spans="1:4" ht="15" x14ac:dyDescent="0.25">
      <c r="A7320" t="s">
        <v>19307</v>
      </c>
      <c r="B7320">
        <v>1</v>
      </c>
      <c r="C7320">
        <v>28</v>
      </c>
      <c r="D7320">
        <v>28</v>
      </c>
    </row>
    <row r="7321" spans="1:4" ht="15" x14ac:dyDescent="0.25">
      <c r="A7321" t="s">
        <v>19306</v>
      </c>
      <c r="B7321">
        <v>3</v>
      </c>
      <c r="C7321">
        <v>74</v>
      </c>
      <c r="D7321">
        <v>24.666666666666668</v>
      </c>
    </row>
    <row r="7322" spans="1:4" ht="15" x14ac:dyDescent="0.25">
      <c r="A7322" t="s">
        <v>19311</v>
      </c>
      <c r="B7322">
        <v>2</v>
      </c>
      <c r="C7322">
        <v>180</v>
      </c>
      <c r="D7322">
        <v>90</v>
      </c>
    </row>
    <row r="7323" spans="1:4" ht="15" x14ac:dyDescent="0.25">
      <c r="A7323" t="s">
        <v>19317</v>
      </c>
      <c r="B7323">
        <v>1</v>
      </c>
      <c r="C7323">
        <v>59</v>
      </c>
      <c r="D7323">
        <v>59</v>
      </c>
    </row>
    <row r="7324" spans="1:4" ht="15" x14ac:dyDescent="0.25">
      <c r="A7324" t="s">
        <v>19318</v>
      </c>
      <c r="B7324">
        <v>3</v>
      </c>
      <c r="C7324">
        <v>169</v>
      </c>
      <c r="D7324">
        <v>56.333333333333336</v>
      </c>
    </row>
    <row r="7325" spans="1:4" ht="15" x14ac:dyDescent="0.25">
      <c r="A7325" t="s">
        <v>19319</v>
      </c>
      <c r="B7325">
        <v>1</v>
      </c>
      <c r="C7325">
        <v>59</v>
      </c>
      <c r="D7325">
        <v>59</v>
      </c>
    </row>
    <row r="7326" spans="1:4" ht="15" x14ac:dyDescent="0.25">
      <c r="A7326" t="s">
        <v>19320</v>
      </c>
      <c r="B7326">
        <v>2</v>
      </c>
      <c r="C7326">
        <v>84</v>
      </c>
      <c r="D7326">
        <v>42</v>
      </c>
    </row>
    <row r="7327" spans="1:4" ht="15" x14ac:dyDescent="0.25">
      <c r="A7327" t="s">
        <v>19327</v>
      </c>
      <c r="B7327">
        <v>1</v>
      </c>
      <c r="C7327">
        <v>53</v>
      </c>
      <c r="D7327">
        <v>53</v>
      </c>
    </row>
    <row r="7328" spans="1:4" ht="15" x14ac:dyDescent="0.25">
      <c r="A7328" t="s">
        <v>19328</v>
      </c>
      <c r="B7328">
        <v>1</v>
      </c>
      <c r="C7328">
        <v>53</v>
      </c>
      <c r="D7328">
        <v>53</v>
      </c>
    </row>
    <row r="7329" spans="1:4" ht="15" x14ac:dyDescent="0.25">
      <c r="A7329" t="s">
        <v>19329</v>
      </c>
      <c r="B7329">
        <v>1</v>
      </c>
      <c r="C7329">
        <v>53</v>
      </c>
      <c r="D7329">
        <v>53</v>
      </c>
    </row>
    <row r="7330" spans="1:4" ht="15" x14ac:dyDescent="0.25">
      <c r="A7330" t="s">
        <v>19334</v>
      </c>
      <c r="B7330">
        <v>1</v>
      </c>
      <c r="C7330">
        <v>578</v>
      </c>
      <c r="D7330">
        <v>578</v>
      </c>
    </row>
    <row r="7331" spans="1:4" ht="15" x14ac:dyDescent="0.25">
      <c r="A7331" t="s">
        <v>19335</v>
      </c>
      <c r="B7331">
        <v>1</v>
      </c>
      <c r="C7331">
        <v>578</v>
      </c>
      <c r="D7331">
        <v>578</v>
      </c>
    </row>
    <row r="7332" spans="1:4" ht="15" x14ac:dyDescent="0.25">
      <c r="A7332" t="s">
        <v>19337</v>
      </c>
      <c r="B7332">
        <v>1</v>
      </c>
      <c r="C7332">
        <v>578</v>
      </c>
      <c r="D7332">
        <v>578</v>
      </c>
    </row>
    <row r="7333" spans="1:4" ht="15" x14ac:dyDescent="0.25">
      <c r="A7333" t="s">
        <v>19338</v>
      </c>
      <c r="B7333">
        <v>1</v>
      </c>
      <c r="C7333">
        <v>578</v>
      </c>
      <c r="D7333">
        <v>578</v>
      </c>
    </row>
    <row r="7334" spans="1:4" ht="15" x14ac:dyDescent="0.25">
      <c r="A7334" t="s">
        <v>19336</v>
      </c>
      <c r="B7334">
        <v>2</v>
      </c>
      <c r="C7334">
        <v>1172</v>
      </c>
      <c r="D7334">
        <v>586</v>
      </c>
    </row>
    <row r="7335" spans="1:4" ht="15" x14ac:dyDescent="0.25">
      <c r="A7335" t="s">
        <v>19341</v>
      </c>
      <c r="B7335">
        <v>1</v>
      </c>
      <c r="C7335">
        <v>40</v>
      </c>
      <c r="D7335">
        <v>40</v>
      </c>
    </row>
    <row r="7336" spans="1:4" ht="15" x14ac:dyDescent="0.25">
      <c r="A7336" t="s">
        <v>19342</v>
      </c>
      <c r="B7336">
        <v>1</v>
      </c>
      <c r="C7336">
        <v>40</v>
      </c>
      <c r="D7336">
        <v>40</v>
      </c>
    </row>
    <row r="7337" spans="1:4" ht="15" x14ac:dyDescent="0.25">
      <c r="A7337" t="s">
        <v>19346</v>
      </c>
      <c r="B7337">
        <v>1</v>
      </c>
      <c r="C7337">
        <v>13</v>
      </c>
      <c r="D7337">
        <v>13</v>
      </c>
    </row>
    <row r="7338" spans="1:4" ht="15" x14ac:dyDescent="0.25">
      <c r="A7338" t="s">
        <v>19355</v>
      </c>
      <c r="B7338">
        <v>1</v>
      </c>
      <c r="C7338">
        <v>24</v>
      </c>
      <c r="D7338">
        <v>24</v>
      </c>
    </row>
    <row r="7339" spans="1:4" ht="15" x14ac:dyDescent="0.25">
      <c r="A7339" t="s">
        <v>19356</v>
      </c>
      <c r="B7339">
        <v>1</v>
      </c>
      <c r="C7339">
        <v>24</v>
      </c>
      <c r="D7339">
        <v>24</v>
      </c>
    </row>
    <row r="7340" spans="1:4" ht="15" x14ac:dyDescent="0.25">
      <c r="A7340" t="s">
        <v>19357</v>
      </c>
      <c r="B7340">
        <v>1</v>
      </c>
      <c r="C7340">
        <v>24</v>
      </c>
      <c r="D7340">
        <v>24</v>
      </c>
    </row>
    <row r="7341" spans="1:4" ht="15" x14ac:dyDescent="0.25">
      <c r="A7341" t="s">
        <v>19361</v>
      </c>
      <c r="B7341">
        <v>1</v>
      </c>
      <c r="C7341">
        <v>13</v>
      </c>
      <c r="D7341">
        <v>13</v>
      </c>
    </row>
    <row r="7342" spans="1:4" ht="15" x14ac:dyDescent="0.25">
      <c r="A7342" t="s">
        <v>19362</v>
      </c>
      <c r="B7342">
        <v>1</v>
      </c>
      <c r="C7342">
        <v>13</v>
      </c>
      <c r="D7342">
        <v>13</v>
      </c>
    </row>
    <row r="7343" spans="1:4" ht="15" x14ac:dyDescent="0.25">
      <c r="A7343" t="s">
        <v>19363</v>
      </c>
      <c r="B7343">
        <v>3</v>
      </c>
      <c r="C7343">
        <v>52</v>
      </c>
      <c r="D7343">
        <v>17.333333333333332</v>
      </c>
    </row>
    <row r="7344" spans="1:4" ht="15" x14ac:dyDescent="0.25">
      <c r="A7344" t="s">
        <v>19366</v>
      </c>
      <c r="B7344">
        <v>2</v>
      </c>
      <c r="C7344">
        <v>153</v>
      </c>
      <c r="D7344">
        <v>76.5</v>
      </c>
    </row>
    <row r="7345" spans="1:4" ht="15" x14ac:dyDescent="0.25">
      <c r="A7345" t="s">
        <v>19370</v>
      </c>
      <c r="B7345">
        <v>1</v>
      </c>
      <c r="C7345">
        <v>24</v>
      </c>
      <c r="D7345">
        <v>24</v>
      </c>
    </row>
    <row r="7346" spans="1:4" ht="15" x14ac:dyDescent="0.25">
      <c r="A7346" t="s">
        <v>19374</v>
      </c>
      <c r="B7346">
        <v>1</v>
      </c>
      <c r="C7346">
        <v>130</v>
      </c>
      <c r="D7346">
        <v>130</v>
      </c>
    </row>
    <row r="7347" spans="1:4" ht="15" x14ac:dyDescent="0.25">
      <c r="A7347" t="s">
        <v>19376</v>
      </c>
      <c r="B7347">
        <v>1</v>
      </c>
      <c r="C7347">
        <v>130</v>
      </c>
      <c r="D7347">
        <v>130</v>
      </c>
    </row>
    <row r="7348" spans="1:4" ht="15" x14ac:dyDescent="0.25">
      <c r="A7348" t="s">
        <v>19375</v>
      </c>
      <c r="B7348">
        <v>1</v>
      </c>
      <c r="C7348">
        <v>130</v>
      </c>
      <c r="D7348">
        <v>130</v>
      </c>
    </row>
    <row r="7349" spans="1:4" ht="15" x14ac:dyDescent="0.25">
      <c r="A7349" t="s">
        <v>19380</v>
      </c>
      <c r="B7349">
        <v>2</v>
      </c>
      <c r="C7349">
        <v>59</v>
      </c>
      <c r="D7349">
        <v>29.5</v>
      </c>
    </row>
    <row r="7350" spans="1:4" ht="15" x14ac:dyDescent="0.25">
      <c r="A7350" t="s">
        <v>19382</v>
      </c>
      <c r="B7350">
        <v>1</v>
      </c>
      <c r="C7350">
        <v>5</v>
      </c>
      <c r="D7350">
        <v>5</v>
      </c>
    </row>
    <row r="7351" spans="1:4" ht="15" x14ac:dyDescent="0.25">
      <c r="A7351" t="s">
        <v>19381</v>
      </c>
      <c r="B7351">
        <v>1</v>
      </c>
      <c r="C7351">
        <v>5</v>
      </c>
      <c r="D7351">
        <v>5</v>
      </c>
    </row>
    <row r="7352" spans="1:4" ht="15" x14ac:dyDescent="0.25">
      <c r="A7352" t="s">
        <v>19386</v>
      </c>
      <c r="B7352">
        <v>1</v>
      </c>
      <c r="C7352">
        <v>17</v>
      </c>
      <c r="D7352">
        <v>17</v>
      </c>
    </row>
    <row r="7353" spans="1:4" ht="15" x14ac:dyDescent="0.25">
      <c r="A7353" t="s">
        <v>19390</v>
      </c>
      <c r="B7353">
        <v>1</v>
      </c>
      <c r="C7353">
        <v>92</v>
      </c>
      <c r="D7353">
        <v>92</v>
      </c>
    </row>
    <row r="7354" spans="1:4" ht="15" x14ac:dyDescent="0.25">
      <c r="A7354" t="s">
        <v>19391</v>
      </c>
      <c r="B7354">
        <v>1</v>
      </c>
      <c r="C7354">
        <v>92</v>
      </c>
      <c r="D7354">
        <v>92</v>
      </c>
    </row>
    <row r="7355" spans="1:4" ht="15" x14ac:dyDescent="0.25">
      <c r="A7355" t="s">
        <v>19393</v>
      </c>
      <c r="B7355">
        <v>4</v>
      </c>
      <c r="C7355">
        <v>170</v>
      </c>
      <c r="D7355">
        <v>42.5</v>
      </c>
    </row>
    <row r="7356" spans="1:4" ht="15" x14ac:dyDescent="0.25">
      <c r="A7356" t="s">
        <v>19394</v>
      </c>
      <c r="B7356">
        <v>1</v>
      </c>
      <c r="C7356">
        <v>92</v>
      </c>
      <c r="D7356">
        <v>92</v>
      </c>
    </row>
    <row r="7357" spans="1:4" ht="15" x14ac:dyDescent="0.25">
      <c r="A7357" t="s">
        <v>19392</v>
      </c>
      <c r="B7357">
        <v>1</v>
      </c>
      <c r="C7357">
        <v>92</v>
      </c>
      <c r="D7357">
        <v>92</v>
      </c>
    </row>
    <row r="7358" spans="1:4" ht="15" x14ac:dyDescent="0.25">
      <c r="A7358" t="s">
        <v>19398</v>
      </c>
      <c r="B7358">
        <v>1</v>
      </c>
      <c r="C7358">
        <v>16</v>
      </c>
      <c r="D7358">
        <v>16</v>
      </c>
    </row>
    <row r="7359" spans="1:4" ht="15" x14ac:dyDescent="0.25">
      <c r="A7359" t="s">
        <v>19402</v>
      </c>
      <c r="B7359">
        <v>1</v>
      </c>
      <c r="C7359">
        <v>6</v>
      </c>
      <c r="D7359">
        <v>6</v>
      </c>
    </row>
    <row r="7360" spans="1:4" ht="15" x14ac:dyDescent="0.25">
      <c r="A7360" t="s">
        <v>19407</v>
      </c>
      <c r="B7360">
        <v>1</v>
      </c>
      <c r="C7360">
        <v>47</v>
      </c>
      <c r="D7360">
        <v>47</v>
      </c>
    </row>
    <row r="7361" spans="1:4" ht="15" x14ac:dyDescent="0.25">
      <c r="A7361" t="s">
        <v>19412</v>
      </c>
      <c r="B7361">
        <v>1</v>
      </c>
      <c r="C7361">
        <v>23</v>
      </c>
      <c r="D7361">
        <v>23</v>
      </c>
    </row>
    <row r="7362" spans="1:4" ht="15" x14ac:dyDescent="0.25">
      <c r="A7362" t="s">
        <v>19413</v>
      </c>
      <c r="B7362">
        <v>1</v>
      </c>
      <c r="C7362">
        <v>23</v>
      </c>
      <c r="D7362">
        <v>23</v>
      </c>
    </row>
    <row r="7363" spans="1:4" ht="15" x14ac:dyDescent="0.25">
      <c r="A7363" t="s">
        <v>19416</v>
      </c>
      <c r="B7363">
        <v>1</v>
      </c>
      <c r="C7363">
        <v>51</v>
      </c>
      <c r="D7363">
        <v>51</v>
      </c>
    </row>
    <row r="7364" spans="1:4" ht="15" x14ac:dyDescent="0.25">
      <c r="A7364" t="s">
        <v>19417</v>
      </c>
      <c r="B7364">
        <v>1</v>
      </c>
      <c r="C7364">
        <v>51</v>
      </c>
      <c r="D7364">
        <v>51</v>
      </c>
    </row>
    <row r="7365" spans="1:4" ht="15" x14ac:dyDescent="0.25">
      <c r="A7365" t="s">
        <v>19418</v>
      </c>
      <c r="B7365">
        <v>1</v>
      </c>
      <c r="C7365">
        <v>51</v>
      </c>
      <c r="D7365">
        <v>51</v>
      </c>
    </row>
    <row r="7366" spans="1:4" ht="15" x14ac:dyDescent="0.25">
      <c r="A7366" t="s">
        <v>19429</v>
      </c>
      <c r="B7366">
        <v>1</v>
      </c>
      <c r="C7366">
        <v>16</v>
      </c>
      <c r="D7366">
        <v>16</v>
      </c>
    </row>
    <row r="7367" spans="1:4" ht="15" x14ac:dyDescent="0.25">
      <c r="A7367" t="s">
        <v>19430</v>
      </c>
      <c r="B7367">
        <v>1</v>
      </c>
      <c r="C7367">
        <v>16</v>
      </c>
      <c r="D7367">
        <v>16</v>
      </c>
    </row>
    <row r="7368" spans="1:4" ht="15" x14ac:dyDescent="0.25">
      <c r="A7368" t="s">
        <v>19431</v>
      </c>
      <c r="B7368">
        <v>1</v>
      </c>
      <c r="C7368">
        <v>16</v>
      </c>
      <c r="D7368">
        <v>16</v>
      </c>
    </row>
    <row r="7369" spans="1:4" ht="15" x14ac:dyDescent="0.25">
      <c r="A7369" t="s">
        <v>19432</v>
      </c>
      <c r="B7369">
        <v>1</v>
      </c>
      <c r="C7369">
        <v>16</v>
      </c>
      <c r="D7369">
        <v>16</v>
      </c>
    </row>
    <row r="7370" spans="1:4" ht="15" x14ac:dyDescent="0.25">
      <c r="A7370" t="s">
        <v>19436</v>
      </c>
      <c r="B7370">
        <v>1</v>
      </c>
      <c r="C7370">
        <v>23</v>
      </c>
      <c r="D7370">
        <v>23</v>
      </c>
    </row>
    <row r="7371" spans="1:4" ht="15" x14ac:dyDescent="0.25">
      <c r="A7371" t="s">
        <v>19435</v>
      </c>
      <c r="B7371">
        <v>1</v>
      </c>
      <c r="C7371">
        <v>23</v>
      </c>
      <c r="D7371">
        <v>23</v>
      </c>
    </row>
    <row r="7372" spans="1:4" ht="15" x14ac:dyDescent="0.25">
      <c r="A7372" t="s">
        <v>19440</v>
      </c>
      <c r="B7372">
        <v>1</v>
      </c>
      <c r="C7372">
        <v>7</v>
      </c>
      <c r="D7372">
        <v>7</v>
      </c>
    </row>
    <row r="7373" spans="1:4" ht="15" x14ac:dyDescent="0.25">
      <c r="A7373" t="s">
        <v>19441</v>
      </c>
      <c r="B7373">
        <v>1</v>
      </c>
      <c r="C7373">
        <v>7</v>
      </c>
      <c r="D7373">
        <v>7</v>
      </c>
    </row>
    <row r="7374" spans="1:4" ht="15" x14ac:dyDescent="0.25">
      <c r="A7374" t="s">
        <v>19445</v>
      </c>
      <c r="B7374">
        <v>1</v>
      </c>
      <c r="C7374">
        <v>60</v>
      </c>
      <c r="D7374">
        <v>60</v>
      </c>
    </row>
    <row r="7375" spans="1:4" ht="15" x14ac:dyDescent="0.25">
      <c r="A7375" t="s">
        <v>19448</v>
      </c>
      <c r="B7375">
        <v>1</v>
      </c>
      <c r="C7375">
        <v>139</v>
      </c>
      <c r="D7375">
        <v>139</v>
      </c>
    </row>
    <row r="7376" spans="1:4" ht="15" x14ac:dyDescent="0.25">
      <c r="A7376" t="s">
        <v>19449</v>
      </c>
      <c r="B7376">
        <v>2</v>
      </c>
      <c r="C7376">
        <v>251</v>
      </c>
      <c r="D7376">
        <v>125.5</v>
      </c>
    </row>
    <row r="7377" spans="1:4" ht="15" x14ac:dyDescent="0.25">
      <c r="A7377" t="s">
        <v>19451</v>
      </c>
      <c r="B7377">
        <v>2</v>
      </c>
      <c r="C7377">
        <v>205</v>
      </c>
      <c r="D7377">
        <v>102.5</v>
      </c>
    </row>
    <row r="7378" spans="1:4" ht="15" x14ac:dyDescent="0.25">
      <c r="A7378" t="s">
        <v>19450</v>
      </c>
      <c r="B7378">
        <v>1</v>
      </c>
      <c r="C7378">
        <v>139</v>
      </c>
      <c r="D7378">
        <v>139</v>
      </c>
    </row>
    <row r="7379" spans="1:4" ht="15" x14ac:dyDescent="0.25">
      <c r="A7379" t="s">
        <v>19455</v>
      </c>
      <c r="B7379">
        <v>1</v>
      </c>
      <c r="C7379">
        <v>7</v>
      </c>
      <c r="D7379">
        <v>7</v>
      </c>
    </row>
    <row r="7380" spans="1:4" ht="15" x14ac:dyDescent="0.25">
      <c r="A7380" t="s">
        <v>19456</v>
      </c>
      <c r="B7380">
        <v>1</v>
      </c>
      <c r="C7380">
        <v>7</v>
      </c>
      <c r="D7380">
        <v>7</v>
      </c>
    </row>
    <row r="7381" spans="1:4" ht="15" x14ac:dyDescent="0.25">
      <c r="A7381" t="s">
        <v>19457</v>
      </c>
      <c r="B7381">
        <v>1</v>
      </c>
      <c r="C7381">
        <v>7</v>
      </c>
      <c r="D7381">
        <v>7</v>
      </c>
    </row>
    <row r="7382" spans="1:4" ht="15" x14ac:dyDescent="0.25">
      <c r="A7382" t="s">
        <v>19461</v>
      </c>
      <c r="B7382">
        <v>1</v>
      </c>
      <c r="C7382">
        <v>85</v>
      </c>
      <c r="D7382">
        <v>85</v>
      </c>
    </row>
    <row r="7383" spans="1:4" ht="15" x14ac:dyDescent="0.25">
      <c r="A7383" t="s">
        <v>19462</v>
      </c>
      <c r="B7383">
        <v>5</v>
      </c>
      <c r="C7383">
        <v>1333</v>
      </c>
      <c r="D7383">
        <v>266.60000000000002</v>
      </c>
    </row>
    <row r="7384" spans="1:4" ht="15" x14ac:dyDescent="0.25">
      <c r="A7384" t="s">
        <v>19466</v>
      </c>
      <c r="B7384">
        <v>1</v>
      </c>
      <c r="C7384">
        <v>16</v>
      </c>
      <c r="D7384">
        <v>16</v>
      </c>
    </row>
    <row r="7385" spans="1:4" ht="15" x14ac:dyDescent="0.25">
      <c r="A7385" t="s">
        <v>19469</v>
      </c>
      <c r="B7385">
        <v>1</v>
      </c>
      <c r="C7385">
        <v>21</v>
      </c>
      <c r="D7385">
        <v>21</v>
      </c>
    </row>
    <row r="7386" spans="1:4" ht="15" x14ac:dyDescent="0.25">
      <c r="A7386" t="s">
        <v>19479</v>
      </c>
      <c r="B7386">
        <v>1</v>
      </c>
      <c r="C7386">
        <v>24</v>
      </c>
      <c r="D7386">
        <v>24</v>
      </c>
    </row>
    <row r="7387" spans="1:4" ht="15" x14ac:dyDescent="0.25">
      <c r="A7387" t="s">
        <v>19480</v>
      </c>
      <c r="B7387">
        <v>1</v>
      </c>
      <c r="C7387">
        <v>24</v>
      </c>
      <c r="D7387">
        <v>24</v>
      </c>
    </row>
    <row r="7388" spans="1:4" ht="15" x14ac:dyDescent="0.25">
      <c r="A7388" t="s">
        <v>19481</v>
      </c>
      <c r="B7388">
        <v>1</v>
      </c>
      <c r="C7388">
        <v>24</v>
      </c>
      <c r="D7388">
        <v>24</v>
      </c>
    </row>
    <row r="7389" spans="1:4" ht="15" x14ac:dyDescent="0.25">
      <c r="A7389" t="s">
        <v>19489</v>
      </c>
      <c r="B7389">
        <v>1</v>
      </c>
      <c r="C7389">
        <v>10</v>
      </c>
      <c r="D7389">
        <v>10</v>
      </c>
    </row>
    <row r="7390" spans="1:4" ht="15" x14ac:dyDescent="0.25">
      <c r="A7390" t="s">
        <v>19498</v>
      </c>
      <c r="B7390">
        <v>1</v>
      </c>
      <c r="C7390">
        <v>39</v>
      </c>
      <c r="D7390">
        <v>39</v>
      </c>
    </row>
    <row r="7391" spans="1:4" ht="15" x14ac:dyDescent="0.25">
      <c r="A7391" t="s">
        <v>19497</v>
      </c>
      <c r="B7391">
        <v>5</v>
      </c>
      <c r="C7391">
        <v>149</v>
      </c>
      <c r="D7391">
        <v>29.8</v>
      </c>
    </row>
    <row r="7392" spans="1:4" ht="15" x14ac:dyDescent="0.25">
      <c r="A7392" t="s">
        <v>19518</v>
      </c>
      <c r="B7392">
        <v>2</v>
      </c>
      <c r="C7392">
        <v>20</v>
      </c>
      <c r="D7392">
        <v>10</v>
      </c>
    </row>
    <row r="7393" spans="1:4" ht="15" x14ac:dyDescent="0.25">
      <c r="A7393" t="s">
        <v>19522</v>
      </c>
      <c r="B7393">
        <v>1</v>
      </c>
      <c r="C7393">
        <v>35</v>
      </c>
      <c r="D7393">
        <v>35</v>
      </c>
    </row>
    <row r="7394" spans="1:4" ht="15" x14ac:dyDescent="0.25">
      <c r="A7394" t="s">
        <v>19523</v>
      </c>
      <c r="B7394">
        <v>1</v>
      </c>
      <c r="C7394">
        <v>35</v>
      </c>
      <c r="D7394">
        <v>35</v>
      </c>
    </row>
    <row r="7395" spans="1:4" ht="15" x14ac:dyDescent="0.25">
      <c r="A7395" t="s">
        <v>19524</v>
      </c>
      <c r="B7395">
        <v>1</v>
      </c>
      <c r="C7395">
        <v>35</v>
      </c>
      <c r="D7395">
        <v>35</v>
      </c>
    </row>
    <row r="7396" spans="1:4" ht="15" x14ac:dyDescent="0.25">
      <c r="A7396" t="s">
        <v>19532</v>
      </c>
      <c r="B7396">
        <v>1</v>
      </c>
      <c r="C7396">
        <v>7</v>
      </c>
      <c r="D7396">
        <v>7</v>
      </c>
    </row>
    <row r="7397" spans="1:4" ht="15" x14ac:dyDescent="0.25">
      <c r="A7397" t="s">
        <v>19533</v>
      </c>
      <c r="B7397">
        <v>2</v>
      </c>
      <c r="C7397">
        <v>28</v>
      </c>
      <c r="D7397">
        <v>14</v>
      </c>
    </row>
    <row r="7398" spans="1:4" ht="15" x14ac:dyDescent="0.25">
      <c r="A7398" t="s">
        <v>19537</v>
      </c>
      <c r="B7398">
        <v>1</v>
      </c>
      <c r="C7398">
        <v>14</v>
      </c>
      <c r="D7398">
        <v>14</v>
      </c>
    </row>
    <row r="7399" spans="1:4" ht="15" x14ac:dyDescent="0.25">
      <c r="A7399" t="s">
        <v>19539</v>
      </c>
      <c r="B7399">
        <v>1</v>
      </c>
      <c r="C7399">
        <v>14</v>
      </c>
      <c r="D7399">
        <v>14</v>
      </c>
    </row>
    <row r="7400" spans="1:4" ht="15" x14ac:dyDescent="0.25">
      <c r="A7400" t="s">
        <v>19538</v>
      </c>
      <c r="B7400">
        <v>1</v>
      </c>
      <c r="C7400">
        <v>14</v>
      </c>
      <c r="D7400">
        <v>14</v>
      </c>
    </row>
    <row r="7401" spans="1:4" ht="15" x14ac:dyDescent="0.25">
      <c r="A7401" t="s">
        <v>19543</v>
      </c>
      <c r="B7401">
        <v>1</v>
      </c>
      <c r="C7401">
        <v>20</v>
      </c>
      <c r="D7401">
        <v>20</v>
      </c>
    </row>
    <row r="7402" spans="1:4" ht="15" x14ac:dyDescent="0.25">
      <c r="A7402" t="s">
        <v>19544</v>
      </c>
      <c r="B7402">
        <v>1</v>
      </c>
      <c r="C7402">
        <v>20</v>
      </c>
      <c r="D7402">
        <v>20</v>
      </c>
    </row>
    <row r="7403" spans="1:4" ht="15" x14ac:dyDescent="0.25">
      <c r="A7403" t="s">
        <v>19546</v>
      </c>
      <c r="B7403">
        <v>1</v>
      </c>
      <c r="C7403">
        <v>20</v>
      </c>
      <c r="D7403">
        <v>20</v>
      </c>
    </row>
    <row r="7404" spans="1:4" ht="15" x14ac:dyDescent="0.25">
      <c r="A7404" t="s">
        <v>19545</v>
      </c>
      <c r="B7404">
        <v>1</v>
      </c>
      <c r="C7404">
        <v>20</v>
      </c>
      <c r="D7404">
        <v>20</v>
      </c>
    </row>
    <row r="7405" spans="1:4" ht="15" x14ac:dyDescent="0.25">
      <c r="A7405" t="s">
        <v>19554</v>
      </c>
      <c r="B7405">
        <v>1</v>
      </c>
      <c r="C7405">
        <v>40</v>
      </c>
      <c r="D7405">
        <v>40</v>
      </c>
    </row>
    <row r="7406" spans="1:4" ht="15" x14ac:dyDescent="0.25">
      <c r="A7406" t="s">
        <v>19555</v>
      </c>
      <c r="B7406">
        <v>1</v>
      </c>
      <c r="C7406">
        <v>40</v>
      </c>
      <c r="D7406">
        <v>40</v>
      </c>
    </row>
    <row r="7407" spans="1:4" ht="15" x14ac:dyDescent="0.25">
      <c r="A7407" t="s">
        <v>19557</v>
      </c>
      <c r="B7407">
        <v>1</v>
      </c>
      <c r="C7407">
        <v>40</v>
      </c>
      <c r="D7407">
        <v>40</v>
      </c>
    </row>
    <row r="7408" spans="1:4" ht="15" x14ac:dyDescent="0.25">
      <c r="A7408" t="s">
        <v>19556</v>
      </c>
      <c r="B7408">
        <v>1</v>
      </c>
      <c r="C7408">
        <v>40</v>
      </c>
      <c r="D7408">
        <v>40</v>
      </c>
    </row>
    <row r="7409" spans="1:4" ht="15" x14ac:dyDescent="0.25">
      <c r="A7409" t="s">
        <v>19562</v>
      </c>
      <c r="B7409">
        <v>1</v>
      </c>
      <c r="C7409">
        <v>1866</v>
      </c>
      <c r="D7409">
        <v>1866</v>
      </c>
    </row>
    <row r="7410" spans="1:4" ht="15" x14ac:dyDescent="0.25">
      <c r="A7410" t="s">
        <v>19563</v>
      </c>
      <c r="B7410">
        <v>1</v>
      </c>
      <c r="C7410">
        <v>1866</v>
      </c>
      <c r="D7410">
        <v>1866</v>
      </c>
    </row>
    <row r="7411" spans="1:4" ht="15" x14ac:dyDescent="0.25">
      <c r="A7411" t="s">
        <v>19566</v>
      </c>
      <c r="B7411">
        <v>1</v>
      </c>
      <c r="C7411">
        <v>47</v>
      </c>
      <c r="D7411">
        <v>47</v>
      </c>
    </row>
    <row r="7412" spans="1:4" ht="15" x14ac:dyDescent="0.25">
      <c r="A7412" t="s">
        <v>19567</v>
      </c>
      <c r="B7412">
        <v>1</v>
      </c>
      <c r="C7412">
        <v>47</v>
      </c>
      <c r="D7412">
        <v>47</v>
      </c>
    </row>
    <row r="7413" spans="1:4" ht="15" x14ac:dyDescent="0.25">
      <c r="A7413" t="s">
        <v>19569</v>
      </c>
      <c r="B7413">
        <v>1</v>
      </c>
      <c r="C7413">
        <v>47</v>
      </c>
      <c r="D7413">
        <v>47</v>
      </c>
    </row>
    <row r="7414" spans="1:4" ht="15" x14ac:dyDescent="0.25">
      <c r="A7414" t="s">
        <v>19568</v>
      </c>
      <c r="B7414">
        <v>1</v>
      </c>
      <c r="C7414">
        <v>47</v>
      </c>
      <c r="D7414">
        <v>47</v>
      </c>
    </row>
    <row r="7415" spans="1:4" ht="15" x14ac:dyDescent="0.25">
      <c r="A7415" t="s">
        <v>19573</v>
      </c>
      <c r="B7415">
        <v>1</v>
      </c>
      <c r="C7415">
        <v>109</v>
      </c>
      <c r="D7415">
        <v>109</v>
      </c>
    </row>
    <row r="7416" spans="1:4" ht="15" x14ac:dyDescent="0.25">
      <c r="A7416" t="s">
        <v>19574</v>
      </c>
      <c r="B7416">
        <v>1</v>
      </c>
      <c r="C7416">
        <v>109</v>
      </c>
      <c r="D7416">
        <v>109</v>
      </c>
    </row>
    <row r="7417" spans="1:4" ht="15" x14ac:dyDescent="0.25">
      <c r="A7417" t="s">
        <v>19576</v>
      </c>
      <c r="B7417">
        <v>1</v>
      </c>
      <c r="C7417">
        <v>109</v>
      </c>
      <c r="D7417">
        <v>109</v>
      </c>
    </row>
    <row r="7418" spans="1:4" ht="15" x14ac:dyDescent="0.25">
      <c r="A7418" t="s">
        <v>19577</v>
      </c>
      <c r="B7418">
        <v>2</v>
      </c>
      <c r="C7418">
        <v>148</v>
      </c>
      <c r="D7418">
        <v>74</v>
      </c>
    </row>
    <row r="7419" spans="1:4" ht="15" x14ac:dyDescent="0.25">
      <c r="A7419" t="s">
        <v>19575</v>
      </c>
      <c r="B7419">
        <v>1</v>
      </c>
      <c r="C7419">
        <v>109</v>
      </c>
      <c r="D7419">
        <v>109</v>
      </c>
    </row>
    <row r="7420" spans="1:4" ht="15" x14ac:dyDescent="0.25">
      <c r="A7420" t="s">
        <v>19581</v>
      </c>
      <c r="B7420">
        <v>1</v>
      </c>
      <c r="C7420">
        <v>4</v>
      </c>
      <c r="D7420">
        <v>4</v>
      </c>
    </row>
    <row r="7421" spans="1:4" ht="15" x14ac:dyDescent="0.25">
      <c r="A7421" t="s">
        <v>19583</v>
      </c>
      <c r="B7421">
        <v>1</v>
      </c>
      <c r="C7421">
        <v>4</v>
      </c>
      <c r="D7421">
        <v>4</v>
      </c>
    </row>
    <row r="7422" spans="1:4" ht="15" x14ac:dyDescent="0.25">
      <c r="A7422" t="s">
        <v>19582</v>
      </c>
      <c r="B7422">
        <v>1</v>
      </c>
      <c r="C7422">
        <v>4</v>
      </c>
      <c r="D7422">
        <v>4</v>
      </c>
    </row>
    <row r="7423" spans="1:4" ht="15" x14ac:dyDescent="0.25">
      <c r="A7423" t="s">
        <v>19587</v>
      </c>
      <c r="B7423">
        <v>1</v>
      </c>
      <c r="C7423">
        <v>17</v>
      </c>
      <c r="D7423">
        <v>17</v>
      </c>
    </row>
    <row r="7424" spans="1:4" ht="15" x14ac:dyDescent="0.25">
      <c r="A7424" t="s">
        <v>19588</v>
      </c>
      <c r="B7424">
        <v>1</v>
      </c>
      <c r="C7424">
        <v>17</v>
      </c>
      <c r="D7424">
        <v>17</v>
      </c>
    </row>
    <row r="7425" spans="1:4" ht="15" x14ac:dyDescent="0.25">
      <c r="A7425" t="s">
        <v>19590</v>
      </c>
      <c r="B7425">
        <v>1</v>
      </c>
      <c r="C7425">
        <v>17</v>
      </c>
      <c r="D7425">
        <v>17</v>
      </c>
    </row>
    <row r="7426" spans="1:4" ht="15" x14ac:dyDescent="0.25">
      <c r="A7426" t="s">
        <v>19589</v>
      </c>
      <c r="B7426">
        <v>1</v>
      </c>
      <c r="C7426">
        <v>17</v>
      </c>
      <c r="D7426">
        <v>17</v>
      </c>
    </row>
    <row r="7427" spans="1:4" ht="15" x14ac:dyDescent="0.25">
      <c r="A7427" t="s">
        <v>19594</v>
      </c>
      <c r="B7427">
        <v>1</v>
      </c>
      <c r="C7427">
        <v>15</v>
      </c>
      <c r="D7427">
        <v>15</v>
      </c>
    </row>
    <row r="7428" spans="1:4" ht="15" x14ac:dyDescent="0.25">
      <c r="A7428" t="s">
        <v>19595</v>
      </c>
      <c r="B7428">
        <v>1</v>
      </c>
      <c r="C7428">
        <v>15</v>
      </c>
      <c r="D7428">
        <v>15</v>
      </c>
    </row>
    <row r="7429" spans="1:4" ht="15" x14ac:dyDescent="0.25">
      <c r="A7429" t="s">
        <v>19598</v>
      </c>
      <c r="B7429">
        <v>2</v>
      </c>
      <c r="C7429">
        <v>1605</v>
      </c>
      <c r="D7429">
        <v>802.5</v>
      </c>
    </row>
    <row r="7430" spans="1:4" ht="15" x14ac:dyDescent="0.25">
      <c r="A7430" t="s">
        <v>19599</v>
      </c>
      <c r="B7430">
        <v>1</v>
      </c>
      <c r="C7430">
        <v>539</v>
      </c>
      <c r="D7430">
        <v>539</v>
      </c>
    </row>
    <row r="7431" spans="1:4" ht="15" x14ac:dyDescent="0.25">
      <c r="A7431" t="s">
        <v>19602</v>
      </c>
      <c r="B7431">
        <v>1</v>
      </c>
      <c r="C7431">
        <v>45</v>
      </c>
      <c r="D7431">
        <v>45</v>
      </c>
    </row>
    <row r="7432" spans="1:4" ht="15" x14ac:dyDescent="0.25">
      <c r="A7432" t="s">
        <v>19604</v>
      </c>
      <c r="B7432">
        <v>1</v>
      </c>
      <c r="C7432">
        <v>45</v>
      </c>
      <c r="D7432">
        <v>45</v>
      </c>
    </row>
    <row r="7433" spans="1:4" ht="15" x14ac:dyDescent="0.25">
      <c r="A7433" t="s">
        <v>19605</v>
      </c>
      <c r="B7433">
        <v>1</v>
      </c>
      <c r="C7433">
        <v>45</v>
      </c>
      <c r="D7433">
        <v>45</v>
      </c>
    </row>
    <row r="7434" spans="1:4" ht="15" x14ac:dyDescent="0.25">
      <c r="A7434" t="s">
        <v>19603</v>
      </c>
      <c r="B7434">
        <v>1</v>
      </c>
      <c r="C7434">
        <v>45</v>
      </c>
      <c r="D7434">
        <v>45</v>
      </c>
    </row>
    <row r="7435" spans="1:4" ht="15" x14ac:dyDescent="0.25">
      <c r="A7435" t="s">
        <v>19609</v>
      </c>
      <c r="B7435">
        <v>1</v>
      </c>
      <c r="C7435">
        <v>26</v>
      </c>
      <c r="D7435">
        <v>26</v>
      </c>
    </row>
    <row r="7436" spans="1:4" ht="15" x14ac:dyDescent="0.25">
      <c r="A7436" t="s">
        <v>19611</v>
      </c>
      <c r="B7436">
        <v>1</v>
      </c>
      <c r="C7436">
        <v>26</v>
      </c>
      <c r="D7436">
        <v>26</v>
      </c>
    </row>
    <row r="7437" spans="1:4" ht="15" x14ac:dyDescent="0.25">
      <c r="A7437" t="s">
        <v>19612</v>
      </c>
      <c r="B7437">
        <v>1</v>
      </c>
      <c r="C7437">
        <v>26</v>
      </c>
      <c r="D7437">
        <v>26</v>
      </c>
    </row>
    <row r="7438" spans="1:4" ht="15" x14ac:dyDescent="0.25">
      <c r="A7438" t="s">
        <v>19610</v>
      </c>
      <c r="B7438">
        <v>1</v>
      </c>
      <c r="C7438">
        <v>26</v>
      </c>
      <c r="D7438">
        <v>26</v>
      </c>
    </row>
    <row r="7439" spans="1:4" ht="15" x14ac:dyDescent="0.25">
      <c r="A7439" t="s">
        <v>19615</v>
      </c>
      <c r="B7439">
        <v>2</v>
      </c>
      <c r="C7439">
        <v>1566</v>
      </c>
      <c r="D7439">
        <v>783</v>
      </c>
    </row>
    <row r="7440" spans="1:4" ht="15" x14ac:dyDescent="0.25">
      <c r="A7440" t="s">
        <v>19618</v>
      </c>
      <c r="B7440">
        <v>1</v>
      </c>
      <c r="C7440">
        <v>26</v>
      </c>
      <c r="D7440">
        <v>26</v>
      </c>
    </row>
    <row r="7441" spans="1:4" ht="15" x14ac:dyDescent="0.25">
      <c r="A7441" t="s">
        <v>19619</v>
      </c>
      <c r="B7441">
        <v>1</v>
      </c>
      <c r="C7441">
        <v>26</v>
      </c>
      <c r="D7441">
        <v>26</v>
      </c>
    </row>
    <row r="7442" spans="1:4" ht="15" x14ac:dyDescent="0.25">
      <c r="A7442" t="s">
        <v>19620</v>
      </c>
      <c r="B7442">
        <v>1</v>
      </c>
      <c r="C7442">
        <v>26</v>
      </c>
      <c r="D7442">
        <v>26</v>
      </c>
    </row>
    <row r="7443" spans="1:4" ht="15" x14ac:dyDescent="0.25">
      <c r="A7443" t="s">
        <v>19621</v>
      </c>
      <c r="B7443">
        <v>1</v>
      </c>
      <c r="C7443">
        <v>26</v>
      </c>
      <c r="D7443">
        <v>26</v>
      </c>
    </row>
    <row r="7444" spans="1:4" ht="15" x14ac:dyDescent="0.25">
      <c r="A7444" t="s">
        <v>19625</v>
      </c>
      <c r="B7444">
        <v>1</v>
      </c>
      <c r="C7444">
        <v>50</v>
      </c>
      <c r="D7444">
        <v>50</v>
      </c>
    </row>
    <row r="7445" spans="1:4" ht="15" x14ac:dyDescent="0.25">
      <c r="A7445" t="s">
        <v>19628</v>
      </c>
      <c r="B7445">
        <v>3</v>
      </c>
      <c r="C7445">
        <v>4514</v>
      </c>
      <c r="D7445">
        <v>1504.6666666666667</v>
      </c>
    </row>
    <row r="7446" spans="1:4" ht="15" x14ac:dyDescent="0.25">
      <c r="A7446" t="s">
        <v>19629</v>
      </c>
      <c r="B7446">
        <v>1</v>
      </c>
      <c r="C7446">
        <v>1403</v>
      </c>
      <c r="D7446">
        <v>1403</v>
      </c>
    </row>
    <row r="7447" spans="1:4" ht="15" x14ac:dyDescent="0.25">
      <c r="A7447" t="s">
        <v>19633</v>
      </c>
      <c r="B7447">
        <v>1</v>
      </c>
      <c r="C7447">
        <v>13</v>
      </c>
      <c r="D7447">
        <v>13</v>
      </c>
    </row>
    <row r="7448" spans="1:4" ht="15" x14ac:dyDescent="0.25">
      <c r="A7448" t="s">
        <v>19634</v>
      </c>
      <c r="B7448">
        <v>1</v>
      </c>
      <c r="C7448">
        <v>13</v>
      </c>
      <c r="D7448">
        <v>13</v>
      </c>
    </row>
    <row r="7449" spans="1:4" ht="15" x14ac:dyDescent="0.25">
      <c r="A7449" t="s">
        <v>19636</v>
      </c>
      <c r="B7449">
        <v>1</v>
      </c>
      <c r="C7449">
        <v>13</v>
      </c>
      <c r="D7449">
        <v>13</v>
      </c>
    </row>
    <row r="7450" spans="1:4" ht="15" x14ac:dyDescent="0.25">
      <c r="A7450" t="s">
        <v>19635</v>
      </c>
      <c r="B7450">
        <v>1</v>
      </c>
      <c r="C7450">
        <v>13</v>
      </c>
      <c r="D7450">
        <v>13</v>
      </c>
    </row>
    <row r="7451" spans="1:4" ht="15" x14ac:dyDescent="0.25">
      <c r="A7451" t="s">
        <v>19642</v>
      </c>
      <c r="B7451">
        <v>2</v>
      </c>
      <c r="C7451">
        <v>21</v>
      </c>
      <c r="D7451">
        <v>10.5</v>
      </c>
    </row>
    <row r="7452" spans="1:4" ht="15" x14ac:dyDescent="0.25">
      <c r="A7452" t="s">
        <v>19643</v>
      </c>
      <c r="B7452">
        <v>4</v>
      </c>
      <c r="C7452">
        <v>40</v>
      </c>
      <c r="D7452">
        <v>10</v>
      </c>
    </row>
    <row r="7453" spans="1:4" ht="15" x14ac:dyDescent="0.25">
      <c r="A7453" t="s">
        <v>19649</v>
      </c>
      <c r="B7453">
        <v>1</v>
      </c>
      <c r="C7453">
        <v>61</v>
      </c>
      <c r="D7453">
        <v>61</v>
      </c>
    </row>
    <row r="7454" spans="1:4" ht="15" x14ac:dyDescent="0.25">
      <c r="A7454" t="s">
        <v>19648</v>
      </c>
      <c r="B7454">
        <v>1</v>
      </c>
      <c r="C7454">
        <v>61</v>
      </c>
      <c r="D7454">
        <v>61</v>
      </c>
    </row>
    <row r="7455" spans="1:4" ht="15" x14ac:dyDescent="0.25">
      <c r="A7455" t="s">
        <v>19660</v>
      </c>
      <c r="B7455">
        <v>1</v>
      </c>
      <c r="C7455">
        <v>232</v>
      </c>
      <c r="D7455">
        <v>232</v>
      </c>
    </row>
    <row r="7456" spans="1:4" ht="15" x14ac:dyDescent="0.25">
      <c r="A7456" t="s">
        <v>19664</v>
      </c>
      <c r="B7456">
        <v>1</v>
      </c>
      <c r="C7456">
        <v>406</v>
      </c>
      <c r="D7456">
        <v>406</v>
      </c>
    </row>
    <row r="7457" spans="1:4" ht="15" x14ac:dyDescent="0.25">
      <c r="A7457" t="s">
        <v>19666</v>
      </c>
      <c r="B7457">
        <v>2</v>
      </c>
      <c r="C7457">
        <v>468</v>
      </c>
      <c r="D7457">
        <v>234</v>
      </c>
    </row>
    <row r="7458" spans="1:4" ht="15" x14ac:dyDescent="0.25">
      <c r="A7458" t="s">
        <v>19667</v>
      </c>
      <c r="B7458">
        <v>3</v>
      </c>
      <c r="C7458">
        <v>458</v>
      </c>
      <c r="D7458">
        <v>152.66666666666666</v>
      </c>
    </row>
    <row r="7459" spans="1:4" ht="15" x14ac:dyDescent="0.25">
      <c r="A7459" t="s">
        <v>19665</v>
      </c>
      <c r="B7459">
        <v>1</v>
      </c>
      <c r="C7459">
        <v>406</v>
      </c>
      <c r="D7459">
        <v>406</v>
      </c>
    </row>
    <row r="7460" spans="1:4" ht="15" x14ac:dyDescent="0.25">
      <c r="A7460" t="s">
        <v>19676</v>
      </c>
      <c r="B7460">
        <v>1</v>
      </c>
      <c r="C7460">
        <v>82</v>
      </c>
      <c r="D7460">
        <v>82</v>
      </c>
    </row>
    <row r="7461" spans="1:4" ht="15" x14ac:dyDescent="0.25">
      <c r="A7461" t="s">
        <v>19675</v>
      </c>
      <c r="B7461">
        <v>1</v>
      </c>
      <c r="C7461">
        <v>82</v>
      </c>
      <c r="D7461">
        <v>82</v>
      </c>
    </row>
    <row r="7462" spans="1:4" ht="15" x14ac:dyDescent="0.25">
      <c r="A7462" t="s">
        <v>19681</v>
      </c>
      <c r="B7462">
        <v>1</v>
      </c>
      <c r="C7462">
        <v>134</v>
      </c>
      <c r="D7462">
        <v>134</v>
      </c>
    </row>
    <row r="7463" spans="1:4" ht="15" x14ac:dyDescent="0.25">
      <c r="A7463" t="s">
        <v>19682</v>
      </c>
      <c r="B7463">
        <v>1</v>
      </c>
      <c r="C7463">
        <v>134</v>
      </c>
      <c r="D7463">
        <v>134</v>
      </c>
    </row>
    <row r="7464" spans="1:4" ht="15" x14ac:dyDescent="0.25">
      <c r="A7464" t="s">
        <v>19686</v>
      </c>
      <c r="B7464">
        <v>1</v>
      </c>
      <c r="C7464">
        <v>59</v>
      </c>
      <c r="D7464">
        <v>59</v>
      </c>
    </row>
    <row r="7465" spans="1:4" ht="15" x14ac:dyDescent="0.25">
      <c r="A7465" t="s">
        <v>19687</v>
      </c>
      <c r="B7465">
        <v>1</v>
      </c>
      <c r="C7465">
        <v>59</v>
      </c>
      <c r="D7465">
        <v>59</v>
      </c>
    </row>
    <row r="7466" spans="1:4" ht="15" x14ac:dyDescent="0.25">
      <c r="A7466" t="s">
        <v>19688</v>
      </c>
      <c r="B7466">
        <v>3</v>
      </c>
      <c r="C7466">
        <v>124</v>
      </c>
      <c r="D7466">
        <v>41.333333333333336</v>
      </c>
    </row>
    <row r="7467" spans="1:4" ht="15" x14ac:dyDescent="0.25">
      <c r="A7467" t="s">
        <v>19689</v>
      </c>
      <c r="B7467">
        <v>1</v>
      </c>
      <c r="C7467">
        <v>59</v>
      </c>
      <c r="D7467">
        <v>59</v>
      </c>
    </row>
    <row r="7468" spans="1:4" ht="15" x14ac:dyDescent="0.25">
      <c r="A7468" t="s">
        <v>19692</v>
      </c>
      <c r="B7468">
        <v>1</v>
      </c>
      <c r="C7468">
        <v>30</v>
      </c>
      <c r="D7468">
        <v>30</v>
      </c>
    </row>
    <row r="7469" spans="1:4" ht="15" x14ac:dyDescent="0.25">
      <c r="A7469" t="s">
        <v>19693</v>
      </c>
      <c r="B7469">
        <v>1</v>
      </c>
      <c r="C7469">
        <v>30</v>
      </c>
      <c r="D7469">
        <v>30</v>
      </c>
    </row>
    <row r="7470" spans="1:4" ht="15" x14ac:dyDescent="0.25">
      <c r="A7470" t="s">
        <v>19699</v>
      </c>
      <c r="B7470">
        <v>1</v>
      </c>
      <c r="C7470">
        <v>31</v>
      </c>
      <c r="D7470">
        <v>31</v>
      </c>
    </row>
    <row r="7471" spans="1:4" ht="15" x14ac:dyDescent="0.25">
      <c r="A7471" t="s">
        <v>19700</v>
      </c>
      <c r="B7471">
        <v>1</v>
      </c>
      <c r="C7471">
        <v>31</v>
      </c>
      <c r="D7471">
        <v>31</v>
      </c>
    </row>
    <row r="7472" spans="1:4" ht="15" x14ac:dyDescent="0.25">
      <c r="A7472" t="s">
        <v>19701</v>
      </c>
      <c r="B7472">
        <v>1</v>
      </c>
      <c r="C7472">
        <v>31</v>
      </c>
      <c r="D7472">
        <v>31</v>
      </c>
    </row>
    <row r="7473" spans="1:4" ht="15" x14ac:dyDescent="0.25">
      <c r="A7473" t="s">
        <v>19705</v>
      </c>
      <c r="B7473">
        <v>1</v>
      </c>
      <c r="C7473">
        <v>70</v>
      </c>
      <c r="D7473">
        <v>70</v>
      </c>
    </row>
    <row r="7474" spans="1:4" ht="15" x14ac:dyDescent="0.25">
      <c r="A7474" t="s">
        <v>19706</v>
      </c>
      <c r="B7474">
        <v>1</v>
      </c>
      <c r="C7474">
        <v>70</v>
      </c>
      <c r="D7474">
        <v>70</v>
      </c>
    </row>
    <row r="7475" spans="1:4" ht="15" x14ac:dyDescent="0.25">
      <c r="A7475" t="s">
        <v>19707</v>
      </c>
      <c r="B7475">
        <v>2</v>
      </c>
      <c r="C7475">
        <v>102</v>
      </c>
      <c r="D7475">
        <v>51</v>
      </c>
    </row>
    <row r="7476" spans="1:4" ht="15" x14ac:dyDescent="0.25">
      <c r="A7476" t="s">
        <v>19711</v>
      </c>
      <c r="B7476">
        <v>1</v>
      </c>
      <c r="C7476">
        <v>11</v>
      </c>
      <c r="D7476">
        <v>11</v>
      </c>
    </row>
    <row r="7477" spans="1:4" ht="15" x14ac:dyDescent="0.25">
      <c r="A7477" t="s">
        <v>19712</v>
      </c>
      <c r="B7477">
        <v>1</v>
      </c>
      <c r="C7477">
        <v>11</v>
      </c>
      <c r="D7477">
        <v>11</v>
      </c>
    </row>
    <row r="7478" spans="1:4" ht="15" x14ac:dyDescent="0.25">
      <c r="A7478" t="s">
        <v>19714</v>
      </c>
      <c r="B7478">
        <v>1</v>
      </c>
      <c r="C7478">
        <v>11</v>
      </c>
      <c r="D7478">
        <v>11</v>
      </c>
    </row>
    <row r="7479" spans="1:4" ht="15" x14ac:dyDescent="0.25">
      <c r="A7479" t="s">
        <v>19713</v>
      </c>
      <c r="B7479">
        <v>1</v>
      </c>
      <c r="C7479">
        <v>11</v>
      </c>
      <c r="D7479">
        <v>11</v>
      </c>
    </row>
    <row r="7480" spans="1:4" ht="15" x14ac:dyDescent="0.25">
      <c r="A7480" t="s">
        <v>19720</v>
      </c>
      <c r="B7480">
        <v>2</v>
      </c>
      <c r="C7480">
        <v>65</v>
      </c>
      <c r="D7480">
        <v>32.5</v>
      </c>
    </row>
    <row r="7481" spans="1:4" ht="15" x14ac:dyDescent="0.25">
      <c r="A7481" t="s">
        <v>19730</v>
      </c>
      <c r="B7481">
        <v>1</v>
      </c>
      <c r="C7481">
        <v>41</v>
      </c>
      <c r="D7481">
        <v>41</v>
      </c>
    </row>
    <row r="7482" spans="1:4" ht="15" x14ac:dyDescent="0.25">
      <c r="A7482" t="s">
        <v>19729</v>
      </c>
      <c r="B7482">
        <v>1</v>
      </c>
      <c r="C7482">
        <v>41</v>
      </c>
      <c r="D7482">
        <v>41</v>
      </c>
    </row>
    <row r="7483" spans="1:4" ht="15" x14ac:dyDescent="0.25">
      <c r="A7483" t="s">
        <v>19737</v>
      </c>
      <c r="B7483">
        <v>1</v>
      </c>
      <c r="C7483">
        <v>18</v>
      </c>
      <c r="D7483">
        <v>18</v>
      </c>
    </row>
    <row r="7484" spans="1:4" ht="15" x14ac:dyDescent="0.25">
      <c r="A7484" t="s">
        <v>19738</v>
      </c>
      <c r="B7484">
        <v>1</v>
      </c>
      <c r="C7484">
        <v>18</v>
      </c>
      <c r="D7484">
        <v>18</v>
      </c>
    </row>
    <row r="7485" spans="1:4" ht="15" x14ac:dyDescent="0.25">
      <c r="A7485" t="s">
        <v>19739</v>
      </c>
      <c r="B7485">
        <v>1</v>
      </c>
      <c r="C7485">
        <v>18</v>
      </c>
      <c r="D7485">
        <v>18</v>
      </c>
    </row>
    <row r="7486" spans="1:4" ht="15" x14ac:dyDescent="0.25">
      <c r="A7486" t="s">
        <v>19743</v>
      </c>
      <c r="B7486">
        <v>1</v>
      </c>
      <c r="C7486">
        <v>12</v>
      </c>
      <c r="D7486">
        <v>12</v>
      </c>
    </row>
    <row r="7487" spans="1:4" ht="15" x14ac:dyDescent="0.25">
      <c r="A7487" t="s">
        <v>19745</v>
      </c>
      <c r="B7487">
        <v>1</v>
      </c>
      <c r="C7487">
        <v>12</v>
      </c>
      <c r="D7487">
        <v>12</v>
      </c>
    </row>
    <row r="7488" spans="1:4" ht="15" x14ac:dyDescent="0.25">
      <c r="A7488" t="s">
        <v>19744</v>
      </c>
      <c r="B7488">
        <v>1</v>
      </c>
      <c r="C7488">
        <v>12</v>
      </c>
      <c r="D7488">
        <v>12</v>
      </c>
    </row>
    <row r="7489" spans="1:4" ht="15" x14ac:dyDescent="0.25">
      <c r="A7489" t="s">
        <v>19749</v>
      </c>
      <c r="B7489">
        <v>1</v>
      </c>
      <c r="C7489">
        <v>4</v>
      </c>
      <c r="D7489">
        <v>4</v>
      </c>
    </row>
    <row r="7490" spans="1:4" ht="15" x14ac:dyDescent="0.25">
      <c r="A7490" t="s">
        <v>19750</v>
      </c>
      <c r="B7490">
        <v>1</v>
      </c>
      <c r="C7490">
        <v>4</v>
      </c>
      <c r="D7490">
        <v>4</v>
      </c>
    </row>
    <row r="7491" spans="1:4" ht="15" x14ac:dyDescent="0.25">
      <c r="A7491" t="s">
        <v>19752</v>
      </c>
      <c r="B7491">
        <v>1</v>
      </c>
      <c r="C7491">
        <v>4</v>
      </c>
      <c r="D7491">
        <v>4</v>
      </c>
    </row>
    <row r="7492" spans="1:4" ht="15" x14ac:dyDescent="0.25">
      <c r="A7492" t="s">
        <v>19751</v>
      </c>
      <c r="B7492">
        <v>1</v>
      </c>
      <c r="C7492">
        <v>4</v>
      </c>
      <c r="D7492">
        <v>4</v>
      </c>
    </row>
    <row r="7493" spans="1:4" ht="15" x14ac:dyDescent="0.25">
      <c r="A7493" t="s">
        <v>19756</v>
      </c>
      <c r="B7493">
        <v>2</v>
      </c>
      <c r="C7493">
        <v>72</v>
      </c>
      <c r="D7493">
        <v>36</v>
      </c>
    </row>
    <row r="7494" spans="1:4" ht="15" x14ac:dyDescent="0.25">
      <c r="A7494" t="s">
        <v>19758</v>
      </c>
      <c r="B7494">
        <v>1</v>
      </c>
      <c r="C7494">
        <v>7</v>
      </c>
      <c r="D7494">
        <v>7</v>
      </c>
    </row>
    <row r="7495" spans="1:4" ht="15" x14ac:dyDescent="0.25">
      <c r="A7495" t="s">
        <v>19759</v>
      </c>
      <c r="B7495">
        <v>1</v>
      </c>
      <c r="C7495">
        <v>7</v>
      </c>
      <c r="D7495">
        <v>7</v>
      </c>
    </row>
    <row r="7496" spans="1:4" ht="15" x14ac:dyDescent="0.25">
      <c r="A7496" t="s">
        <v>19757</v>
      </c>
      <c r="B7496">
        <v>1</v>
      </c>
      <c r="C7496">
        <v>7</v>
      </c>
      <c r="D7496">
        <v>7</v>
      </c>
    </row>
    <row r="7497" spans="1:4" ht="15" x14ac:dyDescent="0.25">
      <c r="A7497" t="s">
        <v>19763</v>
      </c>
      <c r="B7497">
        <v>1</v>
      </c>
      <c r="C7497">
        <v>61</v>
      </c>
      <c r="D7497">
        <v>61</v>
      </c>
    </row>
    <row r="7498" spans="1:4" ht="15" x14ac:dyDescent="0.25">
      <c r="A7498" t="s">
        <v>19767</v>
      </c>
      <c r="B7498">
        <v>1</v>
      </c>
      <c r="C7498">
        <v>879</v>
      </c>
      <c r="D7498">
        <v>879</v>
      </c>
    </row>
    <row r="7499" spans="1:4" ht="15" x14ac:dyDescent="0.25">
      <c r="A7499" t="s">
        <v>19769</v>
      </c>
      <c r="B7499">
        <v>1</v>
      </c>
      <c r="C7499">
        <v>879</v>
      </c>
      <c r="D7499">
        <v>879</v>
      </c>
    </row>
    <row r="7500" spans="1:4" ht="15" x14ac:dyDescent="0.25">
      <c r="A7500" t="s">
        <v>19768</v>
      </c>
      <c r="B7500">
        <v>1</v>
      </c>
      <c r="C7500">
        <v>879</v>
      </c>
      <c r="D7500">
        <v>879</v>
      </c>
    </row>
    <row r="7501" spans="1:4" ht="15" x14ac:dyDescent="0.25">
      <c r="A7501" t="s">
        <v>19774</v>
      </c>
      <c r="B7501">
        <v>1</v>
      </c>
      <c r="C7501">
        <v>24</v>
      </c>
      <c r="D7501">
        <v>24</v>
      </c>
    </row>
    <row r="7502" spans="1:4" ht="15" x14ac:dyDescent="0.25">
      <c r="A7502" t="s">
        <v>19776</v>
      </c>
      <c r="B7502">
        <v>1</v>
      </c>
      <c r="C7502">
        <v>24</v>
      </c>
      <c r="D7502">
        <v>24</v>
      </c>
    </row>
    <row r="7503" spans="1:4" ht="15" x14ac:dyDescent="0.25">
      <c r="A7503" t="s">
        <v>19775</v>
      </c>
      <c r="B7503">
        <v>1</v>
      </c>
      <c r="C7503">
        <v>24</v>
      </c>
      <c r="D7503">
        <v>24</v>
      </c>
    </row>
    <row r="7504" spans="1:4" ht="15" x14ac:dyDescent="0.25">
      <c r="A7504" t="s">
        <v>19779</v>
      </c>
      <c r="B7504">
        <v>1</v>
      </c>
      <c r="C7504">
        <v>21</v>
      </c>
      <c r="D7504">
        <v>21</v>
      </c>
    </row>
    <row r="7505" spans="1:4" ht="15" x14ac:dyDescent="0.25">
      <c r="A7505" t="s">
        <v>19785</v>
      </c>
      <c r="B7505">
        <v>1</v>
      </c>
      <c r="C7505">
        <v>56</v>
      </c>
      <c r="D7505">
        <v>56</v>
      </c>
    </row>
    <row r="7506" spans="1:4" ht="15" x14ac:dyDescent="0.25">
      <c r="A7506" t="s">
        <v>19786</v>
      </c>
      <c r="B7506">
        <v>1</v>
      </c>
      <c r="C7506">
        <v>56</v>
      </c>
      <c r="D7506">
        <v>56</v>
      </c>
    </row>
    <row r="7507" spans="1:4" ht="15" x14ac:dyDescent="0.25">
      <c r="A7507" t="s">
        <v>19784</v>
      </c>
      <c r="B7507">
        <v>1</v>
      </c>
      <c r="C7507">
        <v>56</v>
      </c>
      <c r="D7507">
        <v>56</v>
      </c>
    </row>
    <row r="7508" spans="1:4" ht="15" x14ac:dyDescent="0.25">
      <c r="A7508" t="s">
        <v>19789</v>
      </c>
      <c r="B7508">
        <v>1</v>
      </c>
      <c r="C7508">
        <v>6</v>
      </c>
      <c r="D7508">
        <v>6</v>
      </c>
    </row>
    <row r="7509" spans="1:4" ht="15" x14ac:dyDescent="0.25">
      <c r="A7509" t="s">
        <v>19790</v>
      </c>
      <c r="B7509">
        <v>1</v>
      </c>
      <c r="C7509">
        <v>6</v>
      </c>
      <c r="D7509">
        <v>6</v>
      </c>
    </row>
    <row r="7510" spans="1:4" ht="15" x14ac:dyDescent="0.25">
      <c r="A7510" t="s">
        <v>19792</v>
      </c>
      <c r="B7510">
        <v>1</v>
      </c>
      <c r="C7510">
        <v>6</v>
      </c>
      <c r="D7510">
        <v>6</v>
      </c>
    </row>
    <row r="7511" spans="1:4" ht="15" x14ac:dyDescent="0.25">
      <c r="A7511" t="s">
        <v>19791</v>
      </c>
      <c r="B7511">
        <v>1</v>
      </c>
      <c r="C7511">
        <v>6</v>
      </c>
      <c r="D7511">
        <v>6</v>
      </c>
    </row>
    <row r="7512" spans="1:4" ht="15" x14ac:dyDescent="0.25">
      <c r="A7512" t="s">
        <v>19796</v>
      </c>
      <c r="B7512">
        <v>1</v>
      </c>
      <c r="C7512">
        <v>33</v>
      </c>
      <c r="D7512">
        <v>33</v>
      </c>
    </row>
    <row r="7513" spans="1:4" ht="15" x14ac:dyDescent="0.25">
      <c r="A7513" t="s">
        <v>19800</v>
      </c>
      <c r="B7513">
        <v>1</v>
      </c>
      <c r="C7513">
        <v>3</v>
      </c>
      <c r="D7513">
        <v>3</v>
      </c>
    </row>
    <row r="7514" spans="1:4" ht="15" x14ac:dyDescent="0.25">
      <c r="A7514" t="s">
        <v>19802</v>
      </c>
      <c r="B7514">
        <v>1</v>
      </c>
      <c r="C7514">
        <v>3</v>
      </c>
      <c r="D7514">
        <v>3</v>
      </c>
    </row>
    <row r="7515" spans="1:4" ht="15" x14ac:dyDescent="0.25">
      <c r="A7515" t="s">
        <v>19801</v>
      </c>
      <c r="B7515">
        <v>1</v>
      </c>
      <c r="C7515">
        <v>3</v>
      </c>
      <c r="D7515">
        <v>3</v>
      </c>
    </row>
    <row r="7516" spans="1:4" ht="15" x14ac:dyDescent="0.25">
      <c r="A7516" t="s">
        <v>19806</v>
      </c>
      <c r="B7516">
        <v>1</v>
      </c>
      <c r="C7516">
        <v>20</v>
      </c>
      <c r="D7516">
        <v>20</v>
      </c>
    </row>
    <row r="7517" spans="1:4" ht="15" x14ac:dyDescent="0.25">
      <c r="A7517" t="s">
        <v>19810</v>
      </c>
      <c r="B7517">
        <v>1</v>
      </c>
      <c r="C7517">
        <v>200</v>
      </c>
      <c r="D7517">
        <v>200</v>
      </c>
    </row>
    <row r="7518" spans="1:4" ht="15" x14ac:dyDescent="0.25">
      <c r="A7518" t="s">
        <v>19811</v>
      </c>
      <c r="B7518">
        <v>3</v>
      </c>
      <c r="C7518">
        <v>1598</v>
      </c>
      <c r="D7518">
        <v>532.66666666666663</v>
      </c>
    </row>
    <row r="7519" spans="1:4" ht="15" x14ac:dyDescent="0.25">
      <c r="A7519" t="s">
        <v>19818</v>
      </c>
      <c r="B7519">
        <v>1</v>
      </c>
      <c r="C7519">
        <v>19</v>
      </c>
      <c r="D7519">
        <v>19</v>
      </c>
    </row>
    <row r="7520" spans="1:4" ht="15" x14ac:dyDescent="0.25">
      <c r="A7520" t="s">
        <v>19819</v>
      </c>
      <c r="B7520">
        <v>1</v>
      </c>
      <c r="C7520">
        <v>19</v>
      </c>
      <c r="D7520">
        <v>19</v>
      </c>
    </row>
    <row r="7521" spans="1:4" ht="15" x14ac:dyDescent="0.25">
      <c r="A7521" t="s">
        <v>19822</v>
      </c>
      <c r="B7521">
        <v>1</v>
      </c>
      <c r="C7521">
        <v>26</v>
      </c>
      <c r="D7521">
        <v>26</v>
      </c>
    </row>
    <row r="7522" spans="1:4" ht="15" x14ac:dyDescent="0.25">
      <c r="A7522" t="s">
        <v>19823</v>
      </c>
      <c r="B7522">
        <v>1</v>
      </c>
      <c r="C7522">
        <v>26</v>
      </c>
      <c r="D7522">
        <v>26</v>
      </c>
    </row>
    <row r="7523" spans="1:4" ht="15" x14ac:dyDescent="0.25">
      <c r="A7523" t="s">
        <v>19831</v>
      </c>
      <c r="B7523">
        <v>2</v>
      </c>
      <c r="C7523">
        <v>117</v>
      </c>
      <c r="D7523">
        <v>58.5</v>
      </c>
    </row>
    <row r="7524" spans="1:4" ht="15" x14ac:dyDescent="0.25">
      <c r="A7524" t="s">
        <v>19836</v>
      </c>
      <c r="B7524">
        <v>1</v>
      </c>
      <c r="C7524">
        <v>22</v>
      </c>
      <c r="D7524">
        <v>22</v>
      </c>
    </row>
    <row r="7525" spans="1:4" ht="15" x14ac:dyDescent="0.25">
      <c r="A7525" t="s">
        <v>19841</v>
      </c>
      <c r="B7525">
        <v>1</v>
      </c>
      <c r="C7525">
        <v>18</v>
      </c>
      <c r="D7525">
        <v>18</v>
      </c>
    </row>
    <row r="7526" spans="1:4" ht="15" x14ac:dyDescent="0.25">
      <c r="A7526" t="s">
        <v>19842</v>
      </c>
      <c r="B7526">
        <v>1</v>
      </c>
      <c r="C7526">
        <v>18</v>
      </c>
      <c r="D7526">
        <v>18</v>
      </c>
    </row>
    <row r="7527" spans="1:4" ht="15" x14ac:dyDescent="0.25">
      <c r="A7527" t="s">
        <v>19846</v>
      </c>
      <c r="B7527">
        <v>1</v>
      </c>
      <c r="C7527">
        <v>22</v>
      </c>
      <c r="D7527">
        <v>22</v>
      </c>
    </row>
    <row r="7528" spans="1:4" ht="15" x14ac:dyDescent="0.25">
      <c r="A7528" t="s">
        <v>19851</v>
      </c>
      <c r="B7528">
        <v>1</v>
      </c>
      <c r="C7528">
        <v>37</v>
      </c>
      <c r="D7528">
        <v>37</v>
      </c>
    </row>
    <row r="7529" spans="1:4" ht="15" x14ac:dyDescent="0.25">
      <c r="A7529" t="s">
        <v>19852</v>
      </c>
      <c r="B7529">
        <v>1</v>
      </c>
      <c r="C7529">
        <v>37</v>
      </c>
      <c r="D7529">
        <v>37</v>
      </c>
    </row>
    <row r="7530" spans="1:4" ht="15" x14ac:dyDescent="0.25">
      <c r="A7530" t="s">
        <v>19850</v>
      </c>
      <c r="B7530">
        <v>1</v>
      </c>
      <c r="C7530">
        <v>37</v>
      </c>
      <c r="D7530">
        <v>37</v>
      </c>
    </row>
    <row r="7531" spans="1:4" ht="15" x14ac:dyDescent="0.25">
      <c r="A7531" t="s">
        <v>19857</v>
      </c>
      <c r="B7531">
        <v>1</v>
      </c>
      <c r="C7531">
        <v>6</v>
      </c>
      <c r="D7531">
        <v>6</v>
      </c>
    </row>
    <row r="7532" spans="1:4" ht="15" x14ac:dyDescent="0.25">
      <c r="A7532" t="s">
        <v>19859</v>
      </c>
      <c r="B7532">
        <v>1</v>
      </c>
      <c r="C7532">
        <v>6</v>
      </c>
      <c r="D7532">
        <v>6</v>
      </c>
    </row>
    <row r="7533" spans="1:4" ht="15" x14ac:dyDescent="0.25">
      <c r="A7533" t="s">
        <v>19858</v>
      </c>
      <c r="B7533">
        <v>1</v>
      </c>
      <c r="C7533">
        <v>6</v>
      </c>
      <c r="D7533">
        <v>6</v>
      </c>
    </row>
    <row r="7534" spans="1:4" ht="15" x14ac:dyDescent="0.25">
      <c r="A7534" t="s">
        <v>19863</v>
      </c>
      <c r="B7534">
        <v>1</v>
      </c>
      <c r="C7534">
        <v>32</v>
      </c>
      <c r="D7534">
        <v>32</v>
      </c>
    </row>
    <row r="7535" spans="1:4" ht="15" x14ac:dyDescent="0.25">
      <c r="A7535" t="s">
        <v>19866</v>
      </c>
      <c r="B7535">
        <v>2</v>
      </c>
      <c r="C7535">
        <v>112</v>
      </c>
      <c r="D7535">
        <v>56</v>
      </c>
    </row>
    <row r="7536" spans="1:4" ht="15" x14ac:dyDescent="0.25">
      <c r="A7536" t="s">
        <v>19869</v>
      </c>
      <c r="B7536">
        <v>1</v>
      </c>
      <c r="C7536">
        <v>337</v>
      </c>
      <c r="D7536">
        <v>337</v>
      </c>
    </row>
    <row r="7537" spans="1:4" ht="15" x14ac:dyDescent="0.25">
      <c r="A7537" t="s">
        <v>19876</v>
      </c>
      <c r="B7537">
        <v>1</v>
      </c>
      <c r="C7537">
        <v>15</v>
      </c>
      <c r="D7537">
        <v>15</v>
      </c>
    </row>
    <row r="7538" spans="1:4" ht="15" x14ac:dyDescent="0.25">
      <c r="A7538" t="s">
        <v>19877</v>
      </c>
      <c r="B7538">
        <v>1</v>
      </c>
      <c r="C7538">
        <v>15</v>
      </c>
      <c r="D7538">
        <v>15</v>
      </c>
    </row>
    <row r="7539" spans="1:4" ht="15" x14ac:dyDescent="0.25">
      <c r="A7539" t="s">
        <v>19878</v>
      </c>
      <c r="B7539">
        <v>1</v>
      </c>
      <c r="C7539">
        <v>15</v>
      </c>
      <c r="D7539">
        <v>15</v>
      </c>
    </row>
    <row r="7540" spans="1:4" ht="15" x14ac:dyDescent="0.25">
      <c r="A7540" t="s">
        <v>19882</v>
      </c>
      <c r="B7540">
        <v>1</v>
      </c>
      <c r="C7540">
        <v>65</v>
      </c>
      <c r="D7540">
        <v>65</v>
      </c>
    </row>
    <row r="7541" spans="1:4" ht="15" x14ac:dyDescent="0.25">
      <c r="A7541" t="s">
        <v>19884</v>
      </c>
      <c r="B7541">
        <v>1</v>
      </c>
      <c r="C7541">
        <v>65</v>
      </c>
      <c r="D7541">
        <v>65</v>
      </c>
    </row>
    <row r="7542" spans="1:4" ht="15" x14ac:dyDescent="0.25">
      <c r="A7542" t="s">
        <v>19883</v>
      </c>
      <c r="B7542">
        <v>1</v>
      </c>
      <c r="C7542">
        <v>65</v>
      </c>
      <c r="D7542">
        <v>65</v>
      </c>
    </row>
    <row r="7543" spans="1:4" ht="15" x14ac:dyDescent="0.25">
      <c r="A7543" t="s">
        <v>19889</v>
      </c>
      <c r="B7543">
        <v>1</v>
      </c>
      <c r="C7543">
        <v>32</v>
      </c>
      <c r="D7543">
        <v>32</v>
      </c>
    </row>
    <row r="7544" spans="1:4" ht="15" x14ac:dyDescent="0.25">
      <c r="A7544" t="s">
        <v>19890</v>
      </c>
      <c r="B7544">
        <v>1</v>
      </c>
      <c r="C7544">
        <v>32</v>
      </c>
      <c r="D7544">
        <v>32</v>
      </c>
    </row>
    <row r="7545" spans="1:4" ht="15" x14ac:dyDescent="0.25">
      <c r="A7545" t="s">
        <v>19891</v>
      </c>
      <c r="B7545">
        <v>1</v>
      </c>
      <c r="C7545">
        <v>32</v>
      </c>
      <c r="D7545">
        <v>32</v>
      </c>
    </row>
    <row r="7546" spans="1:4" ht="15" x14ac:dyDescent="0.25">
      <c r="A7546" t="s">
        <v>19892</v>
      </c>
      <c r="B7546">
        <v>1</v>
      </c>
      <c r="C7546">
        <v>32</v>
      </c>
      <c r="D7546">
        <v>32</v>
      </c>
    </row>
    <row r="7547" spans="1:4" ht="15" x14ac:dyDescent="0.25">
      <c r="A7547" t="s">
        <v>19896</v>
      </c>
      <c r="B7547">
        <v>1</v>
      </c>
      <c r="C7547">
        <v>56</v>
      </c>
      <c r="D7547">
        <v>56</v>
      </c>
    </row>
    <row r="7548" spans="1:4" ht="15" x14ac:dyDescent="0.25">
      <c r="A7548" t="s">
        <v>19895</v>
      </c>
      <c r="B7548">
        <v>2</v>
      </c>
      <c r="C7548">
        <v>85</v>
      </c>
      <c r="D7548">
        <v>42.5</v>
      </c>
    </row>
    <row r="7549" spans="1:4" ht="15" x14ac:dyDescent="0.25">
      <c r="A7549" t="s">
        <v>19901</v>
      </c>
      <c r="B7549">
        <v>1</v>
      </c>
      <c r="C7549">
        <v>212</v>
      </c>
      <c r="D7549">
        <v>212</v>
      </c>
    </row>
    <row r="7550" spans="1:4" ht="15" x14ac:dyDescent="0.25">
      <c r="A7550" t="s">
        <v>19902</v>
      </c>
      <c r="B7550">
        <v>1</v>
      </c>
      <c r="C7550">
        <v>212</v>
      </c>
      <c r="D7550">
        <v>212</v>
      </c>
    </row>
    <row r="7551" spans="1:4" ht="15" x14ac:dyDescent="0.25">
      <c r="A7551" t="s">
        <v>19904</v>
      </c>
      <c r="B7551">
        <v>1</v>
      </c>
      <c r="C7551">
        <v>212</v>
      </c>
      <c r="D7551">
        <v>212</v>
      </c>
    </row>
    <row r="7552" spans="1:4" ht="15" x14ac:dyDescent="0.25">
      <c r="A7552" t="s">
        <v>19905</v>
      </c>
      <c r="B7552">
        <v>1</v>
      </c>
      <c r="C7552">
        <v>212</v>
      </c>
      <c r="D7552">
        <v>212</v>
      </c>
    </row>
    <row r="7553" spans="1:4" ht="15" x14ac:dyDescent="0.25">
      <c r="A7553" t="s">
        <v>19903</v>
      </c>
      <c r="B7553">
        <v>1</v>
      </c>
      <c r="C7553">
        <v>212</v>
      </c>
      <c r="D7553">
        <v>212</v>
      </c>
    </row>
    <row r="7554" spans="1:4" ht="15" x14ac:dyDescent="0.25">
      <c r="A7554" t="s">
        <v>19906</v>
      </c>
      <c r="B7554">
        <v>1</v>
      </c>
      <c r="C7554">
        <v>36</v>
      </c>
      <c r="D7554">
        <v>36</v>
      </c>
    </row>
    <row r="7555" spans="1:4" ht="15" x14ac:dyDescent="0.25">
      <c r="A7555" t="s">
        <v>19912</v>
      </c>
      <c r="B7555">
        <v>2</v>
      </c>
      <c r="C7555">
        <v>1251</v>
      </c>
      <c r="D7555">
        <v>625.5</v>
      </c>
    </row>
    <row r="7556" spans="1:4" ht="15" x14ac:dyDescent="0.25">
      <c r="A7556" t="s">
        <v>19913</v>
      </c>
      <c r="B7556">
        <v>3</v>
      </c>
      <c r="C7556">
        <v>681</v>
      </c>
      <c r="D7556">
        <v>227</v>
      </c>
    </row>
    <row r="7557" spans="1:4" ht="15" x14ac:dyDescent="0.25">
      <c r="A7557" t="s">
        <v>19911</v>
      </c>
      <c r="B7557">
        <v>2</v>
      </c>
      <c r="C7557">
        <v>1251</v>
      </c>
      <c r="D7557">
        <v>625.5</v>
      </c>
    </row>
    <row r="7558" spans="1:4" ht="15" x14ac:dyDescent="0.25">
      <c r="A7558" t="s">
        <v>19917</v>
      </c>
      <c r="B7558">
        <v>1</v>
      </c>
      <c r="C7558">
        <v>89</v>
      </c>
      <c r="D7558">
        <v>89</v>
      </c>
    </row>
    <row r="7559" spans="1:4" ht="15" x14ac:dyDescent="0.25">
      <c r="A7559" t="s">
        <v>19919</v>
      </c>
      <c r="B7559">
        <v>1</v>
      </c>
      <c r="C7559">
        <v>89</v>
      </c>
      <c r="D7559">
        <v>89</v>
      </c>
    </row>
    <row r="7560" spans="1:4" ht="15" x14ac:dyDescent="0.25">
      <c r="A7560" t="s">
        <v>19918</v>
      </c>
      <c r="B7560">
        <v>1</v>
      </c>
      <c r="C7560">
        <v>89</v>
      </c>
      <c r="D7560">
        <v>89</v>
      </c>
    </row>
    <row r="7561" spans="1:4" ht="15" x14ac:dyDescent="0.25">
      <c r="A7561" t="s">
        <v>19923</v>
      </c>
      <c r="B7561">
        <v>1</v>
      </c>
      <c r="C7561">
        <v>5</v>
      </c>
      <c r="D7561">
        <v>5</v>
      </c>
    </row>
    <row r="7562" spans="1:4" ht="15" x14ac:dyDescent="0.25">
      <c r="A7562" t="s">
        <v>19924</v>
      </c>
      <c r="B7562">
        <v>1</v>
      </c>
      <c r="C7562">
        <v>5</v>
      </c>
      <c r="D7562">
        <v>5</v>
      </c>
    </row>
    <row r="7563" spans="1:4" ht="15" x14ac:dyDescent="0.25">
      <c r="A7563" t="s">
        <v>19927</v>
      </c>
      <c r="B7563">
        <v>3</v>
      </c>
      <c r="C7563">
        <v>3178</v>
      </c>
      <c r="D7563">
        <v>1059.3333333333333</v>
      </c>
    </row>
    <row r="7564" spans="1:4" ht="15" x14ac:dyDescent="0.25">
      <c r="A7564" t="s">
        <v>19931</v>
      </c>
      <c r="B7564">
        <v>1</v>
      </c>
      <c r="C7564">
        <v>15</v>
      </c>
      <c r="D7564">
        <v>15</v>
      </c>
    </row>
    <row r="7565" spans="1:4" ht="15" x14ac:dyDescent="0.25">
      <c r="A7565" t="s">
        <v>19936</v>
      </c>
      <c r="B7565">
        <v>1</v>
      </c>
      <c r="C7565">
        <v>26</v>
      </c>
      <c r="D7565">
        <v>26</v>
      </c>
    </row>
    <row r="7566" spans="1:4" ht="15" x14ac:dyDescent="0.25">
      <c r="A7566" t="s">
        <v>19935</v>
      </c>
      <c r="B7566">
        <v>1</v>
      </c>
      <c r="C7566">
        <v>26</v>
      </c>
      <c r="D7566">
        <v>26</v>
      </c>
    </row>
    <row r="7567" spans="1:4" ht="15" x14ac:dyDescent="0.25">
      <c r="A7567" t="s">
        <v>19940</v>
      </c>
      <c r="B7567">
        <v>1</v>
      </c>
      <c r="C7567">
        <v>9</v>
      </c>
      <c r="D7567">
        <v>9</v>
      </c>
    </row>
    <row r="7568" spans="1:4" ht="15" x14ac:dyDescent="0.25">
      <c r="A7568" t="s">
        <v>19941</v>
      </c>
      <c r="B7568">
        <v>1</v>
      </c>
      <c r="C7568">
        <v>9</v>
      </c>
      <c r="D7568">
        <v>9</v>
      </c>
    </row>
    <row r="7569" spans="1:4" ht="15" x14ac:dyDescent="0.25">
      <c r="A7569" t="s">
        <v>19943</v>
      </c>
      <c r="B7569">
        <v>2</v>
      </c>
      <c r="C7569">
        <v>27</v>
      </c>
      <c r="D7569">
        <v>13.5</v>
      </c>
    </row>
    <row r="7570" spans="1:4" ht="15" x14ac:dyDescent="0.25">
      <c r="A7570" t="s">
        <v>19942</v>
      </c>
      <c r="B7570">
        <v>2</v>
      </c>
      <c r="C7570">
        <v>15</v>
      </c>
      <c r="D7570">
        <v>7.5</v>
      </c>
    </row>
    <row r="7571" spans="1:4" ht="15" x14ac:dyDescent="0.25">
      <c r="A7571" t="s">
        <v>19953</v>
      </c>
      <c r="B7571">
        <v>1</v>
      </c>
      <c r="C7571">
        <v>94</v>
      </c>
      <c r="D7571">
        <v>94</v>
      </c>
    </row>
    <row r="7572" spans="1:4" ht="15" x14ac:dyDescent="0.25">
      <c r="A7572" t="s">
        <v>19955</v>
      </c>
      <c r="B7572">
        <v>1</v>
      </c>
      <c r="C7572">
        <v>94</v>
      </c>
      <c r="D7572">
        <v>94</v>
      </c>
    </row>
    <row r="7573" spans="1:4" ht="15" x14ac:dyDescent="0.25">
      <c r="A7573" t="s">
        <v>19956</v>
      </c>
      <c r="B7573">
        <v>1</v>
      </c>
      <c r="C7573">
        <v>94</v>
      </c>
      <c r="D7573">
        <v>94</v>
      </c>
    </row>
    <row r="7574" spans="1:4" ht="15" x14ac:dyDescent="0.25">
      <c r="A7574" t="s">
        <v>19954</v>
      </c>
      <c r="B7574">
        <v>1</v>
      </c>
      <c r="C7574">
        <v>94</v>
      </c>
      <c r="D7574">
        <v>94</v>
      </c>
    </row>
    <row r="7575" spans="1:4" ht="15" x14ac:dyDescent="0.25">
      <c r="A7575" t="s">
        <v>19963</v>
      </c>
      <c r="B7575">
        <v>3</v>
      </c>
      <c r="C7575">
        <v>86</v>
      </c>
      <c r="D7575">
        <v>28.666666666666668</v>
      </c>
    </row>
    <row r="7576" spans="1:4" ht="15" x14ac:dyDescent="0.25">
      <c r="A7576" t="s">
        <v>19964</v>
      </c>
      <c r="B7576">
        <v>1</v>
      </c>
      <c r="C7576">
        <v>46</v>
      </c>
      <c r="D7576">
        <v>46</v>
      </c>
    </row>
    <row r="7577" spans="1:4" ht="15" x14ac:dyDescent="0.25">
      <c r="A7577" t="s">
        <v>19970</v>
      </c>
      <c r="B7577">
        <v>1</v>
      </c>
      <c r="C7577">
        <v>4</v>
      </c>
      <c r="D7577">
        <v>4</v>
      </c>
    </row>
    <row r="7578" spans="1:4" ht="15" x14ac:dyDescent="0.25">
      <c r="A7578" t="s">
        <v>19971</v>
      </c>
      <c r="B7578">
        <v>1</v>
      </c>
      <c r="C7578">
        <v>4</v>
      </c>
      <c r="D7578">
        <v>4</v>
      </c>
    </row>
    <row r="7579" spans="1:4" ht="15" x14ac:dyDescent="0.25">
      <c r="A7579" t="s">
        <v>19975</v>
      </c>
      <c r="B7579">
        <v>1</v>
      </c>
      <c r="C7579">
        <v>42</v>
      </c>
      <c r="D7579">
        <v>42</v>
      </c>
    </row>
    <row r="7580" spans="1:4" ht="15" x14ac:dyDescent="0.25">
      <c r="A7580" t="s">
        <v>19976</v>
      </c>
      <c r="B7580">
        <v>1</v>
      </c>
      <c r="C7580">
        <v>42</v>
      </c>
      <c r="D7580">
        <v>42</v>
      </c>
    </row>
    <row r="7581" spans="1:4" ht="15" x14ac:dyDescent="0.25">
      <c r="A7581" t="s">
        <v>19977</v>
      </c>
      <c r="B7581">
        <v>1</v>
      </c>
      <c r="C7581">
        <v>42</v>
      </c>
      <c r="D7581">
        <v>42</v>
      </c>
    </row>
    <row r="7582" spans="1:4" ht="15" x14ac:dyDescent="0.25">
      <c r="A7582" t="s">
        <v>19981</v>
      </c>
      <c r="B7582">
        <v>1</v>
      </c>
      <c r="C7582">
        <v>135</v>
      </c>
      <c r="D7582">
        <v>135</v>
      </c>
    </row>
    <row r="7583" spans="1:4" ht="15" x14ac:dyDescent="0.25">
      <c r="A7583" t="s">
        <v>19983</v>
      </c>
      <c r="B7583">
        <v>1</v>
      </c>
      <c r="C7583">
        <v>135</v>
      </c>
      <c r="D7583">
        <v>135</v>
      </c>
    </row>
    <row r="7584" spans="1:4" ht="15" x14ac:dyDescent="0.25">
      <c r="A7584" t="s">
        <v>19982</v>
      </c>
      <c r="B7584">
        <v>1</v>
      </c>
      <c r="C7584">
        <v>135</v>
      </c>
      <c r="D7584">
        <v>135</v>
      </c>
    </row>
    <row r="7585" spans="1:4" ht="15" x14ac:dyDescent="0.25">
      <c r="A7585" t="s">
        <v>19987</v>
      </c>
      <c r="B7585">
        <v>1</v>
      </c>
      <c r="C7585">
        <v>22</v>
      </c>
      <c r="D7585">
        <v>22</v>
      </c>
    </row>
    <row r="7586" spans="1:4" ht="15" x14ac:dyDescent="0.25">
      <c r="A7586" t="s">
        <v>19989</v>
      </c>
      <c r="B7586">
        <v>2</v>
      </c>
      <c r="C7586">
        <v>62</v>
      </c>
      <c r="D7586">
        <v>31</v>
      </c>
    </row>
    <row r="7587" spans="1:4" ht="15" x14ac:dyDescent="0.25">
      <c r="A7587" t="s">
        <v>19988</v>
      </c>
      <c r="B7587">
        <v>1</v>
      </c>
      <c r="C7587">
        <v>22</v>
      </c>
      <c r="D7587">
        <v>22</v>
      </c>
    </row>
    <row r="7588" spans="1:4" ht="15" x14ac:dyDescent="0.25">
      <c r="A7588" t="s">
        <v>19994</v>
      </c>
      <c r="B7588">
        <v>1</v>
      </c>
      <c r="C7588">
        <v>25</v>
      </c>
      <c r="D7588">
        <v>25</v>
      </c>
    </row>
    <row r="7589" spans="1:4" ht="15" x14ac:dyDescent="0.25">
      <c r="A7589" t="s">
        <v>19995</v>
      </c>
      <c r="B7589">
        <v>1</v>
      </c>
      <c r="C7589">
        <v>25</v>
      </c>
      <c r="D7589">
        <v>25</v>
      </c>
    </row>
    <row r="7590" spans="1:4" ht="15" x14ac:dyDescent="0.25">
      <c r="A7590" t="s">
        <v>19993</v>
      </c>
      <c r="B7590">
        <v>1</v>
      </c>
      <c r="C7590">
        <v>25</v>
      </c>
      <c r="D7590">
        <v>25</v>
      </c>
    </row>
    <row r="7591" spans="1:4" ht="15" x14ac:dyDescent="0.25">
      <c r="A7591" t="s">
        <v>19999</v>
      </c>
      <c r="B7591">
        <v>1</v>
      </c>
      <c r="C7591">
        <v>435</v>
      </c>
      <c r="D7591">
        <v>435</v>
      </c>
    </row>
    <row r="7592" spans="1:4" ht="15" x14ac:dyDescent="0.25">
      <c r="A7592" t="s">
        <v>20004</v>
      </c>
      <c r="B7592">
        <v>1</v>
      </c>
      <c r="C7592">
        <v>14</v>
      </c>
      <c r="D7592">
        <v>14</v>
      </c>
    </row>
    <row r="7593" spans="1:4" ht="15" x14ac:dyDescent="0.25">
      <c r="A7593" t="s">
        <v>20003</v>
      </c>
      <c r="B7593">
        <v>1</v>
      </c>
      <c r="C7593">
        <v>14</v>
      </c>
      <c r="D7593">
        <v>14</v>
      </c>
    </row>
    <row r="7594" spans="1:4" ht="15" x14ac:dyDescent="0.25">
      <c r="A7594" t="s">
        <v>20010</v>
      </c>
      <c r="B7594">
        <v>1</v>
      </c>
      <c r="C7594">
        <v>64</v>
      </c>
      <c r="D7594">
        <v>64</v>
      </c>
    </row>
    <row r="7595" spans="1:4" ht="15" x14ac:dyDescent="0.25">
      <c r="A7595" t="s">
        <v>20011</v>
      </c>
      <c r="B7595">
        <v>1</v>
      </c>
      <c r="C7595">
        <v>64</v>
      </c>
      <c r="D7595">
        <v>64</v>
      </c>
    </row>
    <row r="7596" spans="1:4" ht="15" x14ac:dyDescent="0.25">
      <c r="A7596" t="s">
        <v>20012</v>
      </c>
      <c r="B7596">
        <v>1</v>
      </c>
      <c r="C7596">
        <v>64</v>
      </c>
      <c r="D7596">
        <v>64</v>
      </c>
    </row>
    <row r="7597" spans="1:4" ht="15" x14ac:dyDescent="0.25">
      <c r="A7597" t="s">
        <v>20016</v>
      </c>
      <c r="B7597">
        <v>1</v>
      </c>
      <c r="C7597">
        <v>22</v>
      </c>
      <c r="D7597">
        <v>22</v>
      </c>
    </row>
    <row r="7598" spans="1:4" ht="15" x14ac:dyDescent="0.25">
      <c r="A7598" t="s">
        <v>20017</v>
      </c>
      <c r="B7598">
        <v>1</v>
      </c>
      <c r="C7598">
        <v>22</v>
      </c>
      <c r="D7598">
        <v>22</v>
      </c>
    </row>
    <row r="7599" spans="1:4" ht="15" x14ac:dyDescent="0.25">
      <c r="A7599" t="s">
        <v>20018</v>
      </c>
      <c r="B7599">
        <v>1</v>
      </c>
      <c r="C7599">
        <v>22</v>
      </c>
      <c r="D7599">
        <v>22</v>
      </c>
    </row>
    <row r="7600" spans="1:4" ht="15" x14ac:dyDescent="0.25">
      <c r="A7600" t="s">
        <v>20019</v>
      </c>
      <c r="B7600">
        <v>1</v>
      </c>
      <c r="C7600">
        <v>22</v>
      </c>
      <c r="D7600">
        <v>22</v>
      </c>
    </row>
    <row r="7601" spans="1:4" ht="15" x14ac:dyDescent="0.25">
      <c r="A7601" t="s">
        <v>20023</v>
      </c>
      <c r="B7601">
        <v>1</v>
      </c>
      <c r="C7601">
        <v>19</v>
      </c>
      <c r="D7601">
        <v>19</v>
      </c>
    </row>
    <row r="7602" spans="1:4" ht="15" x14ac:dyDescent="0.25">
      <c r="A7602" t="s">
        <v>20028</v>
      </c>
      <c r="B7602">
        <v>1</v>
      </c>
      <c r="C7602">
        <v>16</v>
      </c>
      <c r="D7602">
        <v>16</v>
      </c>
    </row>
    <row r="7603" spans="1:4" ht="15" x14ac:dyDescent="0.25">
      <c r="A7603" t="s">
        <v>20029</v>
      </c>
      <c r="B7603">
        <v>1</v>
      </c>
      <c r="C7603">
        <v>16</v>
      </c>
      <c r="D7603">
        <v>16</v>
      </c>
    </row>
    <row r="7604" spans="1:4" ht="15" x14ac:dyDescent="0.25">
      <c r="A7604" t="s">
        <v>20030</v>
      </c>
      <c r="B7604">
        <v>2</v>
      </c>
      <c r="C7604">
        <v>46</v>
      </c>
      <c r="D7604">
        <v>23</v>
      </c>
    </row>
    <row r="7605" spans="1:4" ht="15" x14ac:dyDescent="0.25">
      <c r="A7605" t="s">
        <v>20034</v>
      </c>
      <c r="B7605">
        <v>1</v>
      </c>
      <c r="C7605">
        <v>205</v>
      </c>
      <c r="D7605">
        <v>205</v>
      </c>
    </row>
    <row r="7606" spans="1:4" ht="15" x14ac:dyDescent="0.25">
      <c r="A7606" t="s">
        <v>20035</v>
      </c>
      <c r="B7606">
        <v>2</v>
      </c>
      <c r="C7606">
        <v>262</v>
      </c>
      <c r="D7606">
        <v>131</v>
      </c>
    </row>
    <row r="7607" spans="1:4" ht="15" x14ac:dyDescent="0.25">
      <c r="A7607" t="s">
        <v>20036</v>
      </c>
      <c r="B7607">
        <v>1</v>
      </c>
      <c r="C7607">
        <v>205</v>
      </c>
      <c r="D7607">
        <v>205</v>
      </c>
    </row>
    <row r="7608" spans="1:4" ht="15" x14ac:dyDescent="0.25">
      <c r="A7608" t="s">
        <v>20037</v>
      </c>
      <c r="B7608">
        <v>1</v>
      </c>
      <c r="C7608">
        <v>205</v>
      </c>
      <c r="D7608">
        <v>205</v>
      </c>
    </row>
    <row r="7609" spans="1:4" ht="15" x14ac:dyDescent="0.25">
      <c r="A7609" t="s">
        <v>20043</v>
      </c>
      <c r="B7609">
        <v>1</v>
      </c>
      <c r="C7609">
        <v>6</v>
      </c>
      <c r="D7609">
        <v>6</v>
      </c>
    </row>
    <row r="7610" spans="1:4" ht="15" x14ac:dyDescent="0.25">
      <c r="A7610" t="s">
        <v>20044</v>
      </c>
      <c r="B7610">
        <v>1</v>
      </c>
      <c r="C7610">
        <v>6</v>
      </c>
      <c r="D7610">
        <v>6</v>
      </c>
    </row>
    <row r="7611" spans="1:4" ht="15" x14ac:dyDescent="0.25">
      <c r="A7611" t="s">
        <v>20045</v>
      </c>
      <c r="B7611">
        <v>1</v>
      </c>
      <c r="C7611">
        <v>6</v>
      </c>
      <c r="D7611">
        <v>6</v>
      </c>
    </row>
    <row r="7612" spans="1:4" ht="15" x14ac:dyDescent="0.25">
      <c r="A7612" t="s">
        <v>20048</v>
      </c>
      <c r="B7612">
        <v>2</v>
      </c>
      <c r="C7612">
        <v>44</v>
      </c>
      <c r="D7612">
        <v>22</v>
      </c>
    </row>
    <row r="7613" spans="1:4" ht="15" x14ac:dyDescent="0.25">
      <c r="A7613" t="s">
        <v>20056</v>
      </c>
      <c r="B7613">
        <v>2</v>
      </c>
      <c r="C7613">
        <v>119</v>
      </c>
      <c r="D7613">
        <v>59.5</v>
      </c>
    </row>
    <row r="7614" spans="1:4" ht="15" x14ac:dyDescent="0.25">
      <c r="A7614" t="s">
        <v>20060</v>
      </c>
      <c r="B7614">
        <v>1</v>
      </c>
      <c r="C7614">
        <v>13</v>
      </c>
      <c r="D7614">
        <v>13</v>
      </c>
    </row>
    <row r="7615" spans="1:4" ht="15" x14ac:dyDescent="0.25">
      <c r="A7615" t="s">
        <v>20059</v>
      </c>
      <c r="B7615">
        <v>1</v>
      </c>
      <c r="C7615">
        <v>13</v>
      </c>
      <c r="D7615">
        <v>13</v>
      </c>
    </row>
    <row r="7616" spans="1:4" ht="15" x14ac:dyDescent="0.25">
      <c r="A7616" t="s">
        <v>20071</v>
      </c>
      <c r="B7616">
        <v>1</v>
      </c>
      <c r="C7616">
        <v>187</v>
      </c>
      <c r="D7616">
        <v>187</v>
      </c>
    </row>
    <row r="7617" spans="1:4" ht="15" x14ac:dyDescent="0.25">
      <c r="A7617" t="s">
        <v>20072</v>
      </c>
      <c r="B7617">
        <v>1</v>
      </c>
      <c r="C7617">
        <v>187</v>
      </c>
      <c r="D7617">
        <v>187</v>
      </c>
    </row>
    <row r="7618" spans="1:4" ht="15" x14ac:dyDescent="0.25">
      <c r="A7618" t="s">
        <v>20074</v>
      </c>
      <c r="B7618">
        <v>1</v>
      </c>
      <c r="C7618">
        <v>187</v>
      </c>
      <c r="D7618">
        <v>187</v>
      </c>
    </row>
    <row r="7619" spans="1:4" ht="15" x14ac:dyDescent="0.25">
      <c r="A7619" t="s">
        <v>20073</v>
      </c>
      <c r="B7619">
        <v>1</v>
      </c>
      <c r="C7619">
        <v>187</v>
      </c>
      <c r="D7619">
        <v>187</v>
      </c>
    </row>
    <row r="7620" spans="1:4" ht="15" x14ac:dyDescent="0.25">
      <c r="A7620" t="s">
        <v>20078</v>
      </c>
      <c r="B7620">
        <v>1</v>
      </c>
      <c r="C7620">
        <v>32</v>
      </c>
      <c r="D7620">
        <v>32</v>
      </c>
    </row>
    <row r="7621" spans="1:4" ht="15" x14ac:dyDescent="0.25">
      <c r="A7621" t="s">
        <v>20082</v>
      </c>
      <c r="B7621">
        <v>2</v>
      </c>
      <c r="C7621">
        <v>157</v>
      </c>
      <c r="D7621">
        <v>78.5</v>
      </c>
    </row>
    <row r="7622" spans="1:4" ht="15" x14ac:dyDescent="0.25">
      <c r="A7622" t="s">
        <v>20092</v>
      </c>
      <c r="B7622">
        <v>1</v>
      </c>
      <c r="C7622">
        <v>32</v>
      </c>
      <c r="D7622">
        <v>32</v>
      </c>
    </row>
    <row r="7623" spans="1:4" ht="15" x14ac:dyDescent="0.25">
      <c r="A7623" t="s">
        <v>20093</v>
      </c>
      <c r="B7623">
        <v>1</v>
      </c>
      <c r="C7623">
        <v>32</v>
      </c>
      <c r="D7623">
        <v>32</v>
      </c>
    </row>
    <row r="7624" spans="1:4" ht="15" x14ac:dyDescent="0.25">
      <c r="A7624" t="s">
        <v>20101</v>
      </c>
      <c r="B7624">
        <v>1</v>
      </c>
      <c r="C7624">
        <v>18</v>
      </c>
      <c r="D7624">
        <v>18</v>
      </c>
    </row>
    <row r="7625" spans="1:4" ht="15" x14ac:dyDescent="0.25">
      <c r="A7625" t="s">
        <v>20105</v>
      </c>
      <c r="B7625">
        <v>1</v>
      </c>
      <c r="C7625">
        <v>32</v>
      </c>
      <c r="D7625">
        <v>32</v>
      </c>
    </row>
    <row r="7626" spans="1:4" ht="15" x14ac:dyDescent="0.25">
      <c r="A7626" t="s">
        <v>20106</v>
      </c>
      <c r="B7626">
        <v>1</v>
      </c>
      <c r="C7626">
        <v>32</v>
      </c>
      <c r="D7626">
        <v>32</v>
      </c>
    </row>
    <row r="7627" spans="1:4" ht="15" x14ac:dyDescent="0.25">
      <c r="A7627" t="s">
        <v>20109</v>
      </c>
      <c r="B7627">
        <v>1</v>
      </c>
      <c r="C7627">
        <v>44</v>
      </c>
      <c r="D7627">
        <v>44</v>
      </c>
    </row>
    <row r="7628" spans="1:4" ht="15" x14ac:dyDescent="0.25">
      <c r="A7628" t="s">
        <v>20112</v>
      </c>
      <c r="B7628">
        <v>1</v>
      </c>
      <c r="C7628">
        <v>27</v>
      </c>
      <c r="D7628">
        <v>27</v>
      </c>
    </row>
    <row r="7629" spans="1:4" ht="15" x14ac:dyDescent="0.25">
      <c r="A7629" t="s">
        <v>20117</v>
      </c>
      <c r="B7629">
        <v>1</v>
      </c>
      <c r="C7629">
        <v>128</v>
      </c>
      <c r="D7629">
        <v>128</v>
      </c>
    </row>
    <row r="7630" spans="1:4" ht="15" x14ac:dyDescent="0.25">
      <c r="A7630" t="s">
        <v>20118</v>
      </c>
      <c r="B7630">
        <v>1</v>
      </c>
      <c r="C7630">
        <v>128</v>
      </c>
      <c r="D7630">
        <v>128</v>
      </c>
    </row>
    <row r="7631" spans="1:4" ht="15" x14ac:dyDescent="0.25">
      <c r="A7631" t="s">
        <v>20119</v>
      </c>
      <c r="B7631">
        <v>1</v>
      </c>
      <c r="C7631">
        <v>128</v>
      </c>
      <c r="D7631">
        <v>128</v>
      </c>
    </row>
    <row r="7632" spans="1:4" ht="15" x14ac:dyDescent="0.25">
      <c r="A7632" t="s">
        <v>20124</v>
      </c>
      <c r="B7632">
        <v>1</v>
      </c>
      <c r="C7632">
        <v>3</v>
      </c>
      <c r="D7632">
        <v>3</v>
      </c>
    </row>
    <row r="7633" spans="1:4" ht="15" x14ac:dyDescent="0.25">
      <c r="A7633" t="s">
        <v>20125</v>
      </c>
      <c r="B7633">
        <v>1</v>
      </c>
      <c r="C7633">
        <v>3</v>
      </c>
      <c r="D7633">
        <v>3</v>
      </c>
    </row>
    <row r="7634" spans="1:4" ht="15" x14ac:dyDescent="0.25">
      <c r="A7634" t="s">
        <v>20126</v>
      </c>
      <c r="B7634">
        <v>1</v>
      </c>
      <c r="C7634">
        <v>3</v>
      </c>
      <c r="D7634">
        <v>3</v>
      </c>
    </row>
    <row r="7635" spans="1:4" ht="15" x14ac:dyDescent="0.25">
      <c r="A7635" t="s">
        <v>20135</v>
      </c>
      <c r="B7635">
        <v>1</v>
      </c>
      <c r="C7635">
        <v>31</v>
      </c>
      <c r="D7635">
        <v>31</v>
      </c>
    </row>
    <row r="7636" spans="1:4" ht="15" x14ac:dyDescent="0.25">
      <c r="A7636" t="s">
        <v>20138</v>
      </c>
      <c r="B7636">
        <v>4</v>
      </c>
      <c r="C7636">
        <v>227</v>
      </c>
      <c r="D7636">
        <v>56.75</v>
      </c>
    </row>
    <row r="7637" spans="1:4" ht="15" x14ac:dyDescent="0.25">
      <c r="A7637" t="s">
        <v>20139</v>
      </c>
      <c r="B7637">
        <v>4</v>
      </c>
      <c r="C7637">
        <v>204</v>
      </c>
      <c r="D7637">
        <v>51</v>
      </c>
    </row>
    <row r="7638" spans="1:4" ht="15" x14ac:dyDescent="0.25">
      <c r="A7638" t="s">
        <v>20142</v>
      </c>
      <c r="B7638">
        <v>1</v>
      </c>
      <c r="C7638">
        <v>101</v>
      </c>
      <c r="D7638">
        <v>101</v>
      </c>
    </row>
    <row r="7639" spans="1:4" ht="15" x14ac:dyDescent="0.25">
      <c r="A7639" t="s">
        <v>20143</v>
      </c>
      <c r="B7639">
        <v>1</v>
      </c>
      <c r="C7639">
        <v>41</v>
      </c>
      <c r="D7639">
        <v>41</v>
      </c>
    </row>
    <row r="7640" spans="1:4" ht="15" x14ac:dyDescent="0.25">
      <c r="A7640" t="s">
        <v>20146</v>
      </c>
      <c r="B7640">
        <v>1</v>
      </c>
      <c r="C7640">
        <v>41</v>
      </c>
      <c r="D7640">
        <v>41</v>
      </c>
    </row>
    <row r="7641" spans="1:4" ht="15" x14ac:dyDescent="0.25">
      <c r="A7641" t="s">
        <v>20149</v>
      </c>
      <c r="B7641">
        <v>1</v>
      </c>
      <c r="C7641">
        <v>12</v>
      </c>
      <c r="D7641">
        <v>12</v>
      </c>
    </row>
    <row r="7642" spans="1:4" ht="15" x14ac:dyDescent="0.25">
      <c r="A7642" t="s">
        <v>20150</v>
      </c>
      <c r="B7642">
        <v>1</v>
      </c>
      <c r="C7642">
        <v>12</v>
      </c>
      <c r="D7642">
        <v>12</v>
      </c>
    </row>
    <row r="7643" spans="1:4" ht="15" x14ac:dyDescent="0.25">
      <c r="A7643" t="s">
        <v>20154</v>
      </c>
      <c r="B7643">
        <v>4</v>
      </c>
      <c r="C7643">
        <v>103</v>
      </c>
      <c r="D7643">
        <v>25.75</v>
      </c>
    </row>
    <row r="7644" spans="1:4" ht="15" x14ac:dyDescent="0.25">
      <c r="A7644" t="s">
        <v>20155</v>
      </c>
      <c r="B7644">
        <v>2</v>
      </c>
      <c r="C7644">
        <v>81</v>
      </c>
      <c r="D7644">
        <v>40.5</v>
      </c>
    </row>
    <row r="7645" spans="1:4" ht="15" x14ac:dyDescent="0.25">
      <c r="A7645" t="s">
        <v>20170</v>
      </c>
      <c r="B7645">
        <v>2</v>
      </c>
      <c r="C7645">
        <v>16</v>
      </c>
      <c r="D7645">
        <v>8</v>
      </c>
    </row>
    <row r="7646" spans="1:4" ht="15" x14ac:dyDescent="0.25">
      <c r="A7646" t="s">
        <v>20174</v>
      </c>
      <c r="B7646">
        <v>1</v>
      </c>
      <c r="C7646">
        <v>18</v>
      </c>
      <c r="D7646">
        <v>18</v>
      </c>
    </row>
    <row r="7647" spans="1:4" ht="15" x14ac:dyDescent="0.25">
      <c r="A7647" t="s">
        <v>20177</v>
      </c>
      <c r="B7647">
        <v>1</v>
      </c>
      <c r="C7647">
        <v>20</v>
      </c>
      <c r="D7647">
        <v>20</v>
      </c>
    </row>
    <row r="7648" spans="1:4" ht="15" x14ac:dyDescent="0.25">
      <c r="A7648" t="s">
        <v>20178</v>
      </c>
      <c r="B7648">
        <v>1</v>
      </c>
      <c r="C7648">
        <v>20</v>
      </c>
      <c r="D7648">
        <v>20</v>
      </c>
    </row>
    <row r="7649" spans="1:4" ht="15" x14ac:dyDescent="0.25">
      <c r="A7649" t="s">
        <v>20185</v>
      </c>
      <c r="B7649">
        <v>1</v>
      </c>
      <c r="C7649">
        <v>15</v>
      </c>
      <c r="D7649">
        <v>15</v>
      </c>
    </row>
    <row r="7650" spans="1:4" ht="15" x14ac:dyDescent="0.25">
      <c r="A7650" t="s">
        <v>20186</v>
      </c>
      <c r="B7650">
        <v>1</v>
      </c>
      <c r="C7650">
        <v>15</v>
      </c>
      <c r="D7650">
        <v>15</v>
      </c>
    </row>
    <row r="7651" spans="1:4" ht="15" x14ac:dyDescent="0.25">
      <c r="A7651" t="s">
        <v>20197</v>
      </c>
      <c r="B7651">
        <v>1</v>
      </c>
      <c r="C7651">
        <v>16</v>
      </c>
      <c r="D7651">
        <v>16</v>
      </c>
    </row>
    <row r="7652" spans="1:4" ht="15" x14ac:dyDescent="0.25">
      <c r="A7652" t="s">
        <v>20199</v>
      </c>
      <c r="B7652">
        <v>1</v>
      </c>
      <c r="C7652">
        <v>16</v>
      </c>
      <c r="D7652">
        <v>16</v>
      </c>
    </row>
    <row r="7653" spans="1:4" ht="15" x14ac:dyDescent="0.25">
      <c r="A7653" t="s">
        <v>20198</v>
      </c>
      <c r="B7653">
        <v>1</v>
      </c>
      <c r="C7653">
        <v>16</v>
      </c>
      <c r="D7653">
        <v>16</v>
      </c>
    </row>
    <row r="7654" spans="1:4" ht="15" x14ac:dyDescent="0.25">
      <c r="A7654" t="s">
        <v>20203</v>
      </c>
      <c r="B7654">
        <v>2</v>
      </c>
      <c r="C7654">
        <v>78</v>
      </c>
      <c r="D7654">
        <v>39</v>
      </c>
    </row>
    <row r="7655" spans="1:4" ht="15" x14ac:dyDescent="0.25">
      <c r="A7655" t="s">
        <v>20209</v>
      </c>
      <c r="B7655">
        <v>1</v>
      </c>
      <c r="C7655">
        <v>83</v>
      </c>
      <c r="D7655">
        <v>83</v>
      </c>
    </row>
    <row r="7656" spans="1:4" ht="15" x14ac:dyDescent="0.25">
      <c r="A7656" t="s">
        <v>20211</v>
      </c>
      <c r="B7656">
        <v>1</v>
      </c>
      <c r="C7656">
        <v>83</v>
      </c>
      <c r="D7656">
        <v>83</v>
      </c>
    </row>
    <row r="7657" spans="1:4" ht="15" x14ac:dyDescent="0.25">
      <c r="A7657" t="s">
        <v>20210</v>
      </c>
      <c r="B7657">
        <v>1</v>
      </c>
      <c r="C7657">
        <v>83</v>
      </c>
      <c r="D7657">
        <v>83</v>
      </c>
    </row>
    <row r="7658" spans="1:4" ht="15" x14ac:dyDescent="0.25">
      <c r="A7658" t="s">
        <v>20216</v>
      </c>
      <c r="B7658">
        <v>1</v>
      </c>
      <c r="C7658">
        <v>12</v>
      </c>
      <c r="D7658">
        <v>12</v>
      </c>
    </row>
    <row r="7659" spans="1:4" ht="15" x14ac:dyDescent="0.25">
      <c r="A7659" t="s">
        <v>20217</v>
      </c>
      <c r="B7659">
        <v>1</v>
      </c>
      <c r="C7659">
        <v>12</v>
      </c>
      <c r="D7659">
        <v>12</v>
      </c>
    </row>
    <row r="7660" spans="1:4" ht="15" x14ac:dyDescent="0.25">
      <c r="A7660" t="s">
        <v>20219</v>
      </c>
      <c r="B7660">
        <v>1</v>
      </c>
      <c r="C7660">
        <v>12</v>
      </c>
      <c r="D7660">
        <v>12</v>
      </c>
    </row>
    <row r="7661" spans="1:4" ht="15" x14ac:dyDescent="0.25">
      <c r="A7661" t="s">
        <v>20218</v>
      </c>
      <c r="B7661">
        <v>1</v>
      </c>
      <c r="C7661">
        <v>12</v>
      </c>
      <c r="D7661">
        <v>12</v>
      </c>
    </row>
    <row r="7662" spans="1:4" ht="15" x14ac:dyDescent="0.25">
      <c r="A7662" t="s">
        <v>20222</v>
      </c>
      <c r="B7662">
        <v>1</v>
      </c>
      <c r="C7662">
        <v>13</v>
      </c>
      <c r="D7662">
        <v>13</v>
      </c>
    </row>
    <row r="7663" spans="1:4" ht="15" x14ac:dyDescent="0.25">
      <c r="A7663" t="s">
        <v>20223</v>
      </c>
      <c r="B7663">
        <v>1</v>
      </c>
      <c r="C7663">
        <v>13</v>
      </c>
      <c r="D7663">
        <v>13</v>
      </c>
    </row>
    <row r="7664" spans="1:4" ht="15" x14ac:dyDescent="0.25">
      <c r="A7664" t="s">
        <v>20227</v>
      </c>
      <c r="B7664">
        <v>1</v>
      </c>
      <c r="C7664">
        <v>14</v>
      </c>
      <c r="D7664">
        <v>14</v>
      </c>
    </row>
    <row r="7665" spans="1:4" ht="15" x14ac:dyDescent="0.25">
      <c r="A7665" t="s">
        <v>20228</v>
      </c>
      <c r="B7665">
        <v>1</v>
      </c>
      <c r="C7665">
        <v>14</v>
      </c>
      <c r="D7665">
        <v>14</v>
      </c>
    </row>
    <row r="7666" spans="1:4" ht="15" x14ac:dyDescent="0.25">
      <c r="A7666" t="s">
        <v>20230</v>
      </c>
      <c r="B7666">
        <v>1</v>
      </c>
      <c r="C7666">
        <v>14</v>
      </c>
      <c r="D7666">
        <v>14</v>
      </c>
    </row>
    <row r="7667" spans="1:4" ht="15" x14ac:dyDescent="0.25">
      <c r="A7667" t="s">
        <v>20229</v>
      </c>
      <c r="B7667">
        <v>1</v>
      </c>
      <c r="C7667">
        <v>14</v>
      </c>
      <c r="D7667">
        <v>14</v>
      </c>
    </row>
    <row r="7668" spans="1:4" ht="15" x14ac:dyDescent="0.25">
      <c r="A7668" t="s">
        <v>20233</v>
      </c>
      <c r="B7668">
        <v>2</v>
      </c>
      <c r="C7668">
        <v>93</v>
      </c>
      <c r="D7668">
        <v>46.5</v>
      </c>
    </row>
    <row r="7669" spans="1:4" ht="15" x14ac:dyDescent="0.25">
      <c r="A7669" t="s">
        <v>20242</v>
      </c>
      <c r="B7669">
        <v>3</v>
      </c>
      <c r="C7669">
        <v>56</v>
      </c>
      <c r="D7669">
        <v>18.666666666666668</v>
      </c>
    </row>
    <row r="7670" spans="1:4" ht="15" x14ac:dyDescent="0.25">
      <c r="A7670" t="s">
        <v>20243</v>
      </c>
      <c r="B7670">
        <v>1</v>
      </c>
      <c r="C7670">
        <v>22</v>
      </c>
      <c r="D7670">
        <v>22</v>
      </c>
    </row>
    <row r="7671" spans="1:4" ht="15" x14ac:dyDescent="0.25">
      <c r="A7671" t="s">
        <v>20244</v>
      </c>
      <c r="B7671">
        <v>1</v>
      </c>
      <c r="C7671">
        <v>22</v>
      </c>
      <c r="D7671">
        <v>22</v>
      </c>
    </row>
    <row r="7672" spans="1:4" ht="15" x14ac:dyDescent="0.25">
      <c r="A7672" t="s">
        <v>20245</v>
      </c>
      <c r="B7672">
        <v>1</v>
      </c>
      <c r="C7672">
        <v>22</v>
      </c>
      <c r="D7672">
        <v>22</v>
      </c>
    </row>
    <row r="7673" spans="1:4" ht="15" x14ac:dyDescent="0.25">
      <c r="A7673" t="s">
        <v>20249</v>
      </c>
      <c r="B7673">
        <v>1</v>
      </c>
      <c r="C7673">
        <v>34</v>
      </c>
      <c r="D7673">
        <v>34</v>
      </c>
    </row>
    <row r="7674" spans="1:4" ht="15" x14ac:dyDescent="0.25">
      <c r="A7674" t="s">
        <v>20248</v>
      </c>
      <c r="B7674">
        <v>1</v>
      </c>
      <c r="C7674">
        <v>34</v>
      </c>
      <c r="D7674">
        <v>34</v>
      </c>
    </row>
    <row r="7675" spans="1:4" ht="15" x14ac:dyDescent="0.25">
      <c r="A7675" t="s">
        <v>20257</v>
      </c>
      <c r="B7675">
        <v>1</v>
      </c>
      <c r="C7675">
        <v>175</v>
      </c>
      <c r="D7675">
        <v>175</v>
      </c>
    </row>
    <row r="7676" spans="1:4" ht="15" x14ac:dyDescent="0.25">
      <c r="A7676" t="s">
        <v>20262</v>
      </c>
      <c r="B7676">
        <v>1</v>
      </c>
      <c r="C7676">
        <v>57</v>
      </c>
      <c r="D7676">
        <v>57</v>
      </c>
    </row>
    <row r="7677" spans="1:4" ht="15" x14ac:dyDescent="0.25">
      <c r="A7677" t="s">
        <v>20264</v>
      </c>
      <c r="B7677">
        <v>2</v>
      </c>
      <c r="C7677">
        <v>72</v>
      </c>
      <c r="D7677">
        <v>36</v>
      </c>
    </row>
    <row r="7678" spans="1:4" ht="15" x14ac:dyDescent="0.25">
      <c r="A7678" t="s">
        <v>20263</v>
      </c>
      <c r="B7678">
        <v>2</v>
      </c>
      <c r="C7678">
        <v>83</v>
      </c>
      <c r="D7678">
        <v>41.5</v>
      </c>
    </row>
    <row r="7679" spans="1:4" ht="15" x14ac:dyDescent="0.25">
      <c r="A7679" t="s">
        <v>20271</v>
      </c>
      <c r="B7679">
        <v>1</v>
      </c>
      <c r="C7679">
        <v>0</v>
      </c>
      <c r="D7679">
        <v>0</v>
      </c>
    </row>
    <row r="7680" spans="1:4" ht="15" x14ac:dyDescent="0.25">
      <c r="A7680" t="s">
        <v>20272</v>
      </c>
      <c r="B7680">
        <v>1</v>
      </c>
      <c r="C7680">
        <v>0</v>
      </c>
      <c r="D7680">
        <v>0</v>
      </c>
    </row>
    <row r="7681" spans="1:4" ht="15" x14ac:dyDescent="0.25">
      <c r="A7681" t="s">
        <v>20273</v>
      </c>
      <c r="B7681">
        <v>1</v>
      </c>
      <c r="C7681">
        <v>0</v>
      </c>
      <c r="D7681">
        <v>0</v>
      </c>
    </row>
    <row r="7682" spans="1:4" ht="15" x14ac:dyDescent="0.25">
      <c r="A7682" t="s">
        <v>20274</v>
      </c>
      <c r="B7682">
        <v>1</v>
      </c>
      <c r="C7682">
        <v>0</v>
      </c>
      <c r="D7682">
        <v>0</v>
      </c>
    </row>
    <row r="7683" spans="1:4" ht="15" x14ac:dyDescent="0.25">
      <c r="A7683" t="s">
        <v>20278</v>
      </c>
      <c r="B7683">
        <v>1</v>
      </c>
      <c r="C7683">
        <v>14</v>
      </c>
      <c r="D7683">
        <v>14</v>
      </c>
    </row>
    <row r="7684" spans="1:4" ht="15" x14ac:dyDescent="0.25">
      <c r="A7684" t="s">
        <v>20284</v>
      </c>
      <c r="B7684">
        <v>1</v>
      </c>
      <c r="C7684">
        <v>33</v>
      </c>
      <c r="D7684">
        <v>33</v>
      </c>
    </row>
    <row r="7685" spans="1:4" ht="15" x14ac:dyDescent="0.25">
      <c r="A7685" t="s">
        <v>20285</v>
      </c>
      <c r="B7685">
        <v>1</v>
      </c>
      <c r="C7685">
        <v>33</v>
      </c>
      <c r="D7685">
        <v>33</v>
      </c>
    </row>
    <row r="7686" spans="1:4" ht="15" x14ac:dyDescent="0.25">
      <c r="A7686" t="s">
        <v>20286</v>
      </c>
      <c r="B7686">
        <v>1</v>
      </c>
      <c r="C7686">
        <v>33</v>
      </c>
      <c r="D7686">
        <v>33</v>
      </c>
    </row>
    <row r="7687" spans="1:4" ht="15" x14ac:dyDescent="0.25">
      <c r="A7687" t="s">
        <v>20290</v>
      </c>
      <c r="B7687">
        <v>1</v>
      </c>
      <c r="C7687">
        <v>61</v>
      </c>
      <c r="D7687">
        <v>61</v>
      </c>
    </row>
    <row r="7688" spans="1:4" ht="15" x14ac:dyDescent="0.25">
      <c r="A7688" t="s">
        <v>20291</v>
      </c>
      <c r="B7688">
        <v>1</v>
      </c>
      <c r="C7688">
        <v>61</v>
      </c>
      <c r="D7688">
        <v>61</v>
      </c>
    </row>
    <row r="7689" spans="1:4" ht="15" x14ac:dyDescent="0.25">
      <c r="A7689" t="s">
        <v>20295</v>
      </c>
      <c r="B7689">
        <v>1</v>
      </c>
      <c r="C7689">
        <v>16</v>
      </c>
      <c r="D7689">
        <v>16</v>
      </c>
    </row>
    <row r="7690" spans="1:4" ht="15" x14ac:dyDescent="0.25">
      <c r="A7690" t="s">
        <v>20302</v>
      </c>
      <c r="B7690">
        <v>1</v>
      </c>
      <c r="C7690">
        <v>54</v>
      </c>
      <c r="D7690">
        <v>54</v>
      </c>
    </row>
    <row r="7691" spans="1:4" ht="15" x14ac:dyDescent="0.25">
      <c r="A7691" t="s">
        <v>20306</v>
      </c>
      <c r="B7691">
        <v>1</v>
      </c>
      <c r="C7691">
        <v>61</v>
      </c>
      <c r="D7691">
        <v>61</v>
      </c>
    </row>
    <row r="7692" spans="1:4" ht="15" x14ac:dyDescent="0.25">
      <c r="A7692" t="s">
        <v>20307</v>
      </c>
      <c r="B7692">
        <v>1</v>
      </c>
      <c r="C7692">
        <v>61</v>
      </c>
      <c r="D7692">
        <v>61</v>
      </c>
    </row>
    <row r="7693" spans="1:4" ht="15" x14ac:dyDescent="0.25">
      <c r="A7693" t="s">
        <v>20309</v>
      </c>
      <c r="B7693">
        <v>1</v>
      </c>
      <c r="C7693">
        <v>61</v>
      </c>
      <c r="D7693">
        <v>61</v>
      </c>
    </row>
    <row r="7694" spans="1:4" ht="15" x14ac:dyDescent="0.25">
      <c r="A7694" t="s">
        <v>20308</v>
      </c>
      <c r="B7694">
        <v>1</v>
      </c>
      <c r="C7694">
        <v>61</v>
      </c>
      <c r="D7694">
        <v>61</v>
      </c>
    </row>
    <row r="7695" spans="1:4" ht="15" x14ac:dyDescent="0.25">
      <c r="A7695" t="s">
        <v>20314</v>
      </c>
      <c r="B7695">
        <v>1</v>
      </c>
      <c r="C7695">
        <v>20</v>
      </c>
      <c r="D7695">
        <v>20</v>
      </c>
    </row>
    <row r="7696" spans="1:4" ht="15" x14ac:dyDescent="0.25">
      <c r="A7696" t="s">
        <v>20319</v>
      </c>
      <c r="B7696">
        <v>1</v>
      </c>
      <c r="C7696">
        <v>37</v>
      </c>
      <c r="D7696">
        <v>37</v>
      </c>
    </row>
    <row r="7697" spans="1:4" ht="15" x14ac:dyDescent="0.25">
      <c r="A7697" t="s">
        <v>20320</v>
      </c>
      <c r="B7697">
        <v>1</v>
      </c>
      <c r="C7697">
        <v>37</v>
      </c>
      <c r="D7697">
        <v>37</v>
      </c>
    </row>
    <row r="7698" spans="1:4" ht="15" x14ac:dyDescent="0.25">
      <c r="A7698" t="s">
        <v>20324</v>
      </c>
      <c r="B7698">
        <v>1</v>
      </c>
      <c r="C7698">
        <v>218</v>
      </c>
      <c r="D7698">
        <v>218</v>
      </c>
    </row>
    <row r="7699" spans="1:4" ht="15" x14ac:dyDescent="0.25">
      <c r="A7699" t="s">
        <v>20325</v>
      </c>
      <c r="B7699">
        <v>1</v>
      </c>
      <c r="C7699">
        <v>218</v>
      </c>
      <c r="D7699">
        <v>218</v>
      </c>
    </row>
    <row r="7700" spans="1:4" ht="15" x14ac:dyDescent="0.25">
      <c r="A7700" t="s">
        <v>20326</v>
      </c>
      <c r="B7700">
        <v>1</v>
      </c>
      <c r="C7700">
        <v>218</v>
      </c>
      <c r="D7700">
        <v>218</v>
      </c>
    </row>
    <row r="7701" spans="1:4" ht="15" x14ac:dyDescent="0.25">
      <c r="A7701" t="s">
        <v>20331</v>
      </c>
      <c r="B7701">
        <v>1</v>
      </c>
      <c r="C7701">
        <v>9</v>
      </c>
      <c r="D7701">
        <v>9</v>
      </c>
    </row>
    <row r="7702" spans="1:4" ht="15" x14ac:dyDescent="0.25">
      <c r="A7702" t="s">
        <v>20337</v>
      </c>
      <c r="B7702">
        <v>2</v>
      </c>
      <c r="C7702">
        <v>63</v>
      </c>
      <c r="D7702">
        <v>31.5</v>
      </c>
    </row>
    <row r="7703" spans="1:4" ht="15" x14ac:dyDescent="0.25">
      <c r="A7703" t="s">
        <v>20341</v>
      </c>
      <c r="B7703">
        <v>1</v>
      </c>
      <c r="C7703">
        <v>27</v>
      </c>
      <c r="D7703">
        <v>27</v>
      </c>
    </row>
    <row r="7704" spans="1:4" ht="15" x14ac:dyDescent="0.25">
      <c r="A7704" t="s">
        <v>20343</v>
      </c>
      <c r="B7704">
        <v>1</v>
      </c>
      <c r="C7704">
        <v>27</v>
      </c>
      <c r="D7704">
        <v>27</v>
      </c>
    </row>
    <row r="7705" spans="1:4" ht="15" x14ac:dyDescent="0.25">
      <c r="A7705" t="s">
        <v>20342</v>
      </c>
      <c r="B7705">
        <v>1</v>
      </c>
      <c r="C7705">
        <v>27</v>
      </c>
      <c r="D7705">
        <v>27</v>
      </c>
    </row>
    <row r="7706" spans="1:4" ht="15" x14ac:dyDescent="0.25">
      <c r="A7706" t="s">
        <v>20347</v>
      </c>
      <c r="B7706">
        <v>1</v>
      </c>
      <c r="C7706">
        <v>35</v>
      </c>
      <c r="D7706">
        <v>35</v>
      </c>
    </row>
    <row r="7707" spans="1:4" ht="15" x14ac:dyDescent="0.25">
      <c r="A7707" t="s">
        <v>20348</v>
      </c>
      <c r="B7707">
        <v>1</v>
      </c>
      <c r="C7707">
        <v>35</v>
      </c>
      <c r="D7707">
        <v>35</v>
      </c>
    </row>
    <row r="7708" spans="1:4" ht="15" x14ac:dyDescent="0.25">
      <c r="A7708" t="s">
        <v>20352</v>
      </c>
      <c r="B7708">
        <v>1</v>
      </c>
      <c r="C7708">
        <v>16</v>
      </c>
      <c r="D7708">
        <v>16</v>
      </c>
    </row>
    <row r="7709" spans="1:4" ht="15" x14ac:dyDescent="0.25">
      <c r="A7709" t="s">
        <v>20353</v>
      </c>
      <c r="B7709">
        <v>1</v>
      </c>
      <c r="C7709">
        <v>16</v>
      </c>
      <c r="D7709">
        <v>16</v>
      </c>
    </row>
    <row r="7710" spans="1:4" ht="15" x14ac:dyDescent="0.25">
      <c r="A7710" t="s">
        <v>20355</v>
      </c>
      <c r="B7710">
        <v>2</v>
      </c>
      <c r="C7710">
        <v>66</v>
      </c>
      <c r="D7710">
        <v>33</v>
      </c>
    </row>
    <row r="7711" spans="1:4" ht="15" x14ac:dyDescent="0.25">
      <c r="A7711" t="s">
        <v>20356</v>
      </c>
      <c r="B7711">
        <v>1</v>
      </c>
      <c r="C7711">
        <v>16</v>
      </c>
      <c r="D7711">
        <v>16</v>
      </c>
    </row>
    <row r="7712" spans="1:4" ht="15" x14ac:dyDescent="0.25">
      <c r="A7712" t="s">
        <v>20354</v>
      </c>
      <c r="B7712">
        <v>1</v>
      </c>
      <c r="C7712">
        <v>16</v>
      </c>
      <c r="D7712">
        <v>16</v>
      </c>
    </row>
    <row r="7713" spans="1:4" ht="15" x14ac:dyDescent="0.25">
      <c r="A7713" t="s">
        <v>20359</v>
      </c>
      <c r="B7713">
        <v>1</v>
      </c>
      <c r="C7713">
        <v>33</v>
      </c>
      <c r="D7713">
        <v>33</v>
      </c>
    </row>
    <row r="7714" spans="1:4" ht="15" x14ac:dyDescent="0.25">
      <c r="A7714" t="s">
        <v>20360</v>
      </c>
      <c r="B7714">
        <v>2</v>
      </c>
      <c r="C7714">
        <v>68</v>
      </c>
      <c r="D7714">
        <v>34</v>
      </c>
    </row>
    <row r="7715" spans="1:4" ht="15" x14ac:dyDescent="0.25">
      <c r="A7715" t="s">
        <v>20364</v>
      </c>
      <c r="B7715">
        <v>2</v>
      </c>
      <c r="C7715">
        <v>179</v>
      </c>
      <c r="D7715">
        <v>89.5</v>
      </c>
    </row>
    <row r="7716" spans="1:4" ht="15" x14ac:dyDescent="0.25">
      <c r="A7716" t="s">
        <v>20365</v>
      </c>
      <c r="B7716">
        <v>2</v>
      </c>
      <c r="C7716">
        <v>179</v>
      </c>
      <c r="D7716">
        <v>89.5</v>
      </c>
    </row>
    <row r="7717" spans="1:4" ht="15" x14ac:dyDescent="0.25">
      <c r="A7717" t="s">
        <v>20367</v>
      </c>
      <c r="B7717">
        <v>2</v>
      </c>
      <c r="C7717">
        <v>170</v>
      </c>
      <c r="D7717">
        <v>85</v>
      </c>
    </row>
    <row r="7718" spans="1:4" ht="15" x14ac:dyDescent="0.25">
      <c r="A7718" t="s">
        <v>20366</v>
      </c>
      <c r="B7718">
        <v>2</v>
      </c>
      <c r="C7718">
        <v>112</v>
      </c>
      <c r="D7718">
        <v>56</v>
      </c>
    </row>
    <row r="7719" spans="1:4" ht="15" x14ac:dyDescent="0.25">
      <c r="A7719" t="s">
        <v>20372</v>
      </c>
      <c r="B7719">
        <v>1</v>
      </c>
      <c r="C7719">
        <v>7</v>
      </c>
      <c r="D7719">
        <v>7</v>
      </c>
    </row>
    <row r="7720" spans="1:4" ht="15" x14ac:dyDescent="0.25">
      <c r="A7720" t="s">
        <v>20373</v>
      </c>
      <c r="B7720">
        <v>4</v>
      </c>
      <c r="C7720">
        <v>201</v>
      </c>
      <c r="D7720">
        <v>50.25</v>
      </c>
    </row>
    <row r="7721" spans="1:4" ht="15" x14ac:dyDescent="0.25">
      <c r="A7721" t="s">
        <v>20374</v>
      </c>
      <c r="B7721">
        <v>3</v>
      </c>
      <c r="C7721">
        <v>92</v>
      </c>
      <c r="D7721">
        <v>30.666666666666668</v>
      </c>
    </row>
    <row r="7722" spans="1:4" ht="15" x14ac:dyDescent="0.25">
      <c r="A7722" t="s">
        <v>20378</v>
      </c>
      <c r="B7722">
        <v>2</v>
      </c>
      <c r="C7722">
        <v>38</v>
      </c>
      <c r="D7722">
        <v>19</v>
      </c>
    </row>
    <row r="7723" spans="1:4" ht="15" x14ac:dyDescent="0.25">
      <c r="A7723" t="s">
        <v>20382</v>
      </c>
      <c r="B7723">
        <v>1</v>
      </c>
      <c r="C7723">
        <v>709</v>
      </c>
      <c r="D7723">
        <v>709</v>
      </c>
    </row>
    <row r="7724" spans="1:4" ht="15" x14ac:dyDescent="0.25">
      <c r="A7724" t="s">
        <v>20389</v>
      </c>
      <c r="B7724">
        <v>1</v>
      </c>
      <c r="C7724">
        <v>33</v>
      </c>
      <c r="D7724">
        <v>33</v>
      </c>
    </row>
    <row r="7725" spans="1:4" ht="15" x14ac:dyDescent="0.25">
      <c r="A7725" t="s">
        <v>20388</v>
      </c>
      <c r="B7725">
        <v>1</v>
      </c>
      <c r="C7725">
        <v>33</v>
      </c>
      <c r="D7725">
        <v>33</v>
      </c>
    </row>
    <row r="7726" spans="1:4" ht="15" x14ac:dyDescent="0.25">
      <c r="A7726" t="s">
        <v>20393</v>
      </c>
      <c r="B7726">
        <v>2</v>
      </c>
      <c r="C7726">
        <v>58</v>
      </c>
      <c r="D7726">
        <v>29</v>
      </c>
    </row>
    <row r="7727" spans="1:4" ht="15" x14ac:dyDescent="0.25">
      <c r="A7727" t="s">
        <v>20401</v>
      </c>
      <c r="B7727">
        <v>1</v>
      </c>
      <c r="C7727">
        <v>35</v>
      </c>
      <c r="D7727">
        <v>35</v>
      </c>
    </row>
    <row r="7728" spans="1:4" ht="15" x14ac:dyDescent="0.25">
      <c r="A7728" t="s">
        <v>20402</v>
      </c>
      <c r="B7728">
        <v>1</v>
      </c>
      <c r="C7728">
        <v>35</v>
      </c>
      <c r="D7728">
        <v>35</v>
      </c>
    </row>
    <row r="7729" spans="1:4" ht="15" x14ac:dyDescent="0.25">
      <c r="A7729" t="s">
        <v>20406</v>
      </c>
      <c r="B7729">
        <v>1</v>
      </c>
      <c r="C7729">
        <v>13</v>
      </c>
      <c r="D7729">
        <v>13</v>
      </c>
    </row>
    <row r="7730" spans="1:4" ht="15" x14ac:dyDescent="0.25">
      <c r="A7730" t="s">
        <v>20407</v>
      </c>
      <c r="B7730">
        <v>1</v>
      </c>
      <c r="C7730">
        <v>13</v>
      </c>
      <c r="D7730">
        <v>13</v>
      </c>
    </row>
    <row r="7731" spans="1:4" ht="15" x14ac:dyDescent="0.25">
      <c r="A7731" t="s">
        <v>20409</v>
      </c>
      <c r="B7731">
        <v>2</v>
      </c>
      <c r="C7731">
        <v>39</v>
      </c>
      <c r="D7731">
        <v>19.5</v>
      </c>
    </row>
    <row r="7732" spans="1:4" ht="15" x14ac:dyDescent="0.25">
      <c r="A7732" t="s">
        <v>20410</v>
      </c>
      <c r="B7732">
        <v>1</v>
      </c>
      <c r="C7732">
        <v>13</v>
      </c>
      <c r="D7732">
        <v>13</v>
      </c>
    </row>
    <row r="7733" spans="1:4" ht="15" x14ac:dyDescent="0.25">
      <c r="A7733" t="s">
        <v>20408</v>
      </c>
      <c r="B7733">
        <v>1</v>
      </c>
      <c r="C7733">
        <v>13</v>
      </c>
      <c r="D7733">
        <v>13</v>
      </c>
    </row>
    <row r="7734" spans="1:4" ht="15" x14ac:dyDescent="0.25">
      <c r="A7734" t="s">
        <v>20414</v>
      </c>
      <c r="B7734">
        <v>1</v>
      </c>
      <c r="C7734">
        <v>71</v>
      </c>
      <c r="D7734">
        <v>71</v>
      </c>
    </row>
    <row r="7735" spans="1:4" ht="15" x14ac:dyDescent="0.25">
      <c r="A7735" t="s">
        <v>20415</v>
      </c>
      <c r="B7735">
        <v>1</v>
      </c>
      <c r="C7735">
        <v>71</v>
      </c>
      <c r="D7735">
        <v>71</v>
      </c>
    </row>
    <row r="7736" spans="1:4" ht="15" x14ac:dyDescent="0.25">
      <c r="A7736" t="s">
        <v>20421</v>
      </c>
      <c r="B7736">
        <v>1</v>
      </c>
      <c r="C7736">
        <v>21</v>
      </c>
      <c r="D7736">
        <v>21</v>
      </c>
    </row>
    <row r="7737" spans="1:4" ht="15" x14ac:dyDescent="0.25">
      <c r="A7737" t="s">
        <v>20422</v>
      </c>
      <c r="B7737">
        <v>1</v>
      </c>
      <c r="C7737">
        <v>21</v>
      </c>
      <c r="D7737">
        <v>21</v>
      </c>
    </row>
    <row r="7738" spans="1:4" ht="15" x14ac:dyDescent="0.25">
      <c r="A7738" t="s">
        <v>20425</v>
      </c>
      <c r="B7738">
        <v>1</v>
      </c>
      <c r="C7738">
        <v>43</v>
      </c>
      <c r="D7738">
        <v>43</v>
      </c>
    </row>
    <row r="7739" spans="1:4" ht="15" x14ac:dyDescent="0.25">
      <c r="A7739" t="s">
        <v>20426</v>
      </c>
      <c r="B7739">
        <v>1</v>
      </c>
      <c r="C7739">
        <v>43</v>
      </c>
      <c r="D7739">
        <v>43</v>
      </c>
    </row>
    <row r="7740" spans="1:4" ht="15" x14ac:dyDescent="0.25">
      <c r="A7740" t="s">
        <v>20427</v>
      </c>
      <c r="B7740">
        <v>1</v>
      </c>
      <c r="C7740">
        <v>43</v>
      </c>
      <c r="D7740">
        <v>43</v>
      </c>
    </row>
    <row r="7741" spans="1:4" ht="15" x14ac:dyDescent="0.25">
      <c r="A7741" t="s">
        <v>20430</v>
      </c>
      <c r="B7741">
        <v>2</v>
      </c>
      <c r="C7741">
        <v>22</v>
      </c>
      <c r="D7741">
        <v>11</v>
      </c>
    </row>
    <row r="7742" spans="1:4" ht="15" x14ac:dyDescent="0.25">
      <c r="A7742" t="s">
        <v>20436</v>
      </c>
      <c r="B7742">
        <v>1</v>
      </c>
      <c r="C7742">
        <v>51</v>
      </c>
      <c r="D7742">
        <v>51</v>
      </c>
    </row>
    <row r="7743" spans="1:4" ht="15" x14ac:dyDescent="0.25">
      <c r="A7743" t="s">
        <v>20437</v>
      </c>
      <c r="B7743">
        <v>1</v>
      </c>
      <c r="C7743">
        <v>51</v>
      </c>
      <c r="D7743">
        <v>51</v>
      </c>
    </row>
    <row r="7744" spans="1:4" ht="15" x14ac:dyDescent="0.25">
      <c r="A7744" t="s">
        <v>20439</v>
      </c>
      <c r="B7744">
        <v>1</v>
      </c>
      <c r="C7744">
        <v>51</v>
      </c>
      <c r="D7744">
        <v>51</v>
      </c>
    </row>
    <row r="7745" spans="1:4" ht="15" x14ac:dyDescent="0.25">
      <c r="A7745" t="s">
        <v>20438</v>
      </c>
      <c r="B7745">
        <v>1</v>
      </c>
      <c r="C7745">
        <v>51</v>
      </c>
      <c r="D7745">
        <v>51</v>
      </c>
    </row>
    <row r="7746" spans="1:4" ht="15" x14ac:dyDescent="0.25">
      <c r="A7746" t="s">
        <v>20444</v>
      </c>
      <c r="B7746">
        <v>1</v>
      </c>
      <c r="C7746">
        <v>15</v>
      </c>
      <c r="D7746">
        <v>15</v>
      </c>
    </row>
    <row r="7747" spans="1:4" ht="15" x14ac:dyDescent="0.25">
      <c r="A7747" t="s">
        <v>20447</v>
      </c>
      <c r="B7747">
        <v>1</v>
      </c>
      <c r="C7747">
        <v>17</v>
      </c>
      <c r="D7747">
        <v>17</v>
      </c>
    </row>
    <row r="7748" spans="1:4" ht="15" x14ac:dyDescent="0.25">
      <c r="A7748" t="s">
        <v>20452</v>
      </c>
      <c r="B7748">
        <v>1</v>
      </c>
      <c r="C7748">
        <v>28</v>
      </c>
      <c r="D7748">
        <v>28</v>
      </c>
    </row>
    <row r="7749" spans="1:4" ht="15" x14ac:dyDescent="0.25">
      <c r="A7749" t="s">
        <v>20453</v>
      </c>
      <c r="B7749">
        <v>1</v>
      </c>
      <c r="C7749">
        <v>28</v>
      </c>
      <c r="D7749">
        <v>28</v>
      </c>
    </row>
    <row r="7750" spans="1:4" ht="15" x14ac:dyDescent="0.25">
      <c r="A7750" t="s">
        <v>20458</v>
      </c>
      <c r="B7750">
        <v>1</v>
      </c>
      <c r="C7750">
        <v>35</v>
      </c>
      <c r="D7750">
        <v>35</v>
      </c>
    </row>
    <row r="7751" spans="1:4" ht="15" x14ac:dyDescent="0.25">
      <c r="A7751" t="s">
        <v>20459</v>
      </c>
      <c r="B7751">
        <v>1</v>
      </c>
      <c r="C7751">
        <v>35</v>
      </c>
      <c r="D7751">
        <v>35</v>
      </c>
    </row>
    <row r="7752" spans="1:4" ht="15" x14ac:dyDescent="0.25">
      <c r="A7752" t="s">
        <v>20460</v>
      </c>
      <c r="B7752">
        <v>1</v>
      </c>
      <c r="C7752">
        <v>35</v>
      </c>
      <c r="D7752">
        <v>35</v>
      </c>
    </row>
    <row r="7753" spans="1:4" ht="15" x14ac:dyDescent="0.25">
      <c r="A7753" t="s">
        <v>20463</v>
      </c>
      <c r="B7753">
        <v>2</v>
      </c>
      <c r="C7753">
        <v>84</v>
      </c>
      <c r="D7753">
        <v>42</v>
      </c>
    </row>
    <row r="7754" spans="1:4" ht="15" x14ac:dyDescent="0.25">
      <c r="A7754" t="s">
        <v>20472</v>
      </c>
      <c r="B7754">
        <v>3</v>
      </c>
      <c r="C7754">
        <v>2466</v>
      </c>
      <c r="D7754">
        <v>822</v>
      </c>
    </row>
    <row r="7755" spans="1:4" ht="15" x14ac:dyDescent="0.25">
      <c r="A7755" t="s">
        <v>20475</v>
      </c>
      <c r="B7755">
        <v>1</v>
      </c>
      <c r="C7755">
        <v>15</v>
      </c>
      <c r="D7755">
        <v>15</v>
      </c>
    </row>
    <row r="7756" spans="1:4" ht="15" x14ac:dyDescent="0.25">
      <c r="A7756" t="s">
        <v>20484</v>
      </c>
      <c r="B7756">
        <v>1</v>
      </c>
      <c r="C7756">
        <v>134</v>
      </c>
      <c r="D7756">
        <v>134</v>
      </c>
    </row>
    <row r="7757" spans="1:4" ht="15" x14ac:dyDescent="0.25">
      <c r="A7757" t="s">
        <v>20488</v>
      </c>
      <c r="B7757">
        <v>1</v>
      </c>
      <c r="C7757">
        <v>48</v>
      </c>
      <c r="D7757">
        <v>48</v>
      </c>
    </row>
    <row r="7758" spans="1:4" ht="15" x14ac:dyDescent="0.25">
      <c r="A7758" t="s">
        <v>20489</v>
      </c>
      <c r="B7758">
        <v>1</v>
      </c>
      <c r="C7758">
        <v>48</v>
      </c>
      <c r="D7758">
        <v>48</v>
      </c>
    </row>
    <row r="7759" spans="1:4" ht="15" x14ac:dyDescent="0.25">
      <c r="A7759" t="s">
        <v>20492</v>
      </c>
      <c r="B7759">
        <v>1</v>
      </c>
      <c r="C7759">
        <v>35</v>
      </c>
      <c r="D7759">
        <v>35</v>
      </c>
    </row>
    <row r="7760" spans="1:4" ht="15" x14ac:dyDescent="0.25">
      <c r="A7760" t="s">
        <v>20501</v>
      </c>
      <c r="B7760">
        <v>1</v>
      </c>
      <c r="C7760">
        <v>23</v>
      </c>
      <c r="D7760">
        <v>23</v>
      </c>
    </row>
    <row r="7761" spans="1:4" ht="15" x14ac:dyDescent="0.25">
      <c r="A7761" t="s">
        <v>20502</v>
      </c>
      <c r="B7761">
        <v>1</v>
      </c>
      <c r="C7761">
        <v>23</v>
      </c>
      <c r="D7761">
        <v>23</v>
      </c>
    </row>
    <row r="7762" spans="1:4" ht="15" x14ac:dyDescent="0.25">
      <c r="A7762" t="s">
        <v>20504</v>
      </c>
      <c r="B7762">
        <v>3</v>
      </c>
      <c r="C7762">
        <v>99</v>
      </c>
      <c r="D7762">
        <v>33</v>
      </c>
    </row>
    <row r="7763" spans="1:4" ht="15" x14ac:dyDescent="0.25">
      <c r="A7763" t="s">
        <v>20505</v>
      </c>
      <c r="B7763">
        <v>1</v>
      </c>
      <c r="C7763">
        <v>23</v>
      </c>
      <c r="D7763">
        <v>23</v>
      </c>
    </row>
    <row r="7764" spans="1:4" ht="15" x14ac:dyDescent="0.25">
      <c r="A7764" t="s">
        <v>20503</v>
      </c>
      <c r="B7764">
        <v>2</v>
      </c>
      <c r="C7764">
        <v>51</v>
      </c>
      <c r="D7764">
        <v>25.5</v>
      </c>
    </row>
    <row r="7765" spans="1:4" ht="15" x14ac:dyDescent="0.25">
      <c r="A7765" t="s">
        <v>20508</v>
      </c>
      <c r="B7765">
        <v>1</v>
      </c>
      <c r="C7765">
        <v>63</v>
      </c>
      <c r="D7765">
        <v>63</v>
      </c>
    </row>
    <row r="7766" spans="1:4" ht="15" x14ac:dyDescent="0.25">
      <c r="A7766" t="s">
        <v>20513</v>
      </c>
      <c r="B7766">
        <v>1</v>
      </c>
      <c r="C7766">
        <v>29</v>
      </c>
      <c r="D7766">
        <v>29</v>
      </c>
    </row>
    <row r="7767" spans="1:4" ht="15" x14ac:dyDescent="0.25">
      <c r="A7767" t="s">
        <v>20514</v>
      </c>
      <c r="B7767">
        <v>1</v>
      </c>
      <c r="C7767">
        <v>29</v>
      </c>
      <c r="D7767">
        <v>29</v>
      </c>
    </row>
    <row r="7768" spans="1:4" ht="15" x14ac:dyDescent="0.25">
      <c r="A7768" t="s">
        <v>20515</v>
      </c>
      <c r="B7768">
        <v>1</v>
      </c>
      <c r="C7768">
        <v>29</v>
      </c>
      <c r="D7768">
        <v>29</v>
      </c>
    </row>
    <row r="7769" spans="1:4" ht="15" x14ac:dyDescent="0.25">
      <c r="A7769" t="s">
        <v>20519</v>
      </c>
      <c r="B7769">
        <v>1</v>
      </c>
      <c r="C7769">
        <v>78</v>
      </c>
      <c r="D7769">
        <v>78</v>
      </c>
    </row>
    <row r="7770" spans="1:4" ht="15" x14ac:dyDescent="0.25">
      <c r="A7770" t="s">
        <v>20521</v>
      </c>
      <c r="B7770">
        <v>3</v>
      </c>
      <c r="C7770">
        <v>206</v>
      </c>
      <c r="D7770">
        <v>68.666666666666671</v>
      </c>
    </row>
    <row r="7771" spans="1:4" ht="15" x14ac:dyDescent="0.25">
      <c r="A7771" t="s">
        <v>20520</v>
      </c>
      <c r="B7771">
        <v>1</v>
      </c>
      <c r="C7771">
        <v>78</v>
      </c>
      <c r="D7771">
        <v>78</v>
      </c>
    </row>
    <row r="7772" spans="1:4" ht="15" x14ac:dyDescent="0.25">
      <c r="A7772" t="s">
        <v>20525</v>
      </c>
      <c r="B7772">
        <v>2</v>
      </c>
      <c r="C7772">
        <v>56</v>
      </c>
      <c r="D7772">
        <v>28</v>
      </c>
    </row>
    <row r="7773" spans="1:4" ht="15" x14ac:dyDescent="0.25">
      <c r="A7773" t="s">
        <v>20527</v>
      </c>
      <c r="B7773">
        <v>2</v>
      </c>
      <c r="C7773">
        <v>63</v>
      </c>
      <c r="D7773">
        <v>31.5</v>
      </c>
    </row>
    <row r="7774" spans="1:4" ht="15" x14ac:dyDescent="0.25">
      <c r="A7774" t="s">
        <v>20526</v>
      </c>
      <c r="B7774">
        <v>1</v>
      </c>
      <c r="C7774">
        <v>10</v>
      </c>
      <c r="D7774">
        <v>10</v>
      </c>
    </row>
    <row r="7775" spans="1:4" ht="15" x14ac:dyDescent="0.25">
      <c r="A7775" t="s">
        <v>20531</v>
      </c>
      <c r="B7775">
        <v>1</v>
      </c>
      <c r="C7775">
        <v>102</v>
      </c>
      <c r="D7775">
        <v>102</v>
      </c>
    </row>
    <row r="7776" spans="1:4" ht="15" x14ac:dyDescent="0.25">
      <c r="A7776" t="s">
        <v>20534</v>
      </c>
      <c r="B7776">
        <v>1</v>
      </c>
      <c r="C7776">
        <v>1328</v>
      </c>
      <c r="D7776">
        <v>1328</v>
      </c>
    </row>
    <row r="7777" spans="1:4" ht="15" x14ac:dyDescent="0.25">
      <c r="A7777" t="s">
        <v>20535</v>
      </c>
      <c r="B7777">
        <v>1</v>
      </c>
      <c r="C7777">
        <v>1328</v>
      </c>
      <c r="D7777">
        <v>1328</v>
      </c>
    </row>
    <row r="7778" spans="1:4" ht="15" x14ac:dyDescent="0.25">
      <c r="A7778" t="s">
        <v>20539</v>
      </c>
      <c r="B7778">
        <v>5</v>
      </c>
      <c r="C7778">
        <v>176</v>
      </c>
      <c r="D7778">
        <v>35.200000000000003</v>
      </c>
    </row>
    <row r="7779" spans="1:4" ht="15" x14ac:dyDescent="0.25">
      <c r="A7779" t="s">
        <v>20540</v>
      </c>
      <c r="B7779">
        <v>1</v>
      </c>
      <c r="C7779">
        <v>41</v>
      </c>
      <c r="D7779">
        <v>41</v>
      </c>
    </row>
    <row r="7780" spans="1:4" ht="15" x14ac:dyDescent="0.25">
      <c r="A7780" t="s">
        <v>20544</v>
      </c>
      <c r="B7780">
        <v>1</v>
      </c>
      <c r="C7780">
        <v>76</v>
      </c>
      <c r="D7780">
        <v>76</v>
      </c>
    </row>
    <row r="7781" spans="1:4" ht="15" x14ac:dyDescent="0.25">
      <c r="A7781" t="s">
        <v>20545</v>
      </c>
      <c r="B7781">
        <v>1</v>
      </c>
      <c r="C7781">
        <v>76</v>
      </c>
      <c r="D7781">
        <v>76</v>
      </c>
    </row>
    <row r="7782" spans="1:4" ht="15" x14ac:dyDescent="0.25">
      <c r="A7782" t="s">
        <v>20550</v>
      </c>
      <c r="B7782">
        <v>1</v>
      </c>
      <c r="C7782">
        <v>128</v>
      </c>
      <c r="D7782">
        <v>128</v>
      </c>
    </row>
    <row r="7783" spans="1:4" ht="15" x14ac:dyDescent="0.25">
      <c r="A7783" t="s">
        <v>20551</v>
      </c>
      <c r="B7783">
        <v>1</v>
      </c>
      <c r="C7783">
        <v>128</v>
      </c>
      <c r="D7783">
        <v>128</v>
      </c>
    </row>
    <row r="7784" spans="1:4" ht="15" x14ac:dyDescent="0.25">
      <c r="A7784" t="s">
        <v>20552</v>
      </c>
      <c r="B7784">
        <v>1</v>
      </c>
      <c r="C7784">
        <v>128</v>
      </c>
      <c r="D7784">
        <v>128</v>
      </c>
    </row>
    <row r="7785" spans="1:4" ht="15" x14ac:dyDescent="0.25">
      <c r="A7785" t="s">
        <v>20556</v>
      </c>
      <c r="B7785">
        <v>1</v>
      </c>
      <c r="C7785">
        <v>19</v>
      </c>
      <c r="D7785">
        <v>19</v>
      </c>
    </row>
    <row r="7786" spans="1:4" ht="15" x14ac:dyDescent="0.25">
      <c r="A7786" t="s">
        <v>20557</v>
      </c>
      <c r="B7786">
        <v>1</v>
      </c>
      <c r="C7786">
        <v>19</v>
      </c>
      <c r="D7786">
        <v>19</v>
      </c>
    </row>
    <row r="7787" spans="1:4" ht="15" x14ac:dyDescent="0.25">
      <c r="A7787" t="s">
        <v>20558</v>
      </c>
      <c r="B7787">
        <v>1</v>
      </c>
      <c r="C7787">
        <v>19</v>
      </c>
      <c r="D7787">
        <v>19</v>
      </c>
    </row>
    <row r="7788" spans="1:4" ht="15" x14ac:dyDescent="0.25">
      <c r="A7788" t="s">
        <v>20562</v>
      </c>
      <c r="B7788">
        <v>1</v>
      </c>
      <c r="C7788">
        <v>22</v>
      </c>
      <c r="D7788">
        <v>22</v>
      </c>
    </row>
    <row r="7789" spans="1:4" ht="15" x14ac:dyDescent="0.25">
      <c r="A7789" t="s">
        <v>20572</v>
      </c>
      <c r="B7789">
        <v>1</v>
      </c>
      <c r="C7789">
        <v>14</v>
      </c>
      <c r="D7789">
        <v>14</v>
      </c>
    </row>
    <row r="7790" spans="1:4" ht="15" x14ac:dyDescent="0.25">
      <c r="A7790" t="s">
        <v>20573</v>
      </c>
      <c r="B7790">
        <v>1</v>
      </c>
      <c r="C7790">
        <v>14</v>
      </c>
      <c r="D7790">
        <v>14</v>
      </c>
    </row>
    <row r="7791" spans="1:4" ht="15" x14ac:dyDescent="0.25">
      <c r="A7791" t="s">
        <v>20574</v>
      </c>
      <c r="B7791">
        <v>1</v>
      </c>
      <c r="C7791">
        <v>14</v>
      </c>
      <c r="D7791">
        <v>14</v>
      </c>
    </row>
    <row r="7792" spans="1:4" ht="15" x14ac:dyDescent="0.25">
      <c r="A7792" t="s">
        <v>20577</v>
      </c>
      <c r="B7792">
        <v>3</v>
      </c>
      <c r="C7792">
        <v>126</v>
      </c>
      <c r="D7792">
        <v>42</v>
      </c>
    </row>
    <row r="7793" spans="1:4" ht="15" x14ac:dyDescent="0.25">
      <c r="A7793" t="s">
        <v>20581</v>
      </c>
      <c r="B7793">
        <v>1</v>
      </c>
      <c r="C7793">
        <v>41</v>
      </c>
      <c r="D7793">
        <v>41</v>
      </c>
    </row>
    <row r="7794" spans="1:4" ht="15" x14ac:dyDescent="0.25">
      <c r="A7794" t="s">
        <v>20582</v>
      </c>
      <c r="B7794">
        <v>1</v>
      </c>
      <c r="C7794">
        <v>41</v>
      </c>
      <c r="D7794">
        <v>41</v>
      </c>
    </row>
    <row r="7795" spans="1:4" ht="15" x14ac:dyDescent="0.25">
      <c r="A7795" t="s">
        <v>20588</v>
      </c>
      <c r="B7795">
        <v>1</v>
      </c>
      <c r="C7795">
        <v>23</v>
      </c>
      <c r="D7795">
        <v>23</v>
      </c>
    </row>
    <row r="7796" spans="1:4" ht="15" x14ac:dyDescent="0.25">
      <c r="A7796" t="s">
        <v>20589</v>
      </c>
      <c r="B7796">
        <v>1</v>
      </c>
      <c r="C7796">
        <v>23</v>
      </c>
      <c r="D7796">
        <v>23</v>
      </c>
    </row>
    <row r="7797" spans="1:4" ht="15" x14ac:dyDescent="0.25">
      <c r="A7797" t="s">
        <v>20590</v>
      </c>
      <c r="B7797">
        <v>2</v>
      </c>
      <c r="C7797">
        <v>40</v>
      </c>
      <c r="D7797">
        <v>20</v>
      </c>
    </row>
    <row r="7798" spans="1:4" ht="15" x14ac:dyDescent="0.25">
      <c r="A7798" t="s">
        <v>20591</v>
      </c>
      <c r="B7798">
        <v>1</v>
      </c>
      <c r="C7798">
        <v>23</v>
      </c>
      <c r="D7798">
        <v>23</v>
      </c>
    </row>
    <row r="7799" spans="1:4" ht="15" x14ac:dyDescent="0.25">
      <c r="A7799" t="s">
        <v>20594</v>
      </c>
      <c r="B7799">
        <v>1</v>
      </c>
      <c r="C7799">
        <v>52</v>
      </c>
      <c r="D7799">
        <v>52</v>
      </c>
    </row>
    <row r="7800" spans="1:4" ht="15" x14ac:dyDescent="0.25">
      <c r="A7800" t="s">
        <v>20598</v>
      </c>
      <c r="B7800">
        <v>1</v>
      </c>
      <c r="C7800">
        <v>32</v>
      </c>
      <c r="D7800">
        <v>32</v>
      </c>
    </row>
    <row r="7801" spans="1:4" ht="15" x14ac:dyDescent="0.25">
      <c r="A7801" t="s">
        <v>20600</v>
      </c>
      <c r="B7801">
        <v>1</v>
      </c>
      <c r="C7801">
        <v>32</v>
      </c>
      <c r="D7801">
        <v>32</v>
      </c>
    </row>
    <row r="7802" spans="1:4" ht="15" x14ac:dyDescent="0.25">
      <c r="A7802" t="s">
        <v>20601</v>
      </c>
      <c r="B7802">
        <v>1</v>
      </c>
      <c r="C7802">
        <v>32</v>
      </c>
      <c r="D7802">
        <v>32</v>
      </c>
    </row>
    <row r="7803" spans="1:4" ht="15" x14ac:dyDescent="0.25">
      <c r="A7803" t="s">
        <v>20599</v>
      </c>
      <c r="B7803">
        <v>1</v>
      </c>
      <c r="C7803">
        <v>32</v>
      </c>
      <c r="D7803">
        <v>32</v>
      </c>
    </row>
    <row r="7804" spans="1:4" ht="15" x14ac:dyDescent="0.25">
      <c r="A7804" t="s">
        <v>20605</v>
      </c>
      <c r="B7804">
        <v>2</v>
      </c>
      <c r="C7804">
        <v>55</v>
      </c>
      <c r="D7804">
        <v>27.5</v>
      </c>
    </row>
    <row r="7805" spans="1:4" ht="15" x14ac:dyDescent="0.25">
      <c r="A7805" t="s">
        <v>20607</v>
      </c>
      <c r="B7805">
        <v>3</v>
      </c>
      <c r="C7805">
        <v>85</v>
      </c>
      <c r="D7805">
        <v>28.333333333333332</v>
      </c>
    </row>
    <row r="7806" spans="1:4" ht="15" x14ac:dyDescent="0.25">
      <c r="A7806" t="s">
        <v>20608</v>
      </c>
      <c r="B7806">
        <v>2</v>
      </c>
      <c r="C7806">
        <v>55</v>
      </c>
      <c r="D7806">
        <v>27.5</v>
      </c>
    </row>
    <row r="7807" spans="1:4" ht="15" x14ac:dyDescent="0.25">
      <c r="A7807" t="s">
        <v>20606</v>
      </c>
      <c r="B7807">
        <v>2</v>
      </c>
      <c r="C7807">
        <v>57</v>
      </c>
      <c r="D7807">
        <v>28.5</v>
      </c>
    </row>
    <row r="7808" spans="1:4" ht="15" x14ac:dyDescent="0.25">
      <c r="A7808" t="s">
        <v>20612</v>
      </c>
      <c r="B7808">
        <v>1</v>
      </c>
      <c r="C7808">
        <v>1247</v>
      </c>
      <c r="D7808">
        <v>1247</v>
      </c>
    </row>
    <row r="7809" spans="1:4" ht="15" x14ac:dyDescent="0.25">
      <c r="A7809" t="s">
        <v>20613</v>
      </c>
      <c r="B7809">
        <v>1</v>
      </c>
      <c r="C7809">
        <v>1247</v>
      </c>
      <c r="D7809">
        <v>1247</v>
      </c>
    </row>
    <row r="7810" spans="1:4" ht="15" x14ac:dyDescent="0.25">
      <c r="A7810" t="s">
        <v>20611</v>
      </c>
      <c r="B7810">
        <v>4</v>
      </c>
      <c r="C7810">
        <v>5933</v>
      </c>
      <c r="D7810">
        <v>1483.25</v>
      </c>
    </row>
    <row r="7811" spans="1:4" ht="15" x14ac:dyDescent="0.25">
      <c r="A7811" t="s">
        <v>20616</v>
      </c>
      <c r="B7811">
        <v>1</v>
      </c>
      <c r="C7811">
        <v>85</v>
      </c>
      <c r="D7811">
        <v>85</v>
      </c>
    </row>
    <row r="7812" spans="1:4" ht="15" x14ac:dyDescent="0.25">
      <c r="A7812" t="s">
        <v>20622</v>
      </c>
      <c r="B7812">
        <v>1</v>
      </c>
      <c r="C7812">
        <v>6</v>
      </c>
      <c r="D7812">
        <v>6</v>
      </c>
    </row>
    <row r="7813" spans="1:4" ht="15" x14ac:dyDescent="0.25">
      <c r="A7813" t="s">
        <v>20623</v>
      </c>
      <c r="B7813">
        <v>1</v>
      </c>
      <c r="C7813">
        <v>6</v>
      </c>
      <c r="D7813">
        <v>6</v>
      </c>
    </row>
    <row r="7814" spans="1:4" ht="15" x14ac:dyDescent="0.25">
      <c r="A7814" t="s">
        <v>20627</v>
      </c>
      <c r="B7814">
        <v>1</v>
      </c>
      <c r="C7814">
        <v>74</v>
      </c>
      <c r="D7814">
        <v>74</v>
      </c>
    </row>
    <row r="7815" spans="1:4" ht="15" x14ac:dyDescent="0.25">
      <c r="A7815" t="s">
        <v>20628</v>
      </c>
      <c r="B7815">
        <v>1</v>
      </c>
      <c r="C7815">
        <v>74</v>
      </c>
      <c r="D7815">
        <v>74</v>
      </c>
    </row>
    <row r="7816" spans="1:4" ht="15" x14ac:dyDescent="0.25">
      <c r="A7816" t="s">
        <v>20630</v>
      </c>
      <c r="B7816">
        <v>1</v>
      </c>
      <c r="C7816">
        <v>74</v>
      </c>
      <c r="D7816">
        <v>74</v>
      </c>
    </row>
    <row r="7817" spans="1:4" ht="15" x14ac:dyDescent="0.25">
      <c r="A7817" t="s">
        <v>20631</v>
      </c>
      <c r="B7817">
        <v>1</v>
      </c>
      <c r="C7817">
        <v>74</v>
      </c>
      <c r="D7817">
        <v>74</v>
      </c>
    </row>
    <row r="7818" spans="1:4" ht="15" x14ac:dyDescent="0.25">
      <c r="A7818" t="s">
        <v>20629</v>
      </c>
      <c r="B7818">
        <v>1</v>
      </c>
      <c r="C7818">
        <v>74</v>
      </c>
      <c r="D7818">
        <v>74</v>
      </c>
    </row>
    <row r="7819" spans="1:4" ht="15" x14ac:dyDescent="0.25">
      <c r="A7819" t="s">
        <v>20635</v>
      </c>
      <c r="B7819">
        <v>1</v>
      </c>
      <c r="C7819">
        <v>0</v>
      </c>
      <c r="D7819">
        <v>0</v>
      </c>
    </row>
    <row r="7820" spans="1:4" ht="15" x14ac:dyDescent="0.25">
      <c r="A7820" t="s">
        <v>20640</v>
      </c>
      <c r="B7820">
        <v>1</v>
      </c>
      <c r="C7820">
        <v>24</v>
      </c>
      <c r="D7820">
        <v>24</v>
      </c>
    </row>
    <row r="7821" spans="1:4" ht="15" x14ac:dyDescent="0.25">
      <c r="A7821" t="s">
        <v>20644</v>
      </c>
      <c r="B7821">
        <v>1</v>
      </c>
      <c r="C7821">
        <v>31</v>
      </c>
      <c r="D7821">
        <v>31</v>
      </c>
    </row>
    <row r="7822" spans="1:4" ht="15" x14ac:dyDescent="0.25">
      <c r="A7822" t="s">
        <v>20645</v>
      </c>
      <c r="B7822">
        <v>2</v>
      </c>
      <c r="C7822">
        <v>142</v>
      </c>
      <c r="D7822">
        <v>71</v>
      </c>
    </row>
    <row r="7823" spans="1:4" ht="15" x14ac:dyDescent="0.25">
      <c r="A7823" t="s">
        <v>20646</v>
      </c>
      <c r="B7823">
        <v>1</v>
      </c>
      <c r="C7823">
        <v>31</v>
      </c>
      <c r="D7823">
        <v>31</v>
      </c>
    </row>
    <row r="7824" spans="1:4" ht="15" x14ac:dyDescent="0.25">
      <c r="A7824" t="s">
        <v>20651</v>
      </c>
      <c r="B7824">
        <v>1</v>
      </c>
      <c r="C7824">
        <v>25</v>
      </c>
      <c r="D7824">
        <v>25</v>
      </c>
    </row>
    <row r="7825" spans="1:4" ht="15" x14ac:dyDescent="0.25">
      <c r="A7825" t="s">
        <v>20652</v>
      </c>
      <c r="B7825">
        <v>1</v>
      </c>
      <c r="C7825">
        <v>25</v>
      </c>
      <c r="D7825">
        <v>25</v>
      </c>
    </row>
    <row r="7826" spans="1:4" ht="15" x14ac:dyDescent="0.25">
      <c r="A7826" t="s">
        <v>20653</v>
      </c>
      <c r="B7826">
        <v>1</v>
      </c>
      <c r="C7826">
        <v>25</v>
      </c>
      <c r="D7826">
        <v>25</v>
      </c>
    </row>
    <row r="7827" spans="1:4" ht="15" x14ac:dyDescent="0.25">
      <c r="A7827" t="s">
        <v>20657</v>
      </c>
      <c r="B7827">
        <v>1</v>
      </c>
      <c r="C7827">
        <v>18</v>
      </c>
      <c r="D7827">
        <v>18</v>
      </c>
    </row>
    <row r="7828" spans="1:4" ht="15" x14ac:dyDescent="0.25">
      <c r="A7828" t="s">
        <v>20662</v>
      </c>
      <c r="B7828">
        <v>1</v>
      </c>
      <c r="C7828">
        <v>204</v>
      </c>
      <c r="D7828">
        <v>204</v>
      </c>
    </row>
    <row r="7829" spans="1:4" ht="15" x14ac:dyDescent="0.25">
      <c r="A7829" t="s">
        <v>20664</v>
      </c>
      <c r="B7829">
        <v>1</v>
      </c>
      <c r="C7829">
        <v>204</v>
      </c>
      <c r="D7829">
        <v>204</v>
      </c>
    </row>
    <row r="7830" spans="1:4" ht="15" x14ac:dyDescent="0.25">
      <c r="A7830" t="s">
        <v>20665</v>
      </c>
      <c r="B7830">
        <v>1</v>
      </c>
      <c r="C7830">
        <v>204</v>
      </c>
      <c r="D7830">
        <v>204</v>
      </c>
    </row>
    <row r="7831" spans="1:4" ht="15" x14ac:dyDescent="0.25">
      <c r="A7831" t="s">
        <v>20663</v>
      </c>
      <c r="B7831">
        <v>1</v>
      </c>
      <c r="C7831">
        <v>204</v>
      </c>
      <c r="D7831">
        <v>204</v>
      </c>
    </row>
    <row r="7832" spans="1:4" ht="15" x14ac:dyDescent="0.25">
      <c r="A7832" t="s">
        <v>20670</v>
      </c>
      <c r="B7832">
        <v>2</v>
      </c>
      <c r="C7832">
        <v>38</v>
      </c>
      <c r="D7832">
        <v>19</v>
      </c>
    </row>
    <row r="7833" spans="1:4" ht="15" x14ac:dyDescent="0.25">
      <c r="A7833" t="s">
        <v>20672</v>
      </c>
      <c r="B7833">
        <v>1</v>
      </c>
      <c r="C7833">
        <v>17</v>
      </c>
      <c r="D7833">
        <v>17</v>
      </c>
    </row>
    <row r="7834" spans="1:4" ht="15" x14ac:dyDescent="0.25">
      <c r="A7834" t="s">
        <v>20671</v>
      </c>
      <c r="B7834">
        <v>1</v>
      </c>
      <c r="C7834">
        <v>17</v>
      </c>
      <c r="D7834">
        <v>17</v>
      </c>
    </row>
    <row r="7835" spans="1:4" ht="15" x14ac:dyDescent="0.25">
      <c r="A7835" t="s">
        <v>20676</v>
      </c>
      <c r="B7835">
        <v>1</v>
      </c>
      <c r="C7835">
        <v>1</v>
      </c>
      <c r="D7835">
        <v>1</v>
      </c>
    </row>
    <row r="7836" spans="1:4" ht="15" x14ac:dyDescent="0.25">
      <c r="A7836" t="s">
        <v>20679</v>
      </c>
      <c r="B7836">
        <v>1</v>
      </c>
      <c r="C7836">
        <v>37</v>
      </c>
      <c r="D7836">
        <v>37</v>
      </c>
    </row>
    <row r="7837" spans="1:4" ht="15" x14ac:dyDescent="0.25">
      <c r="A7837" t="s">
        <v>20685</v>
      </c>
      <c r="B7837">
        <v>1</v>
      </c>
      <c r="C7837">
        <v>31</v>
      </c>
      <c r="D7837">
        <v>31</v>
      </c>
    </row>
    <row r="7838" spans="1:4" ht="15" x14ac:dyDescent="0.25">
      <c r="A7838" t="s">
        <v>20689</v>
      </c>
      <c r="B7838">
        <v>1</v>
      </c>
      <c r="C7838">
        <v>47</v>
      </c>
      <c r="D7838">
        <v>47</v>
      </c>
    </row>
    <row r="7839" spans="1:4" ht="15" x14ac:dyDescent="0.25">
      <c r="A7839" t="s">
        <v>20690</v>
      </c>
      <c r="B7839">
        <v>1</v>
      </c>
      <c r="C7839">
        <v>47</v>
      </c>
      <c r="D7839">
        <v>47</v>
      </c>
    </row>
    <row r="7840" spans="1:4" ht="15" x14ac:dyDescent="0.25">
      <c r="A7840" t="s">
        <v>20692</v>
      </c>
      <c r="B7840">
        <v>1</v>
      </c>
      <c r="C7840">
        <v>47</v>
      </c>
      <c r="D7840">
        <v>47</v>
      </c>
    </row>
    <row r="7841" spans="1:4" ht="15" x14ac:dyDescent="0.25">
      <c r="A7841" t="s">
        <v>20691</v>
      </c>
      <c r="B7841">
        <v>2</v>
      </c>
      <c r="C7841">
        <v>184</v>
      </c>
      <c r="D7841">
        <v>92</v>
      </c>
    </row>
    <row r="7842" spans="1:4" ht="15" x14ac:dyDescent="0.25">
      <c r="A7842" t="s">
        <v>20696</v>
      </c>
      <c r="B7842">
        <v>1</v>
      </c>
      <c r="C7842">
        <v>84</v>
      </c>
      <c r="D7842">
        <v>84</v>
      </c>
    </row>
    <row r="7843" spans="1:4" ht="15" x14ac:dyDescent="0.25">
      <c r="A7843" t="s">
        <v>20698</v>
      </c>
      <c r="B7843">
        <v>1</v>
      </c>
      <c r="C7843">
        <v>84</v>
      </c>
      <c r="D7843">
        <v>84</v>
      </c>
    </row>
    <row r="7844" spans="1:4" ht="15" x14ac:dyDescent="0.25">
      <c r="A7844" t="s">
        <v>20697</v>
      </c>
      <c r="B7844">
        <v>1</v>
      </c>
      <c r="C7844">
        <v>84</v>
      </c>
      <c r="D7844">
        <v>84</v>
      </c>
    </row>
    <row r="7845" spans="1:4" ht="15" x14ac:dyDescent="0.25">
      <c r="A7845" t="s">
        <v>20702</v>
      </c>
      <c r="B7845">
        <v>1</v>
      </c>
      <c r="C7845">
        <v>24</v>
      </c>
      <c r="D7845">
        <v>24</v>
      </c>
    </row>
    <row r="7846" spans="1:4" ht="15" x14ac:dyDescent="0.25">
      <c r="A7846" t="s">
        <v>20703</v>
      </c>
      <c r="B7846">
        <v>1</v>
      </c>
      <c r="C7846">
        <v>24</v>
      </c>
      <c r="D7846">
        <v>24</v>
      </c>
    </row>
    <row r="7847" spans="1:4" ht="15" x14ac:dyDescent="0.25">
      <c r="A7847" t="s">
        <v>20704</v>
      </c>
      <c r="B7847">
        <v>1</v>
      </c>
      <c r="C7847">
        <v>24</v>
      </c>
      <c r="D7847">
        <v>24</v>
      </c>
    </row>
    <row r="7848" spans="1:4" ht="15" x14ac:dyDescent="0.25">
      <c r="A7848" t="s">
        <v>20712</v>
      </c>
      <c r="B7848">
        <v>2</v>
      </c>
      <c r="C7848">
        <v>1843</v>
      </c>
      <c r="D7848">
        <v>921.5</v>
      </c>
    </row>
    <row r="7849" spans="1:4" ht="15" x14ac:dyDescent="0.25">
      <c r="A7849" t="s">
        <v>20713</v>
      </c>
      <c r="B7849">
        <v>1</v>
      </c>
      <c r="C7849">
        <v>160</v>
      </c>
      <c r="D7849">
        <v>160</v>
      </c>
    </row>
    <row r="7850" spans="1:4" ht="15" x14ac:dyDescent="0.25">
      <c r="A7850" t="s">
        <v>20717</v>
      </c>
      <c r="B7850">
        <v>1</v>
      </c>
      <c r="C7850">
        <v>20</v>
      </c>
      <c r="D7850">
        <v>20</v>
      </c>
    </row>
    <row r="7851" spans="1:4" ht="15" x14ac:dyDescent="0.25">
      <c r="A7851" t="s">
        <v>20719</v>
      </c>
      <c r="B7851">
        <v>1</v>
      </c>
      <c r="C7851">
        <v>20</v>
      </c>
      <c r="D7851">
        <v>20</v>
      </c>
    </row>
    <row r="7852" spans="1:4" ht="15" x14ac:dyDescent="0.25">
      <c r="A7852" t="s">
        <v>20718</v>
      </c>
      <c r="B7852">
        <v>1</v>
      </c>
      <c r="C7852">
        <v>20</v>
      </c>
      <c r="D7852">
        <v>20</v>
      </c>
    </row>
    <row r="7853" spans="1:4" ht="15" x14ac:dyDescent="0.25">
      <c r="A7853" t="s">
        <v>20731</v>
      </c>
      <c r="B7853">
        <v>1</v>
      </c>
      <c r="C7853">
        <v>45</v>
      </c>
      <c r="D7853">
        <v>45</v>
      </c>
    </row>
    <row r="7854" spans="1:4" ht="15" x14ac:dyDescent="0.25">
      <c r="A7854" t="s">
        <v>20732</v>
      </c>
      <c r="B7854">
        <v>1</v>
      </c>
      <c r="C7854">
        <v>45</v>
      </c>
      <c r="D7854">
        <v>45</v>
      </c>
    </row>
    <row r="7855" spans="1:4" ht="15" x14ac:dyDescent="0.25">
      <c r="A7855" t="s">
        <v>20734</v>
      </c>
      <c r="B7855">
        <v>1</v>
      </c>
      <c r="C7855">
        <v>45</v>
      </c>
      <c r="D7855">
        <v>45</v>
      </c>
    </row>
    <row r="7856" spans="1:4" ht="15" x14ac:dyDescent="0.25">
      <c r="A7856" t="s">
        <v>20735</v>
      </c>
      <c r="B7856">
        <v>1</v>
      </c>
      <c r="C7856">
        <v>45</v>
      </c>
      <c r="D7856">
        <v>45</v>
      </c>
    </row>
    <row r="7857" spans="1:4" ht="15" x14ac:dyDescent="0.25">
      <c r="A7857" t="s">
        <v>20733</v>
      </c>
      <c r="B7857">
        <v>1</v>
      </c>
      <c r="C7857">
        <v>45</v>
      </c>
      <c r="D7857">
        <v>45</v>
      </c>
    </row>
    <row r="7858" spans="1:4" ht="15" x14ac:dyDescent="0.25">
      <c r="A7858" t="s">
        <v>20739</v>
      </c>
      <c r="B7858">
        <v>1</v>
      </c>
      <c r="C7858">
        <v>64</v>
      </c>
      <c r="D7858">
        <v>64</v>
      </c>
    </row>
    <row r="7859" spans="1:4" ht="15" x14ac:dyDescent="0.25">
      <c r="A7859" t="s">
        <v>20743</v>
      </c>
      <c r="B7859">
        <v>1</v>
      </c>
      <c r="C7859">
        <v>28</v>
      </c>
      <c r="D7859">
        <v>28</v>
      </c>
    </row>
    <row r="7860" spans="1:4" ht="15" x14ac:dyDescent="0.25">
      <c r="A7860" t="s">
        <v>20742</v>
      </c>
      <c r="B7860">
        <v>1</v>
      </c>
      <c r="C7860">
        <v>28</v>
      </c>
      <c r="D7860">
        <v>28</v>
      </c>
    </row>
    <row r="7861" spans="1:4" ht="15" x14ac:dyDescent="0.25">
      <c r="A7861" t="s">
        <v>20747</v>
      </c>
      <c r="B7861">
        <v>1</v>
      </c>
      <c r="C7861">
        <v>105</v>
      </c>
      <c r="D7861">
        <v>105</v>
      </c>
    </row>
    <row r="7862" spans="1:4" ht="15" x14ac:dyDescent="0.25">
      <c r="A7862" t="s">
        <v>20749</v>
      </c>
      <c r="B7862">
        <v>1</v>
      </c>
      <c r="C7862">
        <v>105</v>
      </c>
      <c r="D7862">
        <v>105</v>
      </c>
    </row>
    <row r="7863" spans="1:4" ht="15" x14ac:dyDescent="0.25">
      <c r="A7863" t="s">
        <v>20748</v>
      </c>
      <c r="B7863">
        <v>1</v>
      </c>
      <c r="C7863">
        <v>105</v>
      </c>
      <c r="D7863">
        <v>105</v>
      </c>
    </row>
    <row r="7864" spans="1:4" ht="15" x14ac:dyDescent="0.25">
      <c r="A7864" t="s">
        <v>20754</v>
      </c>
      <c r="B7864">
        <v>2</v>
      </c>
      <c r="C7864">
        <v>116</v>
      </c>
      <c r="D7864">
        <v>58</v>
      </c>
    </row>
    <row r="7865" spans="1:4" ht="15" x14ac:dyDescent="0.25">
      <c r="A7865" t="s">
        <v>20755</v>
      </c>
      <c r="B7865">
        <v>2</v>
      </c>
      <c r="C7865">
        <v>100</v>
      </c>
      <c r="D7865">
        <v>50</v>
      </c>
    </row>
    <row r="7866" spans="1:4" ht="15" x14ac:dyDescent="0.25">
      <c r="A7866" t="s">
        <v>20761</v>
      </c>
      <c r="B7866">
        <v>1</v>
      </c>
      <c r="C7866">
        <v>31</v>
      </c>
      <c r="D7866">
        <v>31</v>
      </c>
    </row>
    <row r="7867" spans="1:4" ht="15" x14ac:dyDescent="0.25">
      <c r="A7867" t="s">
        <v>20762</v>
      </c>
      <c r="B7867">
        <v>1</v>
      </c>
      <c r="C7867">
        <v>31</v>
      </c>
      <c r="D7867">
        <v>31</v>
      </c>
    </row>
    <row r="7868" spans="1:4" ht="15" x14ac:dyDescent="0.25">
      <c r="A7868" t="s">
        <v>20763</v>
      </c>
      <c r="B7868">
        <v>2</v>
      </c>
      <c r="C7868">
        <v>70</v>
      </c>
      <c r="D7868">
        <v>35</v>
      </c>
    </row>
    <row r="7869" spans="1:4" ht="15" x14ac:dyDescent="0.25">
      <c r="A7869" t="s">
        <v>20771</v>
      </c>
      <c r="B7869">
        <v>1</v>
      </c>
      <c r="C7869">
        <v>29</v>
      </c>
      <c r="D7869">
        <v>29</v>
      </c>
    </row>
    <row r="7870" spans="1:4" ht="15" x14ac:dyDescent="0.25">
      <c r="A7870" t="s">
        <v>20772</v>
      </c>
      <c r="B7870">
        <v>1</v>
      </c>
      <c r="C7870">
        <v>29</v>
      </c>
      <c r="D7870">
        <v>29</v>
      </c>
    </row>
    <row r="7871" spans="1:4" ht="15" x14ac:dyDescent="0.25">
      <c r="A7871" t="s">
        <v>20777</v>
      </c>
      <c r="B7871">
        <v>1</v>
      </c>
      <c r="C7871">
        <v>14</v>
      </c>
      <c r="D7871">
        <v>14</v>
      </c>
    </row>
    <row r="7872" spans="1:4" ht="15" x14ac:dyDescent="0.25">
      <c r="A7872" t="s">
        <v>20778</v>
      </c>
      <c r="B7872">
        <v>1</v>
      </c>
      <c r="C7872">
        <v>14</v>
      </c>
      <c r="D7872">
        <v>14</v>
      </c>
    </row>
    <row r="7873" spans="1:4" ht="15" x14ac:dyDescent="0.25">
      <c r="A7873" t="s">
        <v>20783</v>
      </c>
      <c r="B7873">
        <v>1</v>
      </c>
      <c r="C7873">
        <v>21</v>
      </c>
      <c r="D7873">
        <v>21</v>
      </c>
    </row>
    <row r="7874" spans="1:4" ht="15" x14ac:dyDescent="0.25">
      <c r="A7874" t="s">
        <v>20782</v>
      </c>
      <c r="B7874">
        <v>1</v>
      </c>
      <c r="C7874">
        <v>21</v>
      </c>
      <c r="D7874">
        <v>21</v>
      </c>
    </row>
    <row r="7875" spans="1:4" ht="15" x14ac:dyDescent="0.25">
      <c r="A7875" t="s">
        <v>20788</v>
      </c>
      <c r="B7875">
        <v>1</v>
      </c>
      <c r="C7875">
        <v>54</v>
      </c>
      <c r="D7875">
        <v>54</v>
      </c>
    </row>
    <row r="7876" spans="1:4" ht="15" x14ac:dyDescent="0.25">
      <c r="A7876" t="s">
        <v>20792</v>
      </c>
      <c r="B7876">
        <v>1</v>
      </c>
      <c r="C7876">
        <v>38</v>
      </c>
      <c r="D7876">
        <v>38</v>
      </c>
    </row>
    <row r="7877" spans="1:4" ht="15" x14ac:dyDescent="0.25">
      <c r="A7877" t="s">
        <v>20795</v>
      </c>
      <c r="B7877">
        <v>1</v>
      </c>
      <c r="C7877">
        <v>55</v>
      </c>
      <c r="D7877">
        <v>55</v>
      </c>
    </row>
    <row r="7878" spans="1:4" ht="15" x14ac:dyDescent="0.25">
      <c r="A7878" t="s">
        <v>20800</v>
      </c>
      <c r="B7878">
        <v>1</v>
      </c>
      <c r="C7878">
        <v>37</v>
      </c>
      <c r="D7878">
        <v>37</v>
      </c>
    </row>
    <row r="7879" spans="1:4" ht="15" x14ac:dyDescent="0.25">
      <c r="A7879" t="s">
        <v>20802</v>
      </c>
      <c r="B7879">
        <v>1</v>
      </c>
      <c r="C7879">
        <v>37</v>
      </c>
      <c r="D7879">
        <v>37</v>
      </c>
    </row>
    <row r="7880" spans="1:4" ht="15" x14ac:dyDescent="0.25">
      <c r="A7880" t="s">
        <v>20803</v>
      </c>
      <c r="B7880">
        <v>1</v>
      </c>
      <c r="C7880">
        <v>37</v>
      </c>
      <c r="D7880">
        <v>37</v>
      </c>
    </row>
    <row r="7881" spans="1:4" ht="15" x14ac:dyDescent="0.25">
      <c r="A7881" t="s">
        <v>20801</v>
      </c>
      <c r="B7881">
        <v>2</v>
      </c>
      <c r="C7881">
        <v>71</v>
      </c>
      <c r="D7881">
        <v>35.5</v>
      </c>
    </row>
    <row r="7882" spans="1:4" ht="15" x14ac:dyDescent="0.25">
      <c r="A7882" t="s">
        <v>20808</v>
      </c>
      <c r="B7882">
        <v>1</v>
      </c>
      <c r="C7882">
        <v>26</v>
      </c>
      <c r="D7882">
        <v>26</v>
      </c>
    </row>
    <row r="7883" spans="1:4" ht="15" x14ac:dyDescent="0.25">
      <c r="A7883" t="s">
        <v>20813</v>
      </c>
      <c r="B7883">
        <v>1</v>
      </c>
      <c r="C7883">
        <v>26</v>
      </c>
      <c r="D7883">
        <v>26</v>
      </c>
    </row>
    <row r="7884" spans="1:4" ht="15" x14ac:dyDescent="0.25">
      <c r="A7884" t="s">
        <v>20814</v>
      </c>
      <c r="B7884">
        <v>2</v>
      </c>
      <c r="C7884">
        <v>53</v>
      </c>
      <c r="D7884">
        <v>26.5</v>
      </c>
    </row>
    <row r="7885" spans="1:4" ht="15" x14ac:dyDescent="0.25">
      <c r="A7885" t="s">
        <v>20812</v>
      </c>
      <c r="B7885">
        <v>1</v>
      </c>
      <c r="C7885">
        <v>26</v>
      </c>
      <c r="D7885">
        <v>26</v>
      </c>
    </row>
    <row r="7886" spans="1:4" ht="15" x14ac:dyDescent="0.25">
      <c r="A7886" t="s">
        <v>20820</v>
      </c>
      <c r="B7886">
        <v>1</v>
      </c>
      <c r="C7886">
        <v>5</v>
      </c>
      <c r="D7886">
        <v>5</v>
      </c>
    </row>
    <row r="7887" spans="1:4" ht="15" x14ac:dyDescent="0.25">
      <c r="A7887" t="s">
        <v>20822</v>
      </c>
      <c r="B7887">
        <v>1</v>
      </c>
      <c r="C7887">
        <v>5</v>
      </c>
      <c r="D7887">
        <v>5</v>
      </c>
    </row>
    <row r="7888" spans="1:4" ht="15" x14ac:dyDescent="0.25">
      <c r="A7888" t="s">
        <v>20821</v>
      </c>
      <c r="B7888">
        <v>1</v>
      </c>
      <c r="C7888">
        <v>5</v>
      </c>
      <c r="D7888">
        <v>5</v>
      </c>
    </row>
    <row r="7889" spans="1:4" ht="15" x14ac:dyDescent="0.25">
      <c r="A7889" t="s">
        <v>20826</v>
      </c>
      <c r="B7889">
        <v>1</v>
      </c>
      <c r="C7889">
        <v>10</v>
      </c>
      <c r="D7889">
        <v>10</v>
      </c>
    </row>
    <row r="7890" spans="1:4" ht="15" x14ac:dyDescent="0.25">
      <c r="A7890" t="s">
        <v>20827</v>
      </c>
      <c r="B7890">
        <v>1</v>
      </c>
      <c r="C7890">
        <v>10</v>
      </c>
      <c r="D7890">
        <v>10</v>
      </c>
    </row>
    <row r="7891" spans="1:4" ht="15" x14ac:dyDescent="0.25">
      <c r="A7891" t="s">
        <v>20831</v>
      </c>
      <c r="B7891">
        <v>1</v>
      </c>
      <c r="C7891">
        <v>11</v>
      </c>
      <c r="D7891">
        <v>11</v>
      </c>
    </row>
    <row r="7892" spans="1:4" ht="15" x14ac:dyDescent="0.25">
      <c r="A7892" t="s">
        <v>20832</v>
      </c>
      <c r="B7892">
        <v>1</v>
      </c>
      <c r="C7892">
        <v>11</v>
      </c>
      <c r="D7892">
        <v>11</v>
      </c>
    </row>
    <row r="7893" spans="1:4" ht="15" x14ac:dyDescent="0.25">
      <c r="A7893" t="s">
        <v>20834</v>
      </c>
      <c r="B7893">
        <v>1</v>
      </c>
      <c r="C7893">
        <v>11</v>
      </c>
      <c r="D7893">
        <v>11</v>
      </c>
    </row>
    <row r="7894" spans="1:4" ht="15" x14ac:dyDescent="0.25">
      <c r="A7894" t="s">
        <v>20833</v>
      </c>
      <c r="B7894">
        <v>1</v>
      </c>
      <c r="C7894">
        <v>11</v>
      </c>
      <c r="D7894">
        <v>11</v>
      </c>
    </row>
    <row r="7895" spans="1:4" ht="15" x14ac:dyDescent="0.25">
      <c r="A7895" t="s">
        <v>20838</v>
      </c>
      <c r="B7895">
        <v>1</v>
      </c>
      <c r="C7895">
        <v>11</v>
      </c>
      <c r="D7895">
        <v>11</v>
      </c>
    </row>
    <row r="7896" spans="1:4" ht="15" x14ac:dyDescent="0.25">
      <c r="A7896" t="s">
        <v>20839</v>
      </c>
      <c r="B7896">
        <v>1</v>
      </c>
      <c r="C7896">
        <v>11</v>
      </c>
      <c r="D7896">
        <v>11</v>
      </c>
    </row>
    <row r="7897" spans="1:4" ht="15" x14ac:dyDescent="0.25">
      <c r="A7897" t="s">
        <v>20840</v>
      </c>
      <c r="B7897">
        <v>1</v>
      </c>
      <c r="C7897">
        <v>11</v>
      </c>
      <c r="D7897">
        <v>11</v>
      </c>
    </row>
    <row r="7898" spans="1:4" ht="15" x14ac:dyDescent="0.25">
      <c r="A7898" t="s">
        <v>20845</v>
      </c>
      <c r="B7898">
        <v>1</v>
      </c>
      <c r="C7898">
        <v>27</v>
      </c>
      <c r="D7898">
        <v>27</v>
      </c>
    </row>
    <row r="7899" spans="1:4" ht="15" x14ac:dyDescent="0.25">
      <c r="A7899" t="s">
        <v>20849</v>
      </c>
      <c r="B7899">
        <v>1</v>
      </c>
      <c r="C7899">
        <v>19</v>
      </c>
      <c r="D7899">
        <v>19</v>
      </c>
    </row>
    <row r="7900" spans="1:4" ht="15" x14ac:dyDescent="0.25">
      <c r="A7900" t="s">
        <v>20850</v>
      </c>
      <c r="B7900">
        <v>1</v>
      </c>
      <c r="C7900">
        <v>19</v>
      </c>
      <c r="D7900">
        <v>19</v>
      </c>
    </row>
    <row r="7901" spans="1:4" ht="15" x14ac:dyDescent="0.25">
      <c r="A7901" t="s">
        <v>20851</v>
      </c>
      <c r="B7901">
        <v>1</v>
      </c>
      <c r="C7901">
        <v>19</v>
      </c>
      <c r="D7901">
        <v>19</v>
      </c>
    </row>
    <row r="7902" spans="1:4" ht="15" x14ac:dyDescent="0.25">
      <c r="A7902" t="s">
        <v>20855</v>
      </c>
      <c r="B7902">
        <v>1</v>
      </c>
      <c r="C7902">
        <v>14</v>
      </c>
      <c r="D7902">
        <v>14</v>
      </c>
    </row>
    <row r="7903" spans="1:4" ht="15" x14ac:dyDescent="0.25">
      <c r="A7903" t="s">
        <v>20856</v>
      </c>
      <c r="B7903">
        <v>1</v>
      </c>
      <c r="C7903">
        <v>14</v>
      </c>
      <c r="D7903">
        <v>14</v>
      </c>
    </row>
    <row r="7904" spans="1:4" ht="15" x14ac:dyDescent="0.25">
      <c r="A7904" t="s">
        <v>20861</v>
      </c>
      <c r="B7904">
        <v>2</v>
      </c>
      <c r="C7904">
        <v>1232</v>
      </c>
      <c r="D7904">
        <v>616</v>
      </c>
    </row>
    <row r="7905" spans="1:4" ht="15" x14ac:dyDescent="0.25">
      <c r="A7905" t="s">
        <v>20862</v>
      </c>
      <c r="B7905">
        <v>2</v>
      </c>
      <c r="C7905">
        <v>1232</v>
      </c>
      <c r="D7905">
        <v>616</v>
      </c>
    </row>
    <row r="7906" spans="1:4" ht="15" x14ac:dyDescent="0.25">
      <c r="A7906" t="s">
        <v>20863</v>
      </c>
      <c r="B7906">
        <v>1</v>
      </c>
      <c r="C7906">
        <v>1179</v>
      </c>
      <c r="D7906">
        <v>1179</v>
      </c>
    </row>
    <row r="7907" spans="1:4" ht="15" x14ac:dyDescent="0.25">
      <c r="A7907" t="s">
        <v>20868</v>
      </c>
      <c r="B7907">
        <v>1</v>
      </c>
      <c r="C7907">
        <v>86</v>
      </c>
      <c r="D7907">
        <v>86</v>
      </c>
    </row>
    <row r="7908" spans="1:4" ht="15" x14ac:dyDescent="0.25">
      <c r="A7908" t="s">
        <v>20869</v>
      </c>
      <c r="B7908">
        <v>1</v>
      </c>
      <c r="C7908">
        <v>86</v>
      </c>
      <c r="D7908">
        <v>86</v>
      </c>
    </row>
    <row r="7909" spans="1:4" ht="15" x14ac:dyDescent="0.25">
      <c r="A7909" t="s">
        <v>20871</v>
      </c>
      <c r="B7909">
        <v>1</v>
      </c>
      <c r="C7909">
        <v>86</v>
      </c>
      <c r="D7909">
        <v>86</v>
      </c>
    </row>
    <row r="7910" spans="1:4" ht="15" x14ac:dyDescent="0.25">
      <c r="A7910" t="s">
        <v>20870</v>
      </c>
      <c r="B7910">
        <v>1</v>
      </c>
      <c r="C7910">
        <v>86</v>
      </c>
      <c r="D7910">
        <v>86</v>
      </c>
    </row>
    <row r="7911" spans="1:4" ht="15" x14ac:dyDescent="0.25">
      <c r="A7911" t="s">
        <v>20875</v>
      </c>
      <c r="B7911">
        <v>1</v>
      </c>
      <c r="C7911">
        <v>1</v>
      </c>
      <c r="D7911">
        <v>1</v>
      </c>
    </row>
    <row r="7912" spans="1:4" ht="15" x14ac:dyDescent="0.25">
      <c r="A7912" t="s">
        <v>20876</v>
      </c>
      <c r="B7912">
        <v>1</v>
      </c>
      <c r="C7912">
        <v>1</v>
      </c>
      <c r="D7912">
        <v>1</v>
      </c>
    </row>
    <row r="7913" spans="1:4" ht="15" x14ac:dyDescent="0.25">
      <c r="A7913" t="s">
        <v>20881</v>
      </c>
      <c r="B7913">
        <v>1</v>
      </c>
      <c r="C7913">
        <v>11</v>
      </c>
      <c r="D7913">
        <v>11</v>
      </c>
    </row>
    <row r="7914" spans="1:4" ht="15" x14ac:dyDescent="0.25">
      <c r="A7914" t="s">
        <v>20884</v>
      </c>
      <c r="B7914">
        <v>1</v>
      </c>
      <c r="C7914">
        <v>22</v>
      </c>
      <c r="D7914">
        <v>22</v>
      </c>
    </row>
    <row r="7915" spans="1:4" ht="15" x14ac:dyDescent="0.25">
      <c r="A7915" t="s">
        <v>20889</v>
      </c>
      <c r="B7915">
        <v>1</v>
      </c>
      <c r="C7915">
        <v>379</v>
      </c>
      <c r="D7915">
        <v>379</v>
      </c>
    </row>
    <row r="7916" spans="1:4" ht="15" x14ac:dyDescent="0.25">
      <c r="A7916" t="s">
        <v>20890</v>
      </c>
      <c r="B7916">
        <v>1</v>
      </c>
      <c r="C7916">
        <v>379</v>
      </c>
      <c r="D7916">
        <v>379</v>
      </c>
    </row>
    <row r="7917" spans="1:4" ht="15" x14ac:dyDescent="0.25">
      <c r="A7917" t="s">
        <v>20894</v>
      </c>
      <c r="B7917">
        <v>1</v>
      </c>
      <c r="C7917">
        <v>75</v>
      </c>
      <c r="D7917">
        <v>75</v>
      </c>
    </row>
    <row r="7918" spans="1:4" ht="15" x14ac:dyDescent="0.25">
      <c r="A7918" t="s">
        <v>20895</v>
      </c>
      <c r="B7918">
        <v>1</v>
      </c>
      <c r="C7918">
        <v>75</v>
      </c>
      <c r="D7918">
        <v>75</v>
      </c>
    </row>
    <row r="7919" spans="1:4" ht="15" x14ac:dyDescent="0.25">
      <c r="A7919" t="s">
        <v>20896</v>
      </c>
      <c r="B7919">
        <v>1</v>
      </c>
      <c r="C7919">
        <v>75</v>
      </c>
      <c r="D7919">
        <v>75</v>
      </c>
    </row>
    <row r="7920" spans="1:4" ht="15" x14ac:dyDescent="0.25">
      <c r="A7920" t="s">
        <v>20897</v>
      </c>
      <c r="B7920">
        <v>1</v>
      </c>
      <c r="C7920">
        <v>75</v>
      </c>
      <c r="D7920">
        <v>75</v>
      </c>
    </row>
    <row r="7921" spans="1:4" ht="15" x14ac:dyDescent="0.25">
      <c r="A7921" t="s">
        <v>20901</v>
      </c>
      <c r="B7921">
        <v>1</v>
      </c>
      <c r="C7921">
        <v>64</v>
      </c>
      <c r="D7921">
        <v>64</v>
      </c>
    </row>
    <row r="7922" spans="1:4" ht="15" x14ac:dyDescent="0.25">
      <c r="A7922" t="s">
        <v>20904</v>
      </c>
      <c r="B7922">
        <v>1</v>
      </c>
      <c r="C7922">
        <v>53</v>
      </c>
      <c r="D7922">
        <v>53</v>
      </c>
    </row>
    <row r="7923" spans="1:4" ht="15" x14ac:dyDescent="0.25">
      <c r="A7923" t="s">
        <v>20909</v>
      </c>
      <c r="B7923">
        <v>2</v>
      </c>
      <c r="C7923">
        <v>157</v>
      </c>
      <c r="D7923">
        <v>78.5</v>
      </c>
    </row>
    <row r="7924" spans="1:4" ht="15" x14ac:dyDescent="0.25">
      <c r="A7924" t="s">
        <v>20908</v>
      </c>
      <c r="B7924">
        <v>1</v>
      </c>
      <c r="C7924">
        <v>101</v>
      </c>
      <c r="D7924">
        <v>101</v>
      </c>
    </row>
    <row r="7925" spans="1:4" ht="15" x14ac:dyDescent="0.25">
      <c r="A7925" t="s">
        <v>20914</v>
      </c>
      <c r="B7925">
        <v>1</v>
      </c>
      <c r="C7925">
        <v>16</v>
      </c>
      <c r="D7925">
        <v>16</v>
      </c>
    </row>
    <row r="7926" spans="1:4" ht="15" x14ac:dyDescent="0.25">
      <c r="A7926" t="s">
        <v>20915</v>
      </c>
      <c r="B7926">
        <v>1</v>
      </c>
      <c r="C7926">
        <v>16</v>
      </c>
      <c r="D7926">
        <v>16</v>
      </c>
    </row>
    <row r="7927" spans="1:4" ht="15" x14ac:dyDescent="0.25">
      <c r="A7927" t="s">
        <v>20919</v>
      </c>
      <c r="B7927">
        <v>1</v>
      </c>
      <c r="C7927">
        <v>19</v>
      </c>
      <c r="D7927">
        <v>19</v>
      </c>
    </row>
    <row r="7928" spans="1:4" ht="15" x14ac:dyDescent="0.25">
      <c r="A7928" t="s">
        <v>20920</v>
      </c>
      <c r="B7928">
        <v>1</v>
      </c>
      <c r="C7928">
        <v>19</v>
      </c>
      <c r="D7928">
        <v>19</v>
      </c>
    </row>
    <row r="7929" spans="1:4" ht="15" x14ac:dyDescent="0.25">
      <c r="A7929" t="s">
        <v>20926</v>
      </c>
      <c r="B7929">
        <v>1</v>
      </c>
      <c r="C7929">
        <v>10</v>
      </c>
      <c r="D7929">
        <v>10</v>
      </c>
    </row>
    <row r="7930" spans="1:4" ht="15" x14ac:dyDescent="0.25">
      <c r="A7930" t="s">
        <v>20925</v>
      </c>
      <c r="B7930">
        <v>1</v>
      </c>
      <c r="C7930">
        <v>10</v>
      </c>
      <c r="D7930">
        <v>10</v>
      </c>
    </row>
    <row r="7931" spans="1:4" ht="15" x14ac:dyDescent="0.25">
      <c r="A7931" t="s">
        <v>20931</v>
      </c>
      <c r="B7931">
        <v>1</v>
      </c>
      <c r="C7931">
        <v>28</v>
      </c>
      <c r="D7931">
        <v>28</v>
      </c>
    </row>
    <row r="7932" spans="1:4" ht="15" x14ac:dyDescent="0.25">
      <c r="A7932" t="s">
        <v>20932</v>
      </c>
      <c r="B7932">
        <v>1</v>
      </c>
      <c r="C7932">
        <v>28</v>
      </c>
      <c r="D7932">
        <v>28</v>
      </c>
    </row>
    <row r="7933" spans="1:4" ht="15" x14ac:dyDescent="0.25">
      <c r="A7933" t="s">
        <v>20936</v>
      </c>
      <c r="B7933">
        <v>1</v>
      </c>
      <c r="C7933">
        <v>14</v>
      </c>
      <c r="D7933">
        <v>14</v>
      </c>
    </row>
    <row r="7934" spans="1:4" ht="15" x14ac:dyDescent="0.25">
      <c r="A7934" t="s">
        <v>20938</v>
      </c>
      <c r="B7934">
        <v>1</v>
      </c>
      <c r="C7934">
        <v>14</v>
      </c>
      <c r="D7934">
        <v>14</v>
      </c>
    </row>
    <row r="7935" spans="1:4" ht="15" x14ac:dyDescent="0.25">
      <c r="A7935" t="s">
        <v>20939</v>
      </c>
      <c r="B7935">
        <v>1</v>
      </c>
      <c r="C7935">
        <v>14</v>
      </c>
      <c r="D7935">
        <v>14</v>
      </c>
    </row>
    <row r="7936" spans="1:4" ht="15" x14ac:dyDescent="0.25">
      <c r="A7936" t="s">
        <v>20937</v>
      </c>
      <c r="B7936">
        <v>3</v>
      </c>
      <c r="C7936">
        <v>121</v>
      </c>
      <c r="D7936">
        <v>40.333333333333336</v>
      </c>
    </row>
    <row r="7937" spans="1:4" ht="15" x14ac:dyDescent="0.25">
      <c r="A7937" t="s">
        <v>20946</v>
      </c>
      <c r="B7937">
        <v>1</v>
      </c>
      <c r="C7937">
        <v>6</v>
      </c>
      <c r="D7937">
        <v>6</v>
      </c>
    </row>
    <row r="7938" spans="1:4" ht="15" x14ac:dyDescent="0.25">
      <c r="A7938" t="s">
        <v>20947</v>
      </c>
      <c r="B7938">
        <v>1</v>
      </c>
      <c r="C7938">
        <v>6</v>
      </c>
      <c r="D7938">
        <v>6</v>
      </c>
    </row>
    <row r="7939" spans="1:4" ht="15" x14ac:dyDescent="0.25">
      <c r="A7939" t="s">
        <v>20951</v>
      </c>
      <c r="B7939">
        <v>1</v>
      </c>
      <c r="C7939">
        <v>11</v>
      </c>
      <c r="D7939">
        <v>11</v>
      </c>
    </row>
    <row r="7940" spans="1:4" ht="15" x14ac:dyDescent="0.25">
      <c r="A7940" t="s">
        <v>20952</v>
      </c>
      <c r="B7940">
        <v>2</v>
      </c>
      <c r="C7940">
        <v>146</v>
      </c>
      <c r="D7940">
        <v>73</v>
      </c>
    </row>
    <row r="7941" spans="1:4" ht="15" x14ac:dyDescent="0.25">
      <c r="A7941" t="s">
        <v>20954</v>
      </c>
      <c r="B7941">
        <v>1</v>
      </c>
      <c r="C7941">
        <v>11</v>
      </c>
      <c r="D7941">
        <v>11</v>
      </c>
    </row>
    <row r="7942" spans="1:4" ht="15" x14ac:dyDescent="0.25">
      <c r="A7942" t="s">
        <v>20953</v>
      </c>
      <c r="B7942">
        <v>1</v>
      </c>
      <c r="C7942">
        <v>11</v>
      </c>
      <c r="D7942">
        <v>11</v>
      </c>
    </row>
    <row r="7943" spans="1:4" ht="15" x14ac:dyDescent="0.25">
      <c r="A7943" t="s">
        <v>20959</v>
      </c>
      <c r="B7943">
        <v>3</v>
      </c>
      <c r="C7943">
        <v>159</v>
      </c>
      <c r="D7943">
        <v>53</v>
      </c>
    </row>
    <row r="7944" spans="1:4" ht="15" x14ac:dyDescent="0.25">
      <c r="A7944" t="s">
        <v>20960</v>
      </c>
      <c r="B7944">
        <v>1</v>
      </c>
      <c r="C7944">
        <v>45</v>
      </c>
      <c r="D7944">
        <v>45</v>
      </c>
    </row>
    <row r="7945" spans="1:4" ht="15" x14ac:dyDescent="0.25">
      <c r="A7945" t="s">
        <v>20958</v>
      </c>
      <c r="B7945">
        <v>1</v>
      </c>
      <c r="C7945">
        <v>45</v>
      </c>
      <c r="D7945">
        <v>45</v>
      </c>
    </row>
    <row r="7946" spans="1:4" ht="15" x14ac:dyDescent="0.25">
      <c r="A7946" t="s">
        <v>20964</v>
      </c>
      <c r="B7946">
        <v>1</v>
      </c>
      <c r="C7946">
        <v>46</v>
      </c>
      <c r="D7946">
        <v>46</v>
      </c>
    </row>
    <row r="7947" spans="1:4" ht="15" x14ac:dyDescent="0.25">
      <c r="A7947" t="s">
        <v>20969</v>
      </c>
      <c r="B7947">
        <v>1</v>
      </c>
      <c r="C7947">
        <v>66</v>
      </c>
      <c r="D7947">
        <v>66</v>
      </c>
    </row>
    <row r="7948" spans="1:4" ht="15" x14ac:dyDescent="0.25">
      <c r="A7948" t="s">
        <v>20971</v>
      </c>
      <c r="B7948">
        <v>2</v>
      </c>
      <c r="C7948">
        <v>116</v>
      </c>
      <c r="D7948">
        <v>58</v>
      </c>
    </row>
    <row r="7949" spans="1:4" ht="15" x14ac:dyDescent="0.25">
      <c r="A7949" t="s">
        <v>20972</v>
      </c>
      <c r="B7949">
        <v>1</v>
      </c>
      <c r="C7949">
        <v>66</v>
      </c>
      <c r="D7949">
        <v>66</v>
      </c>
    </row>
    <row r="7950" spans="1:4" ht="15" x14ac:dyDescent="0.25">
      <c r="A7950" t="s">
        <v>20970</v>
      </c>
      <c r="B7950">
        <v>1</v>
      </c>
      <c r="C7950">
        <v>66</v>
      </c>
      <c r="D7950">
        <v>66</v>
      </c>
    </row>
    <row r="7951" spans="1:4" ht="15" x14ac:dyDescent="0.25">
      <c r="A7951" t="s">
        <v>20976</v>
      </c>
      <c r="B7951">
        <v>2</v>
      </c>
      <c r="C7951">
        <v>52</v>
      </c>
      <c r="D7951">
        <v>26</v>
      </c>
    </row>
    <row r="7952" spans="1:4" ht="15" x14ac:dyDescent="0.25">
      <c r="A7952" t="s">
        <v>20977</v>
      </c>
      <c r="B7952">
        <v>1</v>
      </c>
      <c r="C7952">
        <v>6</v>
      </c>
      <c r="D7952">
        <v>6</v>
      </c>
    </row>
    <row r="7953" spans="1:4" ht="15" x14ac:dyDescent="0.25">
      <c r="A7953" t="s">
        <v>20980</v>
      </c>
      <c r="B7953">
        <v>1</v>
      </c>
      <c r="C7953">
        <v>80</v>
      </c>
      <c r="D7953">
        <v>80</v>
      </c>
    </row>
    <row r="7954" spans="1:4" ht="15" x14ac:dyDescent="0.25">
      <c r="A7954" t="s">
        <v>20982</v>
      </c>
      <c r="B7954">
        <v>1</v>
      </c>
      <c r="C7954">
        <v>80</v>
      </c>
      <c r="D7954">
        <v>80</v>
      </c>
    </row>
    <row r="7955" spans="1:4" ht="15" x14ac:dyDescent="0.25">
      <c r="A7955" t="s">
        <v>20981</v>
      </c>
      <c r="B7955">
        <v>1</v>
      </c>
      <c r="C7955">
        <v>80</v>
      </c>
      <c r="D7955">
        <v>80</v>
      </c>
    </row>
    <row r="7956" spans="1:4" ht="15" x14ac:dyDescent="0.25">
      <c r="A7956" t="s">
        <v>20988</v>
      </c>
      <c r="B7956">
        <v>1</v>
      </c>
      <c r="C7956">
        <v>42</v>
      </c>
      <c r="D7956">
        <v>42</v>
      </c>
    </row>
    <row r="7957" spans="1:4" ht="15" x14ac:dyDescent="0.25">
      <c r="A7957" t="s">
        <v>20994</v>
      </c>
      <c r="B7957">
        <v>1</v>
      </c>
      <c r="C7957">
        <v>133</v>
      </c>
      <c r="D7957">
        <v>133</v>
      </c>
    </row>
    <row r="7958" spans="1:4" ht="15" x14ac:dyDescent="0.25">
      <c r="A7958" t="s">
        <v>20995</v>
      </c>
      <c r="B7958">
        <v>1</v>
      </c>
      <c r="C7958">
        <v>133</v>
      </c>
      <c r="D7958">
        <v>133</v>
      </c>
    </row>
    <row r="7959" spans="1:4" ht="15" x14ac:dyDescent="0.25">
      <c r="A7959" t="s">
        <v>20993</v>
      </c>
      <c r="B7959">
        <v>1</v>
      </c>
      <c r="C7959">
        <v>133</v>
      </c>
      <c r="D7959">
        <v>133</v>
      </c>
    </row>
    <row r="7960" spans="1:4" ht="15" x14ac:dyDescent="0.25">
      <c r="A7960" t="s">
        <v>20999</v>
      </c>
      <c r="B7960">
        <v>1</v>
      </c>
      <c r="C7960">
        <v>8</v>
      </c>
      <c r="D7960">
        <v>8</v>
      </c>
    </row>
    <row r="7961" spans="1:4" ht="15" x14ac:dyDescent="0.25">
      <c r="A7961" t="s">
        <v>21001</v>
      </c>
      <c r="B7961">
        <v>1</v>
      </c>
      <c r="C7961">
        <v>8</v>
      </c>
      <c r="D7961">
        <v>8</v>
      </c>
    </row>
    <row r="7962" spans="1:4" ht="15" x14ac:dyDescent="0.25">
      <c r="A7962" t="s">
        <v>21000</v>
      </c>
      <c r="B7962">
        <v>1</v>
      </c>
      <c r="C7962">
        <v>8</v>
      </c>
      <c r="D7962">
        <v>8</v>
      </c>
    </row>
    <row r="7963" spans="1:4" ht="15" x14ac:dyDescent="0.25">
      <c r="A7963" t="s">
        <v>21005</v>
      </c>
      <c r="B7963">
        <v>1</v>
      </c>
      <c r="C7963">
        <v>42</v>
      </c>
      <c r="D7963">
        <v>42</v>
      </c>
    </row>
    <row r="7964" spans="1:4" ht="15" x14ac:dyDescent="0.25">
      <c r="A7964" t="s">
        <v>21006</v>
      </c>
      <c r="B7964">
        <v>1</v>
      </c>
      <c r="C7964">
        <v>42</v>
      </c>
      <c r="D7964">
        <v>42</v>
      </c>
    </row>
    <row r="7965" spans="1:4" ht="15" x14ac:dyDescent="0.25">
      <c r="A7965" t="s">
        <v>21010</v>
      </c>
      <c r="B7965">
        <v>1</v>
      </c>
      <c r="C7965">
        <v>49</v>
      </c>
      <c r="D7965">
        <v>49</v>
      </c>
    </row>
    <row r="7966" spans="1:4" ht="15" x14ac:dyDescent="0.25">
      <c r="A7966" t="s">
        <v>21014</v>
      </c>
      <c r="B7966">
        <v>5</v>
      </c>
      <c r="C7966">
        <v>892</v>
      </c>
      <c r="D7966">
        <v>178.4</v>
      </c>
    </row>
    <row r="7967" spans="1:4" ht="15" x14ac:dyDescent="0.25">
      <c r="A7967" t="s">
        <v>21015</v>
      </c>
      <c r="B7967">
        <v>2</v>
      </c>
      <c r="C7967">
        <v>666</v>
      </c>
      <c r="D7967">
        <v>333</v>
      </c>
    </row>
    <row r="7968" spans="1:4" ht="15" x14ac:dyDescent="0.25">
      <c r="A7968" t="s">
        <v>21016</v>
      </c>
      <c r="B7968">
        <v>1</v>
      </c>
      <c r="C7968">
        <v>633</v>
      </c>
      <c r="D7968">
        <v>633</v>
      </c>
    </row>
    <row r="7969" spans="1:4" ht="15" x14ac:dyDescent="0.25">
      <c r="A7969" t="s">
        <v>21021</v>
      </c>
      <c r="B7969">
        <v>1</v>
      </c>
      <c r="C7969">
        <v>44</v>
      </c>
      <c r="D7969">
        <v>44</v>
      </c>
    </row>
    <row r="7970" spans="1:4" ht="15" x14ac:dyDescent="0.25">
      <c r="A7970" t="s">
        <v>21023</v>
      </c>
      <c r="B7970">
        <v>1</v>
      </c>
      <c r="C7970">
        <v>44</v>
      </c>
      <c r="D7970">
        <v>44</v>
      </c>
    </row>
    <row r="7971" spans="1:4" ht="15" x14ac:dyDescent="0.25">
      <c r="A7971" t="s">
        <v>21024</v>
      </c>
      <c r="B7971">
        <v>1</v>
      </c>
      <c r="C7971">
        <v>44</v>
      </c>
      <c r="D7971">
        <v>44</v>
      </c>
    </row>
    <row r="7972" spans="1:4" ht="15" x14ac:dyDescent="0.25">
      <c r="A7972" t="s">
        <v>21022</v>
      </c>
      <c r="B7972">
        <v>1</v>
      </c>
      <c r="C7972">
        <v>44</v>
      </c>
      <c r="D7972">
        <v>44</v>
      </c>
    </row>
    <row r="7973" spans="1:4" ht="15" x14ac:dyDescent="0.25">
      <c r="A7973" t="s">
        <v>21030</v>
      </c>
      <c r="B7973">
        <v>1</v>
      </c>
      <c r="C7973">
        <v>35</v>
      </c>
      <c r="D7973">
        <v>35</v>
      </c>
    </row>
    <row r="7974" spans="1:4" ht="15" x14ac:dyDescent="0.25">
      <c r="A7974" t="s">
        <v>21035</v>
      </c>
      <c r="B7974">
        <v>1</v>
      </c>
      <c r="C7974">
        <v>5406</v>
      </c>
      <c r="D7974">
        <v>5406</v>
      </c>
    </row>
    <row r="7975" spans="1:4" ht="15" x14ac:dyDescent="0.25">
      <c r="A7975" t="s">
        <v>21034</v>
      </c>
      <c r="B7975">
        <v>1</v>
      </c>
      <c r="C7975">
        <v>5406</v>
      </c>
      <c r="D7975">
        <v>5406</v>
      </c>
    </row>
    <row r="7976" spans="1:4" ht="15" x14ac:dyDescent="0.25">
      <c r="A7976" t="s">
        <v>21040</v>
      </c>
      <c r="B7976">
        <v>1</v>
      </c>
      <c r="C7976">
        <v>27</v>
      </c>
      <c r="D7976">
        <v>27</v>
      </c>
    </row>
    <row r="7977" spans="1:4" ht="15" x14ac:dyDescent="0.25">
      <c r="A7977" t="s">
        <v>21044</v>
      </c>
      <c r="B7977">
        <v>1</v>
      </c>
      <c r="C7977">
        <v>13</v>
      </c>
      <c r="D7977">
        <v>13</v>
      </c>
    </row>
    <row r="7978" spans="1:4" ht="15" x14ac:dyDescent="0.25">
      <c r="A7978" t="s">
        <v>21048</v>
      </c>
      <c r="B7978">
        <v>1</v>
      </c>
      <c r="C7978">
        <v>32</v>
      </c>
      <c r="D7978">
        <v>32</v>
      </c>
    </row>
    <row r="7979" spans="1:4" ht="15" x14ac:dyDescent="0.25">
      <c r="A7979" t="s">
        <v>21049</v>
      </c>
      <c r="B7979">
        <v>1</v>
      </c>
      <c r="C7979">
        <v>32</v>
      </c>
      <c r="D7979">
        <v>32</v>
      </c>
    </row>
    <row r="7980" spans="1:4" ht="15" x14ac:dyDescent="0.25">
      <c r="A7980" t="s">
        <v>21053</v>
      </c>
      <c r="B7980">
        <v>1</v>
      </c>
      <c r="C7980">
        <v>122</v>
      </c>
      <c r="D7980">
        <v>122</v>
      </c>
    </row>
    <row r="7981" spans="1:4" ht="15" x14ac:dyDescent="0.25">
      <c r="A7981" t="s">
        <v>21054</v>
      </c>
      <c r="B7981">
        <v>1</v>
      </c>
      <c r="C7981">
        <v>122</v>
      </c>
      <c r="D7981">
        <v>122</v>
      </c>
    </row>
    <row r="7982" spans="1:4" ht="15" x14ac:dyDescent="0.25">
      <c r="A7982" t="s">
        <v>21056</v>
      </c>
      <c r="B7982">
        <v>2</v>
      </c>
      <c r="C7982">
        <v>165</v>
      </c>
      <c r="D7982">
        <v>82.5</v>
      </c>
    </row>
    <row r="7983" spans="1:4" ht="15" x14ac:dyDescent="0.25">
      <c r="A7983" t="s">
        <v>21055</v>
      </c>
      <c r="B7983">
        <v>1</v>
      </c>
      <c r="C7983">
        <v>122</v>
      </c>
      <c r="D7983">
        <v>122</v>
      </c>
    </row>
    <row r="7984" spans="1:4" ht="15" x14ac:dyDescent="0.25">
      <c r="A7984" t="s">
        <v>21059</v>
      </c>
      <c r="B7984">
        <v>6</v>
      </c>
      <c r="C7984">
        <v>198</v>
      </c>
      <c r="D7984">
        <v>33</v>
      </c>
    </row>
    <row r="7985" spans="1:4" ht="15" x14ac:dyDescent="0.25">
      <c r="A7985" t="s">
        <v>21064</v>
      </c>
      <c r="B7985">
        <v>1</v>
      </c>
      <c r="C7985">
        <v>33</v>
      </c>
      <c r="D7985">
        <v>33</v>
      </c>
    </row>
    <row r="7986" spans="1:4" ht="15" x14ac:dyDescent="0.25">
      <c r="A7986" t="s">
        <v>21065</v>
      </c>
      <c r="B7986">
        <v>1</v>
      </c>
      <c r="C7986">
        <v>33</v>
      </c>
      <c r="D7986">
        <v>33</v>
      </c>
    </row>
    <row r="7987" spans="1:4" ht="15" x14ac:dyDescent="0.25">
      <c r="A7987" t="s">
        <v>21066</v>
      </c>
      <c r="B7987">
        <v>1</v>
      </c>
      <c r="C7987">
        <v>33</v>
      </c>
      <c r="D7987">
        <v>33</v>
      </c>
    </row>
    <row r="7988" spans="1:4" ht="15" x14ac:dyDescent="0.25">
      <c r="A7988" t="s">
        <v>21067</v>
      </c>
      <c r="B7988">
        <v>2</v>
      </c>
      <c r="C7988">
        <v>69</v>
      </c>
      <c r="D7988">
        <v>34.5</v>
      </c>
    </row>
    <row r="7989" spans="1:4" ht="15" x14ac:dyDescent="0.25">
      <c r="A7989" t="s">
        <v>21075</v>
      </c>
      <c r="B7989">
        <v>1</v>
      </c>
      <c r="C7989">
        <v>20</v>
      </c>
      <c r="D7989">
        <v>20</v>
      </c>
    </row>
    <row r="7990" spans="1:4" ht="15" x14ac:dyDescent="0.25">
      <c r="A7990" t="s">
        <v>21076</v>
      </c>
      <c r="B7990">
        <v>1</v>
      </c>
      <c r="C7990">
        <v>20</v>
      </c>
      <c r="D7990">
        <v>20</v>
      </c>
    </row>
    <row r="7991" spans="1:4" ht="15" x14ac:dyDescent="0.25">
      <c r="A7991" t="s">
        <v>21077</v>
      </c>
      <c r="B7991">
        <v>1</v>
      </c>
      <c r="C7991">
        <v>20</v>
      </c>
      <c r="D7991">
        <v>20</v>
      </c>
    </row>
    <row r="7992" spans="1:4" ht="15" x14ac:dyDescent="0.25">
      <c r="A7992" t="s">
        <v>21082</v>
      </c>
      <c r="B7992">
        <v>1</v>
      </c>
      <c r="C7992">
        <v>50</v>
      </c>
      <c r="D7992">
        <v>50</v>
      </c>
    </row>
    <row r="7993" spans="1:4" ht="15" x14ac:dyDescent="0.25">
      <c r="A7993" t="s">
        <v>21083</v>
      </c>
      <c r="B7993">
        <v>1</v>
      </c>
      <c r="C7993">
        <v>50</v>
      </c>
      <c r="D7993">
        <v>50</v>
      </c>
    </row>
    <row r="7994" spans="1:4" ht="15" x14ac:dyDescent="0.25">
      <c r="A7994" t="s">
        <v>21084</v>
      </c>
      <c r="B7994">
        <v>1</v>
      </c>
      <c r="C7994">
        <v>50</v>
      </c>
      <c r="D7994">
        <v>50</v>
      </c>
    </row>
    <row r="7995" spans="1:4" ht="15" x14ac:dyDescent="0.25">
      <c r="A7995" t="s">
        <v>21087</v>
      </c>
      <c r="B7995">
        <v>2</v>
      </c>
      <c r="C7995">
        <v>2499</v>
      </c>
      <c r="D7995">
        <v>1249.5</v>
      </c>
    </row>
    <row r="7996" spans="1:4" ht="15" x14ac:dyDescent="0.25">
      <c r="A7996" t="s">
        <v>21088</v>
      </c>
      <c r="B7996">
        <v>1</v>
      </c>
      <c r="C7996">
        <v>1225</v>
      </c>
      <c r="D7996">
        <v>1225</v>
      </c>
    </row>
    <row r="7997" spans="1:4" ht="15" x14ac:dyDescent="0.25">
      <c r="A7997" t="s">
        <v>21089</v>
      </c>
      <c r="B7997">
        <v>1</v>
      </c>
      <c r="C7997">
        <v>1225</v>
      </c>
      <c r="D7997">
        <v>1225</v>
      </c>
    </row>
    <row r="7998" spans="1:4" ht="15" x14ac:dyDescent="0.25">
      <c r="A7998" t="s">
        <v>21096</v>
      </c>
      <c r="B7998">
        <v>1</v>
      </c>
      <c r="C7998">
        <v>40</v>
      </c>
      <c r="D7998">
        <v>40</v>
      </c>
    </row>
    <row r="7999" spans="1:4" ht="15" x14ac:dyDescent="0.25">
      <c r="A7999" t="s">
        <v>21097</v>
      </c>
      <c r="B7999">
        <v>1</v>
      </c>
      <c r="C7999">
        <v>40</v>
      </c>
      <c r="D7999">
        <v>40</v>
      </c>
    </row>
    <row r="8000" spans="1:4" ht="15" x14ac:dyDescent="0.25">
      <c r="A8000" t="s">
        <v>21100</v>
      </c>
      <c r="B8000">
        <v>2</v>
      </c>
      <c r="C8000">
        <v>146</v>
      </c>
      <c r="D8000">
        <v>73</v>
      </c>
    </row>
    <row r="8001" spans="1:4" ht="15" x14ac:dyDescent="0.25">
      <c r="A8001" t="s">
        <v>21101</v>
      </c>
      <c r="B8001">
        <v>1</v>
      </c>
      <c r="C8001">
        <v>41</v>
      </c>
      <c r="D8001">
        <v>41</v>
      </c>
    </row>
    <row r="8002" spans="1:4" ht="15" x14ac:dyDescent="0.25">
      <c r="A8002" t="s">
        <v>21104</v>
      </c>
      <c r="B8002">
        <v>1</v>
      </c>
      <c r="C8002">
        <v>22</v>
      </c>
      <c r="D8002">
        <v>22</v>
      </c>
    </row>
    <row r="8003" spans="1:4" ht="15" x14ac:dyDescent="0.25">
      <c r="A8003" t="s">
        <v>21105</v>
      </c>
      <c r="B8003">
        <v>1</v>
      </c>
      <c r="C8003">
        <v>22</v>
      </c>
      <c r="D8003">
        <v>22</v>
      </c>
    </row>
    <row r="8004" spans="1:4" ht="15" x14ac:dyDescent="0.25">
      <c r="A8004" t="s">
        <v>21113</v>
      </c>
      <c r="B8004">
        <v>1</v>
      </c>
      <c r="C8004">
        <v>40</v>
      </c>
      <c r="D8004">
        <v>40</v>
      </c>
    </row>
    <row r="8005" spans="1:4" ht="15" x14ac:dyDescent="0.25">
      <c r="A8005" t="s">
        <v>21112</v>
      </c>
      <c r="B8005">
        <v>1</v>
      </c>
      <c r="C8005">
        <v>40</v>
      </c>
      <c r="D8005">
        <v>40</v>
      </c>
    </row>
    <row r="8006" spans="1:4" ht="15" x14ac:dyDescent="0.25">
      <c r="A8006" t="s">
        <v>21124</v>
      </c>
      <c r="B8006">
        <v>1</v>
      </c>
      <c r="C8006">
        <v>34</v>
      </c>
      <c r="D8006">
        <v>34</v>
      </c>
    </row>
    <row r="8007" spans="1:4" ht="15" x14ac:dyDescent="0.25">
      <c r="A8007" t="s">
        <v>21125</v>
      </c>
      <c r="B8007">
        <v>2</v>
      </c>
      <c r="C8007">
        <v>60</v>
      </c>
      <c r="D8007">
        <v>30</v>
      </c>
    </row>
    <row r="8008" spans="1:4" ht="15" x14ac:dyDescent="0.25">
      <c r="A8008" t="s">
        <v>21127</v>
      </c>
      <c r="B8008">
        <v>1</v>
      </c>
      <c r="C8008">
        <v>34</v>
      </c>
      <c r="D8008">
        <v>34</v>
      </c>
    </row>
    <row r="8009" spans="1:4" ht="15" x14ac:dyDescent="0.25">
      <c r="A8009" t="s">
        <v>21128</v>
      </c>
      <c r="B8009">
        <v>1</v>
      </c>
      <c r="C8009">
        <v>34</v>
      </c>
      <c r="D8009">
        <v>34</v>
      </c>
    </row>
    <row r="8010" spans="1:4" ht="15" x14ac:dyDescent="0.25">
      <c r="A8010" t="s">
        <v>21126</v>
      </c>
      <c r="B8010">
        <v>1</v>
      </c>
      <c r="C8010">
        <v>34</v>
      </c>
      <c r="D8010">
        <v>34</v>
      </c>
    </row>
    <row r="8011" spans="1:4" ht="15" x14ac:dyDescent="0.25">
      <c r="A8011" t="s">
        <v>21134</v>
      </c>
      <c r="B8011">
        <v>1</v>
      </c>
      <c r="C8011">
        <v>32</v>
      </c>
      <c r="D8011">
        <v>32</v>
      </c>
    </row>
    <row r="8012" spans="1:4" ht="15" x14ac:dyDescent="0.25">
      <c r="A8012" t="s">
        <v>21135</v>
      </c>
      <c r="B8012">
        <v>1</v>
      </c>
      <c r="C8012">
        <v>32</v>
      </c>
      <c r="D8012">
        <v>32</v>
      </c>
    </row>
    <row r="8013" spans="1:4" ht="15" x14ac:dyDescent="0.25">
      <c r="A8013" t="s">
        <v>21136</v>
      </c>
      <c r="B8013">
        <v>1</v>
      </c>
      <c r="C8013">
        <v>32</v>
      </c>
      <c r="D8013">
        <v>32</v>
      </c>
    </row>
    <row r="8014" spans="1:4" ht="15" x14ac:dyDescent="0.25">
      <c r="A8014" t="s">
        <v>21142</v>
      </c>
      <c r="B8014">
        <v>1</v>
      </c>
      <c r="C8014">
        <v>16</v>
      </c>
      <c r="D8014">
        <v>16</v>
      </c>
    </row>
    <row r="8015" spans="1:4" ht="15" x14ac:dyDescent="0.25">
      <c r="A8015" t="s">
        <v>21144</v>
      </c>
      <c r="B8015">
        <v>1</v>
      </c>
      <c r="C8015">
        <v>16</v>
      </c>
      <c r="D8015">
        <v>16</v>
      </c>
    </row>
    <row r="8016" spans="1:4" ht="15" x14ac:dyDescent="0.25">
      <c r="A8016" t="s">
        <v>21143</v>
      </c>
      <c r="B8016">
        <v>1</v>
      </c>
      <c r="C8016">
        <v>16</v>
      </c>
      <c r="D8016">
        <v>16</v>
      </c>
    </row>
    <row r="8017" spans="1:4" ht="15" x14ac:dyDescent="0.25">
      <c r="A8017" t="s">
        <v>21148</v>
      </c>
      <c r="B8017">
        <v>1</v>
      </c>
      <c r="C8017">
        <v>28</v>
      </c>
      <c r="D8017">
        <v>28</v>
      </c>
    </row>
    <row r="8018" spans="1:4" ht="15" x14ac:dyDescent="0.25">
      <c r="A8018" t="s">
        <v>21149</v>
      </c>
      <c r="B8018">
        <v>1</v>
      </c>
      <c r="C8018">
        <v>28</v>
      </c>
      <c r="D8018">
        <v>28</v>
      </c>
    </row>
    <row r="8019" spans="1:4" ht="15" x14ac:dyDescent="0.25">
      <c r="A8019" t="s">
        <v>21150</v>
      </c>
      <c r="B8019">
        <v>1</v>
      </c>
      <c r="C8019">
        <v>28</v>
      </c>
      <c r="D8019">
        <v>28</v>
      </c>
    </row>
    <row r="8020" spans="1:4" ht="15" x14ac:dyDescent="0.25">
      <c r="A8020" t="s">
        <v>21162</v>
      </c>
      <c r="B8020">
        <v>1</v>
      </c>
      <c r="C8020">
        <v>771</v>
      </c>
      <c r="D8020">
        <v>771</v>
      </c>
    </row>
    <row r="8021" spans="1:4" ht="15" x14ac:dyDescent="0.25">
      <c r="A8021" t="s">
        <v>21168</v>
      </c>
      <c r="B8021">
        <v>1</v>
      </c>
      <c r="C8021">
        <v>32</v>
      </c>
      <c r="D8021">
        <v>32</v>
      </c>
    </row>
    <row r="8022" spans="1:4" ht="15" x14ac:dyDescent="0.25">
      <c r="A8022" t="s">
        <v>21174</v>
      </c>
      <c r="B8022">
        <v>1</v>
      </c>
      <c r="C8022">
        <v>42</v>
      </c>
      <c r="D8022">
        <v>42</v>
      </c>
    </row>
    <row r="8023" spans="1:4" ht="15" x14ac:dyDescent="0.25">
      <c r="A8023" t="s">
        <v>21178</v>
      </c>
      <c r="B8023">
        <v>1</v>
      </c>
      <c r="C8023">
        <v>7</v>
      </c>
      <c r="D8023">
        <v>7</v>
      </c>
    </row>
    <row r="8024" spans="1:4" ht="15" x14ac:dyDescent="0.25">
      <c r="A8024" t="s">
        <v>21187</v>
      </c>
      <c r="B8024">
        <v>1</v>
      </c>
      <c r="C8024">
        <v>197</v>
      </c>
      <c r="D8024">
        <v>197</v>
      </c>
    </row>
    <row r="8025" spans="1:4" ht="15" x14ac:dyDescent="0.25">
      <c r="A8025" t="s">
        <v>21191</v>
      </c>
      <c r="B8025">
        <v>1</v>
      </c>
      <c r="C8025">
        <v>62</v>
      </c>
      <c r="D8025">
        <v>62</v>
      </c>
    </row>
    <row r="8026" spans="1:4" ht="15" x14ac:dyDescent="0.25">
      <c r="A8026" t="s">
        <v>21192</v>
      </c>
      <c r="B8026">
        <v>1</v>
      </c>
      <c r="C8026">
        <v>62</v>
      </c>
      <c r="D8026">
        <v>62</v>
      </c>
    </row>
    <row r="8027" spans="1:4" ht="15" x14ac:dyDescent="0.25">
      <c r="A8027" t="s">
        <v>21196</v>
      </c>
      <c r="B8027">
        <v>1</v>
      </c>
      <c r="C8027">
        <v>33</v>
      </c>
      <c r="D8027">
        <v>33</v>
      </c>
    </row>
    <row r="8028" spans="1:4" ht="15" x14ac:dyDescent="0.25">
      <c r="A8028" t="s">
        <v>21197</v>
      </c>
      <c r="B8028">
        <v>1</v>
      </c>
      <c r="C8028">
        <v>33</v>
      </c>
      <c r="D8028">
        <v>33</v>
      </c>
    </row>
    <row r="8029" spans="1:4" ht="15" x14ac:dyDescent="0.25">
      <c r="A8029" t="s">
        <v>21198</v>
      </c>
      <c r="B8029">
        <v>1</v>
      </c>
      <c r="C8029">
        <v>33</v>
      </c>
      <c r="D8029">
        <v>33</v>
      </c>
    </row>
    <row r="8030" spans="1:4" ht="15" x14ac:dyDescent="0.25">
      <c r="A8030" t="s">
        <v>21199</v>
      </c>
      <c r="B8030">
        <v>1</v>
      </c>
      <c r="C8030">
        <v>33</v>
      </c>
      <c r="D8030">
        <v>33</v>
      </c>
    </row>
    <row r="8031" spans="1:4" ht="15" x14ac:dyDescent="0.25">
      <c r="A8031" t="s">
        <v>21204</v>
      </c>
      <c r="B8031">
        <v>1</v>
      </c>
      <c r="C8031">
        <v>14</v>
      </c>
      <c r="D8031">
        <v>14</v>
      </c>
    </row>
    <row r="8032" spans="1:4" ht="15" x14ac:dyDescent="0.25">
      <c r="A8032" t="s">
        <v>21206</v>
      </c>
      <c r="B8032">
        <v>1</v>
      </c>
      <c r="C8032">
        <v>14</v>
      </c>
      <c r="D8032">
        <v>14</v>
      </c>
    </row>
    <row r="8033" spans="1:4" ht="15" x14ac:dyDescent="0.25">
      <c r="A8033" t="s">
        <v>21205</v>
      </c>
      <c r="B8033">
        <v>1</v>
      </c>
      <c r="C8033">
        <v>14</v>
      </c>
      <c r="D8033">
        <v>14</v>
      </c>
    </row>
    <row r="8034" spans="1:4" ht="15" x14ac:dyDescent="0.25">
      <c r="A8034" t="s">
        <v>21213</v>
      </c>
      <c r="B8034">
        <v>2</v>
      </c>
      <c r="C8034">
        <v>77</v>
      </c>
      <c r="D8034">
        <v>38.5</v>
      </c>
    </row>
    <row r="8035" spans="1:4" ht="15" x14ac:dyDescent="0.25">
      <c r="A8035" t="s">
        <v>21218</v>
      </c>
      <c r="B8035">
        <v>1</v>
      </c>
      <c r="C8035">
        <v>9</v>
      </c>
      <c r="D8035">
        <v>9</v>
      </c>
    </row>
    <row r="8036" spans="1:4" ht="15" x14ac:dyDescent="0.25">
      <c r="A8036" t="s">
        <v>21230</v>
      </c>
      <c r="B8036">
        <v>1</v>
      </c>
      <c r="C8036">
        <v>16</v>
      </c>
      <c r="D8036">
        <v>16</v>
      </c>
    </row>
    <row r="8037" spans="1:4" ht="15" x14ac:dyDescent="0.25">
      <c r="A8037" t="s">
        <v>21231</v>
      </c>
      <c r="B8037">
        <v>1</v>
      </c>
      <c r="C8037">
        <v>16</v>
      </c>
      <c r="D8037">
        <v>16</v>
      </c>
    </row>
    <row r="8038" spans="1:4" ht="15" x14ac:dyDescent="0.25">
      <c r="A8038" t="s">
        <v>21233</v>
      </c>
      <c r="B8038">
        <v>1</v>
      </c>
      <c r="C8038">
        <v>16</v>
      </c>
      <c r="D8038">
        <v>16</v>
      </c>
    </row>
    <row r="8039" spans="1:4" ht="15" x14ac:dyDescent="0.25">
      <c r="A8039" t="s">
        <v>21232</v>
      </c>
      <c r="B8039">
        <v>1</v>
      </c>
      <c r="C8039">
        <v>16</v>
      </c>
      <c r="D8039">
        <v>16</v>
      </c>
    </row>
    <row r="8040" spans="1:4" ht="15" x14ac:dyDescent="0.25">
      <c r="A8040" t="s">
        <v>21241</v>
      </c>
      <c r="B8040">
        <v>1</v>
      </c>
      <c r="C8040">
        <v>13</v>
      </c>
      <c r="D8040">
        <v>13</v>
      </c>
    </row>
    <row r="8041" spans="1:4" ht="15" x14ac:dyDescent="0.25">
      <c r="A8041" t="s">
        <v>21242</v>
      </c>
      <c r="B8041">
        <v>1</v>
      </c>
      <c r="C8041">
        <v>13</v>
      </c>
      <c r="D8041">
        <v>13</v>
      </c>
    </row>
    <row r="8042" spans="1:4" ht="15" x14ac:dyDescent="0.25">
      <c r="A8042" t="s">
        <v>21243</v>
      </c>
      <c r="B8042">
        <v>1</v>
      </c>
      <c r="C8042">
        <v>13</v>
      </c>
      <c r="D8042">
        <v>13</v>
      </c>
    </row>
    <row r="8043" spans="1:4" ht="15" x14ac:dyDescent="0.25">
      <c r="A8043" t="s">
        <v>21248</v>
      </c>
      <c r="B8043">
        <v>1</v>
      </c>
      <c r="C8043">
        <v>13</v>
      </c>
      <c r="D8043">
        <v>13</v>
      </c>
    </row>
    <row r="8044" spans="1:4" ht="15" x14ac:dyDescent="0.25">
      <c r="A8044" t="s">
        <v>21250</v>
      </c>
      <c r="B8044">
        <v>2</v>
      </c>
      <c r="C8044">
        <v>24</v>
      </c>
      <c r="D8044">
        <v>12</v>
      </c>
    </row>
    <row r="8045" spans="1:4" ht="15" x14ac:dyDescent="0.25">
      <c r="A8045" t="s">
        <v>21249</v>
      </c>
      <c r="B8045">
        <v>1</v>
      </c>
      <c r="C8045">
        <v>13</v>
      </c>
      <c r="D8045">
        <v>13</v>
      </c>
    </row>
    <row r="8046" spans="1:4" ht="15" x14ac:dyDescent="0.25">
      <c r="A8046" t="s">
        <v>21258</v>
      </c>
      <c r="B8046">
        <v>1</v>
      </c>
      <c r="C8046">
        <v>34</v>
      </c>
      <c r="D8046">
        <v>34</v>
      </c>
    </row>
    <row r="8047" spans="1:4" ht="15" x14ac:dyDescent="0.25">
      <c r="A8047" t="s">
        <v>21260</v>
      </c>
      <c r="B8047">
        <v>1</v>
      </c>
      <c r="C8047">
        <v>34</v>
      </c>
      <c r="D8047">
        <v>34</v>
      </c>
    </row>
    <row r="8048" spans="1:4" ht="15" x14ac:dyDescent="0.25">
      <c r="A8048" t="s">
        <v>21259</v>
      </c>
      <c r="B8048">
        <v>1</v>
      </c>
      <c r="C8048">
        <v>34</v>
      </c>
      <c r="D8048">
        <v>34</v>
      </c>
    </row>
    <row r="8049" spans="1:4" ht="15" x14ac:dyDescent="0.25">
      <c r="A8049" t="s">
        <v>21264</v>
      </c>
      <c r="B8049">
        <v>1</v>
      </c>
      <c r="C8049">
        <v>9</v>
      </c>
      <c r="D8049">
        <v>9</v>
      </c>
    </row>
    <row r="8050" spans="1:4" ht="15" x14ac:dyDescent="0.25">
      <c r="A8050" t="s">
        <v>21269</v>
      </c>
      <c r="B8050">
        <v>1</v>
      </c>
      <c r="C8050">
        <v>52</v>
      </c>
      <c r="D8050">
        <v>52</v>
      </c>
    </row>
    <row r="8051" spans="1:4" ht="15" x14ac:dyDescent="0.25">
      <c r="A8051" t="s">
        <v>21270</v>
      </c>
      <c r="B8051">
        <v>1</v>
      </c>
      <c r="C8051">
        <v>52</v>
      </c>
      <c r="D8051">
        <v>52</v>
      </c>
    </row>
    <row r="8052" spans="1:4" ht="15" x14ac:dyDescent="0.25">
      <c r="A8052" t="s">
        <v>21275</v>
      </c>
      <c r="B8052">
        <v>1</v>
      </c>
      <c r="C8052">
        <v>161</v>
      </c>
      <c r="D8052">
        <v>161</v>
      </c>
    </row>
    <row r="8053" spans="1:4" ht="15" x14ac:dyDescent="0.25">
      <c r="A8053" t="s">
        <v>21274</v>
      </c>
      <c r="B8053">
        <v>1</v>
      </c>
      <c r="C8053">
        <v>161</v>
      </c>
      <c r="D8053">
        <v>161</v>
      </c>
    </row>
    <row r="8054" spans="1:4" ht="15" x14ac:dyDescent="0.25">
      <c r="A8054" t="s">
        <v>21285</v>
      </c>
      <c r="B8054">
        <v>1</v>
      </c>
      <c r="C8054">
        <v>29</v>
      </c>
      <c r="D8054">
        <v>29</v>
      </c>
    </row>
    <row r="8055" spans="1:4" ht="15" x14ac:dyDescent="0.25">
      <c r="A8055" t="s">
        <v>21287</v>
      </c>
      <c r="B8055">
        <v>1</v>
      </c>
      <c r="C8055">
        <v>29</v>
      </c>
      <c r="D8055">
        <v>29</v>
      </c>
    </row>
    <row r="8056" spans="1:4" ht="15" x14ac:dyDescent="0.25">
      <c r="A8056" t="s">
        <v>21286</v>
      </c>
      <c r="B8056">
        <v>3</v>
      </c>
      <c r="C8056">
        <v>69</v>
      </c>
      <c r="D8056">
        <v>23</v>
      </c>
    </row>
    <row r="8057" spans="1:4" ht="15" x14ac:dyDescent="0.25">
      <c r="A8057" t="s">
        <v>21290</v>
      </c>
      <c r="B8057">
        <v>1</v>
      </c>
      <c r="C8057">
        <v>34</v>
      </c>
      <c r="D8057">
        <v>34</v>
      </c>
    </row>
    <row r="8058" spans="1:4" ht="15" x14ac:dyDescent="0.25">
      <c r="A8058" t="s">
        <v>21291</v>
      </c>
      <c r="B8058">
        <v>1</v>
      </c>
      <c r="C8058">
        <v>34</v>
      </c>
      <c r="D8058">
        <v>34</v>
      </c>
    </row>
    <row r="8059" spans="1:4" ht="15" x14ac:dyDescent="0.25">
      <c r="A8059" t="s">
        <v>21292</v>
      </c>
      <c r="B8059">
        <v>1</v>
      </c>
      <c r="C8059">
        <v>34</v>
      </c>
      <c r="D8059">
        <v>34</v>
      </c>
    </row>
    <row r="8060" spans="1:4" ht="15" x14ac:dyDescent="0.25">
      <c r="A8060" t="s">
        <v>21297</v>
      </c>
      <c r="B8060">
        <v>2</v>
      </c>
      <c r="C8060">
        <v>212</v>
      </c>
      <c r="D8060">
        <v>106</v>
      </c>
    </row>
    <row r="8061" spans="1:4" ht="15" x14ac:dyDescent="0.25">
      <c r="A8061" t="s">
        <v>21298</v>
      </c>
      <c r="B8061">
        <v>1</v>
      </c>
      <c r="C8061">
        <v>33</v>
      </c>
      <c r="D8061">
        <v>33</v>
      </c>
    </row>
    <row r="8062" spans="1:4" ht="15" x14ac:dyDescent="0.25">
      <c r="A8062" t="s">
        <v>21300</v>
      </c>
      <c r="B8062">
        <v>1</v>
      </c>
      <c r="C8062">
        <v>33</v>
      </c>
      <c r="D8062">
        <v>33</v>
      </c>
    </row>
    <row r="8063" spans="1:4" ht="15" x14ac:dyDescent="0.25">
      <c r="A8063" t="s">
        <v>21299</v>
      </c>
      <c r="B8063">
        <v>1</v>
      </c>
      <c r="C8063">
        <v>33</v>
      </c>
      <c r="D8063">
        <v>33</v>
      </c>
    </row>
    <row r="8064" spans="1:4" ht="15" x14ac:dyDescent="0.25">
      <c r="A8064" t="s">
        <v>21307</v>
      </c>
      <c r="B8064">
        <v>1</v>
      </c>
      <c r="C8064">
        <v>29</v>
      </c>
      <c r="D8064">
        <v>29</v>
      </c>
    </row>
    <row r="8065" spans="1:4" ht="15" x14ac:dyDescent="0.25">
      <c r="A8065" t="s">
        <v>21308</v>
      </c>
      <c r="B8065">
        <v>1</v>
      </c>
      <c r="C8065">
        <v>29</v>
      </c>
      <c r="D8065">
        <v>29</v>
      </c>
    </row>
    <row r="8066" spans="1:4" ht="15" x14ac:dyDescent="0.25">
      <c r="A8066" t="s">
        <v>21311</v>
      </c>
      <c r="B8066">
        <v>1</v>
      </c>
      <c r="C8066">
        <v>24</v>
      </c>
      <c r="D8066">
        <v>24</v>
      </c>
    </row>
    <row r="8067" spans="1:4" ht="15" x14ac:dyDescent="0.25">
      <c r="A8067" t="s">
        <v>21312</v>
      </c>
      <c r="B8067">
        <v>1</v>
      </c>
      <c r="C8067">
        <v>24</v>
      </c>
      <c r="D8067">
        <v>24</v>
      </c>
    </row>
    <row r="8068" spans="1:4" ht="15" x14ac:dyDescent="0.25">
      <c r="A8068" t="s">
        <v>21316</v>
      </c>
      <c r="B8068">
        <v>1</v>
      </c>
      <c r="C8068">
        <v>32</v>
      </c>
      <c r="D8068">
        <v>32</v>
      </c>
    </row>
    <row r="8069" spans="1:4" ht="15" x14ac:dyDescent="0.25">
      <c r="A8069" t="s">
        <v>21318</v>
      </c>
      <c r="B8069">
        <v>1</v>
      </c>
      <c r="C8069">
        <v>32</v>
      </c>
      <c r="D8069">
        <v>32</v>
      </c>
    </row>
    <row r="8070" spans="1:4" ht="15" x14ac:dyDescent="0.25">
      <c r="A8070" t="s">
        <v>21317</v>
      </c>
      <c r="B8070">
        <v>1</v>
      </c>
      <c r="C8070">
        <v>32</v>
      </c>
      <c r="D8070">
        <v>32</v>
      </c>
    </row>
    <row r="8071" spans="1:4" ht="15" x14ac:dyDescent="0.25">
      <c r="A8071" t="s">
        <v>21323</v>
      </c>
      <c r="B8071">
        <v>4</v>
      </c>
      <c r="C8071">
        <v>283</v>
      </c>
      <c r="D8071">
        <v>70.75</v>
      </c>
    </row>
    <row r="8072" spans="1:4" ht="15" x14ac:dyDescent="0.25">
      <c r="A8072" t="s">
        <v>21324</v>
      </c>
      <c r="B8072">
        <v>2</v>
      </c>
      <c r="C8072">
        <v>159</v>
      </c>
      <c r="D8072">
        <v>79.5</v>
      </c>
    </row>
    <row r="8073" spans="1:4" ht="15" x14ac:dyDescent="0.25">
      <c r="A8073" t="s">
        <v>21327</v>
      </c>
      <c r="B8073">
        <v>1</v>
      </c>
      <c r="C8073">
        <v>16</v>
      </c>
      <c r="D8073">
        <v>16</v>
      </c>
    </row>
    <row r="8074" spans="1:4" ht="15" x14ac:dyDescent="0.25">
      <c r="A8074" t="s">
        <v>21328</v>
      </c>
      <c r="B8074">
        <v>1</v>
      </c>
      <c r="C8074">
        <v>16</v>
      </c>
      <c r="D8074">
        <v>16</v>
      </c>
    </row>
    <row r="8075" spans="1:4" ht="15" x14ac:dyDescent="0.25">
      <c r="A8075" t="s">
        <v>21329</v>
      </c>
      <c r="B8075">
        <v>1</v>
      </c>
      <c r="C8075">
        <v>16</v>
      </c>
      <c r="D8075">
        <v>16</v>
      </c>
    </row>
    <row r="8076" spans="1:4" ht="15" x14ac:dyDescent="0.25">
      <c r="A8076" t="s">
        <v>21333</v>
      </c>
      <c r="B8076">
        <v>1</v>
      </c>
      <c r="C8076">
        <v>23</v>
      </c>
      <c r="D8076">
        <v>23</v>
      </c>
    </row>
    <row r="8077" spans="1:4" ht="15" x14ac:dyDescent="0.25">
      <c r="A8077" t="s">
        <v>21334</v>
      </c>
      <c r="B8077">
        <v>1</v>
      </c>
      <c r="C8077">
        <v>23</v>
      </c>
      <c r="D8077">
        <v>23</v>
      </c>
    </row>
    <row r="8078" spans="1:4" ht="15" x14ac:dyDescent="0.25">
      <c r="A8078" t="s">
        <v>21342</v>
      </c>
      <c r="B8078">
        <v>1</v>
      </c>
      <c r="C8078">
        <v>6</v>
      </c>
      <c r="D8078">
        <v>6</v>
      </c>
    </row>
    <row r="8079" spans="1:4" ht="15" x14ac:dyDescent="0.25">
      <c r="A8079" t="s">
        <v>21347</v>
      </c>
      <c r="B8079">
        <v>1</v>
      </c>
      <c r="C8079">
        <v>27</v>
      </c>
      <c r="D8079">
        <v>27</v>
      </c>
    </row>
    <row r="8080" spans="1:4" ht="15" x14ac:dyDescent="0.25">
      <c r="A8080" t="s">
        <v>21348</v>
      </c>
      <c r="B8080">
        <v>1</v>
      </c>
      <c r="C8080">
        <v>27</v>
      </c>
      <c r="D8080">
        <v>27</v>
      </c>
    </row>
    <row r="8081" spans="1:4" ht="15" x14ac:dyDescent="0.25">
      <c r="A8081" t="s">
        <v>21349</v>
      </c>
      <c r="B8081">
        <v>1</v>
      </c>
      <c r="C8081">
        <v>27</v>
      </c>
      <c r="D8081">
        <v>27</v>
      </c>
    </row>
    <row r="8082" spans="1:4" ht="15" x14ac:dyDescent="0.25">
      <c r="A8082" t="s">
        <v>21355</v>
      </c>
      <c r="B8082">
        <v>1</v>
      </c>
      <c r="C8082">
        <v>77</v>
      </c>
      <c r="D8082">
        <v>77</v>
      </c>
    </row>
    <row r="8083" spans="1:4" ht="15" x14ac:dyDescent="0.25">
      <c r="A8083" t="s">
        <v>21356</v>
      </c>
      <c r="B8083">
        <v>1</v>
      </c>
      <c r="C8083">
        <v>77</v>
      </c>
      <c r="D8083">
        <v>77</v>
      </c>
    </row>
    <row r="8084" spans="1:4" ht="15" x14ac:dyDescent="0.25">
      <c r="A8084" t="s">
        <v>21357</v>
      </c>
      <c r="B8084">
        <v>1</v>
      </c>
      <c r="C8084">
        <v>77</v>
      </c>
      <c r="D8084">
        <v>77</v>
      </c>
    </row>
    <row r="8085" spans="1:4" ht="15" x14ac:dyDescent="0.25">
      <c r="A8085" t="s">
        <v>21358</v>
      </c>
      <c r="B8085">
        <v>1</v>
      </c>
      <c r="C8085">
        <v>77</v>
      </c>
      <c r="D8085">
        <v>77</v>
      </c>
    </row>
    <row r="8086" spans="1:4" ht="15" x14ac:dyDescent="0.25">
      <c r="A8086" t="s">
        <v>21362</v>
      </c>
      <c r="B8086">
        <v>1</v>
      </c>
      <c r="C8086">
        <v>13</v>
      </c>
      <c r="D8086">
        <v>13</v>
      </c>
    </row>
    <row r="8087" spans="1:4" ht="15" x14ac:dyDescent="0.25">
      <c r="A8087" t="s">
        <v>21364</v>
      </c>
      <c r="B8087">
        <v>1</v>
      </c>
      <c r="C8087">
        <v>13</v>
      </c>
      <c r="D8087">
        <v>13</v>
      </c>
    </row>
    <row r="8088" spans="1:4" ht="15" x14ac:dyDescent="0.25">
      <c r="A8088" t="s">
        <v>21363</v>
      </c>
      <c r="B8088">
        <v>1</v>
      </c>
      <c r="C8088">
        <v>13</v>
      </c>
      <c r="D8088">
        <v>13</v>
      </c>
    </row>
    <row r="8089" spans="1:4" ht="15" x14ac:dyDescent="0.25">
      <c r="A8089" t="s">
        <v>21369</v>
      </c>
      <c r="B8089">
        <v>1</v>
      </c>
      <c r="C8089">
        <v>10</v>
      </c>
      <c r="D8089">
        <v>10</v>
      </c>
    </row>
    <row r="8090" spans="1:4" ht="15" x14ac:dyDescent="0.25">
      <c r="A8090" t="s">
        <v>21370</v>
      </c>
      <c r="B8090">
        <v>1</v>
      </c>
      <c r="C8090">
        <v>10</v>
      </c>
      <c r="D8090">
        <v>10</v>
      </c>
    </row>
    <row r="8091" spans="1:4" ht="15" x14ac:dyDescent="0.25">
      <c r="A8091" t="s">
        <v>21372</v>
      </c>
      <c r="B8091">
        <v>1</v>
      </c>
      <c r="C8091">
        <v>10</v>
      </c>
      <c r="D8091">
        <v>10</v>
      </c>
    </row>
    <row r="8092" spans="1:4" ht="15" x14ac:dyDescent="0.25">
      <c r="A8092" t="s">
        <v>21371</v>
      </c>
      <c r="B8092">
        <v>1</v>
      </c>
      <c r="C8092">
        <v>10</v>
      </c>
      <c r="D8092">
        <v>10</v>
      </c>
    </row>
    <row r="8093" spans="1:4" ht="15" x14ac:dyDescent="0.25">
      <c r="A8093" t="s">
        <v>21376</v>
      </c>
      <c r="B8093">
        <v>1</v>
      </c>
      <c r="C8093">
        <v>38</v>
      </c>
      <c r="D8093">
        <v>38</v>
      </c>
    </row>
    <row r="8094" spans="1:4" ht="15" x14ac:dyDescent="0.25">
      <c r="A8094" t="s">
        <v>21377</v>
      </c>
      <c r="B8094">
        <v>1</v>
      </c>
      <c r="C8094">
        <v>38</v>
      </c>
      <c r="D8094">
        <v>38</v>
      </c>
    </row>
    <row r="8095" spans="1:4" ht="15" x14ac:dyDescent="0.25">
      <c r="A8095" t="s">
        <v>21379</v>
      </c>
      <c r="B8095">
        <v>1</v>
      </c>
      <c r="C8095">
        <v>38</v>
      </c>
      <c r="D8095">
        <v>38</v>
      </c>
    </row>
    <row r="8096" spans="1:4" ht="15" x14ac:dyDescent="0.25">
      <c r="A8096" t="s">
        <v>21378</v>
      </c>
      <c r="B8096">
        <v>1</v>
      </c>
      <c r="C8096">
        <v>38</v>
      </c>
      <c r="D8096">
        <v>38</v>
      </c>
    </row>
    <row r="8097" spans="1:4" ht="15" x14ac:dyDescent="0.25">
      <c r="A8097" t="s">
        <v>21383</v>
      </c>
      <c r="B8097">
        <v>1</v>
      </c>
      <c r="C8097">
        <v>71</v>
      </c>
      <c r="D8097">
        <v>71</v>
      </c>
    </row>
    <row r="8098" spans="1:4" ht="15" x14ac:dyDescent="0.25">
      <c r="A8098" t="s">
        <v>21384</v>
      </c>
      <c r="B8098">
        <v>1</v>
      </c>
      <c r="C8098">
        <v>71</v>
      </c>
      <c r="D8098">
        <v>71</v>
      </c>
    </row>
    <row r="8099" spans="1:4" ht="15" x14ac:dyDescent="0.25">
      <c r="A8099" t="s">
        <v>21387</v>
      </c>
      <c r="B8099">
        <v>1</v>
      </c>
      <c r="C8099">
        <v>84</v>
      </c>
      <c r="D8099">
        <v>84</v>
      </c>
    </row>
    <row r="8100" spans="1:4" ht="15" x14ac:dyDescent="0.25">
      <c r="A8100" t="s">
        <v>21391</v>
      </c>
      <c r="B8100">
        <v>1</v>
      </c>
      <c r="C8100">
        <v>2</v>
      </c>
      <c r="D8100">
        <v>2</v>
      </c>
    </row>
    <row r="8101" spans="1:4" ht="15" x14ac:dyDescent="0.25">
      <c r="A8101" t="s">
        <v>21392</v>
      </c>
      <c r="B8101">
        <v>1</v>
      </c>
      <c r="C8101">
        <v>2</v>
      </c>
      <c r="D8101">
        <v>2</v>
      </c>
    </row>
    <row r="8102" spans="1:4" ht="15" x14ac:dyDescent="0.25">
      <c r="A8102" t="s">
        <v>21395</v>
      </c>
      <c r="B8102">
        <v>2</v>
      </c>
      <c r="C8102">
        <v>80</v>
      </c>
      <c r="D8102">
        <v>40</v>
      </c>
    </row>
    <row r="8103" spans="1:4" ht="15" x14ac:dyDescent="0.25">
      <c r="A8103" t="s">
        <v>21396</v>
      </c>
      <c r="B8103">
        <v>2</v>
      </c>
      <c r="C8103">
        <v>80</v>
      </c>
      <c r="D8103">
        <v>40</v>
      </c>
    </row>
    <row r="8104" spans="1:4" ht="15" x14ac:dyDescent="0.25">
      <c r="A8104" t="s">
        <v>21397</v>
      </c>
      <c r="B8104">
        <v>2</v>
      </c>
      <c r="C8104">
        <v>80</v>
      </c>
      <c r="D8104">
        <v>40</v>
      </c>
    </row>
    <row r="8105" spans="1:4" ht="15" x14ac:dyDescent="0.25">
      <c r="A8105" t="s">
        <v>21404</v>
      </c>
      <c r="B8105">
        <v>2</v>
      </c>
      <c r="C8105">
        <v>1063</v>
      </c>
      <c r="D8105">
        <v>531.5</v>
      </c>
    </row>
    <row r="8106" spans="1:4" ht="15" x14ac:dyDescent="0.25">
      <c r="A8106" t="s">
        <v>21405</v>
      </c>
      <c r="B8106">
        <v>1</v>
      </c>
      <c r="C8106">
        <v>131</v>
      </c>
      <c r="D8106">
        <v>131</v>
      </c>
    </row>
    <row r="8107" spans="1:4" ht="15" x14ac:dyDescent="0.25">
      <c r="A8107" t="s">
        <v>21407</v>
      </c>
      <c r="B8107">
        <v>1</v>
      </c>
      <c r="C8107">
        <v>131</v>
      </c>
      <c r="D8107">
        <v>131</v>
      </c>
    </row>
    <row r="8108" spans="1:4" ht="15" x14ac:dyDescent="0.25">
      <c r="A8108" t="s">
        <v>21406</v>
      </c>
      <c r="B8108">
        <v>1</v>
      </c>
      <c r="C8108">
        <v>131</v>
      </c>
      <c r="D8108">
        <v>131</v>
      </c>
    </row>
    <row r="8109" spans="1:4" ht="15" x14ac:dyDescent="0.25">
      <c r="A8109" t="s">
        <v>21411</v>
      </c>
      <c r="B8109">
        <v>1</v>
      </c>
      <c r="C8109">
        <v>10</v>
      </c>
      <c r="D8109">
        <v>10</v>
      </c>
    </row>
    <row r="8110" spans="1:4" ht="15" x14ac:dyDescent="0.25">
      <c r="A8110" t="s">
        <v>21412</v>
      </c>
      <c r="B8110">
        <v>1</v>
      </c>
      <c r="C8110">
        <v>10</v>
      </c>
      <c r="D8110">
        <v>10</v>
      </c>
    </row>
    <row r="8111" spans="1:4" ht="15" x14ac:dyDescent="0.25">
      <c r="A8111" t="s">
        <v>21416</v>
      </c>
      <c r="B8111">
        <v>1</v>
      </c>
      <c r="C8111">
        <v>122</v>
      </c>
      <c r="D8111">
        <v>122</v>
      </c>
    </row>
    <row r="8112" spans="1:4" ht="15" x14ac:dyDescent="0.25">
      <c r="A8112" t="s">
        <v>21425</v>
      </c>
      <c r="B8112">
        <v>1</v>
      </c>
      <c r="C8112">
        <v>48</v>
      </c>
      <c r="D8112">
        <v>48</v>
      </c>
    </row>
    <row r="8113" spans="1:4" ht="15" x14ac:dyDescent="0.25">
      <c r="A8113" t="s">
        <v>21427</v>
      </c>
      <c r="B8113">
        <v>1</v>
      </c>
      <c r="C8113">
        <v>48</v>
      </c>
      <c r="D8113">
        <v>48</v>
      </c>
    </row>
    <row r="8114" spans="1:4" ht="15" x14ac:dyDescent="0.25">
      <c r="A8114" t="s">
        <v>21426</v>
      </c>
      <c r="B8114">
        <v>1</v>
      </c>
      <c r="C8114">
        <v>48</v>
      </c>
      <c r="D8114">
        <v>48</v>
      </c>
    </row>
    <row r="8115" spans="1:4" ht="15" x14ac:dyDescent="0.25">
      <c r="A8115" t="s">
        <v>21431</v>
      </c>
      <c r="B8115">
        <v>1</v>
      </c>
      <c r="C8115">
        <v>16</v>
      </c>
      <c r="D8115">
        <v>16</v>
      </c>
    </row>
    <row r="8116" spans="1:4" ht="15" x14ac:dyDescent="0.25">
      <c r="A8116" t="s">
        <v>21432</v>
      </c>
      <c r="B8116">
        <v>1</v>
      </c>
      <c r="C8116">
        <v>16</v>
      </c>
      <c r="D8116">
        <v>16</v>
      </c>
    </row>
    <row r="8117" spans="1:4" ht="15" x14ac:dyDescent="0.25">
      <c r="A8117" t="s">
        <v>21436</v>
      </c>
      <c r="B8117">
        <v>1</v>
      </c>
      <c r="C8117">
        <v>26</v>
      </c>
      <c r="D8117">
        <v>26</v>
      </c>
    </row>
    <row r="8118" spans="1:4" ht="15" x14ac:dyDescent="0.25">
      <c r="A8118" t="s">
        <v>21438</v>
      </c>
      <c r="B8118">
        <v>1</v>
      </c>
      <c r="C8118">
        <v>26</v>
      </c>
      <c r="D8118">
        <v>26</v>
      </c>
    </row>
    <row r="8119" spans="1:4" ht="15" x14ac:dyDescent="0.25">
      <c r="A8119" t="s">
        <v>21437</v>
      </c>
      <c r="B8119">
        <v>1</v>
      </c>
      <c r="C8119">
        <v>26</v>
      </c>
      <c r="D8119">
        <v>26</v>
      </c>
    </row>
    <row r="8120" spans="1:4" ht="15" x14ac:dyDescent="0.25">
      <c r="A8120" t="s">
        <v>21442</v>
      </c>
      <c r="B8120">
        <v>1</v>
      </c>
      <c r="C8120">
        <v>33</v>
      </c>
      <c r="D8120">
        <v>33</v>
      </c>
    </row>
    <row r="8121" spans="1:4" ht="15" x14ac:dyDescent="0.25">
      <c r="A8121" t="s">
        <v>21444</v>
      </c>
      <c r="B8121">
        <v>1</v>
      </c>
      <c r="C8121">
        <v>33</v>
      </c>
      <c r="D8121">
        <v>33</v>
      </c>
    </row>
    <row r="8122" spans="1:4" ht="15" x14ac:dyDescent="0.25">
      <c r="A8122" t="s">
        <v>21445</v>
      </c>
      <c r="B8122">
        <v>1</v>
      </c>
      <c r="C8122">
        <v>33</v>
      </c>
      <c r="D8122">
        <v>33</v>
      </c>
    </row>
    <row r="8123" spans="1:4" ht="15" x14ac:dyDescent="0.25">
      <c r="A8123" t="s">
        <v>21443</v>
      </c>
      <c r="B8123">
        <v>2</v>
      </c>
      <c r="C8123">
        <v>83</v>
      </c>
      <c r="D8123">
        <v>41.5</v>
      </c>
    </row>
    <row r="8124" spans="1:4" ht="15" x14ac:dyDescent="0.25">
      <c r="A8124" t="s">
        <v>21448</v>
      </c>
      <c r="B8124">
        <v>1</v>
      </c>
      <c r="C8124">
        <v>43</v>
      </c>
      <c r="D8124">
        <v>43</v>
      </c>
    </row>
    <row r="8125" spans="1:4" ht="15" x14ac:dyDescent="0.25">
      <c r="A8125" t="s">
        <v>21455</v>
      </c>
      <c r="B8125">
        <v>1</v>
      </c>
      <c r="C8125">
        <v>1</v>
      </c>
      <c r="D8125">
        <v>1</v>
      </c>
    </row>
    <row r="8126" spans="1:4" ht="15" x14ac:dyDescent="0.25">
      <c r="A8126" t="s">
        <v>21456</v>
      </c>
      <c r="B8126">
        <v>1</v>
      </c>
      <c r="C8126">
        <v>1</v>
      </c>
      <c r="D8126">
        <v>1</v>
      </c>
    </row>
    <row r="8127" spans="1:4" ht="15" x14ac:dyDescent="0.25">
      <c r="A8127" t="s">
        <v>21459</v>
      </c>
      <c r="B8127">
        <v>1</v>
      </c>
      <c r="C8127">
        <v>69</v>
      </c>
      <c r="D8127">
        <v>69</v>
      </c>
    </row>
    <row r="8128" spans="1:4" ht="15" x14ac:dyDescent="0.25">
      <c r="A8128" t="s">
        <v>21463</v>
      </c>
      <c r="B8128">
        <v>1</v>
      </c>
      <c r="C8128">
        <v>81</v>
      </c>
      <c r="D8128">
        <v>81</v>
      </c>
    </row>
    <row r="8129" spans="1:4" ht="15" x14ac:dyDescent="0.25">
      <c r="A8129" t="s">
        <v>21464</v>
      </c>
      <c r="B8129">
        <v>1</v>
      </c>
      <c r="C8129">
        <v>81</v>
      </c>
      <c r="D8129">
        <v>81</v>
      </c>
    </row>
    <row r="8130" spans="1:4" ht="15" x14ac:dyDescent="0.25">
      <c r="A8130" t="s">
        <v>21470</v>
      </c>
      <c r="B8130">
        <v>1</v>
      </c>
      <c r="C8130">
        <v>15</v>
      </c>
      <c r="D8130">
        <v>15</v>
      </c>
    </row>
    <row r="8131" spans="1:4" ht="15" x14ac:dyDescent="0.25">
      <c r="A8131" t="s">
        <v>21473</v>
      </c>
      <c r="B8131">
        <v>1</v>
      </c>
      <c r="C8131">
        <v>34</v>
      </c>
      <c r="D8131">
        <v>34</v>
      </c>
    </row>
    <row r="8132" spans="1:4" ht="15" x14ac:dyDescent="0.25">
      <c r="A8132" t="s">
        <v>21477</v>
      </c>
      <c r="B8132">
        <v>1</v>
      </c>
      <c r="C8132">
        <v>74</v>
      </c>
      <c r="D8132">
        <v>74</v>
      </c>
    </row>
    <row r="8133" spans="1:4" ht="15" x14ac:dyDescent="0.25">
      <c r="A8133" t="s">
        <v>21478</v>
      </c>
      <c r="B8133">
        <v>1</v>
      </c>
      <c r="C8133">
        <v>74</v>
      </c>
      <c r="D8133">
        <v>74</v>
      </c>
    </row>
    <row r="8134" spans="1:4" ht="15" x14ac:dyDescent="0.25">
      <c r="A8134" t="s">
        <v>21480</v>
      </c>
      <c r="B8134">
        <v>1</v>
      </c>
      <c r="C8134">
        <v>74</v>
      </c>
      <c r="D8134">
        <v>74</v>
      </c>
    </row>
    <row r="8135" spans="1:4" ht="15" x14ac:dyDescent="0.25">
      <c r="A8135" t="s">
        <v>21481</v>
      </c>
      <c r="B8135">
        <v>1</v>
      </c>
      <c r="C8135">
        <v>74</v>
      </c>
      <c r="D8135">
        <v>74</v>
      </c>
    </row>
    <row r="8136" spans="1:4" ht="15" x14ac:dyDescent="0.25">
      <c r="A8136" t="s">
        <v>21479</v>
      </c>
      <c r="B8136">
        <v>1</v>
      </c>
      <c r="C8136">
        <v>74</v>
      </c>
      <c r="D8136">
        <v>74</v>
      </c>
    </row>
    <row r="8137" spans="1:4" ht="15" x14ac:dyDescent="0.25">
      <c r="A8137" t="s">
        <v>21491</v>
      </c>
      <c r="B8137">
        <v>1</v>
      </c>
      <c r="C8137">
        <v>171</v>
      </c>
      <c r="D8137">
        <v>171</v>
      </c>
    </row>
    <row r="8138" spans="1:4" ht="15" x14ac:dyDescent="0.25">
      <c r="A8138" t="s">
        <v>21493</v>
      </c>
      <c r="B8138">
        <v>1</v>
      </c>
      <c r="C8138">
        <v>171</v>
      </c>
      <c r="D8138">
        <v>171</v>
      </c>
    </row>
    <row r="8139" spans="1:4" ht="15" x14ac:dyDescent="0.25">
      <c r="A8139" t="s">
        <v>21494</v>
      </c>
      <c r="B8139">
        <v>1</v>
      </c>
      <c r="C8139">
        <v>171</v>
      </c>
      <c r="D8139">
        <v>171</v>
      </c>
    </row>
    <row r="8140" spans="1:4" ht="15" x14ac:dyDescent="0.25">
      <c r="A8140" t="s">
        <v>21492</v>
      </c>
      <c r="B8140">
        <v>1</v>
      </c>
      <c r="C8140">
        <v>171</v>
      </c>
      <c r="D8140">
        <v>171</v>
      </c>
    </row>
    <row r="8141" spans="1:4" ht="15" x14ac:dyDescent="0.25">
      <c r="A8141" t="s">
        <v>21500</v>
      </c>
      <c r="B8141">
        <v>2</v>
      </c>
      <c r="C8141">
        <v>104</v>
      </c>
      <c r="D8141">
        <v>52</v>
      </c>
    </row>
    <row r="8142" spans="1:4" ht="15" x14ac:dyDescent="0.25">
      <c r="A8142" t="s">
        <v>21504</v>
      </c>
      <c r="B8142">
        <v>1</v>
      </c>
      <c r="C8142">
        <v>24</v>
      </c>
      <c r="D8142">
        <v>24</v>
      </c>
    </row>
    <row r="8143" spans="1:4" ht="15" x14ac:dyDescent="0.25">
      <c r="A8143" t="s">
        <v>21506</v>
      </c>
      <c r="B8143">
        <v>1</v>
      </c>
      <c r="C8143">
        <v>24</v>
      </c>
      <c r="D8143">
        <v>24</v>
      </c>
    </row>
    <row r="8144" spans="1:4" ht="15" x14ac:dyDescent="0.25">
      <c r="A8144" t="s">
        <v>21507</v>
      </c>
      <c r="B8144">
        <v>1</v>
      </c>
      <c r="C8144">
        <v>24</v>
      </c>
      <c r="D8144">
        <v>24</v>
      </c>
    </row>
    <row r="8145" spans="1:4" ht="15" x14ac:dyDescent="0.25">
      <c r="A8145" t="s">
        <v>21505</v>
      </c>
      <c r="B8145">
        <v>1</v>
      </c>
      <c r="C8145">
        <v>24</v>
      </c>
      <c r="D8145">
        <v>24</v>
      </c>
    </row>
    <row r="8146" spans="1:4" ht="15" x14ac:dyDescent="0.25">
      <c r="A8146" t="s">
        <v>21511</v>
      </c>
      <c r="B8146">
        <v>1</v>
      </c>
      <c r="C8146">
        <v>127</v>
      </c>
      <c r="D8146">
        <v>127</v>
      </c>
    </row>
    <row r="8147" spans="1:4" ht="15" x14ac:dyDescent="0.25">
      <c r="A8147" t="s">
        <v>21512</v>
      </c>
      <c r="B8147">
        <v>1</v>
      </c>
      <c r="C8147">
        <v>127</v>
      </c>
      <c r="D8147">
        <v>127</v>
      </c>
    </row>
    <row r="8148" spans="1:4" ht="15" x14ac:dyDescent="0.25">
      <c r="A8148" t="s">
        <v>21513</v>
      </c>
      <c r="B8148">
        <v>1</v>
      </c>
      <c r="C8148">
        <v>127</v>
      </c>
      <c r="D8148">
        <v>127</v>
      </c>
    </row>
    <row r="8149" spans="1:4" ht="15" x14ac:dyDescent="0.25">
      <c r="A8149" t="s">
        <v>21517</v>
      </c>
      <c r="B8149">
        <v>1</v>
      </c>
      <c r="C8149">
        <v>30</v>
      </c>
      <c r="D8149">
        <v>30</v>
      </c>
    </row>
    <row r="8150" spans="1:4" ht="15" x14ac:dyDescent="0.25">
      <c r="A8150" t="s">
        <v>21519</v>
      </c>
      <c r="B8150">
        <v>1</v>
      </c>
      <c r="C8150">
        <v>30</v>
      </c>
      <c r="D8150">
        <v>30</v>
      </c>
    </row>
    <row r="8151" spans="1:4" ht="15" x14ac:dyDescent="0.25">
      <c r="A8151" t="s">
        <v>21520</v>
      </c>
      <c r="B8151">
        <v>1</v>
      </c>
      <c r="C8151">
        <v>30</v>
      </c>
      <c r="D8151">
        <v>30</v>
      </c>
    </row>
    <row r="8152" spans="1:4" ht="15" x14ac:dyDescent="0.25">
      <c r="A8152" t="s">
        <v>21518</v>
      </c>
      <c r="B8152">
        <v>1</v>
      </c>
      <c r="C8152">
        <v>30</v>
      </c>
      <c r="D8152">
        <v>30</v>
      </c>
    </row>
    <row r="8153" spans="1:4" ht="15" x14ac:dyDescent="0.25">
      <c r="A8153" t="s">
        <v>21524</v>
      </c>
      <c r="B8153">
        <v>1</v>
      </c>
      <c r="C8153">
        <v>27</v>
      </c>
      <c r="D8153">
        <v>27</v>
      </c>
    </row>
    <row r="8154" spans="1:4" ht="15" x14ac:dyDescent="0.25">
      <c r="A8154" t="s">
        <v>21527</v>
      </c>
      <c r="B8154">
        <v>1</v>
      </c>
      <c r="C8154">
        <v>1457</v>
      </c>
      <c r="D8154">
        <v>1457</v>
      </c>
    </row>
    <row r="8155" spans="1:4" ht="15" x14ac:dyDescent="0.25">
      <c r="A8155" t="s">
        <v>21530</v>
      </c>
      <c r="B8155">
        <v>3</v>
      </c>
      <c r="C8155">
        <v>2609</v>
      </c>
      <c r="D8155">
        <v>869.66666666666663</v>
      </c>
    </row>
    <row r="8156" spans="1:4" ht="15" x14ac:dyDescent="0.25">
      <c r="A8156" t="s">
        <v>21531</v>
      </c>
      <c r="B8156">
        <v>2</v>
      </c>
      <c r="C8156">
        <v>2933</v>
      </c>
      <c r="D8156">
        <v>1466.5</v>
      </c>
    </row>
    <row r="8157" spans="1:4" ht="15" x14ac:dyDescent="0.25">
      <c r="A8157" t="s">
        <v>21538</v>
      </c>
      <c r="B8157">
        <v>1</v>
      </c>
      <c r="C8157">
        <v>72</v>
      </c>
      <c r="D8157">
        <v>72</v>
      </c>
    </row>
    <row r="8158" spans="1:4" ht="15" x14ac:dyDescent="0.25">
      <c r="A8158" t="s">
        <v>21539</v>
      </c>
      <c r="B8158">
        <v>1</v>
      </c>
      <c r="C8158">
        <v>72</v>
      </c>
      <c r="D8158">
        <v>72</v>
      </c>
    </row>
    <row r="8159" spans="1:4" ht="15" x14ac:dyDescent="0.25">
      <c r="A8159" t="s">
        <v>21540</v>
      </c>
      <c r="B8159">
        <v>1</v>
      </c>
      <c r="C8159">
        <v>72</v>
      </c>
      <c r="D8159">
        <v>72</v>
      </c>
    </row>
    <row r="8160" spans="1:4" ht="15" x14ac:dyDescent="0.25">
      <c r="A8160" t="s">
        <v>21544</v>
      </c>
      <c r="B8160">
        <v>1</v>
      </c>
      <c r="C8160">
        <v>27</v>
      </c>
      <c r="D8160">
        <v>27</v>
      </c>
    </row>
    <row r="8161" spans="1:4" ht="15" x14ac:dyDescent="0.25">
      <c r="A8161" t="s">
        <v>21545</v>
      </c>
      <c r="B8161">
        <v>1</v>
      </c>
      <c r="C8161">
        <v>27</v>
      </c>
      <c r="D8161">
        <v>27</v>
      </c>
    </row>
    <row r="8162" spans="1:4" ht="15" x14ac:dyDescent="0.25">
      <c r="A8162" t="s">
        <v>21547</v>
      </c>
      <c r="B8162">
        <v>1</v>
      </c>
      <c r="C8162">
        <v>27</v>
      </c>
      <c r="D8162">
        <v>27</v>
      </c>
    </row>
    <row r="8163" spans="1:4" ht="15" x14ac:dyDescent="0.25">
      <c r="A8163" t="s">
        <v>21548</v>
      </c>
      <c r="B8163">
        <v>1</v>
      </c>
      <c r="C8163">
        <v>27</v>
      </c>
      <c r="D8163">
        <v>27</v>
      </c>
    </row>
    <row r="8164" spans="1:4" ht="15" x14ac:dyDescent="0.25">
      <c r="A8164" t="s">
        <v>21546</v>
      </c>
      <c r="B8164">
        <v>5</v>
      </c>
      <c r="C8164">
        <v>132</v>
      </c>
      <c r="D8164">
        <v>26.4</v>
      </c>
    </row>
    <row r="8165" spans="1:4" ht="15" x14ac:dyDescent="0.25">
      <c r="A8165" t="s">
        <v>21555</v>
      </c>
      <c r="B8165">
        <v>1</v>
      </c>
      <c r="C8165">
        <v>74</v>
      </c>
      <c r="D8165">
        <v>74</v>
      </c>
    </row>
    <row r="8166" spans="1:4" ht="15" x14ac:dyDescent="0.25">
      <c r="A8166" t="s">
        <v>21554</v>
      </c>
      <c r="B8166">
        <v>1</v>
      </c>
      <c r="C8166">
        <v>74</v>
      </c>
      <c r="D8166">
        <v>74</v>
      </c>
    </row>
    <row r="8167" spans="1:4" ht="15" x14ac:dyDescent="0.25">
      <c r="A8167" t="s">
        <v>21562</v>
      </c>
      <c r="B8167">
        <v>1</v>
      </c>
      <c r="C8167">
        <v>14</v>
      </c>
      <c r="D8167">
        <v>14</v>
      </c>
    </row>
    <row r="8168" spans="1:4" ht="15" x14ac:dyDescent="0.25">
      <c r="A8168" t="s">
        <v>21576</v>
      </c>
      <c r="B8168">
        <v>3</v>
      </c>
      <c r="C8168">
        <v>80</v>
      </c>
      <c r="D8168">
        <v>26.666666666666668</v>
      </c>
    </row>
    <row r="8169" spans="1:4" ht="15" x14ac:dyDescent="0.25">
      <c r="A8169" t="s">
        <v>21577</v>
      </c>
      <c r="B8169">
        <v>1</v>
      </c>
      <c r="C8169">
        <v>24</v>
      </c>
      <c r="D8169">
        <v>24</v>
      </c>
    </row>
    <row r="8170" spans="1:4" ht="15" x14ac:dyDescent="0.25">
      <c r="A8170" t="s">
        <v>21581</v>
      </c>
      <c r="B8170">
        <v>1</v>
      </c>
      <c r="C8170">
        <v>7</v>
      </c>
      <c r="D8170">
        <v>7</v>
      </c>
    </row>
    <row r="8171" spans="1:4" ht="15" x14ac:dyDescent="0.25">
      <c r="A8171" t="s">
        <v>21586</v>
      </c>
      <c r="B8171">
        <v>1</v>
      </c>
      <c r="C8171">
        <v>22</v>
      </c>
      <c r="D8171">
        <v>22</v>
      </c>
    </row>
    <row r="8172" spans="1:4" ht="15" x14ac:dyDescent="0.25">
      <c r="A8172" t="s">
        <v>21590</v>
      </c>
      <c r="B8172">
        <v>1</v>
      </c>
      <c r="C8172">
        <v>66</v>
      </c>
      <c r="D8172">
        <v>66</v>
      </c>
    </row>
    <row r="8173" spans="1:4" ht="15" x14ac:dyDescent="0.25">
      <c r="A8173" t="s">
        <v>21592</v>
      </c>
      <c r="B8173">
        <v>3</v>
      </c>
      <c r="C8173">
        <v>125</v>
      </c>
      <c r="D8173">
        <v>41.666666666666664</v>
      </c>
    </row>
    <row r="8174" spans="1:4" ht="15" x14ac:dyDescent="0.25">
      <c r="A8174" t="s">
        <v>21591</v>
      </c>
      <c r="B8174">
        <v>1</v>
      </c>
      <c r="C8174">
        <v>66</v>
      </c>
      <c r="D8174">
        <v>66</v>
      </c>
    </row>
    <row r="8175" spans="1:4" ht="15" x14ac:dyDescent="0.25">
      <c r="A8175" t="s">
        <v>21596</v>
      </c>
      <c r="B8175">
        <v>1</v>
      </c>
      <c r="C8175">
        <v>11</v>
      </c>
      <c r="D8175">
        <v>11</v>
      </c>
    </row>
    <row r="8176" spans="1:4" ht="15" x14ac:dyDescent="0.25">
      <c r="A8176" t="s">
        <v>21605</v>
      </c>
      <c r="B8176">
        <v>1</v>
      </c>
      <c r="C8176">
        <v>19</v>
      </c>
      <c r="D8176">
        <v>19</v>
      </c>
    </row>
    <row r="8177" spans="1:4" ht="15" x14ac:dyDescent="0.25">
      <c r="A8177" t="s">
        <v>21607</v>
      </c>
      <c r="B8177">
        <v>1</v>
      </c>
      <c r="C8177">
        <v>19</v>
      </c>
      <c r="D8177">
        <v>19</v>
      </c>
    </row>
    <row r="8178" spans="1:4" ht="15" x14ac:dyDescent="0.25">
      <c r="A8178" t="s">
        <v>21608</v>
      </c>
      <c r="B8178">
        <v>1</v>
      </c>
      <c r="C8178">
        <v>19</v>
      </c>
      <c r="D8178">
        <v>19</v>
      </c>
    </row>
    <row r="8179" spans="1:4" ht="15" x14ac:dyDescent="0.25">
      <c r="A8179" t="s">
        <v>21606</v>
      </c>
      <c r="B8179">
        <v>1</v>
      </c>
      <c r="C8179">
        <v>19</v>
      </c>
      <c r="D8179">
        <v>19</v>
      </c>
    </row>
    <row r="8180" spans="1:4" ht="15" x14ac:dyDescent="0.25">
      <c r="A8180" t="s">
        <v>21612</v>
      </c>
      <c r="B8180">
        <v>1</v>
      </c>
      <c r="C8180">
        <v>123</v>
      </c>
      <c r="D8180">
        <v>123</v>
      </c>
    </row>
    <row r="8181" spans="1:4" ht="15" x14ac:dyDescent="0.25">
      <c r="A8181" t="s">
        <v>21616</v>
      </c>
      <c r="B8181">
        <v>1</v>
      </c>
      <c r="C8181">
        <v>130</v>
      </c>
      <c r="D8181">
        <v>130</v>
      </c>
    </row>
    <row r="8182" spans="1:4" ht="15" x14ac:dyDescent="0.25">
      <c r="A8182" t="s">
        <v>21617</v>
      </c>
      <c r="B8182">
        <v>1</v>
      </c>
      <c r="C8182">
        <v>130</v>
      </c>
      <c r="D8182">
        <v>130</v>
      </c>
    </row>
    <row r="8183" spans="1:4" ht="15" x14ac:dyDescent="0.25">
      <c r="A8183" t="s">
        <v>21619</v>
      </c>
      <c r="B8183">
        <v>1</v>
      </c>
      <c r="C8183">
        <v>130</v>
      </c>
      <c r="D8183">
        <v>130</v>
      </c>
    </row>
    <row r="8184" spans="1:4" ht="15" x14ac:dyDescent="0.25">
      <c r="A8184" t="s">
        <v>21618</v>
      </c>
      <c r="B8184">
        <v>1</v>
      </c>
      <c r="C8184">
        <v>130</v>
      </c>
      <c r="D8184">
        <v>130</v>
      </c>
    </row>
    <row r="8185" spans="1:4" ht="15" x14ac:dyDescent="0.25">
      <c r="A8185" t="s">
        <v>21623</v>
      </c>
      <c r="B8185">
        <v>1</v>
      </c>
      <c r="C8185">
        <v>8</v>
      </c>
      <c r="D8185">
        <v>8</v>
      </c>
    </row>
    <row r="8186" spans="1:4" ht="15" x14ac:dyDescent="0.25">
      <c r="A8186" t="s">
        <v>21626</v>
      </c>
      <c r="B8186">
        <v>1</v>
      </c>
      <c r="C8186">
        <v>118</v>
      </c>
      <c r="D8186">
        <v>118</v>
      </c>
    </row>
    <row r="8187" spans="1:4" ht="15" x14ac:dyDescent="0.25">
      <c r="A8187" t="s">
        <v>21632</v>
      </c>
      <c r="B8187">
        <v>1</v>
      </c>
      <c r="C8187">
        <v>46</v>
      </c>
      <c r="D8187">
        <v>46</v>
      </c>
    </row>
    <row r="8188" spans="1:4" ht="15" x14ac:dyDescent="0.25">
      <c r="A8188" t="s">
        <v>21634</v>
      </c>
      <c r="B8188">
        <v>1</v>
      </c>
      <c r="C8188">
        <v>46</v>
      </c>
      <c r="D8188">
        <v>46</v>
      </c>
    </row>
    <row r="8189" spans="1:4" ht="15" x14ac:dyDescent="0.25">
      <c r="A8189" t="s">
        <v>21633</v>
      </c>
      <c r="B8189">
        <v>2</v>
      </c>
      <c r="C8189">
        <v>88</v>
      </c>
      <c r="D8189">
        <v>44</v>
      </c>
    </row>
    <row r="8190" spans="1:4" ht="15" x14ac:dyDescent="0.25">
      <c r="A8190" t="s">
        <v>21638</v>
      </c>
      <c r="B8190">
        <v>2</v>
      </c>
      <c r="C8190">
        <v>68</v>
      </c>
      <c r="D8190">
        <v>34</v>
      </c>
    </row>
    <row r="8191" spans="1:4" ht="15" x14ac:dyDescent="0.25">
      <c r="A8191" t="s">
        <v>21639</v>
      </c>
      <c r="B8191">
        <v>1</v>
      </c>
      <c r="C8191">
        <v>24</v>
      </c>
      <c r="D8191">
        <v>24</v>
      </c>
    </row>
    <row r="8192" spans="1:4" ht="15" x14ac:dyDescent="0.25">
      <c r="A8192" t="s">
        <v>21642</v>
      </c>
      <c r="B8192">
        <v>1</v>
      </c>
      <c r="C8192">
        <v>65</v>
      </c>
      <c r="D8192">
        <v>65</v>
      </c>
    </row>
    <row r="8193" spans="1:4" ht="15" x14ac:dyDescent="0.25">
      <c r="A8193" t="s">
        <v>21646</v>
      </c>
      <c r="B8193">
        <v>1</v>
      </c>
      <c r="C8193">
        <v>10</v>
      </c>
      <c r="D8193">
        <v>10</v>
      </c>
    </row>
    <row r="8194" spans="1:4" ht="15" x14ac:dyDescent="0.25">
      <c r="A8194" t="s">
        <v>21650</v>
      </c>
      <c r="B8194">
        <v>2</v>
      </c>
      <c r="C8194">
        <v>1333</v>
      </c>
      <c r="D8194">
        <v>666.5</v>
      </c>
    </row>
    <row r="8195" spans="1:4" ht="15" x14ac:dyDescent="0.25">
      <c r="A8195" t="s">
        <v>21656</v>
      </c>
      <c r="B8195">
        <v>1</v>
      </c>
      <c r="C8195">
        <v>11</v>
      </c>
      <c r="D8195">
        <v>11</v>
      </c>
    </row>
    <row r="8196" spans="1:4" ht="15" x14ac:dyDescent="0.25">
      <c r="A8196" t="s">
        <v>21657</v>
      </c>
      <c r="B8196">
        <v>1</v>
      </c>
      <c r="C8196">
        <v>11</v>
      </c>
      <c r="D8196">
        <v>11</v>
      </c>
    </row>
    <row r="8197" spans="1:4" ht="15" x14ac:dyDescent="0.25">
      <c r="A8197" t="s">
        <v>21661</v>
      </c>
      <c r="B8197">
        <v>1</v>
      </c>
      <c r="C8197">
        <v>20</v>
      </c>
      <c r="D8197">
        <v>20</v>
      </c>
    </row>
    <row r="8198" spans="1:4" ht="15" x14ac:dyDescent="0.25">
      <c r="A8198" t="s">
        <v>21662</v>
      </c>
      <c r="B8198">
        <v>1</v>
      </c>
      <c r="C8198">
        <v>20</v>
      </c>
      <c r="D8198">
        <v>20</v>
      </c>
    </row>
    <row r="8199" spans="1:4" ht="15" x14ac:dyDescent="0.25">
      <c r="A8199" t="s">
        <v>21677</v>
      </c>
      <c r="B8199">
        <v>1</v>
      </c>
      <c r="C8199">
        <v>106</v>
      </c>
      <c r="D8199">
        <v>106</v>
      </c>
    </row>
    <row r="8200" spans="1:4" ht="15" x14ac:dyDescent="0.25">
      <c r="A8200" t="s">
        <v>21678</v>
      </c>
      <c r="B8200">
        <v>2</v>
      </c>
      <c r="C8200">
        <v>230</v>
      </c>
      <c r="D8200">
        <v>115</v>
      </c>
    </row>
    <row r="8201" spans="1:4" ht="15" x14ac:dyDescent="0.25">
      <c r="A8201" t="s">
        <v>21682</v>
      </c>
      <c r="B8201">
        <v>5</v>
      </c>
      <c r="C8201">
        <v>416</v>
      </c>
      <c r="D8201">
        <v>83.2</v>
      </c>
    </row>
    <row r="8202" spans="1:4" ht="15" x14ac:dyDescent="0.25">
      <c r="A8202" t="s">
        <v>21683</v>
      </c>
      <c r="B8202">
        <v>1</v>
      </c>
      <c r="C8202">
        <v>11</v>
      </c>
      <c r="D8202">
        <v>11</v>
      </c>
    </row>
    <row r="8203" spans="1:4" ht="15" x14ac:dyDescent="0.25">
      <c r="A8203" t="s">
        <v>21685</v>
      </c>
      <c r="B8203">
        <v>1</v>
      </c>
      <c r="C8203">
        <v>11</v>
      </c>
      <c r="D8203">
        <v>11</v>
      </c>
    </row>
    <row r="8204" spans="1:4" ht="15" x14ac:dyDescent="0.25">
      <c r="A8204" t="s">
        <v>21684</v>
      </c>
      <c r="B8204">
        <v>1</v>
      </c>
      <c r="C8204">
        <v>11</v>
      </c>
      <c r="D8204">
        <v>11</v>
      </c>
    </row>
    <row r="8205" spans="1:4" ht="15" x14ac:dyDescent="0.25">
      <c r="A8205" t="s">
        <v>21689</v>
      </c>
      <c r="B8205">
        <v>1</v>
      </c>
      <c r="C8205">
        <v>254</v>
      </c>
      <c r="D8205">
        <v>254</v>
      </c>
    </row>
    <row r="8206" spans="1:4" ht="15" x14ac:dyDescent="0.25">
      <c r="A8206" t="s">
        <v>21690</v>
      </c>
      <c r="B8206">
        <v>1</v>
      </c>
      <c r="C8206">
        <v>254</v>
      </c>
      <c r="D8206">
        <v>254</v>
      </c>
    </row>
    <row r="8207" spans="1:4" ht="15" x14ac:dyDescent="0.25">
      <c r="A8207" t="s">
        <v>21691</v>
      </c>
      <c r="B8207">
        <v>1</v>
      </c>
      <c r="C8207">
        <v>254</v>
      </c>
      <c r="D8207">
        <v>254</v>
      </c>
    </row>
    <row r="8208" spans="1:4" ht="15" x14ac:dyDescent="0.25">
      <c r="A8208" t="s">
        <v>21697</v>
      </c>
      <c r="B8208">
        <v>1</v>
      </c>
      <c r="C8208">
        <v>15</v>
      </c>
      <c r="D8208">
        <v>15</v>
      </c>
    </row>
    <row r="8209" spans="1:4" ht="15" x14ac:dyDescent="0.25">
      <c r="A8209" t="s">
        <v>21701</v>
      </c>
      <c r="B8209">
        <v>1</v>
      </c>
      <c r="C8209">
        <v>22</v>
      </c>
      <c r="D8209">
        <v>22</v>
      </c>
    </row>
    <row r="8210" spans="1:4" ht="15" x14ac:dyDescent="0.25">
      <c r="A8210" t="s">
        <v>21709</v>
      </c>
      <c r="B8210">
        <v>1</v>
      </c>
      <c r="C8210">
        <v>36</v>
      </c>
      <c r="D8210">
        <v>36</v>
      </c>
    </row>
    <row r="8211" spans="1:4" ht="15" x14ac:dyDescent="0.25">
      <c r="A8211" t="s">
        <v>21710</v>
      </c>
      <c r="B8211">
        <v>1</v>
      </c>
      <c r="C8211">
        <v>36</v>
      </c>
      <c r="D8211">
        <v>36</v>
      </c>
    </row>
    <row r="8212" spans="1:4" ht="15" x14ac:dyDescent="0.25">
      <c r="A8212" t="s">
        <v>21714</v>
      </c>
      <c r="B8212">
        <v>1</v>
      </c>
      <c r="C8212">
        <v>10</v>
      </c>
      <c r="D8212">
        <v>10</v>
      </c>
    </row>
    <row r="8213" spans="1:4" ht="15" x14ac:dyDescent="0.25">
      <c r="A8213" t="s">
        <v>21715</v>
      </c>
      <c r="B8213">
        <v>1</v>
      </c>
      <c r="C8213">
        <v>10</v>
      </c>
      <c r="D8213">
        <v>10</v>
      </c>
    </row>
    <row r="8214" spans="1:4" ht="15" x14ac:dyDescent="0.25">
      <c r="A8214" t="s">
        <v>21718</v>
      </c>
      <c r="B8214">
        <v>1</v>
      </c>
      <c r="C8214">
        <v>38</v>
      </c>
      <c r="D8214">
        <v>38</v>
      </c>
    </row>
    <row r="8215" spans="1:4" ht="15" x14ac:dyDescent="0.25">
      <c r="A8215" t="s">
        <v>21719</v>
      </c>
      <c r="B8215">
        <v>1</v>
      </c>
      <c r="C8215">
        <v>38</v>
      </c>
      <c r="D8215">
        <v>38</v>
      </c>
    </row>
    <row r="8216" spans="1:4" ht="15" x14ac:dyDescent="0.25">
      <c r="A8216" t="s">
        <v>21721</v>
      </c>
      <c r="B8216">
        <v>1</v>
      </c>
      <c r="C8216">
        <v>38</v>
      </c>
      <c r="D8216">
        <v>38</v>
      </c>
    </row>
    <row r="8217" spans="1:4" ht="15" x14ac:dyDescent="0.25">
      <c r="A8217" t="s">
        <v>21720</v>
      </c>
      <c r="B8217">
        <v>1</v>
      </c>
      <c r="C8217">
        <v>38</v>
      </c>
      <c r="D8217">
        <v>38</v>
      </c>
    </row>
    <row r="8218" spans="1:4" ht="15" x14ac:dyDescent="0.25">
      <c r="A8218" t="s">
        <v>21725</v>
      </c>
      <c r="B8218">
        <v>1</v>
      </c>
      <c r="C8218">
        <v>39</v>
      </c>
      <c r="D8218">
        <v>39</v>
      </c>
    </row>
    <row r="8219" spans="1:4" ht="15" x14ac:dyDescent="0.25">
      <c r="A8219" t="s">
        <v>21726</v>
      </c>
      <c r="B8219">
        <v>1</v>
      </c>
      <c r="C8219">
        <v>39</v>
      </c>
      <c r="D8219">
        <v>39</v>
      </c>
    </row>
    <row r="8220" spans="1:4" ht="15" x14ac:dyDescent="0.25">
      <c r="A8220" t="s">
        <v>21728</v>
      </c>
      <c r="B8220">
        <v>4</v>
      </c>
      <c r="C8220">
        <v>150</v>
      </c>
      <c r="D8220">
        <v>37.5</v>
      </c>
    </row>
    <row r="8221" spans="1:4" ht="15" x14ac:dyDescent="0.25">
      <c r="A8221" t="s">
        <v>21729</v>
      </c>
      <c r="B8221">
        <v>1</v>
      </c>
      <c r="C8221">
        <v>39</v>
      </c>
      <c r="D8221">
        <v>39</v>
      </c>
    </row>
    <row r="8222" spans="1:4" ht="15" x14ac:dyDescent="0.25">
      <c r="A8222" t="s">
        <v>21727</v>
      </c>
      <c r="B8222">
        <v>1</v>
      </c>
      <c r="C8222">
        <v>39</v>
      </c>
      <c r="D8222">
        <v>39</v>
      </c>
    </row>
    <row r="8223" spans="1:4" ht="15" x14ac:dyDescent="0.25">
      <c r="A8223" t="s">
        <v>21735</v>
      </c>
      <c r="B8223">
        <v>1</v>
      </c>
      <c r="C8223">
        <v>164</v>
      </c>
      <c r="D8223">
        <v>164</v>
      </c>
    </row>
    <row r="8224" spans="1:4" ht="15" x14ac:dyDescent="0.25">
      <c r="A8224" t="s">
        <v>21736</v>
      </c>
      <c r="B8224">
        <v>1</v>
      </c>
      <c r="C8224">
        <v>164</v>
      </c>
      <c r="D8224">
        <v>164</v>
      </c>
    </row>
    <row r="8225" spans="1:4" ht="15" x14ac:dyDescent="0.25">
      <c r="A8225" t="s">
        <v>21744</v>
      </c>
      <c r="B8225">
        <v>1</v>
      </c>
      <c r="C8225">
        <v>19</v>
      </c>
      <c r="D8225">
        <v>19</v>
      </c>
    </row>
    <row r="8226" spans="1:4" ht="15" x14ac:dyDescent="0.25">
      <c r="A8226" t="s">
        <v>21749</v>
      </c>
      <c r="B8226">
        <v>2</v>
      </c>
      <c r="C8226">
        <v>111</v>
      </c>
      <c r="D8226">
        <v>55.5</v>
      </c>
    </row>
    <row r="8227" spans="1:4" ht="15" x14ac:dyDescent="0.25">
      <c r="A8227" t="s">
        <v>21756</v>
      </c>
      <c r="B8227">
        <v>3</v>
      </c>
      <c r="C8227">
        <v>278</v>
      </c>
      <c r="D8227">
        <v>92.666666666666671</v>
      </c>
    </row>
    <row r="8228" spans="1:4" ht="15" x14ac:dyDescent="0.25">
      <c r="A8228" t="s">
        <v>21757</v>
      </c>
      <c r="B8228">
        <v>3</v>
      </c>
      <c r="C8228">
        <v>466</v>
      </c>
      <c r="D8228">
        <v>155.33333333333334</v>
      </c>
    </row>
    <row r="8229" spans="1:4" ht="15" x14ac:dyDescent="0.25">
      <c r="A8229" t="s">
        <v>21759</v>
      </c>
      <c r="B8229">
        <v>1</v>
      </c>
      <c r="C8229">
        <v>48</v>
      </c>
      <c r="D8229">
        <v>48</v>
      </c>
    </row>
    <row r="8230" spans="1:4" ht="15" x14ac:dyDescent="0.25">
      <c r="A8230" t="s">
        <v>21758</v>
      </c>
      <c r="B8230">
        <v>2</v>
      </c>
      <c r="C8230">
        <v>134</v>
      </c>
      <c r="D8230">
        <v>67</v>
      </c>
    </row>
    <row r="8231" spans="1:4" ht="15" x14ac:dyDescent="0.25">
      <c r="A8231" t="s">
        <v>21766</v>
      </c>
      <c r="B8231">
        <v>2</v>
      </c>
      <c r="C8231">
        <v>15</v>
      </c>
      <c r="D8231">
        <v>7.5</v>
      </c>
    </row>
    <row r="8232" spans="1:4" ht="15" x14ac:dyDescent="0.25">
      <c r="A8232" t="s">
        <v>21767</v>
      </c>
      <c r="B8232">
        <v>2</v>
      </c>
      <c r="C8232">
        <v>15</v>
      </c>
      <c r="D8232">
        <v>7.5</v>
      </c>
    </row>
    <row r="8233" spans="1:4" ht="15" x14ac:dyDescent="0.25">
      <c r="A8233" t="s">
        <v>21765</v>
      </c>
      <c r="B8233">
        <v>1</v>
      </c>
      <c r="C8233">
        <v>5</v>
      </c>
      <c r="D8233">
        <v>5</v>
      </c>
    </row>
    <row r="8234" spans="1:4" ht="15" x14ac:dyDescent="0.25">
      <c r="A8234" t="s">
        <v>21771</v>
      </c>
      <c r="B8234">
        <v>1</v>
      </c>
      <c r="C8234">
        <v>53</v>
      </c>
      <c r="D8234">
        <v>53</v>
      </c>
    </row>
    <row r="8235" spans="1:4" ht="15" x14ac:dyDescent="0.25">
      <c r="A8235" t="s">
        <v>21773</v>
      </c>
      <c r="B8235">
        <v>1</v>
      </c>
      <c r="C8235">
        <v>53</v>
      </c>
      <c r="D8235">
        <v>53</v>
      </c>
    </row>
    <row r="8236" spans="1:4" ht="15" x14ac:dyDescent="0.25">
      <c r="A8236" t="s">
        <v>21772</v>
      </c>
      <c r="B8236">
        <v>1</v>
      </c>
      <c r="C8236">
        <v>53</v>
      </c>
      <c r="D8236">
        <v>53</v>
      </c>
    </row>
    <row r="8237" spans="1:4" ht="15" x14ac:dyDescent="0.25">
      <c r="A8237" t="s">
        <v>21777</v>
      </c>
      <c r="B8237">
        <v>1</v>
      </c>
      <c r="C8237">
        <v>29</v>
      </c>
      <c r="D8237">
        <v>29</v>
      </c>
    </row>
    <row r="8238" spans="1:4" ht="15" x14ac:dyDescent="0.25">
      <c r="A8238" t="s">
        <v>21780</v>
      </c>
      <c r="B8238">
        <v>1</v>
      </c>
      <c r="C8238">
        <v>723</v>
      </c>
      <c r="D8238">
        <v>723</v>
      </c>
    </row>
    <row r="8239" spans="1:4" ht="15" x14ac:dyDescent="0.25">
      <c r="A8239" t="s">
        <v>21782</v>
      </c>
      <c r="B8239">
        <v>1</v>
      </c>
      <c r="C8239">
        <v>723</v>
      </c>
      <c r="D8239">
        <v>723</v>
      </c>
    </row>
    <row r="8240" spans="1:4" ht="15" x14ac:dyDescent="0.25">
      <c r="A8240" t="s">
        <v>21781</v>
      </c>
      <c r="B8240">
        <v>1</v>
      </c>
      <c r="C8240">
        <v>723</v>
      </c>
      <c r="D8240">
        <v>723</v>
      </c>
    </row>
    <row r="8241" spans="1:4" ht="15" x14ac:dyDescent="0.25">
      <c r="A8241" t="s">
        <v>21788</v>
      </c>
      <c r="B8241">
        <v>1</v>
      </c>
      <c r="C8241">
        <v>19</v>
      </c>
      <c r="D8241">
        <v>19</v>
      </c>
    </row>
    <row r="8242" spans="1:4" ht="15" x14ac:dyDescent="0.25">
      <c r="A8242" t="s">
        <v>21789</v>
      </c>
      <c r="B8242">
        <v>1</v>
      </c>
      <c r="C8242">
        <v>19</v>
      </c>
      <c r="D8242">
        <v>19</v>
      </c>
    </row>
    <row r="8243" spans="1:4" ht="15" x14ac:dyDescent="0.25">
      <c r="A8243" t="s">
        <v>21790</v>
      </c>
      <c r="B8243">
        <v>1</v>
      </c>
      <c r="C8243">
        <v>19</v>
      </c>
      <c r="D8243">
        <v>19</v>
      </c>
    </row>
    <row r="8244" spans="1:4" ht="15" x14ac:dyDescent="0.25">
      <c r="A8244" t="s">
        <v>21794</v>
      </c>
      <c r="B8244">
        <v>1</v>
      </c>
      <c r="C8244">
        <v>65</v>
      </c>
      <c r="D8244">
        <v>65</v>
      </c>
    </row>
    <row r="8245" spans="1:4" ht="15" x14ac:dyDescent="0.25">
      <c r="A8245" t="s">
        <v>21795</v>
      </c>
      <c r="B8245">
        <v>1</v>
      </c>
      <c r="C8245">
        <v>65</v>
      </c>
      <c r="D8245">
        <v>65</v>
      </c>
    </row>
    <row r="8246" spans="1:4" ht="15" x14ac:dyDescent="0.25">
      <c r="A8246" t="s">
        <v>21796</v>
      </c>
      <c r="B8246">
        <v>1</v>
      </c>
      <c r="C8246">
        <v>65</v>
      </c>
      <c r="D8246">
        <v>65</v>
      </c>
    </row>
    <row r="8247" spans="1:4" ht="15" x14ac:dyDescent="0.25">
      <c r="A8247" t="s">
        <v>21797</v>
      </c>
      <c r="B8247">
        <v>1</v>
      </c>
      <c r="C8247">
        <v>65</v>
      </c>
      <c r="D8247">
        <v>65</v>
      </c>
    </row>
    <row r="8248" spans="1:4" ht="15" x14ac:dyDescent="0.25">
      <c r="A8248" t="s">
        <v>21801</v>
      </c>
      <c r="B8248">
        <v>1</v>
      </c>
      <c r="C8248">
        <v>18</v>
      </c>
      <c r="D8248">
        <v>18</v>
      </c>
    </row>
    <row r="8249" spans="1:4" ht="15" x14ac:dyDescent="0.25">
      <c r="A8249" t="s">
        <v>21806</v>
      </c>
      <c r="B8249">
        <v>1</v>
      </c>
      <c r="C8249">
        <v>11</v>
      </c>
      <c r="D8249">
        <v>11</v>
      </c>
    </row>
    <row r="8250" spans="1:4" ht="15" x14ac:dyDescent="0.25">
      <c r="A8250" t="s">
        <v>21810</v>
      </c>
      <c r="B8250">
        <v>1</v>
      </c>
      <c r="C8250">
        <v>22</v>
      </c>
      <c r="D8250">
        <v>22</v>
      </c>
    </row>
    <row r="8251" spans="1:4" ht="15" x14ac:dyDescent="0.25">
      <c r="A8251" t="s">
        <v>21811</v>
      </c>
      <c r="B8251">
        <v>1</v>
      </c>
      <c r="C8251">
        <v>22</v>
      </c>
      <c r="D8251">
        <v>22</v>
      </c>
    </row>
    <row r="8252" spans="1:4" ht="15" x14ac:dyDescent="0.25">
      <c r="A8252" t="s">
        <v>21814</v>
      </c>
      <c r="B8252">
        <v>1</v>
      </c>
      <c r="C8252">
        <v>50</v>
      </c>
      <c r="D8252">
        <v>50</v>
      </c>
    </row>
    <row r="8253" spans="1:4" ht="15" x14ac:dyDescent="0.25">
      <c r="A8253" t="s">
        <v>21818</v>
      </c>
      <c r="B8253">
        <v>3</v>
      </c>
      <c r="C8253">
        <v>689</v>
      </c>
      <c r="D8253">
        <v>229.66666666666666</v>
      </c>
    </row>
    <row r="8254" spans="1:4" ht="15" x14ac:dyDescent="0.25">
      <c r="A8254" t="s">
        <v>21819</v>
      </c>
      <c r="B8254">
        <v>2</v>
      </c>
      <c r="C8254">
        <v>239</v>
      </c>
      <c r="D8254">
        <v>119.5</v>
      </c>
    </row>
    <row r="8255" spans="1:4" ht="15" x14ac:dyDescent="0.25">
      <c r="A8255" t="s">
        <v>21822</v>
      </c>
      <c r="B8255">
        <v>2</v>
      </c>
      <c r="C8255">
        <v>62</v>
      </c>
      <c r="D8255">
        <v>31</v>
      </c>
    </row>
    <row r="8256" spans="1:4" ht="15" x14ac:dyDescent="0.25">
      <c r="A8256" t="s">
        <v>21826</v>
      </c>
      <c r="B8256">
        <v>1</v>
      </c>
      <c r="C8256">
        <v>17</v>
      </c>
      <c r="D8256">
        <v>17</v>
      </c>
    </row>
    <row r="8257" spans="1:4" ht="15" x14ac:dyDescent="0.25">
      <c r="A8257" t="s">
        <v>21827</v>
      </c>
      <c r="B8257">
        <v>1</v>
      </c>
      <c r="C8257">
        <v>17</v>
      </c>
      <c r="D8257">
        <v>17</v>
      </c>
    </row>
    <row r="8258" spans="1:4" ht="15" x14ac:dyDescent="0.25">
      <c r="A8258" t="s">
        <v>21829</v>
      </c>
      <c r="B8258">
        <v>1</v>
      </c>
      <c r="C8258">
        <v>17</v>
      </c>
      <c r="D8258">
        <v>17</v>
      </c>
    </row>
    <row r="8259" spans="1:4" ht="15" x14ac:dyDescent="0.25">
      <c r="A8259" t="s">
        <v>21828</v>
      </c>
      <c r="B8259">
        <v>1</v>
      </c>
      <c r="C8259">
        <v>17</v>
      </c>
      <c r="D8259">
        <v>17</v>
      </c>
    </row>
    <row r="8260" spans="1:4" ht="15" x14ac:dyDescent="0.25">
      <c r="A8260" t="s">
        <v>21833</v>
      </c>
      <c r="B8260">
        <v>1</v>
      </c>
      <c r="C8260">
        <v>31</v>
      </c>
      <c r="D8260">
        <v>31</v>
      </c>
    </row>
    <row r="8261" spans="1:4" ht="15" x14ac:dyDescent="0.25">
      <c r="A8261" t="s">
        <v>21834</v>
      </c>
      <c r="B8261">
        <v>2</v>
      </c>
      <c r="C8261">
        <v>53</v>
      </c>
      <c r="D8261">
        <v>26.5</v>
      </c>
    </row>
    <row r="8262" spans="1:4" ht="15" x14ac:dyDescent="0.25">
      <c r="A8262" t="s">
        <v>21836</v>
      </c>
      <c r="B8262">
        <v>1</v>
      </c>
      <c r="C8262">
        <v>31</v>
      </c>
      <c r="D8262">
        <v>31</v>
      </c>
    </row>
    <row r="8263" spans="1:4" ht="15" x14ac:dyDescent="0.25">
      <c r="A8263" t="s">
        <v>21837</v>
      </c>
      <c r="B8263">
        <v>1</v>
      </c>
      <c r="C8263">
        <v>31</v>
      </c>
      <c r="D8263">
        <v>31</v>
      </c>
    </row>
    <row r="8264" spans="1:4" ht="15" x14ac:dyDescent="0.25">
      <c r="A8264" t="s">
        <v>21835</v>
      </c>
      <c r="B8264">
        <v>1</v>
      </c>
      <c r="C8264">
        <v>31</v>
      </c>
      <c r="D8264">
        <v>31</v>
      </c>
    </row>
    <row r="8265" spans="1:4" ht="15" x14ac:dyDescent="0.25">
      <c r="A8265" t="s">
        <v>21845</v>
      </c>
      <c r="B8265">
        <v>1</v>
      </c>
      <c r="C8265">
        <v>659</v>
      </c>
      <c r="D8265">
        <v>659</v>
      </c>
    </row>
    <row r="8266" spans="1:4" ht="15" x14ac:dyDescent="0.25">
      <c r="A8266" t="s">
        <v>21846</v>
      </c>
      <c r="B8266">
        <v>1</v>
      </c>
      <c r="C8266">
        <v>659</v>
      </c>
      <c r="D8266">
        <v>659</v>
      </c>
    </row>
    <row r="8267" spans="1:4" ht="15" x14ac:dyDescent="0.25">
      <c r="A8267" t="s">
        <v>21847</v>
      </c>
      <c r="B8267">
        <v>2</v>
      </c>
      <c r="C8267">
        <v>718</v>
      </c>
      <c r="D8267">
        <v>359</v>
      </c>
    </row>
    <row r="8268" spans="1:4" ht="15" x14ac:dyDescent="0.25">
      <c r="A8268" t="s">
        <v>21852</v>
      </c>
      <c r="B8268">
        <v>2</v>
      </c>
      <c r="C8268">
        <v>31</v>
      </c>
      <c r="D8268">
        <v>15.5</v>
      </c>
    </row>
    <row r="8269" spans="1:4" ht="15" x14ac:dyDescent="0.25">
      <c r="A8269" t="s">
        <v>21853</v>
      </c>
      <c r="B8269">
        <v>1</v>
      </c>
      <c r="C8269">
        <v>29</v>
      </c>
      <c r="D8269">
        <v>29</v>
      </c>
    </row>
    <row r="8270" spans="1:4" ht="15" x14ac:dyDescent="0.25">
      <c r="A8270" t="s">
        <v>21857</v>
      </c>
      <c r="B8270">
        <v>1</v>
      </c>
      <c r="C8270">
        <v>124</v>
      </c>
      <c r="D8270">
        <v>124</v>
      </c>
    </row>
    <row r="8271" spans="1:4" ht="15" x14ac:dyDescent="0.25">
      <c r="A8271" t="s">
        <v>21860</v>
      </c>
      <c r="B8271">
        <v>1</v>
      </c>
      <c r="C8271">
        <v>139</v>
      </c>
      <c r="D8271">
        <v>139</v>
      </c>
    </row>
    <row r="8272" spans="1:4" ht="15" x14ac:dyDescent="0.25">
      <c r="A8272" t="s">
        <v>21869</v>
      </c>
      <c r="B8272">
        <v>1</v>
      </c>
      <c r="C8272">
        <v>57</v>
      </c>
      <c r="D8272">
        <v>57</v>
      </c>
    </row>
    <row r="8273" spans="1:4" ht="15" x14ac:dyDescent="0.25">
      <c r="A8273" t="s">
        <v>21870</v>
      </c>
      <c r="B8273">
        <v>1</v>
      </c>
      <c r="C8273">
        <v>57</v>
      </c>
      <c r="D8273">
        <v>57</v>
      </c>
    </row>
    <row r="8274" spans="1:4" ht="15" x14ac:dyDescent="0.25">
      <c r="A8274" t="s">
        <v>21874</v>
      </c>
      <c r="B8274">
        <v>1</v>
      </c>
      <c r="C8274">
        <v>809</v>
      </c>
      <c r="D8274">
        <v>809</v>
      </c>
    </row>
    <row r="8275" spans="1:4" ht="15" x14ac:dyDescent="0.25">
      <c r="A8275" t="s">
        <v>21875</v>
      </c>
      <c r="B8275">
        <v>1</v>
      </c>
      <c r="C8275">
        <v>809</v>
      </c>
      <c r="D8275">
        <v>809</v>
      </c>
    </row>
    <row r="8276" spans="1:4" ht="15" x14ac:dyDescent="0.25">
      <c r="A8276" t="s">
        <v>21880</v>
      </c>
      <c r="B8276">
        <v>1</v>
      </c>
      <c r="C8276">
        <v>15</v>
      </c>
      <c r="D8276">
        <v>15</v>
      </c>
    </row>
    <row r="8277" spans="1:4" ht="15" x14ac:dyDescent="0.25">
      <c r="A8277" t="s">
        <v>21881</v>
      </c>
      <c r="B8277">
        <v>1</v>
      </c>
      <c r="C8277">
        <v>15</v>
      </c>
      <c r="D8277">
        <v>15</v>
      </c>
    </row>
    <row r="8278" spans="1:4" ht="15" x14ac:dyDescent="0.25">
      <c r="A8278" t="s">
        <v>21882</v>
      </c>
      <c r="B8278">
        <v>1</v>
      </c>
      <c r="C8278">
        <v>15</v>
      </c>
      <c r="D8278">
        <v>15</v>
      </c>
    </row>
    <row r="8279" spans="1:4" ht="15" x14ac:dyDescent="0.25">
      <c r="A8279" t="s">
        <v>21885</v>
      </c>
      <c r="B8279">
        <v>1</v>
      </c>
      <c r="C8279">
        <v>285</v>
      </c>
      <c r="D8279">
        <v>285</v>
      </c>
    </row>
    <row r="8280" spans="1:4" ht="15" x14ac:dyDescent="0.25">
      <c r="A8280" t="s">
        <v>21886</v>
      </c>
      <c r="B8280">
        <v>1</v>
      </c>
      <c r="C8280">
        <v>285</v>
      </c>
      <c r="D8280">
        <v>285</v>
      </c>
    </row>
    <row r="8281" spans="1:4" ht="15" x14ac:dyDescent="0.25">
      <c r="A8281" t="s">
        <v>21888</v>
      </c>
      <c r="B8281">
        <v>1</v>
      </c>
      <c r="C8281">
        <v>285</v>
      </c>
      <c r="D8281">
        <v>285</v>
      </c>
    </row>
    <row r="8282" spans="1:4" ht="15" x14ac:dyDescent="0.25">
      <c r="A8282" t="s">
        <v>21887</v>
      </c>
      <c r="B8282">
        <v>1</v>
      </c>
      <c r="C8282">
        <v>285</v>
      </c>
      <c r="D8282">
        <v>285</v>
      </c>
    </row>
    <row r="8283" spans="1:4" ht="15" x14ac:dyDescent="0.25">
      <c r="A8283" t="s">
        <v>21892</v>
      </c>
      <c r="B8283">
        <v>1</v>
      </c>
      <c r="C8283">
        <v>53</v>
      </c>
      <c r="D8283">
        <v>53</v>
      </c>
    </row>
    <row r="8284" spans="1:4" ht="15" x14ac:dyDescent="0.25">
      <c r="A8284" t="s">
        <v>21896</v>
      </c>
      <c r="B8284">
        <v>1</v>
      </c>
      <c r="C8284">
        <v>56</v>
      </c>
      <c r="D8284">
        <v>56</v>
      </c>
    </row>
    <row r="8285" spans="1:4" ht="15" x14ac:dyDescent="0.25">
      <c r="A8285" t="s">
        <v>21897</v>
      </c>
      <c r="B8285">
        <v>1</v>
      </c>
      <c r="C8285">
        <v>56</v>
      </c>
      <c r="D8285">
        <v>56</v>
      </c>
    </row>
    <row r="8286" spans="1:4" ht="15" x14ac:dyDescent="0.25">
      <c r="A8286" t="s">
        <v>21898</v>
      </c>
      <c r="B8286">
        <v>1</v>
      </c>
      <c r="C8286">
        <v>56</v>
      </c>
      <c r="D8286">
        <v>56</v>
      </c>
    </row>
    <row r="8287" spans="1:4" ht="15" x14ac:dyDescent="0.25">
      <c r="A8287" t="s">
        <v>21903</v>
      </c>
      <c r="B8287">
        <v>1</v>
      </c>
      <c r="C8287">
        <v>176</v>
      </c>
      <c r="D8287">
        <v>176</v>
      </c>
    </row>
    <row r="8288" spans="1:4" ht="15" x14ac:dyDescent="0.25">
      <c r="A8288" t="s">
        <v>21905</v>
      </c>
      <c r="B8288">
        <v>1</v>
      </c>
      <c r="C8288">
        <v>176</v>
      </c>
      <c r="D8288">
        <v>176</v>
      </c>
    </row>
    <row r="8289" spans="1:4" ht="15" x14ac:dyDescent="0.25">
      <c r="A8289" t="s">
        <v>21904</v>
      </c>
      <c r="B8289">
        <v>1</v>
      </c>
      <c r="C8289">
        <v>176</v>
      </c>
      <c r="D8289">
        <v>176</v>
      </c>
    </row>
    <row r="8290" spans="1:4" ht="15" x14ac:dyDescent="0.25">
      <c r="A8290" t="s">
        <v>21909</v>
      </c>
      <c r="B8290">
        <v>1</v>
      </c>
      <c r="C8290">
        <v>22</v>
      </c>
      <c r="D8290">
        <v>22</v>
      </c>
    </row>
    <row r="8291" spans="1:4" ht="15" x14ac:dyDescent="0.25">
      <c r="A8291" t="s">
        <v>21910</v>
      </c>
      <c r="B8291">
        <v>3</v>
      </c>
      <c r="C8291">
        <v>59</v>
      </c>
      <c r="D8291">
        <v>19.666666666666668</v>
      </c>
    </row>
    <row r="8292" spans="1:4" ht="15" x14ac:dyDescent="0.25">
      <c r="A8292" t="s">
        <v>21915</v>
      </c>
      <c r="B8292">
        <v>1</v>
      </c>
      <c r="C8292">
        <v>2945</v>
      </c>
      <c r="D8292">
        <v>2945</v>
      </c>
    </row>
    <row r="8293" spans="1:4" ht="15" x14ac:dyDescent="0.25">
      <c r="A8293" t="s">
        <v>21916</v>
      </c>
      <c r="B8293">
        <v>3</v>
      </c>
      <c r="C8293">
        <v>8091</v>
      </c>
      <c r="D8293">
        <v>2697</v>
      </c>
    </row>
    <row r="8294" spans="1:4" ht="15" x14ac:dyDescent="0.25">
      <c r="A8294" t="s">
        <v>21921</v>
      </c>
      <c r="B8294">
        <v>1</v>
      </c>
      <c r="C8294">
        <v>24</v>
      </c>
      <c r="D8294">
        <v>24</v>
      </c>
    </row>
    <row r="8295" spans="1:4" ht="15" x14ac:dyDescent="0.25">
      <c r="A8295" t="s">
        <v>21922</v>
      </c>
      <c r="B8295">
        <v>1</v>
      </c>
      <c r="C8295">
        <v>24</v>
      </c>
      <c r="D8295">
        <v>24</v>
      </c>
    </row>
    <row r="8296" spans="1:4" ht="15" x14ac:dyDescent="0.25">
      <c r="A8296" t="s">
        <v>21923</v>
      </c>
      <c r="B8296">
        <v>1</v>
      </c>
      <c r="C8296">
        <v>24</v>
      </c>
      <c r="D8296">
        <v>24</v>
      </c>
    </row>
    <row r="8297" spans="1:4" ht="15" x14ac:dyDescent="0.25">
      <c r="A8297" t="s">
        <v>21926</v>
      </c>
      <c r="B8297">
        <v>1</v>
      </c>
      <c r="C8297">
        <v>30</v>
      </c>
      <c r="D8297">
        <v>30</v>
      </c>
    </row>
    <row r="8298" spans="1:4" ht="15" x14ac:dyDescent="0.25">
      <c r="A8298" t="s">
        <v>21930</v>
      </c>
      <c r="B8298">
        <v>1</v>
      </c>
      <c r="C8298">
        <v>2</v>
      </c>
      <c r="D8298">
        <v>2</v>
      </c>
    </row>
    <row r="8299" spans="1:4" ht="15" x14ac:dyDescent="0.25">
      <c r="A8299" t="s">
        <v>21931</v>
      </c>
      <c r="B8299">
        <v>1</v>
      </c>
      <c r="C8299">
        <v>2</v>
      </c>
      <c r="D8299">
        <v>2</v>
      </c>
    </row>
    <row r="8300" spans="1:4" ht="15" x14ac:dyDescent="0.25">
      <c r="A8300" t="s">
        <v>21932</v>
      </c>
      <c r="B8300">
        <v>1</v>
      </c>
      <c r="C8300">
        <v>2</v>
      </c>
      <c r="D8300">
        <v>2</v>
      </c>
    </row>
    <row r="8301" spans="1:4" ht="15" x14ac:dyDescent="0.25">
      <c r="A8301" t="s">
        <v>21937</v>
      </c>
      <c r="B8301">
        <v>1</v>
      </c>
      <c r="C8301">
        <v>34</v>
      </c>
      <c r="D8301">
        <v>34</v>
      </c>
    </row>
    <row r="8302" spans="1:4" ht="15" x14ac:dyDescent="0.25">
      <c r="A8302" t="s">
        <v>21938</v>
      </c>
      <c r="B8302">
        <v>1</v>
      </c>
      <c r="C8302">
        <v>34</v>
      </c>
      <c r="D8302">
        <v>34</v>
      </c>
    </row>
    <row r="8303" spans="1:4" ht="15" x14ac:dyDescent="0.25">
      <c r="A8303" t="s">
        <v>21943</v>
      </c>
      <c r="B8303">
        <v>1</v>
      </c>
      <c r="C8303">
        <v>21</v>
      </c>
      <c r="D8303">
        <v>21</v>
      </c>
    </row>
    <row r="8304" spans="1:4" ht="15" x14ac:dyDescent="0.25">
      <c r="A8304" t="s">
        <v>21942</v>
      </c>
      <c r="B8304">
        <v>1</v>
      </c>
      <c r="C8304">
        <v>21</v>
      </c>
      <c r="D8304">
        <v>21</v>
      </c>
    </row>
    <row r="8305" spans="1:4" ht="15" x14ac:dyDescent="0.25">
      <c r="A8305" t="s">
        <v>21947</v>
      </c>
      <c r="B8305">
        <v>1</v>
      </c>
      <c r="C8305">
        <v>7</v>
      </c>
      <c r="D8305">
        <v>7</v>
      </c>
    </row>
    <row r="8306" spans="1:4" ht="15" x14ac:dyDescent="0.25">
      <c r="A8306" t="s">
        <v>21948</v>
      </c>
      <c r="B8306">
        <v>1</v>
      </c>
      <c r="C8306">
        <v>7</v>
      </c>
      <c r="D8306">
        <v>7</v>
      </c>
    </row>
    <row r="8307" spans="1:4" ht="15" x14ac:dyDescent="0.25">
      <c r="A8307" t="s">
        <v>21950</v>
      </c>
      <c r="B8307">
        <v>2</v>
      </c>
      <c r="C8307">
        <v>43</v>
      </c>
      <c r="D8307">
        <v>21.5</v>
      </c>
    </row>
    <row r="8308" spans="1:4" ht="15" x14ac:dyDescent="0.25">
      <c r="A8308" t="s">
        <v>21951</v>
      </c>
      <c r="B8308">
        <v>1</v>
      </c>
      <c r="C8308">
        <v>7</v>
      </c>
      <c r="D8308">
        <v>7</v>
      </c>
    </row>
    <row r="8309" spans="1:4" ht="15" x14ac:dyDescent="0.25">
      <c r="A8309" t="s">
        <v>21949</v>
      </c>
      <c r="B8309">
        <v>1</v>
      </c>
      <c r="C8309">
        <v>7</v>
      </c>
      <c r="D8309">
        <v>7</v>
      </c>
    </row>
    <row r="8310" spans="1:4" ht="15" x14ac:dyDescent="0.25">
      <c r="A8310" t="s">
        <v>21955</v>
      </c>
      <c r="B8310">
        <v>1</v>
      </c>
      <c r="C8310">
        <v>57</v>
      </c>
      <c r="D8310">
        <v>57</v>
      </c>
    </row>
    <row r="8311" spans="1:4" ht="15" x14ac:dyDescent="0.25">
      <c r="A8311" t="s">
        <v>21956</v>
      </c>
      <c r="B8311">
        <v>1</v>
      </c>
      <c r="C8311">
        <v>57</v>
      </c>
      <c r="D8311">
        <v>57</v>
      </c>
    </row>
    <row r="8312" spans="1:4" ht="15" x14ac:dyDescent="0.25">
      <c r="A8312" t="s">
        <v>21962</v>
      </c>
      <c r="B8312">
        <v>1</v>
      </c>
      <c r="C8312">
        <v>7</v>
      </c>
      <c r="D8312">
        <v>7</v>
      </c>
    </row>
    <row r="8313" spans="1:4" ht="15" x14ac:dyDescent="0.25">
      <c r="A8313" t="s">
        <v>21965</v>
      </c>
      <c r="B8313">
        <v>1</v>
      </c>
      <c r="C8313">
        <v>7</v>
      </c>
      <c r="D8313">
        <v>7</v>
      </c>
    </row>
    <row r="8314" spans="1:4" ht="15" x14ac:dyDescent="0.25">
      <c r="A8314" t="s">
        <v>21969</v>
      </c>
      <c r="B8314">
        <v>1</v>
      </c>
      <c r="C8314">
        <v>50</v>
      </c>
      <c r="D8314">
        <v>50</v>
      </c>
    </row>
    <row r="8315" spans="1:4" ht="15" x14ac:dyDescent="0.25">
      <c r="A8315" t="s">
        <v>21971</v>
      </c>
      <c r="B8315">
        <v>2</v>
      </c>
      <c r="C8315">
        <v>89</v>
      </c>
      <c r="D8315">
        <v>44.5</v>
      </c>
    </row>
    <row r="8316" spans="1:4" ht="15" x14ac:dyDescent="0.25">
      <c r="A8316" t="s">
        <v>21972</v>
      </c>
      <c r="B8316">
        <v>1</v>
      </c>
      <c r="C8316">
        <v>50</v>
      </c>
      <c r="D8316">
        <v>50</v>
      </c>
    </row>
    <row r="8317" spans="1:4" ht="15" x14ac:dyDescent="0.25">
      <c r="A8317" t="s">
        <v>21970</v>
      </c>
      <c r="B8317">
        <v>1</v>
      </c>
      <c r="C8317">
        <v>50</v>
      </c>
      <c r="D8317">
        <v>50</v>
      </c>
    </row>
    <row r="8318" spans="1:4" ht="15" x14ac:dyDescent="0.25">
      <c r="A8318" t="s">
        <v>21976</v>
      </c>
      <c r="B8318">
        <v>2</v>
      </c>
      <c r="C8318">
        <v>102</v>
      </c>
      <c r="D8318">
        <v>51</v>
      </c>
    </row>
    <row r="8319" spans="1:4" ht="15" x14ac:dyDescent="0.25">
      <c r="A8319" t="s">
        <v>21977</v>
      </c>
      <c r="B8319">
        <v>1</v>
      </c>
      <c r="C8319">
        <v>65</v>
      </c>
      <c r="D8319">
        <v>65</v>
      </c>
    </row>
    <row r="8320" spans="1:4" ht="15" x14ac:dyDescent="0.25">
      <c r="A8320" t="s">
        <v>21979</v>
      </c>
      <c r="B8320">
        <v>1</v>
      </c>
      <c r="C8320">
        <v>65</v>
      </c>
      <c r="D8320">
        <v>65</v>
      </c>
    </row>
    <row r="8321" spans="1:4" ht="15" x14ac:dyDescent="0.25">
      <c r="A8321" t="s">
        <v>21978</v>
      </c>
      <c r="B8321">
        <v>1</v>
      </c>
      <c r="C8321">
        <v>65</v>
      </c>
      <c r="D8321">
        <v>65</v>
      </c>
    </row>
    <row r="8322" spans="1:4" ht="15" x14ac:dyDescent="0.25">
      <c r="A8322" t="s">
        <v>21990</v>
      </c>
      <c r="B8322">
        <v>1</v>
      </c>
      <c r="C8322">
        <v>47</v>
      </c>
      <c r="D8322">
        <v>47</v>
      </c>
    </row>
    <row r="8323" spans="1:4" ht="15" x14ac:dyDescent="0.25">
      <c r="A8323" t="s">
        <v>21991</v>
      </c>
      <c r="B8323">
        <v>1</v>
      </c>
      <c r="C8323">
        <v>47</v>
      </c>
      <c r="D8323">
        <v>47</v>
      </c>
    </row>
    <row r="8324" spans="1:4" ht="15" x14ac:dyDescent="0.25">
      <c r="A8324" t="s">
        <v>21994</v>
      </c>
      <c r="B8324">
        <v>1</v>
      </c>
      <c r="C8324">
        <v>102</v>
      </c>
      <c r="D8324">
        <v>102</v>
      </c>
    </row>
    <row r="8325" spans="1:4" ht="15" x14ac:dyDescent="0.25">
      <c r="A8325" t="s">
        <v>21995</v>
      </c>
      <c r="B8325">
        <v>1</v>
      </c>
      <c r="C8325">
        <v>102</v>
      </c>
      <c r="D8325">
        <v>102</v>
      </c>
    </row>
    <row r="8326" spans="1:4" ht="15" x14ac:dyDescent="0.25">
      <c r="A8326" t="s">
        <v>21996</v>
      </c>
      <c r="B8326">
        <v>1</v>
      </c>
      <c r="C8326">
        <v>102</v>
      </c>
      <c r="D8326">
        <v>102</v>
      </c>
    </row>
    <row r="8327" spans="1:4" ht="15" x14ac:dyDescent="0.25">
      <c r="A8327" t="s">
        <v>22000</v>
      </c>
      <c r="B8327">
        <v>1</v>
      </c>
      <c r="C8327">
        <v>77</v>
      </c>
      <c r="D8327">
        <v>77</v>
      </c>
    </row>
    <row r="8328" spans="1:4" ht="15" x14ac:dyDescent="0.25">
      <c r="A8328" t="s">
        <v>22001</v>
      </c>
      <c r="B8328">
        <v>1</v>
      </c>
      <c r="C8328">
        <v>77</v>
      </c>
      <c r="D8328">
        <v>77</v>
      </c>
    </row>
    <row r="8329" spans="1:4" ht="15" x14ac:dyDescent="0.25">
      <c r="A8329" t="s">
        <v>22003</v>
      </c>
      <c r="B8329">
        <v>1</v>
      </c>
      <c r="C8329">
        <v>77</v>
      </c>
      <c r="D8329">
        <v>77</v>
      </c>
    </row>
    <row r="8330" spans="1:4" ht="15" x14ac:dyDescent="0.25">
      <c r="A8330" t="s">
        <v>22004</v>
      </c>
      <c r="B8330">
        <v>1</v>
      </c>
      <c r="C8330">
        <v>77</v>
      </c>
      <c r="D8330">
        <v>77</v>
      </c>
    </row>
    <row r="8331" spans="1:4" ht="15" x14ac:dyDescent="0.25">
      <c r="A8331" t="s">
        <v>22002</v>
      </c>
      <c r="B8331">
        <v>1</v>
      </c>
      <c r="C8331">
        <v>77</v>
      </c>
      <c r="D8331">
        <v>77</v>
      </c>
    </row>
    <row r="8332" spans="1:4" ht="15" x14ac:dyDescent="0.25">
      <c r="A8332" t="s">
        <v>22008</v>
      </c>
      <c r="B8332">
        <v>1</v>
      </c>
      <c r="C8332">
        <v>22</v>
      </c>
      <c r="D8332">
        <v>22</v>
      </c>
    </row>
    <row r="8333" spans="1:4" ht="15" x14ac:dyDescent="0.25">
      <c r="A8333" t="s">
        <v>22009</v>
      </c>
      <c r="B8333">
        <v>1</v>
      </c>
      <c r="C8333">
        <v>22</v>
      </c>
      <c r="D8333">
        <v>22</v>
      </c>
    </row>
    <row r="8334" spans="1:4" ht="15" x14ac:dyDescent="0.25">
      <c r="A8334" t="s">
        <v>22011</v>
      </c>
      <c r="B8334">
        <v>1</v>
      </c>
      <c r="C8334">
        <v>22</v>
      </c>
      <c r="D8334">
        <v>22</v>
      </c>
    </row>
    <row r="8335" spans="1:4" ht="15" x14ac:dyDescent="0.25">
      <c r="A8335" t="s">
        <v>22010</v>
      </c>
      <c r="B8335">
        <v>1</v>
      </c>
      <c r="C8335">
        <v>22</v>
      </c>
      <c r="D8335">
        <v>22</v>
      </c>
    </row>
    <row r="8336" spans="1:4" ht="15" x14ac:dyDescent="0.25">
      <c r="A8336" t="s">
        <v>22014</v>
      </c>
      <c r="B8336">
        <v>1</v>
      </c>
      <c r="C8336">
        <v>43</v>
      </c>
      <c r="D8336">
        <v>43</v>
      </c>
    </row>
    <row r="8337" spans="1:4" ht="15" x14ac:dyDescent="0.25">
      <c r="A8337" t="s">
        <v>22015</v>
      </c>
      <c r="B8337">
        <v>2</v>
      </c>
      <c r="C8337">
        <v>3005</v>
      </c>
      <c r="D8337">
        <v>1502.5</v>
      </c>
    </row>
    <row r="8338" spans="1:4" ht="15" x14ac:dyDescent="0.25">
      <c r="A8338" t="s">
        <v>22019</v>
      </c>
      <c r="B8338">
        <v>1</v>
      </c>
      <c r="C8338">
        <v>13</v>
      </c>
      <c r="D8338">
        <v>13</v>
      </c>
    </row>
    <row r="8339" spans="1:4" ht="15" x14ac:dyDescent="0.25">
      <c r="A8339" t="s">
        <v>22020</v>
      </c>
      <c r="B8339">
        <v>1</v>
      </c>
      <c r="C8339">
        <v>13</v>
      </c>
      <c r="D8339">
        <v>13</v>
      </c>
    </row>
    <row r="8340" spans="1:4" ht="15" x14ac:dyDescent="0.25">
      <c r="A8340" t="s">
        <v>22025</v>
      </c>
      <c r="B8340">
        <v>1</v>
      </c>
      <c r="C8340">
        <v>68</v>
      </c>
      <c r="D8340">
        <v>68</v>
      </c>
    </row>
    <row r="8341" spans="1:4" ht="15" x14ac:dyDescent="0.25">
      <c r="A8341" t="s">
        <v>22026</v>
      </c>
      <c r="B8341">
        <v>1</v>
      </c>
      <c r="C8341">
        <v>68</v>
      </c>
      <c r="D8341">
        <v>68</v>
      </c>
    </row>
    <row r="8342" spans="1:4" ht="15" x14ac:dyDescent="0.25">
      <c r="A8342" t="s">
        <v>22028</v>
      </c>
      <c r="B8342">
        <v>1</v>
      </c>
      <c r="C8342">
        <v>68</v>
      </c>
      <c r="D8342">
        <v>68</v>
      </c>
    </row>
    <row r="8343" spans="1:4" ht="15" x14ac:dyDescent="0.25">
      <c r="A8343" t="s">
        <v>22029</v>
      </c>
      <c r="B8343">
        <v>1</v>
      </c>
      <c r="C8343">
        <v>68</v>
      </c>
      <c r="D8343">
        <v>68</v>
      </c>
    </row>
    <row r="8344" spans="1:4" ht="15" x14ac:dyDescent="0.25">
      <c r="A8344" t="s">
        <v>22027</v>
      </c>
      <c r="B8344">
        <v>1</v>
      </c>
      <c r="C8344">
        <v>68</v>
      </c>
      <c r="D8344">
        <v>68</v>
      </c>
    </row>
    <row r="8345" spans="1:4" ht="15" x14ac:dyDescent="0.25">
      <c r="A8345" t="s">
        <v>22035</v>
      </c>
      <c r="B8345">
        <v>1</v>
      </c>
      <c r="C8345">
        <v>70</v>
      </c>
      <c r="D8345">
        <v>70</v>
      </c>
    </row>
    <row r="8346" spans="1:4" ht="15" x14ac:dyDescent="0.25">
      <c r="A8346" t="s">
        <v>22037</v>
      </c>
      <c r="B8346">
        <v>1</v>
      </c>
      <c r="C8346">
        <v>70</v>
      </c>
      <c r="D8346">
        <v>70</v>
      </c>
    </row>
    <row r="8347" spans="1:4" ht="15" x14ac:dyDescent="0.25">
      <c r="A8347" t="s">
        <v>22038</v>
      </c>
      <c r="B8347">
        <v>1</v>
      </c>
      <c r="C8347">
        <v>70</v>
      </c>
      <c r="D8347">
        <v>70</v>
      </c>
    </row>
    <row r="8348" spans="1:4" ht="15" x14ac:dyDescent="0.25">
      <c r="A8348" t="s">
        <v>22036</v>
      </c>
      <c r="B8348">
        <v>1</v>
      </c>
      <c r="C8348">
        <v>70</v>
      </c>
      <c r="D8348">
        <v>70</v>
      </c>
    </row>
    <row r="8349" spans="1:4" ht="15" x14ac:dyDescent="0.25">
      <c r="A8349" t="s">
        <v>22042</v>
      </c>
      <c r="B8349">
        <v>1</v>
      </c>
      <c r="C8349">
        <v>16</v>
      </c>
      <c r="D8349">
        <v>16</v>
      </c>
    </row>
    <row r="8350" spans="1:4" ht="15" x14ac:dyDescent="0.25">
      <c r="A8350" t="s">
        <v>22043</v>
      </c>
      <c r="B8350">
        <v>1</v>
      </c>
      <c r="C8350">
        <v>16</v>
      </c>
      <c r="D8350">
        <v>16</v>
      </c>
    </row>
    <row r="8351" spans="1:4" ht="15" x14ac:dyDescent="0.25">
      <c r="A8351" t="s">
        <v>22046</v>
      </c>
      <c r="B8351">
        <v>1</v>
      </c>
      <c r="C8351">
        <v>9</v>
      </c>
      <c r="D8351">
        <v>9</v>
      </c>
    </row>
    <row r="8352" spans="1:4" ht="15" x14ac:dyDescent="0.25">
      <c r="A8352" t="s">
        <v>22047</v>
      </c>
      <c r="B8352">
        <v>1</v>
      </c>
      <c r="C8352">
        <v>9</v>
      </c>
      <c r="D8352">
        <v>9</v>
      </c>
    </row>
    <row r="8353" spans="1:4" ht="15" x14ac:dyDescent="0.25">
      <c r="A8353" t="s">
        <v>22048</v>
      </c>
      <c r="B8353">
        <v>1</v>
      </c>
      <c r="C8353">
        <v>9</v>
      </c>
      <c r="D8353">
        <v>9</v>
      </c>
    </row>
    <row r="8354" spans="1:4" ht="15" x14ac:dyDescent="0.25">
      <c r="A8354" t="s">
        <v>22049</v>
      </c>
      <c r="B8354">
        <v>1</v>
      </c>
      <c r="C8354">
        <v>9</v>
      </c>
      <c r="D8354">
        <v>9</v>
      </c>
    </row>
    <row r="8355" spans="1:4" ht="15" x14ac:dyDescent="0.25">
      <c r="A8355" t="s">
        <v>22052</v>
      </c>
      <c r="B8355">
        <v>1</v>
      </c>
      <c r="C8355">
        <v>27</v>
      </c>
      <c r="D8355">
        <v>27</v>
      </c>
    </row>
    <row r="8356" spans="1:4" ht="15" x14ac:dyDescent="0.25">
      <c r="A8356" t="s">
        <v>22055</v>
      </c>
      <c r="B8356">
        <v>1</v>
      </c>
      <c r="C8356">
        <v>28</v>
      </c>
      <c r="D8356">
        <v>28</v>
      </c>
    </row>
    <row r="8357" spans="1:4" ht="15" x14ac:dyDescent="0.25">
      <c r="A8357" t="s">
        <v>22056</v>
      </c>
      <c r="B8357">
        <v>1</v>
      </c>
      <c r="C8357">
        <v>28</v>
      </c>
      <c r="D8357">
        <v>28</v>
      </c>
    </row>
    <row r="8358" spans="1:4" ht="15" x14ac:dyDescent="0.25">
      <c r="A8358" t="s">
        <v>22060</v>
      </c>
      <c r="B8358">
        <v>1</v>
      </c>
      <c r="C8358">
        <v>193</v>
      </c>
      <c r="D8358">
        <v>193</v>
      </c>
    </row>
    <row r="8359" spans="1:4" ht="15" x14ac:dyDescent="0.25">
      <c r="A8359" t="s">
        <v>22065</v>
      </c>
      <c r="B8359">
        <v>3</v>
      </c>
      <c r="C8359">
        <v>56</v>
      </c>
      <c r="D8359">
        <v>18.666666666666668</v>
      </c>
    </row>
    <row r="8360" spans="1:4" ht="15" x14ac:dyDescent="0.25">
      <c r="A8360" t="s">
        <v>22067</v>
      </c>
      <c r="B8360">
        <v>1</v>
      </c>
      <c r="C8360">
        <v>12</v>
      </c>
      <c r="D8360">
        <v>12</v>
      </c>
    </row>
    <row r="8361" spans="1:4" ht="15" x14ac:dyDescent="0.25">
      <c r="A8361" t="s">
        <v>22066</v>
      </c>
      <c r="B8361">
        <v>1</v>
      </c>
      <c r="C8361">
        <v>12</v>
      </c>
      <c r="D8361">
        <v>12</v>
      </c>
    </row>
    <row r="8362" spans="1:4" ht="15" x14ac:dyDescent="0.25">
      <c r="A8362" t="s">
        <v>22071</v>
      </c>
      <c r="B8362">
        <v>1</v>
      </c>
      <c r="C8362">
        <v>27</v>
      </c>
      <c r="D8362">
        <v>27</v>
      </c>
    </row>
    <row r="8363" spans="1:4" ht="15" x14ac:dyDescent="0.25">
      <c r="A8363" t="s">
        <v>22072</v>
      </c>
      <c r="B8363">
        <v>1</v>
      </c>
      <c r="C8363">
        <v>27</v>
      </c>
      <c r="D8363">
        <v>27</v>
      </c>
    </row>
    <row r="8364" spans="1:4" ht="15" x14ac:dyDescent="0.25">
      <c r="A8364" t="s">
        <v>22073</v>
      </c>
      <c r="B8364">
        <v>1</v>
      </c>
      <c r="C8364">
        <v>27</v>
      </c>
      <c r="D8364">
        <v>27</v>
      </c>
    </row>
    <row r="8365" spans="1:4" ht="15" x14ac:dyDescent="0.25">
      <c r="A8365" t="s">
        <v>22081</v>
      </c>
      <c r="B8365">
        <v>1</v>
      </c>
      <c r="C8365">
        <v>52</v>
      </c>
      <c r="D8365">
        <v>52</v>
      </c>
    </row>
    <row r="8366" spans="1:4" ht="15" x14ac:dyDescent="0.25">
      <c r="A8366" t="s">
        <v>22083</v>
      </c>
      <c r="B8366">
        <v>1</v>
      </c>
      <c r="C8366">
        <v>52</v>
      </c>
      <c r="D8366">
        <v>52</v>
      </c>
    </row>
    <row r="8367" spans="1:4" ht="15" x14ac:dyDescent="0.25">
      <c r="A8367" t="s">
        <v>22084</v>
      </c>
      <c r="B8367">
        <v>1</v>
      </c>
      <c r="C8367">
        <v>52</v>
      </c>
      <c r="D8367">
        <v>52</v>
      </c>
    </row>
    <row r="8368" spans="1:4" ht="15" x14ac:dyDescent="0.25">
      <c r="A8368" t="s">
        <v>22082</v>
      </c>
      <c r="B8368">
        <v>1</v>
      </c>
      <c r="C8368">
        <v>52</v>
      </c>
      <c r="D8368">
        <v>52</v>
      </c>
    </row>
    <row r="8369" spans="1:4" ht="15" x14ac:dyDescent="0.25">
      <c r="A8369" t="s">
        <v>22087</v>
      </c>
      <c r="B8369">
        <v>1</v>
      </c>
      <c r="C8369">
        <v>16</v>
      </c>
      <c r="D8369">
        <v>16</v>
      </c>
    </row>
    <row r="8370" spans="1:4" ht="15" x14ac:dyDescent="0.25">
      <c r="A8370" t="s">
        <v>22089</v>
      </c>
      <c r="B8370">
        <v>1</v>
      </c>
      <c r="C8370">
        <v>16</v>
      </c>
      <c r="D8370">
        <v>16</v>
      </c>
    </row>
    <row r="8371" spans="1:4" ht="15" x14ac:dyDescent="0.25">
      <c r="A8371" t="s">
        <v>22088</v>
      </c>
      <c r="B8371">
        <v>1</v>
      </c>
      <c r="C8371">
        <v>16</v>
      </c>
      <c r="D8371">
        <v>16</v>
      </c>
    </row>
    <row r="8372" spans="1:4" ht="15" x14ac:dyDescent="0.25">
      <c r="A8372" t="s">
        <v>22093</v>
      </c>
      <c r="B8372">
        <v>1</v>
      </c>
      <c r="C8372">
        <v>76</v>
      </c>
      <c r="D8372">
        <v>76</v>
      </c>
    </row>
    <row r="8373" spans="1:4" ht="15" x14ac:dyDescent="0.25">
      <c r="A8373" t="s">
        <v>22097</v>
      </c>
      <c r="B8373">
        <v>1</v>
      </c>
      <c r="C8373">
        <v>19</v>
      </c>
      <c r="D8373">
        <v>19</v>
      </c>
    </row>
    <row r="8374" spans="1:4" ht="15" x14ac:dyDescent="0.25">
      <c r="A8374" t="s">
        <v>22098</v>
      </c>
      <c r="B8374">
        <v>1</v>
      </c>
      <c r="C8374">
        <v>19</v>
      </c>
      <c r="D8374">
        <v>19</v>
      </c>
    </row>
    <row r="8375" spans="1:4" ht="15" x14ac:dyDescent="0.25">
      <c r="A8375" t="s">
        <v>22106</v>
      </c>
      <c r="B8375">
        <v>1</v>
      </c>
      <c r="C8375">
        <v>26</v>
      </c>
      <c r="D8375">
        <v>26</v>
      </c>
    </row>
    <row r="8376" spans="1:4" ht="15" x14ac:dyDescent="0.25">
      <c r="A8376" t="s">
        <v>22107</v>
      </c>
      <c r="B8376">
        <v>1</v>
      </c>
      <c r="C8376">
        <v>26</v>
      </c>
      <c r="D8376">
        <v>26</v>
      </c>
    </row>
    <row r="8377" spans="1:4" ht="15" x14ac:dyDescent="0.25">
      <c r="A8377" t="s">
        <v>22114</v>
      </c>
      <c r="B8377">
        <v>1</v>
      </c>
      <c r="C8377">
        <v>26</v>
      </c>
      <c r="D8377">
        <v>26</v>
      </c>
    </row>
    <row r="8378" spans="1:4" ht="15" x14ac:dyDescent="0.25">
      <c r="A8378" t="s">
        <v>22115</v>
      </c>
      <c r="B8378">
        <v>1</v>
      </c>
      <c r="C8378">
        <v>26</v>
      </c>
      <c r="D8378">
        <v>26</v>
      </c>
    </row>
    <row r="8379" spans="1:4" ht="15" x14ac:dyDescent="0.25">
      <c r="A8379" t="s">
        <v>22116</v>
      </c>
      <c r="B8379">
        <v>1</v>
      </c>
      <c r="C8379">
        <v>26</v>
      </c>
      <c r="D8379">
        <v>26</v>
      </c>
    </row>
    <row r="8380" spans="1:4" ht="15" x14ac:dyDescent="0.25">
      <c r="A8380" t="s">
        <v>22117</v>
      </c>
      <c r="B8380">
        <v>1</v>
      </c>
      <c r="C8380">
        <v>26</v>
      </c>
      <c r="D8380">
        <v>26</v>
      </c>
    </row>
    <row r="8381" spans="1:4" ht="15" x14ac:dyDescent="0.25">
      <c r="A8381" t="s">
        <v>22124</v>
      </c>
      <c r="B8381">
        <v>1</v>
      </c>
      <c r="C8381">
        <v>10</v>
      </c>
      <c r="D8381">
        <v>10</v>
      </c>
    </row>
    <row r="8382" spans="1:4" ht="15" x14ac:dyDescent="0.25">
      <c r="A8382" t="s">
        <v>22128</v>
      </c>
      <c r="B8382">
        <v>1</v>
      </c>
      <c r="C8382">
        <v>65</v>
      </c>
      <c r="D8382">
        <v>65</v>
      </c>
    </row>
    <row r="8383" spans="1:4" ht="15" x14ac:dyDescent="0.25">
      <c r="A8383" t="s">
        <v>22133</v>
      </c>
      <c r="B8383">
        <v>2</v>
      </c>
      <c r="C8383">
        <v>38</v>
      </c>
      <c r="D8383">
        <v>19</v>
      </c>
    </row>
    <row r="8384" spans="1:4" ht="15" x14ac:dyDescent="0.25">
      <c r="A8384" t="s">
        <v>22134</v>
      </c>
      <c r="B8384">
        <v>1</v>
      </c>
      <c r="C8384">
        <v>6</v>
      </c>
      <c r="D8384">
        <v>6</v>
      </c>
    </row>
    <row r="8385" spans="1:4" ht="15" x14ac:dyDescent="0.25">
      <c r="A8385" t="s">
        <v>22138</v>
      </c>
      <c r="B8385">
        <v>1</v>
      </c>
      <c r="C8385">
        <v>67</v>
      </c>
      <c r="D8385">
        <v>67</v>
      </c>
    </row>
    <row r="8386" spans="1:4" ht="15" x14ac:dyDescent="0.25">
      <c r="A8386" t="s">
        <v>22144</v>
      </c>
      <c r="B8386">
        <v>1</v>
      </c>
      <c r="C8386">
        <v>4</v>
      </c>
      <c r="D8386">
        <v>4</v>
      </c>
    </row>
    <row r="8387" spans="1:4" ht="15" x14ac:dyDescent="0.25">
      <c r="A8387" t="s">
        <v>22148</v>
      </c>
      <c r="B8387">
        <v>3</v>
      </c>
      <c r="C8387">
        <v>61</v>
      </c>
      <c r="D8387">
        <v>20.333333333333332</v>
      </c>
    </row>
    <row r="8388" spans="1:4" ht="15" x14ac:dyDescent="0.25">
      <c r="A8388" t="s">
        <v>22149</v>
      </c>
      <c r="B8388">
        <v>1</v>
      </c>
      <c r="C8388">
        <v>39</v>
      </c>
      <c r="D8388">
        <v>39</v>
      </c>
    </row>
    <row r="8389" spans="1:4" ht="15" x14ac:dyDescent="0.25">
      <c r="A8389" t="s">
        <v>22154</v>
      </c>
      <c r="B8389">
        <v>1</v>
      </c>
      <c r="C8389">
        <v>29</v>
      </c>
      <c r="D8389">
        <v>29</v>
      </c>
    </row>
    <row r="8390" spans="1:4" ht="15" x14ac:dyDescent="0.25">
      <c r="A8390" t="s">
        <v>22155</v>
      </c>
      <c r="B8390">
        <v>1</v>
      </c>
      <c r="C8390">
        <v>29</v>
      </c>
      <c r="D8390">
        <v>29</v>
      </c>
    </row>
    <row r="8391" spans="1:4" ht="15" x14ac:dyDescent="0.25">
      <c r="A8391" t="s">
        <v>22159</v>
      </c>
      <c r="B8391">
        <v>1</v>
      </c>
      <c r="C8391">
        <v>9</v>
      </c>
      <c r="D8391">
        <v>9</v>
      </c>
    </row>
    <row r="8392" spans="1:4" ht="15" x14ac:dyDescent="0.25">
      <c r="A8392" t="s">
        <v>22165</v>
      </c>
      <c r="B8392">
        <v>1</v>
      </c>
      <c r="C8392">
        <v>225</v>
      </c>
      <c r="D8392">
        <v>225</v>
      </c>
    </row>
    <row r="8393" spans="1:4" ht="15" x14ac:dyDescent="0.25">
      <c r="A8393" t="s">
        <v>22166</v>
      </c>
      <c r="B8393">
        <v>1</v>
      </c>
      <c r="C8393">
        <v>225</v>
      </c>
      <c r="D8393">
        <v>225</v>
      </c>
    </row>
    <row r="8394" spans="1:4" ht="15" x14ac:dyDescent="0.25">
      <c r="A8394" t="s">
        <v>22170</v>
      </c>
      <c r="B8394">
        <v>1</v>
      </c>
      <c r="C8394">
        <v>10</v>
      </c>
      <c r="D8394">
        <v>10</v>
      </c>
    </row>
    <row r="8395" spans="1:4" ht="15" x14ac:dyDescent="0.25">
      <c r="A8395" t="s">
        <v>22173</v>
      </c>
      <c r="B8395">
        <v>3</v>
      </c>
      <c r="C8395">
        <v>101</v>
      </c>
      <c r="D8395">
        <v>33.666666666666664</v>
      </c>
    </row>
    <row r="8396" spans="1:4" ht="15" x14ac:dyDescent="0.25">
      <c r="A8396" t="s">
        <v>22174</v>
      </c>
      <c r="B8396">
        <v>3</v>
      </c>
      <c r="C8396">
        <v>110</v>
      </c>
      <c r="D8396">
        <v>36.666666666666664</v>
      </c>
    </row>
    <row r="8397" spans="1:4" ht="15" x14ac:dyDescent="0.25">
      <c r="A8397" t="s">
        <v>22175</v>
      </c>
      <c r="B8397">
        <v>1</v>
      </c>
      <c r="C8397">
        <v>32</v>
      </c>
      <c r="D8397">
        <v>32</v>
      </c>
    </row>
    <row r="8398" spans="1:4" ht="15" x14ac:dyDescent="0.25">
      <c r="A8398" t="s">
        <v>22178</v>
      </c>
      <c r="B8398">
        <v>1</v>
      </c>
      <c r="C8398">
        <v>36</v>
      </c>
      <c r="D8398">
        <v>36</v>
      </c>
    </row>
    <row r="8399" spans="1:4" ht="15" x14ac:dyDescent="0.25">
      <c r="A8399" t="s">
        <v>22182</v>
      </c>
      <c r="B8399">
        <v>1</v>
      </c>
      <c r="C8399">
        <v>79</v>
      </c>
      <c r="D8399">
        <v>79</v>
      </c>
    </row>
    <row r="8400" spans="1:4" ht="15" x14ac:dyDescent="0.25">
      <c r="A8400" t="s">
        <v>22184</v>
      </c>
      <c r="B8400">
        <v>1</v>
      </c>
      <c r="C8400">
        <v>79</v>
      </c>
      <c r="D8400">
        <v>79</v>
      </c>
    </row>
    <row r="8401" spans="1:4" ht="15" x14ac:dyDescent="0.25">
      <c r="A8401" t="s">
        <v>22183</v>
      </c>
      <c r="B8401">
        <v>1</v>
      </c>
      <c r="C8401">
        <v>79</v>
      </c>
      <c r="D8401">
        <v>79</v>
      </c>
    </row>
    <row r="8402" spans="1:4" ht="15" x14ac:dyDescent="0.25">
      <c r="A8402" t="s">
        <v>22187</v>
      </c>
      <c r="B8402">
        <v>1</v>
      </c>
      <c r="C8402">
        <v>46</v>
      </c>
      <c r="D8402">
        <v>46</v>
      </c>
    </row>
    <row r="8403" spans="1:4" ht="15" x14ac:dyDescent="0.25">
      <c r="A8403" t="s">
        <v>22191</v>
      </c>
      <c r="B8403">
        <v>1</v>
      </c>
      <c r="C8403">
        <v>36</v>
      </c>
      <c r="D8403">
        <v>36</v>
      </c>
    </row>
    <row r="8404" spans="1:4" ht="15" x14ac:dyDescent="0.25">
      <c r="A8404" t="s">
        <v>22193</v>
      </c>
      <c r="B8404">
        <v>1</v>
      </c>
      <c r="C8404">
        <v>36</v>
      </c>
      <c r="D8404">
        <v>36</v>
      </c>
    </row>
    <row r="8405" spans="1:4" ht="15" x14ac:dyDescent="0.25">
      <c r="A8405" t="s">
        <v>22194</v>
      </c>
      <c r="B8405">
        <v>1</v>
      </c>
      <c r="C8405">
        <v>36</v>
      </c>
      <c r="D8405">
        <v>36</v>
      </c>
    </row>
    <row r="8406" spans="1:4" ht="15" x14ac:dyDescent="0.25">
      <c r="A8406" t="s">
        <v>22192</v>
      </c>
      <c r="B8406">
        <v>1</v>
      </c>
      <c r="C8406">
        <v>36</v>
      </c>
      <c r="D8406">
        <v>36</v>
      </c>
    </row>
    <row r="8407" spans="1:4" ht="15" x14ac:dyDescent="0.25">
      <c r="A8407" t="s">
        <v>22198</v>
      </c>
      <c r="B8407">
        <v>1</v>
      </c>
      <c r="C8407">
        <v>93</v>
      </c>
      <c r="D8407">
        <v>93</v>
      </c>
    </row>
    <row r="8408" spans="1:4" ht="15" x14ac:dyDescent="0.25">
      <c r="A8408" t="s">
        <v>22200</v>
      </c>
      <c r="B8408">
        <v>1</v>
      </c>
      <c r="C8408">
        <v>93</v>
      </c>
      <c r="D8408">
        <v>93</v>
      </c>
    </row>
    <row r="8409" spans="1:4" ht="15" x14ac:dyDescent="0.25">
      <c r="A8409" t="s">
        <v>22199</v>
      </c>
      <c r="B8409">
        <v>1</v>
      </c>
      <c r="C8409">
        <v>93</v>
      </c>
      <c r="D8409">
        <v>93</v>
      </c>
    </row>
    <row r="8410" spans="1:4" ht="15" x14ac:dyDescent="0.25">
      <c r="A8410" t="s">
        <v>22201</v>
      </c>
      <c r="B8410">
        <v>2</v>
      </c>
      <c r="C8410">
        <v>121</v>
      </c>
      <c r="D8410">
        <v>60.5</v>
      </c>
    </row>
    <row r="8411" spans="1:4" ht="15" x14ac:dyDescent="0.25">
      <c r="A8411" t="s">
        <v>22206</v>
      </c>
      <c r="B8411">
        <v>3</v>
      </c>
      <c r="C8411">
        <v>299</v>
      </c>
      <c r="D8411">
        <v>99.666666666666671</v>
      </c>
    </row>
    <row r="8412" spans="1:4" ht="15" x14ac:dyDescent="0.25">
      <c r="A8412" t="s">
        <v>22207</v>
      </c>
      <c r="B8412">
        <v>2</v>
      </c>
      <c r="C8412">
        <v>140</v>
      </c>
      <c r="D8412">
        <v>70</v>
      </c>
    </row>
    <row r="8413" spans="1:4" ht="15" x14ac:dyDescent="0.25">
      <c r="A8413" t="s">
        <v>22208</v>
      </c>
      <c r="B8413">
        <v>1</v>
      </c>
      <c r="C8413">
        <v>67</v>
      </c>
      <c r="D8413">
        <v>67</v>
      </c>
    </row>
    <row r="8414" spans="1:4" ht="15" x14ac:dyDescent="0.25">
      <c r="A8414" t="s">
        <v>22212</v>
      </c>
      <c r="B8414">
        <v>1</v>
      </c>
      <c r="C8414">
        <v>19</v>
      </c>
      <c r="D8414">
        <v>19</v>
      </c>
    </row>
    <row r="8415" spans="1:4" ht="15" x14ac:dyDescent="0.25">
      <c r="A8415" t="s">
        <v>22213</v>
      </c>
      <c r="B8415">
        <v>1</v>
      </c>
      <c r="C8415">
        <v>19</v>
      </c>
      <c r="D8415">
        <v>19</v>
      </c>
    </row>
    <row r="8416" spans="1:4" ht="15" x14ac:dyDescent="0.25">
      <c r="A8416" t="s">
        <v>22209</v>
      </c>
      <c r="B8416">
        <v>1</v>
      </c>
      <c r="C8416">
        <v>19</v>
      </c>
      <c r="D8416">
        <v>19</v>
      </c>
    </row>
    <row r="8417" spans="1:4" ht="15" x14ac:dyDescent="0.25">
      <c r="A8417" t="s">
        <v>22218</v>
      </c>
      <c r="B8417">
        <v>1</v>
      </c>
      <c r="C8417">
        <v>33</v>
      </c>
      <c r="D8417">
        <v>33</v>
      </c>
    </row>
    <row r="8418" spans="1:4" ht="15" x14ac:dyDescent="0.25">
      <c r="A8418" t="s">
        <v>22219</v>
      </c>
      <c r="B8418">
        <v>1</v>
      </c>
      <c r="C8418">
        <v>33</v>
      </c>
      <c r="D8418">
        <v>33</v>
      </c>
    </row>
    <row r="8419" spans="1:4" ht="15" x14ac:dyDescent="0.25">
      <c r="A8419" t="s">
        <v>22220</v>
      </c>
      <c r="B8419">
        <v>2</v>
      </c>
      <c r="C8419">
        <v>58</v>
      </c>
      <c r="D8419">
        <v>29</v>
      </c>
    </row>
    <row r="8420" spans="1:4" ht="15" x14ac:dyDescent="0.25">
      <c r="A8420" t="s">
        <v>22224</v>
      </c>
      <c r="B8420">
        <v>1</v>
      </c>
      <c r="C8420">
        <v>33</v>
      </c>
      <c r="D8420">
        <v>33</v>
      </c>
    </row>
    <row r="8421" spans="1:4" ht="15" x14ac:dyDescent="0.25">
      <c r="A8421" t="s">
        <v>22225</v>
      </c>
      <c r="B8421">
        <v>1</v>
      </c>
      <c r="C8421">
        <v>33</v>
      </c>
      <c r="D8421">
        <v>33</v>
      </c>
    </row>
    <row r="8422" spans="1:4" ht="15" x14ac:dyDescent="0.25">
      <c r="A8422" t="s">
        <v>22226</v>
      </c>
      <c r="B8422">
        <v>1</v>
      </c>
      <c r="C8422">
        <v>33</v>
      </c>
      <c r="D8422">
        <v>33</v>
      </c>
    </row>
    <row r="8423" spans="1:4" ht="15" x14ac:dyDescent="0.25">
      <c r="A8423" t="s">
        <v>22230</v>
      </c>
      <c r="B8423">
        <v>1</v>
      </c>
      <c r="C8423">
        <v>2</v>
      </c>
      <c r="D8423">
        <v>2</v>
      </c>
    </row>
    <row r="8424" spans="1:4" ht="15" x14ac:dyDescent="0.25">
      <c r="A8424" t="s">
        <v>22231</v>
      </c>
      <c r="B8424">
        <v>1</v>
      </c>
      <c r="C8424">
        <v>2</v>
      </c>
      <c r="D8424">
        <v>2</v>
      </c>
    </row>
    <row r="8425" spans="1:4" ht="15" x14ac:dyDescent="0.25">
      <c r="A8425" t="s">
        <v>22232</v>
      </c>
      <c r="B8425">
        <v>1</v>
      </c>
      <c r="C8425">
        <v>2</v>
      </c>
      <c r="D8425">
        <v>2</v>
      </c>
    </row>
    <row r="8426" spans="1:4" ht="15" x14ac:dyDescent="0.25">
      <c r="A8426" t="s">
        <v>22236</v>
      </c>
      <c r="B8426">
        <v>1</v>
      </c>
      <c r="C8426">
        <v>121</v>
      </c>
      <c r="D8426">
        <v>121</v>
      </c>
    </row>
    <row r="8427" spans="1:4" ht="15" x14ac:dyDescent="0.25">
      <c r="A8427" t="s">
        <v>22237</v>
      </c>
      <c r="B8427">
        <v>1</v>
      </c>
      <c r="C8427">
        <v>121</v>
      </c>
      <c r="D8427">
        <v>121</v>
      </c>
    </row>
    <row r="8428" spans="1:4" ht="15" x14ac:dyDescent="0.25">
      <c r="A8428" t="s">
        <v>22241</v>
      </c>
      <c r="B8428">
        <v>1</v>
      </c>
      <c r="C8428">
        <v>37</v>
      </c>
      <c r="D8428">
        <v>37</v>
      </c>
    </row>
    <row r="8429" spans="1:4" ht="15" x14ac:dyDescent="0.25">
      <c r="A8429" t="s">
        <v>22242</v>
      </c>
      <c r="B8429">
        <v>1</v>
      </c>
      <c r="C8429">
        <v>37</v>
      </c>
      <c r="D8429">
        <v>37</v>
      </c>
    </row>
    <row r="8430" spans="1:4" ht="15" x14ac:dyDescent="0.25">
      <c r="A8430" t="s">
        <v>22244</v>
      </c>
      <c r="B8430">
        <v>1</v>
      </c>
      <c r="C8430">
        <v>37</v>
      </c>
      <c r="D8430">
        <v>37</v>
      </c>
    </row>
    <row r="8431" spans="1:4" ht="15" x14ac:dyDescent="0.25">
      <c r="A8431" t="s">
        <v>22243</v>
      </c>
      <c r="B8431">
        <v>1</v>
      </c>
      <c r="C8431">
        <v>37</v>
      </c>
      <c r="D8431">
        <v>37</v>
      </c>
    </row>
    <row r="8432" spans="1:4" ht="15" x14ac:dyDescent="0.25">
      <c r="A8432" t="s">
        <v>22250</v>
      </c>
      <c r="B8432">
        <v>1</v>
      </c>
      <c r="C8432">
        <v>142</v>
      </c>
      <c r="D8432">
        <v>142</v>
      </c>
    </row>
    <row r="8433" spans="1:4" ht="15" x14ac:dyDescent="0.25">
      <c r="A8433" t="s">
        <v>22251</v>
      </c>
      <c r="B8433">
        <v>2</v>
      </c>
      <c r="C8433">
        <v>169</v>
      </c>
      <c r="D8433">
        <v>84.5</v>
      </c>
    </row>
    <row r="8434" spans="1:4" ht="15" x14ac:dyDescent="0.25">
      <c r="A8434" t="s">
        <v>22253</v>
      </c>
      <c r="B8434">
        <v>1</v>
      </c>
      <c r="C8434">
        <v>142</v>
      </c>
      <c r="D8434">
        <v>142</v>
      </c>
    </row>
    <row r="8435" spans="1:4" ht="15" x14ac:dyDescent="0.25">
      <c r="A8435" t="s">
        <v>22252</v>
      </c>
      <c r="B8435">
        <v>1</v>
      </c>
      <c r="C8435">
        <v>142</v>
      </c>
      <c r="D8435">
        <v>142</v>
      </c>
    </row>
    <row r="8436" spans="1:4" ht="15" x14ac:dyDescent="0.25">
      <c r="A8436" t="s">
        <v>22258</v>
      </c>
      <c r="B8436">
        <v>1</v>
      </c>
      <c r="C8436">
        <v>25</v>
      </c>
      <c r="D8436">
        <v>25</v>
      </c>
    </row>
    <row r="8437" spans="1:4" ht="15" x14ac:dyDescent="0.25">
      <c r="A8437" t="s">
        <v>22259</v>
      </c>
      <c r="B8437">
        <v>1</v>
      </c>
      <c r="C8437">
        <v>25</v>
      </c>
      <c r="D8437">
        <v>25</v>
      </c>
    </row>
    <row r="8438" spans="1:4" ht="15" x14ac:dyDescent="0.25">
      <c r="A8438" t="s">
        <v>22260</v>
      </c>
      <c r="B8438">
        <v>1</v>
      </c>
      <c r="C8438">
        <v>25</v>
      </c>
      <c r="D8438">
        <v>25</v>
      </c>
    </row>
    <row r="8439" spans="1:4" ht="15" x14ac:dyDescent="0.25">
      <c r="A8439" t="s">
        <v>22264</v>
      </c>
      <c r="B8439">
        <v>2</v>
      </c>
      <c r="C8439">
        <v>77</v>
      </c>
      <c r="D8439">
        <v>38.5</v>
      </c>
    </row>
    <row r="8440" spans="1:4" ht="15" x14ac:dyDescent="0.25">
      <c r="A8440" t="s">
        <v>22263</v>
      </c>
      <c r="B8440">
        <v>3</v>
      </c>
      <c r="C8440">
        <v>102</v>
      </c>
      <c r="D8440">
        <v>34</v>
      </c>
    </row>
    <row r="8441" spans="1:4" ht="15" x14ac:dyDescent="0.25">
      <c r="A8441" t="s">
        <v>22268</v>
      </c>
      <c r="B8441">
        <v>1</v>
      </c>
      <c r="C8441">
        <v>9</v>
      </c>
      <c r="D8441">
        <v>9</v>
      </c>
    </row>
    <row r="8442" spans="1:4" ht="15" x14ac:dyDescent="0.25">
      <c r="A8442" t="s">
        <v>22270</v>
      </c>
      <c r="B8442">
        <v>1</v>
      </c>
      <c r="C8442">
        <v>9</v>
      </c>
      <c r="D8442">
        <v>9</v>
      </c>
    </row>
    <row r="8443" spans="1:4" ht="15" x14ac:dyDescent="0.25">
      <c r="A8443" t="s">
        <v>22269</v>
      </c>
      <c r="B8443">
        <v>1</v>
      </c>
      <c r="C8443">
        <v>9</v>
      </c>
      <c r="D8443">
        <v>9</v>
      </c>
    </row>
    <row r="8444" spans="1:4" ht="15" x14ac:dyDescent="0.25">
      <c r="A8444" t="s">
        <v>22275</v>
      </c>
      <c r="B8444">
        <v>3</v>
      </c>
      <c r="C8444">
        <v>88</v>
      </c>
      <c r="D8444">
        <v>29.333333333333332</v>
      </c>
    </row>
    <row r="8445" spans="1:4" ht="15" x14ac:dyDescent="0.25">
      <c r="A8445" t="s">
        <v>22277</v>
      </c>
      <c r="B8445">
        <v>2</v>
      </c>
      <c r="C8445">
        <v>48</v>
      </c>
      <c r="D8445">
        <v>24</v>
      </c>
    </row>
    <row r="8446" spans="1:4" ht="15" x14ac:dyDescent="0.25">
      <c r="A8446" t="s">
        <v>22278</v>
      </c>
      <c r="B8446">
        <v>2</v>
      </c>
      <c r="C8446">
        <v>135</v>
      </c>
      <c r="D8446">
        <v>67.5</v>
      </c>
    </row>
    <row r="8447" spans="1:4" ht="15" x14ac:dyDescent="0.25">
      <c r="A8447" t="s">
        <v>22276</v>
      </c>
      <c r="B8447">
        <v>5</v>
      </c>
      <c r="C8447">
        <v>215</v>
      </c>
      <c r="D8447">
        <v>43</v>
      </c>
    </row>
    <row r="8448" spans="1:4" ht="15" x14ac:dyDescent="0.25">
      <c r="A8448" t="s">
        <v>22283</v>
      </c>
      <c r="B8448">
        <v>1</v>
      </c>
      <c r="C8448">
        <v>14</v>
      </c>
      <c r="D8448">
        <v>14</v>
      </c>
    </row>
    <row r="8449" spans="1:4" ht="15" x14ac:dyDescent="0.25">
      <c r="A8449" t="s">
        <v>22286</v>
      </c>
      <c r="B8449">
        <v>1</v>
      </c>
      <c r="C8449">
        <v>1302</v>
      </c>
      <c r="D8449">
        <v>1302</v>
      </c>
    </row>
    <row r="8450" spans="1:4" ht="15" x14ac:dyDescent="0.25">
      <c r="A8450" t="s">
        <v>22287</v>
      </c>
      <c r="B8450">
        <v>1</v>
      </c>
      <c r="C8450">
        <v>1302</v>
      </c>
      <c r="D8450">
        <v>1302</v>
      </c>
    </row>
    <row r="8451" spans="1:4" ht="15" x14ac:dyDescent="0.25">
      <c r="A8451" t="s">
        <v>22291</v>
      </c>
      <c r="B8451">
        <v>1</v>
      </c>
      <c r="C8451">
        <v>45</v>
      </c>
      <c r="D8451">
        <v>45</v>
      </c>
    </row>
    <row r="8452" spans="1:4" ht="15" x14ac:dyDescent="0.25">
      <c r="A8452" t="s">
        <v>22295</v>
      </c>
      <c r="B8452">
        <v>1</v>
      </c>
      <c r="C8452">
        <v>15</v>
      </c>
      <c r="D8452">
        <v>15</v>
      </c>
    </row>
    <row r="8453" spans="1:4" ht="15" x14ac:dyDescent="0.25">
      <c r="A8453" t="s">
        <v>22296</v>
      </c>
      <c r="B8453">
        <v>1</v>
      </c>
      <c r="C8453">
        <v>15</v>
      </c>
      <c r="D8453">
        <v>15</v>
      </c>
    </row>
    <row r="8454" spans="1:4" ht="15" x14ac:dyDescent="0.25">
      <c r="A8454" t="s">
        <v>22297</v>
      </c>
      <c r="B8454">
        <v>1</v>
      </c>
      <c r="C8454">
        <v>15</v>
      </c>
      <c r="D8454">
        <v>15</v>
      </c>
    </row>
    <row r="8455" spans="1:4" ht="15" x14ac:dyDescent="0.25">
      <c r="A8455" t="s">
        <v>22302</v>
      </c>
      <c r="B8455">
        <v>1</v>
      </c>
      <c r="C8455">
        <v>56</v>
      </c>
      <c r="D8455">
        <v>56</v>
      </c>
    </row>
    <row r="8456" spans="1:4" ht="15" x14ac:dyDescent="0.25">
      <c r="A8456" t="s">
        <v>22306</v>
      </c>
      <c r="B8456">
        <v>1</v>
      </c>
      <c r="C8456">
        <v>191</v>
      </c>
      <c r="D8456">
        <v>191</v>
      </c>
    </row>
    <row r="8457" spans="1:4" ht="15" x14ac:dyDescent="0.25">
      <c r="A8457" t="s">
        <v>22307</v>
      </c>
      <c r="B8457">
        <v>2</v>
      </c>
      <c r="C8457">
        <v>247</v>
      </c>
      <c r="D8457">
        <v>123.5</v>
      </c>
    </row>
    <row r="8458" spans="1:4" ht="15" x14ac:dyDescent="0.25">
      <c r="A8458" t="s">
        <v>22309</v>
      </c>
      <c r="B8458">
        <v>1</v>
      </c>
      <c r="C8458">
        <v>191</v>
      </c>
      <c r="D8458">
        <v>191</v>
      </c>
    </row>
    <row r="8459" spans="1:4" ht="15" x14ac:dyDescent="0.25">
      <c r="A8459" t="s">
        <v>22308</v>
      </c>
      <c r="B8459">
        <v>1</v>
      </c>
      <c r="C8459">
        <v>191</v>
      </c>
      <c r="D8459">
        <v>191</v>
      </c>
    </row>
    <row r="8460" spans="1:4" ht="15" x14ac:dyDescent="0.25">
      <c r="A8460" t="s">
        <v>22318</v>
      </c>
      <c r="B8460">
        <v>1</v>
      </c>
      <c r="C8460">
        <v>47</v>
      </c>
      <c r="D8460">
        <v>47</v>
      </c>
    </row>
    <row r="8461" spans="1:4" ht="15" x14ac:dyDescent="0.25">
      <c r="A8461" t="s">
        <v>22319</v>
      </c>
      <c r="B8461">
        <v>1</v>
      </c>
      <c r="C8461">
        <v>47</v>
      </c>
      <c r="D8461">
        <v>47</v>
      </c>
    </row>
    <row r="8462" spans="1:4" ht="15" x14ac:dyDescent="0.25">
      <c r="A8462" t="s">
        <v>22321</v>
      </c>
      <c r="B8462">
        <v>1</v>
      </c>
      <c r="C8462">
        <v>47</v>
      </c>
      <c r="D8462">
        <v>47</v>
      </c>
    </row>
    <row r="8463" spans="1:4" ht="15" x14ac:dyDescent="0.25">
      <c r="A8463" t="s">
        <v>22320</v>
      </c>
      <c r="B8463">
        <v>1</v>
      </c>
      <c r="C8463">
        <v>47</v>
      </c>
      <c r="D8463">
        <v>47</v>
      </c>
    </row>
    <row r="8464" spans="1:4" ht="15" x14ac:dyDescent="0.25">
      <c r="A8464" t="s">
        <v>22327</v>
      </c>
      <c r="B8464">
        <v>1</v>
      </c>
      <c r="C8464">
        <v>352</v>
      </c>
      <c r="D8464">
        <v>352</v>
      </c>
    </row>
    <row r="8465" spans="1:4" ht="15" x14ac:dyDescent="0.25">
      <c r="A8465" t="s">
        <v>22333</v>
      </c>
      <c r="B8465">
        <v>1</v>
      </c>
      <c r="C8465">
        <v>25</v>
      </c>
      <c r="D8465">
        <v>25</v>
      </c>
    </row>
    <row r="8466" spans="1:4" ht="15" x14ac:dyDescent="0.25">
      <c r="A8466" t="s">
        <v>22335</v>
      </c>
      <c r="B8466">
        <v>1</v>
      </c>
      <c r="C8466">
        <v>25</v>
      </c>
      <c r="D8466">
        <v>25</v>
      </c>
    </row>
    <row r="8467" spans="1:4" ht="15" x14ac:dyDescent="0.25">
      <c r="A8467" t="s">
        <v>22334</v>
      </c>
      <c r="B8467">
        <v>1</v>
      </c>
      <c r="C8467">
        <v>25</v>
      </c>
      <c r="D8467">
        <v>25</v>
      </c>
    </row>
    <row r="8468" spans="1:4" ht="15" x14ac:dyDescent="0.25">
      <c r="A8468" t="s">
        <v>22340</v>
      </c>
      <c r="B8468">
        <v>1</v>
      </c>
      <c r="C8468">
        <v>12</v>
      </c>
      <c r="D8468">
        <v>12</v>
      </c>
    </row>
    <row r="8469" spans="1:4" ht="15" x14ac:dyDescent="0.25">
      <c r="A8469" t="s">
        <v>22344</v>
      </c>
      <c r="B8469">
        <v>1</v>
      </c>
      <c r="C8469">
        <v>26</v>
      </c>
      <c r="D8469">
        <v>26</v>
      </c>
    </row>
    <row r="8470" spans="1:4" ht="15" x14ac:dyDescent="0.25">
      <c r="A8470" t="s">
        <v>22346</v>
      </c>
      <c r="B8470">
        <v>1</v>
      </c>
      <c r="C8470">
        <v>26</v>
      </c>
      <c r="D8470">
        <v>26</v>
      </c>
    </row>
    <row r="8471" spans="1:4" ht="15" x14ac:dyDescent="0.25">
      <c r="A8471" t="s">
        <v>22347</v>
      </c>
      <c r="B8471">
        <v>1</v>
      </c>
      <c r="C8471">
        <v>26</v>
      </c>
      <c r="D8471">
        <v>26</v>
      </c>
    </row>
    <row r="8472" spans="1:4" ht="15" x14ac:dyDescent="0.25">
      <c r="A8472" t="s">
        <v>22345</v>
      </c>
      <c r="B8472">
        <v>1</v>
      </c>
      <c r="C8472">
        <v>26</v>
      </c>
      <c r="D8472">
        <v>26</v>
      </c>
    </row>
    <row r="8473" spans="1:4" ht="15" x14ac:dyDescent="0.25">
      <c r="A8473" t="s">
        <v>22350</v>
      </c>
      <c r="B8473">
        <v>1</v>
      </c>
      <c r="C8473">
        <v>27</v>
      </c>
      <c r="D8473">
        <v>27</v>
      </c>
    </row>
    <row r="8474" spans="1:4" ht="15" x14ac:dyDescent="0.25">
      <c r="A8474" t="s">
        <v>22351</v>
      </c>
      <c r="B8474">
        <v>1</v>
      </c>
      <c r="C8474">
        <v>27</v>
      </c>
      <c r="D8474">
        <v>27</v>
      </c>
    </row>
    <row r="8475" spans="1:4" ht="15" x14ac:dyDescent="0.25">
      <c r="A8475" t="s">
        <v>22352</v>
      </c>
      <c r="B8475">
        <v>1</v>
      </c>
      <c r="C8475">
        <v>27</v>
      </c>
      <c r="D8475">
        <v>27</v>
      </c>
    </row>
    <row r="8476" spans="1:4" ht="15" x14ac:dyDescent="0.25">
      <c r="A8476" t="s">
        <v>22355</v>
      </c>
      <c r="B8476">
        <v>2</v>
      </c>
      <c r="C8476">
        <v>201</v>
      </c>
      <c r="D8476">
        <v>100.5</v>
      </c>
    </row>
    <row r="8477" spans="1:4" ht="15" x14ac:dyDescent="0.25">
      <c r="A8477" t="s">
        <v>22362</v>
      </c>
      <c r="B8477">
        <v>1</v>
      </c>
      <c r="C8477">
        <v>46</v>
      </c>
      <c r="D8477">
        <v>46</v>
      </c>
    </row>
    <row r="8478" spans="1:4" ht="15" x14ac:dyDescent="0.25">
      <c r="A8478" t="s">
        <v>22363</v>
      </c>
      <c r="B8478">
        <v>1</v>
      </c>
      <c r="C8478">
        <v>46</v>
      </c>
      <c r="D8478">
        <v>46</v>
      </c>
    </row>
    <row r="8479" spans="1:4" ht="15" x14ac:dyDescent="0.25">
      <c r="A8479" t="s">
        <v>22364</v>
      </c>
      <c r="B8479">
        <v>1</v>
      </c>
      <c r="C8479">
        <v>46</v>
      </c>
      <c r="D8479">
        <v>46</v>
      </c>
    </row>
    <row r="8480" spans="1:4" ht="15" x14ac:dyDescent="0.25">
      <c r="A8480" t="s">
        <v>22368</v>
      </c>
      <c r="B8480">
        <v>1</v>
      </c>
      <c r="C8480">
        <v>59</v>
      </c>
      <c r="D8480">
        <v>59</v>
      </c>
    </row>
    <row r="8481" spans="1:4" ht="15" x14ac:dyDescent="0.25">
      <c r="A8481" t="s">
        <v>22375</v>
      </c>
      <c r="B8481">
        <v>1</v>
      </c>
      <c r="C8481">
        <v>30</v>
      </c>
      <c r="D8481">
        <v>30</v>
      </c>
    </row>
    <row r="8482" spans="1:4" ht="15" x14ac:dyDescent="0.25">
      <c r="A8482" t="s">
        <v>22376</v>
      </c>
      <c r="B8482">
        <v>1</v>
      </c>
      <c r="C8482">
        <v>30</v>
      </c>
      <c r="D8482">
        <v>30</v>
      </c>
    </row>
    <row r="8483" spans="1:4" ht="15" x14ac:dyDescent="0.25">
      <c r="A8483" t="s">
        <v>22377</v>
      </c>
      <c r="B8483">
        <v>1</v>
      </c>
      <c r="C8483">
        <v>30</v>
      </c>
      <c r="D8483">
        <v>30</v>
      </c>
    </row>
    <row r="8484" spans="1:4" ht="15" x14ac:dyDescent="0.25">
      <c r="A8484" t="s">
        <v>22380</v>
      </c>
      <c r="B8484">
        <v>2</v>
      </c>
      <c r="C8484">
        <v>56</v>
      </c>
      <c r="D8484">
        <v>28</v>
      </c>
    </row>
    <row r="8485" spans="1:4" ht="15" x14ac:dyDescent="0.25">
      <c r="A8485" t="s">
        <v>22383</v>
      </c>
      <c r="B8485">
        <v>1</v>
      </c>
      <c r="C8485">
        <v>6</v>
      </c>
      <c r="D8485">
        <v>6</v>
      </c>
    </row>
    <row r="8486" spans="1:4" ht="15" x14ac:dyDescent="0.25">
      <c r="A8486" t="s">
        <v>22384</v>
      </c>
      <c r="B8486">
        <v>2</v>
      </c>
      <c r="C8486">
        <v>33</v>
      </c>
      <c r="D8486">
        <v>16.5</v>
      </c>
    </row>
    <row r="8487" spans="1:4" ht="15" x14ac:dyDescent="0.25">
      <c r="A8487" t="s">
        <v>22385</v>
      </c>
      <c r="B8487">
        <v>1</v>
      </c>
      <c r="C8487">
        <v>6</v>
      </c>
      <c r="D8487">
        <v>6</v>
      </c>
    </row>
    <row r="8488" spans="1:4" ht="15" x14ac:dyDescent="0.25">
      <c r="A8488" t="s">
        <v>22386</v>
      </c>
      <c r="B8488">
        <v>1</v>
      </c>
      <c r="C8488">
        <v>6</v>
      </c>
      <c r="D8488">
        <v>6</v>
      </c>
    </row>
    <row r="8489" spans="1:4" ht="15" x14ac:dyDescent="0.25">
      <c r="A8489" t="s">
        <v>22391</v>
      </c>
      <c r="B8489">
        <v>1</v>
      </c>
      <c r="C8489">
        <v>112</v>
      </c>
      <c r="D8489">
        <v>112</v>
      </c>
    </row>
    <row r="8490" spans="1:4" ht="15" x14ac:dyDescent="0.25">
      <c r="A8490" t="s">
        <v>22392</v>
      </c>
      <c r="B8490">
        <v>1</v>
      </c>
      <c r="C8490">
        <v>112</v>
      </c>
      <c r="D8490">
        <v>112</v>
      </c>
    </row>
    <row r="8491" spans="1:4" ht="15" x14ac:dyDescent="0.25">
      <c r="A8491" t="s">
        <v>22396</v>
      </c>
      <c r="B8491">
        <v>1</v>
      </c>
      <c r="C8491">
        <v>37</v>
      </c>
      <c r="D8491">
        <v>37</v>
      </c>
    </row>
    <row r="8492" spans="1:4" ht="15" x14ac:dyDescent="0.25">
      <c r="A8492" t="s">
        <v>22397</v>
      </c>
      <c r="B8492">
        <v>1</v>
      </c>
      <c r="C8492">
        <v>37</v>
      </c>
      <c r="D8492">
        <v>37</v>
      </c>
    </row>
    <row r="8493" spans="1:4" ht="15" x14ac:dyDescent="0.25">
      <c r="A8493" t="s">
        <v>22408</v>
      </c>
      <c r="B8493">
        <v>1</v>
      </c>
      <c r="C8493">
        <v>27</v>
      </c>
      <c r="D8493">
        <v>27</v>
      </c>
    </row>
    <row r="8494" spans="1:4" ht="15" x14ac:dyDescent="0.25">
      <c r="A8494" t="s">
        <v>22410</v>
      </c>
      <c r="B8494">
        <v>1</v>
      </c>
      <c r="C8494">
        <v>27</v>
      </c>
      <c r="D8494">
        <v>27</v>
      </c>
    </row>
    <row r="8495" spans="1:4" ht="15" x14ac:dyDescent="0.25">
      <c r="A8495" t="s">
        <v>22411</v>
      </c>
      <c r="B8495">
        <v>1</v>
      </c>
      <c r="C8495">
        <v>27</v>
      </c>
      <c r="D8495">
        <v>27</v>
      </c>
    </row>
    <row r="8496" spans="1:4" ht="15" x14ac:dyDescent="0.25">
      <c r="A8496" t="s">
        <v>22409</v>
      </c>
      <c r="B8496">
        <v>1</v>
      </c>
      <c r="C8496">
        <v>27</v>
      </c>
      <c r="D8496">
        <v>27</v>
      </c>
    </row>
    <row r="8497" spans="1:4" ht="15" x14ac:dyDescent="0.25">
      <c r="A8497" t="s">
        <v>22417</v>
      </c>
      <c r="B8497">
        <v>2</v>
      </c>
      <c r="C8497">
        <v>38</v>
      </c>
      <c r="D8497">
        <v>19</v>
      </c>
    </row>
    <row r="8498" spans="1:4" ht="15" x14ac:dyDescent="0.25">
      <c r="A8498" t="s">
        <v>22420</v>
      </c>
      <c r="B8498">
        <v>1</v>
      </c>
      <c r="C8498">
        <v>462</v>
      </c>
      <c r="D8498">
        <v>462</v>
      </c>
    </row>
    <row r="8499" spans="1:4" ht="15" x14ac:dyDescent="0.25">
      <c r="A8499" t="s">
        <v>22421</v>
      </c>
      <c r="B8499">
        <v>1</v>
      </c>
      <c r="C8499">
        <v>462</v>
      </c>
      <c r="D8499">
        <v>462</v>
      </c>
    </row>
    <row r="8500" spans="1:4" ht="15" x14ac:dyDescent="0.25">
      <c r="A8500" t="s">
        <v>22423</v>
      </c>
      <c r="B8500">
        <v>1</v>
      </c>
      <c r="C8500">
        <v>462</v>
      </c>
      <c r="D8500">
        <v>462</v>
      </c>
    </row>
    <row r="8501" spans="1:4" ht="15" x14ac:dyDescent="0.25">
      <c r="A8501" t="s">
        <v>22422</v>
      </c>
      <c r="B8501">
        <v>1</v>
      </c>
      <c r="C8501">
        <v>462</v>
      </c>
      <c r="D8501">
        <v>462</v>
      </c>
    </row>
    <row r="8502" spans="1:4" ht="15" x14ac:dyDescent="0.25">
      <c r="A8502" t="s">
        <v>22426</v>
      </c>
      <c r="B8502">
        <v>1</v>
      </c>
      <c r="C8502">
        <v>249</v>
      </c>
      <c r="D8502">
        <v>249</v>
      </c>
    </row>
    <row r="8503" spans="1:4" ht="15" x14ac:dyDescent="0.25">
      <c r="A8503" t="s">
        <v>22427</v>
      </c>
      <c r="B8503">
        <v>2</v>
      </c>
      <c r="C8503">
        <v>324</v>
      </c>
      <c r="D8503">
        <v>162</v>
      </c>
    </row>
    <row r="8504" spans="1:4" ht="15" x14ac:dyDescent="0.25">
      <c r="A8504" t="s">
        <v>22429</v>
      </c>
      <c r="B8504">
        <v>1</v>
      </c>
      <c r="C8504">
        <v>249</v>
      </c>
      <c r="D8504">
        <v>249</v>
      </c>
    </row>
    <row r="8505" spans="1:4" ht="15" x14ac:dyDescent="0.25">
      <c r="A8505" t="s">
        <v>22428</v>
      </c>
      <c r="B8505">
        <v>2</v>
      </c>
      <c r="C8505">
        <v>978</v>
      </c>
      <c r="D8505">
        <v>489</v>
      </c>
    </row>
    <row r="8506" spans="1:4" ht="15" x14ac:dyDescent="0.25">
      <c r="A8506" t="s">
        <v>22434</v>
      </c>
      <c r="B8506">
        <v>7</v>
      </c>
      <c r="C8506">
        <v>272</v>
      </c>
      <c r="D8506">
        <v>38.857142857142854</v>
      </c>
    </row>
    <row r="8507" spans="1:4" ht="15" x14ac:dyDescent="0.25">
      <c r="A8507" t="s">
        <v>22437</v>
      </c>
      <c r="B8507">
        <v>1</v>
      </c>
      <c r="C8507">
        <v>17</v>
      </c>
      <c r="D8507">
        <v>17</v>
      </c>
    </row>
    <row r="8508" spans="1:4" ht="15" x14ac:dyDescent="0.25">
      <c r="A8508" t="s">
        <v>22441</v>
      </c>
      <c r="B8508">
        <v>1</v>
      </c>
      <c r="C8508">
        <v>1</v>
      </c>
      <c r="D8508">
        <v>1</v>
      </c>
    </row>
    <row r="8509" spans="1:4" ht="15" x14ac:dyDescent="0.25">
      <c r="A8509" t="s">
        <v>22445</v>
      </c>
      <c r="B8509">
        <v>1</v>
      </c>
      <c r="C8509">
        <v>86</v>
      </c>
      <c r="D8509">
        <v>86</v>
      </c>
    </row>
    <row r="8510" spans="1:4" ht="15" x14ac:dyDescent="0.25">
      <c r="A8510" t="s">
        <v>22446</v>
      </c>
      <c r="B8510">
        <v>1</v>
      </c>
      <c r="C8510">
        <v>86</v>
      </c>
      <c r="D8510">
        <v>86</v>
      </c>
    </row>
    <row r="8511" spans="1:4" ht="15" x14ac:dyDescent="0.25">
      <c r="A8511" t="s">
        <v>22450</v>
      </c>
      <c r="B8511">
        <v>1</v>
      </c>
      <c r="C8511">
        <v>594</v>
      </c>
      <c r="D8511">
        <v>594</v>
      </c>
    </row>
    <row r="8512" spans="1:4" ht="15" x14ac:dyDescent="0.25">
      <c r="A8512" t="s">
        <v>22452</v>
      </c>
      <c r="B8512">
        <v>1</v>
      </c>
      <c r="C8512">
        <v>594</v>
      </c>
      <c r="D8512">
        <v>594</v>
      </c>
    </row>
    <row r="8513" spans="1:4" ht="15" x14ac:dyDescent="0.25">
      <c r="A8513" t="s">
        <v>22453</v>
      </c>
      <c r="B8513">
        <v>1</v>
      </c>
      <c r="C8513">
        <v>594</v>
      </c>
      <c r="D8513">
        <v>594</v>
      </c>
    </row>
    <row r="8514" spans="1:4" ht="15" x14ac:dyDescent="0.25">
      <c r="A8514" t="s">
        <v>22451</v>
      </c>
      <c r="B8514">
        <v>1</v>
      </c>
      <c r="C8514">
        <v>594</v>
      </c>
      <c r="D8514">
        <v>594</v>
      </c>
    </row>
    <row r="8515" spans="1:4" ht="15" x14ac:dyDescent="0.25">
      <c r="A8515" t="s">
        <v>22459</v>
      </c>
      <c r="B8515">
        <v>1</v>
      </c>
      <c r="C8515">
        <v>8</v>
      </c>
      <c r="D8515">
        <v>8</v>
      </c>
    </row>
    <row r="8516" spans="1:4" ht="15" x14ac:dyDescent="0.25">
      <c r="A8516" t="s">
        <v>22463</v>
      </c>
      <c r="B8516">
        <v>1</v>
      </c>
      <c r="C8516">
        <v>22</v>
      </c>
      <c r="D8516">
        <v>22</v>
      </c>
    </row>
    <row r="8517" spans="1:4" ht="15" x14ac:dyDescent="0.25">
      <c r="A8517" t="s">
        <v>22464</v>
      </c>
      <c r="B8517">
        <v>1</v>
      </c>
      <c r="C8517">
        <v>22</v>
      </c>
      <c r="D8517">
        <v>22</v>
      </c>
    </row>
    <row r="8518" spans="1:4" ht="15" x14ac:dyDescent="0.25">
      <c r="A8518" t="s">
        <v>22465</v>
      </c>
      <c r="B8518">
        <v>1</v>
      </c>
      <c r="C8518">
        <v>22</v>
      </c>
      <c r="D8518">
        <v>22</v>
      </c>
    </row>
    <row r="8519" spans="1:4" ht="15" x14ac:dyDescent="0.25">
      <c r="A8519" t="s">
        <v>22470</v>
      </c>
      <c r="B8519">
        <v>1</v>
      </c>
      <c r="C8519">
        <v>72</v>
      </c>
      <c r="D8519">
        <v>72</v>
      </c>
    </row>
    <row r="8520" spans="1:4" ht="15" x14ac:dyDescent="0.25">
      <c r="A8520" t="s">
        <v>22472</v>
      </c>
      <c r="B8520">
        <v>1</v>
      </c>
      <c r="C8520">
        <v>72</v>
      </c>
      <c r="D8520">
        <v>72</v>
      </c>
    </row>
    <row r="8521" spans="1:4" ht="15" x14ac:dyDescent="0.25">
      <c r="A8521" t="s">
        <v>22473</v>
      </c>
      <c r="B8521">
        <v>1</v>
      </c>
      <c r="C8521">
        <v>72</v>
      </c>
      <c r="D8521">
        <v>72</v>
      </c>
    </row>
    <row r="8522" spans="1:4" ht="15" x14ac:dyDescent="0.25">
      <c r="A8522" t="s">
        <v>22471</v>
      </c>
      <c r="B8522">
        <v>1</v>
      </c>
      <c r="C8522">
        <v>72</v>
      </c>
      <c r="D8522">
        <v>72</v>
      </c>
    </row>
    <row r="8523" spans="1:4" ht="15" x14ac:dyDescent="0.25">
      <c r="A8523" t="s">
        <v>22477</v>
      </c>
      <c r="B8523">
        <v>1</v>
      </c>
      <c r="C8523">
        <v>14</v>
      </c>
      <c r="D8523">
        <v>14</v>
      </c>
    </row>
    <row r="8524" spans="1:4" ht="15" x14ac:dyDescent="0.25">
      <c r="A8524" t="s">
        <v>22480</v>
      </c>
      <c r="B8524">
        <v>1</v>
      </c>
      <c r="C8524">
        <v>1</v>
      </c>
      <c r="D8524">
        <v>1</v>
      </c>
    </row>
    <row r="8525" spans="1:4" ht="15" x14ac:dyDescent="0.25">
      <c r="A8525" t="s">
        <v>22481</v>
      </c>
      <c r="B8525">
        <v>1</v>
      </c>
      <c r="C8525">
        <v>1</v>
      </c>
      <c r="D8525">
        <v>1</v>
      </c>
    </row>
    <row r="8526" spans="1:4" ht="15" x14ac:dyDescent="0.25">
      <c r="A8526" t="s">
        <v>22485</v>
      </c>
      <c r="B8526">
        <v>1</v>
      </c>
      <c r="C8526">
        <v>132</v>
      </c>
      <c r="D8526">
        <v>132</v>
      </c>
    </row>
    <row r="8527" spans="1:4" ht="15" x14ac:dyDescent="0.25">
      <c r="A8527" t="s">
        <v>22486</v>
      </c>
      <c r="B8527">
        <v>1</v>
      </c>
      <c r="C8527">
        <v>132</v>
      </c>
      <c r="D8527">
        <v>132</v>
      </c>
    </row>
    <row r="8528" spans="1:4" ht="15" x14ac:dyDescent="0.25">
      <c r="A8528" t="s">
        <v>22487</v>
      </c>
      <c r="B8528">
        <v>2</v>
      </c>
      <c r="C8528">
        <v>150</v>
      </c>
      <c r="D8528">
        <v>75</v>
      </c>
    </row>
    <row r="8529" spans="1:4" ht="15" x14ac:dyDescent="0.25">
      <c r="A8529" t="s">
        <v>22492</v>
      </c>
      <c r="B8529">
        <v>1</v>
      </c>
      <c r="C8529">
        <v>92</v>
      </c>
      <c r="D8529">
        <v>92</v>
      </c>
    </row>
    <row r="8530" spans="1:4" ht="15" x14ac:dyDescent="0.25">
      <c r="A8530" t="s">
        <v>22493</v>
      </c>
      <c r="B8530">
        <v>1</v>
      </c>
      <c r="C8530">
        <v>92</v>
      </c>
      <c r="D8530">
        <v>92</v>
      </c>
    </row>
    <row r="8531" spans="1:4" ht="15" x14ac:dyDescent="0.25">
      <c r="A8531" t="s">
        <v>22491</v>
      </c>
      <c r="B8531">
        <v>1</v>
      </c>
      <c r="C8531">
        <v>92</v>
      </c>
      <c r="D8531">
        <v>92</v>
      </c>
    </row>
    <row r="8532" spans="1:4" ht="15" x14ac:dyDescent="0.25">
      <c r="A8532" t="s">
        <v>22498</v>
      </c>
      <c r="B8532">
        <v>1</v>
      </c>
      <c r="C8532">
        <v>59</v>
      </c>
      <c r="D8532">
        <v>59</v>
      </c>
    </row>
    <row r="8533" spans="1:4" ht="15" x14ac:dyDescent="0.25">
      <c r="A8533" t="s">
        <v>22499</v>
      </c>
      <c r="B8533">
        <v>1</v>
      </c>
      <c r="C8533">
        <v>59</v>
      </c>
      <c r="D8533">
        <v>59</v>
      </c>
    </row>
    <row r="8534" spans="1:4" ht="15" x14ac:dyDescent="0.25">
      <c r="A8534" t="s">
        <v>22505</v>
      </c>
      <c r="B8534">
        <v>1</v>
      </c>
      <c r="C8534">
        <v>92</v>
      </c>
      <c r="D8534">
        <v>92</v>
      </c>
    </row>
    <row r="8535" spans="1:4" ht="15" x14ac:dyDescent="0.25">
      <c r="A8535" t="s">
        <v>22514</v>
      </c>
      <c r="B8535">
        <v>1</v>
      </c>
      <c r="C8535">
        <v>17</v>
      </c>
      <c r="D8535">
        <v>17</v>
      </c>
    </row>
    <row r="8536" spans="1:4" ht="15" x14ac:dyDescent="0.25">
      <c r="A8536" t="s">
        <v>22515</v>
      </c>
      <c r="B8536">
        <v>1</v>
      </c>
      <c r="C8536">
        <v>17</v>
      </c>
      <c r="D8536">
        <v>17</v>
      </c>
    </row>
    <row r="8537" spans="1:4" ht="15" x14ac:dyDescent="0.25">
      <c r="A8537" t="s">
        <v>22516</v>
      </c>
      <c r="B8537">
        <v>1</v>
      </c>
      <c r="C8537">
        <v>17</v>
      </c>
      <c r="D8537">
        <v>17</v>
      </c>
    </row>
    <row r="8538" spans="1:4" ht="15" x14ac:dyDescent="0.25">
      <c r="A8538" t="s">
        <v>22517</v>
      </c>
      <c r="B8538">
        <v>1</v>
      </c>
      <c r="C8538">
        <v>17</v>
      </c>
      <c r="D8538">
        <v>17</v>
      </c>
    </row>
    <row r="8539" spans="1:4" ht="15" x14ac:dyDescent="0.25">
      <c r="A8539" t="s">
        <v>22521</v>
      </c>
      <c r="B8539">
        <v>1</v>
      </c>
      <c r="C8539">
        <v>54</v>
      </c>
      <c r="D8539">
        <v>54</v>
      </c>
    </row>
    <row r="8540" spans="1:4" ht="15" x14ac:dyDescent="0.25">
      <c r="A8540" t="s">
        <v>22522</v>
      </c>
      <c r="B8540">
        <v>2</v>
      </c>
      <c r="C8540">
        <v>126</v>
      </c>
      <c r="D8540">
        <v>63</v>
      </c>
    </row>
    <row r="8541" spans="1:4" ht="15" x14ac:dyDescent="0.25">
      <c r="A8541" t="s">
        <v>22523</v>
      </c>
      <c r="B8541">
        <v>3</v>
      </c>
      <c r="C8541">
        <v>305</v>
      </c>
      <c r="D8541">
        <v>101.66666666666667</v>
      </c>
    </row>
    <row r="8542" spans="1:4" ht="15" x14ac:dyDescent="0.25">
      <c r="A8542" t="s">
        <v>22527</v>
      </c>
      <c r="B8542">
        <v>1</v>
      </c>
      <c r="C8542">
        <v>67</v>
      </c>
      <c r="D8542">
        <v>67</v>
      </c>
    </row>
    <row r="8543" spans="1:4" ht="15" x14ac:dyDescent="0.25">
      <c r="A8543" t="s">
        <v>22531</v>
      </c>
      <c r="B8543">
        <v>1</v>
      </c>
      <c r="C8543">
        <v>4</v>
      </c>
      <c r="D8543">
        <v>4</v>
      </c>
    </row>
    <row r="8544" spans="1:4" ht="15" x14ac:dyDescent="0.25">
      <c r="A8544" t="s">
        <v>22533</v>
      </c>
      <c r="B8544">
        <v>1</v>
      </c>
      <c r="C8544">
        <v>4</v>
      </c>
      <c r="D8544">
        <v>4</v>
      </c>
    </row>
    <row r="8545" spans="1:4" ht="15" x14ac:dyDescent="0.25">
      <c r="A8545" t="s">
        <v>22532</v>
      </c>
      <c r="B8545">
        <v>1</v>
      </c>
      <c r="C8545">
        <v>4</v>
      </c>
      <c r="D8545">
        <v>4</v>
      </c>
    </row>
    <row r="8546" spans="1:4" ht="15" x14ac:dyDescent="0.25">
      <c r="A8546" t="s">
        <v>22536</v>
      </c>
      <c r="B8546">
        <v>1</v>
      </c>
      <c r="C8546">
        <v>46</v>
      </c>
      <c r="D8546">
        <v>46</v>
      </c>
    </row>
    <row r="8547" spans="1:4" ht="15" x14ac:dyDescent="0.25">
      <c r="A8547" t="s">
        <v>22537</v>
      </c>
      <c r="B8547">
        <v>1</v>
      </c>
      <c r="C8547">
        <v>46</v>
      </c>
      <c r="D8547">
        <v>46</v>
      </c>
    </row>
    <row r="8548" spans="1:4" ht="15" x14ac:dyDescent="0.25">
      <c r="A8548" t="s">
        <v>22538</v>
      </c>
      <c r="B8548">
        <v>1</v>
      </c>
      <c r="C8548">
        <v>46</v>
      </c>
      <c r="D8548">
        <v>46</v>
      </c>
    </row>
    <row r="8549" spans="1:4" ht="15" x14ac:dyDescent="0.25">
      <c r="A8549" t="s">
        <v>22539</v>
      </c>
      <c r="B8549">
        <v>1</v>
      </c>
      <c r="C8549">
        <v>46</v>
      </c>
      <c r="D8549">
        <v>46</v>
      </c>
    </row>
    <row r="8550" spans="1:4" ht="15" x14ac:dyDescent="0.25">
      <c r="A8550" t="s">
        <v>22542</v>
      </c>
      <c r="B8550">
        <v>1</v>
      </c>
      <c r="C8550">
        <v>42</v>
      </c>
      <c r="D8550">
        <v>42</v>
      </c>
    </row>
    <row r="8551" spans="1:4" ht="15" x14ac:dyDescent="0.25">
      <c r="A8551" t="s">
        <v>22543</v>
      </c>
      <c r="B8551">
        <v>1</v>
      </c>
      <c r="C8551">
        <v>42</v>
      </c>
      <c r="D8551">
        <v>42</v>
      </c>
    </row>
    <row r="8552" spans="1:4" ht="15" x14ac:dyDescent="0.25">
      <c r="A8552" t="s">
        <v>22545</v>
      </c>
      <c r="B8552">
        <v>1</v>
      </c>
      <c r="C8552">
        <v>42</v>
      </c>
      <c r="D8552">
        <v>42</v>
      </c>
    </row>
    <row r="8553" spans="1:4" ht="15" x14ac:dyDescent="0.25">
      <c r="A8553" t="s">
        <v>22544</v>
      </c>
      <c r="B8553">
        <v>1</v>
      </c>
      <c r="C8553">
        <v>42</v>
      </c>
      <c r="D8553">
        <v>42</v>
      </c>
    </row>
    <row r="8554" spans="1:4" ht="15" x14ac:dyDescent="0.25">
      <c r="A8554" t="s">
        <v>22550</v>
      </c>
      <c r="B8554">
        <v>1</v>
      </c>
      <c r="C8554">
        <v>17</v>
      </c>
      <c r="D8554">
        <v>17</v>
      </c>
    </row>
    <row r="8555" spans="1:4" ht="15" x14ac:dyDescent="0.25">
      <c r="A8555" t="s">
        <v>22551</v>
      </c>
      <c r="B8555">
        <v>3</v>
      </c>
      <c r="C8555">
        <v>76</v>
      </c>
      <c r="D8555">
        <v>25.333333333333332</v>
      </c>
    </row>
    <row r="8556" spans="1:4" ht="15" x14ac:dyDescent="0.25">
      <c r="A8556" t="s">
        <v>22552</v>
      </c>
      <c r="B8556">
        <v>1</v>
      </c>
      <c r="C8556">
        <v>17</v>
      </c>
      <c r="D8556">
        <v>17</v>
      </c>
    </row>
    <row r="8557" spans="1:4" ht="15" x14ac:dyDescent="0.25">
      <c r="A8557" t="s">
        <v>22557</v>
      </c>
      <c r="B8557">
        <v>1</v>
      </c>
      <c r="C8557">
        <v>23</v>
      </c>
      <c r="D8557">
        <v>23</v>
      </c>
    </row>
    <row r="8558" spans="1:4" ht="15" x14ac:dyDescent="0.25">
      <c r="A8558" t="s">
        <v>22558</v>
      </c>
      <c r="B8558">
        <v>1</v>
      </c>
      <c r="C8558">
        <v>23</v>
      </c>
      <c r="D8558">
        <v>23</v>
      </c>
    </row>
    <row r="8559" spans="1:4" ht="15" x14ac:dyDescent="0.25">
      <c r="A8559" t="s">
        <v>22560</v>
      </c>
      <c r="B8559">
        <v>1</v>
      </c>
      <c r="C8559">
        <v>23</v>
      </c>
      <c r="D8559">
        <v>23</v>
      </c>
    </row>
    <row r="8560" spans="1:4" ht="15" x14ac:dyDescent="0.25">
      <c r="A8560" t="s">
        <v>22559</v>
      </c>
      <c r="B8560">
        <v>1</v>
      </c>
      <c r="C8560">
        <v>23</v>
      </c>
      <c r="D8560">
        <v>23</v>
      </c>
    </row>
    <row r="8561" spans="1:4" ht="15" x14ac:dyDescent="0.25">
      <c r="A8561" t="s">
        <v>22567</v>
      </c>
      <c r="B8561">
        <v>1</v>
      </c>
      <c r="C8561">
        <v>470</v>
      </c>
      <c r="D8561">
        <v>470</v>
      </c>
    </row>
    <row r="8562" spans="1:4" ht="15" x14ac:dyDescent="0.25">
      <c r="A8562" t="s">
        <v>22571</v>
      </c>
      <c r="B8562">
        <v>1</v>
      </c>
      <c r="C8562">
        <v>25</v>
      </c>
      <c r="D8562">
        <v>25</v>
      </c>
    </row>
    <row r="8563" spans="1:4" ht="15" x14ac:dyDescent="0.25">
      <c r="A8563" t="s">
        <v>22575</v>
      </c>
      <c r="B8563">
        <v>1</v>
      </c>
      <c r="C8563">
        <v>15</v>
      </c>
      <c r="D8563">
        <v>15</v>
      </c>
    </row>
    <row r="8564" spans="1:4" ht="15" x14ac:dyDescent="0.25">
      <c r="A8564" t="s">
        <v>22581</v>
      </c>
      <c r="B8564">
        <v>2</v>
      </c>
      <c r="C8564">
        <v>90</v>
      </c>
      <c r="D8564">
        <v>45</v>
      </c>
    </row>
    <row r="8565" spans="1:4" ht="15" x14ac:dyDescent="0.25">
      <c r="A8565" t="s">
        <v>22583</v>
      </c>
      <c r="B8565">
        <v>1</v>
      </c>
      <c r="C8565">
        <v>46</v>
      </c>
      <c r="D8565">
        <v>46</v>
      </c>
    </row>
    <row r="8566" spans="1:4" ht="15" x14ac:dyDescent="0.25">
      <c r="A8566" t="s">
        <v>22584</v>
      </c>
      <c r="B8566">
        <v>1</v>
      </c>
      <c r="C8566">
        <v>46</v>
      </c>
      <c r="D8566">
        <v>46</v>
      </c>
    </row>
    <row r="8567" spans="1:4" ht="15" x14ac:dyDescent="0.25">
      <c r="A8567" t="s">
        <v>22582</v>
      </c>
      <c r="B8567">
        <v>1</v>
      </c>
      <c r="C8567">
        <v>46</v>
      </c>
      <c r="D8567">
        <v>46</v>
      </c>
    </row>
    <row r="8568" spans="1:4" ht="15" x14ac:dyDescent="0.25">
      <c r="A8568" t="s">
        <v>22588</v>
      </c>
      <c r="B8568">
        <v>1</v>
      </c>
      <c r="C8568">
        <v>89</v>
      </c>
      <c r="D8568">
        <v>89</v>
      </c>
    </row>
    <row r="8569" spans="1:4" ht="15" x14ac:dyDescent="0.25">
      <c r="A8569" t="s">
        <v>22589</v>
      </c>
      <c r="B8569">
        <v>1</v>
      </c>
      <c r="C8569">
        <v>89</v>
      </c>
      <c r="D8569">
        <v>89</v>
      </c>
    </row>
    <row r="8570" spans="1:4" ht="15" x14ac:dyDescent="0.25">
      <c r="A8570" t="s">
        <v>22591</v>
      </c>
      <c r="B8570">
        <v>1</v>
      </c>
      <c r="C8570">
        <v>89</v>
      </c>
      <c r="D8570">
        <v>89</v>
      </c>
    </row>
    <row r="8571" spans="1:4" ht="15" x14ac:dyDescent="0.25">
      <c r="A8571" t="s">
        <v>22590</v>
      </c>
      <c r="B8571">
        <v>1</v>
      </c>
      <c r="C8571">
        <v>89</v>
      </c>
      <c r="D8571">
        <v>89</v>
      </c>
    </row>
    <row r="8572" spans="1:4" ht="15" x14ac:dyDescent="0.25">
      <c r="A8572" t="s">
        <v>22595</v>
      </c>
      <c r="B8572">
        <v>1</v>
      </c>
      <c r="C8572">
        <v>71</v>
      </c>
      <c r="D8572">
        <v>71</v>
      </c>
    </row>
    <row r="8573" spans="1:4" ht="15" x14ac:dyDescent="0.25">
      <c r="A8573" t="s">
        <v>22599</v>
      </c>
      <c r="B8573">
        <v>1</v>
      </c>
      <c r="C8573">
        <v>368</v>
      </c>
      <c r="D8573">
        <v>368</v>
      </c>
    </row>
    <row r="8574" spans="1:4" ht="15" x14ac:dyDescent="0.25">
      <c r="A8574" t="s">
        <v>22601</v>
      </c>
      <c r="B8574">
        <v>1</v>
      </c>
      <c r="C8574">
        <v>368</v>
      </c>
      <c r="D8574">
        <v>368</v>
      </c>
    </row>
    <row r="8575" spans="1:4" ht="15" x14ac:dyDescent="0.25">
      <c r="A8575" t="s">
        <v>22600</v>
      </c>
      <c r="B8575">
        <v>1</v>
      </c>
      <c r="C8575">
        <v>368</v>
      </c>
      <c r="D8575">
        <v>368</v>
      </c>
    </row>
    <row r="8576" spans="1:4" ht="15" x14ac:dyDescent="0.25">
      <c r="A8576" t="s">
        <v>22605</v>
      </c>
      <c r="B8576">
        <v>1</v>
      </c>
      <c r="C8576">
        <v>8</v>
      </c>
      <c r="D8576">
        <v>8</v>
      </c>
    </row>
    <row r="8577" spans="1:4" ht="15" x14ac:dyDescent="0.25">
      <c r="A8577" t="s">
        <v>22606</v>
      </c>
      <c r="B8577">
        <v>1</v>
      </c>
      <c r="C8577">
        <v>8</v>
      </c>
      <c r="D8577">
        <v>8</v>
      </c>
    </row>
    <row r="8578" spans="1:4" ht="15" x14ac:dyDescent="0.25">
      <c r="A8578" t="s">
        <v>22611</v>
      </c>
      <c r="B8578">
        <v>1</v>
      </c>
      <c r="C8578">
        <v>22</v>
      </c>
      <c r="D8578">
        <v>22</v>
      </c>
    </row>
    <row r="8579" spans="1:4" ht="15" x14ac:dyDescent="0.25">
      <c r="A8579" t="s">
        <v>22612</v>
      </c>
      <c r="B8579">
        <v>1</v>
      </c>
      <c r="C8579">
        <v>22</v>
      </c>
      <c r="D8579">
        <v>22</v>
      </c>
    </row>
    <row r="8580" spans="1:4" ht="15" x14ac:dyDescent="0.25">
      <c r="A8580" t="s">
        <v>22617</v>
      </c>
      <c r="B8580">
        <v>1</v>
      </c>
      <c r="C8580">
        <v>489</v>
      </c>
      <c r="D8580">
        <v>489</v>
      </c>
    </row>
    <row r="8581" spans="1:4" ht="15" x14ac:dyDescent="0.25">
      <c r="A8581" t="s">
        <v>22619</v>
      </c>
      <c r="B8581">
        <v>1</v>
      </c>
      <c r="C8581">
        <v>489</v>
      </c>
      <c r="D8581">
        <v>489</v>
      </c>
    </row>
    <row r="8582" spans="1:4" ht="15" x14ac:dyDescent="0.25">
      <c r="A8582" t="s">
        <v>22620</v>
      </c>
      <c r="B8582">
        <v>2</v>
      </c>
      <c r="C8582">
        <v>516</v>
      </c>
      <c r="D8582">
        <v>258</v>
      </c>
    </row>
    <row r="8583" spans="1:4" ht="15" x14ac:dyDescent="0.25">
      <c r="A8583" t="s">
        <v>22618</v>
      </c>
      <c r="B8583">
        <v>1</v>
      </c>
      <c r="C8583">
        <v>489</v>
      </c>
      <c r="D8583">
        <v>489</v>
      </c>
    </row>
    <row r="8584" spans="1:4" ht="15" x14ac:dyDescent="0.25">
      <c r="A8584" t="s">
        <v>22623</v>
      </c>
      <c r="B8584">
        <v>1</v>
      </c>
      <c r="C8584">
        <v>36</v>
      </c>
      <c r="D8584">
        <v>36</v>
      </c>
    </row>
    <row r="8585" spans="1:4" ht="15" x14ac:dyDescent="0.25">
      <c r="A8585" t="s">
        <v>22628</v>
      </c>
      <c r="B8585">
        <v>1</v>
      </c>
      <c r="C8585">
        <v>28</v>
      </c>
      <c r="D8585">
        <v>28</v>
      </c>
    </row>
    <row r="8586" spans="1:4" ht="15" x14ac:dyDescent="0.25">
      <c r="A8586" t="s">
        <v>22630</v>
      </c>
      <c r="B8586">
        <v>1</v>
      </c>
      <c r="C8586">
        <v>28</v>
      </c>
      <c r="D8586">
        <v>28</v>
      </c>
    </row>
    <row r="8587" spans="1:4" ht="15" x14ac:dyDescent="0.25">
      <c r="A8587" t="s">
        <v>22629</v>
      </c>
      <c r="B8587">
        <v>1</v>
      </c>
      <c r="C8587">
        <v>28</v>
      </c>
      <c r="D8587">
        <v>28</v>
      </c>
    </row>
    <row r="8588" spans="1:4" ht="15" x14ac:dyDescent="0.25">
      <c r="A8588" t="s">
        <v>22634</v>
      </c>
      <c r="B8588">
        <v>1</v>
      </c>
      <c r="C8588">
        <v>11</v>
      </c>
      <c r="D8588">
        <v>11</v>
      </c>
    </row>
    <row r="8589" spans="1:4" ht="15" x14ac:dyDescent="0.25">
      <c r="A8589" t="s">
        <v>22635</v>
      </c>
      <c r="B8589">
        <v>1</v>
      </c>
      <c r="C8589">
        <v>11</v>
      </c>
      <c r="D8589">
        <v>11</v>
      </c>
    </row>
    <row r="8590" spans="1:4" ht="15" x14ac:dyDescent="0.25">
      <c r="A8590" t="s">
        <v>22636</v>
      </c>
      <c r="B8590">
        <v>1</v>
      </c>
      <c r="C8590">
        <v>11</v>
      </c>
      <c r="D8590">
        <v>11</v>
      </c>
    </row>
    <row r="8591" spans="1:4" ht="15" x14ac:dyDescent="0.25">
      <c r="A8591" t="s">
        <v>22639</v>
      </c>
      <c r="B8591">
        <v>1</v>
      </c>
      <c r="C8591">
        <v>177</v>
      </c>
      <c r="D8591">
        <v>177</v>
      </c>
    </row>
    <row r="8592" spans="1:4" ht="15" x14ac:dyDescent="0.25">
      <c r="A8592" t="s">
        <v>22641</v>
      </c>
      <c r="B8592">
        <v>1</v>
      </c>
      <c r="C8592">
        <v>177</v>
      </c>
      <c r="D8592">
        <v>177</v>
      </c>
    </row>
    <row r="8593" spans="1:4" ht="15" x14ac:dyDescent="0.25">
      <c r="A8593" t="s">
        <v>22642</v>
      </c>
      <c r="B8593">
        <v>1</v>
      </c>
      <c r="C8593">
        <v>177</v>
      </c>
      <c r="D8593">
        <v>177</v>
      </c>
    </row>
    <row r="8594" spans="1:4" ht="15" x14ac:dyDescent="0.25">
      <c r="A8594" t="s">
        <v>22640</v>
      </c>
      <c r="B8594">
        <v>1</v>
      </c>
      <c r="C8594">
        <v>177</v>
      </c>
      <c r="D8594">
        <v>177</v>
      </c>
    </row>
    <row r="8595" spans="1:4" ht="15" x14ac:dyDescent="0.25">
      <c r="A8595" t="s">
        <v>22647</v>
      </c>
      <c r="B8595">
        <v>1</v>
      </c>
      <c r="C8595">
        <v>89</v>
      </c>
      <c r="D8595">
        <v>89</v>
      </c>
    </row>
    <row r="8596" spans="1:4" ht="15" x14ac:dyDescent="0.25">
      <c r="A8596" t="s">
        <v>22653</v>
      </c>
      <c r="B8596">
        <v>1</v>
      </c>
      <c r="C8596">
        <v>4</v>
      </c>
      <c r="D8596">
        <v>4</v>
      </c>
    </row>
    <row r="8597" spans="1:4" ht="15" x14ac:dyDescent="0.25">
      <c r="A8597" t="s">
        <v>22654</v>
      </c>
      <c r="B8597">
        <v>1</v>
      </c>
      <c r="C8597">
        <v>4</v>
      </c>
      <c r="D8597">
        <v>4</v>
      </c>
    </row>
    <row r="8598" spans="1:4" ht="15" x14ac:dyDescent="0.25">
      <c r="A8598" t="s">
        <v>22655</v>
      </c>
      <c r="B8598">
        <v>2</v>
      </c>
      <c r="C8598">
        <v>20</v>
      </c>
      <c r="D8598">
        <v>10</v>
      </c>
    </row>
    <row r="8599" spans="1:4" ht="15" x14ac:dyDescent="0.25">
      <c r="A8599" t="s">
        <v>22659</v>
      </c>
      <c r="B8599">
        <v>1</v>
      </c>
      <c r="C8599">
        <v>110</v>
      </c>
      <c r="D8599">
        <v>110</v>
      </c>
    </row>
    <row r="8600" spans="1:4" ht="15" x14ac:dyDescent="0.25">
      <c r="A8600" t="s">
        <v>22660</v>
      </c>
      <c r="B8600">
        <v>1</v>
      </c>
      <c r="C8600">
        <v>110</v>
      </c>
      <c r="D8600">
        <v>110</v>
      </c>
    </row>
    <row r="8601" spans="1:4" ht="15" x14ac:dyDescent="0.25">
      <c r="A8601" t="s">
        <v>22662</v>
      </c>
      <c r="B8601">
        <v>1</v>
      </c>
      <c r="C8601">
        <v>110</v>
      </c>
      <c r="D8601">
        <v>110</v>
      </c>
    </row>
    <row r="8602" spans="1:4" ht="15" x14ac:dyDescent="0.25">
      <c r="A8602" t="s">
        <v>22663</v>
      </c>
      <c r="B8602">
        <v>1</v>
      </c>
      <c r="C8602">
        <v>110</v>
      </c>
      <c r="D8602">
        <v>110</v>
      </c>
    </row>
    <row r="8603" spans="1:4" ht="15" x14ac:dyDescent="0.25">
      <c r="A8603" t="s">
        <v>22661</v>
      </c>
      <c r="B8603">
        <v>1</v>
      </c>
      <c r="C8603">
        <v>110</v>
      </c>
      <c r="D8603">
        <v>110</v>
      </c>
    </row>
    <row r="8604" spans="1:4" ht="15" x14ac:dyDescent="0.25">
      <c r="A8604" t="s">
        <v>22667</v>
      </c>
      <c r="B8604">
        <v>1</v>
      </c>
      <c r="C8604">
        <v>65</v>
      </c>
      <c r="D8604">
        <v>65</v>
      </c>
    </row>
    <row r="8605" spans="1:4" ht="15" x14ac:dyDescent="0.25">
      <c r="A8605" t="s">
        <v>22668</v>
      </c>
      <c r="B8605">
        <v>2</v>
      </c>
      <c r="C8605">
        <v>653</v>
      </c>
      <c r="D8605">
        <v>326.5</v>
      </c>
    </row>
    <row r="8606" spans="1:4" ht="15" x14ac:dyDescent="0.25">
      <c r="A8606" t="s">
        <v>22670</v>
      </c>
      <c r="B8606">
        <v>1</v>
      </c>
      <c r="C8606">
        <v>65</v>
      </c>
      <c r="D8606">
        <v>65</v>
      </c>
    </row>
    <row r="8607" spans="1:4" ht="15" x14ac:dyDescent="0.25">
      <c r="A8607" t="s">
        <v>22671</v>
      </c>
      <c r="B8607">
        <v>1</v>
      </c>
      <c r="C8607">
        <v>65</v>
      </c>
      <c r="D8607">
        <v>65</v>
      </c>
    </row>
    <row r="8608" spans="1:4" ht="15" x14ac:dyDescent="0.25">
      <c r="A8608" t="s">
        <v>22669</v>
      </c>
      <c r="B8608">
        <v>1</v>
      </c>
      <c r="C8608">
        <v>65</v>
      </c>
      <c r="D8608">
        <v>65</v>
      </c>
    </row>
    <row r="8609" spans="1:4" ht="15" x14ac:dyDescent="0.25">
      <c r="A8609" t="s">
        <v>22676</v>
      </c>
      <c r="B8609">
        <v>1</v>
      </c>
      <c r="C8609">
        <v>31</v>
      </c>
      <c r="D8609">
        <v>31</v>
      </c>
    </row>
    <row r="8610" spans="1:4" ht="15" x14ac:dyDescent="0.25">
      <c r="A8610" t="s">
        <v>22677</v>
      </c>
      <c r="B8610">
        <v>1</v>
      </c>
      <c r="C8610">
        <v>31</v>
      </c>
      <c r="D8610">
        <v>31</v>
      </c>
    </row>
    <row r="8611" spans="1:4" ht="15" x14ac:dyDescent="0.25">
      <c r="A8611" t="s">
        <v>22679</v>
      </c>
      <c r="B8611">
        <v>1</v>
      </c>
      <c r="C8611">
        <v>31</v>
      </c>
      <c r="D8611">
        <v>31</v>
      </c>
    </row>
    <row r="8612" spans="1:4" ht="15" x14ac:dyDescent="0.25">
      <c r="A8612" t="s">
        <v>22678</v>
      </c>
      <c r="B8612">
        <v>1</v>
      </c>
      <c r="C8612">
        <v>31</v>
      </c>
      <c r="D8612">
        <v>31</v>
      </c>
    </row>
    <row r="8613" spans="1:4" ht="15" x14ac:dyDescent="0.25">
      <c r="A8613" t="s">
        <v>22682</v>
      </c>
      <c r="B8613">
        <v>1</v>
      </c>
      <c r="C8613">
        <v>34</v>
      </c>
      <c r="D8613">
        <v>34</v>
      </c>
    </row>
    <row r="8614" spans="1:4" ht="15" x14ac:dyDescent="0.25">
      <c r="A8614" t="s">
        <v>22687</v>
      </c>
      <c r="B8614">
        <v>1</v>
      </c>
      <c r="C8614">
        <v>22</v>
      </c>
      <c r="D8614">
        <v>22</v>
      </c>
    </row>
    <row r="8615" spans="1:4" ht="15" x14ac:dyDescent="0.25">
      <c r="A8615" t="s">
        <v>22689</v>
      </c>
      <c r="B8615">
        <v>1</v>
      </c>
      <c r="C8615">
        <v>22</v>
      </c>
      <c r="D8615">
        <v>22</v>
      </c>
    </row>
    <row r="8616" spans="1:4" ht="15" x14ac:dyDescent="0.25">
      <c r="A8616" t="s">
        <v>22688</v>
      </c>
      <c r="B8616">
        <v>1</v>
      </c>
      <c r="C8616">
        <v>22</v>
      </c>
      <c r="D8616">
        <v>22</v>
      </c>
    </row>
    <row r="8617" spans="1:4" ht="15" x14ac:dyDescent="0.25">
      <c r="A8617" t="s">
        <v>22693</v>
      </c>
      <c r="B8617">
        <v>1</v>
      </c>
      <c r="C8617">
        <v>37</v>
      </c>
      <c r="D8617">
        <v>37</v>
      </c>
    </row>
    <row r="8618" spans="1:4" ht="15" x14ac:dyDescent="0.25">
      <c r="A8618" t="s">
        <v>22694</v>
      </c>
      <c r="B8618">
        <v>1</v>
      </c>
      <c r="C8618">
        <v>37</v>
      </c>
      <c r="D8618">
        <v>37</v>
      </c>
    </row>
    <row r="8619" spans="1:4" ht="15" x14ac:dyDescent="0.25">
      <c r="A8619" t="s">
        <v>22696</v>
      </c>
      <c r="B8619">
        <v>1</v>
      </c>
      <c r="C8619">
        <v>37</v>
      </c>
      <c r="D8619">
        <v>37</v>
      </c>
    </row>
    <row r="8620" spans="1:4" ht="15" x14ac:dyDescent="0.25">
      <c r="A8620" t="s">
        <v>22695</v>
      </c>
      <c r="B8620">
        <v>1</v>
      </c>
      <c r="C8620">
        <v>37</v>
      </c>
      <c r="D8620">
        <v>37</v>
      </c>
    </row>
    <row r="8621" spans="1:4" ht="15" x14ac:dyDescent="0.25">
      <c r="A8621" t="s">
        <v>22700</v>
      </c>
      <c r="B8621">
        <v>1</v>
      </c>
      <c r="C8621">
        <v>44</v>
      </c>
      <c r="D8621">
        <v>44</v>
      </c>
    </row>
    <row r="8622" spans="1:4" ht="15" x14ac:dyDescent="0.25">
      <c r="A8622" t="s">
        <v>22701</v>
      </c>
      <c r="B8622">
        <v>1</v>
      </c>
      <c r="C8622">
        <v>44</v>
      </c>
      <c r="D8622">
        <v>44</v>
      </c>
    </row>
    <row r="8623" spans="1:4" ht="15" x14ac:dyDescent="0.25">
      <c r="A8623" t="s">
        <v>22705</v>
      </c>
      <c r="B8623">
        <v>1</v>
      </c>
      <c r="C8623">
        <v>30</v>
      </c>
      <c r="D8623">
        <v>30</v>
      </c>
    </row>
    <row r="8624" spans="1:4" ht="15" x14ac:dyDescent="0.25">
      <c r="A8624" t="s">
        <v>22706</v>
      </c>
      <c r="B8624">
        <v>1</v>
      </c>
      <c r="C8624">
        <v>30</v>
      </c>
      <c r="D8624">
        <v>30</v>
      </c>
    </row>
    <row r="8625" spans="1:4" ht="15" x14ac:dyDescent="0.25">
      <c r="A8625" t="s">
        <v>22707</v>
      </c>
      <c r="B8625">
        <v>1</v>
      </c>
      <c r="C8625">
        <v>30</v>
      </c>
      <c r="D8625">
        <v>30</v>
      </c>
    </row>
    <row r="8626" spans="1:4" ht="15" x14ac:dyDescent="0.25">
      <c r="A8626" t="s">
        <v>22711</v>
      </c>
      <c r="B8626">
        <v>1</v>
      </c>
      <c r="C8626">
        <v>62</v>
      </c>
      <c r="D8626">
        <v>62</v>
      </c>
    </row>
    <row r="8627" spans="1:4" ht="15" x14ac:dyDescent="0.25">
      <c r="A8627" t="s">
        <v>22712</v>
      </c>
      <c r="B8627">
        <v>1</v>
      </c>
      <c r="C8627">
        <v>62</v>
      </c>
      <c r="D8627">
        <v>62</v>
      </c>
    </row>
    <row r="8628" spans="1:4" ht="15" x14ac:dyDescent="0.25">
      <c r="A8628" t="s">
        <v>22713</v>
      </c>
      <c r="B8628">
        <v>1</v>
      </c>
      <c r="C8628">
        <v>62</v>
      </c>
      <c r="D8628">
        <v>62</v>
      </c>
    </row>
    <row r="8629" spans="1:4" ht="15" x14ac:dyDescent="0.25">
      <c r="A8629" t="s">
        <v>22717</v>
      </c>
      <c r="B8629">
        <v>1</v>
      </c>
      <c r="C8629">
        <v>5</v>
      </c>
      <c r="D8629">
        <v>5</v>
      </c>
    </row>
    <row r="8630" spans="1:4" ht="15" x14ac:dyDescent="0.25">
      <c r="A8630" t="s">
        <v>22718</v>
      </c>
      <c r="B8630">
        <v>1</v>
      </c>
      <c r="C8630">
        <v>5</v>
      </c>
      <c r="D8630">
        <v>5</v>
      </c>
    </row>
    <row r="8631" spans="1:4" ht="15" x14ac:dyDescent="0.25">
      <c r="A8631" t="s">
        <v>22721</v>
      </c>
      <c r="B8631">
        <v>1</v>
      </c>
      <c r="C8631">
        <v>29</v>
      </c>
      <c r="D8631">
        <v>29</v>
      </c>
    </row>
    <row r="8632" spans="1:4" ht="15" x14ac:dyDescent="0.25">
      <c r="A8632" t="s">
        <v>22726</v>
      </c>
      <c r="B8632">
        <v>2</v>
      </c>
      <c r="C8632">
        <v>56</v>
      </c>
      <c r="D8632">
        <v>28</v>
      </c>
    </row>
    <row r="8633" spans="1:4" ht="15" x14ac:dyDescent="0.25">
      <c r="A8633" t="s">
        <v>22732</v>
      </c>
      <c r="B8633">
        <v>1</v>
      </c>
      <c r="C8633">
        <v>31</v>
      </c>
      <c r="D8633">
        <v>31</v>
      </c>
    </row>
    <row r="8634" spans="1:4" ht="15" x14ac:dyDescent="0.25">
      <c r="A8634" t="s">
        <v>22736</v>
      </c>
      <c r="B8634">
        <v>1</v>
      </c>
      <c r="C8634">
        <v>43</v>
      </c>
      <c r="D8634">
        <v>43</v>
      </c>
    </row>
    <row r="8635" spans="1:4" ht="15" x14ac:dyDescent="0.25">
      <c r="A8635" t="s">
        <v>22738</v>
      </c>
      <c r="B8635">
        <v>1</v>
      </c>
      <c r="C8635">
        <v>43</v>
      </c>
      <c r="D8635">
        <v>43</v>
      </c>
    </row>
    <row r="8636" spans="1:4" ht="15" x14ac:dyDescent="0.25">
      <c r="A8636" t="s">
        <v>22737</v>
      </c>
      <c r="B8636">
        <v>1</v>
      </c>
      <c r="C8636">
        <v>43</v>
      </c>
      <c r="D8636">
        <v>43</v>
      </c>
    </row>
    <row r="8637" spans="1:4" ht="15" x14ac:dyDescent="0.25">
      <c r="A8637" t="s">
        <v>22744</v>
      </c>
      <c r="B8637">
        <v>1</v>
      </c>
      <c r="C8637">
        <v>43</v>
      </c>
      <c r="D8637">
        <v>43</v>
      </c>
    </row>
    <row r="8638" spans="1:4" ht="15" x14ac:dyDescent="0.25">
      <c r="A8638" t="s">
        <v>22746</v>
      </c>
      <c r="B8638">
        <v>1</v>
      </c>
      <c r="C8638">
        <v>43</v>
      </c>
      <c r="D8638">
        <v>43</v>
      </c>
    </row>
    <row r="8639" spans="1:4" ht="15" x14ac:dyDescent="0.25">
      <c r="A8639" t="s">
        <v>22747</v>
      </c>
      <c r="B8639">
        <v>1</v>
      </c>
      <c r="C8639">
        <v>43</v>
      </c>
      <c r="D8639">
        <v>43</v>
      </c>
    </row>
    <row r="8640" spans="1:4" ht="15" x14ac:dyDescent="0.25">
      <c r="A8640" t="s">
        <v>22745</v>
      </c>
      <c r="B8640">
        <v>1</v>
      </c>
      <c r="C8640">
        <v>43</v>
      </c>
      <c r="D8640">
        <v>43</v>
      </c>
    </row>
    <row r="8641" spans="1:4" ht="15" x14ac:dyDescent="0.25">
      <c r="A8641" t="s">
        <v>22751</v>
      </c>
      <c r="B8641">
        <v>1</v>
      </c>
      <c r="C8641">
        <v>24</v>
      </c>
      <c r="D8641">
        <v>24</v>
      </c>
    </row>
    <row r="8642" spans="1:4" ht="15" x14ac:dyDescent="0.25">
      <c r="A8642" t="s">
        <v>22753</v>
      </c>
      <c r="B8642">
        <v>1</v>
      </c>
      <c r="C8642">
        <v>24</v>
      </c>
      <c r="D8642">
        <v>24</v>
      </c>
    </row>
    <row r="8643" spans="1:4" ht="15" x14ac:dyDescent="0.25">
      <c r="A8643" t="s">
        <v>22752</v>
      </c>
      <c r="B8643">
        <v>2</v>
      </c>
      <c r="C8643">
        <v>56</v>
      </c>
      <c r="D8643">
        <v>28</v>
      </c>
    </row>
    <row r="8644" spans="1:4" ht="15" x14ac:dyDescent="0.25">
      <c r="A8644" t="s">
        <v>22757</v>
      </c>
      <c r="B8644">
        <v>2</v>
      </c>
      <c r="C8644">
        <v>57</v>
      </c>
      <c r="D8644">
        <v>28.5</v>
      </c>
    </row>
    <row r="8645" spans="1:4" ht="15" x14ac:dyDescent="0.25">
      <c r="A8645" t="s">
        <v>22760</v>
      </c>
      <c r="B8645">
        <v>1</v>
      </c>
      <c r="C8645">
        <v>695</v>
      </c>
      <c r="D8645">
        <v>695</v>
      </c>
    </row>
    <row r="8646" spans="1:4" ht="15" x14ac:dyDescent="0.25">
      <c r="A8646" t="s">
        <v>22761</v>
      </c>
      <c r="B8646">
        <v>2</v>
      </c>
      <c r="C8646">
        <v>1317</v>
      </c>
      <c r="D8646">
        <v>658.5</v>
      </c>
    </row>
    <row r="8647" spans="1:4" ht="15" x14ac:dyDescent="0.25">
      <c r="A8647" t="s">
        <v>22765</v>
      </c>
      <c r="B8647">
        <v>1</v>
      </c>
      <c r="C8647">
        <v>20</v>
      </c>
      <c r="D8647">
        <v>20</v>
      </c>
    </row>
    <row r="8648" spans="1:4" ht="15" x14ac:dyDescent="0.25">
      <c r="A8648" t="s">
        <v>22766</v>
      </c>
      <c r="B8648">
        <v>1</v>
      </c>
      <c r="C8648">
        <v>20</v>
      </c>
      <c r="D8648">
        <v>20</v>
      </c>
    </row>
    <row r="8649" spans="1:4" ht="15" x14ac:dyDescent="0.25">
      <c r="A8649" t="s">
        <v>22767</v>
      </c>
      <c r="B8649">
        <v>1</v>
      </c>
      <c r="C8649">
        <v>20</v>
      </c>
      <c r="D8649">
        <v>20</v>
      </c>
    </row>
    <row r="8650" spans="1:4" ht="15" x14ac:dyDescent="0.25">
      <c r="A8650" t="s">
        <v>22772</v>
      </c>
      <c r="B8650">
        <v>1</v>
      </c>
      <c r="C8650">
        <v>27</v>
      </c>
      <c r="D8650">
        <v>27</v>
      </c>
    </row>
    <row r="8651" spans="1:4" ht="15" x14ac:dyDescent="0.25">
      <c r="A8651" t="s">
        <v>22773</v>
      </c>
      <c r="B8651">
        <v>1</v>
      </c>
      <c r="C8651">
        <v>27</v>
      </c>
      <c r="D8651">
        <v>27</v>
      </c>
    </row>
    <row r="8652" spans="1:4" ht="15" x14ac:dyDescent="0.25">
      <c r="A8652" t="s">
        <v>22774</v>
      </c>
      <c r="B8652">
        <v>1</v>
      </c>
      <c r="C8652">
        <v>27</v>
      </c>
      <c r="D8652">
        <v>27</v>
      </c>
    </row>
    <row r="8653" spans="1:4" ht="15" x14ac:dyDescent="0.25">
      <c r="A8653" t="s">
        <v>22777</v>
      </c>
      <c r="B8653">
        <v>1</v>
      </c>
      <c r="C8653">
        <v>55</v>
      </c>
      <c r="D8653">
        <v>55</v>
      </c>
    </row>
    <row r="8654" spans="1:4" ht="15" x14ac:dyDescent="0.25">
      <c r="A8654" t="s">
        <v>22778</v>
      </c>
      <c r="B8654">
        <v>1</v>
      </c>
      <c r="C8654">
        <v>55</v>
      </c>
      <c r="D8654">
        <v>55</v>
      </c>
    </row>
    <row r="8655" spans="1:4" ht="15" x14ac:dyDescent="0.25">
      <c r="A8655" t="s">
        <v>22779</v>
      </c>
      <c r="B8655">
        <v>1</v>
      </c>
      <c r="C8655">
        <v>55</v>
      </c>
      <c r="D8655">
        <v>55</v>
      </c>
    </row>
    <row r="8656" spans="1:4" ht="15" x14ac:dyDescent="0.25">
      <c r="A8656" t="s">
        <v>22783</v>
      </c>
      <c r="B8656">
        <v>1</v>
      </c>
      <c r="C8656">
        <v>21</v>
      </c>
      <c r="D8656">
        <v>21</v>
      </c>
    </row>
    <row r="8657" spans="1:4" ht="15" x14ac:dyDescent="0.25">
      <c r="A8657" t="s">
        <v>22784</v>
      </c>
      <c r="B8657">
        <v>1</v>
      </c>
      <c r="C8657">
        <v>21</v>
      </c>
      <c r="D8657">
        <v>21</v>
      </c>
    </row>
    <row r="8658" spans="1:4" ht="15" x14ac:dyDescent="0.25">
      <c r="A8658" t="s">
        <v>22788</v>
      </c>
      <c r="B8658">
        <v>1</v>
      </c>
      <c r="C8658">
        <v>18</v>
      </c>
      <c r="D8658">
        <v>18</v>
      </c>
    </row>
    <row r="8659" spans="1:4" ht="15" x14ac:dyDescent="0.25">
      <c r="A8659" t="s">
        <v>22792</v>
      </c>
      <c r="B8659">
        <v>1</v>
      </c>
      <c r="C8659">
        <v>7</v>
      </c>
      <c r="D8659">
        <v>7</v>
      </c>
    </row>
    <row r="8660" spans="1:4" ht="15" x14ac:dyDescent="0.25">
      <c r="A8660" t="s">
        <v>22793</v>
      </c>
      <c r="B8660">
        <v>1</v>
      </c>
      <c r="C8660">
        <v>7</v>
      </c>
      <c r="D8660">
        <v>7</v>
      </c>
    </row>
    <row r="8661" spans="1:4" ht="15" x14ac:dyDescent="0.25">
      <c r="A8661" t="s">
        <v>22795</v>
      </c>
      <c r="B8661">
        <v>1</v>
      </c>
      <c r="C8661">
        <v>7</v>
      </c>
      <c r="D8661">
        <v>7</v>
      </c>
    </row>
    <row r="8662" spans="1:4" ht="15" x14ac:dyDescent="0.25">
      <c r="A8662" t="s">
        <v>22794</v>
      </c>
      <c r="B8662">
        <v>1</v>
      </c>
      <c r="C8662">
        <v>7</v>
      </c>
      <c r="D8662">
        <v>7</v>
      </c>
    </row>
    <row r="8663" spans="1:4" ht="15" x14ac:dyDescent="0.25">
      <c r="A8663" t="s">
        <v>22798</v>
      </c>
      <c r="B8663">
        <v>1</v>
      </c>
      <c r="C8663">
        <v>126</v>
      </c>
      <c r="D8663">
        <v>126</v>
      </c>
    </row>
    <row r="8664" spans="1:4" ht="15" x14ac:dyDescent="0.25">
      <c r="A8664" t="s">
        <v>22805</v>
      </c>
      <c r="B8664">
        <v>1</v>
      </c>
      <c r="C8664">
        <v>22</v>
      </c>
      <c r="D8664">
        <v>22</v>
      </c>
    </row>
    <row r="8665" spans="1:4" ht="15" x14ac:dyDescent="0.25">
      <c r="A8665" t="s">
        <v>22804</v>
      </c>
      <c r="B8665">
        <v>2</v>
      </c>
      <c r="C8665">
        <v>53</v>
      </c>
      <c r="D8665">
        <v>26.5</v>
      </c>
    </row>
    <row r="8666" spans="1:4" ht="15" x14ac:dyDescent="0.25">
      <c r="A8666" t="s">
        <v>22808</v>
      </c>
      <c r="B8666">
        <v>3</v>
      </c>
      <c r="C8666">
        <v>150</v>
      </c>
      <c r="D8666">
        <v>50</v>
      </c>
    </row>
    <row r="8667" spans="1:4" ht="15" x14ac:dyDescent="0.25">
      <c r="A8667" t="s">
        <v>22809</v>
      </c>
      <c r="B8667">
        <v>1</v>
      </c>
      <c r="C8667">
        <v>47</v>
      </c>
      <c r="D8667">
        <v>47</v>
      </c>
    </row>
    <row r="8668" spans="1:4" ht="15" x14ac:dyDescent="0.25">
      <c r="A8668" t="s">
        <v>22813</v>
      </c>
      <c r="B8668">
        <v>1</v>
      </c>
      <c r="C8668">
        <v>81</v>
      </c>
      <c r="D8668">
        <v>81</v>
      </c>
    </row>
    <row r="8669" spans="1:4" ht="15" x14ac:dyDescent="0.25">
      <c r="A8669" t="s">
        <v>22817</v>
      </c>
      <c r="B8669">
        <v>1</v>
      </c>
      <c r="C8669">
        <v>20</v>
      </c>
      <c r="D8669">
        <v>20</v>
      </c>
    </row>
    <row r="8670" spans="1:4" ht="15" x14ac:dyDescent="0.25">
      <c r="A8670" t="s">
        <v>22819</v>
      </c>
      <c r="B8670">
        <v>1</v>
      </c>
      <c r="C8670">
        <v>20</v>
      </c>
      <c r="D8670">
        <v>20</v>
      </c>
    </row>
    <row r="8671" spans="1:4" ht="15" x14ac:dyDescent="0.25">
      <c r="A8671" t="s">
        <v>22818</v>
      </c>
      <c r="B8671">
        <v>1</v>
      </c>
      <c r="C8671">
        <v>20</v>
      </c>
      <c r="D8671">
        <v>20</v>
      </c>
    </row>
    <row r="8672" spans="1:4" ht="15" x14ac:dyDescent="0.25">
      <c r="A8672" t="s">
        <v>22823</v>
      </c>
      <c r="B8672">
        <v>1</v>
      </c>
      <c r="C8672">
        <v>162</v>
      </c>
      <c r="D8672">
        <v>162</v>
      </c>
    </row>
    <row r="8673" spans="1:4" ht="15" x14ac:dyDescent="0.25">
      <c r="A8673" t="s">
        <v>22825</v>
      </c>
      <c r="B8673">
        <v>1</v>
      </c>
      <c r="C8673">
        <v>162</v>
      </c>
      <c r="D8673">
        <v>162</v>
      </c>
    </row>
    <row r="8674" spans="1:4" ht="15" x14ac:dyDescent="0.25">
      <c r="A8674" t="s">
        <v>22826</v>
      </c>
      <c r="B8674">
        <v>1</v>
      </c>
      <c r="C8674">
        <v>162</v>
      </c>
      <c r="D8674">
        <v>162</v>
      </c>
    </row>
    <row r="8675" spans="1:4" ht="15" x14ac:dyDescent="0.25">
      <c r="A8675" t="s">
        <v>22824</v>
      </c>
      <c r="B8675">
        <v>1</v>
      </c>
      <c r="C8675">
        <v>162</v>
      </c>
      <c r="D8675">
        <v>162</v>
      </c>
    </row>
    <row r="8676" spans="1:4" ht="15" x14ac:dyDescent="0.25">
      <c r="A8676" t="s">
        <v>22829</v>
      </c>
      <c r="B8676">
        <v>1</v>
      </c>
      <c r="C8676">
        <v>23</v>
      </c>
      <c r="D8676">
        <v>23</v>
      </c>
    </row>
    <row r="8677" spans="1:4" ht="15" x14ac:dyDescent="0.25">
      <c r="A8677" t="s">
        <v>22833</v>
      </c>
      <c r="B8677">
        <v>1</v>
      </c>
      <c r="C8677">
        <v>20</v>
      </c>
      <c r="D8677">
        <v>20</v>
      </c>
    </row>
    <row r="8678" spans="1:4" ht="15" x14ac:dyDescent="0.25">
      <c r="A8678" t="s">
        <v>22836</v>
      </c>
      <c r="B8678">
        <v>5</v>
      </c>
      <c r="C8678">
        <v>167</v>
      </c>
      <c r="D8678">
        <v>33.4</v>
      </c>
    </row>
    <row r="8679" spans="1:4" ht="15" x14ac:dyDescent="0.25">
      <c r="A8679" t="s">
        <v>22840</v>
      </c>
      <c r="B8679">
        <v>1</v>
      </c>
      <c r="C8679">
        <v>53</v>
      </c>
      <c r="D8679">
        <v>53</v>
      </c>
    </row>
    <row r="8680" spans="1:4" ht="15" x14ac:dyDescent="0.25">
      <c r="A8680" t="s">
        <v>22842</v>
      </c>
      <c r="B8680">
        <v>1</v>
      </c>
      <c r="C8680">
        <v>53</v>
      </c>
      <c r="D8680">
        <v>53</v>
      </c>
    </row>
    <row r="8681" spans="1:4" ht="15" x14ac:dyDescent="0.25">
      <c r="A8681" t="s">
        <v>22843</v>
      </c>
      <c r="B8681">
        <v>1</v>
      </c>
      <c r="C8681">
        <v>53</v>
      </c>
      <c r="D8681">
        <v>53</v>
      </c>
    </row>
    <row r="8682" spans="1:4" ht="15" x14ac:dyDescent="0.25">
      <c r="A8682" t="s">
        <v>22841</v>
      </c>
      <c r="B8682">
        <v>1</v>
      </c>
      <c r="C8682">
        <v>53</v>
      </c>
      <c r="D8682">
        <v>53</v>
      </c>
    </row>
    <row r="8683" spans="1:4" ht="15" x14ac:dyDescent="0.25">
      <c r="A8683" t="s">
        <v>22847</v>
      </c>
      <c r="B8683">
        <v>1</v>
      </c>
      <c r="C8683">
        <v>116</v>
      </c>
      <c r="D8683">
        <v>116</v>
      </c>
    </row>
    <row r="8684" spans="1:4" ht="15" x14ac:dyDescent="0.25">
      <c r="A8684" t="s">
        <v>22849</v>
      </c>
      <c r="B8684">
        <v>1</v>
      </c>
      <c r="C8684">
        <v>116</v>
      </c>
      <c r="D8684">
        <v>116</v>
      </c>
    </row>
    <row r="8685" spans="1:4" ht="15" x14ac:dyDescent="0.25">
      <c r="A8685" t="s">
        <v>22848</v>
      </c>
      <c r="B8685">
        <v>1</v>
      </c>
      <c r="C8685">
        <v>116</v>
      </c>
      <c r="D8685">
        <v>116</v>
      </c>
    </row>
    <row r="8686" spans="1:4" ht="15" x14ac:dyDescent="0.25">
      <c r="A8686" t="s">
        <v>22861</v>
      </c>
      <c r="B8686">
        <v>1</v>
      </c>
      <c r="C8686">
        <v>22</v>
      </c>
      <c r="D8686">
        <v>22</v>
      </c>
    </row>
    <row r="8687" spans="1:4" ht="15" x14ac:dyDescent="0.25">
      <c r="A8687" t="s">
        <v>22862</v>
      </c>
      <c r="B8687">
        <v>1</v>
      </c>
      <c r="C8687">
        <v>22</v>
      </c>
      <c r="D8687">
        <v>22</v>
      </c>
    </row>
    <row r="8688" spans="1:4" ht="15" x14ac:dyDescent="0.25">
      <c r="A8688" t="s">
        <v>22867</v>
      </c>
      <c r="B8688">
        <v>1</v>
      </c>
      <c r="C8688">
        <v>7</v>
      </c>
      <c r="D8688">
        <v>7</v>
      </c>
    </row>
    <row r="8689" spans="1:4" ht="15" x14ac:dyDescent="0.25">
      <c r="A8689" t="s">
        <v>22868</v>
      </c>
      <c r="B8689">
        <v>1</v>
      </c>
      <c r="C8689">
        <v>7</v>
      </c>
      <c r="D8689">
        <v>7</v>
      </c>
    </row>
    <row r="8690" spans="1:4" ht="15" x14ac:dyDescent="0.25">
      <c r="A8690" t="s">
        <v>22869</v>
      </c>
      <c r="B8690">
        <v>1</v>
      </c>
      <c r="C8690">
        <v>7</v>
      </c>
      <c r="D8690">
        <v>7</v>
      </c>
    </row>
    <row r="8691" spans="1:4" ht="15" x14ac:dyDescent="0.25">
      <c r="A8691" t="s">
        <v>22875</v>
      </c>
      <c r="B8691">
        <v>1</v>
      </c>
      <c r="C8691">
        <v>30</v>
      </c>
      <c r="D8691">
        <v>30</v>
      </c>
    </row>
    <row r="8692" spans="1:4" ht="15" x14ac:dyDescent="0.25">
      <c r="A8692" t="s">
        <v>22876</v>
      </c>
      <c r="B8692">
        <v>1</v>
      </c>
      <c r="C8692">
        <v>30</v>
      </c>
      <c r="D8692">
        <v>30</v>
      </c>
    </row>
    <row r="8693" spans="1:4" ht="15" x14ac:dyDescent="0.25">
      <c r="A8693" t="s">
        <v>22881</v>
      </c>
      <c r="B8693">
        <v>2</v>
      </c>
      <c r="C8693">
        <v>145</v>
      </c>
      <c r="D8693">
        <v>72.5</v>
      </c>
    </row>
    <row r="8694" spans="1:4" ht="15" x14ac:dyDescent="0.25">
      <c r="A8694" t="s">
        <v>22883</v>
      </c>
      <c r="B8694">
        <v>1</v>
      </c>
      <c r="C8694">
        <v>41</v>
      </c>
      <c r="D8694">
        <v>41</v>
      </c>
    </row>
    <row r="8695" spans="1:4" ht="15" x14ac:dyDescent="0.25">
      <c r="A8695" t="s">
        <v>22882</v>
      </c>
      <c r="B8695">
        <v>1</v>
      </c>
      <c r="C8695">
        <v>41</v>
      </c>
      <c r="D8695">
        <v>41</v>
      </c>
    </row>
    <row r="8696" spans="1:4" ht="15" x14ac:dyDescent="0.25">
      <c r="A8696" t="s">
        <v>22886</v>
      </c>
      <c r="B8696">
        <v>1</v>
      </c>
      <c r="C8696">
        <v>37</v>
      </c>
      <c r="D8696">
        <v>37</v>
      </c>
    </row>
    <row r="8697" spans="1:4" ht="15" x14ac:dyDescent="0.25">
      <c r="A8697" t="s">
        <v>22887</v>
      </c>
      <c r="B8697">
        <v>1</v>
      </c>
      <c r="C8697">
        <v>37</v>
      </c>
      <c r="D8697">
        <v>37</v>
      </c>
    </row>
    <row r="8698" spans="1:4" ht="15" x14ac:dyDescent="0.25">
      <c r="A8698" t="s">
        <v>22891</v>
      </c>
      <c r="B8698">
        <v>1</v>
      </c>
      <c r="C8698">
        <v>30</v>
      </c>
      <c r="D8698">
        <v>30</v>
      </c>
    </row>
    <row r="8699" spans="1:4" ht="15" x14ac:dyDescent="0.25">
      <c r="A8699" t="s">
        <v>22892</v>
      </c>
      <c r="B8699">
        <v>1</v>
      </c>
      <c r="C8699">
        <v>30</v>
      </c>
      <c r="D8699">
        <v>30</v>
      </c>
    </row>
    <row r="8700" spans="1:4" ht="15" x14ac:dyDescent="0.25">
      <c r="A8700" t="s">
        <v>22900</v>
      </c>
      <c r="B8700">
        <v>1</v>
      </c>
      <c r="C8700">
        <v>23</v>
      </c>
      <c r="D8700">
        <v>23</v>
      </c>
    </row>
    <row r="8701" spans="1:4" ht="15" x14ac:dyDescent="0.25">
      <c r="A8701" t="s">
        <v>22901</v>
      </c>
      <c r="B8701">
        <v>1</v>
      </c>
      <c r="C8701">
        <v>23</v>
      </c>
      <c r="D8701">
        <v>23</v>
      </c>
    </row>
    <row r="8702" spans="1:4" ht="15" x14ac:dyDescent="0.25">
      <c r="A8702" t="s">
        <v>22902</v>
      </c>
      <c r="B8702">
        <v>1</v>
      </c>
      <c r="C8702">
        <v>23</v>
      </c>
      <c r="D8702">
        <v>23</v>
      </c>
    </row>
    <row r="8703" spans="1:4" ht="15" x14ac:dyDescent="0.25">
      <c r="A8703" t="s">
        <v>22907</v>
      </c>
      <c r="B8703">
        <v>1</v>
      </c>
      <c r="C8703">
        <v>42</v>
      </c>
      <c r="D8703">
        <v>42</v>
      </c>
    </row>
    <row r="8704" spans="1:4" ht="15" x14ac:dyDescent="0.25">
      <c r="A8704" t="s">
        <v>22916</v>
      </c>
      <c r="B8704">
        <v>1</v>
      </c>
      <c r="C8704">
        <v>47</v>
      </c>
      <c r="D8704">
        <v>47</v>
      </c>
    </row>
    <row r="8705" spans="1:4" ht="15" x14ac:dyDescent="0.25">
      <c r="A8705" t="s">
        <v>22928</v>
      </c>
      <c r="B8705">
        <v>1</v>
      </c>
      <c r="C8705">
        <v>9</v>
      </c>
      <c r="D8705">
        <v>9</v>
      </c>
    </row>
    <row r="8706" spans="1:4" ht="15" x14ac:dyDescent="0.25">
      <c r="A8706" t="s">
        <v>22929</v>
      </c>
      <c r="B8706">
        <v>1</v>
      </c>
      <c r="C8706">
        <v>9</v>
      </c>
      <c r="D8706">
        <v>9</v>
      </c>
    </row>
    <row r="8707" spans="1:4" ht="15" x14ac:dyDescent="0.25">
      <c r="A8707" t="s">
        <v>22931</v>
      </c>
      <c r="B8707">
        <v>1</v>
      </c>
      <c r="C8707">
        <v>9</v>
      </c>
      <c r="D8707">
        <v>9</v>
      </c>
    </row>
    <row r="8708" spans="1:4" ht="15" x14ac:dyDescent="0.25">
      <c r="A8708" t="s">
        <v>22930</v>
      </c>
      <c r="B8708">
        <v>1</v>
      </c>
      <c r="C8708">
        <v>9</v>
      </c>
      <c r="D8708">
        <v>9</v>
      </c>
    </row>
    <row r="8709" spans="1:4" ht="15" x14ac:dyDescent="0.25">
      <c r="A8709" t="s">
        <v>22935</v>
      </c>
      <c r="B8709">
        <v>1</v>
      </c>
      <c r="C8709">
        <v>61</v>
      </c>
      <c r="D8709">
        <v>61</v>
      </c>
    </row>
    <row r="8710" spans="1:4" ht="15" x14ac:dyDescent="0.25">
      <c r="A8710" t="s">
        <v>22936</v>
      </c>
      <c r="B8710">
        <v>1</v>
      </c>
      <c r="C8710">
        <v>61</v>
      </c>
      <c r="D8710">
        <v>61</v>
      </c>
    </row>
    <row r="8711" spans="1:4" ht="15" x14ac:dyDescent="0.25">
      <c r="A8711" t="s">
        <v>22937</v>
      </c>
      <c r="B8711">
        <v>1</v>
      </c>
      <c r="C8711">
        <v>61</v>
      </c>
      <c r="D8711">
        <v>61</v>
      </c>
    </row>
    <row r="8712" spans="1:4" ht="15" x14ac:dyDescent="0.25">
      <c r="A8712" t="s">
        <v>22941</v>
      </c>
      <c r="B8712">
        <v>1</v>
      </c>
      <c r="C8712">
        <v>40</v>
      </c>
      <c r="D8712">
        <v>40</v>
      </c>
    </row>
    <row r="8713" spans="1:4" ht="15" x14ac:dyDescent="0.25">
      <c r="A8713" t="s">
        <v>22954</v>
      </c>
      <c r="B8713">
        <v>1</v>
      </c>
      <c r="C8713">
        <v>26</v>
      </c>
      <c r="D8713">
        <v>26</v>
      </c>
    </row>
    <row r="8714" spans="1:4" ht="15" x14ac:dyDescent="0.25">
      <c r="A8714" t="s">
        <v>22956</v>
      </c>
      <c r="B8714">
        <v>1</v>
      </c>
      <c r="C8714">
        <v>26</v>
      </c>
      <c r="D8714">
        <v>26</v>
      </c>
    </row>
    <row r="8715" spans="1:4" ht="15" x14ac:dyDescent="0.25">
      <c r="A8715" t="s">
        <v>22955</v>
      </c>
      <c r="B8715">
        <v>1</v>
      </c>
      <c r="C8715">
        <v>26</v>
      </c>
      <c r="D8715">
        <v>26</v>
      </c>
    </row>
    <row r="8716" spans="1:4" ht="15" x14ac:dyDescent="0.25">
      <c r="A8716" t="s">
        <v>22963</v>
      </c>
      <c r="B8716">
        <v>1</v>
      </c>
      <c r="C8716">
        <v>6</v>
      </c>
      <c r="D8716">
        <v>6</v>
      </c>
    </row>
    <row r="8717" spans="1:4" ht="15" x14ac:dyDescent="0.25">
      <c r="A8717" t="s">
        <v>22962</v>
      </c>
      <c r="B8717">
        <v>2</v>
      </c>
      <c r="C8717">
        <v>6</v>
      </c>
      <c r="D8717">
        <v>3</v>
      </c>
    </row>
    <row r="8718" spans="1:4" ht="15" x14ac:dyDescent="0.25">
      <c r="A8718" t="s">
        <v>22967</v>
      </c>
      <c r="B8718">
        <v>1</v>
      </c>
      <c r="C8718">
        <v>0</v>
      </c>
      <c r="D8718">
        <v>0</v>
      </c>
    </row>
    <row r="8719" spans="1:4" ht="15" x14ac:dyDescent="0.25">
      <c r="A8719" t="s">
        <v>22969</v>
      </c>
      <c r="B8719">
        <v>1</v>
      </c>
      <c r="C8719">
        <v>0</v>
      </c>
      <c r="D8719">
        <v>0</v>
      </c>
    </row>
    <row r="8720" spans="1:4" ht="15" x14ac:dyDescent="0.25">
      <c r="A8720" t="s">
        <v>22970</v>
      </c>
      <c r="B8720">
        <v>1</v>
      </c>
      <c r="C8720">
        <v>0</v>
      </c>
      <c r="D8720">
        <v>0</v>
      </c>
    </row>
    <row r="8721" spans="1:4" ht="15" x14ac:dyDescent="0.25">
      <c r="A8721" t="s">
        <v>22968</v>
      </c>
      <c r="B8721">
        <v>1</v>
      </c>
      <c r="C8721">
        <v>0</v>
      </c>
      <c r="D8721">
        <v>0</v>
      </c>
    </row>
    <row r="8722" spans="1:4" ht="15" x14ac:dyDescent="0.25">
      <c r="A8722" t="s">
        <v>22973</v>
      </c>
      <c r="B8722">
        <v>2</v>
      </c>
      <c r="C8722">
        <v>230</v>
      </c>
      <c r="D8722">
        <v>115</v>
      </c>
    </row>
    <row r="8723" spans="1:4" ht="15" x14ac:dyDescent="0.25">
      <c r="A8723" t="s">
        <v>22976</v>
      </c>
      <c r="B8723">
        <v>1</v>
      </c>
      <c r="C8723">
        <v>32</v>
      </c>
      <c r="D8723">
        <v>32</v>
      </c>
    </row>
    <row r="8724" spans="1:4" ht="15" x14ac:dyDescent="0.25">
      <c r="A8724" t="s">
        <v>22977</v>
      </c>
      <c r="B8724">
        <v>1</v>
      </c>
      <c r="C8724">
        <v>32</v>
      </c>
      <c r="D8724">
        <v>32</v>
      </c>
    </row>
    <row r="8725" spans="1:4" ht="15" x14ac:dyDescent="0.25">
      <c r="A8725" t="s">
        <v>22980</v>
      </c>
      <c r="B8725">
        <v>1</v>
      </c>
      <c r="C8725">
        <v>54</v>
      </c>
      <c r="D8725">
        <v>54</v>
      </c>
    </row>
    <row r="8726" spans="1:4" ht="15" x14ac:dyDescent="0.25">
      <c r="A8726" t="s">
        <v>22984</v>
      </c>
      <c r="B8726">
        <v>1</v>
      </c>
      <c r="C8726">
        <v>40</v>
      </c>
      <c r="D8726">
        <v>40</v>
      </c>
    </row>
    <row r="8727" spans="1:4" ht="15" x14ac:dyDescent="0.25">
      <c r="A8727" t="s">
        <v>22985</v>
      </c>
      <c r="B8727">
        <v>1</v>
      </c>
      <c r="C8727">
        <v>40</v>
      </c>
      <c r="D8727">
        <v>40</v>
      </c>
    </row>
    <row r="8728" spans="1:4" ht="15" x14ac:dyDescent="0.25">
      <c r="A8728" t="s">
        <v>22987</v>
      </c>
      <c r="B8728">
        <v>1</v>
      </c>
      <c r="C8728">
        <v>40</v>
      </c>
      <c r="D8728">
        <v>40</v>
      </c>
    </row>
    <row r="8729" spans="1:4" ht="15" x14ac:dyDescent="0.25">
      <c r="A8729" t="s">
        <v>22986</v>
      </c>
      <c r="B8729">
        <v>1</v>
      </c>
      <c r="C8729">
        <v>40</v>
      </c>
      <c r="D8729">
        <v>40</v>
      </c>
    </row>
    <row r="8730" spans="1:4" ht="15" x14ac:dyDescent="0.25">
      <c r="A8730" t="s">
        <v>22992</v>
      </c>
      <c r="B8730">
        <v>1</v>
      </c>
      <c r="C8730">
        <v>124</v>
      </c>
      <c r="D8730">
        <v>124</v>
      </c>
    </row>
    <row r="8731" spans="1:4" ht="15" x14ac:dyDescent="0.25">
      <c r="A8731" t="s">
        <v>22996</v>
      </c>
      <c r="B8731">
        <v>2</v>
      </c>
      <c r="C8731">
        <v>190</v>
      </c>
      <c r="D8731">
        <v>95</v>
      </c>
    </row>
    <row r="8732" spans="1:4" ht="15" x14ac:dyDescent="0.25">
      <c r="A8732" t="s">
        <v>22997</v>
      </c>
      <c r="B8732">
        <v>1</v>
      </c>
      <c r="C8732">
        <v>153</v>
      </c>
      <c r="D8732">
        <v>153</v>
      </c>
    </row>
    <row r="8733" spans="1:4" ht="15" x14ac:dyDescent="0.25">
      <c r="A8733" t="s">
        <v>23001</v>
      </c>
      <c r="B8733">
        <v>2</v>
      </c>
      <c r="C8733">
        <v>30</v>
      </c>
      <c r="D8733">
        <v>15</v>
      </c>
    </row>
    <row r="8734" spans="1:4" ht="15" x14ac:dyDescent="0.25">
      <c r="A8734" t="s">
        <v>23007</v>
      </c>
      <c r="B8734">
        <v>1</v>
      </c>
      <c r="C8734">
        <v>31</v>
      </c>
      <c r="D8734">
        <v>31</v>
      </c>
    </row>
    <row r="8735" spans="1:4" ht="15" x14ac:dyDescent="0.25">
      <c r="A8735" t="s">
        <v>23012</v>
      </c>
      <c r="B8735">
        <v>1</v>
      </c>
      <c r="C8735">
        <v>27</v>
      </c>
      <c r="D8735">
        <v>27</v>
      </c>
    </row>
    <row r="8736" spans="1:4" ht="15" x14ac:dyDescent="0.25">
      <c r="A8736" t="s">
        <v>23013</v>
      </c>
      <c r="B8736">
        <v>1</v>
      </c>
      <c r="C8736">
        <v>27</v>
      </c>
      <c r="D8736">
        <v>27</v>
      </c>
    </row>
    <row r="8737" spans="1:4" ht="15" x14ac:dyDescent="0.25">
      <c r="A8737" t="s">
        <v>23018</v>
      </c>
      <c r="B8737">
        <v>1</v>
      </c>
      <c r="C8737">
        <v>15</v>
      </c>
      <c r="D8737">
        <v>15</v>
      </c>
    </row>
    <row r="8738" spans="1:4" ht="15" x14ac:dyDescent="0.25">
      <c r="A8738" t="s">
        <v>23019</v>
      </c>
      <c r="B8738">
        <v>1</v>
      </c>
      <c r="C8738">
        <v>15</v>
      </c>
      <c r="D8738">
        <v>15</v>
      </c>
    </row>
    <row r="8739" spans="1:4" ht="15" x14ac:dyDescent="0.25">
      <c r="A8739" t="s">
        <v>23023</v>
      </c>
      <c r="B8739">
        <v>1</v>
      </c>
      <c r="C8739">
        <v>29</v>
      </c>
      <c r="D8739">
        <v>29</v>
      </c>
    </row>
    <row r="8740" spans="1:4" ht="15" x14ac:dyDescent="0.25">
      <c r="A8740" t="s">
        <v>23024</v>
      </c>
      <c r="B8740">
        <v>1</v>
      </c>
      <c r="C8740">
        <v>29</v>
      </c>
      <c r="D8740">
        <v>29</v>
      </c>
    </row>
    <row r="8741" spans="1:4" ht="15" x14ac:dyDescent="0.25">
      <c r="A8741" t="s">
        <v>23032</v>
      </c>
      <c r="B8741">
        <v>1</v>
      </c>
      <c r="C8741">
        <v>32</v>
      </c>
      <c r="D8741">
        <v>32</v>
      </c>
    </row>
    <row r="8742" spans="1:4" ht="15" x14ac:dyDescent="0.25">
      <c r="A8742" t="s">
        <v>23033</v>
      </c>
      <c r="B8742">
        <v>1</v>
      </c>
      <c r="C8742">
        <v>32</v>
      </c>
      <c r="D8742">
        <v>32</v>
      </c>
    </row>
    <row r="8743" spans="1:4" ht="15" x14ac:dyDescent="0.25">
      <c r="A8743" t="s">
        <v>23035</v>
      </c>
      <c r="B8743">
        <v>1</v>
      </c>
      <c r="C8743">
        <v>32</v>
      </c>
      <c r="D8743">
        <v>32</v>
      </c>
    </row>
    <row r="8744" spans="1:4" ht="15" x14ac:dyDescent="0.25">
      <c r="A8744" t="s">
        <v>23036</v>
      </c>
      <c r="B8744">
        <v>2</v>
      </c>
      <c r="C8744">
        <v>42</v>
      </c>
      <c r="D8744">
        <v>21</v>
      </c>
    </row>
    <row r="8745" spans="1:4" ht="15" x14ac:dyDescent="0.25">
      <c r="A8745" t="s">
        <v>23034</v>
      </c>
      <c r="B8745">
        <v>1</v>
      </c>
      <c r="C8745">
        <v>32</v>
      </c>
      <c r="D8745">
        <v>32</v>
      </c>
    </row>
    <row r="8746" spans="1:4" ht="15" x14ac:dyDescent="0.25">
      <c r="A8746" t="s">
        <v>23041</v>
      </c>
      <c r="B8746">
        <v>1</v>
      </c>
      <c r="C8746">
        <v>18</v>
      </c>
      <c r="D8746">
        <v>18</v>
      </c>
    </row>
    <row r="8747" spans="1:4" ht="15" x14ac:dyDescent="0.25">
      <c r="A8747" t="s">
        <v>23042</v>
      </c>
      <c r="B8747">
        <v>1</v>
      </c>
      <c r="C8747">
        <v>18</v>
      </c>
      <c r="D8747">
        <v>18</v>
      </c>
    </row>
    <row r="8748" spans="1:4" ht="15" x14ac:dyDescent="0.25">
      <c r="A8748" t="s">
        <v>23044</v>
      </c>
      <c r="B8748">
        <v>1</v>
      </c>
      <c r="C8748">
        <v>18</v>
      </c>
      <c r="D8748">
        <v>18</v>
      </c>
    </row>
    <row r="8749" spans="1:4" ht="15" x14ac:dyDescent="0.25">
      <c r="A8749" t="s">
        <v>23045</v>
      </c>
      <c r="B8749">
        <v>1</v>
      </c>
      <c r="C8749">
        <v>18</v>
      </c>
      <c r="D8749">
        <v>18</v>
      </c>
    </row>
    <row r="8750" spans="1:4" ht="15" x14ac:dyDescent="0.25">
      <c r="A8750" t="s">
        <v>23043</v>
      </c>
      <c r="B8750">
        <v>1</v>
      </c>
      <c r="C8750">
        <v>18</v>
      </c>
      <c r="D8750">
        <v>18</v>
      </c>
    </row>
    <row r="8751" spans="1:4" ht="15" x14ac:dyDescent="0.25">
      <c r="A8751" t="s">
        <v>23048</v>
      </c>
      <c r="B8751">
        <v>1</v>
      </c>
      <c r="C8751">
        <v>88</v>
      </c>
      <c r="D8751">
        <v>88</v>
      </c>
    </row>
    <row r="8752" spans="1:4" ht="15" x14ac:dyDescent="0.25">
      <c r="A8752" t="s">
        <v>23054</v>
      </c>
      <c r="B8752">
        <v>1</v>
      </c>
      <c r="C8752">
        <v>48</v>
      </c>
      <c r="D8752">
        <v>48</v>
      </c>
    </row>
    <row r="8753" spans="1:4" ht="15" x14ac:dyDescent="0.25">
      <c r="A8753" t="s">
        <v>23056</v>
      </c>
      <c r="B8753">
        <v>2</v>
      </c>
      <c r="C8753">
        <v>90</v>
      </c>
      <c r="D8753">
        <v>45</v>
      </c>
    </row>
    <row r="8754" spans="1:4" ht="15" x14ac:dyDescent="0.25">
      <c r="A8754" t="s">
        <v>23057</v>
      </c>
      <c r="B8754">
        <v>1</v>
      </c>
      <c r="C8754">
        <v>48</v>
      </c>
      <c r="D8754">
        <v>48</v>
      </c>
    </row>
    <row r="8755" spans="1:4" ht="15" x14ac:dyDescent="0.25">
      <c r="A8755" t="s">
        <v>23055</v>
      </c>
      <c r="B8755">
        <v>1</v>
      </c>
      <c r="C8755">
        <v>48</v>
      </c>
      <c r="D8755">
        <v>48</v>
      </c>
    </row>
    <row r="8756" spans="1:4" ht="15" x14ac:dyDescent="0.25">
      <c r="A8756" t="s">
        <v>23061</v>
      </c>
      <c r="B8756">
        <v>1</v>
      </c>
      <c r="C8756">
        <v>37</v>
      </c>
      <c r="D8756">
        <v>37</v>
      </c>
    </row>
    <row r="8757" spans="1:4" ht="15" x14ac:dyDescent="0.25">
      <c r="A8757" t="s">
        <v>23060</v>
      </c>
      <c r="B8757">
        <v>1</v>
      </c>
      <c r="C8757">
        <v>37</v>
      </c>
      <c r="D8757">
        <v>37</v>
      </c>
    </row>
    <row r="8758" spans="1:4" ht="15" x14ac:dyDescent="0.25">
      <c r="A8758" t="s">
        <v>23065</v>
      </c>
      <c r="B8758">
        <v>1</v>
      </c>
      <c r="C8758">
        <v>26</v>
      </c>
      <c r="D8758">
        <v>26</v>
      </c>
    </row>
    <row r="8759" spans="1:4" ht="15" x14ac:dyDescent="0.25">
      <c r="A8759" t="s">
        <v>23066</v>
      </c>
      <c r="B8759">
        <v>1</v>
      </c>
      <c r="C8759">
        <v>26</v>
      </c>
      <c r="D8759">
        <v>26</v>
      </c>
    </row>
    <row r="8760" spans="1:4" ht="15" x14ac:dyDescent="0.25">
      <c r="A8760" t="s">
        <v>23068</v>
      </c>
      <c r="B8760">
        <v>1</v>
      </c>
      <c r="C8760">
        <v>26</v>
      </c>
      <c r="D8760">
        <v>26</v>
      </c>
    </row>
    <row r="8761" spans="1:4" ht="15" x14ac:dyDescent="0.25">
      <c r="A8761" t="s">
        <v>23067</v>
      </c>
      <c r="B8761">
        <v>1</v>
      </c>
      <c r="C8761">
        <v>26</v>
      </c>
      <c r="D8761">
        <v>26</v>
      </c>
    </row>
    <row r="8762" spans="1:4" ht="15" x14ac:dyDescent="0.25">
      <c r="A8762" t="s">
        <v>23073</v>
      </c>
      <c r="B8762">
        <v>1</v>
      </c>
      <c r="C8762">
        <v>58</v>
      </c>
      <c r="D8762">
        <v>58</v>
      </c>
    </row>
    <row r="8763" spans="1:4" ht="15" x14ac:dyDescent="0.25">
      <c r="A8763" t="s">
        <v>23074</v>
      </c>
      <c r="B8763">
        <v>1</v>
      </c>
      <c r="C8763">
        <v>58</v>
      </c>
      <c r="D8763">
        <v>58</v>
      </c>
    </row>
    <row r="8764" spans="1:4" ht="15" x14ac:dyDescent="0.25">
      <c r="A8764" t="s">
        <v>23076</v>
      </c>
      <c r="B8764">
        <v>1</v>
      </c>
      <c r="C8764">
        <v>58</v>
      </c>
      <c r="D8764">
        <v>58</v>
      </c>
    </row>
    <row r="8765" spans="1:4" ht="15" x14ac:dyDescent="0.25">
      <c r="A8765" t="s">
        <v>23077</v>
      </c>
      <c r="B8765">
        <v>1</v>
      </c>
      <c r="C8765">
        <v>58</v>
      </c>
      <c r="D8765">
        <v>58</v>
      </c>
    </row>
    <row r="8766" spans="1:4" ht="15" x14ac:dyDescent="0.25">
      <c r="A8766" t="s">
        <v>23075</v>
      </c>
      <c r="B8766">
        <v>3</v>
      </c>
      <c r="C8766">
        <v>112</v>
      </c>
      <c r="D8766">
        <v>37.333333333333336</v>
      </c>
    </row>
    <row r="8767" spans="1:4" ht="15" x14ac:dyDescent="0.25">
      <c r="A8767" t="s">
        <v>23081</v>
      </c>
      <c r="B8767">
        <v>1</v>
      </c>
      <c r="C8767">
        <v>56</v>
      </c>
      <c r="D8767">
        <v>56</v>
      </c>
    </row>
    <row r="8768" spans="1:4" ht="15" x14ac:dyDescent="0.25">
      <c r="A8768" t="s">
        <v>23082</v>
      </c>
      <c r="B8768">
        <v>1</v>
      </c>
      <c r="C8768">
        <v>56</v>
      </c>
      <c r="D8768">
        <v>56</v>
      </c>
    </row>
    <row r="8769" spans="1:4" ht="15" x14ac:dyDescent="0.25">
      <c r="A8769" t="s">
        <v>23085</v>
      </c>
      <c r="B8769">
        <v>1</v>
      </c>
      <c r="C8769">
        <v>35</v>
      </c>
      <c r="D8769">
        <v>35</v>
      </c>
    </row>
    <row r="8770" spans="1:4" ht="15" x14ac:dyDescent="0.25">
      <c r="A8770" t="s">
        <v>23087</v>
      </c>
      <c r="B8770">
        <v>1</v>
      </c>
      <c r="C8770">
        <v>35</v>
      </c>
      <c r="D8770">
        <v>35</v>
      </c>
    </row>
    <row r="8771" spans="1:4" ht="15" x14ac:dyDescent="0.25">
      <c r="A8771" t="s">
        <v>23086</v>
      </c>
      <c r="B8771">
        <v>1</v>
      </c>
      <c r="C8771">
        <v>35</v>
      </c>
      <c r="D8771">
        <v>35</v>
      </c>
    </row>
    <row r="8772" spans="1:4" ht="15" x14ac:dyDescent="0.25">
      <c r="A8772" t="s">
        <v>23092</v>
      </c>
      <c r="B8772">
        <v>1</v>
      </c>
      <c r="C8772">
        <v>29</v>
      </c>
      <c r="D8772">
        <v>29</v>
      </c>
    </row>
    <row r="8773" spans="1:4" ht="15" x14ac:dyDescent="0.25">
      <c r="A8773" t="s">
        <v>23094</v>
      </c>
      <c r="B8773">
        <v>2</v>
      </c>
      <c r="C8773">
        <v>55</v>
      </c>
      <c r="D8773">
        <v>27.5</v>
      </c>
    </row>
    <row r="8774" spans="1:4" ht="15" x14ac:dyDescent="0.25">
      <c r="A8774" t="s">
        <v>23093</v>
      </c>
      <c r="B8774">
        <v>1</v>
      </c>
      <c r="C8774">
        <v>29</v>
      </c>
      <c r="D8774">
        <v>29</v>
      </c>
    </row>
    <row r="8775" spans="1:4" ht="15" x14ac:dyDescent="0.25">
      <c r="A8775" t="s">
        <v>23102</v>
      </c>
      <c r="B8775">
        <v>1</v>
      </c>
      <c r="C8775">
        <v>21</v>
      </c>
      <c r="D8775">
        <v>21</v>
      </c>
    </row>
    <row r="8776" spans="1:4" ht="15" x14ac:dyDescent="0.25">
      <c r="A8776" t="s">
        <v>23106</v>
      </c>
      <c r="B8776">
        <v>1</v>
      </c>
      <c r="C8776">
        <v>27</v>
      </c>
      <c r="D8776">
        <v>27</v>
      </c>
    </row>
    <row r="8777" spans="1:4" ht="15" x14ac:dyDescent="0.25">
      <c r="A8777" t="s">
        <v>23110</v>
      </c>
      <c r="B8777">
        <v>1</v>
      </c>
      <c r="C8777">
        <v>27</v>
      </c>
      <c r="D8777">
        <v>27</v>
      </c>
    </row>
    <row r="8778" spans="1:4" ht="15" x14ac:dyDescent="0.25">
      <c r="A8778" t="s">
        <v>23111</v>
      </c>
      <c r="B8778">
        <v>1</v>
      </c>
      <c r="C8778">
        <v>27</v>
      </c>
      <c r="D8778">
        <v>27</v>
      </c>
    </row>
    <row r="8779" spans="1:4" ht="15" x14ac:dyDescent="0.25">
      <c r="A8779" t="s">
        <v>23115</v>
      </c>
      <c r="B8779">
        <v>1</v>
      </c>
      <c r="C8779">
        <v>47</v>
      </c>
      <c r="D8779">
        <v>47</v>
      </c>
    </row>
    <row r="8780" spans="1:4" ht="15" x14ac:dyDescent="0.25">
      <c r="A8780" t="s">
        <v>23116</v>
      </c>
      <c r="B8780">
        <v>1</v>
      </c>
      <c r="C8780">
        <v>47</v>
      </c>
      <c r="D8780">
        <v>47</v>
      </c>
    </row>
    <row r="8781" spans="1:4" ht="15" x14ac:dyDescent="0.25">
      <c r="A8781" t="s">
        <v>23117</v>
      </c>
      <c r="B8781">
        <v>1</v>
      </c>
      <c r="C8781">
        <v>47</v>
      </c>
      <c r="D8781">
        <v>47</v>
      </c>
    </row>
    <row r="8782" spans="1:4" ht="15" x14ac:dyDescent="0.25">
      <c r="A8782" t="s">
        <v>23120</v>
      </c>
      <c r="B8782">
        <v>1</v>
      </c>
      <c r="C8782">
        <v>113</v>
      </c>
      <c r="D8782">
        <v>113</v>
      </c>
    </row>
    <row r="8783" spans="1:4" ht="15" x14ac:dyDescent="0.25">
      <c r="A8783" t="s">
        <v>23121</v>
      </c>
      <c r="B8783">
        <v>1</v>
      </c>
      <c r="C8783">
        <v>113</v>
      </c>
      <c r="D8783">
        <v>113</v>
      </c>
    </row>
    <row r="8784" spans="1:4" ht="15" x14ac:dyDescent="0.25">
      <c r="A8784" t="s">
        <v>23127</v>
      </c>
      <c r="B8784">
        <v>1</v>
      </c>
      <c r="C8784">
        <v>76</v>
      </c>
      <c r="D8784">
        <v>76</v>
      </c>
    </row>
    <row r="8785" spans="1:4" ht="15" x14ac:dyDescent="0.25">
      <c r="A8785" t="s">
        <v>23128</v>
      </c>
      <c r="B8785">
        <v>1</v>
      </c>
      <c r="C8785">
        <v>76</v>
      </c>
      <c r="D8785">
        <v>76</v>
      </c>
    </row>
    <row r="8786" spans="1:4" ht="15" x14ac:dyDescent="0.25">
      <c r="A8786" t="s">
        <v>23131</v>
      </c>
      <c r="B8786">
        <v>2</v>
      </c>
      <c r="C8786">
        <v>106</v>
      </c>
      <c r="D8786">
        <v>53</v>
      </c>
    </row>
    <row r="8787" spans="1:4" ht="15" x14ac:dyDescent="0.25">
      <c r="A8787" t="s">
        <v>23136</v>
      </c>
      <c r="B8787">
        <v>1</v>
      </c>
      <c r="C8787">
        <v>65</v>
      </c>
      <c r="D8787">
        <v>65</v>
      </c>
    </row>
    <row r="8788" spans="1:4" ht="15" x14ac:dyDescent="0.25">
      <c r="A8788" t="s">
        <v>23137</v>
      </c>
      <c r="B8788">
        <v>1</v>
      </c>
      <c r="C8788">
        <v>65</v>
      </c>
      <c r="D8788">
        <v>65</v>
      </c>
    </row>
    <row r="8789" spans="1:4" ht="15" x14ac:dyDescent="0.25">
      <c r="A8789" t="s">
        <v>23138</v>
      </c>
      <c r="B8789">
        <v>1</v>
      </c>
      <c r="C8789">
        <v>65</v>
      </c>
      <c r="D8789">
        <v>65</v>
      </c>
    </row>
    <row r="8790" spans="1:4" ht="15" x14ac:dyDescent="0.25">
      <c r="A8790" t="s">
        <v>23142</v>
      </c>
      <c r="B8790">
        <v>1</v>
      </c>
      <c r="C8790">
        <v>0</v>
      </c>
      <c r="D8790">
        <v>0</v>
      </c>
    </row>
    <row r="8791" spans="1:4" ht="15" x14ac:dyDescent="0.25">
      <c r="A8791" t="s">
        <v>23143</v>
      </c>
      <c r="B8791">
        <v>1</v>
      </c>
      <c r="C8791">
        <v>0</v>
      </c>
      <c r="D8791">
        <v>0</v>
      </c>
    </row>
    <row r="8792" spans="1:4" ht="15" x14ac:dyDescent="0.25">
      <c r="A8792" t="s">
        <v>23147</v>
      </c>
      <c r="B8792">
        <v>1</v>
      </c>
      <c r="C8792">
        <v>71</v>
      </c>
      <c r="D8792">
        <v>71</v>
      </c>
    </row>
    <row r="8793" spans="1:4" ht="15" x14ac:dyDescent="0.25">
      <c r="A8793" t="s">
        <v>23148</v>
      </c>
      <c r="B8793">
        <v>1</v>
      </c>
      <c r="C8793">
        <v>71</v>
      </c>
      <c r="D8793">
        <v>71</v>
      </c>
    </row>
    <row r="8794" spans="1:4" ht="15" x14ac:dyDescent="0.25">
      <c r="A8794" t="s">
        <v>23152</v>
      </c>
      <c r="B8794">
        <v>1</v>
      </c>
      <c r="C8794">
        <v>39</v>
      </c>
      <c r="D8794">
        <v>39</v>
      </c>
    </row>
    <row r="8795" spans="1:4" ht="15" x14ac:dyDescent="0.25">
      <c r="A8795" t="s">
        <v>23153</v>
      </c>
      <c r="B8795">
        <v>1</v>
      </c>
      <c r="C8795">
        <v>39</v>
      </c>
      <c r="D8795">
        <v>39</v>
      </c>
    </row>
    <row r="8796" spans="1:4" ht="15" x14ac:dyDescent="0.25">
      <c r="A8796" t="s">
        <v>23155</v>
      </c>
      <c r="B8796">
        <v>1</v>
      </c>
      <c r="C8796">
        <v>39</v>
      </c>
      <c r="D8796">
        <v>39</v>
      </c>
    </row>
    <row r="8797" spans="1:4" ht="15" x14ac:dyDescent="0.25">
      <c r="A8797" t="s">
        <v>23154</v>
      </c>
      <c r="B8797">
        <v>1</v>
      </c>
      <c r="C8797">
        <v>39</v>
      </c>
      <c r="D8797">
        <v>39</v>
      </c>
    </row>
    <row r="8798" spans="1:4" ht="15" x14ac:dyDescent="0.25">
      <c r="A8798" t="s">
        <v>23158</v>
      </c>
      <c r="B8798">
        <v>1</v>
      </c>
      <c r="C8798">
        <v>21</v>
      </c>
      <c r="D8798">
        <v>21</v>
      </c>
    </row>
    <row r="8799" spans="1:4" ht="15" x14ac:dyDescent="0.25">
      <c r="A8799" t="s">
        <v>23159</v>
      </c>
      <c r="B8799">
        <v>1</v>
      </c>
      <c r="C8799">
        <v>21</v>
      </c>
      <c r="D8799">
        <v>21</v>
      </c>
    </row>
    <row r="8800" spans="1:4" ht="15" x14ac:dyDescent="0.25">
      <c r="A8800" t="s">
        <v>23160</v>
      </c>
      <c r="B8800">
        <v>1</v>
      </c>
      <c r="C8800">
        <v>21</v>
      </c>
      <c r="D8800">
        <v>21</v>
      </c>
    </row>
    <row r="8801" spans="1:4" ht="15" x14ac:dyDescent="0.25">
      <c r="A8801" t="s">
        <v>23167</v>
      </c>
      <c r="B8801">
        <v>2</v>
      </c>
      <c r="C8801">
        <v>52</v>
      </c>
      <c r="D8801">
        <v>26</v>
      </c>
    </row>
    <row r="8802" spans="1:4" ht="15" x14ac:dyDescent="0.25">
      <c r="A8802" t="s">
        <v>23168</v>
      </c>
      <c r="B8802">
        <v>1</v>
      </c>
      <c r="C8802">
        <v>38</v>
      </c>
      <c r="D8802">
        <v>38</v>
      </c>
    </row>
    <row r="8803" spans="1:4" ht="15" x14ac:dyDescent="0.25">
      <c r="A8803" t="s">
        <v>23169</v>
      </c>
      <c r="B8803">
        <v>1</v>
      </c>
      <c r="C8803">
        <v>38</v>
      </c>
      <c r="D8803">
        <v>38</v>
      </c>
    </row>
    <row r="8804" spans="1:4" ht="15" x14ac:dyDescent="0.25">
      <c r="A8804" t="s">
        <v>23173</v>
      </c>
      <c r="B8804">
        <v>1</v>
      </c>
      <c r="C8804">
        <v>33</v>
      </c>
      <c r="D8804">
        <v>33</v>
      </c>
    </row>
    <row r="8805" spans="1:4" ht="15" x14ac:dyDescent="0.25">
      <c r="A8805" t="s">
        <v>23179</v>
      </c>
      <c r="B8805">
        <v>1</v>
      </c>
      <c r="C8805">
        <v>15</v>
      </c>
      <c r="D8805">
        <v>15</v>
      </c>
    </row>
    <row r="8806" spans="1:4" ht="15" x14ac:dyDescent="0.25">
      <c r="A8806" t="s">
        <v>23180</v>
      </c>
      <c r="B8806">
        <v>1</v>
      </c>
      <c r="C8806">
        <v>15</v>
      </c>
      <c r="D8806">
        <v>15</v>
      </c>
    </row>
    <row r="8807" spans="1:4" ht="15" x14ac:dyDescent="0.25">
      <c r="A8807" t="s">
        <v>23178</v>
      </c>
      <c r="B8807">
        <v>1</v>
      </c>
      <c r="C8807">
        <v>15</v>
      </c>
      <c r="D8807">
        <v>15</v>
      </c>
    </row>
    <row r="8808" spans="1:4" ht="15" x14ac:dyDescent="0.25">
      <c r="A8808" t="s">
        <v>23185</v>
      </c>
      <c r="B8808">
        <v>1</v>
      </c>
      <c r="C8808">
        <v>14</v>
      </c>
      <c r="D8808">
        <v>14</v>
      </c>
    </row>
    <row r="8809" spans="1:4" ht="15" x14ac:dyDescent="0.25">
      <c r="A8809" t="s">
        <v>23184</v>
      </c>
      <c r="B8809">
        <v>1</v>
      </c>
      <c r="C8809">
        <v>14</v>
      </c>
      <c r="D8809">
        <v>14</v>
      </c>
    </row>
    <row r="8810" spans="1:4" ht="15" x14ac:dyDescent="0.25">
      <c r="A8810" t="s">
        <v>23188</v>
      </c>
      <c r="B8810">
        <v>2</v>
      </c>
      <c r="C8810">
        <v>146</v>
      </c>
      <c r="D8810">
        <v>73</v>
      </c>
    </row>
    <row r="8811" spans="1:4" ht="15" x14ac:dyDescent="0.25">
      <c r="A8811" t="s">
        <v>23191</v>
      </c>
      <c r="B8811">
        <v>2</v>
      </c>
      <c r="C8811">
        <v>88</v>
      </c>
      <c r="D8811">
        <v>44</v>
      </c>
    </row>
    <row r="8812" spans="1:4" ht="15" x14ac:dyDescent="0.25">
      <c r="A8812" t="s">
        <v>23198</v>
      </c>
      <c r="B8812">
        <v>1</v>
      </c>
      <c r="C8812">
        <v>25</v>
      </c>
      <c r="D8812">
        <v>25</v>
      </c>
    </row>
    <row r="8813" spans="1:4" ht="15" x14ac:dyDescent="0.25">
      <c r="A8813" t="s">
        <v>23208</v>
      </c>
      <c r="B8813">
        <v>1</v>
      </c>
      <c r="C8813">
        <v>111</v>
      </c>
      <c r="D8813">
        <v>111</v>
      </c>
    </row>
    <row r="8814" spans="1:4" ht="15" x14ac:dyDescent="0.25">
      <c r="A8814" t="s">
        <v>23209</v>
      </c>
      <c r="B8814">
        <v>2</v>
      </c>
      <c r="C8814">
        <v>191</v>
      </c>
      <c r="D8814">
        <v>95.5</v>
      </c>
    </row>
    <row r="8815" spans="1:4" ht="15" x14ac:dyDescent="0.25">
      <c r="A8815" t="s">
        <v>23212</v>
      </c>
      <c r="B8815">
        <v>1</v>
      </c>
      <c r="C8815">
        <v>52</v>
      </c>
      <c r="D8815">
        <v>52</v>
      </c>
    </row>
    <row r="8816" spans="1:4" ht="15" x14ac:dyDescent="0.25">
      <c r="A8816" t="s">
        <v>23213</v>
      </c>
      <c r="B8816">
        <v>3</v>
      </c>
      <c r="C8816">
        <v>113</v>
      </c>
      <c r="D8816">
        <v>37.666666666666664</v>
      </c>
    </row>
    <row r="8817" spans="1:4" ht="15" x14ac:dyDescent="0.25">
      <c r="A8817" t="s">
        <v>23217</v>
      </c>
      <c r="B8817">
        <v>1</v>
      </c>
      <c r="C8817">
        <v>32</v>
      </c>
      <c r="D8817">
        <v>32</v>
      </c>
    </row>
    <row r="8818" spans="1:4" ht="15" x14ac:dyDescent="0.25">
      <c r="A8818" t="s">
        <v>23218</v>
      </c>
      <c r="B8818">
        <v>1</v>
      </c>
      <c r="C8818">
        <v>32</v>
      </c>
      <c r="D8818">
        <v>32</v>
      </c>
    </row>
    <row r="8819" spans="1:4" ht="15" x14ac:dyDescent="0.25">
      <c r="A8819" t="s">
        <v>23220</v>
      </c>
      <c r="B8819">
        <v>1</v>
      </c>
      <c r="C8819">
        <v>32</v>
      </c>
      <c r="D8819">
        <v>32</v>
      </c>
    </row>
    <row r="8820" spans="1:4" ht="15" x14ac:dyDescent="0.25">
      <c r="A8820" t="s">
        <v>23221</v>
      </c>
      <c r="B8820">
        <v>1</v>
      </c>
      <c r="C8820">
        <v>32</v>
      </c>
      <c r="D8820">
        <v>32</v>
      </c>
    </row>
    <row r="8821" spans="1:4" ht="15" x14ac:dyDescent="0.25">
      <c r="A8821" t="s">
        <v>23219</v>
      </c>
      <c r="B8821">
        <v>1</v>
      </c>
      <c r="C8821">
        <v>32</v>
      </c>
      <c r="D8821">
        <v>32</v>
      </c>
    </row>
    <row r="8822" spans="1:4" ht="15" x14ac:dyDescent="0.25">
      <c r="A8822" t="s">
        <v>23225</v>
      </c>
      <c r="B8822">
        <v>1</v>
      </c>
      <c r="C8822">
        <v>10</v>
      </c>
      <c r="D8822">
        <v>10</v>
      </c>
    </row>
    <row r="8823" spans="1:4" ht="15" x14ac:dyDescent="0.25">
      <c r="A8823" t="s">
        <v>23226</v>
      </c>
      <c r="B8823">
        <v>2</v>
      </c>
      <c r="C8823">
        <v>29</v>
      </c>
      <c r="D8823">
        <v>14.5</v>
      </c>
    </row>
    <row r="8824" spans="1:4" ht="15" x14ac:dyDescent="0.25">
      <c r="A8824" t="s">
        <v>23230</v>
      </c>
      <c r="B8824">
        <v>1</v>
      </c>
      <c r="C8824">
        <v>10</v>
      </c>
      <c r="D8824">
        <v>10</v>
      </c>
    </row>
    <row r="8825" spans="1:4" ht="15" x14ac:dyDescent="0.25">
      <c r="A8825" t="s">
        <v>23232</v>
      </c>
      <c r="B8825">
        <v>1</v>
      </c>
      <c r="C8825">
        <v>10</v>
      </c>
      <c r="D8825">
        <v>10</v>
      </c>
    </row>
    <row r="8826" spans="1:4" ht="15" x14ac:dyDescent="0.25">
      <c r="A8826" t="s">
        <v>23231</v>
      </c>
      <c r="B8826">
        <v>1</v>
      </c>
      <c r="C8826">
        <v>10</v>
      </c>
      <c r="D8826">
        <v>10</v>
      </c>
    </row>
    <row r="8827" spans="1:4" ht="15" x14ac:dyDescent="0.25">
      <c r="A8827" t="s">
        <v>23240</v>
      </c>
      <c r="B8827">
        <v>1</v>
      </c>
      <c r="C8827">
        <v>100</v>
      </c>
      <c r="D8827">
        <v>100</v>
      </c>
    </row>
    <row r="8828" spans="1:4" ht="15" x14ac:dyDescent="0.25">
      <c r="A8828" t="s">
        <v>23241</v>
      </c>
      <c r="B8828">
        <v>1</v>
      </c>
      <c r="C8828">
        <v>100</v>
      </c>
      <c r="D8828">
        <v>100</v>
      </c>
    </row>
    <row r="8829" spans="1:4" ht="15" x14ac:dyDescent="0.25">
      <c r="A8829" t="s">
        <v>23242</v>
      </c>
      <c r="B8829">
        <v>1</v>
      </c>
      <c r="C8829">
        <v>100</v>
      </c>
      <c r="D8829">
        <v>100</v>
      </c>
    </row>
    <row r="8830" spans="1:4" ht="15" x14ac:dyDescent="0.25">
      <c r="A8830" t="s">
        <v>23245</v>
      </c>
      <c r="B8830">
        <v>1</v>
      </c>
      <c r="C8830">
        <v>10</v>
      </c>
      <c r="D8830">
        <v>10</v>
      </c>
    </row>
    <row r="8831" spans="1:4" ht="15" x14ac:dyDescent="0.25">
      <c r="A8831" t="s">
        <v>23246</v>
      </c>
      <c r="B8831">
        <v>1</v>
      </c>
      <c r="C8831">
        <v>10</v>
      </c>
      <c r="D8831">
        <v>10</v>
      </c>
    </row>
    <row r="8832" spans="1:4" ht="15" x14ac:dyDescent="0.25">
      <c r="A8832" t="s">
        <v>23253</v>
      </c>
      <c r="B8832">
        <v>1</v>
      </c>
      <c r="C8832">
        <v>46</v>
      </c>
      <c r="D8832">
        <v>46</v>
      </c>
    </row>
    <row r="8833" spans="1:4" ht="15" x14ac:dyDescent="0.25">
      <c r="A8833" t="s">
        <v>23255</v>
      </c>
      <c r="B8833">
        <v>1</v>
      </c>
      <c r="C8833">
        <v>46</v>
      </c>
      <c r="D8833">
        <v>46</v>
      </c>
    </row>
    <row r="8834" spans="1:4" ht="15" x14ac:dyDescent="0.25">
      <c r="A8834" t="s">
        <v>23254</v>
      </c>
      <c r="B8834">
        <v>1</v>
      </c>
      <c r="C8834">
        <v>46</v>
      </c>
      <c r="D8834">
        <v>46</v>
      </c>
    </row>
    <row r="8835" spans="1:4" ht="15" x14ac:dyDescent="0.25">
      <c r="A8835" t="s">
        <v>23259</v>
      </c>
      <c r="B8835">
        <v>1</v>
      </c>
      <c r="C8835">
        <v>62</v>
      </c>
      <c r="D8835">
        <v>62</v>
      </c>
    </row>
    <row r="8836" spans="1:4" ht="15" x14ac:dyDescent="0.25">
      <c r="A8836" t="s">
        <v>23260</v>
      </c>
      <c r="B8836">
        <v>1</v>
      </c>
      <c r="C8836">
        <v>62</v>
      </c>
      <c r="D8836">
        <v>62</v>
      </c>
    </row>
    <row r="8837" spans="1:4" ht="15" x14ac:dyDescent="0.25">
      <c r="A8837" t="s">
        <v>23261</v>
      </c>
      <c r="B8837">
        <v>1</v>
      </c>
      <c r="C8837">
        <v>62</v>
      </c>
      <c r="D8837">
        <v>62</v>
      </c>
    </row>
    <row r="8838" spans="1:4" ht="15" x14ac:dyDescent="0.25">
      <c r="A8838" t="s">
        <v>23264</v>
      </c>
      <c r="B8838">
        <v>1</v>
      </c>
      <c r="C8838">
        <v>9</v>
      </c>
      <c r="D8838">
        <v>9</v>
      </c>
    </row>
    <row r="8839" spans="1:4" ht="15" x14ac:dyDescent="0.25">
      <c r="A8839" t="s">
        <v>23265</v>
      </c>
      <c r="B8839">
        <v>1</v>
      </c>
      <c r="C8839">
        <v>9</v>
      </c>
      <c r="D8839">
        <v>9</v>
      </c>
    </row>
    <row r="8840" spans="1:4" ht="15" x14ac:dyDescent="0.25">
      <c r="A8840" t="s">
        <v>23266</v>
      </c>
      <c r="B8840">
        <v>1</v>
      </c>
      <c r="C8840">
        <v>9</v>
      </c>
      <c r="D8840">
        <v>9</v>
      </c>
    </row>
    <row r="8841" spans="1:4" ht="15" x14ac:dyDescent="0.25">
      <c r="A8841" t="s">
        <v>23267</v>
      </c>
      <c r="B8841">
        <v>1</v>
      </c>
      <c r="C8841">
        <v>9</v>
      </c>
      <c r="D8841">
        <v>9</v>
      </c>
    </row>
    <row r="8842" spans="1:4" ht="15" x14ac:dyDescent="0.25">
      <c r="A8842" t="s">
        <v>23271</v>
      </c>
      <c r="B8842">
        <v>1</v>
      </c>
      <c r="C8842">
        <v>50</v>
      </c>
      <c r="D8842">
        <v>50</v>
      </c>
    </row>
    <row r="8843" spans="1:4" ht="15" x14ac:dyDescent="0.25">
      <c r="A8843" t="s">
        <v>23278</v>
      </c>
      <c r="B8843">
        <v>1</v>
      </c>
      <c r="C8843">
        <v>30</v>
      </c>
      <c r="D8843">
        <v>30</v>
      </c>
    </row>
    <row r="8844" spans="1:4" ht="15" x14ac:dyDescent="0.25">
      <c r="A8844" t="s">
        <v>23285</v>
      </c>
      <c r="B8844">
        <v>1</v>
      </c>
      <c r="C8844">
        <v>16</v>
      </c>
      <c r="D8844">
        <v>16</v>
      </c>
    </row>
    <row r="8845" spans="1:4" ht="15" x14ac:dyDescent="0.25">
      <c r="A8845" t="s">
        <v>23287</v>
      </c>
      <c r="B8845">
        <v>1</v>
      </c>
      <c r="C8845">
        <v>16</v>
      </c>
      <c r="D8845">
        <v>16</v>
      </c>
    </row>
    <row r="8846" spans="1:4" ht="15" x14ac:dyDescent="0.25">
      <c r="A8846" t="s">
        <v>23288</v>
      </c>
      <c r="B8846">
        <v>1</v>
      </c>
      <c r="C8846">
        <v>16</v>
      </c>
      <c r="D8846">
        <v>16</v>
      </c>
    </row>
    <row r="8847" spans="1:4" ht="15" x14ac:dyDescent="0.25">
      <c r="A8847" t="s">
        <v>23286</v>
      </c>
      <c r="B8847">
        <v>1</v>
      </c>
      <c r="C8847">
        <v>16</v>
      </c>
      <c r="D8847">
        <v>16</v>
      </c>
    </row>
    <row r="8848" spans="1:4" ht="15" x14ac:dyDescent="0.25">
      <c r="A8848" t="s">
        <v>23293</v>
      </c>
      <c r="B8848">
        <v>1</v>
      </c>
      <c r="C8848">
        <v>21</v>
      </c>
      <c r="D8848">
        <v>21</v>
      </c>
    </row>
    <row r="8849" spans="1:4" ht="15" x14ac:dyDescent="0.25">
      <c r="A8849" t="s">
        <v>23294</v>
      </c>
      <c r="B8849">
        <v>1</v>
      </c>
      <c r="C8849">
        <v>21</v>
      </c>
      <c r="D8849">
        <v>21</v>
      </c>
    </row>
    <row r="8850" spans="1:4" ht="15" x14ac:dyDescent="0.25">
      <c r="A8850" t="s">
        <v>23295</v>
      </c>
      <c r="B8850">
        <v>1</v>
      </c>
      <c r="C8850">
        <v>21</v>
      </c>
      <c r="D8850">
        <v>21</v>
      </c>
    </row>
    <row r="8851" spans="1:4" ht="15" x14ac:dyDescent="0.25">
      <c r="A8851" t="s">
        <v>23296</v>
      </c>
      <c r="B8851">
        <v>1</v>
      </c>
      <c r="C8851">
        <v>21</v>
      </c>
      <c r="D8851">
        <v>21</v>
      </c>
    </row>
    <row r="8852" spans="1:4" ht="15" x14ac:dyDescent="0.25">
      <c r="A8852" t="s">
        <v>23300</v>
      </c>
      <c r="B8852">
        <v>1</v>
      </c>
      <c r="C8852">
        <v>80</v>
      </c>
      <c r="D8852">
        <v>80</v>
      </c>
    </row>
    <row r="8853" spans="1:4" ht="15" x14ac:dyDescent="0.25">
      <c r="A8853" t="s">
        <v>23304</v>
      </c>
      <c r="B8853">
        <v>1</v>
      </c>
      <c r="C8853">
        <v>35</v>
      </c>
      <c r="D8853">
        <v>35</v>
      </c>
    </row>
    <row r="8854" spans="1:4" ht="15" x14ac:dyDescent="0.25">
      <c r="A8854" t="s">
        <v>23306</v>
      </c>
      <c r="B8854">
        <v>1</v>
      </c>
      <c r="C8854">
        <v>35</v>
      </c>
      <c r="D8854">
        <v>35</v>
      </c>
    </row>
    <row r="8855" spans="1:4" ht="15" x14ac:dyDescent="0.25">
      <c r="A8855" t="s">
        <v>23305</v>
      </c>
      <c r="B8855">
        <v>1</v>
      </c>
      <c r="C8855">
        <v>35</v>
      </c>
      <c r="D8855">
        <v>35</v>
      </c>
    </row>
    <row r="8856" spans="1:4" ht="15" x14ac:dyDescent="0.25">
      <c r="A8856" t="s">
        <v>23311</v>
      </c>
      <c r="B8856">
        <v>1</v>
      </c>
      <c r="C8856">
        <v>65</v>
      </c>
      <c r="D8856">
        <v>65</v>
      </c>
    </row>
    <row r="8857" spans="1:4" ht="15" x14ac:dyDescent="0.25">
      <c r="A8857" t="s">
        <v>23310</v>
      </c>
      <c r="B8857">
        <v>1</v>
      </c>
      <c r="C8857">
        <v>65</v>
      </c>
      <c r="D8857">
        <v>65</v>
      </c>
    </row>
    <row r="8858" spans="1:4" ht="15" x14ac:dyDescent="0.25">
      <c r="A8858" t="s">
        <v>23315</v>
      </c>
      <c r="B8858">
        <v>2</v>
      </c>
      <c r="C8858">
        <v>197</v>
      </c>
      <c r="D8858">
        <v>98.5</v>
      </c>
    </row>
    <row r="8859" spans="1:4" ht="15" x14ac:dyDescent="0.25">
      <c r="A8859" t="s">
        <v>23321</v>
      </c>
      <c r="B8859">
        <v>1</v>
      </c>
      <c r="C8859">
        <v>33</v>
      </c>
      <c r="D8859">
        <v>33</v>
      </c>
    </row>
    <row r="8860" spans="1:4" ht="15" x14ac:dyDescent="0.25">
      <c r="A8860" t="s">
        <v>23322</v>
      </c>
      <c r="B8860">
        <v>1</v>
      </c>
      <c r="C8860">
        <v>33</v>
      </c>
      <c r="D8860">
        <v>33</v>
      </c>
    </row>
    <row r="8861" spans="1:4" ht="15" x14ac:dyDescent="0.25">
      <c r="A8861" t="s">
        <v>23323</v>
      </c>
      <c r="B8861">
        <v>2</v>
      </c>
      <c r="C8861">
        <v>46</v>
      </c>
      <c r="D8861">
        <v>23</v>
      </c>
    </row>
    <row r="8862" spans="1:4" ht="15" x14ac:dyDescent="0.25">
      <c r="A8862" t="s">
        <v>23327</v>
      </c>
      <c r="B8862">
        <v>1</v>
      </c>
      <c r="C8862">
        <v>24</v>
      </c>
      <c r="D8862">
        <v>24</v>
      </c>
    </row>
    <row r="8863" spans="1:4" ht="15" x14ac:dyDescent="0.25">
      <c r="A8863" t="s">
        <v>23329</v>
      </c>
      <c r="B8863">
        <v>1</v>
      </c>
      <c r="C8863">
        <v>24</v>
      </c>
      <c r="D8863">
        <v>24</v>
      </c>
    </row>
    <row r="8864" spans="1:4" ht="15" x14ac:dyDescent="0.25">
      <c r="A8864" t="s">
        <v>23330</v>
      </c>
      <c r="B8864">
        <v>1</v>
      </c>
      <c r="C8864">
        <v>24</v>
      </c>
      <c r="D8864">
        <v>24</v>
      </c>
    </row>
    <row r="8865" spans="1:4" ht="15" x14ac:dyDescent="0.25">
      <c r="A8865" t="s">
        <v>23328</v>
      </c>
      <c r="B8865">
        <v>1</v>
      </c>
      <c r="C8865">
        <v>24</v>
      </c>
      <c r="D8865">
        <v>24</v>
      </c>
    </row>
    <row r="8866" spans="1:4" ht="15" x14ac:dyDescent="0.25">
      <c r="A8866" t="s">
        <v>23336</v>
      </c>
      <c r="B8866">
        <v>1</v>
      </c>
      <c r="C8866">
        <v>30</v>
      </c>
      <c r="D8866">
        <v>30</v>
      </c>
    </row>
    <row r="8867" spans="1:4" ht="15" x14ac:dyDescent="0.25">
      <c r="A8867" t="s">
        <v>23340</v>
      </c>
      <c r="B8867">
        <v>1</v>
      </c>
      <c r="C8867">
        <v>23</v>
      </c>
      <c r="D8867">
        <v>23</v>
      </c>
    </row>
    <row r="8868" spans="1:4" ht="15" x14ac:dyDescent="0.25">
      <c r="A8868" t="s">
        <v>23341</v>
      </c>
      <c r="B8868">
        <v>1</v>
      </c>
      <c r="C8868">
        <v>23</v>
      </c>
      <c r="D8868">
        <v>23</v>
      </c>
    </row>
    <row r="8869" spans="1:4" ht="15" x14ac:dyDescent="0.25">
      <c r="A8869" t="s">
        <v>23342</v>
      </c>
      <c r="B8869">
        <v>3</v>
      </c>
      <c r="C8869">
        <v>75</v>
      </c>
      <c r="D8869">
        <v>25</v>
      </c>
    </row>
    <row r="8870" spans="1:4" ht="15" x14ac:dyDescent="0.25">
      <c r="A8870" t="s">
        <v>23346</v>
      </c>
      <c r="B8870">
        <v>1</v>
      </c>
      <c r="C8870">
        <v>9</v>
      </c>
      <c r="D8870">
        <v>9</v>
      </c>
    </row>
    <row r="8871" spans="1:4" ht="15" x14ac:dyDescent="0.25">
      <c r="A8871" t="s">
        <v>23348</v>
      </c>
      <c r="B8871">
        <v>1</v>
      </c>
      <c r="C8871">
        <v>9</v>
      </c>
      <c r="D8871">
        <v>9</v>
      </c>
    </row>
    <row r="8872" spans="1:4" ht="15" x14ac:dyDescent="0.25">
      <c r="A8872" t="s">
        <v>23347</v>
      </c>
      <c r="B8872">
        <v>1</v>
      </c>
      <c r="C8872">
        <v>9</v>
      </c>
      <c r="D8872">
        <v>9</v>
      </c>
    </row>
    <row r="8873" spans="1:4" ht="15" x14ac:dyDescent="0.25">
      <c r="A8873" t="s">
        <v>23352</v>
      </c>
      <c r="B8873">
        <v>1</v>
      </c>
      <c r="C8873">
        <v>21</v>
      </c>
      <c r="D8873">
        <v>21</v>
      </c>
    </row>
    <row r="8874" spans="1:4" ht="15" x14ac:dyDescent="0.25">
      <c r="A8874" t="s">
        <v>23353</v>
      </c>
      <c r="B8874">
        <v>1</v>
      </c>
      <c r="C8874">
        <v>21</v>
      </c>
      <c r="D8874">
        <v>21</v>
      </c>
    </row>
    <row r="8875" spans="1:4" ht="15" x14ac:dyDescent="0.25">
      <c r="A8875" t="s">
        <v>23354</v>
      </c>
      <c r="B8875">
        <v>1</v>
      </c>
      <c r="C8875">
        <v>21</v>
      </c>
      <c r="D8875">
        <v>21</v>
      </c>
    </row>
    <row r="8876" spans="1:4" ht="15" x14ac:dyDescent="0.25">
      <c r="A8876" t="s">
        <v>23358</v>
      </c>
      <c r="B8876">
        <v>1</v>
      </c>
      <c r="C8876">
        <v>58</v>
      </c>
      <c r="D8876">
        <v>58</v>
      </c>
    </row>
    <row r="8877" spans="1:4" ht="15" x14ac:dyDescent="0.25">
      <c r="A8877" t="s">
        <v>23359</v>
      </c>
      <c r="B8877">
        <v>1</v>
      </c>
      <c r="C8877">
        <v>58</v>
      </c>
      <c r="D8877">
        <v>58</v>
      </c>
    </row>
    <row r="8878" spans="1:4" ht="15" x14ac:dyDescent="0.25">
      <c r="A8878" t="s">
        <v>23361</v>
      </c>
      <c r="B8878">
        <v>1</v>
      </c>
      <c r="C8878">
        <v>58</v>
      </c>
      <c r="D8878">
        <v>58</v>
      </c>
    </row>
    <row r="8879" spans="1:4" ht="15" x14ac:dyDescent="0.25">
      <c r="A8879" t="s">
        <v>23362</v>
      </c>
      <c r="B8879">
        <v>1</v>
      </c>
      <c r="C8879">
        <v>58</v>
      </c>
      <c r="D8879">
        <v>58</v>
      </c>
    </row>
    <row r="8880" spans="1:4" ht="15" x14ac:dyDescent="0.25">
      <c r="A8880" t="s">
        <v>23360</v>
      </c>
      <c r="B8880">
        <v>1</v>
      </c>
      <c r="C8880">
        <v>58</v>
      </c>
      <c r="D8880">
        <v>58</v>
      </c>
    </row>
    <row r="8881" spans="1:4" ht="15" x14ac:dyDescent="0.25">
      <c r="A8881" t="s">
        <v>23365</v>
      </c>
      <c r="B8881">
        <v>1</v>
      </c>
      <c r="C8881">
        <v>49</v>
      </c>
      <c r="D8881">
        <v>49</v>
      </c>
    </row>
    <row r="8882" spans="1:4" ht="15" x14ac:dyDescent="0.25">
      <c r="A8882" t="s">
        <v>23369</v>
      </c>
      <c r="B8882">
        <v>1</v>
      </c>
      <c r="C8882">
        <v>28</v>
      </c>
      <c r="D8882">
        <v>28</v>
      </c>
    </row>
    <row r="8883" spans="1:4" ht="15" x14ac:dyDescent="0.25">
      <c r="A8883" t="s">
        <v>23377</v>
      </c>
      <c r="B8883">
        <v>1</v>
      </c>
      <c r="C8883">
        <v>17</v>
      </c>
      <c r="D8883">
        <v>17</v>
      </c>
    </row>
    <row r="8884" spans="1:4" ht="15" x14ac:dyDescent="0.25">
      <c r="A8884" t="s">
        <v>23378</v>
      </c>
      <c r="B8884">
        <v>1</v>
      </c>
      <c r="C8884">
        <v>17</v>
      </c>
      <c r="D8884">
        <v>17</v>
      </c>
    </row>
    <row r="8885" spans="1:4" ht="15" x14ac:dyDescent="0.25">
      <c r="A8885" t="s">
        <v>23381</v>
      </c>
      <c r="B8885">
        <v>1</v>
      </c>
      <c r="C8885">
        <v>18</v>
      </c>
      <c r="D8885">
        <v>18</v>
      </c>
    </row>
    <row r="8886" spans="1:4" ht="15" x14ac:dyDescent="0.25">
      <c r="A8886" t="s">
        <v>23382</v>
      </c>
      <c r="B8886">
        <v>1</v>
      </c>
      <c r="C8886">
        <v>18</v>
      </c>
      <c r="D8886">
        <v>18</v>
      </c>
    </row>
    <row r="8887" spans="1:4" ht="15" x14ac:dyDescent="0.25">
      <c r="A8887" t="s">
        <v>23383</v>
      </c>
      <c r="B8887">
        <v>1</v>
      </c>
      <c r="C8887">
        <v>18</v>
      </c>
      <c r="D8887">
        <v>18</v>
      </c>
    </row>
    <row r="8888" spans="1:4" ht="15" x14ac:dyDescent="0.25">
      <c r="A8888" t="s">
        <v>23387</v>
      </c>
      <c r="B8888">
        <v>2</v>
      </c>
      <c r="C8888">
        <v>66</v>
      </c>
      <c r="D8888">
        <v>33</v>
      </c>
    </row>
    <row r="8889" spans="1:4" ht="15" x14ac:dyDescent="0.25">
      <c r="A8889" t="s">
        <v>23388</v>
      </c>
      <c r="B8889">
        <v>1</v>
      </c>
      <c r="C8889">
        <v>35</v>
      </c>
      <c r="D8889">
        <v>35</v>
      </c>
    </row>
    <row r="8890" spans="1:4" ht="15" x14ac:dyDescent="0.25">
      <c r="A8890" t="s">
        <v>23389</v>
      </c>
      <c r="B8890">
        <v>1</v>
      </c>
      <c r="C8890">
        <v>35</v>
      </c>
      <c r="D8890">
        <v>35</v>
      </c>
    </row>
    <row r="8891" spans="1:4" ht="15" x14ac:dyDescent="0.25">
      <c r="A8891" t="s">
        <v>23394</v>
      </c>
      <c r="B8891">
        <v>1</v>
      </c>
      <c r="C8891">
        <v>3</v>
      </c>
      <c r="D8891">
        <v>3</v>
      </c>
    </row>
    <row r="8892" spans="1:4" ht="15" x14ac:dyDescent="0.25">
      <c r="A8892" t="s">
        <v>23399</v>
      </c>
      <c r="B8892">
        <v>1</v>
      </c>
      <c r="C8892">
        <v>69</v>
      </c>
      <c r="D8892">
        <v>69</v>
      </c>
    </row>
    <row r="8893" spans="1:4" ht="15" x14ac:dyDescent="0.25">
      <c r="A8893" t="s">
        <v>23404</v>
      </c>
      <c r="B8893">
        <v>1</v>
      </c>
      <c r="C8893">
        <v>14</v>
      </c>
      <c r="D8893">
        <v>14</v>
      </c>
    </row>
    <row r="8894" spans="1:4" ht="15" x14ac:dyDescent="0.25">
      <c r="A8894" t="s">
        <v>23406</v>
      </c>
      <c r="B8894">
        <v>1</v>
      </c>
      <c r="C8894">
        <v>14</v>
      </c>
      <c r="D8894">
        <v>14</v>
      </c>
    </row>
    <row r="8895" spans="1:4" ht="15" x14ac:dyDescent="0.25">
      <c r="A8895" t="s">
        <v>23407</v>
      </c>
      <c r="B8895">
        <v>1</v>
      </c>
      <c r="C8895">
        <v>14</v>
      </c>
      <c r="D8895">
        <v>14</v>
      </c>
    </row>
    <row r="8896" spans="1:4" ht="15" x14ac:dyDescent="0.25">
      <c r="A8896" t="s">
        <v>23405</v>
      </c>
      <c r="B8896">
        <v>1</v>
      </c>
      <c r="C8896">
        <v>14</v>
      </c>
      <c r="D8896">
        <v>14</v>
      </c>
    </row>
    <row r="8897" spans="1:4" ht="15" x14ac:dyDescent="0.25">
      <c r="A8897" t="s">
        <v>23411</v>
      </c>
      <c r="B8897">
        <v>1</v>
      </c>
      <c r="C8897">
        <v>11</v>
      </c>
      <c r="D8897">
        <v>11</v>
      </c>
    </row>
    <row r="8898" spans="1:4" ht="15" x14ac:dyDescent="0.25">
      <c r="A8898" t="s">
        <v>23413</v>
      </c>
      <c r="B8898">
        <v>1</v>
      </c>
      <c r="C8898">
        <v>11</v>
      </c>
      <c r="D8898">
        <v>11</v>
      </c>
    </row>
    <row r="8899" spans="1:4" ht="15" x14ac:dyDescent="0.25">
      <c r="A8899" t="s">
        <v>23414</v>
      </c>
      <c r="B8899">
        <v>1</v>
      </c>
      <c r="C8899">
        <v>11</v>
      </c>
      <c r="D8899">
        <v>11</v>
      </c>
    </row>
    <row r="8900" spans="1:4" ht="15" x14ac:dyDescent="0.25">
      <c r="A8900" t="s">
        <v>23412</v>
      </c>
      <c r="B8900">
        <v>1</v>
      </c>
      <c r="C8900">
        <v>11</v>
      </c>
      <c r="D8900">
        <v>11</v>
      </c>
    </row>
    <row r="8901" spans="1:4" ht="15" x14ac:dyDescent="0.25">
      <c r="A8901" t="s">
        <v>23418</v>
      </c>
      <c r="B8901">
        <v>1</v>
      </c>
      <c r="C8901">
        <v>23</v>
      </c>
      <c r="D8901">
        <v>23</v>
      </c>
    </row>
    <row r="8902" spans="1:4" ht="15" x14ac:dyDescent="0.25">
      <c r="A8902" t="s">
        <v>23423</v>
      </c>
      <c r="B8902">
        <v>1</v>
      </c>
      <c r="C8902">
        <v>31</v>
      </c>
      <c r="D8902">
        <v>31</v>
      </c>
    </row>
    <row r="8903" spans="1:4" ht="15" x14ac:dyDescent="0.25">
      <c r="A8903" t="s">
        <v>23424</v>
      </c>
      <c r="B8903">
        <v>1</v>
      </c>
      <c r="C8903">
        <v>31</v>
      </c>
      <c r="D8903">
        <v>31</v>
      </c>
    </row>
    <row r="8904" spans="1:4" ht="15" x14ac:dyDescent="0.25">
      <c r="A8904" t="s">
        <v>23425</v>
      </c>
      <c r="B8904">
        <v>1</v>
      </c>
      <c r="C8904">
        <v>31</v>
      </c>
      <c r="D8904">
        <v>31</v>
      </c>
    </row>
    <row r="8905" spans="1:4" ht="15" x14ac:dyDescent="0.25">
      <c r="A8905" t="s">
        <v>23431</v>
      </c>
      <c r="B8905">
        <v>1</v>
      </c>
      <c r="C8905">
        <v>10</v>
      </c>
      <c r="D8905">
        <v>10</v>
      </c>
    </row>
    <row r="8906" spans="1:4" ht="15" x14ac:dyDescent="0.25">
      <c r="A8906" t="s">
        <v>23439</v>
      </c>
      <c r="B8906">
        <v>1</v>
      </c>
      <c r="C8906">
        <v>55</v>
      </c>
      <c r="D8906">
        <v>55</v>
      </c>
    </row>
    <row r="8907" spans="1:4" ht="15" x14ac:dyDescent="0.25">
      <c r="A8907" t="s">
        <v>23438</v>
      </c>
      <c r="B8907">
        <v>1</v>
      </c>
      <c r="C8907">
        <v>55</v>
      </c>
      <c r="D8907">
        <v>55</v>
      </c>
    </row>
    <row r="8908" spans="1:4" ht="15" x14ac:dyDescent="0.25">
      <c r="A8908" t="s">
        <v>23444</v>
      </c>
      <c r="B8908">
        <v>1</v>
      </c>
      <c r="C8908">
        <v>48</v>
      </c>
      <c r="D8908">
        <v>48</v>
      </c>
    </row>
    <row r="8909" spans="1:4" ht="15" x14ac:dyDescent="0.25">
      <c r="A8909" t="s">
        <v>23443</v>
      </c>
      <c r="B8909">
        <v>1</v>
      </c>
      <c r="C8909">
        <v>48</v>
      </c>
      <c r="D8909">
        <v>48</v>
      </c>
    </row>
    <row r="8910" spans="1:4" ht="15" x14ac:dyDescent="0.25">
      <c r="A8910" t="s">
        <v>23448</v>
      </c>
      <c r="B8910">
        <v>1</v>
      </c>
      <c r="C8910">
        <v>7</v>
      </c>
      <c r="D8910">
        <v>7</v>
      </c>
    </row>
    <row r="8911" spans="1:4" ht="15" x14ac:dyDescent="0.25">
      <c r="A8911" t="s">
        <v>23449</v>
      </c>
      <c r="B8911">
        <v>1</v>
      </c>
      <c r="C8911">
        <v>7</v>
      </c>
      <c r="D8911">
        <v>7</v>
      </c>
    </row>
    <row r="8912" spans="1:4" ht="15" x14ac:dyDescent="0.25">
      <c r="A8912" t="s">
        <v>23451</v>
      </c>
      <c r="B8912">
        <v>1</v>
      </c>
      <c r="C8912">
        <v>7</v>
      </c>
      <c r="D8912">
        <v>7</v>
      </c>
    </row>
    <row r="8913" spans="1:4" ht="15" x14ac:dyDescent="0.25">
      <c r="A8913" t="s">
        <v>23452</v>
      </c>
      <c r="B8913">
        <v>1</v>
      </c>
      <c r="C8913">
        <v>7</v>
      </c>
      <c r="D8913">
        <v>7</v>
      </c>
    </row>
    <row r="8914" spans="1:4" ht="15" x14ac:dyDescent="0.25">
      <c r="A8914" t="s">
        <v>23450</v>
      </c>
      <c r="B8914">
        <v>1</v>
      </c>
      <c r="C8914">
        <v>7</v>
      </c>
      <c r="D8914">
        <v>7</v>
      </c>
    </row>
    <row r="8915" spans="1:4" ht="15" x14ac:dyDescent="0.25">
      <c r="A8915" t="s">
        <v>23455</v>
      </c>
      <c r="B8915">
        <v>1</v>
      </c>
      <c r="C8915">
        <v>51</v>
      </c>
      <c r="D8915">
        <v>51</v>
      </c>
    </row>
    <row r="8916" spans="1:4" ht="15" x14ac:dyDescent="0.25">
      <c r="A8916" t="s">
        <v>23456</v>
      </c>
      <c r="B8916">
        <v>1</v>
      </c>
      <c r="C8916">
        <v>51</v>
      </c>
      <c r="D8916">
        <v>51</v>
      </c>
    </row>
    <row r="8917" spans="1:4" ht="15" x14ac:dyDescent="0.25">
      <c r="A8917" t="s">
        <v>23461</v>
      </c>
      <c r="B8917">
        <v>1</v>
      </c>
      <c r="C8917">
        <v>9</v>
      </c>
      <c r="D8917">
        <v>9</v>
      </c>
    </row>
    <row r="8918" spans="1:4" ht="15" x14ac:dyDescent="0.25">
      <c r="A8918" t="s">
        <v>23462</v>
      </c>
      <c r="B8918">
        <v>1</v>
      </c>
      <c r="C8918">
        <v>9</v>
      </c>
      <c r="D8918">
        <v>9</v>
      </c>
    </row>
    <row r="8919" spans="1:4" ht="15" x14ac:dyDescent="0.25">
      <c r="A8919" t="s">
        <v>23464</v>
      </c>
      <c r="B8919">
        <v>2</v>
      </c>
      <c r="C8919">
        <v>18</v>
      </c>
      <c r="D8919">
        <v>9</v>
      </c>
    </row>
    <row r="8920" spans="1:4" ht="15" x14ac:dyDescent="0.25">
      <c r="A8920" t="s">
        <v>23465</v>
      </c>
      <c r="B8920">
        <v>1</v>
      </c>
      <c r="C8920">
        <v>9</v>
      </c>
      <c r="D8920">
        <v>9</v>
      </c>
    </row>
    <row r="8921" spans="1:4" ht="15" x14ac:dyDescent="0.25">
      <c r="A8921" t="s">
        <v>23463</v>
      </c>
      <c r="B8921">
        <v>1</v>
      </c>
      <c r="C8921">
        <v>9</v>
      </c>
      <c r="D8921">
        <v>9</v>
      </c>
    </row>
    <row r="8922" spans="1:4" ht="15" x14ac:dyDescent="0.25">
      <c r="A8922" t="s">
        <v>23470</v>
      </c>
      <c r="B8922">
        <v>1</v>
      </c>
      <c r="C8922">
        <v>53</v>
      </c>
      <c r="D8922">
        <v>53</v>
      </c>
    </row>
    <row r="8923" spans="1:4" ht="15" x14ac:dyDescent="0.25">
      <c r="A8923" t="s">
        <v>23473</v>
      </c>
      <c r="B8923">
        <v>1</v>
      </c>
      <c r="C8923">
        <v>37</v>
      </c>
      <c r="D8923">
        <v>37</v>
      </c>
    </row>
    <row r="8924" spans="1:4" ht="15" x14ac:dyDescent="0.25">
      <c r="A8924" t="s">
        <v>23474</v>
      </c>
      <c r="B8924">
        <v>1</v>
      </c>
      <c r="C8924">
        <v>37</v>
      </c>
      <c r="D8924">
        <v>37</v>
      </c>
    </row>
    <row r="8925" spans="1:4" ht="15" x14ac:dyDescent="0.25">
      <c r="A8925" t="s">
        <v>23479</v>
      </c>
      <c r="B8925">
        <v>1</v>
      </c>
      <c r="C8925">
        <v>100</v>
      </c>
      <c r="D8925">
        <v>100</v>
      </c>
    </row>
    <row r="8926" spans="1:4" ht="15" x14ac:dyDescent="0.25">
      <c r="A8926" t="s">
        <v>23483</v>
      </c>
      <c r="B8926">
        <v>1</v>
      </c>
      <c r="C8926">
        <v>33</v>
      </c>
      <c r="D8926">
        <v>33</v>
      </c>
    </row>
    <row r="8927" spans="1:4" ht="15" x14ac:dyDescent="0.25">
      <c r="A8927" t="s">
        <v>23484</v>
      </c>
      <c r="B8927">
        <v>1</v>
      </c>
      <c r="C8927">
        <v>33</v>
      </c>
      <c r="D8927">
        <v>33</v>
      </c>
    </row>
    <row r="8928" spans="1:4" ht="15" x14ac:dyDescent="0.25">
      <c r="A8928" t="s">
        <v>23488</v>
      </c>
      <c r="B8928">
        <v>1</v>
      </c>
      <c r="C8928">
        <v>63</v>
      </c>
      <c r="D8928">
        <v>63</v>
      </c>
    </row>
    <row r="8929" spans="1:4" ht="15" x14ac:dyDescent="0.25">
      <c r="A8929" t="s">
        <v>23489</v>
      </c>
      <c r="B8929">
        <v>1</v>
      </c>
      <c r="C8929">
        <v>63</v>
      </c>
      <c r="D8929">
        <v>63</v>
      </c>
    </row>
    <row r="8930" spans="1:4" ht="15" x14ac:dyDescent="0.25">
      <c r="A8930" t="s">
        <v>23493</v>
      </c>
      <c r="B8930">
        <v>1</v>
      </c>
      <c r="C8930">
        <v>69</v>
      </c>
      <c r="D8930">
        <v>69</v>
      </c>
    </row>
    <row r="8931" spans="1:4" ht="15" x14ac:dyDescent="0.25">
      <c r="A8931" t="s">
        <v>23495</v>
      </c>
      <c r="B8931">
        <v>1</v>
      </c>
      <c r="C8931">
        <v>69</v>
      </c>
      <c r="D8931">
        <v>69</v>
      </c>
    </row>
    <row r="8932" spans="1:4" ht="15" x14ac:dyDescent="0.25">
      <c r="A8932" t="s">
        <v>23494</v>
      </c>
      <c r="B8932">
        <v>1</v>
      </c>
      <c r="C8932">
        <v>69</v>
      </c>
      <c r="D8932">
        <v>69</v>
      </c>
    </row>
    <row r="8933" spans="1:4" ht="15" x14ac:dyDescent="0.25">
      <c r="A8933" t="s">
        <v>23499</v>
      </c>
      <c r="B8933">
        <v>1</v>
      </c>
      <c r="C8933">
        <v>37</v>
      </c>
      <c r="D8933">
        <v>37</v>
      </c>
    </row>
    <row r="8934" spans="1:4" ht="15" x14ac:dyDescent="0.25">
      <c r="A8934" t="s">
        <v>23503</v>
      </c>
      <c r="B8934">
        <v>1</v>
      </c>
      <c r="C8934">
        <v>12</v>
      </c>
      <c r="D8934">
        <v>12</v>
      </c>
    </row>
    <row r="8935" spans="1:4" ht="15" x14ac:dyDescent="0.25">
      <c r="A8935" t="s">
        <v>23505</v>
      </c>
      <c r="B8935">
        <v>1</v>
      </c>
      <c r="C8935">
        <v>12</v>
      </c>
      <c r="D8935">
        <v>12</v>
      </c>
    </row>
    <row r="8936" spans="1:4" ht="15" x14ac:dyDescent="0.25">
      <c r="A8936" t="s">
        <v>23506</v>
      </c>
      <c r="B8936">
        <v>1</v>
      </c>
      <c r="C8936">
        <v>12</v>
      </c>
      <c r="D8936">
        <v>12</v>
      </c>
    </row>
    <row r="8937" spans="1:4" ht="15" x14ac:dyDescent="0.25">
      <c r="A8937" t="s">
        <v>23504</v>
      </c>
      <c r="B8937">
        <v>1</v>
      </c>
      <c r="C8937">
        <v>12</v>
      </c>
      <c r="D8937">
        <v>12</v>
      </c>
    </row>
    <row r="8938" spans="1:4" ht="15" x14ac:dyDescent="0.25">
      <c r="A8938" t="s">
        <v>23510</v>
      </c>
      <c r="B8938">
        <v>1</v>
      </c>
      <c r="C8938">
        <v>30</v>
      </c>
      <c r="D8938">
        <v>30</v>
      </c>
    </row>
    <row r="8939" spans="1:4" ht="15" x14ac:dyDescent="0.25">
      <c r="A8939" t="s">
        <v>23511</v>
      </c>
      <c r="B8939">
        <v>1</v>
      </c>
      <c r="C8939">
        <v>30</v>
      </c>
      <c r="D8939">
        <v>30</v>
      </c>
    </row>
    <row r="8940" spans="1:4" ht="15" x14ac:dyDescent="0.25">
      <c r="A8940" t="s">
        <v>23512</v>
      </c>
      <c r="B8940">
        <v>1</v>
      </c>
      <c r="C8940">
        <v>30</v>
      </c>
      <c r="D8940">
        <v>30</v>
      </c>
    </row>
    <row r="8941" spans="1:4" ht="15" x14ac:dyDescent="0.25">
      <c r="A8941" t="s">
        <v>23516</v>
      </c>
      <c r="B8941">
        <v>1</v>
      </c>
      <c r="C8941">
        <v>96</v>
      </c>
      <c r="D8941">
        <v>96</v>
      </c>
    </row>
    <row r="8942" spans="1:4" ht="15" x14ac:dyDescent="0.25">
      <c r="A8942" t="s">
        <v>23519</v>
      </c>
      <c r="B8942">
        <v>3</v>
      </c>
      <c r="C8942">
        <v>168</v>
      </c>
      <c r="D8942">
        <v>56</v>
      </c>
    </row>
    <row r="8943" spans="1:4" ht="15" x14ac:dyDescent="0.25">
      <c r="A8943" t="s">
        <v>23520</v>
      </c>
      <c r="B8943">
        <v>2</v>
      </c>
      <c r="C8943">
        <v>86</v>
      </c>
      <c r="D8943">
        <v>43</v>
      </c>
    </row>
    <row r="8944" spans="1:4" ht="15" x14ac:dyDescent="0.25">
      <c r="A8944" t="s">
        <v>23524</v>
      </c>
      <c r="B8944">
        <v>1</v>
      </c>
      <c r="C8944">
        <v>1127</v>
      </c>
      <c r="D8944">
        <v>1127</v>
      </c>
    </row>
    <row r="8945" spans="1:4" ht="15" x14ac:dyDescent="0.25">
      <c r="A8945" t="s">
        <v>23528</v>
      </c>
      <c r="B8945">
        <v>1</v>
      </c>
      <c r="C8945">
        <v>23</v>
      </c>
      <c r="D8945">
        <v>23</v>
      </c>
    </row>
    <row r="8946" spans="1:4" ht="15" x14ac:dyDescent="0.25">
      <c r="A8946" t="s">
        <v>23529</v>
      </c>
      <c r="B8946">
        <v>1</v>
      </c>
      <c r="C8946">
        <v>23</v>
      </c>
      <c r="D8946">
        <v>23</v>
      </c>
    </row>
    <row r="8947" spans="1:4" ht="15" x14ac:dyDescent="0.25">
      <c r="A8947" t="s">
        <v>23533</v>
      </c>
      <c r="B8947">
        <v>1</v>
      </c>
      <c r="C8947">
        <v>28</v>
      </c>
      <c r="D8947">
        <v>28</v>
      </c>
    </row>
    <row r="8948" spans="1:4" ht="15" x14ac:dyDescent="0.25">
      <c r="A8948" t="s">
        <v>23534</v>
      </c>
      <c r="B8948">
        <v>1</v>
      </c>
      <c r="C8948">
        <v>28</v>
      </c>
      <c r="D8948">
        <v>28</v>
      </c>
    </row>
    <row r="8949" spans="1:4" ht="15" x14ac:dyDescent="0.25">
      <c r="A8949" t="s">
        <v>23539</v>
      </c>
      <c r="B8949">
        <v>1</v>
      </c>
      <c r="C8949">
        <v>89</v>
      </c>
      <c r="D8949">
        <v>89</v>
      </c>
    </row>
    <row r="8950" spans="1:4" ht="15" x14ac:dyDescent="0.25">
      <c r="A8950" t="s">
        <v>23540</v>
      </c>
      <c r="B8950">
        <v>1</v>
      </c>
      <c r="C8950">
        <v>89</v>
      </c>
      <c r="D8950">
        <v>89</v>
      </c>
    </row>
    <row r="8951" spans="1:4" ht="15" x14ac:dyDescent="0.25">
      <c r="A8951" t="s">
        <v>23541</v>
      </c>
      <c r="B8951">
        <v>1</v>
      </c>
      <c r="C8951">
        <v>89</v>
      </c>
      <c r="D8951">
        <v>89</v>
      </c>
    </row>
    <row r="8952" spans="1:4" ht="15" x14ac:dyDescent="0.25">
      <c r="A8952" t="s">
        <v>23545</v>
      </c>
      <c r="B8952">
        <v>3</v>
      </c>
      <c r="C8952">
        <v>63</v>
      </c>
      <c r="D8952">
        <v>21</v>
      </c>
    </row>
    <row r="8953" spans="1:4" ht="15" x14ac:dyDescent="0.25">
      <c r="A8953" t="s">
        <v>23546</v>
      </c>
      <c r="B8953">
        <v>2</v>
      </c>
      <c r="C8953">
        <v>38</v>
      </c>
      <c r="D8953">
        <v>19</v>
      </c>
    </row>
    <row r="8954" spans="1:4" ht="15" x14ac:dyDescent="0.25">
      <c r="A8954" t="s">
        <v>23552</v>
      </c>
      <c r="B8954">
        <v>1</v>
      </c>
      <c r="C8954">
        <v>15</v>
      </c>
      <c r="D8954">
        <v>15</v>
      </c>
    </row>
    <row r="8955" spans="1:4" ht="15" x14ac:dyDescent="0.25">
      <c r="A8955" t="s">
        <v>23553</v>
      </c>
      <c r="B8955">
        <v>1</v>
      </c>
      <c r="C8955">
        <v>15</v>
      </c>
      <c r="D8955">
        <v>15</v>
      </c>
    </row>
    <row r="8956" spans="1:4" ht="15" x14ac:dyDescent="0.25">
      <c r="A8956" t="s">
        <v>23557</v>
      </c>
      <c r="B8956">
        <v>1</v>
      </c>
      <c r="C8956">
        <v>39</v>
      </c>
      <c r="D8956">
        <v>39</v>
      </c>
    </row>
    <row r="8957" spans="1:4" ht="15" x14ac:dyDescent="0.25">
      <c r="A8957" t="s">
        <v>23558</v>
      </c>
      <c r="B8957">
        <v>1</v>
      </c>
      <c r="C8957">
        <v>39</v>
      </c>
      <c r="D8957">
        <v>39</v>
      </c>
    </row>
    <row r="8958" spans="1:4" ht="15" x14ac:dyDescent="0.25">
      <c r="A8958" t="s">
        <v>23559</v>
      </c>
      <c r="B8958">
        <v>1</v>
      </c>
      <c r="C8958">
        <v>39</v>
      </c>
      <c r="D8958">
        <v>39</v>
      </c>
    </row>
    <row r="8959" spans="1:4" ht="15" x14ac:dyDescent="0.25">
      <c r="A8959" t="s">
        <v>23564</v>
      </c>
      <c r="B8959">
        <v>1</v>
      </c>
      <c r="C8959">
        <v>114</v>
      </c>
      <c r="D8959">
        <v>114</v>
      </c>
    </row>
    <row r="8960" spans="1:4" ht="15" x14ac:dyDescent="0.25">
      <c r="A8960" t="s">
        <v>23565</v>
      </c>
      <c r="B8960">
        <v>1</v>
      </c>
      <c r="C8960">
        <v>114</v>
      </c>
      <c r="D8960">
        <v>114</v>
      </c>
    </row>
    <row r="8961" spans="1:4" ht="15" x14ac:dyDescent="0.25">
      <c r="A8961" t="s">
        <v>23566</v>
      </c>
      <c r="B8961">
        <v>1</v>
      </c>
      <c r="C8961">
        <v>114</v>
      </c>
      <c r="D8961">
        <v>114</v>
      </c>
    </row>
    <row r="8962" spans="1:4" ht="15" x14ac:dyDescent="0.25">
      <c r="A8962" t="s">
        <v>23570</v>
      </c>
      <c r="B8962">
        <v>1</v>
      </c>
      <c r="C8962">
        <v>9</v>
      </c>
      <c r="D8962">
        <v>9</v>
      </c>
    </row>
    <row r="8963" spans="1:4" ht="15" x14ac:dyDescent="0.25">
      <c r="A8963" t="s">
        <v>23571</v>
      </c>
      <c r="B8963">
        <v>1</v>
      </c>
      <c r="C8963">
        <v>9</v>
      </c>
      <c r="D8963">
        <v>9</v>
      </c>
    </row>
    <row r="8964" spans="1:4" ht="15" x14ac:dyDescent="0.25">
      <c r="A8964" t="s">
        <v>23574</v>
      </c>
      <c r="B8964">
        <v>1</v>
      </c>
      <c r="C8964">
        <v>53</v>
      </c>
      <c r="D8964">
        <v>53</v>
      </c>
    </row>
    <row r="8965" spans="1:4" ht="15" x14ac:dyDescent="0.25">
      <c r="A8965" t="s">
        <v>23578</v>
      </c>
      <c r="B8965">
        <v>1</v>
      </c>
      <c r="C8965">
        <v>18</v>
      </c>
      <c r="D8965">
        <v>18</v>
      </c>
    </row>
    <row r="8966" spans="1:4" ht="15" x14ac:dyDescent="0.25">
      <c r="A8966" t="s">
        <v>23579</v>
      </c>
      <c r="B8966">
        <v>1</v>
      </c>
      <c r="C8966">
        <v>18</v>
      </c>
      <c r="D8966">
        <v>18</v>
      </c>
    </row>
    <row r="8967" spans="1:4" ht="15" x14ac:dyDescent="0.25">
      <c r="A8967" t="s">
        <v>23580</v>
      </c>
      <c r="B8967">
        <v>1</v>
      </c>
      <c r="C8967">
        <v>18</v>
      </c>
      <c r="D8967">
        <v>18</v>
      </c>
    </row>
    <row r="8968" spans="1:4" ht="15" x14ac:dyDescent="0.25">
      <c r="A8968" t="s">
        <v>23583</v>
      </c>
      <c r="B8968">
        <v>1</v>
      </c>
      <c r="C8968">
        <v>14</v>
      </c>
      <c r="D8968">
        <v>14</v>
      </c>
    </row>
    <row r="8969" spans="1:4" ht="15" x14ac:dyDescent="0.25">
      <c r="A8969" t="s">
        <v>23588</v>
      </c>
      <c r="B8969">
        <v>2</v>
      </c>
      <c r="C8969">
        <v>77</v>
      </c>
      <c r="D8969">
        <v>38.5</v>
      </c>
    </row>
    <row r="8970" spans="1:4" ht="15" x14ac:dyDescent="0.25">
      <c r="A8970" t="s">
        <v>23598</v>
      </c>
      <c r="B8970">
        <v>1</v>
      </c>
      <c r="C8970">
        <v>50</v>
      </c>
      <c r="D8970">
        <v>50</v>
      </c>
    </row>
    <row r="8971" spans="1:4" ht="15" x14ac:dyDescent="0.25">
      <c r="A8971" t="s">
        <v>23612</v>
      </c>
      <c r="B8971">
        <v>1</v>
      </c>
      <c r="C8971">
        <v>44</v>
      </c>
      <c r="D8971">
        <v>44</v>
      </c>
    </row>
    <row r="8972" spans="1:4" ht="15" x14ac:dyDescent="0.25">
      <c r="A8972" t="s">
        <v>23616</v>
      </c>
      <c r="B8972">
        <v>1</v>
      </c>
      <c r="C8972">
        <v>19</v>
      </c>
      <c r="D8972">
        <v>19</v>
      </c>
    </row>
    <row r="8973" spans="1:4" ht="15" x14ac:dyDescent="0.25">
      <c r="A8973" t="s">
        <v>23617</v>
      </c>
      <c r="B8973">
        <v>1</v>
      </c>
      <c r="C8973">
        <v>19</v>
      </c>
      <c r="D8973">
        <v>19</v>
      </c>
    </row>
    <row r="8974" spans="1:4" ht="15" x14ac:dyDescent="0.25">
      <c r="A8974" t="s">
        <v>23621</v>
      </c>
      <c r="B8974">
        <v>1</v>
      </c>
      <c r="C8974">
        <v>20</v>
      </c>
      <c r="D8974">
        <v>20</v>
      </c>
    </row>
    <row r="8975" spans="1:4" ht="15" x14ac:dyDescent="0.25">
      <c r="A8975" t="s">
        <v>23622</v>
      </c>
      <c r="B8975">
        <v>1</v>
      </c>
      <c r="C8975">
        <v>20</v>
      </c>
      <c r="D8975">
        <v>20</v>
      </c>
    </row>
    <row r="8976" spans="1:4" ht="15" x14ac:dyDescent="0.25">
      <c r="A8976" t="s">
        <v>23623</v>
      </c>
      <c r="B8976">
        <v>1</v>
      </c>
      <c r="C8976">
        <v>20</v>
      </c>
      <c r="D8976">
        <v>20</v>
      </c>
    </row>
    <row r="8977" spans="1:4" ht="15" x14ac:dyDescent="0.25">
      <c r="A8977" t="s">
        <v>23627</v>
      </c>
      <c r="B8977">
        <v>1</v>
      </c>
      <c r="C8977">
        <v>46</v>
      </c>
      <c r="D8977">
        <v>46</v>
      </c>
    </row>
    <row r="8978" spans="1:4" ht="15" x14ac:dyDescent="0.25">
      <c r="A8978" t="s">
        <v>23628</v>
      </c>
      <c r="B8978">
        <v>1</v>
      </c>
      <c r="C8978">
        <v>46</v>
      </c>
      <c r="D8978">
        <v>46</v>
      </c>
    </row>
    <row r="8979" spans="1:4" ht="15" x14ac:dyDescent="0.25">
      <c r="A8979" t="s">
        <v>23630</v>
      </c>
      <c r="B8979">
        <v>1</v>
      </c>
      <c r="C8979">
        <v>46</v>
      </c>
      <c r="D8979">
        <v>46</v>
      </c>
    </row>
    <row r="8980" spans="1:4" ht="15" x14ac:dyDescent="0.25">
      <c r="A8980" t="s">
        <v>23631</v>
      </c>
      <c r="B8980">
        <v>1</v>
      </c>
      <c r="C8980">
        <v>46</v>
      </c>
      <c r="D8980">
        <v>46</v>
      </c>
    </row>
    <row r="8981" spans="1:4" ht="15" x14ac:dyDescent="0.25">
      <c r="A8981" t="s">
        <v>23629</v>
      </c>
      <c r="B8981">
        <v>1</v>
      </c>
      <c r="C8981">
        <v>46</v>
      </c>
      <c r="D8981">
        <v>46</v>
      </c>
    </row>
    <row r="8982" spans="1:4" ht="15" x14ac:dyDescent="0.25">
      <c r="A8982" t="s">
        <v>23638</v>
      </c>
      <c r="B8982">
        <v>1</v>
      </c>
      <c r="C8982">
        <v>106</v>
      </c>
      <c r="D8982">
        <v>106</v>
      </c>
    </row>
    <row r="8983" spans="1:4" ht="15" x14ac:dyDescent="0.25">
      <c r="A8983" t="s">
        <v>23642</v>
      </c>
      <c r="B8983">
        <v>1</v>
      </c>
      <c r="C8983">
        <v>45</v>
      </c>
      <c r="D8983">
        <v>45</v>
      </c>
    </row>
    <row r="8984" spans="1:4" ht="15" x14ac:dyDescent="0.25">
      <c r="A8984" t="s">
        <v>23646</v>
      </c>
      <c r="B8984">
        <v>1</v>
      </c>
      <c r="C8984">
        <v>17</v>
      </c>
      <c r="D8984">
        <v>17</v>
      </c>
    </row>
    <row r="8985" spans="1:4" ht="15" x14ac:dyDescent="0.25">
      <c r="A8985" t="s">
        <v>23647</v>
      </c>
      <c r="B8985">
        <v>1</v>
      </c>
      <c r="C8985">
        <v>17</v>
      </c>
      <c r="D8985">
        <v>17</v>
      </c>
    </row>
    <row r="8986" spans="1:4" ht="15" x14ac:dyDescent="0.25">
      <c r="A8986" t="s">
        <v>23648</v>
      </c>
      <c r="B8986">
        <v>1</v>
      </c>
      <c r="C8986">
        <v>17</v>
      </c>
      <c r="D8986">
        <v>17</v>
      </c>
    </row>
    <row r="8987" spans="1:4" ht="15" x14ac:dyDescent="0.25">
      <c r="A8987" t="s">
        <v>23651</v>
      </c>
      <c r="B8987">
        <v>1</v>
      </c>
      <c r="C8987">
        <v>75</v>
      </c>
      <c r="D8987">
        <v>75</v>
      </c>
    </row>
    <row r="8988" spans="1:4" ht="15" x14ac:dyDescent="0.25">
      <c r="A8988" t="s">
        <v>23655</v>
      </c>
      <c r="B8988">
        <v>1</v>
      </c>
      <c r="C8988">
        <v>2</v>
      </c>
      <c r="D8988">
        <v>2</v>
      </c>
    </row>
    <row r="8989" spans="1:4" ht="15" x14ac:dyDescent="0.25">
      <c r="A8989" t="s">
        <v>23656</v>
      </c>
      <c r="B8989">
        <v>1</v>
      </c>
      <c r="C8989">
        <v>2</v>
      </c>
      <c r="D8989">
        <v>2</v>
      </c>
    </row>
    <row r="8990" spans="1:4" ht="15" x14ac:dyDescent="0.25">
      <c r="A8990" t="s">
        <v>23662</v>
      </c>
      <c r="B8990">
        <v>1</v>
      </c>
      <c r="C8990">
        <v>71</v>
      </c>
      <c r="D8990">
        <v>71</v>
      </c>
    </row>
    <row r="8991" spans="1:4" ht="15" x14ac:dyDescent="0.25">
      <c r="A8991" t="s">
        <v>23667</v>
      </c>
      <c r="B8991">
        <v>1</v>
      </c>
      <c r="C8991">
        <v>28</v>
      </c>
      <c r="D8991">
        <v>28</v>
      </c>
    </row>
    <row r="8992" spans="1:4" ht="15" x14ac:dyDescent="0.25">
      <c r="A8992" t="s">
        <v>23668</v>
      </c>
      <c r="B8992">
        <v>1</v>
      </c>
      <c r="C8992">
        <v>28</v>
      </c>
      <c r="D8992">
        <v>28</v>
      </c>
    </row>
    <row r="8993" spans="1:4" ht="15" x14ac:dyDescent="0.25">
      <c r="A8993" t="s">
        <v>23669</v>
      </c>
      <c r="B8993">
        <v>1</v>
      </c>
      <c r="C8993">
        <v>28</v>
      </c>
      <c r="D8993">
        <v>28</v>
      </c>
    </row>
    <row r="8994" spans="1:4" ht="15" x14ac:dyDescent="0.25">
      <c r="A8994" t="s">
        <v>23676</v>
      </c>
      <c r="B8994">
        <v>1</v>
      </c>
      <c r="C8994">
        <v>78</v>
      </c>
      <c r="D8994">
        <v>78</v>
      </c>
    </row>
    <row r="8995" spans="1:4" ht="15" x14ac:dyDescent="0.25">
      <c r="A8995" t="s">
        <v>23679</v>
      </c>
      <c r="B8995">
        <v>1</v>
      </c>
      <c r="C8995">
        <v>51</v>
      </c>
      <c r="D8995">
        <v>51</v>
      </c>
    </row>
    <row r="8996" spans="1:4" ht="15" x14ac:dyDescent="0.25">
      <c r="A8996" t="s">
        <v>23686</v>
      </c>
      <c r="B8996">
        <v>1</v>
      </c>
      <c r="C8996">
        <v>17</v>
      </c>
      <c r="D8996">
        <v>17</v>
      </c>
    </row>
    <row r="8997" spans="1:4" ht="15" x14ac:dyDescent="0.25">
      <c r="A8997" t="s">
        <v>23689</v>
      </c>
      <c r="B8997">
        <v>1</v>
      </c>
      <c r="C8997">
        <v>26</v>
      </c>
      <c r="D8997">
        <v>26</v>
      </c>
    </row>
    <row r="8998" spans="1:4" ht="15" x14ac:dyDescent="0.25">
      <c r="A8998" t="s">
        <v>23693</v>
      </c>
      <c r="B8998">
        <v>1</v>
      </c>
      <c r="C8998">
        <v>16</v>
      </c>
      <c r="D8998">
        <v>16</v>
      </c>
    </row>
    <row r="8999" spans="1:4" ht="15" x14ac:dyDescent="0.25">
      <c r="A8999" t="s">
        <v>23694</v>
      </c>
      <c r="B8999">
        <v>1</v>
      </c>
      <c r="C8999">
        <v>16</v>
      </c>
      <c r="D8999">
        <v>16</v>
      </c>
    </row>
    <row r="9000" spans="1:4" ht="15" x14ac:dyDescent="0.25">
      <c r="A9000" t="s">
        <v>23695</v>
      </c>
      <c r="B9000">
        <v>1</v>
      </c>
      <c r="C9000">
        <v>16</v>
      </c>
      <c r="D9000">
        <v>16</v>
      </c>
    </row>
    <row r="9001" spans="1:4" ht="15" x14ac:dyDescent="0.25">
      <c r="A9001" t="s">
        <v>23699</v>
      </c>
      <c r="B9001">
        <v>1</v>
      </c>
      <c r="C9001">
        <v>6</v>
      </c>
      <c r="D9001">
        <v>6</v>
      </c>
    </row>
    <row r="9002" spans="1:4" ht="15" x14ac:dyDescent="0.25">
      <c r="A9002" t="s">
        <v>23700</v>
      </c>
      <c r="B9002">
        <v>1</v>
      </c>
      <c r="C9002">
        <v>6</v>
      </c>
      <c r="D9002">
        <v>6</v>
      </c>
    </row>
    <row r="9003" spans="1:4" ht="15" x14ac:dyDescent="0.25">
      <c r="A9003" t="s">
        <v>23705</v>
      </c>
      <c r="B9003">
        <v>1</v>
      </c>
      <c r="C9003">
        <v>57</v>
      </c>
      <c r="D9003">
        <v>57</v>
      </c>
    </row>
    <row r="9004" spans="1:4" ht="15" x14ac:dyDescent="0.25">
      <c r="A9004" t="s">
        <v>23706</v>
      </c>
      <c r="B9004">
        <v>1</v>
      </c>
      <c r="C9004">
        <v>57</v>
      </c>
      <c r="D9004">
        <v>57</v>
      </c>
    </row>
    <row r="9005" spans="1:4" ht="15" x14ac:dyDescent="0.25">
      <c r="A9005" t="s">
        <v>23708</v>
      </c>
      <c r="B9005">
        <v>1</v>
      </c>
      <c r="C9005">
        <v>57</v>
      </c>
      <c r="D9005">
        <v>57</v>
      </c>
    </row>
    <row r="9006" spans="1:4" ht="15" x14ac:dyDescent="0.25">
      <c r="A9006" t="s">
        <v>23709</v>
      </c>
      <c r="B9006">
        <v>1</v>
      </c>
      <c r="C9006">
        <v>57</v>
      </c>
      <c r="D9006">
        <v>57</v>
      </c>
    </row>
    <row r="9007" spans="1:4" ht="15" x14ac:dyDescent="0.25">
      <c r="A9007" t="s">
        <v>23707</v>
      </c>
      <c r="B9007">
        <v>1</v>
      </c>
      <c r="C9007">
        <v>57</v>
      </c>
      <c r="D9007">
        <v>57</v>
      </c>
    </row>
    <row r="9008" spans="1:4" ht="15" x14ac:dyDescent="0.25">
      <c r="A9008" t="s">
        <v>23714</v>
      </c>
      <c r="B9008">
        <v>1</v>
      </c>
      <c r="C9008">
        <v>2441</v>
      </c>
      <c r="D9008">
        <v>2441</v>
      </c>
    </row>
    <row r="9009" spans="1:4" ht="15" x14ac:dyDescent="0.25">
      <c r="A9009" t="s">
        <v>23715</v>
      </c>
      <c r="B9009">
        <v>1</v>
      </c>
      <c r="C9009">
        <v>2441</v>
      </c>
      <c r="D9009">
        <v>2441</v>
      </c>
    </row>
    <row r="9010" spans="1:4" ht="15" x14ac:dyDescent="0.25">
      <c r="A9010" t="s">
        <v>23719</v>
      </c>
      <c r="B9010">
        <v>2</v>
      </c>
      <c r="C9010">
        <v>22</v>
      </c>
      <c r="D9010">
        <v>11</v>
      </c>
    </row>
    <row r="9011" spans="1:4" ht="15" x14ac:dyDescent="0.25">
      <c r="A9011" t="s">
        <v>23720</v>
      </c>
      <c r="B9011">
        <v>1</v>
      </c>
      <c r="C9011">
        <v>15</v>
      </c>
      <c r="D9011">
        <v>15</v>
      </c>
    </row>
    <row r="9012" spans="1:4" ht="15" x14ac:dyDescent="0.25">
      <c r="A9012" t="s">
        <v>23723</v>
      </c>
      <c r="B9012">
        <v>2</v>
      </c>
      <c r="C9012">
        <v>9</v>
      </c>
      <c r="D9012">
        <v>4.5</v>
      </c>
    </row>
    <row r="9013" spans="1:4" ht="15" x14ac:dyDescent="0.25">
      <c r="A9013" t="s">
        <v>23727</v>
      </c>
      <c r="B9013">
        <v>1</v>
      </c>
      <c r="C9013">
        <v>13</v>
      </c>
      <c r="D9013">
        <v>13</v>
      </c>
    </row>
    <row r="9014" spans="1:4" ht="15" x14ac:dyDescent="0.25">
      <c r="A9014" t="s">
        <v>23728</v>
      </c>
      <c r="B9014">
        <v>1</v>
      </c>
      <c r="C9014">
        <v>13</v>
      </c>
      <c r="D9014">
        <v>13</v>
      </c>
    </row>
    <row r="9015" spans="1:4" ht="15" x14ac:dyDescent="0.25">
      <c r="A9015" t="s">
        <v>23729</v>
      </c>
      <c r="B9015">
        <v>1</v>
      </c>
      <c r="C9015">
        <v>13</v>
      </c>
      <c r="D9015">
        <v>13</v>
      </c>
    </row>
    <row r="9016" spans="1:4" ht="15" x14ac:dyDescent="0.25">
      <c r="A9016" t="s">
        <v>23734</v>
      </c>
      <c r="B9016">
        <v>1</v>
      </c>
      <c r="C9016">
        <v>9</v>
      </c>
      <c r="D9016">
        <v>9</v>
      </c>
    </row>
    <row r="9017" spans="1:4" ht="15" x14ac:dyDescent="0.25">
      <c r="A9017" t="s">
        <v>23733</v>
      </c>
      <c r="B9017">
        <v>1</v>
      </c>
      <c r="C9017">
        <v>9</v>
      </c>
      <c r="D9017">
        <v>9</v>
      </c>
    </row>
    <row r="9018" spans="1:4" ht="15" x14ac:dyDescent="0.25">
      <c r="A9018" t="s">
        <v>23740</v>
      </c>
      <c r="B9018">
        <v>1</v>
      </c>
      <c r="C9018">
        <v>14</v>
      </c>
      <c r="D9018">
        <v>14</v>
      </c>
    </row>
    <row r="9019" spans="1:4" ht="15" x14ac:dyDescent="0.25">
      <c r="A9019" t="s">
        <v>23741</v>
      </c>
      <c r="B9019">
        <v>1</v>
      </c>
      <c r="C9019">
        <v>14</v>
      </c>
      <c r="D9019">
        <v>14</v>
      </c>
    </row>
    <row r="9020" spans="1:4" ht="15" x14ac:dyDescent="0.25">
      <c r="A9020" t="s">
        <v>23739</v>
      </c>
      <c r="B9020">
        <v>1</v>
      </c>
      <c r="C9020">
        <v>14</v>
      </c>
      <c r="D9020">
        <v>14</v>
      </c>
    </row>
    <row r="9021" spans="1:4" ht="15" x14ac:dyDescent="0.25">
      <c r="A9021" t="s">
        <v>23744</v>
      </c>
      <c r="B9021">
        <v>1</v>
      </c>
      <c r="C9021">
        <v>5</v>
      </c>
      <c r="D9021">
        <v>5</v>
      </c>
    </row>
    <row r="9022" spans="1:4" ht="15" x14ac:dyDescent="0.25">
      <c r="A9022" t="s">
        <v>23745</v>
      </c>
      <c r="B9022">
        <v>1</v>
      </c>
      <c r="C9022">
        <v>5</v>
      </c>
      <c r="D9022">
        <v>5</v>
      </c>
    </row>
    <row r="9023" spans="1:4" ht="15" x14ac:dyDescent="0.25">
      <c r="A9023" t="s">
        <v>23751</v>
      </c>
      <c r="B9023">
        <v>1</v>
      </c>
      <c r="C9023">
        <v>52</v>
      </c>
      <c r="D9023">
        <v>52</v>
      </c>
    </row>
    <row r="9024" spans="1:4" ht="15" x14ac:dyDescent="0.25">
      <c r="A9024" t="s">
        <v>23752</v>
      </c>
      <c r="B9024">
        <v>3</v>
      </c>
      <c r="C9024">
        <v>128</v>
      </c>
      <c r="D9024">
        <v>42.666666666666664</v>
      </c>
    </row>
    <row r="9025" spans="1:4" ht="15" x14ac:dyDescent="0.25">
      <c r="A9025" t="s">
        <v>23756</v>
      </c>
      <c r="B9025">
        <v>1</v>
      </c>
      <c r="C9025">
        <v>43</v>
      </c>
      <c r="D9025">
        <v>43</v>
      </c>
    </row>
    <row r="9026" spans="1:4" ht="15" x14ac:dyDescent="0.25">
      <c r="A9026" t="s">
        <v>23757</v>
      </c>
      <c r="B9026">
        <v>1</v>
      </c>
      <c r="C9026">
        <v>43</v>
      </c>
      <c r="D9026">
        <v>43</v>
      </c>
    </row>
    <row r="9027" spans="1:4" ht="15" x14ac:dyDescent="0.25">
      <c r="A9027" t="s">
        <v>23760</v>
      </c>
      <c r="B9027">
        <v>1</v>
      </c>
      <c r="C9027">
        <v>181</v>
      </c>
      <c r="D9027">
        <v>181</v>
      </c>
    </row>
    <row r="9028" spans="1:4" ht="15" x14ac:dyDescent="0.25">
      <c r="A9028" t="s">
        <v>23761</v>
      </c>
      <c r="B9028">
        <v>1</v>
      </c>
      <c r="C9028">
        <v>181</v>
      </c>
      <c r="D9028">
        <v>181</v>
      </c>
    </row>
    <row r="9029" spans="1:4" ht="15" x14ac:dyDescent="0.25">
      <c r="A9029" t="s">
        <v>23763</v>
      </c>
      <c r="B9029">
        <v>1</v>
      </c>
      <c r="C9029">
        <v>181</v>
      </c>
      <c r="D9029">
        <v>181</v>
      </c>
    </row>
    <row r="9030" spans="1:4" ht="15" x14ac:dyDescent="0.25">
      <c r="A9030" t="s">
        <v>23762</v>
      </c>
      <c r="B9030">
        <v>1</v>
      </c>
      <c r="C9030">
        <v>181</v>
      </c>
      <c r="D9030">
        <v>181</v>
      </c>
    </row>
    <row r="9031" spans="1:4" ht="15" x14ac:dyDescent="0.25">
      <c r="A9031" t="s">
        <v>23766</v>
      </c>
      <c r="B9031">
        <v>1</v>
      </c>
      <c r="C9031">
        <v>29</v>
      </c>
      <c r="D9031">
        <v>29</v>
      </c>
    </row>
    <row r="9032" spans="1:4" ht="15" x14ac:dyDescent="0.25">
      <c r="A9032" t="s">
        <v>23767</v>
      </c>
      <c r="B9032">
        <v>1</v>
      </c>
      <c r="C9032">
        <v>29</v>
      </c>
      <c r="D9032">
        <v>29</v>
      </c>
    </row>
    <row r="9033" spans="1:4" ht="15" x14ac:dyDescent="0.25">
      <c r="A9033" t="s">
        <v>23768</v>
      </c>
      <c r="B9033">
        <v>1</v>
      </c>
      <c r="C9033">
        <v>29</v>
      </c>
      <c r="D9033">
        <v>29</v>
      </c>
    </row>
    <row r="9034" spans="1:4" ht="15" x14ac:dyDescent="0.25">
      <c r="A9034" t="s">
        <v>23771</v>
      </c>
      <c r="B9034">
        <v>1</v>
      </c>
      <c r="C9034">
        <v>48</v>
      </c>
      <c r="D9034">
        <v>48</v>
      </c>
    </row>
    <row r="9035" spans="1:4" ht="15" x14ac:dyDescent="0.25">
      <c r="A9035" t="s">
        <v>23776</v>
      </c>
      <c r="B9035">
        <v>1</v>
      </c>
      <c r="C9035">
        <v>48</v>
      </c>
      <c r="D9035">
        <v>48</v>
      </c>
    </row>
    <row r="9036" spans="1:4" ht="15" x14ac:dyDescent="0.25">
      <c r="A9036" t="s">
        <v>23775</v>
      </c>
      <c r="B9036">
        <v>1</v>
      </c>
      <c r="C9036">
        <v>48</v>
      </c>
      <c r="D9036">
        <v>48</v>
      </c>
    </row>
    <row r="9037" spans="1:4" ht="15" x14ac:dyDescent="0.25">
      <c r="A9037" t="s">
        <v>23781</v>
      </c>
      <c r="B9037">
        <v>1</v>
      </c>
      <c r="C9037">
        <v>37</v>
      </c>
      <c r="D9037">
        <v>37</v>
      </c>
    </row>
    <row r="9038" spans="1:4" ht="15" x14ac:dyDescent="0.25">
      <c r="A9038" t="s">
        <v>23782</v>
      </c>
      <c r="B9038">
        <v>2</v>
      </c>
      <c r="C9038">
        <v>69</v>
      </c>
      <c r="D9038">
        <v>34.5</v>
      </c>
    </row>
    <row r="9039" spans="1:4" ht="15" x14ac:dyDescent="0.25">
      <c r="A9039" t="s">
        <v>23787</v>
      </c>
      <c r="B9039">
        <v>1</v>
      </c>
      <c r="C9039">
        <v>3</v>
      </c>
      <c r="D9039">
        <v>3</v>
      </c>
    </row>
    <row r="9040" spans="1:4" ht="15" x14ac:dyDescent="0.25">
      <c r="A9040" t="s">
        <v>23788</v>
      </c>
      <c r="B9040">
        <v>1</v>
      </c>
      <c r="C9040">
        <v>3</v>
      </c>
      <c r="D9040">
        <v>3</v>
      </c>
    </row>
    <row r="9041" spans="1:4" ht="15" x14ac:dyDescent="0.25">
      <c r="A9041" t="s">
        <v>23791</v>
      </c>
      <c r="B9041">
        <v>2</v>
      </c>
      <c r="C9041">
        <v>113</v>
      </c>
      <c r="D9041">
        <v>56.5</v>
      </c>
    </row>
    <row r="9042" spans="1:4" ht="15" x14ac:dyDescent="0.25">
      <c r="A9042" t="s">
        <v>23792</v>
      </c>
      <c r="B9042">
        <v>1</v>
      </c>
      <c r="C9042">
        <v>41</v>
      </c>
      <c r="D9042">
        <v>41</v>
      </c>
    </row>
    <row r="9043" spans="1:4" ht="15" x14ac:dyDescent="0.25">
      <c r="A9043" t="s">
        <v>23797</v>
      </c>
      <c r="B9043">
        <v>1</v>
      </c>
      <c r="C9043">
        <v>7</v>
      </c>
      <c r="D9043">
        <v>7</v>
      </c>
    </row>
    <row r="9044" spans="1:4" ht="15" x14ac:dyDescent="0.25">
      <c r="A9044" t="s">
        <v>23798</v>
      </c>
      <c r="B9044">
        <v>1</v>
      </c>
      <c r="C9044">
        <v>7</v>
      </c>
      <c r="D9044">
        <v>7</v>
      </c>
    </row>
    <row r="9045" spans="1:4" ht="15" x14ac:dyDescent="0.25">
      <c r="A9045" t="s">
        <v>23804</v>
      </c>
      <c r="B9045">
        <v>1</v>
      </c>
      <c r="C9045">
        <v>47</v>
      </c>
      <c r="D9045">
        <v>47</v>
      </c>
    </row>
    <row r="9046" spans="1:4" ht="15" x14ac:dyDescent="0.25">
      <c r="A9046" t="s">
        <v>23803</v>
      </c>
      <c r="B9046">
        <v>1</v>
      </c>
      <c r="C9046">
        <v>47</v>
      </c>
      <c r="D9046">
        <v>47</v>
      </c>
    </row>
    <row r="9047" spans="1:4" ht="15" x14ac:dyDescent="0.25">
      <c r="A9047" t="s">
        <v>23807</v>
      </c>
      <c r="B9047">
        <v>1</v>
      </c>
      <c r="C9047">
        <v>44</v>
      </c>
      <c r="D9047">
        <v>44</v>
      </c>
    </row>
    <row r="9048" spans="1:4" ht="15" x14ac:dyDescent="0.25">
      <c r="A9048" t="s">
        <v>23808</v>
      </c>
      <c r="B9048">
        <v>1</v>
      </c>
      <c r="C9048">
        <v>44</v>
      </c>
      <c r="D9048">
        <v>44</v>
      </c>
    </row>
    <row r="9049" spans="1:4" ht="15" x14ac:dyDescent="0.25">
      <c r="A9049" t="s">
        <v>23813</v>
      </c>
      <c r="B9049">
        <v>2</v>
      </c>
      <c r="C9049">
        <v>73</v>
      </c>
      <c r="D9049">
        <v>36.5</v>
      </c>
    </row>
    <row r="9050" spans="1:4" ht="15" x14ac:dyDescent="0.25">
      <c r="A9050" t="s">
        <v>23816</v>
      </c>
      <c r="B9050">
        <v>1</v>
      </c>
      <c r="C9050">
        <v>40</v>
      </c>
      <c r="D9050">
        <v>40</v>
      </c>
    </row>
    <row r="9051" spans="1:4" ht="15" x14ac:dyDescent="0.25">
      <c r="A9051" t="s">
        <v>23817</v>
      </c>
      <c r="B9051">
        <v>1</v>
      </c>
      <c r="C9051">
        <v>40</v>
      </c>
      <c r="D9051">
        <v>40</v>
      </c>
    </row>
    <row r="9052" spans="1:4" ht="15" x14ac:dyDescent="0.25">
      <c r="A9052" t="s">
        <v>23823</v>
      </c>
      <c r="B9052">
        <v>2</v>
      </c>
      <c r="C9052">
        <v>259</v>
      </c>
      <c r="D9052">
        <v>129.5</v>
      </c>
    </row>
    <row r="9053" spans="1:4" ht="15" x14ac:dyDescent="0.25">
      <c r="A9053" t="s">
        <v>23824</v>
      </c>
      <c r="B9053">
        <v>1</v>
      </c>
      <c r="C9053">
        <v>165</v>
      </c>
      <c r="D9053">
        <v>165</v>
      </c>
    </row>
    <row r="9054" spans="1:4" ht="15" x14ac:dyDescent="0.25">
      <c r="A9054" t="s">
        <v>23828</v>
      </c>
      <c r="B9054">
        <v>1</v>
      </c>
      <c r="C9054">
        <v>42</v>
      </c>
      <c r="D9054">
        <v>42</v>
      </c>
    </row>
    <row r="9055" spans="1:4" ht="15" x14ac:dyDescent="0.25">
      <c r="A9055" t="s">
        <v>23832</v>
      </c>
      <c r="B9055">
        <v>1</v>
      </c>
      <c r="C9055">
        <v>9</v>
      </c>
      <c r="D9055">
        <v>9</v>
      </c>
    </row>
    <row r="9056" spans="1:4" ht="15" x14ac:dyDescent="0.25">
      <c r="A9056" t="s">
        <v>23834</v>
      </c>
      <c r="B9056">
        <v>1</v>
      </c>
      <c r="C9056">
        <v>9</v>
      </c>
      <c r="D9056">
        <v>9</v>
      </c>
    </row>
    <row r="9057" spans="1:4" ht="15" x14ac:dyDescent="0.25">
      <c r="A9057" t="s">
        <v>23835</v>
      </c>
      <c r="B9057">
        <v>1</v>
      </c>
      <c r="C9057">
        <v>9</v>
      </c>
      <c r="D9057">
        <v>9</v>
      </c>
    </row>
    <row r="9058" spans="1:4" ht="15" x14ac:dyDescent="0.25">
      <c r="A9058" t="s">
        <v>23833</v>
      </c>
      <c r="B9058">
        <v>1</v>
      </c>
      <c r="C9058">
        <v>9</v>
      </c>
      <c r="D9058">
        <v>9</v>
      </c>
    </row>
    <row r="9059" spans="1:4" ht="15" x14ac:dyDescent="0.25">
      <c r="A9059" t="s">
        <v>23845</v>
      </c>
      <c r="B9059">
        <v>1</v>
      </c>
      <c r="C9059">
        <v>41</v>
      </c>
      <c r="D9059">
        <v>41</v>
      </c>
    </row>
    <row r="9060" spans="1:4" ht="15" x14ac:dyDescent="0.25">
      <c r="A9060" t="s">
        <v>23846</v>
      </c>
      <c r="B9060">
        <v>2</v>
      </c>
      <c r="C9060">
        <v>85</v>
      </c>
      <c r="D9060">
        <v>42.5</v>
      </c>
    </row>
    <row r="9061" spans="1:4" ht="15" x14ac:dyDescent="0.25">
      <c r="A9061" t="s">
        <v>23847</v>
      </c>
      <c r="B9061">
        <v>1</v>
      </c>
      <c r="C9061">
        <v>41</v>
      </c>
      <c r="D9061">
        <v>41</v>
      </c>
    </row>
    <row r="9062" spans="1:4" ht="15" x14ac:dyDescent="0.25">
      <c r="A9062" t="s">
        <v>23852</v>
      </c>
      <c r="B9062">
        <v>1</v>
      </c>
      <c r="C9062">
        <v>23</v>
      </c>
      <c r="D9062">
        <v>23</v>
      </c>
    </row>
    <row r="9063" spans="1:4" ht="15" x14ac:dyDescent="0.25">
      <c r="A9063" t="s">
        <v>23851</v>
      </c>
      <c r="B9063">
        <v>1</v>
      </c>
      <c r="C9063">
        <v>23</v>
      </c>
      <c r="D9063">
        <v>23</v>
      </c>
    </row>
    <row r="9064" spans="1:4" ht="15" x14ac:dyDescent="0.25">
      <c r="A9064" t="s">
        <v>23855</v>
      </c>
      <c r="B9064">
        <v>3</v>
      </c>
      <c r="C9064">
        <v>104</v>
      </c>
      <c r="D9064">
        <v>34.666666666666664</v>
      </c>
    </row>
    <row r="9065" spans="1:4" ht="15" x14ac:dyDescent="0.25">
      <c r="A9065" t="s">
        <v>23859</v>
      </c>
      <c r="B9065">
        <v>1</v>
      </c>
      <c r="C9065">
        <v>66</v>
      </c>
      <c r="D9065">
        <v>66</v>
      </c>
    </row>
    <row r="9066" spans="1:4" ht="15" x14ac:dyDescent="0.25">
      <c r="A9066" t="s">
        <v>23860</v>
      </c>
      <c r="B9066">
        <v>3</v>
      </c>
      <c r="C9066">
        <v>123</v>
      </c>
      <c r="D9066">
        <v>41</v>
      </c>
    </row>
    <row r="9067" spans="1:4" ht="15" x14ac:dyDescent="0.25">
      <c r="A9067" t="s">
        <v>23866</v>
      </c>
      <c r="B9067">
        <v>2</v>
      </c>
      <c r="C9067">
        <v>114</v>
      </c>
      <c r="D9067">
        <v>57</v>
      </c>
    </row>
    <row r="9068" spans="1:4" ht="15" x14ac:dyDescent="0.25">
      <c r="A9068" t="s">
        <v>23865</v>
      </c>
      <c r="B9068">
        <v>1</v>
      </c>
      <c r="C9068">
        <v>74</v>
      </c>
      <c r="D9068">
        <v>74</v>
      </c>
    </row>
    <row r="9069" spans="1:4" ht="15" x14ac:dyDescent="0.25">
      <c r="A9069" t="s">
        <v>23873</v>
      </c>
      <c r="B9069">
        <v>1</v>
      </c>
      <c r="C9069">
        <v>60</v>
      </c>
      <c r="D9069">
        <v>60</v>
      </c>
    </row>
    <row r="9070" spans="1:4" ht="15" x14ac:dyDescent="0.25">
      <c r="A9070" t="s">
        <v>23877</v>
      </c>
      <c r="B9070">
        <v>1</v>
      </c>
      <c r="C9070">
        <v>22</v>
      </c>
      <c r="D9070">
        <v>22</v>
      </c>
    </row>
    <row r="9071" spans="1:4" ht="15" x14ac:dyDescent="0.25">
      <c r="A9071" t="s">
        <v>23881</v>
      </c>
      <c r="B9071">
        <v>1</v>
      </c>
      <c r="C9071">
        <v>37</v>
      </c>
      <c r="D9071">
        <v>37</v>
      </c>
    </row>
    <row r="9072" spans="1:4" ht="15" x14ac:dyDescent="0.25">
      <c r="A9072" t="s">
        <v>23883</v>
      </c>
      <c r="B9072">
        <v>2</v>
      </c>
      <c r="C9072">
        <v>113</v>
      </c>
      <c r="D9072">
        <v>56.5</v>
      </c>
    </row>
    <row r="9073" spans="1:4" ht="15" x14ac:dyDescent="0.25">
      <c r="A9073" t="s">
        <v>23884</v>
      </c>
      <c r="B9073">
        <v>1</v>
      </c>
      <c r="C9073">
        <v>37</v>
      </c>
      <c r="D9073">
        <v>37</v>
      </c>
    </row>
    <row r="9074" spans="1:4" ht="15" x14ac:dyDescent="0.25">
      <c r="A9074" t="s">
        <v>23882</v>
      </c>
      <c r="B9074">
        <v>1</v>
      </c>
      <c r="C9074">
        <v>37</v>
      </c>
      <c r="D9074">
        <v>37</v>
      </c>
    </row>
    <row r="9075" spans="1:4" ht="15" x14ac:dyDescent="0.25">
      <c r="A9075" t="s">
        <v>23887</v>
      </c>
      <c r="B9075">
        <v>1</v>
      </c>
      <c r="C9075">
        <v>32</v>
      </c>
      <c r="D9075">
        <v>32</v>
      </c>
    </row>
    <row r="9076" spans="1:4" ht="15" x14ac:dyDescent="0.25">
      <c r="A9076" t="s">
        <v>23891</v>
      </c>
      <c r="B9076">
        <v>1</v>
      </c>
      <c r="C9076">
        <v>4</v>
      </c>
      <c r="D9076">
        <v>4</v>
      </c>
    </row>
    <row r="9077" spans="1:4" ht="15" x14ac:dyDescent="0.25">
      <c r="A9077" t="s">
        <v>23892</v>
      </c>
      <c r="B9077">
        <v>1</v>
      </c>
      <c r="C9077">
        <v>4</v>
      </c>
      <c r="D9077">
        <v>4</v>
      </c>
    </row>
    <row r="9078" spans="1:4" ht="15" x14ac:dyDescent="0.25">
      <c r="A9078" t="s">
        <v>23894</v>
      </c>
      <c r="B9078">
        <v>1</v>
      </c>
      <c r="C9078">
        <v>4</v>
      </c>
      <c r="D9078">
        <v>4</v>
      </c>
    </row>
    <row r="9079" spans="1:4" ht="15" x14ac:dyDescent="0.25">
      <c r="A9079" t="s">
        <v>23895</v>
      </c>
      <c r="B9079">
        <v>1</v>
      </c>
      <c r="C9079">
        <v>4</v>
      </c>
      <c r="D9079">
        <v>4</v>
      </c>
    </row>
    <row r="9080" spans="1:4" ht="15" x14ac:dyDescent="0.25">
      <c r="A9080" t="s">
        <v>23893</v>
      </c>
      <c r="B9080">
        <v>1</v>
      </c>
      <c r="C9080">
        <v>4</v>
      </c>
      <c r="D9080">
        <v>4</v>
      </c>
    </row>
    <row r="9081" spans="1:4" ht="15" x14ac:dyDescent="0.25">
      <c r="A9081" t="s">
        <v>23902</v>
      </c>
      <c r="B9081">
        <v>1</v>
      </c>
      <c r="C9081">
        <v>13</v>
      </c>
      <c r="D9081">
        <v>13</v>
      </c>
    </row>
    <row r="9082" spans="1:4" ht="15" x14ac:dyDescent="0.25">
      <c r="A9082" t="s">
        <v>23901</v>
      </c>
      <c r="B9082">
        <v>1</v>
      </c>
      <c r="C9082">
        <v>13</v>
      </c>
      <c r="D9082">
        <v>13</v>
      </c>
    </row>
    <row r="9083" spans="1:4" ht="15" x14ac:dyDescent="0.25">
      <c r="A9083" t="s">
        <v>23905</v>
      </c>
      <c r="B9083">
        <v>1</v>
      </c>
      <c r="C9083">
        <v>15</v>
      </c>
      <c r="D9083">
        <v>15</v>
      </c>
    </row>
    <row r="9084" spans="1:4" ht="15" x14ac:dyDescent="0.25">
      <c r="A9084" t="s">
        <v>23906</v>
      </c>
      <c r="B9084">
        <v>1</v>
      </c>
      <c r="C9084">
        <v>15</v>
      </c>
      <c r="D9084">
        <v>15</v>
      </c>
    </row>
    <row r="9085" spans="1:4" ht="15" x14ac:dyDescent="0.25">
      <c r="A9085" t="s">
        <v>23908</v>
      </c>
      <c r="B9085">
        <v>1</v>
      </c>
      <c r="C9085">
        <v>15</v>
      </c>
      <c r="D9085">
        <v>15</v>
      </c>
    </row>
    <row r="9086" spans="1:4" ht="15" x14ac:dyDescent="0.25">
      <c r="A9086" t="s">
        <v>23909</v>
      </c>
      <c r="B9086">
        <v>1</v>
      </c>
      <c r="C9086">
        <v>15</v>
      </c>
      <c r="D9086">
        <v>15</v>
      </c>
    </row>
    <row r="9087" spans="1:4" ht="15" x14ac:dyDescent="0.25">
      <c r="A9087" t="s">
        <v>23907</v>
      </c>
      <c r="B9087">
        <v>1</v>
      </c>
      <c r="C9087">
        <v>15</v>
      </c>
      <c r="D9087">
        <v>15</v>
      </c>
    </row>
    <row r="9088" spans="1:4" ht="15" x14ac:dyDescent="0.25">
      <c r="A9088" t="s">
        <v>23913</v>
      </c>
      <c r="B9088">
        <v>1</v>
      </c>
      <c r="C9088">
        <v>48</v>
      </c>
      <c r="D9088">
        <v>48</v>
      </c>
    </row>
    <row r="9089" spans="1:4" ht="15" x14ac:dyDescent="0.25">
      <c r="A9089" t="s">
        <v>23912</v>
      </c>
      <c r="B9089">
        <v>1</v>
      </c>
      <c r="C9089">
        <v>48</v>
      </c>
      <c r="D9089">
        <v>48</v>
      </c>
    </row>
    <row r="9090" spans="1:4" ht="15" x14ac:dyDescent="0.25">
      <c r="A9090" t="s">
        <v>23921</v>
      </c>
      <c r="B9090">
        <v>1</v>
      </c>
      <c r="C9090">
        <v>34</v>
      </c>
      <c r="D9090">
        <v>34</v>
      </c>
    </row>
    <row r="9091" spans="1:4" ht="15" x14ac:dyDescent="0.25">
      <c r="A9091" t="s">
        <v>23923</v>
      </c>
      <c r="B9091">
        <v>1</v>
      </c>
      <c r="C9091">
        <v>34</v>
      </c>
      <c r="D9091">
        <v>34</v>
      </c>
    </row>
    <row r="9092" spans="1:4" ht="15" x14ac:dyDescent="0.25">
      <c r="A9092" t="s">
        <v>23922</v>
      </c>
      <c r="B9092">
        <v>1</v>
      </c>
      <c r="C9092">
        <v>34</v>
      </c>
      <c r="D9092">
        <v>34</v>
      </c>
    </row>
    <row r="9093" spans="1:4" ht="15" x14ac:dyDescent="0.25">
      <c r="A9093" t="s">
        <v>23933</v>
      </c>
      <c r="B9093">
        <v>2</v>
      </c>
      <c r="C9093">
        <v>159</v>
      </c>
      <c r="D9093">
        <v>79.5</v>
      </c>
    </row>
    <row r="9094" spans="1:4" ht="15" x14ac:dyDescent="0.25">
      <c r="A9094" t="s">
        <v>23932</v>
      </c>
      <c r="B9094">
        <v>1</v>
      </c>
      <c r="C9094">
        <v>27</v>
      </c>
      <c r="D9094">
        <v>27</v>
      </c>
    </row>
    <row r="9095" spans="1:4" ht="15" x14ac:dyDescent="0.25">
      <c r="A9095" t="s">
        <v>14021</v>
      </c>
      <c r="B9095">
        <v>1</v>
      </c>
      <c r="C9095">
        <v>31</v>
      </c>
      <c r="D9095">
        <v>31</v>
      </c>
    </row>
    <row r="9096" spans="1:4" ht="15" x14ac:dyDescent="0.25">
      <c r="A9096" t="s">
        <v>23939</v>
      </c>
      <c r="B9096">
        <v>1</v>
      </c>
      <c r="C9096">
        <v>31</v>
      </c>
      <c r="D9096">
        <v>31</v>
      </c>
    </row>
    <row r="9097" spans="1:4" ht="15" x14ac:dyDescent="0.25">
      <c r="A9097" t="s">
        <v>23943</v>
      </c>
      <c r="B9097">
        <v>1</v>
      </c>
      <c r="C9097">
        <v>18</v>
      </c>
      <c r="D9097">
        <v>18</v>
      </c>
    </row>
    <row r="9098" spans="1:4" ht="15" x14ac:dyDescent="0.25">
      <c r="A9098" t="s">
        <v>23944</v>
      </c>
      <c r="B9098">
        <v>1</v>
      </c>
      <c r="C9098">
        <v>18</v>
      </c>
      <c r="D9098">
        <v>18</v>
      </c>
    </row>
    <row r="9099" spans="1:4" ht="15" x14ac:dyDescent="0.25">
      <c r="A9099" t="s">
        <v>23946</v>
      </c>
      <c r="B9099">
        <v>1</v>
      </c>
      <c r="C9099">
        <v>18</v>
      </c>
      <c r="D9099">
        <v>18</v>
      </c>
    </row>
    <row r="9100" spans="1:4" ht="15" x14ac:dyDescent="0.25">
      <c r="A9100" t="s">
        <v>23947</v>
      </c>
      <c r="B9100">
        <v>1</v>
      </c>
      <c r="C9100">
        <v>18</v>
      </c>
      <c r="D9100">
        <v>18</v>
      </c>
    </row>
    <row r="9101" spans="1:4" ht="15" x14ac:dyDescent="0.25">
      <c r="A9101" t="s">
        <v>23945</v>
      </c>
      <c r="B9101">
        <v>1</v>
      </c>
      <c r="C9101">
        <v>18</v>
      </c>
      <c r="D9101">
        <v>18</v>
      </c>
    </row>
    <row r="9102" spans="1:4" ht="15" x14ac:dyDescent="0.25">
      <c r="A9102" t="s">
        <v>23951</v>
      </c>
      <c r="B9102">
        <v>1</v>
      </c>
      <c r="C9102">
        <v>19</v>
      </c>
      <c r="D9102">
        <v>19</v>
      </c>
    </row>
    <row r="9103" spans="1:4" ht="15" x14ac:dyDescent="0.25">
      <c r="A9103" t="s">
        <v>23952</v>
      </c>
      <c r="B9103">
        <v>1</v>
      </c>
      <c r="C9103">
        <v>19</v>
      </c>
      <c r="D9103">
        <v>19</v>
      </c>
    </row>
    <row r="9104" spans="1:4" ht="15" x14ac:dyDescent="0.25">
      <c r="A9104" t="s">
        <v>23956</v>
      </c>
      <c r="B9104">
        <v>1</v>
      </c>
      <c r="C9104">
        <v>11</v>
      </c>
      <c r="D9104">
        <v>11</v>
      </c>
    </row>
    <row r="9105" spans="1:4" ht="15" x14ac:dyDescent="0.25">
      <c r="A9105" t="s">
        <v>23957</v>
      </c>
      <c r="B9105">
        <v>1</v>
      </c>
      <c r="C9105">
        <v>11</v>
      </c>
      <c r="D9105">
        <v>11</v>
      </c>
    </row>
    <row r="9106" spans="1:4" ht="15" x14ac:dyDescent="0.25">
      <c r="A9106" t="s">
        <v>23958</v>
      </c>
      <c r="B9106">
        <v>1</v>
      </c>
      <c r="C9106">
        <v>11</v>
      </c>
      <c r="D9106">
        <v>11</v>
      </c>
    </row>
    <row r="9107" spans="1:4" ht="15" x14ac:dyDescent="0.25">
      <c r="A9107" t="s">
        <v>23962</v>
      </c>
      <c r="B9107">
        <v>1</v>
      </c>
      <c r="C9107">
        <v>56</v>
      </c>
      <c r="D9107">
        <v>56</v>
      </c>
    </row>
    <row r="9108" spans="1:4" ht="15" x14ac:dyDescent="0.25">
      <c r="A9108" t="s">
        <v>23966</v>
      </c>
      <c r="B9108">
        <v>1</v>
      </c>
      <c r="C9108">
        <v>87</v>
      </c>
      <c r="D9108">
        <v>87</v>
      </c>
    </row>
    <row r="9109" spans="1:4" ht="15" x14ac:dyDescent="0.25">
      <c r="A9109" t="s">
        <v>23969</v>
      </c>
      <c r="B9109">
        <v>2</v>
      </c>
      <c r="C9109">
        <v>121</v>
      </c>
      <c r="D9109">
        <v>60.5</v>
      </c>
    </row>
    <row r="9110" spans="1:4" ht="15" x14ac:dyDescent="0.25">
      <c r="A9110" t="s">
        <v>23975</v>
      </c>
      <c r="B9110">
        <v>1</v>
      </c>
      <c r="C9110">
        <v>55</v>
      </c>
      <c r="D9110">
        <v>55</v>
      </c>
    </row>
    <row r="9111" spans="1:4" ht="15" x14ac:dyDescent="0.25">
      <c r="A9111" t="s">
        <v>23976</v>
      </c>
      <c r="B9111">
        <v>1</v>
      </c>
      <c r="C9111">
        <v>55</v>
      </c>
      <c r="D9111">
        <v>55</v>
      </c>
    </row>
    <row r="9112" spans="1:4" ht="15" x14ac:dyDescent="0.25">
      <c r="A9112" t="s">
        <v>23979</v>
      </c>
      <c r="B9112">
        <v>1</v>
      </c>
      <c r="C9112">
        <v>66</v>
      </c>
      <c r="D9112">
        <v>66</v>
      </c>
    </row>
    <row r="9113" spans="1:4" ht="15" x14ac:dyDescent="0.25">
      <c r="A9113" t="s">
        <v>23980</v>
      </c>
      <c r="B9113">
        <v>1</v>
      </c>
      <c r="C9113">
        <v>66</v>
      </c>
      <c r="D9113">
        <v>66</v>
      </c>
    </row>
    <row r="9114" spans="1:4" ht="15" x14ac:dyDescent="0.25">
      <c r="A9114" t="s">
        <v>23985</v>
      </c>
      <c r="B9114">
        <v>1</v>
      </c>
      <c r="C9114">
        <v>100</v>
      </c>
      <c r="D9114">
        <v>100</v>
      </c>
    </row>
    <row r="9115" spans="1:4" ht="15" x14ac:dyDescent="0.25">
      <c r="A9115" t="s">
        <v>23986</v>
      </c>
      <c r="B9115">
        <v>1</v>
      </c>
      <c r="C9115">
        <v>100</v>
      </c>
      <c r="D9115">
        <v>100</v>
      </c>
    </row>
    <row r="9116" spans="1:4" ht="15" x14ac:dyDescent="0.25">
      <c r="A9116" t="s">
        <v>23987</v>
      </c>
      <c r="B9116">
        <v>1</v>
      </c>
      <c r="C9116">
        <v>100</v>
      </c>
      <c r="D9116">
        <v>100</v>
      </c>
    </row>
    <row r="9117" spans="1:4" ht="15" x14ac:dyDescent="0.25">
      <c r="A9117" t="s">
        <v>23992</v>
      </c>
      <c r="B9117">
        <v>1</v>
      </c>
      <c r="C9117">
        <v>66</v>
      </c>
      <c r="D9117">
        <v>66</v>
      </c>
    </row>
    <row r="9118" spans="1:4" ht="15" x14ac:dyDescent="0.25">
      <c r="A9118" t="s">
        <v>23993</v>
      </c>
      <c r="B9118">
        <v>1</v>
      </c>
      <c r="C9118">
        <v>66</v>
      </c>
      <c r="D9118">
        <v>66</v>
      </c>
    </row>
    <row r="9119" spans="1:4" ht="15" x14ac:dyDescent="0.25">
      <c r="A9119" t="s">
        <v>24001</v>
      </c>
      <c r="B9119">
        <v>1</v>
      </c>
      <c r="C9119">
        <v>71</v>
      </c>
      <c r="D9119">
        <v>71</v>
      </c>
    </row>
    <row r="9120" spans="1:4" ht="15" x14ac:dyDescent="0.25">
      <c r="A9120" t="s">
        <v>24000</v>
      </c>
      <c r="B9120">
        <v>1</v>
      </c>
      <c r="C9120">
        <v>71</v>
      </c>
      <c r="D9120">
        <v>71</v>
      </c>
    </row>
    <row r="9121" spans="1:4" ht="15" x14ac:dyDescent="0.25">
      <c r="A9121" t="s">
        <v>24005</v>
      </c>
      <c r="B9121">
        <v>2</v>
      </c>
      <c r="C9121">
        <v>71</v>
      </c>
      <c r="D9121">
        <v>35.5</v>
      </c>
    </row>
    <row r="9122" spans="1:4" ht="15" x14ac:dyDescent="0.25">
      <c r="A9122" t="s">
        <v>24007</v>
      </c>
      <c r="B9122">
        <v>1</v>
      </c>
      <c r="C9122">
        <v>26</v>
      </c>
      <c r="D9122">
        <v>26</v>
      </c>
    </row>
    <row r="9123" spans="1:4" ht="15" x14ac:dyDescent="0.25">
      <c r="A9123" t="s">
        <v>24006</v>
      </c>
      <c r="B9123">
        <v>1</v>
      </c>
      <c r="C9123">
        <v>26</v>
      </c>
      <c r="D9123">
        <v>26</v>
      </c>
    </row>
    <row r="9124" spans="1:4" ht="15" x14ac:dyDescent="0.25">
      <c r="A9124" t="s">
        <v>24011</v>
      </c>
      <c r="B9124">
        <v>1</v>
      </c>
      <c r="C9124">
        <v>37</v>
      </c>
      <c r="D9124">
        <v>37</v>
      </c>
    </row>
    <row r="9125" spans="1:4" ht="15" x14ac:dyDescent="0.25">
      <c r="A9125" t="s">
        <v>24012</v>
      </c>
      <c r="B9125">
        <v>1</v>
      </c>
      <c r="C9125">
        <v>37</v>
      </c>
      <c r="D9125">
        <v>37</v>
      </c>
    </row>
    <row r="9126" spans="1:4" ht="15" x14ac:dyDescent="0.25">
      <c r="A9126" t="s">
        <v>24013</v>
      </c>
      <c r="B9126">
        <v>1</v>
      </c>
      <c r="C9126">
        <v>37</v>
      </c>
      <c r="D9126">
        <v>37</v>
      </c>
    </row>
    <row r="9127" spans="1:4" ht="15" x14ac:dyDescent="0.25">
      <c r="A9127" t="s">
        <v>24018</v>
      </c>
      <c r="B9127">
        <v>1</v>
      </c>
      <c r="C9127">
        <v>29</v>
      </c>
      <c r="D9127">
        <v>29</v>
      </c>
    </row>
    <row r="9128" spans="1:4" ht="15" x14ac:dyDescent="0.25">
      <c r="A9128" t="s">
        <v>24022</v>
      </c>
      <c r="B9128">
        <v>1</v>
      </c>
      <c r="C9128">
        <v>6</v>
      </c>
      <c r="D9128">
        <v>6</v>
      </c>
    </row>
    <row r="9129" spans="1:4" ht="15" x14ac:dyDescent="0.25">
      <c r="A9129" t="s">
        <v>24026</v>
      </c>
      <c r="B9129">
        <v>1</v>
      </c>
      <c r="C9129">
        <v>79</v>
      </c>
      <c r="D9129">
        <v>79</v>
      </c>
    </row>
    <row r="9130" spans="1:4" ht="15" x14ac:dyDescent="0.25">
      <c r="A9130" t="s">
        <v>24027</v>
      </c>
      <c r="B9130">
        <v>1</v>
      </c>
      <c r="C9130">
        <v>79</v>
      </c>
      <c r="D9130">
        <v>79</v>
      </c>
    </row>
    <row r="9131" spans="1:4" ht="15" x14ac:dyDescent="0.25">
      <c r="A9131" t="s">
        <v>24032</v>
      </c>
      <c r="B9131">
        <v>3</v>
      </c>
      <c r="C9131">
        <v>58</v>
      </c>
      <c r="D9131">
        <v>19.333333333333332</v>
      </c>
    </row>
    <row r="9132" spans="1:4" ht="15" x14ac:dyDescent="0.25">
      <c r="A9132" t="s">
        <v>24033</v>
      </c>
      <c r="B9132">
        <v>1</v>
      </c>
      <c r="C9132">
        <v>14</v>
      </c>
      <c r="D9132">
        <v>14</v>
      </c>
    </row>
    <row r="9133" spans="1:4" ht="15" x14ac:dyDescent="0.25">
      <c r="A9133" t="s">
        <v>24037</v>
      </c>
      <c r="B9133">
        <v>1</v>
      </c>
      <c r="C9133">
        <v>13</v>
      </c>
      <c r="D9133">
        <v>13</v>
      </c>
    </row>
    <row r="9134" spans="1:4" ht="15" x14ac:dyDescent="0.25">
      <c r="A9134" t="s">
        <v>24045</v>
      </c>
      <c r="B9134">
        <v>1</v>
      </c>
      <c r="C9134">
        <v>47</v>
      </c>
      <c r="D9134">
        <v>47</v>
      </c>
    </row>
    <row r="9135" spans="1:4" ht="15" x14ac:dyDescent="0.25">
      <c r="A9135" t="s">
        <v>24046</v>
      </c>
      <c r="B9135">
        <v>1</v>
      </c>
      <c r="C9135">
        <v>47</v>
      </c>
      <c r="D9135">
        <v>47</v>
      </c>
    </row>
    <row r="9136" spans="1:4" ht="15" x14ac:dyDescent="0.25">
      <c r="A9136" t="s">
        <v>24048</v>
      </c>
      <c r="B9136">
        <v>1</v>
      </c>
      <c r="C9136">
        <v>47</v>
      </c>
      <c r="D9136">
        <v>47</v>
      </c>
    </row>
    <row r="9137" spans="1:4" ht="15" x14ac:dyDescent="0.25">
      <c r="A9137" t="s">
        <v>24049</v>
      </c>
      <c r="B9137">
        <v>1</v>
      </c>
      <c r="C9137">
        <v>47</v>
      </c>
      <c r="D9137">
        <v>47</v>
      </c>
    </row>
    <row r="9138" spans="1:4" ht="15" x14ac:dyDescent="0.25">
      <c r="A9138" t="s">
        <v>24047</v>
      </c>
      <c r="B9138">
        <v>1</v>
      </c>
      <c r="C9138">
        <v>47</v>
      </c>
      <c r="D9138">
        <v>47</v>
      </c>
    </row>
    <row r="9139" spans="1:4" ht="15" x14ac:dyDescent="0.25">
      <c r="A9139" t="s">
        <v>24052</v>
      </c>
      <c r="B9139">
        <v>1</v>
      </c>
      <c r="C9139">
        <v>59</v>
      </c>
      <c r="D9139">
        <v>59</v>
      </c>
    </row>
    <row r="9140" spans="1:4" ht="15" x14ac:dyDescent="0.25">
      <c r="A9140" t="s">
        <v>24056</v>
      </c>
      <c r="B9140">
        <v>1</v>
      </c>
      <c r="C9140">
        <v>19</v>
      </c>
      <c r="D9140">
        <v>19</v>
      </c>
    </row>
    <row r="9141" spans="1:4" ht="15" x14ac:dyDescent="0.25">
      <c r="A9141" t="s">
        <v>24060</v>
      </c>
      <c r="B9141">
        <v>1</v>
      </c>
      <c r="C9141">
        <v>48</v>
      </c>
      <c r="D9141">
        <v>48</v>
      </c>
    </row>
    <row r="9142" spans="1:4" ht="15" x14ac:dyDescent="0.25">
      <c r="A9142" t="s">
        <v>24062</v>
      </c>
      <c r="B9142">
        <v>1</v>
      </c>
      <c r="C9142">
        <v>48</v>
      </c>
      <c r="D9142">
        <v>48</v>
      </c>
    </row>
    <row r="9143" spans="1:4" ht="15" x14ac:dyDescent="0.25">
      <c r="A9143" t="s">
        <v>24061</v>
      </c>
      <c r="B9143">
        <v>1</v>
      </c>
      <c r="C9143">
        <v>48</v>
      </c>
      <c r="D9143">
        <v>48</v>
      </c>
    </row>
    <row r="9144" spans="1:4" ht="15" x14ac:dyDescent="0.25">
      <c r="A9144" t="s">
        <v>24067</v>
      </c>
      <c r="B9144">
        <v>1</v>
      </c>
      <c r="C9144">
        <v>37</v>
      </c>
      <c r="D9144">
        <v>37</v>
      </c>
    </row>
    <row r="9145" spans="1:4" ht="15" x14ac:dyDescent="0.25">
      <c r="A9145" t="s">
        <v>24071</v>
      </c>
      <c r="B9145">
        <v>1</v>
      </c>
      <c r="C9145">
        <v>12</v>
      </c>
      <c r="D9145">
        <v>12</v>
      </c>
    </row>
    <row r="9146" spans="1:4" ht="15" x14ac:dyDescent="0.25">
      <c r="A9146" t="s">
        <v>24077</v>
      </c>
      <c r="B9146">
        <v>1</v>
      </c>
      <c r="C9146">
        <v>105</v>
      </c>
      <c r="D9146">
        <v>105</v>
      </c>
    </row>
    <row r="9147" spans="1:4" ht="15" x14ac:dyDescent="0.25">
      <c r="A9147" t="s">
        <v>24080</v>
      </c>
      <c r="B9147">
        <v>1</v>
      </c>
      <c r="C9147">
        <v>52</v>
      </c>
      <c r="D9147">
        <v>52</v>
      </c>
    </row>
    <row r="9148" spans="1:4" ht="15" x14ac:dyDescent="0.25">
      <c r="A9148" t="s">
        <v>24081</v>
      </c>
      <c r="B9148">
        <v>1</v>
      </c>
      <c r="C9148">
        <v>52</v>
      </c>
      <c r="D9148">
        <v>52</v>
      </c>
    </row>
    <row r="9149" spans="1:4" ht="15" x14ac:dyDescent="0.25">
      <c r="A9149" t="s">
        <v>24085</v>
      </c>
      <c r="B9149">
        <v>1</v>
      </c>
      <c r="C9149">
        <v>35</v>
      </c>
      <c r="D9149">
        <v>35</v>
      </c>
    </row>
    <row r="9150" spans="1:4" ht="15" x14ac:dyDescent="0.25">
      <c r="A9150" t="s">
        <v>24086</v>
      </c>
      <c r="B9150">
        <v>1</v>
      </c>
      <c r="C9150">
        <v>35</v>
      </c>
      <c r="D9150">
        <v>35</v>
      </c>
    </row>
    <row r="9151" spans="1:4" ht="15" x14ac:dyDescent="0.25">
      <c r="A9151" t="s">
        <v>24087</v>
      </c>
      <c r="B9151">
        <v>1</v>
      </c>
      <c r="C9151">
        <v>35</v>
      </c>
      <c r="D9151">
        <v>35</v>
      </c>
    </row>
    <row r="9152" spans="1:4" ht="15" x14ac:dyDescent="0.25">
      <c r="A9152" t="s">
        <v>24103</v>
      </c>
      <c r="B9152">
        <v>1</v>
      </c>
      <c r="C9152">
        <v>9</v>
      </c>
      <c r="D9152">
        <v>9</v>
      </c>
    </row>
    <row r="9153" spans="1:4" ht="15" x14ac:dyDescent="0.25">
      <c r="A9153" t="s">
        <v>24105</v>
      </c>
      <c r="B9153">
        <v>1</v>
      </c>
      <c r="C9153">
        <v>9</v>
      </c>
      <c r="D9153">
        <v>9</v>
      </c>
    </row>
    <row r="9154" spans="1:4" ht="15" x14ac:dyDescent="0.25">
      <c r="A9154" t="s">
        <v>24104</v>
      </c>
      <c r="B9154">
        <v>1</v>
      </c>
      <c r="C9154">
        <v>9</v>
      </c>
      <c r="D9154">
        <v>9</v>
      </c>
    </row>
    <row r="9155" spans="1:4" ht="15" x14ac:dyDescent="0.25">
      <c r="A9155" t="s">
        <v>24110</v>
      </c>
      <c r="B9155">
        <v>1</v>
      </c>
      <c r="C9155">
        <v>21</v>
      </c>
      <c r="D9155">
        <v>21</v>
      </c>
    </row>
    <row r="9156" spans="1:4" ht="15" x14ac:dyDescent="0.25">
      <c r="A9156" t="s">
        <v>24114</v>
      </c>
      <c r="B9156">
        <v>1</v>
      </c>
      <c r="C9156">
        <v>10</v>
      </c>
      <c r="D9156">
        <v>10</v>
      </c>
    </row>
    <row r="9157" spans="1:4" ht="15" x14ac:dyDescent="0.25">
      <c r="A9157" t="s">
        <v>24121</v>
      </c>
      <c r="B9157">
        <v>1</v>
      </c>
      <c r="C9157">
        <v>25</v>
      </c>
      <c r="D9157">
        <v>25</v>
      </c>
    </row>
    <row r="9158" spans="1:4" ht="15" x14ac:dyDescent="0.25">
      <c r="A9158" t="s">
        <v>24122</v>
      </c>
      <c r="B9158">
        <v>1</v>
      </c>
      <c r="C9158">
        <v>25</v>
      </c>
      <c r="D9158">
        <v>25</v>
      </c>
    </row>
    <row r="9159" spans="1:4" ht="15" x14ac:dyDescent="0.25">
      <c r="A9159" t="s">
        <v>24124</v>
      </c>
      <c r="B9159">
        <v>1</v>
      </c>
      <c r="C9159">
        <v>25</v>
      </c>
      <c r="D9159">
        <v>25</v>
      </c>
    </row>
    <row r="9160" spans="1:4" ht="15" x14ac:dyDescent="0.25">
      <c r="A9160" t="s">
        <v>24123</v>
      </c>
      <c r="B9160">
        <v>1</v>
      </c>
      <c r="C9160">
        <v>25</v>
      </c>
      <c r="D9160">
        <v>25</v>
      </c>
    </row>
    <row r="9161" spans="1:4" ht="15" x14ac:dyDescent="0.25">
      <c r="A9161" t="s">
        <v>24132</v>
      </c>
      <c r="B9161">
        <v>1</v>
      </c>
      <c r="C9161">
        <v>11</v>
      </c>
      <c r="D9161">
        <v>11</v>
      </c>
    </row>
    <row r="9162" spans="1:4" ht="15" x14ac:dyDescent="0.25">
      <c r="A9162" t="s">
        <v>24135</v>
      </c>
      <c r="B9162">
        <v>1</v>
      </c>
      <c r="C9162">
        <v>1993</v>
      </c>
      <c r="D9162">
        <v>1993</v>
      </c>
    </row>
    <row r="9163" spans="1:4" ht="15" x14ac:dyDescent="0.25">
      <c r="A9163" t="s">
        <v>24136</v>
      </c>
      <c r="B9163">
        <v>1</v>
      </c>
      <c r="C9163">
        <v>1993</v>
      </c>
      <c r="D9163">
        <v>1993</v>
      </c>
    </row>
    <row r="9164" spans="1:4" ht="15" x14ac:dyDescent="0.25">
      <c r="A9164" t="s">
        <v>24140</v>
      </c>
      <c r="B9164">
        <v>1</v>
      </c>
      <c r="C9164">
        <v>27</v>
      </c>
      <c r="D9164">
        <v>27</v>
      </c>
    </row>
    <row r="9165" spans="1:4" ht="15" x14ac:dyDescent="0.25">
      <c r="A9165" t="s">
        <v>24141</v>
      </c>
      <c r="B9165">
        <v>1</v>
      </c>
      <c r="C9165">
        <v>27</v>
      </c>
      <c r="D9165">
        <v>27</v>
      </c>
    </row>
    <row r="9166" spans="1:4" ht="15" x14ac:dyDescent="0.25">
      <c r="A9166" t="s">
        <v>24145</v>
      </c>
      <c r="B9166">
        <v>1</v>
      </c>
      <c r="C9166">
        <v>56</v>
      </c>
      <c r="D9166">
        <v>56</v>
      </c>
    </row>
    <row r="9167" spans="1:4" ht="15" x14ac:dyDescent="0.25">
      <c r="A9167" t="s">
        <v>24146</v>
      </c>
      <c r="B9167">
        <v>1</v>
      </c>
      <c r="C9167">
        <v>56</v>
      </c>
      <c r="D9167">
        <v>56</v>
      </c>
    </row>
    <row r="9168" spans="1:4" ht="15" x14ac:dyDescent="0.25">
      <c r="A9168" t="s">
        <v>24148</v>
      </c>
      <c r="B9168">
        <v>1</v>
      </c>
      <c r="C9168">
        <v>56</v>
      </c>
      <c r="D9168">
        <v>56</v>
      </c>
    </row>
    <row r="9169" spans="1:4" ht="15" x14ac:dyDescent="0.25">
      <c r="A9169" t="s">
        <v>24147</v>
      </c>
      <c r="B9169">
        <v>1</v>
      </c>
      <c r="C9169">
        <v>56</v>
      </c>
      <c r="D9169">
        <v>56</v>
      </c>
    </row>
    <row r="9170" spans="1:4" ht="15" x14ac:dyDescent="0.25">
      <c r="A9170" t="s">
        <v>24155</v>
      </c>
      <c r="B9170">
        <v>1</v>
      </c>
      <c r="C9170">
        <v>23</v>
      </c>
      <c r="D9170">
        <v>23</v>
      </c>
    </row>
    <row r="9171" spans="1:4" ht="15" x14ac:dyDescent="0.25">
      <c r="A9171" t="s">
        <v>24161</v>
      </c>
      <c r="B9171">
        <v>1</v>
      </c>
      <c r="C9171">
        <v>3</v>
      </c>
      <c r="D9171">
        <v>3</v>
      </c>
    </row>
    <row r="9172" spans="1:4" ht="15" x14ac:dyDescent="0.25">
      <c r="A9172" t="s">
        <v>24167</v>
      </c>
      <c r="B9172">
        <v>1</v>
      </c>
      <c r="C9172">
        <v>39</v>
      </c>
      <c r="D9172">
        <v>39</v>
      </c>
    </row>
    <row r="9173" spans="1:4" ht="15" x14ac:dyDescent="0.25">
      <c r="A9173" t="s">
        <v>24171</v>
      </c>
      <c r="B9173">
        <v>1</v>
      </c>
      <c r="C9173">
        <v>13</v>
      </c>
      <c r="D9173">
        <v>13</v>
      </c>
    </row>
    <row r="9174" spans="1:4" ht="15" x14ac:dyDescent="0.25">
      <c r="A9174" t="s">
        <v>24172</v>
      </c>
      <c r="B9174">
        <v>1</v>
      </c>
      <c r="C9174">
        <v>13</v>
      </c>
      <c r="D9174">
        <v>13</v>
      </c>
    </row>
    <row r="9175" spans="1:4" ht="15" x14ac:dyDescent="0.25">
      <c r="A9175" t="s">
        <v>24177</v>
      </c>
      <c r="B9175">
        <v>1</v>
      </c>
      <c r="C9175">
        <v>142</v>
      </c>
      <c r="D9175">
        <v>142</v>
      </c>
    </row>
    <row r="9176" spans="1:4" ht="15" x14ac:dyDescent="0.25">
      <c r="A9176" t="s">
        <v>24178</v>
      </c>
      <c r="B9176">
        <v>1</v>
      </c>
      <c r="C9176">
        <v>142</v>
      </c>
      <c r="D9176">
        <v>142</v>
      </c>
    </row>
    <row r="9177" spans="1:4" ht="15" x14ac:dyDescent="0.25">
      <c r="A9177" t="s">
        <v>24182</v>
      </c>
      <c r="B9177">
        <v>1</v>
      </c>
      <c r="C9177">
        <v>40</v>
      </c>
      <c r="D9177">
        <v>40</v>
      </c>
    </row>
    <row r="9178" spans="1:4" ht="15" x14ac:dyDescent="0.25">
      <c r="A9178" t="s">
        <v>24183</v>
      </c>
      <c r="B9178">
        <v>1</v>
      </c>
      <c r="C9178">
        <v>40</v>
      </c>
      <c r="D9178">
        <v>40</v>
      </c>
    </row>
    <row r="9179" spans="1:4" ht="15" x14ac:dyDescent="0.25">
      <c r="A9179" t="s">
        <v>24185</v>
      </c>
      <c r="B9179">
        <v>1</v>
      </c>
      <c r="C9179">
        <v>40</v>
      </c>
      <c r="D9179">
        <v>40</v>
      </c>
    </row>
    <row r="9180" spans="1:4" ht="15" x14ac:dyDescent="0.25">
      <c r="A9180" t="s">
        <v>24186</v>
      </c>
      <c r="B9180">
        <v>1</v>
      </c>
      <c r="C9180">
        <v>40</v>
      </c>
      <c r="D9180">
        <v>40</v>
      </c>
    </row>
    <row r="9181" spans="1:4" ht="15" x14ac:dyDescent="0.25">
      <c r="A9181" t="s">
        <v>24184</v>
      </c>
      <c r="B9181">
        <v>1</v>
      </c>
      <c r="C9181">
        <v>40</v>
      </c>
      <c r="D9181">
        <v>40</v>
      </c>
    </row>
    <row r="9182" spans="1:4" ht="15" x14ac:dyDescent="0.25">
      <c r="A9182" t="s">
        <v>24190</v>
      </c>
      <c r="B9182">
        <v>1</v>
      </c>
      <c r="C9182">
        <v>42</v>
      </c>
      <c r="D9182">
        <v>42</v>
      </c>
    </row>
    <row r="9183" spans="1:4" ht="15" x14ac:dyDescent="0.25">
      <c r="A9183" t="s">
        <v>24193</v>
      </c>
      <c r="B9183">
        <v>2</v>
      </c>
      <c r="C9183">
        <v>84</v>
      </c>
      <c r="D9183">
        <v>42</v>
      </c>
    </row>
    <row r="9184" spans="1:4" ht="15" x14ac:dyDescent="0.25">
      <c r="A9184" t="s">
        <v>24194</v>
      </c>
      <c r="B9184">
        <v>1</v>
      </c>
      <c r="C9184">
        <v>43</v>
      </c>
      <c r="D9184">
        <v>43</v>
      </c>
    </row>
    <row r="9185" spans="1:4" ht="15" x14ac:dyDescent="0.25">
      <c r="A9185" t="s">
        <v>24198</v>
      </c>
      <c r="B9185">
        <v>1</v>
      </c>
      <c r="C9185">
        <v>72</v>
      </c>
      <c r="D9185">
        <v>72</v>
      </c>
    </row>
    <row r="9186" spans="1:4" ht="15" x14ac:dyDescent="0.25">
      <c r="A9186" t="s">
        <v>24199</v>
      </c>
      <c r="B9186">
        <v>1</v>
      </c>
      <c r="C9186">
        <v>72</v>
      </c>
      <c r="D9186">
        <v>72</v>
      </c>
    </row>
    <row r="9187" spans="1:4" ht="15" x14ac:dyDescent="0.25">
      <c r="A9187" t="s">
        <v>24201</v>
      </c>
      <c r="B9187">
        <v>1</v>
      </c>
      <c r="C9187">
        <v>72</v>
      </c>
      <c r="D9187">
        <v>72</v>
      </c>
    </row>
    <row r="9188" spans="1:4" ht="15" x14ac:dyDescent="0.25">
      <c r="A9188" t="s">
        <v>24202</v>
      </c>
      <c r="B9188">
        <v>1</v>
      </c>
      <c r="C9188">
        <v>72</v>
      </c>
      <c r="D9188">
        <v>72</v>
      </c>
    </row>
    <row r="9189" spans="1:4" ht="15" x14ac:dyDescent="0.25">
      <c r="A9189" t="s">
        <v>24200</v>
      </c>
      <c r="B9189">
        <v>1</v>
      </c>
      <c r="C9189">
        <v>72</v>
      </c>
      <c r="D9189">
        <v>72</v>
      </c>
    </row>
    <row r="9190" spans="1:4" ht="15" x14ac:dyDescent="0.25">
      <c r="A9190" t="s">
        <v>24206</v>
      </c>
      <c r="B9190">
        <v>1</v>
      </c>
      <c r="C9190">
        <v>40</v>
      </c>
      <c r="D9190">
        <v>40</v>
      </c>
    </row>
    <row r="9191" spans="1:4" ht="15" x14ac:dyDescent="0.25">
      <c r="A9191" t="s">
        <v>24207</v>
      </c>
      <c r="B9191">
        <v>1</v>
      </c>
      <c r="C9191">
        <v>40</v>
      </c>
      <c r="D9191">
        <v>40</v>
      </c>
    </row>
    <row r="9192" spans="1:4" ht="15" x14ac:dyDescent="0.25">
      <c r="A9192" t="s">
        <v>24211</v>
      </c>
      <c r="B9192">
        <v>1</v>
      </c>
      <c r="C9192">
        <v>80</v>
      </c>
      <c r="D9192">
        <v>80</v>
      </c>
    </row>
    <row r="9193" spans="1:4" ht="15" x14ac:dyDescent="0.25">
      <c r="A9193" t="s">
        <v>24216</v>
      </c>
      <c r="B9193">
        <v>1</v>
      </c>
      <c r="C9193">
        <v>39</v>
      </c>
      <c r="D9193">
        <v>39</v>
      </c>
    </row>
    <row r="9194" spans="1:4" ht="15" x14ac:dyDescent="0.25">
      <c r="A9194" t="s">
        <v>24217</v>
      </c>
      <c r="B9194">
        <v>1</v>
      </c>
      <c r="C9194">
        <v>39</v>
      </c>
      <c r="D9194">
        <v>39</v>
      </c>
    </row>
    <row r="9195" spans="1:4" ht="15" x14ac:dyDescent="0.25">
      <c r="A9195" t="s">
        <v>24218</v>
      </c>
      <c r="B9195">
        <v>1</v>
      </c>
      <c r="C9195">
        <v>39</v>
      </c>
      <c r="D9195">
        <v>39</v>
      </c>
    </row>
    <row r="9196" spans="1:4" ht="15" x14ac:dyDescent="0.25">
      <c r="A9196" t="s">
        <v>24219</v>
      </c>
      <c r="B9196">
        <v>1</v>
      </c>
      <c r="C9196">
        <v>39</v>
      </c>
      <c r="D9196">
        <v>39</v>
      </c>
    </row>
    <row r="9197" spans="1:4" ht="15" x14ac:dyDescent="0.25">
      <c r="A9197" t="s">
        <v>24222</v>
      </c>
      <c r="B9197">
        <v>1</v>
      </c>
      <c r="C9197">
        <v>22</v>
      </c>
      <c r="D9197">
        <v>22</v>
      </c>
    </row>
    <row r="9198" spans="1:4" ht="15" x14ac:dyDescent="0.25">
      <c r="A9198" t="s">
        <v>24225</v>
      </c>
      <c r="B9198">
        <v>2</v>
      </c>
      <c r="C9198">
        <v>284</v>
      </c>
      <c r="D9198">
        <v>142</v>
      </c>
    </row>
    <row r="9199" spans="1:4" ht="15" x14ac:dyDescent="0.25">
      <c r="A9199" t="s">
        <v>24230</v>
      </c>
      <c r="B9199">
        <v>1</v>
      </c>
      <c r="C9199">
        <v>12</v>
      </c>
      <c r="D9199">
        <v>12</v>
      </c>
    </row>
    <row r="9200" spans="1:4" ht="15" x14ac:dyDescent="0.25">
      <c r="A9200" t="s">
        <v>24229</v>
      </c>
      <c r="B9200">
        <v>1</v>
      </c>
      <c r="C9200">
        <v>12</v>
      </c>
      <c r="D9200">
        <v>12</v>
      </c>
    </row>
    <row r="9201" spans="1:4" ht="15" x14ac:dyDescent="0.25">
      <c r="A9201" t="s">
        <v>24234</v>
      </c>
      <c r="B9201">
        <v>1</v>
      </c>
      <c r="C9201">
        <v>7</v>
      </c>
      <c r="D9201">
        <v>7</v>
      </c>
    </row>
    <row r="9202" spans="1:4" ht="15" x14ac:dyDescent="0.25">
      <c r="A9202" t="s">
        <v>24236</v>
      </c>
      <c r="B9202">
        <v>1</v>
      </c>
      <c r="C9202">
        <v>7</v>
      </c>
      <c r="D9202">
        <v>7</v>
      </c>
    </row>
    <row r="9203" spans="1:4" ht="15" x14ac:dyDescent="0.25">
      <c r="A9203" t="s">
        <v>24235</v>
      </c>
      <c r="B9203">
        <v>1</v>
      </c>
      <c r="C9203">
        <v>7</v>
      </c>
      <c r="D9203">
        <v>7</v>
      </c>
    </row>
    <row r="9204" spans="1:4" ht="15" x14ac:dyDescent="0.25">
      <c r="A9204" t="s">
        <v>24241</v>
      </c>
      <c r="B9204">
        <v>1</v>
      </c>
      <c r="C9204">
        <v>120</v>
      </c>
      <c r="D9204">
        <v>120</v>
      </c>
    </row>
    <row r="9205" spans="1:4" ht="15" x14ac:dyDescent="0.25">
      <c r="A9205" t="s">
        <v>24245</v>
      </c>
      <c r="B9205">
        <v>1</v>
      </c>
      <c r="C9205">
        <v>33</v>
      </c>
      <c r="D9205">
        <v>33</v>
      </c>
    </row>
    <row r="9206" spans="1:4" ht="15" x14ac:dyDescent="0.25">
      <c r="A9206" t="s">
        <v>24250</v>
      </c>
      <c r="B9206">
        <v>1</v>
      </c>
      <c r="C9206">
        <v>16</v>
      </c>
      <c r="D9206">
        <v>16</v>
      </c>
    </row>
    <row r="9207" spans="1:4" ht="15" x14ac:dyDescent="0.25">
      <c r="A9207" t="s">
        <v>24253</v>
      </c>
      <c r="B9207">
        <v>1</v>
      </c>
      <c r="C9207">
        <v>157</v>
      </c>
      <c r="D9207">
        <v>157</v>
      </c>
    </row>
    <row r="9208" spans="1:4" ht="15" x14ac:dyDescent="0.25">
      <c r="A9208" t="s">
        <v>24258</v>
      </c>
      <c r="B9208">
        <v>1</v>
      </c>
      <c r="C9208">
        <v>29</v>
      </c>
      <c r="D9208">
        <v>29</v>
      </c>
    </row>
    <row r="9209" spans="1:4" ht="15" x14ac:dyDescent="0.25">
      <c r="A9209" t="s">
        <v>24259</v>
      </c>
      <c r="B9209">
        <v>1</v>
      </c>
      <c r="C9209">
        <v>29</v>
      </c>
      <c r="D9209">
        <v>29</v>
      </c>
    </row>
    <row r="9210" spans="1:4" ht="15" x14ac:dyDescent="0.25">
      <c r="A9210" t="s">
        <v>24260</v>
      </c>
      <c r="B9210">
        <v>1</v>
      </c>
      <c r="C9210">
        <v>29</v>
      </c>
      <c r="D9210">
        <v>29</v>
      </c>
    </row>
    <row r="9211" spans="1:4" ht="15" x14ac:dyDescent="0.25">
      <c r="A9211" t="s">
        <v>24261</v>
      </c>
      <c r="B9211">
        <v>1</v>
      </c>
      <c r="C9211">
        <v>29</v>
      </c>
      <c r="D9211">
        <v>29</v>
      </c>
    </row>
    <row r="9212" spans="1:4" ht="15" x14ac:dyDescent="0.25">
      <c r="A9212" t="s">
        <v>24265</v>
      </c>
      <c r="B9212">
        <v>1</v>
      </c>
      <c r="C9212">
        <v>14</v>
      </c>
      <c r="D9212">
        <v>14</v>
      </c>
    </row>
    <row r="9213" spans="1:4" ht="15" x14ac:dyDescent="0.25">
      <c r="A9213" t="s">
        <v>24266</v>
      </c>
      <c r="B9213">
        <v>1</v>
      </c>
      <c r="C9213">
        <v>14</v>
      </c>
      <c r="D9213">
        <v>14</v>
      </c>
    </row>
    <row r="9214" spans="1:4" ht="15" x14ac:dyDescent="0.25">
      <c r="A9214" t="s">
        <v>24270</v>
      </c>
      <c r="B9214">
        <v>1</v>
      </c>
      <c r="C9214">
        <v>4</v>
      </c>
      <c r="D9214">
        <v>4</v>
      </c>
    </row>
    <row r="9215" spans="1:4" ht="15" x14ac:dyDescent="0.25">
      <c r="A9215" t="s">
        <v>24275</v>
      </c>
      <c r="B9215">
        <v>1</v>
      </c>
      <c r="C9215">
        <v>32</v>
      </c>
      <c r="D9215">
        <v>32</v>
      </c>
    </row>
    <row r="9216" spans="1:4" ht="15" x14ac:dyDescent="0.25">
      <c r="A9216" t="s">
        <v>24279</v>
      </c>
      <c r="B9216">
        <v>1</v>
      </c>
      <c r="C9216">
        <v>1</v>
      </c>
      <c r="D9216">
        <v>1</v>
      </c>
    </row>
    <row r="9217" spans="1:4" ht="15" x14ac:dyDescent="0.25">
      <c r="A9217" t="s">
        <v>24283</v>
      </c>
      <c r="B9217">
        <v>1</v>
      </c>
      <c r="C9217">
        <v>92</v>
      </c>
      <c r="D9217">
        <v>92</v>
      </c>
    </row>
    <row r="9218" spans="1:4" ht="15" x14ac:dyDescent="0.25">
      <c r="A9218" t="s">
        <v>24284</v>
      </c>
      <c r="B9218">
        <v>1</v>
      </c>
      <c r="C9218">
        <v>92</v>
      </c>
      <c r="D9218">
        <v>92</v>
      </c>
    </row>
    <row r="9219" spans="1:4" ht="15" x14ac:dyDescent="0.25">
      <c r="A9219" t="s">
        <v>24289</v>
      </c>
      <c r="B9219">
        <v>1</v>
      </c>
      <c r="C9219">
        <v>65</v>
      </c>
      <c r="D9219">
        <v>65</v>
      </c>
    </row>
    <row r="9220" spans="1:4" ht="15" x14ac:dyDescent="0.25">
      <c r="A9220" t="s">
        <v>24293</v>
      </c>
      <c r="B9220">
        <v>1</v>
      </c>
      <c r="C9220">
        <v>16</v>
      </c>
      <c r="D9220">
        <v>16</v>
      </c>
    </row>
    <row r="9221" spans="1:4" ht="15" x14ac:dyDescent="0.25">
      <c r="A9221" t="s">
        <v>24290</v>
      </c>
      <c r="B9221">
        <v>1</v>
      </c>
      <c r="C9221">
        <v>16</v>
      </c>
      <c r="D9221">
        <v>16</v>
      </c>
    </row>
    <row r="9222" spans="1:4" ht="15" x14ac:dyDescent="0.25">
      <c r="A9222" t="s">
        <v>24294</v>
      </c>
      <c r="B9222">
        <v>1</v>
      </c>
      <c r="C9222">
        <v>16</v>
      </c>
      <c r="D9222">
        <v>16</v>
      </c>
    </row>
    <row r="9223" spans="1:4" ht="15" x14ac:dyDescent="0.25">
      <c r="A9223" t="s">
        <v>24298</v>
      </c>
      <c r="B9223">
        <v>1</v>
      </c>
      <c r="C9223">
        <v>62</v>
      </c>
      <c r="D9223">
        <v>62</v>
      </c>
    </row>
    <row r="9224" spans="1:4" ht="15" x14ac:dyDescent="0.25">
      <c r="A9224" t="s">
        <v>24303</v>
      </c>
      <c r="B9224">
        <v>1</v>
      </c>
      <c r="C9224">
        <v>37</v>
      </c>
      <c r="D9224">
        <v>37</v>
      </c>
    </row>
    <row r="9225" spans="1:4" ht="15" x14ac:dyDescent="0.25">
      <c r="A9225" t="s">
        <v>24302</v>
      </c>
      <c r="B9225">
        <v>1</v>
      </c>
      <c r="C9225">
        <v>37</v>
      </c>
      <c r="D9225">
        <v>37</v>
      </c>
    </row>
    <row r="9226" spans="1:4" ht="15" x14ac:dyDescent="0.25">
      <c r="A9226" t="s">
        <v>24307</v>
      </c>
      <c r="B9226">
        <v>1</v>
      </c>
      <c r="C9226">
        <v>8</v>
      </c>
      <c r="D9226">
        <v>8</v>
      </c>
    </row>
    <row r="9227" spans="1:4" ht="15" x14ac:dyDescent="0.25">
      <c r="A9227" t="s">
        <v>24308</v>
      </c>
      <c r="B9227">
        <v>1</v>
      </c>
      <c r="C9227">
        <v>8</v>
      </c>
      <c r="D9227">
        <v>8</v>
      </c>
    </row>
    <row r="9228" spans="1:4" ht="15" x14ac:dyDescent="0.25">
      <c r="A9228" t="s">
        <v>24312</v>
      </c>
      <c r="B9228">
        <v>1</v>
      </c>
      <c r="C9228">
        <v>94</v>
      </c>
      <c r="D9228">
        <v>94</v>
      </c>
    </row>
    <row r="9229" spans="1:4" ht="15" x14ac:dyDescent="0.25">
      <c r="A9229" t="s">
        <v>24313</v>
      </c>
      <c r="B9229">
        <v>1</v>
      </c>
      <c r="C9229">
        <v>94</v>
      </c>
      <c r="D9229">
        <v>94</v>
      </c>
    </row>
    <row r="9230" spans="1:4" ht="15" x14ac:dyDescent="0.25">
      <c r="A9230" t="s">
        <v>24309</v>
      </c>
      <c r="B9230">
        <v>1</v>
      </c>
      <c r="C9230">
        <v>94</v>
      </c>
      <c r="D9230">
        <v>94</v>
      </c>
    </row>
    <row r="9231" spans="1:4" ht="15" x14ac:dyDescent="0.25">
      <c r="A9231" t="s">
        <v>24317</v>
      </c>
      <c r="B9231">
        <v>1</v>
      </c>
      <c r="C9231">
        <v>41</v>
      </c>
      <c r="D9231">
        <v>41</v>
      </c>
    </row>
    <row r="9232" spans="1:4" ht="15" x14ac:dyDescent="0.25">
      <c r="A9232" t="s">
        <v>24318</v>
      </c>
      <c r="B9232">
        <v>1</v>
      </c>
      <c r="C9232">
        <v>41</v>
      </c>
      <c r="D9232">
        <v>41</v>
      </c>
    </row>
    <row r="9233" spans="1:4" ht="15" x14ac:dyDescent="0.25">
      <c r="A9233" t="s">
        <v>24319</v>
      </c>
      <c r="B9233">
        <v>1</v>
      </c>
      <c r="C9233">
        <v>41</v>
      </c>
      <c r="D9233">
        <v>41</v>
      </c>
    </row>
    <row r="9234" spans="1:4" ht="15" x14ac:dyDescent="0.25">
      <c r="A9234" t="s">
        <v>24323</v>
      </c>
      <c r="B9234">
        <v>1</v>
      </c>
      <c r="C9234">
        <v>152</v>
      </c>
      <c r="D9234">
        <v>152</v>
      </c>
    </row>
    <row r="9235" spans="1:4" ht="15" x14ac:dyDescent="0.25">
      <c r="A9235" t="s">
        <v>24326</v>
      </c>
      <c r="B9235">
        <v>1</v>
      </c>
      <c r="C9235">
        <v>31</v>
      </c>
      <c r="D9235">
        <v>31</v>
      </c>
    </row>
    <row r="9236" spans="1:4" ht="15" x14ac:dyDescent="0.25">
      <c r="A9236" t="s">
        <v>24327</v>
      </c>
      <c r="B9236">
        <v>1</v>
      </c>
      <c r="C9236">
        <v>31</v>
      </c>
      <c r="D9236">
        <v>31</v>
      </c>
    </row>
    <row r="9237" spans="1:4" ht="15" x14ac:dyDescent="0.25">
      <c r="A9237" t="s">
        <v>24328</v>
      </c>
      <c r="B9237">
        <v>1</v>
      </c>
      <c r="C9237">
        <v>31</v>
      </c>
      <c r="D9237">
        <v>31</v>
      </c>
    </row>
    <row r="9238" spans="1:4" ht="15" x14ac:dyDescent="0.25">
      <c r="A9238" t="s">
        <v>24332</v>
      </c>
      <c r="B9238">
        <v>1</v>
      </c>
      <c r="C9238">
        <v>7</v>
      </c>
      <c r="D9238">
        <v>7</v>
      </c>
    </row>
    <row r="9239" spans="1:4" ht="15" x14ac:dyDescent="0.25">
      <c r="A9239" t="s">
        <v>24337</v>
      </c>
      <c r="B9239">
        <v>1</v>
      </c>
      <c r="C9239">
        <v>0</v>
      </c>
      <c r="D9239">
        <v>0</v>
      </c>
    </row>
    <row r="9240" spans="1:4" ht="15" x14ac:dyDescent="0.25">
      <c r="A9240" t="s">
        <v>24339</v>
      </c>
      <c r="B9240">
        <v>1</v>
      </c>
      <c r="C9240">
        <v>0</v>
      </c>
      <c r="D9240">
        <v>0</v>
      </c>
    </row>
    <row r="9241" spans="1:4" ht="15" x14ac:dyDescent="0.25">
      <c r="A9241" t="s">
        <v>24338</v>
      </c>
      <c r="B9241">
        <v>1</v>
      </c>
      <c r="C9241">
        <v>0</v>
      </c>
      <c r="D9241">
        <v>0</v>
      </c>
    </row>
    <row r="9242" spans="1:4" ht="15" x14ac:dyDescent="0.25">
      <c r="A9242" t="s">
        <v>24345</v>
      </c>
      <c r="B9242">
        <v>1</v>
      </c>
      <c r="C9242">
        <v>23</v>
      </c>
      <c r="D9242">
        <v>23</v>
      </c>
    </row>
    <row r="9243" spans="1:4" ht="15" x14ac:dyDescent="0.25">
      <c r="A9243" t="s">
        <v>24344</v>
      </c>
      <c r="B9243">
        <v>1</v>
      </c>
      <c r="C9243">
        <v>23</v>
      </c>
      <c r="D9243">
        <v>23</v>
      </c>
    </row>
    <row r="9244" spans="1:4" ht="15" x14ac:dyDescent="0.25">
      <c r="A9244" t="s">
        <v>24349</v>
      </c>
      <c r="B9244">
        <v>1</v>
      </c>
      <c r="C9244">
        <v>11</v>
      </c>
      <c r="D9244">
        <v>11</v>
      </c>
    </row>
    <row r="9245" spans="1:4" ht="15" x14ac:dyDescent="0.25">
      <c r="A9245" t="s">
        <v>24357</v>
      </c>
      <c r="B9245">
        <v>1</v>
      </c>
      <c r="C9245">
        <v>46</v>
      </c>
      <c r="D9245">
        <v>46</v>
      </c>
    </row>
    <row r="9246" spans="1:4" ht="15" x14ac:dyDescent="0.25">
      <c r="A9246" t="s">
        <v>24358</v>
      </c>
      <c r="B9246">
        <v>1</v>
      </c>
      <c r="C9246">
        <v>46</v>
      </c>
      <c r="D9246">
        <v>46</v>
      </c>
    </row>
    <row r="9247" spans="1:4" ht="15" x14ac:dyDescent="0.25">
      <c r="A9247" t="s">
        <v>24368</v>
      </c>
      <c r="B9247">
        <v>1</v>
      </c>
      <c r="C9247">
        <v>22</v>
      </c>
      <c r="D9247">
        <v>22</v>
      </c>
    </row>
    <row r="9248" spans="1:4" ht="15" x14ac:dyDescent="0.25">
      <c r="A9248" t="s">
        <v>24369</v>
      </c>
      <c r="B9248">
        <v>1</v>
      </c>
      <c r="C9248">
        <v>22</v>
      </c>
      <c r="D9248">
        <v>22</v>
      </c>
    </row>
    <row r="9249" spans="1:4" ht="15" x14ac:dyDescent="0.25">
      <c r="A9249" t="s">
        <v>24370</v>
      </c>
      <c r="B9249">
        <v>1</v>
      </c>
      <c r="C9249">
        <v>22</v>
      </c>
      <c r="D9249">
        <v>22</v>
      </c>
    </row>
    <row r="9250" spans="1:4" ht="15" x14ac:dyDescent="0.25">
      <c r="A9250" t="s">
        <v>24378</v>
      </c>
      <c r="B9250">
        <v>1</v>
      </c>
      <c r="C9250">
        <v>6</v>
      </c>
      <c r="D9250">
        <v>6</v>
      </c>
    </row>
    <row r="9251" spans="1:4" ht="15" x14ac:dyDescent="0.25">
      <c r="A9251" t="s">
        <v>24382</v>
      </c>
      <c r="B9251">
        <v>1</v>
      </c>
      <c r="C9251">
        <v>19</v>
      </c>
      <c r="D9251">
        <v>19</v>
      </c>
    </row>
    <row r="9252" spans="1:4" ht="15" x14ac:dyDescent="0.25">
      <c r="A9252" t="s">
        <v>24386</v>
      </c>
      <c r="B9252">
        <v>1</v>
      </c>
      <c r="C9252">
        <v>43</v>
      </c>
      <c r="D9252">
        <v>43</v>
      </c>
    </row>
    <row r="9253" spans="1:4" ht="15" x14ac:dyDescent="0.25">
      <c r="A9253" t="s">
        <v>24387</v>
      </c>
      <c r="B9253">
        <v>1</v>
      </c>
      <c r="C9253">
        <v>43</v>
      </c>
      <c r="D9253">
        <v>43</v>
      </c>
    </row>
    <row r="9254" spans="1:4" ht="15" x14ac:dyDescent="0.25">
      <c r="A9254" t="s">
        <v>24388</v>
      </c>
      <c r="B9254">
        <v>1</v>
      </c>
      <c r="C9254">
        <v>43</v>
      </c>
      <c r="D9254">
        <v>43</v>
      </c>
    </row>
    <row r="9255" spans="1:4" ht="15" x14ac:dyDescent="0.25">
      <c r="A9255" t="s">
        <v>24392</v>
      </c>
      <c r="B9255">
        <v>1</v>
      </c>
      <c r="C9255">
        <v>52</v>
      </c>
      <c r="D9255">
        <v>52</v>
      </c>
    </row>
    <row r="9256" spans="1:4" ht="15" x14ac:dyDescent="0.25">
      <c r="A9256" t="s">
        <v>24393</v>
      </c>
      <c r="B9256">
        <v>1</v>
      </c>
      <c r="C9256">
        <v>52</v>
      </c>
      <c r="D9256">
        <v>52</v>
      </c>
    </row>
    <row r="9257" spans="1:4" ht="15" x14ac:dyDescent="0.25">
      <c r="A9257" t="s">
        <v>24397</v>
      </c>
      <c r="B9257">
        <v>1</v>
      </c>
      <c r="C9257">
        <v>167</v>
      </c>
      <c r="D9257">
        <v>167</v>
      </c>
    </row>
    <row r="9258" spans="1:4" ht="15" x14ac:dyDescent="0.25">
      <c r="A9258" t="s">
        <v>24398</v>
      </c>
      <c r="B9258">
        <v>2</v>
      </c>
      <c r="C9258">
        <v>202</v>
      </c>
      <c r="D9258">
        <v>101</v>
      </c>
    </row>
    <row r="9259" spans="1:4" ht="15" x14ac:dyDescent="0.25">
      <c r="A9259" t="s">
        <v>24402</v>
      </c>
      <c r="B9259">
        <v>1</v>
      </c>
      <c r="C9259">
        <v>211</v>
      </c>
      <c r="D9259">
        <v>211</v>
      </c>
    </row>
    <row r="9260" spans="1:4" ht="15" x14ac:dyDescent="0.25">
      <c r="A9260" t="s">
        <v>24403</v>
      </c>
      <c r="B9260">
        <v>1</v>
      </c>
      <c r="C9260">
        <v>211</v>
      </c>
      <c r="D9260">
        <v>211</v>
      </c>
    </row>
    <row r="9261" spans="1:4" ht="15" x14ac:dyDescent="0.25">
      <c r="A9261" t="s">
        <v>24404</v>
      </c>
      <c r="B9261">
        <v>1</v>
      </c>
      <c r="C9261">
        <v>211</v>
      </c>
      <c r="D9261">
        <v>211</v>
      </c>
    </row>
    <row r="9262" spans="1:4" ht="15" x14ac:dyDescent="0.25">
      <c r="A9262" t="s">
        <v>24405</v>
      </c>
      <c r="B9262">
        <v>1</v>
      </c>
      <c r="C9262">
        <v>211</v>
      </c>
      <c r="D9262">
        <v>211</v>
      </c>
    </row>
    <row r="9263" spans="1:4" ht="15" x14ac:dyDescent="0.25">
      <c r="A9263" t="s">
        <v>24410</v>
      </c>
      <c r="B9263">
        <v>1</v>
      </c>
      <c r="C9263">
        <v>26</v>
      </c>
      <c r="D9263">
        <v>26</v>
      </c>
    </row>
    <row r="9264" spans="1:4" ht="15" x14ac:dyDescent="0.25">
      <c r="A9264" t="s">
        <v>24409</v>
      </c>
      <c r="B9264">
        <v>1</v>
      </c>
      <c r="C9264">
        <v>26</v>
      </c>
      <c r="D9264">
        <v>26</v>
      </c>
    </row>
    <row r="9265" spans="1:4" ht="15" x14ac:dyDescent="0.25">
      <c r="A9265" t="s">
        <v>24414</v>
      </c>
      <c r="B9265">
        <v>1</v>
      </c>
      <c r="C9265">
        <v>8</v>
      </c>
      <c r="D9265">
        <v>8</v>
      </c>
    </row>
    <row r="9266" spans="1:4" ht="15" x14ac:dyDescent="0.25">
      <c r="A9266" t="s">
        <v>24415</v>
      </c>
      <c r="B9266">
        <v>1</v>
      </c>
      <c r="C9266">
        <v>8</v>
      </c>
      <c r="D9266">
        <v>8</v>
      </c>
    </row>
    <row r="9267" spans="1:4" ht="15" x14ac:dyDescent="0.25">
      <c r="A9267" t="s">
        <v>24416</v>
      </c>
      <c r="B9267">
        <v>1</v>
      </c>
      <c r="C9267">
        <v>8</v>
      </c>
      <c r="D9267">
        <v>8</v>
      </c>
    </row>
    <row r="9268" spans="1:4" ht="15" x14ac:dyDescent="0.25">
      <c r="A9268" t="s">
        <v>24426</v>
      </c>
      <c r="B9268">
        <v>1</v>
      </c>
      <c r="C9268">
        <v>9</v>
      </c>
      <c r="D9268">
        <v>9</v>
      </c>
    </row>
    <row r="9269" spans="1:4" ht="15" x14ac:dyDescent="0.25">
      <c r="A9269" t="s">
        <v>24427</v>
      </c>
      <c r="B9269">
        <v>1</v>
      </c>
      <c r="C9269">
        <v>9</v>
      </c>
      <c r="D9269">
        <v>9</v>
      </c>
    </row>
    <row r="9270" spans="1:4" ht="15" x14ac:dyDescent="0.25">
      <c r="A9270" t="s">
        <v>24428</v>
      </c>
      <c r="B9270">
        <v>1</v>
      </c>
      <c r="C9270">
        <v>9</v>
      </c>
      <c r="D9270">
        <v>9</v>
      </c>
    </row>
    <row r="9271" spans="1:4" ht="15" x14ac:dyDescent="0.25">
      <c r="A9271" t="s">
        <v>24429</v>
      </c>
      <c r="B9271">
        <v>1</v>
      </c>
      <c r="C9271">
        <v>9</v>
      </c>
      <c r="D9271">
        <v>9</v>
      </c>
    </row>
    <row r="9272" spans="1:4" ht="15" x14ac:dyDescent="0.25">
      <c r="A9272" t="s">
        <v>24434</v>
      </c>
      <c r="B9272">
        <v>1</v>
      </c>
      <c r="C9272">
        <v>53</v>
      </c>
      <c r="D9272">
        <v>53</v>
      </c>
    </row>
    <row r="9273" spans="1:4" ht="15" x14ac:dyDescent="0.25">
      <c r="A9273" t="s">
        <v>24438</v>
      </c>
      <c r="B9273">
        <v>4</v>
      </c>
      <c r="C9273">
        <v>120</v>
      </c>
      <c r="D9273">
        <v>30</v>
      </c>
    </row>
    <row r="9274" spans="1:4" ht="15" x14ac:dyDescent="0.25">
      <c r="A9274" t="s">
        <v>24439</v>
      </c>
      <c r="B9274">
        <v>1</v>
      </c>
      <c r="C9274">
        <v>6</v>
      </c>
      <c r="D9274">
        <v>6</v>
      </c>
    </row>
    <row r="9275" spans="1:4" ht="15" x14ac:dyDescent="0.25">
      <c r="A9275" t="s">
        <v>24443</v>
      </c>
      <c r="B9275">
        <v>1</v>
      </c>
      <c r="C9275">
        <v>58</v>
      </c>
      <c r="D9275">
        <v>58</v>
      </c>
    </row>
    <row r="9276" spans="1:4" ht="15" x14ac:dyDescent="0.25">
      <c r="A9276" t="s">
        <v>24444</v>
      </c>
      <c r="B9276">
        <v>1</v>
      </c>
      <c r="C9276">
        <v>58</v>
      </c>
      <c r="D9276">
        <v>58</v>
      </c>
    </row>
    <row r="9277" spans="1:4" ht="15" x14ac:dyDescent="0.25">
      <c r="A9277" t="s">
        <v>24448</v>
      </c>
      <c r="B9277">
        <v>1</v>
      </c>
      <c r="C9277">
        <v>52</v>
      </c>
      <c r="D9277">
        <v>52</v>
      </c>
    </row>
    <row r="9278" spans="1:4" ht="15" x14ac:dyDescent="0.25">
      <c r="A9278" t="s">
        <v>24449</v>
      </c>
      <c r="B9278">
        <v>1</v>
      </c>
      <c r="C9278">
        <v>52</v>
      </c>
      <c r="D9278">
        <v>52</v>
      </c>
    </row>
    <row r="9279" spans="1:4" ht="15" x14ac:dyDescent="0.25">
      <c r="A9279" t="s">
        <v>24450</v>
      </c>
      <c r="B9279">
        <v>1</v>
      </c>
      <c r="C9279">
        <v>52</v>
      </c>
      <c r="D9279">
        <v>52</v>
      </c>
    </row>
    <row r="9280" spans="1:4" ht="15" x14ac:dyDescent="0.25">
      <c r="A9280" t="s">
        <v>24445</v>
      </c>
      <c r="B9280">
        <v>1</v>
      </c>
      <c r="C9280">
        <v>52</v>
      </c>
      <c r="D9280">
        <v>52</v>
      </c>
    </row>
    <row r="9281" spans="1:4" ht="15" x14ac:dyDescent="0.25">
      <c r="A9281" t="s">
        <v>24457</v>
      </c>
      <c r="B9281">
        <v>1</v>
      </c>
      <c r="C9281">
        <v>75</v>
      </c>
      <c r="D9281">
        <v>75</v>
      </c>
    </row>
    <row r="9282" spans="1:4" ht="15" x14ac:dyDescent="0.25">
      <c r="A9282" t="s">
        <v>24459</v>
      </c>
      <c r="B9282">
        <v>1</v>
      </c>
      <c r="C9282">
        <v>75</v>
      </c>
      <c r="D9282">
        <v>75</v>
      </c>
    </row>
    <row r="9283" spans="1:4" ht="15" x14ac:dyDescent="0.25">
      <c r="A9283" t="s">
        <v>24460</v>
      </c>
      <c r="B9283">
        <v>1</v>
      </c>
      <c r="C9283">
        <v>75</v>
      </c>
      <c r="D9283">
        <v>75</v>
      </c>
    </row>
    <row r="9284" spans="1:4" ht="15" x14ac:dyDescent="0.25">
      <c r="A9284" t="s">
        <v>24458</v>
      </c>
      <c r="B9284">
        <v>1</v>
      </c>
      <c r="C9284">
        <v>75</v>
      </c>
      <c r="D9284">
        <v>75</v>
      </c>
    </row>
    <row r="9285" spans="1:4" ht="15" x14ac:dyDescent="0.25">
      <c r="A9285" t="s">
        <v>24467</v>
      </c>
      <c r="B9285">
        <v>1</v>
      </c>
      <c r="C9285">
        <v>39</v>
      </c>
      <c r="D9285">
        <v>39</v>
      </c>
    </row>
    <row r="9286" spans="1:4" ht="15" x14ac:dyDescent="0.25">
      <c r="A9286" t="s">
        <v>24468</v>
      </c>
      <c r="B9286">
        <v>1</v>
      </c>
      <c r="C9286">
        <v>39</v>
      </c>
      <c r="D9286">
        <v>39</v>
      </c>
    </row>
    <row r="9287" spans="1:4" ht="15" x14ac:dyDescent="0.25">
      <c r="A9287" t="s">
        <v>24469</v>
      </c>
      <c r="B9287">
        <v>1</v>
      </c>
      <c r="C9287">
        <v>39</v>
      </c>
      <c r="D9287">
        <v>39</v>
      </c>
    </row>
    <row r="9288" spans="1:4" ht="15" x14ac:dyDescent="0.25">
      <c r="A9288" t="s">
        <v>24470</v>
      </c>
      <c r="B9288">
        <v>1</v>
      </c>
      <c r="C9288">
        <v>39</v>
      </c>
      <c r="D9288">
        <v>39</v>
      </c>
    </row>
    <row r="9289" spans="1:4" ht="15" x14ac:dyDescent="0.25">
      <c r="A9289" t="s">
        <v>24474</v>
      </c>
      <c r="B9289">
        <v>1</v>
      </c>
      <c r="C9289">
        <v>41</v>
      </c>
      <c r="D9289">
        <v>41</v>
      </c>
    </row>
    <row r="9290" spans="1:4" ht="15" x14ac:dyDescent="0.25">
      <c r="A9290" t="s">
        <v>24473</v>
      </c>
      <c r="B9290">
        <v>1</v>
      </c>
      <c r="C9290">
        <v>41</v>
      </c>
      <c r="D9290">
        <v>41</v>
      </c>
    </row>
    <row r="9291" spans="1:4" ht="15" x14ac:dyDescent="0.25">
      <c r="A9291" t="s">
        <v>24485</v>
      </c>
      <c r="B9291">
        <v>1</v>
      </c>
      <c r="C9291">
        <v>11</v>
      </c>
      <c r="D9291">
        <v>11</v>
      </c>
    </row>
    <row r="9292" spans="1:4" ht="15" x14ac:dyDescent="0.25">
      <c r="A9292" t="s">
        <v>24487</v>
      </c>
      <c r="B9292">
        <v>1</v>
      </c>
      <c r="C9292">
        <v>11</v>
      </c>
      <c r="D9292">
        <v>11</v>
      </c>
    </row>
    <row r="9293" spans="1:4" ht="15" x14ac:dyDescent="0.25">
      <c r="A9293" t="s">
        <v>24488</v>
      </c>
      <c r="B9293">
        <v>1</v>
      </c>
      <c r="C9293">
        <v>11</v>
      </c>
      <c r="D9293">
        <v>11</v>
      </c>
    </row>
    <row r="9294" spans="1:4" ht="15" x14ac:dyDescent="0.25">
      <c r="A9294" t="s">
        <v>24486</v>
      </c>
      <c r="B9294">
        <v>1</v>
      </c>
      <c r="C9294">
        <v>11</v>
      </c>
      <c r="D9294">
        <v>11</v>
      </c>
    </row>
    <row r="9295" spans="1:4" ht="15" x14ac:dyDescent="0.25">
      <c r="A9295" t="s">
        <v>24492</v>
      </c>
      <c r="B9295">
        <v>1</v>
      </c>
      <c r="C9295">
        <v>105</v>
      </c>
      <c r="D9295">
        <v>105</v>
      </c>
    </row>
    <row r="9296" spans="1:4" ht="15" x14ac:dyDescent="0.25">
      <c r="A9296" t="s">
        <v>24493</v>
      </c>
      <c r="B9296">
        <v>1</v>
      </c>
      <c r="C9296">
        <v>105</v>
      </c>
      <c r="D9296">
        <v>105</v>
      </c>
    </row>
    <row r="9297" spans="1:4" ht="15" x14ac:dyDescent="0.25">
      <c r="A9297" t="s">
        <v>24497</v>
      </c>
      <c r="B9297">
        <v>1</v>
      </c>
      <c r="C9297">
        <v>9</v>
      </c>
      <c r="D9297">
        <v>9</v>
      </c>
    </row>
    <row r="9298" spans="1:4" ht="15" x14ac:dyDescent="0.25">
      <c r="A9298" t="s">
        <v>24498</v>
      </c>
      <c r="B9298">
        <v>1</v>
      </c>
      <c r="C9298">
        <v>9</v>
      </c>
      <c r="D9298">
        <v>9</v>
      </c>
    </row>
    <row r="9299" spans="1:4" ht="15" x14ac:dyDescent="0.25">
      <c r="A9299" t="s">
        <v>24505</v>
      </c>
      <c r="B9299">
        <v>1</v>
      </c>
      <c r="C9299">
        <v>12</v>
      </c>
      <c r="D9299">
        <v>12</v>
      </c>
    </row>
    <row r="9300" spans="1:4" ht="15" x14ac:dyDescent="0.25">
      <c r="A9300" t="s">
        <v>24506</v>
      </c>
      <c r="B9300">
        <v>1</v>
      </c>
      <c r="C9300">
        <v>12</v>
      </c>
      <c r="D9300">
        <v>12</v>
      </c>
    </row>
    <row r="9301" spans="1:4" ht="15" x14ac:dyDescent="0.25">
      <c r="A9301" t="s">
        <v>24511</v>
      </c>
      <c r="B9301">
        <v>1</v>
      </c>
      <c r="C9301">
        <v>65</v>
      </c>
      <c r="D9301">
        <v>65</v>
      </c>
    </row>
    <row r="9302" spans="1:4" ht="15" x14ac:dyDescent="0.25">
      <c r="A9302" t="s">
        <v>24512</v>
      </c>
      <c r="B9302">
        <v>1</v>
      </c>
      <c r="C9302">
        <v>65</v>
      </c>
      <c r="D9302">
        <v>65</v>
      </c>
    </row>
    <row r="9303" spans="1:4" ht="15" x14ac:dyDescent="0.25">
      <c r="A9303" t="s">
        <v>24513</v>
      </c>
      <c r="B9303">
        <v>1</v>
      </c>
      <c r="C9303">
        <v>65</v>
      </c>
      <c r="D9303">
        <v>65</v>
      </c>
    </row>
    <row r="9304" spans="1:4" ht="15" x14ac:dyDescent="0.25">
      <c r="A9304" t="s">
        <v>24517</v>
      </c>
      <c r="B9304">
        <v>3</v>
      </c>
      <c r="C9304">
        <v>56</v>
      </c>
      <c r="D9304">
        <v>18.666666666666668</v>
      </c>
    </row>
    <row r="9305" spans="1:4" ht="15" x14ac:dyDescent="0.25">
      <c r="A9305" t="s">
        <v>24518</v>
      </c>
      <c r="B9305">
        <v>3</v>
      </c>
      <c r="C9305">
        <v>56</v>
      </c>
      <c r="D9305">
        <v>18.666666666666668</v>
      </c>
    </row>
    <row r="9306" spans="1:4" ht="15" x14ac:dyDescent="0.25">
      <c r="A9306" t="s">
        <v>24527</v>
      </c>
      <c r="B9306">
        <v>1</v>
      </c>
      <c r="C9306">
        <v>102</v>
      </c>
      <c r="D9306">
        <v>102</v>
      </c>
    </row>
    <row r="9307" spans="1:4" ht="15" x14ac:dyDescent="0.25">
      <c r="A9307" t="s">
        <v>24529</v>
      </c>
      <c r="B9307">
        <v>1</v>
      </c>
      <c r="C9307">
        <v>102</v>
      </c>
      <c r="D9307">
        <v>102</v>
      </c>
    </row>
    <row r="9308" spans="1:4" ht="15" x14ac:dyDescent="0.25">
      <c r="A9308" t="s">
        <v>24528</v>
      </c>
      <c r="B9308">
        <v>1</v>
      </c>
      <c r="C9308">
        <v>102</v>
      </c>
      <c r="D9308">
        <v>102</v>
      </c>
    </row>
    <row r="9309" spans="1:4" ht="15" x14ac:dyDescent="0.25">
      <c r="A9309" t="s">
        <v>24532</v>
      </c>
      <c r="B9309">
        <v>2</v>
      </c>
      <c r="C9309">
        <v>52</v>
      </c>
      <c r="D9309">
        <v>26</v>
      </c>
    </row>
    <row r="9310" spans="1:4" ht="15" x14ac:dyDescent="0.25">
      <c r="A9310" t="s">
        <v>24533</v>
      </c>
      <c r="B9310">
        <v>1</v>
      </c>
      <c r="C9310">
        <v>22</v>
      </c>
      <c r="D9310">
        <v>22</v>
      </c>
    </row>
    <row r="9311" spans="1:4" ht="15" x14ac:dyDescent="0.25">
      <c r="A9311" t="s">
        <v>24537</v>
      </c>
      <c r="B9311">
        <v>1</v>
      </c>
      <c r="C9311">
        <v>66</v>
      </c>
      <c r="D9311">
        <v>66</v>
      </c>
    </row>
    <row r="9312" spans="1:4" ht="15" x14ac:dyDescent="0.25">
      <c r="A9312" t="s">
        <v>24543</v>
      </c>
      <c r="B9312">
        <v>1</v>
      </c>
      <c r="C9312">
        <v>38</v>
      </c>
      <c r="D9312">
        <v>38</v>
      </c>
    </row>
    <row r="9313" spans="1:4" ht="15" x14ac:dyDescent="0.25">
      <c r="A9313" t="s">
        <v>24544</v>
      </c>
      <c r="B9313">
        <v>1</v>
      </c>
      <c r="C9313">
        <v>38</v>
      </c>
      <c r="D9313">
        <v>38</v>
      </c>
    </row>
    <row r="9314" spans="1:4" ht="15" x14ac:dyDescent="0.25">
      <c r="A9314" t="s">
        <v>24545</v>
      </c>
      <c r="B9314">
        <v>1</v>
      </c>
      <c r="C9314">
        <v>38</v>
      </c>
      <c r="D9314">
        <v>38</v>
      </c>
    </row>
    <row r="9315" spans="1:4" ht="15" x14ac:dyDescent="0.25">
      <c r="A9315" t="s">
        <v>24548</v>
      </c>
      <c r="B9315">
        <v>1</v>
      </c>
      <c r="C9315">
        <v>118</v>
      </c>
      <c r="D9315">
        <v>118</v>
      </c>
    </row>
    <row r="9316" spans="1:4" ht="15" x14ac:dyDescent="0.25">
      <c r="A9316" t="s">
        <v>24551</v>
      </c>
      <c r="B9316">
        <v>1</v>
      </c>
      <c r="C9316">
        <v>30</v>
      </c>
      <c r="D9316">
        <v>30</v>
      </c>
    </row>
    <row r="9317" spans="1:4" ht="15" x14ac:dyDescent="0.25">
      <c r="A9317" t="s">
        <v>24553</v>
      </c>
      <c r="B9317">
        <v>1</v>
      </c>
      <c r="C9317">
        <v>30</v>
      </c>
      <c r="D9317">
        <v>30</v>
      </c>
    </row>
    <row r="9318" spans="1:4" ht="15" x14ac:dyDescent="0.25">
      <c r="A9318" t="s">
        <v>24552</v>
      </c>
      <c r="B9318">
        <v>2</v>
      </c>
      <c r="C9318">
        <v>63</v>
      </c>
      <c r="D9318">
        <v>31.5</v>
      </c>
    </row>
    <row r="9319" spans="1:4" ht="15" x14ac:dyDescent="0.25">
      <c r="A9319" t="s">
        <v>24556</v>
      </c>
      <c r="B9319">
        <v>1</v>
      </c>
      <c r="C9319">
        <v>49</v>
      </c>
      <c r="D9319">
        <v>49</v>
      </c>
    </row>
    <row r="9320" spans="1:4" ht="15" x14ac:dyDescent="0.25">
      <c r="A9320" t="s">
        <v>24559</v>
      </c>
      <c r="B9320">
        <v>2</v>
      </c>
      <c r="C9320">
        <v>127</v>
      </c>
      <c r="D9320">
        <v>63.5</v>
      </c>
    </row>
    <row r="9321" spans="1:4" ht="15" x14ac:dyDescent="0.25">
      <c r="A9321" t="s">
        <v>24562</v>
      </c>
      <c r="B9321">
        <v>1</v>
      </c>
      <c r="C9321">
        <v>74</v>
      </c>
      <c r="D9321">
        <v>74</v>
      </c>
    </row>
    <row r="9322" spans="1:4" ht="15" x14ac:dyDescent="0.25">
      <c r="A9322" t="s">
        <v>24567</v>
      </c>
      <c r="B9322">
        <v>1</v>
      </c>
      <c r="C9322">
        <v>1274</v>
      </c>
      <c r="D9322">
        <v>1274</v>
      </c>
    </row>
    <row r="9323" spans="1:4" ht="15" x14ac:dyDescent="0.25">
      <c r="A9323" t="s">
        <v>24568</v>
      </c>
      <c r="B9323">
        <v>3</v>
      </c>
      <c r="C9323">
        <v>4702</v>
      </c>
      <c r="D9323">
        <v>1567.3333333333333</v>
      </c>
    </row>
    <row r="9324" spans="1:4" ht="15" x14ac:dyDescent="0.25">
      <c r="A9324" t="s">
        <v>24575</v>
      </c>
      <c r="B9324">
        <v>1</v>
      </c>
      <c r="C9324">
        <v>32</v>
      </c>
      <c r="D9324">
        <v>32</v>
      </c>
    </row>
    <row r="9325" spans="1:4" ht="15" x14ac:dyDescent="0.25">
      <c r="A9325" t="s">
        <v>24577</v>
      </c>
      <c r="B9325">
        <v>2</v>
      </c>
      <c r="C9325">
        <v>127</v>
      </c>
      <c r="D9325">
        <v>63.5</v>
      </c>
    </row>
    <row r="9326" spans="1:4" ht="15" x14ac:dyDescent="0.25">
      <c r="A9326" t="s">
        <v>24576</v>
      </c>
      <c r="B9326">
        <v>1</v>
      </c>
      <c r="C9326">
        <v>32</v>
      </c>
      <c r="D9326">
        <v>32</v>
      </c>
    </row>
    <row r="9327" spans="1:4" ht="15" x14ac:dyDescent="0.25">
      <c r="A9327" t="s">
        <v>24581</v>
      </c>
      <c r="B9327">
        <v>1</v>
      </c>
      <c r="C9327">
        <v>36</v>
      </c>
      <c r="D9327">
        <v>36</v>
      </c>
    </row>
    <row r="9328" spans="1:4" ht="15" x14ac:dyDescent="0.25">
      <c r="A9328" t="s">
        <v>24582</v>
      </c>
      <c r="B9328">
        <v>1</v>
      </c>
      <c r="C9328">
        <v>36</v>
      </c>
      <c r="D9328">
        <v>36</v>
      </c>
    </row>
    <row r="9329" spans="1:4" ht="15" x14ac:dyDescent="0.25">
      <c r="A9329" t="s">
        <v>24583</v>
      </c>
      <c r="B9329">
        <v>1</v>
      </c>
      <c r="C9329">
        <v>36</v>
      </c>
      <c r="D9329">
        <v>36</v>
      </c>
    </row>
    <row r="9330" spans="1:4" ht="15" x14ac:dyDescent="0.25">
      <c r="A9330" t="s">
        <v>24584</v>
      </c>
      <c r="B9330">
        <v>1</v>
      </c>
      <c r="C9330">
        <v>36</v>
      </c>
      <c r="D9330">
        <v>36</v>
      </c>
    </row>
    <row r="9331" spans="1:4" ht="15" x14ac:dyDescent="0.25">
      <c r="A9331" t="s">
        <v>24588</v>
      </c>
      <c r="B9331">
        <v>1</v>
      </c>
      <c r="C9331">
        <v>41</v>
      </c>
      <c r="D9331">
        <v>41</v>
      </c>
    </row>
    <row r="9332" spans="1:4" ht="15" x14ac:dyDescent="0.25">
      <c r="A9332" t="s">
        <v>24589</v>
      </c>
      <c r="B9332">
        <v>1</v>
      </c>
      <c r="C9332">
        <v>41</v>
      </c>
      <c r="D9332">
        <v>41</v>
      </c>
    </row>
    <row r="9333" spans="1:4" ht="15" x14ac:dyDescent="0.25">
      <c r="A9333" t="s">
        <v>24595</v>
      </c>
      <c r="B9333">
        <v>1</v>
      </c>
      <c r="C9333">
        <v>83</v>
      </c>
      <c r="D9333">
        <v>83</v>
      </c>
    </row>
    <row r="9334" spans="1:4" ht="15" x14ac:dyDescent="0.25">
      <c r="A9334" t="s">
        <v>24596</v>
      </c>
      <c r="B9334">
        <v>1</v>
      </c>
      <c r="C9334">
        <v>83</v>
      </c>
      <c r="D9334">
        <v>83</v>
      </c>
    </row>
    <row r="9335" spans="1:4" ht="15" x14ac:dyDescent="0.25">
      <c r="A9335" t="s">
        <v>24594</v>
      </c>
      <c r="B9335">
        <v>1</v>
      </c>
      <c r="C9335">
        <v>83</v>
      </c>
      <c r="D9335">
        <v>83</v>
      </c>
    </row>
    <row r="9336" spans="1:4" ht="15" x14ac:dyDescent="0.25">
      <c r="A9336" t="s">
        <v>24599</v>
      </c>
      <c r="B9336">
        <v>1</v>
      </c>
      <c r="C9336">
        <v>30</v>
      </c>
      <c r="D9336">
        <v>30</v>
      </c>
    </row>
    <row r="9337" spans="1:4" ht="15" x14ac:dyDescent="0.25">
      <c r="A9337" t="s">
        <v>24600</v>
      </c>
      <c r="B9337">
        <v>1</v>
      </c>
      <c r="C9337">
        <v>20</v>
      </c>
      <c r="D9337">
        <v>20</v>
      </c>
    </row>
    <row r="9338" spans="1:4" ht="15" x14ac:dyDescent="0.25">
      <c r="A9338" t="s">
        <v>24609</v>
      </c>
      <c r="B9338">
        <v>1</v>
      </c>
      <c r="C9338">
        <v>60</v>
      </c>
      <c r="D9338">
        <v>60</v>
      </c>
    </row>
    <row r="9339" spans="1:4" ht="15" x14ac:dyDescent="0.25">
      <c r="A9339" t="s">
        <v>24610</v>
      </c>
      <c r="B9339">
        <v>1</v>
      </c>
      <c r="C9339">
        <v>60</v>
      </c>
      <c r="D9339">
        <v>60</v>
      </c>
    </row>
    <row r="9340" spans="1:4" ht="15" x14ac:dyDescent="0.25">
      <c r="A9340" t="s">
        <v>24616</v>
      </c>
      <c r="B9340">
        <v>1</v>
      </c>
      <c r="C9340">
        <v>35</v>
      </c>
      <c r="D9340">
        <v>35</v>
      </c>
    </row>
    <row r="9341" spans="1:4" ht="15" x14ac:dyDescent="0.25">
      <c r="A9341" t="s">
        <v>24617</v>
      </c>
      <c r="B9341">
        <v>1</v>
      </c>
      <c r="C9341">
        <v>35</v>
      </c>
      <c r="D9341">
        <v>35</v>
      </c>
    </row>
    <row r="9342" spans="1:4" ht="15" x14ac:dyDescent="0.25">
      <c r="A9342" t="s">
        <v>24623</v>
      </c>
      <c r="B9342">
        <v>1</v>
      </c>
      <c r="C9342">
        <v>72</v>
      </c>
      <c r="D9342">
        <v>72</v>
      </c>
    </row>
    <row r="9343" spans="1:4" ht="15" x14ac:dyDescent="0.25">
      <c r="A9343" t="s">
        <v>24625</v>
      </c>
      <c r="B9343">
        <v>1</v>
      </c>
      <c r="C9343">
        <v>72</v>
      </c>
      <c r="D9343">
        <v>72</v>
      </c>
    </row>
    <row r="9344" spans="1:4" ht="15" x14ac:dyDescent="0.25">
      <c r="A9344" t="s">
        <v>24624</v>
      </c>
      <c r="B9344">
        <v>1</v>
      </c>
      <c r="C9344">
        <v>72</v>
      </c>
      <c r="D9344">
        <v>72</v>
      </c>
    </row>
    <row r="9345" spans="1:4" ht="15" x14ac:dyDescent="0.25">
      <c r="A9345" t="s">
        <v>24628</v>
      </c>
      <c r="B9345">
        <v>2</v>
      </c>
      <c r="C9345">
        <v>174</v>
      </c>
      <c r="D9345">
        <v>87</v>
      </c>
    </row>
    <row r="9346" spans="1:4" ht="15" x14ac:dyDescent="0.25">
      <c r="A9346" t="s">
        <v>24630</v>
      </c>
      <c r="B9346">
        <v>2</v>
      </c>
      <c r="C9346">
        <v>227</v>
      </c>
      <c r="D9346">
        <v>113.5</v>
      </c>
    </row>
    <row r="9347" spans="1:4" ht="15" x14ac:dyDescent="0.25">
      <c r="A9347" t="s">
        <v>24629</v>
      </c>
      <c r="B9347">
        <v>1</v>
      </c>
      <c r="C9347">
        <v>99</v>
      </c>
      <c r="D9347">
        <v>99</v>
      </c>
    </row>
    <row r="9348" spans="1:4" ht="15" x14ac:dyDescent="0.25">
      <c r="A9348" t="s">
        <v>24638</v>
      </c>
      <c r="B9348">
        <v>1</v>
      </c>
      <c r="C9348">
        <v>70</v>
      </c>
      <c r="D9348">
        <v>70</v>
      </c>
    </row>
    <row r="9349" spans="1:4" ht="15" x14ac:dyDescent="0.25">
      <c r="A9349" t="s">
        <v>24640</v>
      </c>
      <c r="B9349">
        <v>1</v>
      </c>
      <c r="C9349">
        <v>70</v>
      </c>
      <c r="D9349">
        <v>70</v>
      </c>
    </row>
    <row r="9350" spans="1:4" ht="15" x14ac:dyDescent="0.25">
      <c r="A9350" t="s">
        <v>24639</v>
      </c>
      <c r="B9350">
        <v>1</v>
      </c>
      <c r="C9350">
        <v>70</v>
      </c>
      <c r="D9350">
        <v>70</v>
      </c>
    </row>
    <row r="9351" spans="1:4" ht="15" x14ac:dyDescent="0.25">
      <c r="A9351" t="s">
        <v>24645</v>
      </c>
      <c r="B9351">
        <v>1</v>
      </c>
      <c r="C9351">
        <v>17</v>
      </c>
      <c r="D9351">
        <v>17</v>
      </c>
    </row>
    <row r="9352" spans="1:4" ht="15" x14ac:dyDescent="0.25">
      <c r="A9352" t="s">
        <v>24646</v>
      </c>
      <c r="B9352">
        <v>1</v>
      </c>
      <c r="C9352">
        <v>17</v>
      </c>
      <c r="D9352">
        <v>17</v>
      </c>
    </row>
    <row r="9353" spans="1:4" ht="15" x14ac:dyDescent="0.25">
      <c r="A9353" t="s">
        <v>24652</v>
      </c>
      <c r="B9353">
        <v>1</v>
      </c>
      <c r="C9353">
        <v>96</v>
      </c>
      <c r="D9353">
        <v>96</v>
      </c>
    </row>
    <row r="9354" spans="1:4" ht="15" x14ac:dyDescent="0.25">
      <c r="A9354" t="s">
        <v>24651</v>
      </c>
      <c r="B9354">
        <v>1</v>
      </c>
      <c r="C9354">
        <v>96</v>
      </c>
      <c r="D9354">
        <v>96</v>
      </c>
    </row>
    <row r="9355" spans="1:4" ht="15" x14ac:dyDescent="0.25">
      <c r="A9355" t="s">
        <v>24656</v>
      </c>
      <c r="B9355">
        <v>1</v>
      </c>
      <c r="C9355">
        <v>29</v>
      </c>
      <c r="D9355">
        <v>29</v>
      </c>
    </row>
    <row r="9356" spans="1:4" ht="15" x14ac:dyDescent="0.25">
      <c r="A9356" t="s">
        <v>24660</v>
      </c>
      <c r="B9356">
        <v>1</v>
      </c>
      <c r="C9356">
        <v>3</v>
      </c>
      <c r="D9356">
        <v>3</v>
      </c>
    </row>
    <row r="9357" spans="1:4" ht="15" x14ac:dyDescent="0.25">
      <c r="A9357" t="s">
        <v>24661</v>
      </c>
      <c r="B9357">
        <v>1</v>
      </c>
      <c r="C9357">
        <v>3</v>
      </c>
      <c r="D9357">
        <v>3</v>
      </c>
    </row>
    <row r="9358" spans="1:4" ht="15" x14ac:dyDescent="0.25">
      <c r="A9358" t="s">
        <v>24663</v>
      </c>
      <c r="B9358">
        <v>1</v>
      </c>
      <c r="C9358">
        <v>3</v>
      </c>
      <c r="D9358">
        <v>3</v>
      </c>
    </row>
    <row r="9359" spans="1:4" ht="15" x14ac:dyDescent="0.25">
      <c r="A9359" t="s">
        <v>24662</v>
      </c>
      <c r="B9359">
        <v>1</v>
      </c>
      <c r="C9359">
        <v>3</v>
      </c>
      <c r="D9359">
        <v>3</v>
      </c>
    </row>
    <row r="9360" spans="1:4" ht="15" x14ac:dyDescent="0.25">
      <c r="A9360" t="s">
        <v>24667</v>
      </c>
      <c r="B9360">
        <v>1</v>
      </c>
      <c r="C9360">
        <v>3</v>
      </c>
      <c r="D9360">
        <v>3</v>
      </c>
    </row>
    <row r="9361" spans="1:4" ht="15" x14ac:dyDescent="0.25">
      <c r="A9361" t="s">
        <v>24669</v>
      </c>
      <c r="B9361">
        <v>1</v>
      </c>
      <c r="C9361">
        <v>3</v>
      </c>
      <c r="D9361">
        <v>3</v>
      </c>
    </row>
    <row r="9362" spans="1:4" ht="15" x14ac:dyDescent="0.25">
      <c r="A9362" t="s">
        <v>24668</v>
      </c>
      <c r="B9362">
        <v>1</v>
      </c>
      <c r="C9362">
        <v>3</v>
      </c>
      <c r="D9362">
        <v>3</v>
      </c>
    </row>
    <row r="9363" spans="1:4" ht="15" x14ac:dyDescent="0.25">
      <c r="A9363" t="s">
        <v>24673</v>
      </c>
      <c r="B9363">
        <v>1</v>
      </c>
      <c r="C9363">
        <v>25</v>
      </c>
      <c r="D9363">
        <v>25</v>
      </c>
    </row>
    <row r="9364" spans="1:4" ht="15" x14ac:dyDescent="0.25">
      <c r="A9364" t="s">
        <v>24675</v>
      </c>
      <c r="B9364">
        <v>1</v>
      </c>
      <c r="C9364">
        <v>25</v>
      </c>
      <c r="D9364">
        <v>25</v>
      </c>
    </row>
    <row r="9365" spans="1:4" ht="15" x14ac:dyDescent="0.25">
      <c r="A9365" t="s">
        <v>24676</v>
      </c>
      <c r="B9365">
        <v>1</v>
      </c>
      <c r="C9365">
        <v>25</v>
      </c>
      <c r="D9365">
        <v>25</v>
      </c>
    </row>
    <row r="9366" spans="1:4" ht="15" x14ac:dyDescent="0.25">
      <c r="A9366" t="s">
        <v>24674</v>
      </c>
      <c r="B9366">
        <v>1</v>
      </c>
      <c r="C9366">
        <v>25</v>
      </c>
      <c r="D9366">
        <v>25</v>
      </c>
    </row>
    <row r="9367" spans="1:4" ht="15" x14ac:dyDescent="0.25">
      <c r="A9367" t="s">
        <v>24680</v>
      </c>
      <c r="B9367">
        <v>1</v>
      </c>
      <c r="C9367">
        <v>27</v>
      </c>
      <c r="D9367">
        <v>27</v>
      </c>
    </row>
    <row r="9368" spans="1:4" ht="15" x14ac:dyDescent="0.25">
      <c r="A9368" t="s">
        <v>24684</v>
      </c>
      <c r="B9368">
        <v>1</v>
      </c>
      <c r="C9368">
        <v>42</v>
      </c>
      <c r="D9368">
        <v>42</v>
      </c>
    </row>
    <row r="9369" spans="1:4" ht="15" x14ac:dyDescent="0.25">
      <c r="A9369" t="s">
        <v>24688</v>
      </c>
      <c r="B9369">
        <v>1</v>
      </c>
      <c r="C9369">
        <v>25</v>
      </c>
      <c r="D9369">
        <v>25</v>
      </c>
    </row>
    <row r="9370" spans="1:4" ht="15" x14ac:dyDescent="0.25">
      <c r="A9370" t="s">
        <v>24689</v>
      </c>
      <c r="B9370">
        <v>1</v>
      </c>
      <c r="C9370">
        <v>25</v>
      </c>
      <c r="D9370">
        <v>25</v>
      </c>
    </row>
    <row r="9371" spans="1:4" ht="15" x14ac:dyDescent="0.25">
      <c r="A9371" t="s">
        <v>24694</v>
      </c>
      <c r="B9371">
        <v>2</v>
      </c>
      <c r="C9371">
        <v>157</v>
      </c>
      <c r="D9371">
        <v>78.5</v>
      </c>
    </row>
    <row r="9372" spans="1:4" ht="15" x14ac:dyDescent="0.25">
      <c r="A9372" t="s">
        <v>24695</v>
      </c>
      <c r="B9372">
        <v>2</v>
      </c>
      <c r="C9372">
        <v>157</v>
      </c>
      <c r="D9372">
        <v>78.5</v>
      </c>
    </row>
    <row r="9373" spans="1:4" ht="15" x14ac:dyDescent="0.25">
      <c r="A9373" t="s">
        <v>24703</v>
      </c>
      <c r="B9373">
        <v>1</v>
      </c>
      <c r="C9373">
        <v>41</v>
      </c>
      <c r="D9373">
        <v>41</v>
      </c>
    </row>
    <row r="9374" spans="1:4" ht="15" x14ac:dyDescent="0.25">
      <c r="A9374" t="s">
        <v>24704</v>
      </c>
      <c r="B9374">
        <v>1</v>
      </c>
      <c r="C9374">
        <v>41</v>
      </c>
      <c r="D9374">
        <v>41</v>
      </c>
    </row>
    <row r="9375" spans="1:4" ht="15" x14ac:dyDescent="0.25">
      <c r="A9375" t="s">
        <v>24705</v>
      </c>
      <c r="B9375">
        <v>2</v>
      </c>
      <c r="C9375">
        <v>96</v>
      </c>
      <c r="D9375">
        <v>48</v>
      </c>
    </row>
    <row r="9376" spans="1:4" ht="15" x14ac:dyDescent="0.25">
      <c r="A9376" t="s">
        <v>24715</v>
      </c>
      <c r="B9376">
        <v>1</v>
      </c>
      <c r="C9376">
        <v>88</v>
      </c>
      <c r="D9376">
        <v>88</v>
      </c>
    </row>
    <row r="9377" spans="1:4" ht="15" x14ac:dyDescent="0.25">
      <c r="A9377" t="s">
        <v>24717</v>
      </c>
      <c r="B9377">
        <v>1</v>
      </c>
      <c r="C9377">
        <v>88</v>
      </c>
      <c r="D9377">
        <v>88</v>
      </c>
    </row>
    <row r="9378" spans="1:4" ht="15" x14ac:dyDescent="0.25">
      <c r="A9378" t="s">
        <v>24716</v>
      </c>
      <c r="B9378">
        <v>1</v>
      </c>
      <c r="C9378">
        <v>88</v>
      </c>
      <c r="D9378">
        <v>88</v>
      </c>
    </row>
    <row r="9379" spans="1:4" ht="15" x14ac:dyDescent="0.25">
      <c r="A9379" t="s">
        <v>24721</v>
      </c>
      <c r="B9379">
        <v>1</v>
      </c>
      <c r="C9379">
        <v>59</v>
      </c>
      <c r="D9379">
        <v>59</v>
      </c>
    </row>
    <row r="9380" spans="1:4" ht="15" x14ac:dyDescent="0.25">
      <c r="A9380" t="s">
        <v>24723</v>
      </c>
      <c r="B9380">
        <v>1</v>
      </c>
      <c r="C9380">
        <v>59</v>
      </c>
      <c r="D9380">
        <v>59</v>
      </c>
    </row>
    <row r="9381" spans="1:4" ht="15" x14ac:dyDescent="0.25">
      <c r="A9381" t="s">
        <v>24722</v>
      </c>
      <c r="B9381">
        <v>1</v>
      </c>
      <c r="C9381">
        <v>59</v>
      </c>
      <c r="D9381">
        <v>59</v>
      </c>
    </row>
    <row r="9382" spans="1:4" ht="15" x14ac:dyDescent="0.25">
      <c r="A9382" t="s">
        <v>24729</v>
      </c>
      <c r="B9382">
        <v>1</v>
      </c>
      <c r="C9382">
        <v>49</v>
      </c>
      <c r="D9382">
        <v>49</v>
      </c>
    </row>
    <row r="9383" spans="1:4" ht="15" x14ac:dyDescent="0.25">
      <c r="A9383" t="s">
        <v>24730</v>
      </c>
      <c r="B9383">
        <v>2</v>
      </c>
      <c r="C9383">
        <v>119</v>
      </c>
      <c r="D9383">
        <v>59.5</v>
      </c>
    </row>
    <row r="9384" spans="1:4" ht="15" x14ac:dyDescent="0.25">
      <c r="A9384" t="s">
        <v>24731</v>
      </c>
      <c r="B9384">
        <v>1</v>
      </c>
      <c r="C9384">
        <v>49</v>
      </c>
      <c r="D9384">
        <v>49</v>
      </c>
    </row>
    <row r="9385" spans="1:4" ht="15" x14ac:dyDescent="0.25">
      <c r="A9385" t="s">
        <v>24736</v>
      </c>
      <c r="B9385">
        <v>1</v>
      </c>
      <c r="C9385">
        <v>43</v>
      </c>
      <c r="D9385">
        <v>43</v>
      </c>
    </row>
    <row r="9386" spans="1:4" ht="15" x14ac:dyDescent="0.25">
      <c r="A9386" t="s">
        <v>24743</v>
      </c>
      <c r="B9386">
        <v>1</v>
      </c>
      <c r="C9386">
        <v>16</v>
      </c>
      <c r="D9386">
        <v>16</v>
      </c>
    </row>
    <row r="9387" spans="1:4" ht="15" x14ac:dyDescent="0.25">
      <c r="A9387" t="s">
        <v>24744</v>
      </c>
      <c r="B9387">
        <v>1</v>
      </c>
      <c r="C9387">
        <v>16</v>
      </c>
      <c r="D9387">
        <v>16</v>
      </c>
    </row>
    <row r="9388" spans="1:4" ht="15" x14ac:dyDescent="0.25">
      <c r="A9388" t="s">
        <v>24746</v>
      </c>
      <c r="B9388">
        <v>1</v>
      </c>
      <c r="C9388">
        <v>16</v>
      </c>
      <c r="D9388">
        <v>16</v>
      </c>
    </row>
    <row r="9389" spans="1:4" ht="15" x14ac:dyDescent="0.25">
      <c r="A9389" t="s">
        <v>24745</v>
      </c>
      <c r="B9389">
        <v>1</v>
      </c>
      <c r="C9389">
        <v>16</v>
      </c>
      <c r="D9389">
        <v>16</v>
      </c>
    </row>
    <row r="9390" spans="1:4" ht="15" x14ac:dyDescent="0.25">
      <c r="A9390" t="s">
        <v>24750</v>
      </c>
      <c r="B9390">
        <v>1</v>
      </c>
      <c r="C9390">
        <v>18</v>
      </c>
      <c r="D9390">
        <v>18</v>
      </c>
    </row>
    <row r="9391" spans="1:4" ht="15" x14ac:dyDescent="0.25">
      <c r="A9391" t="s">
        <v>24751</v>
      </c>
      <c r="B9391">
        <v>1</v>
      </c>
      <c r="C9391">
        <v>18</v>
      </c>
      <c r="D9391">
        <v>18</v>
      </c>
    </row>
    <row r="9392" spans="1:4" ht="15" x14ac:dyDescent="0.25">
      <c r="A9392" t="s">
        <v>24758</v>
      </c>
      <c r="B9392">
        <v>1</v>
      </c>
      <c r="C9392">
        <v>45</v>
      </c>
      <c r="D9392">
        <v>45</v>
      </c>
    </row>
    <row r="9393" spans="1:4" ht="15" x14ac:dyDescent="0.25">
      <c r="A9393" t="s">
        <v>24760</v>
      </c>
      <c r="B9393">
        <v>1</v>
      </c>
      <c r="C9393">
        <v>45</v>
      </c>
      <c r="D9393">
        <v>45</v>
      </c>
    </row>
    <row r="9394" spans="1:4" ht="15" x14ac:dyDescent="0.25">
      <c r="A9394" t="s">
        <v>24761</v>
      </c>
      <c r="B9394">
        <v>1</v>
      </c>
      <c r="C9394">
        <v>45</v>
      </c>
      <c r="D9394">
        <v>45</v>
      </c>
    </row>
    <row r="9395" spans="1:4" ht="15" x14ac:dyDescent="0.25">
      <c r="A9395" t="s">
        <v>24759</v>
      </c>
      <c r="B9395">
        <v>1</v>
      </c>
      <c r="C9395">
        <v>45</v>
      </c>
      <c r="D9395">
        <v>45</v>
      </c>
    </row>
    <row r="9396" spans="1:4" ht="15" x14ac:dyDescent="0.25">
      <c r="A9396" t="s">
        <v>24766</v>
      </c>
      <c r="B9396">
        <v>1</v>
      </c>
      <c r="C9396">
        <v>74</v>
      </c>
      <c r="D9396">
        <v>74</v>
      </c>
    </row>
    <row r="9397" spans="1:4" ht="15" x14ac:dyDescent="0.25">
      <c r="A9397" t="s">
        <v>24767</v>
      </c>
      <c r="B9397">
        <v>1</v>
      </c>
      <c r="C9397">
        <v>74</v>
      </c>
      <c r="D9397">
        <v>74</v>
      </c>
    </row>
    <row r="9398" spans="1:4" ht="15" x14ac:dyDescent="0.25">
      <c r="A9398" t="s">
        <v>24769</v>
      </c>
      <c r="B9398">
        <v>1</v>
      </c>
      <c r="C9398">
        <v>74</v>
      </c>
      <c r="D9398">
        <v>74</v>
      </c>
    </row>
    <row r="9399" spans="1:4" ht="15" x14ac:dyDescent="0.25">
      <c r="A9399" t="s">
        <v>24770</v>
      </c>
      <c r="B9399">
        <v>1</v>
      </c>
      <c r="C9399">
        <v>74</v>
      </c>
      <c r="D9399">
        <v>74</v>
      </c>
    </row>
    <row r="9400" spans="1:4" ht="15" x14ac:dyDescent="0.25">
      <c r="A9400" t="s">
        <v>24768</v>
      </c>
      <c r="B9400">
        <v>1</v>
      </c>
      <c r="C9400">
        <v>74</v>
      </c>
      <c r="D9400">
        <v>74</v>
      </c>
    </row>
    <row r="9401" spans="1:4" ht="15" x14ac:dyDescent="0.25">
      <c r="A9401" t="s">
        <v>24775</v>
      </c>
      <c r="B9401">
        <v>2</v>
      </c>
      <c r="C9401">
        <v>41</v>
      </c>
      <c r="D9401">
        <v>20.5</v>
      </c>
    </row>
    <row r="9402" spans="1:4" ht="15" x14ac:dyDescent="0.25">
      <c r="A9402" t="s">
        <v>24776</v>
      </c>
      <c r="B9402">
        <v>1</v>
      </c>
      <c r="C9402">
        <v>20</v>
      </c>
      <c r="D9402">
        <v>20</v>
      </c>
    </row>
    <row r="9403" spans="1:4" ht="15" x14ac:dyDescent="0.25">
      <c r="A9403" t="s">
        <v>24777</v>
      </c>
      <c r="B9403">
        <v>1</v>
      </c>
      <c r="C9403">
        <v>20</v>
      </c>
      <c r="D9403">
        <v>20</v>
      </c>
    </row>
    <row r="9404" spans="1:4" ht="15" x14ac:dyDescent="0.25">
      <c r="A9404" t="s">
        <v>24781</v>
      </c>
      <c r="B9404">
        <v>1</v>
      </c>
      <c r="C9404">
        <v>132</v>
      </c>
      <c r="D9404">
        <v>132</v>
      </c>
    </row>
    <row r="9405" spans="1:4" ht="15" x14ac:dyDescent="0.25">
      <c r="A9405" t="s">
        <v>24782</v>
      </c>
      <c r="B9405">
        <v>1</v>
      </c>
      <c r="C9405">
        <v>132</v>
      </c>
      <c r="D9405">
        <v>132</v>
      </c>
    </row>
    <row r="9406" spans="1:4" ht="15" x14ac:dyDescent="0.25">
      <c r="A9406" t="s">
        <v>24783</v>
      </c>
      <c r="B9406">
        <v>1</v>
      </c>
      <c r="C9406">
        <v>132</v>
      </c>
      <c r="D9406">
        <v>132</v>
      </c>
    </row>
    <row r="9407" spans="1:4" ht="15" x14ac:dyDescent="0.25">
      <c r="A9407" t="s">
        <v>24787</v>
      </c>
      <c r="B9407">
        <v>1</v>
      </c>
      <c r="C9407">
        <v>20</v>
      </c>
      <c r="D9407">
        <v>20</v>
      </c>
    </row>
    <row r="9408" spans="1:4" ht="15" x14ac:dyDescent="0.25">
      <c r="A9408" t="s">
        <v>24788</v>
      </c>
      <c r="B9408">
        <v>1</v>
      </c>
      <c r="C9408">
        <v>20</v>
      </c>
      <c r="D9408">
        <v>20</v>
      </c>
    </row>
    <row r="9409" spans="1:4" ht="15" x14ac:dyDescent="0.25">
      <c r="A9409" t="s">
        <v>24792</v>
      </c>
      <c r="B9409">
        <v>1</v>
      </c>
      <c r="C9409">
        <v>37</v>
      </c>
      <c r="D9409">
        <v>37</v>
      </c>
    </row>
    <row r="9410" spans="1:4" ht="15" x14ac:dyDescent="0.25">
      <c r="A9410" t="s">
        <v>24793</v>
      </c>
      <c r="B9410">
        <v>1</v>
      </c>
      <c r="C9410">
        <v>37</v>
      </c>
      <c r="D9410">
        <v>37</v>
      </c>
    </row>
    <row r="9411" spans="1:4" ht="15" x14ac:dyDescent="0.25">
      <c r="A9411" t="s">
        <v>24796</v>
      </c>
      <c r="B9411">
        <v>1</v>
      </c>
      <c r="C9411">
        <v>44</v>
      </c>
      <c r="D9411">
        <v>44</v>
      </c>
    </row>
    <row r="9412" spans="1:4" ht="15" x14ac:dyDescent="0.25">
      <c r="A9412" t="s">
        <v>24800</v>
      </c>
      <c r="B9412">
        <v>1</v>
      </c>
      <c r="C9412">
        <v>15</v>
      </c>
      <c r="D9412">
        <v>15</v>
      </c>
    </row>
    <row r="9413" spans="1:4" ht="15" x14ac:dyDescent="0.25">
      <c r="A9413" t="s">
        <v>24802</v>
      </c>
      <c r="B9413">
        <v>1</v>
      </c>
      <c r="C9413">
        <v>15</v>
      </c>
      <c r="D9413">
        <v>15</v>
      </c>
    </row>
    <row r="9414" spans="1:4" ht="15" x14ac:dyDescent="0.25">
      <c r="A9414" t="s">
        <v>24801</v>
      </c>
      <c r="B9414">
        <v>1</v>
      </c>
      <c r="C9414">
        <v>15</v>
      </c>
      <c r="D9414">
        <v>15</v>
      </c>
    </row>
    <row r="9415" spans="1:4" ht="15" x14ac:dyDescent="0.25">
      <c r="A9415" t="s">
        <v>24806</v>
      </c>
      <c r="B9415">
        <v>1</v>
      </c>
      <c r="C9415">
        <v>7</v>
      </c>
      <c r="D9415">
        <v>7</v>
      </c>
    </row>
    <row r="9416" spans="1:4" ht="15" x14ac:dyDescent="0.25">
      <c r="A9416" t="s">
        <v>24807</v>
      </c>
      <c r="B9416">
        <v>1</v>
      </c>
      <c r="C9416">
        <v>7</v>
      </c>
      <c r="D9416">
        <v>7</v>
      </c>
    </row>
    <row r="9417" spans="1:4" ht="15" x14ac:dyDescent="0.25">
      <c r="A9417" t="s">
        <v>24812</v>
      </c>
      <c r="B9417">
        <v>1</v>
      </c>
      <c r="C9417">
        <v>59</v>
      </c>
      <c r="D9417">
        <v>59</v>
      </c>
    </row>
    <row r="9418" spans="1:4" ht="15" x14ac:dyDescent="0.25">
      <c r="A9418" t="s">
        <v>24815</v>
      </c>
      <c r="B9418">
        <v>1</v>
      </c>
      <c r="C9418">
        <v>81</v>
      </c>
      <c r="D9418">
        <v>81</v>
      </c>
    </row>
    <row r="9419" spans="1:4" ht="15" x14ac:dyDescent="0.25">
      <c r="A9419" t="s">
        <v>24816</v>
      </c>
      <c r="B9419">
        <v>1</v>
      </c>
      <c r="C9419">
        <v>81</v>
      </c>
      <c r="D9419">
        <v>81</v>
      </c>
    </row>
    <row r="9420" spans="1:4" ht="15" x14ac:dyDescent="0.25">
      <c r="A9420" t="s">
        <v>24819</v>
      </c>
      <c r="B9420">
        <v>2</v>
      </c>
      <c r="C9420">
        <v>126</v>
      </c>
      <c r="D9420">
        <v>63</v>
      </c>
    </row>
    <row r="9421" spans="1:4" ht="15" x14ac:dyDescent="0.25">
      <c r="A9421" t="s">
        <v>24820</v>
      </c>
      <c r="B9421">
        <v>2</v>
      </c>
      <c r="C9421">
        <v>126</v>
      </c>
      <c r="D9421">
        <v>63</v>
      </c>
    </row>
    <row r="9422" spans="1:4" ht="15" x14ac:dyDescent="0.25">
      <c r="A9422" t="s">
        <v>24824</v>
      </c>
      <c r="B9422">
        <v>1</v>
      </c>
      <c r="C9422">
        <v>35</v>
      </c>
      <c r="D9422">
        <v>35</v>
      </c>
    </row>
    <row r="9423" spans="1:4" ht="15" x14ac:dyDescent="0.25">
      <c r="A9423" t="s">
        <v>24825</v>
      </c>
      <c r="B9423">
        <v>1</v>
      </c>
      <c r="C9423">
        <v>35</v>
      </c>
      <c r="D9423">
        <v>35</v>
      </c>
    </row>
    <row r="9424" spans="1:4" ht="15" x14ac:dyDescent="0.25">
      <c r="A9424" t="s">
        <v>24829</v>
      </c>
      <c r="B9424">
        <v>2</v>
      </c>
      <c r="C9424">
        <v>45</v>
      </c>
      <c r="D9424">
        <v>22.5</v>
      </c>
    </row>
    <row r="9425" spans="1:4" ht="15" x14ac:dyDescent="0.25">
      <c r="A9425" t="s">
        <v>24833</v>
      </c>
      <c r="B9425">
        <v>1</v>
      </c>
      <c r="C9425">
        <v>10</v>
      </c>
      <c r="D9425">
        <v>10</v>
      </c>
    </row>
    <row r="9426" spans="1:4" ht="15" x14ac:dyDescent="0.25">
      <c r="A9426" t="s">
        <v>24834</v>
      </c>
      <c r="B9426">
        <v>1</v>
      </c>
      <c r="C9426">
        <v>10</v>
      </c>
      <c r="D9426">
        <v>10</v>
      </c>
    </row>
    <row r="9427" spans="1:4" ht="15" x14ac:dyDescent="0.25">
      <c r="A9427" t="s">
        <v>24836</v>
      </c>
      <c r="B9427">
        <v>1</v>
      </c>
      <c r="C9427">
        <v>10</v>
      </c>
      <c r="D9427">
        <v>10</v>
      </c>
    </row>
    <row r="9428" spans="1:4" ht="15" x14ac:dyDescent="0.25">
      <c r="A9428" t="s">
        <v>24835</v>
      </c>
      <c r="B9428">
        <v>1</v>
      </c>
      <c r="C9428">
        <v>10</v>
      </c>
      <c r="D9428">
        <v>10</v>
      </c>
    </row>
    <row r="9429" spans="1:4" ht="15" x14ac:dyDescent="0.25">
      <c r="A9429" t="s">
        <v>24841</v>
      </c>
      <c r="B9429">
        <v>1</v>
      </c>
      <c r="C9429">
        <v>252</v>
      </c>
      <c r="D9429">
        <v>252</v>
      </c>
    </row>
    <row r="9430" spans="1:4" ht="15" x14ac:dyDescent="0.25">
      <c r="A9430" t="s">
        <v>24848</v>
      </c>
      <c r="B9430">
        <v>1</v>
      </c>
      <c r="C9430">
        <v>12</v>
      </c>
      <c r="D9430">
        <v>12</v>
      </c>
    </row>
    <row r="9431" spans="1:4" ht="15" x14ac:dyDescent="0.25">
      <c r="A9431" t="s">
        <v>24850</v>
      </c>
      <c r="B9431">
        <v>1</v>
      </c>
      <c r="C9431">
        <v>12</v>
      </c>
      <c r="D9431">
        <v>12</v>
      </c>
    </row>
    <row r="9432" spans="1:4" ht="15" x14ac:dyDescent="0.25">
      <c r="A9432" t="s">
        <v>24849</v>
      </c>
      <c r="B9432">
        <v>1</v>
      </c>
      <c r="C9432">
        <v>12</v>
      </c>
      <c r="D9432">
        <v>12</v>
      </c>
    </row>
    <row r="9433" spans="1:4" ht="15" x14ac:dyDescent="0.25">
      <c r="A9433" t="s">
        <v>24854</v>
      </c>
      <c r="B9433">
        <v>1</v>
      </c>
      <c r="C9433">
        <v>14</v>
      </c>
      <c r="D9433">
        <v>14</v>
      </c>
    </row>
    <row r="9434" spans="1:4" ht="15" x14ac:dyDescent="0.25">
      <c r="A9434" t="s">
        <v>24855</v>
      </c>
      <c r="B9434">
        <v>1</v>
      </c>
      <c r="C9434">
        <v>14</v>
      </c>
      <c r="D9434">
        <v>14</v>
      </c>
    </row>
    <row r="9435" spans="1:4" ht="15" x14ac:dyDescent="0.25">
      <c r="A9435" t="s">
        <v>24856</v>
      </c>
      <c r="B9435">
        <v>1</v>
      </c>
      <c r="C9435">
        <v>14</v>
      </c>
      <c r="D9435">
        <v>14</v>
      </c>
    </row>
    <row r="9436" spans="1:4" ht="15" x14ac:dyDescent="0.25">
      <c r="A9436" t="s">
        <v>24859</v>
      </c>
      <c r="B9436">
        <v>1</v>
      </c>
      <c r="C9436">
        <v>51</v>
      </c>
      <c r="D9436">
        <v>51</v>
      </c>
    </row>
    <row r="9437" spans="1:4" ht="15" x14ac:dyDescent="0.25">
      <c r="A9437" t="s">
        <v>24860</v>
      </c>
      <c r="B9437">
        <v>2</v>
      </c>
      <c r="C9437">
        <v>76</v>
      </c>
      <c r="D9437">
        <v>38</v>
      </c>
    </row>
    <row r="9438" spans="1:4" ht="15" x14ac:dyDescent="0.25">
      <c r="A9438" t="s">
        <v>24861</v>
      </c>
      <c r="B9438">
        <v>1</v>
      </c>
      <c r="C9438">
        <v>51</v>
      </c>
      <c r="D9438">
        <v>51</v>
      </c>
    </row>
    <row r="9439" spans="1:4" ht="15" x14ac:dyDescent="0.25">
      <c r="A9439" t="s">
        <v>24862</v>
      </c>
      <c r="B9439">
        <v>1</v>
      </c>
      <c r="C9439">
        <v>51</v>
      </c>
      <c r="D9439">
        <v>51</v>
      </c>
    </row>
    <row r="9440" spans="1:4" ht="15" x14ac:dyDescent="0.25">
      <c r="A9440" t="s">
        <v>24865</v>
      </c>
      <c r="B9440">
        <v>1</v>
      </c>
      <c r="C9440">
        <v>38</v>
      </c>
      <c r="D9440">
        <v>38</v>
      </c>
    </row>
    <row r="9441" spans="1:4" ht="15" x14ac:dyDescent="0.25">
      <c r="A9441" t="s">
        <v>24871</v>
      </c>
      <c r="B9441">
        <v>1</v>
      </c>
      <c r="C9441">
        <v>7</v>
      </c>
      <c r="D9441">
        <v>7</v>
      </c>
    </row>
    <row r="9442" spans="1:4" ht="15" x14ac:dyDescent="0.25">
      <c r="A9442" t="s">
        <v>24875</v>
      </c>
      <c r="B9442">
        <v>1</v>
      </c>
      <c r="C9442">
        <v>59</v>
      </c>
      <c r="D9442">
        <v>59</v>
      </c>
    </row>
    <row r="9443" spans="1:4" ht="15" x14ac:dyDescent="0.25">
      <c r="A9443" t="s">
        <v>24876</v>
      </c>
      <c r="B9443">
        <v>1</v>
      </c>
      <c r="C9443">
        <v>59</v>
      </c>
      <c r="D9443">
        <v>59</v>
      </c>
    </row>
    <row r="9444" spans="1:4" ht="15" x14ac:dyDescent="0.25">
      <c r="A9444" t="s">
        <v>24884</v>
      </c>
      <c r="B9444">
        <v>1</v>
      </c>
      <c r="C9444">
        <v>614</v>
      </c>
      <c r="D9444">
        <v>614</v>
      </c>
    </row>
    <row r="9445" spans="1:4" ht="15" x14ac:dyDescent="0.25">
      <c r="A9445" t="s">
        <v>24888</v>
      </c>
      <c r="B9445">
        <v>1</v>
      </c>
      <c r="C9445">
        <v>83</v>
      </c>
      <c r="D9445">
        <v>83</v>
      </c>
    </row>
    <row r="9446" spans="1:4" ht="15" x14ac:dyDescent="0.25">
      <c r="A9446" t="s">
        <v>24890</v>
      </c>
      <c r="B9446">
        <v>1</v>
      </c>
      <c r="C9446">
        <v>83</v>
      </c>
      <c r="D9446">
        <v>83</v>
      </c>
    </row>
    <row r="9447" spans="1:4" ht="15" x14ac:dyDescent="0.25">
      <c r="A9447" t="s">
        <v>24889</v>
      </c>
      <c r="B9447">
        <v>1</v>
      </c>
      <c r="C9447">
        <v>83</v>
      </c>
      <c r="D9447">
        <v>83</v>
      </c>
    </row>
    <row r="9448" spans="1:4" ht="15" x14ac:dyDescent="0.25">
      <c r="A9448" t="s">
        <v>24894</v>
      </c>
      <c r="B9448">
        <v>1</v>
      </c>
      <c r="C9448">
        <v>12</v>
      </c>
      <c r="D9448">
        <v>12</v>
      </c>
    </row>
    <row r="9449" spans="1:4" ht="15" x14ac:dyDescent="0.25">
      <c r="A9449" t="s">
        <v>24896</v>
      </c>
      <c r="B9449">
        <v>1</v>
      </c>
      <c r="C9449">
        <v>12</v>
      </c>
      <c r="D9449">
        <v>12</v>
      </c>
    </row>
    <row r="9450" spans="1:4" ht="15" x14ac:dyDescent="0.25">
      <c r="A9450" t="s">
        <v>24897</v>
      </c>
      <c r="B9450">
        <v>1</v>
      </c>
      <c r="C9450">
        <v>12</v>
      </c>
      <c r="D9450">
        <v>12</v>
      </c>
    </row>
    <row r="9451" spans="1:4" ht="15" x14ac:dyDescent="0.25">
      <c r="A9451" t="s">
        <v>24895</v>
      </c>
      <c r="B9451">
        <v>1</v>
      </c>
      <c r="C9451">
        <v>12</v>
      </c>
      <c r="D9451">
        <v>12</v>
      </c>
    </row>
    <row r="9452" spans="1:4" ht="15" x14ac:dyDescent="0.25">
      <c r="A9452" t="s">
        <v>24900</v>
      </c>
      <c r="B9452">
        <v>1</v>
      </c>
      <c r="C9452">
        <v>26</v>
      </c>
      <c r="D9452">
        <v>26</v>
      </c>
    </row>
    <row r="9453" spans="1:4" ht="15" x14ac:dyDescent="0.25">
      <c r="A9453" t="s">
        <v>24904</v>
      </c>
      <c r="B9453">
        <v>1</v>
      </c>
      <c r="C9453">
        <v>30</v>
      </c>
      <c r="D9453">
        <v>30</v>
      </c>
    </row>
    <row r="9454" spans="1:4" ht="15" x14ac:dyDescent="0.25">
      <c r="A9454" t="s">
        <v>24910</v>
      </c>
      <c r="B9454">
        <v>1</v>
      </c>
      <c r="C9454">
        <v>22</v>
      </c>
      <c r="D9454">
        <v>22</v>
      </c>
    </row>
    <row r="9455" spans="1:4" ht="15" x14ac:dyDescent="0.25">
      <c r="A9455" t="s">
        <v>24913</v>
      </c>
      <c r="B9455">
        <v>2</v>
      </c>
      <c r="C9455">
        <v>55</v>
      </c>
      <c r="D9455">
        <v>27.5</v>
      </c>
    </row>
    <row r="9456" spans="1:4" ht="15" x14ac:dyDescent="0.25">
      <c r="A9456" t="s">
        <v>24918</v>
      </c>
      <c r="B9456">
        <v>1</v>
      </c>
      <c r="C9456">
        <v>71</v>
      </c>
      <c r="D9456">
        <v>71</v>
      </c>
    </row>
    <row r="9457" spans="1:4" ht="15" x14ac:dyDescent="0.25">
      <c r="A9457" t="s">
        <v>24923</v>
      </c>
      <c r="B9457">
        <v>1</v>
      </c>
      <c r="C9457">
        <v>334</v>
      </c>
      <c r="D9457">
        <v>334</v>
      </c>
    </row>
    <row r="9458" spans="1:4" ht="15" x14ac:dyDescent="0.25">
      <c r="A9458" t="s">
        <v>24924</v>
      </c>
      <c r="B9458">
        <v>1</v>
      </c>
      <c r="C9458">
        <v>334</v>
      </c>
      <c r="D9458">
        <v>334</v>
      </c>
    </row>
    <row r="9459" spans="1:4" ht="15" x14ac:dyDescent="0.25">
      <c r="A9459" t="s">
        <v>24928</v>
      </c>
      <c r="B9459">
        <v>1</v>
      </c>
      <c r="C9459">
        <v>56</v>
      </c>
      <c r="D9459">
        <v>56</v>
      </c>
    </row>
    <row r="9460" spans="1:4" ht="15" x14ac:dyDescent="0.25">
      <c r="A9460" t="s">
        <v>24932</v>
      </c>
      <c r="B9460">
        <v>1</v>
      </c>
      <c r="C9460">
        <v>33</v>
      </c>
      <c r="D9460">
        <v>33</v>
      </c>
    </row>
    <row r="9461" spans="1:4" ht="15" x14ac:dyDescent="0.25">
      <c r="A9461" t="s">
        <v>24934</v>
      </c>
      <c r="B9461">
        <v>1</v>
      </c>
      <c r="C9461">
        <v>33</v>
      </c>
      <c r="D9461">
        <v>33</v>
      </c>
    </row>
    <row r="9462" spans="1:4" ht="15" x14ac:dyDescent="0.25">
      <c r="A9462" t="s">
        <v>24933</v>
      </c>
      <c r="B9462">
        <v>1</v>
      </c>
      <c r="C9462">
        <v>33</v>
      </c>
      <c r="D9462">
        <v>33</v>
      </c>
    </row>
    <row r="9463" spans="1:4" ht="15" x14ac:dyDescent="0.25">
      <c r="A9463" t="s">
        <v>24939</v>
      </c>
      <c r="B9463">
        <v>1</v>
      </c>
      <c r="C9463">
        <v>18</v>
      </c>
      <c r="D9463">
        <v>18</v>
      </c>
    </row>
    <row r="9464" spans="1:4" ht="15" x14ac:dyDescent="0.25">
      <c r="A9464" t="s">
        <v>24938</v>
      </c>
      <c r="B9464">
        <v>1</v>
      </c>
      <c r="C9464">
        <v>18</v>
      </c>
      <c r="D9464">
        <v>18</v>
      </c>
    </row>
    <row r="9465" spans="1:4" ht="15" x14ac:dyDescent="0.25">
      <c r="A9465" t="s">
        <v>24943</v>
      </c>
      <c r="B9465">
        <v>1</v>
      </c>
      <c r="C9465">
        <v>6</v>
      </c>
      <c r="D9465">
        <v>6</v>
      </c>
    </row>
    <row r="9466" spans="1:4" ht="15" x14ac:dyDescent="0.25">
      <c r="A9466" t="s">
        <v>24944</v>
      </c>
      <c r="B9466">
        <v>1</v>
      </c>
      <c r="C9466">
        <v>6</v>
      </c>
      <c r="D9466">
        <v>6</v>
      </c>
    </row>
    <row r="9467" spans="1:4" ht="15" x14ac:dyDescent="0.25">
      <c r="A9467" t="s">
        <v>24948</v>
      </c>
      <c r="B9467">
        <v>1</v>
      </c>
      <c r="C9467">
        <v>38</v>
      </c>
      <c r="D9467">
        <v>38</v>
      </c>
    </row>
    <row r="9468" spans="1:4" ht="15" x14ac:dyDescent="0.25">
      <c r="A9468" t="s">
        <v>24945</v>
      </c>
      <c r="B9468">
        <v>1</v>
      </c>
      <c r="C9468">
        <v>38</v>
      </c>
      <c r="D9468">
        <v>38</v>
      </c>
    </row>
    <row r="9469" spans="1:4" ht="15" x14ac:dyDescent="0.25">
      <c r="A9469" t="s">
        <v>24953</v>
      </c>
      <c r="B9469">
        <v>1</v>
      </c>
      <c r="C9469">
        <v>130</v>
      </c>
      <c r="D9469">
        <v>130</v>
      </c>
    </row>
    <row r="9470" spans="1:4" ht="15" x14ac:dyDescent="0.25">
      <c r="A9470" t="s">
        <v>24954</v>
      </c>
      <c r="B9470">
        <v>1</v>
      </c>
      <c r="C9470">
        <v>130</v>
      </c>
      <c r="D9470">
        <v>130</v>
      </c>
    </row>
    <row r="9471" spans="1:4" ht="15" x14ac:dyDescent="0.25">
      <c r="A9471" t="s">
        <v>24952</v>
      </c>
      <c r="B9471">
        <v>1</v>
      </c>
      <c r="C9471">
        <v>130</v>
      </c>
      <c r="D9471">
        <v>130</v>
      </c>
    </row>
    <row r="9472" spans="1:4" ht="15" x14ac:dyDescent="0.25">
      <c r="A9472" t="s">
        <v>24957</v>
      </c>
      <c r="B9472">
        <v>1</v>
      </c>
      <c r="C9472">
        <v>89</v>
      </c>
      <c r="D9472">
        <v>89</v>
      </c>
    </row>
    <row r="9473" spans="1:4" ht="15" x14ac:dyDescent="0.25">
      <c r="A9473" t="s">
        <v>24961</v>
      </c>
      <c r="B9473">
        <v>1</v>
      </c>
      <c r="C9473">
        <v>22</v>
      </c>
      <c r="D9473">
        <v>22</v>
      </c>
    </row>
    <row r="9474" spans="1:4" ht="15" x14ac:dyDescent="0.25">
      <c r="A9474" t="s">
        <v>24963</v>
      </c>
      <c r="B9474">
        <v>1</v>
      </c>
      <c r="C9474">
        <v>22</v>
      </c>
      <c r="D9474">
        <v>22</v>
      </c>
    </row>
    <row r="9475" spans="1:4" ht="15" x14ac:dyDescent="0.25">
      <c r="A9475" t="s">
        <v>24962</v>
      </c>
      <c r="B9475">
        <v>1</v>
      </c>
      <c r="C9475">
        <v>22</v>
      </c>
      <c r="D9475">
        <v>22</v>
      </c>
    </row>
    <row r="9476" spans="1:4" ht="15" x14ac:dyDescent="0.25">
      <c r="A9476" t="s">
        <v>24968</v>
      </c>
      <c r="B9476">
        <v>1</v>
      </c>
      <c r="C9476">
        <v>38</v>
      </c>
      <c r="D9476">
        <v>38</v>
      </c>
    </row>
    <row r="9477" spans="1:4" ht="15" x14ac:dyDescent="0.25">
      <c r="A9477" t="s">
        <v>24967</v>
      </c>
      <c r="B9477">
        <v>1</v>
      </c>
      <c r="C9477">
        <v>38</v>
      </c>
      <c r="D9477">
        <v>38</v>
      </c>
    </row>
    <row r="9478" spans="1:4" ht="15" x14ac:dyDescent="0.25">
      <c r="A9478" t="s">
        <v>24972</v>
      </c>
      <c r="B9478">
        <v>1</v>
      </c>
      <c r="C9478">
        <v>60</v>
      </c>
      <c r="D9478">
        <v>60</v>
      </c>
    </row>
    <row r="9479" spans="1:4" ht="15" x14ac:dyDescent="0.25">
      <c r="A9479" t="s">
        <v>24980</v>
      </c>
      <c r="B9479">
        <v>1</v>
      </c>
      <c r="C9479">
        <v>45</v>
      </c>
      <c r="D9479">
        <v>45</v>
      </c>
    </row>
    <row r="9480" spans="1:4" ht="15" x14ac:dyDescent="0.25">
      <c r="A9480" t="s">
        <v>24979</v>
      </c>
      <c r="B9480">
        <v>1</v>
      </c>
      <c r="C9480">
        <v>45</v>
      </c>
      <c r="D9480">
        <v>45</v>
      </c>
    </row>
    <row r="9481" spans="1:4" ht="15" x14ac:dyDescent="0.25">
      <c r="A9481" t="s">
        <v>24985</v>
      </c>
      <c r="B9481">
        <v>1</v>
      </c>
      <c r="C9481">
        <v>25</v>
      </c>
      <c r="D9481">
        <v>25</v>
      </c>
    </row>
    <row r="9482" spans="1:4" ht="15" x14ac:dyDescent="0.25">
      <c r="A9482" t="s">
        <v>24990</v>
      </c>
      <c r="B9482">
        <v>1</v>
      </c>
      <c r="C9482">
        <v>21</v>
      </c>
      <c r="D9482">
        <v>21</v>
      </c>
    </row>
    <row r="9483" spans="1:4" ht="15" x14ac:dyDescent="0.25">
      <c r="A9483" t="s">
        <v>24991</v>
      </c>
      <c r="B9483">
        <v>1</v>
      </c>
      <c r="C9483">
        <v>21</v>
      </c>
      <c r="D9483">
        <v>21</v>
      </c>
    </row>
    <row r="9484" spans="1:4" ht="15" x14ac:dyDescent="0.25">
      <c r="A9484" t="s">
        <v>24992</v>
      </c>
      <c r="B9484">
        <v>1</v>
      </c>
      <c r="C9484">
        <v>21</v>
      </c>
      <c r="D9484">
        <v>21</v>
      </c>
    </row>
    <row r="9485" spans="1:4" ht="15" x14ac:dyDescent="0.25">
      <c r="A9485" t="s">
        <v>24993</v>
      </c>
      <c r="B9485">
        <v>1</v>
      </c>
      <c r="C9485">
        <v>27</v>
      </c>
      <c r="D9485">
        <v>27</v>
      </c>
    </row>
    <row r="9486" spans="1:4" ht="15" x14ac:dyDescent="0.25">
      <c r="A9486" t="s">
        <v>24997</v>
      </c>
      <c r="B9486">
        <v>1</v>
      </c>
      <c r="C9486">
        <v>27</v>
      </c>
      <c r="D9486">
        <v>27</v>
      </c>
    </row>
    <row r="9487" spans="1:4" ht="15" x14ac:dyDescent="0.25">
      <c r="A9487" t="s">
        <v>24996</v>
      </c>
      <c r="B9487">
        <v>1</v>
      </c>
      <c r="C9487">
        <v>27</v>
      </c>
      <c r="D9487">
        <v>27</v>
      </c>
    </row>
    <row r="9488" spans="1:4" ht="15" x14ac:dyDescent="0.25">
      <c r="A9488" t="s">
        <v>25002</v>
      </c>
      <c r="B9488">
        <v>1</v>
      </c>
      <c r="C9488">
        <v>16</v>
      </c>
      <c r="D9488">
        <v>16</v>
      </c>
    </row>
    <row r="9489" spans="1:4" ht="15" x14ac:dyDescent="0.25">
      <c r="A9489" t="s">
        <v>25004</v>
      </c>
      <c r="B9489">
        <v>1</v>
      </c>
      <c r="C9489">
        <v>16</v>
      </c>
      <c r="D9489">
        <v>16</v>
      </c>
    </row>
    <row r="9490" spans="1:4" ht="15" x14ac:dyDescent="0.25">
      <c r="A9490" t="s">
        <v>25003</v>
      </c>
      <c r="B9490">
        <v>1</v>
      </c>
      <c r="C9490">
        <v>16</v>
      </c>
      <c r="D9490">
        <v>16</v>
      </c>
    </row>
    <row r="9491" spans="1:4" ht="15" x14ac:dyDescent="0.25">
      <c r="A9491" t="s">
        <v>25011</v>
      </c>
      <c r="B9491">
        <v>2</v>
      </c>
      <c r="C9491">
        <v>62</v>
      </c>
      <c r="D9491">
        <v>31</v>
      </c>
    </row>
    <row r="9492" spans="1:4" ht="15" x14ac:dyDescent="0.25">
      <c r="A9492" t="s">
        <v>25027</v>
      </c>
      <c r="B9492">
        <v>1</v>
      </c>
      <c r="C9492">
        <v>33</v>
      </c>
      <c r="D9492">
        <v>33</v>
      </c>
    </row>
    <row r="9493" spans="1:4" ht="15" x14ac:dyDescent="0.25">
      <c r="A9493" t="s">
        <v>25028</v>
      </c>
      <c r="B9493">
        <v>1</v>
      </c>
      <c r="C9493">
        <v>33</v>
      </c>
      <c r="D9493">
        <v>33</v>
      </c>
    </row>
    <row r="9494" spans="1:4" ht="15" x14ac:dyDescent="0.25">
      <c r="A9494" t="s">
        <v>25031</v>
      </c>
      <c r="B9494">
        <v>1</v>
      </c>
      <c r="C9494">
        <v>30</v>
      </c>
      <c r="D9494">
        <v>30</v>
      </c>
    </row>
    <row r="9495" spans="1:4" ht="15" x14ac:dyDescent="0.25">
      <c r="A9495" t="s">
        <v>25032</v>
      </c>
      <c r="B9495">
        <v>1</v>
      </c>
      <c r="C9495">
        <v>30</v>
      </c>
      <c r="D9495">
        <v>30</v>
      </c>
    </row>
    <row r="9496" spans="1:4" ht="15" x14ac:dyDescent="0.25">
      <c r="A9496" t="s">
        <v>25035</v>
      </c>
      <c r="B9496">
        <v>1</v>
      </c>
      <c r="C9496">
        <v>1648</v>
      </c>
      <c r="D9496">
        <v>1648</v>
      </c>
    </row>
    <row r="9497" spans="1:4" ht="15" x14ac:dyDescent="0.25">
      <c r="A9497" t="s">
        <v>25039</v>
      </c>
      <c r="B9497">
        <v>1</v>
      </c>
      <c r="C9497">
        <v>23</v>
      </c>
      <c r="D9497">
        <v>23</v>
      </c>
    </row>
    <row r="9498" spans="1:4" ht="15" x14ac:dyDescent="0.25">
      <c r="A9498" t="s">
        <v>25048</v>
      </c>
      <c r="B9498">
        <v>1</v>
      </c>
      <c r="C9498">
        <v>63</v>
      </c>
      <c r="D9498">
        <v>63</v>
      </c>
    </row>
    <row r="9499" spans="1:4" ht="15" x14ac:dyDescent="0.25">
      <c r="A9499" t="s">
        <v>25049</v>
      </c>
      <c r="B9499">
        <v>1</v>
      </c>
      <c r="C9499">
        <v>63</v>
      </c>
      <c r="D9499">
        <v>63</v>
      </c>
    </row>
    <row r="9500" spans="1:4" ht="15" x14ac:dyDescent="0.25">
      <c r="A9500" t="s">
        <v>25047</v>
      </c>
      <c r="B9500">
        <v>1</v>
      </c>
      <c r="C9500">
        <v>63</v>
      </c>
      <c r="D9500">
        <v>63</v>
      </c>
    </row>
    <row r="9501" spans="1:4" ht="15" x14ac:dyDescent="0.25">
      <c r="A9501" t="s">
        <v>25054</v>
      </c>
      <c r="B9501">
        <v>1</v>
      </c>
      <c r="C9501">
        <v>719</v>
      </c>
      <c r="D9501">
        <v>719</v>
      </c>
    </row>
    <row r="9502" spans="1:4" ht="15" x14ac:dyDescent="0.25">
      <c r="A9502" t="s">
        <v>25055</v>
      </c>
      <c r="B9502">
        <v>1</v>
      </c>
      <c r="C9502">
        <v>719</v>
      </c>
      <c r="D9502">
        <v>719</v>
      </c>
    </row>
    <row r="9503" spans="1:4" ht="15" x14ac:dyDescent="0.25">
      <c r="A9503" t="s">
        <v>25057</v>
      </c>
      <c r="B9503">
        <v>1</v>
      </c>
      <c r="C9503">
        <v>719</v>
      </c>
      <c r="D9503">
        <v>719</v>
      </c>
    </row>
    <row r="9504" spans="1:4" ht="15" x14ac:dyDescent="0.25">
      <c r="A9504" t="s">
        <v>25058</v>
      </c>
      <c r="B9504">
        <v>1</v>
      </c>
      <c r="C9504">
        <v>719</v>
      </c>
      <c r="D9504">
        <v>719</v>
      </c>
    </row>
    <row r="9505" spans="1:4" ht="15" x14ac:dyDescent="0.25">
      <c r="A9505" t="s">
        <v>25056</v>
      </c>
      <c r="B9505">
        <v>1</v>
      </c>
      <c r="C9505">
        <v>719</v>
      </c>
      <c r="D9505">
        <v>719</v>
      </c>
    </row>
    <row r="9506" spans="1:4" ht="15" x14ac:dyDescent="0.25">
      <c r="A9506" t="s">
        <v>25062</v>
      </c>
      <c r="B9506">
        <v>1</v>
      </c>
      <c r="C9506">
        <v>12</v>
      </c>
      <c r="D9506">
        <v>12</v>
      </c>
    </row>
    <row r="9507" spans="1:4" ht="15" x14ac:dyDescent="0.25">
      <c r="A9507" t="s">
        <v>25063</v>
      </c>
      <c r="B9507">
        <v>1</v>
      </c>
      <c r="C9507">
        <v>12</v>
      </c>
      <c r="D9507">
        <v>12</v>
      </c>
    </row>
    <row r="9508" spans="1:4" ht="15" x14ac:dyDescent="0.25">
      <c r="A9508" t="s">
        <v>25067</v>
      </c>
      <c r="B9508">
        <v>1</v>
      </c>
      <c r="C9508">
        <v>95</v>
      </c>
      <c r="D9508">
        <v>95</v>
      </c>
    </row>
    <row r="9509" spans="1:4" ht="15" x14ac:dyDescent="0.25">
      <c r="A9509" t="s">
        <v>25068</v>
      </c>
      <c r="B9509">
        <v>1</v>
      </c>
      <c r="C9509">
        <v>95</v>
      </c>
      <c r="D9509">
        <v>95</v>
      </c>
    </row>
    <row r="9510" spans="1:4" ht="15" x14ac:dyDescent="0.25">
      <c r="A9510" t="s">
        <v>25072</v>
      </c>
      <c r="B9510">
        <v>1</v>
      </c>
      <c r="C9510">
        <v>32</v>
      </c>
      <c r="D9510">
        <v>32</v>
      </c>
    </row>
    <row r="9511" spans="1:4" ht="15" x14ac:dyDescent="0.25">
      <c r="A9511" t="s">
        <v>25071</v>
      </c>
      <c r="B9511">
        <v>1</v>
      </c>
      <c r="C9511">
        <v>32</v>
      </c>
      <c r="D9511">
        <v>32</v>
      </c>
    </row>
    <row r="9512" spans="1:4" ht="15" x14ac:dyDescent="0.25">
      <c r="A9512" t="s">
        <v>25078</v>
      </c>
      <c r="B9512">
        <v>1</v>
      </c>
      <c r="C9512">
        <v>17</v>
      </c>
      <c r="D9512">
        <v>17</v>
      </c>
    </row>
    <row r="9513" spans="1:4" ht="15" x14ac:dyDescent="0.25">
      <c r="A9513" t="s">
        <v>25083</v>
      </c>
      <c r="B9513">
        <v>1</v>
      </c>
      <c r="C9513">
        <v>119</v>
      </c>
      <c r="D9513">
        <v>119</v>
      </c>
    </row>
    <row r="9514" spans="1:4" ht="15" x14ac:dyDescent="0.25">
      <c r="A9514" t="s">
        <v>25084</v>
      </c>
      <c r="B9514">
        <v>1</v>
      </c>
      <c r="C9514">
        <v>119</v>
      </c>
      <c r="D9514">
        <v>119</v>
      </c>
    </row>
    <row r="9515" spans="1:4" ht="15" x14ac:dyDescent="0.25">
      <c r="A9515" t="s">
        <v>25085</v>
      </c>
      <c r="B9515">
        <v>1</v>
      </c>
      <c r="C9515">
        <v>119</v>
      </c>
      <c r="D9515">
        <v>119</v>
      </c>
    </row>
    <row r="9516" spans="1:4" ht="15" x14ac:dyDescent="0.25">
      <c r="A9516" t="s">
        <v>25093</v>
      </c>
      <c r="B9516">
        <v>2</v>
      </c>
      <c r="C9516">
        <v>66</v>
      </c>
      <c r="D9516">
        <v>33</v>
      </c>
    </row>
    <row r="9517" spans="1:4" ht="15" x14ac:dyDescent="0.25">
      <c r="A9517" t="s">
        <v>25097</v>
      </c>
      <c r="B9517">
        <v>1</v>
      </c>
      <c r="C9517">
        <v>30</v>
      </c>
      <c r="D9517">
        <v>30</v>
      </c>
    </row>
    <row r="9518" spans="1:4" ht="15" x14ac:dyDescent="0.25">
      <c r="A9518" t="s">
        <v>25099</v>
      </c>
      <c r="B9518">
        <v>1</v>
      </c>
      <c r="C9518">
        <v>30</v>
      </c>
      <c r="D9518">
        <v>30</v>
      </c>
    </row>
    <row r="9519" spans="1:4" ht="15" x14ac:dyDescent="0.25">
      <c r="A9519" t="s">
        <v>25100</v>
      </c>
      <c r="B9519">
        <v>1</v>
      </c>
      <c r="C9519">
        <v>30</v>
      </c>
      <c r="D9519">
        <v>30</v>
      </c>
    </row>
    <row r="9520" spans="1:4" ht="15" x14ac:dyDescent="0.25">
      <c r="A9520" t="s">
        <v>25098</v>
      </c>
      <c r="B9520">
        <v>1</v>
      </c>
      <c r="C9520">
        <v>30</v>
      </c>
      <c r="D9520">
        <v>30</v>
      </c>
    </row>
    <row r="9521" spans="1:4" ht="15" x14ac:dyDescent="0.25">
      <c r="A9521" t="s">
        <v>25103</v>
      </c>
      <c r="B9521">
        <v>1</v>
      </c>
      <c r="C9521">
        <v>74</v>
      </c>
      <c r="D9521">
        <v>74</v>
      </c>
    </row>
    <row r="9522" spans="1:4" ht="15" x14ac:dyDescent="0.25">
      <c r="A9522" t="s">
        <v>25108</v>
      </c>
      <c r="B9522">
        <v>1</v>
      </c>
      <c r="C9522">
        <v>75</v>
      </c>
      <c r="D9522">
        <v>75</v>
      </c>
    </row>
    <row r="9523" spans="1:4" ht="15" x14ac:dyDescent="0.25">
      <c r="A9523" t="s">
        <v>25109</v>
      </c>
      <c r="B9523">
        <v>1</v>
      </c>
      <c r="C9523">
        <v>75</v>
      </c>
      <c r="D9523">
        <v>75</v>
      </c>
    </row>
    <row r="9524" spans="1:4" ht="15" x14ac:dyDescent="0.25">
      <c r="A9524" t="s">
        <v>25115</v>
      </c>
      <c r="B9524">
        <v>1</v>
      </c>
      <c r="C9524">
        <v>10</v>
      </c>
      <c r="D9524">
        <v>10</v>
      </c>
    </row>
    <row r="9525" spans="1:4" ht="15" x14ac:dyDescent="0.25">
      <c r="A9525" t="s">
        <v>25116</v>
      </c>
      <c r="B9525">
        <v>2</v>
      </c>
      <c r="C9525">
        <v>46</v>
      </c>
      <c r="D9525">
        <v>23</v>
      </c>
    </row>
    <row r="9526" spans="1:4" ht="15" x14ac:dyDescent="0.25">
      <c r="A9526" t="s">
        <v>25120</v>
      </c>
      <c r="B9526">
        <v>1</v>
      </c>
      <c r="C9526">
        <v>6</v>
      </c>
      <c r="D9526">
        <v>6</v>
      </c>
    </row>
    <row r="9527" spans="1:4" ht="15" x14ac:dyDescent="0.25">
      <c r="A9527" t="s">
        <v>25122</v>
      </c>
      <c r="B9527">
        <v>2</v>
      </c>
      <c r="C9527">
        <v>75</v>
      </c>
      <c r="D9527">
        <v>37.5</v>
      </c>
    </row>
    <row r="9528" spans="1:4" ht="15" x14ac:dyDescent="0.25">
      <c r="A9528" t="s">
        <v>25121</v>
      </c>
      <c r="B9528">
        <v>1</v>
      </c>
      <c r="C9528">
        <v>6</v>
      </c>
      <c r="D9528">
        <v>6</v>
      </c>
    </row>
    <row r="9529" spans="1:4" ht="15" x14ac:dyDescent="0.25">
      <c r="A9529" t="s">
        <v>25126</v>
      </c>
      <c r="B9529">
        <v>1</v>
      </c>
      <c r="C9529">
        <v>122</v>
      </c>
      <c r="D9529">
        <v>122</v>
      </c>
    </row>
    <row r="9530" spans="1:4" ht="15" x14ac:dyDescent="0.25">
      <c r="A9530" t="s">
        <v>25127</v>
      </c>
      <c r="B9530">
        <v>1</v>
      </c>
      <c r="C9530">
        <v>122</v>
      </c>
      <c r="D9530">
        <v>122</v>
      </c>
    </row>
    <row r="9531" spans="1:4" ht="15" x14ac:dyDescent="0.25">
      <c r="A9531" t="s">
        <v>25129</v>
      </c>
      <c r="B9531">
        <v>1</v>
      </c>
      <c r="C9531">
        <v>122</v>
      </c>
      <c r="D9531">
        <v>122</v>
      </c>
    </row>
    <row r="9532" spans="1:4" ht="15" x14ac:dyDescent="0.25">
      <c r="A9532" t="s">
        <v>25128</v>
      </c>
      <c r="B9532">
        <v>1</v>
      </c>
      <c r="C9532">
        <v>122</v>
      </c>
      <c r="D9532">
        <v>122</v>
      </c>
    </row>
    <row r="9533" spans="1:4" ht="15" x14ac:dyDescent="0.25">
      <c r="A9533" t="s">
        <v>25133</v>
      </c>
      <c r="B9533">
        <v>1</v>
      </c>
      <c r="C9533">
        <v>92</v>
      </c>
      <c r="D9533">
        <v>92</v>
      </c>
    </row>
    <row r="9534" spans="1:4" ht="15" x14ac:dyDescent="0.25">
      <c r="A9534" t="s">
        <v>25135</v>
      </c>
      <c r="B9534">
        <v>1</v>
      </c>
      <c r="C9534">
        <v>92</v>
      </c>
      <c r="D9534">
        <v>92</v>
      </c>
    </row>
    <row r="9535" spans="1:4" ht="15" x14ac:dyDescent="0.25">
      <c r="A9535" t="s">
        <v>25134</v>
      </c>
      <c r="B9535">
        <v>1</v>
      </c>
      <c r="C9535">
        <v>92</v>
      </c>
      <c r="D9535">
        <v>92</v>
      </c>
    </row>
    <row r="9536" spans="1:4" ht="15" x14ac:dyDescent="0.25">
      <c r="A9536" t="s">
        <v>25138</v>
      </c>
      <c r="B9536">
        <v>1</v>
      </c>
      <c r="C9536">
        <v>65</v>
      </c>
      <c r="D9536">
        <v>65</v>
      </c>
    </row>
    <row r="9537" spans="1:4" ht="15" x14ac:dyDescent="0.25">
      <c r="A9537" t="s">
        <v>25139</v>
      </c>
      <c r="B9537">
        <v>1</v>
      </c>
      <c r="C9537">
        <v>65</v>
      </c>
      <c r="D9537">
        <v>65</v>
      </c>
    </row>
    <row r="9538" spans="1:4" ht="15" x14ac:dyDescent="0.25">
      <c r="A9538" t="s">
        <v>25141</v>
      </c>
      <c r="B9538">
        <v>1</v>
      </c>
      <c r="C9538">
        <v>65</v>
      </c>
      <c r="D9538">
        <v>65</v>
      </c>
    </row>
    <row r="9539" spans="1:4" ht="15" x14ac:dyDescent="0.25">
      <c r="A9539" t="s">
        <v>25140</v>
      </c>
      <c r="B9539">
        <v>1</v>
      </c>
      <c r="C9539">
        <v>65</v>
      </c>
      <c r="D9539">
        <v>65</v>
      </c>
    </row>
    <row r="9540" spans="1:4" ht="15" x14ac:dyDescent="0.25">
      <c r="A9540" t="s">
        <v>25145</v>
      </c>
      <c r="B9540">
        <v>1</v>
      </c>
      <c r="C9540">
        <v>7</v>
      </c>
      <c r="D9540">
        <v>7</v>
      </c>
    </row>
    <row r="9541" spans="1:4" ht="15" x14ac:dyDescent="0.25">
      <c r="A9541" t="s">
        <v>25146</v>
      </c>
      <c r="B9541">
        <v>1</v>
      </c>
      <c r="C9541">
        <v>7</v>
      </c>
      <c r="D9541">
        <v>7</v>
      </c>
    </row>
    <row r="9542" spans="1:4" ht="15" x14ac:dyDescent="0.25">
      <c r="A9542" t="s">
        <v>25147</v>
      </c>
      <c r="B9542">
        <v>1</v>
      </c>
      <c r="C9542">
        <v>7</v>
      </c>
      <c r="D9542">
        <v>7</v>
      </c>
    </row>
    <row r="9543" spans="1:4" ht="15" x14ac:dyDescent="0.25">
      <c r="A9543" t="s">
        <v>25152</v>
      </c>
      <c r="B9543">
        <v>1</v>
      </c>
      <c r="C9543">
        <v>82</v>
      </c>
      <c r="D9543">
        <v>82</v>
      </c>
    </row>
    <row r="9544" spans="1:4" ht="15" x14ac:dyDescent="0.25">
      <c r="A9544" t="s">
        <v>25157</v>
      </c>
      <c r="B9544">
        <v>1</v>
      </c>
      <c r="C9544">
        <v>29</v>
      </c>
      <c r="D9544">
        <v>29</v>
      </c>
    </row>
    <row r="9545" spans="1:4" ht="15" x14ac:dyDescent="0.25">
      <c r="A9545" t="s">
        <v>25161</v>
      </c>
      <c r="B9545">
        <v>1</v>
      </c>
      <c r="C9545">
        <v>33</v>
      </c>
      <c r="D9545">
        <v>33</v>
      </c>
    </row>
    <row r="9546" spans="1:4" ht="15" x14ac:dyDescent="0.25">
      <c r="A9546" t="s">
        <v>25162</v>
      </c>
      <c r="B9546">
        <v>1</v>
      </c>
      <c r="C9546">
        <v>33</v>
      </c>
      <c r="D9546">
        <v>33</v>
      </c>
    </row>
    <row r="9547" spans="1:4" ht="15" x14ac:dyDescent="0.25">
      <c r="A9547" t="s">
        <v>25163</v>
      </c>
      <c r="B9547">
        <v>1</v>
      </c>
      <c r="C9547">
        <v>33</v>
      </c>
      <c r="D9547">
        <v>33</v>
      </c>
    </row>
    <row r="9548" spans="1:4" ht="15" x14ac:dyDescent="0.25">
      <c r="A9548" t="s">
        <v>25170</v>
      </c>
      <c r="B9548">
        <v>1</v>
      </c>
      <c r="C9548">
        <v>112</v>
      </c>
      <c r="D9548">
        <v>112</v>
      </c>
    </row>
    <row r="9549" spans="1:4" ht="15" x14ac:dyDescent="0.25">
      <c r="A9549" t="s">
        <v>25171</v>
      </c>
      <c r="B9549">
        <v>1</v>
      </c>
      <c r="C9549">
        <v>112</v>
      </c>
      <c r="D9549">
        <v>112</v>
      </c>
    </row>
    <row r="9550" spans="1:4" ht="15" x14ac:dyDescent="0.25">
      <c r="A9550" t="s">
        <v>25174</v>
      </c>
      <c r="B9550">
        <v>1</v>
      </c>
      <c r="C9550">
        <v>11</v>
      </c>
      <c r="D9550">
        <v>11</v>
      </c>
    </row>
    <row r="9551" spans="1:4" ht="15" x14ac:dyDescent="0.25">
      <c r="A9551" t="s">
        <v>25180</v>
      </c>
      <c r="B9551">
        <v>1</v>
      </c>
      <c r="C9551">
        <v>7</v>
      </c>
      <c r="D9551">
        <v>7</v>
      </c>
    </row>
    <row r="9552" spans="1:4" ht="15" x14ac:dyDescent="0.25">
      <c r="A9552" t="s">
        <v>25181</v>
      </c>
      <c r="B9552">
        <v>2</v>
      </c>
      <c r="C9552">
        <v>17</v>
      </c>
      <c r="D9552">
        <v>8.5</v>
      </c>
    </row>
    <row r="9553" spans="1:4" ht="15" x14ac:dyDescent="0.25">
      <c r="A9553" t="s">
        <v>25182</v>
      </c>
      <c r="B9553">
        <v>1</v>
      </c>
      <c r="C9553">
        <v>7</v>
      </c>
      <c r="D9553">
        <v>7</v>
      </c>
    </row>
    <row r="9554" spans="1:4" ht="15" x14ac:dyDescent="0.25">
      <c r="A9554" t="s">
        <v>25183</v>
      </c>
      <c r="B9554">
        <v>1</v>
      </c>
      <c r="C9554">
        <v>7</v>
      </c>
      <c r="D9554">
        <v>7</v>
      </c>
    </row>
    <row r="9555" spans="1:4" ht="15" x14ac:dyDescent="0.25">
      <c r="A9555" t="s">
        <v>25187</v>
      </c>
      <c r="B9555">
        <v>1</v>
      </c>
      <c r="C9555">
        <v>14</v>
      </c>
      <c r="D9555">
        <v>14</v>
      </c>
    </row>
    <row r="9556" spans="1:4" ht="15" x14ac:dyDescent="0.25">
      <c r="A9556" t="s">
        <v>25192</v>
      </c>
      <c r="B9556">
        <v>1</v>
      </c>
      <c r="C9556">
        <v>622</v>
      </c>
      <c r="D9556">
        <v>622</v>
      </c>
    </row>
    <row r="9557" spans="1:4" ht="15" x14ac:dyDescent="0.25">
      <c r="A9557" t="s">
        <v>25194</v>
      </c>
      <c r="B9557">
        <v>1</v>
      </c>
      <c r="C9557">
        <v>622</v>
      </c>
      <c r="D9557">
        <v>622</v>
      </c>
    </row>
    <row r="9558" spans="1:4" ht="15" x14ac:dyDescent="0.25">
      <c r="A9558" t="s">
        <v>25193</v>
      </c>
      <c r="B9558">
        <v>1</v>
      </c>
      <c r="C9558">
        <v>622</v>
      </c>
      <c r="D9558">
        <v>622</v>
      </c>
    </row>
    <row r="9559" spans="1:4" ht="15" x14ac:dyDescent="0.25">
      <c r="A9559" t="s">
        <v>25197</v>
      </c>
      <c r="B9559">
        <v>10</v>
      </c>
      <c r="C9559">
        <v>289</v>
      </c>
      <c r="D9559">
        <v>28.9</v>
      </c>
    </row>
    <row r="9560" spans="1:4" ht="15" x14ac:dyDescent="0.25">
      <c r="A9560" t="s">
        <v>25209</v>
      </c>
      <c r="B9560">
        <v>1</v>
      </c>
      <c r="C9560">
        <v>38</v>
      </c>
      <c r="D9560">
        <v>38</v>
      </c>
    </row>
    <row r="9561" spans="1:4" ht="15" x14ac:dyDescent="0.25">
      <c r="A9561" t="s">
        <v>25210</v>
      </c>
      <c r="B9561">
        <v>1</v>
      </c>
      <c r="C9561">
        <v>38</v>
      </c>
      <c r="D9561">
        <v>38</v>
      </c>
    </row>
    <row r="9562" spans="1:4" ht="15" x14ac:dyDescent="0.25">
      <c r="A9562" t="s">
        <v>25211</v>
      </c>
      <c r="B9562">
        <v>1</v>
      </c>
      <c r="C9562">
        <v>38</v>
      </c>
      <c r="D9562">
        <v>38</v>
      </c>
    </row>
    <row r="9563" spans="1:4" ht="15" x14ac:dyDescent="0.25">
      <c r="A9563" t="s">
        <v>25223</v>
      </c>
      <c r="B9563">
        <v>1</v>
      </c>
      <c r="C9563">
        <v>81</v>
      </c>
      <c r="D9563">
        <v>81</v>
      </c>
    </row>
    <row r="9564" spans="1:4" ht="15" x14ac:dyDescent="0.25">
      <c r="A9564" t="s">
        <v>25225</v>
      </c>
      <c r="B9564">
        <v>1</v>
      </c>
      <c r="C9564">
        <v>81</v>
      </c>
      <c r="D9564">
        <v>81</v>
      </c>
    </row>
    <row r="9565" spans="1:4" ht="15" x14ac:dyDescent="0.25">
      <c r="A9565" t="s">
        <v>25224</v>
      </c>
      <c r="B9565">
        <v>1</v>
      </c>
      <c r="C9565">
        <v>81</v>
      </c>
      <c r="D9565">
        <v>81</v>
      </c>
    </row>
    <row r="9566" spans="1:4" ht="15" x14ac:dyDescent="0.25">
      <c r="A9566" t="s">
        <v>25230</v>
      </c>
      <c r="B9566">
        <v>2</v>
      </c>
      <c r="C9566">
        <v>5146</v>
      </c>
      <c r="D9566">
        <v>2573</v>
      </c>
    </row>
    <row r="9567" spans="1:4" ht="15" x14ac:dyDescent="0.25">
      <c r="A9567" t="s">
        <v>25231</v>
      </c>
      <c r="B9567">
        <v>2</v>
      </c>
      <c r="C9567">
        <v>5146</v>
      </c>
      <c r="D9567">
        <v>2573</v>
      </c>
    </row>
    <row r="9568" spans="1:4" ht="15" x14ac:dyDescent="0.25">
      <c r="A9568" t="s">
        <v>25237</v>
      </c>
      <c r="B9568">
        <v>1</v>
      </c>
      <c r="C9568">
        <v>27</v>
      </c>
      <c r="D9568">
        <v>27</v>
      </c>
    </row>
    <row r="9569" spans="1:4" ht="15" x14ac:dyDescent="0.25">
      <c r="A9569" t="s">
        <v>25238</v>
      </c>
      <c r="B9569">
        <v>1</v>
      </c>
      <c r="C9569">
        <v>27</v>
      </c>
      <c r="D9569">
        <v>27</v>
      </c>
    </row>
    <row r="9570" spans="1:4" ht="15" x14ac:dyDescent="0.25">
      <c r="A9570" t="s">
        <v>25240</v>
      </c>
      <c r="B9570">
        <v>1</v>
      </c>
      <c r="C9570">
        <v>27</v>
      </c>
      <c r="D9570">
        <v>27</v>
      </c>
    </row>
    <row r="9571" spans="1:4" ht="15" x14ac:dyDescent="0.25">
      <c r="A9571" t="s">
        <v>25239</v>
      </c>
      <c r="B9571">
        <v>1</v>
      </c>
      <c r="C9571">
        <v>27</v>
      </c>
      <c r="D9571">
        <v>27</v>
      </c>
    </row>
    <row r="9572" spans="1:4" ht="15" x14ac:dyDescent="0.25">
      <c r="A9572" t="s">
        <v>25244</v>
      </c>
      <c r="B9572">
        <v>1</v>
      </c>
      <c r="C9572">
        <v>42</v>
      </c>
      <c r="D9572">
        <v>42</v>
      </c>
    </row>
    <row r="9573" spans="1:4" ht="15" x14ac:dyDescent="0.25">
      <c r="A9573" t="s">
        <v>25245</v>
      </c>
      <c r="B9573">
        <v>1</v>
      </c>
      <c r="C9573">
        <v>42</v>
      </c>
      <c r="D9573">
        <v>42</v>
      </c>
    </row>
    <row r="9574" spans="1:4" ht="15" x14ac:dyDescent="0.25">
      <c r="A9574" t="s">
        <v>25250</v>
      </c>
      <c r="B9574">
        <v>4</v>
      </c>
      <c r="C9574">
        <v>81</v>
      </c>
      <c r="D9574">
        <v>20.25</v>
      </c>
    </row>
    <row r="9575" spans="1:4" ht="15" x14ac:dyDescent="0.25">
      <c r="A9575" t="s">
        <v>25249</v>
      </c>
      <c r="B9575">
        <v>4</v>
      </c>
      <c r="C9575">
        <v>81</v>
      </c>
      <c r="D9575">
        <v>20.25</v>
      </c>
    </row>
    <row r="9576" spans="1:4" ht="15" x14ac:dyDescent="0.25">
      <c r="A9576" t="s">
        <v>25262</v>
      </c>
      <c r="B9576">
        <v>1</v>
      </c>
      <c r="C9576">
        <v>145</v>
      </c>
      <c r="D9576">
        <v>145</v>
      </c>
    </row>
    <row r="9577" spans="1:4" ht="15" x14ac:dyDescent="0.25">
      <c r="A9577" t="s">
        <v>25264</v>
      </c>
      <c r="B9577">
        <v>1</v>
      </c>
      <c r="C9577">
        <v>145</v>
      </c>
      <c r="D9577">
        <v>145</v>
      </c>
    </row>
    <row r="9578" spans="1:4" ht="15" x14ac:dyDescent="0.25">
      <c r="A9578" t="s">
        <v>25263</v>
      </c>
      <c r="B9578">
        <v>1</v>
      </c>
      <c r="C9578">
        <v>145</v>
      </c>
      <c r="D9578">
        <v>145</v>
      </c>
    </row>
    <row r="9579" spans="1:4" ht="15" x14ac:dyDescent="0.25">
      <c r="A9579" t="s">
        <v>25270</v>
      </c>
      <c r="B9579">
        <v>1</v>
      </c>
      <c r="C9579">
        <v>71</v>
      </c>
      <c r="D9579">
        <v>71</v>
      </c>
    </row>
    <row r="9580" spans="1:4" ht="15" x14ac:dyDescent="0.25">
      <c r="A9580" t="s">
        <v>25269</v>
      </c>
      <c r="B9580">
        <v>1</v>
      </c>
      <c r="C9580">
        <v>71</v>
      </c>
      <c r="D9580">
        <v>71</v>
      </c>
    </row>
    <row r="9581" spans="1:4" ht="15" x14ac:dyDescent="0.25">
      <c r="A9581" t="s">
        <v>25277</v>
      </c>
      <c r="B9581">
        <v>1</v>
      </c>
      <c r="C9581">
        <v>65</v>
      </c>
      <c r="D9581">
        <v>65</v>
      </c>
    </row>
    <row r="9582" spans="1:4" ht="15" x14ac:dyDescent="0.25">
      <c r="A9582" t="s">
        <v>25278</v>
      </c>
      <c r="B9582">
        <v>1</v>
      </c>
      <c r="C9582">
        <v>65</v>
      </c>
      <c r="D9582">
        <v>65</v>
      </c>
    </row>
    <row r="9583" spans="1:4" ht="15" x14ac:dyDescent="0.25">
      <c r="A9583" t="s">
        <v>25289</v>
      </c>
      <c r="B9583">
        <v>1</v>
      </c>
      <c r="C9583">
        <v>19</v>
      </c>
      <c r="D9583">
        <v>19</v>
      </c>
    </row>
    <row r="9584" spans="1:4" ht="15" x14ac:dyDescent="0.25">
      <c r="A9584" t="s">
        <v>25290</v>
      </c>
      <c r="B9584">
        <v>1</v>
      </c>
      <c r="C9584">
        <v>19</v>
      </c>
      <c r="D9584">
        <v>19</v>
      </c>
    </row>
    <row r="9585" spans="1:4" ht="15" x14ac:dyDescent="0.25">
      <c r="A9585" t="s">
        <v>25291</v>
      </c>
      <c r="B9585">
        <v>1</v>
      </c>
      <c r="C9585">
        <v>19</v>
      </c>
      <c r="D9585">
        <v>19</v>
      </c>
    </row>
    <row r="9586" spans="1:4" ht="15" x14ac:dyDescent="0.25">
      <c r="A9586" t="s">
        <v>25292</v>
      </c>
      <c r="B9586">
        <v>1</v>
      </c>
      <c r="C9586">
        <v>19</v>
      </c>
      <c r="D9586">
        <v>19</v>
      </c>
    </row>
    <row r="9587" spans="1:4" ht="15" x14ac:dyDescent="0.25">
      <c r="A9587" t="s">
        <v>25296</v>
      </c>
      <c r="B9587">
        <v>1</v>
      </c>
      <c r="C9587">
        <v>36</v>
      </c>
      <c r="D9587">
        <v>36</v>
      </c>
    </row>
    <row r="9588" spans="1:4" ht="15" x14ac:dyDescent="0.25">
      <c r="A9588" t="s">
        <v>25300</v>
      </c>
      <c r="B9588">
        <v>1</v>
      </c>
      <c r="C9588">
        <v>5</v>
      </c>
      <c r="D9588">
        <v>5</v>
      </c>
    </row>
    <row r="9589" spans="1:4" ht="15" x14ac:dyDescent="0.25">
      <c r="A9589" t="s">
        <v>25307</v>
      </c>
      <c r="B9589">
        <v>1</v>
      </c>
      <c r="C9589">
        <v>39</v>
      </c>
      <c r="D9589">
        <v>39</v>
      </c>
    </row>
    <row r="9590" spans="1:4" ht="15" x14ac:dyDescent="0.25">
      <c r="A9590" t="s">
        <v>25306</v>
      </c>
      <c r="B9590">
        <v>1</v>
      </c>
      <c r="C9590">
        <v>39</v>
      </c>
      <c r="D9590">
        <v>39</v>
      </c>
    </row>
    <row r="9591" spans="1:4" ht="15" x14ac:dyDescent="0.25">
      <c r="A9591" t="s">
        <v>25311</v>
      </c>
      <c r="B9591">
        <v>1</v>
      </c>
      <c r="C9591">
        <v>12</v>
      </c>
      <c r="D9591">
        <v>12</v>
      </c>
    </row>
    <row r="9592" spans="1:4" ht="15" x14ac:dyDescent="0.25">
      <c r="A9592" t="s">
        <v>25313</v>
      </c>
      <c r="B9592">
        <v>1</v>
      </c>
      <c r="C9592">
        <v>12</v>
      </c>
      <c r="D9592">
        <v>12</v>
      </c>
    </row>
    <row r="9593" spans="1:4" ht="15" x14ac:dyDescent="0.25">
      <c r="A9593" t="s">
        <v>25312</v>
      </c>
      <c r="B9593">
        <v>1</v>
      </c>
      <c r="C9593">
        <v>12</v>
      </c>
      <c r="D9593">
        <v>12</v>
      </c>
    </row>
    <row r="9594" spans="1:4" ht="15" x14ac:dyDescent="0.25">
      <c r="A9594" t="s">
        <v>25318</v>
      </c>
      <c r="B9594">
        <v>1</v>
      </c>
      <c r="C9594">
        <v>42</v>
      </c>
      <c r="D9594">
        <v>42</v>
      </c>
    </row>
    <row r="9595" spans="1:4" ht="15" x14ac:dyDescent="0.25">
      <c r="A9595" t="s">
        <v>25319</v>
      </c>
      <c r="B9595">
        <v>1</v>
      </c>
      <c r="C9595">
        <v>42</v>
      </c>
      <c r="D9595">
        <v>42</v>
      </c>
    </row>
    <row r="9596" spans="1:4" ht="15" x14ac:dyDescent="0.25">
      <c r="A9596" t="s">
        <v>25326</v>
      </c>
      <c r="B9596">
        <v>1</v>
      </c>
      <c r="C9596">
        <v>139</v>
      </c>
      <c r="D9596">
        <v>139</v>
      </c>
    </row>
    <row r="9597" spans="1:4" ht="15" x14ac:dyDescent="0.25">
      <c r="A9597" t="s">
        <v>25327</v>
      </c>
      <c r="B9597">
        <v>1</v>
      </c>
      <c r="C9597">
        <v>139</v>
      </c>
      <c r="D9597">
        <v>139</v>
      </c>
    </row>
    <row r="9598" spans="1:4" ht="15" x14ac:dyDescent="0.25">
      <c r="A9598" t="s">
        <v>25335</v>
      </c>
      <c r="B9598">
        <v>1</v>
      </c>
      <c r="C9598">
        <v>105</v>
      </c>
      <c r="D9598">
        <v>105</v>
      </c>
    </row>
    <row r="9599" spans="1:4" ht="15" x14ac:dyDescent="0.25">
      <c r="A9599" t="s">
        <v>25338</v>
      </c>
      <c r="B9599">
        <v>4</v>
      </c>
      <c r="C9599">
        <v>103</v>
      </c>
      <c r="D9599">
        <v>25.75</v>
      </c>
    </row>
    <row r="9600" spans="1:4" ht="15" x14ac:dyDescent="0.25">
      <c r="A9600" t="s">
        <v>25343</v>
      </c>
      <c r="B9600">
        <v>2</v>
      </c>
      <c r="C9600">
        <v>148</v>
      </c>
      <c r="D9600">
        <v>74</v>
      </c>
    </row>
    <row r="9601" spans="1:4" ht="15" x14ac:dyDescent="0.25">
      <c r="A9601" t="s">
        <v>25351</v>
      </c>
      <c r="B9601">
        <v>1</v>
      </c>
      <c r="C9601">
        <v>94</v>
      </c>
      <c r="D9601">
        <v>94</v>
      </c>
    </row>
    <row r="9602" spans="1:4" ht="15" x14ac:dyDescent="0.25">
      <c r="A9602" t="s">
        <v>25352</v>
      </c>
      <c r="B9602">
        <v>1</v>
      </c>
      <c r="C9602">
        <v>94</v>
      </c>
      <c r="D9602">
        <v>94</v>
      </c>
    </row>
    <row r="9603" spans="1:4" ht="15" x14ac:dyDescent="0.25">
      <c r="A9603" t="s">
        <v>25359</v>
      </c>
      <c r="B9603">
        <v>1</v>
      </c>
      <c r="C9603">
        <v>0</v>
      </c>
      <c r="D9603">
        <v>0</v>
      </c>
    </row>
    <row r="9604" spans="1:4" ht="15" x14ac:dyDescent="0.25">
      <c r="A9604" t="s">
        <v>25360</v>
      </c>
      <c r="B9604">
        <v>1</v>
      </c>
      <c r="C9604">
        <v>0</v>
      </c>
      <c r="D9604">
        <v>0</v>
      </c>
    </row>
    <row r="9605" spans="1:4" ht="15" x14ac:dyDescent="0.25">
      <c r="A9605" t="s">
        <v>25363</v>
      </c>
      <c r="B9605">
        <v>1</v>
      </c>
      <c r="C9605">
        <v>28</v>
      </c>
      <c r="D9605">
        <v>28</v>
      </c>
    </row>
    <row r="9606" spans="1:4" ht="15" x14ac:dyDescent="0.25">
      <c r="A9606" t="s">
        <v>25365</v>
      </c>
      <c r="B9606">
        <v>1</v>
      </c>
      <c r="C9606">
        <v>28</v>
      </c>
      <c r="D9606">
        <v>28</v>
      </c>
    </row>
    <row r="9607" spans="1:4" ht="15" x14ac:dyDescent="0.25">
      <c r="A9607" t="s">
        <v>25364</v>
      </c>
      <c r="B9607">
        <v>1</v>
      </c>
      <c r="C9607">
        <v>28</v>
      </c>
      <c r="D9607">
        <v>28</v>
      </c>
    </row>
    <row r="9608" spans="1:4" ht="15" x14ac:dyDescent="0.25">
      <c r="A9608" t="s">
        <v>25369</v>
      </c>
      <c r="B9608">
        <v>1</v>
      </c>
      <c r="C9608">
        <v>263</v>
      </c>
      <c r="D9608">
        <v>263</v>
      </c>
    </row>
    <row r="9609" spans="1:4" ht="15" x14ac:dyDescent="0.25">
      <c r="A9609" t="s">
        <v>25370</v>
      </c>
      <c r="B9609">
        <v>1</v>
      </c>
      <c r="C9609">
        <v>263</v>
      </c>
      <c r="D9609">
        <v>263</v>
      </c>
    </row>
    <row r="9610" spans="1:4" ht="15" x14ac:dyDescent="0.25">
      <c r="A9610" t="s">
        <v>25380</v>
      </c>
      <c r="B9610">
        <v>1</v>
      </c>
      <c r="C9610">
        <v>38</v>
      </c>
      <c r="D9610">
        <v>38</v>
      </c>
    </row>
    <row r="9611" spans="1:4" ht="15" x14ac:dyDescent="0.25">
      <c r="A9611" t="s">
        <v>25389</v>
      </c>
      <c r="B9611">
        <v>1</v>
      </c>
      <c r="C9611">
        <v>48</v>
      </c>
      <c r="D9611">
        <v>48</v>
      </c>
    </row>
    <row r="9612" spans="1:4" ht="15" x14ac:dyDescent="0.25">
      <c r="A9612" t="s">
        <v>25390</v>
      </c>
      <c r="B9612">
        <v>1</v>
      </c>
      <c r="C9612">
        <v>48</v>
      </c>
      <c r="D9612">
        <v>48</v>
      </c>
    </row>
    <row r="9613" spans="1:4" ht="15" x14ac:dyDescent="0.25">
      <c r="A9613" t="s">
        <v>25391</v>
      </c>
      <c r="B9613">
        <v>1</v>
      </c>
      <c r="C9613">
        <v>48</v>
      </c>
      <c r="D9613">
        <v>48</v>
      </c>
    </row>
    <row r="9614" spans="1:4" ht="15" x14ac:dyDescent="0.25">
      <c r="A9614" t="s">
        <v>25395</v>
      </c>
      <c r="B9614">
        <v>1</v>
      </c>
      <c r="C9614">
        <v>82</v>
      </c>
      <c r="D9614">
        <v>82</v>
      </c>
    </row>
    <row r="9615" spans="1:4" ht="15" x14ac:dyDescent="0.25">
      <c r="A9615" t="s">
        <v>25394</v>
      </c>
      <c r="B9615">
        <v>1</v>
      </c>
      <c r="C9615">
        <v>82</v>
      </c>
      <c r="D9615">
        <v>82</v>
      </c>
    </row>
    <row r="9616" spans="1:4" ht="15" x14ac:dyDescent="0.25">
      <c r="A9616" t="s">
        <v>25398</v>
      </c>
      <c r="B9616">
        <v>2</v>
      </c>
      <c r="C9616">
        <v>76</v>
      </c>
      <c r="D9616">
        <v>38</v>
      </c>
    </row>
    <row r="9617" spans="1:4" ht="15" x14ac:dyDescent="0.25">
      <c r="A9617" t="s">
        <v>25402</v>
      </c>
      <c r="B9617">
        <v>1</v>
      </c>
      <c r="C9617">
        <v>47</v>
      </c>
      <c r="D9617">
        <v>47</v>
      </c>
    </row>
    <row r="9618" spans="1:4" ht="15" x14ac:dyDescent="0.25">
      <c r="A9618" t="s">
        <v>25404</v>
      </c>
      <c r="B9618">
        <v>1</v>
      </c>
      <c r="C9618">
        <v>47</v>
      </c>
      <c r="D9618">
        <v>47</v>
      </c>
    </row>
    <row r="9619" spans="1:4" ht="15" x14ac:dyDescent="0.25">
      <c r="A9619" t="s">
        <v>25403</v>
      </c>
      <c r="B9619">
        <v>1</v>
      </c>
      <c r="C9619">
        <v>47</v>
      </c>
      <c r="D9619">
        <v>47</v>
      </c>
    </row>
    <row r="9620" spans="1:4" ht="15" x14ac:dyDescent="0.25">
      <c r="A9620" t="s">
        <v>25407</v>
      </c>
      <c r="B9620">
        <v>1</v>
      </c>
      <c r="C9620">
        <v>30</v>
      </c>
      <c r="D9620">
        <v>30</v>
      </c>
    </row>
    <row r="9621" spans="1:4" ht="15" x14ac:dyDescent="0.25">
      <c r="A9621" t="s">
        <v>25417</v>
      </c>
      <c r="B9621">
        <v>1</v>
      </c>
      <c r="C9621">
        <v>97</v>
      </c>
      <c r="D9621">
        <v>97</v>
      </c>
    </row>
    <row r="9622" spans="1:4" ht="15" x14ac:dyDescent="0.25">
      <c r="A9622" t="s">
        <v>25418</v>
      </c>
      <c r="B9622">
        <v>1</v>
      </c>
      <c r="C9622">
        <v>97</v>
      </c>
      <c r="D9622">
        <v>97</v>
      </c>
    </row>
    <row r="9623" spans="1:4" ht="15" x14ac:dyDescent="0.25">
      <c r="A9623" t="s">
        <v>25420</v>
      </c>
      <c r="B9623">
        <v>1</v>
      </c>
      <c r="C9623">
        <v>97</v>
      </c>
      <c r="D9623">
        <v>97</v>
      </c>
    </row>
    <row r="9624" spans="1:4" ht="15" x14ac:dyDescent="0.25">
      <c r="A9624" t="s">
        <v>25419</v>
      </c>
      <c r="B9624">
        <v>1</v>
      </c>
      <c r="C9624">
        <v>97</v>
      </c>
      <c r="D9624">
        <v>97</v>
      </c>
    </row>
    <row r="9625" spans="1:4" ht="15" x14ac:dyDescent="0.25">
      <c r="A9625" t="s">
        <v>25424</v>
      </c>
      <c r="B9625">
        <v>1</v>
      </c>
      <c r="C9625">
        <v>7</v>
      </c>
      <c r="D9625">
        <v>7</v>
      </c>
    </row>
    <row r="9626" spans="1:4" ht="15" x14ac:dyDescent="0.25">
      <c r="A9626" t="s">
        <v>25425</v>
      </c>
      <c r="B9626">
        <v>1</v>
      </c>
      <c r="C9626">
        <v>7</v>
      </c>
      <c r="D9626">
        <v>7</v>
      </c>
    </row>
    <row r="9627" spans="1:4" ht="15" x14ac:dyDescent="0.25">
      <c r="A9627" t="s">
        <v>25426</v>
      </c>
      <c r="B9627">
        <v>1</v>
      </c>
      <c r="C9627">
        <v>7</v>
      </c>
      <c r="D9627">
        <v>7</v>
      </c>
    </row>
    <row r="9628" spans="1:4" ht="15" x14ac:dyDescent="0.25">
      <c r="A9628" t="s">
        <v>25432</v>
      </c>
      <c r="B9628">
        <v>1</v>
      </c>
      <c r="C9628">
        <v>376</v>
      </c>
      <c r="D9628">
        <v>376</v>
      </c>
    </row>
    <row r="9629" spans="1:4" ht="15" x14ac:dyDescent="0.25">
      <c r="A9629" t="s">
        <v>25436</v>
      </c>
      <c r="B9629">
        <v>1</v>
      </c>
      <c r="C9629">
        <v>10</v>
      </c>
      <c r="D9629">
        <v>10</v>
      </c>
    </row>
    <row r="9630" spans="1:4" ht="15" x14ac:dyDescent="0.25">
      <c r="A9630" t="s">
        <v>25437</v>
      </c>
      <c r="B9630">
        <v>1</v>
      </c>
      <c r="C9630">
        <v>10</v>
      </c>
      <c r="D9630">
        <v>10</v>
      </c>
    </row>
    <row r="9631" spans="1:4" ht="15" x14ac:dyDescent="0.25">
      <c r="A9631" t="s">
        <v>25440</v>
      </c>
      <c r="B9631">
        <v>1</v>
      </c>
      <c r="C9631">
        <v>50</v>
      </c>
      <c r="D9631">
        <v>50</v>
      </c>
    </row>
    <row r="9632" spans="1:4" ht="15" x14ac:dyDescent="0.25">
      <c r="A9632" t="s">
        <v>25441</v>
      </c>
      <c r="B9632">
        <v>1</v>
      </c>
      <c r="C9632">
        <v>50</v>
      </c>
      <c r="D9632">
        <v>50</v>
      </c>
    </row>
    <row r="9633" spans="1:4" ht="15" x14ac:dyDescent="0.25">
      <c r="A9633" t="s">
        <v>25444</v>
      </c>
      <c r="B9633">
        <v>1</v>
      </c>
      <c r="C9633">
        <v>16</v>
      </c>
      <c r="D9633">
        <v>16</v>
      </c>
    </row>
    <row r="9634" spans="1:4" ht="15" x14ac:dyDescent="0.25">
      <c r="A9634" t="s">
        <v>25449</v>
      </c>
      <c r="B9634">
        <v>1</v>
      </c>
      <c r="C9634">
        <v>8</v>
      </c>
      <c r="D9634">
        <v>8</v>
      </c>
    </row>
    <row r="9635" spans="1:4" ht="15" x14ac:dyDescent="0.25">
      <c r="A9635" t="s">
        <v>25450</v>
      </c>
      <c r="B9635">
        <v>1</v>
      </c>
      <c r="C9635">
        <v>8</v>
      </c>
      <c r="D9635">
        <v>8</v>
      </c>
    </row>
    <row r="9636" spans="1:4" ht="15" x14ac:dyDescent="0.25">
      <c r="A9636" t="s">
        <v>25455</v>
      </c>
      <c r="B9636">
        <v>1</v>
      </c>
      <c r="C9636">
        <v>29</v>
      </c>
      <c r="D9636">
        <v>29</v>
      </c>
    </row>
    <row r="9637" spans="1:4" ht="15" x14ac:dyDescent="0.25">
      <c r="A9637" t="s">
        <v>25458</v>
      </c>
      <c r="B9637">
        <v>1</v>
      </c>
      <c r="C9637">
        <v>29</v>
      </c>
      <c r="D9637">
        <v>29</v>
      </c>
    </row>
    <row r="9638" spans="1:4" ht="15" x14ac:dyDescent="0.25">
      <c r="A9638" t="s">
        <v>25459</v>
      </c>
      <c r="B9638">
        <v>1</v>
      </c>
      <c r="C9638">
        <v>29</v>
      </c>
      <c r="D9638">
        <v>29</v>
      </c>
    </row>
    <row r="9639" spans="1:4" ht="15" x14ac:dyDescent="0.25">
      <c r="A9639" t="s">
        <v>25460</v>
      </c>
      <c r="B9639">
        <v>1</v>
      </c>
      <c r="C9639">
        <v>29</v>
      </c>
      <c r="D9639">
        <v>29</v>
      </c>
    </row>
    <row r="9640" spans="1:4" ht="15" x14ac:dyDescent="0.25">
      <c r="A9640" t="s">
        <v>25472</v>
      </c>
      <c r="B9640">
        <v>1</v>
      </c>
      <c r="C9640">
        <v>27</v>
      </c>
      <c r="D9640">
        <v>27</v>
      </c>
    </row>
    <row r="9641" spans="1:4" ht="15" x14ac:dyDescent="0.25">
      <c r="A9641" t="s">
        <v>25475</v>
      </c>
      <c r="B9641">
        <v>2</v>
      </c>
      <c r="C9641">
        <v>78</v>
      </c>
      <c r="D9641">
        <v>39</v>
      </c>
    </row>
    <row r="9642" spans="1:4" ht="15" x14ac:dyDescent="0.25">
      <c r="A9642" t="s">
        <v>25476</v>
      </c>
      <c r="B9642">
        <v>1</v>
      </c>
      <c r="C9642">
        <v>34</v>
      </c>
      <c r="D9642">
        <v>34</v>
      </c>
    </row>
    <row r="9643" spans="1:4" ht="15" x14ac:dyDescent="0.25">
      <c r="A9643" t="s">
        <v>25480</v>
      </c>
      <c r="B9643">
        <v>1</v>
      </c>
      <c r="C9643">
        <v>49</v>
      </c>
      <c r="D9643">
        <v>49</v>
      </c>
    </row>
    <row r="9644" spans="1:4" ht="15" x14ac:dyDescent="0.25">
      <c r="A9644" t="s">
        <v>25483</v>
      </c>
      <c r="B9644">
        <v>1</v>
      </c>
      <c r="C9644">
        <v>108</v>
      </c>
      <c r="D9644">
        <v>108</v>
      </c>
    </row>
    <row r="9645" spans="1:4" ht="15" x14ac:dyDescent="0.25">
      <c r="A9645" t="s">
        <v>25492</v>
      </c>
      <c r="B9645">
        <v>1</v>
      </c>
      <c r="C9645">
        <v>17</v>
      </c>
      <c r="D9645">
        <v>17</v>
      </c>
    </row>
    <row r="9646" spans="1:4" ht="15" x14ac:dyDescent="0.25">
      <c r="A9646" t="s">
        <v>25498</v>
      </c>
      <c r="B9646">
        <v>1</v>
      </c>
      <c r="C9646">
        <v>13</v>
      </c>
      <c r="D9646">
        <v>13</v>
      </c>
    </row>
    <row r="9647" spans="1:4" ht="15" x14ac:dyDescent="0.25">
      <c r="A9647" t="s">
        <v>25499</v>
      </c>
      <c r="B9647">
        <v>1</v>
      </c>
      <c r="C9647">
        <v>13</v>
      </c>
      <c r="D9647">
        <v>13</v>
      </c>
    </row>
    <row r="9648" spans="1:4" ht="15" x14ac:dyDescent="0.25">
      <c r="A9648" t="s">
        <v>25500</v>
      </c>
      <c r="B9648">
        <v>1</v>
      </c>
      <c r="C9648">
        <v>13</v>
      </c>
      <c r="D9648">
        <v>13</v>
      </c>
    </row>
    <row r="9649" spans="1:4" ht="15" x14ac:dyDescent="0.25">
      <c r="A9649" t="s">
        <v>25504</v>
      </c>
      <c r="B9649">
        <v>1</v>
      </c>
      <c r="C9649">
        <v>34</v>
      </c>
      <c r="D9649">
        <v>34</v>
      </c>
    </row>
    <row r="9650" spans="1:4" ht="15" x14ac:dyDescent="0.25">
      <c r="A9650" t="s">
        <v>25506</v>
      </c>
      <c r="B9650">
        <v>1</v>
      </c>
      <c r="C9650">
        <v>34</v>
      </c>
      <c r="D9650">
        <v>34</v>
      </c>
    </row>
    <row r="9651" spans="1:4" ht="15" x14ac:dyDescent="0.25">
      <c r="A9651" t="s">
        <v>25505</v>
      </c>
      <c r="B9651">
        <v>1</v>
      </c>
      <c r="C9651">
        <v>34</v>
      </c>
      <c r="D9651">
        <v>34</v>
      </c>
    </row>
    <row r="9652" spans="1:4" ht="15" x14ac:dyDescent="0.25">
      <c r="A9652" t="s">
        <v>25513</v>
      </c>
      <c r="B9652">
        <v>1</v>
      </c>
      <c r="C9652">
        <v>108</v>
      </c>
      <c r="D9652">
        <v>108</v>
      </c>
    </row>
    <row r="9653" spans="1:4" ht="15" x14ac:dyDescent="0.25">
      <c r="A9653" t="s">
        <v>25517</v>
      </c>
      <c r="B9653">
        <v>1</v>
      </c>
      <c r="C9653">
        <v>146</v>
      </c>
      <c r="D9653">
        <v>146</v>
      </c>
    </row>
    <row r="9654" spans="1:4" ht="15" x14ac:dyDescent="0.25">
      <c r="A9654" t="s">
        <v>25518</v>
      </c>
      <c r="B9654">
        <v>1</v>
      </c>
      <c r="C9654">
        <v>146</v>
      </c>
      <c r="D9654">
        <v>146</v>
      </c>
    </row>
    <row r="9655" spans="1:4" ht="15" x14ac:dyDescent="0.25">
      <c r="A9655" t="s">
        <v>25522</v>
      </c>
      <c r="B9655">
        <v>1</v>
      </c>
      <c r="C9655">
        <v>60</v>
      </c>
      <c r="D9655">
        <v>60</v>
      </c>
    </row>
    <row r="9656" spans="1:4" ht="15" x14ac:dyDescent="0.25">
      <c r="A9656" t="s">
        <v>25523</v>
      </c>
      <c r="B9656">
        <v>1</v>
      </c>
      <c r="C9656">
        <v>60</v>
      </c>
      <c r="D9656">
        <v>60</v>
      </c>
    </row>
    <row r="9657" spans="1:4" ht="15" x14ac:dyDescent="0.25">
      <c r="A9657" t="s">
        <v>25524</v>
      </c>
      <c r="B9657">
        <v>1</v>
      </c>
      <c r="C9657">
        <v>60</v>
      </c>
      <c r="D9657">
        <v>60</v>
      </c>
    </row>
    <row r="9658" spans="1:4" ht="15" x14ac:dyDescent="0.25">
      <c r="A9658" t="s">
        <v>25527</v>
      </c>
      <c r="B9658">
        <v>1</v>
      </c>
      <c r="C9658">
        <v>70</v>
      </c>
      <c r="D9658">
        <v>70</v>
      </c>
    </row>
    <row r="9659" spans="1:4" ht="15" x14ac:dyDescent="0.25">
      <c r="A9659" t="s">
        <v>25533</v>
      </c>
      <c r="B9659">
        <v>2</v>
      </c>
      <c r="C9659">
        <v>29</v>
      </c>
      <c r="D9659">
        <v>14.5</v>
      </c>
    </row>
    <row r="9660" spans="1:4" ht="15" x14ac:dyDescent="0.25">
      <c r="A9660" t="s">
        <v>25532</v>
      </c>
      <c r="B9660">
        <v>1</v>
      </c>
      <c r="C9660">
        <v>14</v>
      </c>
      <c r="D9660">
        <v>14</v>
      </c>
    </row>
    <row r="9661" spans="1:4" ht="15" x14ac:dyDescent="0.25">
      <c r="A9661" t="s">
        <v>25537</v>
      </c>
      <c r="B9661">
        <v>1</v>
      </c>
      <c r="C9661">
        <v>29</v>
      </c>
      <c r="D9661">
        <v>29</v>
      </c>
    </row>
    <row r="9662" spans="1:4" ht="15" x14ac:dyDescent="0.25">
      <c r="A9662" t="s">
        <v>25539</v>
      </c>
      <c r="B9662">
        <v>1</v>
      </c>
      <c r="C9662">
        <v>29</v>
      </c>
      <c r="D9662">
        <v>29</v>
      </c>
    </row>
    <row r="9663" spans="1:4" ht="15" x14ac:dyDescent="0.25">
      <c r="A9663" t="s">
        <v>25540</v>
      </c>
      <c r="B9663">
        <v>1</v>
      </c>
      <c r="C9663">
        <v>29</v>
      </c>
      <c r="D9663">
        <v>29</v>
      </c>
    </row>
    <row r="9664" spans="1:4" ht="15" x14ac:dyDescent="0.25">
      <c r="A9664" t="s">
        <v>25538</v>
      </c>
      <c r="B9664">
        <v>1</v>
      </c>
      <c r="C9664">
        <v>29</v>
      </c>
      <c r="D9664">
        <v>29</v>
      </c>
    </row>
    <row r="9665" spans="1:4" ht="15" x14ac:dyDescent="0.25">
      <c r="A9665" t="s">
        <v>25544</v>
      </c>
      <c r="B9665">
        <v>1</v>
      </c>
      <c r="C9665">
        <v>16</v>
      </c>
      <c r="D9665">
        <v>16</v>
      </c>
    </row>
    <row r="9666" spans="1:4" ht="15" x14ac:dyDescent="0.25">
      <c r="A9666" t="s">
        <v>25548</v>
      </c>
      <c r="B9666">
        <v>1</v>
      </c>
      <c r="C9666">
        <v>21</v>
      </c>
      <c r="D9666">
        <v>21</v>
      </c>
    </row>
    <row r="9667" spans="1:4" ht="15" x14ac:dyDescent="0.25">
      <c r="A9667" t="s">
        <v>25549</v>
      </c>
      <c r="B9667">
        <v>1</v>
      </c>
      <c r="C9667">
        <v>21</v>
      </c>
      <c r="D9667">
        <v>21</v>
      </c>
    </row>
    <row r="9668" spans="1:4" ht="15" x14ac:dyDescent="0.25">
      <c r="A9668" t="s">
        <v>25552</v>
      </c>
      <c r="B9668">
        <v>3</v>
      </c>
      <c r="C9668">
        <v>117</v>
      </c>
      <c r="D9668">
        <v>39</v>
      </c>
    </row>
    <row r="9669" spans="1:4" ht="15" x14ac:dyDescent="0.25">
      <c r="A9669" t="s">
        <v>25553</v>
      </c>
      <c r="B9669">
        <v>1</v>
      </c>
      <c r="C9669">
        <v>16</v>
      </c>
      <c r="D9669">
        <v>16</v>
      </c>
    </row>
    <row r="9670" spans="1:4" ht="15" x14ac:dyDescent="0.25">
      <c r="A9670" t="s">
        <v>25556</v>
      </c>
      <c r="B9670">
        <v>1</v>
      </c>
      <c r="C9670">
        <v>16</v>
      </c>
      <c r="D9670">
        <v>16</v>
      </c>
    </row>
    <row r="9671" spans="1:4" ht="15" x14ac:dyDescent="0.25">
      <c r="A9671" t="s">
        <v>25558</v>
      </c>
      <c r="B9671">
        <v>1</v>
      </c>
      <c r="C9671">
        <v>16</v>
      </c>
      <c r="D9671">
        <v>16</v>
      </c>
    </row>
    <row r="9672" spans="1:4" ht="15" x14ac:dyDescent="0.25">
      <c r="A9672" t="s">
        <v>25557</v>
      </c>
      <c r="B9672">
        <v>1</v>
      </c>
      <c r="C9672">
        <v>16</v>
      </c>
      <c r="D9672">
        <v>16</v>
      </c>
    </row>
    <row r="9673" spans="1:4" ht="15" x14ac:dyDescent="0.25">
      <c r="A9673" t="s">
        <v>25563</v>
      </c>
      <c r="B9673">
        <v>1</v>
      </c>
      <c r="C9673">
        <v>32</v>
      </c>
      <c r="D9673">
        <v>32</v>
      </c>
    </row>
    <row r="9674" spans="1:4" ht="15" x14ac:dyDescent="0.25">
      <c r="A9674" t="s">
        <v>25565</v>
      </c>
      <c r="B9674">
        <v>1</v>
      </c>
      <c r="C9674">
        <v>32</v>
      </c>
      <c r="D9674">
        <v>32</v>
      </c>
    </row>
    <row r="9675" spans="1:4" ht="15" x14ac:dyDescent="0.25">
      <c r="A9675" t="s">
        <v>25566</v>
      </c>
      <c r="B9675">
        <v>1</v>
      </c>
      <c r="C9675">
        <v>32</v>
      </c>
      <c r="D9675">
        <v>32</v>
      </c>
    </row>
    <row r="9676" spans="1:4" ht="15" x14ac:dyDescent="0.25">
      <c r="A9676" t="s">
        <v>25564</v>
      </c>
      <c r="B9676">
        <v>1</v>
      </c>
      <c r="C9676">
        <v>32</v>
      </c>
      <c r="D9676">
        <v>32</v>
      </c>
    </row>
    <row r="9677" spans="1:4" ht="15" x14ac:dyDescent="0.25">
      <c r="A9677" t="s">
        <v>25572</v>
      </c>
      <c r="B9677">
        <v>1</v>
      </c>
      <c r="C9677">
        <v>40</v>
      </c>
      <c r="D9677">
        <v>40</v>
      </c>
    </row>
    <row r="9678" spans="1:4" ht="15" x14ac:dyDescent="0.25">
      <c r="A9678" t="s">
        <v>25576</v>
      </c>
      <c r="B9678">
        <v>1</v>
      </c>
      <c r="C9678">
        <v>3</v>
      </c>
      <c r="D9678">
        <v>3</v>
      </c>
    </row>
    <row r="9679" spans="1:4" ht="15" x14ac:dyDescent="0.25">
      <c r="A9679" t="s">
        <v>25577</v>
      </c>
      <c r="B9679">
        <v>1</v>
      </c>
      <c r="C9679">
        <v>3</v>
      </c>
      <c r="D9679">
        <v>3</v>
      </c>
    </row>
    <row r="9680" spans="1:4" ht="15" x14ac:dyDescent="0.25">
      <c r="A9680" t="s">
        <v>25578</v>
      </c>
      <c r="B9680">
        <v>1</v>
      </c>
      <c r="C9680">
        <v>3</v>
      </c>
      <c r="D9680">
        <v>3</v>
      </c>
    </row>
    <row r="9681" spans="1:4" ht="15" x14ac:dyDescent="0.25">
      <c r="A9681" t="s">
        <v>25581</v>
      </c>
      <c r="B9681">
        <v>1</v>
      </c>
      <c r="C9681">
        <v>37</v>
      </c>
      <c r="D9681">
        <v>37</v>
      </c>
    </row>
    <row r="9682" spans="1:4" ht="15" x14ac:dyDescent="0.25">
      <c r="A9682" t="s">
        <v>25584</v>
      </c>
      <c r="B9682">
        <v>1</v>
      </c>
      <c r="C9682">
        <v>31</v>
      </c>
      <c r="D9682">
        <v>31</v>
      </c>
    </row>
    <row r="9683" spans="1:4" ht="15" x14ac:dyDescent="0.25">
      <c r="A9683" t="s">
        <v>25586</v>
      </c>
      <c r="B9683">
        <v>1</v>
      </c>
      <c r="C9683">
        <v>31</v>
      </c>
      <c r="D9683">
        <v>31</v>
      </c>
    </row>
    <row r="9684" spans="1:4" ht="15" x14ac:dyDescent="0.25">
      <c r="A9684" t="s">
        <v>25585</v>
      </c>
      <c r="B9684">
        <v>1</v>
      </c>
      <c r="C9684">
        <v>31</v>
      </c>
      <c r="D9684">
        <v>31</v>
      </c>
    </row>
    <row r="9685" spans="1:4" ht="15" x14ac:dyDescent="0.25">
      <c r="A9685" t="s">
        <v>25591</v>
      </c>
      <c r="B9685">
        <v>1</v>
      </c>
      <c r="C9685">
        <v>22</v>
      </c>
      <c r="D9685">
        <v>22</v>
      </c>
    </row>
    <row r="9686" spans="1:4" ht="15" x14ac:dyDescent="0.25">
      <c r="A9686" t="s">
        <v>25592</v>
      </c>
      <c r="B9686">
        <v>1</v>
      </c>
      <c r="C9686">
        <v>22</v>
      </c>
      <c r="D9686">
        <v>22</v>
      </c>
    </row>
    <row r="9687" spans="1:4" ht="15" x14ac:dyDescent="0.25">
      <c r="A9687" t="s">
        <v>25593</v>
      </c>
      <c r="B9687">
        <v>1</v>
      </c>
      <c r="C9687">
        <v>22</v>
      </c>
      <c r="D9687">
        <v>22</v>
      </c>
    </row>
    <row r="9688" spans="1:4" ht="15" x14ac:dyDescent="0.25">
      <c r="A9688" t="s">
        <v>25598</v>
      </c>
      <c r="B9688">
        <v>1</v>
      </c>
      <c r="C9688">
        <v>102</v>
      </c>
      <c r="D9688">
        <v>102</v>
      </c>
    </row>
    <row r="9689" spans="1:4" ht="15" x14ac:dyDescent="0.25">
      <c r="A9689" t="s">
        <v>25599</v>
      </c>
      <c r="B9689">
        <v>1</v>
      </c>
      <c r="C9689">
        <v>102</v>
      </c>
      <c r="D9689">
        <v>102</v>
      </c>
    </row>
    <row r="9690" spans="1:4" ht="15" x14ac:dyDescent="0.25">
      <c r="A9690" t="s">
        <v>25600</v>
      </c>
      <c r="B9690">
        <v>1</v>
      </c>
      <c r="C9690">
        <v>102</v>
      </c>
      <c r="D9690">
        <v>102</v>
      </c>
    </row>
    <row r="9691" spans="1:4" ht="15" x14ac:dyDescent="0.25">
      <c r="A9691" t="s">
        <v>25604</v>
      </c>
      <c r="B9691">
        <v>1</v>
      </c>
      <c r="C9691">
        <v>15</v>
      </c>
      <c r="D9691">
        <v>15</v>
      </c>
    </row>
    <row r="9692" spans="1:4" ht="15" x14ac:dyDescent="0.25">
      <c r="A9692" t="s">
        <v>25605</v>
      </c>
      <c r="B9692">
        <v>1</v>
      </c>
      <c r="C9692">
        <v>15</v>
      </c>
      <c r="D9692">
        <v>15</v>
      </c>
    </row>
    <row r="9693" spans="1:4" ht="15" x14ac:dyDescent="0.25">
      <c r="A9693" t="s">
        <v>25606</v>
      </c>
      <c r="B9693">
        <v>1</v>
      </c>
      <c r="C9693">
        <v>15</v>
      </c>
      <c r="D9693">
        <v>15</v>
      </c>
    </row>
    <row r="9694" spans="1:4" ht="15" x14ac:dyDescent="0.25">
      <c r="A9694" t="s">
        <v>25610</v>
      </c>
      <c r="B9694">
        <v>1</v>
      </c>
      <c r="C9694">
        <v>9</v>
      </c>
      <c r="D9694">
        <v>9</v>
      </c>
    </row>
    <row r="9695" spans="1:4" ht="15" x14ac:dyDescent="0.25">
      <c r="A9695" t="s">
        <v>25614</v>
      </c>
      <c r="B9695">
        <v>1</v>
      </c>
      <c r="C9695">
        <v>18</v>
      </c>
      <c r="D9695">
        <v>18</v>
      </c>
    </row>
    <row r="9696" spans="1:4" ht="15" x14ac:dyDescent="0.25">
      <c r="A9696" t="s">
        <v>25618</v>
      </c>
      <c r="B9696">
        <v>1</v>
      </c>
      <c r="C9696">
        <v>6</v>
      </c>
      <c r="D9696">
        <v>6</v>
      </c>
    </row>
    <row r="9697" spans="1:4" ht="15" x14ac:dyDescent="0.25">
      <c r="A9697" t="s">
        <v>25619</v>
      </c>
      <c r="B9697">
        <v>1</v>
      </c>
      <c r="C9697">
        <v>6</v>
      </c>
      <c r="D9697">
        <v>6</v>
      </c>
    </row>
    <row r="9698" spans="1:4" ht="15" x14ac:dyDescent="0.25">
      <c r="A9698" t="s">
        <v>25623</v>
      </c>
      <c r="B9698">
        <v>2</v>
      </c>
      <c r="C9698">
        <v>28</v>
      </c>
      <c r="D9698">
        <v>14</v>
      </c>
    </row>
    <row r="9699" spans="1:4" ht="15" x14ac:dyDescent="0.25">
      <c r="A9699" t="s">
        <v>25624</v>
      </c>
      <c r="B9699">
        <v>1</v>
      </c>
      <c r="C9699">
        <v>3</v>
      </c>
      <c r="D9699">
        <v>3</v>
      </c>
    </row>
    <row r="9700" spans="1:4" ht="15" x14ac:dyDescent="0.25">
      <c r="A9700" t="s">
        <v>25626</v>
      </c>
      <c r="B9700">
        <v>1</v>
      </c>
      <c r="C9700">
        <v>3</v>
      </c>
      <c r="D9700">
        <v>3</v>
      </c>
    </row>
    <row r="9701" spans="1:4" ht="15" x14ac:dyDescent="0.25">
      <c r="A9701" t="s">
        <v>25627</v>
      </c>
      <c r="B9701">
        <v>1</v>
      </c>
      <c r="C9701">
        <v>3</v>
      </c>
      <c r="D9701">
        <v>3</v>
      </c>
    </row>
    <row r="9702" spans="1:4" ht="15" x14ac:dyDescent="0.25">
      <c r="A9702" t="s">
        <v>25625</v>
      </c>
      <c r="B9702">
        <v>1</v>
      </c>
      <c r="C9702">
        <v>3</v>
      </c>
      <c r="D9702">
        <v>3</v>
      </c>
    </row>
    <row r="9703" spans="1:4" ht="15" x14ac:dyDescent="0.25">
      <c r="A9703" t="s">
        <v>25632</v>
      </c>
      <c r="B9703">
        <v>1</v>
      </c>
      <c r="C9703">
        <v>71</v>
      </c>
      <c r="D9703">
        <v>71</v>
      </c>
    </row>
    <row r="9704" spans="1:4" ht="15" x14ac:dyDescent="0.25">
      <c r="A9704" t="s">
        <v>25633</v>
      </c>
      <c r="B9704">
        <v>1</v>
      </c>
      <c r="C9704">
        <v>71</v>
      </c>
      <c r="D9704">
        <v>71</v>
      </c>
    </row>
    <row r="9705" spans="1:4" ht="15" x14ac:dyDescent="0.25">
      <c r="A9705" t="s">
        <v>25637</v>
      </c>
      <c r="B9705">
        <v>1</v>
      </c>
      <c r="C9705">
        <v>8</v>
      </c>
      <c r="D9705">
        <v>8</v>
      </c>
    </row>
    <row r="9706" spans="1:4" ht="15" x14ac:dyDescent="0.25">
      <c r="A9706" t="s">
        <v>25638</v>
      </c>
      <c r="B9706">
        <v>1</v>
      </c>
      <c r="C9706">
        <v>8</v>
      </c>
      <c r="D9706">
        <v>8</v>
      </c>
    </row>
    <row r="9707" spans="1:4" ht="15" x14ac:dyDescent="0.25">
      <c r="A9707" t="s">
        <v>25646</v>
      </c>
      <c r="B9707">
        <v>1</v>
      </c>
      <c r="C9707">
        <v>48</v>
      </c>
      <c r="D9707">
        <v>48</v>
      </c>
    </row>
    <row r="9708" spans="1:4" ht="15" x14ac:dyDescent="0.25">
      <c r="A9708" t="s">
        <v>25647</v>
      </c>
      <c r="B9708">
        <v>1</v>
      </c>
      <c r="C9708">
        <v>48</v>
      </c>
      <c r="D9708">
        <v>48</v>
      </c>
    </row>
    <row r="9709" spans="1:4" ht="15" x14ac:dyDescent="0.25">
      <c r="A9709" t="s">
        <v>25651</v>
      </c>
      <c r="B9709">
        <v>1</v>
      </c>
      <c r="C9709">
        <v>95</v>
      </c>
      <c r="D9709">
        <v>95</v>
      </c>
    </row>
    <row r="9710" spans="1:4" ht="15" x14ac:dyDescent="0.25">
      <c r="A9710" t="s">
        <v>25652</v>
      </c>
      <c r="B9710">
        <v>1</v>
      </c>
      <c r="C9710">
        <v>95</v>
      </c>
      <c r="D9710">
        <v>95</v>
      </c>
    </row>
    <row r="9711" spans="1:4" ht="15" x14ac:dyDescent="0.25">
      <c r="A9711" t="s">
        <v>25656</v>
      </c>
      <c r="B9711">
        <v>1</v>
      </c>
      <c r="C9711">
        <v>157</v>
      </c>
      <c r="D9711">
        <v>157</v>
      </c>
    </row>
    <row r="9712" spans="1:4" ht="15" x14ac:dyDescent="0.25">
      <c r="A9712" t="s">
        <v>25667</v>
      </c>
      <c r="B9712">
        <v>1</v>
      </c>
      <c r="C9712">
        <v>11</v>
      </c>
      <c r="D9712">
        <v>11</v>
      </c>
    </row>
    <row r="9713" spans="1:4" ht="15" x14ac:dyDescent="0.25">
      <c r="A9713" t="s">
        <v>25668</v>
      </c>
      <c r="B9713">
        <v>1</v>
      </c>
      <c r="C9713">
        <v>11</v>
      </c>
      <c r="D9713">
        <v>11</v>
      </c>
    </row>
    <row r="9714" spans="1:4" ht="15" x14ac:dyDescent="0.25">
      <c r="A9714" t="s">
        <v>25674</v>
      </c>
      <c r="B9714">
        <v>1</v>
      </c>
      <c r="C9714">
        <v>135</v>
      </c>
      <c r="D9714">
        <v>135</v>
      </c>
    </row>
    <row r="9715" spans="1:4" ht="15" x14ac:dyDescent="0.25">
      <c r="A9715" t="s">
        <v>25675</v>
      </c>
      <c r="B9715">
        <v>1</v>
      </c>
      <c r="C9715">
        <v>135</v>
      </c>
      <c r="D9715">
        <v>135</v>
      </c>
    </row>
    <row r="9716" spans="1:4" ht="15" x14ac:dyDescent="0.25">
      <c r="A9716" t="s">
        <v>25680</v>
      </c>
      <c r="B9716">
        <v>1</v>
      </c>
      <c r="C9716">
        <v>54</v>
      </c>
      <c r="D9716">
        <v>54</v>
      </c>
    </row>
    <row r="9717" spans="1:4" ht="15" x14ac:dyDescent="0.25">
      <c r="A9717" t="s">
        <v>25682</v>
      </c>
      <c r="B9717">
        <v>1</v>
      </c>
      <c r="C9717">
        <v>54</v>
      </c>
      <c r="D9717">
        <v>54</v>
      </c>
    </row>
    <row r="9718" spans="1:4" ht="15" x14ac:dyDescent="0.25">
      <c r="A9718" t="s">
        <v>25683</v>
      </c>
      <c r="B9718">
        <v>1</v>
      </c>
      <c r="C9718">
        <v>54</v>
      </c>
      <c r="D9718">
        <v>54</v>
      </c>
    </row>
    <row r="9719" spans="1:4" ht="15" x14ac:dyDescent="0.25">
      <c r="A9719" t="s">
        <v>25681</v>
      </c>
      <c r="B9719">
        <v>1</v>
      </c>
      <c r="C9719">
        <v>54</v>
      </c>
      <c r="D9719">
        <v>54</v>
      </c>
    </row>
    <row r="9720" spans="1:4" ht="15" x14ac:dyDescent="0.25">
      <c r="A9720" t="s">
        <v>25687</v>
      </c>
      <c r="B9720">
        <v>1</v>
      </c>
      <c r="C9720">
        <v>40</v>
      </c>
      <c r="D9720">
        <v>40</v>
      </c>
    </row>
    <row r="9721" spans="1:4" ht="15" x14ac:dyDescent="0.25">
      <c r="A9721" t="s">
        <v>25688</v>
      </c>
      <c r="B9721">
        <v>1</v>
      </c>
      <c r="C9721">
        <v>40</v>
      </c>
      <c r="D9721">
        <v>40</v>
      </c>
    </row>
    <row r="9722" spans="1:4" ht="15" x14ac:dyDescent="0.25">
      <c r="A9722" t="s">
        <v>25699</v>
      </c>
      <c r="B9722">
        <v>1</v>
      </c>
      <c r="C9722">
        <v>48</v>
      </c>
      <c r="D9722">
        <v>48</v>
      </c>
    </row>
    <row r="9723" spans="1:4" ht="15" x14ac:dyDescent="0.25">
      <c r="A9723" t="s">
        <v>25700</v>
      </c>
      <c r="B9723">
        <v>1</v>
      </c>
      <c r="C9723">
        <v>48</v>
      </c>
      <c r="D9723">
        <v>48</v>
      </c>
    </row>
    <row r="9724" spans="1:4" ht="15" x14ac:dyDescent="0.25">
      <c r="A9724" t="s">
        <v>25705</v>
      </c>
      <c r="B9724">
        <v>1</v>
      </c>
      <c r="C9724">
        <v>66</v>
      </c>
      <c r="D9724">
        <v>66</v>
      </c>
    </row>
    <row r="9725" spans="1:4" ht="15" x14ac:dyDescent="0.25">
      <c r="A9725" t="s">
        <v>25707</v>
      </c>
      <c r="B9725">
        <v>1</v>
      </c>
      <c r="C9725">
        <v>66</v>
      </c>
      <c r="D9725">
        <v>66</v>
      </c>
    </row>
    <row r="9726" spans="1:4" ht="15" x14ac:dyDescent="0.25">
      <c r="A9726" t="s">
        <v>25706</v>
      </c>
      <c r="B9726">
        <v>1</v>
      </c>
      <c r="C9726">
        <v>66</v>
      </c>
      <c r="D9726">
        <v>66</v>
      </c>
    </row>
    <row r="9727" spans="1:4" ht="15" x14ac:dyDescent="0.25">
      <c r="A9727" t="s">
        <v>25711</v>
      </c>
      <c r="B9727">
        <v>1</v>
      </c>
      <c r="C9727">
        <v>17</v>
      </c>
      <c r="D9727">
        <v>17</v>
      </c>
    </row>
    <row r="9728" spans="1:4" ht="15" x14ac:dyDescent="0.25">
      <c r="A9728" t="s">
        <v>25712</v>
      </c>
      <c r="B9728">
        <v>1</v>
      </c>
      <c r="C9728">
        <v>17</v>
      </c>
      <c r="D9728">
        <v>17</v>
      </c>
    </row>
    <row r="9729" spans="1:4" ht="15" x14ac:dyDescent="0.25">
      <c r="A9729" t="s">
        <v>25715</v>
      </c>
      <c r="B9729">
        <v>1</v>
      </c>
      <c r="C9729">
        <v>32</v>
      </c>
      <c r="D9729">
        <v>32</v>
      </c>
    </row>
    <row r="9730" spans="1:4" ht="15" x14ac:dyDescent="0.25">
      <c r="A9730" t="s">
        <v>25718</v>
      </c>
      <c r="B9730">
        <v>1</v>
      </c>
      <c r="C9730">
        <v>33</v>
      </c>
      <c r="D9730">
        <v>33</v>
      </c>
    </row>
    <row r="9731" spans="1:4" ht="15" x14ac:dyDescent="0.25">
      <c r="A9731" t="s">
        <v>25719</v>
      </c>
      <c r="B9731">
        <v>1</v>
      </c>
      <c r="C9731">
        <v>33</v>
      </c>
      <c r="D9731">
        <v>33</v>
      </c>
    </row>
    <row r="9732" spans="1:4" ht="15" x14ac:dyDescent="0.25">
      <c r="A9732" t="s">
        <v>25724</v>
      </c>
      <c r="B9732">
        <v>1</v>
      </c>
      <c r="C9732">
        <v>56</v>
      </c>
      <c r="D9732">
        <v>56</v>
      </c>
    </row>
    <row r="9733" spans="1:4" ht="15" x14ac:dyDescent="0.25">
      <c r="A9733" t="s">
        <v>25725</v>
      </c>
      <c r="B9733">
        <v>1</v>
      </c>
      <c r="C9733">
        <v>56</v>
      </c>
      <c r="D9733">
        <v>56</v>
      </c>
    </row>
    <row r="9734" spans="1:4" ht="15" x14ac:dyDescent="0.25">
      <c r="A9734" t="s">
        <v>25723</v>
      </c>
      <c r="B9734">
        <v>1</v>
      </c>
      <c r="C9734">
        <v>56</v>
      </c>
      <c r="D9734">
        <v>56</v>
      </c>
    </row>
    <row r="9735" spans="1:4" ht="15" x14ac:dyDescent="0.25">
      <c r="A9735" t="s">
        <v>25729</v>
      </c>
      <c r="B9735">
        <v>1</v>
      </c>
      <c r="C9735">
        <v>296</v>
      </c>
      <c r="D9735">
        <v>296</v>
      </c>
    </row>
    <row r="9736" spans="1:4" ht="15" x14ac:dyDescent="0.25">
      <c r="A9736" t="s">
        <v>25730</v>
      </c>
      <c r="B9736">
        <v>1</v>
      </c>
      <c r="C9736">
        <v>296</v>
      </c>
      <c r="D9736">
        <v>296</v>
      </c>
    </row>
    <row r="9737" spans="1:4" ht="15" x14ac:dyDescent="0.25">
      <c r="A9737" t="s">
        <v>25728</v>
      </c>
      <c r="B9737">
        <v>1</v>
      </c>
      <c r="C9737">
        <v>296</v>
      </c>
      <c r="D9737">
        <v>296</v>
      </c>
    </row>
    <row r="9738" spans="1:4" ht="15" x14ac:dyDescent="0.25">
      <c r="A9738" t="s">
        <v>25734</v>
      </c>
      <c r="B9738">
        <v>1</v>
      </c>
      <c r="C9738">
        <v>2</v>
      </c>
      <c r="D9738">
        <v>2</v>
      </c>
    </row>
    <row r="9739" spans="1:4" ht="15" x14ac:dyDescent="0.25">
      <c r="A9739" t="s">
        <v>25735</v>
      </c>
      <c r="B9739">
        <v>1</v>
      </c>
      <c r="C9739">
        <v>2</v>
      </c>
      <c r="D9739">
        <v>2</v>
      </c>
    </row>
    <row r="9740" spans="1:4" ht="15" x14ac:dyDescent="0.25">
      <c r="A9740" t="s">
        <v>25737</v>
      </c>
      <c r="B9740">
        <v>1</v>
      </c>
      <c r="C9740">
        <v>2</v>
      </c>
      <c r="D9740">
        <v>2</v>
      </c>
    </row>
    <row r="9741" spans="1:4" ht="15" x14ac:dyDescent="0.25">
      <c r="A9741" t="s">
        <v>25738</v>
      </c>
      <c r="B9741">
        <v>1</v>
      </c>
      <c r="C9741">
        <v>2</v>
      </c>
      <c r="D9741">
        <v>2</v>
      </c>
    </row>
    <row r="9742" spans="1:4" ht="15" x14ac:dyDescent="0.25">
      <c r="A9742" t="s">
        <v>25736</v>
      </c>
      <c r="B9742">
        <v>1</v>
      </c>
      <c r="C9742">
        <v>2</v>
      </c>
      <c r="D9742">
        <v>2</v>
      </c>
    </row>
    <row r="9743" spans="1:4" ht="15" x14ac:dyDescent="0.25">
      <c r="A9743" t="s">
        <v>25741</v>
      </c>
      <c r="B9743">
        <v>1</v>
      </c>
      <c r="C9743">
        <v>40</v>
      </c>
      <c r="D9743">
        <v>40</v>
      </c>
    </row>
    <row r="9744" spans="1:4" ht="15" x14ac:dyDescent="0.25">
      <c r="A9744" t="s">
        <v>25747</v>
      </c>
      <c r="B9744">
        <v>1</v>
      </c>
      <c r="C9744">
        <v>7</v>
      </c>
      <c r="D9744">
        <v>7</v>
      </c>
    </row>
    <row r="9745" spans="1:4" ht="15" x14ac:dyDescent="0.25">
      <c r="A9745" t="s">
        <v>25750</v>
      </c>
      <c r="B9745">
        <v>1</v>
      </c>
      <c r="C9745">
        <v>128</v>
      </c>
      <c r="D9745">
        <v>128</v>
      </c>
    </row>
    <row r="9746" spans="1:4" ht="15" x14ac:dyDescent="0.25">
      <c r="A9746" t="s">
        <v>25751</v>
      </c>
      <c r="B9746">
        <v>1</v>
      </c>
      <c r="C9746">
        <v>128</v>
      </c>
      <c r="D9746">
        <v>128</v>
      </c>
    </row>
    <row r="9747" spans="1:4" ht="15" x14ac:dyDescent="0.25">
      <c r="A9747" t="s">
        <v>25756</v>
      </c>
      <c r="B9747">
        <v>1</v>
      </c>
      <c r="C9747">
        <v>43</v>
      </c>
      <c r="D9747">
        <v>43</v>
      </c>
    </row>
    <row r="9748" spans="1:4" ht="15" x14ac:dyDescent="0.25">
      <c r="A9748" t="s">
        <v>25757</v>
      </c>
      <c r="B9748">
        <v>1</v>
      </c>
      <c r="C9748">
        <v>43</v>
      </c>
      <c r="D9748">
        <v>43</v>
      </c>
    </row>
    <row r="9749" spans="1:4" ht="15" x14ac:dyDescent="0.25">
      <c r="A9749" t="s">
        <v>25760</v>
      </c>
      <c r="B9749">
        <v>1</v>
      </c>
      <c r="C9749">
        <v>15</v>
      </c>
      <c r="D9749">
        <v>15</v>
      </c>
    </row>
    <row r="9750" spans="1:4" ht="15" x14ac:dyDescent="0.25">
      <c r="A9750" t="s">
        <v>25765</v>
      </c>
      <c r="B9750">
        <v>1</v>
      </c>
      <c r="C9750">
        <v>101</v>
      </c>
      <c r="D9750">
        <v>101</v>
      </c>
    </row>
    <row r="9751" spans="1:4" ht="15" x14ac:dyDescent="0.25">
      <c r="A9751" t="s">
        <v>25771</v>
      </c>
      <c r="B9751">
        <v>1</v>
      </c>
      <c r="C9751">
        <v>7</v>
      </c>
      <c r="D9751">
        <v>7</v>
      </c>
    </row>
    <row r="9752" spans="1:4" ht="15" x14ac:dyDescent="0.25">
      <c r="A9752" t="s">
        <v>25772</v>
      </c>
      <c r="B9752">
        <v>1</v>
      </c>
      <c r="C9752">
        <v>7</v>
      </c>
      <c r="D9752">
        <v>7</v>
      </c>
    </row>
    <row r="9753" spans="1:4" ht="15" x14ac:dyDescent="0.25">
      <c r="A9753" t="s">
        <v>25776</v>
      </c>
      <c r="B9753">
        <v>1</v>
      </c>
      <c r="C9753">
        <v>26</v>
      </c>
      <c r="D9753">
        <v>26</v>
      </c>
    </row>
    <row r="9754" spans="1:4" ht="15" x14ac:dyDescent="0.25">
      <c r="A9754" t="s">
        <v>25777</v>
      </c>
      <c r="B9754">
        <v>1</v>
      </c>
      <c r="C9754">
        <v>26</v>
      </c>
      <c r="D9754">
        <v>26</v>
      </c>
    </row>
    <row r="9755" spans="1:4" ht="15" x14ac:dyDescent="0.25">
      <c r="A9755" t="s">
        <v>25779</v>
      </c>
      <c r="B9755">
        <v>1</v>
      </c>
      <c r="C9755">
        <v>26</v>
      </c>
      <c r="D9755">
        <v>26</v>
      </c>
    </row>
    <row r="9756" spans="1:4" ht="15" x14ac:dyDescent="0.25">
      <c r="A9756" t="s">
        <v>25780</v>
      </c>
      <c r="B9756">
        <v>2</v>
      </c>
      <c r="C9756">
        <v>49</v>
      </c>
      <c r="D9756">
        <v>24.5</v>
      </c>
    </row>
    <row r="9757" spans="1:4" ht="15" x14ac:dyDescent="0.25">
      <c r="A9757" t="s">
        <v>25778</v>
      </c>
      <c r="B9757">
        <v>1</v>
      </c>
      <c r="C9757">
        <v>26</v>
      </c>
      <c r="D9757">
        <v>26</v>
      </c>
    </row>
    <row r="9758" spans="1:4" ht="15" x14ac:dyDescent="0.25">
      <c r="A9758" t="s">
        <v>25783</v>
      </c>
      <c r="B9758">
        <v>1</v>
      </c>
      <c r="C9758">
        <v>473</v>
      </c>
      <c r="D9758">
        <v>473</v>
      </c>
    </row>
    <row r="9759" spans="1:4" ht="15" x14ac:dyDescent="0.25">
      <c r="A9759" t="s">
        <v>25784</v>
      </c>
      <c r="B9759">
        <v>1</v>
      </c>
      <c r="C9759">
        <v>473</v>
      </c>
      <c r="D9759">
        <v>473</v>
      </c>
    </row>
    <row r="9760" spans="1:4" ht="15" x14ac:dyDescent="0.25">
      <c r="A9760" t="s">
        <v>25785</v>
      </c>
      <c r="B9760">
        <v>1</v>
      </c>
      <c r="C9760">
        <v>473</v>
      </c>
      <c r="D9760">
        <v>473</v>
      </c>
    </row>
    <row r="9761" spans="1:4" ht="15" x14ac:dyDescent="0.25">
      <c r="A9761" t="s">
        <v>25768</v>
      </c>
      <c r="B9761">
        <v>2</v>
      </c>
      <c r="C9761">
        <v>35</v>
      </c>
      <c r="D9761">
        <v>17.5</v>
      </c>
    </row>
    <row r="9762" spans="1:4" ht="15" x14ac:dyDescent="0.25">
      <c r="A9762" t="s">
        <v>25787</v>
      </c>
      <c r="B9762">
        <v>1</v>
      </c>
      <c r="C9762">
        <v>18</v>
      </c>
      <c r="D9762">
        <v>18</v>
      </c>
    </row>
    <row r="9763" spans="1:4" ht="15" x14ac:dyDescent="0.25">
      <c r="A9763" t="s">
        <v>25791</v>
      </c>
      <c r="B9763">
        <v>1</v>
      </c>
      <c r="C9763">
        <v>36</v>
      </c>
      <c r="D9763">
        <v>36</v>
      </c>
    </row>
    <row r="9764" spans="1:4" ht="15" x14ac:dyDescent="0.25">
      <c r="A9764" t="s">
        <v>25796</v>
      </c>
      <c r="B9764">
        <v>1</v>
      </c>
      <c r="C9764">
        <v>12</v>
      </c>
      <c r="D9764">
        <v>12</v>
      </c>
    </row>
    <row r="9765" spans="1:4" ht="15" x14ac:dyDescent="0.25">
      <c r="A9765" t="s">
        <v>25802</v>
      </c>
      <c r="B9765">
        <v>1</v>
      </c>
      <c r="C9765">
        <v>43</v>
      </c>
      <c r="D9765">
        <v>43</v>
      </c>
    </row>
    <row r="9766" spans="1:4" ht="15" x14ac:dyDescent="0.25">
      <c r="A9766" t="s">
        <v>25804</v>
      </c>
      <c r="B9766">
        <v>1</v>
      </c>
      <c r="C9766">
        <v>43</v>
      </c>
      <c r="D9766">
        <v>43</v>
      </c>
    </row>
    <row r="9767" spans="1:4" ht="15" x14ac:dyDescent="0.25">
      <c r="A9767" t="s">
        <v>25803</v>
      </c>
      <c r="B9767">
        <v>1</v>
      </c>
      <c r="C9767">
        <v>43</v>
      </c>
      <c r="D9767">
        <v>43</v>
      </c>
    </row>
    <row r="9768" spans="1:4" ht="15" x14ac:dyDescent="0.25">
      <c r="A9768" t="s">
        <v>25807</v>
      </c>
      <c r="B9768">
        <v>1</v>
      </c>
      <c r="C9768">
        <v>15</v>
      </c>
      <c r="D9768">
        <v>15</v>
      </c>
    </row>
    <row r="9769" spans="1:4" ht="15" x14ac:dyDescent="0.25">
      <c r="A9769" t="s">
        <v>25808</v>
      </c>
      <c r="B9769">
        <v>1</v>
      </c>
      <c r="C9769">
        <v>15</v>
      </c>
      <c r="D9769">
        <v>15</v>
      </c>
    </row>
    <row r="9770" spans="1:4" ht="15" x14ac:dyDescent="0.25">
      <c r="A9770" t="s">
        <v>25812</v>
      </c>
      <c r="B9770">
        <v>1</v>
      </c>
      <c r="C9770">
        <v>89</v>
      </c>
      <c r="D9770">
        <v>89</v>
      </c>
    </row>
    <row r="9771" spans="1:4" ht="15" x14ac:dyDescent="0.25">
      <c r="A9771" t="s">
        <v>25813</v>
      </c>
      <c r="B9771">
        <v>1</v>
      </c>
      <c r="C9771">
        <v>89</v>
      </c>
      <c r="D9771">
        <v>89</v>
      </c>
    </row>
    <row r="9772" spans="1:4" ht="15" x14ac:dyDescent="0.25">
      <c r="A9772" t="s">
        <v>25820</v>
      </c>
      <c r="B9772">
        <v>1</v>
      </c>
      <c r="C9772">
        <v>96</v>
      </c>
      <c r="D9772">
        <v>96</v>
      </c>
    </row>
    <row r="9773" spans="1:4" ht="15" x14ac:dyDescent="0.25">
      <c r="A9773" t="s">
        <v>25821</v>
      </c>
      <c r="B9773">
        <v>1</v>
      </c>
      <c r="C9773">
        <v>96</v>
      </c>
      <c r="D9773">
        <v>96</v>
      </c>
    </row>
    <row r="9774" spans="1:4" ht="15" x14ac:dyDescent="0.25">
      <c r="A9774" t="s">
        <v>25827</v>
      </c>
      <c r="B9774">
        <v>1</v>
      </c>
      <c r="C9774">
        <v>17</v>
      </c>
      <c r="D9774">
        <v>17</v>
      </c>
    </row>
    <row r="9775" spans="1:4" ht="15" x14ac:dyDescent="0.25">
      <c r="A9775" t="s">
        <v>25828</v>
      </c>
      <c r="B9775">
        <v>1</v>
      </c>
      <c r="C9775">
        <v>17</v>
      </c>
      <c r="D9775">
        <v>17</v>
      </c>
    </row>
    <row r="9776" spans="1:4" ht="15" x14ac:dyDescent="0.25">
      <c r="A9776" t="s">
        <v>25829</v>
      </c>
      <c r="B9776">
        <v>1</v>
      </c>
      <c r="C9776">
        <v>17</v>
      </c>
      <c r="D9776">
        <v>17</v>
      </c>
    </row>
    <row r="9777" spans="1:4" ht="15" x14ac:dyDescent="0.25">
      <c r="A9777" t="s">
        <v>25833</v>
      </c>
      <c r="B9777">
        <v>1</v>
      </c>
      <c r="C9777">
        <v>14</v>
      </c>
      <c r="D9777">
        <v>14</v>
      </c>
    </row>
    <row r="9778" spans="1:4" ht="15" x14ac:dyDescent="0.25">
      <c r="A9778" t="s">
        <v>25837</v>
      </c>
      <c r="B9778">
        <v>1</v>
      </c>
      <c r="C9778">
        <v>137</v>
      </c>
      <c r="D9778">
        <v>137</v>
      </c>
    </row>
    <row r="9779" spans="1:4" ht="15" x14ac:dyDescent="0.25">
      <c r="A9779" t="s">
        <v>25842</v>
      </c>
      <c r="B9779">
        <v>1</v>
      </c>
      <c r="C9779">
        <v>40</v>
      </c>
      <c r="D9779">
        <v>40</v>
      </c>
    </row>
    <row r="9780" spans="1:4" ht="15" x14ac:dyDescent="0.25">
      <c r="A9780" t="s">
        <v>25846</v>
      </c>
      <c r="B9780">
        <v>1</v>
      </c>
      <c r="C9780">
        <v>43</v>
      </c>
      <c r="D9780">
        <v>43</v>
      </c>
    </row>
    <row r="9781" spans="1:4" ht="15" x14ac:dyDescent="0.25">
      <c r="A9781" t="s">
        <v>25847</v>
      </c>
      <c r="B9781">
        <v>1</v>
      </c>
      <c r="C9781">
        <v>43</v>
      </c>
      <c r="D9781">
        <v>43</v>
      </c>
    </row>
    <row r="9782" spans="1:4" ht="15" x14ac:dyDescent="0.25">
      <c r="A9782" t="s">
        <v>25849</v>
      </c>
      <c r="B9782">
        <v>1</v>
      </c>
      <c r="C9782">
        <v>43</v>
      </c>
      <c r="D9782">
        <v>43</v>
      </c>
    </row>
    <row r="9783" spans="1:4" ht="15" x14ac:dyDescent="0.25">
      <c r="A9783" t="s">
        <v>25848</v>
      </c>
      <c r="B9783">
        <v>1</v>
      </c>
      <c r="C9783">
        <v>43</v>
      </c>
      <c r="D9783">
        <v>43</v>
      </c>
    </row>
    <row r="9784" spans="1:4" ht="15" x14ac:dyDescent="0.25">
      <c r="A9784" t="s">
        <v>25853</v>
      </c>
      <c r="B9784">
        <v>1</v>
      </c>
      <c r="C9784">
        <v>30</v>
      </c>
      <c r="D9784">
        <v>30</v>
      </c>
    </row>
    <row r="9785" spans="1:4" ht="15" x14ac:dyDescent="0.25">
      <c r="A9785" t="s">
        <v>25856</v>
      </c>
      <c r="B9785">
        <v>1</v>
      </c>
      <c r="C9785">
        <v>393</v>
      </c>
      <c r="D9785">
        <v>393</v>
      </c>
    </row>
    <row r="9786" spans="1:4" ht="15" x14ac:dyDescent="0.25">
      <c r="A9786" t="s">
        <v>25862</v>
      </c>
      <c r="B9786">
        <v>1</v>
      </c>
      <c r="C9786">
        <v>62</v>
      </c>
      <c r="D9786">
        <v>62</v>
      </c>
    </row>
    <row r="9787" spans="1:4" ht="15" x14ac:dyDescent="0.25">
      <c r="A9787" t="s">
        <v>25866</v>
      </c>
      <c r="B9787">
        <v>1</v>
      </c>
      <c r="C9787">
        <v>14</v>
      </c>
      <c r="D9787">
        <v>14</v>
      </c>
    </row>
    <row r="9788" spans="1:4" ht="15" x14ac:dyDescent="0.25">
      <c r="A9788" t="s">
        <v>25870</v>
      </c>
      <c r="B9788">
        <v>1</v>
      </c>
      <c r="C9788">
        <v>134</v>
      </c>
      <c r="D9788">
        <v>134</v>
      </c>
    </row>
    <row r="9789" spans="1:4" ht="15" x14ac:dyDescent="0.25">
      <c r="A9789" t="s">
        <v>25871</v>
      </c>
      <c r="B9789">
        <v>1</v>
      </c>
      <c r="C9789">
        <v>134</v>
      </c>
      <c r="D9789">
        <v>134</v>
      </c>
    </row>
    <row r="9790" spans="1:4" ht="15" x14ac:dyDescent="0.25">
      <c r="A9790" t="s">
        <v>25875</v>
      </c>
      <c r="B9790">
        <v>1</v>
      </c>
      <c r="C9790">
        <v>34</v>
      </c>
      <c r="D9790">
        <v>34</v>
      </c>
    </row>
    <row r="9791" spans="1:4" ht="15" x14ac:dyDescent="0.25">
      <c r="A9791" t="s">
        <v>25872</v>
      </c>
      <c r="B9791">
        <v>1</v>
      </c>
      <c r="C9791">
        <v>34</v>
      </c>
      <c r="D9791">
        <v>34</v>
      </c>
    </row>
    <row r="9792" spans="1:4" ht="15" x14ac:dyDescent="0.25">
      <c r="A9792" t="s">
        <v>25877</v>
      </c>
      <c r="B9792">
        <v>2</v>
      </c>
      <c r="C9792">
        <v>82</v>
      </c>
      <c r="D9792">
        <v>41</v>
      </c>
    </row>
    <row r="9793" spans="1:4" ht="15" x14ac:dyDescent="0.25">
      <c r="A9793" t="s">
        <v>25876</v>
      </c>
      <c r="B9793">
        <v>1</v>
      </c>
      <c r="C9793">
        <v>34</v>
      </c>
      <c r="D9793">
        <v>34</v>
      </c>
    </row>
    <row r="9794" spans="1:4" ht="15" x14ac:dyDescent="0.25">
      <c r="A9794" t="s">
        <v>25882</v>
      </c>
      <c r="B9794">
        <v>1</v>
      </c>
      <c r="C9794">
        <v>43</v>
      </c>
      <c r="D9794">
        <v>43</v>
      </c>
    </row>
    <row r="9795" spans="1:4" ht="15" x14ac:dyDescent="0.25">
      <c r="A9795" t="s">
        <v>25883</v>
      </c>
      <c r="B9795">
        <v>1</v>
      </c>
      <c r="C9795">
        <v>43</v>
      </c>
      <c r="D9795">
        <v>43</v>
      </c>
    </row>
    <row r="9796" spans="1:4" ht="15" x14ac:dyDescent="0.25">
      <c r="A9796" t="s">
        <v>25881</v>
      </c>
      <c r="B9796">
        <v>1</v>
      </c>
      <c r="C9796">
        <v>43</v>
      </c>
      <c r="D9796">
        <v>43</v>
      </c>
    </row>
    <row r="9797" spans="1:4" ht="15" x14ac:dyDescent="0.25">
      <c r="A9797" t="s">
        <v>25887</v>
      </c>
      <c r="B9797">
        <v>1</v>
      </c>
      <c r="C9797">
        <v>73</v>
      </c>
      <c r="D9797">
        <v>73</v>
      </c>
    </row>
    <row r="9798" spans="1:4" ht="15" x14ac:dyDescent="0.25">
      <c r="A9798" t="s">
        <v>25888</v>
      </c>
      <c r="B9798">
        <v>1</v>
      </c>
      <c r="C9798">
        <v>73</v>
      </c>
      <c r="D9798">
        <v>73</v>
      </c>
    </row>
    <row r="9799" spans="1:4" ht="15" x14ac:dyDescent="0.25">
      <c r="A9799" t="s">
        <v>25893</v>
      </c>
      <c r="B9799">
        <v>1</v>
      </c>
      <c r="C9799">
        <v>49</v>
      </c>
      <c r="D9799">
        <v>49</v>
      </c>
    </row>
    <row r="9800" spans="1:4" ht="15" x14ac:dyDescent="0.25">
      <c r="A9800" t="s">
        <v>25897</v>
      </c>
      <c r="B9800">
        <v>1</v>
      </c>
      <c r="C9800">
        <v>33</v>
      </c>
      <c r="D9800">
        <v>33</v>
      </c>
    </row>
    <row r="9801" spans="1:4" ht="15" x14ac:dyDescent="0.25">
      <c r="A9801" t="s">
        <v>25899</v>
      </c>
      <c r="B9801">
        <v>1</v>
      </c>
      <c r="C9801">
        <v>33</v>
      </c>
      <c r="D9801">
        <v>33</v>
      </c>
    </row>
    <row r="9802" spans="1:4" ht="15" x14ac:dyDescent="0.25">
      <c r="A9802" t="s">
        <v>25900</v>
      </c>
      <c r="B9802">
        <v>1</v>
      </c>
      <c r="C9802">
        <v>33</v>
      </c>
      <c r="D9802">
        <v>33</v>
      </c>
    </row>
    <row r="9803" spans="1:4" ht="15" x14ac:dyDescent="0.25">
      <c r="A9803" t="s">
        <v>25898</v>
      </c>
      <c r="B9803">
        <v>1</v>
      </c>
      <c r="C9803">
        <v>33</v>
      </c>
      <c r="D9803">
        <v>33</v>
      </c>
    </row>
    <row r="9804" spans="1:4" ht="15" x14ac:dyDescent="0.25">
      <c r="A9804" t="s">
        <v>25904</v>
      </c>
      <c r="B9804">
        <v>2</v>
      </c>
      <c r="C9804">
        <v>97</v>
      </c>
      <c r="D9804">
        <v>48.5</v>
      </c>
    </row>
    <row r="9805" spans="1:4" ht="15" x14ac:dyDescent="0.25">
      <c r="A9805" t="s">
        <v>25905</v>
      </c>
      <c r="B9805">
        <v>4</v>
      </c>
      <c r="C9805">
        <v>182</v>
      </c>
      <c r="D9805">
        <v>45.5</v>
      </c>
    </row>
    <row r="9806" spans="1:4" ht="15" x14ac:dyDescent="0.25">
      <c r="A9806" t="s">
        <v>25906</v>
      </c>
      <c r="B9806">
        <v>6</v>
      </c>
      <c r="C9806">
        <v>301</v>
      </c>
      <c r="D9806">
        <v>50.166666666666664</v>
      </c>
    </row>
    <row r="9807" spans="1:4" ht="15" x14ac:dyDescent="0.25">
      <c r="A9807" t="s">
        <v>25911</v>
      </c>
      <c r="B9807">
        <v>1</v>
      </c>
      <c r="C9807">
        <v>22</v>
      </c>
      <c r="D9807">
        <v>22</v>
      </c>
    </row>
    <row r="9808" spans="1:4" ht="15" x14ac:dyDescent="0.25">
      <c r="A9808" t="s">
        <v>25910</v>
      </c>
      <c r="B9808">
        <v>1</v>
      </c>
      <c r="C9808">
        <v>22</v>
      </c>
      <c r="D9808">
        <v>22</v>
      </c>
    </row>
    <row r="9809" spans="1:4" ht="15" x14ac:dyDescent="0.25">
      <c r="A9809" t="s">
        <v>25920</v>
      </c>
      <c r="B9809">
        <v>1</v>
      </c>
      <c r="C9809">
        <v>53</v>
      </c>
      <c r="D9809">
        <v>53</v>
      </c>
    </row>
    <row r="9810" spans="1:4" ht="15" x14ac:dyDescent="0.25">
      <c r="A9810" t="s">
        <v>25921</v>
      </c>
      <c r="B9810">
        <v>1</v>
      </c>
      <c r="C9810">
        <v>53</v>
      </c>
      <c r="D9810">
        <v>53</v>
      </c>
    </row>
    <row r="9811" spans="1:4" ht="15" x14ac:dyDescent="0.25">
      <c r="A9811" t="s">
        <v>25926</v>
      </c>
      <c r="B9811">
        <v>1</v>
      </c>
      <c r="C9811">
        <v>18</v>
      </c>
      <c r="D9811">
        <v>18</v>
      </c>
    </row>
    <row r="9812" spans="1:4" ht="15" x14ac:dyDescent="0.25">
      <c r="A9812" t="s">
        <v>25937</v>
      </c>
      <c r="B9812">
        <v>1</v>
      </c>
      <c r="C9812">
        <v>26</v>
      </c>
      <c r="D9812">
        <v>26</v>
      </c>
    </row>
    <row r="9813" spans="1:4" ht="15" x14ac:dyDescent="0.25">
      <c r="A9813" t="s">
        <v>25938</v>
      </c>
      <c r="B9813">
        <v>2</v>
      </c>
      <c r="C9813">
        <v>105</v>
      </c>
      <c r="D9813">
        <v>52.5</v>
      </c>
    </row>
    <row r="9814" spans="1:4" ht="15" x14ac:dyDescent="0.25">
      <c r="A9814" t="s">
        <v>25942</v>
      </c>
      <c r="B9814">
        <v>1</v>
      </c>
      <c r="C9814">
        <v>3574</v>
      </c>
      <c r="D9814">
        <v>3574</v>
      </c>
    </row>
    <row r="9815" spans="1:4" ht="15" x14ac:dyDescent="0.25">
      <c r="A9815" t="s">
        <v>25943</v>
      </c>
      <c r="B9815">
        <v>1</v>
      </c>
      <c r="C9815">
        <v>3574</v>
      </c>
      <c r="D9815">
        <v>3574</v>
      </c>
    </row>
    <row r="9816" spans="1:4" ht="15" x14ac:dyDescent="0.25">
      <c r="A9816" t="s">
        <v>25944</v>
      </c>
      <c r="B9816">
        <v>1</v>
      </c>
      <c r="C9816">
        <v>3574</v>
      </c>
      <c r="D9816">
        <v>3574</v>
      </c>
    </row>
    <row r="9817" spans="1:4" ht="15" x14ac:dyDescent="0.25">
      <c r="A9817" t="s">
        <v>25949</v>
      </c>
      <c r="B9817">
        <v>1</v>
      </c>
      <c r="C9817">
        <v>76</v>
      </c>
      <c r="D9817">
        <v>76</v>
      </c>
    </row>
    <row r="9818" spans="1:4" ht="15" x14ac:dyDescent="0.25">
      <c r="A9818" t="s">
        <v>25953</v>
      </c>
      <c r="B9818">
        <v>1</v>
      </c>
      <c r="C9818">
        <v>28</v>
      </c>
      <c r="D9818">
        <v>28</v>
      </c>
    </row>
    <row r="9819" spans="1:4" ht="15" x14ac:dyDescent="0.25">
      <c r="A9819" t="s">
        <v>25954</v>
      </c>
      <c r="B9819">
        <v>1</v>
      </c>
      <c r="C9819">
        <v>28</v>
      </c>
      <c r="D9819">
        <v>28</v>
      </c>
    </row>
    <row r="9820" spans="1:4" ht="15" x14ac:dyDescent="0.25">
      <c r="A9820" t="s">
        <v>25958</v>
      </c>
      <c r="B9820">
        <v>1</v>
      </c>
      <c r="C9820">
        <v>3</v>
      </c>
      <c r="D9820">
        <v>3</v>
      </c>
    </row>
    <row r="9821" spans="1:4" ht="15" x14ac:dyDescent="0.25">
      <c r="A9821" t="s">
        <v>25959</v>
      </c>
      <c r="B9821">
        <v>1</v>
      </c>
      <c r="C9821">
        <v>3</v>
      </c>
      <c r="D9821">
        <v>3</v>
      </c>
    </row>
    <row r="9822" spans="1:4" ht="15" x14ac:dyDescent="0.25">
      <c r="A9822" t="s">
        <v>25961</v>
      </c>
      <c r="B9822">
        <v>1</v>
      </c>
      <c r="C9822">
        <v>3</v>
      </c>
      <c r="D9822">
        <v>3</v>
      </c>
    </row>
    <row r="9823" spans="1:4" ht="15" x14ac:dyDescent="0.25">
      <c r="A9823" t="s">
        <v>25962</v>
      </c>
      <c r="B9823">
        <v>1</v>
      </c>
      <c r="C9823">
        <v>3</v>
      </c>
      <c r="D9823">
        <v>3</v>
      </c>
    </row>
    <row r="9824" spans="1:4" ht="15" x14ac:dyDescent="0.25">
      <c r="A9824" t="s">
        <v>25960</v>
      </c>
      <c r="B9824">
        <v>1</v>
      </c>
      <c r="C9824">
        <v>3</v>
      </c>
      <c r="D9824">
        <v>3</v>
      </c>
    </row>
    <row r="9825" spans="1:4" ht="15" x14ac:dyDescent="0.25">
      <c r="A9825" t="s">
        <v>25969</v>
      </c>
      <c r="B9825">
        <v>1</v>
      </c>
      <c r="C9825">
        <v>94</v>
      </c>
      <c r="D9825">
        <v>94</v>
      </c>
    </row>
    <row r="9826" spans="1:4" ht="15" x14ac:dyDescent="0.25">
      <c r="A9826" t="s">
        <v>25970</v>
      </c>
      <c r="B9826">
        <v>1</v>
      </c>
      <c r="C9826">
        <v>94</v>
      </c>
      <c r="D9826">
        <v>94</v>
      </c>
    </row>
    <row r="9827" spans="1:4" ht="15" x14ac:dyDescent="0.25">
      <c r="A9827" t="s">
        <v>25980</v>
      </c>
      <c r="B9827">
        <v>1</v>
      </c>
      <c r="C9827">
        <v>21</v>
      </c>
      <c r="D9827">
        <v>21</v>
      </c>
    </row>
    <row r="9828" spans="1:4" ht="15" x14ac:dyDescent="0.25">
      <c r="A9828" t="s">
        <v>25981</v>
      </c>
      <c r="B9828">
        <v>1</v>
      </c>
      <c r="C9828">
        <v>21</v>
      </c>
      <c r="D9828">
        <v>21</v>
      </c>
    </row>
    <row r="9829" spans="1:4" ht="15" x14ac:dyDescent="0.25">
      <c r="A9829" t="s">
        <v>25982</v>
      </c>
      <c r="B9829">
        <v>1</v>
      </c>
      <c r="C9829">
        <v>21</v>
      </c>
      <c r="D9829">
        <v>21</v>
      </c>
    </row>
    <row r="9830" spans="1:4" ht="15" x14ac:dyDescent="0.25">
      <c r="A9830" t="s">
        <v>25987</v>
      </c>
      <c r="B9830">
        <v>1</v>
      </c>
      <c r="C9830">
        <v>22</v>
      </c>
      <c r="D9830">
        <v>22</v>
      </c>
    </row>
    <row r="9831" spans="1:4" ht="15" x14ac:dyDescent="0.25">
      <c r="A9831" t="s">
        <v>25988</v>
      </c>
      <c r="B9831">
        <v>2</v>
      </c>
      <c r="C9831">
        <v>47</v>
      </c>
      <c r="D9831">
        <v>23.5</v>
      </c>
    </row>
    <row r="9832" spans="1:4" ht="15" x14ac:dyDescent="0.25">
      <c r="A9832" t="s">
        <v>25986</v>
      </c>
      <c r="B9832">
        <v>1</v>
      </c>
      <c r="C9832">
        <v>22</v>
      </c>
      <c r="D9832">
        <v>22</v>
      </c>
    </row>
    <row r="9833" spans="1:4" ht="15" x14ac:dyDescent="0.25">
      <c r="A9833" t="s">
        <v>25992</v>
      </c>
      <c r="B9833">
        <v>1</v>
      </c>
      <c r="C9833">
        <v>167</v>
      </c>
      <c r="D9833">
        <v>167</v>
      </c>
    </row>
    <row r="9834" spans="1:4" ht="15" x14ac:dyDescent="0.25">
      <c r="A9834" t="s">
        <v>26003</v>
      </c>
      <c r="B9834">
        <v>1</v>
      </c>
      <c r="C9834">
        <v>100</v>
      </c>
      <c r="D9834">
        <v>100</v>
      </c>
    </row>
    <row r="9835" spans="1:4" ht="15" x14ac:dyDescent="0.25">
      <c r="A9835" t="s">
        <v>26004</v>
      </c>
      <c r="B9835">
        <v>1</v>
      </c>
      <c r="C9835">
        <v>100</v>
      </c>
      <c r="D9835">
        <v>100</v>
      </c>
    </row>
    <row r="9836" spans="1:4" ht="15" x14ac:dyDescent="0.25">
      <c r="A9836" t="s">
        <v>26009</v>
      </c>
      <c r="B9836">
        <v>1</v>
      </c>
      <c r="C9836">
        <v>62</v>
      </c>
      <c r="D9836">
        <v>62</v>
      </c>
    </row>
    <row r="9837" spans="1:4" ht="15" x14ac:dyDescent="0.25">
      <c r="A9837" t="s">
        <v>26010</v>
      </c>
      <c r="B9837">
        <v>1</v>
      </c>
      <c r="C9837">
        <v>62</v>
      </c>
      <c r="D9837">
        <v>62</v>
      </c>
    </row>
    <row r="9838" spans="1:4" ht="15" x14ac:dyDescent="0.25">
      <c r="A9838" t="s">
        <v>26011</v>
      </c>
      <c r="B9838">
        <v>1</v>
      </c>
      <c r="C9838">
        <v>62</v>
      </c>
      <c r="D9838">
        <v>62</v>
      </c>
    </row>
    <row r="9839" spans="1:4" ht="15" x14ac:dyDescent="0.25">
      <c r="A9839" t="s">
        <v>26015</v>
      </c>
      <c r="B9839">
        <v>1</v>
      </c>
      <c r="C9839">
        <v>21</v>
      </c>
      <c r="D9839">
        <v>21</v>
      </c>
    </row>
    <row r="9840" spans="1:4" ht="15" x14ac:dyDescent="0.25">
      <c r="A9840" t="s">
        <v>26017</v>
      </c>
      <c r="B9840">
        <v>1</v>
      </c>
      <c r="C9840">
        <v>21</v>
      </c>
      <c r="D9840">
        <v>21</v>
      </c>
    </row>
    <row r="9841" spans="1:4" ht="15" x14ac:dyDescent="0.25">
      <c r="A9841" t="s">
        <v>26016</v>
      </c>
      <c r="B9841">
        <v>1</v>
      </c>
      <c r="C9841">
        <v>21</v>
      </c>
      <c r="D9841">
        <v>21</v>
      </c>
    </row>
    <row r="9842" spans="1:4" ht="15" x14ac:dyDescent="0.25">
      <c r="A9842" t="s">
        <v>26020</v>
      </c>
      <c r="B9842">
        <v>1</v>
      </c>
      <c r="C9842">
        <v>36</v>
      </c>
      <c r="D9842">
        <v>36</v>
      </c>
    </row>
    <row r="9843" spans="1:4" ht="15" x14ac:dyDescent="0.25">
      <c r="A9843" t="s">
        <v>26023</v>
      </c>
      <c r="B9843">
        <v>1</v>
      </c>
      <c r="C9843">
        <v>46</v>
      </c>
      <c r="D9843">
        <v>46</v>
      </c>
    </row>
    <row r="9844" spans="1:4" ht="15" x14ac:dyDescent="0.25">
      <c r="A9844" t="s">
        <v>26024</v>
      </c>
      <c r="B9844">
        <v>1</v>
      </c>
      <c r="C9844">
        <v>46</v>
      </c>
      <c r="D9844">
        <v>46</v>
      </c>
    </row>
    <row r="9845" spans="1:4" ht="15" x14ac:dyDescent="0.25">
      <c r="A9845" t="s">
        <v>26025</v>
      </c>
      <c r="B9845">
        <v>1</v>
      </c>
      <c r="C9845">
        <v>46</v>
      </c>
      <c r="D9845">
        <v>46</v>
      </c>
    </row>
    <row r="9846" spans="1:4" ht="15" x14ac:dyDescent="0.25">
      <c r="A9846" t="s">
        <v>26030</v>
      </c>
      <c r="B9846">
        <v>1</v>
      </c>
      <c r="C9846">
        <v>25</v>
      </c>
      <c r="D9846">
        <v>25</v>
      </c>
    </row>
    <row r="9847" spans="1:4" ht="15" x14ac:dyDescent="0.25">
      <c r="A9847" t="s">
        <v>26033</v>
      </c>
      <c r="B9847">
        <v>2</v>
      </c>
      <c r="C9847">
        <v>79</v>
      </c>
      <c r="D9847">
        <v>39.5</v>
      </c>
    </row>
    <row r="9848" spans="1:4" ht="15" x14ac:dyDescent="0.25">
      <c r="A9848" t="s">
        <v>26038</v>
      </c>
      <c r="B9848">
        <v>1</v>
      </c>
      <c r="C9848">
        <v>31</v>
      </c>
      <c r="D9848">
        <v>31</v>
      </c>
    </row>
    <row r="9849" spans="1:4" ht="15" x14ac:dyDescent="0.25">
      <c r="A9849" t="s">
        <v>26039</v>
      </c>
      <c r="B9849">
        <v>1</v>
      </c>
      <c r="C9849">
        <v>31</v>
      </c>
      <c r="D9849">
        <v>31</v>
      </c>
    </row>
    <row r="9850" spans="1:4" ht="15" x14ac:dyDescent="0.25">
      <c r="A9850" t="s">
        <v>26043</v>
      </c>
      <c r="B9850">
        <v>1</v>
      </c>
      <c r="C9850">
        <v>19</v>
      </c>
      <c r="D9850">
        <v>19</v>
      </c>
    </row>
    <row r="9851" spans="1:4" ht="15" x14ac:dyDescent="0.25">
      <c r="A9851" t="s">
        <v>26044</v>
      </c>
      <c r="B9851">
        <v>1</v>
      </c>
      <c r="C9851">
        <v>19</v>
      </c>
      <c r="D9851">
        <v>19</v>
      </c>
    </row>
    <row r="9852" spans="1:4" ht="15" x14ac:dyDescent="0.25">
      <c r="A9852" t="s">
        <v>26045</v>
      </c>
      <c r="B9852">
        <v>1</v>
      </c>
      <c r="C9852">
        <v>19</v>
      </c>
      <c r="D9852">
        <v>19</v>
      </c>
    </row>
    <row r="9853" spans="1:4" ht="15" x14ac:dyDescent="0.25">
      <c r="A9853" t="s">
        <v>26046</v>
      </c>
      <c r="B9853">
        <v>1</v>
      </c>
      <c r="C9853">
        <v>19</v>
      </c>
      <c r="D9853">
        <v>19</v>
      </c>
    </row>
    <row r="9854" spans="1:4" ht="15" x14ac:dyDescent="0.25">
      <c r="A9854" t="s">
        <v>26050</v>
      </c>
      <c r="B9854">
        <v>1</v>
      </c>
      <c r="C9854">
        <v>20</v>
      </c>
      <c r="D9854">
        <v>20</v>
      </c>
    </row>
    <row r="9855" spans="1:4" ht="15" x14ac:dyDescent="0.25">
      <c r="A9855" t="s">
        <v>26052</v>
      </c>
      <c r="B9855">
        <v>1</v>
      </c>
      <c r="C9855">
        <v>20</v>
      </c>
      <c r="D9855">
        <v>20</v>
      </c>
    </row>
    <row r="9856" spans="1:4" ht="15" x14ac:dyDescent="0.25">
      <c r="A9856" t="s">
        <v>26051</v>
      </c>
      <c r="B9856">
        <v>1</v>
      </c>
      <c r="C9856">
        <v>20</v>
      </c>
      <c r="D9856">
        <v>20</v>
      </c>
    </row>
    <row r="9857" spans="1:4" ht="15" x14ac:dyDescent="0.25">
      <c r="A9857" t="s">
        <v>26055</v>
      </c>
      <c r="B9857">
        <v>1</v>
      </c>
      <c r="C9857">
        <v>35</v>
      </c>
      <c r="D9857">
        <v>35</v>
      </c>
    </row>
    <row r="9858" spans="1:4" ht="15" x14ac:dyDescent="0.25">
      <c r="A9858" t="s">
        <v>26060</v>
      </c>
      <c r="B9858">
        <v>1</v>
      </c>
      <c r="C9858">
        <v>11</v>
      </c>
      <c r="D9858">
        <v>11</v>
      </c>
    </row>
    <row r="9859" spans="1:4" ht="15" x14ac:dyDescent="0.25">
      <c r="A9859" t="s">
        <v>26059</v>
      </c>
      <c r="B9859">
        <v>1</v>
      </c>
      <c r="C9859">
        <v>11</v>
      </c>
      <c r="D9859">
        <v>11</v>
      </c>
    </row>
    <row r="9860" spans="1:4" ht="15" x14ac:dyDescent="0.25">
      <c r="A9860" t="s">
        <v>26064</v>
      </c>
      <c r="B9860">
        <v>1</v>
      </c>
      <c r="C9860">
        <v>64</v>
      </c>
      <c r="D9860">
        <v>64</v>
      </c>
    </row>
    <row r="9861" spans="1:4" ht="15" x14ac:dyDescent="0.25">
      <c r="A9861" t="s">
        <v>26069</v>
      </c>
      <c r="B9861">
        <v>1</v>
      </c>
      <c r="C9861">
        <v>28</v>
      </c>
      <c r="D9861">
        <v>28</v>
      </c>
    </row>
    <row r="9862" spans="1:4" ht="15" x14ac:dyDescent="0.25">
      <c r="A9862" t="s">
        <v>26070</v>
      </c>
      <c r="B9862">
        <v>2</v>
      </c>
      <c r="C9862">
        <v>57</v>
      </c>
      <c r="D9862">
        <v>28.5</v>
      </c>
    </row>
    <row r="9863" spans="1:4" ht="15" x14ac:dyDescent="0.25">
      <c r="A9863" t="s">
        <v>26072</v>
      </c>
      <c r="B9863">
        <v>1</v>
      </c>
      <c r="C9863">
        <v>28</v>
      </c>
      <c r="D9863">
        <v>28</v>
      </c>
    </row>
    <row r="9864" spans="1:4" ht="15" x14ac:dyDescent="0.25">
      <c r="A9864" t="s">
        <v>26073</v>
      </c>
      <c r="B9864">
        <v>1</v>
      </c>
      <c r="C9864">
        <v>28</v>
      </c>
      <c r="D9864">
        <v>28</v>
      </c>
    </row>
    <row r="9865" spans="1:4" ht="15" x14ac:dyDescent="0.25">
      <c r="A9865" t="s">
        <v>26071</v>
      </c>
      <c r="B9865">
        <v>1</v>
      </c>
      <c r="C9865">
        <v>28</v>
      </c>
      <c r="D9865">
        <v>28</v>
      </c>
    </row>
    <row r="9866" spans="1:4" ht="15" x14ac:dyDescent="0.25">
      <c r="A9866" t="s">
        <v>26076</v>
      </c>
      <c r="B9866">
        <v>1</v>
      </c>
      <c r="C9866">
        <v>51</v>
      </c>
      <c r="D9866">
        <v>51</v>
      </c>
    </row>
    <row r="9867" spans="1:4" ht="15" x14ac:dyDescent="0.25">
      <c r="A9867" t="s">
        <v>26079</v>
      </c>
      <c r="B9867">
        <v>1</v>
      </c>
      <c r="C9867">
        <v>54</v>
      </c>
      <c r="D9867">
        <v>54</v>
      </c>
    </row>
    <row r="9868" spans="1:4" ht="15" x14ac:dyDescent="0.25">
      <c r="A9868" t="s">
        <v>26083</v>
      </c>
      <c r="B9868">
        <v>1</v>
      </c>
      <c r="C9868">
        <v>60</v>
      </c>
      <c r="D9868">
        <v>60</v>
      </c>
    </row>
    <row r="9869" spans="1:4" ht="15" x14ac:dyDescent="0.25">
      <c r="A9869" t="s">
        <v>26084</v>
      </c>
      <c r="B9869">
        <v>1</v>
      </c>
      <c r="C9869">
        <v>60</v>
      </c>
      <c r="D9869">
        <v>60</v>
      </c>
    </row>
    <row r="9870" spans="1:4" ht="15" x14ac:dyDescent="0.25">
      <c r="A9870" t="s">
        <v>26086</v>
      </c>
      <c r="B9870">
        <v>1</v>
      </c>
      <c r="C9870">
        <v>60</v>
      </c>
      <c r="D9870">
        <v>60</v>
      </c>
    </row>
    <row r="9871" spans="1:4" ht="15" x14ac:dyDescent="0.25">
      <c r="A9871" t="s">
        <v>26085</v>
      </c>
      <c r="B9871">
        <v>1</v>
      </c>
      <c r="C9871">
        <v>60</v>
      </c>
      <c r="D9871">
        <v>60</v>
      </c>
    </row>
    <row r="9872" spans="1:4" ht="15" x14ac:dyDescent="0.25">
      <c r="A9872" t="s">
        <v>26090</v>
      </c>
      <c r="B9872">
        <v>1</v>
      </c>
      <c r="C9872">
        <v>104</v>
      </c>
      <c r="D9872">
        <v>104</v>
      </c>
    </row>
    <row r="9873" spans="1:4" ht="15" x14ac:dyDescent="0.25">
      <c r="A9873" t="s">
        <v>26095</v>
      </c>
      <c r="B9873">
        <v>1</v>
      </c>
      <c r="C9873">
        <v>9</v>
      </c>
      <c r="D9873">
        <v>9</v>
      </c>
    </row>
    <row r="9874" spans="1:4" ht="15" x14ac:dyDescent="0.25">
      <c r="A9874" t="s">
        <v>26096</v>
      </c>
      <c r="B9874">
        <v>1</v>
      </c>
      <c r="C9874">
        <v>9</v>
      </c>
      <c r="D9874">
        <v>9</v>
      </c>
    </row>
    <row r="9875" spans="1:4" ht="15" x14ac:dyDescent="0.25">
      <c r="A9875" t="s">
        <v>26098</v>
      </c>
      <c r="B9875">
        <v>1</v>
      </c>
      <c r="C9875">
        <v>9</v>
      </c>
      <c r="D9875">
        <v>9</v>
      </c>
    </row>
    <row r="9876" spans="1:4" ht="15" x14ac:dyDescent="0.25">
      <c r="A9876" t="s">
        <v>26099</v>
      </c>
      <c r="B9876">
        <v>1</v>
      </c>
      <c r="C9876">
        <v>9</v>
      </c>
      <c r="D9876">
        <v>9</v>
      </c>
    </row>
    <row r="9877" spans="1:4" ht="15" x14ac:dyDescent="0.25">
      <c r="A9877" t="s">
        <v>26097</v>
      </c>
      <c r="B9877">
        <v>1</v>
      </c>
      <c r="C9877">
        <v>9</v>
      </c>
      <c r="D9877">
        <v>9</v>
      </c>
    </row>
    <row r="9878" spans="1:4" ht="15" x14ac:dyDescent="0.25">
      <c r="A9878" t="s">
        <v>26102</v>
      </c>
      <c r="B9878">
        <v>1</v>
      </c>
      <c r="C9878">
        <v>20</v>
      </c>
      <c r="D9878">
        <v>20</v>
      </c>
    </row>
    <row r="9879" spans="1:4" ht="15" x14ac:dyDescent="0.25">
      <c r="A9879" t="s">
        <v>26103</v>
      </c>
      <c r="B9879">
        <v>3</v>
      </c>
      <c r="C9879">
        <v>78</v>
      </c>
      <c r="D9879">
        <v>26</v>
      </c>
    </row>
    <row r="9880" spans="1:4" ht="15" x14ac:dyDescent="0.25">
      <c r="A9880" t="s">
        <v>26109</v>
      </c>
      <c r="B9880">
        <v>1</v>
      </c>
      <c r="C9880">
        <v>8</v>
      </c>
      <c r="D9880">
        <v>8</v>
      </c>
    </row>
    <row r="9881" spans="1:4" ht="15" x14ac:dyDescent="0.25">
      <c r="A9881" t="s">
        <v>26110</v>
      </c>
      <c r="B9881">
        <v>1</v>
      </c>
      <c r="C9881">
        <v>8</v>
      </c>
      <c r="D9881">
        <v>8</v>
      </c>
    </row>
    <row r="9882" spans="1:4" ht="15" x14ac:dyDescent="0.25">
      <c r="A9882" t="s">
        <v>26114</v>
      </c>
      <c r="B9882">
        <v>1</v>
      </c>
      <c r="C9882">
        <v>13</v>
      </c>
      <c r="D9882">
        <v>13</v>
      </c>
    </row>
    <row r="9883" spans="1:4" ht="15" x14ac:dyDescent="0.25">
      <c r="A9883" t="s">
        <v>26123</v>
      </c>
      <c r="B9883">
        <v>1</v>
      </c>
      <c r="C9883">
        <v>25</v>
      </c>
      <c r="D9883">
        <v>25</v>
      </c>
    </row>
    <row r="9884" spans="1:4" ht="15" x14ac:dyDescent="0.25">
      <c r="A9884" t="s">
        <v>26127</v>
      </c>
      <c r="B9884">
        <v>1</v>
      </c>
      <c r="C9884">
        <v>42</v>
      </c>
      <c r="D9884">
        <v>42</v>
      </c>
    </row>
    <row r="9885" spans="1:4" ht="15" x14ac:dyDescent="0.25">
      <c r="A9885" t="s">
        <v>26129</v>
      </c>
      <c r="B9885">
        <v>1</v>
      </c>
      <c r="C9885">
        <v>42</v>
      </c>
      <c r="D9885">
        <v>42</v>
      </c>
    </row>
    <row r="9886" spans="1:4" ht="15" x14ac:dyDescent="0.25">
      <c r="A9886" t="s">
        <v>26128</v>
      </c>
      <c r="B9886">
        <v>1</v>
      </c>
      <c r="C9886">
        <v>42</v>
      </c>
      <c r="D9886">
        <v>42</v>
      </c>
    </row>
    <row r="9887" spans="1:4" ht="15" x14ac:dyDescent="0.25">
      <c r="A9887" t="s">
        <v>26133</v>
      </c>
      <c r="B9887">
        <v>1</v>
      </c>
      <c r="C9887">
        <v>20</v>
      </c>
      <c r="D9887">
        <v>20</v>
      </c>
    </row>
    <row r="9888" spans="1:4" ht="15" x14ac:dyDescent="0.25">
      <c r="A9888" t="s">
        <v>26134</v>
      </c>
      <c r="B9888">
        <v>1</v>
      </c>
      <c r="C9888">
        <v>20</v>
      </c>
      <c r="D9888">
        <v>20</v>
      </c>
    </row>
    <row r="9889" spans="1:4" ht="15" x14ac:dyDescent="0.25">
      <c r="A9889" t="s">
        <v>26135</v>
      </c>
      <c r="B9889">
        <v>1</v>
      </c>
      <c r="C9889">
        <v>20</v>
      </c>
      <c r="D9889">
        <v>20</v>
      </c>
    </row>
    <row r="9890" spans="1:4" ht="15" x14ac:dyDescent="0.25">
      <c r="A9890" t="s">
        <v>26140</v>
      </c>
      <c r="B9890">
        <v>2</v>
      </c>
      <c r="C9890">
        <v>200</v>
      </c>
      <c r="D9890">
        <v>100</v>
      </c>
    </row>
    <row r="9891" spans="1:4" ht="15" x14ac:dyDescent="0.25">
      <c r="A9891" t="s">
        <v>26141</v>
      </c>
      <c r="B9891">
        <v>1</v>
      </c>
      <c r="C9891">
        <v>101</v>
      </c>
      <c r="D9891">
        <v>101</v>
      </c>
    </row>
    <row r="9892" spans="1:4" ht="15" x14ac:dyDescent="0.25">
      <c r="A9892" t="s">
        <v>26145</v>
      </c>
      <c r="B9892">
        <v>1</v>
      </c>
      <c r="C9892">
        <v>31</v>
      </c>
      <c r="D9892">
        <v>31</v>
      </c>
    </row>
    <row r="9893" spans="1:4" ht="15" x14ac:dyDescent="0.25">
      <c r="A9893" t="s">
        <v>26146</v>
      </c>
      <c r="B9893">
        <v>1</v>
      </c>
      <c r="C9893">
        <v>31</v>
      </c>
      <c r="D9893">
        <v>31</v>
      </c>
    </row>
    <row r="9894" spans="1:4" ht="15" x14ac:dyDescent="0.25">
      <c r="A9894" t="s">
        <v>26150</v>
      </c>
      <c r="B9894">
        <v>1</v>
      </c>
      <c r="C9894">
        <v>75</v>
      </c>
      <c r="D9894">
        <v>75</v>
      </c>
    </row>
    <row r="9895" spans="1:4" ht="15" x14ac:dyDescent="0.25">
      <c r="A9895" t="s">
        <v>26151</v>
      </c>
      <c r="B9895">
        <v>1</v>
      </c>
      <c r="C9895">
        <v>75</v>
      </c>
      <c r="D9895">
        <v>75</v>
      </c>
    </row>
    <row r="9896" spans="1:4" ht="15" x14ac:dyDescent="0.25">
      <c r="A9896" t="s">
        <v>26155</v>
      </c>
      <c r="B9896">
        <v>1</v>
      </c>
      <c r="C9896">
        <v>27</v>
      </c>
      <c r="D9896">
        <v>27</v>
      </c>
    </row>
    <row r="9897" spans="1:4" ht="15" x14ac:dyDescent="0.25">
      <c r="A9897" t="s">
        <v>26156</v>
      </c>
      <c r="B9897">
        <v>1</v>
      </c>
      <c r="C9897">
        <v>27</v>
      </c>
      <c r="D9897">
        <v>27</v>
      </c>
    </row>
    <row r="9898" spans="1:4" ht="15" x14ac:dyDescent="0.25">
      <c r="A9898" t="s">
        <v>26157</v>
      </c>
      <c r="B9898">
        <v>1</v>
      </c>
      <c r="C9898">
        <v>27</v>
      </c>
      <c r="D9898">
        <v>27</v>
      </c>
    </row>
    <row r="9899" spans="1:4" ht="15" x14ac:dyDescent="0.25">
      <c r="A9899" t="s">
        <v>26158</v>
      </c>
      <c r="B9899">
        <v>1</v>
      </c>
      <c r="C9899">
        <v>11</v>
      </c>
      <c r="D9899">
        <v>11</v>
      </c>
    </row>
    <row r="9900" spans="1:4" ht="15" x14ac:dyDescent="0.25">
      <c r="A9900" t="s">
        <v>26164</v>
      </c>
      <c r="B9900">
        <v>1</v>
      </c>
      <c r="C9900">
        <v>24</v>
      </c>
      <c r="D9900">
        <v>24</v>
      </c>
    </row>
    <row r="9901" spans="1:4" ht="15" x14ac:dyDescent="0.25">
      <c r="A9901" t="s">
        <v>26168</v>
      </c>
      <c r="B9901">
        <v>1</v>
      </c>
      <c r="C9901">
        <v>19</v>
      </c>
      <c r="D9901">
        <v>19</v>
      </c>
    </row>
    <row r="9902" spans="1:4" ht="15" x14ac:dyDescent="0.25">
      <c r="A9902" t="s">
        <v>26169</v>
      </c>
      <c r="B9902">
        <v>1</v>
      </c>
      <c r="C9902">
        <v>19</v>
      </c>
      <c r="D9902">
        <v>19</v>
      </c>
    </row>
    <row r="9903" spans="1:4" ht="15" x14ac:dyDescent="0.25">
      <c r="A9903" t="s">
        <v>26172</v>
      </c>
      <c r="B9903">
        <v>1</v>
      </c>
      <c r="C9903">
        <v>17</v>
      </c>
      <c r="D9903">
        <v>17</v>
      </c>
    </row>
    <row r="9904" spans="1:4" ht="15" x14ac:dyDescent="0.25">
      <c r="A9904" t="s">
        <v>26181</v>
      </c>
      <c r="B9904">
        <v>1</v>
      </c>
      <c r="C9904">
        <v>9</v>
      </c>
      <c r="D9904">
        <v>9</v>
      </c>
    </row>
    <row r="9905" spans="1:4" ht="15" x14ac:dyDescent="0.25">
      <c r="A9905" t="s">
        <v>26180</v>
      </c>
      <c r="B9905">
        <v>1</v>
      </c>
      <c r="C9905">
        <v>9</v>
      </c>
      <c r="D9905">
        <v>9</v>
      </c>
    </row>
    <row r="9906" spans="1:4" ht="15" x14ac:dyDescent="0.25">
      <c r="A9906" t="s">
        <v>26186</v>
      </c>
      <c r="B9906">
        <v>1</v>
      </c>
      <c r="C9906">
        <v>11</v>
      </c>
      <c r="D9906">
        <v>11</v>
      </c>
    </row>
    <row r="9907" spans="1:4" ht="15" x14ac:dyDescent="0.25">
      <c r="A9907" t="s">
        <v>26190</v>
      </c>
      <c r="B9907">
        <v>1</v>
      </c>
      <c r="C9907">
        <v>100</v>
      </c>
      <c r="D9907">
        <v>100</v>
      </c>
    </row>
    <row r="9908" spans="1:4" ht="15" x14ac:dyDescent="0.25">
      <c r="A9908" t="s">
        <v>26191</v>
      </c>
      <c r="B9908">
        <v>1</v>
      </c>
      <c r="C9908">
        <v>100</v>
      </c>
      <c r="D9908">
        <v>100</v>
      </c>
    </row>
    <row r="9909" spans="1:4" ht="15" x14ac:dyDescent="0.25">
      <c r="A9909" t="s">
        <v>26197</v>
      </c>
      <c r="B9909">
        <v>2</v>
      </c>
      <c r="C9909">
        <v>85</v>
      </c>
      <c r="D9909">
        <v>42.5</v>
      </c>
    </row>
    <row r="9910" spans="1:4" ht="15" x14ac:dyDescent="0.25">
      <c r="A9910" t="s">
        <v>26199</v>
      </c>
      <c r="B9910">
        <v>2</v>
      </c>
      <c r="C9910">
        <v>91</v>
      </c>
      <c r="D9910">
        <v>45.5</v>
      </c>
    </row>
    <row r="9911" spans="1:4" ht="15" x14ac:dyDescent="0.25">
      <c r="A9911" t="s">
        <v>26198</v>
      </c>
      <c r="B9911">
        <v>1</v>
      </c>
      <c r="C9911">
        <v>43</v>
      </c>
      <c r="D9911">
        <v>43</v>
      </c>
    </row>
    <row r="9912" spans="1:4" ht="15" x14ac:dyDescent="0.25">
      <c r="A9912" t="s">
        <v>26203</v>
      </c>
      <c r="B9912">
        <v>1</v>
      </c>
      <c r="C9912">
        <v>41</v>
      </c>
      <c r="D9912">
        <v>41</v>
      </c>
    </row>
    <row r="9913" spans="1:4" ht="15" x14ac:dyDescent="0.25">
      <c r="A9913" t="s">
        <v>26204</v>
      </c>
      <c r="B9913">
        <v>1</v>
      </c>
      <c r="C9913">
        <v>41</v>
      </c>
      <c r="D9913">
        <v>41</v>
      </c>
    </row>
    <row r="9914" spans="1:4" ht="15" x14ac:dyDescent="0.25">
      <c r="A9914" t="s">
        <v>26205</v>
      </c>
      <c r="B9914">
        <v>1</v>
      </c>
      <c r="C9914">
        <v>41</v>
      </c>
      <c r="D9914">
        <v>41</v>
      </c>
    </row>
    <row r="9915" spans="1:4" ht="15" x14ac:dyDescent="0.25">
      <c r="A9915" t="s">
        <v>26209</v>
      </c>
      <c r="B9915">
        <v>1</v>
      </c>
      <c r="C9915">
        <v>23</v>
      </c>
      <c r="D9915">
        <v>23</v>
      </c>
    </row>
    <row r="9916" spans="1:4" ht="15" x14ac:dyDescent="0.25">
      <c r="A9916" t="s">
        <v>26210</v>
      </c>
      <c r="B9916">
        <v>1</v>
      </c>
      <c r="C9916">
        <v>23</v>
      </c>
      <c r="D9916">
        <v>23</v>
      </c>
    </row>
    <row r="9917" spans="1:4" ht="15" x14ac:dyDescent="0.25">
      <c r="A9917" t="s">
        <v>26211</v>
      </c>
      <c r="B9917">
        <v>1</v>
      </c>
      <c r="C9917">
        <v>23</v>
      </c>
      <c r="D9917">
        <v>23</v>
      </c>
    </row>
    <row r="9918" spans="1:4" ht="15" x14ac:dyDescent="0.25">
      <c r="A9918" t="s">
        <v>26215</v>
      </c>
      <c r="B9918">
        <v>1</v>
      </c>
      <c r="C9918">
        <v>9</v>
      </c>
      <c r="D9918">
        <v>9</v>
      </c>
    </row>
    <row r="9919" spans="1:4" ht="15" x14ac:dyDescent="0.25">
      <c r="A9919" t="s">
        <v>26216</v>
      </c>
      <c r="B9919">
        <v>1</v>
      </c>
      <c r="C9919">
        <v>9</v>
      </c>
      <c r="D9919">
        <v>9</v>
      </c>
    </row>
    <row r="9920" spans="1:4" ht="15" x14ac:dyDescent="0.25">
      <c r="A9920" t="s">
        <v>26221</v>
      </c>
      <c r="B9920">
        <v>1</v>
      </c>
      <c r="C9920">
        <v>44</v>
      </c>
      <c r="D9920">
        <v>44</v>
      </c>
    </row>
    <row r="9921" spans="1:4" ht="15" x14ac:dyDescent="0.25">
      <c r="A9921" t="s">
        <v>26224</v>
      </c>
      <c r="B9921">
        <v>1</v>
      </c>
      <c r="C9921">
        <v>22</v>
      </c>
      <c r="D9921">
        <v>22</v>
      </c>
    </row>
    <row r="9922" spans="1:4" ht="15" x14ac:dyDescent="0.25">
      <c r="A9922" t="s">
        <v>26226</v>
      </c>
      <c r="B9922">
        <v>1</v>
      </c>
      <c r="C9922">
        <v>22</v>
      </c>
      <c r="D9922">
        <v>22</v>
      </c>
    </row>
    <row r="9923" spans="1:4" ht="15" x14ac:dyDescent="0.25">
      <c r="A9923" t="s">
        <v>26227</v>
      </c>
      <c r="B9923">
        <v>1</v>
      </c>
      <c r="C9923">
        <v>22</v>
      </c>
      <c r="D9923">
        <v>22</v>
      </c>
    </row>
    <row r="9924" spans="1:4" ht="15" x14ac:dyDescent="0.25">
      <c r="A9924" t="s">
        <v>26225</v>
      </c>
      <c r="B9924">
        <v>1</v>
      </c>
      <c r="C9924">
        <v>22</v>
      </c>
      <c r="D9924">
        <v>22</v>
      </c>
    </row>
    <row r="9925" spans="1:4" ht="15" x14ac:dyDescent="0.25">
      <c r="A9925" t="s">
        <v>26233</v>
      </c>
      <c r="B9925">
        <v>1</v>
      </c>
      <c r="C9925">
        <v>52</v>
      </c>
      <c r="D9925">
        <v>52</v>
      </c>
    </row>
    <row r="9926" spans="1:4" ht="15" x14ac:dyDescent="0.25">
      <c r="A9926" t="s">
        <v>26234</v>
      </c>
      <c r="B9926">
        <v>1</v>
      </c>
      <c r="C9926">
        <v>52</v>
      </c>
      <c r="D9926">
        <v>52</v>
      </c>
    </row>
    <row r="9927" spans="1:4" ht="15" x14ac:dyDescent="0.25">
      <c r="A9927" t="s">
        <v>26235</v>
      </c>
      <c r="B9927">
        <v>1</v>
      </c>
      <c r="C9927">
        <v>52</v>
      </c>
      <c r="D9927">
        <v>52</v>
      </c>
    </row>
    <row r="9928" spans="1:4" ht="15" x14ac:dyDescent="0.25">
      <c r="A9928" t="s">
        <v>26243</v>
      </c>
      <c r="B9928">
        <v>1</v>
      </c>
      <c r="C9928">
        <v>15</v>
      </c>
      <c r="D9928">
        <v>15</v>
      </c>
    </row>
    <row r="9929" spans="1:4" ht="15" x14ac:dyDescent="0.25">
      <c r="A9929" t="s">
        <v>26247</v>
      </c>
      <c r="B9929">
        <v>1</v>
      </c>
      <c r="C9929">
        <v>5</v>
      </c>
      <c r="D9929">
        <v>5</v>
      </c>
    </row>
    <row r="9930" spans="1:4" ht="15" x14ac:dyDescent="0.25">
      <c r="A9930" t="s">
        <v>26249</v>
      </c>
      <c r="B9930">
        <v>1</v>
      </c>
      <c r="C9930">
        <v>5</v>
      </c>
      <c r="D9930">
        <v>5</v>
      </c>
    </row>
    <row r="9931" spans="1:4" ht="15" x14ac:dyDescent="0.25">
      <c r="A9931" t="s">
        <v>26248</v>
      </c>
      <c r="B9931">
        <v>1</v>
      </c>
      <c r="C9931">
        <v>5</v>
      </c>
      <c r="D9931">
        <v>5</v>
      </c>
    </row>
    <row r="9932" spans="1:4" ht="15" x14ac:dyDescent="0.25">
      <c r="A9932" t="s">
        <v>26253</v>
      </c>
      <c r="B9932">
        <v>1</v>
      </c>
      <c r="C9932">
        <v>33</v>
      </c>
      <c r="D9932">
        <v>33</v>
      </c>
    </row>
    <row r="9933" spans="1:4" ht="15" x14ac:dyDescent="0.25">
      <c r="A9933" t="s">
        <v>26255</v>
      </c>
      <c r="B9933">
        <v>1</v>
      </c>
      <c r="C9933">
        <v>33</v>
      </c>
      <c r="D9933">
        <v>33</v>
      </c>
    </row>
    <row r="9934" spans="1:4" ht="15" x14ac:dyDescent="0.25">
      <c r="A9934" t="s">
        <v>26254</v>
      </c>
      <c r="B9934">
        <v>1</v>
      </c>
      <c r="C9934">
        <v>33</v>
      </c>
      <c r="D9934">
        <v>33</v>
      </c>
    </row>
    <row r="9935" spans="1:4" ht="15" x14ac:dyDescent="0.25">
      <c r="A9935" t="s">
        <v>26259</v>
      </c>
      <c r="B9935">
        <v>1</v>
      </c>
      <c r="C9935">
        <v>16</v>
      </c>
      <c r="D9935">
        <v>16</v>
      </c>
    </row>
    <row r="9936" spans="1:4" ht="15" x14ac:dyDescent="0.25">
      <c r="A9936" t="s">
        <v>26265</v>
      </c>
      <c r="B9936">
        <v>1</v>
      </c>
      <c r="C9936">
        <v>73</v>
      </c>
      <c r="D9936">
        <v>73</v>
      </c>
    </row>
    <row r="9937" spans="1:4" ht="15" x14ac:dyDescent="0.25">
      <c r="A9937" t="s">
        <v>26269</v>
      </c>
      <c r="B9937">
        <v>1</v>
      </c>
      <c r="C9937">
        <v>41</v>
      </c>
      <c r="D9937">
        <v>41</v>
      </c>
    </row>
    <row r="9938" spans="1:4" ht="15" x14ac:dyDescent="0.25">
      <c r="A9938" t="s">
        <v>26273</v>
      </c>
      <c r="B9938">
        <v>1</v>
      </c>
      <c r="C9938">
        <v>25</v>
      </c>
      <c r="D9938">
        <v>25</v>
      </c>
    </row>
    <row r="9939" spans="1:4" ht="15" x14ac:dyDescent="0.25">
      <c r="A9939" t="s">
        <v>26277</v>
      </c>
      <c r="B9939">
        <v>1</v>
      </c>
      <c r="C9939">
        <v>10</v>
      </c>
      <c r="D9939">
        <v>10</v>
      </c>
    </row>
    <row r="9940" spans="1:4" ht="15" x14ac:dyDescent="0.25">
      <c r="A9940" t="s">
        <v>26281</v>
      </c>
      <c r="B9940">
        <v>1</v>
      </c>
      <c r="C9940">
        <v>15</v>
      </c>
      <c r="D9940">
        <v>15</v>
      </c>
    </row>
    <row r="9941" spans="1:4" ht="15" x14ac:dyDescent="0.25">
      <c r="A9941" t="s">
        <v>26282</v>
      </c>
      <c r="B9941">
        <v>1</v>
      </c>
      <c r="C9941">
        <v>15</v>
      </c>
      <c r="D9941">
        <v>15</v>
      </c>
    </row>
    <row r="9942" spans="1:4" ht="15" x14ac:dyDescent="0.25">
      <c r="A9942" t="s">
        <v>26283</v>
      </c>
      <c r="B9942">
        <v>1</v>
      </c>
      <c r="C9942">
        <v>15</v>
      </c>
      <c r="D9942">
        <v>15</v>
      </c>
    </row>
    <row r="9943" spans="1:4" ht="15" x14ac:dyDescent="0.25">
      <c r="A9943" t="s">
        <v>26291</v>
      </c>
      <c r="B9943">
        <v>1</v>
      </c>
      <c r="C9943">
        <v>29</v>
      </c>
      <c r="D9943">
        <v>29</v>
      </c>
    </row>
    <row r="9944" spans="1:4" ht="15" x14ac:dyDescent="0.25">
      <c r="A9944" t="s">
        <v>26293</v>
      </c>
      <c r="B9944">
        <v>1</v>
      </c>
      <c r="C9944">
        <v>29</v>
      </c>
      <c r="D9944">
        <v>29</v>
      </c>
    </row>
    <row r="9945" spans="1:4" ht="15" x14ac:dyDescent="0.25">
      <c r="A9945" t="s">
        <v>26292</v>
      </c>
      <c r="B9945">
        <v>1</v>
      </c>
      <c r="C9945">
        <v>29</v>
      </c>
      <c r="D9945">
        <v>29</v>
      </c>
    </row>
    <row r="9946" spans="1:4" ht="15" x14ac:dyDescent="0.25">
      <c r="A9946" t="s">
        <v>26297</v>
      </c>
      <c r="B9946">
        <v>1</v>
      </c>
      <c r="C9946">
        <v>43</v>
      </c>
      <c r="D9946">
        <v>43</v>
      </c>
    </row>
    <row r="9947" spans="1:4" ht="15" x14ac:dyDescent="0.25">
      <c r="A9947" t="s">
        <v>26298</v>
      </c>
      <c r="B9947">
        <v>1</v>
      </c>
      <c r="C9947">
        <v>43</v>
      </c>
      <c r="D9947">
        <v>43</v>
      </c>
    </row>
    <row r="9948" spans="1:4" ht="15" x14ac:dyDescent="0.25">
      <c r="A9948" t="s">
        <v>26303</v>
      </c>
      <c r="B9948">
        <v>1</v>
      </c>
      <c r="C9948">
        <v>46</v>
      </c>
      <c r="D9948">
        <v>46</v>
      </c>
    </row>
    <row r="9949" spans="1:4" ht="15" x14ac:dyDescent="0.25">
      <c r="A9949" t="s">
        <v>26307</v>
      </c>
      <c r="B9949">
        <v>1</v>
      </c>
      <c r="C9949">
        <v>39</v>
      </c>
      <c r="D9949">
        <v>39</v>
      </c>
    </row>
    <row r="9950" spans="1:4" ht="15" x14ac:dyDescent="0.25">
      <c r="A9950" t="s">
        <v>26308</v>
      </c>
      <c r="B9950">
        <v>1</v>
      </c>
      <c r="C9950">
        <v>39</v>
      </c>
      <c r="D9950">
        <v>39</v>
      </c>
    </row>
    <row r="9951" spans="1:4" ht="15" x14ac:dyDescent="0.25">
      <c r="A9951" t="s">
        <v>26314</v>
      </c>
      <c r="B9951">
        <v>1</v>
      </c>
      <c r="C9951">
        <v>53</v>
      </c>
      <c r="D9951">
        <v>53</v>
      </c>
    </row>
    <row r="9952" spans="1:4" ht="15" x14ac:dyDescent="0.25">
      <c r="A9952" t="s">
        <v>26315</v>
      </c>
      <c r="B9952">
        <v>1</v>
      </c>
      <c r="C9952">
        <v>53</v>
      </c>
      <c r="D9952">
        <v>53</v>
      </c>
    </row>
    <row r="9953" spans="1:4" ht="15" x14ac:dyDescent="0.25">
      <c r="A9953" t="s">
        <v>26319</v>
      </c>
      <c r="B9953">
        <v>1</v>
      </c>
      <c r="C9953">
        <v>36</v>
      </c>
      <c r="D9953">
        <v>36</v>
      </c>
    </row>
    <row r="9954" spans="1:4" ht="15" x14ac:dyDescent="0.25">
      <c r="A9954" t="s">
        <v>26320</v>
      </c>
      <c r="B9954">
        <v>1</v>
      </c>
      <c r="C9954">
        <v>36</v>
      </c>
      <c r="D9954">
        <v>36</v>
      </c>
    </row>
    <row r="9955" spans="1:4" ht="15" x14ac:dyDescent="0.25">
      <c r="A9955" t="s">
        <v>26325</v>
      </c>
      <c r="B9955">
        <v>1</v>
      </c>
      <c r="C9955">
        <v>19</v>
      </c>
      <c r="D9955">
        <v>19</v>
      </c>
    </row>
    <row r="9956" spans="1:4" ht="15" x14ac:dyDescent="0.25">
      <c r="A9956" t="s">
        <v>26333</v>
      </c>
      <c r="B9956">
        <v>1</v>
      </c>
      <c r="C9956">
        <v>22</v>
      </c>
      <c r="D9956">
        <v>22</v>
      </c>
    </row>
    <row r="9957" spans="1:4" ht="15" x14ac:dyDescent="0.25">
      <c r="A9957" t="s">
        <v>26332</v>
      </c>
      <c r="B9957">
        <v>1</v>
      </c>
      <c r="C9957">
        <v>22</v>
      </c>
      <c r="D9957">
        <v>22</v>
      </c>
    </row>
    <row r="9958" spans="1:4" ht="15" x14ac:dyDescent="0.25">
      <c r="A9958" t="s">
        <v>26336</v>
      </c>
      <c r="B9958">
        <v>1</v>
      </c>
      <c r="C9958">
        <v>9</v>
      </c>
      <c r="D9958">
        <v>9</v>
      </c>
    </row>
    <row r="9959" spans="1:4" ht="15" x14ac:dyDescent="0.25">
      <c r="A9959" t="s">
        <v>26340</v>
      </c>
      <c r="B9959">
        <v>1</v>
      </c>
      <c r="C9959">
        <v>16</v>
      </c>
      <c r="D9959">
        <v>16</v>
      </c>
    </row>
    <row r="9960" spans="1:4" ht="15" x14ac:dyDescent="0.25">
      <c r="A9960" t="s">
        <v>26341</v>
      </c>
      <c r="B9960">
        <v>1</v>
      </c>
      <c r="C9960">
        <v>16</v>
      </c>
      <c r="D9960">
        <v>16</v>
      </c>
    </row>
    <row r="9961" spans="1:4" ht="15" x14ac:dyDescent="0.25">
      <c r="A9961" t="s">
        <v>26342</v>
      </c>
      <c r="B9961">
        <v>1</v>
      </c>
      <c r="C9961">
        <v>16</v>
      </c>
      <c r="D9961">
        <v>16</v>
      </c>
    </row>
    <row r="9962" spans="1:4" ht="15" x14ac:dyDescent="0.25">
      <c r="A9962" t="s">
        <v>26346</v>
      </c>
      <c r="B9962">
        <v>1</v>
      </c>
      <c r="C9962">
        <v>23</v>
      </c>
      <c r="D9962">
        <v>23</v>
      </c>
    </row>
    <row r="9963" spans="1:4" ht="15" x14ac:dyDescent="0.25">
      <c r="A9963" t="s">
        <v>26347</v>
      </c>
      <c r="B9963">
        <v>1</v>
      </c>
      <c r="C9963">
        <v>23</v>
      </c>
      <c r="D9963">
        <v>23</v>
      </c>
    </row>
    <row r="9964" spans="1:4" ht="15" x14ac:dyDescent="0.25">
      <c r="A9964" t="s">
        <v>26349</v>
      </c>
      <c r="B9964">
        <v>1</v>
      </c>
      <c r="C9964">
        <v>23</v>
      </c>
      <c r="D9964">
        <v>23</v>
      </c>
    </row>
    <row r="9965" spans="1:4" ht="15" x14ac:dyDescent="0.25">
      <c r="A9965" t="s">
        <v>26348</v>
      </c>
      <c r="B9965">
        <v>1</v>
      </c>
      <c r="C9965">
        <v>23</v>
      </c>
      <c r="D9965">
        <v>23</v>
      </c>
    </row>
    <row r="9966" spans="1:4" ht="15" x14ac:dyDescent="0.25">
      <c r="A9966" t="s">
        <v>26353</v>
      </c>
      <c r="B9966">
        <v>1</v>
      </c>
      <c r="C9966">
        <v>20</v>
      </c>
      <c r="D9966">
        <v>20</v>
      </c>
    </row>
    <row r="9967" spans="1:4" ht="15" x14ac:dyDescent="0.25">
      <c r="A9967" t="s">
        <v>26355</v>
      </c>
      <c r="B9967">
        <v>1</v>
      </c>
      <c r="C9967">
        <v>20</v>
      </c>
      <c r="D9967">
        <v>20</v>
      </c>
    </row>
    <row r="9968" spans="1:4" ht="15" x14ac:dyDescent="0.25">
      <c r="A9968" t="s">
        <v>26354</v>
      </c>
      <c r="B9968">
        <v>1</v>
      </c>
      <c r="C9968">
        <v>20</v>
      </c>
      <c r="D9968">
        <v>20</v>
      </c>
    </row>
    <row r="9969" spans="1:4" ht="15" x14ac:dyDescent="0.25">
      <c r="A9969" t="s">
        <v>26365</v>
      </c>
      <c r="B9969">
        <v>1</v>
      </c>
      <c r="C9969">
        <v>472</v>
      </c>
      <c r="D9969">
        <v>472</v>
      </c>
    </row>
    <row r="9970" spans="1:4" ht="15" x14ac:dyDescent="0.25">
      <c r="A9970" t="s">
        <v>26366</v>
      </c>
      <c r="B9970">
        <v>1</v>
      </c>
      <c r="C9970">
        <v>472</v>
      </c>
      <c r="D9970">
        <v>472</v>
      </c>
    </row>
    <row r="9971" spans="1:4" ht="15" x14ac:dyDescent="0.25">
      <c r="A9971" t="s">
        <v>26371</v>
      </c>
      <c r="B9971">
        <v>1</v>
      </c>
      <c r="C9971">
        <v>44</v>
      </c>
      <c r="D9971">
        <v>44</v>
      </c>
    </row>
    <row r="9972" spans="1:4" ht="15" x14ac:dyDescent="0.25">
      <c r="A9972" t="s">
        <v>26377</v>
      </c>
      <c r="B9972">
        <v>1</v>
      </c>
      <c r="C9972">
        <v>20</v>
      </c>
      <c r="D9972">
        <v>20</v>
      </c>
    </row>
    <row r="9973" spans="1:4" ht="15" x14ac:dyDescent="0.25">
      <c r="A9973" t="s">
        <v>26378</v>
      </c>
      <c r="B9973">
        <v>1</v>
      </c>
      <c r="C9973">
        <v>20</v>
      </c>
      <c r="D9973">
        <v>20</v>
      </c>
    </row>
    <row r="9974" spans="1:4" ht="15" x14ac:dyDescent="0.25">
      <c r="A9974" t="s">
        <v>26379</v>
      </c>
      <c r="B9974">
        <v>1</v>
      </c>
      <c r="C9974">
        <v>20</v>
      </c>
      <c r="D9974">
        <v>20</v>
      </c>
    </row>
    <row r="9975" spans="1:4" ht="15" x14ac:dyDescent="0.25">
      <c r="A9975" t="s">
        <v>26388</v>
      </c>
      <c r="B9975">
        <v>1</v>
      </c>
      <c r="C9975">
        <v>144</v>
      </c>
      <c r="D9975">
        <v>144</v>
      </c>
    </row>
    <row r="9976" spans="1:4" ht="15" x14ac:dyDescent="0.25">
      <c r="A9976" t="s">
        <v>26389</v>
      </c>
      <c r="B9976">
        <v>1</v>
      </c>
      <c r="C9976">
        <v>144</v>
      </c>
      <c r="D9976">
        <v>144</v>
      </c>
    </row>
    <row r="9977" spans="1:4" ht="15" x14ac:dyDescent="0.25">
      <c r="A9977" t="s">
        <v>26393</v>
      </c>
      <c r="B9977">
        <v>1</v>
      </c>
      <c r="C9977">
        <v>13</v>
      </c>
      <c r="D9977">
        <v>13</v>
      </c>
    </row>
    <row r="9978" spans="1:4" ht="15" x14ac:dyDescent="0.25">
      <c r="A9978" t="s">
        <v>26394</v>
      </c>
      <c r="B9978">
        <v>2</v>
      </c>
      <c r="C9978">
        <v>63</v>
      </c>
      <c r="D9978">
        <v>31.5</v>
      </c>
    </row>
    <row r="9979" spans="1:4" ht="15" x14ac:dyDescent="0.25">
      <c r="A9979" t="s">
        <v>26395</v>
      </c>
      <c r="B9979">
        <v>1</v>
      </c>
      <c r="C9979">
        <v>13</v>
      </c>
      <c r="D9979">
        <v>13</v>
      </c>
    </row>
    <row r="9980" spans="1:4" ht="15" x14ac:dyDescent="0.25">
      <c r="A9980" t="s">
        <v>26396</v>
      </c>
      <c r="B9980">
        <v>1</v>
      </c>
      <c r="C9980">
        <v>13</v>
      </c>
      <c r="D9980">
        <v>13</v>
      </c>
    </row>
    <row r="9981" spans="1:4" ht="15" x14ac:dyDescent="0.25">
      <c r="A9981" t="s">
        <v>26400</v>
      </c>
      <c r="B9981">
        <v>1</v>
      </c>
      <c r="C9981">
        <v>25</v>
      </c>
      <c r="D9981">
        <v>25</v>
      </c>
    </row>
    <row r="9982" spans="1:4" ht="15" x14ac:dyDescent="0.25">
      <c r="A9982" t="s">
        <v>26402</v>
      </c>
      <c r="B9982">
        <v>1</v>
      </c>
      <c r="C9982">
        <v>25</v>
      </c>
      <c r="D9982">
        <v>25</v>
      </c>
    </row>
    <row r="9983" spans="1:4" ht="15" x14ac:dyDescent="0.25">
      <c r="A9983" t="s">
        <v>26403</v>
      </c>
      <c r="B9983">
        <v>1</v>
      </c>
      <c r="C9983">
        <v>25</v>
      </c>
      <c r="D9983">
        <v>25</v>
      </c>
    </row>
    <row r="9984" spans="1:4" ht="15" x14ac:dyDescent="0.25">
      <c r="A9984" t="s">
        <v>26401</v>
      </c>
      <c r="B9984">
        <v>1</v>
      </c>
      <c r="C9984">
        <v>25</v>
      </c>
      <c r="D9984">
        <v>25</v>
      </c>
    </row>
    <row r="9985" spans="1:4" ht="15" x14ac:dyDescent="0.25">
      <c r="A9985" t="s">
        <v>26410</v>
      </c>
      <c r="B9985">
        <v>1</v>
      </c>
      <c r="C9985">
        <v>85</v>
      </c>
      <c r="D9985">
        <v>85</v>
      </c>
    </row>
    <row r="9986" spans="1:4" ht="15" x14ac:dyDescent="0.25">
      <c r="A9986" t="s">
        <v>26407</v>
      </c>
      <c r="B9986">
        <v>1</v>
      </c>
      <c r="C9986">
        <v>85</v>
      </c>
      <c r="D9986">
        <v>85</v>
      </c>
    </row>
    <row r="9987" spans="1:4" ht="15" x14ac:dyDescent="0.25">
      <c r="A9987" t="s">
        <v>26412</v>
      </c>
      <c r="B9987">
        <v>1</v>
      </c>
      <c r="C9987">
        <v>85</v>
      </c>
      <c r="D9987">
        <v>85</v>
      </c>
    </row>
    <row r="9988" spans="1:4" ht="15" x14ac:dyDescent="0.25">
      <c r="A9988" t="s">
        <v>26411</v>
      </c>
      <c r="B9988">
        <v>1</v>
      </c>
      <c r="C9988">
        <v>85</v>
      </c>
      <c r="D9988">
        <v>85</v>
      </c>
    </row>
    <row r="9989" spans="1:4" ht="15" x14ac:dyDescent="0.25">
      <c r="A9989" t="s">
        <v>26415</v>
      </c>
      <c r="B9989">
        <v>1</v>
      </c>
      <c r="C9989">
        <v>21</v>
      </c>
      <c r="D9989">
        <v>21</v>
      </c>
    </row>
    <row r="9990" spans="1:4" ht="15" x14ac:dyDescent="0.25">
      <c r="A9990" t="s">
        <v>26416</v>
      </c>
      <c r="B9990">
        <v>1</v>
      </c>
      <c r="C9990">
        <v>21</v>
      </c>
      <c r="D9990">
        <v>21</v>
      </c>
    </row>
    <row r="9991" spans="1:4" ht="15" x14ac:dyDescent="0.25">
      <c r="A9991" t="s">
        <v>26418</v>
      </c>
      <c r="B9991">
        <v>1</v>
      </c>
      <c r="C9991">
        <v>21</v>
      </c>
      <c r="D9991">
        <v>21</v>
      </c>
    </row>
    <row r="9992" spans="1:4" ht="15" x14ac:dyDescent="0.25">
      <c r="A9992" t="s">
        <v>26419</v>
      </c>
      <c r="B9992">
        <v>1</v>
      </c>
      <c r="C9992">
        <v>21</v>
      </c>
      <c r="D9992">
        <v>21</v>
      </c>
    </row>
    <row r="9993" spans="1:4" ht="15" x14ac:dyDescent="0.25">
      <c r="A9993" t="s">
        <v>26417</v>
      </c>
      <c r="B9993">
        <v>1</v>
      </c>
      <c r="C9993">
        <v>21</v>
      </c>
      <c r="D9993">
        <v>21</v>
      </c>
    </row>
    <row r="9994" spans="1:4" ht="15" x14ac:dyDescent="0.25">
      <c r="A9994" t="s">
        <v>26423</v>
      </c>
      <c r="B9994">
        <v>3</v>
      </c>
      <c r="C9994">
        <v>87</v>
      </c>
      <c r="D9994">
        <v>29</v>
      </c>
    </row>
    <row r="9995" spans="1:4" ht="15" x14ac:dyDescent="0.25">
      <c r="A9995" t="s">
        <v>26427</v>
      </c>
      <c r="B9995">
        <v>1</v>
      </c>
      <c r="C9995">
        <v>71</v>
      </c>
      <c r="D9995">
        <v>71</v>
      </c>
    </row>
    <row r="9996" spans="1:4" ht="15" x14ac:dyDescent="0.25">
      <c r="A9996" t="s">
        <v>26430</v>
      </c>
      <c r="B9996">
        <v>1</v>
      </c>
      <c r="C9996">
        <v>32</v>
      </c>
      <c r="D9996">
        <v>32</v>
      </c>
    </row>
    <row r="9997" spans="1:4" ht="15" x14ac:dyDescent="0.25">
      <c r="A9997" t="s">
        <v>26437</v>
      </c>
      <c r="B9997">
        <v>2</v>
      </c>
      <c r="C9997">
        <v>37</v>
      </c>
      <c r="D9997">
        <v>18.5</v>
      </c>
    </row>
    <row r="9998" spans="1:4" ht="15" x14ac:dyDescent="0.25">
      <c r="A9998" t="s">
        <v>26439</v>
      </c>
      <c r="B9998">
        <v>1</v>
      </c>
      <c r="C9998">
        <v>36</v>
      </c>
      <c r="D9998">
        <v>36</v>
      </c>
    </row>
    <row r="9999" spans="1:4" ht="15" x14ac:dyDescent="0.25">
      <c r="A9999" t="s">
        <v>26438</v>
      </c>
      <c r="B9999">
        <v>1</v>
      </c>
      <c r="C9999">
        <v>36</v>
      </c>
      <c r="D9999">
        <v>36</v>
      </c>
    </row>
    <row r="10000" spans="1:4" ht="15" x14ac:dyDescent="0.25">
      <c r="A10000" t="s">
        <v>26443</v>
      </c>
      <c r="B10000">
        <v>1</v>
      </c>
      <c r="C10000">
        <v>24</v>
      </c>
      <c r="D10000">
        <v>24</v>
      </c>
    </row>
    <row r="10001" spans="1:4" ht="15" x14ac:dyDescent="0.25">
      <c r="A10001" t="s">
        <v>26444</v>
      </c>
      <c r="B10001">
        <v>1</v>
      </c>
      <c r="C10001">
        <v>24</v>
      </c>
      <c r="D10001">
        <v>24</v>
      </c>
    </row>
    <row r="10002" spans="1:4" ht="15" x14ac:dyDescent="0.25">
      <c r="A10002" t="s">
        <v>26440</v>
      </c>
      <c r="B10002">
        <v>1</v>
      </c>
      <c r="C10002">
        <v>24</v>
      </c>
      <c r="D10002">
        <v>24</v>
      </c>
    </row>
    <row r="10003" spans="1:4" ht="15" x14ac:dyDescent="0.25">
      <c r="A10003" t="s">
        <v>26449</v>
      </c>
      <c r="B10003">
        <v>1</v>
      </c>
      <c r="C10003">
        <v>45</v>
      </c>
      <c r="D10003">
        <v>45</v>
      </c>
    </row>
    <row r="10004" spans="1:4" ht="15" x14ac:dyDescent="0.25">
      <c r="A10004" t="s">
        <v>26450</v>
      </c>
      <c r="B10004">
        <v>1</v>
      </c>
      <c r="C10004">
        <v>45</v>
      </c>
      <c r="D10004">
        <v>45</v>
      </c>
    </row>
    <row r="10005" spans="1:4" ht="15" x14ac:dyDescent="0.25">
      <c r="A10005" t="s">
        <v>26455</v>
      </c>
      <c r="B10005">
        <v>1</v>
      </c>
      <c r="C10005">
        <v>48</v>
      </c>
      <c r="D10005">
        <v>48</v>
      </c>
    </row>
    <row r="10006" spans="1:4" ht="15" x14ac:dyDescent="0.25">
      <c r="A10006" t="s">
        <v>26456</v>
      </c>
      <c r="B10006">
        <v>5</v>
      </c>
      <c r="C10006">
        <v>246</v>
      </c>
      <c r="D10006">
        <v>49.2</v>
      </c>
    </row>
    <row r="10007" spans="1:4" ht="15" x14ac:dyDescent="0.25">
      <c r="A10007" t="s">
        <v>26465</v>
      </c>
      <c r="B10007">
        <v>1</v>
      </c>
      <c r="C10007">
        <v>27</v>
      </c>
      <c r="D10007">
        <v>27</v>
      </c>
    </row>
    <row r="10008" spans="1:4" ht="15" x14ac:dyDescent="0.25">
      <c r="A10008" t="s">
        <v>26469</v>
      </c>
      <c r="B10008">
        <v>1</v>
      </c>
      <c r="C10008">
        <v>14</v>
      </c>
      <c r="D10008">
        <v>14</v>
      </c>
    </row>
    <row r="10009" spans="1:4" ht="15" x14ac:dyDescent="0.25">
      <c r="A10009" t="s">
        <v>26474</v>
      </c>
      <c r="B10009">
        <v>1</v>
      </c>
      <c r="C10009">
        <v>50</v>
      </c>
      <c r="D10009">
        <v>50</v>
      </c>
    </row>
    <row r="10010" spans="1:4" ht="15" x14ac:dyDescent="0.25">
      <c r="A10010" t="s">
        <v>26478</v>
      </c>
      <c r="B10010">
        <v>1</v>
      </c>
      <c r="C10010">
        <v>9</v>
      </c>
      <c r="D10010">
        <v>9</v>
      </c>
    </row>
    <row r="10011" spans="1:4" ht="15" x14ac:dyDescent="0.25">
      <c r="A10011" t="s">
        <v>26479</v>
      </c>
      <c r="B10011">
        <v>1</v>
      </c>
      <c r="C10011">
        <v>9</v>
      </c>
      <c r="D10011">
        <v>9</v>
      </c>
    </row>
    <row r="10012" spans="1:4" ht="15" x14ac:dyDescent="0.25">
      <c r="A10012" t="s">
        <v>26483</v>
      </c>
      <c r="B10012">
        <v>1</v>
      </c>
      <c r="C10012">
        <v>15</v>
      </c>
      <c r="D10012">
        <v>15</v>
      </c>
    </row>
    <row r="10013" spans="1:4" ht="15" x14ac:dyDescent="0.25">
      <c r="A10013" t="s">
        <v>26487</v>
      </c>
      <c r="B10013">
        <v>1</v>
      </c>
      <c r="C10013">
        <v>58</v>
      </c>
      <c r="D10013">
        <v>58</v>
      </c>
    </row>
    <row r="10014" spans="1:4" ht="15" x14ac:dyDescent="0.25">
      <c r="A10014" t="s">
        <v>26488</v>
      </c>
      <c r="B10014">
        <v>1</v>
      </c>
      <c r="C10014">
        <v>58</v>
      </c>
      <c r="D10014">
        <v>58</v>
      </c>
    </row>
    <row r="10015" spans="1:4" ht="15" x14ac:dyDescent="0.25">
      <c r="A10015" t="s">
        <v>26492</v>
      </c>
      <c r="B10015">
        <v>1</v>
      </c>
      <c r="C10015">
        <v>19</v>
      </c>
      <c r="D10015">
        <v>19</v>
      </c>
    </row>
    <row r="10016" spans="1:4" ht="15" x14ac:dyDescent="0.25">
      <c r="A10016" t="s">
        <v>26493</v>
      </c>
      <c r="B10016">
        <v>1</v>
      </c>
      <c r="C10016">
        <v>19</v>
      </c>
      <c r="D10016">
        <v>19</v>
      </c>
    </row>
    <row r="10017" spans="1:4" ht="15" x14ac:dyDescent="0.25">
      <c r="A10017" t="s">
        <v>26498</v>
      </c>
      <c r="B10017">
        <v>1</v>
      </c>
      <c r="C10017">
        <v>22</v>
      </c>
      <c r="D10017">
        <v>22</v>
      </c>
    </row>
    <row r="10018" spans="1:4" ht="15" x14ac:dyDescent="0.25">
      <c r="A10018" t="s">
        <v>26500</v>
      </c>
      <c r="B10018">
        <v>1</v>
      </c>
      <c r="C10018">
        <v>22</v>
      </c>
      <c r="D10018">
        <v>22</v>
      </c>
    </row>
    <row r="10019" spans="1:4" ht="15" x14ac:dyDescent="0.25">
      <c r="A10019" t="s">
        <v>26499</v>
      </c>
      <c r="B10019">
        <v>1</v>
      </c>
      <c r="C10019">
        <v>22</v>
      </c>
      <c r="D10019">
        <v>22</v>
      </c>
    </row>
    <row r="10020" spans="1:4" ht="15" x14ac:dyDescent="0.25">
      <c r="A10020" t="s">
        <v>26505</v>
      </c>
      <c r="B10020">
        <v>1</v>
      </c>
      <c r="C10020">
        <v>20</v>
      </c>
      <c r="D10020">
        <v>20</v>
      </c>
    </row>
    <row r="10021" spans="1:4" ht="15" x14ac:dyDescent="0.25">
      <c r="A10021" t="s">
        <v>26509</v>
      </c>
      <c r="B10021">
        <v>1</v>
      </c>
      <c r="C10021">
        <v>96</v>
      </c>
      <c r="D10021">
        <v>96</v>
      </c>
    </row>
    <row r="10022" spans="1:4" ht="15" x14ac:dyDescent="0.25">
      <c r="A10022" t="s">
        <v>26510</v>
      </c>
      <c r="B10022">
        <v>1</v>
      </c>
      <c r="C10022">
        <v>96</v>
      </c>
      <c r="D10022">
        <v>96</v>
      </c>
    </row>
    <row r="10023" spans="1:4" ht="15" x14ac:dyDescent="0.25">
      <c r="A10023" t="s">
        <v>26514</v>
      </c>
      <c r="B10023">
        <v>1</v>
      </c>
      <c r="C10023">
        <v>8</v>
      </c>
      <c r="D10023">
        <v>8</v>
      </c>
    </row>
    <row r="10024" spans="1:4" ht="15" x14ac:dyDescent="0.25">
      <c r="A10024" t="s">
        <v>26516</v>
      </c>
      <c r="B10024">
        <v>1</v>
      </c>
      <c r="C10024">
        <v>8</v>
      </c>
      <c r="D10024">
        <v>8</v>
      </c>
    </row>
    <row r="10025" spans="1:4" ht="15" x14ac:dyDescent="0.25">
      <c r="A10025" t="s">
        <v>26517</v>
      </c>
      <c r="B10025">
        <v>1</v>
      </c>
      <c r="C10025">
        <v>8</v>
      </c>
      <c r="D10025">
        <v>8</v>
      </c>
    </row>
    <row r="10026" spans="1:4" ht="15" x14ac:dyDescent="0.25">
      <c r="A10026" t="s">
        <v>26515</v>
      </c>
      <c r="B10026">
        <v>1</v>
      </c>
      <c r="C10026">
        <v>8</v>
      </c>
      <c r="D10026">
        <v>8</v>
      </c>
    </row>
    <row r="10027" spans="1:4" ht="15" x14ac:dyDescent="0.25">
      <c r="A10027" t="s">
        <v>26522</v>
      </c>
      <c r="B10027">
        <v>1</v>
      </c>
      <c r="C10027">
        <v>170</v>
      </c>
      <c r="D10027">
        <v>170</v>
      </c>
    </row>
    <row r="10028" spans="1:4" ht="15" x14ac:dyDescent="0.25">
      <c r="A10028" t="s">
        <v>26523</v>
      </c>
      <c r="B10028">
        <v>1</v>
      </c>
      <c r="C10028">
        <v>170</v>
      </c>
      <c r="D10028">
        <v>170</v>
      </c>
    </row>
    <row r="10029" spans="1:4" ht="15" x14ac:dyDescent="0.25">
      <c r="A10029" t="s">
        <v>26521</v>
      </c>
      <c r="B10029">
        <v>1</v>
      </c>
      <c r="C10029">
        <v>170</v>
      </c>
      <c r="D10029">
        <v>170</v>
      </c>
    </row>
    <row r="10030" spans="1:4" ht="15" x14ac:dyDescent="0.25">
      <c r="A10030" t="s">
        <v>26526</v>
      </c>
      <c r="B10030">
        <v>1</v>
      </c>
      <c r="C10030">
        <v>112</v>
      </c>
      <c r="D10030">
        <v>112</v>
      </c>
    </row>
    <row r="10031" spans="1:4" ht="15" x14ac:dyDescent="0.25">
      <c r="A10031" t="s">
        <v>26533</v>
      </c>
      <c r="B10031">
        <v>2</v>
      </c>
      <c r="C10031">
        <v>34</v>
      </c>
      <c r="D10031">
        <v>17</v>
      </c>
    </row>
    <row r="10032" spans="1:4" ht="15" x14ac:dyDescent="0.25">
      <c r="A10032" t="s">
        <v>26534</v>
      </c>
      <c r="B10032">
        <v>1</v>
      </c>
      <c r="C10032">
        <v>9</v>
      </c>
      <c r="D10032">
        <v>9</v>
      </c>
    </row>
    <row r="10033" spans="1:4" ht="15" x14ac:dyDescent="0.25">
      <c r="A10033" t="s">
        <v>26535</v>
      </c>
      <c r="B10033">
        <v>1</v>
      </c>
      <c r="C10033">
        <v>9</v>
      </c>
      <c r="D10033">
        <v>9</v>
      </c>
    </row>
    <row r="10034" spans="1:4" ht="15" x14ac:dyDescent="0.25">
      <c r="A10034" t="s">
        <v>26540</v>
      </c>
      <c r="B10034">
        <v>1</v>
      </c>
      <c r="C10034">
        <v>69</v>
      </c>
      <c r="D10034">
        <v>69</v>
      </c>
    </row>
    <row r="10035" spans="1:4" ht="15" x14ac:dyDescent="0.25">
      <c r="A10035" t="s">
        <v>26544</v>
      </c>
      <c r="B10035">
        <v>1</v>
      </c>
      <c r="C10035">
        <v>5</v>
      </c>
      <c r="D10035">
        <v>5</v>
      </c>
    </row>
    <row r="10036" spans="1:4" ht="15" x14ac:dyDescent="0.25">
      <c r="A10036" t="s">
        <v>26545</v>
      </c>
      <c r="B10036">
        <v>1</v>
      </c>
      <c r="C10036">
        <v>5</v>
      </c>
      <c r="D10036">
        <v>5</v>
      </c>
    </row>
    <row r="10037" spans="1:4" ht="15" x14ac:dyDescent="0.25">
      <c r="A10037" t="s">
        <v>26547</v>
      </c>
      <c r="B10037">
        <v>1</v>
      </c>
      <c r="C10037">
        <v>5</v>
      </c>
      <c r="D10037">
        <v>5</v>
      </c>
    </row>
    <row r="10038" spans="1:4" ht="15" x14ac:dyDescent="0.25">
      <c r="A10038" t="s">
        <v>26548</v>
      </c>
      <c r="B10038">
        <v>1</v>
      </c>
      <c r="C10038">
        <v>5</v>
      </c>
      <c r="D10038">
        <v>5</v>
      </c>
    </row>
    <row r="10039" spans="1:4" ht="15" x14ac:dyDescent="0.25">
      <c r="A10039" t="s">
        <v>26546</v>
      </c>
      <c r="B10039">
        <v>1</v>
      </c>
      <c r="C10039">
        <v>5</v>
      </c>
      <c r="D10039">
        <v>5</v>
      </c>
    </row>
    <row r="10040" spans="1:4" ht="15" x14ac:dyDescent="0.25">
      <c r="A10040" t="s">
        <v>26552</v>
      </c>
      <c r="B10040">
        <v>1</v>
      </c>
      <c r="C10040">
        <v>78</v>
      </c>
      <c r="D10040">
        <v>78</v>
      </c>
    </row>
    <row r="10041" spans="1:4" ht="15" x14ac:dyDescent="0.25">
      <c r="A10041" t="s">
        <v>26556</v>
      </c>
      <c r="B10041">
        <v>1</v>
      </c>
      <c r="C10041">
        <v>597</v>
      </c>
      <c r="D10041">
        <v>597</v>
      </c>
    </row>
    <row r="10042" spans="1:4" ht="15" x14ac:dyDescent="0.25">
      <c r="A10042" t="s">
        <v>26557</v>
      </c>
      <c r="B10042">
        <v>1</v>
      </c>
      <c r="C10042">
        <v>597</v>
      </c>
      <c r="D10042">
        <v>597</v>
      </c>
    </row>
    <row r="10043" spans="1:4" ht="15" x14ac:dyDescent="0.25">
      <c r="A10043" t="s">
        <v>26559</v>
      </c>
      <c r="B10043">
        <v>1</v>
      </c>
      <c r="C10043">
        <v>597</v>
      </c>
      <c r="D10043">
        <v>597</v>
      </c>
    </row>
    <row r="10044" spans="1:4" ht="15" x14ac:dyDescent="0.25">
      <c r="A10044" t="s">
        <v>26558</v>
      </c>
      <c r="B10044">
        <v>1</v>
      </c>
      <c r="C10044">
        <v>597</v>
      </c>
      <c r="D10044">
        <v>597</v>
      </c>
    </row>
    <row r="10045" spans="1:4" ht="15" x14ac:dyDescent="0.25">
      <c r="A10045" t="s">
        <v>26563</v>
      </c>
      <c r="B10045">
        <v>1</v>
      </c>
      <c r="C10045">
        <v>3</v>
      </c>
      <c r="D10045">
        <v>3</v>
      </c>
    </row>
    <row r="10046" spans="1:4" ht="15" x14ac:dyDescent="0.25">
      <c r="A10046" t="s">
        <v>26564</v>
      </c>
      <c r="B10046">
        <v>1</v>
      </c>
      <c r="C10046">
        <v>3</v>
      </c>
      <c r="D10046">
        <v>3</v>
      </c>
    </row>
    <row r="10047" spans="1:4" ht="15" x14ac:dyDescent="0.25">
      <c r="A10047" t="s">
        <v>26565</v>
      </c>
      <c r="B10047">
        <v>1</v>
      </c>
      <c r="C10047">
        <v>3</v>
      </c>
      <c r="D10047">
        <v>3</v>
      </c>
    </row>
    <row r="10048" spans="1:4" ht="15" x14ac:dyDescent="0.25">
      <c r="A10048" t="s">
        <v>26571</v>
      </c>
      <c r="B10048">
        <v>1</v>
      </c>
      <c r="C10048">
        <v>137</v>
      </c>
      <c r="D10048">
        <v>137</v>
      </c>
    </row>
    <row r="10049" spans="1:4" ht="15" x14ac:dyDescent="0.25">
      <c r="A10049" t="s">
        <v>26572</v>
      </c>
      <c r="B10049">
        <v>1</v>
      </c>
      <c r="C10049">
        <v>137</v>
      </c>
      <c r="D10049">
        <v>137</v>
      </c>
    </row>
    <row r="10050" spans="1:4" ht="15" x14ac:dyDescent="0.25">
      <c r="A10050" t="s">
        <v>26576</v>
      </c>
      <c r="B10050">
        <v>1</v>
      </c>
      <c r="C10050">
        <v>33</v>
      </c>
      <c r="D10050">
        <v>33</v>
      </c>
    </row>
    <row r="10051" spans="1:4" ht="15" x14ac:dyDescent="0.25">
      <c r="A10051" t="s">
        <v>26578</v>
      </c>
      <c r="B10051">
        <v>1</v>
      </c>
      <c r="C10051">
        <v>33</v>
      </c>
      <c r="D10051">
        <v>33</v>
      </c>
    </row>
    <row r="10052" spans="1:4" ht="15" x14ac:dyDescent="0.25">
      <c r="A10052" t="s">
        <v>26577</v>
      </c>
      <c r="B10052">
        <v>1</v>
      </c>
      <c r="C10052">
        <v>33</v>
      </c>
      <c r="D10052">
        <v>33</v>
      </c>
    </row>
    <row r="10053" spans="1:4" ht="15" x14ac:dyDescent="0.25">
      <c r="A10053" t="s">
        <v>26585</v>
      </c>
      <c r="B10053">
        <v>1</v>
      </c>
      <c r="C10053">
        <v>34</v>
      </c>
      <c r="D10053">
        <v>34</v>
      </c>
    </row>
    <row r="10054" spans="1:4" ht="15" x14ac:dyDescent="0.25">
      <c r="A10054" t="s">
        <v>26586</v>
      </c>
      <c r="B10054">
        <v>1</v>
      </c>
      <c r="C10054">
        <v>34</v>
      </c>
      <c r="D10054">
        <v>34</v>
      </c>
    </row>
    <row r="10055" spans="1:4" ht="15" x14ac:dyDescent="0.25">
      <c r="A10055" t="s">
        <v>26589</v>
      </c>
      <c r="B10055">
        <v>1</v>
      </c>
      <c r="C10055">
        <v>18</v>
      </c>
      <c r="D10055">
        <v>18</v>
      </c>
    </row>
    <row r="10056" spans="1:4" ht="15" x14ac:dyDescent="0.25">
      <c r="A10056" t="s">
        <v>26590</v>
      </c>
      <c r="B10056">
        <v>1</v>
      </c>
      <c r="C10056">
        <v>18</v>
      </c>
      <c r="D10056">
        <v>18</v>
      </c>
    </row>
    <row r="10057" spans="1:4" ht="15" x14ac:dyDescent="0.25">
      <c r="A10057" t="s">
        <v>26593</v>
      </c>
      <c r="B10057">
        <v>1</v>
      </c>
      <c r="C10057">
        <v>59</v>
      </c>
      <c r="D10057">
        <v>59</v>
      </c>
    </row>
    <row r="10058" spans="1:4" ht="15" x14ac:dyDescent="0.25">
      <c r="A10058" t="s">
        <v>26595</v>
      </c>
      <c r="B10058">
        <v>1</v>
      </c>
      <c r="C10058">
        <v>59</v>
      </c>
      <c r="D10058">
        <v>59</v>
      </c>
    </row>
    <row r="10059" spans="1:4" ht="15" x14ac:dyDescent="0.25">
      <c r="A10059" t="s">
        <v>26596</v>
      </c>
      <c r="B10059">
        <v>1</v>
      </c>
      <c r="C10059">
        <v>59</v>
      </c>
      <c r="D10059">
        <v>59</v>
      </c>
    </row>
    <row r="10060" spans="1:4" ht="15" x14ac:dyDescent="0.25">
      <c r="A10060" t="s">
        <v>26594</v>
      </c>
      <c r="B10060">
        <v>1</v>
      </c>
      <c r="C10060">
        <v>59</v>
      </c>
      <c r="D10060">
        <v>59</v>
      </c>
    </row>
    <row r="10061" spans="1:4" ht="15" x14ac:dyDescent="0.25">
      <c r="A10061" t="s">
        <v>26599</v>
      </c>
      <c r="B10061">
        <v>1</v>
      </c>
      <c r="C10061">
        <v>21</v>
      </c>
      <c r="D10061">
        <v>21</v>
      </c>
    </row>
    <row r="10062" spans="1:4" ht="15" x14ac:dyDescent="0.25">
      <c r="A10062" t="s">
        <v>26600</v>
      </c>
      <c r="B10062">
        <v>2</v>
      </c>
      <c r="C10062">
        <v>66</v>
      </c>
      <c r="D10062">
        <v>33</v>
      </c>
    </row>
    <row r="10063" spans="1:4" ht="15" x14ac:dyDescent="0.25">
      <c r="A10063" t="s">
        <v>26609</v>
      </c>
      <c r="B10063">
        <v>1</v>
      </c>
      <c r="C10063">
        <v>126</v>
      </c>
      <c r="D10063">
        <v>126</v>
      </c>
    </row>
    <row r="10064" spans="1:4" ht="15" x14ac:dyDescent="0.25">
      <c r="A10064" t="s">
        <v>26613</v>
      </c>
      <c r="B10064">
        <v>1</v>
      </c>
      <c r="C10064">
        <v>11</v>
      </c>
      <c r="D10064">
        <v>11</v>
      </c>
    </row>
    <row r="10065" spans="1:4" ht="15" x14ac:dyDescent="0.25">
      <c r="A10065" t="s">
        <v>26614</v>
      </c>
      <c r="B10065">
        <v>1</v>
      </c>
      <c r="C10065">
        <v>11</v>
      </c>
      <c r="D10065">
        <v>11</v>
      </c>
    </row>
    <row r="10066" spans="1:4" ht="15" x14ac:dyDescent="0.25">
      <c r="A10066" t="s">
        <v>26615</v>
      </c>
      <c r="B10066">
        <v>1</v>
      </c>
      <c r="C10066">
        <v>11</v>
      </c>
      <c r="D10066">
        <v>11</v>
      </c>
    </row>
    <row r="10067" spans="1:4" ht="15" x14ac:dyDescent="0.25">
      <c r="A10067" t="s">
        <v>26616</v>
      </c>
      <c r="B10067">
        <v>1</v>
      </c>
      <c r="C10067">
        <v>11</v>
      </c>
      <c r="D10067">
        <v>11</v>
      </c>
    </row>
    <row r="10068" spans="1:4" ht="15" x14ac:dyDescent="0.25">
      <c r="A10068" t="s">
        <v>26620</v>
      </c>
      <c r="B10068">
        <v>1</v>
      </c>
      <c r="C10068">
        <v>66</v>
      </c>
      <c r="D10068">
        <v>66</v>
      </c>
    </row>
    <row r="10069" spans="1:4" ht="15" x14ac:dyDescent="0.25">
      <c r="A10069" t="s">
        <v>26621</v>
      </c>
      <c r="B10069">
        <v>1</v>
      </c>
      <c r="C10069">
        <v>66</v>
      </c>
      <c r="D10069">
        <v>66</v>
      </c>
    </row>
    <row r="10070" spans="1:4" ht="15" x14ac:dyDescent="0.25">
      <c r="A10070" t="s">
        <v>26623</v>
      </c>
      <c r="B10070">
        <v>1</v>
      </c>
      <c r="C10070">
        <v>66</v>
      </c>
      <c r="D10070">
        <v>66</v>
      </c>
    </row>
    <row r="10071" spans="1:4" ht="15" x14ac:dyDescent="0.25">
      <c r="A10071" t="s">
        <v>26624</v>
      </c>
      <c r="B10071">
        <v>1</v>
      </c>
      <c r="C10071">
        <v>66</v>
      </c>
      <c r="D10071">
        <v>66</v>
      </c>
    </row>
    <row r="10072" spans="1:4" ht="15" x14ac:dyDescent="0.25">
      <c r="A10072" t="s">
        <v>26622</v>
      </c>
      <c r="B10072">
        <v>1</v>
      </c>
      <c r="C10072">
        <v>66</v>
      </c>
      <c r="D10072">
        <v>66</v>
      </c>
    </row>
    <row r="10073" spans="1:4" ht="15" x14ac:dyDescent="0.25">
      <c r="A10073" t="s">
        <v>26628</v>
      </c>
      <c r="B10073">
        <v>1</v>
      </c>
      <c r="C10073">
        <v>40</v>
      </c>
      <c r="D10073">
        <v>40</v>
      </c>
    </row>
    <row r="10074" spans="1:4" ht="15" x14ac:dyDescent="0.25">
      <c r="A10074" t="s">
        <v>26629</v>
      </c>
      <c r="B10074">
        <v>1</v>
      </c>
      <c r="C10074">
        <v>40</v>
      </c>
      <c r="D10074">
        <v>40</v>
      </c>
    </row>
    <row r="10075" spans="1:4" ht="15" x14ac:dyDescent="0.25">
      <c r="A10075" t="s">
        <v>26631</v>
      </c>
      <c r="B10075">
        <v>1</v>
      </c>
      <c r="C10075">
        <v>40</v>
      </c>
      <c r="D10075">
        <v>40</v>
      </c>
    </row>
    <row r="10076" spans="1:4" ht="15" x14ac:dyDescent="0.25">
      <c r="A10076" t="s">
        <v>26632</v>
      </c>
      <c r="B10076">
        <v>1</v>
      </c>
      <c r="C10076">
        <v>40</v>
      </c>
      <c r="D10076">
        <v>40</v>
      </c>
    </row>
    <row r="10077" spans="1:4" ht="15" x14ac:dyDescent="0.25">
      <c r="A10077" t="s">
        <v>26630</v>
      </c>
      <c r="B10077">
        <v>1</v>
      </c>
      <c r="C10077">
        <v>40</v>
      </c>
      <c r="D10077">
        <v>40</v>
      </c>
    </row>
    <row r="10078" spans="1:4" ht="15" x14ac:dyDescent="0.25">
      <c r="A10078" t="s">
        <v>26635</v>
      </c>
      <c r="B10078">
        <v>1</v>
      </c>
      <c r="C10078">
        <v>1683</v>
      </c>
      <c r="D10078">
        <v>1683</v>
      </c>
    </row>
    <row r="10079" spans="1:4" ht="15" x14ac:dyDescent="0.25">
      <c r="A10079" t="s">
        <v>26636</v>
      </c>
      <c r="B10079">
        <v>1</v>
      </c>
      <c r="C10079">
        <v>1683</v>
      </c>
      <c r="D10079">
        <v>1683</v>
      </c>
    </row>
    <row r="10080" spans="1:4" ht="15" x14ac:dyDescent="0.25">
      <c r="A10080" t="s">
        <v>26641</v>
      </c>
      <c r="B10080">
        <v>2</v>
      </c>
      <c r="C10080">
        <v>24</v>
      </c>
      <c r="D10080">
        <v>12</v>
      </c>
    </row>
    <row r="10081" spans="1:4" ht="15" x14ac:dyDescent="0.25">
      <c r="A10081" t="s">
        <v>26646</v>
      </c>
      <c r="B10081">
        <v>1</v>
      </c>
      <c r="C10081">
        <v>29</v>
      </c>
      <c r="D10081">
        <v>29</v>
      </c>
    </row>
    <row r="10082" spans="1:4" ht="15" x14ac:dyDescent="0.25">
      <c r="A10082" t="s">
        <v>26647</v>
      </c>
      <c r="B10082">
        <v>1</v>
      </c>
      <c r="C10082">
        <v>29</v>
      </c>
      <c r="D10082">
        <v>29</v>
      </c>
    </row>
    <row r="10083" spans="1:4" ht="15" x14ac:dyDescent="0.25">
      <c r="A10083" t="s">
        <v>26648</v>
      </c>
      <c r="B10083">
        <v>1</v>
      </c>
      <c r="C10083">
        <v>29</v>
      </c>
      <c r="D10083">
        <v>29</v>
      </c>
    </row>
    <row r="10084" spans="1:4" ht="15" x14ac:dyDescent="0.25">
      <c r="A10084" t="s">
        <v>26653</v>
      </c>
      <c r="B10084">
        <v>1</v>
      </c>
      <c r="C10084">
        <v>14</v>
      </c>
      <c r="D10084">
        <v>14</v>
      </c>
    </row>
    <row r="10085" spans="1:4" ht="15" x14ac:dyDescent="0.25">
      <c r="A10085" t="s">
        <v>26655</v>
      </c>
      <c r="B10085">
        <v>1</v>
      </c>
      <c r="C10085">
        <v>14</v>
      </c>
      <c r="D10085">
        <v>14</v>
      </c>
    </row>
    <row r="10086" spans="1:4" ht="15" x14ac:dyDescent="0.25">
      <c r="A10086" t="s">
        <v>26656</v>
      </c>
      <c r="B10086">
        <v>1</v>
      </c>
      <c r="C10086">
        <v>14</v>
      </c>
      <c r="D10086">
        <v>14</v>
      </c>
    </row>
    <row r="10087" spans="1:4" ht="15" x14ac:dyDescent="0.25">
      <c r="A10087" t="s">
        <v>26654</v>
      </c>
      <c r="B10087">
        <v>1</v>
      </c>
      <c r="C10087">
        <v>14</v>
      </c>
      <c r="D10087">
        <v>14</v>
      </c>
    </row>
    <row r="10088" spans="1:4" ht="15" x14ac:dyDescent="0.25">
      <c r="A10088" t="s">
        <v>26660</v>
      </c>
      <c r="B10088">
        <v>1</v>
      </c>
      <c r="C10088">
        <v>9</v>
      </c>
      <c r="D10088">
        <v>9</v>
      </c>
    </row>
    <row r="10089" spans="1:4" ht="15" x14ac:dyDescent="0.25">
      <c r="A10089" t="s">
        <v>26661</v>
      </c>
      <c r="B10089">
        <v>1</v>
      </c>
      <c r="C10089">
        <v>9</v>
      </c>
      <c r="D10089">
        <v>9</v>
      </c>
    </row>
    <row r="10090" spans="1:4" ht="15" x14ac:dyDescent="0.25">
      <c r="A10090" t="s">
        <v>26663</v>
      </c>
      <c r="B10090">
        <v>1</v>
      </c>
      <c r="C10090">
        <v>9</v>
      </c>
      <c r="D10090">
        <v>9</v>
      </c>
    </row>
    <row r="10091" spans="1:4" ht="15" x14ac:dyDescent="0.25">
      <c r="A10091" t="s">
        <v>26664</v>
      </c>
      <c r="B10091">
        <v>1</v>
      </c>
      <c r="C10091">
        <v>9</v>
      </c>
      <c r="D10091">
        <v>9</v>
      </c>
    </row>
    <row r="10092" spans="1:4" ht="15" x14ac:dyDescent="0.25">
      <c r="A10092" t="s">
        <v>26662</v>
      </c>
      <c r="B10092">
        <v>1</v>
      </c>
      <c r="C10092">
        <v>9</v>
      </c>
      <c r="D10092">
        <v>9</v>
      </c>
    </row>
    <row r="10093" spans="1:4" ht="15" x14ac:dyDescent="0.25">
      <c r="A10093" t="s">
        <v>26670</v>
      </c>
      <c r="B10093">
        <v>1</v>
      </c>
      <c r="C10093">
        <v>15</v>
      </c>
      <c r="D10093">
        <v>15</v>
      </c>
    </row>
    <row r="10094" spans="1:4" ht="15" x14ac:dyDescent="0.25">
      <c r="A10094" t="s">
        <v>26671</v>
      </c>
      <c r="B10094">
        <v>1</v>
      </c>
      <c r="C10094">
        <v>15</v>
      </c>
      <c r="D10094">
        <v>15</v>
      </c>
    </row>
    <row r="10095" spans="1:4" ht="15" x14ac:dyDescent="0.25">
      <c r="A10095" t="s">
        <v>26672</v>
      </c>
      <c r="B10095">
        <v>1</v>
      </c>
      <c r="C10095">
        <v>15</v>
      </c>
      <c r="D10095">
        <v>15</v>
      </c>
    </row>
    <row r="10096" spans="1:4" ht="15" x14ac:dyDescent="0.25">
      <c r="A10096" t="s">
        <v>26676</v>
      </c>
      <c r="B10096">
        <v>1</v>
      </c>
      <c r="C10096">
        <v>41</v>
      </c>
      <c r="D10096">
        <v>41</v>
      </c>
    </row>
    <row r="10097" spans="1:4" ht="15" x14ac:dyDescent="0.25">
      <c r="A10097" t="s">
        <v>26677</v>
      </c>
      <c r="B10097">
        <v>1</v>
      </c>
      <c r="C10097">
        <v>41</v>
      </c>
      <c r="D10097">
        <v>41</v>
      </c>
    </row>
    <row r="10098" spans="1:4" ht="15" x14ac:dyDescent="0.25">
      <c r="A10098" t="s">
        <v>26683</v>
      </c>
      <c r="B10098">
        <v>1</v>
      </c>
      <c r="C10098">
        <v>93</v>
      </c>
      <c r="D10098">
        <v>93</v>
      </c>
    </row>
    <row r="10099" spans="1:4" ht="15" x14ac:dyDescent="0.25">
      <c r="A10099" t="s">
        <v>26686</v>
      </c>
      <c r="B10099">
        <v>1</v>
      </c>
      <c r="C10099">
        <v>93</v>
      </c>
      <c r="D10099">
        <v>93</v>
      </c>
    </row>
    <row r="10100" spans="1:4" ht="15" x14ac:dyDescent="0.25">
      <c r="A10100" t="s">
        <v>26690</v>
      </c>
      <c r="B10100">
        <v>1</v>
      </c>
      <c r="C10100">
        <v>10</v>
      </c>
      <c r="D10100">
        <v>10</v>
      </c>
    </row>
    <row r="10101" spans="1:4" ht="15" x14ac:dyDescent="0.25">
      <c r="A10101" t="s">
        <v>26691</v>
      </c>
      <c r="B10101">
        <v>1</v>
      </c>
      <c r="C10101">
        <v>10</v>
      </c>
      <c r="D10101">
        <v>10</v>
      </c>
    </row>
    <row r="10102" spans="1:4" ht="15" x14ac:dyDescent="0.25">
      <c r="A10102" t="s">
        <v>26695</v>
      </c>
      <c r="B10102">
        <v>1</v>
      </c>
      <c r="C10102">
        <v>45</v>
      </c>
      <c r="D10102">
        <v>45</v>
      </c>
    </row>
    <row r="10103" spans="1:4" ht="15" x14ac:dyDescent="0.25">
      <c r="A10103" t="s">
        <v>26699</v>
      </c>
      <c r="B10103">
        <v>1</v>
      </c>
      <c r="C10103">
        <v>48</v>
      </c>
      <c r="D10103">
        <v>48</v>
      </c>
    </row>
    <row r="10104" spans="1:4" ht="15" x14ac:dyDescent="0.25">
      <c r="A10104" t="s">
        <v>26701</v>
      </c>
      <c r="B10104">
        <v>1</v>
      </c>
      <c r="C10104">
        <v>48</v>
      </c>
      <c r="D10104">
        <v>48</v>
      </c>
    </row>
    <row r="10105" spans="1:4" ht="15" x14ac:dyDescent="0.25">
      <c r="A10105" t="s">
        <v>26700</v>
      </c>
      <c r="B10105">
        <v>1</v>
      </c>
      <c r="C10105">
        <v>48</v>
      </c>
      <c r="D10105">
        <v>48</v>
      </c>
    </row>
    <row r="10106" spans="1:4" ht="15" x14ac:dyDescent="0.25">
      <c r="A10106" t="s">
        <v>26705</v>
      </c>
      <c r="B10106">
        <v>1</v>
      </c>
      <c r="C10106">
        <v>204</v>
      </c>
      <c r="D10106">
        <v>204</v>
      </c>
    </row>
    <row r="10107" spans="1:4" ht="15" x14ac:dyDescent="0.25">
      <c r="A10107" t="s">
        <v>26706</v>
      </c>
      <c r="B10107">
        <v>1</v>
      </c>
      <c r="C10107">
        <v>204</v>
      </c>
      <c r="D10107">
        <v>204</v>
      </c>
    </row>
    <row r="10108" spans="1:4" ht="15" x14ac:dyDescent="0.25">
      <c r="A10108" t="s">
        <v>26709</v>
      </c>
      <c r="B10108">
        <v>2</v>
      </c>
      <c r="C10108">
        <v>47</v>
      </c>
      <c r="D10108">
        <v>23.5</v>
      </c>
    </row>
    <row r="10109" spans="1:4" ht="15" x14ac:dyDescent="0.25">
      <c r="A10109" t="s">
        <v>26710</v>
      </c>
      <c r="B10109">
        <v>1</v>
      </c>
      <c r="C10109">
        <v>31</v>
      </c>
      <c r="D10109">
        <v>31</v>
      </c>
    </row>
    <row r="10110" spans="1:4" ht="15" x14ac:dyDescent="0.25">
      <c r="A10110" t="s">
        <v>26711</v>
      </c>
      <c r="B10110">
        <v>1</v>
      </c>
      <c r="C10110">
        <v>31</v>
      </c>
      <c r="D10110">
        <v>31</v>
      </c>
    </row>
    <row r="10111" spans="1:4" ht="15" x14ac:dyDescent="0.25">
      <c r="A10111" t="s">
        <v>26712</v>
      </c>
      <c r="B10111">
        <v>1</v>
      </c>
      <c r="C10111">
        <v>31</v>
      </c>
      <c r="D10111">
        <v>31</v>
      </c>
    </row>
    <row r="10112" spans="1:4" ht="15" x14ac:dyDescent="0.25">
      <c r="A10112" t="s">
        <v>26716</v>
      </c>
      <c r="B10112">
        <v>1</v>
      </c>
      <c r="C10112">
        <v>20</v>
      </c>
      <c r="D10112">
        <v>20</v>
      </c>
    </row>
    <row r="10113" spans="1:4" ht="15" x14ac:dyDescent="0.25">
      <c r="A10113" t="s">
        <v>26717</v>
      </c>
      <c r="B10113">
        <v>1</v>
      </c>
      <c r="C10113">
        <v>20</v>
      </c>
      <c r="D10113">
        <v>20</v>
      </c>
    </row>
    <row r="10114" spans="1:4" ht="15" x14ac:dyDescent="0.25">
      <c r="A10114" t="s">
        <v>26719</v>
      </c>
      <c r="B10114">
        <v>1</v>
      </c>
      <c r="C10114">
        <v>20</v>
      </c>
      <c r="D10114">
        <v>20</v>
      </c>
    </row>
    <row r="10115" spans="1:4" ht="15" x14ac:dyDescent="0.25">
      <c r="A10115" t="s">
        <v>26718</v>
      </c>
      <c r="B10115">
        <v>1</v>
      </c>
      <c r="C10115">
        <v>20</v>
      </c>
      <c r="D10115">
        <v>20</v>
      </c>
    </row>
    <row r="10116" spans="1:4" ht="15" x14ac:dyDescent="0.25">
      <c r="A10116" t="s">
        <v>26723</v>
      </c>
      <c r="B10116">
        <v>1</v>
      </c>
      <c r="C10116">
        <v>76</v>
      </c>
      <c r="D10116">
        <v>76</v>
      </c>
    </row>
    <row r="10117" spans="1:4" ht="15" x14ac:dyDescent="0.25">
      <c r="A10117" t="s">
        <v>26724</v>
      </c>
      <c r="B10117">
        <v>1</v>
      </c>
      <c r="C10117">
        <v>76</v>
      </c>
      <c r="D10117">
        <v>76</v>
      </c>
    </row>
    <row r="10118" spans="1:4" ht="15" x14ac:dyDescent="0.25">
      <c r="A10118" t="s">
        <v>26726</v>
      </c>
      <c r="B10118">
        <v>1</v>
      </c>
      <c r="C10118">
        <v>76</v>
      </c>
      <c r="D10118">
        <v>76</v>
      </c>
    </row>
    <row r="10119" spans="1:4" ht="15" x14ac:dyDescent="0.25">
      <c r="A10119" t="s">
        <v>26725</v>
      </c>
      <c r="B10119">
        <v>1</v>
      </c>
      <c r="C10119">
        <v>76</v>
      </c>
      <c r="D10119">
        <v>76</v>
      </c>
    </row>
    <row r="10120" spans="1:4" ht="15" x14ac:dyDescent="0.25">
      <c r="A10120" t="s">
        <v>26733</v>
      </c>
      <c r="B10120">
        <v>2</v>
      </c>
      <c r="C10120">
        <v>99</v>
      </c>
      <c r="D10120">
        <v>49.5</v>
      </c>
    </row>
    <row r="10121" spans="1:4" ht="15" x14ac:dyDescent="0.25">
      <c r="A10121" t="s">
        <v>26734</v>
      </c>
      <c r="B10121">
        <v>1</v>
      </c>
      <c r="C10121">
        <v>35</v>
      </c>
      <c r="D10121">
        <v>35</v>
      </c>
    </row>
    <row r="10122" spans="1:4" ht="15" x14ac:dyDescent="0.25">
      <c r="A10122" t="s">
        <v>26741</v>
      </c>
      <c r="B10122">
        <v>1</v>
      </c>
      <c r="C10122">
        <v>18</v>
      </c>
      <c r="D10122">
        <v>18</v>
      </c>
    </row>
    <row r="10123" spans="1:4" ht="15" x14ac:dyDescent="0.25">
      <c r="A10123" t="s">
        <v>26742</v>
      </c>
      <c r="B10123">
        <v>1</v>
      </c>
      <c r="C10123">
        <v>18</v>
      </c>
      <c r="D10123">
        <v>18</v>
      </c>
    </row>
    <row r="10124" spans="1:4" ht="15" x14ac:dyDescent="0.25">
      <c r="A10124" t="s">
        <v>26746</v>
      </c>
      <c r="B10124">
        <v>1</v>
      </c>
      <c r="C10124">
        <v>161</v>
      </c>
      <c r="D10124">
        <v>161</v>
      </c>
    </row>
    <row r="10125" spans="1:4" ht="15" x14ac:dyDescent="0.25">
      <c r="A10125" t="s">
        <v>26747</v>
      </c>
      <c r="B10125">
        <v>1</v>
      </c>
      <c r="C10125">
        <v>161</v>
      </c>
      <c r="D10125">
        <v>161</v>
      </c>
    </row>
    <row r="10126" spans="1:4" ht="15" x14ac:dyDescent="0.25">
      <c r="A10126" t="s">
        <v>26748</v>
      </c>
      <c r="B10126">
        <v>1</v>
      </c>
      <c r="C10126">
        <v>161</v>
      </c>
      <c r="D10126">
        <v>161</v>
      </c>
    </row>
    <row r="10127" spans="1:4" ht="15" x14ac:dyDescent="0.25">
      <c r="A10127" t="s">
        <v>26756</v>
      </c>
      <c r="B10127">
        <v>1</v>
      </c>
      <c r="C10127">
        <v>42</v>
      </c>
      <c r="D10127">
        <v>42</v>
      </c>
    </row>
    <row r="10128" spans="1:4" ht="15" x14ac:dyDescent="0.25">
      <c r="A10128" t="s">
        <v>26759</v>
      </c>
      <c r="B10128">
        <v>1</v>
      </c>
      <c r="C10128">
        <v>60</v>
      </c>
      <c r="D10128">
        <v>60</v>
      </c>
    </row>
    <row r="10129" spans="1:4" ht="15" x14ac:dyDescent="0.25">
      <c r="A10129" t="s">
        <v>26760</v>
      </c>
      <c r="B10129">
        <v>1</v>
      </c>
      <c r="C10129">
        <v>60</v>
      </c>
      <c r="D10129">
        <v>60</v>
      </c>
    </row>
    <row r="10130" spans="1:4" ht="15" x14ac:dyDescent="0.25">
      <c r="A10130" t="s">
        <v>26761</v>
      </c>
      <c r="B10130">
        <v>1</v>
      </c>
      <c r="C10130">
        <v>60</v>
      </c>
      <c r="D10130">
        <v>60</v>
      </c>
    </row>
    <row r="10131" spans="1:4" ht="15" x14ac:dyDescent="0.25">
      <c r="A10131" t="s">
        <v>26766</v>
      </c>
      <c r="B10131">
        <v>1</v>
      </c>
      <c r="C10131">
        <v>61</v>
      </c>
      <c r="D10131">
        <v>61</v>
      </c>
    </row>
    <row r="10132" spans="1:4" ht="15" x14ac:dyDescent="0.25">
      <c r="A10132" t="s">
        <v>26767</v>
      </c>
      <c r="B10132">
        <v>1</v>
      </c>
      <c r="C10132">
        <v>61</v>
      </c>
      <c r="D10132">
        <v>61</v>
      </c>
    </row>
    <row r="10133" spans="1:4" ht="15" x14ac:dyDescent="0.25">
      <c r="A10133" t="s">
        <v>26768</v>
      </c>
      <c r="B10133">
        <v>1</v>
      </c>
      <c r="C10133">
        <v>61</v>
      </c>
      <c r="D10133">
        <v>61</v>
      </c>
    </row>
    <row r="10134" spans="1:4" ht="15" x14ac:dyDescent="0.25">
      <c r="A10134" t="s">
        <v>26773</v>
      </c>
      <c r="B10134">
        <v>1</v>
      </c>
      <c r="C10134">
        <v>112</v>
      </c>
      <c r="D10134">
        <v>112</v>
      </c>
    </row>
    <row r="10135" spans="1:4" ht="15" x14ac:dyDescent="0.25">
      <c r="A10135" t="s">
        <v>26777</v>
      </c>
      <c r="B10135">
        <v>1</v>
      </c>
      <c r="C10135">
        <v>18</v>
      </c>
      <c r="D10135">
        <v>18</v>
      </c>
    </row>
    <row r="10136" spans="1:4" ht="15" x14ac:dyDescent="0.25">
      <c r="A10136" t="s">
        <v>26778</v>
      </c>
      <c r="B10136">
        <v>1</v>
      </c>
      <c r="C10136">
        <v>18</v>
      </c>
      <c r="D10136">
        <v>18</v>
      </c>
    </row>
    <row r="10137" spans="1:4" ht="15" x14ac:dyDescent="0.25">
      <c r="A10137" t="s">
        <v>26779</v>
      </c>
      <c r="B10137">
        <v>1</v>
      </c>
      <c r="C10137">
        <v>18</v>
      </c>
      <c r="D10137">
        <v>18</v>
      </c>
    </row>
    <row r="10138" spans="1:4" ht="15" x14ac:dyDescent="0.25">
      <c r="A10138" t="s">
        <v>26783</v>
      </c>
      <c r="B10138">
        <v>1</v>
      </c>
      <c r="C10138">
        <v>36</v>
      </c>
      <c r="D10138">
        <v>36</v>
      </c>
    </row>
    <row r="10139" spans="1:4" ht="15" x14ac:dyDescent="0.25">
      <c r="A10139" t="s">
        <v>26785</v>
      </c>
      <c r="B10139">
        <v>1</v>
      </c>
      <c r="C10139">
        <v>36</v>
      </c>
      <c r="D10139">
        <v>36</v>
      </c>
    </row>
    <row r="10140" spans="1:4" ht="15" x14ac:dyDescent="0.25">
      <c r="A10140" t="s">
        <v>26784</v>
      </c>
      <c r="B10140">
        <v>1</v>
      </c>
      <c r="C10140">
        <v>36</v>
      </c>
      <c r="D10140">
        <v>36</v>
      </c>
    </row>
    <row r="10141" spans="1:4" ht="15" x14ac:dyDescent="0.25">
      <c r="A10141" t="s">
        <v>26795</v>
      </c>
      <c r="B10141">
        <v>1</v>
      </c>
      <c r="C10141">
        <v>31</v>
      </c>
      <c r="D10141">
        <v>31</v>
      </c>
    </row>
    <row r="10142" spans="1:4" ht="15" x14ac:dyDescent="0.25">
      <c r="A10142" t="s">
        <v>26802</v>
      </c>
      <c r="B10142">
        <v>1</v>
      </c>
      <c r="C10142">
        <v>77</v>
      </c>
      <c r="D10142">
        <v>77</v>
      </c>
    </row>
    <row r="10143" spans="1:4" ht="15" x14ac:dyDescent="0.25">
      <c r="A10143" t="s">
        <v>26805</v>
      </c>
      <c r="B10143">
        <v>1</v>
      </c>
      <c r="C10143">
        <v>21</v>
      </c>
      <c r="D10143">
        <v>21</v>
      </c>
    </row>
    <row r="10144" spans="1:4" ht="15" x14ac:dyDescent="0.25">
      <c r="A10144" t="s">
        <v>26807</v>
      </c>
      <c r="B10144">
        <v>1</v>
      </c>
      <c r="C10144">
        <v>21</v>
      </c>
      <c r="D10144">
        <v>21</v>
      </c>
    </row>
    <row r="10145" spans="1:4" ht="15" x14ac:dyDescent="0.25">
      <c r="A10145" t="s">
        <v>26808</v>
      </c>
      <c r="B10145">
        <v>1</v>
      </c>
      <c r="C10145">
        <v>21</v>
      </c>
      <c r="D10145">
        <v>21</v>
      </c>
    </row>
    <row r="10146" spans="1:4" ht="15" x14ac:dyDescent="0.25">
      <c r="A10146" t="s">
        <v>26806</v>
      </c>
      <c r="B10146">
        <v>1</v>
      </c>
      <c r="C10146">
        <v>21</v>
      </c>
      <c r="D10146">
        <v>21</v>
      </c>
    </row>
    <row r="10147" spans="1:4" ht="15" x14ac:dyDescent="0.25">
      <c r="A10147" t="s">
        <v>26812</v>
      </c>
      <c r="B10147">
        <v>1</v>
      </c>
      <c r="C10147">
        <v>38</v>
      </c>
      <c r="D10147">
        <v>38</v>
      </c>
    </row>
    <row r="10148" spans="1:4" ht="15" x14ac:dyDescent="0.25">
      <c r="A10148" t="s">
        <v>26811</v>
      </c>
      <c r="B10148">
        <v>1</v>
      </c>
      <c r="C10148">
        <v>38</v>
      </c>
      <c r="D10148">
        <v>38</v>
      </c>
    </row>
    <row r="10149" spans="1:4" ht="15" x14ac:dyDescent="0.25">
      <c r="A10149" t="s">
        <v>26817</v>
      </c>
      <c r="B10149">
        <v>1</v>
      </c>
      <c r="C10149">
        <v>91</v>
      </c>
      <c r="D10149">
        <v>91</v>
      </c>
    </row>
    <row r="10150" spans="1:4" ht="15" x14ac:dyDescent="0.25">
      <c r="A10150" t="s">
        <v>26818</v>
      </c>
      <c r="B10150">
        <v>1</v>
      </c>
      <c r="C10150">
        <v>91</v>
      </c>
      <c r="D10150">
        <v>91</v>
      </c>
    </row>
    <row r="10151" spans="1:4" ht="15" x14ac:dyDescent="0.25">
      <c r="A10151" t="s">
        <v>26819</v>
      </c>
      <c r="B10151">
        <v>1</v>
      </c>
      <c r="C10151">
        <v>91</v>
      </c>
      <c r="D10151">
        <v>91</v>
      </c>
    </row>
    <row r="10152" spans="1:4" ht="15" x14ac:dyDescent="0.25">
      <c r="A10152" t="s">
        <v>26824</v>
      </c>
      <c r="B10152">
        <v>1</v>
      </c>
      <c r="C10152">
        <v>32</v>
      </c>
      <c r="D10152">
        <v>32</v>
      </c>
    </row>
    <row r="10153" spans="1:4" ht="15" x14ac:dyDescent="0.25">
      <c r="A10153" t="s">
        <v>26825</v>
      </c>
      <c r="B10153">
        <v>1</v>
      </c>
      <c r="C10153">
        <v>32</v>
      </c>
      <c r="D10153">
        <v>32</v>
      </c>
    </row>
    <row r="10154" spans="1:4" ht="15" x14ac:dyDescent="0.25">
      <c r="A10154" t="s">
        <v>26829</v>
      </c>
      <c r="B10154">
        <v>1</v>
      </c>
      <c r="C10154">
        <v>70</v>
      </c>
      <c r="D10154">
        <v>70</v>
      </c>
    </row>
    <row r="10155" spans="1:4" ht="15" x14ac:dyDescent="0.25">
      <c r="A10155" t="s">
        <v>26826</v>
      </c>
      <c r="B10155">
        <v>1</v>
      </c>
      <c r="C10155">
        <v>70</v>
      </c>
      <c r="D10155">
        <v>70</v>
      </c>
    </row>
    <row r="10156" spans="1:4" ht="15" x14ac:dyDescent="0.25">
      <c r="A10156" t="s">
        <v>26831</v>
      </c>
      <c r="B10156">
        <v>1</v>
      </c>
      <c r="C10156">
        <v>70</v>
      </c>
      <c r="D10156">
        <v>70</v>
      </c>
    </row>
    <row r="10157" spans="1:4" ht="15" x14ac:dyDescent="0.25">
      <c r="A10157" t="s">
        <v>26830</v>
      </c>
      <c r="B10157">
        <v>1</v>
      </c>
      <c r="C10157">
        <v>70</v>
      </c>
      <c r="D10157">
        <v>70</v>
      </c>
    </row>
    <row r="10158" spans="1:4" ht="15" x14ac:dyDescent="0.25">
      <c r="A10158" t="s">
        <v>26835</v>
      </c>
      <c r="B10158">
        <v>1</v>
      </c>
      <c r="C10158">
        <v>21</v>
      </c>
      <c r="D10158">
        <v>21</v>
      </c>
    </row>
    <row r="10159" spans="1:4" ht="15" x14ac:dyDescent="0.25">
      <c r="A10159" t="s">
        <v>26837</v>
      </c>
      <c r="B10159">
        <v>1</v>
      </c>
      <c r="C10159">
        <v>21</v>
      </c>
      <c r="D10159">
        <v>21</v>
      </c>
    </row>
    <row r="10160" spans="1:4" ht="15" x14ac:dyDescent="0.25">
      <c r="A10160" t="s">
        <v>26838</v>
      </c>
      <c r="B10160">
        <v>1</v>
      </c>
      <c r="C10160">
        <v>21</v>
      </c>
      <c r="D10160">
        <v>21</v>
      </c>
    </row>
    <row r="10161" spans="1:4" ht="15" x14ac:dyDescent="0.25">
      <c r="A10161" t="s">
        <v>26836</v>
      </c>
      <c r="B10161">
        <v>1</v>
      </c>
      <c r="C10161">
        <v>21</v>
      </c>
      <c r="D10161">
        <v>21</v>
      </c>
    </row>
    <row r="10162" spans="1:4" ht="15" x14ac:dyDescent="0.25">
      <c r="A10162" t="s">
        <v>26842</v>
      </c>
      <c r="B10162">
        <v>1</v>
      </c>
      <c r="C10162">
        <v>49</v>
      </c>
      <c r="D10162">
        <v>49</v>
      </c>
    </row>
    <row r="10163" spans="1:4" ht="15" x14ac:dyDescent="0.25">
      <c r="A10163" t="s">
        <v>26843</v>
      </c>
      <c r="B10163">
        <v>1</v>
      </c>
      <c r="C10163">
        <v>49</v>
      </c>
      <c r="D10163">
        <v>49</v>
      </c>
    </row>
    <row r="10164" spans="1:4" ht="15" x14ac:dyDescent="0.25">
      <c r="A10164" t="s">
        <v>26849</v>
      </c>
      <c r="B10164">
        <v>1</v>
      </c>
      <c r="C10164">
        <v>11</v>
      </c>
      <c r="D10164">
        <v>11</v>
      </c>
    </row>
    <row r="10165" spans="1:4" ht="15" x14ac:dyDescent="0.25">
      <c r="A10165" t="s">
        <v>26853</v>
      </c>
      <c r="B10165">
        <v>1</v>
      </c>
      <c r="C10165">
        <v>32</v>
      </c>
      <c r="D10165">
        <v>32</v>
      </c>
    </row>
    <row r="10166" spans="1:4" ht="15" x14ac:dyDescent="0.25">
      <c r="A10166" t="s">
        <v>26855</v>
      </c>
      <c r="B10166">
        <v>1</v>
      </c>
      <c r="C10166">
        <v>32</v>
      </c>
      <c r="D10166">
        <v>32</v>
      </c>
    </row>
    <row r="10167" spans="1:4" ht="15" x14ac:dyDescent="0.25">
      <c r="A10167" t="s">
        <v>26856</v>
      </c>
      <c r="B10167">
        <v>1</v>
      </c>
      <c r="C10167">
        <v>32</v>
      </c>
      <c r="D10167">
        <v>32</v>
      </c>
    </row>
    <row r="10168" spans="1:4" ht="15" x14ac:dyDescent="0.25">
      <c r="A10168" t="s">
        <v>26854</v>
      </c>
      <c r="B10168">
        <v>1</v>
      </c>
      <c r="C10168">
        <v>32</v>
      </c>
      <c r="D10168">
        <v>32</v>
      </c>
    </row>
    <row r="10169" spans="1:4" ht="15" x14ac:dyDescent="0.25">
      <c r="A10169" t="s">
        <v>26863</v>
      </c>
      <c r="B10169">
        <v>1</v>
      </c>
      <c r="C10169">
        <v>53</v>
      </c>
      <c r="D10169">
        <v>53</v>
      </c>
    </row>
    <row r="10170" spans="1:4" ht="15" x14ac:dyDescent="0.25">
      <c r="A10170" t="s">
        <v>26867</v>
      </c>
      <c r="B10170">
        <v>1</v>
      </c>
      <c r="C10170">
        <v>17</v>
      </c>
      <c r="D10170">
        <v>17</v>
      </c>
    </row>
    <row r="10171" spans="1:4" ht="15" x14ac:dyDescent="0.25">
      <c r="A10171" t="s">
        <v>26870</v>
      </c>
      <c r="B10171">
        <v>1</v>
      </c>
      <c r="C10171">
        <v>42</v>
      </c>
      <c r="D10171">
        <v>42</v>
      </c>
    </row>
    <row r="10172" spans="1:4" ht="15" x14ac:dyDescent="0.25">
      <c r="A10172" t="s">
        <v>26871</v>
      </c>
      <c r="B10172">
        <v>1</v>
      </c>
      <c r="C10172">
        <v>42</v>
      </c>
      <c r="D10172">
        <v>42</v>
      </c>
    </row>
    <row r="10173" spans="1:4" ht="15" x14ac:dyDescent="0.25">
      <c r="A10173" t="s">
        <v>26872</v>
      </c>
      <c r="B10173">
        <v>1</v>
      </c>
      <c r="C10173">
        <v>42</v>
      </c>
      <c r="D10173">
        <v>42</v>
      </c>
    </row>
    <row r="10174" spans="1:4" ht="15" x14ac:dyDescent="0.25">
      <c r="A10174" t="s">
        <v>26876</v>
      </c>
      <c r="B10174">
        <v>1</v>
      </c>
      <c r="C10174">
        <v>6</v>
      </c>
      <c r="D10174">
        <v>6</v>
      </c>
    </row>
    <row r="10175" spans="1:4" ht="15" x14ac:dyDescent="0.25">
      <c r="A10175" t="s">
        <v>26877</v>
      </c>
      <c r="B10175">
        <v>1</v>
      </c>
      <c r="C10175">
        <v>6</v>
      </c>
      <c r="D10175">
        <v>6</v>
      </c>
    </row>
    <row r="10176" spans="1:4" ht="15" x14ac:dyDescent="0.25">
      <c r="A10176" t="s">
        <v>26881</v>
      </c>
      <c r="B10176">
        <v>1</v>
      </c>
      <c r="C10176">
        <v>100</v>
      </c>
      <c r="D10176">
        <v>100</v>
      </c>
    </row>
    <row r="10177" spans="1:4" ht="15" x14ac:dyDescent="0.25">
      <c r="A10177" t="s">
        <v>26882</v>
      </c>
      <c r="B10177">
        <v>1</v>
      </c>
      <c r="C10177">
        <v>100</v>
      </c>
      <c r="D10177">
        <v>100</v>
      </c>
    </row>
    <row r="10178" spans="1:4" ht="15" x14ac:dyDescent="0.25">
      <c r="A10178" t="s">
        <v>26883</v>
      </c>
      <c r="B10178">
        <v>1</v>
      </c>
      <c r="C10178">
        <v>100</v>
      </c>
      <c r="D10178">
        <v>100</v>
      </c>
    </row>
    <row r="10179" spans="1:4" ht="15" x14ac:dyDescent="0.25">
      <c r="A10179" t="s">
        <v>26878</v>
      </c>
      <c r="B10179">
        <v>1</v>
      </c>
      <c r="C10179">
        <v>100</v>
      </c>
      <c r="D10179">
        <v>100</v>
      </c>
    </row>
    <row r="10180" spans="1:4" ht="15" x14ac:dyDescent="0.25">
      <c r="A10180" t="s">
        <v>26889</v>
      </c>
      <c r="B10180">
        <v>1</v>
      </c>
      <c r="C10180">
        <v>43</v>
      </c>
      <c r="D10180">
        <v>43</v>
      </c>
    </row>
    <row r="10181" spans="1:4" ht="15" x14ac:dyDescent="0.25">
      <c r="A10181" t="s">
        <v>26890</v>
      </c>
      <c r="B10181">
        <v>1</v>
      </c>
      <c r="C10181">
        <v>43</v>
      </c>
      <c r="D10181">
        <v>43</v>
      </c>
    </row>
    <row r="10182" spans="1:4" ht="15" x14ac:dyDescent="0.25">
      <c r="A10182" t="s">
        <v>26894</v>
      </c>
      <c r="B10182">
        <v>1</v>
      </c>
      <c r="C10182">
        <v>68</v>
      </c>
      <c r="D10182">
        <v>68</v>
      </c>
    </row>
    <row r="10183" spans="1:4" ht="15" x14ac:dyDescent="0.25">
      <c r="A10183" t="s">
        <v>26896</v>
      </c>
      <c r="B10183">
        <v>2</v>
      </c>
      <c r="C10183">
        <v>93</v>
      </c>
      <c r="D10183">
        <v>46.5</v>
      </c>
    </row>
    <row r="10184" spans="1:4" ht="15" x14ac:dyDescent="0.25">
      <c r="A10184" t="s">
        <v>26895</v>
      </c>
      <c r="B10184">
        <v>1</v>
      </c>
      <c r="C10184">
        <v>68</v>
      </c>
      <c r="D10184">
        <v>68</v>
      </c>
    </row>
    <row r="10185" spans="1:4" ht="15" x14ac:dyDescent="0.25">
      <c r="A10185" t="s">
        <v>26900</v>
      </c>
      <c r="B10185">
        <v>1</v>
      </c>
      <c r="C10185">
        <v>58</v>
      </c>
      <c r="D10185">
        <v>58</v>
      </c>
    </row>
    <row r="10186" spans="1:4" ht="15" x14ac:dyDescent="0.25">
      <c r="A10186" t="s">
        <v>26904</v>
      </c>
      <c r="B10186">
        <v>1</v>
      </c>
      <c r="C10186">
        <v>11</v>
      </c>
      <c r="D10186">
        <v>11</v>
      </c>
    </row>
    <row r="10187" spans="1:4" ht="15" x14ac:dyDescent="0.25">
      <c r="A10187" t="s">
        <v>26908</v>
      </c>
      <c r="B10187">
        <v>1</v>
      </c>
      <c r="C10187">
        <v>709</v>
      </c>
      <c r="D10187">
        <v>709</v>
      </c>
    </row>
    <row r="10188" spans="1:4" ht="15" x14ac:dyDescent="0.25">
      <c r="A10188" t="s">
        <v>26911</v>
      </c>
      <c r="B10188">
        <v>1</v>
      </c>
      <c r="C10188">
        <v>84</v>
      </c>
      <c r="D10188">
        <v>84</v>
      </c>
    </row>
    <row r="10189" spans="1:4" ht="15" x14ac:dyDescent="0.25">
      <c r="A10189" t="s">
        <v>26914</v>
      </c>
      <c r="B10189">
        <v>1</v>
      </c>
      <c r="C10189">
        <v>32</v>
      </c>
      <c r="D10189">
        <v>32</v>
      </c>
    </row>
    <row r="10190" spans="1:4" ht="15" x14ac:dyDescent="0.25">
      <c r="A10190" t="s">
        <v>26915</v>
      </c>
      <c r="B10190">
        <v>1</v>
      </c>
      <c r="C10190">
        <v>32</v>
      </c>
      <c r="D10190">
        <v>32</v>
      </c>
    </row>
    <row r="10191" spans="1:4" ht="15" x14ac:dyDescent="0.25">
      <c r="A10191" t="s">
        <v>26918</v>
      </c>
      <c r="B10191">
        <v>1</v>
      </c>
      <c r="C10191">
        <v>29</v>
      </c>
      <c r="D10191">
        <v>29</v>
      </c>
    </row>
    <row r="10192" spans="1:4" ht="15" x14ac:dyDescent="0.25">
      <c r="A10192" t="s">
        <v>26919</v>
      </c>
      <c r="B10192">
        <v>1</v>
      </c>
      <c r="C10192">
        <v>29</v>
      </c>
      <c r="D10192">
        <v>29</v>
      </c>
    </row>
    <row r="10193" spans="1:4" ht="15" x14ac:dyDescent="0.25">
      <c r="A10193" t="s">
        <v>26923</v>
      </c>
      <c r="B10193">
        <v>1</v>
      </c>
      <c r="C10193">
        <v>58</v>
      </c>
      <c r="D10193">
        <v>58</v>
      </c>
    </row>
    <row r="10194" spans="1:4" ht="15" x14ac:dyDescent="0.25">
      <c r="A10194" t="s">
        <v>26927</v>
      </c>
      <c r="B10194">
        <v>1</v>
      </c>
      <c r="C10194">
        <v>16</v>
      </c>
      <c r="D10194">
        <v>16</v>
      </c>
    </row>
    <row r="10195" spans="1:4" ht="15" x14ac:dyDescent="0.25">
      <c r="A10195" t="s">
        <v>26928</v>
      </c>
      <c r="B10195">
        <v>1</v>
      </c>
      <c r="C10195">
        <v>16</v>
      </c>
      <c r="D10195">
        <v>16</v>
      </c>
    </row>
    <row r="10196" spans="1:4" ht="15" x14ac:dyDescent="0.25">
      <c r="A10196" t="s">
        <v>26929</v>
      </c>
      <c r="B10196">
        <v>1</v>
      </c>
      <c r="C10196">
        <v>16</v>
      </c>
      <c r="D10196">
        <v>16</v>
      </c>
    </row>
    <row r="10197" spans="1:4" ht="15" x14ac:dyDescent="0.25">
      <c r="A10197" t="s">
        <v>26937</v>
      </c>
      <c r="B10197">
        <v>1</v>
      </c>
      <c r="C10197">
        <v>43</v>
      </c>
      <c r="D10197">
        <v>43</v>
      </c>
    </row>
    <row r="10198" spans="1:4" ht="15" x14ac:dyDescent="0.25">
      <c r="A10198" t="s">
        <v>26938</v>
      </c>
      <c r="B10198">
        <v>1</v>
      </c>
      <c r="C10198">
        <v>43</v>
      </c>
      <c r="D10198">
        <v>43</v>
      </c>
    </row>
    <row r="10199" spans="1:4" ht="15" x14ac:dyDescent="0.25">
      <c r="A10199" t="s">
        <v>26936</v>
      </c>
      <c r="B10199">
        <v>3</v>
      </c>
      <c r="C10199">
        <v>199</v>
      </c>
      <c r="D10199">
        <v>66.333333333333329</v>
      </c>
    </row>
    <row r="10200" spans="1:4" ht="15" x14ac:dyDescent="0.25">
      <c r="A10200" t="s">
        <v>26945</v>
      </c>
      <c r="B10200">
        <v>1</v>
      </c>
      <c r="C10200">
        <v>41</v>
      </c>
      <c r="D10200">
        <v>41</v>
      </c>
    </row>
    <row r="10201" spans="1:4" ht="15" x14ac:dyDescent="0.25">
      <c r="A10201" t="s">
        <v>26946</v>
      </c>
      <c r="B10201">
        <v>1</v>
      </c>
      <c r="C10201">
        <v>41</v>
      </c>
      <c r="D10201">
        <v>41</v>
      </c>
    </row>
    <row r="10202" spans="1:4" ht="15" x14ac:dyDescent="0.25">
      <c r="A10202" t="s">
        <v>26954</v>
      </c>
      <c r="B10202">
        <v>1</v>
      </c>
      <c r="C10202">
        <v>34</v>
      </c>
      <c r="D10202">
        <v>34</v>
      </c>
    </row>
    <row r="10203" spans="1:4" ht="15" x14ac:dyDescent="0.25">
      <c r="A10203" t="s">
        <v>26959</v>
      </c>
      <c r="B10203">
        <v>1</v>
      </c>
      <c r="C10203">
        <v>107</v>
      </c>
      <c r="D10203">
        <v>107</v>
      </c>
    </row>
    <row r="10204" spans="1:4" ht="15" x14ac:dyDescent="0.25">
      <c r="A10204" t="s">
        <v>26960</v>
      </c>
      <c r="B10204">
        <v>1</v>
      </c>
      <c r="C10204">
        <v>107</v>
      </c>
      <c r="D10204">
        <v>107</v>
      </c>
    </row>
    <row r="10205" spans="1:4" ht="15" x14ac:dyDescent="0.25">
      <c r="A10205" t="s">
        <v>26964</v>
      </c>
      <c r="B10205">
        <v>1</v>
      </c>
      <c r="C10205">
        <v>10</v>
      </c>
      <c r="D10205">
        <v>10</v>
      </c>
    </row>
    <row r="10206" spans="1:4" ht="15" x14ac:dyDescent="0.25">
      <c r="A10206" t="s">
        <v>26965</v>
      </c>
      <c r="B10206">
        <v>1</v>
      </c>
      <c r="C10206">
        <v>10</v>
      </c>
      <c r="D10206">
        <v>10</v>
      </c>
    </row>
    <row r="10207" spans="1:4" ht="15" x14ac:dyDescent="0.25">
      <c r="A10207" t="s">
        <v>26961</v>
      </c>
      <c r="B10207">
        <v>1</v>
      </c>
      <c r="C10207">
        <v>10</v>
      </c>
      <c r="D10207">
        <v>10</v>
      </c>
    </row>
    <row r="10208" spans="1:4" ht="15" x14ac:dyDescent="0.25">
      <c r="A10208" t="s">
        <v>26966</v>
      </c>
      <c r="B10208">
        <v>1</v>
      </c>
      <c r="C10208">
        <v>10</v>
      </c>
      <c r="D10208">
        <v>10</v>
      </c>
    </row>
    <row r="10209" spans="1:4" ht="15" x14ac:dyDescent="0.25">
      <c r="A10209" t="s">
        <v>26969</v>
      </c>
      <c r="B10209">
        <v>1</v>
      </c>
      <c r="C10209">
        <v>167</v>
      </c>
      <c r="D10209">
        <v>167</v>
      </c>
    </row>
    <row r="10210" spans="1:4" ht="15" x14ac:dyDescent="0.25">
      <c r="A10210" t="s">
        <v>26975</v>
      </c>
      <c r="B10210">
        <v>1</v>
      </c>
      <c r="C10210">
        <v>214</v>
      </c>
      <c r="D10210">
        <v>214</v>
      </c>
    </row>
    <row r="10211" spans="1:4" ht="15" x14ac:dyDescent="0.25">
      <c r="A10211" t="s">
        <v>26976</v>
      </c>
      <c r="B10211">
        <v>1</v>
      </c>
      <c r="C10211">
        <v>214</v>
      </c>
      <c r="D10211">
        <v>214</v>
      </c>
    </row>
    <row r="10212" spans="1:4" ht="15" x14ac:dyDescent="0.25">
      <c r="A10212" t="s">
        <v>26977</v>
      </c>
      <c r="B10212">
        <v>1</v>
      </c>
      <c r="C10212">
        <v>214</v>
      </c>
      <c r="D10212">
        <v>214</v>
      </c>
    </row>
    <row r="10213" spans="1:4" ht="15" x14ac:dyDescent="0.25">
      <c r="A10213" t="s">
        <v>26980</v>
      </c>
      <c r="B10213">
        <v>1</v>
      </c>
      <c r="C10213">
        <v>64</v>
      </c>
      <c r="D10213">
        <v>64</v>
      </c>
    </row>
    <row r="10214" spans="1:4" ht="15" x14ac:dyDescent="0.25">
      <c r="A10214" t="s">
        <v>26981</v>
      </c>
      <c r="B10214">
        <v>1</v>
      </c>
      <c r="C10214">
        <v>64</v>
      </c>
      <c r="D10214">
        <v>64</v>
      </c>
    </row>
    <row r="10215" spans="1:4" ht="15" x14ac:dyDescent="0.25">
      <c r="A10215" t="s">
        <v>26986</v>
      </c>
      <c r="B10215">
        <v>1</v>
      </c>
      <c r="C10215">
        <v>23</v>
      </c>
      <c r="D10215">
        <v>23</v>
      </c>
    </row>
    <row r="10216" spans="1:4" ht="15" x14ac:dyDescent="0.25">
      <c r="A10216" t="s">
        <v>26987</v>
      </c>
      <c r="B10216">
        <v>1</v>
      </c>
      <c r="C10216">
        <v>23</v>
      </c>
      <c r="D10216">
        <v>23</v>
      </c>
    </row>
    <row r="10217" spans="1:4" ht="15" x14ac:dyDescent="0.25">
      <c r="A10217" t="s">
        <v>26985</v>
      </c>
      <c r="B10217">
        <v>2</v>
      </c>
      <c r="C10217">
        <v>752</v>
      </c>
      <c r="D10217">
        <v>376</v>
      </c>
    </row>
    <row r="10218" spans="1:4" ht="15" x14ac:dyDescent="0.25">
      <c r="A10218" t="s">
        <v>26991</v>
      </c>
      <c r="B10218">
        <v>1</v>
      </c>
      <c r="C10218">
        <v>25</v>
      </c>
      <c r="D10218">
        <v>25</v>
      </c>
    </row>
    <row r="10219" spans="1:4" ht="15" x14ac:dyDescent="0.25">
      <c r="A10219" t="s">
        <v>26992</v>
      </c>
      <c r="B10219">
        <v>1</v>
      </c>
      <c r="C10219">
        <v>25</v>
      </c>
      <c r="D10219">
        <v>25</v>
      </c>
    </row>
    <row r="10220" spans="1:4" ht="15" x14ac:dyDescent="0.25">
      <c r="A10220" t="s">
        <v>26994</v>
      </c>
      <c r="B10220">
        <v>1</v>
      </c>
      <c r="C10220">
        <v>25</v>
      </c>
      <c r="D10220">
        <v>25</v>
      </c>
    </row>
    <row r="10221" spans="1:4" ht="15" x14ac:dyDescent="0.25">
      <c r="A10221" t="s">
        <v>26993</v>
      </c>
      <c r="B10221">
        <v>1</v>
      </c>
      <c r="C10221">
        <v>25</v>
      </c>
      <c r="D10221">
        <v>25</v>
      </c>
    </row>
    <row r="10222" spans="1:4" ht="15" x14ac:dyDescent="0.25">
      <c r="A10222" t="s">
        <v>26997</v>
      </c>
      <c r="B10222">
        <v>7</v>
      </c>
      <c r="C10222">
        <v>210</v>
      </c>
      <c r="D10222">
        <v>30</v>
      </c>
    </row>
    <row r="10223" spans="1:4" ht="15" x14ac:dyDescent="0.25">
      <c r="A10223" t="s">
        <v>27002</v>
      </c>
      <c r="B10223">
        <v>1</v>
      </c>
      <c r="C10223">
        <v>105</v>
      </c>
      <c r="D10223">
        <v>105</v>
      </c>
    </row>
    <row r="10224" spans="1:4" ht="15" x14ac:dyDescent="0.25">
      <c r="A10224" t="s">
        <v>27001</v>
      </c>
      <c r="B10224">
        <v>1</v>
      </c>
      <c r="C10224">
        <v>105</v>
      </c>
      <c r="D10224">
        <v>105</v>
      </c>
    </row>
    <row r="10225" spans="1:4" ht="15" x14ac:dyDescent="0.25">
      <c r="A10225" t="s">
        <v>27007</v>
      </c>
      <c r="B10225">
        <v>1</v>
      </c>
      <c r="C10225">
        <v>15</v>
      </c>
      <c r="D10225">
        <v>15</v>
      </c>
    </row>
    <row r="10226" spans="1:4" ht="15" x14ac:dyDescent="0.25">
      <c r="A10226" t="s">
        <v>27009</v>
      </c>
      <c r="B10226">
        <v>1</v>
      </c>
      <c r="C10226">
        <v>15</v>
      </c>
      <c r="D10226">
        <v>15</v>
      </c>
    </row>
    <row r="10227" spans="1:4" ht="15" x14ac:dyDescent="0.25">
      <c r="A10227" t="s">
        <v>27010</v>
      </c>
      <c r="B10227">
        <v>1</v>
      </c>
      <c r="C10227">
        <v>15</v>
      </c>
      <c r="D10227">
        <v>15</v>
      </c>
    </row>
    <row r="10228" spans="1:4" ht="15" x14ac:dyDescent="0.25">
      <c r="A10228" t="s">
        <v>27008</v>
      </c>
      <c r="B10228">
        <v>1</v>
      </c>
      <c r="C10228">
        <v>15</v>
      </c>
      <c r="D10228">
        <v>15</v>
      </c>
    </row>
    <row r="10229" spans="1:4" ht="15" x14ac:dyDescent="0.25">
      <c r="A10229" t="s">
        <v>27023</v>
      </c>
      <c r="B10229">
        <v>1</v>
      </c>
      <c r="C10229">
        <v>313</v>
      </c>
      <c r="D10229">
        <v>313</v>
      </c>
    </row>
    <row r="10230" spans="1:4" ht="15" x14ac:dyDescent="0.25">
      <c r="A10230" t="s">
        <v>27025</v>
      </c>
      <c r="B10230">
        <v>1</v>
      </c>
      <c r="C10230">
        <v>313</v>
      </c>
      <c r="D10230">
        <v>313</v>
      </c>
    </row>
    <row r="10231" spans="1:4" ht="15" x14ac:dyDescent="0.25">
      <c r="A10231" t="s">
        <v>27026</v>
      </c>
      <c r="B10231">
        <v>1</v>
      </c>
      <c r="C10231">
        <v>313</v>
      </c>
      <c r="D10231">
        <v>313</v>
      </c>
    </row>
    <row r="10232" spans="1:4" ht="15" x14ac:dyDescent="0.25">
      <c r="A10232" t="s">
        <v>27024</v>
      </c>
      <c r="B10232">
        <v>1</v>
      </c>
      <c r="C10232">
        <v>313</v>
      </c>
      <c r="D10232">
        <v>313</v>
      </c>
    </row>
    <row r="10233" spans="1:4" ht="15" x14ac:dyDescent="0.25">
      <c r="A10233" t="s">
        <v>27029</v>
      </c>
      <c r="B10233">
        <v>2</v>
      </c>
      <c r="C10233">
        <v>28</v>
      </c>
      <c r="D10233">
        <v>14</v>
      </c>
    </row>
    <row r="10234" spans="1:4" ht="15" x14ac:dyDescent="0.25">
      <c r="A10234" t="s">
        <v>27034</v>
      </c>
      <c r="B10234">
        <v>1</v>
      </c>
      <c r="C10234">
        <v>18</v>
      </c>
      <c r="D10234">
        <v>18</v>
      </c>
    </row>
    <row r="10235" spans="1:4" ht="15" x14ac:dyDescent="0.25">
      <c r="A10235" t="s">
        <v>27038</v>
      </c>
      <c r="B10235">
        <v>1</v>
      </c>
      <c r="C10235">
        <v>8</v>
      </c>
      <c r="D10235">
        <v>8</v>
      </c>
    </row>
    <row r="10236" spans="1:4" ht="15" x14ac:dyDescent="0.25">
      <c r="A10236" t="s">
        <v>27042</v>
      </c>
      <c r="B10236">
        <v>1</v>
      </c>
      <c r="C10236">
        <v>16</v>
      </c>
      <c r="D10236">
        <v>16</v>
      </c>
    </row>
    <row r="10237" spans="1:4" ht="15" x14ac:dyDescent="0.25">
      <c r="A10237" t="s">
        <v>27043</v>
      </c>
      <c r="B10237">
        <v>1</v>
      </c>
      <c r="C10237">
        <v>16</v>
      </c>
      <c r="D10237">
        <v>16</v>
      </c>
    </row>
    <row r="10238" spans="1:4" ht="15" x14ac:dyDescent="0.25">
      <c r="A10238" t="s">
        <v>27045</v>
      </c>
      <c r="B10238">
        <v>1</v>
      </c>
      <c r="C10238">
        <v>16</v>
      </c>
      <c r="D10238">
        <v>16</v>
      </c>
    </row>
    <row r="10239" spans="1:4" ht="15" x14ac:dyDescent="0.25">
      <c r="A10239" t="s">
        <v>27044</v>
      </c>
      <c r="B10239">
        <v>1</v>
      </c>
      <c r="C10239">
        <v>16</v>
      </c>
      <c r="D10239">
        <v>16</v>
      </c>
    </row>
    <row r="10240" spans="1:4" ht="15" x14ac:dyDescent="0.25">
      <c r="A10240" t="s">
        <v>27049</v>
      </c>
      <c r="B10240">
        <v>1</v>
      </c>
      <c r="C10240">
        <v>0</v>
      </c>
      <c r="D10240">
        <v>0</v>
      </c>
    </row>
    <row r="10241" spans="1:4" ht="15" x14ac:dyDescent="0.25">
      <c r="A10241" t="s">
        <v>27050</v>
      </c>
      <c r="B10241">
        <v>1</v>
      </c>
      <c r="C10241">
        <v>0</v>
      </c>
      <c r="D10241">
        <v>0</v>
      </c>
    </row>
    <row r="10242" spans="1:4" ht="15" x14ac:dyDescent="0.25">
      <c r="A10242" t="s">
        <v>27053</v>
      </c>
      <c r="B10242">
        <v>1</v>
      </c>
      <c r="C10242">
        <v>27</v>
      </c>
      <c r="D10242">
        <v>27</v>
      </c>
    </row>
    <row r="10243" spans="1:4" ht="15" x14ac:dyDescent="0.25">
      <c r="A10243" t="s">
        <v>27057</v>
      </c>
      <c r="B10243">
        <v>2</v>
      </c>
      <c r="C10243">
        <v>443</v>
      </c>
      <c r="D10243">
        <v>221.5</v>
      </c>
    </row>
    <row r="10244" spans="1:4" ht="15" x14ac:dyDescent="0.25">
      <c r="A10244" t="s">
        <v>27058</v>
      </c>
      <c r="B10244">
        <v>1</v>
      </c>
      <c r="C10244">
        <v>356</v>
      </c>
      <c r="D10244">
        <v>356</v>
      </c>
    </row>
    <row r="10245" spans="1:4" ht="15" x14ac:dyDescent="0.25">
      <c r="A10245" t="s">
        <v>27059</v>
      </c>
      <c r="B10245">
        <v>1</v>
      </c>
      <c r="C10245">
        <v>356</v>
      </c>
      <c r="D10245">
        <v>356</v>
      </c>
    </row>
    <row r="10246" spans="1:4" ht="15" x14ac:dyDescent="0.25">
      <c r="A10246" t="s">
        <v>27060</v>
      </c>
      <c r="B10246">
        <v>1</v>
      </c>
      <c r="C10246">
        <v>356</v>
      </c>
      <c r="D10246">
        <v>356</v>
      </c>
    </row>
    <row r="10247" spans="1:4" ht="15" x14ac:dyDescent="0.25">
      <c r="A10247" t="s">
        <v>27066</v>
      </c>
      <c r="B10247">
        <v>1</v>
      </c>
      <c r="C10247">
        <v>73</v>
      </c>
      <c r="D10247">
        <v>73</v>
      </c>
    </row>
    <row r="10248" spans="1:4" ht="15" x14ac:dyDescent="0.25">
      <c r="A10248" t="s">
        <v>27068</v>
      </c>
      <c r="B10248">
        <v>1</v>
      </c>
      <c r="C10248">
        <v>73</v>
      </c>
      <c r="D10248">
        <v>73</v>
      </c>
    </row>
    <row r="10249" spans="1:4" ht="15" x14ac:dyDescent="0.25">
      <c r="A10249" t="s">
        <v>27067</v>
      </c>
      <c r="B10249">
        <v>1</v>
      </c>
      <c r="C10249">
        <v>73</v>
      </c>
      <c r="D10249">
        <v>73</v>
      </c>
    </row>
    <row r="10250" spans="1:4" ht="15" x14ac:dyDescent="0.25">
      <c r="A10250" t="s">
        <v>27072</v>
      </c>
      <c r="B10250">
        <v>1</v>
      </c>
      <c r="C10250">
        <v>40</v>
      </c>
      <c r="D10250">
        <v>40</v>
      </c>
    </row>
    <row r="10251" spans="1:4" ht="15" x14ac:dyDescent="0.25">
      <c r="A10251" t="s">
        <v>27076</v>
      </c>
      <c r="B10251">
        <v>1</v>
      </c>
      <c r="C10251">
        <v>69</v>
      </c>
      <c r="D10251">
        <v>69</v>
      </c>
    </row>
    <row r="10252" spans="1:4" ht="15" x14ac:dyDescent="0.25">
      <c r="A10252" t="s">
        <v>27077</v>
      </c>
      <c r="B10252">
        <v>1</v>
      </c>
      <c r="C10252">
        <v>69</v>
      </c>
      <c r="D10252">
        <v>69</v>
      </c>
    </row>
    <row r="10253" spans="1:4" ht="15" x14ac:dyDescent="0.25">
      <c r="A10253" t="s">
        <v>27078</v>
      </c>
      <c r="B10253">
        <v>1</v>
      </c>
      <c r="C10253">
        <v>69</v>
      </c>
      <c r="D10253">
        <v>69</v>
      </c>
    </row>
    <row r="10254" spans="1:4" ht="15" x14ac:dyDescent="0.25">
      <c r="A10254" t="s">
        <v>27085</v>
      </c>
      <c r="B10254">
        <v>1</v>
      </c>
      <c r="C10254">
        <v>32</v>
      </c>
      <c r="D10254">
        <v>32</v>
      </c>
    </row>
    <row r="10255" spans="1:4" ht="15" x14ac:dyDescent="0.25">
      <c r="A10255" t="s">
        <v>27089</v>
      </c>
      <c r="B10255">
        <v>1</v>
      </c>
      <c r="C10255">
        <v>269</v>
      </c>
      <c r="D10255">
        <v>269</v>
      </c>
    </row>
    <row r="10256" spans="1:4" ht="15" x14ac:dyDescent="0.25">
      <c r="A10256" t="s">
        <v>27092</v>
      </c>
      <c r="B10256">
        <v>1</v>
      </c>
      <c r="C10256">
        <v>31</v>
      </c>
      <c r="D10256">
        <v>31</v>
      </c>
    </row>
    <row r="10257" spans="1:4" ht="15" x14ac:dyDescent="0.25">
      <c r="A10257" t="s">
        <v>27096</v>
      </c>
      <c r="B10257">
        <v>1</v>
      </c>
      <c r="C10257">
        <v>2</v>
      </c>
      <c r="D10257">
        <v>2</v>
      </c>
    </row>
    <row r="10258" spans="1:4" ht="15" x14ac:dyDescent="0.25">
      <c r="A10258" t="s">
        <v>27098</v>
      </c>
      <c r="B10258">
        <v>1</v>
      </c>
      <c r="C10258">
        <v>2</v>
      </c>
      <c r="D10258">
        <v>2</v>
      </c>
    </row>
    <row r="10259" spans="1:4" ht="15" x14ac:dyDescent="0.25">
      <c r="A10259" t="s">
        <v>27097</v>
      </c>
      <c r="B10259">
        <v>1</v>
      </c>
      <c r="C10259">
        <v>2</v>
      </c>
      <c r="D10259">
        <v>2</v>
      </c>
    </row>
    <row r="10260" spans="1:4" ht="15" x14ac:dyDescent="0.25">
      <c r="A10260" t="s">
        <v>27103</v>
      </c>
      <c r="B10260">
        <v>1</v>
      </c>
      <c r="C10260">
        <v>20</v>
      </c>
      <c r="D10260">
        <v>20</v>
      </c>
    </row>
    <row r="10261" spans="1:4" ht="15" x14ac:dyDescent="0.25">
      <c r="A10261" t="s">
        <v>27104</v>
      </c>
      <c r="B10261">
        <v>1</v>
      </c>
      <c r="C10261">
        <v>20</v>
      </c>
      <c r="D10261">
        <v>20</v>
      </c>
    </row>
    <row r="10262" spans="1:4" ht="15" x14ac:dyDescent="0.25">
      <c r="A10262" t="s">
        <v>27106</v>
      </c>
      <c r="B10262">
        <v>1</v>
      </c>
      <c r="C10262">
        <v>20</v>
      </c>
      <c r="D10262">
        <v>20</v>
      </c>
    </row>
    <row r="10263" spans="1:4" ht="15" x14ac:dyDescent="0.25">
      <c r="A10263" t="s">
        <v>27107</v>
      </c>
      <c r="B10263">
        <v>1</v>
      </c>
      <c r="C10263">
        <v>20</v>
      </c>
      <c r="D10263">
        <v>20</v>
      </c>
    </row>
    <row r="10264" spans="1:4" ht="15" x14ac:dyDescent="0.25">
      <c r="A10264" t="s">
        <v>27105</v>
      </c>
      <c r="B10264">
        <v>1</v>
      </c>
      <c r="C10264">
        <v>20</v>
      </c>
      <c r="D10264">
        <v>20</v>
      </c>
    </row>
    <row r="10265" spans="1:4" ht="15" x14ac:dyDescent="0.25">
      <c r="A10265" t="s">
        <v>27111</v>
      </c>
      <c r="B10265">
        <v>1</v>
      </c>
      <c r="C10265">
        <v>15</v>
      </c>
      <c r="D10265">
        <v>15</v>
      </c>
    </row>
    <row r="10266" spans="1:4" ht="15" x14ac:dyDescent="0.25">
      <c r="A10266" t="s">
        <v>27116</v>
      </c>
      <c r="B10266">
        <v>1</v>
      </c>
      <c r="C10266">
        <v>419</v>
      </c>
      <c r="D10266">
        <v>419</v>
      </c>
    </row>
    <row r="10267" spans="1:4" ht="15" x14ac:dyDescent="0.25">
      <c r="A10267" t="s">
        <v>27118</v>
      </c>
      <c r="B10267">
        <v>2</v>
      </c>
      <c r="C10267">
        <v>1122</v>
      </c>
      <c r="D10267">
        <v>561</v>
      </c>
    </row>
    <row r="10268" spans="1:4" ht="15" x14ac:dyDescent="0.25">
      <c r="A10268" t="s">
        <v>27117</v>
      </c>
      <c r="B10268">
        <v>1</v>
      </c>
      <c r="C10268">
        <v>419</v>
      </c>
      <c r="D10268">
        <v>419</v>
      </c>
    </row>
    <row r="10269" spans="1:4" ht="15" x14ac:dyDescent="0.25">
      <c r="A10269" t="s">
        <v>27128</v>
      </c>
      <c r="B10269">
        <v>1</v>
      </c>
      <c r="C10269">
        <v>48</v>
      </c>
      <c r="D10269">
        <v>48</v>
      </c>
    </row>
    <row r="10270" spans="1:4" ht="15" x14ac:dyDescent="0.25">
      <c r="A10270" t="s">
        <v>27127</v>
      </c>
      <c r="B10270">
        <v>1</v>
      </c>
      <c r="C10270">
        <v>48</v>
      </c>
      <c r="D10270">
        <v>48</v>
      </c>
    </row>
    <row r="10271" spans="1:4" ht="15" x14ac:dyDescent="0.25">
      <c r="A10271" t="s">
        <v>27133</v>
      </c>
      <c r="B10271">
        <v>1</v>
      </c>
      <c r="C10271">
        <v>11</v>
      </c>
      <c r="D10271">
        <v>11</v>
      </c>
    </row>
    <row r="10272" spans="1:4" ht="15" x14ac:dyDescent="0.25">
      <c r="A10272" t="s">
        <v>27134</v>
      </c>
      <c r="B10272">
        <v>1</v>
      </c>
      <c r="C10272">
        <v>11</v>
      </c>
      <c r="D10272">
        <v>11</v>
      </c>
    </row>
    <row r="10273" spans="1:4" ht="15" x14ac:dyDescent="0.25">
      <c r="A10273" t="s">
        <v>27138</v>
      </c>
      <c r="B10273">
        <v>1</v>
      </c>
      <c r="C10273">
        <v>151</v>
      </c>
      <c r="D10273">
        <v>151</v>
      </c>
    </row>
    <row r="10274" spans="1:4" ht="15" x14ac:dyDescent="0.25">
      <c r="A10274" t="s">
        <v>27139</v>
      </c>
      <c r="B10274">
        <v>1</v>
      </c>
      <c r="C10274">
        <v>151</v>
      </c>
      <c r="D10274">
        <v>151</v>
      </c>
    </row>
    <row r="10275" spans="1:4" ht="15" x14ac:dyDescent="0.25">
      <c r="A10275" t="s">
        <v>27143</v>
      </c>
      <c r="B10275">
        <v>1</v>
      </c>
      <c r="C10275">
        <v>25</v>
      </c>
      <c r="D10275">
        <v>25</v>
      </c>
    </row>
    <row r="10276" spans="1:4" ht="15" x14ac:dyDescent="0.25">
      <c r="A10276" t="s">
        <v>27144</v>
      </c>
      <c r="B10276">
        <v>1</v>
      </c>
      <c r="C10276">
        <v>25</v>
      </c>
      <c r="D10276">
        <v>25</v>
      </c>
    </row>
    <row r="10277" spans="1:4" ht="15" x14ac:dyDescent="0.25">
      <c r="A10277" t="s">
        <v>27149</v>
      </c>
      <c r="B10277">
        <v>1</v>
      </c>
      <c r="C10277">
        <v>107</v>
      </c>
      <c r="D10277">
        <v>107</v>
      </c>
    </row>
    <row r="10278" spans="1:4" ht="15" x14ac:dyDescent="0.25">
      <c r="A10278" t="s">
        <v>27150</v>
      </c>
      <c r="B10278">
        <v>1</v>
      </c>
      <c r="C10278">
        <v>107</v>
      </c>
      <c r="D10278">
        <v>107</v>
      </c>
    </row>
    <row r="10279" spans="1:4" ht="15" x14ac:dyDescent="0.25">
      <c r="A10279" t="s">
        <v>27152</v>
      </c>
      <c r="B10279">
        <v>1</v>
      </c>
      <c r="C10279">
        <v>107</v>
      </c>
      <c r="D10279">
        <v>107</v>
      </c>
    </row>
    <row r="10280" spans="1:4" ht="15" x14ac:dyDescent="0.25">
      <c r="A10280" t="s">
        <v>27153</v>
      </c>
      <c r="B10280">
        <v>1</v>
      </c>
      <c r="C10280">
        <v>107</v>
      </c>
      <c r="D10280">
        <v>107</v>
      </c>
    </row>
    <row r="10281" spans="1:4" ht="15" x14ac:dyDescent="0.25">
      <c r="A10281" t="s">
        <v>27151</v>
      </c>
      <c r="B10281">
        <v>1</v>
      </c>
      <c r="C10281">
        <v>107</v>
      </c>
      <c r="D10281">
        <v>107</v>
      </c>
    </row>
    <row r="10282" spans="1:4" ht="15" x14ac:dyDescent="0.25">
      <c r="A10282" t="s">
        <v>27157</v>
      </c>
      <c r="B10282">
        <v>1</v>
      </c>
      <c r="C10282">
        <v>116</v>
      </c>
      <c r="D10282">
        <v>116</v>
      </c>
    </row>
    <row r="10283" spans="1:4" ht="15" x14ac:dyDescent="0.25">
      <c r="A10283" t="s">
        <v>27159</v>
      </c>
      <c r="B10283">
        <v>1</v>
      </c>
      <c r="C10283">
        <v>116</v>
      </c>
      <c r="D10283">
        <v>116</v>
      </c>
    </row>
    <row r="10284" spans="1:4" ht="15" x14ac:dyDescent="0.25">
      <c r="A10284" t="s">
        <v>27158</v>
      </c>
      <c r="B10284">
        <v>1</v>
      </c>
      <c r="C10284">
        <v>116</v>
      </c>
      <c r="D10284">
        <v>116</v>
      </c>
    </row>
    <row r="10285" spans="1:4" ht="15" x14ac:dyDescent="0.25">
      <c r="A10285" t="s">
        <v>27163</v>
      </c>
      <c r="B10285">
        <v>1</v>
      </c>
      <c r="C10285">
        <v>124</v>
      </c>
      <c r="D10285">
        <v>124</v>
      </c>
    </row>
    <row r="10286" spans="1:4" ht="15" x14ac:dyDescent="0.25">
      <c r="A10286" t="s">
        <v>27164</v>
      </c>
      <c r="B10286">
        <v>1</v>
      </c>
      <c r="C10286">
        <v>124</v>
      </c>
      <c r="D10286">
        <v>124</v>
      </c>
    </row>
    <row r="10287" spans="1:4" ht="15" x14ac:dyDescent="0.25">
      <c r="A10287" t="s">
        <v>27168</v>
      </c>
      <c r="B10287">
        <v>1</v>
      </c>
      <c r="C10287">
        <v>20</v>
      </c>
      <c r="D10287">
        <v>20</v>
      </c>
    </row>
    <row r="10288" spans="1:4" ht="15" x14ac:dyDescent="0.25">
      <c r="A10288" t="s">
        <v>27169</v>
      </c>
      <c r="B10288">
        <v>1</v>
      </c>
      <c r="C10288">
        <v>20</v>
      </c>
      <c r="D10288">
        <v>20</v>
      </c>
    </row>
    <row r="10289" spans="1:4" ht="15" x14ac:dyDescent="0.25">
      <c r="A10289" t="s">
        <v>27171</v>
      </c>
      <c r="B10289">
        <v>1</v>
      </c>
      <c r="C10289">
        <v>20</v>
      </c>
      <c r="D10289">
        <v>20</v>
      </c>
    </row>
    <row r="10290" spans="1:4" ht="15" x14ac:dyDescent="0.25">
      <c r="A10290" t="s">
        <v>27172</v>
      </c>
      <c r="B10290">
        <v>1</v>
      </c>
      <c r="C10290">
        <v>20</v>
      </c>
      <c r="D10290">
        <v>20</v>
      </c>
    </row>
    <row r="10291" spans="1:4" ht="15" x14ac:dyDescent="0.25">
      <c r="A10291" t="s">
        <v>27170</v>
      </c>
      <c r="B10291">
        <v>1</v>
      </c>
      <c r="C10291">
        <v>20</v>
      </c>
      <c r="D10291">
        <v>20</v>
      </c>
    </row>
    <row r="10292" spans="1:4" ht="15" x14ac:dyDescent="0.25">
      <c r="A10292" t="s">
        <v>27178</v>
      </c>
      <c r="B10292">
        <v>1</v>
      </c>
      <c r="C10292">
        <v>112</v>
      </c>
      <c r="D10292">
        <v>112</v>
      </c>
    </row>
    <row r="10293" spans="1:4" ht="15" x14ac:dyDescent="0.25">
      <c r="A10293" t="s">
        <v>27177</v>
      </c>
      <c r="B10293">
        <v>1</v>
      </c>
      <c r="C10293">
        <v>112</v>
      </c>
      <c r="D10293">
        <v>112</v>
      </c>
    </row>
    <row r="10294" spans="1:4" ht="15" x14ac:dyDescent="0.25">
      <c r="A10294" t="s">
        <v>27180</v>
      </c>
      <c r="B10294">
        <v>1</v>
      </c>
      <c r="C10294">
        <v>588</v>
      </c>
      <c r="D10294">
        <v>588</v>
      </c>
    </row>
    <row r="10295" spans="1:4" ht="15" x14ac:dyDescent="0.25">
      <c r="A10295" t="s">
        <v>27185</v>
      </c>
      <c r="B10295">
        <v>1</v>
      </c>
      <c r="C10295">
        <v>26</v>
      </c>
      <c r="D10295">
        <v>26</v>
      </c>
    </row>
    <row r="10296" spans="1:4" ht="15" x14ac:dyDescent="0.25">
      <c r="A10296" t="s">
        <v>27186</v>
      </c>
      <c r="B10296">
        <v>1</v>
      </c>
      <c r="C10296">
        <v>26</v>
      </c>
      <c r="D10296">
        <v>26</v>
      </c>
    </row>
    <row r="10297" spans="1:4" ht="15" x14ac:dyDescent="0.25">
      <c r="A10297" t="s">
        <v>27187</v>
      </c>
      <c r="B10297">
        <v>1</v>
      </c>
      <c r="C10297">
        <v>26</v>
      </c>
      <c r="D10297">
        <v>26</v>
      </c>
    </row>
    <row r="10298" spans="1:4" ht="15" x14ac:dyDescent="0.25">
      <c r="A10298" t="s">
        <v>27191</v>
      </c>
      <c r="B10298">
        <v>1</v>
      </c>
      <c r="C10298">
        <v>19</v>
      </c>
      <c r="D10298">
        <v>19</v>
      </c>
    </row>
    <row r="10299" spans="1:4" ht="15" x14ac:dyDescent="0.25">
      <c r="A10299" t="s">
        <v>27192</v>
      </c>
      <c r="B10299">
        <v>1</v>
      </c>
      <c r="C10299">
        <v>19</v>
      </c>
      <c r="D10299">
        <v>19</v>
      </c>
    </row>
    <row r="10300" spans="1:4" ht="15" x14ac:dyDescent="0.25">
      <c r="A10300" t="s">
        <v>27194</v>
      </c>
      <c r="B10300">
        <v>1</v>
      </c>
      <c r="C10300">
        <v>19</v>
      </c>
      <c r="D10300">
        <v>19</v>
      </c>
    </row>
    <row r="10301" spans="1:4" ht="15" x14ac:dyDescent="0.25">
      <c r="A10301" t="s">
        <v>27193</v>
      </c>
      <c r="B10301">
        <v>1</v>
      </c>
      <c r="C10301">
        <v>19</v>
      </c>
      <c r="D10301">
        <v>19</v>
      </c>
    </row>
    <row r="10302" spans="1:4" ht="15" x14ac:dyDescent="0.25">
      <c r="A10302" t="s">
        <v>27201</v>
      </c>
      <c r="B10302">
        <v>1</v>
      </c>
      <c r="C10302">
        <v>16</v>
      </c>
      <c r="D10302">
        <v>16</v>
      </c>
    </row>
    <row r="10303" spans="1:4" ht="15" x14ac:dyDescent="0.25">
      <c r="A10303" t="s">
        <v>27202</v>
      </c>
      <c r="B10303">
        <v>1</v>
      </c>
      <c r="C10303">
        <v>16</v>
      </c>
      <c r="D10303">
        <v>16</v>
      </c>
    </row>
    <row r="10304" spans="1:4" ht="15" x14ac:dyDescent="0.25">
      <c r="A10304" t="s">
        <v>27204</v>
      </c>
      <c r="B10304">
        <v>1</v>
      </c>
      <c r="C10304">
        <v>16</v>
      </c>
      <c r="D10304">
        <v>16</v>
      </c>
    </row>
    <row r="10305" spans="1:4" ht="15" x14ac:dyDescent="0.25">
      <c r="A10305" t="s">
        <v>27205</v>
      </c>
      <c r="B10305">
        <v>1</v>
      </c>
      <c r="C10305">
        <v>16</v>
      </c>
      <c r="D10305">
        <v>16</v>
      </c>
    </row>
    <row r="10306" spans="1:4" ht="15" x14ac:dyDescent="0.25">
      <c r="A10306" t="s">
        <v>27203</v>
      </c>
      <c r="B10306">
        <v>1</v>
      </c>
      <c r="C10306">
        <v>16</v>
      </c>
      <c r="D10306">
        <v>16</v>
      </c>
    </row>
    <row r="10307" spans="1:4" ht="15" x14ac:dyDescent="0.25">
      <c r="A10307" t="s">
        <v>27209</v>
      </c>
      <c r="B10307">
        <v>1</v>
      </c>
      <c r="C10307">
        <v>222</v>
      </c>
      <c r="D10307">
        <v>222</v>
      </c>
    </row>
    <row r="10308" spans="1:4" ht="15" x14ac:dyDescent="0.25">
      <c r="A10308" t="s">
        <v>27211</v>
      </c>
      <c r="B10308">
        <v>1</v>
      </c>
      <c r="C10308">
        <v>222</v>
      </c>
      <c r="D10308">
        <v>222</v>
      </c>
    </row>
    <row r="10309" spans="1:4" ht="15" x14ac:dyDescent="0.25">
      <c r="A10309" t="s">
        <v>27212</v>
      </c>
      <c r="B10309">
        <v>1</v>
      </c>
      <c r="C10309">
        <v>222</v>
      </c>
      <c r="D10309">
        <v>222</v>
      </c>
    </row>
    <row r="10310" spans="1:4" ht="15" x14ac:dyDescent="0.25">
      <c r="A10310" t="s">
        <v>27210</v>
      </c>
      <c r="B10310">
        <v>1</v>
      </c>
      <c r="C10310">
        <v>222</v>
      </c>
      <c r="D10310">
        <v>222</v>
      </c>
    </row>
    <row r="10311" spans="1:4" ht="15" x14ac:dyDescent="0.25">
      <c r="A10311" t="s">
        <v>27216</v>
      </c>
      <c r="B10311">
        <v>1</v>
      </c>
      <c r="C10311">
        <v>136</v>
      </c>
      <c r="D10311">
        <v>136</v>
      </c>
    </row>
    <row r="10312" spans="1:4" ht="15" x14ac:dyDescent="0.25">
      <c r="A10312" t="s">
        <v>27217</v>
      </c>
      <c r="B10312">
        <v>2</v>
      </c>
      <c r="C10312">
        <v>235</v>
      </c>
      <c r="D10312">
        <v>117.5</v>
      </c>
    </row>
    <row r="10313" spans="1:4" ht="15" x14ac:dyDescent="0.25">
      <c r="A10313" t="s">
        <v>27221</v>
      </c>
      <c r="B10313">
        <v>1</v>
      </c>
      <c r="C10313">
        <v>142</v>
      </c>
      <c r="D10313">
        <v>142</v>
      </c>
    </row>
    <row r="10314" spans="1:4" ht="15" x14ac:dyDescent="0.25">
      <c r="A10314" t="s">
        <v>27226</v>
      </c>
      <c r="B10314">
        <v>1</v>
      </c>
      <c r="C10314">
        <v>33</v>
      </c>
      <c r="D10314">
        <v>33</v>
      </c>
    </row>
    <row r="10315" spans="1:4" ht="15" x14ac:dyDescent="0.25">
      <c r="A10315" t="s">
        <v>27227</v>
      </c>
      <c r="B10315">
        <v>1</v>
      </c>
      <c r="C10315">
        <v>33</v>
      </c>
      <c r="D10315">
        <v>33</v>
      </c>
    </row>
    <row r="10316" spans="1:4" ht="15" x14ac:dyDescent="0.25">
      <c r="A10316" t="s">
        <v>27231</v>
      </c>
      <c r="B10316">
        <v>1</v>
      </c>
      <c r="C10316">
        <v>23</v>
      </c>
      <c r="D10316">
        <v>23</v>
      </c>
    </row>
    <row r="10317" spans="1:4" ht="15" x14ac:dyDescent="0.25">
      <c r="A10317" t="s">
        <v>27238</v>
      </c>
      <c r="B10317">
        <v>1</v>
      </c>
      <c r="C10317">
        <v>1267</v>
      </c>
      <c r="D10317">
        <v>1267</v>
      </c>
    </row>
    <row r="10318" spans="1:4" ht="15" x14ac:dyDescent="0.25">
      <c r="A10318" t="s">
        <v>27245</v>
      </c>
      <c r="B10318">
        <v>1</v>
      </c>
      <c r="C10318">
        <v>35</v>
      </c>
      <c r="D10318">
        <v>35</v>
      </c>
    </row>
    <row r="10319" spans="1:4" ht="15" x14ac:dyDescent="0.25">
      <c r="A10319" t="s">
        <v>27246</v>
      </c>
      <c r="B10319">
        <v>1</v>
      </c>
      <c r="C10319">
        <v>35</v>
      </c>
      <c r="D10319">
        <v>35</v>
      </c>
    </row>
    <row r="10320" spans="1:4" ht="15" x14ac:dyDescent="0.25">
      <c r="A10320" t="s">
        <v>27249</v>
      </c>
      <c r="B10320">
        <v>1</v>
      </c>
      <c r="C10320">
        <v>8</v>
      </c>
      <c r="D10320">
        <v>8</v>
      </c>
    </row>
    <row r="10321" spans="1:4" ht="15" x14ac:dyDescent="0.25">
      <c r="A10321" t="s">
        <v>27251</v>
      </c>
      <c r="B10321">
        <v>1</v>
      </c>
      <c r="C10321">
        <v>8</v>
      </c>
      <c r="D10321">
        <v>8</v>
      </c>
    </row>
    <row r="10322" spans="1:4" ht="15" x14ac:dyDescent="0.25">
      <c r="A10322" t="s">
        <v>27250</v>
      </c>
      <c r="B10322">
        <v>1</v>
      </c>
      <c r="C10322">
        <v>8</v>
      </c>
      <c r="D10322">
        <v>8</v>
      </c>
    </row>
    <row r="10323" spans="1:4" ht="15" x14ac:dyDescent="0.25">
      <c r="A10323" t="s">
        <v>27255</v>
      </c>
      <c r="B10323">
        <v>1</v>
      </c>
      <c r="C10323">
        <v>23</v>
      </c>
      <c r="D10323">
        <v>23</v>
      </c>
    </row>
    <row r="10324" spans="1:4" ht="15" x14ac:dyDescent="0.25">
      <c r="A10324" t="s">
        <v>27256</v>
      </c>
      <c r="B10324">
        <v>1</v>
      </c>
      <c r="C10324">
        <v>23</v>
      </c>
      <c r="D10324">
        <v>23</v>
      </c>
    </row>
    <row r="10325" spans="1:4" ht="15" x14ac:dyDescent="0.25">
      <c r="A10325" t="s">
        <v>27259</v>
      </c>
      <c r="B10325">
        <v>1</v>
      </c>
      <c r="C10325">
        <v>13</v>
      </c>
      <c r="D10325">
        <v>13</v>
      </c>
    </row>
    <row r="10326" spans="1:4" ht="15" x14ac:dyDescent="0.25">
      <c r="A10326" t="s">
        <v>27263</v>
      </c>
      <c r="B10326">
        <v>1</v>
      </c>
      <c r="C10326">
        <v>15</v>
      </c>
      <c r="D10326">
        <v>15</v>
      </c>
    </row>
    <row r="10327" spans="1:4" ht="15" x14ac:dyDescent="0.25">
      <c r="A10327" t="s">
        <v>27270</v>
      </c>
      <c r="B10327">
        <v>1</v>
      </c>
      <c r="C10327">
        <v>29</v>
      </c>
      <c r="D10327">
        <v>29</v>
      </c>
    </row>
    <row r="10328" spans="1:4" ht="15" x14ac:dyDescent="0.25">
      <c r="A10328" t="s">
        <v>27274</v>
      </c>
      <c r="B10328">
        <v>1</v>
      </c>
      <c r="C10328">
        <v>56</v>
      </c>
      <c r="D10328">
        <v>56</v>
      </c>
    </row>
    <row r="10329" spans="1:4" ht="15" x14ac:dyDescent="0.25">
      <c r="A10329" t="s">
        <v>27275</v>
      </c>
      <c r="B10329">
        <v>1</v>
      </c>
      <c r="C10329">
        <v>56</v>
      </c>
      <c r="D10329">
        <v>56</v>
      </c>
    </row>
    <row r="10330" spans="1:4" ht="15" x14ac:dyDescent="0.25">
      <c r="A10330" t="s">
        <v>27277</v>
      </c>
      <c r="B10330">
        <v>1</v>
      </c>
      <c r="C10330">
        <v>56</v>
      </c>
      <c r="D10330">
        <v>56</v>
      </c>
    </row>
    <row r="10331" spans="1:4" ht="15" x14ac:dyDescent="0.25">
      <c r="A10331" t="s">
        <v>27276</v>
      </c>
      <c r="B10331">
        <v>1</v>
      </c>
      <c r="C10331">
        <v>56</v>
      </c>
      <c r="D10331">
        <v>56</v>
      </c>
    </row>
    <row r="10332" spans="1:4" ht="15" x14ac:dyDescent="0.25">
      <c r="A10332" t="s">
        <v>27281</v>
      </c>
      <c r="B10332">
        <v>1</v>
      </c>
      <c r="C10332">
        <v>19</v>
      </c>
      <c r="D10332">
        <v>19</v>
      </c>
    </row>
    <row r="10333" spans="1:4" ht="15" x14ac:dyDescent="0.25">
      <c r="A10333" t="s">
        <v>27285</v>
      </c>
      <c r="B10333">
        <v>1</v>
      </c>
      <c r="C10333">
        <v>31</v>
      </c>
      <c r="D10333">
        <v>31</v>
      </c>
    </row>
    <row r="10334" spans="1:4" ht="15" x14ac:dyDescent="0.25">
      <c r="A10334" t="s">
        <v>27287</v>
      </c>
      <c r="B10334">
        <v>1</v>
      </c>
      <c r="C10334">
        <v>31</v>
      </c>
      <c r="D10334">
        <v>31</v>
      </c>
    </row>
    <row r="10335" spans="1:4" ht="15" x14ac:dyDescent="0.25">
      <c r="A10335" t="s">
        <v>27286</v>
      </c>
      <c r="B10335">
        <v>1</v>
      </c>
      <c r="C10335">
        <v>31</v>
      </c>
      <c r="D10335">
        <v>31</v>
      </c>
    </row>
    <row r="10336" spans="1:4" ht="15" x14ac:dyDescent="0.25">
      <c r="A10336" t="s">
        <v>27293</v>
      </c>
      <c r="B10336">
        <v>2</v>
      </c>
      <c r="C10336">
        <v>68</v>
      </c>
      <c r="D10336">
        <v>34</v>
      </c>
    </row>
    <row r="10337" spans="1:4" ht="15" x14ac:dyDescent="0.25">
      <c r="A10337" t="s">
        <v>27295</v>
      </c>
      <c r="B10337">
        <v>1</v>
      </c>
      <c r="C10337">
        <v>25</v>
      </c>
      <c r="D10337">
        <v>25</v>
      </c>
    </row>
    <row r="10338" spans="1:4" ht="15" x14ac:dyDescent="0.25">
      <c r="A10338" t="s">
        <v>27296</v>
      </c>
      <c r="B10338">
        <v>1</v>
      </c>
      <c r="C10338">
        <v>25</v>
      </c>
      <c r="D10338">
        <v>25</v>
      </c>
    </row>
    <row r="10339" spans="1:4" ht="15" x14ac:dyDescent="0.25">
      <c r="A10339" t="s">
        <v>27294</v>
      </c>
      <c r="B10339">
        <v>1</v>
      </c>
      <c r="C10339">
        <v>25</v>
      </c>
      <c r="D10339">
        <v>25</v>
      </c>
    </row>
    <row r="10340" spans="1:4" ht="15" x14ac:dyDescent="0.25">
      <c r="A10340" t="s">
        <v>27301</v>
      </c>
      <c r="B10340">
        <v>1</v>
      </c>
      <c r="C10340">
        <v>7</v>
      </c>
      <c r="D10340">
        <v>7</v>
      </c>
    </row>
    <row r="10341" spans="1:4" ht="15" x14ac:dyDescent="0.25">
      <c r="A10341" t="s">
        <v>27303</v>
      </c>
      <c r="B10341">
        <v>1</v>
      </c>
      <c r="C10341">
        <v>7</v>
      </c>
      <c r="D10341">
        <v>7</v>
      </c>
    </row>
    <row r="10342" spans="1:4" ht="15" x14ac:dyDescent="0.25">
      <c r="A10342" t="s">
        <v>27304</v>
      </c>
      <c r="B10342">
        <v>1</v>
      </c>
      <c r="C10342">
        <v>7</v>
      </c>
      <c r="D10342">
        <v>7</v>
      </c>
    </row>
    <row r="10343" spans="1:4" ht="15" x14ac:dyDescent="0.25">
      <c r="A10343" t="s">
        <v>27302</v>
      </c>
      <c r="B10343">
        <v>1</v>
      </c>
      <c r="C10343">
        <v>7</v>
      </c>
      <c r="D10343">
        <v>7</v>
      </c>
    </row>
    <row r="10344" spans="1:4" ht="15" x14ac:dyDescent="0.25">
      <c r="A10344" t="s">
        <v>27308</v>
      </c>
      <c r="B10344">
        <v>1</v>
      </c>
      <c r="C10344">
        <v>41</v>
      </c>
      <c r="D10344">
        <v>41</v>
      </c>
    </row>
    <row r="10345" spans="1:4" ht="15" x14ac:dyDescent="0.25">
      <c r="A10345" t="s">
        <v>27309</v>
      </c>
      <c r="B10345">
        <v>1</v>
      </c>
      <c r="C10345">
        <v>41</v>
      </c>
      <c r="D10345">
        <v>41</v>
      </c>
    </row>
    <row r="10346" spans="1:4" ht="15" x14ac:dyDescent="0.25">
      <c r="A10346" t="s">
        <v>27313</v>
      </c>
      <c r="B10346">
        <v>1</v>
      </c>
      <c r="C10346">
        <v>39</v>
      </c>
      <c r="D10346">
        <v>39</v>
      </c>
    </row>
    <row r="10347" spans="1:4" ht="15" x14ac:dyDescent="0.25">
      <c r="A10347" t="s">
        <v>27314</v>
      </c>
      <c r="B10347">
        <v>1</v>
      </c>
      <c r="C10347">
        <v>39</v>
      </c>
      <c r="D10347">
        <v>39</v>
      </c>
    </row>
    <row r="10348" spans="1:4" ht="15" x14ac:dyDescent="0.25">
      <c r="A10348" t="s">
        <v>27315</v>
      </c>
      <c r="B10348">
        <v>1</v>
      </c>
      <c r="C10348">
        <v>39</v>
      </c>
      <c r="D10348">
        <v>39</v>
      </c>
    </row>
    <row r="10349" spans="1:4" ht="15" x14ac:dyDescent="0.25">
      <c r="A10349" t="s">
        <v>27316</v>
      </c>
      <c r="B10349">
        <v>1</v>
      </c>
      <c r="C10349">
        <v>39</v>
      </c>
      <c r="D10349">
        <v>39</v>
      </c>
    </row>
    <row r="10350" spans="1:4" ht="15" x14ac:dyDescent="0.25">
      <c r="A10350" t="s">
        <v>27321</v>
      </c>
      <c r="B10350">
        <v>1</v>
      </c>
      <c r="C10350">
        <v>8</v>
      </c>
      <c r="D10350">
        <v>8</v>
      </c>
    </row>
    <row r="10351" spans="1:4" ht="15" x14ac:dyDescent="0.25">
      <c r="A10351" t="s">
        <v>27322</v>
      </c>
      <c r="B10351">
        <v>1</v>
      </c>
      <c r="C10351">
        <v>8</v>
      </c>
      <c r="D10351">
        <v>8</v>
      </c>
    </row>
    <row r="10352" spans="1:4" ht="15" x14ac:dyDescent="0.25">
      <c r="A10352" t="s">
        <v>27320</v>
      </c>
      <c r="B10352">
        <v>1</v>
      </c>
      <c r="C10352">
        <v>8</v>
      </c>
      <c r="D10352">
        <v>8</v>
      </c>
    </row>
    <row r="10353" spans="1:4" ht="15" x14ac:dyDescent="0.25">
      <c r="A10353" t="s">
        <v>27325</v>
      </c>
      <c r="B10353">
        <v>1</v>
      </c>
      <c r="C10353">
        <v>2962</v>
      </c>
      <c r="D10353">
        <v>2962</v>
      </c>
    </row>
    <row r="10354" spans="1:4" ht="15" x14ac:dyDescent="0.25">
      <c r="A10354" t="s">
        <v>27327</v>
      </c>
      <c r="B10354">
        <v>1</v>
      </c>
      <c r="C10354">
        <v>2962</v>
      </c>
      <c r="D10354">
        <v>2962</v>
      </c>
    </row>
    <row r="10355" spans="1:4" ht="15" x14ac:dyDescent="0.25">
      <c r="A10355" t="s">
        <v>27326</v>
      </c>
      <c r="B10355">
        <v>1</v>
      </c>
      <c r="C10355">
        <v>2962</v>
      </c>
      <c r="D10355">
        <v>2962</v>
      </c>
    </row>
    <row r="10356" spans="1:4" ht="15" x14ac:dyDescent="0.25">
      <c r="A10356" t="s">
        <v>27338</v>
      </c>
      <c r="B10356">
        <v>1</v>
      </c>
      <c r="C10356">
        <v>7</v>
      </c>
      <c r="D10356">
        <v>7</v>
      </c>
    </row>
    <row r="10357" spans="1:4" ht="15" x14ac:dyDescent="0.25">
      <c r="A10357" t="s">
        <v>27337</v>
      </c>
      <c r="B10357">
        <v>1</v>
      </c>
      <c r="C10357">
        <v>7</v>
      </c>
      <c r="D10357">
        <v>7</v>
      </c>
    </row>
    <row r="10358" spans="1:4" ht="15" x14ac:dyDescent="0.25">
      <c r="A10358" t="s">
        <v>27342</v>
      </c>
      <c r="B10358">
        <v>1</v>
      </c>
      <c r="C10358">
        <v>20</v>
      </c>
      <c r="D10358">
        <v>20</v>
      </c>
    </row>
    <row r="10359" spans="1:4" ht="15" x14ac:dyDescent="0.25">
      <c r="A10359" t="s">
        <v>27346</v>
      </c>
      <c r="B10359">
        <v>1</v>
      </c>
      <c r="C10359">
        <v>17</v>
      </c>
      <c r="D10359">
        <v>17</v>
      </c>
    </row>
    <row r="10360" spans="1:4" ht="15" x14ac:dyDescent="0.25">
      <c r="A10360" t="s">
        <v>27349</v>
      </c>
      <c r="B10360">
        <v>1</v>
      </c>
      <c r="C10360">
        <v>32</v>
      </c>
      <c r="D10360">
        <v>32</v>
      </c>
    </row>
    <row r="10361" spans="1:4" ht="15" x14ac:dyDescent="0.25">
      <c r="A10361" t="s">
        <v>27350</v>
      </c>
      <c r="B10361">
        <v>1</v>
      </c>
      <c r="C10361">
        <v>32</v>
      </c>
      <c r="D10361">
        <v>32</v>
      </c>
    </row>
    <row r="10362" spans="1:4" ht="15" x14ac:dyDescent="0.25">
      <c r="A10362" t="s">
        <v>27351</v>
      </c>
      <c r="B10362">
        <v>1</v>
      </c>
      <c r="C10362">
        <v>32</v>
      </c>
      <c r="D10362">
        <v>32</v>
      </c>
    </row>
    <row r="10363" spans="1:4" ht="15" x14ac:dyDescent="0.25">
      <c r="A10363" t="s">
        <v>27356</v>
      </c>
      <c r="B10363">
        <v>1</v>
      </c>
      <c r="C10363">
        <v>13</v>
      </c>
      <c r="D10363">
        <v>13</v>
      </c>
    </row>
    <row r="10364" spans="1:4" ht="15" x14ac:dyDescent="0.25">
      <c r="A10364" t="s">
        <v>27355</v>
      </c>
      <c r="B10364">
        <v>1</v>
      </c>
      <c r="C10364">
        <v>13</v>
      </c>
      <c r="D10364">
        <v>13</v>
      </c>
    </row>
    <row r="10365" spans="1:4" ht="15" x14ac:dyDescent="0.25">
      <c r="A10365" t="s">
        <v>27360</v>
      </c>
      <c r="B10365">
        <v>2</v>
      </c>
      <c r="C10365">
        <v>73</v>
      </c>
      <c r="D10365">
        <v>36.5</v>
      </c>
    </row>
    <row r="10366" spans="1:4" ht="15" x14ac:dyDescent="0.25">
      <c r="A10366" t="s">
        <v>27361</v>
      </c>
      <c r="B10366">
        <v>1</v>
      </c>
      <c r="C10366">
        <v>27</v>
      </c>
      <c r="D10366">
        <v>27</v>
      </c>
    </row>
    <row r="10367" spans="1:4" ht="15" x14ac:dyDescent="0.25">
      <c r="A10367" t="s">
        <v>27365</v>
      </c>
      <c r="B10367">
        <v>3</v>
      </c>
      <c r="C10367">
        <v>150</v>
      </c>
      <c r="D10367">
        <v>50</v>
      </c>
    </row>
    <row r="10368" spans="1:4" ht="15" x14ac:dyDescent="0.25">
      <c r="A10368" t="s">
        <v>27369</v>
      </c>
      <c r="B10368">
        <v>1</v>
      </c>
      <c r="C10368">
        <v>300</v>
      </c>
      <c r="D10368">
        <v>300</v>
      </c>
    </row>
    <row r="10369" spans="1:4" ht="15" x14ac:dyDescent="0.25">
      <c r="A10369" t="s">
        <v>27370</v>
      </c>
      <c r="B10369">
        <v>1</v>
      </c>
      <c r="C10369">
        <v>300</v>
      </c>
      <c r="D10369">
        <v>300</v>
      </c>
    </row>
    <row r="10370" spans="1:4" ht="15" x14ac:dyDescent="0.25">
      <c r="A10370" t="s">
        <v>27368</v>
      </c>
      <c r="B10370">
        <v>1</v>
      </c>
      <c r="C10370">
        <v>300</v>
      </c>
      <c r="D10370">
        <v>300</v>
      </c>
    </row>
    <row r="10371" spans="1:4" ht="15" x14ac:dyDescent="0.25">
      <c r="A10371" t="s">
        <v>27376</v>
      </c>
      <c r="B10371">
        <v>1</v>
      </c>
      <c r="C10371">
        <v>39</v>
      </c>
      <c r="D10371">
        <v>39</v>
      </c>
    </row>
    <row r="10372" spans="1:4" ht="15" x14ac:dyDescent="0.25">
      <c r="A10372" t="s">
        <v>27377</v>
      </c>
      <c r="B10372">
        <v>1</v>
      </c>
      <c r="C10372">
        <v>39</v>
      </c>
      <c r="D10372">
        <v>39</v>
      </c>
    </row>
    <row r="10373" spans="1:4" ht="15" x14ac:dyDescent="0.25">
      <c r="A10373" t="s">
        <v>27380</v>
      </c>
      <c r="B10373">
        <v>1</v>
      </c>
      <c r="C10373">
        <v>133</v>
      </c>
      <c r="D10373">
        <v>133</v>
      </c>
    </row>
    <row r="10374" spans="1:4" ht="15" x14ac:dyDescent="0.25">
      <c r="A10374" t="s">
        <v>27382</v>
      </c>
      <c r="B10374">
        <v>1</v>
      </c>
      <c r="C10374">
        <v>133</v>
      </c>
      <c r="D10374">
        <v>133</v>
      </c>
    </row>
    <row r="10375" spans="1:4" ht="15" x14ac:dyDescent="0.25">
      <c r="A10375" t="s">
        <v>27383</v>
      </c>
      <c r="B10375">
        <v>1</v>
      </c>
      <c r="C10375">
        <v>133</v>
      </c>
      <c r="D10375">
        <v>133</v>
      </c>
    </row>
    <row r="10376" spans="1:4" ht="15" x14ac:dyDescent="0.25">
      <c r="A10376" t="s">
        <v>27381</v>
      </c>
      <c r="B10376">
        <v>1</v>
      </c>
      <c r="C10376">
        <v>133</v>
      </c>
      <c r="D10376">
        <v>133</v>
      </c>
    </row>
    <row r="10377" spans="1:4" ht="15" x14ac:dyDescent="0.25">
      <c r="A10377" t="s">
        <v>27386</v>
      </c>
      <c r="B10377">
        <v>1</v>
      </c>
      <c r="C10377">
        <v>18</v>
      </c>
      <c r="D10377">
        <v>18</v>
      </c>
    </row>
    <row r="10378" spans="1:4" ht="15" x14ac:dyDescent="0.25">
      <c r="A10378" t="s">
        <v>27396</v>
      </c>
      <c r="B10378">
        <v>1</v>
      </c>
      <c r="C10378">
        <v>16</v>
      </c>
      <c r="D10378">
        <v>16</v>
      </c>
    </row>
    <row r="10379" spans="1:4" ht="15" x14ac:dyDescent="0.25">
      <c r="A10379" t="s">
        <v>27400</v>
      </c>
      <c r="B10379">
        <v>1</v>
      </c>
      <c r="C10379">
        <v>77</v>
      </c>
      <c r="D10379">
        <v>77</v>
      </c>
    </row>
    <row r="10380" spans="1:4" ht="15" x14ac:dyDescent="0.25">
      <c r="A10380" t="s">
        <v>27402</v>
      </c>
      <c r="B10380">
        <v>1</v>
      </c>
      <c r="C10380">
        <v>77</v>
      </c>
      <c r="D10380">
        <v>77</v>
      </c>
    </row>
    <row r="10381" spans="1:4" ht="15" x14ac:dyDescent="0.25">
      <c r="A10381" t="s">
        <v>27403</v>
      </c>
      <c r="B10381">
        <v>1</v>
      </c>
      <c r="C10381">
        <v>77</v>
      </c>
      <c r="D10381">
        <v>77</v>
      </c>
    </row>
    <row r="10382" spans="1:4" ht="15" x14ac:dyDescent="0.25">
      <c r="A10382" t="s">
        <v>27401</v>
      </c>
      <c r="B10382">
        <v>1</v>
      </c>
      <c r="C10382">
        <v>77</v>
      </c>
      <c r="D10382">
        <v>77</v>
      </c>
    </row>
    <row r="10383" spans="1:4" ht="15" x14ac:dyDescent="0.25">
      <c r="A10383" t="s">
        <v>27408</v>
      </c>
      <c r="B10383">
        <v>1</v>
      </c>
      <c r="C10383">
        <v>1</v>
      </c>
      <c r="D10383">
        <v>1</v>
      </c>
    </row>
    <row r="10384" spans="1:4" ht="15" x14ac:dyDescent="0.25">
      <c r="A10384" t="s">
        <v>27410</v>
      </c>
      <c r="B10384">
        <v>1</v>
      </c>
      <c r="C10384">
        <v>1</v>
      </c>
      <c r="D10384">
        <v>1</v>
      </c>
    </row>
    <row r="10385" spans="1:4" ht="15" x14ac:dyDescent="0.25">
      <c r="A10385" t="s">
        <v>27409</v>
      </c>
      <c r="B10385">
        <v>1</v>
      </c>
      <c r="C10385">
        <v>1</v>
      </c>
      <c r="D10385">
        <v>1</v>
      </c>
    </row>
    <row r="10386" spans="1:4" ht="15" x14ac:dyDescent="0.25">
      <c r="A10386" t="s">
        <v>27414</v>
      </c>
      <c r="B10386">
        <v>1</v>
      </c>
      <c r="C10386">
        <v>36</v>
      </c>
      <c r="D10386">
        <v>36</v>
      </c>
    </row>
    <row r="10387" spans="1:4" ht="15" x14ac:dyDescent="0.25">
      <c r="A10387" t="s">
        <v>27416</v>
      </c>
      <c r="B10387">
        <v>1</v>
      </c>
      <c r="C10387">
        <v>36</v>
      </c>
      <c r="D10387">
        <v>36</v>
      </c>
    </row>
    <row r="10388" spans="1:4" ht="15" x14ac:dyDescent="0.25">
      <c r="A10388" t="s">
        <v>27417</v>
      </c>
      <c r="B10388">
        <v>1</v>
      </c>
      <c r="C10388">
        <v>36</v>
      </c>
      <c r="D10388">
        <v>36</v>
      </c>
    </row>
    <row r="10389" spans="1:4" ht="15" x14ac:dyDescent="0.25">
      <c r="A10389" t="s">
        <v>27415</v>
      </c>
      <c r="B10389">
        <v>1</v>
      </c>
      <c r="C10389">
        <v>36</v>
      </c>
      <c r="D10389">
        <v>36</v>
      </c>
    </row>
    <row r="10390" spans="1:4" ht="15" x14ac:dyDescent="0.25">
      <c r="A10390" t="s">
        <v>27422</v>
      </c>
      <c r="B10390">
        <v>1</v>
      </c>
      <c r="C10390">
        <v>25</v>
      </c>
      <c r="D10390">
        <v>25</v>
      </c>
    </row>
    <row r="10391" spans="1:4" ht="15" x14ac:dyDescent="0.25">
      <c r="A10391" t="s">
        <v>27431</v>
      </c>
      <c r="B10391">
        <v>1</v>
      </c>
      <c r="C10391">
        <v>29</v>
      </c>
      <c r="D10391">
        <v>29</v>
      </c>
    </row>
    <row r="10392" spans="1:4" ht="15" x14ac:dyDescent="0.25">
      <c r="A10392" t="s">
        <v>27432</v>
      </c>
      <c r="B10392">
        <v>1</v>
      </c>
      <c r="C10392">
        <v>29</v>
      </c>
      <c r="D10392">
        <v>29</v>
      </c>
    </row>
    <row r="10393" spans="1:4" ht="15" x14ac:dyDescent="0.25">
      <c r="A10393" t="s">
        <v>27433</v>
      </c>
      <c r="B10393">
        <v>1</v>
      </c>
      <c r="C10393">
        <v>29</v>
      </c>
      <c r="D10393">
        <v>29</v>
      </c>
    </row>
    <row r="10394" spans="1:4" ht="15" x14ac:dyDescent="0.25">
      <c r="A10394" t="s">
        <v>27437</v>
      </c>
      <c r="B10394">
        <v>1</v>
      </c>
      <c r="C10394">
        <v>7</v>
      </c>
      <c r="D10394">
        <v>7</v>
      </c>
    </row>
    <row r="10395" spans="1:4" ht="15" x14ac:dyDescent="0.25">
      <c r="A10395" t="s">
        <v>27441</v>
      </c>
      <c r="B10395">
        <v>1</v>
      </c>
      <c r="C10395">
        <v>35</v>
      </c>
      <c r="D10395">
        <v>35</v>
      </c>
    </row>
    <row r="10396" spans="1:4" ht="15" x14ac:dyDescent="0.25">
      <c r="A10396" t="s">
        <v>27442</v>
      </c>
      <c r="B10396">
        <v>1</v>
      </c>
      <c r="C10396">
        <v>35</v>
      </c>
      <c r="D10396">
        <v>35</v>
      </c>
    </row>
    <row r="10397" spans="1:4" ht="15" x14ac:dyDescent="0.25">
      <c r="A10397" t="s">
        <v>27443</v>
      </c>
      <c r="B10397">
        <v>1</v>
      </c>
      <c r="C10397">
        <v>35</v>
      </c>
      <c r="D10397">
        <v>35</v>
      </c>
    </row>
    <row r="10398" spans="1:4" ht="15" x14ac:dyDescent="0.25">
      <c r="A10398" t="s">
        <v>27448</v>
      </c>
      <c r="B10398">
        <v>1</v>
      </c>
      <c r="C10398">
        <v>128</v>
      </c>
      <c r="D10398">
        <v>128</v>
      </c>
    </row>
    <row r="10399" spans="1:4" ht="15" x14ac:dyDescent="0.25">
      <c r="A10399" t="s">
        <v>27449</v>
      </c>
      <c r="B10399">
        <v>1</v>
      </c>
      <c r="C10399">
        <v>128</v>
      </c>
      <c r="D10399">
        <v>128</v>
      </c>
    </row>
    <row r="10400" spans="1:4" ht="15" x14ac:dyDescent="0.25">
      <c r="A10400" t="s">
        <v>27451</v>
      </c>
      <c r="B10400">
        <v>1</v>
      </c>
      <c r="C10400">
        <v>128</v>
      </c>
      <c r="D10400">
        <v>128</v>
      </c>
    </row>
    <row r="10401" spans="1:4" ht="15" x14ac:dyDescent="0.25">
      <c r="A10401" t="s">
        <v>27452</v>
      </c>
      <c r="B10401">
        <v>1</v>
      </c>
      <c r="C10401">
        <v>128</v>
      </c>
      <c r="D10401">
        <v>128</v>
      </c>
    </row>
    <row r="10402" spans="1:4" ht="15" x14ac:dyDescent="0.25">
      <c r="A10402" t="s">
        <v>27450</v>
      </c>
      <c r="B10402">
        <v>1</v>
      </c>
      <c r="C10402">
        <v>128</v>
      </c>
      <c r="D10402">
        <v>128</v>
      </c>
    </row>
    <row r="10403" spans="1:4" ht="15" x14ac:dyDescent="0.25">
      <c r="A10403" t="s">
        <v>27459</v>
      </c>
      <c r="B10403">
        <v>1</v>
      </c>
      <c r="C10403">
        <v>729</v>
      </c>
      <c r="D10403">
        <v>729</v>
      </c>
    </row>
    <row r="10404" spans="1:4" ht="15" x14ac:dyDescent="0.25">
      <c r="A10404" t="s">
        <v>27460</v>
      </c>
      <c r="B10404">
        <v>1</v>
      </c>
      <c r="C10404">
        <v>729</v>
      </c>
      <c r="D10404">
        <v>729</v>
      </c>
    </row>
    <row r="10405" spans="1:4" ht="15" x14ac:dyDescent="0.25">
      <c r="A10405" t="s">
        <v>27464</v>
      </c>
      <c r="B10405">
        <v>1</v>
      </c>
      <c r="C10405">
        <v>40</v>
      </c>
      <c r="D10405">
        <v>40</v>
      </c>
    </row>
    <row r="10406" spans="1:4" ht="15" x14ac:dyDescent="0.25">
      <c r="A10406" t="s">
        <v>27465</v>
      </c>
      <c r="B10406">
        <v>1</v>
      </c>
      <c r="C10406">
        <v>40</v>
      </c>
      <c r="D10406">
        <v>40</v>
      </c>
    </row>
    <row r="10407" spans="1:4" ht="15" x14ac:dyDescent="0.25">
      <c r="A10407" t="s">
        <v>27467</v>
      </c>
      <c r="B10407">
        <v>1</v>
      </c>
      <c r="C10407">
        <v>40</v>
      </c>
      <c r="D10407">
        <v>40</v>
      </c>
    </row>
    <row r="10408" spans="1:4" ht="15" x14ac:dyDescent="0.25">
      <c r="A10408" t="s">
        <v>27466</v>
      </c>
      <c r="B10408">
        <v>1</v>
      </c>
      <c r="C10408">
        <v>40</v>
      </c>
      <c r="D10408">
        <v>40</v>
      </c>
    </row>
    <row r="10409" spans="1:4" ht="15" x14ac:dyDescent="0.25">
      <c r="A10409" t="s">
        <v>27472</v>
      </c>
      <c r="B10409">
        <v>1</v>
      </c>
      <c r="C10409">
        <v>130</v>
      </c>
      <c r="D10409">
        <v>130</v>
      </c>
    </row>
    <row r="10410" spans="1:4" ht="15" x14ac:dyDescent="0.25">
      <c r="A10410" t="s">
        <v>27473</v>
      </c>
      <c r="B10410">
        <v>1</v>
      </c>
      <c r="C10410">
        <v>130</v>
      </c>
      <c r="D10410">
        <v>130</v>
      </c>
    </row>
    <row r="10411" spans="1:4" ht="15" x14ac:dyDescent="0.25">
      <c r="A10411" t="s">
        <v>27477</v>
      </c>
      <c r="B10411">
        <v>1</v>
      </c>
      <c r="C10411">
        <v>111</v>
      </c>
      <c r="D10411">
        <v>111</v>
      </c>
    </row>
    <row r="10412" spans="1:4" ht="15" x14ac:dyDescent="0.25">
      <c r="A10412" t="s">
        <v>27479</v>
      </c>
      <c r="B10412">
        <v>1</v>
      </c>
      <c r="C10412">
        <v>111</v>
      </c>
      <c r="D10412">
        <v>111</v>
      </c>
    </row>
    <row r="10413" spans="1:4" ht="15" x14ac:dyDescent="0.25">
      <c r="A10413" t="s">
        <v>27478</v>
      </c>
      <c r="B10413">
        <v>1</v>
      </c>
      <c r="C10413">
        <v>111</v>
      </c>
      <c r="D10413">
        <v>111</v>
      </c>
    </row>
    <row r="10414" spans="1:4" ht="15" x14ac:dyDescent="0.25">
      <c r="A10414" t="s">
        <v>27489</v>
      </c>
      <c r="B10414">
        <v>1</v>
      </c>
      <c r="C10414">
        <v>12</v>
      </c>
      <c r="D10414">
        <v>12</v>
      </c>
    </row>
    <row r="10415" spans="1:4" ht="15" x14ac:dyDescent="0.25">
      <c r="A10415" t="s">
        <v>27490</v>
      </c>
      <c r="B10415">
        <v>1</v>
      </c>
      <c r="C10415">
        <v>12</v>
      </c>
      <c r="D10415">
        <v>12</v>
      </c>
    </row>
    <row r="10416" spans="1:4" ht="15" x14ac:dyDescent="0.25">
      <c r="A10416" t="s">
        <v>27498</v>
      </c>
      <c r="B10416">
        <v>1</v>
      </c>
      <c r="C10416">
        <v>15</v>
      </c>
      <c r="D10416">
        <v>15</v>
      </c>
    </row>
    <row r="10417" spans="1:4" ht="15" x14ac:dyDescent="0.25">
      <c r="A10417" t="s">
        <v>27499</v>
      </c>
      <c r="B10417">
        <v>1</v>
      </c>
      <c r="C10417">
        <v>15</v>
      </c>
      <c r="D10417">
        <v>15</v>
      </c>
    </row>
    <row r="10418" spans="1:4" ht="15" x14ac:dyDescent="0.25">
      <c r="A10418" t="s">
        <v>27503</v>
      </c>
      <c r="B10418">
        <v>1</v>
      </c>
      <c r="C10418">
        <v>22</v>
      </c>
      <c r="D10418">
        <v>22</v>
      </c>
    </row>
    <row r="10419" spans="1:4" ht="15" x14ac:dyDescent="0.25">
      <c r="A10419" t="s">
        <v>27507</v>
      </c>
      <c r="B10419">
        <v>1</v>
      </c>
      <c r="C10419">
        <v>61</v>
      </c>
      <c r="D10419">
        <v>61</v>
      </c>
    </row>
    <row r="10420" spans="1:4" ht="15" x14ac:dyDescent="0.25">
      <c r="A10420" t="s">
        <v>27512</v>
      </c>
      <c r="B10420">
        <v>1</v>
      </c>
      <c r="C10420">
        <v>21</v>
      </c>
      <c r="D10420">
        <v>21</v>
      </c>
    </row>
    <row r="10421" spans="1:4" ht="15" x14ac:dyDescent="0.25">
      <c r="A10421" t="s">
        <v>27513</v>
      </c>
      <c r="B10421">
        <v>1</v>
      </c>
      <c r="C10421">
        <v>21</v>
      </c>
      <c r="D10421">
        <v>21</v>
      </c>
    </row>
    <row r="10422" spans="1:4" ht="15" x14ac:dyDescent="0.25">
      <c r="A10422" t="s">
        <v>27514</v>
      </c>
      <c r="B10422">
        <v>1</v>
      </c>
      <c r="C10422">
        <v>21</v>
      </c>
      <c r="D10422">
        <v>21</v>
      </c>
    </row>
    <row r="10423" spans="1:4" ht="15" x14ac:dyDescent="0.25">
      <c r="A10423" t="s">
        <v>27515</v>
      </c>
      <c r="B10423">
        <v>1</v>
      </c>
      <c r="C10423">
        <v>21</v>
      </c>
      <c r="D10423">
        <v>21</v>
      </c>
    </row>
    <row r="10424" spans="1:4" ht="15" x14ac:dyDescent="0.25">
      <c r="A10424" t="s">
        <v>27518</v>
      </c>
      <c r="B10424">
        <v>1</v>
      </c>
      <c r="C10424">
        <v>45</v>
      </c>
      <c r="D10424">
        <v>45</v>
      </c>
    </row>
    <row r="10425" spans="1:4" ht="15" x14ac:dyDescent="0.25">
      <c r="A10425" t="s">
        <v>27519</v>
      </c>
      <c r="B10425">
        <v>1</v>
      </c>
      <c r="C10425">
        <v>45</v>
      </c>
      <c r="D10425">
        <v>45</v>
      </c>
    </row>
    <row r="10426" spans="1:4" ht="15" x14ac:dyDescent="0.25">
      <c r="A10426" t="s">
        <v>27523</v>
      </c>
      <c r="B10426">
        <v>1</v>
      </c>
      <c r="C10426">
        <v>31</v>
      </c>
      <c r="D10426">
        <v>31</v>
      </c>
    </row>
    <row r="10427" spans="1:4" ht="15" x14ac:dyDescent="0.25">
      <c r="A10427" t="s">
        <v>27526</v>
      </c>
      <c r="B10427">
        <v>1</v>
      </c>
      <c r="C10427">
        <v>9</v>
      </c>
      <c r="D10427">
        <v>9</v>
      </c>
    </row>
    <row r="10428" spans="1:4" ht="15" x14ac:dyDescent="0.25">
      <c r="A10428" t="s">
        <v>27527</v>
      </c>
      <c r="B10428">
        <v>1</v>
      </c>
      <c r="C10428">
        <v>9</v>
      </c>
      <c r="D10428">
        <v>9</v>
      </c>
    </row>
    <row r="10429" spans="1:4" ht="15" x14ac:dyDescent="0.25">
      <c r="A10429" t="s">
        <v>27531</v>
      </c>
      <c r="B10429">
        <v>1</v>
      </c>
      <c r="C10429">
        <v>49</v>
      </c>
      <c r="D10429">
        <v>49</v>
      </c>
    </row>
    <row r="10430" spans="1:4" ht="15" x14ac:dyDescent="0.25">
      <c r="A10430" t="s">
        <v>27532</v>
      </c>
      <c r="B10430">
        <v>1</v>
      </c>
      <c r="C10430">
        <v>49</v>
      </c>
      <c r="D10430">
        <v>49</v>
      </c>
    </row>
    <row r="10431" spans="1:4" ht="15" x14ac:dyDescent="0.25">
      <c r="A10431" t="s">
        <v>27536</v>
      </c>
      <c r="B10431">
        <v>1</v>
      </c>
      <c r="C10431">
        <v>39</v>
      </c>
      <c r="D10431">
        <v>39</v>
      </c>
    </row>
    <row r="10432" spans="1:4" ht="15" x14ac:dyDescent="0.25">
      <c r="A10432" t="s">
        <v>27535</v>
      </c>
      <c r="B10432">
        <v>1</v>
      </c>
      <c r="C10432">
        <v>39</v>
      </c>
      <c r="D10432">
        <v>39</v>
      </c>
    </row>
    <row r="10433" spans="1:4" ht="15" x14ac:dyDescent="0.25">
      <c r="A10433" t="s">
        <v>27540</v>
      </c>
      <c r="B10433">
        <v>1</v>
      </c>
      <c r="C10433">
        <v>47</v>
      </c>
      <c r="D10433">
        <v>47</v>
      </c>
    </row>
    <row r="10434" spans="1:4" ht="15" x14ac:dyDescent="0.25">
      <c r="A10434" t="s">
        <v>27541</v>
      </c>
      <c r="B10434">
        <v>1</v>
      </c>
      <c r="C10434">
        <v>47</v>
      </c>
      <c r="D10434">
        <v>47</v>
      </c>
    </row>
    <row r="10435" spans="1:4" ht="15" x14ac:dyDescent="0.25">
      <c r="A10435" t="s">
        <v>27545</v>
      </c>
      <c r="B10435">
        <v>1</v>
      </c>
      <c r="C10435">
        <v>42</v>
      </c>
      <c r="D10435">
        <v>42</v>
      </c>
    </row>
    <row r="10436" spans="1:4" ht="15" x14ac:dyDescent="0.25">
      <c r="A10436" t="s">
        <v>27544</v>
      </c>
      <c r="B10436">
        <v>1</v>
      </c>
      <c r="C10436">
        <v>42</v>
      </c>
      <c r="D10436">
        <v>42</v>
      </c>
    </row>
    <row r="10437" spans="1:4" ht="15" x14ac:dyDescent="0.25">
      <c r="A10437" t="s">
        <v>27550</v>
      </c>
      <c r="B10437">
        <v>1</v>
      </c>
      <c r="C10437">
        <v>96</v>
      </c>
      <c r="D10437">
        <v>96</v>
      </c>
    </row>
    <row r="10438" spans="1:4" ht="15" x14ac:dyDescent="0.25">
      <c r="A10438" t="s">
        <v>27557</v>
      </c>
      <c r="B10438">
        <v>1</v>
      </c>
      <c r="C10438">
        <v>30</v>
      </c>
      <c r="D10438">
        <v>30</v>
      </c>
    </row>
    <row r="10439" spans="1:4" ht="15" x14ac:dyDescent="0.25">
      <c r="A10439" t="s">
        <v>27559</v>
      </c>
      <c r="B10439">
        <v>1</v>
      </c>
      <c r="C10439">
        <v>30</v>
      </c>
      <c r="D10439">
        <v>30</v>
      </c>
    </row>
    <row r="10440" spans="1:4" ht="15" x14ac:dyDescent="0.25">
      <c r="A10440" t="s">
        <v>27558</v>
      </c>
      <c r="B10440">
        <v>1</v>
      </c>
      <c r="C10440">
        <v>30</v>
      </c>
      <c r="D10440">
        <v>30</v>
      </c>
    </row>
    <row r="10441" spans="1:4" ht="15" x14ac:dyDescent="0.25">
      <c r="A10441" t="s">
        <v>27564</v>
      </c>
      <c r="B10441">
        <v>1</v>
      </c>
      <c r="C10441">
        <v>23</v>
      </c>
      <c r="D10441">
        <v>23</v>
      </c>
    </row>
    <row r="10442" spans="1:4" ht="15" x14ac:dyDescent="0.25">
      <c r="A10442" t="s">
        <v>27565</v>
      </c>
      <c r="B10442">
        <v>1</v>
      </c>
      <c r="C10442">
        <v>23</v>
      </c>
      <c r="D10442">
        <v>23</v>
      </c>
    </row>
    <row r="10443" spans="1:4" ht="15" x14ac:dyDescent="0.25">
      <c r="A10443" t="s">
        <v>27572</v>
      </c>
      <c r="B10443">
        <v>1</v>
      </c>
      <c r="C10443">
        <v>4</v>
      </c>
      <c r="D10443">
        <v>4</v>
      </c>
    </row>
    <row r="10444" spans="1:4" ht="15" x14ac:dyDescent="0.25">
      <c r="A10444" t="s">
        <v>27573</v>
      </c>
      <c r="B10444">
        <v>1</v>
      </c>
      <c r="C10444">
        <v>4</v>
      </c>
      <c r="D10444">
        <v>4</v>
      </c>
    </row>
    <row r="10445" spans="1:4" ht="15" x14ac:dyDescent="0.25">
      <c r="A10445" t="s">
        <v>27574</v>
      </c>
      <c r="B10445">
        <v>1</v>
      </c>
      <c r="C10445">
        <v>4</v>
      </c>
      <c r="D10445">
        <v>4</v>
      </c>
    </row>
    <row r="10446" spans="1:4" ht="15" x14ac:dyDescent="0.25">
      <c r="A10446" t="s">
        <v>27578</v>
      </c>
      <c r="B10446">
        <v>1</v>
      </c>
      <c r="C10446">
        <v>9</v>
      </c>
      <c r="D10446">
        <v>9</v>
      </c>
    </row>
    <row r="10447" spans="1:4" ht="15" x14ac:dyDescent="0.25">
      <c r="A10447" t="s">
        <v>27575</v>
      </c>
      <c r="B10447">
        <v>2</v>
      </c>
      <c r="C10447">
        <v>12</v>
      </c>
      <c r="D10447">
        <v>6</v>
      </c>
    </row>
    <row r="10448" spans="1:4" ht="15" x14ac:dyDescent="0.25">
      <c r="A10448" t="s">
        <v>27582</v>
      </c>
      <c r="B10448">
        <v>1</v>
      </c>
      <c r="C10448">
        <v>5</v>
      </c>
      <c r="D10448">
        <v>5</v>
      </c>
    </row>
    <row r="10449" spans="1:4" ht="15" x14ac:dyDescent="0.25">
      <c r="A10449" t="s">
        <v>27586</v>
      </c>
      <c r="B10449">
        <v>1</v>
      </c>
      <c r="C10449">
        <v>8</v>
      </c>
      <c r="D10449">
        <v>8</v>
      </c>
    </row>
    <row r="10450" spans="1:4" ht="15" x14ac:dyDescent="0.25">
      <c r="A10450" t="s">
        <v>27587</v>
      </c>
      <c r="B10450">
        <v>1</v>
      </c>
      <c r="C10450">
        <v>8</v>
      </c>
      <c r="D10450">
        <v>8</v>
      </c>
    </row>
    <row r="10451" spans="1:4" ht="15" x14ac:dyDescent="0.25">
      <c r="A10451" t="s">
        <v>27592</v>
      </c>
      <c r="B10451">
        <v>1</v>
      </c>
      <c r="C10451">
        <v>69</v>
      </c>
      <c r="D10451">
        <v>69</v>
      </c>
    </row>
    <row r="10452" spans="1:4" ht="15" x14ac:dyDescent="0.25">
      <c r="A10452" t="s">
        <v>27595</v>
      </c>
      <c r="B10452">
        <v>1</v>
      </c>
      <c r="C10452">
        <v>13</v>
      </c>
      <c r="D10452">
        <v>13</v>
      </c>
    </row>
    <row r="10453" spans="1:4" ht="15" x14ac:dyDescent="0.25">
      <c r="A10453" t="s">
        <v>27601</v>
      </c>
      <c r="B10453">
        <v>1</v>
      </c>
      <c r="C10453">
        <v>29</v>
      </c>
      <c r="D10453">
        <v>29</v>
      </c>
    </row>
    <row r="10454" spans="1:4" ht="15" x14ac:dyDescent="0.25">
      <c r="A10454" t="s">
        <v>27603</v>
      </c>
      <c r="B10454">
        <v>1</v>
      </c>
      <c r="C10454">
        <v>29</v>
      </c>
      <c r="D10454">
        <v>29</v>
      </c>
    </row>
    <row r="10455" spans="1:4" ht="15" x14ac:dyDescent="0.25">
      <c r="A10455" t="s">
        <v>27602</v>
      </c>
      <c r="B10455">
        <v>1</v>
      </c>
      <c r="C10455">
        <v>29</v>
      </c>
      <c r="D10455">
        <v>29</v>
      </c>
    </row>
    <row r="10456" spans="1:4" ht="15" x14ac:dyDescent="0.25">
      <c r="A10456" t="s">
        <v>27610</v>
      </c>
      <c r="B10456">
        <v>6</v>
      </c>
      <c r="C10456">
        <v>230</v>
      </c>
      <c r="D10456">
        <v>38.333333333333336</v>
      </c>
    </row>
    <row r="10457" spans="1:4" ht="15" x14ac:dyDescent="0.25">
      <c r="A10457" t="s">
        <v>27609</v>
      </c>
      <c r="B10457">
        <v>2</v>
      </c>
      <c r="C10457">
        <v>75</v>
      </c>
      <c r="D10457">
        <v>37.5</v>
      </c>
    </row>
    <row r="10458" spans="1:4" ht="15" x14ac:dyDescent="0.25">
      <c r="A10458" t="s">
        <v>27614</v>
      </c>
      <c r="B10458">
        <v>1</v>
      </c>
      <c r="C10458">
        <v>18</v>
      </c>
      <c r="D10458">
        <v>18</v>
      </c>
    </row>
    <row r="10459" spans="1:4" ht="15" x14ac:dyDescent="0.25">
      <c r="A10459" t="s">
        <v>27615</v>
      </c>
      <c r="B10459">
        <v>1</v>
      </c>
      <c r="C10459">
        <v>18</v>
      </c>
      <c r="D10459">
        <v>18</v>
      </c>
    </row>
    <row r="10460" spans="1:4" ht="15" x14ac:dyDescent="0.25">
      <c r="A10460" t="s">
        <v>27619</v>
      </c>
      <c r="B10460">
        <v>1</v>
      </c>
      <c r="C10460">
        <v>25</v>
      </c>
      <c r="D10460">
        <v>25</v>
      </c>
    </row>
    <row r="10461" spans="1:4" ht="15" x14ac:dyDescent="0.25">
      <c r="A10461" t="s">
        <v>27620</v>
      </c>
      <c r="B10461">
        <v>1</v>
      </c>
      <c r="C10461">
        <v>25</v>
      </c>
      <c r="D10461">
        <v>25</v>
      </c>
    </row>
    <row r="10462" spans="1:4" ht="15" x14ac:dyDescent="0.25">
      <c r="A10462" t="s">
        <v>27621</v>
      </c>
      <c r="B10462">
        <v>1</v>
      </c>
      <c r="C10462">
        <v>25</v>
      </c>
      <c r="D10462">
        <v>25</v>
      </c>
    </row>
    <row r="10463" spans="1:4" ht="15" x14ac:dyDescent="0.25">
      <c r="A10463" t="s">
        <v>27630</v>
      </c>
      <c r="B10463">
        <v>1</v>
      </c>
      <c r="C10463">
        <v>79</v>
      </c>
      <c r="D10463">
        <v>79</v>
      </c>
    </row>
    <row r="10464" spans="1:4" ht="15" x14ac:dyDescent="0.25">
      <c r="A10464" t="s">
        <v>27633</v>
      </c>
      <c r="B10464">
        <v>1</v>
      </c>
      <c r="C10464">
        <v>79</v>
      </c>
      <c r="D10464">
        <v>79</v>
      </c>
    </row>
    <row r="10465" spans="1:4" ht="15" x14ac:dyDescent="0.25">
      <c r="A10465" t="s">
        <v>27639</v>
      </c>
      <c r="B10465">
        <v>1</v>
      </c>
      <c r="C10465">
        <v>13</v>
      </c>
      <c r="D10465">
        <v>13</v>
      </c>
    </row>
    <row r="10466" spans="1:4" ht="15" x14ac:dyDescent="0.25">
      <c r="A10466" t="s">
        <v>27645</v>
      </c>
      <c r="B10466">
        <v>1</v>
      </c>
      <c r="C10466">
        <v>28</v>
      </c>
      <c r="D10466">
        <v>28</v>
      </c>
    </row>
    <row r="10467" spans="1:4" ht="15" x14ac:dyDescent="0.25">
      <c r="A10467" t="s">
        <v>27651</v>
      </c>
      <c r="B10467">
        <v>1</v>
      </c>
      <c r="C10467">
        <v>18</v>
      </c>
      <c r="D10467">
        <v>18</v>
      </c>
    </row>
    <row r="10468" spans="1:4" ht="15" x14ac:dyDescent="0.25">
      <c r="A10468" t="s">
        <v>27653</v>
      </c>
      <c r="B10468">
        <v>1</v>
      </c>
      <c r="C10468">
        <v>18</v>
      </c>
      <c r="D10468">
        <v>18</v>
      </c>
    </row>
    <row r="10469" spans="1:4" ht="15" x14ac:dyDescent="0.25">
      <c r="A10469" t="s">
        <v>27654</v>
      </c>
      <c r="B10469">
        <v>1</v>
      </c>
      <c r="C10469">
        <v>18</v>
      </c>
      <c r="D10469">
        <v>18</v>
      </c>
    </row>
    <row r="10470" spans="1:4" ht="15" x14ac:dyDescent="0.25">
      <c r="A10470" t="s">
        <v>27652</v>
      </c>
      <c r="B10470">
        <v>1</v>
      </c>
      <c r="C10470">
        <v>18</v>
      </c>
      <c r="D10470">
        <v>18</v>
      </c>
    </row>
    <row r="10471" spans="1:4" ht="15" x14ac:dyDescent="0.25">
      <c r="A10471" t="s">
        <v>27659</v>
      </c>
      <c r="B10471">
        <v>1</v>
      </c>
      <c r="C10471">
        <v>50</v>
      </c>
      <c r="D10471">
        <v>50</v>
      </c>
    </row>
    <row r="10472" spans="1:4" ht="15" x14ac:dyDescent="0.25">
      <c r="A10472" t="s">
        <v>27660</v>
      </c>
      <c r="B10472">
        <v>1</v>
      </c>
      <c r="C10472">
        <v>50</v>
      </c>
      <c r="D10472">
        <v>50</v>
      </c>
    </row>
    <row r="10473" spans="1:4" ht="15" x14ac:dyDescent="0.25">
      <c r="A10473" t="s">
        <v>27666</v>
      </c>
      <c r="B10473">
        <v>1</v>
      </c>
      <c r="C10473">
        <v>39</v>
      </c>
      <c r="D10473">
        <v>39</v>
      </c>
    </row>
    <row r="10474" spans="1:4" ht="15" x14ac:dyDescent="0.25">
      <c r="A10474" t="s">
        <v>27667</v>
      </c>
      <c r="B10474">
        <v>1</v>
      </c>
      <c r="C10474">
        <v>39</v>
      </c>
      <c r="D10474">
        <v>39</v>
      </c>
    </row>
    <row r="10475" spans="1:4" ht="15" x14ac:dyDescent="0.25">
      <c r="A10475" t="s">
        <v>27669</v>
      </c>
      <c r="B10475">
        <v>1</v>
      </c>
      <c r="C10475">
        <v>39</v>
      </c>
      <c r="D10475">
        <v>39</v>
      </c>
    </row>
    <row r="10476" spans="1:4" ht="15" x14ac:dyDescent="0.25">
      <c r="A10476" t="s">
        <v>27670</v>
      </c>
      <c r="B10476">
        <v>1</v>
      </c>
      <c r="C10476">
        <v>39</v>
      </c>
      <c r="D10476">
        <v>39</v>
      </c>
    </row>
    <row r="10477" spans="1:4" ht="15" x14ac:dyDescent="0.25">
      <c r="A10477" t="s">
        <v>27668</v>
      </c>
      <c r="B10477">
        <v>1</v>
      </c>
      <c r="C10477">
        <v>39</v>
      </c>
      <c r="D10477">
        <v>39</v>
      </c>
    </row>
    <row r="10478" spans="1:4" ht="15" x14ac:dyDescent="0.25">
      <c r="A10478" t="s">
        <v>27674</v>
      </c>
      <c r="B10478">
        <v>1</v>
      </c>
      <c r="C10478">
        <v>12</v>
      </c>
      <c r="D10478">
        <v>12</v>
      </c>
    </row>
    <row r="10479" spans="1:4" ht="15" x14ac:dyDescent="0.25">
      <c r="A10479" t="s">
        <v>27675</v>
      </c>
      <c r="B10479">
        <v>1</v>
      </c>
      <c r="C10479">
        <v>12</v>
      </c>
      <c r="D10479">
        <v>12</v>
      </c>
    </row>
    <row r="10480" spans="1:4" ht="15" x14ac:dyDescent="0.25">
      <c r="A10480" t="s">
        <v>27678</v>
      </c>
      <c r="B10480">
        <v>1</v>
      </c>
      <c r="C10480">
        <v>75</v>
      </c>
      <c r="D10480">
        <v>75</v>
      </c>
    </row>
    <row r="10481" spans="1:4" ht="15" x14ac:dyDescent="0.25">
      <c r="A10481" t="s">
        <v>27679</v>
      </c>
      <c r="B10481">
        <v>1</v>
      </c>
      <c r="C10481">
        <v>75</v>
      </c>
      <c r="D10481">
        <v>75</v>
      </c>
    </row>
    <row r="10482" spans="1:4" ht="15" x14ac:dyDescent="0.25">
      <c r="A10482" t="s">
        <v>2873</v>
      </c>
      <c r="B10482">
        <v>1</v>
      </c>
      <c r="C10482">
        <v>75</v>
      </c>
      <c r="D10482">
        <v>75</v>
      </c>
    </row>
    <row r="10483" spans="1:4" ht="15" x14ac:dyDescent="0.25">
      <c r="A10483" t="s">
        <v>27686</v>
      </c>
      <c r="B10483">
        <v>1</v>
      </c>
      <c r="C10483">
        <v>40</v>
      </c>
      <c r="D10483">
        <v>40</v>
      </c>
    </row>
    <row r="10484" spans="1:4" ht="15" x14ac:dyDescent="0.25">
      <c r="A10484" t="s">
        <v>27691</v>
      </c>
      <c r="B10484">
        <v>1</v>
      </c>
      <c r="C10484">
        <v>25</v>
      </c>
      <c r="D10484">
        <v>25</v>
      </c>
    </row>
    <row r="10485" spans="1:4" ht="15" x14ac:dyDescent="0.25">
      <c r="A10485" t="s">
        <v>27692</v>
      </c>
      <c r="B10485">
        <v>1</v>
      </c>
      <c r="C10485">
        <v>25</v>
      </c>
      <c r="D10485">
        <v>25</v>
      </c>
    </row>
    <row r="10486" spans="1:4" ht="15" x14ac:dyDescent="0.25">
      <c r="A10486" t="s">
        <v>27694</v>
      </c>
      <c r="B10486">
        <v>1</v>
      </c>
      <c r="C10486">
        <v>25</v>
      </c>
      <c r="D10486">
        <v>25</v>
      </c>
    </row>
    <row r="10487" spans="1:4" ht="15" x14ac:dyDescent="0.25">
      <c r="A10487" t="s">
        <v>27693</v>
      </c>
      <c r="B10487">
        <v>1</v>
      </c>
      <c r="C10487">
        <v>25</v>
      </c>
      <c r="D10487">
        <v>25</v>
      </c>
    </row>
    <row r="10488" spans="1:4" ht="15" x14ac:dyDescent="0.25">
      <c r="A10488" t="s">
        <v>27697</v>
      </c>
      <c r="B10488">
        <v>1</v>
      </c>
      <c r="C10488">
        <v>40</v>
      </c>
      <c r="D10488">
        <v>40</v>
      </c>
    </row>
    <row r="10489" spans="1:4" ht="15" x14ac:dyDescent="0.25">
      <c r="A10489" t="s">
        <v>27698</v>
      </c>
      <c r="B10489">
        <v>1</v>
      </c>
      <c r="C10489">
        <v>40</v>
      </c>
      <c r="D10489">
        <v>40</v>
      </c>
    </row>
    <row r="10490" spans="1:4" ht="15" x14ac:dyDescent="0.25">
      <c r="A10490" t="s">
        <v>27700</v>
      </c>
      <c r="B10490">
        <v>1</v>
      </c>
      <c r="C10490">
        <v>40</v>
      </c>
      <c r="D10490">
        <v>40</v>
      </c>
    </row>
    <row r="10491" spans="1:4" ht="15" x14ac:dyDescent="0.25">
      <c r="A10491" t="s">
        <v>27699</v>
      </c>
      <c r="B10491">
        <v>1</v>
      </c>
      <c r="C10491">
        <v>40</v>
      </c>
      <c r="D10491">
        <v>40</v>
      </c>
    </row>
    <row r="10492" spans="1:4" ht="15" x14ac:dyDescent="0.25">
      <c r="A10492" t="s">
        <v>27704</v>
      </c>
      <c r="B10492">
        <v>1</v>
      </c>
      <c r="C10492">
        <v>10</v>
      </c>
      <c r="D10492">
        <v>10</v>
      </c>
    </row>
    <row r="10493" spans="1:4" ht="15" x14ac:dyDescent="0.25">
      <c r="A10493" t="s">
        <v>27712</v>
      </c>
      <c r="B10493">
        <v>1</v>
      </c>
      <c r="C10493">
        <v>109</v>
      </c>
      <c r="D10493">
        <v>109</v>
      </c>
    </row>
    <row r="10494" spans="1:4" ht="15" x14ac:dyDescent="0.25">
      <c r="A10494" t="s">
        <v>27716</v>
      </c>
      <c r="B10494">
        <v>1</v>
      </c>
      <c r="C10494">
        <v>12</v>
      </c>
      <c r="D10494">
        <v>12</v>
      </c>
    </row>
    <row r="10495" spans="1:4" ht="15" x14ac:dyDescent="0.25">
      <c r="A10495" t="s">
        <v>27717</v>
      </c>
      <c r="B10495">
        <v>1</v>
      </c>
      <c r="C10495">
        <v>12</v>
      </c>
      <c r="D10495">
        <v>12</v>
      </c>
    </row>
    <row r="10496" spans="1:4" ht="15" x14ac:dyDescent="0.25">
      <c r="A10496" t="s">
        <v>27726</v>
      </c>
      <c r="B10496">
        <v>1</v>
      </c>
      <c r="C10496">
        <v>180</v>
      </c>
      <c r="D10496">
        <v>180</v>
      </c>
    </row>
    <row r="10497" spans="1:4" ht="15" x14ac:dyDescent="0.25">
      <c r="A10497" t="s">
        <v>27731</v>
      </c>
      <c r="B10497">
        <v>1</v>
      </c>
      <c r="C10497">
        <v>88</v>
      </c>
      <c r="D10497">
        <v>88</v>
      </c>
    </row>
    <row r="10498" spans="1:4" ht="15" x14ac:dyDescent="0.25">
      <c r="A10498" t="s">
        <v>27732</v>
      </c>
      <c r="B10498">
        <v>1</v>
      </c>
      <c r="C10498">
        <v>88</v>
      </c>
      <c r="D10498">
        <v>88</v>
      </c>
    </row>
    <row r="10499" spans="1:4" ht="15" x14ac:dyDescent="0.25">
      <c r="A10499" t="s">
        <v>27733</v>
      </c>
      <c r="B10499">
        <v>1</v>
      </c>
      <c r="C10499">
        <v>88</v>
      </c>
      <c r="D10499">
        <v>88</v>
      </c>
    </row>
    <row r="10500" spans="1:4" ht="15" x14ac:dyDescent="0.25">
      <c r="A10500" t="s">
        <v>27736</v>
      </c>
      <c r="B10500">
        <v>1</v>
      </c>
      <c r="C10500">
        <v>74</v>
      </c>
      <c r="D10500">
        <v>74</v>
      </c>
    </row>
    <row r="10501" spans="1:4" ht="15" x14ac:dyDescent="0.25">
      <c r="A10501" t="s">
        <v>27741</v>
      </c>
      <c r="B10501">
        <v>1</v>
      </c>
      <c r="C10501">
        <v>206</v>
      </c>
      <c r="D10501">
        <v>206</v>
      </c>
    </row>
    <row r="10502" spans="1:4" ht="15" x14ac:dyDescent="0.25">
      <c r="A10502" t="s">
        <v>27742</v>
      </c>
      <c r="B10502">
        <v>1</v>
      </c>
      <c r="C10502">
        <v>206</v>
      </c>
      <c r="D10502">
        <v>206</v>
      </c>
    </row>
    <row r="10503" spans="1:4" ht="15" x14ac:dyDescent="0.25">
      <c r="A10503" t="s">
        <v>27744</v>
      </c>
      <c r="B10503">
        <v>1</v>
      </c>
      <c r="C10503">
        <v>206</v>
      </c>
      <c r="D10503">
        <v>206</v>
      </c>
    </row>
    <row r="10504" spans="1:4" ht="15" x14ac:dyDescent="0.25">
      <c r="A10504" t="s">
        <v>27745</v>
      </c>
      <c r="B10504">
        <v>1</v>
      </c>
      <c r="C10504">
        <v>206</v>
      </c>
      <c r="D10504">
        <v>206</v>
      </c>
    </row>
    <row r="10505" spans="1:4" ht="15" x14ac:dyDescent="0.25">
      <c r="A10505" t="s">
        <v>27743</v>
      </c>
      <c r="B10505">
        <v>1</v>
      </c>
      <c r="C10505">
        <v>206</v>
      </c>
      <c r="D10505">
        <v>206</v>
      </c>
    </row>
    <row r="10506" spans="1:4" ht="15" x14ac:dyDescent="0.25">
      <c r="A10506" t="s">
        <v>27749</v>
      </c>
      <c r="B10506">
        <v>1</v>
      </c>
      <c r="C10506">
        <v>148</v>
      </c>
      <c r="D10506">
        <v>148</v>
      </c>
    </row>
    <row r="10507" spans="1:4" ht="15" x14ac:dyDescent="0.25">
      <c r="A10507" t="s">
        <v>27753</v>
      </c>
      <c r="B10507">
        <v>1</v>
      </c>
      <c r="C10507">
        <v>45</v>
      </c>
      <c r="D10507">
        <v>45</v>
      </c>
    </row>
    <row r="10508" spans="1:4" ht="15" x14ac:dyDescent="0.25">
      <c r="A10508" t="s">
        <v>27754</v>
      </c>
      <c r="B10508">
        <v>2</v>
      </c>
      <c r="C10508">
        <v>120</v>
      </c>
      <c r="D10508">
        <v>60</v>
      </c>
    </row>
    <row r="10509" spans="1:4" ht="15" x14ac:dyDescent="0.25">
      <c r="A10509" t="s">
        <v>27756</v>
      </c>
      <c r="B10509">
        <v>1</v>
      </c>
      <c r="C10509">
        <v>45</v>
      </c>
      <c r="D10509">
        <v>45</v>
      </c>
    </row>
    <row r="10510" spans="1:4" ht="15" x14ac:dyDescent="0.25">
      <c r="A10510" t="s">
        <v>27757</v>
      </c>
      <c r="B10510">
        <v>1</v>
      </c>
      <c r="C10510">
        <v>45</v>
      </c>
      <c r="D10510">
        <v>45</v>
      </c>
    </row>
    <row r="10511" spans="1:4" ht="15" x14ac:dyDescent="0.25">
      <c r="A10511" t="s">
        <v>27755</v>
      </c>
      <c r="B10511">
        <v>1</v>
      </c>
      <c r="C10511">
        <v>45</v>
      </c>
      <c r="D10511">
        <v>45</v>
      </c>
    </row>
    <row r="10512" spans="1:4" ht="15" x14ac:dyDescent="0.25">
      <c r="A10512" t="s">
        <v>27762</v>
      </c>
      <c r="B10512">
        <v>1</v>
      </c>
      <c r="C10512">
        <v>4</v>
      </c>
      <c r="D10512">
        <v>4</v>
      </c>
    </row>
    <row r="10513" spans="1:4" ht="15" x14ac:dyDescent="0.25">
      <c r="A10513" t="s">
        <v>27766</v>
      </c>
      <c r="B10513">
        <v>1</v>
      </c>
      <c r="C10513">
        <v>4</v>
      </c>
      <c r="D10513">
        <v>4</v>
      </c>
    </row>
    <row r="10514" spans="1:4" ht="15" x14ac:dyDescent="0.25">
      <c r="A10514" t="s">
        <v>27770</v>
      </c>
      <c r="B10514">
        <v>1</v>
      </c>
      <c r="C10514">
        <v>42</v>
      </c>
      <c r="D10514">
        <v>42</v>
      </c>
    </row>
    <row r="10515" spans="1:4" ht="15" x14ac:dyDescent="0.25">
      <c r="A10515" t="s">
        <v>27771</v>
      </c>
      <c r="B10515">
        <v>1</v>
      </c>
      <c r="C10515">
        <v>42</v>
      </c>
      <c r="D10515">
        <v>42</v>
      </c>
    </row>
    <row r="10516" spans="1:4" ht="15" x14ac:dyDescent="0.25">
      <c r="A10516" t="s">
        <v>27772</v>
      </c>
      <c r="B10516">
        <v>1</v>
      </c>
      <c r="C10516">
        <v>42</v>
      </c>
      <c r="D10516">
        <v>42</v>
      </c>
    </row>
    <row r="10517" spans="1:4" ht="15" x14ac:dyDescent="0.25">
      <c r="A10517" t="s">
        <v>27777</v>
      </c>
      <c r="B10517">
        <v>1</v>
      </c>
      <c r="C10517">
        <v>36</v>
      </c>
      <c r="D10517">
        <v>36</v>
      </c>
    </row>
    <row r="10518" spans="1:4" ht="15" x14ac:dyDescent="0.25">
      <c r="A10518" t="s">
        <v>27778</v>
      </c>
      <c r="B10518">
        <v>1</v>
      </c>
      <c r="C10518">
        <v>36</v>
      </c>
      <c r="D10518">
        <v>36</v>
      </c>
    </row>
    <row r="10519" spans="1:4" ht="15" x14ac:dyDescent="0.25">
      <c r="A10519" t="s">
        <v>27779</v>
      </c>
      <c r="B10519">
        <v>1</v>
      </c>
      <c r="C10519">
        <v>36</v>
      </c>
      <c r="D10519">
        <v>36</v>
      </c>
    </row>
    <row r="10520" spans="1:4" ht="15" x14ac:dyDescent="0.25">
      <c r="A10520" t="s">
        <v>27783</v>
      </c>
      <c r="B10520">
        <v>1</v>
      </c>
      <c r="C10520">
        <v>54</v>
      </c>
      <c r="D10520">
        <v>54</v>
      </c>
    </row>
    <row r="10521" spans="1:4" ht="15" x14ac:dyDescent="0.25">
      <c r="A10521" t="s">
        <v>27785</v>
      </c>
      <c r="B10521">
        <v>1</v>
      </c>
      <c r="C10521">
        <v>54</v>
      </c>
      <c r="D10521">
        <v>54</v>
      </c>
    </row>
    <row r="10522" spans="1:4" ht="15" x14ac:dyDescent="0.25">
      <c r="A10522" t="s">
        <v>27784</v>
      </c>
      <c r="B10522">
        <v>1</v>
      </c>
      <c r="C10522">
        <v>54</v>
      </c>
      <c r="D10522">
        <v>54</v>
      </c>
    </row>
    <row r="10523" spans="1:4" ht="15" x14ac:dyDescent="0.25">
      <c r="A10523" t="s">
        <v>27789</v>
      </c>
      <c r="B10523">
        <v>1</v>
      </c>
      <c r="C10523">
        <v>90</v>
      </c>
      <c r="D10523">
        <v>90</v>
      </c>
    </row>
    <row r="10524" spans="1:4" ht="15" x14ac:dyDescent="0.25">
      <c r="A10524" t="s">
        <v>27790</v>
      </c>
      <c r="B10524">
        <v>1</v>
      </c>
      <c r="C10524">
        <v>90</v>
      </c>
      <c r="D10524">
        <v>90</v>
      </c>
    </row>
    <row r="10525" spans="1:4" ht="15" x14ac:dyDescent="0.25">
      <c r="A10525" t="s">
        <v>27788</v>
      </c>
      <c r="B10525">
        <v>1</v>
      </c>
      <c r="C10525">
        <v>90</v>
      </c>
      <c r="D10525">
        <v>90</v>
      </c>
    </row>
    <row r="10526" spans="1:4" ht="15" x14ac:dyDescent="0.25">
      <c r="A10526" t="s">
        <v>27794</v>
      </c>
      <c r="B10526">
        <v>1</v>
      </c>
      <c r="C10526">
        <v>49</v>
      </c>
      <c r="D10526">
        <v>49</v>
      </c>
    </row>
    <row r="10527" spans="1:4" ht="15" x14ac:dyDescent="0.25">
      <c r="A10527" t="s">
        <v>27795</v>
      </c>
      <c r="B10527">
        <v>1</v>
      </c>
      <c r="C10527">
        <v>49</v>
      </c>
      <c r="D10527">
        <v>49</v>
      </c>
    </row>
    <row r="10528" spans="1:4" ht="15" x14ac:dyDescent="0.25">
      <c r="A10528" t="s">
        <v>27797</v>
      </c>
      <c r="B10528">
        <v>1</v>
      </c>
      <c r="C10528">
        <v>49</v>
      </c>
      <c r="D10528">
        <v>49</v>
      </c>
    </row>
    <row r="10529" spans="1:4" ht="15" x14ac:dyDescent="0.25">
      <c r="A10529" t="s">
        <v>27796</v>
      </c>
      <c r="B10529">
        <v>1</v>
      </c>
      <c r="C10529">
        <v>49</v>
      </c>
      <c r="D10529">
        <v>49</v>
      </c>
    </row>
    <row r="10530" spans="1:4" ht="15" x14ac:dyDescent="0.25">
      <c r="A10530" t="s">
        <v>27801</v>
      </c>
      <c r="B10530">
        <v>1</v>
      </c>
      <c r="C10530">
        <v>39</v>
      </c>
      <c r="D10530">
        <v>39</v>
      </c>
    </row>
    <row r="10531" spans="1:4" ht="15" x14ac:dyDescent="0.25">
      <c r="A10531" t="s">
        <v>27802</v>
      </c>
      <c r="B10531">
        <v>1</v>
      </c>
      <c r="C10531">
        <v>39</v>
      </c>
      <c r="D10531">
        <v>39</v>
      </c>
    </row>
    <row r="10532" spans="1:4" ht="15" x14ac:dyDescent="0.25">
      <c r="A10532" t="s">
        <v>27806</v>
      </c>
      <c r="B10532">
        <v>1</v>
      </c>
      <c r="C10532">
        <v>11</v>
      </c>
      <c r="D10532">
        <v>11</v>
      </c>
    </row>
    <row r="10533" spans="1:4" ht="15" x14ac:dyDescent="0.25">
      <c r="A10533" t="s">
        <v>27808</v>
      </c>
      <c r="B10533">
        <v>1</v>
      </c>
      <c r="C10533">
        <v>11</v>
      </c>
      <c r="D10533">
        <v>11</v>
      </c>
    </row>
    <row r="10534" spans="1:4" ht="15" x14ac:dyDescent="0.25">
      <c r="A10534" t="s">
        <v>27809</v>
      </c>
      <c r="B10534">
        <v>1</v>
      </c>
      <c r="C10534">
        <v>11</v>
      </c>
      <c r="D10534">
        <v>11</v>
      </c>
    </row>
    <row r="10535" spans="1:4" ht="15" x14ac:dyDescent="0.25">
      <c r="A10535" t="s">
        <v>27807</v>
      </c>
      <c r="B10535">
        <v>1</v>
      </c>
      <c r="C10535">
        <v>11</v>
      </c>
      <c r="D10535">
        <v>11</v>
      </c>
    </row>
    <row r="10536" spans="1:4" ht="15" x14ac:dyDescent="0.25">
      <c r="A10536" t="s">
        <v>27812</v>
      </c>
      <c r="B10536">
        <v>1</v>
      </c>
      <c r="C10536">
        <v>56</v>
      </c>
      <c r="D10536">
        <v>56</v>
      </c>
    </row>
    <row r="10537" spans="1:4" ht="15" x14ac:dyDescent="0.25">
      <c r="A10537" t="s">
        <v>27815</v>
      </c>
      <c r="B10537">
        <v>1</v>
      </c>
      <c r="C10537">
        <v>28</v>
      </c>
      <c r="D10537">
        <v>28</v>
      </c>
    </row>
    <row r="10538" spans="1:4" ht="15" x14ac:dyDescent="0.25">
      <c r="A10538" t="s">
        <v>27816</v>
      </c>
      <c r="B10538">
        <v>1</v>
      </c>
      <c r="C10538">
        <v>28</v>
      </c>
      <c r="D10538">
        <v>28</v>
      </c>
    </row>
    <row r="10539" spans="1:4" ht="15" x14ac:dyDescent="0.25">
      <c r="A10539" t="s">
        <v>27817</v>
      </c>
      <c r="B10539">
        <v>1</v>
      </c>
      <c r="C10539">
        <v>28</v>
      </c>
      <c r="D10539">
        <v>28</v>
      </c>
    </row>
    <row r="10540" spans="1:4" ht="15" x14ac:dyDescent="0.25">
      <c r="A10540" t="s">
        <v>27822</v>
      </c>
      <c r="B10540">
        <v>1</v>
      </c>
      <c r="C10540">
        <v>25</v>
      </c>
      <c r="D10540">
        <v>25</v>
      </c>
    </row>
    <row r="10541" spans="1:4" ht="15" x14ac:dyDescent="0.25">
      <c r="A10541" t="s">
        <v>27826</v>
      </c>
      <c r="B10541">
        <v>1</v>
      </c>
      <c r="C10541">
        <v>9</v>
      </c>
      <c r="D10541">
        <v>9</v>
      </c>
    </row>
    <row r="10542" spans="1:4" ht="15" x14ac:dyDescent="0.25">
      <c r="A10542" t="s">
        <v>27827</v>
      </c>
      <c r="B10542">
        <v>1</v>
      </c>
      <c r="C10542">
        <v>9</v>
      </c>
      <c r="D10542">
        <v>9</v>
      </c>
    </row>
    <row r="10543" spans="1:4" ht="15" x14ac:dyDescent="0.25">
      <c r="A10543" t="s">
        <v>27828</v>
      </c>
      <c r="B10543">
        <v>1</v>
      </c>
      <c r="C10543">
        <v>9</v>
      </c>
      <c r="D10543">
        <v>9</v>
      </c>
    </row>
    <row r="10544" spans="1:4" ht="15" x14ac:dyDescent="0.25">
      <c r="A10544" t="s">
        <v>27829</v>
      </c>
      <c r="B10544">
        <v>1</v>
      </c>
      <c r="C10544">
        <v>9</v>
      </c>
      <c r="D10544">
        <v>9</v>
      </c>
    </row>
    <row r="10545" spans="1:4" ht="15" x14ac:dyDescent="0.25">
      <c r="A10545" t="s">
        <v>27833</v>
      </c>
      <c r="B10545">
        <v>1</v>
      </c>
      <c r="C10545">
        <v>14</v>
      </c>
      <c r="D10545">
        <v>14</v>
      </c>
    </row>
    <row r="10546" spans="1:4" ht="15" x14ac:dyDescent="0.25">
      <c r="A10546" t="s">
        <v>27834</v>
      </c>
      <c r="B10546">
        <v>1</v>
      </c>
      <c r="C10546">
        <v>14</v>
      </c>
      <c r="D10546">
        <v>14</v>
      </c>
    </row>
    <row r="10547" spans="1:4" ht="15" x14ac:dyDescent="0.25">
      <c r="A10547" t="s">
        <v>27836</v>
      </c>
      <c r="B10547">
        <v>1</v>
      </c>
      <c r="C10547">
        <v>14</v>
      </c>
      <c r="D10547">
        <v>14</v>
      </c>
    </row>
    <row r="10548" spans="1:4" ht="15" x14ac:dyDescent="0.25">
      <c r="A10548" t="s">
        <v>27837</v>
      </c>
      <c r="B10548">
        <v>1</v>
      </c>
      <c r="C10548">
        <v>14</v>
      </c>
      <c r="D10548">
        <v>14</v>
      </c>
    </row>
    <row r="10549" spans="1:4" ht="15" x14ac:dyDescent="0.25">
      <c r="A10549" t="s">
        <v>27835</v>
      </c>
      <c r="B10549">
        <v>1</v>
      </c>
      <c r="C10549">
        <v>14</v>
      </c>
      <c r="D10549">
        <v>14</v>
      </c>
    </row>
    <row r="10550" spans="1:4" ht="15" x14ac:dyDescent="0.25">
      <c r="A10550" t="s">
        <v>27841</v>
      </c>
      <c r="B10550">
        <v>1</v>
      </c>
      <c r="C10550">
        <v>40</v>
      </c>
      <c r="D10550">
        <v>40</v>
      </c>
    </row>
    <row r="10551" spans="1:4" ht="15" x14ac:dyDescent="0.25">
      <c r="A10551" t="s">
        <v>27849</v>
      </c>
      <c r="B10551">
        <v>1</v>
      </c>
      <c r="C10551">
        <v>25</v>
      </c>
      <c r="D10551">
        <v>25</v>
      </c>
    </row>
    <row r="10552" spans="1:4" ht="15" x14ac:dyDescent="0.25">
      <c r="A10552" t="s">
        <v>27851</v>
      </c>
      <c r="B10552">
        <v>1</v>
      </c>
      <c r="C10552">
        <v>25</v>
      </c>
      <c r="D10552">
        <v>25</v>
      </c>
    </row>
    <row r="10553" spans="1:4" ht="15" x14ac:dyDescent="0.25">
      <c r="A10553" t="s">
        <v>27850</v>
      </c>
      <c r="B10553">
        <v>1</v>
      </c>
      <c r="C10553">
        <v>25</v>
      </c>
      <c r="D10553">
        <v>25</v>
      </c>
    </row>
    <row r="10554" spans="1:4" ht="15" x14ac:dyDescent="0.25">
      <c r="A10554" t="s">
        <v>27854</v>
      </c>
      <c r="B10554">
        <v>1</v>
      </c>
      <c r="C10554">
        <v>38</v>
      </c>
      <c r="D10554">
        <v>38</v>
      </c>
    </row>
    <row r="10555" spans="1:4" ht="15" x14ac:dyDescent="0.25">
      <c r="A10555" t="s">
        <v>27856</v>
      </c>
      <c r="B10555">
        <v>1</v>
      </c>
      <c r="C10555">
        <v>38</v>
      </c>
      <c r="D10555">
        <v>38</v>
      </c>
    </row>
    <row r="10556" spans="1:4" ht="15" x14ac:dyDescent="0.25">
      <c r="A10556" t="s">
        <v>27855</v>
      </c>
      <c r="B10556">
        <v>1</v>
      </c>
      <c r="C10556">
        <v>38</v>
      </c>
      <c r="D10556">
        <v>38</v>
      </c>
    </row>
    <row r="10557" spans="1:4" ht="15" x14ac:dyDescent="0.25">
      <c r="A10557" t="s">
        <v>27860</v>
      </c>
      <c r="B10557">
        <v>1</v>
      </c>
      <c r="C10557">
        <v>84</v>
      </c>
      <c r="D10557">
        <v>84</v>
      </c>
    </row>
    <row r="10558" spans="1:4" ht="15" x14ac:dyDescent="0.25">
      <c r="A10558" t="s">
        <v>27863</v>
      </c>
      <c r="B10558">
        <v>3</v>
      </c>
      <c r="C10558">
        <v>111</v>
      </c>
      <c r="D10558">
        <v>37</v>
      </c>
    </row>
    <row r="10559" spans="1:4" ht="15" x14ac:dyDescent="0.25">
      <c r="A10559" t="s">
        <v>27865</v>
      </c>
      <c r="B10559">
        <v>3</v>
      </c>
      <c r="C10559">
        <v>111</v>
      </c>
      <c r="D10559">
        <v>37</v>
      </c>
    </row>
    <row r="10560" spans="1:4" ht="15" x14ac:dyDescent="0.25">
      <c r="A10560" t="s">
        <v>27864</v>
      </c>
      <c r="B10560">
        <v>3</v>
      </c>
      <c r="C10560">
        <v>111</v>
      </c>
      <c r="D10560">
        <v>37</v>
      </c>
    </row>
    <row r="10561" spans="1:4" ht="15" x14ac:dyDescent="0.25">
      <c r="A10561" t="s">
        <v>27871</v>
      </c>
      <c r="B10561">
        <v>1</v>
      </c>
      <c r="C10561">
        <v>13</v>
      </c>
      <c r="D10561">
        <v>13</v>
      </c>
    </row>
    <row r="10562" spans="1:4" ht="15" x14ac:dyDescent="0.25">
      <c r="A10562" t="s">
        <v>27872</v>
      </c>
      <c r="B10562">
        <v>1</v>
      </c>
      <c r="C10562">
        <v>13</v>
      </c>
      <c r="D10562">
        <v>13</v>
      </c>
    </row>
    <row r="10563" spans="1:4" ht="15" x14ac:dyDescent="0.25">
      <c r="A10563" t="s">
        <v>27873</v>
      </c>
      <c r="B10563">
        <v>1</v>
      </c>
      <c r="C10563">
        <v>13</v>
      </c>
      <c r="D10563">
        <v>13</v>
      </c>
    </row>
    <row r="10564" spans="1:4" ht="15" x14ac:dyDescent="0.25">
      <c r="A10564" t="s">
        <v>27876</v>
      </c>
      <c r="B10564">
        <v>1</v>
      </c>
      <c r="C10564">
        <v>36</v>
      </c>
      <c r="D10564">
        <v>36</v>
      </c>
    </row>
    <row r="10565" spans="1:4" ht="15" x14ac:dyDescent="0.25">
      <c r="A10565" t="s">
        <v>27877</v>
      </c>
      <c r="B10565">
        <v>1</v>
      </c>
      <c r="C10565">
        <v>36</v>
      </c>
      <c r="D10565">
        <v>36</v>
      </c>
    </row>
    <row r="10566" spans="1:4" ht="15" x14ac:dyDescent="0.25">
      <c r="A10566" t="s">
        <v>27881</v>
      </c>
      <c r="B10566">
        <v>1</v>
      </c>
      <c r="C10566">
        <v>5</v>
      </c>
      <c r="D10566">
        <v>5</v>
      </c>
    </row>
    <row r="10567" spans="1:4" ht="15" x14ac:dyDescent="0.25">
      <c r="A10567" t="s">
        <v>27885</v>
      </c>
      <c r="B10567">
        <v>1</v>
      </c>
      <c r="C10567">
        <v>53</v>
      </c>
      <c r="D10567">
        <v>53</v>
      </c>
    </row>
    <row r="10568" spans="1:4" ht="15" x14ac:dyDescent="0.25">
      <c r="A10568" t="s">
        <v>27889</v>
      </c>
      <c r="B10568">
        <v>1</v>
      </c>
      <c r="C10568">
        <v>113</v>
      </c>
      <c r="D10568">
        <v>113</v>
      </c>
    </row>
    <row r="10569" spans="1:4" ht="15" x14ac:dyDescent="0.25">
      <c r="A10569" t="s">
        <v>27891</v>
      </c>
      <c r="B10569">
        <v>1</v>
      </c>
      <c r="C10569">
        <v>113</v>
      </c>
      <c r="D10569">
        <v>113</v>
      </c>
    </row>
    <row r="10570" spans="1:4" ht="15" x14ac:dyDescent="0.25">
      <c r="A10570" t="s">
        <v>27890</v>
      </c>
      <c r="B10570">
        <v>1</v>
      </c>
      <c r="C10570">
        <v>113</v>
      </c>
      <c r="D10570">
        <v>113</v>
      </c>
    </row>
    <row r="10571" spans="1:4" ht="15" x14ac:dyDescent="0.25">
      <c r="A10571" t="s">
        <v>27895</v>
      </c>
      <c r="B10571">
        <v>2</v>
      </c>
      <c r="C10571">
        <v>96</v>
      </c>
      <c r="D10571">
        <v>48</v>
      </c>
    </row>
    <row r="10572" spans="1:4" ht="15" x14ac:dyDescent="0.25">
      <c r="A10572" t="s">
        <v>27896</v>
      </c>
      <c r="B10572">
        <v>3</v>
      </c>
      <c r="C10572">
        <v>107</v>
      </c>
      <c r="D10572">
        <v>35.666666666666664</v>
      </c>
    </row>
    <row r="10573" spans="1:4" ht="15" x14ac:dyDescent="0.25">
      <c r="A10573" t="s">
        <v>27900</v>
      </c>
      <c r="B10573">
        <v>1</v>
      </c>
      <c r="C10573">
        <v>25</v>
      </c>
      <c r="D10573">
        <v>25</v>
      </c>
    </row>
    <row r="10574" spans="1:4" ht="15" x14ac:dyDescent="0.25">
      <c r="A10574" t="s">
        <v>27901</v>
      </c>
      <c r="B10574">
        <v>1</v>
      </c>
      <c r="C10574">
        <v>25</v>
      </c>
      <c r="D10574">
        <v>25</v>
      </c>
    </row>
    <row r="10575" spans="1:4" ht="15" x14ac:dyDescent="0.25">
      <c r="A10575" t="s">
        <v>27902</v>
      </c>
      <c r="B10575">
        <v>1</v>
      </c>
      <c r="C10575">
        <v>25</v>
      </c>
      <c r="D10575">
        <v>25</v>
      </c>
    </row>
    <row r="10576" spans="1:4" ht="15" x14ac:dyDescent="0.25">
      <c r="A10576" t="s">
        <v>27903</v>
      </c>
      <c r="B10576">
        <v>1</v>
      </c>
      <c r="C10576">
        <v>25</v>
      </c>
      <c r="D10576">
        <v>25</v>
      </c>
    </row>
    <row r="10577" spans="1:4" ht="15" x14ac:dyDescent="0.25">
      <c r="A10577" t="s">
        <v>27907</v>
      </c>
      <c r="B10577">
        <v>1</v>
      </c>
      <c r="C10577">
        <v>22</v>
      </c>
      <c r="D10577">
        <v>22</v>
      </c>
    </row>
    <row r="10578" spans="1:4" ht="15" x14ac:dyDescent="0.25">
      <c r="A10578" t="s">
        <v>27914</v>
      </c>
      <c r="B10578">
        <v>1</v>
      </c>
      <c r="C10578">
        <v>29</v>
      </c>
      <c r="D10578">
        <v>29</v>
      </c>
    </row>
    <row r="10579" spans="1:4" ht="15" x14ac:dyDescent="0.25">
      <c r="A10579" t="s">
        <v>27915</v>
      </c>
      <c r="B10579">
        <v>1</v>
      </c>
      <c r="C10579">
        <v>29</v>
      </c>
      <c r="D10579">
        <v>29</v>
      </c>
    </row>
    <row r="10580" spans="1:4" ht="15" x14ac:dyDescent="0.25">
      <c r="A10580" t="s">
        <v>27922</v>
      </c>
      <c r="B10580">
        <v>1</v>
      </c>
      <c r="C10580">
        <v>62</v>
      </c>
      <c r="D10580">
        <v>62</v>
      </c>
    </row>
    <row r="10581" spans="1:4" ht="15" x14ac:dyDescent="0.25">
      <c r="A10581" t="s">
        <v>27923</v>
      </c>
      <c r="B10581">
        <v>1</v>
      </c>
      <c r="C10581">
        <v>62</v>
      </c>
      <c r="D10581">
        <v>62</v>
      </c>
    </row>
    <row r="10582" spans="1:4" ht="15" x14ac:dyDescent="0.25">
      <c r="A10582" t="s">
        <v>27921</v>
      </c>
      <c r="B10582">
        <v>1</v>
      </c>
      <c r="C10582">
        <v>62</v>
      </c>
      <c r="D10582">
        <v>62</v>
      </c>
    </row>
    <row r="10583" spans="1:4" ht="15" x14ac:dyDescent="0.25">
      <c r="A10583" t="s">
        <v>27928</v>
      </c>
      <c r="B10583">
        <v>1</v>
      </c>
      <c r="C10583">
        <v>34</v>
      </c>
      <c r="D10583">
        <v>34</v>
      </c>
    </row>
    <row r="10584" spans="1:4" ht="15" x14ac:dyDescent="0.25">
      <c r="A10584" t="s">
        <v>27929</v>
      </c>
      <c r="B10584">
        <v>1</v>
      </c>
      <c r="C10584">
        <v>34</v>
      </c>
      <c r="D10584">
        <v>34</v>
      </c>
    </row>
    <row r="10585" spans="1:4" ht="15" x14ac:dyDescent="0.25">
      <c r="A10585" t="s">
        <v>27927</v>
      </c>
      <c r="B10585">
        <v>1</v>
      </c>
      <c r="C10585">
        <v>34</v>
      </c>
      <c r="D10585">
        <v>34</v>
      </c>
    </row>
    <row r="10586" spans="1:4" ht="15" x14ac:dyDescent="0.25">
      <c r="A10586" t="s">
        <v>27934</v>
      </c>
      <c r="B10586">
        <v>1</v>
      </c>
      <c r="C10586">
        <v>78</v>
      </c>
      <c r="D10586">
        <v>78</v>
      </c>
    </row>
    <row r="10587" spans="1:4" ht="15" x14ac:dyDescent="0.25">
      <c r="A10587" t="s">
        <v>27935</v>
      </c>
      <c r="B10587">
        <v>1</v>
      </c>
      <c r="C10587">
        <v>78</v>
      </c>
      <c r="D10587">
        <v>78</v>
      </c>
    </row>
    <row r="10588" spans="1:4" ht="15" x14ac:dyDescent="0.25">
      <c r="A10588" t="s">
        <v>27933</v>
      </c>
      <c r="B10588">
        <v>1</v>
      </c>
      <c r="C10588">
        <v>78</v>
      </c>
      <c r="D10588">
        <v>78</v>
      </c>
    </row>
    <row r="10589" spans="1:4" ht="15" x14ac:dyDescent="0.25">
      <c r="A10589" t="s">
        <v>27943</v>
      </c>
      <c r="B10589">
        <v>1</v>
      </c>
      <c r="C10589">
        <v>38</v>
      </c>
      <c r="D10589">
        <v>38</v>
      </c>
    </row>
    <row r="10590" spans="1:4" ht="15" x14ac:dyDescent="0.25">
      <c r="A10590" t="s">
        <v>27944</v>
      </c>
      <c r="B10590">
        <v>1</v>
      </c>
      <c r="C10590">
        <v>38</v>
      </c>
      <c r="D10590">
        <v>38</v>
      </c>
    </row>
    <row r="10591" spans="1:4" ht="15" x14ac:dyDescent="0.25">
      <c r="A10591" t="s">
        <v>27951</v>
      </c>
      <c r="B10591">
        <v>1</v>
      </c>
      <c r="C10591">
        <v>22</v>
      </c>
      <c r="D10591">
        <v>22</v>
      </c>
    </row>
    <row r="10592" spans="1:4" ht="15" x14ac:dyDescent="0.25">
      <c r="A10592" t="s">
        <v>27952</v>
      </c>
      <c r="B10592">
        <v>1</v>
      </c>
      <c r="C10592">
        <v>22</v>
      </c>
      <c r="D10592">
        <v>22</v>
      </c>
    </row>
    <row r="10593" spans="1:4" ht="15" x14ac:dyDescent="0.25">
      <c r="A10593" t="s">
        <v>27953</v>
      </c>
      <c r="B10593">
        <v>1</v>
      </c>
      <c r="C10593">
        <v>22</v>
      </c>
      <c r="D10593">
        <v>22</v>
      </c>
    </row>
    <row r="10594" spans="1:4" ht="15" x14ac:dyDescent="0.25">
      <c r="A10594" t="s">
        <v>27957</v>
      </c>
      <c r="B10594">
        <v>1</v>
      </c>
      <c r="C10594">
        <v>695</v>
      </c>
      <c r="D10594">
        <v>695</v>
      </c>
    </row>
    <row r="10595" spans="1:4" ht="15" x14ac:dyDescent="0.25">
      <c r="A10595" t="s">
        <v>27959</v>
      </c>
      <c r="B10595">
        <v>1</v>
      </c>
      <c r="C10595">
        <v>695</v>
      </c>
      <c r="D10595">
        <v>695</v>
      </c>
    </row>
    <row r="10596" spans="1:4" ht="15" x14ac:dyDescent="0.25">
      <c r="A10596" t="s">
        <v>27960</v>
      </c>
      <c r="B10596">
        <v>1</v>
      </c>
      <c r="C10596">
        <v>695</v>
      </c>
      <c r="D10596">
        <v>695</v>
      </c>
    </row>
    <row r="10597" spans="1:4" ht="15" x14ac:dyDescent="0.25">
      <c r="A10597" t="s">
        <v>27958</v>
      </c>
      <c r="B10597">
        <v>1</v>
      </c>
      <c r="C10597">
        <v>695</v>
      </c>
      <c r="D10597">
        <v>695</v>
      </c>
    </row>
    <row r="10598" spans="1:4" ht="15" x14ac:dyDescent="0.25">
      <c r="A10598" t="s">
        <v>27964</v>
      </c>
      <c r="B10598">
        <v>1</v>
      </c>
      <c r="C10598">
        <v>21</v>
      </c>
      <c r="D10598">
        <v>21</v>
      </c>
    </row>
    <row r="10599" spans="1:4" ht="15" x14ac:dyDescent="0.25">
      <c r="A10599" t="s">
        <v>27965</v>
      </c>
      <c r="B10599">
        <v>1</v>
      </c>
      <c r="C10599">
        <v>21</v>
      </c>
      <c r="D10599">
        <v>21</v>
      </c>
    </row>
    <row r="10600" spans="1:4" ht="15" x14ac:dyDescent="0.25">
      <c r="A10600" t="s">
        <v>27966</v>
      </c>
      <c r="B10600">
        <v>1</v>
      </c>
      <c r="C10600">
        <v>21</v>
      </c>
      <c r="D10600">
        <v>21</v>
      </c>
    </row>
    <row r="10601" spans="1:4" ht="15" x14ac:dyDescent="0.25">
      <c r="A10601" t="s">
        <v>27969</v>
      </c>
      <c r="B10601">
        <v>1</v>
      </c>
      <c r="C10601">
        <v>41</v>
      </c>
      <c r="D10601">
        <v>41</v>
      </c>
    </row>
    <row r="10602" spans="1:4" ht="15" x14ac:dyDescent="0.25">
      <c r="A10602" t="s">
        <v>27970</v>
      </c>
      <c r="B10602">
        <v>1</v>
      </c>
      <c r="C10602">
        <v>41</v>
      </c>
      <c r="D10602">
        <v>41</v>
      </c>
    </row>
    <row r="10603" spans="1:4" ht="15" x14ac:dyDescent="0.25">
      <c r="A10603" t="s">
        <v>27971</v>
      </c>
      <c r="B10603">
        <v>2</v>
      </c>
      <c r="C10603">
        <v>117</v>
      </c>
      <c r="D10603">
        <v>58.5</v>
      </c>
    </row>
    <row r="10604" spans="1:4" ht="15" x14ac:dyDescent="0.25">
      <c r="A10604" t="s">
        <v>27975</v>
      </c>
      <c r="B10604">
        <v>1</v>
      </c>
      <c r="C10604">
        <v>584</v>
      </c>
      <c r="D10604">
        <v>584</v>
      </c>
    </row>
    <row r="10605" spans="1:4" ht="15" x14ac:dyDescent="0.25">
      <c r="A10605" t="s">
        <v>27976</v>
      </c>
      <c r="B10605">
        <v>1</v>
      </c>
      <c r="C10605">
        <v>584</v>
      </c>
      <c r="D10605">
        <v>584</v>
      </c>
    </row>
    <row r="10606" spans="1:4" ht="15" x14ac:dyDescent="0.25">
      <c r="A10606" t="s">
        <v>27979</v>
      </c>
      <c r="B10606">
        <v>1</v>
      </c>
      <c r="C10606">
        <v>16</v>
      </c>
      <c r="D10606">
        <v>16</v>
      </c>
    </row>
    <row r="10607" spans="1:4" ht="15" x14ac:dyDescent="0.25">
      <c r="A10607" t="s">
        <v>27983</v>
      </c>
      <c r="B10607">
        <v>1</v>
      </c>
      <c r="C10607">
        <v>45</v>
      </c>
      <c r="D10607">
        <v>45</v>
      </c>
    </row>
    <row r="10608" spans="1:4" ht="15" x14ac:dyDescent="0.25">
      <c r="A10608" t="s">
        <v>27985</v>
      </c>
      <c r="B10608">
        <v>1</v>
      </c>
      <c r="C10608">
        <v>45</v>
      </c>
      <c r="D10608">
        <v>45</v>
      </c>
    </row>
    <row r="10609" spans="1:4" ht="15" x14ac:dyDescent="0.25">
      <c r="A10609" t="s">
        <v>27984</v>
      </c>
      <c r="B10609">
        <v>1</v>
      </c>
      <c r="C10609">
        <v>45</v>
      </c>
      <c r="D10609">
        <v>45</v>
      </c>
    </row>
    <row r="10610" spans="1:4" ht="15" x14ac:dyDescent="0.25">
      <c r="A10610" t="s">
        <v>27989</v>
      </c>
      <c r="B10610">
        <v>1</v>
      </c>
      <c r="C10610">
        <v>106</v>
      </c>
      <c r="D10610">
        <v>106</v>
      </c>
    </row>
    <row r="10611" spans="1:4" ht="15" x14ac:dyDescent="0.25">
      <c r="A10611" t="s">
        <v>27990</v>
      </c>
      <c r="B10611">
        <v>1</v>
      </c>
      <c r="C10611">
        <v>106</v>
      </c>
      <c r="D10611">
        <v>106</v>
      </c>
    </row>
    <row r="10612" spans="1:4" ht="15" x14ac:dyDescent="0.25">
      <c r="A10612" t="s">
        <v>27994</v>
      </c>
      <c r="B10612">
        <v>1</v>
      </c>
      <c r="C10612">
        <v>10</v>
      </c>
      <c r="D10612">
        <v>10</v>
      </c>
    </row>
    <row r="10613" spans="1:4" ht="15" x14ac:dyDescent="0.25">
      <c r="A10613" t="s">
        <v>27998</v>
      </c>
      <c r="B10613">
        <v>1</v>
      </c>
      <c r="C10613">
        <v>34</v>
      </c>
      <c r="D10613">
        <v>34</v>
      </c>
    </row>
    <row r="10614" spans="1:4" ht="15" x14ac:dyDescent="0.25">
      <c r="A10614" t="s">
        <v>27999</v>
      </c>
      <c r="B10614">
        <v>1</v>
      </c>
      <c r="C10614">
        <v>34</v>
      </c>
      <c r="D10614">
        <v>34</v>
      </c>
    </row>
    <row r="10615" spans="1:4" ht="15" x14ac:dyDescent="0.25">
      <c r="A10615" t="s">
        <v>27997</v>
      </c>
      <c r="B10615">
        <v>1</v>
      </c>
      <c r="C10615">
        <v>34</v>
      </c>
      <c r="D10615">
        <v>34</v>
      </c>
    </row>
    <row r="10616" spans="1:4" ht="15" x14ac:dyDescent="0.25">
      <c r="A10616" t="s">
        <v>28003</v>
      </c>
      <c r="B10616">
        <v>1</v>
      </c>
      <c r="C10616">
        <v>25</v>
      </c>
      <c r="D10616">
        <v>25</v>
      </c>
    </row>
    <row r="10617" spans="1:4" ht="15" x14ac:dyDescent="0.25">
      <c r="A10617" t="s">
        <v>28007</v>
      </c>
      <c r="B10617">
        <v>1</v>
      </c>
      <c r="C10617">
        <v>65</v>
      </c>
      <c r="D10617">
        <v>65</v>
      </c>
    </row>
    <row r="10618" spans="1:4" ht="15" x14ac:dyDescent="0.25">
      <c r="A10618" t="s">
        <v>28014</v>
      </c>
      <c r="B10618">
        <v>1</v>
      </c>
      <c r="C10618">
        <v>120</v>
      </c>
      <c r="D10618">
        <v>120</v>
      </c>
    </row>
    <row r="10619" spans="1:4" ht="15" x14ac:dyDescent="0.25">
      <c r="A10619" t="s">
        <v>28015</v>
      </c>
      <c r="B10619">
        <v>1</v>
      </c>
      <c r="C10619">
        <v>120</v>
      </c>
      <c r="D10619">
        <v>120</v>
      </c>
    </row>
    <row r="10620" spans="1:4" ht="15" x14ac:dyDescent="0.25">
      <c r="A10620" t="s">
        <v>28016</v>
      </c>
      <c r="B10620">
        <v>3</v>
      </c>
      <c r="C10620">
        <v>324</v>
      </c>
      <c r="D10620">
        <v>108</v>
      </c>
    </row>
    <row r="10621" spans="1:4" ht="15" x14ac:dyDescent="0.25">
      <c r="A10621" t="s">
        <v>28019</v>
      </c>
      <c r="B10621">
        <v>1</v>
      </c>
      <c r="C10621">
        <v>99</v>
      </c>
      <c r="D10621">
        <v>99</v>
      </c>
    </row>
    <row r="10622" spans="1:4" ht="15" x14ac:dyDescent="0.25">
      <c r="A10622" t="s">
        <v>28026</v>
      </c>
      <c r="B10622">
        <v>1</v>
      </c>
      <c r="C10622">
        <v>46</v>
      </c>
      <c r="D10622">
        <v>46</v>
      </c>
    </row>
    <row r="10623" spans="1:4" ht="15" x14ac:dyDescent="0.25">
      <c r="A10623" t="s">
        <v>28028</v>
      </c>
      <c r="B10623">
        <v>1</v>
      </c>
      <c r="C10623">
        <v>46</v>
      </c>
      <c r="D10623">
        <v>46</v>
      </c>
    </row>
    <row r="10624" spans="1:4" ht="15" x14ac:dyDescent="0.25">
      <c r="A10624" t="s">
        <v>28029</v>
      </c>
      <c r="B10624">
        <v>1</v>
      </c>
      <c r="C10624">
        <v>46</v>
      </c>
      <c r="D10624">
        <v>46</v>
      </c>
    </row>
    <row r="10625" spans="1:4" ht="15" x14ac:dyDescent="0.25">
      <c r="A10625" t="s">
        <v>28027</v>
      </c>
      <c r="B10625">
        <v>1</v>
      </c>
      <c r="C10625">
        <v>46</v>
      </c>
      <c r="D10625">
        <v>46</v>
      </c>
    </row>
    <row r="10626" spans="1:4" ht="15" x14ac:dyDescent="0.25">
      <c r="A10626" t="s">
        <v>28037</v>
      </c>
      <c r="B10626">
        <v>1</v>
      </c>
      <c r="C10626">
        <v>274</v>
      </c>
      <c r="D10626">
        <v>274</v>
      </c>
    </row>
    <row r="10627" spans="1:4" ht="15" x14ac:dyDescent="0.25">
      <c r="A10627" t="s">
        <v>28038</v>
      </c>
      <c r="B10627">
        <v>1</v>
      </c>
      <c r="C10627">
        <v>274</v>
      </c>
      <c r="D10627">
        <v>274</v>
      </c>
    </row>
    <row r="10628" spans="1:4" ht="15" x14ac:dyDescent="0.25">
      <c r="A10628" t="s">
        <v>28046</v>
      </c>
      <c r="B10628">
        <v>1</v>
      </c>
      <c r="C10628">
        <v>57</v>
      </c>
      <c r="D10628">
        <v>57</v>
      </c>
    </row>
    <row r="10629" spans="1:4" ht="15" x14ac:dyDescent="0.25">
      <c r="A10629" t="s">
        <v>28047</v>
      </c>
      <c r="B10629">
        <v>1</v>
      </c>
      <c r="C10629">
        <v>57</v>
      </c>
      <c r="D10629">
        <v>57</v>
      </c>
    </row>
    <row r="10630" spans="1:4" ht="15" x14ac:dyDescent="0.25">
      <c r="A10630" t="s">
        <v>28048</v>
      </c>
      <c r="B10630">
        <v>1</v>
      </c>
      <c r="C10630">
        <v>57</v>
      </c>
      <c r="D10630">
        <v>57</v>
      </c>
    </row>
    <row r="10631" spans="1:4" ht="15" x14ac:dyDescent="0.25">
      <c r="A10631" t="s">
        <v>28051</v>
      </c>
      <c r="B10631">
        <v>1</v>
      </c>
      <c r="C10631">
        <v>3</v>
      </c>
      <c r="D10631">
        <v>3</v>
      </c>
    </row>
    <row r="10632" spans="1:4" ht="15" x14ac:dyDescent="0.25">
      <c r="A10632" t="s">
        <v>27278</v>
      </c>
      <c r="B10632">
        <v>1</v>
      </c>
      <c r="C10632">
        <v>3</v>
      </c>
      <c r="D10632">
        <v>3</v>
      </c>
    </row>
    <row r="10633" spans="1:4" ht="15" x14ac:dyDescent="0.25">
      <c r="A10633" t="s">
        <v>28058</v>
      </c>
      <c r="B10633">
        <v>1</v>
      </c>
      <c r="C10633">
        <v>176</v>
      </c>
      <c r="D10633">
        <v>176</v>
      </c>
    </row>
    <row r="10634" spans="1:4" ht="15" x14ac:dyDescent="0.25">
      <c r="A10634" t="s">
        <v>28059</v>
      </c>
      <c r="B10634">
        <v>1</v>
      </c>
      <c r="C10634">
        <v>176</v>
      </c>
      <c r="D10634">
        <v>176</v>
      </c>
    </row>
    <row r="10635" spans="1:4" ht="15" x14ac:dyDescent="0.25">
      <c r="A10635" t="s">
        <v>28064</v>
      </c>
      <c r="B10635">
        <v>2</v>
      </c>
      <c r="C10635">
        <v>48</v>
      </c>
      <c r="D10635">
        <v>24</v>
      </c>
    </row>
    <row r="10636" spans="1:4" ht="15" x14ac:dyDescent="0.25">
      <c r="A10636" t="s">
        <v>28066</v>
      </c>
      <c r="B10636">
        <v>1</v>
      </c>
      <c r="C10636">
        <v>24</v>
      </c>
      <c r="D10636">
        <v>24</v>
      </c>
    </row>
    <row r="10637" spans="1:4" ht="15" x14ac:dyDescent="0.25">
      <c r="A10637" t="s">
        <v>28065</v>
      </c>
      <c r="B10637">
        <v>1</v>
      </c>
      <c r="C10637">
        <v>24</v>
      </c>
      <c r="D10637">
        <v>24</v>
      </c>
    </row>
    <row r="10638" spans="1:4" ht="15" x14ac:dyDescent="0.25">
      <c r="A10638" t="s">
        <v>28070</v>
      </c>
      <c r="B10638">
        <v>1</v>
      </c>
      <c r="C10638">
        <v>32</v>
      </c>
      <c r="D10638">
        <v>32</v>
      </c>
    </row>
    <row r="10639" spans="1:4" ht="15" x14ac:dyDescent="0.25">
      <c r="A10639" t="s">
        <v>28071</v>
      </c>
      <c r="B10639">
        <v>1</v>
      </c>
      <c r="C10639">
        <v>32</v>
      </c>
      <c r="D10639">
        <v>32</v>
      </c>
    </row>
    <row r="10640" spans="1:4" ht="15" x14ac:dyDescent="0.25">
      <c r="A10640" t="s">
        <v>28078</v>
      </c>
      <c r="B10640">
        <v>1</v>
      </c>
      <c r="C10640">
        <v>582</v>
      </c>
      <c r="D10640">
        <v>582</v>
      </c>
    </row>
    <row r="10641" spans="1:4" ht="15" x14ac:dyDescent="0.25">
      <c r="A10641" t="s">
        <v>28081</v>
      </c>
      <c r="B10641">
        <v>1</v>
      </c>
      <c r="C10641">
        <v>37</v>
      </c>
      <c r="D10641">
        <v>37</v>
      </c>
    </row>
    <row r="10642" spans="1:4" ht="15" x14ac:dyDescent="0.25">
      <c r="A10642" t="s">
        <v>28082</v>
      </c>
      <c r="B10642">
        <v>1</v>
      </c>
      <c r="C10642">
        <v>37</v>
      </c>
      <c r="D10642">
        <v>37</v>
      </c>
    </row>
    <row r="10643" spans="1:4" ht="15" x14ac:dyDescent="0.25">
      <c r="A10643" t="s">
        <v>28090</v>
      </c>
      <c r="B10643">
        <v>1</v>
      </c>
      <c r="C10643">
        <v>34</v>
      </c>
      <c r="D10643">
        <v>34</v>
      </c>
    </row>
    <row r="10644" spans="1:4" ht="15" x14ac:dyDescent="0.25">
      <c r="A10644" t="s">
        <v>28091</v>
      </c>
      <c r="B10644">
        <v>1</v>
      </c>
      <c r="C10644">
        <v>34</v>
      </c>
      <c r="D10644">
        <v>34</v>
      </c>
    </row>
    <row r="10645" spans="1:4" ht="15" x14ac:dyDescent="0.25">
      <c r="A10645" t="s">
        <v>28092</v>
      </c>
      <c r="B10645">
        <v>1</v>
      </c>
      <c r="C10645">
        <v>34</v>
      </c>
      <c r="D10645">
        <v>34</v>
      </c>
    </row>
    <row r="10646" spans="1:4" ht="15" x14ac:dyDescent="0.25">
      <c r="A10646" t="s">
        <v>28096</v>
      </c>
      <c r="B10646">
        <v>1</v>
      </c>
      <c r="C10646">
        <v>18</v>
      </c>
      <c r="D10646">
        <v>18</v>
      </c>
    </row>
    <row r="10647" spans="1:4" ht="15" x14ac:dyDescent="0.25">
      <c r="A10647" t="s">
        <v>28098</v>
      </c>
      <c r="B10647">
        <v>1</v>
      </c>
      <c r="C10647">
        <v>18</v>
      </c>
      <c r="D10647">
        <v>18</v>
      </c>
    </row>
    <row r="10648" spans="1:4" ht="15" x14ac:dyDescent="0.25">
      <c r="A10648" t="s">
        <v>28099</v>
      </c>
      <c r="B10648">
        <v>1</v>
      </c>
      <c r="C10648">
        <v>18</v>
      </c>
      <c r="D10648">
        <v>18</v>
      </c>
    </row>
    <row r="10649" spans="1:4" ht="15" x14ac:dyDescent="0.25">
      <c r="A10649" t="s">
        <v>28097</v>
      </c>
      <c r="B10649">
        <v>1</v>
      </c>
      <c r="C10649">
        <v>18</v>
      </c>
      <c r="D10649">
        <v>18</v>
      </c>
    </row>
    <row r="10650" spans="1:4" ht="15" x14ac:dyDescent="0.25">
      <c r="A10650" t="s">
        <v>28106</v>
      </c>
      <c r="B10650">
        <v>1</v>
      </c>
      <c r="C10650">
        <v>76</v>
      </c>
      <c r="D10650">
        <v>76</v>
      </c>
    </row>
    <row r="10651" spans="1:4" ht="15" x14ac:dyDescent="0.25">
      <c r="A10651" t="s">
        <v>28109</v>
      </c>
      <c r="B10651">
        <v>1</v>
      </c>
      <c r="C10651">
        <v>78</v>
      </c>
      <c r="D10651">
        <v>78</v>
      </c>
    </row>
    <row r="10652" spans="1:4" ht="15" x14ac:dyDescent="0.25">
      <c r="A10652" t="s">
        <v>28113</v>
      </c>
      <c r="B10652">
        <v>1</v>
      </c>
      <c r="C10652">
        <v>46</v>
      </c>
      <c r="D10652">
        <v>46</v>
      </c>
    </row>
    <row r="10653" spans="1:4" ht="15" x14ac:dyDescent="0.25">
      <c r="A10653" t="s">
        <v>28115</v>
      </c>
      <c r="B10653">
        <v>1</v>
      </c>
      <c r="C10653">
        <v>46</v>
      </c>
      <c r="D10653">
        <v>46</v>
      </c>
    </row>
    <row r="10654" spans="1:4" ht="15" x14ac:dyDescent="0.25">
      <c r="A10654" t="s">
        <v>28114</v>
      </c>
      <c r="B10654">
        <v>1</v>
      </c>
      <c r="C10654">
        <v>46</v>
      </c>
      <c r="D10654">
        <v>46</v>
      </c>
    </row>
    <row r="10655" spans="1:4" ht="15" x14ac:dyDescent="0.25">
      <c r="A10655" t="s">
        <v>28122</v>
      </c>
      <c r="B10655">
        <v>1</v>
      </c>
      <c r="C10655">
        <v>2</v>
      </c>
      <c r="D10655">
        <v>2</v>
      </c>
    </row>
    <row r="10656" spans="1:4" ht="15" x14ac:dyDescent="0.25">
      <c r="A10656" t="s">
        <v>28123</v>
      </c>
      <c r="B10656">
        <v>1</v>
      </c>
      <c r="C10656">
        <v>2</v>
      </c>
      <c r="D10656">
        <v>2</v>
      </c>
    </row>
    <row r="10657" spans="1:4" ht="15" x14ac:dyDescent="0.25">
      <c r="A10657" t="s">
        <v>28125</v>
      </c>
      <c r="B10657">
        <v>1</v>
      </c>
      <c r="C10657">
        <v>2</v>
      </c>
      <c r="D10657">
        <v>2</v>
      </c>
    </row>
    <row r="10658" spans="1:4" ht="15" x14ac:dyDescent="0.25">
      <c r="A10658" t="s">
        <v>28126</v>
      </c>
      <c r="B10658">
        <v>1</v>
      </c>
      <c r="C10658">
        <v>2</v>
      </c>
      <c r="D10658">
        <v>2</v>
      </c>
    </row>
    <row r="10659" spans="1:4" ht="15" x14ac:dyDescent="0.25">
      <c r="A10659" t="s">
        <v>28124</v>
      </c>
      <c r="B10659">
        <v>1</v>
      </c>
      <c r="C10659">
        <v>2</v>
      </c>
      <c r="D10659">
        <v>2</v>
      </c>
    </row>
    <row r="10660" spans="1:4" ht="15" x14ac:dyDescent="0.25">
      <c r="A10660" t="s">
        <v>28129</v>
      </c>
      <c r="B10660">
        <v>1</v>
      </c>
      <c r="C10660">
        <v>13</v>
      </c>
      <c r="D10660">
        <v>13</v>
      </c>
    </row>
    <row r="10661" spans="1:4" ht="15" x14ac:dyDescent="0.25">
      <c r="A10661" t="s">
        <v>28130</v>
      </c>
      <c r="B10661">
        <v>1</v>
      </c>
      <c r="C10661">
        <v>13</v>
      </c>
      <c r="D10661">
        <v>13</v>
      </c>
    </row>
    <row r="10662" spans="1:4" ht="15" x14ac:dyDescent="0.25">
      <c r="A10662" t="s">
        <v>28134</v>
      </c>
      <c r="B10662">
        <v>1</v>
      </c>
      <c r="C10662">
        <v>118</v>
      </c>
      <c r="D10662">
        <v>118</v>
      </c>
    </row>
    <row r="10663" spans="1:4" ht="15" x14ac:dyDescent="0.25">
      <c r="A10663" t="s">
        <v>28137</v>
      </c>
      <c r="B10663">
        <v>1</v>
      </c>
      <c r="C10663">
        <v>26</v>
      </c>
      <c r="D10663">
        <v>26</v>
      </c>
    </row>
    <row r="10664" spans="1:4" ht="15" x14ac:dyDescent="0.25">
      <c r="A10664" t="s">
        <v>28141</v>
      </c>
      <c r="B10664">
        <v>1</v>
      </c>
      <c r="C10664">
        <v>30</v>
      </c>
      <c r="D10664">
        <v>30</v>
      </c>
    </row>
    <row r="10665" spans="1:4" ht="15" x14ac:dyDescent="0.25">
      <c r="A10665" t="s">
        <v>28142</v>
      </c>
      <c r="B10665">
        <v>1</v>
      </c>
      <c r="C10665">
        <v>30</v>
      </c>
      <c r="D10665">
        <v>30</v>
      </c>
    </row>
    <row r="10666" spans="1:4" ht="15" x14ac:dyDescent="0.25">
      <c r="A10666" t="s">
        <v>28150</v>
      </c>
      <c r="B10666">
        <v>1</v>
      </c>
      <c r="C10666">
        <v>22</v>
      </c>
      <c r="D10666">
        <v>22</v>
      </c>
    </row>
    <row r="10667" spans="1:4" ht="15" x14ac:dyDescent="0.25">
      <c r="A10667" t="s">
        <v>28153</v>
      </c>
      <c r="B10667">
        <v>1</v>
      </c>
      <c r="C10667">
        <v>45</v>
      </c>
      <c r="D10667">
        <v>45</v>
      </c>
    </row>
    <row r="10668" spans="1:4" ht="15" x14ac:dyDescent="0.25">
      <c r="A10668" t="s">
        <v>28155</v>
      </c>
      <c r="B10668">
        <v>1</v>
      </c>
      <c r="C10668">
        <v>32</v>
      </c>
      <c r="D10668">
        <v>32</v>
      </c>
    </row>
    <row r="10669" spans="1:4" ht="15" x14ac:dyDescent="0.25">
      <c r="A10669" t="s">
        <v>28160</v>
      </c>
      <c r="B10669">
        <v>1</v>
      </c>
      <c r="C10669">
        <v>97</v>
      </c>
      <c r="D10669">
        <v>97</v>
      </c>
    </row>
    <row r="10670" spans="1:4" ht="15" x14ac:dyDescent="0.25">
      <c r="A10670" t="s">
        <v>28162</v>
      </c>
      <c r="B10670">
        <v>1</v>
      </c>
      <c r="C10670">
        <v>97</v>
      </c>
      <c r="D10670">
        <v>97</v>
      </c>
    </row>
    <row r="10671" spans="1:4" ht="15" x14ac:dyDescent="0.25">
      <c r="A10671" t="s">
        <v>28163</v>
      </c>
      <c r="B10671">
        <v>1</v>
      </c>
      <c r="C10671">
        <v>97</v>
      </c>
      <c r="D10671">
        <v>97</v>
      </c>
    </row>
    <row r="10672" spans="1:4" ht="15" x14ac:dyDescent="0.25">
      <c r="A10672" t="s">
        <v>28161</v>
      </c>
      <c r="B10672">
        <v>1</v>
      </c>
      <c r="C10672">
        <v>97</v>
      </c>
      <c r="D10672">
        <v>97</v>
      </c>
    </row>
    <row r="10673" spans="1:4" ht="15" x14ac:dyDescent="0.25">
      <c r="A10673" t="s">
        <v>28170</v>
      </c>
      <c r="B10673">
        <v>1</v>
      </c>
      <c r="C10673">
        <v>27</v>
      </c>
      <c r="D10673">
        <v>27</v>
      </c>
    </row>
    <row r="10674" spans="1:4" ht="15" x14ac:dyDescent="0.25">
      <c r="A10674" t="s">
        <v>28171</v>
      </c>
      <c r="B10674">
        <v>1</v>
      </c>
      <c r="C10674">
        <v>27</v>
      </c>
      <c r="D10674">
        <v>27</v>
      </c>
    </row>
    <row r="10675" spans="1:4" ht="15" x14ac:dyDescent="0.25">
      <c r="A10675" t="s">
        <v>28177</v>
      </c>
      <c r="B10675">
        <v>1</v>
      </c>
      <c r="C10675">
        <v>30</v>
      </c>
      <c r="D10675">
        <v>30</v>
      </c>
    </row>
    <row r="10676" spans="1:4" ht="15" x14ac:dyDescent="0.25">
      <c r="A10676" t="s">
        <v>28178</v>
      </c>
      <c r="B10676">
        <v>1</v>
      </c>
      <c r="C10676">
        <v>30</v>
      </c>
      <c r="D10676">
        <v>30</v>
      </c>
    </row>
    <row r="10677" spans="1:4" ht="15" x14ac:dyDescent="0.25">
      <c r="A10677" t="s">
        <v>28179</v>
      </c>
      <c r="B10677">
        <v>1</v>
      </c>
      <c r="C10677">
        <v>30</v>
      </c>
      <c r="D10677">
        <v>30</v>
      </c>
    </row>
    <row r="10678" spans="1:4" ht="15" x14ac:dyDescent="0.25">
      <c r="A10678" t="s">
        <v>28186</v>
      </c>
      <c r="B10678">
        <v>1</v>
      </c>
      <c r="C10678">
        <v>37</v>
      </c>
      <c r="D10678">
        <v>37</v>
      </c>
    </row>
    <row r="10679" spans="1:4" ht="15" x14ac:dyDescent="0.25">
      <c r="A10679" t="s">
        <v>28185</v>
      </c>
      <c r="B10679">
        <v>1</v>
      </c>
      <c r="C10679">
        <v>37</v>
      </c>
      <c r="D10679">
        <v>37</v>
      </c>
    </row>
    <row r="10680" spans="1:4" ht="15" x14ac:dyDescent="0.25">
      <c r="A10680" t="s">
        <v>28189</v>
      </c>
      <c r="B10680">
        <v>1</v>
      </c>
      <c r="C10680">
        <v>20</v>
      </c>
      <c r="D10680">
        <v>20</v>
      </c>
    </row>
    <row r="10681" spans="1:4" ht="15" x14ac:dyDescent="0.25">
      <c r="A10681" t="s">
        <v>28192</v>
      </c>
      <c r="B10681">
        <v>2</v>
      </c>
      <c r="C10681">
        <v>44</v>
      </c>
      <c r="D10681">
        <v>22</v>
      </c>
    </row>
    <row r="10682" spans="1:4" ht="15" x14ac:dyDescent="0.25">
      <c r="A10682" t="s">
        <v>28198</v>
      </c>
      <c r="B10682">
        <v>1</v>
      </c>
      <c r="C10682">
        <v>11</v>
      </c>
      <c r="D10682">
        <v>11</v>
      </c>
    </row>
    <row r="10683" spans="1:4" ht="15" x14ac:dyDescent="0.25">
      <c r="A10683" t="s">
        <v>28204</v>
      </c>
      <c r="B10683">
        <v>1</v>
      </c>
      <c r="C10683">
        <v>61</v>
      </c>
      <c r="D10683">
        <v>61</v>
      </c>
    </row>
    <row r="10684" spans="1:4" ht="15" x14ac:dyDescent="0.25">
      <c r="A10684" t="s">
        <v>28201</v>
      </c>
      <c r="B10684">
        <v>1</v>
      </c>
      <c r="C10684">
        <v>61</v>
      </c>
      <c r="D10684">
        <v>61</v>
      </c>
    </row>
    <row r="10685" spans="1:4" ht="15" x14ac:dyDescent="0.25">
      <c r="A10685" t="s">
        <v>28205</v>
      </c>
      <c r="B10685">
        <v>1</v>
      </c>
      <c r="C10685">
        <v>61</v>
      </c>
      <c r="D10685">
        <v>61</v>
      </c>
    </row>
    <row r="10686" spans="1:4" ht="15" x14ac:dyDescent="0.25">
      <c r="A10686" t="s">
        <v>28209</v>
      </c>
      <c r="B10686">
        <v>1</v>
      </c>
      <c r="C10686">
        <v>42</v>
      </c>
      <c r="D10686">
        <v>42</v>
      </c>
    </row>
    <row r="10687" spans="1:4" ht="15" x14ac:dyDescent="0.25">
      <c r="A10687" t="s">
        <v>28211</v>
      </c>
      <c r="B10687">
        <v>1</v>
      </c>
      <c r="C10687">
        <v>42</v>
      </c>
      <c r="D10687">
        <v>42</v>
      </c>
    </row>
    <row r="10688" spans="1:4" ht="15" x14ac:dyDescent="0.25">
      <c r="A10688" t="s">
        <v>28212</v>
      </c>
      <c r="B10688">
        <v>1</v>
      </c>
      <c r="C10688">
        <v>42</v>
      </c>
      <c r="D10688">
        <v>42</v>
      </c>
    </row>
    <row r="10689" spans="1:4" ht="15" x14ac:dyDescent="0.25">
      <c r="A10689" t="s">
        <v>28210</v>
      </c>
      <c r="B10689">
        <v>1</v>
      </c>
      <c r="C10689">
        <v>42</v>
      </c>
      <c r="D10689">
        <v>42</v>
      </c>
    </row>
    <row r="10690" spans="1:4" ht="15" x14ac:dyDescent="0.25">
      <c r="A10690" t="s">
        <v>28215</v>
      </c>
      <c r="B10690">
        <v>1</v>
      </c>
      <c r="C10690">
        <v>25</v>
      </c>
      <c r="D10690">
        <v>25</v>
      </c>
    </row>
    <row r="10691" spans="1:4" ht="15" x14ac:dyDescent="0.25">
      <c r="A10691" t="s">
        <v>28216</v>
      </c>
      <c r="B10691">
        <v>1</v>
      </c>
      <c r="C10691">
        <v>25</v>
      </c>
      <c r="D10691">
        <v>25</v>
      </c>
    </row>
    <row r="10692" spans="1:4" ht="15" x14ac:dyDescent="0.25">
      <c r="A10692" t="s">
        <v>28220</v>
      </c>
      <c r="B10692">
        <v>1</v>
      </c>
      <c r="C10692">
        <v>32</v>
      </c>
      <c r="D10692">
        <v>32</v>
      </c>
    </row>
    <row r="10693" spans="1:4" ht="15" x14ac:dyDescent="0.25">
      <c r="A10693" t="s">
        <v>28221</v>
      </c>
      <c r="B10693">
        <v>1</v>
      </c>
      <c r="C10693">
        <v>32</v>
      </c>
      <c r="D10693">
        <v>32</v>
      </c>
    </row>
    <row r="10694" spans="1:4" ht="15" x14ac:dyDescent="0.25">
      <c r="A10694" t="s">
        <v>28226</v>
      </c>
      <c r="B10694">
        <v>3</v>
      </c>
      <c r="C10694">
        <v>145</v>
      </c>
      <c r="D10694">
        <v>48.333333333333336</v>
      </c>
    </row>
    <row r="10695" spans="1:4" ht="15" x14ac:dyDescent="0.25">
      <c r="A10695" t="s">
        <v>28227</v>
      </c>
      <c r="B10695">
        <v>2</v>
      </c>
      <c r="C10695">
        <v>103</v>
      </c>
      <c r="D10695">
        <v>51.5</v>
      </c>
    </row>
    <row r="10696" spans="1:4" ht="15" x14ac:dyDescent="0.25">
      <c r="A10696" t="s">
        <v>28232</v>
      </c>
      <c r="B10696">
        <v>1</v>
      </c>
      <c r="C10696">
        <v>12</v>
      </c>
      <c r="D10696">
        <v>12</v>
      </c>
    </row>
    <row r="10697" spans="1:4" ht="15" x14ac:dyDescent="0.25">
      <c r="A10697" t="s">
        <v>28234</v>
      </c>
      <c r="B10697">
        <v>1</v>
      </c>
      <c r="C10697">
        <v>12</v>
      </c>
      <c r="D10697">
        <v>12</v>
      </c>
    </row>
    <row r="10698" spans="1:4" ht="15" x14ac:dyDescent="0.25">
      <c r="A10698" t="s">
        <v>28233</v>
      </c>
      <c r="B10698">
        <v>1</v>
      </c>
      <c r="C10698">
        <v>12</v>
      </c>
      <c r="D10698">
        <v>12</v>
      </c>
    </row>
    <row r="10699" spans="1:4" ht="15" x14ac:dyDescent="0.25">
      <c r="A10699" t="s">
        <v>28238</v>
      </c>
      <c r="B10699">
        <v>1</v>
      </c>
      <c r="C10699">
        <v>10</v>
      </c>
      <c r="D10699">
        <v>10</v>
      </c>
    </row>
    <row r="10700" spans="1:4" ht="15" x14ac:dyDescent="0.25">
      <c r="A10700" t="s">
        <v>28243</v>
      </c>
      <c r="B10700">
        <v>1</v>
      </c>
      <c r="C10700">
        <v>31</v>
      </c>
      <c r="D10700">
        <v>31</v>
      </c>
    </row>
    <row r="10701" spans="1:4" ht="15" x14ac:dyDescent="0.25">
      <c r="A10701" t="s">
        <v>28244</v>
      </c>
      <c r="B10701">
        <v>1</v>
      </c>
      <c r="C10701">
        <v>31</v>
      </c>
      <c r="D10701">
        <v>31</v>
      </c>
    </row>
    <row r="10702" spans="1:4" ht="15" x14ac:dyDescent="0.25">
      <c r="A10702" t="s">
        <v>28246</v>
      </c>
      <c r="B10702">
        <v>1</v>
      </c>
      <c r="C10702">
        <v>31</v>
      </c>
      <c r="D10702">
        <v>31</v>
      </c>
    </row>
    <row r="10703" spans="1:4" ht="15" x14ac:dyDescent="0.25">
      <c r="A10703" t="s">
        <v>28245</v>
      </c>
      <c r="B10703">
        <v>1</v>
      </c>
      <c r="C10703">
        <v>31</v>
      </c>
      <c r="D10703">
        <v>31</v>
      </c>
    </row>
    <row r="10704" spans="1:4" ht="15" x14ac:dyDescent="0.25">
      <c r="A10704" t="s">
        <v>28251</v>
      </c>
      <c r="B10704">
        <v>1</v>
      </c>
      <c r="C10704">
        <v>38</v>
      </c>
      <c r="D10704">
        <v>38</v>
      </c>
    </row>
    <row r="10705" spans="1:4" ht="15" x14ac:dyDescent="0.25">
      <c r="A10705" t="s">
        <v>28253</v>
      </c>
      <c r="B10705">
        <v>1</v>
      </c>
      <c r="C10705">
        <v>38</v>
      </c>
      <c r="D10705">
        <v>38</v>
      </c>
    </row>
    <row r="10706" spans="1:4" ht="15" x14ac:dyDescent="0.25">
      <c r="A10706" t="s">
        <v>28254</v>
      </c>
      <c r="B10706">
        <v>1</v>
      </c>
      <c r="C10706">
        <v>38</v>
      </c>
      <c r="D10706">
        <v>38</v>
      </c>
    </row>
    <row r="10707" spans="1:4" ht="15" x14ac:dyDescent="0.25">
      <c r="A10707" t="s">
        <v>28252</v>
      </c>
      <c r="B10707">
        <v>1</v>
      </c>
      <c r="C10707">
        <v>38</v>
      </c>
      <c r="D10707">
        <v>38</v>
      </c>
    </row>
    <row r="10708" spans="1:4" ht="15" x14ac:dyDescent="0.25">
      <c r="A10708" t="s">
        <v>28259</v>
      </c>
      <c r="B10708">
        <v>1</v>
      </c>
      <c r="C10708">
        <v>17</v>
      </c>
      <c r="D10708">
        <v>17</v>
      </c>
    </row>
    <row r="10709" spans="1:4" ht="15" x14ac:dyDescent="0.25">
      <c r="A10709" t="s">
        <v>28262</v>
      </c>
      <c r="B10709">
        <v>3</v>
      </c>
      <c r="C10709">
        <v>341</v>
      </c>
      <c r="D10709">
        <v>113.66666666666667</v>
      </c>
    </row>
    <row r="10710" spans="1:4" ht="15" x14ac:dyDescent="0.25">
      <c r="A10710" t="s">
        <v>28263</v>
      </c>
      <c r="B10710">
        <v>1</v>
      </c>
      <c r="C10710">
        <v>137</v>
      </c>
      <c r="D10710">
        <v>137</v>
      </c>
    </row>
    <row r="10711" spans="1:4" ht="15" x14ac:dyDescent="0.25">
      <c r="A10711" t="s">
        <v>28267</v>
      </c>
      <c r="B10711">
        <v>1</v>
      </c>
      <c r="C10711">
        <v>11</v>
      </c>
      <c r="D10711">
        <v>11</v>
      </c>
    </row>
    <row r="10712" spans="1:4" ht="15" x14ac:dyDescent="0.25">
      <c r="A10712" t="s">
        <v>28268</v>
      </c>
      <c r="B10712">
        <v>1</v>
      </c>
      <c r="C10712">
        <v>11</v>
      </c>
      <c r="D10712">
        <v>11</v>
      </c>
    </row>
    <row r="10713" spans="1:4" ht="15" x14ac:dyDescent="0.25">
      <c r="A10713" t="s">
        <v>28271</v>
      </c>
      <c r="B10713">
        <v>1</v>
      </c>
      <c r="C10713">
        <v>3</v>
      </c>
      <c r="D10713">
        <v>3</v>
      </c>
    </row>
    <row r="10714" spans="1:4" ht="15" x14ac:dyDescent="0.25">
      <c r="A10714" t="s">
        <v>28272</v>
      </c>
      <c r="B10714">
        <v>1</v>
      </c>
      <c r="C10714">
        <v>3</v>
      </c>
      <c r="D10714">
        <v>3</v>
      </c>
    </row>
    <row r="10715" spans="1:4" ht="15" x14ac:dyDescent="0.25">
      <c r="A10715" t="s">
        <v>28274</v>
      </c>
      <c r="B10715">
        <v>1</v>
      </c>
      <c r="C10715">
        <v>3</v>
      </c>
      <c r="D10715">
        <v>3</v>
      </c>
    </row>
    <row r="10716" spans="1:4" ht="15" x14ac:dyDescent="0.25">
      <c r="A10716" t="s">
        <v>28273</v>
      </c>
      <c r="B10716">
        <v>1</v>
      </c>
      <c r="C10716">
        <v>3</v>
      </c>
      <c r="D10716">
        <v>3</v>
      </c>
    </row>
    <row r="10717" spans="1:4" ht="15" x14ac:dyDescent="0.25">
      <c r="A10717" t="s">
        <v>28278</v>
      </c>
      <c r="B10717">
        <v>1</v>
      </c>
      <c r="C10717">
        <v>16</v>
      </c>
      <c r="D10717">
        <v>16</v>
      </c>
    </row>
    <row r="10718" spans="1:4" ht="15" x14ac:dyDescent="0.25">
      <c r="A10718" t="s">
        <v>28279</v>
      </c>
      <c r="B10718">
        <v>1</v>
      </c>
      <c r="C10718">
        <v>16</v>
      </c>
      <c r="D10718">
        <v>16</v>
      </c>
    </row>
    <row r="10719" spans="1:4" ht="15" x14ac:dyDescent="0.25">
      <c r="A10719" t="s">
        <v>28283</v>
      </c>
      <c r="B10719">
        <v>1</v>
      </c>
      <c r="C10719">
        <v>32</v>
      </c>
      <c r="D10719">
        <v>32</v>
      </c>
    </row>
    <row r="10720" spans="1:4" ht="15" x14ac:dyDescent="0.25">
      <c r="A10720" t="s">
        <v>28284</v>
      </c>
      <c r="B10720">
        <v>1</v>
      </c>
      <c r="C10720">
        <v>32</v>
      </c>
      <c r="D10720">
        <v>32</v>
      </c>
    </row>
    <row r="10721" spans="1:4" ht="15" x14ac:dyDescent="0.25">
      <c r="A10721" t="s">
        <v>28286</v>
      </c>
      <c r="B10721">
        <v>1</v>
      </c>
      <c r="C10721">
        <v>32</v>
      </c>
      <c r="D10721">
        <v>32</v>
      </c>
    </row>
    <row r="10722" spans="1:4" ht="15" x14ac:dyDescent="0.25">
      <c r="A10722" t="s">
        <v>28287</v>
      </c>
      <c r="B10722">
        <v>1</v>
      </c>
      <c r="C10722">
        <v>32</v>
      </c>
      <c r="D10722">
        <v>32</v>
      </c>
    </row>
    <row r="10723" spans="1:4" ht="15" x14ac:dyDescent="0.25">
      <c r="A10723" t="s">
        <v>28285</v>
      </c>
      <c r="B10723">
        <v>1</v>
      </c>
      <c r="C10723">
        <v>32</v>
      </c>
      <c r="D10723">
        <v>32</v>
      </c>
    </row>
    <row r="10724" spans="1:4" ht="15" x14ac:dyDescent="0.25">
      <c r="A10724" t="s">
        <v>28297</v>
      </c>
      <c r="B10724">
        <v>1</v>
      </c>
      <c r="C10724">
        <v>29</v>
      </c>
      <c r="D10724">
        <v>29</v>
      </c>
    </row>
    <row r="10725" spans="1:4" ht="15" x14ac:dyDescent="0.25">
      <c r="A10725" t="s">
        <v>28298</v>
      </c>
      <c r="B10725">
        <v>1</v>
      </c>
      <c r="C10725">
        <v>29</v>
      </c>
      <c r="D10725">
        <v>29</v>
      </c>
    </row>
    <row r="10726" spans="1:4" ht="15" x14ac:dyDescent="0.25">
      <c r="A10726" t="s">
        <v>28302</v>
      </c>
      <c r="B10726">
        <v>1</v>
      </c>
      <c r="C10726">
        <v>55</v>
      </c>
      <c r="D10726">
        <v>55</v>
      </c>
    </row>
    <row r="10727" spans="1:4" ht="15" x14ac:dyDescent="0.25">
      <c r="A10727" t="s">
        <v>28307</v>
      </c>
      <c r="B10727">
        <v>1</v>
      </c>
      <c r="C10727">
        <v>35</v>
      </c>
      <c r="D10727">
        <v>35</v>
      </c>
    </row>
    <row r="10728" spans="1:4" ht="15" x14ac:dyDescent="0.25">
      <c r="A10728" t="s">
        <v>28313</v>
      </c>
      <c r="B10728">
        <v>1</v>
      </c>
      <c r="C10728">
        <v>50</v>
      </c>
      <c r="D10728">
        <v>50</v>
      </c>
    </row>
    <row r="10729" spans="1:4" ht="15" x14ac:dyDescent="0.25">
      <c r="A10729" t="s">
        <v>28314</v>
      </c>
      <c r="B10729">
        <v>1</v>
      </c>
      <c r="C10729">
        <v>50</v>
      </c>
      <c r="D10729">
        <v>50</v>
      </c>
    </row>
    <row r="10730" spans="1:4" ht="15" x14ac:dyDescent="0.25">
      <c r="A10730" t="s">
        <v>28320</v>
      </c>
      <c r="B10730">
        <v>1</v>
      </c>
      <c r="C10730">
        <v>13</v>
      </c>
      <c r="D10730">
        <v>13</v>
      </c>
    </row>
    <row r="10731" spans="1:4" ht="15" x14ac:dyDescent="0.25">
      <c r="A10731" t="s">
        <v>28322</v>
      </c>
      <c r="B10731">
        <v>1</v>
      </c>
      <c r="C10731">
        <v>13</v>
      </c>
      <c r="D10731">
        <v>13</v>
      </c>
    </row>
    <row r="10732" spans="1:4" ht="15" x14ac:dyDescent="0.25">
      <c r="A10732" t="s">
        <v>28321</v>
      </c>
      <c r="B10732">
        <v>1</v>
      </c>
      <c r="C10732">
        <v>13</v>
      </c>
      <c r="D10732">
        <v>13</v>
      </c>
    </row>
    <row r="10733" spans="1:4" ht="15" x14ac:dyDescent="0.25">
      <c r="A10733" t="s">
        <v>28328</v>
      </c>
      <c r="B10733">
        <v>1</v>
      </c>
      <c r="C10733">
        <v>40</v>
      </c>
      <c r="D10733">
        <v>40</v>
      </c>
    </row>
    <row r="10734" spans="1:4" ht="15" x14ac:dyDescent="0.25">
      <c r="A10734" t="s">
        <v>28334</v>
      </c>
      <c r="B10734">
        <v>1</v>
      </c>
      <c r="C10734">
        <v>0</v>
      </c>
      <c r="D10734">
        <v>0</v>
      </c>
    </row>
    <row r="10735" spans="1:4" ht="15" x14ac:dyDescent="0.25">
      <c r="A10735" t="s">
        <v>28335</v>
      </c>
      <c r="B10735">
        <v>1</v>
      </c>
      <c r="C10735">
        <v>0</v>
      </c>
      <c r="D10735">
        <v>0</v>
      </c>
    </row>
    <row r="10736" spans="1:4" ht="15" x14ac:dyDescent="0.25">
      <c r="A10736" t="s">
        <v>28336</v>
      </c>
      <c r="B10736">
        <v>1</v>
      </c>
      <c r="C10736">
        <v>0</v>
      </c>
      <c r="D10736">
        <v>0</v>
      </c>
    </row>
    <row r="10737" spans="1:4" ht="15" x14ac:dyDescent="0.25">
      <c r="A10737" t="s">
        <v>28337</v>
      </c>
      <c r="B10737">
        <v>1</v>
      </c>
      <c r="C10737">
        <v>0</v>
      </c>
      <c r="D10737">
        <v>0</v>
      </c>
    </row>
    <row r="10738" spans="1:4" ht="15" x14ac:dyDescent="0.25">
      <c r="A10738" t="s">
        <v>28343</v>
      </c>
      <c r="B10738">
        <v>1</v>
      </c>
      <c r="C10738">
        <v>12</v>
      </c>
      <c r="D10738">
        <v>12</v>
      </c>
    </row>
    <row r="10739" spans="1:4" ht="15" x14ac:dyDescent="0.25">
      <c r="A10739" t="s">
        <v>28345</v>
      </c>
      <c r="B10739">
        <v>1</v>
      </c>
      <c r="C10739">
        <v>12</v>
      </c>
      <c r="D10739">
        <v>12</v>
      </c>
    </row>
    <row r="10740" spans="1:4" ht="15" x14ac:dyDescent="0.25">
      <c r="A10740" t="s">
        <v>28344</v>
      </c>
      <c r="B10740">
        <v>1</v>
      </c>
      <c r="C10740">
        <v>12</v>
      </c>
      <c r="D10740">
        <v>12</v>
      </c>
    </row>
    <row r="10741" spans="1:4" ht="15" x14ac:dyDescent="0.25">
      <c r="A10741" t="s">
        <v>28350</v>
      </c>
      <c r="B10741">
        <v>1</v>
      </c>
      <c r="C10741">
        <v>47</v>
      </c>
      <c r="D10741">
        <v>47</v>
      </c>
    </row>
    <row r="10742" spans="1:4" ht="15" x14ac:dyDescent="0.25">
      <c r="A10742" t="s">
        <v>28352</v>
      </c>
      <c r="B10742">
        <v>1</v>
      </c>
      <c r="C10742">
        <v>47</v>
      </c>
      <c r="D10742">
        <v>47</v>
      </c>
    </row>
    <row r="10743" spans="1:4" ht="15" x14ac:dyDescent="0.25">
      <c r="A10743" t="s">
        <v>28353</v>
      </c>
      <c r="B10743">
        <v>1</v>
      </c>
      <c r="C10743">
        <v>47</v>
      </c>
      <c r="D10743">
        <v>47</v>
      </c>
    </row>
    <row r="10744" spans="1:4" ht="15" x14ac:dyDescent="0.25">
      <c r="A10744" t="s">
        <v>28351</v>
      </c>
      <c r="B10744">
        <v>1</v>
      </c>
      <c r="C10744">
        <v>47</v>
      </c>
      <c r="D10744">
        <v>47</v>
      </c>
    </row>
    <row r="10745" spans="1:4" ht="15" x14ac:dyDescent="0.25">
      <c r="A10745" t="s">
        <v>28359</v>
      </c>
      <c r="B10745">
        <v>1</v>
      </c>
      <c r="C10745">
        <v>12</v>
      </c>
      <c r="D10745">
        <v>12</v>
      </c>
    </row>
    <row r="10746" spans="1:4" ht="15" x14ac:dyDescent="0.25">
      <c r="A10746" t="s">
        <v>28365</v>
      </c>
      <c r="B10746">
        <v>1</v>
      </c>
      <c r="C10746">
        <v>27</v>
      </c>
      <c r="D10746">
        <v>27</v>
      </c>
    </row>
    <row r="10747" spans="1:4" ht="15" x14ac:dyDescent="0.25">
      <c r="A10747" t="s">
        <v>28366</v>
      </c>
      <c r="B10747">
        <v>1</v>
      </c>
      <c r="C10747">
        <v>27</v>
      </c>
      <c r="D10747">
        <v>27</v>
      </c>
    </row>
    <row r="10748" spans="1:4" ht="15" x14ac:dyDescent="0.25">
      <c r="A10748" t="s">
        <v>28367</v>
      </c>
      <c r="B10748">
        <v>1</v>
      </c>
      <c r="C10748">
        <v>27</v>
      </c>
      <c r="D10748">
        <v>27</v>
      </c>
    </row>
    <row r="10749" spans="1:4" ht="15" x14ac:dyDescent="0.25">
      <c r="A10749" t="s">
        <v>28371</v>
      </c>
      <c r="B10749">
        <v>1</v>
      </c>
      <c r="C10749">
        <v>36</v>
      </c>
      <c r="D10749">
        <v>36</v>
      </c>
    </row>
    <row r="10750" spans="1:4" ht="15" x14ac:dyDescent="0.25">
      <c r="A10750" t="s">
        <v>28375</v>
      </c>
      <c r="B10750">
        <v>1</v>
      </c>
      <c r="C10750">
        <v>21</v>
      </c>
      <c r="D10750">
        <v>21</v>
      </c>
    </row>
    <row r="10751" spans="1:4" ht="15" x14ac:dyDescent="0.25">
      <c r="A10751" t="s">
        <v>28377</v>
      </c>
      <c r="B10751">
        <v>1</v>
      </c>
      <c r="C10751">
        <v>21</v>
      </c>
      <c r="D10751">
        <v>21</v>
      </c>
    </row>
    <row r="10752" spans="1:4" ht="15" x14ac:dyDescent="0.25">
      <c r="A10752" t="s">
        <v>28378</v>
      </c>
      <c r="B10752">
        <v>1</v>
      </c>
      <c r="C10752">
        <v>21</v>
      </c>
      <c r="D10752">
        <v>21</v>
      </c>
    </row>
    <row r="10753" spans="1:4" ht="15" x14ac:dyDescent="0.25">
      <c r="A10753" t="s">
        <v>28376</v>
      </c>
      <c r="B10753">
        <v>1</v>
      </c>
      <c r="C10753">
        <v>21</v>
      </c>
      <c r="D10753">
        <v>21</v>
      </c>
    </row>
    <row r="10754" spans="1:4" ht="15" x14ac:dyDescent="0.25">
      <c r="A10754" t="s">
        <v>28382</v>
      </c>
      <c r="B10754">
        <v>1</v>
      </c>
      <c r="C10754">
        <v>38</v>
      </c>
      <c r="D10754">
        <v>38</v>
      </c>
    </row>
    <row r="10755" spans="1:4" ht="15" x14ac:dyDescent="0.25">
      <c r="A10755" t="s">
        <v>28383</v>
      </c>
      <c r="B10755">
        <v>1</v>
      </c>
      <c r="C10755">
        <v>38</v>
      </c>
      <c r="D10755">
        <v>38</v>
      </c>
    </row>
    <row r="10756" spans="1:4" ht="15" x14ac:dyDescent="0.25">
      <c r="A10756" t="s">
        <v>28386</v>
      </c>
      <c r="B10756">
        <v>1</v>
      </c>
      <c r="C10756">
        <v>95</v>
      </c>
      <c r="D10756">
        <v>95</v>
      </c>
    </row>
    <row r="10757" spans="1:4" ht="15" x14ac:dyDescent="0.25">
      <c r="A10757" t="s">
        <v>28387</v>
      </c>
      <c r="B10757">
        <v>1</v>
      </c>
      <c r="C10757">
        <v>95</v>
      </c>
      <c r="D10757">
        <v>95</v>
      </c>
    </row>
    <row r="10758" spans="1:4" ht="15" x14ac:dyDescent="0.25">
      <c r="A10758" t="s">
        <v>28388</v>
      </c>
      <c r="B10758">
        <v>1</v>
      </c>
      <c r="C10758">
        <v>95</v>
      </c>
      <c r="D10758">
        <v>95</v>
      </c>
    </row>
    <row r="10759" spans="1:4" ht="15" x14ac:dyDescent="0.25">
      <c r="A10759" t="s">
        <v>28398</v>
      </c>
      <c r="B10759">
        <v>1</v>
      </c>
      <c r="C10759">
        <v>1175</v>
      </c>
      <c r="D10759">
        <v>1175</v>
      </c>
    </row>
    <row r="10760" spans="1:4" ht="15" x14ac:dyDescent="0.25">
      <c r="A10760" t="s">
        <v>28402</v>
      </c>
      <c r="B10760">
        <v>2</v>
      </c>
      <c r="C10760">
        <v>173</v>
      </c>
      <c r="D10760">
        <v>86.5</v>
      </c>
    </row>
    <row r="10761" spans="1:4" ht="15" x14ac:dyDescent="0.25">
      <c r="A10761" t="s">
        <v>28403</v>
      </c>
      <c r="B10761">
        <v>2</v>
      </c>
      <c r="C10761">
        <v>173</v>
      </c>
      <c r="D10761">
        <v>86.5</v>
      </c>
    </row>
    <row r="10762" spans="1:4" ht="15" x14ac:dyDescent="0.25">
      <c r="A10762" t="s">
        <v>28405</v>
      </c>
      <c r="B10762">
        <v>1</v>
      </c>
      <c r="C10762">
        <v>36</v>
      </c>
      <c r="D10762">
        <v>36</v>
      </c>
    </row>
    <row r="10763" spans="1:4" ht="15" x14ac:dyDescent="0.25">
      <c r="A10763" t="s">
        <v>28404</v>
      </c>
      <c r="B10763">
        <v>1</v>
      </c>
      <c r="C10763">
        <v>36</v>
      </c>
      <c r="D10763">
        <v>36</v>
      </c>
    </row>
    <row r="10764" spans="1:4" ht="15" x14ac:dyDescent="0.25">
      <c r="A10764" t="s">
        <v>28409</v>
      </c>
      <c r="B10764">
        <v>1</v>
      </c>
      <c r="C10764">
        <v>32</v>
      </c>
      <c r="D10764">
        <v>32</v>
      </c>
    </row>
    <row r="10765" spans="1:4" ht="15" x14ac:dyDescent="0.25">
      <c r="A10765" t="s">
        <v>28410</v>
      </c>
      <c r="B10765">
        <v>1</v>
      </c>
      <c r="C10765">
        <v>32</v>
      </c>
      <c r="D10765">
        <v>32</v>
      </c>
    </row>
    <row r="10766" spans="1:4" ht="15" x14ac:dyDescent="0.25">
      <c r="A10766" t="s">
        <v>28414</v>
      </c>
      <c r="B10766">
        <v>1</v>
      </c>
      <c r="C10766">
        <v>33</v>
      </c>
      <c r="D10766">
        <v>33</v>
      </c>
    </row>
    <row r="10767" spans="1:4" ht="15" x14ac:dyDescent="0.25">
      <c r="A10767" t="s">
        <v>28413</v>
      </c>
      <c r="B10767">
        <v>1</v>
      </c>
      <c r="C10767">
        <v>33</v>
      </c>
      <c r="D10767">
        <v>33</v>
      </c>
    </row>
    <row r="10768" spans="1:4" ht="15" x14ac:dyDescent="0.25">
      <c r="A10768" t="s">
        <v>28419</v>
      </c>
      <c r="B10768">
        <v>1</v>
      </c>
      <c r="C10768">
        <v>56</v>
      </c>
      <c r="D10768">
        <v>56</v>
      </c>
    </row>
    <row r="10769" spans="1:4" ht="15" x14ac:dyDescent="0.25">
      <c r="A10769" t="s">
        <v>28420</v>
      </c>
      <c r="B10769">
        <v>1</v>
      </c>
      <c r="C10769">
        <v>56</v>
      </c>
      <c r="D10769">
        <v>56</v>
      </c>
    </row>
    <row r="10770" spans="1:4" ht="15" x14ac:dyDescent="0.25">
      <c r="A10770" t="s">
        <v>28422</v>
      </c>
      <c r="B10770">
        <v>1</v>
      </c>
      <c r="C10770">
        <v>56</v>
      </c>
      <c r="D10770">
        <v>56</v>
      </c>
    </row>
    <row r="10771" spans="1:4" ht="15" x14ac:dyDescent="0.25">
      <c r="A10771" t="s">
        <v>28421</v>
      </c>
      <c r="B10771">
        <v>1</v>
      </c>
      <c r="C10771">
        <v>56</v>
      </c>
      <c r="D10771">
        <v>56</v>
      </c>
    </row>
    <row r="10772" spans="1:4" ht="15" x14ac:dyDescent="0.25">
      <c r="A10772" t="s">
        <v>28430</v>
      </c>
      <c r="B10772">
        <v>1</v>
      </c>
      <c r="C10772">
        <v>32</v>
      </c>
      <c r="D10772">
        <v>32</v>
      </c>
    </row>
    <row r="10773" spans="1:4" ht="15" x14ac:dyDescent="0.25">
      <c r="A10773" t="s">
        <v>28431</v>
      </c>
      <c r="B10773">
        <v>1</v>
      </c>
      <c r="C10773">
        <v>32</v>
      </c>
      <c r="D10773">
        <v>32</v>
      </c>
    </row>
    <row r="10774" spans="1:4" ht="15" x14ac:dyDescent="0.25">
      <c r="A10774" t="s">
        <v>28432</v>
      </c>
      <c r="B10774">
        <v>1</v>
      </c>
      <c r="C10774">
        <v>32</v>
      </c>
      <c r="D10774">
        <v>32</v>
      </c>
    </row>
    <row r="10775" spans="1:4" ht="15" x14ac:dyDescent="0.25">
      <c r="A10775" t="s">
        <v>28433</v>
      </c>
      <c r="B10775">
        <v>1</v>
      </c>
      <c r="C10775">
        <v>32</v>
      </c>
      <c r="D10775">
        <v>32</v>
      </c>
    </row>
    <row r="10776" spans="1:4" ht="15" x14ac:dyDescent="0.25">
      <c r="A10776" t="s">
        <v>28438</v>
      </c>
      <c r="B10776">
        <v>1</v>
      </c>
      <c r="C10776">
        <v>55</v>
      </c>
      <c r="D10776">
        <v>55</v>
      </c>
    </row>
    <row r="10777" spans="1:4" ht="15" x14ac:dyDescent="0.25">
      <c r="A10777" t="s">
        <v>28440</v>
      </c>
      <c r="B10777">
        <v>1</v>
      </c>
      <c r="C10777">
        <v>55</v>
      </c>
      <c r="D10777">
        <v>55</v>
      </c>
    </row>
    <row r="10778" spans="1:4" ht="15" x14ac:dyDescent="0.25">
      <c r="A10778" t="s">
        <v>28439</v>
      </c>
      <c r="B10778">
        <v>1</v>
      </c>
      <c r="C10778">
        <v>55</v>
      </c>
      <c r="D10778">
        <v>55</v>
      </c>
    </row>
    <row r="10779" spans="1:4" ht="15" x14ac:dyDescent="0.25">
      <c r="A10779" t="s">
        <v>28445</v>
      </c>
      <c r="B10779">
        <v>1</v>
      </c>
      <c r="C10779">
        <v>8</v>
      </c>
      <c r="D10779">
        <v>8</v>
      </c>
    </row>
    <row r="10780" spans="1:4" ht="15" x14ac:dyDescent="0.25">
      <c r="A10780" t="s">
        <v>28446</v>
      </c>
      <c r="B10780">
        <v>1</v>
      </c>
      <c r="C10780">
        <v>8</v>
      </c>
      <c r="D10780">
        <v>8</v>
      </c>
    </row>
    <row r="10781" spans="1:4" ht="15" x14ac:dyDescent="0.25">
      <c r="A10781" t="s">
        <v>28448</v>
      </c>
      <c r="B10781">
        <v>1</v>
      </c>
      <c r="C10781">
        <v>8</v>
      </c>
      <c r="D10781">
        <v>8</v>
      </c>
    </row>
    <row r="10782" spans="1:4" ht="15" x14ac:dyDescent="0.25">
      <c r="A10782" t="s">
        <v>28447</v>
      </c>
      <c r="B10782">
        <v>1</v>
      </c>
      <c r="C10782">
        <v>8</v>
      </c>
      <c r="D10782">
        <v>8</v>
      </c>
    </row>
    <row r="10783" spans="1:4" ht="15" x14ac:dyDescent="0.25">
      <c r="A10783" t="s">
        <v>28454</v>
      </c>
      <c r="B10783">
        <v>1</v>
      </c>
      <c r="C10783">
        <v>1</v>
      </c>
      <c r="D10783">
        <v>1</v>
      </c>
    </row>
    <row r="10784" spans="1:4" ht="15" x14ac:dyDescent="0.25">
      <c r="A10784" t="s">
        <v>28460</v>
      </c>
      <c r="B10784">
        <v>1</v>
      </c>
      <c r="C10784">
        <v>31</v>
      </c>
      <c r="D10784">
        <v>31</v>
      </c>
    </row>
    <row r="10785" spans="1:4" ht="15" x14ac:dyDescent="0.25">
      <c r="A10785" t="s">
        <v>28464</v>
      </c>
      <c r="B10785">
        <v>1</v>
      </c>
      <c r="C10785">
        <v>95</v>
      </c>
      <c r="D10785">
        <v>95</v>
      </c>
    </row>
    <row r="10786" spans="1:4" ht="15" x14ac:dyDescent="0.25">
      <c r="A10786" t="s">
        <v>28465</v>
      </c>
      <c r="B10786">
        <v>1</v>
      </c>
      <c r="C10786">
        <v>95</v>
      </c>
      <c r="D10786">
        <v>95</v>
      </c>
    </row>
    <row r="10787" spans="1:4" ht="15" x14ac:dyDescent="0.25">
      <c r="A10787" t="s">
        <v>28469</v>
      </c>
      <c r="B10787">
        <v>1</v>
      </c>
      <c r="C10787">
        <v>3</v>
      </c>
      <c r="D10787">
        <v>3</v>
      </c>
    </row>
    <row r="10788" spans="1:4" ht="15" x14ac:dyDescent="0.25">
      <c r="A10788" t="s">
        <v>28473</v>
      </c>
      <c r="B10788">
        <v>1</v>
      </c>
      <c r="C10788">
        <v>11</v>
      </c>
      <c r="D10788">
        <v>11</v>
      </c>
    </row>
    <row r="10789" spans="1:4" ht="15" x14ac:dyDescent="0.25">
      <c r="A10789" t="s">
        <v>28474</v>
      </c>
      <c r="B10789">
        <v>1</v>
      </c>
      <c r="C10789">
        <v>11</v>
      </c>
      <c r="D10789">
        <v>11</v>
      </c>
    </row>
    <row r="10790" spans="1:4" ht="15" x14ac:dyDescent="0.25">
      <c r="A10790" t="s">
        <v>28476</v>
      </c>
      <c r="B10790">
        <v>1</v>
      </c>
      <c r="C10790">
        <v>11</v>
      </c>
      <c r="D10790">
        <v>11</v>
      </c>
    </row>
    <row r="10791" spans="1:4" ht="15" x14ac:dyDescent="0.25">
      <c r="A10791" t="s">
        <v>28477</v>
      </c>
      <c r="B10791">
        <v>1</v>
      </c>
      <c r="C10791">
        <v>11</v>
      </c>
      <c r="D10791">
        <v>11</v>
      </c>
    </row>
    <row r="10792" spans="1:4" ht="15" x14ac:dyDescent="0.25">
      <c r="A10792" t="s">
        <v>28475</v>
      </c>
      <c r="B10792">
        <v>1</v>
      </c>
      <c r="C10792">
        <v>11</v>
      </c>
      <c r="D10792">
        <v>11</v>
      </c>
    </row>
    <row r="10793" spans="1:4" ht="15" x14ac:dyDescent="0.25">
      <c r="A10793" t="s">
        <v>28481</v>
      </c>
      <c r="B10793">
        <v>1</v>
      </c>
      <c r="C10793">
        <v>1</v>
      </c>
      <c r="D10793">
        <v>1</v>
      </c>
    </row>
    <row r="10794" spans="1:4" ht="15" x14ac:dyDescent="0.25">
      <c r="A10794" t="s">
        <v>28483</v>
      </c>
      <c r="B10794">
        <v>1</v>
      </c>
      <c r="C10794">
        <v>1</v>
      </c>
      <c r="D10794">
        <v>1</v>
      </c>
    </row>
    <row r="10795" spans="1:4" ht="15" x14ac:dyDescent="0.25">
      <c r="A10795" t="s">
        <v>28482</v>
      </c>
      <c r="B10795">
        <v>1</v>
      </c>
      <c r="C10795">
        <v>1</v>
      </c>
      <c r="D10795">
        <v>1</v>
      </c>
    </row>
    <row r="10796" spans="1:4" ht="15" x14ac:dyDescent="0.25">
      <c r="A10796" t="s">
        <v>28487</v>
      </c>
      <c r="B10796">
        <v>1</v>
      </c>
      <c r="C10796">
        <v>12</v>
      </c>
      <c r="D10796">
        <v>12</v>
      </c>
    </row>
    <row r="10797" spans="1:4" ht="15" x14ac:dyDescent="0.25">
      <c r="A10797" t="s">
        <v>28491</v>
      </c>
      <c r="B10797">
        <v>2</v>
      </c>
      <c r="C10797">
        <v>17</v>
      </c>
      <c r="D10797">
        <v>8.5</v>
      </c>
    </row>
    <row r="10798" spans="1:4" ht="15" x14ac:dyDescent="0.25">
      <c r="A10798" t="s">
        <v>28492</v>
      </c>
      <c r="B10798">
        <v>1</v>
      </c>
      <c r="C10798">
        <v>6</v>
      </c>
      <c r="D10798">
        <v>6</v>
      </c>
    </row>
    <row r="10799" spans="1:4" ht="15" x14ac:dyDescent="0.25">
      <c r="A10799" t="s">
        <v>28501</v>
      </c>
      <c r="B10799">
        <v>1</v>
      </c>
      <c r="C10799">
        <v>6</v>
      </c>
      <c r="D10799">
        <v>6</v>
      </c>
    </row>
    <row r="10800" spans="1:4" ht="15" x14ac:dyDescent="0.25">
      <c r="A10800" t="s">
        <v>28503</v>
      </c>
      <c r="B10800">
        <v>2</v>
      </c>
      <c r="C10800">
        <v>16</v>
      </c>
      <c r="D10800">
        <v>8</v>
      </c>
    </row>
    <row r="10801" spans="1:4" ht="15" x14ac:dyDescent="0.25">
      <c r="A10801" t="s">
        <v>28502</v>
      </c>
      <c r="B10801">
        <v>1</v>
      </c>
      <c r="C10801">
        <v>6</v>
      </c>
      <c r="D10801">
        <v>6</v>
      </c>
    </row>
    <row r="10802" spans="1:4" ht="15" x14ac:dyDescent="0.25">
      <c r="A10802" t="s">
        <v>28507</v>
      </c>
      <c r="B10802">
        <v>1</v>
      </c>
      <c r="C10802">
        <v>10</v>
      </c>
      <c r="D10802">
        <v>10</v>
      </c>
    </row>
    <row r="10803" spans="1:4" ht="15" x14ac:dyDescent="0.25">
      <c r="A10803" t="s">
        <v>28511</v>
      </c>
      <c r="B10803">
        <v>1</v>
      </c>
      <c r="C10803">
        <v>0</v>
      </c>
      <c r="D10803">
        <v>0</v>
      </c>
    </row>
    <row r="10804" spans="1:4" ht="15" x14ac:dyDescent="0.25">
      <c r="A10804" t="s">
        <v>28514</v>
      </c>
      <c r="B10804">
        <v>1</v>
      </c>
      <c r="C10804">
        <v>44</v>
      </c>
      <c r="D10804">
        <v>44</v>
      </c>
    </row>
    <row r="10805" spans="1:4" ht="15" x14ac:dyDescent="0.25">
      <c r="A10805" t="s">
        <v>28519</v>
      </c>
      <c r="B10805">
        <v>1</v>
      </c>
      <c r="C10805">
        <v>75</v>
      </c>
      <c r="D10805">
        <v>75</v>
      </c>
    </row>
    <row r="10806" spans="1:4" ht="15" x14ac:dyDescent="0.25">
      <c r="A10806" t="s">
        <v>28523</v>
      </c>
      <c r="B10806">
        <v>1</v>
      </c>
      <c r="C10806">
        <v>80</v>
      </c>
      <c r="D10806">
        <v>80</v>
      </c>
    </row>
    <row r="10807" spans="1:4" ht="15" x14ac:dyDescent="0.25">
      <c r="A10807" t="s">
        <v>28524</v>
      </c>
      <c r="B10807">
        <v>1</v>
      </c>
      <c r="C10807">
        <v>80</v>
      </c>
      <c r="D10807">
        <v>80</v>
      </c>
    </row>
    <row r="10808" spans="1:4" ht="15" x14ac:dyDescent="0.25">
      <c r="A10808" t="s">
        <v>28525</v>
      </c>
      <c r="B10808">
        <v>1</v>
      </c>
      <c r="C10808">
        <v>80</v>
      </c>
      <c r="D10808">
        <v>80</v>
      </c>
    </row>
    <row r="10809" spans="1:4" ht="15" x14ac:dyDescent="0.25">
      <c r="A10809" t="s">
        <v>28529</v>
      </c>
      <c r="B10809">
        <v>1</v>
      </c>
      <c r="C10809">
        <v>7</v>
      </c>
      <c r="D10809">
        <v>7</v>
      </c>
    </row>
    <row r="10810" spans="1:4" ht="15" x14ac:dyDescent="0.25">
      <c r="A10810" t="s">
        <v>28532</v>
      </c>
      <c r="B10810">
        <v>1</v>
      </c>
      <c r="C10810">
        <v>3</v>
      </c>
      <c r="D10810">
        <v>3</v>
      </c>
    </row>
    <row r="10811" spans="1:4" ht="15" x14ac:dyDescent="0.25">
      <c r="A10811" t="s">
        <v>28537</v>
      </c>
      <c r="B10811">
        <v>1</v>
      </c>
      <c r="C10811">
        <v>8</v>
      </c>
      <c r="D10811">
        <v>8</v>
      </c>
    </row>
    <row r="10812" spans="1:4" ht="15" x14ac:dyDescent="0.25">
      <c r="A10812" t="s">
        <v>28538</v>
      </c>
      <c r="B10812">
        <v>1</v>
      </c>
      <c r="C10812">
        <v>8</v>
      </c>
      <c r="D10812">
        <v>8</v>
      </c>
    </row>
    <row r="10813" spans="1:4" ht="15" x14ac:dyDescent="0.25">
      <c r="A10813" t="s">
        <v>28539</v>
      </c>
      <c r="B10813">
        <v>1</v>
      </c>
      <c r="C10813">
        <v>99</v>
      </c>
      <c r="D10813">
        <v>99</v>
      </c>
    </row>
    <row r="10814" spans="1:4" ht="15" x14ac:dyDescent="0.25">
      <c r="A10814" t="s">
        <v>28542</v>
      </c>
      <c r="B10814">
        <v>1</v>
      </c>
      <c r="C10814">
        <v>99</v>
      </c>
      <c r="D10814">
        <v>99</v>
      </c>
    </row>
    <row r="10815" spans="1:4" ht="15" x14ac:dyDescent="0.25">
      <c r="A10815" t="s">
        <v>28546</v>
      </c>
      <c r="B10815">
        <v>1</v>
      </c>
      <c r="C10815">
        <v>21</v>
      </c>
      <c r="D10815">
        <v>21</v>
      </c>
    </row>
    <row r="10816" spans="1:4" ht="15" x14ac:dyDescent="0.25">
      <c r="A10816" t="s">
        <v>28547</v>
      </c>
      <c r="B10816">
        <v>1</v>
      </c>
      <c r="C10816">
        <v>21</v>
      </c>
      <c r="D10816">
        <v>21</v>
      </c>
    </row>
    <row r="10817" spans="1:4" ht="15" x14ac:dyDescent="0.25">
      <c r="A10817" t="s">
        <v>28548</v>
      </c>
      <c r="B10817">
        <v>1</v>
      </c>
      <c r="C10817">
        <v>21</v>
      </c>
      <c r="D10817">
        <v>21</v>
      </c>
    </row>
    <row r="10818" spans="1:4" ht="15" x14ac:dyDescent="0.25">
      <c r="A10818" t="s">
        <v>28552</v>
      </c>
      <c r="B10818">
        <v>1</v>
      </c>
      <c r="C10818">
        <v>40</v>
      </c>
      <c r="D10818">
        <v>40</v>
      </c>
    </row>
    <row r="10819" spans="1:4" ht="15" x14ac:dyDescent="0.25">
      <c r="A10819" t="s">
        <v>28553</v>
      </c>
      <c r="B10819">
        <v>1</v>
      </c>
      <c r="C10819">
        <v>40</v>
      </c>
      <c r="D10819">
        <v>40</v>
      </c>
    </row>
    <row r="10820" spans="1:4" ht="15" x14ac:dyDescent="0.25">
      <c r="A10820" t="s">
        <v>28556</v>
      </c>
      <c r="B10820">
        <v>2</v>
      </c>
      <c r="C10820">
        <v>1456</v>
      </c>
      <c r="D10820">
        <v>728</v>
      </c>
    </row>
    <row r="10821" spans="1:4" ht="15" x14ac:dyDescent="0.25">
      <c r="A10821" t="s">
        <v>28560</v>
      </c>
      <c r="B10821">
        <v>1</v>
      </c>
      <c r="C10821">
        <v>110</v>
      </c>
      <c r="D10821">
        <v>110</v>
      </c>
    </row>
    <row r="10822" spans="1:4" ht="15" x14ac:dyDescent="0.25">
      <c r="A10822" t="s">
        <v>28567</v>
      </c>
      <c r="B10822">
        <v>1</v>
      </c>
      <c r="C10822">
        <v>57</v>
      </c>
      <c r="D10822">
        <v>57</v>
      </c>
    </row>
    <row r="10823" spans="1:4" ht="15" x14ac:dyDescent="0.25">
      <c r="A10823" t="s">
        <v>28569</v>
      </c>
      <c r="B10823">
        <v>1</v>
      </c>
      <c r="C10823">
        <v>57</v>
      </c>
      <c r="D10823">
        <v>57</v>
      </c>
    </row>
    <row r="10824" spans="1:4" ht="15" x14ac:dyDescent="0.25">
      <c r="A10824" t="s">
        <v>28570</v>
      </c>
      <c r="B10824">
        <v>1</v>
      </c>
      <c r="C10824">
        <v>57</v>
      </c>
      <c r="D10824">
        <v>57</v>
      </c>
    </row>
    <row r="10825" spans="1:4" ht="15" x14ac:dyDescent="0.25">
      <c r="A10825" t="s">
        <v>28568</v>
      </c>
      <c r="B10825">
        <v>1</v>
      </c>
      <c r="C10825">
        <v>57</v>
      </c>
      <c r="D10825">
        <v>57</v>
      </c>
    </row>
    <row r="10826" spans="1:4" ht="15" x14ac:dyDescent="0.25">
      <c r="A10826" t="s">
        <v>28573</v>
      </c>
      <c r="B10826">
        <v>1</v>
      </c>
      <c r="C10826">
        <v>11</v>
      </c>
      <c r="D10826">
        <v>11</v>
      </c>
    </row>
    <row r="10827" spans="1:4" ht="15" x14ac:dyDescent="0.25">
      <c r="A10827" t="s">
        <v>28577</v>
      </c>
      <c r="B10827">
        <v>1</v>
      </c>
      <c r="C10827">
        <v>29</v>
      </c>
      <c r="D10827">
        <v>29</v>
      </c>
    </row>
    <row r="10828" spans="1:4" ht="15" x14ac:dyDescent="0.25">
      <c r="A10828" t="s">
        <v>28581</v>
      </c>
      <c r="B10828">
        <v>1</v>
      </c>
      <c r="C10828">
        <v>50</v>
      </c>
      <c r="D10828">
        <v>50</v>
      </c>
    </row>
    <row r="10829" spans="1:4" ht="15" x14ac:dyDescent="0.25">
      <c r="A10829" t="s">
        <v>28585</v>
      </c>
      <c r="B10829">
        <v>1</v>
      </c>
      <c r="C10829">
        <v>25</v>
      </c>
      <c r="D10829">
        <v>25</v>
      </c>
    </row>
    <row r="10830" spans="1:4" ht="15" x14ac:dyDescent="0.25">
      <c r="A10830" t="s">
        <v>28592</v>
      </c>
      <c r="B10830">
        <v>1</v>
      </c>
      <c r="C10830">
        <v>11</v>
      </c>
      <c r="D10830">
        <v>11</v>
      </c>
    </row>
    <row r="10831" spans="1:4" ht="15" x14ac:dyDescent="0.25">
      <c r="A10831" t="s">
        <v>28594</v>
      </c>
      <c r="B10831">
        <v>1</v>
      </c>
      <c r="C10831">
        <v>11</v>
      </c>
      <c r="D10831">
        <v>11</v>
      </c>
    </row>
    <row r="10832" spans="1:4" ht="15" x14ac:dyDescent="0.25">
      <c r="A10832" t="s">
        <v>28593</v>
      </c>
      <c r="B10832">
        <v>1</v>
      </c>
      <c r="C10832">
        <v>11</v>
      </c>
      <c r="D10832">
        <v>11</v>
      </c>
    </row>
    <row r="10833" spans="1:4" ht="15" x14ac:dyDescent="0.25">
      <c r="A10833" t="s">
        <v>28598</v>
      </c>
      <c r="B10833">
        <v>1</v>
      </c>
      <c r="C10833">
        <v>14</v>
      </c>
      <c r="D10833">
        <v>14</v>
      </c>
    </row>
    <row r="10834" spans="1:4" ht="15" x14ac:dyDescent="0.25">
      <c r="A10834" t="s">
        <v>28599</v>
      </c>
      <c r="B10834">
        <v>1</v>
      </c>
      <c r="C10834">
        <v>14</v>
      </c>
      <c r="D10834">
        <v>14</v>
      </c>
    </row>
    <row r="10835" spans="1:4" ht="15" x14ac:dyDescent="0.25">
      <c r="A10835" t="s">
        <v>28603</v>
      </c>
      <c r="B10835">
        <v>1</v>
      </c>
      <c r="C10835">
        <v>9</v>
      </c>
      <c r="D10835">
        <v>9</v>
      </c>
    </row>
    <row r="10836" spans="1:4" ht="15" x14ac:dyDescent="0.25">
      <c r="A10836" t="s">
        <v>28605</v>
      </c>
      <c r="B10836">
        <v>1</v>
      </c>
      <c r="C10836">
        <v>9</v>
      </c>
      <c r="D10836">
        <v>9</v>
      </c>
    </row>
    <row r="10837" spans="1:4" ht="15" x14ac:dyDescent="0.25">
      <c r="A10837" t="s">
        <v>28604</v>
      </c>
      <c r="B10837">
        <v>1</v>
      </c>
      <c r="C10837">
        <v>9</v>
      </c>
      <c r="D10837">
        <v>9</v>
      </c>
    </row>
    <row r="10838" spans="1:4" ht="15" x14ac:dyDescent="0.25">
      <c r="A10838" t="s">
        <v>28608</v>
      </c>
      <c r="B10838">
        <v>1</v>
      </c>
      <c r="C10838">
        <v>28</v>
      </c>
      <c r="D10838">
        <v>28</v>
      </c>
    </row>
    <row r="10839" spans="1:4" ht="15" x14ac:dyDescent="0.25">
      <c r="A10839" t="s">
        <v>28609</v>
      </c>
      <c r="B10839">
        <v>1</v>
      </c>
      <c r="C10839">
        <v>28</v>
      </c>
      <c r="D10839">
        <v>28</v>
      </c>
    </row>
    <row r="10840" spans="1:4" ht="15" x14ac:dyDescent="0.25">
      <c r="A10840" t="s">
        <v>28613</v>
      </c>
      <c r="B10840">
        <v>1</v>
      </c>
      <c r="C10840">
        <v>137</v>
      </c>
      <c r="D10840">
        <v>137</v>
      </c>
    </row>
    <row r="10841" spans="1:4" ht="15" x14ac:dyDescent="0.25">
      <c r="A10841" t="s">
        <v>28614</v>
      </c>
      <c r="B10841">
        <v>1</v>
      </c>
      <c r="C10841">
        <v>137</v>
      </c>
      <c r="D10841">
        <v>137</v>
      </c>
    </row>
    <row r="10842" spans="1:4" ht="15" x14ac:dyDescent="0.25">
      <c r="A10842" t="s">
        <v>28617</v>
      </c>
      <c r="B10842">
        <v>1</v>
      </c>
      <c r="C10842">
        <v>20</v>
      </c>
      <c r="D10842">
        <v>20</v>
      </c>
    </row>
    <row r="10843" spans="1:4" ht="15" x14ac:dyDescent="0.25">
      <c r="A10843" t="s">
        <v>28619</v>
      </c>
      <c r="B10843">
        <v>1</v>
      </c>
      <c r="C10843">
        <v>20</v>
      </c>
      <c r="D10843">
        <v>20</v>
      </c>
    </row>
    <row r="10844" spans="1:4" ht="15" x14ac:dyDescent="0.25">
      <c r="A10844" t="s">
        <v>28618</v>
      </c>
      <c r="B10844">
        <v>1</v>
      </c>
      <c r="C10844">
        <v>20</v>
      </c>
      <c r="D10844">
        <v>20</v>
      </c>
    </row>
    <row r="10845" spans="1:4" ht="15" x14ac:dyDescent="0.25">
      <c r="A10845" t="s">
        <v>28626</v>
      </c>
      <c r="B10845">
        <v>1</v>
      </c>
      <c r="C10845">
        <v>7</v>
      </c>
      <c r="D10845">
        <v>7</v>
      </c>
    </row>
    <row r="10846" spans="1:4" ht="15" x14ac:dyDescent="0.25">
      <c r="A10846" t="s">
        <v>28628</v>
      </c>
      <c r="B10846">
        <v>1</v>
      </c>
      <c r="C10846">
        <v>7</v>
      </c>
      <c r="D10846">
        <v>7</v>
      </c>
    </row>
    <row r="10847" spans="1:4" ht="15" x14ac:dyDescent="0.25">
      <c r="A10847" t="s">
        <v>28627</v>
      </c>
      <c r="B10847">
        <v>1</v>
      </c>
      <c r="C10847">
        <v>7</v>
      </c>
      <c r="D10847">
        <v>7</v>
      </c>
    </row>
    <row r="10848" spans="1:4" ht="15" x14ac:dyDescent="0.25">
      <c r="A10848" t="s">
        <v>28636</v>
      </c>
      <c r="B10848">
        <v>1</v>
      </c>
      <c r="C10848">
        <v>13</v>
      </c>
      <c r="D10848">
        <v>13</v>
      </c>
    </row>
    <row r="10849" spans="1:4" ht="15" x14ac:dyDescent="0.25">
      <c r="A10849" t="s">
        <v>28637</v>
      </c>
      <c r="B10849">
        <v>1</v>
      </c>
      <c r="C10849">
        <v>13</v>
      </c>
      <c r="D10849">
        <v>13</v>
      </c>
    </row>
    <row r="10850" spans="1:4" ht="15" x14ac:dyDescent="0.25">
      <c r="A10850" t="s">
        <v>28640</v>
      </c>
      <c r="B10850">
        <v>1</v>
      </c>
      <c r="C10850">
        <v>30</v>
      </c>
      <c r="D10850">
        <v>30</v>
      </c>
    </row>
    <row r="10851" spans="1:4" ht="15" x14ac:dyDescent="0.25">
      <c r="A10851" t="s">
        <v>28641</v>
      </c>
      <c r="B10851">
        <v>1</v>
      </c>
      <c r="C10851">
        <v>30</v>
      </c>
      <c r="D10851">
        <v>30</v>
      </c>
    </row>
    <row r="10852" spans="1:4" ht="15" x14ac:dyDescent="0.25">
      <c r="A10852" t="s">
        <v>28645</v>
      </c>
      <c r="B10852">
        <v>1</v>
      </c>
      <c r="C10852">
        <v>62</v>
      </c>
      <c r="D10852">
        <v>62</v>
      </c>
    </row>
    <row r="10853" spans="1:4" ht="15" x14ac:dyDescent="0.25">
      <c r="A10853" t="s">
        <v>28646</v>
      </c>
      <c r="B10853">
        <v>1</v>
      </c>
      <c r="C10853">
        <v>62</v>
      </c>
      <c r="D10853">
        <v>62</v>
      </c>
    </row>
    <row r="10854" spans="1:4" ht="15" x14ac:dyDescent="0.25">
      <c r="A10854" t="s">
        <v>28647</v>
      </c>
      <c r="B10854">
        <v>1</v>
      </c>
      <c r="C10854">
        <v>62</v>
      </c>
      <c r="D10854">
        <v>62</v>
      </c>
    </row>
    <row r="10855" spans="1:4" ht="15" x14ac:dyDescent="0.25">
      <c r="A10855" t="s">
        <v>28651</v>
      </c>
      <c r="B10855">
        <v>1</v>
      </c>
      <c r="C10855">
        <v>12</v>
      </c>
      <c r="D10855">
        <v>12</v>
      </c>
    </row>
    <row r="10856" spans="1:4" ht="15" x14ac:dyDescent="0.25">
      <c r="A10856" t="s">
        <v>28652</v>
      </c>
      <c r="B10856">
        <v>1</v>
      </c>
      <c r="C10856">
        <v>12</v>
      </c>
      <c r="D10856">
        <v>12</v>
      </c>
    </row>
    <row r="10857" spans="1:4" ht="15" x14ac:dyDescent="0.25">
      <c r="A10857" t="s">
        <v>28661</v>
      </c>
      <c r="B10857">
        <v>1</v>
      </c>
      <c r="C10857">
        <v>4</v>
      </c>
      <c r="D10857">
        <v>4</v>
      </c>
    </row>
    <row r="10858" spans="1:4" ht="15" x14ac:dyDescent="0.25">
      <c r="A10858" t="s">
        <v>28665</v>
      </c>
      <c r="B10858">
        <v>1</v>
      </c>
      <c r="C10858">
        <v>12</v>
      </c>
      <c r="D10858">
        <v>12</v>
      </c>
    </row>
    <row r="10859" spans="1:4" ht="15" x14ac:dyDescent="0.25">
      <c r="A10859" t="s">
        <v>28666</v>
      </c>
      <c r="B10859">
        <v>1</v>
      </c>
      <c r="C10859">
        <v>12</v>
      </c>
      <c r="D10859">
        <v>12</v>
      </c>
    </row>
    <row r="10860" spans="1:4" ht="15" x14ac:dyDescent="0.25">
      <c r="A10860" t="s">
        <v>28667</v>
      </c>
      <c r="B10860">
        <v>1</v>
      </c>
      <c r="C10860">
        <v>12</v>
      </c>
      <c r="D10860">
        <v>12</v>
      </c>
    </row>
    <row r="10861" spans="1:4" ht="15" x14ac:dyDescent="0.25">
      <c r="A10861" t="s">
        <v>28672</v>
      </c>
      <c r="B10861">
        <v>1</v>
      </c>
      <c r="C10861">
        <v>152</v>
      </c>
      <c r="D10861">
        <v>152</v>
      </c>
    </row>
    <row r="10862" spans="1:4" ht="15" x14ac:dyDescent="0.25">
      <c r="A10862" t="s">
        <v>28674</v>
      </c>
      <c r="B10862">
        <v>1</v>
      </c>
      <c r="C10862">
        <v>152</v>
      </c>
      <c r="D10862">
        <v>152</v>
      </c>
    </row>
    <row r="10863" spans="1:4" ht="15" x14ac:dyDescent="0.25">
      <c r="A10863" t="s">
        <v>28675</v>
      </c>
      <c r="B10863">
        <v>1</v>
      </c>
      <c r="C10863">
        <v>152</v>
      </c>
      <c r="D10863">
        <v>152</v>
      </c>
    </row>
    <row r="10864" spans="1:4" ht="15" x14ac:dyDescent="0.25">
      <c r="A10864" t="s">
        <v>28673</v>
      </c>
      <c r="B10864">
        <v>1</v>
      </c>
      <c r="C10864">
        <v>152</v>
      </c>
      <c r="D10864">
        <v>152</v>
      </c>
    </row>
    <row r="10865" spans="1:4" ht="15" x14ac:dyDescent="0.25">
      <c r="A10865" t="s">
        <v>28679</v>
      </c>
      <c r="B10865">
        <v>1</v>
      </c>
      <c r="C10865">
        <v>12</v>
      </c>
      <c r="D10865">
        <v>12</v>
      </c>
    </row>
    <row r="10866" spans="1:4" ht="15" x14ac:dyDescent="0.25">
      <c r="A10866" t="s">
        <v>28680</v>
      </c>
      <c r="B10866">
        <v>1</v>
      </c>
      <c r="C10866">
        <v>12</v>
      </c>
      <c r="D10866">
        <v>12</v>
      </c>
    </row>
    <row r="10867" spans="1:4" ht="15" x14ac:dyDescent="0.25">
      <c r="A10867" t="s">
        <v>28681</v>
      </c>
      <c r="B10867">
        <v>1</v>
      </c>
      <c r="C10867">
        <v>12</v>
      </c>
      <c r="D10867">
        <v>12</v>
      </c>
    </row>
    <row r="10868" spans="1:4" ht="15" x14ac:dyDescent="0.25">
      <c r="A10868" t="s">
        <v>28687</v>
      </c>
      <c r="B10868">
        <v>1</v>
      </c>
      <c r="C10868">
        <v>45</v>
      </c>
      <c r="D10868">
        <v>45</v>
      </c>
    </row>
    <row r="10869" spans="1:4" ht="15" x14ac:dyDescent="0.25">
      <c r="A10869" t="s">
        <v>28693</v>
      </c>
      <c r="B10869">
        <v>1</v>
      </c>
      <c r="C10869">
        <v>25</v>
      </c>
      <c r="D10869">
        <v>25</v>
      </c>
    </row>
    <row r="10870" spans="1:4" ht="15" x14ac:dyDescent="0.25">
      <c r="A10870" t="s">
        <v>28694</v>
      </c>
      <c r="B10870">
        <v>1</v>
      </c>
      <c r="C10870">
        <v>25</v>
      </c>
      <c r="D10870">
        <v>25</v>
      </c>
    </row>
    <row r="10871" spans="1:4" ht="15" x14ac:dyDescent="0.25">
      <c r="A10871" t="s">
        <v>28697</v>
      </c>
      <c r="B10871">
        <v>1</v>
      </c>
      <c r="C10871">
        <v>18</v>
      </c>
      <c r="D10871">
        <v>18</v>
      </c>
    </row>
    <row r="10872" spans="1:4" ht="15" x14ac:dyDescent="0.25">
      <c r="A10872" t="s">
        <v>28701</v>
      </c>
      <c r="B10872">
        <v>1</v>
      </c>
      <c r="C10872">
        <v>9</v>
      </c>
      <c r="D10872">
        <v>9</v>
      </c>
    </row>
    <row r="10873" spans="1:4" ht="15" x14ac:dyDescent="0.25">
      <c r="A10873" t="s">
        <v>28703</v>
      </c>
      <c r="B10873">
        <v>1</v>
      </c>
      <c r="C10873">
        <v>9</v>
      </c>
      <c r="D10873">
        <v>9</v>
      </c>
    </row>
    <row r="10874" spans="1:4" ht="15" x14ac:dyDescent="0.25">
      <c r="A10874" t="s">
        <v>28702</v>
      </c>
      <c r="B10874">
        <v>1</v>
      </c>
      <c r="C10874">
        <v>9</v>
      </c>
      <c r="D10874">
        <v>9</v>
      </c>
    </row>
    <row r="10875" spans="1:4" ht="15" x14ac:dyDescent="0.25">
      <c r="A10875" t="s">
        <v>28708</v>
      </c>
      <c r="B10875">
        <v>1</v>
      </c>
      <c r="C10875">
        <v>5</v>
      </c>
      <c r="D10875">
        <v>5</v>
      </c>
    </row>
    <row r="10876" spans="1:4" ht="15" x14ac:dyDescent="0.25">
      <c r="A10876" t="s">
        <v>28713</v>
      </c>
      <c r="B10876">
        <v>1</v>
      </c>
      <c r="C10876">
        <v>47</v>
      </c>
      <c r="D10876">
        <v>47</v>
      </c>
    </row>
    <row r="10877" spans="1:4" ht="15" x14ac:dyDescent="0.25">
      <c r="A10877" t="s">
        <v>28719</v>
      </c>
      <c r="B10877">
        <v>1</v>
      </c>
      <c r="C10877">
        <v>53</v>
      </c>
      <c r="D10877">
        <v>53</v>
      </c>
    </row>
    <row r="10878" spans="1:4" ht="15" x14ac:dyDescent="0.25">
      <c r="A10878" t="s">
        <v>28721</v>
      </c>
      <c r="B10878">
        <v>1</v>
      </c>
      <c r="C10878">
        <v>53</v>
      </c>
      <c r="D10878">
        <v>53</v>
      </c>
    </row>
    <row r="10879" spans="1:4" ht="15" x14ac:dyDescent="0.25">
      <c r="A10879" t="s">
        <v>28720</v>
      </c>
      <c r="B10879">
        <v>1</v>
      </c>
      <c r="C10879">
        <v>53</v>
      </c>
      <c r="D10879">
        <v>53</v>
      </c>
    </row>
    <row r="10880" spans="1:4" ht="15" x14ac:dyDescent="0.25">
      <c r="A10880" t="s">
        <v>28724</v>
      </c>
      <c r="B10880">
        <v>1</v>
      </c>
      <c r="C10880">
        <v>21</v>
      </c>
      <c r="D10880">
        <v>21</v>
      </c>
    </row>
    <row r="10881" spans="1:4" ht="15" x14ac:dyDescent="0.25">
      <c r="A10881" t="s">
        <v>28725</v>
      </c>
      <c r="B10881">
        <v>1</v>
      </c>
      <c r="C10881">
        <v>21</v>
      </c>
      <c r="D10881">
        <v>21</v>
      </c>
    </row>
    <row r="10882" spans="1:4" ht="15" x14ac:dyDescent="0.25">
      <c r="A10882" t="s">
        <v>28729</v>
      </c>
      <c r="B10882">
        <v>1</v>
      </c>
      <c r="C10882">
        <v>86</v>
      </c>
      <c r="D10882">
        <v>86</v>
      </c>
    </row>
    <row r="10883" spans="1:4" ht="15" x14ac:dyDescent="0.25">
      <c r="A10883" t="s">
        <v>28730</v>
      </c>
      <c r="B10883">
        <v>1</v>
      </c>
      <c r="C10883">
        <v>86</v>
      </c>
      <c r="D10883">
        <v>86</v>
      </c>
    </row>
    <row r="10884" spans="1:4" ht="15" x14ac:dyDescent="0.25">
      <c r="A10884" t="s">
        <v>28734</v>
      </c>
      <c r="B10884">
        <v>1</v>
      </c>
      <c r="C10884">
        <v>9</v>
      </c>
      <c r="D10884">
        <v>9</v>
      </c>
    </row>
    <row r="10885" spans="1:4" ht="15" x14ac:dyDescent="0.25">
      <c r="A10885" t="s">
        <v>28735</v>
      </c>
      <c r="B10885">
        <v>1</v>
      </c>
      <c r="C10885">
        <v>9</v>
      </c>
      <c r="D10885">
        <v>9</v>
      </c>
    </row>
    <row r="10886" spans="1:4" ht="15" x14ac:dyDescent="0.25">
      <c r="A10886" t="s">
        <v>28736</v>
      </c>
      <c r="B10886">
        <v>1</v>
      </c>
      <c r="C10886">
        <v>9</v>
      </c>
      <c r="D10886">
        <v>9</v>
      </c>
    </row>
    <row r="10887" spans="1:4" ht="15" x14ac:dyDescent="0.25">
      <c r="A10887" t="s">
        <v>28737</v>
      </c>
      <c r="B10887">
        <v>1</v>
      </c>
      <c r="C10887">
        <v>9</v>
      </c>
      <c r="D10887">
        <v>9</v>
      </c>
    </row>
    <row r="10888" spans="1:4" ht="15" x14ac:dyDescent="0.25">
      <c r="A10888" t="s">
        <v>28741</v>
      </c>
      <c r="B10888">
        <v>1</v>
      </c>
      <c r="C10888">
        <v>21</v>
      </c>
      <c r="D10888">
        <v>21</v>
      </c>
    </row>
    <row r="10889" spans="1:4" ht="15" x14ac:dyDescent="0.25">
      <c r="A10889" t="s">
        <v>28742</v>
      </c>
      <c r="B10889">
        <v>1</v>
      </c>
      <c r="C10889">
        <v>21</v>
      </c>
      <c r="D10889">
        <v>21</v>
      </c>
    </row>
    <row r="10890" spans="1:4" ht="15" x14ac:dyDescent="0.25">
      <c r="A10890" t="s">
        <v>28748</v>
      </c>
      <c r="B10890">
        <v>1</v>
      </c>
      <c r="C10890">
        <v>15</v>
      </c>
      <c r="D10890">
        <v>15</v>
      </c>
    </row>
    <row r="10891" spans="1:4" ht="15" x14ac:dyDescent="0.25">
      <c r="A10891" t="s">
        <v>28749</v>
      </c>
      <c r="B10891">
        <v>1</v>
      </c>
      <c r="C10891">
        <v>15</v>
      </c>
      <c r="D10891">
        <v>15</v>
      </c>
    </row>
    <row r="10892" spans="1:4" ht="15" x14ac:dyDescent="0.25">
      <c r="A10892" t="s">
        <v>28751</v>
      </c>
      <c r="B10892">
        <v>1</v>
      </c>
      <c r="C10892">
        <v>15</v>
      </c>
      <c r="D10892">
        <v>15</v>
      </c>
    </row>
    <row r="10893" spans="1:4" ht="15" x14ac:dyDescent="0.25">
      <c r="A10893" t="s">
        <v>28752</v>
      </c>
      <c r="B10893">
        <v>1</v>
      </c>
      <c r="C10893">
        <v>15</v>
      </c>
      <c r="D10893">
        <v>15</v>
      </c>
    </row>
    <row r="10894" spans="1:4" ht="15" x14ac:dyDescent="0.25">
      <c r="A10894" t="s">
        <v>28750</v>
      </c>
      <c r="B10894">
        <v>1</v>
      </c>
      <c r="C10894">
        <v>15</v>
      </c>
      <c r="D10894">
        <v>15</v>
      </c>
    </row>
    <row r="10895" spans="1:4" ht="15" x14ac:dyDescent="0.25">
      <c r="A10895" t="s">
        <v>28756</v>
      </c>
      <c r="B10895">
        <v>1</v>
      </c>
      <c r="C10895">
        <v>18</v>
      </c>
      <c r="D10895">
        <v>18</v>
      </c>
    </row>
    <row r="10896" spans="1:4" ht="15" x14ac:dyDescent="0.25">
      <c r="A10896" t="s">
        <v>28757</v>
      </c>
      <c r="B10896">
        <v>1</v>
      </c>
      <c r="C10896">
        <v>18</v>
      </c>
      <c r="D10896">
        <v>18</v>
      </c>
    </row>
    <row r="10897" spans="1:4" ht="15" x14ac:dyDescent="0.25">
      <c r="A10897" t="s">
        <v>28759</v>
      </c>
      <c r="B10897">
        <v>1</v>
      </c>
      <c r="C10897">
        <v>18</v>
      </c>
      <c r="D10897">
        <v>18</v>
      </c>
    </row>
    <row r="10898" spans="1:4" ht="15" x14ac:dyDescent="0.25">
      <c r="A10898" t="s">
        <v>28760</v>
      </c>
      <c r="B10898">
        <v>1</v>
      </c>
      <c r="C10898">
        <v>18</v>
      </c>
      <c r="D10898">
        <v>18</v>
      </c>
    </row>
    <row r="10899" spans="1:4" ht="15" x14ac:dyDescent="0.25">
      <c r="A10899" t="s">
        <v>28758</v>
      </c>
      <c r="B10899">
        <v>1</v>
      </c>
      <c r="C10899">
        <v>18</v>
      </c>
      <c r="D10899">
        <v>18</v>
      </c>
    </row>
    <row r="10900" spans="1:4" ht="15" x14ac:dyDescent="0.25">
      <c r="A10900" t="s">
        <v>28764</v>
      </c>
      <c r="B10900">
        <v>1</v>
      </c>
      <c r="C10900">
        <v>27</v>
      </c>
      <c r="D10900">
        <v>27</v>
      </c>
    </row>
    <row r="10901" spans="1:4" ht="15" x14ac:dyDescent="0.25">
      <c r="A10901" t="s">
        <v>28765</v>
      </c>
      <c r="B10901">
        <v>1</v>
      </c>
      <c r="C10901">
        <v>27</v>
      </c>
      <c r="D10901">
        <v>27</v>
      </c>
    </row>
    <row r="10902" spans="1:4" ht="15" x14ac:dyDescent="0.25">
      <c r="A10902" t="s">
        <v>28776</v>
      </c>
      <c r="B10902">
        <v>1</v>
      </c>
      <c r="C10902">
        <v>2</v>
      </c>
      <c r="D10902">
        <v>2</v>
      </c>
    </row>
    <row r="10903" spans="1:4" ht="15" x14ac:dyDescent="0.25">
      <c r="A10903" t="s">
        <v>28775</v>
      </c>
      <c r="B10903">
        <v>1</v>
      </c>
      <c r="C10903">
        <v>2</v>
      </c>
      <c r="D10903">
        <v>2</v>
      </c>
    </row>
    <row r="10904" spans="1:4" ht="15" x14ac:dyDescent="0.25">
      <c r="A10904" t="s">
        <v>28781</v>
      </c>
      <c r="B10904">
        <v>1</v>
      </c>
      <c r="C10904">
        <v>26</v>
      </c>
      <c r="D10904">
        <v>26</v>
      </c>
    </row>
    <row r="10905" spans="1:4" ht="15" x14ac:dyDescent="0.25">
      <c r="A10905" t="s">
        <v>28782</v>
      </c>
      <c r="B10905">
        <v>1</v>
      </c>
      <c r="C10905">
        <v>26</v>
      </c>
      <c r="D10905">
        <v>26</v>
      </c>
    </row>
    <row r="10906" spans="1:4" ht="15" x14ac:dyDescent="0.25">
      <c r="A10906" t="s">
        <v>28783</v>
      </c>
      <c r="B10906">
        <v>1</v>
      </c>
      <c r="C10906">
        <v>26</v>
      </c>
      <c r="D10906">
        <v>26</v>
      </c>
    </row>
    <row r="10907" spans="1:4" ht="15" x14ac:dyDescent="0.25">
      <c r="A10907" t="s">
        <v>28787</v>
      </c>
      <c r="B10907">
        <v>1</v>
      </c>
      <c r="C10907">
        <v>88</v>
      </c>
      <c r="D10907">
        <v>88</v>
      </c>
    </row>
    <row r="10908" spans="1:4" ht="15" x14ac:dyDescent="0.25">
      <c r="A10908" t="s">
        <v>28793</v>
      </c>
      <c r="B10908">
        <v>1</v>
      </c>
      <c r="C10908">
        <v>10</v>
      </c>
      <c r="D10908">
        <v>10</v>
      </c>
    </row>
    <row r="10909" spans="1:4" ht="15" x14ac:dyDescent="0.25">
      <c r="A10909" t="s">
        <v>28795</v>
      </c>
      <c r="B10909">
        <v>1</v>
      </c>
      <c r="C10909">
        <v>10</v>
      </c>
      <c r="D10909">
        <v>10</v>
      </c>
    </row>
    <row r="10910" spans="1:4" ht="15" x14ac:dyDescent="0.25">
      <c r="A10910" t="s">
        <v>28794</v>
      </c>
      <c r="B10910">
        <v>1</v>
      </c>
      <c r="C10910">
        <v>10</v>
      </c>
      <c r="D10910">
        <v>10</v>
      </c>
    </row>
    <row r="10911" spans="1:4" ht="15" x14ac:dyDescent="0.25">
      <c r="A10911" t="s">
        <v>28806</v>
      </c>
      <c r="B10911">
        <v>1</v>
      </c>
      <c r="C10911">
        <v>11</v>
      </c>
      <c r="D10911">
        <v>11</v>
      </c>
    </row>
    <row r="10912" spans="1:4" ht="15" x14ac:dyDescent="0.25">
      <c r="A10912" t="s">
        <v>28807</v>
      </c>
      <c r="B10912">
        <v>1</v>
      </c>
      <c r="C10912">
        <v>11</v>
      </c>
      <c r="D10912">
        <v>11</v>
      </c>
    </row>
    <row r="10913" spans="1:4" ht="15" x14ac:dyDescent="0.25">
      <c r="A10913" t="s">
        <v>28808</v>
      </c>
      <c r="B10913">
        <v>1</v>
      </c>
      <c r="C10913">
        <v>11</v>
      </c>
      <c r="D10913">
        <v>11</v>
      </c>
    </row>
    <row r="10914" spans="1:4" ht="15" x14ac:dyDescent="0.25">
      <c r="A10914" t="s">
        <v>28812</v>
      </c>
      <c r="B10914">
        <v>1</v>
      </c>
      <c r="C10914">
        <v>122</v>
      </c>
      <c r="D10914">
        <v>122</v>
      </c>
    </row>
    <row r="10915" spans="1:4" ht="15" x14ac:dyDescent="0.25">
      <c r="A10915" t="s">
        <v>28815</v>
      </c>
      <c r="B10915">
        <v>1</v>
      </c>
      <c r="C10915">
        <v>37</v>
      </c>
      <c r="D10915">
        <v>37</v>
      </c>
    </row>
    <row r="10916" spans="1:4" ht="15" x14ac:dyDescent="0.25">
      <c r="A10916" t="s">
        <v>28818</v>
      </c>
      <c r="B10916">
        <v>2</v>
      </c>
      <c r="C10916">
        <v>82</v>
      </c>
      <c r="D10916">
        <v>41</v>
      </c>
    </row>
    <row r="10917" spans="1:4" ht="15" x14ac:dyDescent="0.25">
      <c r="A10917" t="s">
        <v>28826</v>
      </c>
      <c r="B10917">
        <v>1</v>
      </c>
      <c r="C10917">
        <v>85</v>
      </c>
      <c r="D10917">
        <v>85</v>
      </c>
    </row>
    <row r="10918" spans="1:4" ht="15" x14ac:dyDescent="0.25">
      <c r="A10918" t="s">
        <v>28834</v>
      </c>
      <c r="B10918">
        <v>1</v>
      </c>
      <c r="C10918">
        <v>8</v>
      </c>
      <c r="D10918">
        <v>8</v>
      </c>
    </row>
    <row r="10919" spans="1:4" ht="15" x14ac:dyDescent="0.25">
      <c r="A10919" t="s">
        <v>28836</v>
      </c>
      <c r="B10919">
        <v>1</v>
      </c>
      <c r="C10919">
        <v>8</v>
      </c>
      <c r="D10919">
        <v>8</v>
      </c>
    </row>
    <row r="10920" spans="1:4" ht="15" x14ac:dyDescent="0.25">
      <c r="A10920" t="s">
        <v>28835</v>
      </c>
      <c r="B10920">
        <v>1</v>
      </c>
      <c r="C10920">
        <v>8</v>
      </c>
      <c r="D10920">
        <v>8</v>
      </c>
    </row>
    <row r="10921" spans="1:4" ht="15" x14ac:dyDescent="0.25">
      <c r="A10921" t="s">
        <v>28843</v>
      </c>
      <c r="B10921">
        <v>1</v>
      </c>
      <c r="C10921">
        <v>57</v>
      </c>
      <c r="D10921">
        <v>57</v>
      </c>
    </row>
    <row r="10922" spans="1:4" ht="15" x14ac:dyDescent="0.25">
      <c r="A10922" t="s">
        <v>28844</v>
      </c>
      <c r="B10922">
        <v>1</v>
      </c>
      <c r="C10922">
        <v>57</v>
      </c>
      <c r="D10922">
        <v>57</v>
      </c>
    </row>
    <row r="10923" spans="1:4" ht="15" x14ac:dyDescent="0.25">
      <c r="A10923" t="s">
        <v>28847</v>
      </c>
      <c r="B10923">
        <v>1</v>
      </c>
      <c r="C10923">
        <v>227</v>
      </c>
      <c r="D10923">
        <v>227</v>
      </c>
    </row>
    <row r="10924" spans="1:4" ht="15" x14ac:dyDescent="0.25">
      <c r="A10924" t="s">
        <v>28848</v>
      </c>
      <c r="B10924">
        <v>1</v>
      </c>
      <c r="C10924">
        <v>227</v>
      </c>
      <c r="D10924">
        <v>227</v>
      </c>
    </row>
    <row r="10925" spans="1:4" ht="15" x14ac:dyDescent="0.25">
      <c r="A10925" t="s">
        <v>28854</v>
      </c>
      <c r="B10925">
        <v>1</v>
      </c>
      <c r="C10925">
        <v>13</v>
      </c>
      <c r="D10925">
        <v>13</v>
      </c>
    </row>
    <row r="10926" spans="1:4" ht="15" x14ac:dyDescent="0.25">
      <c r="A10926" t="s">
        <v>28857</v>
      </c>
      <c r="B10926">
        <v>1</v>
      </c>
      <c r="C10926">
        <v>99</v>
      </c>
      <c r="D10926">
        <v>99</v>
      </c>
    </row>
    <row r="10927" spans="1:4" ht="15" x14ac:dyDescent="0.25">
      <c r="A10927" t="s">
        <v>28858</v>
      </c>
      <c r="B10927">
        <v>1</v>
      </c>
      <c r="C10927">
        <v>99</v>
      </c>
      <c r="D10927">
        <v>99</v>
      </c>
    </row>
    <row r="10928" spans="1:4" ht="15" x14ac:dyDescent="0.25">
      <c r="A10928" t="s">
        <v>28862</v>
      </c>
      <c r="B10928">
        <v>1</v>
      </c>
      <c r="C10928">
        <v>24</v>
      </c>
      <c r="D10928">
        <v>24</v>
      </c>
    </row>
    <row r="10929" spans="1:4" ht="15" x14ac:dyDescent="0.25">
      <c r="A10929" t="s">
        <v>28863</v>
      </c>
      <c r="B10929">
        <v>2</v>
      </c>
      <c r="C10929">
        <v>52</v>
      </c>
      <c r="D10929">
        <v>26</v>
      </c>
    </row>
    <row r="10930" spans="1:4" ht="15" x14ac:dyDescent="0.25">
      <c r="A10930" t="s">
        <v>28871</v>
      </c>
      <c r="B10930">
        <v>1</v>
      </c>
      <c r="C10930">
        <v>14</v>
      </c>
      <c r="D10930">
        <v>14</v>
      </c>
    </row>
    <row r="10931" spans="1:4" ht="15" x14ac:dyDescent="0.25">
      <c r="A10931" t="s">
        <v>28872</v>
      </c>
      <c r="B10931">
        <v>1</v>
      </c>
      <c r="C10931">
        <v>14</v>
      </c>
      <c r="D10931">
        <v>14</v>
      </c>
    </row>
    <row r="10932" spans="1:4" ht="15" x14ac:dyDescent="0.25">
      <c r="A10932" t="s">
        <v>28870</v>
      </c>
      <c r="B10932">
        <v>1</v>
      </c>
      <c r="C10932">
        <v>14</v>
      </c>
      <c r="D10932">
        <v>14</v>
      </c>
    </row>
    <row r="10933" spans="1:4" ht="15" x14ac:dyDescent="0.25">
      <c r="A10933" t="s">
        <v>28876</v>
      </c>
      <c r="B10933">
        <v>1</v>
      </c>
      <c r="C10933">
        <v>14</v>
      </c>
      <c r="D10933">
        <v>14</v>
      </c>
    </row>
    <row r="10934" spans="1:4" ht="15" x14ac:dyDescent="0.25">
      <c r="A10934" t="s">
        <v>28878</v>
      </c>
      <c r="B10934">
        <v>1</v>
      </c>
      <c r="C10934">
        <v>14</v>
      </c>
      <c r="D10934">
        <v>14</v>
      </c>
    </row>
    <row r="10935" spans="1:4" ht="15" x14ac:dyDescent="0.25">
      <c r="A10935" t="s">
        <v>28877</v>
      </c>
      <c r="B10935">
        <v>1</v>
      </c>
      <c r="C10935">
        <v>14</v>
      </c>
      <c r="D10935">
        <v>14</v>
      </c>
    </row>
    <row r="10936" spans="1:4" ht="15" x14ac:dyDescent="0.25">
      <c r="A10936" t="s">
        <v>28883</v>
      </c>
      <c r="B10936">
        <v>1</v>
      </c>
      <c r="C10936">
        <v>57</v>
      </c>
      <c r="D10936">
        <v>57</v>
      </c>
    </row>
    <row r="10937" spans="1:4" ht="15" x14ac:dyDescent="0.25">
      <c r="A10937" t="s">
        <v>28884</v>
      </c>
      <c r="B10937">
        <v>1</v>
      </c>
      <c r="C10937">
        <v>57</v>
      </c>
      <c r="D10937">
        <v>57</v>
      </c>
    </row>
    <row r="10938" spans="1:4" ht="15" x14ac:dyDescent="0.25">
      <c r="A10938" t="s">
        <v>28885</v>
      </c>
      <c r="B10938">
        <v>1</v>
      </c>
      <c r="C10938">
        <v>57</v>
      </c>
      <c r="D10938">
        <v>57</v>
      </c>
    </row>
    <row r="10939" spans="1:4" ht="15" x14ac:dyDescent="0.25">
      <c r="A10939" t="s">
        <v>28893</v>
      </c>
      <c r="B10939">
        <v>1</v>
      </c>
      <c r="C10939">
        <v>33</v>
      </c>
      <c r="D10939">
        <v>33</v>
      </c>
    </row>
    <row r="10940" spans="1:4" ht="15" x14ac:dyDescent="0.25">
      <c r="A10940" t="s">
        <v>28894</v>
      </c>
      <c r="B10940">
        <v>1</v>
      </c>
      <c r="C10940">
        <v>33</v>
      </c>
      <c r="D10940">
        <v>33</v>
      </c>
    </row>
    <row r="10941" spans="1:4" ht="15" x14ac:dyDescent="0.25">
      <c r="A10941" t="s">
        <v>28895</v>
      </c>
      <c r="B10941">
        <v>1</v>
      </c>
      <c r="C10941">
        <v>33</v>
      </c>
      <c r="D10941">
        <v>33</v>
      </c>
    </row>
    <row r="10942" spans="1:4" ht="15" x14ac:dyDescent="0.25">
      <c r="A10942" t="s">
        <v>28901</v>
      </c>
      <c r="B10942">
        <v>1</v>
      </c>
      <c r="C10942">
        <v>74</v>
      </c>
      <c r="D10942">
        <v>74</v>
      </c>
    </row>
    <row r="10943" spans="1:4" ht="15" x14ac:dyDescent="0.25">
      <c r="A10943" t="s">
        <v>28902</v>
      </c>
      <c r="B10943">
        <v>1</v>
      </c>
      <c r="C10943">
        <v>74</v>
      </c>
      <c r="D10943">
        <v>74</v>
      </c>
    </row>
    <row r="10944" spans="1:4" ht="15" x14ac:dyDescent="0.25">
      <c r="A10944" t="s">
        <v>28903</v>
      </c>
      <c r="B10944">
        <v>1</v>
      </c>
      <c r="C10944">
        <v>74</v>
      </c>
      <c r="D10944">
        <v>74</v>
      </c>
    </row>
    <row r="10945" spans="1:4" ht="15" x14ac:dyDescent="0.25">
      <c r="A10945" t="s">
        <v>28905</v>
      </c>
      <c r="B10945">
        <v>2</v>
      </c>
      <c r="C10945">
        <v>236</v>
      </c>
      <c r="D10945">
        <v>118</v>
      </c>
    </row>
    <row r="10946" spans="1:4" ht="15" x14ac:dyDescent="0.25">
      <c r="A10946" t="s">
        <v>28906</v>
      </c>
      <c r="B10946">
        <v>2</v>
      </c>
      <c r="C10946">
        <v>236</v>
      </c>
      <c r="D10946">
        <v>118</v>
      </c>
    </row>
    <row r="10947" spans="1:4" ht="15" x14ac:dyDescent="0.25">
      <c r="A10947" t="s">
        <v>28912</v>
      </c>
      <c r="B10947">
        <v>1</v>
      </c>
      <c r="C10947">
        <v>18</v>
      </c>
      <c r="D10947">
        <v>18</v>
      </c>
    </row>
    <row r="10948" spans="1:4" ht="15" x14ac:dyDescent="0.25">
      <c r="A10948" t="s">
        <v>28914</v>
      </c>
      <c r="B10948">
        <v>1</v>
      </c>
      <c r="C10948">
        <v>18</v>
      </c>
      <c r="D10948">
        <v>18</v>
      </c>
    </row>
    <row r="10949" spans="1:4" ht="15" x14ac:dyDescent="0.25">
      <c r="A10949" t="s">
        <v>28913</v>
      </c>
      <c r="B10949">
        <v>1</v>
      </c>
      <c r="C10949">
        <v>18</v>
      </c>
      <c r="D10949">
        <v>18</v>
      </c>
    </row>
    <row r="10950" spans="1:4" ht="15" x14ac:dyDescent="0.25">
      <c r="A10950" t="s">
        <v>28920</v>
      </c>
      <c r="B10950">
        <v>1</v>
      </c>
      <c r="C10950">
        <v>59</v>
      </c>
      <c r="D10950">
        <v>59</v>
      </c>
    </row>
    <row r="10951" spans="1:4" ht="15" x14ac:dyDescent="0.25">
      <c r="A10951" t="s">
        <v>28925</v>
      </c>
      <c r="B10951">
        <v>1</v>
      </c>
      <c r="C10951">
        <v>32</v>
      </c>
      <c r="D10951">
        <v>32</v>
      </c>
    </row>
    <row r="10952" spans="1:4" ht="15" x14ac:dyDescent="0.25">
      <c r="A10952" t="s">
        <v>28935</v>
      </c>
      <c r="B10952">
        <v>1</v>
      </c>
      <c r="C10952">
        <v>9</v>
      </c>
      <c r="D10952">
        <v>9</v>
      </c>
    </row>
    <row r="10953" spans="1:4" ht="15" x14ac:dyDescent="0.25">
      <c r="A10953" t="s">
        <v>28937</v>
      </c>
      <c r="B10953">
        <v>1</v>
      </c>
      <c r="C10953">
        <v>9</v>
      </c>
      <c r="D10953">
        <v>9</v>
      </c>
    </row>
    <row r="10954" spans="1:4" ht="15" x14ac:dyDescent="0.25">
      <c r="A10954" t="s">
        <v>28938</v>
      </c>
      <c r="B10954">
        <v>2</v>
      </c>
      <c r="C10954">
        <v>43</v>
      </c>
      <c r="D10954">
        <v>21.5</v>
      </c>
    </row>
    <row r="10955" spans="1:4" ht="15" x14ac:dyDescent="0.25">
      <c r="A10955" t="s">
        <v>28936</v>
      </c>
      <c r="B10955">
        <v>1</v>
      </c>
      <c r="C10955">
        <v>9</v>
      </c>
      <c r="D10955">
        <v>9</v>
      </c>
    </row>
    <row r="10956" spans="1:4" ht="15" x14ac:dyDescent="0.25">
      <c r="A10956" t="s">
        <v>28942</v>
      </c>
      <c r="B10956">
        <v>1</v>
      </c>
      <c r="C10956">
        <v>39</v>
      </c>
      <c r="D10956">
        <v>39</v>
      </c>
    </row>
    <row r="10957" spans="1:4" ht="15" x14ac:dyDescent="0.25">
      <c r="A10957" t="s">
        <v>28944</v>
      </c>
      <c r="B10957">
        <v>1</v>
      </c>
      <c r="C10957">
        <v>39</v>
      </c>
      <c r="D10957">
        <v>39</v>
      </c>
    </row>
    <row r="10958" spans="1:4" ht="15" x14ac:dyDescent="0.25">
      <c r="A10958" t="s">
        <v>28945</v>
      </c>
      <c r="B10958">
        <v>1</v>
      </c>
      <c r="C10958">
        <v>39</v>
      </c>
      <c r="D10958">
        <v>39</v>
      </c>
    </row>
    <row r="10959" spans="1:4" ht="15" x14ac:dyDescent="0.25">
      <c r="A10959" t="s">
        <v>28943</v>
      </c>
      <c r="B10959">
        <v>1</v>
      </c>
      <c r="C10959">
        <v>39</v>
      </c>
      <c r="D10959">
        <v>39</v>
      </c>
    </row>
    <row r="10960" spans="1:4" ht="15" x14ac:dyDescent="0.25">
      <c r="A10960" t="s">
        <v>28949</v>
      </c>
      <c r="B10960">
        <v>1</v>
      </c>
      <c r="C10960">
        <v>8</v>
      </c>
      <c r="D10960">
        <v>8</v>
      </c>
    </row>
    <row r="10961" spans="1:4" ht="15" x14ac:dyDescent="0.25">
      <c r="A10961" t="s">
        <v>28950</v>
      </c>
      <c r="B10961">
        <v>1</v>
      </c>
      <c r="C10961">
        <v>8</v>
      </c>
      <c r="D10961">
        <v>8</v>
      </c>
    </row>
    <row r="10962" spans="1:4" ht="15" x14ac:dyDescent="0.25">
      <c r="A10962" t="s">
        <v>28953</v>
      </c>
      <c r="B10962">
        <v>1</v>
      </c>
      <c r="C10962">
        <v>34</v>
      </c>
      <c r="D10962">
        <v>34</v>
      </c>
    </row>
    <row r="10963" spans="1:4" ht="15" x14ac:dyDescent="0.25">
      <c r="A10963" t="s">
        <v>28957</v>
      </c>
      <c r="B10963">
        <v>1</v>
      </c>
      <c r="C10963">
        <v>93</v>
      </c>
      <c r="D10963">
        <v>93</v>
      </c>
    </row>
    <row r="10964" spans="1:4" ht="15" x14ac:dyDescent="0.25">
      <c r="A10964" t="s">
        <v>28958</v>
      </c>
      <c r="B10964">
        <v>1</v>
      </c>
      <c r="C10964">
        <v>93</v>
      </c>
      <c r="D10964">
        <v>93</v>
      </c>
    </row>
    <row r="10965" spans="1:4" ht="15" x14ac:dyDescent="0.25">
      <c r="A10965" t="s">
        <v>28960</v>
      </c>
      <c r="B10965">
        <v>1</v>
      </c>
      <c r="C10965">
        <v>93</v>
      </c>
      <c r="D10965">
        <v>93</v>
      </c>
    </row>
    <row r="10966" spans="1:4" ht="15" x14ac:dyDescent="0.25">
      <c r="A10966" t="s">
        <v>28961</v>
      </c>
      <c r="B10966">
        <v>1</v>
      </c>
      <c r="C10966">
        <v>93</v>
      </c>
      <c r="D10966">
        <v>93</v>
      </c>
    </row>
    <row r="10967" spans="1:4" ht="15" x14ac:dyDescent="0.25">
      <c r="A10967" t="s">
        <v>28959</v>
      </c>
      <c r="B10967">
        <v>1</v>
      </c>
      <c r="C10967">
        <v>93</v>
      </c>
      <c r="D10967">
        <v>93</v>
      </c>
    </row>
    <row r="10968" spans="1:4" ht="15" x14ac:dyDescent="0.25">
      <c r="A10968" t="s">
        <v>28964</v>
      </c>
      <c r="B10968">
        <v>1</v>
      </c>
      <c r="C10968">
        <v>0</v>
      </c>
      <c r="D10968">
        <v>0</v>
      </c>
    </row>
    <row r="10969" spans="1:4" ht="15" x14ac:dyDescent="0.25">
      <c r="A10969" t="s">
        <v>28965</v>
      </c>
      <c r="B10969">
        <v>1</v>
      </c>
      <c r="C10969">
        <v>0</v>
      </c>
      <c r="D10969">
        <v>0</v>
      </c>
    </row>
    <row r="10970" spans="1:4" ht="15" x14ac:dyDescent="0.25">
      <c r="A10970" t="s">
        <v>28970</v>
      </c>
      <c r="B10970">
        <v>1</v>
      </c>
      <c r="C10970">
        <v>15</v>
      </c>
      <c r="D10970">
        <v>15</v>
      </c>
    </row>
    <row r="10971" spans="1:4" ht="15" x14ac:dyDescent="0.25">
      <c r="A10971" t="s">
        <v>28974</v>
      </c>
      <c r="B10971">
        <v>1</v>
      </c>
      <c r="C10971">
        <v>8</v>
      </c>
      <c r="D10971">
        <v>8</v>
      </c>
    </row>
    <row r="10972" spans="1:4" ht="15" x14ac:dyDescent="0.25">
      <c r="A10972" t="s">
        <v>28979</v>
      </c>
      <c r="B10972">
        <v>2</v>
      </c>
      <c r="C10972">
        <v>78</v>
      </c>
      <c r="D10972">
        <v>39</v>
      </c>
    </row>
    <row r="10973" spans="1:4" ht="15" x14ac:dyDescent="0.25">
      <c r="A10973" t="s">
        <v>28980</v>
      </c>
      <c r="B10973">
        <v>1</v>
      </c>
      <c r="C10973">
        <v>46</v>
      </c>
      <c r="D10973">
        <v>46</v>
      </c>
    </row>
    <row r="10974" spans="1:4" ht="15" x14ac:dyDescent="0.25">
      <c r="A10974" t="s">
        <v>28982</v>
      </c>
      <c r="B10974">
        <v>1</v>
      </c>
      <c r="C10974">
        <v>46</v>
      </c>
      <c r="D10974">
        <v>46</v>
      </c>
    </row>
    <row r="10975" spans="1:4" ht="15" x14ac:dyDescent="0.25">
      <c r="A10975" t="s">
        <v>28983</v>
      </c>
      <c r="B10975">
        <v>1</v>
      </c>
      <c r="C10975">
        <v>46</v>
      </c>
      <c r="D10975">
        <v>46</v>
      </c>
    </row>
    <row r="10976" spans="1:4" ht="15" x14ac:dyDescent="0.25">
      <c r="A10976" t="s">
        <v>28981</v>
      </c>
      <c r="B10976">
        <v>1</v>
      </c>
      <c r="C10976">
        <v>46</v>
      </c>
      <c r="D10976">
        <v>46</v>
      </c>
    </row>
    <row r="10977" spans="1:4" ht="15" x14ac:dyDescent="0.25">
      <c r="A10977" t="s">
        <v>28987</v>
      </c>
      <c r="B10977">
        <v>1</v>
      </c>
      <c r="C10977">
        <v>45</v>
      </c>
      <c r="D10977">
        <v>45</v>
      </c>
    </row>
    <row r="10978" spans="1:4" ht="15" x14ac:dyDescent="0.25">
      <c r="A10978" t="s">
        <v>28988</v>
      </c>
      <c r="B10978">
        <v>1</v>
      </c>
      <c r="C10978">
        <v>45</v>
      </c>
      <c r="D10978">
        <v>45</v>
      </c>
    </row>
    <row r="10979" spans="1:4" ht="15" x14ac:dyDescent="0.25">
      <c r="A10979" t="s">
        <v>28995</v>
      </c>
      <c r="B10979">
        <v>1</v>
      </c>
      <c r="C10979">
        <v>30</v>
      </c>
      <c r="D10979">
        <v>30</v>
      </c>
    </row>
    <row r="10980" spans="1:4" ht="15" x14ac:dyDescent="0.25">
      <c r="A10980" t="s">
        <v>28996</v>
      </c>
      <c r="B10980">
        <v>1</v>
      </c>
      <c r="C10980">
        <v>30</v>
      </c>
      <c r="D10980">
        <v>30</v>
      </c>
    </row>
    <row r="10981" spans="1:4" ht="15" x14ac:dyDescent="0.25">
      <c r="A10981" t="s">
        <v>28998</v>
      </c>
      <c r="B10981">
        <v>1</v>
      </c>
      <c r="C10981">
        <v>30</v>
      </c>
      <c r="D10981">
        <v>30</v>
      </c>
    </row>
    <row r="10982" spans="1:4" ht="15" x14ac:dyDescent="0.25">
      <c r="A10982" t="s">
        <v>28999</v>
      </c>
      <c r="B10982">
        <v>1</v>
      </c>
      <c r="C10982">
        <v>30</v>
      </c>
      <c r="D10982">
        <v>30</v>
      </c>
    </row>
    <row r="10983" spans="1:4" ht="15" x14ac:dyDescent="0.25">
      <c r="A10983" t="s">
        <v>28997</v>
      </c>
      <c r="B10983">
        <v>1</v>
      </c>
      <c r="C10983">
        <v>30</v>
      </c>
      <c r="D10983">
        <v>30</v>
      </c>
    </row>
    <row r="10984" spans="1:4" ht="15" x14ac:dyDescent="0.25">
      <c r="A10984" t="s">
        <v>29004</v>
      </c>
      <c r="B10984">
        <v>1</v>
      </c>
      <c r="C10984">
        <v>12</v>
      </c>
      <c r="D10984">
        <v>12</v>
      </c>
    </row>
    <row r="10985" spans="1:4" ht="15" x14ac:dyDescent="0.25">
      <c r="A10985" t="s">
        <v>29003</v>
      </c>
      <c r="B10985">
        <v>1</v>
      </c>
      <c r="C10985">
        <v>12</v>
      </c>
      <c r="D10985">
        <v>12</v>
      </c>
    </row>
    <row r="10986" spans="1:4" ht="15" x14ac:dyDescent="0.25">
      <c r="A10986" t="s">
        <v>29007</v>
      </c>
      <c r="B10986">
        <v>1</v>
      </c>
      <c r="C10986">
        <v>7</v>
      </c>
      <c r="D10986">
        <v>7</v>
      </c>
    </row>
    <row r="10987" spans="1:4" ht="15" x14ac:dyDescent="0.25">
      <c r="A10987" t="s">
        <v>29008</v>
      </c>
      <c r="B10987">
        <v>1</v>
      </c>
      <c r="C10987">
        <v>7</v>
      </c>
      <c r="D10987">
        <v>7</v>
      </c>
    </row>
    <row r="10988" spans="1:4" ht="15" x14ac:dyDescent="0.25">
      <c r="A10988" t="s">
        <v>29009</v>
      </c>
      <c r="B10988">
        <v>1</v>
      </c>
      <c r="C10988">
        <v>7</v>
      </c>
      <c r="D10988">
        <v>7</v>
      </c>
    </row>
    <row r="10989" spans="1:4" ht="15" x14ac:dyDescent="0.25">
      <c r="A10989" t="s">
        <v>29010</v>
      </c>
      <c r="B10989">
        <v>1</v>
      </c>
      <c r="C10989">
        <v>7</v>
      </c>
      <c r="D10989">
        <v>7</v>
      </c>
    </row>
    <row r="10990" spans="1:4" ht="15" x14ac:dyDescent="0.25">
      <c r="A10990" t="s">
        <v>29016</v>
      </c>
      <c r="B10990">
        <v>1</v>
      </c>
      <c r="C10990">
        <v>29</v>
      </c>
      <c r="D10990">
        <v>29</v>
      </c>
    </row>
    <row r="10991" spans="1:4" ht="15" x14ac:dyDescent="0.25">
      <c r="A10991" t="s">
        <v>29024</v>
      </c>
      <c r="B10991">
        <v>1</v>
      </c>
      <c r="C10991">
        <v>64</v>
      </c>
      <c r="D10991">
        <v>64</v>
      </c>
    </row>
    <row r="10992" spans="1:4" ht="15" x14ac:dyDescent="0.25">
      <c r="A10992" t="s">
        <v>29025</v>
      </c>
      <c r="B10992">
        <v>1</v>
      </c>
      <c r="C10992">
        <v>64</v>
      </c>
      <c r="D10992">
        <v>64</v>
      </c>
    </row>
    <row r="10993" spans="1:4" ht="15" x14ac:dyDescent="0.25">
      <c r="A10993" t="s">
        <v>29037</v>
      </c>
      <c r="B10993">
        <v>1</v>
      </c>
      <c r="C10993">
        <v>147</v>
      </c>
      <c r="D10993">
        <v>147</v>
      </c>
    </row>
    <row r="10994" spans="1:4" ht="15" x14ac:dyDescent="0.25">
      <c r="A10994" t="s">
        <v>29047</v>
      </c>
      <c r="B10994">
        <v>1</v>
      </c>
      <c r="C10994">
        <v>109</v>
      </c>
      <c r="D10994">
        <v>109</v>
      </c>
    </row>
    <row r="10995" spans="1:4" ht="15" x14ac:dyDescent="0.25">
      <c r="A10995" t="s">
        <v>29046</v>
      </c>
      <c r="B10995">
        <v>1</v>
      </c>
      <c r="C10995">
        <v>109</v>
      </c>
      <c r="D10995">
        <v>109</v>
      </c>
    </row>
    <row r="10996" spans="1:4" ht="15" x14ac:dyDescent="0.25">
      <c r="A10996" t="s">
        <v>29052</v>
      </c>
      <c r="B10996">
        <v>1</v>
      </c>
      <c r="C10996">
        <v>200</v>
      </c>
      <c r="D10996">
        <v>200</v>
      </c>
    </row>
    <row r="10997" spans="1:4" ht="15" x14ac:dyDescent="0.25">
      <c r="A10997" t="s">
        <v>29056</v>
      </c>
      <c r="B10997">
        <v>1</v>
      </c>
      <c r="C10997">
        <v>23</v>
      </c>
      <c r="D10997">
        <v>23</v>
      </c>
    </row>
    <row r="10998" spans="1:4" ht="15" x14ac:dyDescent="0.25">
      <c r="A10998" t="s">
        <v>29063</v>
      </c>
      <c r="B10998">
        <v>1</v>
      </c>
      <c r="C10998">
        <v>34</v>
      </c>
      <c r="D10998">
        <v>34</v>
      </c>
    </row>
    <row r="10999" spans="1:4" ht="15" x14ac:dyDescent="0.25">
      <c r="A10999" t="s">
        <v>29064</v>
      </c>
      <c r="B10999">
        <v>1</v>
      </c>
      <c r="C10999">
        <v>34</v>
      </c>
      <c r="D10999">
        <v>34</v>
      </c>
    </row>
    <row r="11000" spans="1:4" ht="15" x14ac:dyDescent="0.25">
      <c r="A11000" t="s">
        <v>29067</v>
      </c>
      <c r="B11000">
        <v>1</v>
      </c>
      <c r="C11000">
        <v>13</v>
      </c>
      <c r="D11000">
        <v>13</v>
      </c>
    </row>
    <row r="11001" spans="1:4" ht="15" x14ac:dyDescent="0.25">
      <c r="A11001" t="s">
        <v>29072</v>
      </c>
      <c r="B11001">
        <v>1</v>
      </c>
      <c r="C11001">
        <v>22</v>
      </c>
      <c r="D11001">
        <v>22</v>
      </c>
    </row>
    <row r="11002" spans="1:4" ht="15" x14ac:dyDescent="0.25">
      <c r="A11002" t="s">
        <v>29073</v>
      </c>
      <c r="B11002">
        <v>1</v>
      </c>
      <c r="C11002">
        <v>22</v>
      </c>
      <c r="D11002">
        <v>22</v>
      </c>
    </row>
    <row r="11003" spans="1:4" ht="15" x14ac:dyDescent="0.25">
      <c r="A11003" t="s">
        <v>29076</v>
      </c>
      <c r="B11003">
        <v>1</v>
      </c>
      <c r="C11003">
        <v>60</v>
      </c>
      <c r="D11003">
        <v>60</v>
      </c>
    </row>
    <row r="11004" spans="1:4" ht="15" x14ac:dyDescent="0.25">
      <c r="A11004" t="s">
        <v>29081</v>
      </c>
      <c r="B11004">
        <v>1</v>
      </c>
      <c r="C11004">
        <v>155</v>
      </c>
      <c r="D11004">
        <v>155</v>
      </c>
    </row>
    <row r="11005" spans="1:4" ht="15" x14ac:dyDescent="0.25">
      <c r="A11005" t="s">
        <v>29082</v>
      </c>
      <c r="B11005">
        <v>1</v>
      </c>
      <c r="C11005">
        <v>155</v>
      </c>
      <c r="D11005">
        <v>155</v>
      </c>
    </row>
    <row r="11006" spans="1:4" ht="15" x14ac:dyDescent="0.25">
      <c r="A11006" t="s">
        <v>29083</v>
      </c>
      <c r="B11006">
        <v>1</v>
      </c>
      <c r="C11006">
        <v>155</v>
      </c>
      <c r="D11006">
        <v>155</v>
      </c>
    </row>
    <row r="11007" spans="1:4" ht="15" x14ac:dyDescent="0.25">
      <c r="A11007" t="s">
        <v>29087</v>
      </c>
      <c r="B11007">
        <v>1</v>
      </c>
      <c r="C11007">
        <v>30</v>
      </c>
      <c r="D11007">
        <v>30</v>
      </c>
    </row>
    <row r="11008" spans="1:4" ht="15" x14ac:dyDescent="0.25">
      <c r="A11008" t="s">
        <v>29088</v>
      </c>
      <c r="B11008">
        <v>1</v>
      </c>
      <c r="C11008">
        <v>30</v>
      </c>
      <c r="D11008">
        <v>30</v>
      </c>
    </row>
    <row r="11009" spans="1:4" ht="15" x14ac:dyDescent="0.25">
      <c r="A11009" t="s">
        <v>29089</v>
      </c>
      <c r="B11009">
        <v>1</v>
      </c>
      <c r="C11009">
        <v>30</v>
      </c>
      <c r="D11009">
        <v>30</v>
      </c>
    </row>
    <row r="11010" spans="1:4" ht="15" x14ac:dyDescent="0.25">
      <c r="A11010" t="s">
        <v>29093</v>
      </c>
      <c r="B11010">
        <v>1</v>
      </c>
      <c r="C11010">
        <v>12</v>
      </c>
      <c r="D11010">
        <v>12</v>
      </c>
    </row>
    <row r="11011" spans="1:4" ht="15" x14ac:dyDescent="0.25">
      <c r="A11011" t="s">
        <v>29094</v>
      </c>
      <c r="B11011">
        <v>1</v>
      </c>
      <c r="C11011">
        <v>12</v>
      </c>
      <c r="D11011">
        <v>12</v>
      </c>
    </row>
    <row r="11012" spans="1:4" ht="15" x14ac:dyDescent="0.25">
      <c r="A11012" t="s">
        <v>29098</v>
      </c>
      <c r="B11012">
        <v>1</v>
      </c>
      <c r="C11012">
        <v>6</v>
      </c>
      <c r="D11012">
        <v>6</v>
      </c>
    </row>
    <row r="11013" spans="1:4" ht="15" x14ac:dyDescent="0.25">
      <c r="A11013" t="s">
        <v>29102</v>
      </c>
      <c r="B11013">
        <v>1</v>
      </c>
      <c r="C11013">
        <v>117</v>
      </c>
      <c r="D11013">
        <v>117</v>
      </c>
    </row>
    <row r="11014" spans="1:4" ht="15" x14ac:dyDescent="0.25">
      <c r="A11014" t="s">
        <v>29103</v>
      </c>
      <c r="B11014">
        <v>1</v>
      </c>
      <c r="C11014">
        <v>117</v>
      </c>
      <c r="D11014">
        <v>117</v>
      </c>
    </row>
    <row r="11015" spans="1:4" ht="15" x14ac:dyDescent="0.25">
      <c r="A11015" t="s">
        <v>29111</v>
      </c>
      <c r="B11015">
        <v>1</v>
      </c>
      <c r="C11015">
        <v>69</v>
      </c>
      <c r="D11015">
        <v>69</v>
      </c>
    </row>
    <row r="11016" spans="1:4" ht="15" x14ac:dyDescent="0.25">
      <c r="A11016" t="s">
        <v>29112</v>
      </c>
      <c r="B11016">
        <v>1</v>
      </c>
      <c r="C11016">
        <v>69</v>
      </c>
      <c r="D11016">
        <v>69</v>
      </c>
    </row>
    <row r="11017" spans="1:4" ht="15" x14ac:dyDescent="0.25">
      <c r="A11017" t="s">
        <v>29116</v>
      </c>
      <c r="B11017">
        <v>1</v>
      </c>
      <c r="C11017">
        <v>1</v>
      </c>
      <c r="D11017">
        <v>1</v>
      </c>
    </row>
    <row r="11018" spans="1:4" ht="15" x14ac:dyDescent="0.25">
      <c r="A11018" t="s">
        <v>29118</v>
      </c>
      <c r="B11018">
        <v>1</v>
      </c>
      <c r="C11018">
        <v>1</v>
      </c>
      <c r="D11018">
        <v>1</v>
      </c>
    </row>
    <row r="11019" spans="1:4" ht="15" x14ac:dyDescent="0.25">
      <c r="A11019" t="s">
        <v>29117</v>
      </c>
      <c r="B11019">
        <v>1</v>
      </c>
      <c r="C11019">
        <v>1</v>
      </c>
      <c r="D11019">
        <v>1</v>
      </c>
    </row>
    <row r="11020" spans="1:4" ht="15" x14ac:dyDescent="0.25">
      <c r="A11020" t="s">
        <v>29122</v>
      </c>
      <c r="B11020">
        <v>1</v>
      </c>
      <c r="C11020">
        <v>22</v>
      </c>
      <c r="D11020">
        <v>22</v>
      </c>
    </row>
    <row r="11021" spans="1:4" ht="15" x14ac:dyDescent="0.25">
      <c r="A11021" t="s">
        <v>29126</v>
      </c>
      <c r="B11021">
        <v>1</v>
      </c>
      <c r="C11021">
        <v>46</v>
      </c>
      <c r="D11021">
        <v>46</v>
      </c>
    </row>
    <row r="11022" spans="1:4" ht="15" x14ac:dyDescent="0.25">
      <c r="A11022" t="s">
        <v>29128</v>
      </c>
      <c r="B11022">
        <v>1</v>
      </c>
      <c r="C11022">
        <v>46</v>
      </c>
      <c r="D11022">
        <v>46</v>
      </c>
    </row>
    <row r="11023" spans="1:4" ht="15" x14ac:dyDescent="0.25">
      <c r="A11023" t="s">
        <v>29127</v>
      </c>
      <c r="B11023">
        <v>1</v>
      </c>
      <c r="C11023">
        <v>46</v>
      </c>
      <c r="D11023">
        <v>46</v>
      </c>
    </row>
    <row r="11024" spans="1:4" ht="15" x14ac:dyDescent="0.25">
      <c r="A11024" t="s">
        <v>29133</v>
      </c>
      <c r="B11024">
        <v>1</v>
      </c>
      <c r="C11024">
        <v>41</v>
      </c>
      <c r="D11024">
        <v>41</v>
      </c>
    </row>
    <row r="11025" spans="1:4" ht="15" x14ac:dyDescent="0.25">
      <c r="A11025" t="s">
        <v>29132</v>
      </c>
      <c r="B11025">
        <v>1</v>
      </c>
      <c r="C11025">
        <v>41</v>
      </c>
      <c r="D11025">
        <v>41</v>
      </c>
    </row>
    <row r="11026" spans="1:4" ht="15" x14ac:dyDescent="0.25">
      <c r="A11026" t="s">
        <v>29138</v>
      </c>
      <c r="B11026">
        <v>1</v>
      </c>
      <c r="C11026">
        <v>18</v>
      </c>
      <c r="D11026">
        <v>18</v>
      </c>
    </row>
    <row r="11027" spans="1:4" ht="15" x14ac:dyDescent="0.25">
      <c r="A11027" t="s">
        <v>29140</v>
      </c>
      <c r="B11027">
        <v>1</v>
      </c>
      <c r="C11027">
        <v>18</v>
      </c>
      <c r="D11027">
        <v>18</v>
      </c>
    </row>
    <row r="11028" spans="1:4" ht="15" x14ac:dyDescent="0.25">
      <c r="A11028" t="s">
        <v>29139</v>
      </c>
      <c r="B11028">
        <v>1</v>
      </c>
      <c r="C11028">
        <v>18</v>
      </c>
      <c r="D11028">
        <v>18</v>
      </c>
    </row>
    <row r="11029" spans="1:4" ht="15" x14ac:dyDescent="0.25">
      <c r="A11029" t="s">
        <v>29144</v>
      </c>
      <c r="B11029">
        <v>1</v>
      </c>
      <c r="C11029">
        <v>52</v>
      </c>
      <c r="D11029">
        <v>52</v>
      </c>
    </row>
    <row r="11030" spans="1:4" ht="15" x14ac:dyDescent="0.25">
      <c r="A11030" t="s">
        <v>29148</v>
      </c>
      <c r="B11030">
        <v>1</v>
      </c>
      <c r="C11030">
        <v>11</v>
      </c>
      <c r="D11030">
        <v>11</v>
      </c>
    </row>
    <row r="11031" spans="1:4" ht="15" x14ac:dyDescent="0.25">
      <c r="A11031" t="s">
        <v>29147</v>
      </c>
      <c r="B11031">
        <v>1</v>
      </c>
      <c r="C11031">
        <v>11</v>
      </c>
      <c r="D11031">
        <v>11</v>
      </c>
    </row>
    <row r="11032" spans="1:4" ht="15" x14ac:dyDescent="0.25">
      <c r="A11032" t="s">
        <v>29152</v>
      </c>
      <c r="B11032">
        <v>1</v>
      </c>
      <c r="C11032">
        <v>8</v>
      </c>
      <c r="D11032">
        <v>8</v>
      </c>
    </row>
    <row r="11033" spans="1:4" ht="15" x14ac:dyDescent="0.25">
      <c r="A11033" t="s">
        <v>29155</v>
      </c>
      <c r="B11033">
        <v>1</v>
      </c>
      <c r="C11033">
        <v>932</v>
      </c>
      <c r="D11033">
        <v>932</v>
      </c>
    </row>
    <row r="11034" spans="1:4" ht="15" x14ac:dyDescent="0.25">
      <c r="A11034" t="s">
        <v>29159</v>
      </c>
      <c r="B11034">
        <v>1</v>
      </c>
      <c r="C11034">
        <v>29</v>
      </c>
      <c r="D11034">
        <v>29</v>
      </c>
    </row>
    <row r="11035" spans="1:4" ht="15" x14ac:dyDescent="0.25">
      <c r="A11035" t="s">
        <v>29164</v>
      </c>
      <c r="B11035">
        <v>1</v>
      </c>
      <c r="C11035">
        <v>4731</v>
      </c>
      <c r="D11035">
        <v>4731</v>
      </c>
    </row>
    <row r="11036" spans="1:4" ht="15" x14ac:dyDescent="0.25">
      <c r="A11036" t="s">
        <v>29165</v>
      </c>
      <c r="B11036">
        <v>1</v>
      </c>
      <c r="C11036">
        <v>4731</v>
      </c>
      <c r="D11036">
        <v>4731</v>
      </c>
    </row>
    <row r="11037" spans="1:4" ht="15" x14ac:dyDescent="0.25">
      <c r="A11037" t="s">
        <v>29166</v>
      </c>
      <c r="B11037">
        <v>1</v>
      </c>
      <c r="C11037">
        <v>4731</v>
      </c>
      <c r="D11037">
        <v>4731</v>
      </c>
    </row>
    <row r="11038" spans="1:4" ht="15" x14ac:dyDescent="0.25">
      <c r="A11038" t="s">
        <v>29176</v>
      </c>
      <c r="B11038">
        <v>1</v>
      </c>
      <c r="C11038">
        <v>43</v>
      </c>
      <c r="D11038">
        <v>43</v>
      </c>
    </row>
    <row r="11039" spans="1:4" ht="15" x14ac:dyDescent="0.25">
      <c r="A11039" t="s">
        <v>29178</v>
      </c>
      <c r="B11039">
        <v>1</v>
      </c>
      <c r="C11039">
        <v>43</v>
      </c>
      <c r="D11039">
        <v>43</v>
      </c>
    </row>
    <row r="11040" spans="1:4" ht="15" x14ac:dyDescent="0.25">
      <c r="A11040" t="s">
        <v>29179</v>
      </c>
      <c r="B11040">
        <v>1</v>
      </c>
      <c r="C11040">
        <v>43</v>
      </c>
      <c r="D11040">
        <v>43</v>
      </c>
    </row>
    <row r="11041" spans="1:4" ht="15" x14ac:dyDescent="0.25">
      <c r="A11041" t="s">
        <v>29177</v>
      </c>
      <c r="B11041">
        <v>1</v>
      </c>
      <c r="C11041">
        <v>43</v>
      </c>
      <c r="D11041">
        <v>43</v>
      </c>
    </row>
    <row r="11042" spans="1:4" ht="15" x14ac:dyDescent="0.25">
      <c r="A11042" t="s">
        <v>29184</v>
      </c>
      <c r="B11042">
        <v>1</v>
      </c>
      <c r="C11042">
        <v>597</v>
      </c>
      <c r="D11042">
        <v>597</v>
      </c>
    </row>
    <row r="11043" spans="1:4" ht="15" x14ac:dyDescent="0.25">
      <c r="A11043" t="s">
        <v>29185</v>
      </c>
      <c r="B11043">
        <v>1</v>
      </c>
      <c r="C11043">
        <v>597</v>
      </c>
      <c r="D11043">
        <v>597</v>
      </c>
    </row>
    <row r="11044" spans="1:4" ht="15" x14ac:dyDescent="0.25">
      <c r="A11044" t="s">
        <v>29189</v>
      </c>
      <c r="B11044">
        <v>1</v>
      </c>
      <c r="C11044">
        <v>36</v>
      </c>
      <c r="D11044">
        <v>36</v>
      </c>
    </row>
    <row r="11045" spans="1:4" ht="15" x14ac:dyDescent="0.25">
      <c r="A11045" t="s">
        <v>29190</v>
      </c>
      <c r="B11045">
        <v>1</v>
      </c>
      <c r="C11045">
        <v>36</v>
      </c>
      <c r="D11045">
        <v>36</v>
      </c>
    </row>
    <row r="11046" spans="1:4" ht="15" x14ac:dyDescent="0.25">
      <c r="A11046" t="s">
        <v>29193</v>
      </c>
      <c r="B11046">
        <v>1</v>
      </c>
      <c r="C11046">
        <v>1066</v>
      </c>
      <c r="D11046">
        <v>1066</v>
      </c>
    </row>
    <row r="11047" spans="1:4" ht="15" x14ac:dyDescent="0.25">
      <c r="A11047" t="s">
        <v>29194</v>
      </c>
      <c r="B11047">
        <v>1</v>
      </c>
      <c r="C11047">
        <v>1066</v>
      </c>
      <c r="D11047">
        <v>1066</v>
      </c>
    </row>
    <row r="11048" spans="1:4" ht="15" x14ac:dyDescent="0.25">
      <c r="A11048" t="s">
        <v>29198</v>
      </c>
      <c r="B11048">
        <v>1</v>
      </c>
      <c r="C11048">
        <v>12</v>
      </c>
      <c r="D11048">
        <v>12</v>
      </c>
    </row>
    <row r="11049" spans="1:4" ht="15" x14ac:dyDescent="0.25">
      <c r="A11049" t="s">
        <v>29199</v>
      </c>
      <c r="B11049">
        <v>1</v>
      </c>
      <c r="C11049">
        <v>12</v>
      </c>
      <c r="D11049">
        <v>12</v>
      </c>
    </row>
    <row r="11050" spans="1:4" ht="15" x14ac:dyDescent="0.25">
      <c r="A11050" t="s">
        <v>29200</v>
      </c>
      <c r="B11050">
        <v>1</v>
      </c>
      <c r="C11050">
        <v>12</v>
      </c>
      <c r="D11050">
        <v>12</v>
      </c>
    </row>
    <row r="11051" spans="1:4" ht="15" x14ac:dyDescent="0.25">
      <c r="A11051" t="s">
        <v>29204</v>
      </c>
      <c r="B11051">
        <v>1</v>
      </c>
      <c r="C11051">
        <v>40</v>
      </c>
      <c r="D11051">
        <v>40</v>
      </c>
    </row>
    <row r="11052" spans="1:4" ht="15" x14ac:dyDescent="0.25">
      <c r="A11052" t="s">
        <v>29205</v>
      </c>
      <c r="B11052">
        <v>1</v>
      </c>
      <c r="C11052">
        <v>40</v>
      </c>
      <c r="D11052">
        <v>40</v>
      </c>
    </row>
    <row r="11053" spans="1:4" ht="15" x14ac:dyDescent="0.25">
      <c r="A11053" t="s">
        <v>29214</v>
      </c>
      <c r="B11053">
        <v>1</v>
      </c>
      <c r="C11053">
        <v>25</v>
      </c>
      <c r="D11053">
        <v>25</v>
      </c>
    </row>
    <row r="11054" spans="1:4" ht="15" x14ac:dyDescent="0.25">
      <c r="A11054" t="s">
        <v>29216</v>
      </c>
      <c r="B11054">
        <v>1</v>
      </c>
      <c r="C11054">
        <v>25</v>
      </c>
      <c r="D11054">
        <v>25</v>
      </c>
    </row>
    <row r="11055" spans="1:4" ht="15" x14ac:dyDescent="0.25">
      <c r="A11055" t="s">
        <v>29215</v>
      </c>
      <c r="B11055">
        <v>1</v>
      </c>
      <c r="C11055">
        <v>25</v>
      </c>
      <c r="D11055">
        <v>25</v>
      </c>
    </row>
    <row r="11056" spans="1:4" ht="15" x14ac:dyDescent="0.25">
      <c r="A11056" t="s">
        <v>29222</v>
      </c>
      <c r="B11056">
        <v>1</v>
      </c>
      <c r="C11056">
        <v>40</v>
      </c>
      <c r="D11056">
        <v>40</v>
      </c>
    </row>
    <row r="11057" spans="1:4" ht="15" x14ac:dyDescent="0.25">
      <c r="A11057" t="s">
        <v>29221</v>
      </c>
      <c r="B11057">
        <v>1</v>
      </c>
      <c r="C11057">
        <v>40</v>
      </c>
      <c r="D11057">
        <v>40</v>
      </c>
    </row>
    <row r="11058" spans="1:4" ht="15" x14ac:dyDescent="0.25">
      <c r="A11058" t="s">
        <v>29226</v>
      </c>
      <c r="B11058">
        <v>1</v>
      </c>
      <c r="C11058">
        <v>20</v>
      </c>
      <c r="D11058">
        <v>20</v>
      </c>
    </row>
    <row r="11059" spans="1:4" ht="15" x14ac:dyDescent="0.25">
      <c r="A11059" t="s">
        <v>29227</v>
      </c>
      <c r="B11059">
        <v>1</v>
      </c>
      <c r="C11059">
        <v>20</v>
      </c>
      <c r="D11059">
        <v>20</v>
      </c>
    </row>
    <row r="11060" spans="1:4" ht="15" x14ac:dyDescent="0.25">
      <c r="A11060" t="s">
        <v>29228</v>
      </c>
      <c r="B11060">
        <v>1</v>
      </c>
      <c r="C11060">
        <v>20</v>
      </c>
      <c r="D11060">
        <v>20</v>
      </c>
    </row>
    <row r="11061" spans="1:4" ht="15" x14ac:dyDescent="0.25">
      <c r="A11061" t="s">
        <v>29234</v>
      </c>
      <c r="B11061">
        <v>1</v>
      </c>
      <c r="C11061">
        <v>21</v>
      </c>
      <c r="D11061">
        <v>21</v>
      </c>
    </row>
    <row r="11062" spans="1:4" ht="15" x14ac:dyDescent="0.25">
      <c r="A11062" t="s">
        <v>29235</v>
      </c>
      <c r="B11062">
        <v>1</v>
      </c>
      <c r="C11062">
        <v>21</v>
      </c>
      <c r="D11062">
        <v>21</v>
      </c>
    </row>
    <row r="11063" spans="1:4" ht="15" x14ac:dyDescent="0.25">
      <c r="A11063" t="s">
        <v>29237</v>
      </c>
      <c r="B11063">
        <v>1</v>
      </c>
      <c r="C11063">
        <v>21</v>
      </c>
      <c r="D11063">
        <v>21</v>
      </c>
    </row>
    <row r="11064" spans="1:4" ht="15" x14ac:dyDescent="0.25">
      <c r="A11064" t="s">
        <v>29236</v>
      </c>
      <c r="B11064">
        <v>1</v>
      </c>
      <c r="C11064">
        <v>21</v>
      </c>
      <c r="D11064">
        <v>21</v>
      </c>
    </row>
    <row r="11065" spans="1:4" ht="15" x14ac:dyDescent="0.25">
      <c r="A11065" t="s">
        <v>29242</v>
      </c>
      <c r="B11065">
        <v>1</v>
      </c>
      <c r="C11065">
        <v>146</v>
      </c>
      <c r="D11065">
        <v>146</v>
      </c>
    </row>
    <row r="11066" spans="1:4" ht="15" x14ac:dyDescent="0.25">
      <c r="A11066" t="s">
        <v>29241</v>
      </c>
      <c r="B11066">
        <v>1</v>
      </c>
      <c r="C11066">
        <v>146</v>
      </c>
      <c r="D11066">
        <v>146</v>
      </c>
    </row>
    <row r="11067" spans="1:4" ht="15" x14ac:dyDescent="0.25">
      <c r="A11067" t="s">
        <v>29247</v>
      </c>
      <c r="B11067">
        <v>1</v>
      </c>
      <c r="C11067">
        <v>31</v>
      </c>
      <c r="D11067">
        <v>31</v>
      </c>
    </row>
    <row r="11068" spans="1:4" ht="15" x14ac:dyDescent="0.25">
      <c r="A11068" t="s">
        <v>29249</v>
      </c>
      <c r="B11068">
        <v>1</v>
      </c>
      <c r="C11068">
        <v>31</v>
      </c>
      <c r="D11068">
        <v>31</v>
      </c>
    </row>
    <row r="11069" spans="1:4" ht="15" x14ac:dyDescent="0.25">
      <c r="A11069" t="s">
        <v>29250</v>
      </c>
      <c r="B11069">
        <v>1</v>
      </c>
      <c r="C11069">
        <v>31</v>
      </c>
      <c r="D11069">
        <v>31</v>
      </c>
    </row>
    <row r="11070" spans="1:4" ht="15" x14ac:dyDescent="0.25">
      <c r="A11070" t="s">
        <v>29248</v>
      </c>
      <c r="B11070">
        <v>1</v>
      </c>
      <c r="C11070">
        <v>31</v>
      </c>
      <c r="D11070">
        <v>31</v>
      </c>
    </row>
    <row r="11071" spans="1:4" ht="15" x14ac:dyDescent="0.25">
      <c r="A11071" t="s">
        <v>29255</v>
      </c>
      <c r="B11071">
        <v>1</v>
      </c>
      <c r="C11071">
        <v>32</v>
      </c>
      <c r="D11071">
        <v>32</v>
      </c>
    </row>
    <row r="11072" spans="1:4" ht="15" x14ac:dyDescent="0.25">
      <c r="A11072" t="s">
        <v>29256</v>
      </c>
      <c r="B11072">
        <v>1</v>
      </c>
      <c r="C11072">
        <v>32</v>
      </c>
      <c r="D11072">
        <v>32</v>
      </c>
    </row>
    <row r="11073" spans="1:4" ht="15" x14ac:dyDescent="0.25">
      <c r="A11073" t="s">
        <v>29258</v>
      </c>
      <c r="B11073">
        <v>1</v>
      </c>
      <c r="C11073">
        <v>32</v>
      </c>
      <c r="D11073">
        <v>32</v>
      </c>
    </row>
    <row r="11074" spans="1:4" ht="15" x14ac:dyDescent="0.25">
      <c r="A11074" t="s">
        <v>29259</v>
      </c>
      <c r="B11074">
        <v>1</v>
      </c>
      <c r="C11074">
        <v>32</v>
      </c>
      <c r="D11074">
        <v>32</v>
      </c>
    </row>
    <row r="11075" spans="1:4" ht="15" x14ac:dyDescent="0.25">
      <c r="A11075" t="s">
        <v>29257</v>
      </c>
      <c r="B11075">
        <v>1</v>
      </c>
      <c r="C11075">
        <v>32</v>
      </c>
      <c r="D11075">
        <v>32</v>
      </c>
    </row>
    <row r="11076" spans="1:4" ht="15" x14ac:dyDescent="0.25">
      <c r="A11076" t="s">
        <v>29268</v>
      </c>
      <c r="B11076">
        <v>1</v>
      </c>
      <c r="C11076">
        <v>51</v>
      </c>
      <c r="D11076">
        <v>51</v>
      </c>
    </row>
    <row r="11077" spans="1:4" ht="15" x14ac:dyDescent="0.25">
      <c r="A11077" t="s">
        <v>29269</v>
      </c>
      <c r="B11077">
        <v>1</v>
      </c>
      <c r="C11077">
        <v>51</v>
      </c>
      <c r="D11077">
        <v>51</v>
      </c>
    </row>
    <row r="11078" spans="1:4" ht="15" x14ac:dyDescent="0.25">
      <c r="A11078" t="s">
        <v>29275</v>
      </c>
      <c r="B11078">
        <v>4</v>
      </c>
      <c r="C11078">
        <v>216</v>
      </c>
      <c r="D11078">
        <v>54</v>
      </c>
    </row>
    <row r="11079" spans="1:4" ht="15" x14ac:dyDescent="0.25">
      <c r="A11079" t="s">
        <v>29279</v>
      </c>
      <c r="B11079">
        <v>1</v>
      </c>
      <c r="C11079">
        <v>11</v>
      </c>
      <c r="D11079">
        <v>11</v>
      </c>
    </row>
    <row r="11080" spans="1:4" ht="15" x14ac:dyDescent="0.25">
      <c r="A11080" t="s">
        <v>29281</v>
      </c>
      <c r="B11080">
        <v>1</v>
      </c>
      <c r="C11080">
        <v>11</v>
      </c>
      <c r="D11080">
        <v>11</v>
      </c>
    </row>
    <row r="11081" spans="1:4" ht="15" x14ac:dyDescent="0.25">
      <c r="A11081" t="s">
        <v>29282</v>
      </c>
      <c r="B11081">
        <v>1</v>
      </c>
      <c r="C11081">
        <v>11</v>
      </c>
      <c r="D11081">
        <v>11</v>
      </c>
    </row>
    <row r="11082" spans="1:4" ht="15" x14ac:dyDescent="0.25">
      <c r="A11082" t="s">
        <v>29280</v>
      </c>
      <c r="B11082">
        <v>1</v>
      </c>
      <c r="C11082">
        <v>11</v>
      </c>
      <c r="D11082">
        <v>11</v>
      </c>
    </row>
    <row r="11083" spans="1:4" ht="15" x14ac:dyDescent="0.25">
      <c r="A11083" t="s">
        <v>29296</v>
      </c>
      <c r="B11083">
        <v>1</v>
      </c>
      <c r="C11083">
        <v>2</v>
      </c>
      <c r="D11083">
        <v>2</v>
      </c>
    </row>
    <row r="11084" spans="1:4" ht="15" x14ac:dyDescent="0.25">
      <c r="A11084" t="s">
        <v>29297</v>
      </c>
      <c r="B11084">
        <v>1</v>
      </c>
      <c r="C11084">
        <v>2</v>
      </c>
      <c r="D11084">
        <v>2</v>
      </c>
    </row>
    <row r="11085" spans="1:4" ht="15" x14ac:dyDescent="0.25">
      <c r="A11085" t="s">
        <v>29295</v>
      </c>
      <c r="B11085">
        <v>1</v>
      </c>
      <c r="C11085">
        <v>2</v>
      </c>
      <c r="D11085">
        <v>2</v>
      </c>
    </row>
    <row r="11086" spans="1:4" ht="15" x14ac:dyDescent="0.25">
      <c r="A11086" t="s">
        <v>29309</v>
      </c>
      <c r="B11086">
        <v>1</v>
      </c>
      <c r="C11086">
        <v>5</v>
      </c>
      <c r="D11086">
        <v>5</v>
      </c>
    </row>
    <row r="11087" spans="1:4" ht="15" x14ac:dyDescent="0.25">
      <c r="A11087" t="s">
        <v>29317</v>
      </c>
      <c r="B11087">
        <v>1</v>
      </c>
      <c r="C11087">
        <v>33</v>
      </c>
      <c r="D11087">
        <v>33</v>
      </c>
    </row>
    <row r="11088" spans="1:4" ht="15" x14ac:dyDescent="0.25">
      <c r="A11088" t="s">
        <v>29321</v>
      </c>
      <c r="B11088">
        <v>1</v>
      </c>
      <c r="C11088">
        <v>12</v>
      </c>
      <c r="D11088">
        <v>12</v>
      </c>
    </row>
    <row r="11089" spans="1:4" ht="15" x14ac:dyDescent="0.25">
      <c r="A11089" t="s">
        <v>29323</v>
      </c>
      <c r="B11089">
        <v>1</v>
      </c>
      <c r="C11089">
        <v>12</v>
      </c>
      <c r="D11089">
        <v>12</v>
      </c>
    </row>
    <row r="11090" spans="1:4" ht="15" x14ac:dyDescent="0.25">
      <c r="A11090" t="s">
        <v>29322</v>
      </c>
      <c r="B11090">
        <v>1</v>
      </c>
      <c r="C11090">
        <v>12</v>
      </c>
      <c r="D11090">
        <v>12</v>
      </c>
    </row>
    <row r="11091" spans="1:4" ht="15" x14ac:dyDescent="0.25">
      <c r="A11091" t="s">
        <v>29327</v>
      </c>
      <c r="B11091">
        <v>1</v>
      </c>
      <c r="C11091">
        <v>22</v>
      </c>
      <c r="D11091">
        <v>22</v>
      </c>
    </row>
    <row r="11092" spans="1:4" ht="15" x14ac:dyDescent="0.25">
      <c r="A11092" t="s">
        <v>29326</v>
      </c>
      <c r="B11092">
        <v>1</v>
      </c>
      <c r="C11092">
        <v>22</v>
      </c>
      <c r="D11092">
        <v>22</v>
      </c>
    </row>
    <row r="11093" spans="1:4" ht="15" x14ac:dyDescent="0.25">
      <c r="A11093" t="s">
        <v>29332</v>
      </c>
      <c r="B11093">
        <v>1</v>
      </c>
      <c r="C11093">
        <v>69</v>
      </c>
      <c r="D11093">
        <v>69</v>
      </c>
    </row>
    <row r="11094" spans="1:4" ht="15" x14ac:dyDescent="0.25">
      <c r="A11094" t="s">
        <v>29336</v>
      </c>
      <c r="B11094">
        <v>1</v>
      </c>
      <c r="C11094">
        <v>29</v>
      </c>
      <c r="D11094">
        <v>29</v>
      </c>
    </row>
    <row r="11095" spans="1:4" ht="15" x14ac:dyDescent="0.25">
      <c r="A11095" t="s">
        <v>29338</v>
      </c>
      <c r="B11095">
        <v>1</v>
      </c>
      <c r="C11095">
        <v>29</v>
      </c>
      <c r="D11095">
        <v>29</v>
      </c>
    </row>
    <row r="11096" spans="1:4" ht="15" x14ac:dyDescent="0.25">
      <c r="A11096" t="s">
        <v>29337</v>
      </c>
      <c r="B11096">
        <v>1</v>
      </c>
      <c r="C11096">
        <v>29</v>
      </c>
      <c r="D11096">
        <v>29</v>
      </c>
    </row>
    <row r="11097" spans="1:4" ht="15" x14ac:dyDescent="0.25">
      <c r="A11097" t="s">
        <v>29344</v>
      </c>
      <c r="B11097">
        <v>1</v>
      </c>
      <c r="C11097">
        <v>34</v>
      </c>
      <c r="D11097">
        <v>34</v>
      </c>
    </row>
    <row r="11098" spans="1:4" ht="15" x14ac:dyDescent="0.25">
      <c r="A11098" t="s">
        <v>29345</v>
      </c>
      <c r="B11098">
        <v>1</v>
      </c>
      <c r="C11098">
        <v>34</v>
      </c>
      <c r="D11098">
        <v>34</v>
      </c>
    </row>
    <row r="11099" spans="1:4" ht="15" x14ac:dyDescent="0.25">
      <c r="A11099" t="s">
        <v>29343</v>
      </c>
      <c r="B11099">
        <v>1</v>
      </c>
      <c r="C11099">
        <v>34</v>
      </c>
      <c r="D11099">
        <v>34</v>
      </c>
    </row>
    <row r="11100" spans="1:4" ht="15" x14ac:dyDescent="0.25">
      <c r="A11100" t="s">
        <v>29350</v>
      </c>
      <c r="B11100">
        <v>1</v>
      </c>
      <c r="C11100">
        <v>42</v>
      </c>
      <c r="D11100">
        <v>42</v>
      </c>
    </row>
    <row r="11101" spans="1:4" ht="15" x14ac:dyDescent="0.25">
      <c r="A11101" t="s">
        <v>29349</v>
      </c>
      <c r="B11101">
        <v>1</v>
      </c>
      <c r="C11101">
        <v>42</v>
      </c>
      <c r="D11101">
        <v>42</v>
      </c>
    </row>
    <row r="11102" spans="1:4" ht="15" x14ac:dyDescent="0.25">
      <c r="A11102" t="s">
        <v>29358</v>
      </c>
      <c r="B11102">
        <v>1</v>
      </c>
      <c r="C11102">
        <v>28</v>
      </c>
      <c r="D11102">
        <v>28</v>
      </c>
    </row>
    <row r="11103" spans="1:4" ht="15" x14ac:dyDescent="0.25">
      <c r="A11103" t="s">
        <v>29359</v>
      </c>
      <c r="B11103">
        <v>1</v>
      </c>
      <c r="C11103">
        <v>28</v>
      </c>
      <c r="D11103">
        <v>28</v>
      </c>
    </row>
    <row r="11104" spans="1:4" ht="15" x14ac:dyDescent="0.25">
      <c r="A11104" t="s">
        <v>29363</v>
      </c>
      <c r="B11104">
        <v>1</v>
      </c>
      <c r="C11104">
        <v>13</v>
      </c>
      <c r="D11104">
        <v>13</v>
      </c>
    </row>
    <row r="11105" spans="1:4" ht="15" x14ac:dyDescent="0.25">
      <c r="A11105" t="s">
        <v>29364</v>
      </c>
      <c r="B11105">
        <v>1</v>
      </c>
      <c r="C11105">
        <v>13</v>
      </c>
      <c r="D11105">
        <v>13</v>
      </c>
    </row>
    <row r="11106" spans="1:4" ht="15" x14ac:dyDescent="0.25">
      <c r="A11106" t="s">
        <v>29368</v>
      </c>
      <c r="B11106">
        <v>1</v>
      </c>
      <c r="C11106">
        <v>3</v>
      </c>
      <c r="D11106">
        <v>3</v>
      </c>
    </row>
    <row r="11107" spans="1:4" ht="15" x14ac:dyDescent="0.25">
      <c r="A11107" t="s">
        <v>29369</v>
      </c>
      <c r="B11107">
        <v>1</v>
      </c>
      <c r="C11107">
        <v>3</v>
      </c>
      <c r="D11107">
        <v>3</v>
      </c>
    </row>
    <row r="11108" spans="1:4" ht="15" x14ac:dyDescent="0.25">
      <c r="A11108" t="s">
        <v>29373</v>
      </c>
      <c r="B11108">
        <v>1</v>
      </c>
      <c r="C11108">
        <v>109</v>
      </c>
      <c r="D11108">
        <v>109</v>
      </c>
    </row>
    <row r="11109" spans="1:4" ht="15" x14ac:dyDescent="0.25">
      <c r="A11109" t="s">
        <v>29372</v>
      </c>
      <c r="B11109">
        <v>1</v>
      </c>
      <c r="C11109">
        <v>109</v>
      </c>
      <c r="D11109">
        <v>109</v>
      </c>
    </row>
    <row r="11110" spans="1:4" ht="15" x14ac:dyDescent="0.25">
      <c r="A11110" t="s">
        <v>29377</v>
      </c>
      <c r="B11110">
        <v>1</v>
      </c>
      <c r="C11110">
        <v>21</v>
      </c>
      <c r="D11110">
        <v>21</v>
      </c>
    </row>
    <row r="11111" spans="1:4" ht="15" x14ac:dyDescent="0.25">
      <c r="A11111" t="s">
        <v>29378</v>
      </c>
      <c r="B11111">
        <v>1</v>
      </c>
      <c r="C11111">
        <v>21</v>
      </c>
      <c r="D11111">
        <v>21</v>
      </c>
    </row>
    <row r="11112" spans="1:4" ht="15" x14ac:dyDescent="0.25">
      <c r="A11112" t="s">
        <v>29379</v>
      </c>
      <c r="B11112">
        <v>1</v>
      </c>
      <c r="C11112">
        <v>21</v>
      </c>
      <c r="D11112">
        <v>21</v>
      </c>
    </row>
    <row r="11113" spans="1:4" ht="15" x14ac:dyDescent="0.25">
      <c r="A11113" t="s">
        <v>29380</v>
      </c>
      <c r="B11113">
        <v>1</v>
      </c>
      <c r="C11113">
        <v>21</v>
      </c>
      <c r="D11113">
        <v>21</v>
      </c>
    </row>
    <row r="11114" spans="1:4" ht="15" x14ac:dyDescent="0.25">
      <c r="A11114" t="s">
        <v>29390</v>
      </c>
      <c r="B11114">
        <v>1</v>
      </c>
      <c r="C11114">
        <v>27</v>
      </c>
      <c r="D11114">
        <v>27</v>
      </c>
    </row>
    <row r="11115" spans="1:4" ht="15" x14ac:dyDescent="0.25">
      <c r="A11115" t="s">
        <v>29392</v>
      </c>
      <c r="B11115">
        <v>1</v>
      </c>
      <c r="C11115">
        <v>27</v>
      </c>
      <c r="D11115">
        <v>27</v>
      </c>
    </row>
    <row r="11116" spans="1:4" ht="15" x14ac:dyDescent="0.25">
      <c r="A11116" t="s">
        <v>29391</v>
      </c>
      <c r="B11116">
        <v>1</v>
      </c>
      <c r="C11116">
        <v>27</v>
      </c>
      <c r="D11116">
        <v>27</v>
      </c>
    </row>
    <row r="11117" spans="1:4" ht="15" x14ac:dyDescent="0.25">
      <c r="A11117" t="s">
        <v>29396</v>
      </c>
      <c r="B11117">
        <v>1</v>
      </c>
      <c r="C11117">
        <v>15</v>
      </c>
      <c r="D11117">
        <v>15</v>
      </c>
    </row>
    <row r="11118" spans="1:4" ht="15" x14ac:dyDescent="0.25">
      <c r="A11118" t="s">
        <v>29398</v>
      </c>
      <c r="B11118">
        <v>1</v>
      </c>
      <c r="C11118">
        <v>15</v>
      </c>
      <c r="D11118">
        <v>15</v>
      </c>
    </row>
    <row r="11119" spans="1:4" ht="15" x14ac:dyDescent="0.25">
      <c r="A11119" t="s">
        <v>29399</v>
      </c>
      <c r="B11119">
        <v>1</v>
      </c>
      <c r="C11119">
        <v>15</v>
      </c>
      <c r="D11119">
        <v>15</v>
      </c>
    </row>
    <row r="11120" spans="1:4" ht="15" x14ac:dyDescent="0.25">
      <c r="A11120" t="s">
        <v>29397</v>
      </c>
      <c r="B11120">
        <v>1</v>
      </c>
      <c r="C11120">
        <v>15</v>
      </c>
      <c r="D11120">
        <v>15</v>
      </c>
    </row>
    <row r="11121" spans="1:4" ht="15" x14ac:dyDescent="0.25">
      <c r="A11121" t="s">
        <v>29403</v>
      </c>
      <c r="B11121">
        <v>1</v>
      </c>
      <c r="C11121">
        <v>7</v>
      </c>
      <c r="D11121">
        <v>7</v>
      </c>
    </row>
    <row r="11122" spans="1:4" ht="15" x14ac:dyDescent="0.25">
      <c r="A11122" t="s">
        <v>29404</v>
      </c>
      <c r="B11122">
        <v>1</v>
      </c>
      <c r="C11122">
        <v>7</v>
      </c>
      <c r="D11122">
        <v>7</v>
      </c>
    </row>
    <row r="11123" spans="1:4" ht="15" x14ac:dyDescent="0.25">
      <c r="A11123" t="s">
        <v>29409</v>
      </c>
      <c r="B11123">
        <v>1</v>
      </c>
      <c r="C11123">
        <v>47</v>
      </c>
      <c r="D11123">
        <v>47</v>
      </c>
    </row>
    <row r="11124" spans="1:4" ht="15" x14ac:dyDescent="0.25">
      <c r="A11124" t="s">
        <v>29411</v>
      </c>
      <c r="B11124">
        <v>1</v>
      </c>
      <c r="C11124">
        <v>47</v>
      </c>
      <c r="D11124">
        <v>47</v>
      </c>
    </row>
    <row r="11125" spans="1:4" ht="15" x14ac:dyDescent="0.25">
      <c r="A11125" t="s">
        <v>29412</v>
      </c>
      <c r="B11125">
        <v>1</v>
      </c>
      <c r="C11125">
        <v>47</v>
      </c>
      <c r="D11125">
        <v>47</v>
      </c>
    </row>
    <row r="11126" spans="1:4" ht="15" x14ac:dyDescent="0.25">
      <c r="A11126" t="s">
        <v>29410</v>
      </c>
      <c r="B11126">
        <v>1</v>
      </c>
      <c r="C11126">
        <v>47</v>
      </c>
      <c r="D11126">
        <v>47</v>
      </c>
    </row>
    <row r="11127" spans="1:4" ht="15" x14ac:dyDescent="0.25">
      <c r="A11127" t="s">
        <v>29417</v>
      </c>
      <c r="B11127">
        <v>1</v>
      </c>
      <c r="C11127">
        <v>22</v>
      </c>
      <c r="D11127">
        <v>22</v>
      </c>
    </row>
    <row r="11128" spans="1:4" ht="15" x14ac:dyDescent="0.25">
      <c r="A11128" t="s">
        <v>29420</v>
      </c>
      <c r="B11128">
        <v>1</v>
      </c>
      <c r="C11128">
        <v>52</v>
      </c>
      <c r="D11128">
        <v>52</v>
      </c>
    </row>
    <row r="11129" spans="1:4" ht="15" x14ac:dyDescent="0.25">
      <c r="A11129" t="s">
        <v>29422</v>
      </c>
      <c r="B11129">
        <v>1</v>
      </c>
      <c r="C11129">
        <v>52</v>
      </c>
      <c r="D11129">
        <v>52</v>
      </c>
    </row>
    <row r="11130" spans="1:4" ht="15" x14ac:dyDescent="0.25">
      <c r="A11130" t="s">
        <v>29421</v>
      </c>
      <c r="B11130">
        <v>1</v>
      </c>
      <c r="C11130">
        <v>52</v>
      </c>
      <c r="D11130">
        <v>52</v>
      </c>
    </row>
    <row r="11131" spans="1:4" ht="15" x14ac:dyDescent="0.25">
      <c r="A11131" t="s">
        <v>29428</v>
      </c>
      <c r="B11131">
        <v>1</v>
      </c>
      <c r="C11131">
        <v>78</v>
      </c>
      <c r="D11131">
        <v>78</v>
      </c>
    </row>
    <row r="11132" spans="1:4" ht="15" x14ac:dyDescent="0.25">
      <c r="A11132" t="s">
        <v>29429</v>
      </c>
      <c r="B11132">
        <v>1</v>
      </c>
      <c r="C11132">
        <v>78</v>
      </c>
      <c r="D11132">
        <v>78</v>
      </c>
    </row>
    <row r="11133" spans="1:4" ht="15" x14ac:dyDescent="0.25">
      <c r="A11133" t="s">
        <v>29438</v>
      </c>
      <c r="B11133">
        <v>1</v>
      </c>
      <c r="C11133">
        <v>20</v>
      </c>
      <c r="D11133">
        <v>20</v>
      </c>
    </row>
    <row r="11134" spans="1:4" ht="15" x14ac:dyDescent="0.25">
      <c r="A11134" t="s">
        <v>29444</v>
      </c>
      <c r="B11134">
        <v>1</v>
      </c>
      <c r="C11134">
        <v>18</v>
      </c>
      <c r="D11134">
        <v>18</v>
      </c>
    </row>
    <row r="11135" spans="1:4" ht="15" x14ac:dyDescent="0.25">
      <c r="A11135" t="s">
        <v>29448</v>
      </c>
      <c r="B11135">
        <v>1</v>
      </c>
      <c r="C11135">
        <v>5</v>
      </c>
      <c r="D11135">
        <v>5</v>
      </c>
    </row>
    <row r="11136" spans="1:4" ht="15" x14ac:dyDescent="0.25">
      <c r="A11136" t="s">
        <v>29450</v>
      </c>
      <c r="B11136">
        <v>1</v>
      </c>
      <c r="C11136">
        <v>5</v>
      </c>
      <c r="D11136">
        <v>5</v>
      </c>
    </row>
    <row r="11137" spans="1:4" ht="15" x14ac:dyDescent="0.25">
      <c r="A11137" t="s">
        <v>29451</v>
      </c>
      <c r="B11137">
        <v>1</v>
      </c>
      <c r="C11137">
        <v>5</v>
      </c>
      <c r="D11137">
        <v>5</v>
      </c>
    </row>
    <row r="11138" spans="1:4" ht="15" x14ac:dyDescent="0.25">
      <c r="A11138" t="s">
        <v>29449</v>
      </c>
      <c r="B11138">
        <v>1</v>
      </c>
      <c r="C11138">
        <v>5</v>
      </c>
      <c r="D11138">
        <v>5</v>
      </c>
    </row>
    <row r="11139" spans="1:4" ht="15" x14ac:dyDescent="0.25">
      <c r="A11139" t="s">
        <v>29455</v>
      </c>
      <c r="B11139">
        <v>1</v>
      </c>
      <c r="C11139">
        <v>27</v>
      </c>
      <c r="D11139">
        <v>27</v>
      </c>
    </row>
    <row r="11140" spans="1:4" ht="15" x14ac:dyDescent="0.25">
      <c r="A11140" t="s">
        <v>29458</v>
      </c>
      <c r="B11140">
        <v>1</v>
      </c>
      <c r="C11140">
        <v>20</v>
      </c>
      <c r="D11140">
        <v>20</v>
      </c>
    </row>
    <row r="11141" spans="1:4" ht="15" x14ac:dyDescent="0.25">
      <c r="A11141" t="s">
        <v>29459</v>
      </c>
      <c r="B11141">
        <v>1</v>
      </c>
      <c r="C11141">
        <v>20</v>
      </c>
      <c r="D11141">
        <v>20</v>
      </c>
    </row>
    <row r="11142" spans="1:4" ht="15" x14ac:dyDescent="0.25">
      <c r="A11142" t="s">
        <v>29463</v>
      </c>
      <c r="B11142">
        <v>1</v>
      </c>
      <c r="C11142">
        <v>15</v>
      </c>
      <c r="D11142">
        <v>15</v>
      </c>
    </row>
    <row r="11143" spans="1:4" ht="15" x14ac:dyDescent="0.25">
      <c r="A11143" t="s">
        <v>29464</v>
      </c>
      <c r="B11143">
        <v>1</v>
      </c>
      <c r="C11143">
        <v>15</v>
      </c>
      <c r="D11143">
        <v>15</v>
      </c>
    </row>
    <row r="11144" spans="1:4" ht="15" x14ac:dyDescent="0.25">
      <c r="A11144" t="s">
        <v>29465</v>
      </c>
      <c r="B11144">
        <v>1</v>
      </c>
      <c r="C11144">
        <v>15</v>
      </c>
      <c r="D11144">
        <v>15</v>
      </c>
    </row>
    <row r="11145" spans="1:4" ht="15" x14ac:dyDescent="0.25">
      <c r="A11145" t="s">
        <v>29469</v>
      </c>
      <c r="B11145">
        <v>1</v>
      </c>
      <c r="C11145">
        <v>60</v>
      </c>
      <c r="D11145">
        <v>60</v>
      </c>
    </row>
    <row r="11146" spans="1:4" ht="15" x14ac:dyDescent="0.25">
      <c r="A11146" t="s">
        <v>29473</v>
      </c>
      <c r="B11146">
        <v>1</v>
      </c>
      <c r="C11146">
        <v>40</v>
      </c>
      <c r="D11146">
        <v>40</v>
      </c>
    </row>
    <row r="11147" spans="1:4" ht="15" x14ac:dyDescent="0.25">
      <c r="A11147" t="s">
        <v>29474</v>
      </c>
      <c r="B11147">
        <v>1</v>
      </c>
      <c r="C11147">
        <v>40</v>
      </c>
      <c r="D11147">
        <v>40</v>
      </c>
    </row>
    <row r="11148" spans="1:4" ht="15" x14ac:dyDescent="0.25">
      <c r="A11148" t="s">
        <v>29475</v>
      </c>
      <c r="B11148">
        <v>1</v>
      </c>
      <c r="C11148">
        <v>40</v>
      </c>
      <c r="D11148">
        <v>40</v>
      </c>
    </row>
    <row r="11149" spans="1:4" ht="15" x14ac:dyDescent="0.25">
      <c r="A11149" t="s">
        <v>29476</v>
      </c>
      <c r="B11149">
        <v>1</v>
      </c>
      <c r="C11149">
        <v>40</v>
      </c>
      <c r="D11149">
        <v>40</v>
      </c>
    </row>
    <row r="11150" spans="1:4" ht="15" x14ac:dyDescent="0.25">
      <c r="A11150" t="s">
        <v>29479</v>
      </c>
      <c r="B11150">
        <v>1</v>
      </c>
      <c r="C11150">
        <v>97</v>
      </c>
      <c r="D11150">
        <v>97</v>
      </c>
    </row>
    <row r="11151" spans="1:4" ht="15" x14ac:dyDescent="0.25">
      <c r="A11151" t="s">
        <v>29484</v>
      </c>
      <c r="B11151">
        <v>1</v>
      </c>
      <c r="C11151">
        <v>32</v>
      </c>
      <c r="D11151">
        <v>32</v>
      </c>
    </row>
    <row r="11152" spans="1:4" ht="15" x14ac:dyDescent="0.25">
      <c r="A11152" t="s">
        <v>29485</v>
      </c>
      <c r="B11152">
        <v>1</v>
      </c>
      <c r="C11152">
        <v>32</v>
      </c>
      <c r="D11152">
        <v>32</v>
      </c>
    </row>
    <row r="11153" spans="1:4" ht="15" x14ac:dyDescent="0.25">
      <c r="A11153" t="s">
        <v>29494</v>
      </c>
      <c r="B11153">
        <v>1</v>
      </c>
      <c r="C11153">
        <v>33</v>
      </c>
      <c r="D11153">
        <v>33</v>
      </c>
    </row>
    <row r="11154" spans="1:4" ht="15" x14ac:dyDescent="0.25">
      <c r="A11154" t="s">
        <v>29495</v>
      </c>
      <c r="B11154">
        <v>1</v>
      </c>
      <c r="C11154">
        <v>33</v>
      </c>
      <c r="D11154">
        <v>33</v>
      </c>
    </row>
    <row r="11155" spans="1:4" ht="15" x14ac:dyDescent="0.25">
      <c r="A11155" t="s">
        <v>29499</v>
      </c>
      <c r="B11155">
        <v>1</v>
      </c>
      <c r="C11155">
        <v>25</v>
      </c>
      <c r="D11155">
        <v>25</v>
      </c>
    </row>
    <row r="11156" spans="1:4" ht="15" x14ac:dyDescent="0.25">
      <c r="A11156" t="s">
        <v>29500</v>
      </c>
      <c r="B11156">
        <v>1</v>
      </c>
      <c r="C11156">
        <v>25</v>
      </c>
      <c r="D11156">
        <v>25</v>
      </c>
    </row>
    <row r="11157" spans="1:4" ht="15" x14ac:dyDescent="0.25">
      <c r="A11157" t="s">
        <v>29508</v>
      </c>
      <c r="B11157">
        <v>1</v>
      </c>
      <c r="C11157">
        <v>10</v>
      </c>
      <c r="D11157">
        <v>10</v>
      </c>
    </row>
    <row r="11158" spans="1:4" ht="15" x14ac:dyDescent="0.25">
      <c r="A11158" t="s">
        <v>29509</v>
      </c>
      <c r="B11158">
        <v>1</v>
      </c>
      <c r="C11158">
        <v>10</v>
      </c>
      <c r="D11158">
        <v>10</v>
      </c>
    </row>
    <row r="11159" spans="1:4" ht="15" x14ac:dyDescent="0.25">
      <c r="A11159" t="s">
        <v>29513</v>
      </c>
      <c r="B11159">
        <v>1</v>
      </c>
      <c r="C11159">
        <v>3</v>
      </c>
      <c r="D11159">
        <v>3</v>
      </c>
    </row>
    <row r="11160" spans="1:4" ht="15" x14ac:dyDescent="0.25">
      <c r="A11160" t="s">
        <v>29514</v>
      </c>
      <c r="B11160">
        <v>1</v>
      </c>
      <c r="C11160">
        <v>3</v>
      </c>
      <c r="D11160">
        <v>3</v>
      </c>
    </row>
    <row r="11161" spans="1:4" ht="15" x14ac:dyDescent="0.25">
      <c r="A11161" t="s">
        <v>29518</v>
      </c>
      <c r="B11161">
        <v>1</v>
      </c>
      <c r="C11161">
        <v>28</v>
      </c>
      <c r="D11161">
        <v>28</v>
      </c>
    </row>
    <row r="11162" spans="1:4" ht="15" x14ac:dyDescent="0.25">
      <c r="A11162" t="s">
        <v>29520</v>
      </c>
      <c r="B11162">
        <v>1</v>
      </c>
      <c r="C11162">
        <v>28</v>
      </c>
      <c r="D11162">
        <v>28</v>
      </c>
    </row>
    <row r="11163" spans="1:4" ht="15" x14ac:dyDescent="0.25">
      <c r="A11163" t="s">
        <v>29521</v>
      </c>
      <c r="B11163">
        <v>1</v>
      </c>
      <c r="C11163">
        <v>28</v>
      </c>
      <c r="D11163">
        <v>28</v>
      </c>
    </row>
    <row r="11164" spans="1:4" ht="15" x14ac:dyDescent="0.25">
      <c r="A11164" t="s">
        <v>29519</v>
      </c>
      <c r="B11164">
        <v>1</v>
      </c>
      <c r="C11164">
        <v>28</v>
      </c>
      <c r="D11164">
        <v>28</v>
      </c>
    </row>
    <row r="11165" spans="1:4" ht="15" x14ac:dyDescent="0.25">
      <c r="A11165" t="s">
        <v>29528</v>
      </c>
      <c r="B11165">
        <v>1</v>
      </c>
      <c r="C11165">
        <v>6</v>
      </c>
      <c r="D11165">
        <v>6</v>
      </c>
    </row>
    <row r="11166" spans="1:4" ht="15" x14ac:dyDescent="0.25">
      <c r="A11166" t="s">
        <v>29532</v>
      </c>
      <c r="B11166">
        <v>1</v>
      </c>
      <c r="C11166">
        <v>7</v>
      </c>
      <c r="D11166">
        <v>7</v>
      </c>
    </row>
    <row r="11167" spans="1:4" ht="15" x14ac:dyDescent="0.25">
      <c r="A11167" t="s">
        <v>29534</v>
      </c>
      <c r="B11167">
        <v>1</v>
      </c>
      <c r="C11167">
        <v>7</v>
      </c>
      <c r="D11167">
        <v>7</v>
      </c>
    </row>
    <row r="11168" spans="1:4" ht="15" x14ac:dyDescent="0.25">
      <c r="A11168" t="s">
        <v>29533</v>
      </c>
      <c r="B11168">
        <v>1</v>
      </c>
      <c r="C11168">
        <v>7</v>
      </c>
      <c r="D11168">
        <v>7</v>
      </c>
    </row>
    <row r="11169" spans="1:4" ht="15" x14ac:dyDescent="0.25">
      <c r="A11169" t="s">
        <v>29545</v>
      </c>
      <c r="B11169">
        <v>1</v>
      </c>
      <c r="C11169">
        <v>20</v>
      </c>
      <c r="D11169">
        <v>20</v>
      </c>
    </row>
    <row r="11170" spans="1:4" ht="15" x14ac:dyDescent="0.25">
      <c r="A11170" t="s">
        <v>29546</v>
      </c>
      <c r="B11170">
        <v>1</v>
      </c>
      <c r="C11170">
        <v>20</v>
      </c>
      <c r="D11170">
        <v>20</v>
      </c>
    </row>
    <row r="11171" spans="1:4" ht="15" x14ac:dyDescent="0.25">
      <c r="A11171" t="s">
        <v>29544</v>
      </c>
      <c r="B11171">
        <v>1</v>
      </c>
      <c r="C11171">
        <v>20</v>
      </c>
      <c r="D11171">
        <v>20</v>
      </c>
    </row>
    <row r="11172" spans="1:4" ht="15" x14ac:dyDescent="0.25">
      <c r="A11172" t="s">
        <v>29549</v>
      </c>
      <c r="B11172">
        <v>1</v>
      </c>
      <c r="C11172">
        <v>60</v>
      </c>
      <c r="D11172">
        <v>60</v>
      </c>
    </row>
    <row r="11173" spans="1:4" ht="15" x14ac:dyDescent="0.25">
      <c r="A11173" t="s">
        <v>29553</v>
      </c>
      <c r="B11173">
        <v>1</v>
      </c>
      <c r="C11173">
        <v>14</v>
      </c>
      <c r="D11173">
        <v>14</v>
      </c>
    </row>
    <row r="11174" spans="1:4" ht="15" x14ac:dyDescent="0.25">
      <c r="A11174" t="s">
        <v>29554</v>
      </c>
      <c r="B11174">
        <v>1</v>
      </c>
      <c r="C11174">
        <v>14</v>
      </c>
      <c r="D11174">
        <v>14</v>
      </c>
    </row>
    <row r="11175" spans="1:4" ht="15" x14ac:dyDescent="0.25">
      <c r="A11175" t="s">
        <v>29555</v>
      </c>
      <c r="B11175">
        <v>1</v>
      </c>
      <c r="C11175">
        <v>14</v>
      </c>
      <c r="D11175">
        <v>14</v>
      </c>
    </row>
    <row r="11176" spans="1:4" ht="15" x14ac:dyDescent="0.25">
      <c r="A11176" t="s">
        <v>29559</v>
      </c>
      <c r="B11176">
        <v>1</v>
      </c>
      <c r="C11176">
        <v>14</v>
      </c>
      <c r="D11176">
        <v>14</v>
      </c>
    </row>
    <row r="11177" spans="1:4" ht="15" x14ac:dyDescent="0.25">
      <c r="A11177" t="s">
        <v>29564</v>
      </c>
      <c r="B11177">
        <v>1</v>
      </c>
      <c r="C11177">
        <v>9</v>
      </c>
      <c r="D11177">
        <v>9</v>
      </c>
    </row>
    <row r="11178" spans="1:4" ht="15" x14ac:dyDescent="0.25">
      <c r="A11178" t="s">
        <v>29567</v>
      </c>
      <c r="B11178">
        <v>1</v>
      </c>
      <c r="C11178">
        <v>43</v>
      </c>
      <c r="D11178">
        <v>43</v>
      </c>
    </row>
    <row r="11179" spans="1:4" ht="15" x14ac:dyDescent="0.25">
      <c r="A11179" t="s">
        <v>29571</v>
      </c>
      <c r="B11179">
        <v>1</v>
      </c>
      <c r="C11179">
        <v>703</v>
      </c>
      <c r="D11179">
        <v>703</v>
      </c>
    </row>
    <row r="11180" spans="1:4" ht="15" x14ac:dyDescent="0.25">
      <c r="A11180" t="s">
        <v>29570</v>
      </c>
      <c r="B11180">
        <v>1</v>
      </c>
      <c r="C11180">
        <v>703</v>
      </c>
      <c r="D11180">
        <v>703</v>
      </c>
    </row>
    <row r="11181" spans="1:4" ht="15" x14ac:dyDescent="0.25">
      <c r="A11181" t="s">
        <v>29575</v>
      </c>
      <c r="B11181">
        <v>1</v>
      </c>
      <c r="C11181">
        <v>35</v>
      </c>
      <c r="D11181">
        <v>35</v>
      </c>
    </row>
    <row r="11182" spans="1:4" ht="15" x14ac:dyDescent="0.25">
      <c r="A11182" t="s">
        <v>29576</v>
      </c>
      <c r="B11182">
        <v>1</v>
      </c>
      <c r="C11182">
        <v>35</v>
      </c>
      <c r="D11182">
        <v>35</v>
      </c>
    </row>
    <row r="11183" spans="1:4" ht="15" x14ac:dyDescent="0.25">
      <c r="A11183" t="s">
        <v>29577</v>
      </c>
      <c r="B11183">
        <v>1</v>
      </c>
      <c r="C11183">
        <v>35</v>
      </c>
      <c r="D11183">
        <v>35</v>
      </c>
    </row>
    <row r="11184" spans="1:4" ht="15" x14ac:dyDescent="0.25">
      <c r="A11184" t="s">
        <v>29578</v>
      </c>
      <c r="B11184">
        <v>1</v>
      </c>
      <c r="C11184">
        <v>35</v>
      </c>
      <c r="D11184">
        <v>35</v>
      </c>
    </row>
    <row r="11185" spans="1:4" ht="15" x14ac:dyDescent="0.25">
      <c r="A11185" t="s">
        <v>29583</v>
      </c>
      <c r="B11185">
        <v>1</v>
      </c>
      <c r="C11185">
        <v>230</v>
      </c>
      <c r="D11185">
        <v>230</v>
      </c>
    </row>
    <row r="11186" spans="1:4" ht="15" x14ac:dyDescent="0.25">
      <c r="A11186" t="s">
        <v>29584</v>
      </c>
      <c r="B11186">
        <v>1</v>
      </c>
      <c r="C11186">
        <v>230</v>
      </c>
      <c r="D11186">
        <v>230</v>
      </c>
    </row>
    <row r="11187" spans="1:4" ht="15" x14ac:dyDescent="0.25">
      <c r="A11187" t="s">
        <v>29585</v>
      </c>
      <c r="B11187">
        <v>1</v>
      </c>
      <c r="C11187">
        <v>230</v>
      </c>
      <c r="D11187">
        <v>230</v>
      </c>
    </row>
    <row r="11188" spans="1:4" ht="15" x14ac:dyDescent="0.25">
      <c r="A11188" t="s">
        <v>29597</v>
      </c>
      <c r="B11188">
        <v>1</v>
      </c>
      <c r="C11188">
        <v>55</v>
      </c>
      <c r="D11188">
        <v>55</v>
      </c>
    </row>
    <row r="11189" spans="1:4" ht="15" x14ac:dyDescent="0.25">
      <c r="A11189" t="s">
        <v>29603</v>
      </c>
      <c r="B11189">
        <v>1</v>
      </c>
      <c r="C11189">
        <v>9</v>
      </c>
      <c r="D11189">
        <v>9</v>
      </c>
    </row>
    <row r="11190" spans="1:4" ht="15" x14ac:dyDescent="0.25">
      <c r="A11190" t="s">
        <v>29605</v>
      </c>
      <c r="B11190">
        <v>1</v>
      </c>
      <c r="C11190">
        <v>9</v>
      </c>
      <c r="D11190">
        <v>9</v>
      </c>
    </row>
    <row r="11191" spans="1:4" ht="15" x14ac:dyDescent="0.25">
      <c r="A11191" t="s">
        <v>29606</v>
      </c>
      <c r="B11191">
        <v>1</v>
      </c>
      <c r="C11191">
        <v>9</v>
      </c>
      <c r="D11191">
        <v>9</v>
      </c>
    </row>
    <row r="11192" spans="1:4" ht="15" x14ac:dyDescent="0.25">
      <c r="A11192" t="s">
        <v>29604</v>
      </c>
      <c r="B11192">
        <v>1</v>
      </c>
      <c r="C11192">
        <v>9</v>
      </c>
      <c r="D11192">
        <v>9</v>
      </c>
    </row>
    <row r="11193" spans="1:4" ht="15" x14ac:dyDescent="0.25">
      <c r="A11193" t="s">
        <v>29611</v>
      </c>
      <c r="B11193">
        <v>1</v>
      </c>
      <c r="C11193">
        <v>17</v>
      </c>
      <c r="D11193">
        <v>17</v>
      </c>
    </row>
    <row r="11194" spans="1:4" ht="15" x14ac:dyDescent="0.25">
      <c r="A11194" t="s">
        <v>29612</v>
      </c>
      <c r="B11194">
        <v>1</v>
      </c>
      <c r="C11194">
        <v>17</v>
      </c>
      <c r="D11194">
        <v>17</v>
      </c>
    </row>
    <row r="11195" spans="1:4" ht="15" x14ac:dyDescent="0.25">
      <c r="A11195" t="s">
        <v>29613</v>
      </c>
      <c r="B11195">
        <v>1</v>
      </c>
      <c r="C11195">
        <v>17</v>
      </c>
      <c r="D11195">
        <v>17</v>
      </c>
    </row>
    <row r="11196" spans="1:4" ht="15" x14ac:dyDescent="0.25">
      <c r="A11196" t="s">
        <v>29617</v>
      </c>
      <c r="B11196">
        <v>1</v>
      </c>
      <c r="C11196">
        <v>1087</v>
      </c>
      <c r="D11196">
        <v>1087</v>
      </c>
    </row>
    <row r="11197" spans="1:4" ht="15" x14ac:dyDescent="0.25">
      <c r="A11197" t="s">
        <v>29621</v>
      </c>
      <c r="B11197">
        <v>1</v>
      </c>
      <c r="C11197">
        <v>28</v>
      </c>
      <c r="D11197">
        <v>28</v>
      </c>
    </row>
    <row r="11198" spans="1:4" ht="15" x14ac:dyDescent="0.25">
      <c r="A11198" t="s">
        <v>29620</v>
      </c>
      <c r="B11198">
        <v>1</v>
      </c>
      <c r="C11198">
        <v>28</v>
      </c>
      <c r="D11198">
        <v>28</v>
      </c>
    </row>
    <row r="11199" spans="1:4" ht="15" x14ac:dyDescent="0.25">
      <c r="A11199" t="s">
        <v>29624</v>
      </c>
      <c r="B11199">
        <v>1</v>
      </c>
      <c r="C11199">
        <v>966</v>
      </c>
      <c r="D11199">
        <v>966</v>
      </c>
    </row>
    <row r="11200" spans="1:4" ht="15" x14ac:dyDescent="0.25">
      <c r="A11200" t="s">
        <v>29625</v>
      </c>
      <c r="B11200">
        <v>1</v>
      </c>
      <c r="C11200">
        <v>966</v>
      </c>
      <c r="D11200">
        <v>966</v>
      </c>
    </row>
    <row r="11201" spans="1:4" ht="15" x14ac:dyDescent="0.25">
      <c r="A11201" t="s">
        <v>29628</v>
      </c>
      <c r="B11201">
        <v>1</v>
      </c>
      <c r="C11201">
        <v>288</v>
      </c>
      <c r="D11201">
        <v>288</v>
      </c>
    </row>
  </sheetData>
  <pageMargins left="0.75" right="0.75" top="1" bottom="1" header="0.5" footer="0.5"/>
  <pageSetup paperSize="9" orientation="portrait" horizontalDpi="300" verticalDpi="300"/>
  <headerFooter alignWithMargins="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D103"/>
  <sheetViews>
    <sheetView zoomScaleNormal="100" workbookViewId="0">
      <pane ySplit="1" topLeftCell="A2" activePane="bottomLeft" state="frozen"/>
      <selection pane="bottomLeft"/>
    </sheetView>
  </sheetViews>
  <sheetFormatPr defaultColWidth="9.140625" defaultRowHeight="12.75" customHeight="1" x14ac:dyDescent="0.25"/>
  <cols>
    <col min="1" max="1" width="35.140625" bestFit="1" customWidth="1"/>
    <col min="2" max="2" width="13.85546875" bestFit="1" customWidth="1"/>
    <col min="3" max="3" width="17" bestFit="1" customWidth="1"/>
    <col min="4" max="4" width="21.5703125" bestFit="1" customWidth="1"/>
  </cols>
  <sheetData>
    <row r="1" spans="1:4" ht="12.75" customHeight="1" x14ac:dyDescent="0.25">
      <c r="A1" t="s">
        <v>96</v>
      </c>
      <c r="B1" t="s">
        <v>2078</v>
      </c>
      <c r="C1" t="s">
        <v>61</v>
      </c>
      <c r="D1" t="s">
        <v>80</v>
      </c>
    </row>
    <row r="2" spans="1:4" ht="15" x14ac:dyDescent="0.25">
      <c r="A2" t="s">
        <v>97</v>
      </c>
      <c r="B2">
        <v>26</v>
      </c>
      <c r="C2">
        <v>16705</v>
      </c>
      <c r="D2">
        <v>642.5</v>
      </c>
    </row>
    <row r="3" spans="1:4" ht="15" x14ac:dyDescent="0.25">
      <c r="A3" t="s">
        <v>106</v>
      </c>
      <c r="B3">
        <v>29</v>
      </c>
      <c r="C3">
        <v>2525</v>
      </c>
      <c r="D3">
        <v>87.068965517241381</v>
      </c>
    </row>
    <row r="4" spans="1:4" ht="15" x14ac:dyDescent="0.25">
      <c r="A4" t="s">
        <v>112</v>
      </c>
      <c r="B4">
        <v>12</v>
      </c>
      <c r="C4">
        <v>4817</v>
      </c>
      <c r="D4">
        <v>401.41666666666669</v>
      </c>
    </row>
    <row r="5" spans="1:4" ht="15" x14ac:dyDescent="0.25">
      <c r="A5" t="s">
        <v>122</v>
      </c>
      <c r="B5">
        <v>10</v>
      </c>
      <c r="C5">
        <v>679</v>
      </c>
      <c r="D5">
        <v>67.900000000000006</v>
      </c>
    </row>
    <row r="6" spans="1:4" ht="15" x14ac:dyDescent="0.25">
      <c r="A6" t="s">
        <v>190</v>
      </c>
      <c r="B6">
        <v>1</v>
      </c>
      <c r="C6">
        <v>15</v>
      </c>
      <c r="D6">
        <v>15</v>
      </c>
    </row>
    <row r="7" spans="1:4" ht="15" x14ac:dyDescent="0.25">
      <c r="A7" t="s">
        <v>1098</v>
      </c>
      <c r="B7">
        <v>1</v>
      </c>
      <c r="C7">
        <v>26</v>
      </c>
      <c r="D7">
        <v>26</v>
      </c>
    </row>
    <row r="8" spans="1:4" ht="15" x14ac:dyDescent="0.25">
      <c r="A8" t="s">
        <v>102</v>
      </c>
      <c r="B8">
        <v>9</v>
      </c>
      <c r="C8">
        <v>421</v>
      </c>
      <c r="D8">
        <v>46.777777777777779</v>
      </c>
    </row>
    <row r="9" spans="1:4" ht="15" x14ac:dyDescent="0.25">
      <c r="A9" t="s">
        <v>170</v>
      </c>
      <c r="B9">
        <v>5</v>
      </c>
      <c r="C9">
        <v>210</v>
      </c>
      <c r="D9">
        <v>42</v>
      </c>
    </row>
    <row r="10" spans="1:4" ht="15" x14ac:dyDescent="0.25">
      <c r="A10" t="s">
        <v>1068</v>
      </c>
      <c r="B10">
        <v>1</v>
      </c>
      <c r="C10">
        <v>16</v>
      </c>
      <c r="D10">
        <v>16</v>
      </c>
    </row>
    <row r="11" spans="1:4" ht="15" x14ac:dyDescent="0.25">
      <c r="A11" t="s">
        <v>116</v>
      </c>
      <c r="B11">
        <v>7</v>
      </c>
      <c r="C11">
        <v>327</v>
      </c>
      <c r="D11">
        <v>46.714285714285715</v>
      </c>
    </row>
    <row r="12" spans="1:4" ht="15" x14ac:dyDescent="0.25">
      <c r="A12" t="s">
        <v>894</v>
      </c>
      <c r="B12">
        <v>1</v>
      </c>
      <c r="C12">
        <v>24</v>
      </c>
      <c r="D12">
        <v>24</v>
      </c>
    </row>
    <row r="13" spans="1:4" ht="15" x14ac:dyDescent="0.25">
      <c r="A13" t="s">
        <v>162</v>
      </c>
      <c r="B13">
        <v>3</v>
      </c>
      <c r="C13">
        <v>63</v>
      </c>
      <c r="D13">
        <v>21</v>
      </c>
    </row>
    <row r="14" spans="1:4" ht="15" x14ac:dyDescent="0.25">
      <c r="A14" t="s">
        <v>178</v>
      </c>
      <c r="B14">
        <v>1</v>
      </c>
      <c r="C14">
        <v>14</v>
      </c>
      <c r="D14">
        <v>14</v>
      </c>
    </row>
    <row r="15" spans="1:4" ht="15" x14ac:dyDescent="0.25">
      <c r="A15" t="s">
        <v>1212</v>
      </c>
      <c r="B15">
        <v>1</v>
      </c>
      <c r="C15">
        <v>22</v>
      </c>
      <c r="D15">
        <v>22</v>
      </c>
    </row>
    <row r="16" spans="1:4" ht="15" x14ac:dyDescent="0.25">
      <c r="A16" t="s">
        <v>194</v>
      </c>
      <c r="B16">
        <v>2</v>
      </c>
      <c r="C16">
        <v>55</v>
      </c>
      <c r="D16">
        <v>27.5</v>
      </c>
    </row>
    <row r="17" spans="1:4" ht="15" x14ac:dyDescent="0.25">
      <c r="A17" t="s">
        <v>560</v>
      </c>
      <c r="B17">
        <v>1</v>
      </c>
      <c r="C17">
        <v>21</v>
      </c>
      <c r="D17">
        <v>21</v>
      </c>
    </row>
    <row r="18" spans="1:4" ht="15" x14ac:dyDescent="0.25">
      <c r="A18" t="s">
        <v>114</v>
      </c>
      <c r="B18">
        <v>5</v>
      </c>
      <c r="C18">
        <v>540</v>
      </c>
      <c r="D18">
        <v>108</v>
      </c>
    </row>
    <row r="19" spans="1:4" ht="15" x14ac:dyDescent="0.25">
      <c r="A19" t="s">
        <v>156</v>
      </c>
      <c r="B19">
        <v>2</v>
      </c>
      <c r="C19">
        <v>120</v>
      </c>
      <c r="D19">
        <v>60</v>
      </c>
    </row>
    <row r="20" spans="1:4" ht="15" x14ac:dyDescent="0.25">
      <c r="A20" t="s">
        <v>300</v>
      </c>
      <c r="B20">
        <v>1</v>
      </c>
      <c r="C20">
        <v>163</v>
      </c>
      <c r="D20">
        <v>163</v>
      </c>
    </row>
    <row r="21" spans="1:4" ht="15" x14ac:dyDescent="0.25">
      <c r="A21" t="s">
        <v>126</v>
      </c>
      <c r="B21">
        <v>3</v>
      </c>
      <c r="C21">
        <v>210</v>
      </c>
      <c r="D21">
        <v>70</v>
      </c>
    </row>
    <row r="22" spans="1:4" ht="15" x14ac:dyDescent="0.25">
      <c r="A22" t="s">
        <v>270</v>
      </c>
      <c r="B22">
        <v>1</v>
      </c>
      <c r="C22">
        <v>19</v>
      </c>
      <c r="D22">
        <v>19</v>
      </c>
    </row>
    <row r="23" spans="1:4" ht="15" x14ac:dyDescent="0.25">
      <c r="A23" t="s">
        <v>472</v>
      </c>
      <c r="B23">
        <v>2</v>
      </c>
      <c r="C23">
        <v>189</v>
      </c>
      <c r="D23">
        <v>94.5</v>
      </c>
    </row>
    <row r="24" spans="1:4" ht="15" x14ac:dyDescent="0.25">
      <c r="A24" t="s">
        <v>892</v>
      </c>
      <c r="B24">
        <v>1</v>
      </c>
      <c r="C24">
        <v>16</v>
      </c>
      <c r="D24">
        <v>16</v>
      </c>
    </row>
    <row r="25" spans="1:4" ht="15" x14ac:dyDescent="0.25">
      <c r="A25" t="s">
        <v>99</v>
      </c>
      <c r="B25">
        <v>20</v>
      </c>
      <c r="C25">
        <v>2652</v>
      </c>
      <c r="D25">
        <v>132.6</v>
      </c>
    </row>
    <row r="26" spans="1:4" ht="15" x14ac:dyDescent="0.25">
      <c r="A26" t="s">
        <v>284</v>
      </c>
      <c r="B26">
        <v>1</v>
      </c>
      <c r="C26">
        <v>39</v>
      </c>
      <c r="D26">
        <v>39</v>
      </c>
    </row>
    <row r="27" spans="1:4" ht="15" x14ac:dyDescent="0.25">
      <c r="A27" t="s">
        <v>582</v>
      </c>
      <c r="B27">
        <v>1</v>
      </c>
      <c r="C27">
        <v>9</v>
      </c>
      <c r="D27">
        <v>9</v>
      </c>
    </row>
    <row r="28" spans="1:4" ht="15" x14ac:dyDescent="0.25">
      <c r="A28" t="s">
        <v>1000</v>
      </c>
      <c r="B28">
        <v>1</v>
      </c>
      <c r="C28">
        <v>136</v>
      </c>
      <c r="D28">
        <v>136</v>
      </c>
    </row>
    <row r="29" spans="1:4" ht="15" x14ac:dyDescent="0.25">
      <c r="A29" t="s">
        <v>118</v>
      </c>
      <c r="B29">
        <v>1</v>
      </c>
      <c r="C29">
        <v>78</v>
      </c>
      <c r="D29">
        <v>78</v>
      </c>
    </row>
    <row r="30" spans="1:4" ht="15" x14ac:dyDescent="0.25">
      <c r="A30" t="s">
        <v>206</v>
      </c>
      <c r="B30">
        <v>2</v>
      </c>
      <c r="C30">
        <v>73</v>
      </c>
      <c r="D30">
        <v>36.5</v>
      </c>
    </row>
    <row r="31" spans="1:4" ht="15" x14ac:dyDescent="0.25">
      <c r="A31" t="s">
        <v>950</v>
      </c>
      <c r="B31">
        <v>1</v>
      </c>
      <c r="C31">
        <v>19</v>
      </c>
      <c r="D31">
        <v>19</v>
      </c>
    </row>
    <row r="32" spans="1:4" ht="15" x14ac:dyDescent="0.25">
      <c r="A32" t="s">
        <v>202</v>
      </c>
      <c r="B32">
        <v>8</v>
      </c>
      <c r="C32">
        <v>151</v>
      </c>
      <c r="D32">
        <v>18.875</v>
      </c>
    </row>
    <row r="33" spans="1:4" ht="15" x14ac:dyDescent="0.25">
      <c r="A33" t="s">
        <v>262</v>
      </c>
      <c r="B33">
        <v>3</v>
      </c>
      <c r="C33">
        <v>59</v>
      </c>
      <c r="D33">
        <v>19.666666666666668</v>
      </c>
    </row>
    <row r="34" spans="1:4" ht="15" x14ac:dyDescent="0.25">
      <c r="A34" t="s">
        <v>168</v>
      </c>
      <c r="B34">
        <v>2</v>
      </c>
      <c r="C34">
        <v>132</v>
      </c>
      <c r="D34">
        <v>66</v>
      </c>
    </row>
    <row r="35" spans="1:4" ht="15" x14ac:dyDescent="0.25">
      <c r="A35" t="s">
        <v>148</v>
      </c>
      <c r="B35">
        <v>5</v>
      </c>
      <c r="C35">
        <v>666</v>
      </c>
      <c r="D35">
        <v>133.19999999999999</v>
      </c>
    </row>
    <row r="36" spans="1:4" ht="15" x14ac:dyDescent="0.25">
      <c r="A36" t="s">
        <v>626</v>
      </c>
      <c r="B36">
        <v>1</v>
      </c>
      <c r="C36">
        <v>26</v>
      </c>
      <c r="D36">
        <v>26</v>
      </c>
    </row>
    <row r="37" spans="1:4" ht="15" x14ac:dyDescent="0.25">
      <c r="A37" t="s">
        <v>276</v>
      </c>
      <c r="B37">
        <v>1</v>
      </c>
      <c r="C37">
        <v>37</v>
      </c>
      <c r="D37">
        <v>37</v>
      </c>
    </row>
    <row r="38" spans="1:4" ht="15" x14ac:dyDescent="0.25">
      <c r="A38" t="s">
        <v>502</v>
      </c>
      <c r="B38">
        <v>1</v>
      </c>
      <c r="C38">
        <v>5</v>
      </c>
      <c r="D38">
        <v>5</v>
      </c>
    </row>
    <row r="39" spans="1:4" ht="15" x14ac:dyDescent="0.25">
      <c r="A39" t="s">
        <v>908</v>
      </c>
      <c r="B39">
        <v>1</v>
      </c>
      <c r="C39">
        <v>23</v>
      </c>
      <c r="D39">
        <v>23</v>
      </c>
    </row>
    <row r="40" spans="1:4" ht="15" x14ac:dyDescent="0.25">
      <c r="A40" t="s">
        <v>240</v>
      </c>
      <c r="B40">
        <v>1</v>
      </c>
      <c r="C40">
        <v>19</v>
      </c>
      <c r="D40">
        <v>19</v>
      </c>
    </row>
    <row r="41" spans="1:4" ht="15" x14ac:dyDescent="0.25">
      <c r="A41" t="s">
        <v>184</v>
      </c>
      <c r="B41">
        <v>1</v>
      </c>
      <c r="C41">
        <v>39</v>
      </c>
      <c r="D41">
        <v>39</v>
      </c>
    </row>
    <row r="42" spans="1:4" ht="15" x14ac:dyDescent="0.25">
      <c r="A42" t="s">
        <v>428</v>
      </c>
      <c r="B42">
        <v>1</v>
      </c>
      <c r="C42">
        <v>6</v>
      </c>
      <c r="D42">
        <v>6</v>
      </c>
    </row>
    <row r="43" spans="1:4" ht="15" x14ac:dyDescent="0.25">
      <c r="A43" t="s">
        <v>198</v>
      </c>
      <c r="B43">
        <v>1</v>
      </c>
      <c r="C43">
        <v>34</v>
      </c>
      <c r="D43">
        <v>34</v>
      </c>
    </row>
    <row r="44" spans="1:4" ht="15" x14ac:dyDescent="0.25">
      <c r="A44" t="s">
        <v>900</v>
      </c>
      <c r="B44">
        <v>1</v>
      </c>
      <c r="C44">
        <v>62</v>
      </c>
      <c r="D44">
        <v>62</v>
      </c>
    </row>
    <row r="45" spans="1:4" ht="15" x14ac:dyDescent="0.25">
      <c r="A45" t="s">
        <v>1760</v>
      </c>
      <c r="B45">
        <v>1</v>
      </c>
      <c r="C45">
        <v>21</v>
      </c>
      <c r="D45">
        <v>21</v>
      </c>
    </row>
    <row r="46" spans="1:4" ht="15" x14ac:dyDescent="0.25">
      <c r="A46" t="s">
        <v>1438</v>
      </c>
      <c r="B46">
        <v>1</v>
      </c>
      <c r="C46">
        <v>140</v>
      </c>
      <c r="D46">
        <v>140</v>
      </c>
    </row>
    <row r="47" spans="1:4" ht="15" x14ac:dyDescent="0.25">
      <c r="A47" t="s">
        <v>138</v>
      </c>
      <c r="B47">
        <v>1</v>
      </c>
      <c r="C47">
        <v>26</v>
      </c>
      <c r="D47">
        <v>26</v>
      </c>
    </row>
    <row r="48" spans="1:4" ht="15" x14ac:dyDescent="0.25">
      <c r="A48" t="s">
        <v>856</v>
      </c>
      <c r="B48">
        <v>1</v>
      </c>
      <c r="C48">
        <v>2</v>
      </c>
      <c r="D48">
        <v>2</v>
      </c>
    </row>
    <row r="49" spans="1:4" ht="15" x14ac:dyDescent="0.25">
      <c r="A49" t="s">
        <v>130</v>
      </c>
      <c r="B49">
        <v>3</v>
      </c>
      <c r="C49">
        <v>151</v>
      </c>
      <c r="D49">
        <v>50.333333333333336</v>
      </c>
    </row>
    <row r="50" spans="1:4" ht="15" x14ac:dyDescent="0.25">
      <c r="A50" t="s">
        <v>306</v>
      </c>
      <c r="B50">
        <v>1</v>
      </c>
      <c r="C50">
        <v>9</v>
      </c>
      <c r="D50">
        <v>9</v>
      </c>
    </row>
    <row r="51" spans="1:4" ht="15" x14ac:dyDescent="0.25">
      <c r="A51" t="s">
        <v>344</v>
      </c>
      <c r="B51">
        <v>1</v>
      </c>
      <c r="C51">
        <v>133</v>
      </c>
      <c r="D51">
        <v>133</v>
      </c>
    </row>
    <row r="52" spans="1:4" ht="15" x14ac:dyDescent="0.25">
      <c r="A52" t="s">
        <v>182</v>
      </c>
      <c r="B52">
        <v>4</v>
      </c>
      <c r="C52">
        <v>946</v>
      </c>
      <c r="D52">
        <v>236.5</v>
      </c>
    </row>
    <row r="53" spans="1:4" ht="15" x14ac:dyDescent="0.25">
      <c r="A53" t="s">
        <v>134</v>
      </c>
      <c r="B53">
        <v>6</v>
      </c>
      <c r="C53">
        <v>2913</v>
      </c>
      <c r="D53">
        <v>485.5</v>
      </c>
    </row>
    <row r="54" spans="1:4" ht="15" x14ac:dyDescent="0.25">
      <c r="A54" t="s">
        <v>918</v>
      </c>
      <c r="B54">
        <v>1</v>
      </c>
      <c r="C54">
        <v>60</v>
      </c>
      <c r="D54">
        <v>60</v>
      </c>
    </row>
    <row r="55" spans="1:4" ht="15" x14ac:dyDescent="0.25">
      <c r="A55" t="s">
        <v>104</v>
      </c>
      <c r="B55">
        <v>2</v>
      </c>
      <c r="C55">
        <v>131</v>
      </c>
      <c r="D55">
        <v>65.5</v>
      </c>
    </row>
    <row r="56" spans="1:4" ht="15" x14ac:dyDescent="0.25">
      <c r="A56" t="s">
        <v>234</v>
      </c>
      <c r="B56">
        <v>5</v>
      </c>
      <c r="C56">
        <v>365</v>
      </c>
      <c r="D56">
        <v>73</v>
      </c>
    </row>
    <row r="57" spans="1:4" ht="15" x14ac:dyDescent="0.25">
      <c r="A57" t="s">
        <v>328</v>
      </c>
      <c r="B57">
        <v>3</v>
      </c>
      <c r="C57">
        <v>226</v>
      </c>
      <c r="D57">
        <v>75.333333333333329</v>
      </c>
    </row>
    <row r="58" spans="1:4" ht="15" x14ac:dyDescent="0.25">
      <c r="A58" t="s">
        <v>268</v>
      </c>
      <c r="B58">
        <v>3</v>
      </c>
      <c r="C58">
        <v>126</v>
      </c>
      <c r="D58">
        <v>42</v>
      </c>
    </row>
    <row r="59" spans="1:4" ht="15" x14ac:dyDescent="0.25">
      <c r="A59" t="s">
        <v>272</v>
      </c>
      <c r="B59">
        <v>1</v>
      </c>
      <c r="C59">
        <v>12</v>
      </c>
      <c r="D59">
        <v>12</v>
      </c>
    </row>
    <row r="60" spans="1:4" ht="15" x14ac:dyDescent="0.25">
      <c r="A60" t="s">
        <v>142</v>
      </c>
      <c r="B60">
        <v>3</v>
      </c>
      <c r="C60">
        <v>106</v>
      </c>
      <c r="D60">
        <v>35.333333333333336</v>
      </c>
    </row>
    <row r="61" spans="1:4" ht="15" x14ac:dyDescent="0.25">
      <c r="A61" t="s">
        <v>572</v>
      </c>
      <c r="B61">
        <v>1</v>
      </c>
      <c r="C61">
        <v>98</v>
      </c>
      <c r="D61">
        <v>98</v>
      </c>
    </row>
    <row r="62" spans="1:4" ht="15" x14ac:dyDescent="0.25">
      <c r="A62" t="s">
        <v>154</v>
      </c>
      <c r="B62">
        <v>1</v>
      </c>
      <c r="C62">
        <v>22</v>
      </c>
      <c r="D62">
        <v>22</v>
      </c>
    </row>
    <row r="63" spans="1:4" ht="15" x14ac:dyDescent="0.25">
      <c r="A63" t="s">
        <v>108</v>
      </c>
      <c r="B63">
        <v>4</v>
      </c>
      <c r="C63">
        <v>885</v>
      </c>
      <c r="D63">
        <v>221.25</v>
      </c>
    </row>
    <row r="64" spans="1:4" ht="15" x14ac:dyDescent="0.25">
      <c r="A64" t="s">
        <v>218</v>
      </c>
      <c r="B64">
        <v>2</v>
      </c>
      <c r="C64">
        <v>130</v>
      </c>
      <c r="D64">
        <v>65</v>
      </c>
    </row>
    <row r="65" spans="1:4" ht="15" x14ac:dyDescent="0.25">
      <c r="A65" t="s">
        <v>920</v>
      </c>
      <c r="B65">
        <v>1</v>
      </c>
      <c r="C65">
        <v>7</v>
      </c>
      <c r="D65">
        <v>7</v>
      </c>
    </row>
    <row r="66" spans="1:4" ht="15" x14ac:dyDescent="0.25">
      <c r="A66" t="s">
        <v>120</v>
      </c>
      <c r="B66">
        <v>1</v>
      </c>
      <c r="C66">
        <v>138</v>
      </c>
      <c r="D66">
        <v>138</v>
      </c>
    </row>
    <row r="67" spans="1:4" ht="15" x14ac:dyDescent="0.25">
      <c r="A67" t="s">
        <v>380</v>
      </c>
      <c r="B67">
        <v>1</v>
      </c>
      <c r="C67">
        <v>22</v>
      </c>
      <c r="D67">
        <v>22</v>
      </c>
    </row>
    <row r="68" spans="1:4" ht="15" x14ac:dyDescent="0.25">
      <c r="A68" t="s">
        <v>146</v>
      </c>
      <c r="B68">
        <v>4</v>
      </c>
      <c r="C68">
        <v>266</v>
      </c>
      <c r="D68">
        <v>66.5</v>
      </c>
    </row>
    <row r="69" spans="1:4" ht="15" x14ac:dyDescent="0.25">
      <c r="A69" t="s">
        <v>144</v>
      </c>
      <c r="B69">
        <v>4</v>
      </c>
      <c r="C69">
        <v>102</v>
      </c>
      <c r="D69">
        <v>25.5</v>
      </c>
    </row>
    <row r="70" spans="1:4" ht="15" x14ac:dyDescent="0.25">
      <c r="A70" t="s">
        <v>192</v>
      </c>
      <c r="B70">
        <v>1</v>
      </c>
      <c r="C70">
        <v>65</v>
      </c>
      <c r="D70">
        <v>65</v>
      </c>
    </row>
    <row r="71" spans="1:4" ht="15" x14ac:dyDescent="0.25">
      <c r="A71" t="s">
        <v>180</v>
      </c>
      <c r="B71">
        <v>1</v>
      </c>
      <c r="C71">
        <v>113</v>
      </c>
      <c r="D71">
        <v>113</v>
      </c>
    </row>
    <row r="72" spans="1:4" ht="15" x14ac:dyDescent="0.25">
      <c r="A72" t="s">
        <v>150</v>
      </c>
      <c r="B72">
        <v>2</v>
      </c>
      <c r="C72">
        <v>33</v>
      </c>
      <c r="D72">
        <v>16.5</v>
      </c>
    </row>
    <row r="73" spans="1:4" ht="15" x14ac:dyDescent="0.25">
      <c r="A73" t="s">
        <v>524</v>
      </c>
      <c r="B73">
        <v>1</v>
      </c>
      <c r="C73">
        <v>21</v>
      </c>
      <c r="D73">
        <v>21</v>
      </c>
    </row>
    <row r="74" spans="1:4" ht="15" x14ac:dyDescent="0.25">
      <c r="A74" t="s">
        <v>1082</v>
      </c>
      <c r="B74">
        <v>1</v>
      </c>
      <c r="C74">
        <v>42</v>
      </c>
      <c r="D74">
        <v>42</v>
      </c>
    </row>
    <row r="75" spans="1:4" ht="15" x14ac:dyDescent="0.25">
      <c r="A75" t="s">
        <v>204</v>
      </c>
      <c r="B75">
        <v>2</v>
      </c>
      <c r="C75">
        <v>39</v>
      </c>
      <c r="D75">
        <v>19.5</v>
      </c>
    </row>
    <row r="76" spans="1:4" ht="15" x14ac:dyDescent="0.25">
      <c r="A76" t="s">
        <v>812</v>
      </c>
      <c r="B76">
        <v>1</v>
      </c>
      <c r="C76">
        <v>13</v>
      </c>
      <c r="D76">
        <v>13</v>
      </c>
    </row>
    <row r="77" spans="1:4" ht="15" x14ac:dyDescent="0.25">
      <c r="A77" t="s">
        <v>132</v>
      </c>
      <c r="B77">
        <v>4</v>
      </c>
      <c r="C77">
        <v>116</v>
      </c>
      <c r="D77">
        <v>29</v>
      </c>
    </row>
    <row r="78" spans="1:4" ht="15" x14ac:dyDescent="0.25">
      <c r="A78" t="s">
        <v>338</v>
      </c>
      <c r="B78">
        <v>1</v>
      </c>
      <c r="C78">
        <v>34</v>
      </c>
      <c r="D78">
        <v>34</v>
      </c>
    </row>
    <row r="79" spans="1:4" ht="15" x14ac:dyDescent="0.25">
      <c r="A79" t="s">
        <v>558</v>
      </c>
      <c r="B79">
        <v>1</v>
      </c>
      <c r="C79">
        <v>9</v>
      </c>
      <c r="D79">
        <v>9</v>
      </c>
    </row>
    <row r="80" spans="1:4" ht="15" x14ac:dyDescent="0.25">
      <c r="A80" t="s">
        <v>188</v>
      </c>
      <c r="B80">
        <v>1</v>
      </c>
      <c r="C80">
        <v>31</v>
      </c>
      <c r="D80">
        <v>31</v>
      </c>
    </row>
    <row r="81" spans="1:4" ht="15" x14ac:dyDescent="0.25">
      <c r="A81" t="s">
        <v>200</v>
      </c>
      <c r="B81">
        <v>1</v>
      </c>
      <c r="C81">
        <v>42</v>
      </c>
      <c r="D81">
        <v>42</v>
      </c>
    </row>
    <row r="82" spans="1:4" ht="15" x14ac:dyDescent="0.25">
      <c r="A82" t="s">
        <v>362</v>
      </c>
      <c r="B82">
        <v>1</v>
      </c>
      <c r="C82">
        <v>10</v>
      </c>
      <c r="D82">
        <v>10</v>
      </c>
    </row>
    <row r="83" spans="1:4" ht="15" x14ac:dyDescent="0.25">
      <c r="A83" t="s">
        <v>140</v>
      </c>
      <c r="B83">
        <v>1</v>
      </c>
      <c r="C83">
        <v>57</v>
      </c>
      <c r="D83">
        <v>57</v>
      </c>
    </row>
    <row r="84" spans="1:4" ht="15" x14ac:dyDescent="0.25">
      <c r="A84" t="s">
        <v>238</v>
      </c>
      <c r="B84">
        <v>2</v>
      </c>
      <c r="C84">
        <v>53</v>
      </c>
      <c r="D84">
        <v>26.5</v>
      </c>
    </row>
    <row r="85" spans="1:4" ht="15" x14ac:dyDescent="0.25">
      <c r="A85" t="s">
        <v>1142</v>
      </c>
      <c r="B85">
        <v>1</v>
      </c>
      <c r="C85">
        <v>9</v>
      </c>
      <c r="D85">
        <v>9</v>
      </c>
    </row>
    <row r="86" spans="1:4" ht="15" x14ac:dyDescent="0.25">
      <c r="A86" t="s">
        <v>124</v>
      </c>
      <c r="B86">
        <v>2</v>
      </c>
      <c r="C86">
        <v>23</v>
      </c>
      <c r="D86">
        <v>11.5</v>
      </c>
    </row>
    <row r="87" spans="1:4" ht="15" x14ac:dyDescent="0.25">
      <c r="A87" t="s">
        <v>1058</v>
      </c>
      <c r="B87">
        <v>1</v>
      </c>
      <c r="C87">
        <v>148</v>
      </c>
      <c r="D87">
        <v>148</v>
      </c>
    </row>
    <row r="88" spans="1:4" ht="15" x14ac:dyDescent="0.25">
      <c r="A88" t="s">
        <v>224</v>
      </c>
      <c r="B88">
        <v>1</v>
      </c>
      <c r="C88">
        <v>23</v>
      </c>
      <c r="D88">
        <v>23</v>
      </c>
    </row>
    <row r="89" spans="1:4" ht="15" x14ac:dyDescent="0.25">
      <c r="A89" t="s">
        <v>176</v>
      </c>
      <c r="B89">
        <v>2</v>
      </c>
      <c r="C89">
        <v>533</v>
      </c>
      <c r="D89">
        <v>266.5</v>
      </c>
    </row>
    <row r="90" spans="1:4" ht="15" x14ac:dyDescent="0.25">
      <c r="A90" t="s">
        <v>368</v>
      </c>
      <c r="B90">
        <v>1</v>
      </c>
      <c r="C90">
        <v>7</v>
      </c>
      <c r="D90">
        <v>7</v>
      </c>
    </row>
    <row r="91" spans="1:4" ht="15" x14ac:dyDescent="0.25">
      <c r="A91" t="s">
        <v>314</v>
      </c>
      <c r="B91">
        <v>1</v>
      </c>
      <c r="C91">
        <v>31</v>
      </c>
      <c r="D91">
        <v>31</v>
      </c>
    </row>
    <row r="92" spans="1:4" ht="15" x14ac:dyDescent="0.25">
      <c r="A92" t="s">
        <v>1808</v>
      </c>
      <c r="B92">
        <v>1</v>
      </c>
      <c r="C92">
        <v>15</v>
      </c>
      <c r="D92">
        <v>15</v>
      </c>
    </row>
    <row r="93" spans="1:4" ht="15" x14ac:dyDescent="0.25">
      <c r="A93" t="s">
        <v>1848</v>
      </c>
      <c r="B93">
        <v>1</v>
      </c>
      <c r="C93">
        <v>65</v>
      </c>
      <c r="D93">
        <v>65</v>
      </c>
    </row>
    <row r="94" spans="1:4" ht="15" x14ac:dyDescent="0.25">
      <c r="A94" t="s">
        <v>222</v>
      </c>
      <c r="B94">
        <v>1</v>
      </c>
      <c r="C94">
        <v>69</v>
      </c>
      <c r="D94">
        <v>69</v>
      </c>
    </row>
    <row r="95" spans="1:4" ht="15" x14ac:dyDescent="0.25">
      <c r="A95" t="s">
        <v>216</v>
      </c>
      <c r="B95">
        <v>1</v>
      </c>
      <c r="C95">
        <v>75</v>
      </c>
      <c r="D95">
        <v>75</v>
      </c>
    </row>
    <row r="96" spans="1:4" ht="15" x14ac:dyDescent="0.25">
      <c r="A96" t="s">
        <v>348</v>
      </c>
      <c r="B96">
        <v>1</v>
      </c>
      <c r="C96">
        <v>2</v>
      </c>
      <c r="D96">
        <v>2</v>
      </c>
    </row>
    <row r="97" spans="1:4" ht="15" x14ac:dyDescent="0.25">
      <c r="A97" t="s">
        <v>1024</v>
      </c>
      <c r="B97">
        <v>1</v>
      </c>
      <c r="C97">
        <v>136</v>
      </c>
      <c r="D97">
        <v>136</v>
      </c>
    </row>
    <row r="98" spans="1:4" ht="15" x14ac:dyDescent="0.25">
      <c r="A98" t="s">
        <v>326</v>
      </c>
      <c r="B98">
        <v>1</v>
      </c>
      <c r="C98">
        <v>47</v>
      </c>
      <c r="D98">
        <v>47</v>
      </c>
    </row>
    <row r="99" spans="1:4" ht="15" x14ac:dyDescent="0.25">
      <c r="A99" t="s">
        <v>1432</v>
      </c>
      <c r="B99">
        <v>1</v>
      </c>
      <c r="C99">
        <v>26</v>
      </c>
      <c r="D99">
        <v>26</v>
      </c>
    </row>
    <row r="100" spans="1:4" ht="15" x14ac:dyDescent="0.25">
      <c r="A100" t="s">
        <v>468</v>
      </c>
      <c r="B100">
        <v>1</v>
      </c>
      <c r="C100">
        <v>18</v>
      </c>
      <c r="D100">
        <v>18</v>
      </c>
    </row>
    <row r="101" spans="1:4" ht="15" x14ac:dyDescent="0.25">
      <c r="A101" t="s">
        <v>136</v>
      </c>
      <c r="B101">
        <v>1</v>
      </c>
      <c r="C101">
        <v>31</v>
      </c>
      <c r="D101">
        <v>31</v>
      </c>
    </row>
    <row r="102" spans="1:4" ht="15" x14ac:dyDescent="0.25">
      <c r="A102" t="s">
        <v>164</v>
      </c>
      <c r="B102">
        <v>1</v>
      </c>
      <c r="C102">
        <v>34</v>
      </c>
      <c r="D102">
        <v>34</v>
      </c>
    </row>
    <row r="103" spans="1:4" ht="15" x14ac:dyDescent="0.25">
      <c r="A103" t="s">
        <v>618</v>
      </c>
      <c r="B103">
        <v>1</v>
      </c>
      <c r="C103">
        <v>17</v>
      </c>
      <c r="D103">
        <v>17</v>
      </c>
    </row>
  </sheetData>
  <pageMargins left="0.75" right="0.75" top="1" bottom="1" header="0.5" footer="0.5"/>
  <pageSetup paperSize="9" orientation="portrait" horizontalDpi="300" verticalDpi="300"/>
  <headerFooter alignWithMargins="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B86"/>
  <sheetViews>
    <sheetView zoomScaleNormal="100" workbookViewId="0">
      <pane ySplit="1" topLeftCell="A2" activePane="bottomLeft" state="frozen"/>
      <selection pane="bottomLeft"/>
    </sheetView>
  </sheetViews>
  <sheetFormatPr defaultColWidth="9.140625" defaultRowHeight="12.75" customHeight="1" x14ac:dyDescent="0.25"/>
  <cols>
    <col min="1" max="1" width="24.140625" bestFit="1" customWidth="1"/>
    <col min="2" max="2" width="13.85546875" bestFit="1" customWidth="1"/>
    <col min="3" max="3" width="17" bestFit="1" customWidth="1"/>
    <col min="4" max="4" width="21.5703125" bestFit="1" customWidth="1"/>
  </cols>
  <sheetData>
    <row r="1" spans="1:2" ht="12.75" customHeight="1" x14ac:dyDescent="0.25">
      <c r="A1" t="s">
        <v>2091</v>
      </c>
      <c r="B1" t="s">
        <v>2078</v>
      </c>
    </row>
    <row r="2" spans="1:2" ht="15" x14ac:dyDescent="0.25">
      <c r="A2" t="s">
        <v>2299</v>
      </c>
      <c r="B2">
        <v>292</v>
      </c>
    </row>
    <row r="3" spans="1:2" ht="15" x14ac:dyDescent="0.25">
      <c r="A3" t="s">
        <v>2263</v>
      </c>
      <c r="B3">
        <v>13</v>
      </c>
    </row>
    <row r="4" spans="1:2" ht="15" x14ac:dyDescent="0.25">
      <c r="A4" t="s">
        <v>2264</v>
      </c>
      <c r="B4">
        <v>90</v>
      </c>
    </row>
    <row r="5" spans="1:2" ht="15" x14ac:dyDescent="0.25">
      <c r="A5" t="s">
        <v>2102</v>
      </c>
      <c r="B5">
        <v>39</v>
      </c>
    </row>
    <row r="6" spans="1:2" ht="15" x14ac:dyDescent="0.25">
      <c r="A6" t="s">
        <v>2648</v>
      </c>
      <c r="B6">
        <v>64</v>
      </c>
    </row>
    <row r="7" spans="1:2" ht="15" x14ac:dyDescent="0.25">
      <c r="A7" t="s">
        <v>2271</v>
      </c>
      <c r="B7">
        <v>15</v>
      </c>
    </row>
    <row r="8" spans="1:2" ht="15" x14ac:dyDescent="0.25">
      <c r="A8" t="s">
        <v>2288</v>
      </c>
      <c r="B8">
        <v>64</v>
      </c>
    </row>
    <row r="9" spans="1:2" ht="15" x14ac:dyDescent="0.25">
      <c r="A9" t="s">
        <v>2161</v>
      </c>
      <c r="B9">
        <v>95</v>
      </c>
    </row>
    <row r="10" spans="1:2" ht="15" x14ac:dyDescent="0.25">
      <c r="A10" t="s">
        <v>2182</v>
      </c>
      <c r="B10">
        <v>75</v>
      </c>
    </row>
    <row r="11" spans="1:2" ht="15" x14ac:dyDescent="0.25">
      <c r="A11" t="s">
        <v>2153</v>
      </c>
      <c r="B11">
        <v>18</v>
      </c>
    </row>
    <row r="12" spans="1:2" ht="15" x14ac:dyDescent="0.25">
      <c r="A12" t="s">
        <v>2103</v>
      </c>
      <c r="B12">
        <v>24</v>
      </c>
    </row>
    <row r="13" spans="1:2" ht="15" x14ac:dyDescent="0.25">
      <c r="A13" t="s">
        <v>2099</v>
      </c>
      <c r="B13">
        <v>2</v>
      </c>
    </row>
    <row r="14" spans="1:2" ht="15" x14ac:dyDescent="0.25">
      <c r="A14" t="s">
        <v>2110</v>
      </c>
      <c r="B14">
        <v>56</v>
      </c>
    </row>
    <row r="15" spans="1:2" ht="15" x14ac:dyDescent="0.25">
      <c r="A15" t="s">
        <v>2230</v>
      </c>
      <c r="B15">
        <v>13</v>
      </c>
    </row>
    <row r="16" spans="1:2" ht="15" x14ac:dyDescent="0.25">
      <c r="A16" t="s">
        <v>2212</v>
      </c>
      <c r="B16">
        <v>11</v>
      </c>
    </row>
    <row r="17" spans="1:2" ht="15" x14ac:dyDescent="0.25">
      <c r="A17" t="s">
        <v>2125</v>
      </c>
      <c r="B17">
        <v>58</v>
      </c>
    </row>
    <row r="18" spans="1:2" ht="15" x14ac:dyDescent="0.25">
      <c r="A18" t="s">
        <v>2287</v>
      </c>
      <c r="B18">
        <v>3</v>
      </c>
    </row>
    <row r="19" spans="1:2" ht="15" x14ac:dyDescent="0.25">
      <c r="A19" t="s">
        <v>2141</v>
      </c>
      <c r="B19">
        <v>52</v>
      </c>
    </row>
    <row r="20" spans="1:2" ht="15" x14ac:dyDescent="0.25">
      <c r="A20" t="s">
        <v>2204</v>
      </c>
      <c r="B20">
        <v>23</v>
      </c>
    </row>
    <row r="21" spans="1:2" ht="15" x14ac:dyDescent="0.25">
      <c r="A21" t="s">
        <v>2222</v>
      </c>
      <c r="B21">
        <v>66</v>
      </c>
    </row>
    <row r="22" spans="1:2" ht="15" x14ac:dyDescent="0.25">
      <c r="A22" t="s">
        <v>2160</v>
      </c>
      <c r="B22">
        <v>2</v>
      </c>
    </row>
    <row r="23" spans="1:2" ht="15" x14ac:dyDescent="0.25">
      <c r="A23" t="s">
        <v>2258</v>
      </c>
      <c r="B23">
        <v>33</v>
      </c>
    </row>
    <row r="24" spans="1:2" ht="15" x14ac:dyDescent="0.25">
      <c r="A24" t="s">
        <v>2234</v>
      </c>
      <c r="B24">
        <v>2</v>
      </c>
    </row>
    <row r="25" spans="1:2" ht="15" x14ac:dyDescent="0.25">
      <c r="A25" t="s">
        <v>2293</v>
      </c>
      <c r="B25">
        <v>3</v>
      </c>
    </row>
    <row r="26" spans="1:2" ht="15" x14ac:dyDescent="0.25">
      <c r="A26" t="s">
        <v>2260</v>
      </c>
      <c r="B26">
        <v>1</v>
      </c>
    </row>
    <row r="27" spans="1:2" ht="15" x14ac:dyDescent="0.25">
      <c r="A27" t="s">
        <v>2273</v>
      </c>
      <c r="B27">
        <v>8</v>
      </c>
    </row>
    <row r="28" spans="1:2" ht="15" x14ac:dyDescent="0.25">
      <c r="A28" t="s">
        <v>2181</v>
      </c>
      <c r="B28">
        <v>5</v>
      </c>
    </row>
    <row r="29" spans="1:2" ht="15" x14ac:dyDescent="0.25">
      <c r="A29" t="s">
        <v>2177</v>
      </c>
      <c r="B29">
        <v>13</v>
      </c>
    </row>
    <row r="30" spans="1:2" ht="15" x14ac:dyDescent="0.25">
      <c r="A30" t="s">
        <v>2194</v>
      </c>
      <c r="B30">
        <v>1</v>
      </c>
    </row>
    <row r="31" spans="1:2" ht="15" x14ac:dyDescent="0.25">
      <c r="A31" t="s">
        <v>2131</v>
      </c>
      <c r="B31">
        <v>8</v>
      </c>
    </row>
    <row r="32" spans="1:2" ht="15" x14ac:dyDescent="0.25">
      <c r="A32" t="s">
        <v>2238</v>
      </c>
      <c r="B32">
        <v>9</v>
      </c>
    </row>
    <row r="33" spans="1:2" ht="15" x14ac:dyDescent="0.25">
      <c r="A33" t="s">
        <v>2243</v>
      </c>
      <c r="B33">
        <v>7</v>
      </c>
    </row>
    <row r="34" spans="1:2" ht="15" x14ac:dyDescent="0.25">
      <c r="A34" t="s">
        <v>2154</v>
      </c>
      <c r="B34">
        <v>32</v>
      </c>
    </row>
    <row r="35" spans="1:2" ht="15" x14ac:dyDescent="0.25">
      <c r="A35" t="s">
        <v>2180</v>
      </c>
      <c r="B35">
        <v>11</v>
      </c>
    </row>
    <row r="36" spans="1:2" ht="15" x14ac:dyDescent="0.25">
      <c r="A36" t="s">
        <v>2174</v>
      </c>
      <c r="B36">
        <v>6</v>
      </c>
    </row>
    <row r="37" spans="1:2" ht="15" x14ac:dyDescent="0.25">
      <c r="A37" t="s">
        <v>2176</v>
      </c>
      <c r="B37">
        <v>23</v>
      </c>
    </row>
    <row r="38" spans="1:2" ht="15" x14ac:dyDescent="0.25">
      <c r="A38" t="s">
        <v>2239</v>
      </c>
      <c r="B38">
        <v>17</v>
      </c>
    </row>
    <row r="39" spans="1:2" ht="15" x14ac:dyDescent="0.25">
      <c r="A39" t="s">
        <v>2138</v>
      </c>
      <c r="B39">
        <v>1</v>
      </c>
    </row>
    <row r="40" spans="1:2" ht="15" x14ac:dyDescent="0.25">
      <c r="A40" t="s">
        <v>2193</v>
      </c>
      <c r="B40">
        <v>3</v>
      </c>
    </row>
    <row r="41" spans="1:2" ht="15" x14ac:dyDescent="0.25">
      <c r="A41" t="s">
        <v>2270</v>
      </c>
      <c r="B41">
        <v>39</v>
      </c>
    </row>
    <row r="42" spans="1:2" ht="15" x14ac:dyDescent="0.25">
      <c r="A42" t="s">
        <v>2184</v>
      </c>
      <c r="B42">
        <v>7</v>
      </c>
    </row>
    <row r="43" spans="1:2" ht="15" x14ac:dyDescent="0.25">
      <c r="A43" t="s">
        <v>2140</v>
      </c>
      <c r="B43">
        <v>7</v>
      </c>
    </row>
    <row r="44" spans="1:2" ht="15" x14ac:dyDescent="0.25">
      <c r="A44" t="s">
        <v>2144</v>
      </c>
      <c r="B44">
        <v>2</v>
      </c>
    </row>
    <row r="45" spans="1:2" ht="15" x14ac:dyDescent="0.25">
      <c r="A45" t="s">
        <v>2276</v>
      </c>
      <c r="B45">
        <v>10</v>
      </c>
    </row>
    <row r="46" spans="1:2" ht="15" x14ac:dyDescent="0.25">
      <c r="A46" t="s">
        <v>2146</v>
      </c>
      <c r="B46">
        <v>1</v>
      </c>
    </row>
    <row r="47" spans="1:2" ht="15" x14ac:dyDescent="0.25">
      <c r="A47" t="s">
        <v>2150</v>
      </c>
      <c r="B47">
        <v>1</v>
      </c>
    </row>
    <row r="48" spans="1:2" ht="15" x14ac:dyDescent="0.25">
      <c r="A48" t="s">
        <v>2111</v>
      </c>
      <c r="B48">
        <v>5</v>
      </c>
    </row>
    <row r="49" spans="1:2" ht="15" x14ac:dyDescent="0.25">
      <c r="A49" t="s">
        <v>2237</v>
      </c>
      <c r="B49">
        <v>4</v>
      </c>
    </row>
    <row r="50" spans="1:2" ht="15" x14ac:dyDescent="0.25">
      <c r="A50" t="s">
        <v>2132</v>
      </c>
      <c r="B50">
        <v>3</v>
      </c>
    </row>
    <row r="51" spans="1:2" ht="15" x14ac:dyDescent="0.25">
      <c r="A51" t="s">
        <v>2118</v>
      </c>
      <c r="B51">
        <v>17</v>
      </c>
    </row>
    <row r="52" spans="1:2" ht="15" x14ac:dyDescent="0.25">
      <c r="A52" t="s">
        <v>2095</v>
      </c>
      <c r="B52">
        <v>4</v>
      </c>
    </row>
    <row r="53" spans="1:2" ht="15" x14ac:dyDescent="0.25">
      <c r="A53" t="s">
        <v>2281</v>
      </c>
      <c r="B53">
        <v>2</v>
      </c>
    </row>
    <row r="54" spans="1:2" ht="15" x14ac:dyDescent="0.25">
      <c r="A54" t="s">
        <v>2240</v>
      </c>
      <c r="B54">
        <v>11</v>
      </c>
    </row>
    <row r="55" spans="1:2" ht="15" x14ac:dyDescent="0.25">
      <c r="A55" t="s">
        <v>2137</v>
      </c>
      <c r="B55">
        <v>8</v>
      </c>
    </row>
    <row r="56" spans="1:2" ht="15" x14ac:dyDescent="0.25">
      <c r="A56" t="s">
        <v>2280</v>
      </c>
      <c r="B56">
        <v>2</v>
      </c>
    </row>
    <row r="57" spans="1:2" ht="15" x14ac:dyDescent="0.25">
      <c r="A57" t="s">
        <v>2225</v>
      </c>
      <c r="B57">
        <v>8</v>
      </c>
    </row>
    <row r="58" spans="1:2" ht="15" x14ac:dyDescent="0.25">
      <c r="A58" t="s">
        <v>2178</v>
      </c>
      <c r="B58">
        <v>2</v>
      </c>
    </row>
    <row r="59" spans="1:2" ht="15" x14ac:dyDescent="0.25">
      <c r="A59" t="s">
        <v>2164</v>
      </c>
      <c r="B59">
        <v>11</v>
      </c>
    </row>
    <row r="60" spans="1:2" ht="15" x14ac:dyDescent="0.25">
      <c r="A60" t="s">
        <v>2207</v>
      </c>
      <c r="B60">
        <v>6</v>
      </c>
    </row>
    <row r="61" spans="1:2" ht="15" x14ac:dyDescent="0.25">
      <c r="A61" t="s">
        <v>2116</v>
      </c>
      <c r="B61">
        <v>1</v>
      </c>
    </row>
    <row r="62" spans="1:2" ht="15" x14ac:dyDescent="0.25">
      <c r="A62" t="s">
        <v>2168</v>
      </c>
      <c r="B62">
        <v>4</v>
      </c>
    </row>
    <row r="63" spans="1:2" ht="15" x14ac:dyDescent="0.25">
      <c r="A63" t="s">
        <v>2187</v>
      </c>
      <c r="B63">
        <v>1</v>
      </c>
    </row>
    <row r="64" spans="1:2" ht="15" x14ac:dyDescent="0.25">
      <c r="A64" t="s">
        <v>2210</v>
      </c>
      <c r="B64">
        <v>1</v>
      </c>
    </row>
    <row r="65" spans="1:2" ht="15" x14ac:dyDescent="0.25">
      <c r="A65" t="s">
        <v>2109</v>
      </c>
      <c r="B65">
        <v>1</v>
      </c>
    </row>
    <row r="66" spans="1:2" ht="15" x14ac:dyDescent="0.25">
      <c r="A66" t="s">
        <v>2130</v>
      </c>
      <c r="B66">
        <v>1</v>
      </c>
    </row>
    <row r="67" spans="1:2" ht="15" x14ac:dyDescent="0.25">
      <c r="A67" t="s">
        <v>15046</v>
      </c>
      <c r="B67">
        <v>1</v>
      </c>
    </row>
    <row r="68" spans="1:2" ht="15" x14ac:dyDescent="0.25">
      <c r="A68" t="s">
        <v>2200</v>
      </c>
      <c r="B68">
        <v>1</v>
      </c>
    </row>
    <row r="69" spans="1:2" ht="15" x14ac:dyDescent="0.25">
      <c r="A69" t="s">
        <v>2259</v>
      </c>
      <c r="B69">
        <v>4</v>
      </c>
    </row>
    <row r="70" spans="1:2" ht="15" x14ac:dyDescent="0.25">
      <c r="A70" t="s">
        <v>2279</v>
      </c>
      <c r="B70">
        <v>1</v>
      </c>
    </row>
    <row r="71" spans="1:2" ht="15" x14ac:dyDescent="0.25">
      <c r="A71" t="s">
        <v>2175</v>
      </c>
      <c r="B71">
        <v>3</v>
      </c>
    </row>
    <row r="72" spans="1:2" ht="15" x14ac:dyDescent="0.25">
      <c r="A72" t="s">
        <v>2226</v>
      </c>
      <c r="B72">
        <v>1</v>
      </c>
    </row>
    <row r="73" spans="1:2" ht="15" x14ac:dyDescent="0.25">
      <c r="A73" t="s">
        <v>2107</v>
      </c>
      <c r="B73">
        <v>1</v>
      </c>
    </row>
    <row r="74" spans="1:2" ht="15" x14ac:dyDescent="0.25">
      <c r="A74" t="s">
        <v>2093</v>
      </c>
      <c r="B74">
        <v>2</v>
      </c>
    </row>
    <row r="75" spans="1:2" ht="15" x14ac:dyDescent="0.25">
      <c r="A75" t="s">
        <v>2228</v>
      </c>
      <c r="B75">
        <v>2</v>
      </c>
    </row>
    <row r="76" spans="1:2" ht="15" x14ac:dyDescent="0.25">
      <c r="A76" t="s">
        <v>2272</v>
      </c>
      <c r="B76">
        <v>1</v>
      </c>
    </row>
    <row r="77" spans="1:2" ht="15" x14ac:dyDescent="0.25">
      <c r="A77" t="s">
        <v>2255</v>
      </c>
      <c r="B77">
        <v>1</v>
      </c>
    </row>
    <row r="78" spans="1:2" ht="15" x14ac:dyDescent="0.25">
      <c r="A78" t="s">
        <v>2106</v>
      </c>
      <c r="B78">
        <v>1</v>
      </c>
    </row>
    <row r="79" spans="1:2" ht="15" x14ac:dyDescent="0.25">
      <c r="A79" t="s">
        <v>2173</v>
      </c>
      <c r="B79">
        <v>1</v>
      </c>
    </row>
    <row r="80" spans="1:2" ht="15" x14ac:dyDescent="0.25">
      <c r="A80" t="s">
        <v>2220</v>
      </c>
      <c r="B80">
        <v>1</v>
      </c>
    </row>
    <row r="81" spans="1:2" ht="15" x14ac:dyDescent="0.25">
      <c r="A81" t="s">
        <v>2136</v>
      </c>
      <c r="B81">
        <v>1</v>
      </c>
    </row>
    <row r="82" spans="1:2" ht="15" x14ac:dyDescent="0.25">
      <c r="A82" t="s">
        <v>2115</v>
      </c>
      <c r="B82">
        <v>1</v>
      </c>
    </row>
    <row r="83" spans="1:2" ht="15" x14ac:dyDescent="0.25">
      <c r="A83" t="s">
        <v>2145</v>
      </c>
      <c r="B83">
        <v>1</v>
      </c>
    </row>
    <row r="84" spans="1:2" ht="15" x14ac:dyDescent="0.25">
      <c r="A84" t="s">
        <v>2185</v>
      </c>
      <c r="B84">
        <v>1</v>
      </c>
    </row>
    <row r="85" spans="1:2" ht="15" x14ac:dyDescent="0.25">
      <c r="A85" t="s">
        <v>2186</v>
      </c>
      <c r="B85">
        <v>1</v>
      </c>
    </row>
    <row r="86" spans="1:2" ht="15" x14ac:dyDescent="0.25">
      <c r="A86" t="s">
        <v>2236</v>
      </c>
      <c r="B86">
        <v>1</v>
      </c>
    </row>
  </sheetData>
  <pageMargins left="0.75" right="0.75" top="1" bottom="1" header="0.5" footer="0.5"/>
  <pageSetup paperSize="9" orientation="portrait" horizontalDpi="300" verticalDpi="300"/>
  <headerFooter alignWithMargins="0"/>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D2"/>
  <sheetViews>
    <sheetView workbookViewId="0"/>
  </sheetViews>
  <sheetFormatPr defaultRowHeight="12.75" customHeight="1" x14ac:dyDescent="0.25"/>
  <cols>
    <col min="1" max="1" width="40" customWidth="1"/>
    <col min="2" max="2" width="27.5703125" customWidth="1"/>
    <col min="3" max="3" width="17.85546875" bestFit="1" customWidth="1"/>
    <col min="4" max="4" width="12.140625" customWidth="1"/>
  </cols>
  <sheetData>
    <row r="1" spans="1:4" ht="12.75" customHeight="1" x14ac:dyDescent="0.25">
      <c r="A1" t="s">
        <v>2023</v>
      </c>
      <c r="B1" t="s">
        <v>2333</v>
      </c>
      <c r="C1" t="s">
        <v>2332</v>
      </c>
      <c r="D1" t="s">
        <v>2334</v>
      </c>
    </row>
    <row r="2" spans="1:4" ht="15" x14ac:dyDescent="0.25">
      <c r="A2" t="s">
        <v>2872</v>
      </c>
      <c r="B2" t="str">
        <f ca="1">IF(A2="","",IF(ROWS($A$2:A2)=1,A2,CONCATENATE(OFFSET(B2,-1,0,1),", ",A2)))</f>
        <v>#keepongoing</v>
      </c>
      <c r="C2">
        <f ca="1">LEN(B2)</f>
        <v>12</v>
      </c>
      <c r="D2">
        <f ca="1">IF(C2&gt;=75,1,0)</f>
        <v>0</v>
      </c>
    </row>
  </sheetData>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G1"/>
  <sheetViews>
    <sheetView workbookViewId="0">
      <selection activeCell="A2" sqref="A2"/>
    </sheetView>
  </sheetViews>
  <sheetFormatPr defaultRowHeight="15" x14ac:dyDescent="0.25"/>
  <sheetData>
    <row r="1" spans="1:7" s="21" customFormat="1" ht="12.75" customHeight="1" x14ac:dyDescent="0.25">
      <c r="A1" s="21" t="s">
        <v>0</v>
      </c>
      <c r="B1" s="21" t="s">
        <v>2078</v>
      </c>
      <c r="C1" s="21" t="s">
        <v>2015</v>
      </c>
      <c r="D1" s="223" t="s">
        <v>2022</v>
      </c>
      <c r="E1" s="21" t="s">
        <v>2003</v>
      </c>
      <c r="F1" s="21" t="s">
        <v>2341</v>
      </c>
      <c r="G1" s="21" t="s">
        <v>2072</v>
      </c>
    </row>
  </sheetData>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F24"/>
  <sheetViews>
    <sheetView workbookViewId="0">
      <pane ySplit="1" topLeftCell="A2" activePane="bottomLeft" state="frozen"/>
      <selection pane="bottomLeft" activeCell="F20" sqref="F20"/>
    </sheetView>
  </sheetViews>
  <sheetFormatPr defaultRowHeight="15" x14ac:dyDescent="0.25"/>
  <cols>
    <col min="1" max="1" width="28.5703125" customWidth="1"/>
    <col min="2" max="2" width="21.28515625" style="18" customWidth="1"/>
    <col min="3" max="3" width="9.140625" style="18"/>
    <col min="4" max="4" width="19.42578125" style="18" customWidth="1"/>
  </cols>
  <sheetData>
    <row r="1" spans="1:6" x14ac:dyDescent="0.25">
      <c r="B1" s="228" t="s">
        <v>2359</v>
      </c>
      <c r="C1" s="228"/>
      <c r="D1" s="228" t="str">
        <f>IF(Controls!$E$42="Yes", "Previous Period","")</f>
        <v/>
      </c>
      <c r="E1" s="228"/>
      <c r="F1" s="228" t="str">
        <f>IF(Controls!$E$42="Yes", "% Change","")</f>
        <v/>
      </c>
    </row>
    <row r="2" spans="1:6" x14ac:dyDescent="0.25">
      <c r="B2" s="229" t="str">
        <f>TEXT(Controls!E28,"m/d/yyyy")&amp;"-"&amp;TEXT(Controls!F28,"m/d/yyyy")</f>
        <v>8/11/2017-9/9/2017</v>
      </c>
      <c r="C2" s="228"/>
      <c r="D2" s="228" t="str">
        <f>IF(Controls!$E$42="Yes",TEXT(Controls!L41,"m/d/yyyy")&amp;"-"&amp;TEXT(Controls!L42,"m/d/yyyy"),"")</f>
        <v/>
      </c>
    </row>
    <row r="3" spans="1:6" x14ac:dyDescent="0.25">
      <c r="A3" s="74" t="s">
        <v>2358</v>
      </c>
    </row>
    <row r="4" spans="1:6" x14ac:dyDescent="0.25">
      <c r="A4" t="s">
        <v>2312</v>
      </c>
      <c r="B4" s="18">
        <f>COUNT(People!B:B)</f>
        <v>3616</v>
      </c>
      <c r="D4" s="18" t="str">
        <f>IF(Controls!$E$42="Yes",COUNT(PreviousPeople!D:D),"")</f>
        <v/>
      </c>
      <c r="F4" s="235" t="str">
        <f>IF(Controls!$E$42="Yes",IFERROR((B4/ABS(D4))-1,"N/A"),"")</f>
        <v/>
      </c>
    </row>
    <row r="5" spans="1:6" x14ac:dyDescent="0.25">
      <c r="A5" t="s">
        <v>2348</v>
      </c>
      <c r="B5" s="18">
        <f>B11</f>
        <v>5717</v>
      </c>
      <c r="D5" s="18" t="str">
        <f>IF(Controls!$E$42="Yes",D11,"")</f>
        <v/>
      </c>
      <c r="F5" s="235" t="str">
        <f>IF(Controls!$E$42="Yes",IFERROR((B5/ABS(D5))-1,"N/A"),"")</f>
        <v/>
      </c>
    </row>
    <row r="6" spans="1:6" x14ac:dyDescent="0.25">
      <c r="A6" t="s">
        <v>2072</v>
      </c>
      <c r="B6" s="18">
        <f>SUM(People!G:G)</f>
        <v>7532057</v>
      </c>
      <c r="D6" s="18" t="str">
        <f>IF(Controls!$E$42="Yes",SUM(PreviousPeople!G:G),"")</f>
        <v/>
      </c>
      <c r="F6" s="235" t="str">
        <f>IF(Controls!$E$42="Yes",IFERROR((B6/ABS(D6))-1,"N/A"),"")</f>
        <v/>
      </c>
    </row>
    <row r="7" spans="1:6" x14ac:dyDescent="0.25">
      <c r="A7" t="s">
        <v>2022</v>
      </c>
      <c r="B7" s="18">
        <f>SUMIFS(Media!H:H, Media!$C:$C, "&gt;="&amp;Controls!$E$28, Media!$C:$C, "&lt;"&amp;Controls!$F$28+Controls!$L$24)</f>
        <v>36014667</v>
      </c>
      <c r="D7" s="18" t="str">
        <f>IF(Controls!$E$42="Yes",SUMIFS(Media!H:H, Media!$C:$C, "&gt;="&amp;Controls!$L$41, Media!$C:$C, "&lt;"&amp;Controls!$L$42),"")</f>
        <v/>
      </c>
      <c r="F7" s="235" t="str">
        <f>IF(Controls!$E$42="Yes",IFERROR((B7/ABS(D7))-1,"N/A"),"")</f>
        <v/>
      </c>
    </row>
    <row r="8" spans="1:6" x14ac:dyDescent="0.25">
      <c r="A8" t="s">
        <v>2003</v>
      </c>
      <c r="B8" s="18">
        <f>B17</f>
        <v>664909</v>
      </c>
      <c r="D8" s="18" t="str">
        <f>IF(Controls!$E$42="Yes",D17,"")</f>
        <v/>
      </c>
      <c r="F8" s="235" t="str">
        <f>IF(Controls!$E$42="Yes",IFERROR((B8/ABS(D8))-1,"N/A"),"")</f>
        <v/>
      </c>
    </row>
    <row r="9" spans="1:6" x14ac:dyDescent="0.25">
      <c r="F9" s="235"/>
    </row>
    <row r="10" spans="1:6" x14ac:dyDescent="0.25">
      <c r="A10" s="74" t="s">
        <v>2360</v>
      </c>
      <c r="F10" s="235"/>
    </row>
    <row r="11" spans="1:6" x14ac:dyDescent="0.25">
      <c r="A11" t="s">
        <v>2361</v>
      </c>
      <c r="B11" s="18">
        <f>SUM(B12:B14)</f>
        <v>5717</v>
      </c>
      <c r="D11" s="18" t="str">
        <f>IF(Controls!$E$42="Yes",SUM(D12:D13),"")</f>
        <v/>
      </c>
      <c r="F11" s="235" t="str">
        <f>IF(Controls!$E$42="Yes",IFERROR((B11/ABS(D11))-1,"N/A"),"")</f>
        <v/>
      </c>
    </row>
    <row r="12" spans="1:6" x14ac:dyDescent="0.25">
      <c r="A12" t="s">
        <v>2362</v>
      </c>
      <c r="B12" s="252">
        <f>Calculations!C45</f>
        <v>5017</v>
      </c>
      <c r="D12" s="18" t="str">
        <f>IF(Controls!$E$42="Yes",COUNTIFS(Media!C:C, "&gt;="&amp;Controls!$L$41, Media!C:C, "&lt;"&amp;Controls!$L$42, Media!G:G,"image"),"")</f>
        <v/>
      </c>
      <c r="F12" s="235" t="str">
        <f>IF(Controls!$E$42="Yes",IFERROR((B12/ABS(D12))-1,"N/A"),"")</f>
        <v/>
      </c>
    </row>
    <row r="13" spans="1:6" x14ac:dyDescent="0.25">
      <c r="A13" t="s">
        <v>2363</v>
      </c>
      <c r="B13" s="252">
        <f>Calculations!C46</f>
        <v>401</v>
      </c>
      <c r="D13" s="18" t="str">
        <f>IF(Controls!$E$42="Yes",COUNTIFS(Media!C:C, "&gt;="&amp;Controls!$L$41, Media!C:C, "&lt;"&amp;Controls!$L$42, Media!G:G,"video"),"")</f>
        <v/>
      </c>
      <c r="F13" s="235" t="str">
        <f>IF(Controls!$E$42="Yes",IFERROR((B13/ABS(D13))-1,"N/A"),"")</f>
        <v/>
      </c>
    </row>
    <row r="14" spans="1:6" x14ac:dyDescent="0.25">
      <c r="A14" t="s">
        <v>2470</v>
      </c>
      <c r="B14" s="252">
        <f>Calculations!C47</f>
        <v>299</v>
      </c>
      <c r="D14" s="18" t="str">
        <f>IF(Controls!$E$42="Yes",COUNTIFS(Media!C:C, "&gt;="&amp;Controls!$L$41, Media!C:C, "&lt;"&amp;Controls!$L$42, Media!G:G,"carousel"),"")</f>
        <v/>
      </c>
      <c r="F14" s="235" t="str">
        <f>IF(Controls!$E$42="Yes",IFERROR((B14/ABS(D14))-1,"N/A"),"")</f>
        <v/>
      </c>
    </row>
    <row r="15" spans="1:6" x14ac:dyDescent="0.25">
      <c r="F15" s="235"/>
    </row>
    <row r="16" spans="1:6" x14ac:dyDescent="0.25">
      <c r="A16" s="74" t="s">
        <v>2364</v>
      </c>
      <c r="F16" s="235"/>
    </row>
    <row r="17" spans="1:6" x14ac:dyDescent="0.25">
      <c r="A17" t="s">
        <v>2003</v>
      </c>
      <c r="B17" s="18">
        <f>SUM(B18:B20)</f>
        <v>664909</v>
      </c>
      <c r="D17" s="18" t="str">
        <f>IF(Controls!$E$42="Yes",SUM(D18:D19),"")</f>
        <v/>
      </c>
      <c r="F17" s="235" t="str">
        <f>IF(Controls!$E$42="Yes",IFERROR((B17/ABS(D17))-1,"N/A"),"")</f>
        <v/>
      </c>
    </row>
    <row r="18" spans="1:6" x14ac:dyDescent="0.25">
      <c r="A18" t="s">
        <v>2365</v>
      </c>
      <c r="B18" s="252">
        <f>Calculations!E66</f>
        <v>618759</v>
      </c>
      <c r="C18" s="252"/>
      <c r="D18" s="18" t="str">
        <f>IF(Controls!$E$42="Yes",SUMIFS(Media!$K:$K, Media!$G:$G, "image", Media!$C:$C, "&gt;="&amp;Controls!$L$41, Media!$C:$C, "&lt;"&amp;Controls!$L$42) + SUMIFS(Media!$J:$J, Media!$G:$G, "image", Media!$C:$C, "&gt;="&amp;Controls!$L$41, Media!$C:$C, "&lt;"&amp;Controls!$L$42),"")</f>
        <v/>
      </c>
      <c r="F18" s="235" t="str">
        <f>IF(Controls!$E$42="Yes",IFERROR((B18/ABS(D18))-1,"N/A"),"")</f>
        <v/>
      </c>
    </row>
    <row r="19" spans="1:6" x14ac:dyDescent="0.25">
      <c r="A19" t="s">
        <v>2366</v>
      </c>
      <c r="B19" s="252">
        <f>Calculations!E67</f>
        <v>21597</v>
      </c>
      <c r="D19" s="18" t="str">
        <f>IF(Controls!$E$42="Yes",SUMIFS(Media!$K:$K, Media!$G:$G, "video", Media!$C:$C, "&gt;="&amp;Controls!$L$41, Media!$C:$C, "&lt;"&amp;Controls!$L$42) + SUMIFS(Media!$J:$J, Media!$G:$G, "video", Media!$C:$C, "&gt;="&amp;Controls!$L$41, Media!$C:$C, "&lt;"&amp;Controls!$L$42),"")</f>
        <v/>
      </c>
      <c r="F19" s="235" t="str">
        <f>IF(Controls!$E$42="Yes",IFERROR((B19/ABS(D19))-1,"N/A"),"")</f>
        <v/>
      </c>
    </row>
    <row r="20" spans="1:6" x14ac:dyDescent="0.25">
      <c r="A20" t="s">
        <v>2469</v>
      </c>
      <c r="B20" s="252">
        <f>Calculations!E68</f>
        <v>24553</v>
      </c>
      <c r="D20" s="18" t="str">
        <f>IF(Controls!$E$42="Yes",SUMIFS(Media!$K:$K, Media!$G:$G, "carousel", Media!$C:$C, "&gt;="&amp;Controls!$L$41, Media!$C:$C, "&lt;"&amp;Controls!$L$42) + SUMIFS(Media!$J:$J, Media!$G:$G, "carousel", Media!$C:$C, "&gt;="&amp;Controls!$L$41, Media!$C:$C, "&lt;"&amp;Controls!$L$42),"")</f>
        <v/>
      </c>
      <c r="F20" s="235" t="str">
        <f>IF(Controls!$E$42="Yes",IFERROR((B20/ABS(D20))-1,"N/A"),"")</f>
        <v/>
      </c>
    </row>
    <row r="21" spans="1:6" x14ac:dyDescent="0.25">
      <c r="F21" s="235"/>
    </row>
    <row r="22" spans="1:6" x14ac:dyDescent="0.25">
      <c r="A22" s="74" t="s">
        <v>2367</v>
      </c>
      <c r="F22" s="235"/>
    </row>
    <row r="23" spans="1:6" x14ac:dyDescent="0.25">
      <c r="A23" t="s">
        <v>2072</v>
      </c>
      <c r="B23" s="18">
        <f>B6</f>
        <v>7532057</v>
      </c>
      <c r="D23" s="18" t="str">
        <f>IF(Controls!$E$42="Yes",D6,"")</f>
        <v/>
      </c>
      <c r="F23" s="235" t="str">
        <f>IF(Controls!$E$42="Yes",IFERROR((B23/ABS(D23))-1,"N/A"),"")</f>
        <v/>
      </c>
    </row>
    <row r="24" spans="1:6" x14ac:dyDescent="0.25">
      <c r="A24" t="s">
        <v>2022</v>
      </c>
      <c r="B24" s="18">
        <f>B7</f>
        <v>36014667</v>
      </c>
      <c r="D24" s="18" t="str">
        <f>IF(Controls!$E$42="Yes",D7,"")</f>
        <v/>
      </c>
      <c r="F24" s="235" t="str">
        <f>IF(Controls!$E$42="Yes",IFERROR((B24/ABS(D24))-1,"N/A"),"")</f>
        <v/>
      </c>
    </row>
  </sheetData>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AD110"/>
  <sheetViews>
    <sheetView workbookViewId="0"/>
  </sheetViews>
  <sheetFormatPr defaultRowHeight="15" x14ac:dyDescent="0.25"/>
  <cols>
    <col min="2" max="2" width="12" bestFit="1" customWidth="1"/>
    <col min="3" max="3" width="18.28515625" customWidth="1"/>
    <col min="5" max="5" width="41.85546875" customWidth="1"/>
    <col min="6" max="6" width="52.5703125" customWidth="1"/>
    <col min="10" max="10" width="21.5703125" bestFit="1" customWidth="1"/>
    <col min="11" max="11" width="16.140625" bestFit="1" customWidth="1"/>
    <col min="12" max="12" width="21.5703125" bestFit="1" customWidth="1"/>
    <col min="14" max="14" width="10.85546875" bestFit="1" customWidth="1"/>
    <col min="15" max="15" width="14.7109375" bestFit="1" customWidth="1"/>
    <col min="17" max="17" width="21.140625" bestFit="1" customWidth="1"/>
    <col min="18" max="18" width="29.140625" bestFit="1" customWidth="1"/>
    <col min="19" max="19" width="17" bestFit="1" customWidth="1"/>
    <col min="20" max="20" width="14.28515625" bestFit="1" customWidth="1"/>
    <col min="21" max="21" width="11" bestFit="1" customWidth="1"/>
    <col min="29" max="29" width="9.85546875" bestFit="1" customWidth="1"/>
  </cols>
  <sheetData>
    <row r="1" spans="1:30" x14ac:dyDescent="0.25">
      <c r="A1" t="s">
        <v>2337</v>
      </c>
      <c r="B1" t="s">
        <v>0</v>
      </c>
      <c r="C1" t="s">
        <v>5</v>
      </c>
      <c r="D1" t="s">
        <v>2350</v>
      </c>
      <c r="E1" t="s">
        <v>2351</v>
      </c>
      <c r="F1" t="s">
        <v>1</v>
      </c>
      <c r="G1" t="s">
        <v>2004</v>
      </c>
      <c r="H1" t="s">
        <v>2015</v>
      </c>
      <c r="I1" t="s">
        <v>2</v>
      </c>
      <c r="J1" t="s">
        <v>2338</v>
      </c>
      <c r="K1" t="s">
        <v>2339</v>
      </c>
      <c r="L1" t="s">
        <v>2003</v>
      </c>
      <c r="M1" t="s">
        <v>64</v>
      </c>
      <c r="N1" t="s">
        <v>2352</v>
      </c>
      <c r="O1" t="s">
        <v>2353</v>
      </c>
      <c r="P1" t="s">
        <v>2354</v>
      </c>
      <c r="Q1" t="s">
        <v>2355</v>
      </c>
      <c r="R1" t="s">
        <v>2308</v>
      </c>
      <c r="S1" t="s">
        <v>61</v>
      </c>
      <c r="T1" t="s">
        <v>3</v>
      </c>
      <c r="U1" t="s">
        <v>96</v>
      </c>
      <c r="V1" t="s">
        <v>2091</v>
      </c>
      <c r="W1" t="s">
        <v>2340</v>
      </c>
      <c r="X1" t="s">
        <v>2011</v>
      </c>
      <c r="Y1" t="s">
        <v>2012</v>
      </c>
      <c r="Z1" t="s">
        <v>2013</v>
      </c>
      <c r="AA1" t="s">
        <v>2014</v>
      </c>
      <c r="AB1" t="s">
        <v>2356</v>
      </c>
      <c r="AC1" t="s">
        <v>2357</v>
      </c>
      <c r="AD1" t="s">
        <v>2386</v>
      </c>
    </row>
    <row r="2" spans="1:30" x14ac:dyDescent="0.25">
      <c r="A2" t="s">
        <v>2474</v>
      </c>
      <c r="B2" t="s">
        <v>4083</v>
      </c>
      <c r="C2" s="221">
        <v>42959.491574074076</v>
      </c>
      <c r="D2" t="s">
        <v>4084</v>
      </c>
      <c r="E2" s="249" t="str">
        <f>HYPERLINK("https://www.instagram.com/p/BXswZ8PnM8g/")</f>
        <v>https://www.instagram.com/p/BXswZ8PnM8g/</v>
      </c>
      <c r="F2" t="s">
        <v>4085</v>
      </c>
      <c r="G2" t="s">
        <v>2478</v>
      </c>
      <c r="H2">
        <v>83033</v>
      </c>
      <c r="I2" t="s">
        <v>2479</v>
      </c>
      <c r="J2">
        <v>316</v>
      </c>
      <c r="K2">
        <v>14532</v>
      </c>
      <c r="L2">
        <v>14848</v>
      </c>
      <c r="Q2">
        <v>0</v>
      </c>
      <c r="R2">
        <v>0</v>
      </c>
      <c r="S2">
        <v>14848</v>
      </c>
      <c r="W2" t="s">
        <v>4086</v>
      </c>
      <c r="X2" t="s">
        <v>2497</v>
      </c>
      <c r="AD2">
        <v>1</v>
      </c>
    </row>
    <row r="3" spans="1:30" x14ac:dyDescent="0.25">
      <c r="A3" t="s">
        <v>2474</v>
      </c>
      <c r="B3" t="s">
        <v>9076</v>
      </c>
      <c r="C3" s="221">
        <v>42964.10255787037</v>
      </c>
      <c r="D3" t="s">
        <v>9077</v>
      </c>
      <c r="E3" s="249" t="str">
        <f>HYPERLINK("https://www.instagram.com/p/BX4oRYqFb01/")</f>
        <v>https://www.instagram.com/p/BX4oRYqFb01/</v>
      </c>
      <c r="F3" t="s">
        <v>9078</v>
      </c>
      <c r="G3" t="s">
        <v>2478</v>
      </c>
      <c r="H3">
        <v>397867</v>
      </c>
      <c r="I3" t="s">
        <v>2479</v>
      </c>
      <c r="J3">
        <v>107</v>
      </c>
      <c r="K3">
        <v>13672</v>
      </c>
      <c r="L3">
        <v>13779</v>
      </c>
      <c r="Q3">
        <v>0</v>
      </c>
      <c r="R3">
        <v>0</v>
      </c>
      <c r="S3">
        <v>13779</v>
      </c>
      <c r="T3" t="s">
        <v>9079</v>
      </c>
      <c r="U3" t="s">
        <v>97</v>
      </c>
      <c r="V3" t="s">
        <v>2299</v>
      </c>
      <c r="W3" t="s">
        <v>9080</v>
      </c>
      <c r="X3" t="s">
        <v>9081</v>
      </c>
      <c r="Y3" t="s">
        <v>2497</v>
      </c>
      <c r="Z3" t="s">
        <v>9082</v>
      </c>
      <c r="AA3" t="s">
        <v>9083</v>
      </c>
      <c r="AB3">
        <v>34.105785597355997</v>
      </c>
      <c r="AC3">
        <v>-118.34949247095</v>
      </c>
      <c r="AD3">
        <v>2</v>
      </c>
    </row>
    <row r="4" spans="1:30" x14ac:dyDescent="0.25">
      <c r="A4" t="s">
        <v>2474</v>
      </c>
      <c r="B4" t="s">
        <v>8728</v>
      </c>
      <c r="C4" s="221">
        <v>42963.684432870374</v>
      </c>
      <c r="D4" t="s">
        <v>8729</v>
      </c>
      <c r="E4" s="249" t="str">
        <f>HYPERLINK("https://www.instagram.com/p/BX3jXkDBw6e/")</f>
        <v>https://www.instagram.com/p/BX3jXkDBw6e/</v>
      </c>
      <c r="F4" t="s">
        <v>8730</v>
      </c>
      <c r="G4" t="s">
        <v>2478</v>
      </c>
      <c r="H4">
        <v>775368</v>
      </c>
      <c r="I4" t="s">
        <v>3575</v>
      </c>
      <c r="J4">
        <v>258</v>
      </c>
      <c r="K4">
        <v>12403</v>
      </c>
      <c r="L4">
        <v>12661</v>
      </c>
      <c r="Q4">
        <v>0</v>
      </c>
      <c r="R4">
        <v>0</v>
      </c>
      <c r="S4">
        <v>12661</v>
      </c>
      <c r="W4" t="s">
        <v>8731</v>
      </c>
      <c r="X4" t="s">
        <v>8732</v>
      </c>
      <c r="Y4" t="s">
        <v>8733</v>
      </c>
      <c r="Z4" t="s">
        <v>8734</v>
      </c>
      <c r="AA4" t="s">
        <v>8735</v>
      </c>
      <c r="AD4">
        <v>3</v>
      </c>
    </row>
    <row r="5" spans="1:30" x14ac:dyDescent="0.25">
      <c r="A5" t="s">
        <v>2474</v>
      </c>
      <c r="B5" t="s">
        <v>4341</v>
      </c>
      <c r="C5" s="221">
        <v>42979.33289351852</v>
      </c>
      <c r="D5" t="s">
        <v>22322</v>
      </c>
      <c r="E5" s="249" t="str">
        <f>HYPERLINK("https://www.instagram.com/p/BYf2J6jgDsU/")</f>
        <v>https://www.instagram.com/p/BYf2J6jgDsU/</v>
      </c>
      <c r="F5" t="s">
        <v>22323</v>
      </c>
      <c r="G5" t="s">
        <v>2478</v>
      </c>
      <c r="H5">
        <v>391672</v>
      </c>
      <c r="I5" t="s">
        <v>2479</v>
      </c>
      <c r="J5">
        <v>43</v>
      </c>
      <c r="K5">
        <v>6965</v>
      </c>
      <c r="L5">
        <v>7008</v>
      </c>
      <c r="Q5">
        <v>0</v>
      </c>
      <c r="R5">
        <v>0</v>
      </c>
      <c r="S5">
        <v>7008</v>
      </c>
      <c r="AD5">
        <v>4</v>
      </c>
    </row>
    <row r="6" spans="1:30" x14ac:dyDescent="0.25">
      <c r="A6" t="s">
        <v>2474</v>
      </c>
      <c r="B6" t="s">
        <v>4532</v>
      </c>
      <c r="C6" s="221">
        <v>42963.747395833336</v>
      </c>
      <c r="D6" t="s">
        <v>8803</v>
      </c>
      <c r="E6" s="249" t="str">
        <f>HYPERLINK("https://www.instagram.com/p/BX3tvimFYQq/")</f>
        <v>https://www.instagram.com/p/BX3tvimFYQq/</v>
      </c>
      <c r="F6" t="s">
        <v>8804</v>
      </c>
      <c r="G6" t="s">
        <v>2478</v>
      </c>
      <c r="H6">
        <v>16489</v>
      </c>
      <c r="I6" t="s">
        <v>2479</v>
      </c>
      <c r="J6">
        <v>84</v>
      </c>
      <c r="K6">
        <v>6164</v>
      </c>
      <c r="L6">
        <v>6248</v>
      </c>
      <c r="Q6">
        <v>0</v>
      </c>
      <c r="R6">
        <v>0</v>
      </c>
      <c r="S6">
        <v>6248</v>
      </c>
      <c r="AD6">
        <v>5</v>
      </c>
    </row>
    <row r="7" spans="1:30" x14ac:dyDescent="0.25">
      <c r="A7" t="s">
        <v>2474</v>
      </c>
      <c r="B7" t="s">
        <v>4341</v>
      </c>
      <c r="C7" s="221">
        <v>42973.332986111112</v>
      </c>
      <c r="D7" t="s">
        <v>17447</v>
      </c>
      <c r="E7" s="249" t="str">
        <f>HYPERLINK("https://www.instagram.com/p/BYQZZk6AFhl/")</f>
        <v>https://www.instagram.com/p/BYQZZk6AFhl/</v>
      </c>
      <c r="F7" t="s">
        <v>17448</v>
      </c>
      <c r="G7" t="s">
        <v>2478</v>
      </c>
      <c r="H7">
        <v>390114</v>
      </c>
      <c r="I7" t="s">
        <v>2479</v>
      </c>
      <c r="J7">
        <v>26</v>
      </c>
      <c r="K7">
        <v>5695</v>
      </c>
      <c r="L7">
        <v>5721</v>
      </c>
      <c r="Q7">
        <v>0</v>
      </c>
      <c r="R7">
        <v>0</v>
      </c>
      <c r="S7">
        <v>5721</v>
      </c>
      <c r="AD7">
        <v>6</v>
      </c>
    </row>
    <row r="8" spans="1:30" x14ac:dyDescent="0.25">
      <c r="A8" t="s">
        <v>2474</v>
      </c>
      <c r="B8" t="s">
        <v>21031</v>
      </c>
      <c r="C8" s="221">
        <v>42977.732499999998</v>
      </c>
      <c r="D8" t="s">
        <v>21032</v>
      </c>
      <c r="E8" s="249" t="str">
        <f>HYPERLINK("https://www.instagram.com/p/BYbuatpDfnB/")</f>
        <v>https://www.instagram.com/p/BYbuatpDfnB/</v>
      </c>
      <c r="F8" t="s">
        <v>21033</v>
      </c>
      <c r="G8" t="s">
        <v>2478</v>
      </c>
      <c r="H8">
        <v>164684</v>
      </c>
      <c r="I8" t="s">
        <v>2479</v>
      </c>
      <c r="J8">
        <v>31</v>
      </c>
      <c r="K8">
        <v>5375</v>
      </c>
      <c r="L8">
        <v>5406</v>
      </c>
      <c r="Q8">
        <v>0</v>
      </c>
      <c r="R8">
        <v>0</v>
      </c>
      <c r="S8">
        <v>5406</v>
      </c>
      <c r="W8" t="s">
        <v>5577</v>
      </c>
      <c r="X8" t="s">
        <v>6366</v>
      </c>
      <c r="Y8" t="s">
        <v>21034</v>
      </c>
      <c r="Z8" t="s">
        <v>21035</v>
      </c>
      <c r="AA8" t="s">
        <v>2497</v>
      </c>
      <c r="AD8">
        <v>7</v>
      </c>
    </row>
    <row r="9" spans="1:30" x14ac:dyDescent="0.25">
      <c r="A9" t="s">
        <v>2474</v>
      </c>
      <c r="B9" t="s">
        <v>25232</v>
      </c>
      <c r="C9" s="221">
        <v>42982.874351851853</v>
      </c>
      <c r="D9" t="s">
        <v>25233</v>
      </c>
      <c r="E9" s="249" t="str">
        <f>HYPERLINK("https://www.instagram.com/p/BYo9xOOnyrx/")</f>
        <v>https://www.instagram.com/p/BYo9xOOnyrx/</v>
      </c>
      <c r="F9" t="s">
        <v>25229</v>
      </c>
      <c r="G9" t="s">
        <v>2478</v>
      </c>
      <c r="H9">
        <v>1622</v>
      </c>
      <c r="I9" t="s">
        <v>2479</v>
      </c>
      <c r="J9">
        <v>48</v>
      </c>
      <c r="K9">
        <v>4976</v>
      </c>
      <c r="L9">
        <v>5024</v>
      </c>
      <c r="Q9">
        <v>0</v>
      </c>
      <c r="R9">
        <v>0</v>
      </c>
      <c r="S9">
        <v>5024</v>
      </c>
      <c r="W9" t="s">
        <v>16507</v>
      </c>
      <c r="X9" t="s">
        <v>25230</v>
      </c>
      <c r="Y9" t="s">
        <v>25231</v>
      </c>
      <c r="Z9" t="s">
        <v>21916</v>
      </c>
      <c r="AA9" t="s">
        <v>6811</v>
      </c>
      <c r="AD9">
        <v>8</v>
      </c>
    </row>
    <row r="10" spans="1:30" x14ac:dyDescent="0.25">
      <c r="A10" t="s">
        <v>2474</v>
      </c>
      <c r="B10" t="s">
        <v>29160</v>
      </c>
      <c r="C10" s="221">
        <v>42987.389317129629</v>
      </c>
      <c r="D10" t="s">
        <v>29161</v>
      </c>
      <c r="E10" s="249" t="str">
        <f>HYPERLINK("https://www.instagram.com/p/BY0lz_pHDxZ/")</f>
        <v>https://www.instagram.com/p/BY0lz_pHDxZ/</v>
      </c>
      <c r="F10" t="s">
        <v>29162</v>
      </c>
      <c r="G10" t="s">
        <v>2488</v>
      </c>
      <c r="H10">
        <v>19637</v>
      </c>
      <c r="I10" t="s">
        <v>2479</v>
      </c>
      <c r="J10">
        <v>54</v>
      </c>
      <c r="K10">
        <v>4677</v>
      </c>
      <c r="L10">
        <v>4731</v>
      </c>
      <c r="Q10">
        <v>0</v>
      </c>
      <c r="R10">
        <v>0</v>
      </c>
      <c r="S10">
        <v>4731</v>
      </c>
      <c r="T10" t="s">
        <v>29163</v>
      </c>
      <c r="V10" t="s">
        <v>2102</v>
      </c>
      <c r="W10" t="s">
        <v>29164</v>
      </c>
      <c r="X10" t="s">
        <v>29165</v>
      </c>
      <c r="Y10" t="s">
        <v>29166</v>
      </c>
      <c r="Z10" t="s">
        <v>7967</v>
      </c>
      <c r="AA10" t="s">
        <v>2697</v>
      </c>
      <c r="AB10">
        <v>-28.017931412732999</v>
      </c>
      <c r="AC10">
        <v>153.43285522460999</v>
      </c>
      <c r="AD10">
        <v>9</v>
      </c>
    </row>
    <row r="11" spans="1:30" x14ac:dyDescent="0.25">
      <c r="A11" t="s">
        <v>2474</v>
      </c>
      <c r="B11" t="s">
        <v>4341</v>
      </c>
      <c r="C11" s="221">
        <v>42967.209583333337</v>
      </c>
      <c r="D11" t="s">
        <v>11691</v>
      </c>
      <c r="E11" s="249" t="str">
        <f>HYPERLINK("https://www.instagram.com/p/BYAoSyvANc8/")</f>
        <v>https://www.instagram.com/p/BYAoSyvANc8/</v>
      </c>
      <c r="F11" t="s">
        <v>11692</v>
      </c>
      <c r="G11" t="s">
        <v>2478</v>
      </c>
      <c r="H11">
        <v>389403</v>
      </c>
      <c r="I11" t="s">
        <v>2479</v>
      </c>
      <c r="J11">
        <v>34</v>
      </c>
      <c r="K11">
        <v>4536</v>
      </c>
      <c r="L11">
        <v>4570</v>
      </c>
      <c r="Q11">
        <v>0</v>
      </c>
      <c r="R11">
        <v>0</v>
      </c>
      <c r="S11">
        <v>4570</v>
      </c>
      <c r="AD11">
        <v>10</v>
      </c>
    </row>
    <row r="12" spans="1:30" x14ac:dyDescent="0.25">
      <c r="A12" t="s">
        <v>2474</v>
      </c>
      <c r="B12" t="s">
        <v>14477</v>
      </c>
      <c r="C12" s="221">
        <v>42969.922233796293</v>
      </c>
      <c r="D12" t="s">
        <v>14478</v>
      </c>
      <c r="E12" s="249" t="str">
        <f>HYPERLINK("https://www.instagram.com/p/BYHnU0zgGB-/")</f>
        <v>https://www.instagram.com/p/BYHnU0zgGB-/</v>
      </c>
      <c r="F12" t="s">
        <v>14479</v>
      </c>
      <c r="G12" t="s">
        <v>2478</v>
      </c>
      <c r="H12">
        <v>88754</v>
      </c>
      <c r="I12" t="s">
        <v>2479</v>
      </c>
      <c r="J12">
        <v>62</v>
      </c>
      <c r="K12">
        <v>4493</v>
      </c>
      <c r="L12">
        <v>4555</v>
      </c>
      <c r="Q12">
        <v>0</v>
      </c>
      <c r="R12">
        <v>0</v>
      </c>
      <c r="S12">
        <v>4555</v>
      </c>
      <c r="W12" t="s">
        <v>14480</v>
      </c>
      <c r="X12" t="s">
        <v>14481</v>
      </c>
      <c r="Y12" t="s">
        <v>14482</v>
      </c>
      <c r="Z12" t="s">
        <v>14483</v>
      </c>
      <c r="AA12" t="s">
        <v>14484</v>
      </c>
      <c r="AD12">
        <v>11</v>
      </c>
    </row>
    <row r="13" spans="1:30" x14ac:dyDescent="0.25">
      <c r="A13" t="s">
        <v>2474</v>
      </c>
      <c r="B13" t="s">
        <v>4341</v>
      </c>
      <c r="C13" s="221">
        <v>42960.95952546296</v>
      </c>
      <c r="D13" t="s">
        <v>5675</v>
      </c>
      <c r="E13" s="249" t="str">
        <f>HYPERLINK("https://www.instagram.com/p/BXwiUMJgstV/")</f>
        <v>https://www.instagram.com/p/BXwiUMJgstV/</v>
      </c>
      <c r="F13" t="s">
        <v>5676</v>
      </c>
      <c r="G13" t="s">
        <v>2478</v>
      </c>
      <c r="H13">
        <v>389998</v>
      </c>
      <c r="I13" t="s">
        <v>2479</v>
      </c>
      <c r="J13">
        <v>13</v>
      </c>
      <c r="K13">
        <v>4364</v>
      </c>
      <c r="L13">
        <v>4377</v>
      </c>
      <c r="Q13">
        <v>0</v>
      </c>
      <c r="R13">
        <v>0</v>
      </c>
      <c r="S13">
        <v>4377</v>
      </c>
      <c r="AD13">
        <v>12</v>
      </c>
    </row>
    <row r="14" spans="1:30" x14ac:dyDescent="0.25">
      <c r="A14" t="s">
        <v>2474</v>
      </c>
      <c r="B14" t="s">
        <v>4532</v>
      </c>
      <c r="C14" s="221">
        <v>42959.991608796299</v>
      </c>
      <c r="D14" t="s">
        <v>4533</v>
      </c>
      <c r="E14" s="249" t="str">
        <f>HYPERLINK("https://www.instagram.com/p/BXuCzxxFJmK/")</f>
        <v>https://www.instagram.com/p/BXuCzxxFJmK/</v>
      </c>
      <c r="F14" t="s">
        <v>4534</v>
      </c>
      <c r="G14" t="s">
        <v>2478</v>
      </c>
      <c r="H14">
        <v>13416</v>
      </c>
      <c r="I14" t="s">
        <v>2479</v>
      </c>
      <c r="J14">
        <v>58</v>
      </c>
      <c r="K14">
        <v>4250</v>
      </c>
      <c r="L14">
        <v>4308</v>
      </c>
      <c r="Q14">
        <v>0</v>
      </c>
      <c r="R14">
        <v>0</v>
      </c>
      <c r="S14">
        <v>4308</v>
      </c>
      <c r="AD14">
        <v>13</v>
      </c>
    </row>
    <row r="15" spans="1:30" x14ac:dyDescent="0.25">
      <c r="A15" t="s">
        <v>2474</v>
      </c>
      <c r="B15" t="s">
        <v>4341</v>
      </c>
      <c r="C15" s="221">
        <v>42977.95952546296</v>
      </c>
      <c r="D15" t="s">
        <v>21181</v>
      </c>
      <c r="E15" s="249" t="str">
        <f>HYPERLINK("https://www.instagram.com/p/BYcT1LYgBpk/")</f>
        <v>https://www.instagram.com/p/BYcT1LYgBpk/</v>
      </c>
      <c r="F15" t="s">
        <v>21182</v>
      </c>
      <c r="G15" t="s">
        <v>2478</v>
      </c>
      <c r="H15">
        <v>391293</v>
      </c>
      <c r="I15" t="s">
        <v>2479</v>
      </c>
      <c r="J15">
        <v>25</v>
      </c>
      <c r="K15">
        <v>3715</v>
      </c>
      <c r="L15">
        <v>3740</v>
      </c>
      <c r="Q15">
        <v>0</v>
      </c>
      <c r="R15">
        <v>0</v>
      </c>
      <c r="S15">
        <v>3740</v>
      </c>
      <c r="AD15">
        <v>14</v>
      </c>
    </row>
    <row r="16" spans="1:30" x14ac:dyDescent="0.25">
      <c r="A16" t="s">
        <v>2474</v>
      </c>
      <c r="B16" t="s">
        <v>4341</v>
      </c>
      <c r="C16" s="221">
        <v>42962.084456018521</v>
      </c>
      <c r="D16" t="s">
        <v>6995</v>
      </c>
      <c r="E16" s="249" t="str">
        <f>HYPERLINK("https://www.instagram.com/p/BXzbsyxgRf8/")</f>
        <v>https://www.instagram.com/p/BXzbsyxgRf8/</v>
      </c>
      <c r="F16" t="s">
        <v>6996</v>
      </c>
      <c r="G16" t="s">
        <v>2478</v>
      </c>
      <c r="H16">
        <v>389883</v>
      </c>
      <c r="I16" t="s">
        <v>2479</v>
      </c>
      <c r="J16">
        <v>16</v>
      </c>
      <c r="K16">
        <v>3622</v>
      </c>
      <c r="L16">
        <v>3638</v>
      </c>
      <c r="Q16">
        <v>0</v>
      </c>
      <c r="R16">
        <v>0</v>
      </c>
      <c r="S16">
        <v>3638</v>
      </c>
      <c r="AD16">
        <v>15</v>
      </c>
    </row>
    <row r="17" spans="1:30" x14ac:dyDescent="0.25">
      <c r="A17" t="s">
        <v>2474</v>
      </c>
      <c r="B17" t="s">
        <v>25939</v>
      </c>
      <c r="C17" s="221">
        <v>42983.594224537039</v>
      </c>
      <c r="D17" t="s">
        <v>25940</v>
      </c>
      <c r="E17" s="249" t="str">
        <f>HYPERLINK("https://www.instagram.com/p/BYq0ZiDHx35/")</f>
        <v>https://www.instagram.com/p/BYq0ZiDHx35/</v>
      </c>
      <c r="F17" t="s">
        <v>25941</v>
      </c>
      <c r="G17" t="s">
        <v>2488</v>
      </c>
      <c r="H17">
        <v>195404</v>
      </c>
      <c r="I17" t="s">
        <v>2479</v>
      </c>
      <c r="J17">
        <v>99</v>
      </c>
      <c r="K17">
        <v>3475</v>
      </c>
      <c r="L17">
        <v>3574</v>
      </c>
      <c r="Q17">
        <v>0</v>
      </c>
      <c r="R17">
        <v>0</v>
      </c>
      <c r="S17">
        <v>3574</v>
      </c>
      <c r="W17" t="s">
        <v>25942</v>
      </c>
      <c r="X17" t="s">
        <v>25943</v>
      </c>
      <c r="Y17" t="s">
        <v>2497</v>
      </c>
      <c r="Z17" t="s">
        <v>25944</v>
      </c>
      <c r="AA17" t="s">
        <v>11174</v>
      </c>
      <c r="AD17">
        <v>16</v>
      </c>
    </row>
    <row r="18" spans="1:30" x14ac:dyDescent="0.25">
      <c r="A18" t="s">
        <v>2474</v>
      </c>
      <c r="B18" t="s">
        <v>4341</v>
      </c>
      <c r="C18" s="221">
        <v>42973.20925925926</v>
      </c>
      <c r="D18" t="s">
        <v>17330</v>
      </c>
      <c r="E18" s="249" t="str">
        <f>HYPERLINK("https://www.instagram.com/p/BYQFAsbA4aL/")</f>
        <v>https://www.instagram.com/p/BYQFAsbA4aL/</v>
      </c>
      <c r="F18" t="s">
        <v>17331</v>
      </c>
      <c r="G18" t="s">
        <v>2478</v>
      </c>
      <c r="H18">
        <v>390131</v>
      </c>
      <c r="I18" t="s">
        <v>2479</v>
      </c>
      <c r="J18">
        <v>14</v>
      </c>
      <c r="K18">
        <v>3527</v>
      </c>
      <c r="L18">
        <v>3541</v>
      </c>
      <c r="Q18">
        <v>0</v>
      </c>
      <c r="R18">
        <v>0</v>
      </c>
      <c r="S18">
        <v>3541</v>
      </c>
      <c r="AD18">
        <v>17</v>
      </c>
    </row>
    <row r="19" spans="1:30" x14ac:dyDescent="0.25">
      <c r="A19" t="s">
        <v>2474</v>
      </c>
      <c r="B19" t="s">
        <v>4341</v>
      </c>
      <c r="C19" s="221">
        <v>42959.709247685183</v>
      </c>
      <c r="D19" t="s">
        <v>4342</v>
      </c>
      <c r="E19" s="249" t="str">
        <f>HYPERLINK("https://www.instagram.com/p/BXtURtVgwB3/")</f>
        <v>https://www.instagram.com/p/BXtURtVgwB3/</v>
      </c>
      <c r="F19" t="s">
        <v>4343</v>
      </c>
      <c r="G19" t="s">
        <v>2478</v>
      </c>
      <c r="H19">
        <v>390125</v>
      </c>
      <c r="I19" t="s">
        <v>2479</v>
      </c>
      <c r="J19">
        <v>17</v>
      </c>
      <c r="K19">
        <v>3513</v>
      </c>
      <c r="L19">
        <v>3530</v>
      </c>
      <c r="Q19">
        <v>0</v>
      </c>
      <c r="R19">
        <v>0</v>
      </c>
      <c r="S19">
        <v>3530</v>
      </c>
      <c r="AD19">
        <v>18</v>
      </c>
    </row>
    <row r="20" spans="1:30" x14ac:dyDescent="0.25">
      <c r="A20" t="s">
        <v>2474</v>
      </c>
      <c r="B20" t="s">
        <v>6479</v>
      </c>
      <c r="C20" s="221">
        <v>42986.766493055555</v>
      </c>
      <c r="D20" t="s">
        <v>28771</v>
      </c>
      <c r="E20" s="249" t="str">
        <f>HYPERLINK("https://www.instagram.com/p/BYy_LI3F0En/")</f>
        <v>https://www.instagram.com/p/BYy_LI3F0En/</v>
      </c>
      <c r="F20" t="s">
        <v>28772</v>
      </c>
      <c r="G20" t="s">
        <v>2478</v>
      </c>
      <c r="H20">
        <v>82535</v>
      </c>
      <c r="I20" t="s">
        <v>2479</v>
      </c>
      <c r="J20">
        <v>28</v>
      </c>
      <c r="K20">
        <v>3490</v>
      </c>
      <c r="L20">
        <v>3518</v>
      </c>
      <c r="Q20">
        <v>0</v>
      </c>
      <c r="R20">
        <v>0</v>
      </c>
      <c r="S20">
        <v>3518</v>
      </c>
      <c r="AD20">
        <v>19</v>
      </c>
    </row>
    <row r="21" spans="1:30" x14ac:dyDescent="0.25">
      <c r="A21" t="s">
        <v>2474</v>
      </c>
      <c r="B21" t="s">
        <v>6479</v>
      </c>
      <c r="C21" s="221">
        <v>42970.625057870369</v>
      </c>
      <c r="D21" t="s">
        <v>15220</v>
      </c>
      <c r="E21" s="249" t="str">
        <f>HYPERLINK("https://www.instagram.com/p/BYJbJduFM9E/")</f>
        <v>https://www.instagram.com/p/BYJbJduFM9E/</v>
      </c>
      <c r="F21" t="s">
        <v>15221</v>
      </c>
      <c r="G21" t="s">
        <v>2478</v>
      </c>
      <c r="H21">
        <v>72294</v>
      </c>
      <c r="I21" t="s">
        <v>2479</v>
      </c>
      <c r="J21">
        <v>30</v>
      </c>
      <c r="K21">
        <v>3352</v>
      </c>
      <c r="L21">
        <v>3382</v>
      </c>
      <c r="Q21">
        <v>0</v>
      </c>
      <c r="R21">
        <v>0</v>
      </c>
      <c r="S21">
        <v>3382</v>
      </c>
      <c r="T21" t="s">
        <v>15222</v>
      </c>
      <c r="V21" t="s">
        <v>2222</v>
      </c>
      <c r="AB21">
        <v>53.223239900000003</v>
      </c>
      <c r="AC21">
        <v>6.5666099999999998</v>
      </c>
      <c r="AD21">
        <v>20</v>
      </c>
    </row>
    <row r="22" spans="1:30" x14ac:dyDescent="0.25">
      <c r="A22" t="s">
        <v>2474</v>
      </c>
      <c r="B22" t="s">
        <v>29614</v>
      </c>
      <c r="C22" s="221">
        <v>42987.984710648147</v>
      </c>
      <c r="D22" t="s">
        <v>29615</v>
      </c>
      <c r="E22" s="249" t="str">
        <f>HYPERLINK("https://www.instagram.com/p/BY2H7f_BFrw/")</f>
        <v>https://www.instagram.com/p/BY2H7f_BFrw/</v>
      </c>
      <c r="F22" t="s">
        <v>29616</v>
      </c>
      <c r="G22" t="s">
        <v>2488</v>
      </c>
      <c r="H22">
        <v>8191</v>
      </c>
      <c r="I22" t="s">
        <v>2479</v>
      </c>
      <c r="J22">
        <v>13</v>
      </c>
      <c r="K22">
        <v>1074</v>
      </c>
      <c r="L22">
        <v>1087</v>
      </c>
      <c r="Q22">
        <v>0</v>
      </c>
      <c r="R22">
        <v>0</v>
      </c>
      <c r="S22">
        <v>1087</v>
      </c>
      <c r="W22" t="s">
        <v>2861</v>
      </c>
      <c r="X22" t="s">
        <v>2497</v>
      </c>
      <c r="Y22" t="s">
        <v>6724</v>
      </c>
      <c r="Z22" t="s">
        <v>2730</v>
      </c>
      <c r="AA22" t="s">
        <v>29617</v>
      </c>
      <c r="AD22">
        <v>21</v>
      </c>
    </row>
    <row r="23" spans="1:30" x14ac:dyDescent="0.25">
      <c r="A23" t="s">
        <v>2474</v>
      </c>
      <c r="B23" t="s">
        <v>29614</v>
      </c>
      <c r="C23" s="221">
        <v>42987.987916666665</v>
      </c>
      <c r="D23" t="s">
        <v>29622</v>
      </c>
      <c r="E23" s="249" t="str">
        <f>HYPERLINK("https://www.instagram.com/p/BY2IdTlhTCj/")</f>
        <v>https://www.instagram.com/p/BY2IdTlhTCj/</v>
      </c>
      <c r="F23" t="s">
        <v>29623</v>
      </c>
      <c r="G23" t="s">
        <v>2478</v>
      </c>
      <c r="H23">
        <v>8191</v>
      </c>
      <c r="I23" t="s">
        <v>3273</v>
      </c>
      <c r="J23">
        <v>2</v>
      </c>
      <c r="K23">
        <v>964</v>
      </c>
      <c r="L23">
        <v>966</v>
      </c>
      <c r="Q23">
        <v>0</v>
      </c>
      <c r="R23">
        <v>0</v>
      </c>
      <c r="S23">
        <v>966</v>
      </c>
      <c r="W23" t="s">
        <v>2497</v>
      </c>
      <c r="X23" t="s">
        <v>29624</v>
      </c>
      <c r="Y23" t="s">
        <v>4121</v>
      </c>
      <c r="Z23" t="s">
        <v>29625</v>
      </c>
      <c r="AA23" t="s">
        <v>8250</v>
      </c>
      <c r="AD23">
        <v>22</v>
      </c>
    </row>
    <row r="24" spans="1:30" x14ac:dyDescent="0.25">
      <c r="A24" t="s">
        <v>2474</v>
      </c>
      <c r="B24" t="s">
        <v>6899</v>
      </c>
      <c r="C24" s="221">
        <v>42987.924479166664</v>
      </c>
      <c r="D24" t="s">
        <v>29568</v>
      </c>
      <c r="E24" s="249" t="str">
        <f>HYPERLINK("https://www.instagram.com/p/BY1-AR5ghZQ/")</f>
        <v>https://www.instagram.com/p/BY1-AR5ghZQ/</v>
      </c>
      <c r="F24" t="s">
        <v>29569</v>
      </c>
      <c r="G24" t="s">
        <v>2478</v>
      </c>
      <c r="H24">
        <v>36669</v>
      </c>
      <c r="I24" t="s">
        <v>2479</v>
      </c>
      <c r="J24">
        <v>4</v>
      </c>
      <c r="K24">
        <v>699</v>
      </c>
      <c r="L24">
        <v>703</v>
      </c>
      <c r="Q24">
        <v>0</v>
      </c>
      <c r="R24">
        <v>0</v>
      </c>
      <c r="S24">
        <v>703</v>
      </c>
      <c r="W24" t="s">
        <v>27118</v>
      </c>
      <c r="X24" t="s">
        <v>19912</v>
      </c>
      <c r="Y24" t="s">
        <v>29570</v>
      </c>
      <c r="Z24" t="s">
        <v>19911</v>
      </c>
      <c r="AA24" t="s">
        <v>29571</v>
      </c>
      <c r="AD24">
        <v>23</v>
      </c>
    </row>
    <row r="25" spans="1:30" x14ac:dyDescent="0.25">
      <c r="A25" t="s">
        <v>2474</v>
      </c>
      <c r="B25" t="s">
        <v>7003</v>
      </c>
      <c r="C25" s="221">
        <v>42987.897835648146</v>
      </c>
      <c r="D25" t="s">
        <v>29560</v>
      </c>
      <c r="E25" s="249" t="str">
        <f>HYPERLINK("https://www.instagram.com/p/BY15nNagEHl/")</f>
        <v>https://www.instagram.com/p/BY15nNagEHl/</v>
      </c>
      <c r="F25" t="s">
        <v>29561</v>
      </c>
      <c r="G25" t="s">
        <v>2478</v>
      </c>
      <c r="H25">
        <v>24501</v>
      </c>
      <c r="I25" t="s">
        <v>2479</v>
      </c>
      <c r="J25">
        <v>11</v>
      </c>
      <c r="K25">
        <v>486</v>
      </c>
      <c r="L25">
        <v>497</v>
      </c>
      <c r="Q25">
        <v>0</v>
      </c>
      <c r="R25">
        <v>0</v>
      </c>
      <c r="S25">
        <v>497</v>
      </c>
      <c r="W25" t="s">
        <v>15218</v>
      </c>
      <c r="X25" t="s">
        <v>7523</v>
      </c>
      <c r="Y25" t="s">
        <v>7729</v>
      </c>
      <c r="Z25" t="s">
        <v>11834</v>
      </c>
      <c r="AA25" t="s">
        <v>4096</v>
      </c>
      <c r="AD25">
        <v>24</v>
      </c>
    </row>
    <row r="26" spans="1:30" x14ac:dyDescent="0.25">
      <c r="A26" t="s">
        <v>2474</v>
      </c>
      <c r="B26" t="s">
        <v>3248</v>
      </c>
      <c r="C26" s="221">
        <v>42987.934282407405</v>
      </c>
      <c r="D26" t="s">
        <v>29588</v>
      </c>
      <c r="E26" s="249" t="str">
        <f>HYPERLINK("https://www.instagram.com/p/BY1_nnsnARJ/")</f>
        <v>https://www.instagram.com/p/BY1_nnsnARJ/</v>
      </c>
      <c r="F26" t="s">
        <v>29589</v>
      </c>
      <c r="G26" t="s">
        <v>2478</v>
      </c>
      <c r="H26">
        <v>33730</v>
      </c>
      <c r="I26" t="s">
        <v>2479</v>
      </c>
      <c r="J26">
        <v>11</v>
      </c>
      <c r="K26">
        <v>441</v>
      </c>
      <c r="L26">
        <v>452</v>
      </c>
      <c r="Q26">
        <v>0</v>
      </c>
      <c r="R26">
        <v>0</v>
      </c>
      <c r="S26">
        <v>452</v>
      </c>
      <c r="AD26">
        <v>25</v>
      </c>
    </row>
    <row r="27" spans="1:30" x14ac:dyDescent="0.25">
      <c r="A27" t="s">
        <v>2474</v>
      </c>
      <c r="B27" t="s">
        <v>3754</v>
      </c>
      <c r="C27" s="221">
        <v>42961.483969907407</v>
      </c>
      <c r="D27" t="s">
        <v>6240</v>
      </c>
      <c r="E27" s="249" t="str">
        <f>HYPERLINK("https://www.instagram.com/p/BXx4vizD_Q6/")</f>
        <v>https://www.instagram.com/p/BXx4vizD_Q6/</v>
      </c>
      <c r="F27" t="s">
        <v>6241</v>
      </c>
      <c r="G27" t="s">
        <v>2478</v>
      </c>
      <c r="H27">
        <v>201872</v>
      </c>
      <c r="I27" t="s">
        <v>2479</v>
      </c>
      <c r="J27">
        <v>0</v>
      </c>
      <c r="K27">
        <v>444</v>
      </c>
      <c r="L27">
        <v>444</v>
      </c>
      <c r="Q27">
        <v>0</v>
      </c>
      <c r="R27">
        <v>0</v>
      </c>
      <c r="S27">
        <v>444</v>
      </c>
      <c r="W27" t="s">
        <v>4561</v>
      </c>
      <c r="X27" t="s">
        <v>3757</v>
      </c>
      <c r="Y27" t="s">
        <v>4231</v>
      </c>
      <c r="Z27" t="s">
        <v>6242</v>
      </c>
      <c r="AA27" t="s">
        <v>6243</v>
      </c>
      <c r="AD27">
        <v>26</v>
      </c>
    </row>
    <row r="28" spans="1:30" x14ac:dyDescent="0.25">
      <c r="A28" t="s">
        <v>2474</v>
      </c>
      <c r="B28" t="s">
        <v>3754</v>
      </c>
      <c r="C28" s="221">
        <v>42960.971145833333</v>
      </c>
      <c r="D28" t="s">
        <v>5689</v>
      </c>
      <c r="E28" s="249" t="str">
        <f>HYPERLINK("https://www.instagram.com/p/BXwkO1ejybD/")</f>
        <v>https://www.instagram.com/p/BXwkO1ejybD/</v>
      </c>
      <c r="F28" t="s">
        <v>5690</v>
      </c>
      <c r="G28" t="s">
        <v>2478</v>
      </c>
      <c r="H28">
        <v>201893</v>
      </c>
      <c r="I28" t="s">
        <v>2479</v>
      </c>
      <c r="J28">
        <v>1</v>
      </c>
      <c r="K28">
        <v>409</v>
      </c>
      <c r="L28">
        <v>410</v>
      </c>
      <c r="Q28">
        <v>0</v>
      </c>
      <c r="R28">
        <v>0</v>
      </c>
      <c r="S28">
        <v>410</v>
      </c>
      <c r="W28" t="s">
        <v>3754</v>
      </c>
      <c r="X28" t="s">
        <v>4801</v>
      </c>
      <c r="Y28" t="s">
        <v>4561</v>
      </c>
      <c r="Z28" t="s">
        <v>4803</v>
      </c>
      <c r="AA28" t="s">
        <v>3760</v>
      </c>
      <c r="AD28">
        <v>27</v>
      </c>
    </row>
    <row r="29" spans="1:30" x14ac:dyDescent="0.25">
      <c r="A29" t="s">
        <v>2474</v>
      </c>
      <c r="B29" t="s">
        <v>3754</v>
      </c>
      <c r="C29" s="221">
        <v>42961.486273148148</v>
      </c>
      <c r="D29" t="s">
        <v>6255</v>
      </c>
      <c r="E29" s="249" t="str">
        <f>HYPERLINK("https://www.instagram.com/p/BXx5H2SDUbL/")</f>
        <v>https://www.instagram.com/p/BXx5H2SDUbL/</v>
      </c>
      <c r="F29" t="s">
        <v>6256</v>
      </c>
      <c r="G29" t="s">
        <v>2478</v>
      </c>
      <c r="H29">
        <v>201872</v>
      </c>
      <c r="I29" t="s">
        <v>2479</v>
      </c>
      <c r="J29">
        <v>2</v>
      </c>
      <c r="K29">
        <v>299</v>
      </c>
      <c r="L29">
        <v>301</v>
      </c>
      <c r="Q29">
        <v>0</v>
      </c>
      <c r="R29">
        <v>0</v>
      </c>
      <c r="S29">
        <v>301</v>
      </c>
      <c r="W29" t="s">
        <v>4561</v>
      </c>
      <c r="X29" t="s">
        <v>3757</v>
      </c>
      <c r="Y29" t="s">
        <v>4231</v>
      </c>
      <c r="Z29" t="s">
        <v>6242</v>
      </c>
      <c r="AA29" t="s">
        <v>6243</v>
      </c>
      <c r="AD29">
        <v>28</v>
      </c>
    </row>
    <row r="30" spans="1:30" x14ac:dyDescent="0.25">
      <c r="A30" t="s">
        <v>2474</v>
      </c>
      <c r="B30" t="s">
        <v>3754</v>
      </c>
      <c r="C30" s="221">
        <v>42962.372430555559</v>
      </c>
      <c r="D30" t="s">
        <v>7205</v>
      </c>
      <c r="E30" s="249" t="str">
        <f>HYPERLINK("https://www.instagram.com/p/BX0LJ_RjZ8z/")</f>
        <v>https://www.instagram.com/p/BX0LJ_RjZ8z/</v>
      </c>
      <c r="F30" t="s">
        <v>7206</v>
      </c>
      <c r="G30" t="s">
        <v>2478</v>
      </c>
      <c r="H30">
        <v>201842</v>
      </c>
      <c r="I30" t="s">
        <v>2479</v>
      </c>
      <c r="J30">
        <v>2</v>
      </c>
      <c r="K30">
        <v>294</v>
      </c>
      <c r="L30">
        <v>296</v>
      </c>
      <c r="Q30">
        <v>0</v>
      </c>
      <c r="R30">
        <v>0</v>
      </c>
      <c r="S30">
        <v>296</v>
      </c>
      <c r="W30" t="s">
        <v>3754</v>
      </c>
      <c r="X30" t="s">
        <v>5196</v>
      </c>
      <c r="Y30" t="s">
        <v>4231</v>
      </c>
      <c r="Z30" t="s">
        <v>4801</v>
      </c>
      <c r="AA30" t="s">
        <v>4561</v>
      </c>
      <c r="AD30">
        <v>29</v>
      </c>
    </row>
    <row r="31" spans="1:30" x14ac:dyDescent="0.25">
      <c r="A31" t="s">
        <v>2474</v>
      </c>
      <c r="B31" t="s">
        <v>3754</v>
      </c>
      <c r="C31" s="221">
        <v>42960.364791666667</v>
      </c>
      <c r="D31" t="s">
        <v>4880</v>
      </c>
      <c r="E31" s="249" t="str">
        <f>HYPERLINK("https://www.instagram.com/p/BXvATmwD-Bh/")</f>
        <v>https://www.instagram.com/p/BXvATmwD-Bh/</v>
      </c>
      <c r="F31" t="s">
        <v>3756</v>
      </c>
      <c r="G31" t="s">
        <v>2478</v>
      </c>
      <c r="H31">
        <v>201936</v>
      </c>
      <c r="I31" t="s">
        <v>2479</v>
      </c>
      <c r="J31">
        <v>1</v>
      </c>
      <c r="K31">
        <v>292</v>
      </c>
      <c r="L31">
        <v>293</v>
      </c>
      <c r="Q31">
        <v>0</v>
      </c>
      <c r="R31">
        <v>0</v>
      </c>
      <c r="S31">
        <v>293</v>
      </c>
      <c r="W31" t="s">
        <v>4801</v>
      </c>
      <c r="X31" t="s">
        <v>4802</v>
      </c>
      <c r="Y31" t="s">
        <v>3764</v>
      </c>
      <c r="Z31" t="s">
        <v>4803</v>
      </c>
      <c r="AA31" t="s">
        <v>3758</v>
      </c>
      <c r="AD31">
        <v>30</v>
      </c>
    </row>
    <row r="32" spans="1:30" x14ac:dyDescent="0.25">
      <c r="A32" t="s">
        <v>2474</v>
      </c>
      <c r="B32" t="s">
        <v>7457</v>
      </c>
      <c r="C32" s="221">
        <v>42987.988287037035</v>
      </c>
      <c r="D32" t="s">
        <v>29626</v>
      </c>
      <c r="E32" s="249" t="str">
        <f>HYPERLINK("https://www.instagram.com/p/BY2IhLllUhf/")</f>
        <v>https://www.instagram.com/p/BY2IhLllUhf/</v>
      </c>
      <c r="F32" t="s">
        <v>29627</v>
      </c>
      <c r="G32" t="s">
        <v>2478</v>
      </c>
      <c r="H32">
        <v>7307</v>
      </c>
      <c r="I32" t="s">
        <v>3575</v>
      </c>
      <c r="J32">
        <v>47</v>
      </c>
      <c r="K32">
        <v>241</v>
      </c>
      <c r="L32">
        <v>288</v>
      </c>
      <c r="Q32">
        <v>0</v>
      </c>
      <c r="R32">
        <v>0</v>
      </c>
      <c r="S32">
        <v>288</v>
      </c>
      <c r="W32" t="s">
        <v>21757</v>
      </c>
      <c r="X32" t="s">
        <v>2497</v>
      </c>
      <c r="Y32" t="s">
        <v>4180</v>
      </c>
      <c r="Z32" t="s">
        <v>29628</v>
      </c>
      <c r="AA32" t="s">
        <v>7461</v>
      </c>
      <c r="AD32">
        <v>31</v>
      </c>
    </row>
    <row r="33" spans="1:30" x14ac:dyDescent="0.25">
      <c r="A33" t="s">
        <v>2474</v>
      </c>
      <c r="B33" t="s">
        <v>29579</v>
      </c>
      <c r="C33" s="221">
        <v>42987.927604166667</v>
      </c>
      <c r="D33" t="s">
        <v>29580</v>
      </c>
      <c r="E33" s="249" t="str">
        <f>HYPERLINK("https://www.instagram.com/p/BY1-hJTDgJd/")</f>
        <v>https://www.instagram.com/p/BY1-hJTDgJd/</v>
      </c>
      <c r="F33" t="s">
        <v>29581</v>
      </c>
      <c r="G33" t="s">
        <v>2478</v>
      </c>
      <c r="H33">
        <v>1763</v>
      </c>
      <c r="I33" t="s">
        <v>2479</v>
      </c>
      <c r="J33">
        <v>11</v>
      </c>
      <c r="K33">
        <v>219</v>
      </c>
      <c r="L33">
        <v>230</v>
      </c>
      <c r="Q33">
        <v>0</v>
      </c>
      <c r="R33">
        <v>0</v>
      </c>
      <c r="S33">
        <v>230</v>
      </c>
      <c r="T33" t="s">
        <v>29582</v>
      </c>
      <c r="V33" t="s">
        <v>2176</v>
      </c>
      <c r="W33" t="s">
        <v>29583</v>
      </c>
      <c r="X33" t="s">
        <v>29584</v>
      </c>
      <c r="Y33" t="s">
        <v>29585</v>
      </c>
      <c r="Z33" t="s">
        <v>11647</v>
      </c>
      <c r="AA33" t="s">
        <v>9669</v>
      </c>
      <c r="AB33">
        <v>18.975000000000001</v>
      </c>
      <c r="AC33">
        <v>72.825800000000001</v>
      </c>
      <c r="AD33">
        <v>32</v>
      </c>
    </row>
    <row r="34" spans="1:30" x14ac:dyDescent="0.25">
      <c r="A34" t="s">
        <v>2474</v>
      </c>
      <c r="B34" t="s">
        <v>3754</v>
      </c>
      <c r="C34" s="221">
        <v>42960.675324074073</v>
      </c>
      <c r="D34" t="s">
        <v>5460</v>
      </c>
      <c r="E34" s="249" t="str">
        <f>HYPERLINK("https://www.instagram.com/p/BXvzewSjeXC/")</f>
        <v>https://www.instagram.com/p/BXvzewSjeXC/</v>
      </c>
      <c r="F34" t="s">
        <v>3756</v>
      </c>
      <c r="G34" t="s">
        <v>2478</v>
      </c>
      <c r="H34">
        <v>201918</v>
      </c>
      <c r="I34" t="s">
        <v>2479</v>
      </c>
      <c r="J34">
        <v>1</v>
      </c>
      <c r="K34">
        <v>206</v>
      </c>
      <c r="L34">
        <v>207</v>
      </c>
      <c r="Q34">
        <v>0</v>
      </c>
      <c r="R34">
        <v>0</v>
      </c>
      <c r="S34">
        <v>207</v>
      </c>
      <c r="W34" t="s">
        <v>4231</v>
      </c>
      <c r="X34" t="s">
        <v>4801</v>
      </c>
      <c r="Y34" t="s">
        <v>4564</v>
      </c>
      <c r="Z34" t="s">
        <v>3760</v>
      </c>
      <c r="AA34" t="s">
        <v>3758</v>
      </c>
      <c r="AD34">
        <v>33</v>
      </c>
    </row>
    <row r="35" spans="1:30" x14ac:dyDescent="0.25">
      <c r="A35" t="s">
        <v>2474</v>
      </c>
      <c r="B35" t="s">
        <v>3754</v>
      </c>
      <c r="C35" s="221">
        <v>42959.176550925928</v>
      </c>
      <c r="D35" t="s">
        <v>3755</v>
      </c>
      <c r="E35" s="249" t="str">
        <f>HYPERLINK("https://www.instagram.com/p/BXr8fbgj85W/")</f>
        <v>https://www.instagram.com/p/BXr8fbgj85W/</v>
      </c>
      <c r="F35" t="s">
        <v>3756</v>
      </c>
      <c r="G35" t="s">
        <v>2478</v>
      </c>
      <c r="H35">
        <v>201992</v>
      </c>
      <c r="I35" t="s">
        <v>2479</v>
      </c>
      <c r="J35">
        <v>1</v>
      </c>
      <c r="K35">
        <v>158</v>
      </c>
      <c r="L35">
        <v>159</v>
      </c>
      <c r="Q35">
        <v>0</v>
      </c>
      <c r="R35">
        <v>0</v>
      </c>
      <c r="S35">
        <v>159</v>
      </c>
      <c r="W35" t="s">
        <v>3757</v>
      </c>
      <c r="X35" t="s">
        <v>3758</v>
      </c>
      <c r="Y35" t="s">
        <v>3754</v>
      </c>
      <c r="Z35" t="s">
        <v>3759</v>
      </c>
      <c r="AA35" t="s">
        <v>3760</v>
      </c>
      <c r="AD35">
        <v>34</v>
      </c>
    </row>
    <row r="36" spans="1:30" x14ac:dyDescent="0.25">
      <c r="A36" t="s">
        <v>2474</v>
      </c>
      <c r="B36" t="s">
        <v>3754</v>
      </c>
      <c r="C36" s="221">
        <v>42960.708124999997</v>
      </c>
      <c r="D36" t="s">
        <v>5485</v>
      </c>
      <c r="E36" s="249" t="str">
        <f>HYPERLINK("https://www.instagram.com/p/BXv44vgjDKj/")</f>
        <v>https://www.instagram.com/p/BXv44vgjDKj/</v>
      </c>
      <c r="F36" t="s">
        <v>4800</v>
      </c>
      <c r="G36" t="s">
        <v>2478</v>
      </c>
      <c r="H36">
        <v>201917</v>
      </c>
      <c r="I36" t="s">
        <v>2479</v>
      </c>
      <c r="J36">
        <v>0</v>
      </c>
      <c r="K36">
        <v>152</v>
      </c>
      <c r="L36">
        <v>152</v>
      </c>
      <c r="Q36">
        <v>0</v>
      </c>
      <c r="R36">
        <v>0</v>
      </c>
      <c r="S36">
        <v>152</v>
      </c>
      <c r="W36" t="s">
        <v>4231</v>
      </c>
      <c r="X36" t="s">
        <v>4801</v>
      </c>
      <c r="Y36" t="s">
        <v>4564</v>
      </c>
      <c r="Z36" t="s">
        <v>3760</v>
      </c>
      <c r="AA36" t="s">
        <v>3758</v>
      </c>
      <c r="AD36">
        <v>35</v>
      </c>
    </row>
    <row r="37" spans="1:30" x14ac:dyDescent="0.25">
      <c r="A37" t="s">
        <v>2474</v>
      </c>
      <c r="B37" t="s">
        <v>3754</v>
      </c>
      <c r="C37" s="221">
        <v>42960.375138888892</v>
      </c>
      <c r="D37" t="s">
        <v>4896</v>
      </c>
      <c r="E37" s="249" t="str">
        <f>HYPERLINK("https://www.instagram.com/p/BXvCAyvD0PP/")</f>
        <v>https://www.instagram.com/p/BXvCAyvD0PP/</v>
      </c>
      <c r="F37" t="s">
        <v>3756</v>
      </c>
      <c r="G37" t="s">
        <v>2478</v>
      </c>
      <c r="H37">
        <v>201931</v>
      </c>
      <c r="I37" t="s">
        <v>2479</v>
      </c>
      <c r="J37">
        <v>0</v>
      </c>
      <c r="K37">
        <v>131</v>
      </c>
      <c r="L37">
        <v>131</v>
      </c>
      <c r="Q37">
        <v>0</v>
      </c>
      <c r="R37">
        <v>0</v>
      </c>
      <c r="S37">
        <v>131</v>
      </c>
      <c r="W37" t="s">
        <v>4801</v>
      </c>
      <c r="X37" t="s">
        <v>4802</v>
      </c>
      <c r="Y37" t="s">
        <v>3764</v>
      </c>
      <c r="Z37" t="s">
        <v>4803</v>
      </c>
      <c r="AA37" t="s">
        <v>3758</v>
      </c>
      <c r="AD37">
        <v>36</v>
      </c>
    </row>
    <row r="38" spans="1:30" x14ac:dyDescent="0.25">
      <c r="A38" t="s">
        <v>2474</v>
      </c>
      <c r="B38" t="s">
        <v>2502</v>
      </c>
      <c r="C38" s="221">
        <v>42958.040532407409</v>
      </c>
      <c r="D38" t="s">
        <v>2503</v>
      </c>
      <c r="E38" s="249" t="str">
        <f>HYPERLINK("https://www.instagram.com/p/BXpBR_wF7-U/")</f>
        <v>https://www.instagram.com/p/BXpBR_wF7-U/</v>
      </c>
      <c r="F38" t="s">
        <v>2504</v>
      </c>
      <c r="G38" t="s">
        <v>2478</v>
      </c>
      <c r="H38">
        <v>1081</v>
      </c>
      <c r="I38" t="s">
        <v>2479</v>
      </c>
      <c r="J38">
        <v>2</v>
      </c>
      <c r="K38">
        <v>118</v>
      </c>
      <c r="L38">
        <v>120</v>
      </c>
      <c r="Q38">
        <v>0</v>
      </c>
      <c r="R38">
        <v>0</v>
      </c>
      <c r="S38">
        <v>120</v>
      </c>
      <c r="W38" t="s">
        <v>2505</v>
      </c>
      <c r="X38" t="s">
        <v>2506</v>
      </c>
      <c r="Y38" t="s">
        <v>2497</v>
      </c>
      <c r="AD38">
        <v>37</v>
      </c>
    </row>
    <row r="39" spans="1:30" x14ac:dyDescent="0.25">
      <c r="A39" t="s">
        <v>2474</v>
      </c>
      <c r="B39" t="s">
        <v>2525</v>
      </c>
      <c r="C39" s="221">
        <v>42958.05196759259</v>
      </c>
      <c r="D39" t="s">
        <v>2526</v>
      </c>
      <c r="E39" s="249" t="str">
        <f>HYPERLINK("https://www.instagram.com/p/BXpDKp7l9ZZ/")</f>
        <v>https://www.instagram.com/p/BXpDKp7l9ZZ/</v>
      </c>
      <c r="F39" t="s">
        <v>2527</v>
      </c>
      <c r="G39" t="s">
        <v>2478</v>
      </c>
      <c r="H39">
        <v>1831</v>
      </c>
      <c r="I39" t="s">
        <v>2479</v>
      </c>
      <c r="J39">
        <v>3</v>
      </c>
      <c r="K39">
        <v>111</v>
      </c>
      <c r="L39">
        <v>114</v>
      </c>
      <c r="Q39">
        <v>0</v>
      </c>
      <c r="R39">
        <v>0</v>
      </c>
      <c r="S39">
        <v>114</v>
      </c>
      <c r="T39" t="s">
        <v>2528</v>
      </c>
      <c r="U39" t="s">
        <v>97</v>
      </c>
      <c r="V39" t="s">
        <v>2299</v>
      </c>
      <c r="W39" t="s">
        <v>2529</v>
      </c>
      <c r="X39" t="s">
        <v>2530</v>
      </c>
      <c r="Y39" t="s">
        <v>2531</v>
      </c>
      <c r="Z39" t="s">
        <v>2532</v>
      </c>
      <c r="AA39" t="s">
        <v>2533</v>
      </c>
      <c r="AB39">
        <v>33.437800000000003</v>
      </c>
      <c r="AC39">
        <v>-117.62</v>
      </c>
      <c r="AD39">
        <v>38</v>
      </c>
    </row>
    <row r="40" spans="1:30" x14ac:dyDescent="0.25">
      <c r="A40" t="s">
        <v>2474</v>
      </c>
      <c r="B40" t="s">
        <v>3754</v>
      </c>
      <c r="C40" s="221">
        <v>42960.300474537034</v>
      </c>
      <c r="D40" t="s">
        <v>4799</v>
      </c>
      <c r="E40" s="249" t="str">
        <f>HYPERLINK("https://www.instagram.com/p/BXu1tXpD-HO/")</f>
        <v>https://www.instagram.com/p/BXu1tXpD-HO/</v>
      </c>
      <c r="F40" t="s">
        <v>4800</v>
      </c>
      <c r="G40" t="s">
        <v>2478</v>
      </c>
      <c r="H40">
        <v>201940</v>
      </c>
      <c r="I40" t="s">
        <v>2479</v>
      </c>
      <c r="J40">
        <v>1</v>
      </c>
      <c r="K40">
        <v>108</v>
      </c>
      <c r="L40">
        <v>109</v>
      </c>
      <c r="Q40">
        <v>0</v>
      </c>
      <c r="R40">
        <v>0</v>
      </c>
      <c r="S40">
        <v>109</v>
      </c>
      <c r="W40" t="s">
        <v>4801</v>
      </c>
      <c r="X40" t="s">
        <v>4802</v>
      </c>
      <c r="Y40" t="s">
        <v>4231</v>
      </c>
      <c r="Z40" t="s">
        <v>3764</v>
      </c>
      <c r="AA40" t="s">
        <v>4803</v>
      </c>
      <c r="AD40">
        <v>39</v>
      </c>
    </row>
    <row r="41" spans="1:30" x14ac:dyDescent="0.25">
      <c r="A41" t="s">
        <v>2474</v>
      </c>
      <c r="B41" t="s">
        <v>2571</v>
      </c>
      <c r="C41" s="221">
        <v>42958.122372685182</v>
      </c>
      <c r="D41" t="s">
        <v>2572</v>
      </c>
      <c r="E41" s="249" t="str">
        <f>HYPERLINK("https://www.instagram.com/p/BXpOxJCgxux/")</f>
        <v>https://www.instagram.com/p/BXpOxJCgxux/</v>
      </c>
      <c r="F41" t="s">
        <v>2573</v>
      </c>
      <c r="G41" t="s">
        <v>2478</v>
      </c>
      <c r="H41">
        <v>730</v>
      </c>
      <c r="I41" t="s">
        <v>2542</v>
      </c>
      <c r="J41">
        <v>2</v>
      </c>
      <c r="K41">
        <v>96</v>
      </c>
      <c r="L41">
        <v>98</v>
      </c>
      <c r="Q41">
        <v>0</v>
      </c>
      <c r="R41">
        <v>0</v>
      </c>
      <c r="S41">
        <v>98</v>
      </c>
      <c r="W41" t="s">
        <v>2574</v>
      </c>
      <c r="X41" t="s">
        <v>2575</v>
      </c>
      <c r="Y41" t="s">
        <v>2576</v>
      </c>
      <c r="Z41" t="s">
        <v>2577</v>
      </c>
      <c r="AA41" t="s">
        <v>2578</v>
      </c>
      <c r="AD41">
        <v>40</v>
      </c>
    </row>
    <row r="42" spans="1:30" x14ac:dyDescent="0.25">
      <c r="A42" t="s">
        <v>2474</v>
      </c>
      <c r="B42" t="s">
        <v>2610</v>
      </c>
      <c r="C42" s="221">
        <v>42958.166284722225</v>
      </c>
      <c r="D42" t="s">
        <v>2611</v>
      </c>
      <c r="E42" s="249" t="str">
        <f>HYPERLINK("https://www.instagram.com/p/BXpWARigH7N/")</f>
        <v>https://www.instagram.com/p/BXpWARigH7N/</v>
      </c>
      <c r="F42" t="s">
        <v>2612</v>
      </c>
      <c r="G42" t="s">
        <v>2478</v>
      </c>
      <c r="H42">
        <v>580</v>
      </c>
      <c r="I42" t="s">
        <v>2479</v>
      </c>
      <c r="J42">
        <v>9</v>
      </c>
      <c r="K42">
        <v>74</v>
      </c>
      <c r="L42">
        <v>83</v>
      </c>
      <c r="Q42">
        <v>0</v>
      </c>
      <c r="R42">
        <v>0</v>
      </c>
      <c r="S42">
        <v>83</v>
      </c>
      <c r="T42" t="s">
        <v>2613</v>
      </c>
      <c r="V42" t="s">
        <v>2264</v>
      </c>
      <c r="W42" t="s">
        <v>2614</v>
      </c>
      <c r="X42" t="s">
        <v>2615</v>
      </c>
      <c r="Y42" t="s">
        <v>2616</v>
      </c>
      <c r="Z42" t="s">
        <v>2617</v>
      </c>
      <c r="AA42" t="s">
        <v>2618</v>
      </c>
      <c r="AB42">
        <v>36.488109999999999</v>
      </c>
      <c r="AC42">
        <v>-4.9574499999999997</v>
      </c>
      <c r="AD42">
        <v>41</v>
      </c>
    </row>
    <row r="43" spans="1:30" x14ac:dyDescent="0.25">
      <c r="A43" t="s">
        <v>2474</v>
      </c>
      <c r="B43" t="s">
        <v>2507</v>
      </c>
      <c r="C43" s="221">
        <v>42958.044918981483</v>
      </c>
      <c r="D43" t="s">
        <v>2508</v>
      </c>
      <c r="E43" s="249" t="str">
        <f>HYPERLINK("https://www.instagram.com/p/BXpCAUHBWnl/")</f>
        <v>https://www.instagram.com/p/BXpCAUHBWnl/</v>
      </c>
      <c r="F43" t="s">
        <v>2509</v>
      </c>
      <c r="G43" t="s">
        <v>2478</v>
      </c>
      <c r="H43">
        <v>269</v>
      </c>
      <c r="I43" t="s">
        <v>2510</v>
      </c>
      <c r="J43">
        <v>1</v>
      </c>
      <c r="K43">
        <v>75</v>
      </c>
      <c r="L43">
        <v>76</v>
      </c>
      <c r="Q43">
        <v>0</v>
      </c>
      <c r="R43">
        <v>0</v>
      </c>
      <c r="S43">
        <v>76</v>
      </c>
      <c r="W43" t="s">
        <v>2511</v>
      </c>
      <c r="X43" t="s">
        <v>2512</v>
      </c>
      <c r="Y43" t="s">
        <v>2513</v>
      </c>
      <c r="Z43" t="s">
        <v>2514</v>
      </c>
      <c r="AA43" t="s">
        <v>2515</v>
      </c>
      <c r="AD43">
        <v>42</v>
      </c>
    </row>
    <row r="44" spans="1:30" x14ac:dyDescent="0.25">
      <c r="A44" t="s">
        <v>2474</v>
      </c>
      <c r="B44" t="s">
        <v>2619</v>
      </c>
      <c r="C44" s="221">
        <v>42958.172789351855</v>
      </c>
      <c r="D44" t="s">
        <v>2620</v>
      </c>
      <c r="E44" s="249" t="str">
        <f>HYPERLINK("https://www.instagram.com/p/BXpXE4kDilt/")</f>
        <v>https://www.instagram.com/p/BXpXE4kDilt/</v>
      </c>
      <c r="F44" t="s">
        <v>2621</v>
      </c>
      <c r="G44" t="s">
        <v>2478</v>
      </c>
      <c r="H44">
        <v>811</v>
      </c>
      <c r="I44" t="s">
        <v>2622</v>
      </c>
      <c r="J44">
        <v>13</v>
      </c>
      <c r="K44">
        <v>55</v>
      </c>
      <c r="L44">
        <v>68</v>
      </c>
      <c r="Q44">
        <v>0</v>
      </c>
      <c r="R44">
        <v>0</v>
      </c>
      <c r="S44">
        <v>68</v>
      </c>
      <c r="T44" t="s">
        <v>2623</v>
      </c>
      <c r="V44" t="s">
        <v>2102</v>
      </c>
      <c r="W44" t="s">
        <v>2624</v>
      </c>
      <c r="X44" t="s">
        <v>2625</v>
      </c>
      <c r="Y44" t="s">
        <v>2626</v>
      </c>
      <c r="Z44" t="s">
        <v>2627</v>
      </c>
      <c r="AA44" t="s">
        <v>2497</v>
      </c>
      <c r="AB44">
        <v>-34.316699999999997</v>
      </c>
      <c r="AC44">
        <v>142.18299999999999</v>
      </c>
      <c r="AD44">
        <v>43</v>
      </c>
    </row>
    <row r="45" spans="1:30" x14ac:dyDescent="0.25">
      <c r="A45" t="s">
        <v>2474</v>
      </c>
      <c r="B45" t="s">
        <v>2485</v>
      </c>
      <c r="C45" s="221">
        <v>42958.017569444448</v>
      </c>
      <c r="D45" t="s">
        <v>2486</v>
      </c>
      <c r="E45" s="249" t="str">
        <f>HYPERLINK("https://www.instagram.com/p/BXo9fvyBkSs/")</f>
        <v>https://www.instagram.com/p/BXo9fvyBkSs/</v>
      </c>
      <c r="F45" t="s">
        <v>2487</v>
      </c>
      <c r="G45" t="s">
        <v>2488</v>
      </c>
      <c r="H45">
        <v>501</v>
      </c>
      <c r="I45" t="s">
        <v>2479</v>
      </c>
      <c r="J45">
        <v>1</v>
      </c>
      <c r="K45">
        <v>64</v>
      </c>
      <c r="L45">
        <v>65</v>
      </c>
      <c r="Q45">
        <v>0</v>
      </c>
      <c r="R45">
        <v>0</v>
      </c>
      <c r="S45">
        <v>65</v>
      </c>
      <c r="W45" t="s">
        <v>2489</v>
      </c>
      <c r="X45" t="s">
        <v>2490</v>
      </c>
      <c r="Y45" t="s">
        <v>2491</v>
      </c>
      <c r="Z45" t="s">
        <v>2492</v>
      </c>
      <c r="AA45" t="s">
        <v>2493</v>
      </c>
      <c r="AD45">
        <v>44</v>
      </c>
    </row>
    <row r="46" spans="1:30" x14ac:dyDescent="0.25">
      <c r="A46" t="s">
        <v>2474</v>
      </c>
      <c r="B46" t="s">
        <v>5548</v>
      </c>
      <c r="C46" s="221">
        <v>42987.877754629626</v>
      </c>
      <c r="D46" t="s">
        <v>29547</v>
      </c>
      <c r="E46" s="249" t="str">
        <f>HYPERLINK("https://www.instagram.com/p/BY12TfQHQhV/")</f>
        <v>https://www.instagram.com/p/BY12TfQHQhV/</v>
      </c>
      <c r="F46" t="s">
        <v>29548</v>
      </c>
      <c r="G46" t="s">
        <v>2478</v>
      </c>
      <c r="I46" t="s">
        <v>2479</v>
      </c>
      <c r="J46">
        <v>2</v>
      </c>
      <c r="K46">
        <v>58</v>
      </c>
      <c r="L46">
        <v>60</v>
      </c>
      <c r="Q46">
        <v>0</v>
      </c>
      <c r="R46">
        <v>0</v>
      </c>
      <c r="S46">
        <v>60</v>
      </c>
      <c r="W46" t="s">
        <v>13887</v>
      </c>
      <c r="X46" t="s">
        <v>24819</v>
      </c>
      <c r="Y46" t="s">
        <v>29549</v>
      </c>
      <c r="Z46" t="s">
        <v>24820</v>
      </c>
      <c r="AA46" t="s">
        <v>15200</v>
      </c>
      <c r="AD46">
        <v>45</v>
      </c>
    </row>
    <row r="47" spans="1:30" x14ac:dyDescent="0.25">
      <c r="A47" t="s">
        <v>2474</v>
      </c>
      <c r="B47" t="s">
        <v>2604</v>
      </c>
      <c r="C47" s="221">
        <v>42958.160636574074</v>
      </c>
      <c r="D47" t="s">
        <v>2605</v>
      </c>
      <c r="E47" s="249" t="str">
        <f>HYPERLINK("https://www.instagram.com/p/BXpVEv6hf0X/")</f>
        <v>https://www.instagram.com/p/BXpVEv6hf0X/</v>
      </c>
      <c r="F47" t="s">
        <v>2606</v>
      </c>
      <c r="G47" t="s">
        <v>2488</v>
      </c>
      <c r="H47">
        <v>104</v>
      </c>
      <c r="I47" t="s">
        <v>2479</v>
      </c>
      <c r="J47">
        <v>0</v>
      </c>
      <c r="K47">
        <v>60</v>
      </c>
      <c r="L47">
        <v>60</v>
      </c>
      <c r="Q47">
        <v>0</v>
      </c>
      <c r="R47">
        <v>0</v>
      </c>
      <c r="S47">
        <v>60</v>
      </c>
      <c r="W47" t="s">
        <v>2607</v>
      </c>
      <c r="X47" t="s">
        <v>2608</v>
      </c>
      <c r="Y47" t="s">
        <v>2483</v>
      </c>
      <c r="Z47" t="s">
        <v>2497</v>
      </c>
      <c r="AA47" t="s">
        <v>2609</v>
      </c>
      <c r="AD47">
        <v>46</v>
      </c>
    </row>
    <row r="48" spans="1:30" x14ac:dyDescent="0.25">
      <c r="A48" t="s">
        <v>2474</v>
      </c>
      <c r="B48" t="s">
        <v>2475</v>
      </c>
      <c r="C48" s="221">
        <v>42958.014351851853</v>
      </c>
      <c r="D48" t="s">
        <v>2476</v>
      </c>
      <c r="E48" s="249" t="str">
        <f>HYPERLINK("https://www.instagram.com/p/BXo891CBIV0/")</f>
        <v>https://www.instagram.com/p/BXo891CBIV0/</v>
      </c>
      <c r="F48" t="s">
        <v>2477</v>
      </c>
      <c r="G48" t="s">
        <v>2478</v>
      </c>
      <c r="H48">
        <v>173</v>
      </c>
      <c r="I48" t="s">
        <v>2479</v>
      </c>
      <c r="J48">
        <v>2</v>
      </c>
      <c r="K48">
        <v>54</v>
      </c>
      <c r="L48">
        <v>56</v>
      </c>
      <c r="Q48">
        <v>0</v>
      </c>
      <c r="R48">
        <v>0</v>
      </c>
      <c r="S48">
        <v>56</v>
      </c>
      <c r="W48" t="s">
        <v>2480</v>
      </c>
      <c r="X48" t="s">
        <v>2481</v>
      </c>
      <c r="Y48" t="s">
        <v>2482</v>
      </c>
      <c r="Z48" t="s">
        <v>2483</v>
      </c>
      <c r="AA48" t="s">
        <v>2484</v>
      </c>
      <c r="AD48">
        <v>47</v>
      </c>
    </row>
    <row r="49" spans="1:30" x14ac:dyDescent="0.25">
      <c r="A49" t="s">
        <v>2474</v>
      </c>
      <c r="B49" t="s">
        <v>29593</v>
      </c>
      <c r="C49" s="221">
        <v>42987.961053240739</v>
      </c>
      <c r="D49" t="s">
        <v>29594</v>
      </c>
      <c r="E49" s="249" t="str">
        <f>HYPERLINK("https://www.instagram.com/p/BY2EB-6jEog/")</f>
        <v>https://www.instagram.com/p/BY2EB-6jEog/</v>
      </c>
      <c r="F49" t="s">
        <v>29595</v>
      </c>
      <c r="G49" t="s">
        <v>2478</v>
      </c>
      <c r="H49">
        <v>242</v>
      </c>
      <c r="I49" t="s">
        <v>2519</v>
      </c>
      <c r="J49">
        <v>0</v>
      </c>
      <c r="K49">
        <v>55</v>
      </c>
      <c r="L49">
        <v>55</v>
      </c>
      <c r="Q49">
        <v>0</v>
      </c>
      <c r="R49">
        <v>0</v>
      </c>
      <c r="S49">
        <v>55</v>
      </c>
      <c r="T49" t="s">
        <v>29596</v>
      </c>
      <c r="U49" t="s">
        <v>97</v>
      </c>
      <c r="V49" t="s">
        <v>2299</v>
      </c>
      <c r="W49" t="s">
        <v>29597</v>
      </c>
      <c r="X49" t="s">
        <v>20959</v>
      </c>
      <c r="Y49" t="s">
        <v>2844</v>
      </c>
      <c r="Z49" t="s">
        <v>4827</v>
      </c>
      <c r="AA49" t="s">
        <v>2497</v>
      </c>
      <c r="AB49">
        <v>34.007800000000003</v>
      </c>
      <c r="AC49">
        <v>-118.401</v>
      </c>
      <c r="AD49">
        <v>48</v>
      </c>
    </row>
    <row r="50" spans="1:30" x14ac:dyDescent="0.25">
      <c r="A50" t="s">
        <v>2474</v>
      </c>
      <c r="B50" t="s">
        <v>2548</v>
      </c>
      <c r="C50" s="221">
        <v>42958.089259259257</v>
      </c>
      <c r="D50" t="s">
        <v>2549</v>
      </c>
      <c r="E50" s="249" t="str">
        <f>HYPERLINK("https://www.instagram.com/p/BXpJT4gnlFM/")</f>
        <v>https://www.instagram.com/p/BXpJT4gnlFM/</v>
      </c>
      <c r="F50" t="s">
        <v>2550</v>
      </c>
      <c r="G50" t="s">
        <v>2478</v>
      </c>
      <c r="H50">
        <v>520</v>
      </c>
      <c r="I50" t="s">
        <v>2479</v>
      </c>
      <c r="J50">
        <v>1</v>
      </c>
      <c r="K50">
        <v>44</v>
      </c>
      <c r="L50">
        <v>45</v>
      </c>
      <c r="Q50">
        <v>0</v>
      </c>
      <c r="R50">
        <v>0</v>
      </c>
      <c r="S50">
        <v>45</v>
      </c>
      <c r="W50" t="s">
        <v>2551</v>
      </c>
      <c r="X50" t="s">
        <v>2513</v>
      </c>
      <c r="Y50" t="s">
        <v>2552</v>
      </c>
      <c r="Z50" t="s">
        <v>2553</v>
      </c>
      <c r="AA50" t="s">
        <v>2554</v>
      </c>
      <c r="AD50">
        <v>49</v>
      </c>
    </row>
    <row r="51" spans="1:30" x14ac:dyDescent="0.25">
      <c r="A51" t="s">
        <v>2474</v>
      </c>
      <c r="B51" t="s">
        <v>29186</v>
      </c>
      <c r="C51" s="221">
        <v>42987.922291666669</v>
      </c>
      <c r="D51" t="s">
        <v>29565</v>
      </c>
      <c r="E51" s="249" t="str">
        <f>HYPERLINK("https://www.instagram.com/p/BY19pIbBM0R/")</f>
        <v>https://www.instagram.com/p/BY19pIbBM0R/</v>
      </c>
      <c r="F51" t="s">
        <v>29566</v>
      </c>
      <c r="G51" t="s">
        <v>2478</v>
      </c>
      <c r="H51">
        <v>992</v>
      </c>
      <c r="I51" t="s">
        <v>2479</v>
      </c>
      <c r="J51">
        <v>0</v>
      </c>
      <c r="K51">
        <v>43</v>
      </c>
      <c r="L51">
        <v>43</v>
      </c>
      <c r="Q51">
        <v>0</v>
      </c>
      <c r="R51">
        <v>0</v>
      </c>
      <c r="S51">
        <v>43</v>
      </c>
      <c r="W51" t="s">
        <v>3174</v>
      </c>
      <c r="X51" t="s">
        <v>10684</v>
      </c>
      <c r="Y51" t="s">
        <v>3569</v>
      </c>
      <c r="Z51" t="s">
        <v>12358</v>
      </c>
      <c r="AA51" t="s">
        <v>29567</v>
      </c>
      <c r="AD51">
        <v>50</v>
      </c>
    </row>
    <row r="52" spans="1:30" x14ac:dyDescent="0.25">
      <c r="A52" t="s">
        <v>2474</v>
      </c>
      <c r="B52" t="s">
        <v>2579</v>
      </c>
      <c r="C52" s="221">
        <v>42958.127349537041</v>
      </c>
      <c r="D52" t="s">
        <v>2580</v>
      </c>
      <c r="E52" s="249" t="str">
        <f>HYPERLINK("https://www.instagram.com/p/BXpPlljDT0Q/")</f>
        <v>https://www.instagram.com/p/BXpPlljDT0Q/</v>
      </c>
      <c r="F52" t="s">
        <v>2581</v>
      </c>
      <c r="G52" t="s">
        <v>2478</v>
      </c>
      <c r="H52">
        <v>177</v>
      </c>
      <c r="I52" t="s">
        <v>2582</v>
      </c>
      <c r="J52">
        <v>0</v>
      </c>
      <c r="K52">
        <v>43</v>
      </c>
      <c r="L52">
        <v>43</v>
      </c>
      <c r="Q52">
        <v>0</v>
      </c>
      <c r="R52">
        <v>0</v>
      </c>
      <c r="S52">
        <v>43</v>
      </c>
      <c r="W52" t="s">
        <v>2583</v>
      </c>
      <c r="X52" t="s">
        <v>2584</v>
      </c>
      <c r="Y52" t="s">
        <v>2585</v>
      </c>
      <c r="Z52" t="s">
        <v>2586</v>
      </c>
      <c r="AA52" t="s">
        <v>2587</v>
      </c>
      <c r="AD52">
        <v>51</v>
      </c>
    </row>
    <row r="53" spans="1:30" x14ac:dyDescent="0.25">
      <c r="A53" t="s">
        <v>2474</v>
      </c>
      <c r="B53" t="s">
        <v>7232</v>
      </c>
      <c r="C53" s="221">
        <v>42987.930625000001</v>
      </c>
      <c r="D53" t="s">
        <v>29586</v>
      </c>
      <c r="E53" s="249" t="str">
        <f>HYPERLINK("https://www.instagram.com/p/BY1_BEunBtR/")</f>
        <v>https://www.instagram.com/p/BY1_BEunBtR/</v>
      </c>
      <c r="F53" t="s">
        <v>29587</v>
      </c>
      <c r="G53" t="s">
        <v>2631</v>
      </c>
      <c r="H53">
        <v>526</v>
      </c>
      <c r="I53" t="s">
        <v>2479</v>
      </c>
      <c r="J53">
        <v>3</v>
      </c>
      <c r="K53">
        <v>33</v>
      </c>
      <c r="L53">
        <v>36</v>
      </c>
      <c r="Q53">
        <v>0</v>
      </c>
      <c r="R53">
        <v>0</v>
      </c>
      <c r="S53">
        <v>36</v>
      </c>
      <c r="W53" t="s">
        <v>5168</v>
      </c>
      <c r="X53" t="s">
        <v>7236</v>
      </c>
      <c r="Y53" t="s">
        <v>25197</v>
      </c>
      <c r="Z53" t="s">
        <v>13362</v>
      </c>
      <c r="AA53" t="s">
        <v>22836</v>
      </c>
      <c r="AD53">
        <v>52</v>
      </c>
    </row>
    <row r="54" spans="1:30" x14ac:dyDescent="0.25">
      <c r="A54" t="s">
        <v>2474</v>
      </c>
      <c r="B54" t="s">
        <v>29572</v>
      </c>
      <c r="C54" s="221">
        <v>42987.926238425927</v>
      </c>
      <c r="D54" t="s">
        <v>29573</v>
      </c>
      <c r="E54" s="249" t="str">
        <f>HYPERLINK("https://www.instagram.com/p/BY1-S0OHl8K/")</f>
        <v>https://www.instagram.com/p/BY1-S0OHl8K/</v>
      </c>
      <c r="F54" t="s">
        <v>29574</v>
      </c>
      <c r="G54" t="s">
        <v>2478</v>
      </c>
      <c r="H54">
        <v>195</v>
      </c>
      <c r="I54" t="s">
        <v>2479</v>
      </c>
      <c r="J54">
        <v>0</v>
      </c>
      <c r="K54">
        <v>35</v>
      </c>
      <c r="L54">
        <v>35</v>
      </c>
      <c r="Q54">
        <v>0</v>
      </c>
      <c r="R54">
        <v>0</v>
      </c>
      <c r="S54">
        <v>35</v>
      </c>
      <c r="W54" t="s">
        <v>29575</v>
      </c>
      <c r="X54" t="s">
        <v>29576</v>
      </c>
      <c r="Y54" t="s">
        <v>19318</v>
      </c>
      <c r="Z54" t="s">
        <v>29577</v>
      </c>
      <c r="AA54" t="s">
        <v>29578</v>
      </c>
      <c r="AD54">
        <v>53</v>
      </c>
    </row>
    <row r="55" spans="1:30" x14ac:dyDescent="0.25">
      <c r="A55" t="s">
        <v>2474</v>
      </c>
      <c r="B55" t="s">
        <v>2555</v>
      </c>
      <c r="C55" s="221">
        <v>42958.090578703705</v>
      </c>
      <c r="D55" t="s">
        <v>2556</v>
      </c>
      <c r="E55" s="249" t="str">
        <f>HYPERLINK("https://www.instagram.com/p/BXpJh0ZAHfP/")</f>
        <v>https://www.instagram.com/p/BXpJh0ZAHfP/</v>
      </c>
      <c r="F55" t="s">
        <v>2557</v>
      </c>
      <c r="G55" t="s">
        <v>2478</v>
      </c>
      <c r="H55">
        <v>54</v>
      </c>
      <c r="I55" t="s">
        <v>2479</v>
      </c>
      <c r="J55">
        <v>1</v>
      </c>
      <c r="K55">
        <v>33</v>
      </c>
      <c r="L55">
        <v>34</v>
      </c>
      <c r="Q55">
        <v>0</v>
      </c>
      <c r="R55">
        <v>0</v>
      </c>
      <c r="S55">
        <v>34</v>
      </c>
      <c r="W55" t="s">
        <v>2558</v>
      </c>
      <c r="X55" t="s">
        <v>2559</v>
      </c>
      <c r="Y55" t="s">
        <v>2560</v>
      </c>
      <c r="Z55" t="s">
        <v>2561</v>
      </c>
      <c r="AA55" t="s">
        <v>2562</v>
      </c>
      <c r="AD55">
        <v>54</v>
      </c>
    </row>
    <row r="56" spans="1:30" x14ac:dyDescent="0.25">
      <c r="A56" t="s">
        <v>2474</v>
      </c>
      <c r="B56" t="s">
        <v>2539</v>
      </c>
      <c r="C56" s="221">
        <v>42958.075046296297</v>
      </c>
      <c r="D56" t="s">
        <v>2540</v>
      </c>
      <c r="E56" s="249" t="str">
        <f>HYPERLINK("https://www.instagram.com/p/BXpG99blqIG/")</f>
        <v>https://www.instagram.com/p/BXpG99blqIG/</v>
      </c>
      <c r="F56" t="s">
        <v>2541</v>
      </c>
      <c r="G56" t="s">
        <v>2478</v>
      </c>
      <c r="H56">
        <v>408</v>
      </c>
      <c r="I56" t="s">
        <v>2542</v>
      </c>
      <c r="J56">
        <v>1</v>
      </c>
      <c r="K56">
        <v>30</v>
      </c>
      <c r="L56">
        <v>31</v>
      </c>
      <c r="Q56">
        <v>0</v>
      </c>
      <c r="R56">
        <v>0</v>
      </c>
      <c r="S56">
        <v>31</v>
      </c>
      <c r="W56" t="s">
        <v>2543</v>
      </c>
      <c r="X56" t="s">
        <v>2544</v>
      </c>
      <c r="Y56" t="s">
        <v>2545</v>
      </c>
      <c r="Z56" t="s">
        <v>2546</v>
      </c>
      <c r="AA56" t="s">
        <v>2547</v>
      </c>
      <c r="AD56">
        <v>55</v>
      </c>
    </row>
    <row r="57" spans="1:30" x14ac:dyDescent="0.25">
      <c r="A57" t="s">
        <v>2474</v>
      </c>
      <c r="B57" t="s">
        <v>28859</v>
      </c>
      <c r="C57" s="221">
        <v>42987.986157407409</v>
      </c>
      <c r="D57" t="s">
        <v>29618</v>
      </c>
      <c r="E57" s="249" t="str">
        <f>HYPERLINK("https://www.instagram.com/p/BY2IKwmAxgN/")</f>
        <v>https://www.instagram.com/p/BY2IKwmAxgN/</v>
      </c>
      <c r="F57" t="s">
        <v>29619</v>
      </c>
      <c r="G57" t="s">
        <v>2478</v>
      </c>
      <c r="H57">
        <v>506</v>
      </c>
      <c r="I57" t="s">
        <v>2479</v>
      </c>
      <c r="J57">
        <v>1</v>
      </c>
      <c r="K57">
        <v>27</v>
      </c>
      <c r="L57">
        <v>28</v>
      </c>
      <c r="Q57">
        <v>0</v>
      </c>
      <c r="R57">
        <v>0</v>
      </c>
      <c r="S57">
        <v>28</v>
      </c>
      <c r="W57" t="s">
        <v>2497</v>
      </c>
      <c r="X57" t="s">
        <v>28863</v>
      </c>
      <c r="Y57" t="s">
        <v>29620</v>
      </c>
      <c r="Z57" t="s">
        <v>3196</v>
      </c>
      <c r="AA57" t="s">
        <v>29621</v>
      </c>
      <c r="AD57">
        <v>56</v>
      </c>
    </row>
    <row r="58" spans="1:30" x14ac:dyDescent="0.25">
      <c r="A58" t="s">
        <v>2474</v>
      </c>
      <c r="B58" t="s">
        <v>2516</v>
      </c>
      <c r="C58" s="221">
        <v>42958.049456018518</v>
      </c>
      <c r="D58" t="s">
        <v>2517</v>
      </c>
      <c r="E58" s="249" t="str">
        <f>HYPERLINK("https://www.instagram.com/p/BXpCwIWDfHj/")</f>
        <v>https://www.instagram.com/p/BXpCwIWDfHj/</v>
      </c>
      <c r="F58" t="s">
        <v>2518</v>
      </c>
      <c r="G58" t="s">
        <v>2478</v>
      </c>
      <c r="H58">
        <v>692</v>
      </c>
      <c r="I58" t="s">
        <v>2519</v>
      </c>
      <c r="J58">
        <v>0</v>
      </c>
      <c r="K58">
        <v>21</v>
      </c>
      <c r="L58">
        <v>21</v>
      </c>
      <c r="Q58">
        <v>0</v>
      </c>
      <c r="R58">
        <v>0</v>
      </c>
      <c r="S58">
        <v>21</v>
      </c>
      <c r="W58" t="s">
        <v>2520</v>
      </c>
      <c r="X58" t="s">
        <v>2521</v>
      </c>
      <c r="Y58" t="s">
        <v>2522</v>
      </c>
      <c r="Z58" t="s">
        <v>2523</v>
      </c>
      <c r="AA58" t="s">
        <v>2524</v>
      </c>
      <c r="AD58">
        <v>57</v>
      </c>
    </row>
    <row r="59" spans="1:30" x14ac:dyDescent="0.25">
      <c r="A59" t="s">
        <v>2474</v>
      </c>
      <c r="B59" t="s">
        <v>2588</v>
      </c>
      <c r="C59" s="221">
        <v>42958.128125000003</v>
      </c>
      <c r="D59" t="s">
        <v>2589</v>
      </c>
      <c r="E59" s="249" t="str">
        <f>HYPERLINK("https://www.instagram.com/p/BXpPtzagSKV/")</f>
        <v>https://www.instagram.com/p/BXpPtzagSKV/</v>
      </c>
      <c r="F59" t="s">
        <v>2590</v>
      </c>
      <c r="G59" t="s">
        <v>2478</v>
      </c>
      <c r="H59">
        <v>229</v>
      </c>
      <c r="I59" t="s">
        <v>2479</v>
      </c>
      <c r="J59">
        <v>1</v>
      </c>
      <c r="K59">
        <v>18</v>
      </c>
      <c r="L59">
        <v>19</v>
      </c>
      <c r="Q59">
        <v>0</v>
      </c>
      <c r="R59">
        <v>0</v>
      </c>
      <c r="S59">
        <v>19</v>
      </c>
      <c r="W59" t="s">
        <v>2591</v>
      </c>
      <c r="X59" t="s">
        <v>2592</v>
      </c>
      <c r="Y59" t="s">
        <v>2593</v>
      </c>
      <c r="Z59" t="s">
        <v>2594</v>
      </c>
      <c r="AA59" t="s">
        <v>2595</v>
      </c>
      <c r="AD59">
        <v>58</v>
      </c>
    </row>
    <row r="60" spans="1:30" x14ac:dyDescent="0.25">
      <c r="A60" t="s">
        <v>2474</v>
      </c>
      <c r="B60" t="s">
        <v>2596</v>
      </c>
      <c r="C60" s="221">
        <v>42958.134965277779</v>
      </c>
      <c r="D60" t="s">
        <v>2597</v>
      </c>
      <c r="E60" s="249" t="str">
        <f>HYPERLINK("https://www.instagram.com/p/BXpQ16qji7V/")</f>
        <v>https://www.instagram.com/p/BXpQ16qji7V/</v>
      </c>
      <c r="F60" t="s">
        <v>2598</v>
      </c>
      <c r="G60" t="s">
        <v>2478</v>
      </c>
      <c r="H60">
        <v>221</v>
      </c>
      <c r="I60" t="s">
        <v>2599</v>
      </c>
      <c r="J60">
        <v>2</v>
      </c>
      <c r="K60">
        <v>16</v>
      </c>
      <c r="L60">
        <v>18</v>
      </c>
      <c r="Q60">
        <v>0</v>
      </c>
      <c r="R60">
        <v>0</v>
      </c>
      <c r="S60">
        <v>18</v>
      </c>
      <c r="W60" t="s">
        <v>2600</v>
      </c>
      <c r="X60" t="s">
        <v>2601</v>
      </c>
      <c r="Y60" t="s">
        <v>2497</v>
      </c>
      <c r="Z60" t="s">
        <v>2602</v>
      </c>
      <c r="AA60" t="s">
        <v>2603</v>
      </c>
      <c r="AD60">
        <v>59</v>
      </c>
    </row>
    <row r="61" spans="1:30" x14ac:dyDescent="0.25">
      <c r="A61" t="s">
        <v>2474</v>
      </c>
      <c r="B61" t="s">
        <v>18309</v>
      </c>
      <c r="C61" s="221">
        <v>42974.483182870368</v>
      </c>
      <c r="D61" t="s">
        <v>18310</v>
      </c>
      <c r="E61" s="249" t="str">
        <f>HYPERLINK("https://www.instagram.com/p/BYTW8hVDWUZ/")</f>
        <v>https://www.instagram.com/p/BYTW8hVDWUZ/</v>
      </c>
      <c r="F61" t="s">
        <v>18311</v>
      </c>
      <c r="G61" t="s">
        <v>2478</v>
      </c>
      <c r="H61">
        <v>3</v>
      </c>
      <c r="I61" t="s">
        <v>2542</v>
      </c>
      <c r="J61">
        <v>0</v>
      </c>
      <c r="K61">
        <v>18</v>
      </c>
      <c r="L61">
        <v>18</v>
      </c>
      <c r="Q61">
        <v>0</v>
      </c>
      <c r="R61">
        <v>0</v>
      </c>
      <c r="S61">
        <v>18</v>
      </c>
      <c r="W61" t="s">
        <v>11400</v>
      </c>
      <c r="X61" t="s">
        <v>2906</v>
      </c>
      <c r="Y61" t="s">
        <v>10374</v>
      </c>
      <c r="Z61" t="s">
        <v>8753</v>
      </c>
      <c r="AA61" t="s">
        <v>2497</v>
      </c>
      <c r="AD61">
        <v>60</v>
      </c>
    </row>
    <row r="62" spans="1:30" x14ac:dyDescent="0.25">
      <c r="A62" t="s">
        <v>2474</v>
      </c>
      <c r="B62" t="s">
        <v>29607</v>
      </c>
      <c r="C62" s="221">
        <v>42987.977534722224</v>
      </c>
      <c r="D62" t="s">
        <v>29608</v>
      </c>
      <c r="E62" s="249" t="str">
        <f>HYPERLINK("https://www.instagram.com/p/BY2GvzGgMU9/")</f>
        <v>https://www.instagram.com/p/BY2GvzGgMU9/</v>
      </c>
      <c r="F62" t="s">
        <v>29609</v>
      </c>
      <c r="G62" t="s">
        <v>2478</v>
      </c>
      <c r="H62">
        <v>510</v>
      </c>
      <c r="I62" t="s">
        <v>2896</v>
      </c>
      <c r="J62">
        <v>0</v>
      </c>
      <c r="K62">
        <v>17</v>
      </c>
      <c r="L62">
        <v>17</v>
      </c>
      <c r="Q62">
        <v>0</v>
      </c>
      <c r="R62">
        <v>0</v>
      </c>
      <c r="S62">
        <v>17</v>
      </c>
      <c r="T62" t="s">
        <v>29610</v>
      </c>
      <c r="U62" t="s">
        <v>618</v>
      </c>
      <c r="V62" t="s">
        <v>2299</v>
      </c>
      <c r="W62" t="s">
        <v>2497</v>
      </c>
      <c r="X62" t="s">
        <v>29611</v>
      </c>
      <c r="Y62" t="s">
        <v>5686</v>
      </c>
      <c r="Z62" t="s">
        <v>29612</v>
      </c>
      <c r="AA62" t="s">
        <v>29613</v>
      </c>
      <c r="AB62">
        <v>45.546716000000004</v>
      </c>
      <c r="AC62">
        <v>-94.152421000000004</v>
      </c>
      <c r="AD62">
        <v>61</v>
      </c>
    </row>
    <row r="63" spans="1:30" x14ac:dyDescent="0.25">
      <c r="A63" t="s">
        <v>2474</v>
      </c>
      <c r="B63" t="s">
        <v>2494</v>
      </c>
      <c r="C63" s="221">
        <v>42958.033738425926</v>
      </c>
      <c r="D63" t="s">
        <v>2495</v>
      </c>
      <c r="E63" s="249" t="str">
        <f>HYPERLINK("https://www.instagram.com/p/BXpAKR8AzF7/")</f>
        <v>https://www.instagram.com/p/BXpAKR8AzF7/</v>
      </c>
      <c r="F63" t="s">
        <v>2496</v>
      </c>
      <c r="G63" t="s">
        <v>2478</v>
      </c>
      <c r="H63">
        <v>305</v>
      </c>
      <c r="I63" t="s">
        <v>2479</v>
      </c>
      <c r="J63">
        <v>2</v>
      </c>
      <c r="K63">
        <v>15</v>
      </c>
      <c r="L63">
        <v>17</v>
      </c>
      <c r="Q63">
        <v>0</v>
      </c>
      <c r="R63">
        <v>0</v>
      </c>
      <c r="S63">
        <v>17</v>
      </c>
      <c r="W63" t="s">
        <v>2497</v>
      </c>
      <c r="X63" t="s">
        <v>2498</v>
      </c>
      <c r="Y63" t="s">
        <v>2499</v>
      </c>
      <c r="Z63" t="s">
        <v>2500</v>
      </c>
      <c r="AA63" t="s">
        <v>2501</v>
      </c>
      <c r="AD63">
        <v>62</v>
      </c>
    </row>
    <row r="64" spans="1:30" x14ac:dyDescent="0.25">
      <c r="A64" t="s">
        <v>2474</v>
      </c>
      <c r="B64" t="s">
        <v>2563</v>
      </c>
      <c r="C64" s="221">
        <v>42958.120949074073</v>
      </c>
      <c r="D64" t="s">
        <v>2564</v>
      </c>
      <c r="E64" s="249" t="str">
        <f>HYPERLINK("https://www.instagram.com/p/BXpOiI7Fuw_/")</f>
        <v>https://www.instagram.com/p/BXpOiI7Fuw_/</v>
      </c>
      <c r="F64" t="s">
        <v>2565</v>
      </c>
      <c r="G64" t="s">
        <v>2478</v>
      </c>
      <c r="H64">
        <v>182</v>
      </c>
      <c r="I64" t="s">
        <v>2479</v>
      </c>
      <c r="J64">
        <v>0</v>
      </c>
      <c r="K64">
        <v>17</v>
      </c>
      <c r="L64">
        <v>17</v>
      </c>
      <c r="Q64">
        <v>0</v>
      </c>
      <c r="R64">
        <v>0</v>
      </c>
      <c r="S64">
        <v>17</v>
      </c>
      <c r="T64" t="s">
        <v>2566</v>
      </c>
      <c r="V64" t="s">
        <v>2263</v>
      </c>
      <c r="W64" t="s">
        <v>2567</v>
      </c>
      <c r="X64" t="s">
        <v>2497</v>
      </c>
      <c r="Y64" t="s">
        <v>2568</v>
      </c>
      <c r="Z64" t="s">
        <v>2569</v>
      </c>
      <c r="AA64" t="s">
        <v>2570</v>
      </c>
      <c r="AB64">
        <v>-33.9253</v>
      </c>
      <c r="AC64">
        <v>18.4239</v>
      </c>
      <c r="AD64">
        <v>63</v>
      </c>
    </row>
    <row r="65" spans="1:30" x14ac:dyDescent="0.25">
      <c r="A65" t="s">
        <v>2474</v>
      </c>
      <c r="B65" t="s">
        <v>2628</v>
      </c>
      <c r="C65" s="221">
        <v>42958.172858796293</v>
      </c>
      <c r="D65" t="s">
        <v>2629</v>
      </c>
      <c r="E65" s="249" t="str">
        <f>HYPERLINK("https://www.instagram.com/p/BXpXFrQAWYd/")</f>
        <v>https://www.instagram.com/p/BXpXFrQAWYd/</v>
      </c>
      <c r="F65" t="s">
        <v>2630</v>
      </c>
      <c r="G65" t="s">
        <v>2631</v>
      </c>
      <c r="H65">
        <v>183</v>
      </c>
      <c r="I65" t="s">
        <v>2479</v>
      </c>
      <c r="J65">
        <v>0</v>
      </c>
      <c r="K65">
        <v>17</v>
      </c>
      <c r="L65">
        <v>17</v>
      </c>
      <c r="Q65">
        <v>0</v>
      </c>
      <c r="R65">
        <v>0</v>
      </c>
      <c r="S65">
        <v>17</v>
      </c>
      <c r="W65" t="s">
        <v>2632</v>
      </c>
      <c r="X65" t="s">
        <v>2633</v>
      </c>
      <c r="Y65" t="s">
        <v>2634</v>
      </c>
      <c r="Z65" t="s">
        <v>2524</v>
      </c>
      <c r="AA65" t="s">
        <v>2635</v>
      </c>
      <c r="AD65">
        <v>64</v>
      </c>
    </row>
    <row r="66" spans="1:30" x14ac:dyDescent="0.25">
      <c r="A66" t="s">
        <v>2474</v>
      </c>
      <c r="B66" t="s">
        <v>13151</v>
      </c>
      <c r="C66" s="221">
        <v>42968.674942129626</v>
      </c>
      <c r="D66" t="s">
        <v>13152</v>
      </c>
      <c r="E66" s="249" t="str">
        <f>HYPERLINK("https://www.instagram.com/p/BYEZx09hA3n/")</f>
        <v>https://www.instagram.com/p/BYEZx09hA3n/</v>
      </c>
      <c r="F66" t="s">
        <v>13153</v>
      </c>
      <c r="G66" t="s">
        <v>2478</v>
      </c>
      <c r="H66">
        <v>2</v>
      </c>
      <c r="I66" t="s">
        <v>2479</v>
      </c>
      <c r="J66">
        <v>0</v>
      </c>
      <c r="K66">
        <v>17</v>
      </c>
      <c r="L66">
        <v>17</v>
      </c>
      <c r="Q66">
        <v>0</v>
      </c>
      <c r="R66">
        <v>0</v>
      </c>
      <c r="S66">
        <v>17</v>
      </c>
      <c r="W66" t="s">
        <v>13154</v>
      </c>
      <c r="X66" t="s">
        <v>8592</v>
      </c>
      <c r="Y66" t="s">
        <v>13155</v>
      </c>
      <c r="Z66" t="s">
        <v>13156</v>
      </c>
      <c r="AA66" t="s">
        <v>12586</v>
      </c>
      <c r="AD66">
        <v>65</v>
      </c>
    </row>
    <row r="67" spans="1:30" x14ac:dyDescent="0.25">
      <c r="A67" t="s">
        <v>2474</v>
      </c>
      <c r="B67" t="s">
        <v>29556</v>
      </c>
      <c r="C67" s="221">
        <v>42987.895613425928</v>
      </c>
      <c r="D67" t="s">
        <v>29557</v>
      </c>
      <c r="E67" s="249" t="str">
        <f>HYPERLINK("https://www.instagram.com/p/BY15P1pFSTd/")</f>
        <v>https://www.instagram.com/p/BY15P1pFSTd/</v>
      </c>
      <c r="F67" t="s">
        <v>29558</v>
      </c>
      <c r="G67" t="s">
        <v>2478</v>
      </c>
      <c r="H67">
        <v>35</v>
      </c>
      <c r="I67" t="s">
        <v>2479</v>
      </c>
      <c r="J67">
        <v>1</v>
      </c>
      <c r="K67">
        <v>13</v>
      </c>
      <c r="L67">
        <v>14</v>
      </c>
      <c r="Q67">
        <v>0</v>
      </c>
      <c r="R67">
        <v>0</v>
      </c>
      <c r="S67">
        <v>14</v>
      </c>
      <c r="W67" t="s">
        <v>2949</v>
      </c>
      <c r="X67" t="s">
        <v>6311</v>
      </c>
      <c r="Y67" t="s">
        <v>3569</v>
      </c>
      <c r="Z67" t="s">
        <v>29559</v>
      </c>
      <c r="AA67" t="s">
        <v>3244</v>
      </c>
      <c r="AD67">
        <v>66</v>
      </c>
    </row>
    <row r="68" spans="1:30" x14ac:dyDescent="0.25">
      <c r="A68" t="s">
        <v>2474</v>
      </c>
      <c r="B68" t="s">
        <v>29550</v>
      </c>
      <c r="C68" s="221">
        <v>42987.884189814817</v>
      </c>
      <c r="D68" t="s">
        <v>29551</v>
      </c>
      <c r="E68" s="249" t="str">
        <f>HYPERLINK("https://www.instagram.com/p/BY13XROhGQ0/")</f>
        <v>https://www.instagram.com/p/BY13XROhGQ0/</v>
      </c>
      <c r="F68" t="s">
        <v>29552</v>
      </c>
      <c r="G68" t="s">
        <v>2478</v>
      </c>
      <c r="H68">
        <v>273</v>
      </c>
      <c r="I68" t="s">
        <v>3186</v>
      </c>
      <c r="J68">
        <v>1</v>
      </c>
      <c r="K68">
        <v>13</v>
      </c>
      <c r="L68">
        <v>14</v>
      </c>
      <c r="Q68">
        <v>0</v>
      </c>
      <c r="R68">
        <v>0</v>
      </c>
      <c r="S68">
        <v>14</v>
      </c>
      <c r="W68" t="s">
        <v>29553</v>
      </c>
      <c r="X68" t="s">
        <v>29554</v>
      </c>
      <c r="Y68" t="s">
        <v>2492</v>
      </c>
      <c r="Z68" t="s">
        <v>29555</v>
      </c>
      <c r="AA68" t="s">
        <v>8878</v>
      </c>
      <c r="AD68">
        <v>67</v>
      </c>
    </row>
    <row r="69" spans="1:30" x14ac:dyDescent="0.25">
      <c r="A69" t="s">
        <v>2474</v>
      </c>
      <c r="B69" t="s">
        <v>5854</v>
      </c>
      <c r="C69" s="221">
        <v>42961.104131944441</v>
      </c>
      <c r="D69" t="s">
        <v>5855</v>
      </c>
      <c r="E69" s="249" t="str">
        <f>HYPERLINK("https://www.instagram.com/p/BXw6JWrg3nS/")</f>
        <v>https://www.instagram.com/p/BXw6JWrg3nS/</v>
      </c>
      <c r="F69" t="s">
        <v>5856</v>
      </c>
      <c r="G69" t="s">
        <v>2478</v>
      </c>
      <c r="H69">
        <v>3</v>
      </c>
      <c r="I69" t="s">
        <v>2479</v>
      </c>
      <c r="J69">
        <v>1</v>
      </c>
      <c r="K69">
        <v>12</v>
      </c>
      <c r="L69">
        <v>13</v>
      </c>
      <c r="Q69">
        <v>0</v>
      </c>
      <c r="R69">
        <v>0</v>
      </c>
      <c r="S69">
        <v>13</v>
      </c>
      <c r="W69" t="s">
        <v>5857</v>
      </c>
      <c r="X69" t="s">
        <v>5858</v>
      </c>
      <c r="Y69" t="s">
        <v>5859</v>
      </c>
      <c r="Z69" t="s">
        <v>5860</v>
      </c>
      <c r="AA69" t="s">
        <v>5861</v>
      </c>
      <c r="AD69">
        <v>68</v>
      </c>
    </row>
    <row r="70" spans="1:30" x14ac:dyDescent="0.25">
      <c r="A70" t="s">
        <v>2474</v>
      </c>
      <c r="B70" t="s">
        <v>18309</v>
      </c>
      <c r="C70" s="221">
        <v>42987.96603009259</v>
      </c>
      <c r="D70" t="s">
        <v>29598</v>
      </c>
      <c r="E70" s="249" t="str">
        <f>HYPERLINK("https://www.instagram.com/p/BY2E2fxjwAG/")</f>
        <v>https://www.instagram.com/p/BY2E2fxjwAG/</v>
      </c>
      <c r="F70" t="s">
        <v>29599</v>
      </c>
      <c r="G70" t="s">
        <v>2478</v>
      </c>
      <c r="H70">
        <v>50</v>
      </c>
      <c r="I70" t="s">
        <v>2479</v>
      </c>
      <c r="J70">
        <v>0</v>
      </c>
      <c r="K70">
        <v>11</v>
      </c>
      <c r="L70">
        <v>11</v>
      </c>
      <c r="Q70">
        <v>0</v>
      </c>
      <c r="R70">
        <v>0</v>
      </c>
      <c r="S70">
        <v>11</v>
      </c>
      <c r="W70" t="s">
        <v>4180</v>
      </c>
      <c r="X70" t="s">
        <v>3269</v>
      </c>
      <c r="Y70" t="s">
        <v>2497</v>
      </c>
      <c r="Z70" t="s">
        <v>10374</v>
      </c>
      <c r="AA70" t="s">
        <v>2730</v>
      </c>
      <c r="AD70">
        <v>69</v>
      </c>
    </row>
    <row r="71" spans="1:30" x14ac:dyDescent="0.25">
      <c r="A71" t="s">
        <v>2474</v>
      </c>
      <c r="B71" t="s">
        <v>29590</v>
      </c>
      <c r="C71" s="221">
        <v>42987.936932870369</v>
      </c>
      <c r="D71" t="s">
        <v>29591</v>
      </c>
      <c r="E71" s="249" t="str">
        <f>HYPERLINK("https://www.instagram.com/p/BY2ADn_gOSb/")</f>
        <v>https://www.instagram.com/p/BY2ADn_gOSb/</v>
      </c>
      <c r="F71" t="s">
        <v>29592</v>
      </c>
      <c r="G71" t="s">
        <v>2631</v>
      </c>
      <c r="H71">
        <v>142</v>
      </c>
      <c r="I71" t="s">
        <v>2479</v>
      </c>
      <c r="J71">
        <v>0</v>
      </c>
      <c r="K71">
        <v>10</v>
      </c>
      <c r="L71">
        <v>10</v>
      </c>
      <c r="Q71">
        <v>0</v>
      </c>
      <c r="R71">
        <v>0</v>
      </c>
      <c r="S71">
        <v>10</v>
      </c>
      <c r="W71" t="s">
        <v>2497</v>
      </c>
      <c r="AD71">
        <v>70</v>
      </c>
    </row>
    <row r="72" spans="1:30" x14ac:dyDescent="0.25">
      <c r="A72" t="s">
        <v>2474</v>
      </c>
      <c r="B72" t="s">
        <v>18166</v>
      </c>
      <c r="C72" s="221">
        <v>42974.326493055552</v>
      </c>
      <c r="D72" t="s">
        <v>18167</v>
      </c>
      <c r="E72" s="249" t="str">
        <f>HYPERLINK("https://www.instagram.com/p/BYS9H9DlQQk/")</f>
        <v>https://www.instagram.com/p/BYS9H9DlQQk/</v>
      </c>
      <c r="F72" t="s">
        <v>18168</v>
      </c>
      <c r="G72" t="s">
        <v>2478</v>
      </c>
      <c r="H72">
        <v>2</v>
      </c>
      <c r="I72" t="s">
        <v>2479</v>
      </c>
      <c r="J72">
        <v>2</v>
      </c>
      <c r="K72">
        <v>8</v>
      </c>
      <c r="L72">
        <v>10</v>
      </c>
      <c r="Q72">
        <v>0</v>
      </c>
      <c r="R72">
        <v>0</v>
      </c>
      <c r="S72">
        <v>10</v>
      </c>
      <c r="W72" t="s">
        <v>7374</v>
      </c>
      <c r="X72" t="s">
        <v>6172</v>
      </c>
      <c r="Y72" t="s">
        <v>2551</v>
      </c>
      <c r="Z72" t="s">
        <v>4582</v>
      </c>
      <c r="AA72" t="s">
        <v>2497</v>
      </c>
      <c r="AD72">
        <v>71</v>
      </c>
    </row>
    <row r="73" spans="1:30" x14ac:dyDescent="0.25">
      <c r="A73" t="s">
        <v>2474</v>
      </c>
      <c r="B73" t="s">
        <v>20921</v>
      </c>
      <c r="C73" s="221">
        <v>42977.650347222225</v>
      </c>
      <c r="D73" t="s">
        <v>20922</v>
      </c>
      <c r="E73" s="249" t="str">
        <f>HYPERLINK("https://www.instagram.com/p/BYbg4UUgCbE/")</f>
        <v>https://www.instagram.com/p/BYbg4UUgCbE/</v>
      </c>
      <c r="F73" t="s">
        <v>20923</v>
      </c>
      <c r="G73" t="s">
        <v>2478</v>
      </c>
      <c r="H73">
        <v>3</v>
      </c>
      <c r="I73" t="s">
        <v>2479</v>
      </c>
      <c r="J73">
        <v>0</v>
      </c>
      <c r="K73">
        <v>10</v>
      </c>
      <c r="L73">
        <v>10</v>
      </c>
      <c r="Q73">
        <v>0</v>
      </c>
      <c r="R73">
        <v>0</v>
      </c>
      <c r="S73">
        <v>10</v>
      </c>
      <c r="T73" t="s">
        <v>20924</v>
      </c>
      <c r="V73" t="s">
        <v>2161</v>
      </c>
      <c r="W73" t="s">
        <v>7830</v>
      </c>
      <c r="X73" t="s">
        <v>2497</v>
      </c>
      <c r="Y73" t="s">
        <v>20925</v>
      </c>
      <c r="Z73" t="s">
        <v>20926</v>
      </c>
      <c r="AB73">
        <v>49.412199999999999</v>
      </c>
      <c r="AC73">
        <v>8.7100000000000009</v>
      </c>
      <c r="AD73">
        <v>72</v>
      </c>
    </row>
    <row r="74" spans="1:30" x14ac:dyDescent="0.25">
      <c r="A74" t="s">
        <v>2474</v>
      </c>
      <c r="B74" t="s">
        <v>29600</v>
      </c>
      <c r="C74" s="221">
        <v>42987.976365740738</v>
      </c>
      <c r="D74" t="s">
        <v>29601</v>
      </c>
      <c r="E74" s="249" t="str">
        <f>HYPERLINK("https://www.instagram.com/p/BY2Gje7hQZM/")</f>
        <v>https://www.instagram.com/p/BY2Gje7hQZM/</v>
      </c>
      <c r="F74" t="s">
        <v>29602</v>
      </c>
      <c r="G74" t="s">
        <v>2478</v>
      </c>
      <c r="I74" t="s">
        <v>2479</v>
      </c>
      <c r="J74">
        <v>0</v>
      </c>
      <c r="K74">
        <v>9</v>
      </c>
      <c r="L74">
        <v>9</v>
      </c>
      <c r="Q74">
        <v>0</v>
      </c>
      <c r="R74">
        <v>0</v>
      </c>
      <c r="S74">
        <v>9</v>
      </c>
      <c r="W74" t="s">
        <v>29603</v>
      </c>
      <c r="X74" t="s">
        <v>2497</v>
      </c>
      <c r="Y74" t="s">
        <v>29604</v>
      </c>
      <c r="Z74" t="s">
        <v>29605</v>
      </c>
      <c r="AA74" t="s">
        <v>29606</v>
      </c>
      <c r="AD74">
        <v>73</v>
      </c>
    </row>
    <row r="75" spans="1:30" x14ac:dyDescent="0.25">
      <c r="A75" t="s">
        <v>2474</v>
      </c>
      <c r="B75" t="s">
        <v>17216</v>
      </c>
      <c r="C75" s="221">
        <v>42987.910254629627</v>
      </c>
      <c r="D75" t="s">
        <v>29562</v>
      </c>
      <c r="E75" s="249" t="str">
        <f>HYPERLINK("https://www.instagram.com/p/BY17qMBgFdc/")</f>
        <v>https://www.instagram.com/p/BY17qMBgFdc/</v>
      </c>
      <c r="F75" t="s">
        <v>29563</v>
      </c>
      <c r="G75" t="s">
        <v>2478</v>
      </c>
      <c r="H75">
        <v>46</v>
      </c>
      <c r="I75" t="s">
        <v>2479</v>
      </c>
      <c r="J75">
        <v>1</v>
      </c>
      <c r="K75">
        <v>8</v>
      </c>
      <c r="L75">
        <v>9</v>
      </c>
      <c r="Q75">
        <v>0</v>
      </c>
      <c r="R75">
        <v>0</v>
      </c>
      <c r="S75">
        <v>9</v>
      </c>
      <c r="W75" t="s">
        <v>11434</v>
      </c>
      <c r="X75" t="s">
        <v>2551</v>
      </c>
      <c r="Y75" t="s">
        <v>29564</v>
      </c>
      <c r="Z75" t="s">
        <v>4582</v>
      </c>
      <c r="AA75" t="s">
        <v>3655</v>
      </c>
      <c r="AD75">
        <v>74</v>
      </c>
    </row>
    <row r="76" spans="1:30" x14ac:dyDescent="0.25">
      <c r="A76" t="s">
        <v>2474</v>
      </c>
      <c r="B76" t="s">
        <v>19937</v>
      </c>
      <c r="C76" s="221">
        <v>42976.508067129631</v>
      </c>
      <c r="D76" t="s">
        <v>19938</v>
      </c>
      <c r="E76" s="249" t="str">
        <f>HYPERLINK("https://www.instagram.com/p/BYYkow4FQQc/")</f>
        <v>https://www.instagram.com/p/BYYkow4FQQc/</v>
      </c>
      <c r="F76" t="s">
        <v>19939</v>
      </c>
      <c r="G76" t="s">
        <v>2478</v>
      </c>
      <c r="H76">
        <v>0</v>
      </c>
      <c r="I76" t="s">
        <v>2479</v>
      </c>
      <c r="J76">
        <v>0</v>
      </c>
      <c r="K76">
        <v>9</v>
      </c>
      <c r="L76">
        <v>9</v>
      </c>
      <c r="Q76">
        <v>0</v>
      </c>
      <c r="R76">
        <v>0</v>
      </c>
      <c r="S76">
        <v>9</v>
      </c>
      <c r="W76" t="s">
        <v>19940</v>
      </c>
      <c r="X76" t="s">
        <v>19941</v>
      </c>
      <c r="Y76" t="s">
        <v>19942</v>
      </c>
      <c r="Z76" t="s">
        <v>2497</v>
      </c>
      <c r="AA76" t="s">
        <v>19943</v>
      </c>
      <c r="AD76">
        <v>75</v>
      </c>
    </row>
    <row r="77" spans="1:30" x14ac:dyDescent="0.25">
      <c r="A77" t="s">
        <v>2474</v>
      </c>
      <c r="B77" t="s">
        <v>19515</v>
      </c>
      <c r="C77" s="221">
        <v>42975.94734953704</v>
      </c>
      <c r="D77" t="s">
        <v>19516</v>
      </c>
      <c r="E77" s="249" t="str">
        <f>HYPERLINK("https://www.instagram.com/p/BYXIO_jgXi0/")</f>
        <v>https://www.instagram.com/p/BYXIO_jgXi0/</v>
      </c>
      <c r="F77" t="s">
        <v>19517</v>
      </c>
      <c r="G77" t="s">
        <v>2478</v>
      </c>
      <c r="H77">
        <v>2</v>
      </c>
      <c r="I77" t="s">
        <v>2479</v>
      </c>
      <c r="J77">
        <v>0</v>
      </c>
      <c r="K77">
        <v>9</v>
      </c>
      <c r="L77">
        <v>9</v>
      </c>
      <c r="Q77">
        <v>0</v>
      </c>
      <c r="R77">
        <v>0</v>
      </c>
      <c r="S77">
        <v>9</v>
      </c>
      <c r="W77" t="s">
        <v>19518</v>
      </c>
      <c r="X77" t="s">
        <v>2968</v>
      </c>
      <c r="Y77" t="s">
        <v>2497</v>
      </c>
      <c r="Z77" t="s">
        <v>3568</v>
      </c>
      <c r="AA77" t="s">
        <v>3706</v>
      </c>
      <c r="AD77">
        <v>76</v>
      </c>
    </row>
    <row r="78" spans="1:30" x14ac:dyDescent="0.25">
      <c r="A78" t="s">
        <v>2474</v>
      </c>
      <c r="B78" t="s">
        <v>2534</v>
      </c>
      <c r="C78" s="221">
        <v>42958.063564814816</v>
      </c>
      <c r="D78" t="s">
        <v>2535</v>
      </c>
      <c r="E78" s="249" t="str">
        <f>HYPERLINK("https://www.instagram.com/p/BXpFE4OhPIM/")</f>
        <v>https://www.instagram.com/p/BXpFE4OhPIM/</v>
      </c>
      <c r="F78" t="s">
        <v>2536</v>
      </c>
      <c r="G78" t="s">
        <v>2478</v>
      </c>
      <c r="H78">
        <v>41</v>
      </c>
      <c r="I78" t="s">
        <v>2519</v>
      </c>
      <c r="J78">
        <v>1</v>
      </c>
      <c r="K78">
        <v>6</v>
      </c>
      <c r="L78">
        <v>7</v>
      </c>
      <c r="Q78">
        <v>0</v>
      </c>
      <c r="R78">
        <v>0</v>
      </c>
      <c r="S78">
        <v>7</v>
      </c>
      <c r="W78" t="s">
        <v>2537</v>
      </c>
      <c r="X78" t="s">
        <v>2497</v>
      </c>
      <c r="Y78" t="s">
        <v>2538</v>
      </c>
      <c r="AD78">
        <v>77</v>
      </c>
    </row>
    <row r="79" spans="1:30" x14ac:dyDescent="0.25">
      <c r="A79" t="s">
        <v>2474</v>
      </c>
      <c r="B79" t="s">
        <v>23696</v>
      </c>
      <c r="C79" s="221">
        <v>42981.209282407406</v>
      </c>
      <c r="D79" t="s">
        <v>23697</v>
      </c>
      <c r="E79" s="249" t="str">
        <f>HYPERLINK("https://www.instagram.com/p/BYkrX5XHUY2/")</f>
        <v>https://www.instagram.com/p/BYkrX5XHUY2/</v>
      </c>
      <c r="F79" t="s">
        <v>23698</v>
      </c>
      <c r="G79" t="s">
        <v>2478</v>
      </c>
      <c r="H79">
        <v>1</v>
      </c>
      <c r="I79" t="s">
        <v>2748</v>
      </c>
      <c r="J79">
        <v>1</v>
      </c>
      <c r="K79">
        <v>5</v>
      </c>
      <c r="L79">
        <v>6</v>
      </c>
      <c r="Q79">
        <v>0</v>
      </c>
      <c r="R79">
        <v>0</v>
      </c>
      <c r="S79">
        <v>6</v>
      </c>
      <c r="W79" t="s">
        <v>19667</v>
      </c>
      <c r="X79" t="s">
        <v>23699</v>
      </c>
      <c r="Y79" t="s">
        <v>23700</v>
      </c>
      <c r="Z79" t="s">
        <v>4464</v>
      </c>
      <c r="AA79" t="s">
        <v>2493</v>
      </c>
      <c r="AD79">
        <v>78</v>
      </c>
    </row>
    <row r="80" spans="1:30" x14ac:dyDescent="0.25">
      <c r="A80" t="s">
        <v>2474</v>
      </c>
      <c r="B80" t="s">
        <v>12425</v>
      </c>
      <c r="C80" s="221">
        <v>42976.285810185182</v>
      </c>
      <c r="D80" t="s">
        <v>19787</v>
      </c>
      <c r="E80" s="249" t="str">
        <f>HYPERLINK("https://www.instagram.com/p/BYYAAm4goIk/")</f>
        <v>https://www.instagram.com/p/BYYAAm4goIk/</v>
      </c>
      <c r="F80" t="s">
        <v>19788</v>
      </c>
      <c r="G80" t="s">
        <v>2478</v>
      </c>
      <c r="H80">
        <v>3</v>
      </c>
      <c r="I80" t="s">
        <v>2479</v>
      </c>
      <c r="J80">
        <v>0</v>
      </c>
      <c r="K80">
        <v>6</v>
      </c>
      <c r="L80">
        <v>6</v>
      </c>
      <c r="Q80">
        <v>0</v>
      </c>
      <c r="R80">
        <v>0</v>
      </c>
      <c r="S80">
        <v>6</v>
      </c>
      <c r="W80" t="s">
        <v>19789</v>
      </c>
      <c r="X80" t="s">
        <v>19790</v>
      </c>
      <c r="Y80" t="s">
        <v>19791</v>
      </c>
      <c r="Z80" t="s">
        <v>5989</v>
      </c>
      <c r="AA80" t="s">
        <v>19792</v>
      </c>
      <c r="AD80">
        <v>79</v>
      </c>
    </row>
    <row r="81" spans="1:30" x14ac:dyDescent="0.25">
      <c r="A81" t="s">
        <v>2474</v>
      </c>
      <c r="B81" t="s">
        <v>24940</v>
      </c>
      <c r="C81" s="221">
        <v>42982.533530092594</v>
      </c>
      <c r="D81" t="s">
        <v>24941</v>
      </c>
      <c r="E81" s="249" t="str">
        <f>HYPERLINK("https://www.instagram.com/p/BYoFmhxAiVo/")</f>
        <v>https://www.instagram.com/p/BYoFmhxAiVo/</v>
      </c>
      <c r="F81" t="s">
        <v>24942</v>
      </c>
      <c r="G81" t="s">
        <v>2478</v>
      </c>
      <c r="H81">
        <v>3</v>
      </c>
      <c r="I81" t="s">
        <v>2510</v>
      </c>
      <c r="J81">
        <v>1</v>
      </c>
      <c r="K81">
        <v>5</v>
      </c>
      <c r="L81">
        <v>6</v>
      </c>
      <c r="Q81">
        <v>0</v>
      </c>
      <c r="R81">
        <v>0</v>
      </c>
      <c r="S81">
        <v>6</v>
      </c>
      <c r="W81" t="s">
        <v>2497</v>
      </c>
      <c r="X81" t="s">
        <v>24943</v>
      </c>
      <c r="Y81" t="s">
        <v>24944</v>
      </c>
      <c r="Z81" t="s">
        <v>24829</v>
      </c>
      <c r="AA81" t="s">
        <v>3568</v>
      </c>
      <c r="AD81">
        <v>80</v>
      </c>
    </row>
    <row r="82" spans="1:30" x14ac:dyDescent="0.25">
      <c r="A82" t="s">
        <v>2474</v>
      </c>
      <c r="B82" t="s">
        <v>9237</v>
      </c>
      <c r="C82" s="221">
        <v>42964.267557870371</v>
      </c>
      <c r="D82" t="s">
        <v>9238</v>
      </c>
      <c r="E82" s="249" t="str">
        <f>HYPERLINK("https://www.instagram.com/p/BX5DdrlgP3D/")</f>
        <v>https://www.instagram.com/p/BX5DdrlgP3D/</v>
      </c>
      <c r="F82" t="s">
        <v>9239</v>
      </c>
      <c r="G82" t="s">
        <v>2478</v>
      </c>
      <c r="H82">
        <v>2</v>
      </c>
      <c r="I82" t="s">
        <v>2542</v>
      </c>
      <c r="J82">
        <v>0</v>
      </c>
      <c r="K82">
        <v>5</v>
      </c>
      <c r="L82">
        <v>5</v>
      </c>
      <c r="Q82">
        <v>0</v>
      </c>
      <c r="R82">
        <v>0</v>
      </c>
      <c r="S82">
        <v>5</v>
      </c>
      <c r="W82" t="s">
        <v>9240</v>
      </c>
      <c r="X82" t="s">
        <v>9241</v>
      </c>
      <c r="Y82" t="s">
        <v>9242</v>
      </c>
      <c r="Z82" t="s">
        <v>9243</v>
      </c>
      <c r="AA82" t="s">
        <v>9244</v>
      </c>
      <c r="AD82">
        <v>81</v>
      </c>
    </row>
    <row r="83" spans="1:30" x14ac:dyDescent="0.25">
      <c r="A83" t="s">
        <v>2474</v>
      </c>
      <c r="B83" t="s">
        <v>19422</v>
      </c>
      <c r="C83" s="221">
        <v>42975.762928240743</v>
      </c>
      <c r="D83" t="s">
        <v>19423</v>
      </c>
      <c r="E83" s="249" t="str">
        <f>HYPERLINK("https://www.instagram.com/p/BYWp11MhtYO/")</f>
        <v>https://www.instagram.com/p/BYWp11MhtYO/</v>
      </c>
      <c r="F83" t="s">
        <v>19424</v>
      </c>
      <c r="G83" t="s">
        <v>2478</v>
      </c>
      <c r="H83">
        <v>0</v>
      </c>
      <c r="I83" t="s">
        <v>2479</v>
      </c>
      <c r="J83">
        <v>0</v>
      </c>
      <c r="K83">
        <v>2</v>
      </c>
      <c r="L83">
        <v>2</v>
      </c>
      <c r="Q83">
        <v>0</v>
      </c>
      <c r="R83">
        <v>0</v>
      </c>
      <c r="S83">
        <v>2</v>
      </c>
      <c r="W83" t="s">
        <v>10268</v>
      </c>
      <c r="X83" t="s">
        <v>2497</v>
      </c>
      <c r="Y83" t="s">
        <v>8007</v>
      </c>
      <c r="Z83" t="s">
        <v>3706</v>
      </c>
      <c r="AA83" t="s">
        <v>2730</v>
      </c>
      <c r="AD83">
        <v>82</v>
      </c>
    </row>
    <row r="84" spans="1:30" x14ac:dyDescent="0.25">
      <c r="A84" t="s">
        <v>2474</v>
      </c>
      <c r="B84" t="s">
        <v>17118</v>
      </c>
      <c r="C84" s="221">
        <v>42972.799224537041</v>
      </c>
      <c r="D84" t="s">
        <v>17119</v>
      </c>
      <c r="E84" s="249" t="str">
        <f>HYPERLINK("https://www.instagram.com/p/BYPBcGUh_Nj/")</f>
        <v>https://www.instagram.com/p/BYPBcGUh_Nj/</v>
      </c>
      <c r="F84" t="s">
        <v>17120</v>
      </c>
      <c r="G84" t="s">
        <v>2478</v>
      </c>
      <c r="H84">
        <v>1</v>
      </c>
      <c r="I84" t="s">
        <v>2479</v>
      </c>
      <c r="J84">
        <v>0</v>
      </c>
      <c r="K84">
        <v>2</v>
      </c>
      <c r="L84">
        <v>2</v>
      </c>
      <c r="Q84">
        <v>0</v>
      </c>
      <c r="R84">
        <v>0</v>
      </c>
      <c r="S84">
        <v>2</v>
      </c>
      <c r="W84" t="s">
        <v>17121</v>
      </c>
      <c r="X84" t="s">
        <v>17122</v>
      </c>
      <c r="Y84" t="s">
        <v>2497</v>
      </c>
      <c r="AD84">
        <v>83</v>
      </c>
    </row>
    <row r="85" spans="1:30" x14ac:dyDescent="0.25">
      <c r="A85" t="s">
        <v>2474</v>
      </c>
      <c r="B85" t="s">
        <v>27936</v>
      </c>
      <c r="C85" s="221">
        <v>42985.675798611112</v>
      </c>
      <c r="D85" t="s">
        <v>27937</v>
      </c>
      <c r="E85" s="249" t="str">
        <f>HYPERLINK("https://www.instagram.com/p/BYwLbryA2Gj/")</f>
        <v>https://www.instagram.com/p/BYwLbryA2Gj/</v>
      </c>
      <c r="F85" t="s">
        <v>27938</v>
      </c>
      <c r="G85" t="s">
        <v>2478</v>
      </c>
      <c r="H85">
        <v>1</v>
      </c>
      <c r="I85" t="s">
        <v>2510</v>
      </c>
      <c r="J85">
        <v>0</v>
      </c>
      <c r="K85">
        <v>2</v>
      </c>
      <c r="L85">
        <v>2</v>
      </c>
      <c r="Q85">
        <v>0</v>
      </c>
      <c r="R85">
        <v>0</v>
      </c>
      <c r="S85">
        <v>2</v>
      </c>
      <c r="T85" t="s">
        <v>27939</v>
      </c>
      <c r="U85" t="s">
        <v>348</v>
      </c>
      <c r="V85" t="s">
        <v>2299</v>
      </c>
      <c r="W85" t="s">
        <v>2497</v>
      </c>
      <c r="AB85">
        <v>35.066699999999997</v>
      </c>
      <c r="AC85">
        <v>-78.917599999999993</v>
      </c>
      <c r="AD85">
        <v>84</v>
      </c>
    </row>
    <row r="86" spans="1:30" x14ac:dyDescent="0.25">
      <c r="A86" t="s">
        <v>2474</v>
      </c>
      <c r="B86" t="s">
        <v>11462</v>
      </c>
      <c r="C86" s="221">
        <v>42966.826608796298</v>
      </c>
      <c r="D86" t="s">
        <v>11463</v>
      </c>
      <c r="E86" s="249" t="str">
        <f>HYPERLINK("https://www.instagram.com/p/BX_pLoFBO14/")</f>
        <v>https://www.instagram.com/p/BX_pLoFBO14/</v>
      </c>
      <c r="F86" t="s">
        <v>11464</v>
      </c>
      <c r="G86" t="s">
        <v>2488</v>
      </c>
      <c r="H86">
        <v>2</v>
      </c>
      <c r="I86" t="s">
        <v>2479</v>
      </c>
      <c r="J86">
        <v>0</v>
      </c>
      <c r="K86">
        <v>2</v>
      </c>
      <c r="L86">
        <v>2</v>
      </c>
      <c r="Q86">
        <v>0</v>
      </c>
      <c r="R86">
        <v>0</v>
      </c>
      <c r="S86">
        <v>2</v>
      </c>
      <c r="W86" t="s">
        <v>2497</v>
      </c>
      <c r="X86" t="s">
        <v>11465</v>
      </c>
      <c r="Y86" t="s">
        <v>11466</v>
      </c>
      <c r="Z86" t="s">
        <v>11467</v>
      </c>
      <c r="AA86" t="s">
        <v>10351</v>
      </c>
      <c r="AD86">
        <v>85</v>
      </c>
    </row>
    <row r="87" spans="1:30" x14ac:dyDescent="0.25">
      <c r="A87" t="s">
        <v>2474</v>
      </c>
      <c r="B87" t="s">
        <v>22227</v>
      </c>
      <c r="C87" s="221">
        <v>42979.249976851854</v>
      </c>
      <c r="D87" t="s">
        <v>22228</v>
      </c>
      <c r="E87" s="249" t="str">
        <f>HYPERLINK("https://www.instagram.com/p/BYfofZdlef2/")</f>
        <v>https://www.instagram.com/p/BYfofZdlef2/</v>
      </c>
      <c r="F87" t="s">
        <v>22229</v>
      </c>
      <c r="G87" t="s">
        <v>2478</v>
      </c>
      <c r="H87">
        <v>2</v>
      </c>
      <c r="I87" t="s">
        <v>2599</v>
      </c>
      <c r="J87">
        <v>0</v>
      </c>
      <c r="K87">
        <v>2</v>
      </c>
      <c r="L87">
        <v>2</v>
      </c>
      <c r="Q87">
        <v>0</v>
      </c>
      <c r="R87">
        <v>0</v>
      </c>
      <c r="S87">
        <v>2</v>
      </c>
      <c r="W87" t="s">
        <v>22230</v>
      </c>
      <c r="X87" t="s">
        <v>22231</v>
      </c>
      <c r="Y87" t="s">
        <v>22232</v>
      </c>
      <c r="Z87" t="s">
        <v>2497</v>
      </c>
      <c r="AD87">
        <v>86</v>
      </c>
    </row>
    <row r="88" spans="1:30" x14ac:dyDescent="0.25">
      <c r="A88" t="s">
        <v>2474</v>
      </c>
      <c r="B88" t="s">
        <v>22438</v>
      </c>
      <c r="C88" s="221">
        <v>42979.460011574076</v>
      </c>
      <c r="D88" t="s">
        <v>22439</v>
      </c>
      <c r="E88" s="249" t="str">
        <f>HYPERLINK("https://www.instagram.com/p/BYgLGhrloFI/")</f>
        <v>https://www.instagram.com/p/BYgLGhrloFI/</v>
      </c>
      <c r="F88" t="s">
        <v>22440</v>
      </c>
      <c r="G88" t="s">
        <v>2478</v>
      </c>
      <c r="H88">
        <v>0</v>
      </c>
      <c r="I88" t="s">
        <v>2479</v>
      </c>
      <c r="J88">
        <v>0</v>
      </c>
      <c r="K88">
        <v>1</v>
      </c>
      <c r="L88">
        <v>1</v>
      </c>
      <c r="Q88">
        <v>0</v>
      </c>
      <c r="R88">
        <v>0</v>
      </c>
      <c r="S88">
        <v>1</v>
      </c>
      <c r="W88" t="s">
        <v>22441</v>
      </c>
      <c r="X88" t="s">
        <v>2497</v>
      </c>
      <c r="AD88">
        <v>87</v>
      </c>
    </row>
    <row r="89" spans="1:30" x14ac:dyDescent="0.25">
      <c r="A89" t="s">
        <v>2474</v>
      </c>
      <c r="B89" t="s">
        <v>27404</v>
      </c>
      <c r="C89" s="221">
        <v>42985.105787037035</v>
      </c>
      <c r="D89" t="s">
        <v>27405</v>
      </c>
      <c r="E89" s="249" t="str">
        <f>HYPERLINK("https://www.instagram.com/p/BYutfywBuCW/")</f>
        <v>https://www.instagram.com/p/BYutfywBuCW/</v>
      </c>
      <c r="F89" t="s">
        <v>27406</v>
      </c>
      <c r="G89" t="s">
        <v>2478</v>
      </c>
      <c r="H89">
        <v>0</v>
      </c>
      <c r="I89" t="s">
        <v>5670</v>
      </c>
      <c r="J89">
        <v>0</v>
      </c>
      <c r="K89">
        <v>1</v>
      </c>
      <c r="L89">
        <v>1</v>
      </c>
      <c r="Q89">
        <v>0</v>
      </c>
      <c r="R89">
        <v>0</v>
      </c>
      <c r="S89">
        <v>1</v>
      </c>
      <c r="T89" t="s">
        <v>27407</v>
      </c>
      <c r="V89" t="s">
        <v>2222</v>
      </c>
      <c r="W89" t="s">
        <v>27408</v>
      </c>
      <c r="X89" t="s">
        <v>2497</v>
      </c>
      <c r="Y89" t="s">
        <v>27409</v>
      </c>
      <c r="Z89" t="s">
        <v>27410</v>
      </c>
      <c r="AB89">
        <v>51.993127933897</v>
      </c>
      <c r="AC89">
        <v>5.9601999000000001</v>
      </c>
      <c r="AD89">
        <v>88</v>
      </c>
    </row>
    <row r="90" spans="1:30" x14ac:dyDescent="0.25">
      <c r="A90" t="s">
        <v>2474</v>
      </c>
      <c r="B90" t="s">
        <v>20673</v>
      </c>
      <c r="C90" s="221">
        <v>42977.442800925928</v>
      </c>
      <c r="D90" t="s">
        <v>20674</v>
      </c>
      <c r="E90" s="249" t="str">
        <f>HYPERLINK("https://www.instagram.com/p/BYa-rRBF0wx/")</f>
        <v>https://www.instagram.com/p/BYa-rRBF0wx/</v>
      </c>
      <c r="F90" t="s">
        <v>20675</v>
      </c>
      <c r="G90" t="s">
        <v>2478</v>
      </c>
      <c r="H90">
        <v>1</v>
      </c>
      <c r="I90" t="s">
        <v>2479</v>
      </c>
      <c r="J90">
        <v>0</v>
      </c>
      <c r="K90">
        <v>1</v>
      </c>
      <c r="L90">
        <v>1</v>
      </c>
      <c r="Q90">
        <v>0</v>
      </c>
      <c r="R90">
        <v>0</v>
      </c>
      <c r="S90">
        <v>1</v>
      </c>
      <c r="W90" t="s">
        <v>20676</v>
      </c>
      <c r="X90" t="s">
        <v>2497</v>
      </c>
      <c r="Y90" t="s">
        <v>17154</v>
      </c>
      <c r="AD90">
        <v>89</v>
      </c>
    </row>
    <row r="91" spans="1:30" x14ac:dyDescent="0.25">
      <c r="A91" t="s">
        <v>2474</v>
      </c>
      <c r="B91" t="s">
        <v>3008</v>
      </c>
      <c r="C91" s="221">
        <v>42958.486354166664</v>
      </c>
      <c r="D91" t="s">
        <v>3009</v>
      </c>
      <c r="E91" s="249" t="str">
        <f>HYPERLINK("https://www.instagram.com/p/BXqKwFJgvkQ/")</f>
        <v>https://www.instagram.com/p/BXqKwFJgvkQ/</v>
      </c>
      <c r="F91" t="s">
        <v>3010</v>
      </c>
      <c r="G91" t="s">
        <v>2631</v>
      </c>
      <c r="H91">
        <v>272</v>
      </c>
      <c r="I91" t="s">
        <v>2479</v>
      </c>
      <c r="J91">
        <v>0</v>
      </c>
      <c r="K91">
        <v>0</v>
      </c>
      <c r="L91">
        <v>0</v>
      </c>
      <c r="Q91">
        <v>0</v>
      </c>
      <c r="R91">
        <v>0</v>
      </c>
      <c r="S91">
        <v>0</v>
      </c>
      <c r="W91" t="s">
        <v>3011</v>
      </c>
      <c r="X91" t="s">
        <v>3012</v>
      </c>
      <c r="Y91" t="s">
        <v>2497</v>
      </c>
      <c r="Z91" t="s">
        <v>3013</v>
      </c>
      <c r="AA91" t="s">
        <v>3014</v>
      </c>
      <c r="AD91">
        <v>90</v>
      </c>
    </row>
    <row r="92" spans="1:30" x14ac:dyDescent="0.25">
      <c r="A92" t="s">
        <v>2474</v>
      </c>
      <c r="B92" t="s">
        <v>3062</v>
      </c>
      <c r="C92" s="221">
        <v>42958.522164351853</v>
      </c>
      <c r="D92" t="s">
        <v>3063</v>
      </c>
      <c r="E92" s="249" t="str">
        <f>HYPERLINK("https://www.instagram.com/p/BXqQpscDPmZ/")</f>
        <v>https://www.instagram.com/p/BXqQpscDPmZ/</v>
      </c>
      <c r="F92" t="s">
        <v>3064</v>
      </c>
      <c r="G92" t="s">
        <v>2478</v>
      </c>
      <c r="H92">
        <v>4</v>
      </c>
      <c r="I92" t="s">
        <v>2479</v>
      </c>
      <c r="J92">
        <v>0</v>
      </c>
      <c r="K92">
        <v>0</v>
      </c>
      <c r="L92">
        <v>0</v>
      </c>
      <c r="Q92">
        <v>0</v>
      </c>
      <c r="R92">
        <v>0</v>
      </c>
      <c r="S92">
        <v>0</v>
      </c>
      <c r="W92" t="s">
        <v>2497</v>
      </c>
      <c r="AD92">
        <v>91</v>
      </c>
    </row>
    <row r="93" spans="1:30" x14ac:dyDescent="0.25">
      <c r="A93" t="s">
        <v>2474</v>
      </c>
      <c r="B93" t="s">
        <v>6104</v>
      </c>
      <c r="C93" s="221">
        <v>42961.349872685183</v>
      </c>
      <c r="D93" t="s">
        <v>6105</v>
      </c>
      <c r="E93" s="249" t="str">
        <f>HYPERLINK("https://www.instagram.com/p/BXxipKml2qG/")</f>
        <v>https://www.instagram.com/p/BXxipKml2qG/</v>
      </c>
      <c r="F93" t="s">
        <v>6106</v>
      </c>
      <c r="G93" t="s">
        <v>2478</v>
      </c>
      <c r="H93">
        <v>14</v>
      </c>
      <c r="I93" t="s">
        <v>2786</v>
      </c>
      <c r="J93">
        <v>0</v>
      </c>
      <c r="K93">
        <v>0</v>
      </c>
      <c r="L93">
        <v>0</v>
      </c>
      <c r="Q93">
        <v>0</v>
      </c>
      <c r="R93">
        <v>0</v>
      </c>
      <c r="S93">
        <v>0</v>
      </c>
      <c r="W93" t="s">
        <v>6107</v>
      </c>
      <c r="X93" t="s">
        <v>2497</v>
      </c>
      <c r="Y93" t="s">
        <v>2492</v>
      </c>
      <c r="AD93">
        <v>92</v>
      </c>
    </row>
    <row r="94" spans="1:30" x14ac:dyDescent="0.25">
      <c r="A94" t="s">
        <v>2474</v>
      </c>
      <c r="B94" t="s">
        <v>6557</v>
      </c>
      <c r="C94" s="221">
        <v>42961.661678240744</v>
      </c>
      <c r="D94" t="s">
        <v>6558</v>
      </c>
      <c r="E94" s="249" t="str">
        <f>HYPERLINK("https://www.instagram.com/p/BXyWBzJgQKF/")</f>
        <v>https://www.instagram.com/p/BXyWBzJgQKF/</v>
      </c>
      <c r="F94" t="s">
        <v>6559</v>
      </c>
      <c r="G94" t="s">
        <v>2478</v>
      </c>
      <c r="H94">
        <v>1040</v>
      </c>
      <c r="I94" t="s">
        <v>2748</v>
      </c>
      <c r="J94">
        <v>0</v>
      </c>
      <c r="K94">
        <v>0</v>
      </c>
      <c r="L94">
        <v>0</v>
      </c>
      <c r="Q94">
        <v>0</v>
      </c>
      <c r="R94">
        <v>0</v>
      </c>
      <c r="S94">
        <v>0</v>
      </c>
      <c r="W94" t="s">
        <v>6560</v>
      </c>
      <c r="X94" t="s">
        <v>6561</v>
      </c>
      <c r="Y94" t="s">
        <v>2497</v>
      </c>
      <c r="Z94" t="s">
        <v>3671</v>
      </c>
      <c r="AA94" t="s">
        <v>4749</v>
      </c>
      <c r="AD94">
        <v>93</v>
      </c>
    </row>
    <row r="95" spans="1:30" x14ac:dyDescent="0.25">
      <c r="A95" t="s">
        <v>2474</v>
      </c>
      <c r="B95" t="s">
        <v>6635</v>
      </c>
      <c r="C95" s="221">
        <v>42961.71297453704</v>
      </c>
      <c r="D95" t="s">
        <v>6636</v>
      </c>
      <c r="E95" s="249" t="str">
        <f>HYPERLINK("https://www.instagram.com/p/BXyee0MAmzV/")</f>
        <v>https://www.instagram.com/p/BXyee0MAmzV/</v>
      </c>
      <c r="F95" t="s">
        <v>6637</v>
      </c>
      <c r="G95" t="s">
        <v>2478</v>
      </c>
      <c r="H95">
        <v>14</v>
      </c>
      <c r="I95" t="s">
        <v>2479</v>
      </c>
      <c r="J95">
        <v>0</v>
      </c>
      <c r="K95">
        <v>0</v>
      </c>
      <c r="L95">
        <v>0</v>
      </c>
      <c r="Q95">
        <v>0</v>
      </c>
      <c r="R95">
        <v>0</v>
      </c>
      <c r="S95">
        <v>0</v>
      </c>
      <c r="W95" t="s">
        <v>6638</v>
      </c>
      <c r="X95" t="s">
        <v>2497</v>
      </c>
      <c r="Y95" t="s">
        <v>5932</v>
      </c>
      <c r="Z95" t="s">
        <v>6639</v>
      </c>
      <c r="AA95" t="s">
        <v>6640</v>
      </c>
      <c r="AD95">
        <v>94</v>
      </c>
    </row>
    <row r="96" spans="1:30" x14ac:dyDescent="0.25">
      <c r="A96" t="s">
        <v>2474</v>
      </c>
      <c r="B96" t="s">
        <v>6780</v>
      </c>
      <c r="C96" s="221">
        <v>42961.828449074077</v>
      </c>
      <c r="D96" t="s">
        <v>6781</v>
      </c>
      <c r="E96" s="249" t="str">
        <f>HYPERLINK("https://www.instagram.com/p/BXyxgrfh_qi/")</f>
        <v>https://www.instagram.com/p/BXyxgrfh_qi/</v>
      </c>
      <c r="F96" t="s">
        <v>6782</v>
      </c>
      <c r="G96" t="s">
        <v>2478</v>
      </c>
      <c r="H96">
        <v>10</v>
      </c>
      <c r="I96" t="s">
        <v>2582</v>
      </c>
      <c r="J96">
        <v>0</v>
      </c>
      <c r="K96">
        <v>0</v>
      </c>
      <c r="L96">
        <v>0</v>
      </c>
      <c r="Q96">
        <v>0</v>
      </c>
      <c r="R96">
        <v>0</v>
      </c>
      <c r="S96">
        <v>0</v>
      </c>
      <c r="W96" t="s">
        <v>6783</v>
      </c>
      <c r="X96" t="s">
        <v>2497</v>
      </c>
      <c r="Y96" t="s">
        <v>6784</v>
      </c>
      <c r="Z96" t="s">
        <v>6785</v>
      </c>
      <c r="AA96" t="s">
        <v>6786</v>
      </c>
      <c r="AD96">
        <v>95</v>
      </c>
    </row>
    <row r="97" spans="1:30" x14ac:dyDescent="0.25">
      <c r="A97" t="s">
        <v>2474</v>
      </c>
      <c r="B97" t="s">
        <v>10173</v>
      </c>
      <c r="C97" s="221">
        <v>42965.215763888889</v>
      </c>
      <c r="D97" t="s">
        <v>10174</v>
      </c>
      <c r="E97" s="249" t="str">
        <f>HYPERLINK("https://www.instagram.com/p/BX7fuP3AiPC/")</f>
        <v>https://www.instagram.com/p/BX7fuP3AiPC/</v>
      </c>
      <c r="F97" t="s">
        <v>10175</v>
      </c>
      <c r="G97" t="s">
        <v>2478</v>
      </c>
      <c r="H97">
        <v>8</v>
      </c>
      <c r="I97" t="s">
        <v>2479</v>
      </c>
      <c r="J97">
        <v>0</v>
      </c>
      <c r="K97">
        <v>0</v>
      </c>
      <c r="L97">
        <v>0</v>
      </c>
      <c r="Q97">
        <v>0</v>
      </c>
      <c r="R97">
        <v>0</v>
      </c>
      <c r="S97">
        <v>0</v>
      </c>
      <c r="W97" t="s">
        <v>2497</v>
      </c>
      <c r="X97" t="s">
        <v>2906</v>
      </c>
      <c r="Y97" t="s">
        <v>10176</v>
      </c>
      <c r="Z97" t="s">
        <v>10177</v>
      </c>
      <c r="AA97" t="s">
        <v>5625</v>
      </c>
      <c r="AD97">
        <v>96</v>
      </c>
    </row>
    <row r="98" spans="1:30" x14ac:dyDescent="0.25">
      <c r="A98" t="s">
        <v>2474</v>
      </c>
      <c r="B98" t="s">
        <v>10354</v>
      </c>
      <c r="C98" s="221">
        <v>42965.394189814811</v>
      </c>
      <c r="D98" t="s">
        <v>10355</v>
      </c>
      <c r="E98" s="249" t="str">
        <f>HYPERLINK("https://www.instagram.com/p/BX79IHpAxt0/")</f>
        <v>https://www.instagram.com/p/BX79IHpAxt0/</v>
      </c>
      <c r="F98" t="s">
        <v>10356</v>
      </c>
      <c r="G98" t="s">
        <v>2478</v>
      </c>
      <c r="H98">
        <v>410</v>
      </c>
      <c r="I98" t="s">
        <v>2479</v>
      </c>
      <c r="J98">
        <v>0</v>
      </c>
      <c r="K98">
        <v>0</v>
      </c>
      <c r="L98">
        <v>0</v>
      </c>
      <c r="Q98">
        <v>0</v>
      </c>
      <c r="R98">
        <v>0</v>
      </c>
      <c r="S98">
        <v>0</v>
      </c>
      <c r="T98" t="s">
        <v>10357</v>
      </c>
      <c r="V98" t="s">
        <v>2264</v>
      </c>
      <c r="W98" t="s">
        <v>3174</v>
      </c>
      <c r="X98" t="s">
        <v>9926</v>
      </c>
      <c r="Y98" t="s">
        <v>4833</v>
      </c>
      <c r="Z98" t="s">
        <v>10358</v>
      </c>
      <c r="AA98" t="s">
        <v>10359</v>
      </c>
      <c r="AB98">
        <v>41.394154569340003</v>
      </c>
      <c r="AC98">
        <v>2.1499363690437998</v>
      </c>
      <c r="AD98">
        <v>97</v>
      </c>
    </row>
    <row r="99" spans="1:30" x14ac:dyDescent="0.25">
      <c r="A99" t="s">
        <v>2474</v>
      </c>
      <c r="B99" t="s">
        <v>12963</v>
      </c>
      <c r="C99" s="221">
        <v>42968.533229166664</v>
      </c>
      <c r="D99" t="s">
        <v>12964</v>
      </c>
      <c r="E99" s="249" t="str">
        <f>HYPERLINK("https://www.instagram.com/p/BYECbGvHSQR/")</f>
        <v>https://www.instagram.com/p/BYECbGvHSQR/</v>
      </c>
      <c r="F99" t="s">
        <v>12965</v>
      </c>
      <c r="G99" t="s">
        <v>2478</v>
      </c>
      <c r="H99">
        <v>135</v>
      </c>
      <c r="I99" t="s">
        <v>2542</v>
      </c>
      <c r="J99">
        <v>0</v>
      </c>
      <c r="K99">
        <v>0</v>
      </c>
      <c r="L99">
        <v>0</v>
      </c>
      <c r="Q99">
        <v>0</v>
      </c>
      <c r="R99">
        <v>0</v>
      </c>
      <c r="S99">
        <v>0</v>
      </c>
      <c r="W99" t="s">
        <v>12966</v>
      </c>
      <c r="X99" t="s">
        <v>12967</v>
      </c>
      <c r="Y99" t="s">
        <v>2497</v>
      </c>
      <c r="Z99" t="s">
        <v>12968</v>
      </c>
      <c r="AA99" t="s">
        <v>3145</v>
      </c>
      <c r="AD99">
        <v>98</v>
      </c>
    </row>
    <row r="100" spans="1:30" x14ac:dyDescent="0.25">
      <c r="A100" t="s">
        <v>2474</v>
      </c>
      <c r="B100" t="s">
        <v>13080</v>
      </c>
      <c r="C100" s="221">
        <v>42968.615474537037</v>
      </c>
      <c r="D100" t="s">
        <v>13081</v>
      </c>
      <c r="E100" s="249" t="str">
        <f>HYPERLINK("https://www.instagram.com/p/BYEP-i8lTrl/")</f>
        <v>https://www.instagram.com/p/BYEP-i8lTrl/</v>
      </c>
      <c r="F100" t="s">
        <v>13082</v>
      </c>
      <c r="G100" t="s">
        <v>2478</v>
      </c>
      <c r="H100">
        <v>78</v>
      </c>
      <c r="I100" t="s">
        <v>2479</v>
      </c>
      <c r="J100">
        <v>0</v>
      </c>
      <c r="K100">
        <v>0</v>
      </c>
      <c r="L100">
        <v>0</v>
      </c>
      <c r="Q100">
        <v>0</v>
      </c>
      <c r="R100">
        <v>0</v>
      </c>
      <c r="S100">
        <v>0</v>
      </c>
      <c r="W100" t="s">
        <v>13083</v>
      </c>
      <c r="X100" t="s">
        <v>8481</v>
      </c>
      <c r="Y100" t="s">
        <v>3805</v>
      </c>
      <c r="Z100" t="s">
        <v>13084</v>
      </c>
      <c r="AA100" t="s">
        <v>4075</v>
      </c>
      <c r="AD100">
        <v>99</v>
      </c>
    </row>
    <row r="101" spans="1:30" x14ac:dyDescent="0.25">
      <c r="A101" t="s">
        <v>2474</v>
      </c>
      <c r="B101" t="s">
        <v>17578</v>
      </c>
      <c r="C101" s="221">
        <v>42973.484432870369</v>
      </c>
      <c r="D101" t="s">
        <v>17579</v>
      </c>
      <c r="E101" s="249" t="str">
        <f>HYPERLINK("https://www.instagram.com/p/BYQyW3slusy/")</f>
        <v>https://www.instagram.com/p/BYQyW3slusy/</v>
      </c>
      <c r="F101" t="s">
        <v>17580</v>
      </c>
      <c r="G101" t="s">
        <v>2478</v>
      </c>
      <c r="H101">
        <v>590</v>
      </c>
      <c r="I101" t="s">
        <v>2479</v>
      </c>
      <c r="J101">
        <v>0</v>
      </c>
      <c r="K101">
        <v>0</v>
      </c>
      <c r="L101">
        <v>0</v>
      </c>
      <c r="Q101">
        <v>0</v>
      </c>
      <c r="R101">
        <v>0</v>
      </c>
      <c r="S101">
        <v>0</v>
      </c>
      <c r="W101" t="s">
        <v>5787</v>
      </c>
      <c r="X101" t="s">
        <v>6138</v>
      </c>
      <c r="Y101" t="s">
        <v>6082</v>
      </c>
      <c r="Z101" t="s">
        <v>4379</v>
      </c>
      <c r="AA101" t="s">
        <v>7322</v>
      </c>
      <c r="AD101">
        <v>100</v>
      </c>
    </row>
    <row r="102" spans="1:30" x14ac:dyDescent="0.25">
      <c r="A102" t="s">
        <v>2474</v>
      </c>
      <c r="B102" t="s">
        <v>18140</v>
      </c>
      <c r="C102" s="221">
        <v>42974.316481481481</v>
      </c>
      <c r="D102" t="s">
        <v>18141</v>
      </c>
      <c r="E102" s="249" t="str">
        <f>HYPERLINK("https://www.instagram.com/p/BYS7eZnj7ie/")</f>
        <v>https://www.instagram.com/p/BYS7eZnj7ie/</v>
      </c>
      <c r="F102" t="s">
        <v>18142</v>
      </c>
      <c r="G102" t="s">
        <v>2478</v>
      </c>
      <c r="H102">
        <v>147</v>
      </c>
      <c r="I102" t="s">
        <v>2479</v>
      </c>
      <c r="J102">
        <v>0</v>
      </c>
      <c r="K102">
        <v>0</v>
      </c>
      <c r="L102">
        <v>0</v>
      </c>
      <c r="Q102">
        <v>0</v>
      </c>
      <c r="R102">
        <v>0</v>
      </c>
      <c r="S102">
        <v>0</v>
      </c>
      <c r="W102" t="s">
        <v>2898</v>
      </c>
      <c r="X102" t="s">
        <v>2497</v>
      </c>
      <c r="AD102">
        <v>101</v>
      </c>
    </row>
    <row r="103" spans="1:30" x14ac:dyDescent="0.25">
      <c r="A103" t="s">
        <v>2474</v>
      </c>
      <c r="B103" t="s">
        <v>18451</v>
      </c>
      <c r="C103" s="221">
        <v>42974.638159722221</v>
      </c>
      <c r="D103" t="s">
        <v>18452</v>
      </c>
      <c r="E103" s="249" t="str">
        <f>HYPERLINK("https://www.instagram.com/p/BYTwfE9Fjcf/")</f>
        <v>https://www.instagram.com/p/BYTwfE9Fjcf/</v>
      </c>
      <c r="F103" t="s">
        <v>18453</v>
      </c>
      <c r="G103" t="s">
        <v>2478</v>
      </c>
      <c r="H103">
        <v>173</v>
      </c>
      <c r="I103" t="s">
        <v>2479</v>
      </c>
      <c r="J103">
        <v>0</v>
      </c>
      <c r="K103">
        <v>0</v>
      </c>
      <c r="L103">
        <v>0</v>
      </c>
      <c r="Q103">
        <v>0</v>
      </c>
      <c r="R103">
        <v>0</v>
      </c>
      <c r="S103">
        <v>0</v>
      </c>
      <c r="W103" t="s">
        <v>9850</v>
      </c>
      <c r="X103" t="s">
        <v>18454</v>
      </c>
      <c r="Y103" t="s">
        <v>11041</v>
      </c>
      <c r="Z103" t="s">
        <v>2696</v>
      </c>
      <c r="AA103" t="s">
        <v>18455</v>
      </c>
      <c r="AD103">
        <v>102</v>
      </c>
    </row>
    <row r="104" spans="1:30" x14ac:dyDescent="0.25">
      <c r="A104" t="s">
        <v>2474</v>
      </c>
      <c r="B104" t="s">
        <v>18667</v>
      </c>
      <c r="C104" s="221">
        <v>42974.884525462963</v>
      </c>
      <c r="D104" t="s">
        <v>18668</v>
      </c>
      <c r="E104" s="249" t="str">
        <f>HYPERLINK("https://www.instagram.com/p/BYUZFixg63T/")</f>
        <v>https://www.instagram.com/p/BYUZFixg63T/</v>
      </c>
      <c r="F104" t="s">
        <v>18669</v>
      </c>
      <c r="G104" t="s">
        <v>2478</v>
      </c>
      <c r="H104">
        <v>350</v>
      </c>
      <c r="I104" t="s">
        <v>2479</v>
      </c>
      <c r="J104">
        <v>0</v>
      </c>
      <c r="K104">
        <v>0</v>
      </c>
      <c r="L104">
        <v>0</v>
      </c>
      <c r="Q104">
        <v>0</v>
      </c>
      <c r="R104">
        <v>0</v>
      </c>
      <c r="S104">
        <v>0</v>
      </c>
      <c r="W104" t="s">
        <v>18670</v>
      </c>
      <c r="X104" t="s">
        <v>4042</v>
      </c>
      <c r="Y104" t="s">
        <v>2906</v>
      </c>
      <c r="Z104" t="s">
        <v>18671</v>
      </c>
      <c r="AA104" t="s">
        <v>8966</v>
      </c>
      <c r="AD104">
        <v>103</v>
      </c>
    </row>
    <row r="105" spans="1:30" x14ac:dyDescent="0.25">
      <c r="A105" t="s">
        <v>2474</v>
      </c>
      <c r="B105" t="s">
        <v>20268</v>
      </c>
      <c r="C105" s="221">
        <v>42976.92255787037</v>
      </c>
      <c r="D105" t="s">
        <v>20269</v>
      </c>
      <c r="E105" s="249" t="str">
        <f>HYPERLINK("https://www.instagram.com/p/BYZo8TTgISh/")</f>
        <v>https://www.instagram.com/p/BYZo8TTgISh/</v>
      </c>
      <c r="F105" t="s">
        <v>20270</v>
      </c>
      <c r="G105" t="s">
        <v>2478</v>
      </c>
      <c r="H105">
        <v>238</v>
      </c>
      <c r="I105" t="s">
        <v>2542</v>
      </c>
      <c r="J105">
        <v>0</v>
      </c>
      <c r="K105">
        <v>0</v>
      </c>
      <c r="L105">
        <v>0</v>
      </c>
      <c r="Q105">
        <v>0</v>
      </c>
      <c r="R105">
        <v>0</v>
      </c>
      <c r="S105">
        <v>0</v>
      </c>
      <c r="W105" t="s">
        <v>20271</v>
      </c>
      <c r="X105" t="s">
        <v>20272</v>
      </c>
      <c r="Y105" t="s">
        <v>2497</v>
      </c>
      <c r="Z105" t="s">
        <v>20273</v>
      </c>
      <c r="AA105" t="s">
        <v>20274</v>
      </c>
      <c r="AD105">
        <v>104</v>
      </c>
    </row>
    <row r="106" spans="1:30" x14ac:dyDescent="0.25">
      <c r="A106" t="s">
        <v>2474</v>
      </c>
      <c r="B106" t="s">
        <v>20632</v>
      </c>
      <c r="C106" s="221">
        <v>42977.402766203704</v>
      </c>
      <c r="D106" t="s">
        <v>20633</v>
      </c>
      <c r="E106" s="249" t="str">
        <f>HYPERLINK("https://www.instagram.com/p/BYa4FD6H-Z1/")</f>
        <v>https://www.instagram.com/p/BYa4FD6H-Z1/</v>
      </c>
      <c r="F106" t="s">
        <v>20634</v>
      </c>
      <c r="G106" t="s">
        <v>2478</v>
      </c>
      <c r="H106">
        <v>43</v>
      </c>
      <c r="I106" t="s">
        <v>2479</v>
      </c>
      <c r="J106">
        <v>0</v>
      </c>
      <c r="K106">
        <v>0</v>
      </c>
      <c r="L106">
        <v>0</v>
      </c>
      <c r="Q106">
        <v>0</v>
      </c>
      <c r="R106">
        <v>0</v>
      </c>
      <c r="S106">
        <v>0</v>
      </c>
      <c r="W106" t="s">
        <v>15535</v>
      </c>
      <c r="X106" t="s">
        <v>2497</v>
      </c>
      <c r="Y106" t="s">
        <v>20635</v>
      </c>
      <c r="AD106">
        <v>105</v>
      </c>
    </row>
    <row r="107" spans="1:30" x14ac:dyDescent="0.25">
      <c r="A107" t="s">
        <v>2474</v>
      </c>
      <c r="B107" t="s">
        <v>22964</v>
      </c>
      <c r="C107" s="221">
        <v>42980.095821759256</v>
      </c>
      <c r="D107" t="s">
        <v>22965</v>
      </c>
      <c r="E107" s="249" t="str">
        <f>HYPERLINK("https://www.instagram.com/p/BYhz4UUA8rR/")</f>
        <v>https://www.instagram.com/p/BYhz4UUA8rR/</v>
      </c>
      <c r="F107" t="s">
        <v>22966</v>
      </c>
      <c r="G107" t="s">
        <v>2478</v>
      </c>
      <c r="H107">
        <v>261</v>
      </c>
      <c r="I107" t="s">
        <v>2479</v>
      </c>
      <c r="J107">
        <v>0</v>
      </c>
      <c r="K107">
        <v>0</v>
      </c>
      <c r="L107">
        <v>0</v>
      </c>
      <c r="Q107">
        <v>0</v>
      </c>
      <c r="R107">
        <v>0</v>
      </c>
      <c r="S107">
        <v>0</v>
      </c>
      <c r="W107" t="s">
        <v>22967</v>
      </c>
      <c r="X107" t="s">
        <v>2497</v>
      </c>
      <c r="Y107" t="s">
        <v>22968</v>
      </c>
      <c r="Z107" t="s">
        <v>22969</v>
      </c>
      <c r="AA107" t="s">
        <v>22970</v>
      </c>
      <c r="AD107">
        <v>106</v>
      </c>
    </row>
    <row r="108" spans="1:30" x14ac:dyDescent="0.25">
      <c r="A108" t="s">
        <v>2474</v>
      </c>
      <c r="B108" t="s">
        <v>23139</v>
      </c>
      <c r="C108" s="221">
        <v>42980.337546296294</v>
      </c>
      <c r="D108" t="s">
        <v>23140</v>
      </c>
      <c r="E108" s="249" t="str">
        <f>HYPERLINK("https://www.instagram.com/p/BYibt0jBFeo/")</f>
        <v>https://www.instagram.com/p/BYibt0jBFeo/</v>
      </c>
      <c r="F108" t="s">
        <v>23141</v>
      </c>
      <c r="G108" t="s">
        <v>2478</v>
      </c>
      <c r="H108">
        <v>4</v>
      </c>
      <c r="I108" t="s">
        <v>2479</v>
      </c>
      <c r="J108">
        <v>0</v>
      </c>
      <c r="K108">
        <v>0</v>
      </c>
      <c r="L108">
        <v>0</v>
      </c>
      <c r="Q108">
        <v>0</v>
      </c>
      <c r="R108">
        <v>0</v>
      </c>
      <c r="S108">
        <v>0</v>
      </c>
      <c r="W108" t="s">
        <v>4673</v>
      </c>
      <c r="X108" t="s">
        <v>2497</v>
      </c>
      <c r="Y108" t="s">
        <v>11162</v>
      </c>
      <c r="Z108" t="s">
        <v>23142</v>
      </c>
      <c r="AA108" t="s">
        <v>23143</v>
      </c>
      <c r="AD108">
        <v>107</v>
      </c>
    </row>
    <row r="109" spans="1:30" x14ac:dyDescent="0.25">
      <c r="A109" t="s">
        <v>2474</v>
      </c>
      <c r="B109" t="s">
        <v>23746</v>
      </c>
      <c r="C109" s="221">
        <v>42981.264027777775</v>
      </c>
      <c r="D109" t="s">
        <v>23747</v>
      </c>
      <c r="E109" s="249" t="str">
        <f>HYPERLINK("https://www.instagram.com/p/BYk0ZP0guMw/")</f>
        <v>https://www.instagram.com/p/BYk0ZP0guMw/</v>
      </c>
      <c r="F109" t="s">
        <v>23748</v>
      </c>
      <c r="G109" t="s">
        <v>2478</v>
      </c>
      <c r="H109">
        <v>0</v>
      </c>
      <c r="I109" t="s">
        <v>2479</v>
      </c>
      <c r="J109">
        <v>0</v>
      </c>
      <c r="K109">
        <v>0</v>
      </c>
      <c r="L109">
        <v>0</v>
      </c>
      <c r="Q109">
        <v>0</v>
      </c>
      <c r="R109">
        <v>0</v>
      </c>
      <c r="S109">
        <v>0</v>
      </c>
      <c r="W109" t="s">
        <v>22962</v>
      </c>
      <c r="X109" t="s">
        <v>5838</v>
      </c>
      <c r="Y109" t="s">
        <v>8628</v>
      </c>
      <c r="Z109" t="s">
        <v>4106</v>
      </c>
      <c r="AA109" t="s">
        <v>2497</v>
      </c>
      <c r="AD109">
        <v>108</v>
      </c>
    </row>
    <row r="110" spans="1:30" x14ac:dyDescent="0.25">
      <c r="A110" t="s">
        <v>2474</v>
      </c>
      <c r="B110" t="s">
        <v>24333</v>
      </c>
      <c r="C110" s="221">
        <v>42981.79619212963</v>
      </c>
      <c r="D110" t="s">
        <v>24334</v>
      </c>
      <c r="E110" s="249" t="str">
        <f>HYPERLINK("https://www.instagram.com/p/BYmMF9qDOyS/")</f>
        <v>https://www.instagram.com/p/BYmMF9qDOyS/</v>
      </c>
      <c r="F110" t="s">
        <v>24335</v>
      </c>
      <c r="G110" t="s">
        <v>2631</v>
      </c>
      <c r="H110">
        <v>671</v>
      </c>
      <c r="I110" t="s">
        <v>2479</v>
      </c>
      <c r="J110">
        <v>0</v>
      </c>
      <c r="K110">
        <v>0</v>
      </c>
      <c r="L110">
        <v>0</v>
      </c>
      <c r="Q110">
        <v>0</v>
      </c>
      <c r="R110">
        <v>0</v>
      </c>
      <c r="S110">
        <v>0</v>
      </c>
      <c r="T110" t="s">
        <v>24336</v>
      </c>
      <c r="V110" t="s">
        <v>2125</v>
      </c>
      <c r="W110" t="s">
        <v>12123</v>
      </c>
      <c r="X110" t="s">
        <v>24337</v>
      </c>
      <c r="Y110" t="s">
        <v>24338</v>
      </c>
      <c r="Z110" t="s">
        <v>24339</v>
      </c>
      <c r="AA110" t="s">
        <v>2497</v>
      </c>
      <c r="AB110">
        <v>48.398611111111002</v>
      </c>
      <c r="AC110">
        <v>-89.626666666667006</v>
      </c>
      <c r="AD110">
        <v>109</v>
      </c>
    </row>
  </sheetData>
  <sortState ref="A2:AC123">
    <sortCondition descending="1" ref="L2"/>
  </sortState>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1"/>
  <sheetViews>
    <sheetView workbookViewId="0"/>
  </sheetViews>
  <sheetFormatPr defaultRowHeight="15" x14ac:dyDescent="0.25"/>
  <sheetData>
    <row r="1" spans="1:3" x14ac:dyDescent="0.25">
      <c r="A1" t="s">
        <v>2343</v>
      </c>
      <c r="B1" t="s">
        <v>2344</v>
      </c>
      <c r="C1" t="s">
        <v>2345</v>
      </c>
    </row>
    <row r="2" spans="1:3" x14ac:dyDescent="0.25">
      <c r="A2" t="s">
        <v>2401</v>
      </c>
      <c r="B2" t="s">
        <v>2327</v>
      </c>
      <c r="C2" t="s">
        <v>2402</v>
      </c>
    </row>
    <row r="3" spans="1:3" x14ac:dyDescent="0.25">
      <c r="A3" t="s">
        <v>2401</v>
      </c>
      <c r="B3" t="s">
        <v>2403</v>
      </c>
      <c r="C3" t="s">
        <v>2404</v>
      </c>
    </row>
    <row r="4" spans="1:3" x14ac:dyDescent="0.25">
      <c r="A4" t="s">
        <v>2401</v>
      </c>
      <c r="B4" t="s">
        <v>2348</v>
      </c>
      <c r="C4" t="s">
        <v>2405</v>
      </c>
    </row>
    <row r="5" spans="1:3" x14ac:dyDescent="0.25">
      <c r="A5" t="s">
        <v>2401</v>
      </c>
      <c r="B5" t="s">
        <v>2021</v>
      </c>
      <c r="C5" t="s">
        <v>2406</v>
      </c>
    </row>
    <row r="6" spans="1:3" x14ac:dyDescent="0.25">
      <c r="A6" t="s">
        <v>2401</v>
      </c>
      <c r="B6" t="s">
        <v>2085</v>
      </c>
      <c r="C6" t="s">
        <v>2407</v>
      </c>
    </row>
    <row r="7" spans="1:3" x14ac:dyDescent="0.25">
      <c r="A7" t="s">
        <v>2401</v>
      </c>
      <c r="B7" t="s">
        <v>2408</v>
      </c>
      <c r="C7" t="s">
        <v>2409</v>
      </c>
    </row>
    <row r="8" spans="1:3" x14ac:dyDescent="0.25">
      <c r="A8" t="s">
        <v>2401</v>
      </c>
      <c r="B8" t="s">
        <v>2084</v>
      </c>
      <c r="C8" t="s">
        <v>2410</v>
      </c>
    </row>
    <row r="9" spans="1:3" x14ac:dyDescent="0.25">
      <c r="A9" t="s">
        <v>2401</v>
      </c>
      <c r="B9" t="s">
        <v>2319</v>
      </c>
      <c r="C9" t="s">
        <v>2411</v>
      </c>
    </row>
    <row r="10" spans="1:3" x14ac:dyDescent="0.25">
      <c r="A10" t="s">
        <v>2401</v>
      </c>
      <c r="B10" t="s">
        <v>2412</v>
      </c>
      <c r="C10" t="s">
        <v>2413</v>
      </c>
    </row>
    <row r="11" spans="1:3" x14ac:dyDescent="0.25">
      <c r="A11" t="s">
        <v>2401</v>
      </c>
      <c r="B11" t="s">
        <v>2414</v>
      </c>
      <c r="C11" t="s">
        <v>2415</v>
      </c>
    </row>
    <row r="12" spans="1:3" x14ac:dyDescent="0.25">
      <c r="A12" t="s">
        <v>2401</v>
      </c>
      <c r="B12" t="s">
        <v>2335</v>
      </c>
      <c r="C12" t="s">
        <v>2416</v>
      </c>
    </row>
    <row r="13" spans="1:3" x14ac:dyDescent="0.25">
      <c r="A13" t="s">
        <v>2401</v>
      </c>
      <c r="B13" t="s">
        <v>2417</v>
      </c>
      <c r="C13" t="s">
        <v>2418</v>
      </c>
    </row>
    <row r="14" spans="1:3" x14ac:dyDescent="0.25">
      <c r="A14" t="s">
        <v>2401</v>
      </c>
      <c r="B14" t="s">
        <v>2419</v>
      </c>
      <c r="C14" t="s">
        <v>2420</v>
      </c>
    </row>
    <row r="15" spans="1:3" x14ac:dyDescent="0.25">
      <c r="A15" t="s">
        <v>2401</v>
      </c>
      <c r="B15" t="s">
        <v>2421</v>
      </c>
      <c r="C15" t="s">
        <v>2422</v>
      </c>
    </row>
    <row r="16" spans="1:3" x14ac:dyDescent="0.25">
      <c r="A16" t="s">
        <v>2401</v>
      </c>
      <c r="B16" t="s">
        <v>2072</v>
      </c>
      <c r="C16" t="s">
        <v>2423</v>
      </c>
    </row>
    <row r="17" spans="1:3" x14ac:dyDescent="0.25">
      <c r="A17" t="s">
        <v>2401</v>
      </c>
      <c r="B17" t="s">
        <v>2022</v>
      </c>
      <c r="C17" t="s">
        <v>2424</v>
      </c>
    </row>
    <row r="18" spans="1:3" x14ac:dyDescent="0.25">
      <c r="A18" t="s">
        <v>2401</v>
      </c>
      <c r="B18" t="s">
        <v>2425</v>
      </c>
      <c r="C18" t="s">
        <v>2426</v>
      </c>
    </row>
    <row r="19" spans="1:3" x14ac:dyDescent="0.25">
      <c r="A19" t="s">
        <v>2401</v>
      </c>
      <c r="B19" t="s">
        <v>2427</v>
      </c>
      <c r="C19" t="s">
        <v>2428</v>
      </c>
    </row>
    <row r="20" spans="1:3" x14ac:dyDescent="0.25">
      <c r="A20" t="s">
        <v>2401</v>
      </c>
      <c r="B20" t="s">
        <v>2429</v>
      </c>
      <c r="C20" t="s">
        <v>2428</v>
      </c>
    </row>
    <row r="21" spans="1:3" x14ac:dyDescent="0.25">
      <c r="A21" t="s">
        <v>2401</v>
      </c>
      <c r="B21" t="s">
        <v>2430</v>
      </c>
      <c r="C21" t="s">
        <v>2428</v>
      </c>
    </row>
    <row r="22" spans="1:3" x14ac:dyDescent="0.25">
      <c r="A22" t="s">
        <v>2401</v>
      </c>
      <c r="B22" t="s">
        <v>2431</v>
      </c>
      <c r="C22" t="s">
        <v>2428</v>
      </c>
    </row>
    <row r="23" spans="1:3" x14ac:dyDescent="0.25">
      <c r="A23" t="s">
        <v>2401</v>
      </c>
      <c r="B23" t="s">
        <v>2432</v>
      </c>
      <c r="C23" t="s">
        <v>2433</v>
      </c>
    </row>
    <row r="24" spans="1:3" x14ac:dyDescent="0.25">
      <c r="A24" t="s">
        <v>2401</v>
      </c>
      <c r="B24" t="s">
        <v>2434</v>
      </c>
      <c r="C24" t="s">
        <v>2435</v>
      </c>
    </row>
    <row r="25" spans="1:3" x14ac:dyDescent="0.25">
      <c r="A25" t="s">
        <v>2401</v>
      </c>
      <c r="B25" t="s">
        <v>2436</v>
      </c>
      <c r="C25" t="s">
        <v>2437</v>
      </c>
    </row>
    <row r="26" spans="1:3" x14ac:dyDescent="0.25">
      <c r="A26" t="s">
        <v>2401</v>
      </c>
      <c r="B26" t="s">
        <v>2438</v>
      </c>
      <c r="C26" t="s">
        <v>2439</v>
      </c>
    </row>
    <row r="27" spans="1:3" x14ac:dyDescent="0.25">
      <c r="A27" t="s">
        <v>2401</v>
      </c>
      <c r="B27" t="s">
        <v>2312</v>
      </c>
      <c r="C27" t="s">
        <v>2440</v>
      </c>
    </row>
    <row r="28" spans="1:3" x14ac:dyDescent="0.25">
      <c r="A28" t="s">
        <v>2401</v>
      </c>
      <c r="B28" t="s">
        <v>2441</v>
      </c>
      <c r="C28" t="s">
        <v>2442</v>
      </c>
    </row>
    <row r="29" spans="1:3" x14ac:dyDescent="0.25">
      <c r="A29" t="s">
        <v>2401</v>
      </c>
      <c r="B29" t="s">
        <v>2443</v>
      </c>
      <c r="C29" t="s">
        <v>2444</v>
      </c>
    </row>
    <row r="30" spans="1:3" x14ac:dyDescent="0.25">
      <c r="A30" t="s">
        <v>2401</v>
      </c>
      <c r="B30" t="s">
        <v>2445</v>
      </c>
      <c r="C30" t="s">
        <v>2446</v>
      </c>
    </row>
    <row r="31" spans="1:3" x14ac:dyDescent="0.25">
      <c r="A31" t="s">
        <v>2401</v>
      </c>
      <c r="B31" t="s">
        <v>2447</v>
      </c>
      <c r="C31" t="s">
        <v>2448</v>
      </c>
    </row>
    <row r="32" spans="1:3" x14ac:dyDescent="0.25">
      <c r="A32" t="s">
        <v>2401</v>
      </c>
      <c r="B32" t="s">
        <v>2302</v>
      </c>
      <c r="C32" t="s">
        <v>2449</v>
      </c>
    </row>
    <row r="33" spans="1:3" x14ac:dyDescent="0.25">
      <c r="A33" t="s">
        <v>2401</v>
      </c>
      <c r="B33" t="s">
        <v>2450</v>
      </c>
      <c r="C33" t="s">
        <v>2451</v>
      </c>
    </row>
    <row r="34" spans="1:3" x14ac:dyDescent="0.25">
      <c r="A34" t="s">
        <v>2401</v>
      </c>
      <c r="B34" t="s">
        <v>2452</v>
      </c>
      <c r="C34" t="s">
        <v>2453</v>
      </c>
    </row>
    <row r="35" spans="1:3" x14ac:dyDescent="0.25">
      <c r="A35" t="s">
        <v>2401</v>
      </c>
      <c r="B35" t="s">
        <v>2454</v>
      </c>
      <c r="C35" t="s">
        <v>2455</v>
      </c>
    </row>
    <row r="36" spans="1:3" x14ac:dyDescent="0.25">
      <c r="A36" t="s">
        <v>2401</v>
      </c>
      <c r="B36" t="s">
        <v>2456</v>
      </c>
      <c r="C36" t="s">
        <v>2457</v>
      </c>
    </row>
    <row r="37" spans="1:3" x14ac:dyDescent="0.25">
      <c r="A37" t="s">
        <v>2401</v>
      </c>
      <c r="B37" t="s">
        <v>2003</v>
      </c>
      <c r="C37" t="s">
        <v>2458</v>
      </c>
    </row>
    <row r="38" spans="1:3" x14ac:dyDescent="0.25">
      <c r="A38" t="s">
        <v>2401</v>
      </c>
      <c r="B38" t="s">
        <v>2459</v>
      </c>
      <c r="C38" t="s">
        <v>2460</v>
      </c>
    </row>
    <row r="39" spans="1:3" x14ac:dyDescent="0.25">
      <c r="A39" t="s">
        <v>2401</v>
      </c>
      <c r="B39" t="s">
        <v>2461</v>
      </c>
      <c r="C39" t="s">
        <v>2462</v>
      </c>
    </row>
    <row r="40" spans="1:3" x14ac:dyDescent="0.25">
      <c r="A40" t="s">
        <v>2401</v>
      </c>
      <c r="B40" t="s">
        <v>2463</v>
      </c>
      <c r="C40" t="s">
        <v>2464</v>
      </c>
    </row>
    <row r="41" spans="1:3" x14ac:dyDescent="0.25">
      <c r="A41" t="s">
        <v>2401</v>
      </c>
      <c r="B41" t="s">
        <v>2465</v>
      </c>
      <c r="C41" t="s">
        <v>2466</v>
      </c>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BS1066"/>
  <sheetViews>
    <sheetView workbookViewId="0">
      <pane ySplit="7" topLeftCell="A8" activePane="bottomLeft" state="frozen"/>
      <selection pane="bottomLeft" activeCell="A8" sqref="A8"/>
    </sheetView>
  </sheetViews>
  <sheetFormatPr defaultColWidth="9.140625" defaultRowHeight="15" outlineLevelRow="1" x14ac:dyDescent="0.25"/>
  <cols>
    <col min="1" max="1" width="6.7109375" style="233" customWidth="1"/>
    <col min="2" max="4" width="9.140625" style="233"/>
    <col min="5" max="5" width="9.85546875" style="233" bestFit="1" customWidth="1"/>
    <col min="6" max="6" width="9.140625" style="233"/>
    <col min="7" max="8" width="9.140625" style="233" customWidth="1"/>
    <col min="9" max="9" width="9.140625" style="233"/>
    <col min="10" max="10" width="10.28515625" style="233" bestFit="1" customWidth="1"/>
    <col min="11" max="11" width="9.140625" style="233"/>
    <col min="12" max="12" width="9.140625" style="233" customWidth="1"/>
    <col min="13" max="43" width="9.140625" style="233"/>
    <col min="44" max="16384" width="9.140625" style="21"/>
  </cols>
  <sheetData>
    <row r="1" spans="1:71" s="23" customFormat="1" ht="12.75" customHeight="1" x14ac:dyDescent="0.25"/>
    <row r="2" spans="1:71" s="24" customFormat="1" ht="11.25" customHeight="1" x14ac:dyDescent="0.25"/>
    <row r="3" spans="1:71" s="28" customFormat="1" ht="17.25" customHeight="1" x14ac:dyDescent="0.25"/>
    <row r="4" spans="1:71" s="230" customFormat="1" ht="12.75" customHeight="1" x14ac:dyDescent="0.25"/>
    <row r="5" spans="1:71" s="34" customFormat="1" hidden="1" outlineLevel="1" x14ac:dyDescent="0.25"/>
    <row r="6" spans="1:71" s="34" customFormat="1" hidden="1" outlineLevel="1" x14ac:dyDescent="0.25"/>
    <row r="7" spans="1:71" s="34" customFormat="1" hidden="1" outlineLevel="1" x14ac:dyDescent="0.25"/>
    <row r="8" spans="1:71" s="34" customFormat="1" collapsed="1" x14ac:dyDescent="0.25"/>
    <row r="9" spans="1:71" s="34" customFormat="1" x14ac:dyDescent="0.25">
      <c r="A9" s="231"/>
      <c r="B9" s="231"/>
      <c r="C9" s="231"/>
      <c r="D9" s="231"/>
      <c r="E9" s="231"/>
      <c r="F9" s="231"/>
      <c r="G9" s="231"/>
      <c r="H9" s="231"/>
      <c r="I9" s="231"/>
      <c r="J9" s="231"/>
      <c r="K9" s="231"/>
      <c r="L9" s="231"/>
      <c r="M9" s="231"/>
      <c r="N9" s="231"/>
      <c r="O9" s="231"/>
    </row>
    <row r="10" spans="1:71" s="232" customFormat="1" ht="0.75" hidden="1" customHeight="1" x14ac:dyDescent="0.25">
      <c r="A10" s="231"/>
      <c r="B10" s="239"/>
      <c r="C10" s="239"/>
      <c r="D10" s="239"/>
      <c r="E10" s="239"/>
      <c r="F10" s="239"/>
      <c r="G10" s="239"/>
      <c r="H10" s="239"/>
      <c r="I10" s="239"/>
      <c r="J10" s="239"/>
      <c r="K10" s="239"/>
      <c r="L10" s="239"/>
      <c r="M10" s="238"/>
      <c r="N10" s="231"/>
      <c r="O10" s="231"/>
      <c r="P10" s="34"/>
      <c r="Q10" s="34"/>
      <c r="R10" s="34"/>
      <c r="S10" s="34"/>
      <c r="T10" s="34"/>
      <c r="U10" s="34"/>
      <c r="V10" s="34"/>
      <c r="W10" s="34"/>
      <c r="X10" s="34"/>
      <c r="Y10" s="34"/>
      <c r="Z10" s="34"/>
      <c r="AA10" s="34"/>
      <c r="AB10" s="34"/>
      <c r="AC10" s="34"/>
      <c r="AD10" s="34"/>
      <c r="AE10" s="34"/>
      <c r="AF10" s="34"/>
      <c r="AG10" s="34"/>
      <c r="AH10" s="34"/>
      <c r="AI10" s="34"/>
      <c r="AJ10" s="34"/>
      <c r="AK10" s="34"/>
      <c r="AL10" s="34"/>
      <c r="AM10" s="34"/>
      <c r="AN10" s="34"/>
      <c r="AO10" s="34"/>
      <c r="AP10" s="34"/>
      <c r="AQ10" s="34"/>
      <c r="AR10" s="34"/>
      <c r="AS10" s="34"/>
      <c r="AT10" s="34"/>
      <c r="AU10" s="34"/>
      <c r="AV10" s="34"/>
      <c r="AW10" s="34"/>
      <c r="AX10" s="34"/>
      <c r="AY10" s="34"/>
      <c r="AZ10" s="34"/>
      <c r="BA10" s="34"/>
      <c r="BB10" s="34"/>
      <c r="BC10" s="34"/>
      <c r="BD10" s="34"/>
      <c r="BE10" s="34"/>
      <c r="BF10" s="34"/>
      <c r="BG10" s="34"/>
      <c r="BH10" s="34"/>
      <c r="BI10" s="34"/>
      <c r="BJ10" s="34"/>
      <c r="BK10" s="34"/>
    </row>
    <row r="11" spans="1:71" s="232" customFormat="1" ht="33" customHeight="1" x14ac:dyDescent="0.35">
      <c r="A11" s="240"/>
      <c r="B11" s="291" t="str">
        <f>"Instagram Hashtag Analysis Scorecard  ("&amp;'Scorecard Calcs'!B2&amp;")"</f>
        <v>Instagram Hashtag Analysis Scorecard  (8/11/2017-9/9/2017)</v>
      </c>
      <c r="C11" s="291"/>
      <c r="D11" s="291"/>
      <c r="E11" s="291"/>
      <c r="F11" s="291"/>
      <c r="G11" s="291"/>
      <c r="H11" s="291"/>
      <c r="I11" s="291"/>
      <c r="J11" s="291"/>
      <c r="K11" s="291"/>
      <c r="L11" s="291"/>
      <c r="M11" s="238"/>
      <c r="N11" s="231"/>
      <c r="O11" s="231"/>
      <c r="P11" s="34"/>
      <c r="Q11" s="34"/>
      <c r="R11" s="34"/>
      <c r="S11" s="34"/>
      <c r="T11" s="34"/>
      <c r="U11" s="34"/>
      <c r="V11" s="34"/>
      <c r="W11" s="34"/>
      <c r="X11" s="34"/>
      <c r="Y11" s="34"/>
      <c r="Z11" s="34"/>
      <c r="AA11" s="34"/>
      <c r="AB11" s="34"/>
      <c r="AC11" s="34"/>
      <c r="AD11" s="34"/>
      <c r="AE11" s="34"/>
      <c r="AF11" s="34"/>
      <c r="AG11" s="34"/>
      <c r="AH11" s="34"/>
      <c r="AI11" s="34"/>
      <c r="AJ11" s="34"/>
      <c r="AK11" s="34"/>
      <c r="AL11" s="34"/>
      <c r="AM11" s="34"/>
      <c r="AN11" s="34"/>
      <c r="AO11" s="34"/>
      <c r="AP11" s="34"/>
      <c r="AQ11" s="34"/>
      <c r="AR11" s="34"/>
      <c r="AS11" s="34"/>
      <c r="AT11" s="34"/>
      <c r="AU11" s="34"/>
      <c r="AV11" s="34"/>
      <c r="AW11" s="34"/>
      <c r="AX11" s="34"/>
      <c r="AY11" s="34"/>
      <c r="AZ11" s="34"/>
      <c r="BA11" s="34"/>
      <c r="BB11" s="34"/>
      <c r="BC11" s="34"/>
      <c r="BD11" s="34"/>
      <c r="BE11" s="34"/>
      <c r="BF11" s="34"/>
      <c r="BG11" s="34"/>
      <c r="BH11" s="34"/>
      <c r="BI11" s="34"/>
      <c r="BJ11" s="34"/>
      <c r="BK11" s="34"/>
      <c r="BL11" s="34"/>
      <c r="BM11" s="34"/>
      <c r="BN11" s="34"/>
      <c r="BO11" s="34"/>
      <c r="BP11" s="34"/>
      <c r="BQ11" s="34"/>
      <c r="BR11" s="34"/>
      <c r="BS11" s="34"/>
    </row>
    <row r="12" spans="1:71" s="232" customFormat="1" ht="24" customHeight="1" x14ac:dyDescent="0.25">
      <c r="A12" s="240"/>
      <c r="B12" s="294" t="str">
        <f>IF(Controls!E42="Yes","Compared to ("&amp;'Scorecard Calcs'!D2&amp;")","")</f>
        <v/>
      </c>
      <c r="C12" s="294"/>
      <c r="D12" s="294"/>
      <c r="E12" s="294"/>
      <c r="F12" s="294"/>
      <c r="G12" s="294"/>
      <c r="H12" s="294"/>
      <c r="I12" s="294"/>
      <c r="J12" s="294"/>
      <c r="K12" s="294"/>
      <c r="L12" s="294"/>
      <c r="M12" s="238"/>
      <c r="N12" s="231"/>
      <c r="O12" s="231"/>
      <c r="P12" s="34"/>
      <c r="Q12" s="34"/>
      <c r="R12" s="34"/>
      <c r="S12" s="34"/>
      <c r="T12" s="34"/>
      <c r="U12" s="34"/>
      <c r="V12" s="34"/>
      <c r="W12" s="34"/>
      <c r="X12" s="34"/>
      <c r="Y12" s="34"/>
      <c r="Z12" s="34"/>
      <c r="AA12" s="34"/>
      <c r="AB12" s="34"/>
      <c r="AC12" s="34"/>
      <c r="AD12" s="34"/>
      <c r="AE12" s="34"/>
      <c r="AF12" s="34"/>
      <c r="AG12" s="34"/>
      <c r="AH12" s="34"/>
      <c r="AI12" s="34"/>
      <c r="AJ12" s="34"/>
      <c r="AK12" s="34"/>
      <c r="AL12" s="34"/>
      <c r="AM12" s="34"/>
      <c r="AN12" s="34"/>
      <c r="AO12" s="34"/>
      <c r="AP12" s="34"/>
      <c r="AQ12" s="34"/>
      <c r="AR12" s="34"/>
      <c r="AS12" s="34"/>
      <c r="AT12" s="34"/>
      <c r="AU12" s="34"/>
      <c r="AV12" s="34"/>
      <c r="AW12" s="34"/>
      <c r="AX12" s="34"/>
      <c r="AY12" s="34"/>
      <c r="AZ12" s="34"/>
      <c r="BA12" s="34"/>
      <c r="BB12" s="34"/>
      <c r="BC12" s="34"/>
      <c r="BD12" s="34"/>
      <c r="BE12" s="34"/>
      <c r="BF12" s="34"/>
      <c r="BG12" s="34"/>
      <c r="BH12" s="34"/>
      <c r="BI12" s="34"/>
      <c r="BJ12" s="34"/>
      <c r="BK12" s="34"/>
      <c r="BL12" s="34"/>
      <c r="BM12" s="34"/>
      <c r="BN12" s="34"/>
      <c r="BO12" s="34"/>
      <c r="BP12" s="34"/>
      <c r="BQ12" s="34"/>
      <c r="BR12" s="34"/>
      <c r="BS12" s="34"/>
    </row>
    <row r="13" spans="1:71" s="232" customFormat="1" ht="30" customHeight="1" x14ac:dyDescent="0.25">
      <c r="A13" s="240"/>
      <c r="B13" s="292" t="s">
        <v>2358</v>
      </c>
      <c r="C13" s="292"/>
      <c r="D13" s="236"/>
      <c r="E13" s="293" t="str">
        <f>'Scorecard Calcs'!B1</f>
        <v>Current Period</v>
      </c>
      <c r="F13" s="293"/>
      <c r="G13" s="293"/>
      <c r="H13" s="293" t="str">
        <f>'Scorecard Calcs'!D1</f>
        <v/>
      </c>
      <c r="I13" s="293"/>
      <c r="J13" s="293"/>
      <c r="K13" s="293"/>
      <c r="L13" s="293"/>
      <c r="M13" s="238"/>
      <c r="N13" s="231"/>
      <c r="O13" s="231"/>
      <c r="P13" s="34"/>
      <c r="Q13" s="34"/>
      <c r="R13" s="34"/>
      <c r="S13" s="34"/>
      <c r="T13" s="34"/>
      <c r="U13" s="34"/>
      <c r="V13" s="34"/>
      <c r="W13" s="34"/>
      <c r="X13" s="34"/>
      <c r="Y13" s="34"/>
      <c r="Z13" s="34"/>
      <c r="AA13" s="34"/>
      <c r="AB13" s="34"/>
      <c r="AC13" s="34"/>
      <c r="AD13" s="34"/>
      <c r="AE13" s="34"/>
      <c r="AF13" s="34"/>
      <c r="AG13" s="34"/>
      <c r="AH13" s="34"/>
      <c r="AI13" s="34"/>
      <c r="AJ13" s="34"/>
      <c r="AK13" s="34"/>
      <c r="AL13" s="34"/>
      <c r="AM13" s="34"/>
      <c r="AN13" s="34"/>
      <c r="AO13" s="34"/>
      <c r="AP13" s="34"/>
      <c r="AQ13" s="34"/>
      <c r="AR13" s="34"/>
      <c r="AS13" s="34"/>
      <c r="AT13" s="34"/>
      <c r="AU13" s="34"/>
      <c r="AV13" s="34"/>
      <c r="AW13" s="34"/>
      <c r="AX13" s="34"/>
      <c r="AY13" s="34"/>
      <c r="AZ13" s="34"/>
      <c r="BA13" s="34"/>
      <c r="BB13" s="34"/>
      <c r="BC13" s="34"/>
      <c r="BD13" s="34"/>
      <c r="BE13" s="34"/>
      <c r="BF13" s="34"/>
      <c r="BG13" s="34"/>
      <c r="BH13" s="34"/>
      <c r="BI13" s="34"/>
      <c r="BJ13" s="34"/>
      <c r="BK13" s="34"/>
      <c r="BL13" s="34"/>
      <c r="BM13" s="34"/>
      <c r="BN13" s="34"/>
      <c r="BO13" s="34"/>
      <c r="BP13" s="34"/>
      <c r="BQ13" s="34"/>
      <c r="BR13" s="34"/>
      <c r="BS13" s="34"/>
    </row>
    <row r="14" spans="1:71" s="232" customFormat="1" ht="30" customHeight="1" x14ac:dyDescent="0.25">
      <c r="A14" s="240"/>
      <c r="B14" s="280" t="s">
        <v>2368</v>
      </c>
      <c r="C14" s="280"/>
      <c r="D14" s="280"/>
      <c r="E14" s="281" t="str">
        <f>'Scorecard Calcs'!B2</f>
        <v>8/11/2017-9/9/2017</v>
      </c>
      <c r="F14" s="282"/>
      <c r="G14" s="282"/>
      <c r="H14" s="282" t="str">
        <f>'Scorecard Calcs'!D2</f>
        <v/>
      </c>
      <c r="I14" s="282"/>
      <c r="J14" s="282"/>
      <c r="K14" s="283" t="str">
        <f>'Scorecard Calcs'!F1</f>
        <v/>
      </c>
      <c r="L14" s="283"/>
      <c r="M14" s="238"/>
      <c r="N14" s="231"/>
      <c r="O14" s="231"/>
      <c r="P14" s="34"/>
      <c r="Q14" s="34"/>
      <c r="R14" s="34"/>
      <c r="S14" s="34"/>
      <c r="T14" s="34"/>
      <c r="U14" s="34"/>
      <c r="V14" s="34"/>
      <c r="W14" s="34"/>
      <c r="X14" s="34"/>
      <c r="Y14" s="34"/>
      <c r="Z14" s="34"/>
      <c r="AA14" s="34"/>
      <c r="AB14" s="34"/>
      <c r="AC14" s="34"/>
      <c r="AD14" s="34"/>
      <c r="AE14" s="34"/>
      <c r="AF14" s="34"/>
      <c r="AG14" s="34"/>
      <c r="AH14" s="34"/>
      <c r="AI14" s="34"/>
      <c r="AJ14" s="34"/>
      <c r="AK14" s="34"/>
      <c r="AL14" s="34"/>
      <c r="AM14" s="34"/>
      <c r="AN14" s="34"/>
      <c r="AO14" s="34"/>
      <c r="AP14" s="34"/>
      <c r="AQ14" s="34"/>
      <c r="AR14" s="34"/>
      <c r="AS14" s="34"/>
      <c r="AT14" s="34"/>
      <c r="AU14" s="34"/>
      <c r="AV14" s="34"/>
      <c r="AW14" s="34"/>
      <c r="AX14" s="34"/>
      <c r="AY14" s="34"/>
      <c r="AZ14" s="34"/>
      <c r="BA14" s="34"/>
      <c r="BB14" s="34"/>
      <c r="BC14" s="34"/>
      <c r="BD14" s="34"/>
      <c r="BE14" s="34"/>
      <c r="BF14" s="34"/>
      <c r="BG14" s="34"/>
      <c r="BH14" s="34"/>
      <c r="BI14" s="34"/>
      <c r="BJ14" s="34"/>
      <c r="BK14" s="34"/>
      <c r="BL14" s="34"/>
      <c r="BM14" s="34"/>
      <c r="BN14" s="34"/>
      <c r="BO14" s="34"/>
      <c r="BP14" s="34"/>
      <c r="BQ14" s="34"/>
      <c r="BR14" s="34"/>
      <c r="BS14" s="34"/>
    </row>
    <row r="15" spans="1:71" s="232" customFormat="1" ht="18.75" customHeight="1" x14ac:dyDescent="0.25">
      <c r="A15" s="240"/>
      <c r="B15" s="285" t="s">
        <v>2312</v>
      </c>
      <c r="C15" s="285"/>
      <c r="D15" s="285"/>
      <c r="E15" s="286">
        <f>'Scorecard Calcs'!B4</f>
        <v>3616</v>
      </c>
      <c r="F15" s="286"/>
      <c r="G15" s="286"/>
      <c r="H15" s="286" t="str">
        <f>'Scorecard Calcs'!D4</f>
        <v/>
      </c>
      <c r="I15" s="286">
        <f>COUNT(PreviousPeople!I:I)</f>
        <v>0</v>
      </c>
      <c r="J15" s="286">
        <f>COUNT(PreviousPeople!J:J)</f>
        <v>0</v>
      </c>
      <c r="K15" s="287" t="str">
        <f>'Scorecard Calcs'!F4</f>
        <v/>
      </c>
      <c r="L15" s="287"/>
      <c r="M15" s="238"/>
      <c r="N15" s="231"/>
      <c r="O15" s="231"/>
      <c r="P15" s="34"/>
      <c r="Q15" s="34"/>
      <c r="R15" s="34"/>
      <c r="S15" s="34"/>
      <c r="T15" s="34"/>
      <c r="U15" s="34"/>
      <c r="V15" s="34"/>
      <c r="W15" s="34"/>
      <c r="X15" s="34"/>
      <c r="Y15" s="34"/>
      <c r="Z15" s="34"/>
      <c r="AA15" s="34"/>
      <c r="AB15" s="34"/>
      <c r="AC15" s="34"/>
      <c r="AD15" s="34"/>
      <c r="AE15" s="34"/>
      <c r="AF15" s="34"/>
      <c r="AG15" s="34"/>
      <c r="AH15" s="34"/>
      <c r="AI15" s="34"/>
      <c r="AJ15" s="34"/>
      <c r="AK15" s="34"/>
      <c r="AL15" s="34"/>
      <c r="AM15" s="34"/>
      <c r="AN15" s="34"/>
      <c r="AO15" s="34"/>
      <c r="AP15" s="34"/>
      <c r="AQ15" s="34"/>
      <c r="AR15" s="34"/>
      <c r="AS15" s="34"/>
      <c r="AT15" s="34"/>
      <c r="AU15" s="34"/>
      <c r="AV15" s="34"/>
      <c r="AW15" s="34"/>
      <c r="AX15" s="34"/>
      <c r="AY15" s="34"/>
      <c r="AZ15" s="34"/>
      <c r="BA15" s="34"/>
      <c r="BB15" s="34"/>
      <c r="BC15" s="34"/>
      <c r="BD15" s="34"/>
      <c r="BE15" s="34"/>
      <c r="BF15" s="34"/>
      <c r="BG15" s="34"/>
      <c r="BH15" s="34"/>
      <c r="BI15" s="34"/>
      <c r="BJ15" s="34"/>
      <c r="BK15" s="34"/>
      <c r="BL15" s="34"/>
      <c r="BM15" s="34"/>
      <c r="BN15" s="34"/>
      <c r="BO15" s="34"/>
      <c r="BP15" s="34"/>
      <c r="BQ15" s="34"/>
      <c r="BR15" s="34"/>
      <c r="BS15" s="34"/>
    </row>
    <row r="16" spans="1:71" s="232" customFormat="1" ht="18.75" customHeight="1" x14ac:dyDescent="0.25">
      <c r="A16" s="240"/>
      <c r="B16" s="288" t="s">
        <v>2348</v>
      </c>
      <c r="C16" s="288"/>
      <c r="D16" s="288"/>
      <c r="E16" s="289">
        <f>'Scorecard Calcs'!B5</f>
        <v>5717</v>
      </c>
      <c r="F16" s="289"/>
      <c r="G16" s="289"/>
      <c r="H16" s="289" t="str">
        <f>'Scorecard Calcs'!D5</f>
        <v/>
      </c>
      <c r="I16" s="289">
        <f>COUNT(PreviousPeople!I:I)</f>
        <v>0</v>
      </c>
      <c r="J16" s="289">
        <f>COUNT(PreviousPeople!J:J)</f>
        <v>0</v>
      </c>
      <c r="K16" s="290" t="str">
        <f>'Scorecard Calcs'!F5</f>
        <v/>
      </c>
      <c r="L16" s="290"/>
      <c r="M16" s="238"/>
      <c r="N16" s="231"/>
      <c r="O16" s="231"/>
      <c r="P16" s="34"/>
      <c r="Q16" s="34"/>
      <c r="R16" s="34"/>
      <c r="S16" s="34"/>
      <c r="T16" s="34"/>
      <c r="U16" s="34"/>
      <c r="V16" s="34"/>
      <c r="W16" s="34"/>
      <c r="X16" s="34"/>
      <c r="Y16" s="34"/>
      <c r="Z16" s="34"/>
      <c r="AA16" s="34"/>
      <c r="AB16" s="34"/>
      <c r="AC16" s="34"/>
      <c r="AD16" s="34"/>
      <c r="AE16" s="34"/>
      <c r="AF16" s="34"/>
      <c r="AG16" s="34"/>
      <c r="AH16" s="34"/>
      <c r="AI16" s="34"/>
      <c r="AJ16" s="34"/>
      <c r="AK16" s="34"/>
      <c r="AL16" s="34"/>
      <c r="AM16" s="34"/>
      <c r="AN16" s="34"/>
      <c r="AO16" s="34"/>
      <c r="AP16" s="34"/>
      <c r="AQ16" s="34"/>
      <c r="AR16" s="34"/>
      <c r="AS16" s="34"/>
      <c r="AT16" s="34"/>
      <c r="AU16" s="34"/>
      <c r="AV16" s="34"/>
      <c r="AW16" s="34"/>
      <c r="AX16" s="34"/>
      <c r="AY16" s="34"/>
      <c r="AZ16" s="34"/>
      <c r="BA16" s="34"/>
      <c r="BB16" s="34"/>
      <c r="BC16" s="34"/>
      <c r="BD16" s="34"/>
      <c r="BE16" s="34"/>
      <c r="BF16" s="34"/>
      <c r="BG16" s="34"/>
      <c r="BH16" s="34"/>
      <c r="BI16" s="34"/>
      <c r="BJ16" s="34"/>
      <c r="BK16" s="34"/>
      <c r="BL16" s="34"/>
      <c r="BM16" s="34"/>
      <c r="BN16" s="34"/>
      <c r="BO16" s="34"/>
      <c r="BP16" s="34"/>
      <c r="BQ16" s="34"/>
      <c r="BR16" s="34"/>
      <c r="BS16" s="34"/>
    </row>
    <row r="17" spans="1:71" s="232" customFormat="1" ht="18.75" customHeight="1" x14ac:dyDescent="0.25">
      <c r="A17" s="240"/>
      <c r="B17" s="288" t="s">
        <v>2072</v>
      </c>
      <c r="C17" s="288"/>
      <c r="D17" s="288"/>
      <c r="E17" s="289">
        <f>'Scorecard Calcs'!B6</f>
        <v>7532057</v>
      </c>
      <c r="F17" s="289"/>
      <c r="G17" s="289"/>
      <c r="H17" s="289" t="str">
        <f>'Scorecard Calcs'!D6</f>
        <v/>
      </c>
      <c r="I17" s="289">
        <f>COUNT(PreviousPeople!I:I)</f>
        <v>0</v>
      </c>
      <c r="J17" s="289">
        <f>COUNT(PreviousPeople!J:J)</f>
        <v>0</v>
      </c>
      <c r="K17" s="290" t="str">
        <f>'Scorecard Calcs'!F6</f>
        <v/>
      </c>
      <c r="L17" s="290"/>
      <c r="M17" s="238"/>
      <c r="N17" s="231"/>
      <c r="O17" s="231"/>
      <c r="P17" s="34"/>
      <c r="Q17" s="34"/>
      <c r="R17" s="34"/>
      <c r="S17" s="34"/>
      <c r="T17" s="34"/>
      <c r="U17" s="34"/>
      <c r="V17" s="34"/>
      <c r="W17" s="34"/>
      <c r="X17" s="34"/>
      <c r="Y17" s="34"/>
      <c r="Z17" s="34"/>
      <c r="AA17" s="34"/>
      <c r="AB17" s="34"/>
      <c r="AC17" s="34"/>
      <c r="AD17" s="34"/>
      <c r="AE17" s="34"/>
      <c r="AF17" s="34"/>
      <c r="AG17" s="34"/>
      <c r="AH17" s="34"/>
      <c r="AI17" s="34"/>
      <c r="AJ17" s="34"/>
      <c r="AK17" s="34"/>
      <c r="AL17" s="34"/>
      <c r="AM17" s="34"/>
      <c r="AN17" s="34"/>
      <c r="AO17" s="34"/>
      <c r="AP17" s="34"/>
      <c r="AQ17" s="34"/>
      <c r="AR17" s="34"/>
      <c r="AS17" s="34"/>
      <c r="AT17" s="34"/>
      <c r="AU17" s="34"/>
      <c r="AV17" s="34"/>
      <c r="AW17" s="34"/>
      <c r="AX17" s="34"/>
      <c r="AY17" s="34"/>
      <c r="AZ17" s="34"/>
      <c r="BA17" s="34"/>
      <c r="BB17" s="34"/>
      <c r="BC17" s="34"/>
      <c r="BD17" s="34"/>
      <c r="BE17" s="34"/>
      <c r="BF17" s="34"/>
      <c r="BG17" s="34"/>
      <c r="BH17" s="34"/>
      <c r="BI17" s="34"/>
      <c r="BJ17" s="34"/>
      <c r="BK17" s="34"/>
      <c r="BL17" s="34"/>
      <c r="BM17" s="34"/>
      <c r="BN17" s="34"/>
      <c r="BO17" s="34"/>
      <c r="BP17" s="34"/>
      <c r="BQ17" s="34"/>
      <c r="BR17" s="34"/>
      <c r="BS17" s="34"/>
    </row>
    <row r="18" spans="1:71" s="232" customFormat="1" ht="18.75" customHeight="1" x14ac:dyDescent="0.25">
      <c r="A18" s="240"/>
      <c r="B18" s="288" t="s">
        <v>2022</v>
      </c>
      <c r="C18" s="288"/>
      <c r="D18" s="288"/>
      <c r="E18" s="289">
        <f>'Scorecard Calcs'!B7</f>
        <v>36014667</v>
      </c>
      <c r="F18" s="289"/>
      <c r="G18" s="289"/>
      <c r="H18" s="289" t="str">
        <f>'Scorecard Calcs'!D7</f>
        <v/>
      </c>
      <c r="I18" s="289">
        <f>COUNT(PreviousPeople!I:I)</f>
        <v>0</v>
      </c>
      <c r="J18" s="289">
        <f>COUNT(PreviousPeople!J:J)</f>
        <v>0</v>
      </c>
      <c r="K18" s="290" t="str">
        <f>'Scorecard Calcs'!F7</f>
        <v/>
      </c>
      <c r="L18" s="290"/>
      <c r="M18" s="238"/>
      <c r="N18" s="231"/>
      <c r="O18" s="231"/>
      <c r="P18" s="34"/>
      <c r="Q18" s="34"/>
      <c r="R18" s="34"/>
      <c r="S18" s="34"/>
      <c r="T18" s="34"/>
      <c r="U18" s="34"/>
      <c r="V18" s="34"/>
      <c r="W18" s="34"/>
      <c r="X18" s="34"/>
      <c r="Y18" s="34"/>
      <c r="Z18" s="34"/>
      <c r="AA18" s="34"/>
      <c r="AB18" s="34"/>
      <c r="AC18" s="34"/>
      <c r="AD18" s="34"/>
      <c r="AE18" s="34"/>
      <c r="AF18" s="34"/>
      <c r="AG18" s="34"/>
      <c r="AH18" s="34"/>
      <c r="AI18" s="34"/>
      <c r="AJ18" s="34"/>
      <c r="AK18" s="34"/>
      <c r="AL18" s="34"/>
      <c r="AM18" s="34"/>
      <c r="AN18" s="34"/>
      <c r="AO18" s="34"/>
      <c r="AP18" s="34"/>
      <c r="AQ18" s="34"/>
      <c r="AR18" s="34"/>
      <c r="AS18" s="34"/>
      <c r="AT18" s="34"/>
      <c r="AU18" s="34"/>
      <c r="AV18" s="34"/>
      <c r="AW18" s="34"/>
      <c r="AX18" s="34"/>
      <c r="AY18" s="34"/>
      <c r="AZ18" s="34"/>
      <c r="BA18" s="34"/>
      <c r="BB18" s="34"/>
      <c r="BC18" s="34"/>
      <c r="BD18" s="34"/>
      <c r="BE18" s="34"/>
      <c r="BF18" s="34"/>
      <c r="BG18" s="34"/>
      <c r="BH18" s="34"/>
      <c r="BI18" s="34"/>
      <c r="BJ18" s="34"/>
      <c r="BK18" s="34"/>
      <c r="BL18" s="34"/>
      <c r="BM18" s="34"/>
      <c r="BN18" s="34"/>
      <c r="BO18" s="34"/>
      <c r="BP18" s="34"/>
      <c r="BQ18" s="34"/>
      <c r="BR18" s="34"/>
      <c r="BS18" s="34"/>
    </row>
    <row r="19" spans="1:71" s="232" customFormat="1" ht="18.75" customHeight="1" x14ac:dyDescent="0.25">
      <c r="A19" s="240"/>
      <c r="B19" s="277" t="s">
        <v>2003</v>
      </c>
      <c r="C19" s="277"/>
      <c r="D19" s="277"/>
      <c r="E19" s="295">
        <f>'Scorecard Calcs'!B8</f>
        <v>664909</v>
      </c>
      <c r="F19" s="295"/>
      <c r="G19" s="295"/>
      <c r="H19" s="295" t="str">
        <f>'Scorecard Calcs'!D8</f>
        <v/>
      </c>
      <c r="I19" s="295">
        <f>COUNT(PreviousPeople!I:I)</f>
        <v>0</v>
      </c>
      <c r="J19" s="295">
        <f>COUNT(PreviousPeople!J:J)</f>
        <v>0</v>
      </c>
      <c r="K19" s="279" t="str">
        <f>'Scorecard Calcs'!F8</f>
        <v/>
      </c>
      <c r="L19" s="279"/>
      <c r="M19" s="238"/>
      <c r="N19" s="231"/>
      <c r="O19" s="231"/>
      <c r="P19" s="34"/>
      <c r="Q19" s="34"/>
      <c r="R19" s="34"/>
      <c r="S19" s="34"/>
      <c r="T19" s="34"/>
      <c r="U19" s="34"/>
      <c r="V19" s="34"/>
      <c r="W19" s="34"/>
      <c r="X19" s="34"/>
      <c r="Y19" s="34"/>
      <c r="Z19" s="34"/>
      <c r="AA19" s="34"/>
      <c r="AB19" s="34"/>
      <c r="AC19" s="34"/>
      <c r="AD19" s="34"/>
      <c r="AE19" s="34"/>
      <c r="AF19" s="34"/>
      <c r="AG19" s="34"/>
      <c r="AH19" s="34"/>
      <c r="AI19" s="34"/>
      <c r="AJ19" s="34"/>
      <c r="AK19" s="34"/>
      <c r="AL19" s="34"/>
      <c r="AM19" s="34"/>
      <c r="AN19" s="34"/>
      <c r="AO19" s="34"/>
      <c r="AP19" s="34"/>
      <c r="AQ19" s="34"/>
      <c r="AR19" s="34"/>
      <c r="AS19" s="34"/>
      <c r="AT19" s="34"/>
      <c r="AU19" s="34"/>
      <c r="AV19" s="34"/>
      <c r="AW19" s="34"/>
      <c r="AX19" s="34"/>
      <c r="AY19" s="34"/>
      <c r="AZ19" s="34"/>
      <c r="BA19" s="34"/>
      <c r="BB19" s="34"/>
      <c r="BC19" s="34"/>
      <c r="BD19" s="34"/>
      <c r="BE19" s="34"/>
      <c r="BF19" s="34"/>
      <c r="BG19" s="34"/>
      <c r="BH19" s="34"/>
      <c r="BI19" s="34"/>
      <c r="BJ19" s="34"/>
      <c r="BK19" s="34"/>
      <c r="BL19" s="34"/>
      <c r="BM19" s="34"/>
      <c r="BN19" s="34"/>
      <c r="BO19" s="34"/>
      <c r="BP19" s="34"/>
      <c r="BQ19" s="34"/>
      <c r="BR19" s="34"/>
      <c r="BS19" s="34"/>
    </row>
    <row r="20" spans="1:71" s="232" customFormat="1" ht="30" customHeight="1" x14ac:dyDescent="0.25">
      <c r="A20" s="240"/>
      <c r="B20" s="296" t="s">
        <v>2360</v>
      </c>
      <c r="C20" s="296"/>
      <c r="D20" s="234"/>
      <c r="E20" s="297" t="str">
        <f>E13</f>
        <v>Current Period</v>
      </c>
      <c r="F20" s="297"/>
      <c r="G20" s="297"/>
      <c r="H20" s="297" t="str">
        <f>H13</f>
        <v/>
      </c>
      <c r="I20" s="297"/>
      <c r="J20" s="297"/>
      <c r="K20" s="298"/>
      <c r="L20" s="298"/>
      <c r="M20" s="238"/>
      <c r="N20" s="231"/>
      <c r="O20" s="231"/>
      <c r="P20" s="34"/>
      <c r="Q20" s="34"/>
      <c r="R20" s="34"/>
      <c r="S20" s="34"/>
      <c r="T20" s="34"/>
      <c r="U20" s="34"/>
      <c r="V20" s="34"/>
      <c r="W20" s="34"/>
      <c r="X20" s="34"/>
      <c r="Y20" s="34"/>
      <c r="Z20" s="34"/>
      <c r="AA20" s="34"/>
      <c r="AB20" s="34"/>
      <c r="AC20" s="34"/>
      <c r="AD20" s="34"/>
      <c r="AE20" s="34"/>
      <c r="AF20" s="34"/>
      <c r="AG20" s="34"/>
      <c r="AH20" s="34"/>
      <c r="AI20" s="34"/>
      <c r="AJ20" s="34"/>
      <c r="AK20" s="34"/>
      <c r="AL20" s="34"/>
      <c r="AM20" s="34"/>
      <c r="AN20" s="34"/>
      <c r="AO20" s="34"/>
      <c r="AP20" s="34"/>
      <c r="AQ20" s="34"/>
      <c r="AR20" s="34"/>
      <c r="AS20" s="34"/>
      <c r="AT20" s="34"/>
      <c r="AU20" s="34"/>
      <c r="AV20" s="34"/>
      <c r="AW20" s="34"/>
      <c r="AX20" s="34"/>
      <c r="AY20" s="34"/>
      <c r="AZ20" s="34"/>
      <c r="BA20" s="34"/>
      <c r="BB20" s="34"/>
      <c r="BC20" s="34"/>
      <c r="BD20" s="34"/>
      <c r="BE20" s="34"/>
      <c r="BF20" s="34"/>
      <c r="BG20" s="34"/>
      <c r="BH20" s="34"/>
      <c r="BI20" s="34"/>
      <c r="BJ20" s="34"/>
      <c r="BK20" s="34"/>
      <c r="BL20" s="34"/>
      <c r="BM20" s="34"/>
      <c r="BN20" s="34"/>
      <c r="BO20" s="34"/>
      <c r="BP20" s="34"/>
      <c r="BQ20" s="34"/>
      <c r="BR20" s="34"/>
      <c r="BS20" s="34"/>
    </row>
    <row r="21" spans="1:71" s="232" customFormat="1" ht="30" customHeight="1" x14ac:dyDescent="0.25">
      <c r="A21" s="240"/>
      <c r="B21" s="280" t="s">
        <v>2368</v>
      </c>
      <c r="C21" s="280"/>
      <c r="D21" s="280"/>
      <c r="E21" s="281" t="str">
        <f>E14</f>
        <v>8/11/2017-9/9/2017</v>
      </c>
      <c r="F21" s="282"/>
      <c r="G21" s="282"/>
      <c r="H21" s="282" t="str">
        <f>H14</f>
        <v/>
      </c>
      <c r="I21" s="282"/>
      <c r="J21" s="282"/>
      <c r="K21" s="299" t="str">
        <f>K14</f>
        <v/>
      </c>
      <c r="L21" s="299"/>
      <c r="M21" s="238"/>
      <c r="N21" s="231"/>
      <c r="O21" s="231"/>
      <c r="P21" s="34"/>
      <c r="Q21" s="34"/>
      <c r="R21" s="34"/>
      <c r="S21" s="34"/>
      <c r="T21" s="34"/>
      <c r="U21" s="34"/>
      <c r="V21" s="34"/>
      <c r="W21" s="34"/>
      <c r="X21" s="34"/>
      <c r="Y21" s="34"/>
      <c r="Z21" s="34"/>
      <c r="AA21" s="34"/>
      <c r="AB21" s="34"/>
      <c r="AC21" s="34"/>
      <c r="AD21" s="34"/>
      <c r="AE21" s="34"/>
      <c r="AF21" s="34"/>
      <c r="AG21" s="34"/>
      <c r="AH21" s="34"/>
      <c r="AI21" s="34"/>
      <c r="AJ21" s="34"/>
      <c r="AK21" s="34"/>
      <c r="AL21" s="34"/>
      <c r="AM21" s="34"/>
      <c r="AN21" s="34"/>
      <c r="AO21" s="34"/>
      <c r="AP21" s="34"/>
      <c r="AQ21" s="34"/>
      <c r="AR21" s="34"/>
      <c r="AS21" s="34"/>
      <c r="AT21" s="34"/>
      <c r="AU21" s="34"/>
      <c r="AV21" s="34"/>
      <c r="AW21" s="34"/>
      <c r="AX21" s="34"/>
      <c r="AY21" s="34"/>
      <c r="AZ21" s="34"/>
      <c r="BA21" s="34"/>
      <c r="BB21" s="34"/>
      <c r="BC21" s="34"/>
      <c r="BD21" s="34"/>
      <c r="BE21" s="34"/>
      <c r="BF21" s="34"/>
      <c r="BG21" s="34"/>
      <c r="BH21" s="34"/>
      <c r="BI21" s="34"/>
      <c r="BJ21" s="34"/>
      <c r="BK21" s="34"/>
      <c r="BL21" s="34"/>
      <c r="BM21" s="34"/>
      <c r="BN21" s="34"/>
      <c r="BO21" s="34"/>
      <c r="BP21" s="34"/>
      <c r="BQ21" s="34"/>
      <c r="BR21" s="34"/>
      <c r="BS21" s="34"/>
    </row>
    <row r="22" spans="1:71" s="232" customFormat="1" ht="18.75" customHeight="1" x14ac:dyDescent="0.25">
      <c r="A22" s="240"/>
      <c r="B22" s="285" t="s">
        <v>2361</v>
      </c>
      <c r="C22" s="285"/>
      <c r="D22" s="285"/>
      <c r="E22" s="284">
        <f>'Scorecard Calcs'!B11</f>
        <v>5717</v>
      </c>
      <c r="F22" s="284"/>
      <c r="G22" s="284"/>
      <c r="H22" s="284" t="str">
        <f>'Scorecard Calcs'!D11</f>
        <v/>
      </c>
      <c r="I22" s="284">
        <f>COUNT(PreviousPeople!I:I)</f>
        <v>0</v>
      </c>
      <c r="J22" s="284">
        <f>COUNT(PreviousPeople!J:J)</f>
        <v>0</v>
      </c>
      <c r="K22" s="287" t="str">
        <f>'Scorecard Calcs'!F11</f>
        <v/>
      </c>
      <c r="L22" s="287"/>
      <c r="M22" s="238"/>
      <c r="N22" s="231"/>
      <c r="O22" s="231"/>
      <c r="P22" s="34"/>
      <c r="Q22" s="34"/>
      <c r="R22" s="34"/>
      <c r="S22" s="34"/>
      <c r="T22" s="34"/>
      <c r="U22" s="34"/>
      <c r="V22" s="34"/>
      <c r="W22" s="34"/>
      <c r="X22" s="34"/>
      <c r="Y22" s="34"/>
      <c r="Z22" s="34"/>
      <c r="AA22" s="34"/>
      <c r="AB22" s="34"/>
      <c r="AC22" s="34"/>
      <c r="AD22" s="34"/>
      <c r="AE22" s="34"/>
      <c r="AF22" s="34"/>
      <c r="AG22" s="34"/>
      <c r="AH22" s="34"/>
      <c r="AI22" s="34"/>
      <c r="AJ22" s="34"/>
      <c r="AK22" s="34"/>
      <c r="AL22" s="34"/>
      <c r="AM22" s="34"/>
      <c r="AN22" s="34"/>
      <c r="AO22" s="34"/>
      <c r="AP22" s="34"/>
      <c r="AQ22" s="34"/>
      <c r="AR22" s="34"/>
      <c r="AS22" s="34"/>
      <c r="AT22" s="34"/>
      <c r="AU22" s="34"/>
      <c r="AV22" s="34"/>
      <c r="AW22" s="34"/>
      <c r="AX22" s="34"/>
      <c r="AY22" s="34"/>
      <c r="AZ22" s="34"/>
      <c r="BA22" s="34"/>
      <c r="BB22" s="34"/>
      <c r="BC22" s="34"/>
      <c r="BD22" s="34"/>
      <c r="BE22" s="34"/>
      <c r="BF22" s="34"/>
      <c r="BG22" s="34"/>
      <c r="BH22" s="34"/>
      <c r="BI22" s="34"/>
      <c r="BJ22" s="34"/>
      <c r="BK22" s="34"/>
      <c r="BL22" s="34"/>
      <c r="BM22" s="34"/>
      <c r="BN22" s="34"/>
      <c r="BO22" s="34"/>
      <c r="BP22" s="34"/>
      <c r="BQ22" s="34"/>
      <c r="BR22" s="34"/>
      <c r="BS22" s="34"/>
    </row>
    <row r="23" spans="1:71" s="232" customFormat="1" ht="18.75" customHeight="1" x14ac:dyDescent="0.25">
      <c r="A23" s="240"/>
      <c r="B23" s="288" t="s">
        <v>2471</v>
      </c>
      <c r="C23" s="288"/>
      <c r="D23" s="288"/>
      <c r="E23" s="289">
        <f>'Scorecard Calcs'!B12</f>
        <v>5017</v>
      </c>
      <c r="F23" s="289"/>
      <c r="G23" s="289"/>
      <c r="H23" s="289" t="str">
        <f>'Scorecard Calcs'!D12</f>
        <v/>
      </c>
      <c r="I23" s="289">
        <f>COUNT(PreviousPeople!I:I)</f>
        <v>0</v>
      </c>
      <c r="J23" s="289">
        <f>COUNT(PreviousPeople!J:J)</f>
        <v>0</v>
      </c>
      <c r="K23" s="290" t="str">
        <f>'Scorecard Calcs'!F12</f>
        <v/>
      </c>
      <c r="L23" s="290"/>
      <c r="M23" s="238"/>
      <c r="N23" s="231"/>
      <c r="O23" s="231"/>
      <c r="P23" s="34"/>
      <c r="Q23" s="34"/>
      <c r="R23" s="34"/>
      <c r="S23" s="34"/>
      <c r="T23" s="34"/>
      <c r="U23" s="34"/>
      <c r="V23" s="34"/>
      <c r="W23" s="34"/>
      <c r="X23" s="34"/>
      <c r="Y23" s="34"/>
      <c r="Z23" s="34"/>
      <c r="AA23" s="34"/>
      <c r="AB23" s="34"/>
      <c r="AC23" s="34"/>
      <c r="AD23" s="34"/>
      <c r="AE23" s="34"/>
      <c r="AF23" s="34"/>
      <c r="AG23" s="34"/>
      <c r="AH23" s="34"/>
      <c r="AI23" s="34"/>
      <c r="AJ23" s="34"/>
      <c r="AK23" s="34"/>
      <c r="AL23" s="34"/>
      <c r="AM23" s="34"/>
      <c r="AN23" s="34"/>
      <c r="AO23" s="34"/>
      <c r="AP23" s="34"/>
      <c r="AQ23" s="34"/>
      <c r="AR23" s="34"/>
      <c r="AS23" s="34"/>
      <c r="AT23" s="34"/>
      <c r="AU23" s="34"/>
      <c r="AV23" s="34"/>
      <c r="AW23" s="34"/>
      <c r="AX23" s="34"/>
      <c r="AY23" s="34"/>
      <c r="AZ23" s="34"/>
      <c r="BA23" s="34"/>
      <c r="BB23" s="34"/>
      <c r="BC23" s="34"/>
      <c r="BD23" s="34"/>
      <c r="BE23" s="34"/>
      <c r="BF23" s="34"/>
      <c r="BG23" s="34"/>
      <c r="BH23" s="34"/>
      <c r="BI23" s="34"/>
      <c r="BJ23" s="34"/>
      <c r="BK23" s="34"/>
      <c r="BL23" s="34"/>
      <c r="BM23" s="34"/>
      <c r="BN23" s="34"/>
      <c r="BO23" s="34"/>
      <c r="BP23" s="34"/>
      <c r="BQ23" s="34"/>
      <c r="BR23" s="34"/>
      <c r="BS23" s="34"/>
    </row>
    <row r="24" spans="1:71" s="232" customFormat="1" ht="18.75" customHeight="1" x14ac:dyDescent="0.25">
      <c r="A24" s="240"/>
      <c r="B24" s="277" t="s">
        <v>2472</v>
      </c>
      <c r="C24" s="277"/>
      <c r="D24" s="277"/>
      <c r="E24" s="278">
        <f>'Scorecard Calcs'!B13</f>
        <v>401</v>
      </c>
      <c r="F24" s="278"/>
      <c r="G24" s="278"/>
      <c r="H24" s="278" t="str">
        <f>'Scorecard Calcs'!D13</f>
        <v/>
      </c>
      <c r="I24" s="278">
        <f>COUNT(PreviousPeople!I:I)</f>
        <v>0</v>
      </c>
      <c r="J24" s="278">
        <f>COUNT(PreviousPeople!J:J)</f>
        <v>0</v>
      </c>
      <c r="K24" s="279" t="str">
        <f>'Scorecard Calcs'!F13</f>
        <v/>
      </c>
      <c r="L24" s="279"/>
      <c r="M24" s="238"/>
      <c r="N24" s="231"/>
      <c r="O24" s="231"/>
      <c r="P24" s="34"/>
      <c r="Q24" s="34"/>
      <c r="R24" s="34"/>
      <c r="S24" s="34"/>
      <c r="T24" s="34"/>
      <c r="U24" s="34"/>
      <c r="V24" s="34"/>
      <c r="W24" s="34"/>
      <c r="X24" s="34"/>
      <c r="Y24" s="34"/>
      <c r="Z24" s="34"/>
      <c r="AA24" s="34"/>
      <c r="AB24" s="34"/>
      <c r="AC24" s="34"/>
      <c r="AD24" s="34"/>
      <c r="AE24" s="34"/>
      <c r="AF24" s="34"/>
      <c r="AG24" s="34"/>
      <c r="AH24" s="34"/>
      <c r="AI24" s="34"/>
      <c r="AJ24" s="34"/>
      <c r="AK24" s="34"/>
      <c r="AL24" s="34"/>
      <c r="AM24" s="34"/>
      <c r="AN24" s="34"/>
      <c r="AO24" s="34"/>
      <c r="AP24" s="34"/>
      <c r="AQ24" s="34"/>
      <c r="AR24" s="34"/>
      <c r="AS24" s="34"/>
      <c r="AT24" s="34"/>
      <c r="AU24" s="34"/>
      <c r="AV24" s="34"/>
      <c r="AW24" s="34"/>
      <c r="AX24" s="34"/>
      <c r="AY24" s="34"/>
      <c r="AZ24" s="34"/>
      <c r="BA24" s="34"/>
      <c r="BB24" s="34"/>
      <c r="BC24" s="34"/>
      <c r="BD24" s="34"/>
      <c r="BE24" s="34"/>
      <c r="BF24" s="34"/>
      <c r="BG24" s="34"/>
      <c r="BH24" s="34"/>
      <c r="BI24" s="34"/>
      <c r="BJ24" s="34"/>
      <c r="BK24" s="34"/>
      <c r="BL24" s="34"/>
      <c r="BM24" s="34"/>
      <c r="BN24" s="34"/>
      <c r="BO24" s="34"/>
      <c r="BP24" s="34"/>
      <c r="BQ24" s="34"/>
      <c r="BR24" s="34"/>
      <c r="BS24" s="34"/>
    </row>
    <row r="25" spans="1:71" s="232" customFormat="1" ht="18.75" customHeight="1" x14ac:dyDescent="0.25">
      <c r="A25" s="240"/>
      <c r="B25" s="277" t="s">
        <v>2473</v>
      </c>
      <c r="C25" s="277"/>
      <c r="D25" s="277"/>
      <c r="E25" s="278">
        <f>'Scorecard Calcs'!B14</f>
        <v>299</v>
      </c>
      <c r="F25" s="278"/>
      <c r="G25" s="278"/>
      <c r="H25" s="278" t="str">
        <f>'Scorecard Calcs'!D14</f>
        <v/>
      </c>
      <c r="I25" s="278">
        <f>COUNT(PreviousPeople!I:I)</f>
        <v>0</v>
      </c>
      <c r="J25" s="278">
        <f>COUNT(PreviousPeople!J:J)</f>
        <v>0</v>
      </c>
      <c r="K25" s="279" t="str">
        <f>'Scorecard Calcs'!F14</f>
        <v/>
      </c>
      <c r="L25" s="279"/>
      <c r="M25" s="238"/>
      <c r="N25" s="231"/>
      <c r="O25" s="231"/>
      <c r="P25" s="34"/>
      <c r="Q25" s="34"/>
      <c r="R25" s="34"/>
      <c r="S25" s="34"/>
      <c r="T25" s="34"/>
      <c r="U25" s="34"/>
      <c r="V25" s="34"/>
      <c r="W25" s="34"/>
      <c r="X25" s="34"/>
      <c r="Y25" s="34"/>
      <c r="Z25" s="34"/>
      <c r="AA25" s="34"/>
      <c r="AB25" s="34"/>
      <c r="AC25" s="34"/>
      <c r="AD25" s="34"/>
      <c r="AE25" s="34"/>
      <c r="AF25" s="34"/>
      <c r="AG25" s="34"/>
      <c r="AH25" s="34"/>
      <c r="AI25" s="34"/>
      <c r="AJ25" s="34"/>
      <c r="AK25" s="34"/>
      <c r="AL25" s="34"/>
      <c r="AM25" s="34"/>
      <c r="AN25" s="34"/>
      <c r="AO25" s="34"/>
      <c r="AP25" s="34"/>
      <c r="AQ25" s="34"/>
      <c r="AR25" s="34"/>
      <c r="AS25" s="34"/>
      <c r="AT25" s="34"/>
      <c r="AU25" s="34"/>
      <c r="AV25" s="34"/>
      <c r="AW25" s="34"/>
      <c r="AX25" s="34"/>
      <c r="AY25" s="34"/>
      <c r="AZ25" s="34"/>
      <c r="BA25" s="34"/>
      <c r="BB25" s="34"/>
      <c r="BC25" s="34"/>
      <c r="BD25" s="34"/>
      <c r="BE25" s="34"/>
      <c r="BF25" s="34"/>
      <c r="BG25" s="34"/>
      <c r="BH25" s="34"/>
      <c r="BI25" s="34"/>
      <c r="BJ25" s="34"/>
      <c r="BK25" s="34"/>
      <c r="BL25" s="34"/>
      <c r="BM25" s="34"/>
      <c r="BN25" s="34"/>
      <c r="BO25" s="34"/>
      <c r="BP25" s="34"/>
      <c r="BQ25" s="34"/>
      <c r="BR25" s="34"/>
      <c r="BS25" s="34"/>
    </row>
    <row r="26" spans="1:71" s="232" customFormat="1" ht="30" customHeight="1" x14ac:dyDescent="0.25">
      <c r="A26" s="240"/>
      <c r="B26" s="296" t="s">
        <v>2364</v>
      </c>
      <c r="C26" s="296"/>
      <c r="D26" s="234"/>
      <c r="E26" s="297" t="str">
        <f>E13</f>
        <v>Current Period</v>
      </c>
      <c r="F26" s="297"/>
      <c r="G26" s="297"/>
      <c r="H26" s="297" t="str">
        <f>H13</f>
        <v/>
      </c>
      <c r="I26" s="297"/>
      <c r="J26" s="297"/>
      <c r="K26" s="298"/>
      <c r="L26" s="298"/>
      <c r="M26" s="238"/>
      <c r="N26" s="231"/>
      <c r="O26" s="231"/>
      <c r="P26" s="34"/>
      <c r="Q26" s="34"/>
      <c r="R26" s="34"/>
      <c r="S26" s="34"/>
      <c r="T26" s="34"/>
      <c r="U26" s="34"/>
      <c r="V26" s="34"/>
      <c r="W26" s="34"/>
      <c r="X26" s="34"/>
      <c r="Y26" s="34"/>
      <c r="Z26" s="34"/>
      <c r="AA26" s="34"/>
      <c r="AB26" s="34"/>
      <c r="AC26" s="34"/>
      <c r="AD26" s="34"/>
      <c r="AE26" s="34"/>
      <c r="AF26" s="34"/>
      <c r="AG26" s="34"/>
      <c r="AH26" s="34"/>
      <c r="AI26" s="34"/>
      <c r="AJ26" s="34"/>
      <c r="AK26" s="34"/>
      <c r="AL26" s="34"/>
      <c r="AM26" s="34"/>
      <c r="AN26" s="34"/>
      <c r="AO26" s="34"/>
      <c r="AP26" s="34"/>
      <c r="AQ26" s="34"/>
      <c r="AR26" s="34"/>
      <c r="AS26" s="34"/>
      <c r="AT26" s="34"/>
      <c r="AU26" s="34"/>
      <c r="AV26" s="34"/>
      <c r="AW26" s="34"/>
      <c r="AX26" s="34"/>
      <c r="AY26" s="34"/>
      <c r="AZ26" s="34"/>
      <c r="BA26" s="34"/>
      <c r="BB26" s="34"/>
      <c r="BC26" s="34"/>
      <c r="BD26" s="34"/>
      <c r="BE26" s="34"/>
      <c r="BF26" s="34"/>
      <c r="BG26" s="34"/>
      <c r="BH26" s="34"/>
      <c r="BI26" s="34"/>
      <c r="BJ26" s="34"/>
      <c r="BK26" s="34"/>
      <c r="BL26" s="34"/>
      <c r="BM26" s="34"/>
      <c r="BN26" s="34"/>
      <c r="BO26" s="34"/>
      <c r="BP26" s="34"/>
      <c r="BQ26" s="34"/>
      <c r="BR26" s="34"/>
      <c r="BS26" s="34"/>
    </row>
    <row r="27" spans="1:71" s="232" customFormat="1" ht="30" customHeight="1" x14ac:dyDescent="0.25">
      <c r="A27" s="240"/>
      <c r="B27" s="280" t="s">
        <v>2368</v>
      </c>
      <c r="C27" s="280"/>
      <c r="D27" s="280"/>
      <c r="E27" s="281" t="str">
        <f>E14</f>
        <v>8/11/2017-9/9/2017</v>
      </c>
      <c r="F27" s="282"/>
      <c r="G27" s="282"/>
      <c r="H27" s="282" t="str">
        <f>H14</f>
        <v/>
      </c>
      <c r="I27" s="282"/>
      <c r="J27" s="282"/>
      <c r="K27" s="299" t="str">
        <f>K14</f>
        <v/>
      </c>
      <c r="L27" s="299"/>
      <c r="M27" s="238"/>
      <c r="N27" s="231"/>
      <c r="O27" s="231"/>
      <c r="P27" s="34"/>
      <c r="Q27" s="34"/>
      <c r="R27" s="34"/>
      <c r="S27" s="34"/>
      <c r="T27" s="34"/>
      <c r="U27" s="34"/>
      <c r="V27" s="34"/>
      <c r="W27" s="34"/>
      <c r="X27" s="34"/>
      <c r="Y27" s="34"/>
      <c r="Z27" s="34"/>
      <c r="AA27" s="34"/>
      <c r="AB27" s="34"/>
      <c r="AC27" s="34"/>
      <c r="AD27" s="34"/>
      <c r="AE27" s="34"/>
      <c r="AF27" s="34"/>
      <c r="AG27" s="34"/>
      <c r="AH27" s="34"/>
      <c r="AI27" s="34"/>
      <c r="AJ27" s="34"/>
      <c r="AK27" s="34"/>
      <c r="AL27" s="34"/>
      <c r="AM27" s="34"/>
      <c r="AN27" s="34"/>
      <c r="AO27" s="34"/>
      <c r="AP27" s="34"/>
      <c r="AQ27" s="34"/>
      <c r="AR27" s="34"/>
      <c r="AS27" s="34"/>
      <c r="AT27" s="34"/>
      <c r="AU27" s="34"/>
      <c r="AV27" s="34"/>
      <c r="AW27" s="34"/>
      <c r="AX27" s="34"/>
      <c r="AY27" s="34"/>
      <c r="AZ27" s="34"/>
      <c r="BA27" s="34"/>
      <c r="BB27" s="34"/>
      <c r="BC27" s="34"/>
      <c r="BD27" s="34"/>
      <c r="BE27" s="34"/>
      <c r="BF27" s="34"/>
      <c r="BG27" s="34"/>
      <c r="BH27" s="34"/>
      <c r="BI27" s="34"/>
      <c r="BJ27" s="34"/>
      <c r="BK27" s="34"/>
      <c r="BL27" s="34"/>
      <c r="BM27" s="34"/>
      <c r="BN27" s="34"/>
      <c r="BO27" s="34"/>
      <c r="BP27" s="34"/>
      <c r="BQ27" s="34"/>
      <c r="BR27" s="34"/>
      <c r="BS27" s="34"/>
    </row>
    <row r="28" spans="1:71" s="232" customFormat="1" ht="18.75" customHeight="1" x14ac:dyDescent="0.25">
      <c r="A28" s="240"/>
      <c r="B28" s="285" t="s">
        <v>2003</v>
      </c>
      <c r="C28" s="285"/>
      <c r="D28" s="285"/>
      <c r="E28" s="284">
        <f>'Scorecard Calcs'!B17</f>
        <v>664909</v>
      </c>
      <c r="F28" s="284"/>
      <c r="G28" s="284"/>
      <c r="H28" s="284" t="str">
        <f>'Scorecard Calcs'!D17</f>
        <v/>
      </c>
      <c r="I28" s="284">
        <f>COUNT(PreviousPeople!I:I)</f>
        <v>0</v>
      </c>
      <c r="J28" s="284">
        <f>COUNT(PreviousPeople!J:J)</f>
        <v>0</v>
      </c>
      <c r="K28" s="287" t="str">
        <f>'Scorecard Calcs'!F17</f>
        <v/>
      </c>
      <c r="L28" s="287"/>
      <c r="M28" s="238"/>
      <c r="N28" s="231"/>
      <c r="O28" s="231"/>
      <c r="P28" s="34"/>
      <c r="Q28" s="34"/>
      <c r="R28" s="34"/>
      <c r="S28" s="34"/>
      <c r="T28" s="34"/>
      <c r="U28" s="34"/>
      <c r="V28" s="34"/>
      <c r="W28" s="34"/>
      <c r="X28" s="34"/>
      <c r="Y28" s="34"/>
      <c r="Z28" s="34"/>
      <c r="AA28" s="34"/>
      <c r="AB28" s="34"/>
      <c r="AC28" s="34"/>
      <c r="AD28" s="34"/>
      <c r="AE28" s="34"/>
      <c r="AF28" s="34"/>
      <c r="AG28" s="34"/>
      <c r="AH28" s="34"/>
      <c r="AI28" s="34"/>
      <c r="AJ28" s="34"/>
      <c r="AK28" s="34"/>
      <c r="AL28" s="34"/>
      <c r="AM28" s="34"/>
      <c r="AN28" s="34"/>
      <c r="AO28" s="34"/>
      <c r="AP28" s="34"/>
      <c r="AQ28" s="34"/>
      <c r="AR28" s="34"/>
      <c r="AS28" s="34"/>
      <c r="AT28" s="34"/>
      <c r="AU28" s="34"/>
      <c r="AV28" s="34"/>
      <c r="AW28" s="34"/>
      <c r="AX28" s="34"/>
      <c r="AY28" s="34"/>
      <c r="AZ28" s="34"/>
      <c r="BA28" s="34"/>
      <c r="BB28" s="34"/>
      <c r="BC28" s="34"/>
      <c r="BD28" s="34"/>
      <c r="BE28" s="34"/>
      <c r="BF28" s="34"/>
      <c r="BG28" s="34"/>
      <c r="BH28" s="34"/>
      <c r="BI28" s="34"/>
      <c r="BJ28" s="34"/>
      <c r="BK28" s="34"/>
      <c r="BL28" s="34"/>
      <c r="BM28" s="34"/>
      <c r="BN28" s="34"/>
      <c r="BO28" s="34"/>
      <c r="BP28" s="34"/>
      <c r="BQ28" s="34"/>
      <c r="BR28" s="34"/>
      <c r="BS28" s="34"/>
    </row>
    <row r="29" spans="1:71" s="232" customFormat="1" ht="18.75" customHeight="1" x14ac:dyDescent="0.25">
      <c r="A29" s="240"/>
      <c r="B29" s="288" t="s">
        <v>2365</v>
      </c>
      <c r="C29" s="288"/>
      <c r="D29" s="288"/>
      <c r="E29" s="289">
        <f>'Scorecard Calcs'!B18</f>
        <v>618759</v>
      </c>
      <c r="F29" s="289"/>
      <c r="G29" s="289"/>
      <c r="H29" s="289" t="str">
        <f>'Scorecard Calcs'!D18</f>
        <v/>
      </c>
      <c r="I29" s="289">
        <f>COUNT(PreviousPeople!I:I)</f>
        <v>0</v>
      </c>
      <c r="J29" s="289">
        <f>COUNT(PreviousPeople!J:J)</f>
        <v>0</v>
      </c>
      <c r="K29" s="290" t="str">
        <f>'Scorecard Calcs'!F18</f>
        <v/>
      </c>
      <c r="L29" s="290"/>
      <c r="M29" s="238"/>
      <c r="N29" s="231"/>
      <c r="O29" s="231"/>
      <c r="P29" s="34"/>
      <c r="Q29" s="34"/>
      <c r="R29" s="34"/>
      <c r="S29" s="34"/>
      <c r="T29" s="34"/>
      <c r="U29" s="34"/>
      <c r="V29" s="34"/>
      <c r="W29" s="34"/>
      <c r="X29" s="34"/>
      <c r="Y29" s="34"/>
      <c r="Z29" s="34"/>
      <c r="AA29" s="34"/>
      <c r="AB29" s="34"/>
      <c r="AC29" s="34"/>
      <c r="AD29" s="34"/>
      <c r="AE29" s="34"/>
      <c r="AF29" s="34"/>
      <c r="AG29" s="34"/>
      <c r="AH29" s="34"/>
      <c r="AI29" s="34"/>
      <c r="AJ29" s="34"/>
      <c r="AK29" s="34"/>
      <c r="AL29" s="34"/>
      <c r="AM29" s="34"/>
      <c r="AN29" s="34"/>
      <c r="AO29" s="34"/>
      <c r="AP29" s="34"/>
      <c r="AQ29" s="34"/>
      <c r="AR29" s="34"/>
      <c r="AS29" s="34"/>
      <c r="AT29" s="34"/>
      <c r="AU29" s="34"/>
      <c r="AV29" s="34"/>
      <c r="AW29" s="34"/>
      <c r="AX29" s="34"/>
      <c r="AY29" s="34"/>
      <c r="AZ29" s="34"/>
      <c r="BA29" s="34"/>
      <c r="BB29" s="34"/>
      <c r="BC29" s="34"/>
      <c r="BD29" s="34"/>
      <c r="BE29" s="34"/>
      <c r="BF29" s="34"/>
      <c r="BG29" s="34"/>
      <c r="BH29" s="34"/>
      <c r="BI29" s="34"/>
      <c r="BJ29" s="34"/>
      <c r="BK29" s="34"/>
      <c r="BL29" s="34"/>
      <c r="BM29" s="34"/>
      <c r="BN29" s="34"/>
      <c r="BO29" s="34"/>
      <c r="BP29" s="34"/>
      <c r="BQ29" s="34"/>
      <c r="BR29" s="34"/>
      <c r="BS29" s="34"/>
    </row>
    <row r="30" spans="1:71" s="232" customFormat="1" ht="18.75" customHeight="1" x14ac:dyDescent="0.25">
      <c r="A30" s="240"/>
      <c r="B30" s="277" t="s">
        <v>2366</v>
      </c>
      <c r="C30" s="277"/>
      <c r="D30" s="277"/>
      <c r="E30" s="278">
        <f>'Scorecard Calcs'!B19</f>
        <v>21597</v>
      </c>
      <c r="F30" s="278"/>
      <c r="G30" s="278"/>
      <c r="H30" s="278" t="str">
        <f>'Scorecard Calcs'!D19</f>
        <v/>
      </c>
      <c r="I30" s="278">
        <f>COUNT(PreviousPeople!I:I)</f>
        <v>0</v>
      </c>
      <c r="J30" s="278">
        <f>COUNT(PreviousPeople!J:J)</f>
        <v>0</v>
      </c>
      <c r="K30" s="279" t="str">
        <f>'Scorecard Calcs'!F19</f>
        <v/>
      </c>
      <c r="L30" s="279"/>
      <c r="M30" s="238"/>
      <c r="N30" s="231"/>
      <c r="O30" s="231"/>
      <c r="P30" s="34"/>
      <c r="Q30" s="34"/>
      <c r="R30" s="34"/>
      <c r="S30" s="34"/>
      <c r="T30" s="34"/>
      <c r="U30" s="34"/>
      <c r="V30" s="34"/>
      <c r="W30" s="34"/>
      <c r="X30" s="34"/>
      <c r="Y30" s="34"/>
      <c r="Z30" s="34"/>
      <c r="AA30" s="34"/>
      <c r="AB30" s="34"/>
      <c r="AC30" s="34"/>
      <c r="AD30" s="34"/>
      <c r="AE30" s="34"/>
      <c r="AF30" s="34"/>
      <c r="AG30" s="34"/>
      <c r="AH30" s="34"/>
      <c r="AI30" s="34"/>
      <c r="AJ30" s="34"/>
      <c r="AK30" s="34"/>
      <c r="AL30" s="34"/>
      <c r="AM30" s="34"/>
      <c r="AN30" s="34"/>
      <c r="AO30" s="34"/>
      <c r="AP30" s="34"/>
      <c r="AQ30" s="34"/>
      <c r="AR30" s="34"/>
      <c r="AS30" s="34"/>
      <c r="AT30" s="34"/>
      <c r="AU30" s="34"/>
      <c r="AV30" s="34"/>
      <c r="AW30" s="34"/>
      <c r="AX30" s="34"/>
      <c r="AY30" s="34"/>
      <c r="AZ30" s="34"/>
      <c r="BA30" s="34"/>
      <c r="BB30" s="34"/>
      <c r="BC30" s="34"/>
      <c r="BD30" s="34"/>
      <c r="BE30" s="34"/>
      <c r="BF30" s="34"/>
      <c r="BG30" s="34"/>
      <c r="BH30" s="34"/>
      <c r="BI30" s="34"/>
      <c r="BJ30" s="34"/>
      <c r="BK30" s="34"/>
      <c r="BL30" s="34"/>
      <c r="BM30" s="34"/>
      <c r="BN30" s="34"/>
      <c r="BO30" s="34"/>
      <c r="BP30" s="34"/>
      <c r="BQ30" s="34"/>
      <c r="BR30" s="34"/>
      <c r="BS30" s="34"/>
    </row>
    <row r="31" spans="1:71" s="232" customFormat="1" ht="18.75" customHeight="1" x14ac:dyDescent="0.25">
      <c r="A31" s="240"/>
      <c r="B31" s="277" t="s">
        <v>2469</v>
      </c>
      <c r="C31" s="277"/>
      <c r="D31" s="277"/>
      <c r="E31" s="278">
        <f>'Scorecard Calcs'!B20</f>
        <v>24553</v>
      </c>
      <c r="F31" s="278"/>
      <c r="G31" s="278"/>
      <c r="H31" s="278" t="str">
        <f>'Scorecard Calcs'!D20</f>
        <v/>
      </c>
      <c r="I31" s="278">
        <f>COUNT(PreviousPeople!I:I)</f>
        <v>0</v>
      </c>
      <c r="J31" s="278">
        <f>COUNT(PreviousPeople!J:J)</f>
        <v>0</v>
      </c>
      <c r="K31" s="279" t="str">
        <f>'Scorecard Calcs'!F20</f>
        <v/>
      </c>
      <c r="L31" s="279"/>
      <c r="M31" s="238"/>
      <c r="N31" s="231"/>
      <c r="O31" s="231"/>
      <c r="P31" s="34"/>
      <c r="Q31" s="34"/>
      <c r="R31" s="34"/>
      <c r="S31" s="34"/>
      <c r="T31" s="34"/>
      <c r="U31" s="34"/>
      <c r="V31" s="34"/>
      <c r="W31" s="34"/>
      <c r="X31" s="34"/>
      <c r="Y31" s="34"/>
      <c r="Z31" s="34"/>
      <c r="AA31" s="34"/>
      <c r="AB31" s="34"/>
      <c r="AC31" s="34"/>
      <c r="AD31" s="34"/>
      <c r="AE31" s="34"/>
      <c r="AF31" s="34"/>
      <c r="AG31" s="34"/>
      <c r="AH31" s="34"/>
      <c r="AI31" s="34"/>
      <c r="AJ31" s="34"/>
      <c r="AK31" s="34"/>
      <c r="AL31" s="34"/>
      <c r="AM31" s="34"/>
      <c r="AN31" s="34"/>
      <c r="AO31" s="34"/>
      <c r="AP31" s="34"/>
      <c r="AQ31" s="34"/>
      <c r="AR31" s="34"/>
      <c r="AS31" s="34"/>
      <c r="AT31" s="34"/>
      <c r="AU31" s="34"/>
      <c r="AV31" s="34"/>
      <c r="AW31" s="34"/>
      <c r="AX31" s="34"/>
      <c r="AY31" s="34"/>
      <c r="AZ31" s="34"/>
      <c r="BA31" s="34"/>
      <c r="BB31" s="34"/>
      <c r="BC31" s="34"/>
      <c r="BD31" s="34"/>
      <c r="BE31" s="34"/>
      <c r="BF31" s="34"/>
      <c r="BG31" s="34"/>
      <c r="BH31" s="34"/>
      <c r="BI31" s="34"/>
      <c r="BJ31" s="34"/>
      <c r="BK31" s="34"/>
      <c r="BL31" s="34"/>
      <c r="BM31" s="34"/>
      <c r="BN31" s="34"/>
      <c r="BO31" s="34"/>
      <c r="BP31" s="34"/>
      <c r="BQ31" s="34"/>
      <c r="BR31" s="34"/>
      <c r="BS31" s="34"/>
    </row>
    <row r="32" spans="1:71" s="34" customFormat="1" ht="30" customHeight="1" x14ac:dyDescent="0.25">
      <c r="A32" s="240"/>
      <c r="B32" s="296" t="s">
        <v>2367</v>
      </c>
      <c r="C32" s="296"/>
      <c r="D32" s="296"/>
      <c r="E32" s="297" t="str">
        <f>E13</f>
        <v>Current Period</v>
      </c>
      <c r="F32" s="297"/>
      <c r="G32" s="297"/>
      <c r="H32" s="297" t="str">
        <f>H13</f>
        <v/>
      </c>
      <c r="I32" s="297"/>
      <c r="J32" s="297"/>
      <c r="K32" s="298"/>
      <c r="L32" s="298"/>
      <c r="M32" s="238"/>
    </row>
    <row r="33" spans="1:13" s="34" customFormat="1" ht="30" customHeight="1" x14ac:dyDescent="0.25">
      <c r="A33" s="240"/>
      <c r="B33" s="280" t="s">
        <v>2368</v>
      </c>
      <c r="C33" s="280"/>
      <c r="D33" s="280"/>
      <c r="E33" s="281" t="str">
        <f>E14</f>
        <v>8/11/2017-9/9/2017</v>
      </c>
      <c r="F33" s="282"/>
      <c r="G33" s="282"/>
      <c r="H33" s="282" t="str">
        <f>H14</f>
        <v/>
      </c>
      <c r="I33" s="282"/>
      <c r="J33" s="282"/>
      <c r="K33" s="299" t="str">
        <f>K14</f>
        <v/>
      </c>
      <c r="L33" s="299"/>
      <c r="M33" s="238"/>
    </row>
    <row r="34" spans="1:13" s="34" customFormat="1" ht="18.75" customHeight="1" x14ac:dyDescent="0.25">
      <c r="A34" s="240"/>
      <c r="B34" s="285" t="s">
        <v>2072</v>
      </c>
      <c r="C34" s="285"/>
      <c r="D34" s="285"/>
      <c r="E34" s="284">
        <f>'Scorecard Calcs'!B23</f>
        <v>7532057</v>
      </c>
      <c r="F34" s="284"/>
      <c r="G34" s="284"/>
      <c r="H34" s="284" t="str">
        <f>'Scorecard Calcs'!D23</f>
        <v/>
      </c>
      <c r="I34" s="284">
        <f>COUNT(PreviousPeople!I:I)</f>
        <v>0</v>
      </c>
      <c r="J34" s="284">
        <f>COUNT(PreviousPeople!J:J)</f>
        <v>0</v>
      </c>
      <c r="K34" s="287" t="str">
        <f>'Scorecard Calcs'!F23</f>
        <v/>
      </c>
      <c r="L34" s="287"/>
      <c r="M34" s="238"/>
    </row>
    <row r="35" spans="1:13" s="34" customFormat="1" ht="18.75" customHeight="1" x14ac:dyDescent="0.25">
      <c r="A35" s="240"/>
      <c r="B35" s="277" t="s">
        <v>2022</v>
      </c>
      <c r="C35" s="277"/>
      <c r="D35" s="277"/>
      <c r="E35" s="278">
        <f>'Scorecard Calcs'!B24</f>
        <v>36014667</v>
      </c>
      <c r="F35" s="278"/>
      <c r="G35" s="278"/>
      <c r="H35" s="278" t="str">
        <f>'Scorecard Calcs'!D24</f>
        <v/>
      </c>
      <c r="I35" s="278">
        <f>COUNT(PreviousPeople!I:I)</f>
        <v>0</v>
      </c>
      <c r="J35" s="278">
        <f>COUNT(PreviousPeople!J:J)</f>
        <v>0</v>
      </c>
      <c r="K35" s="279" t="str">
        <f>'Scorecard Calcs'!F24</f>
        <v/>
      </c>
      <c r="L35" s="279"/>
      <c r="M35" s="238"/>
    </row>
    <row r="36" spans="1:13" s="34" customFormat="1" x14ac:dyDescent="0.25">
      <c r="B36" s="237"/>
      <c r="C36" s="237"/>
      <c r="D36" s="237"/>
      <c r="E36" s="237"/>
      <c r="F36" s="237"/>
      <c r="G36" s="237"/>
      <c r="H36" s="237"/>
      <c r="I36" s="237"/>
      <c r="J36" s="237"/>
      <c r="K36" s="237"/>
      <c r="L36" s="237"/>
    </row>
    <row r="37" spans="1:13" s="34" customFormat="1" x14ac:dyDescent="0.25"/>
    <row r="38" spans="1:13" s="34" customFormat="1" x14ac:dyDescent="0.25"/>
    <row r="39" spans="1:13" s="34" customFormat="1" x14ac:dyDescent="0.25">
      <c r="A39" s="34" t="s">
        <v>1999</v>
      </c>
      <c r="B39" s="34" t="s">
        <v>1999</v>
      </c>
    </row>
    <row r="40" spans="1:13" s="34" customFormat="1" x14ac:dyDescent="0.25">
      <c r="A40" s="34" t="s">
        <v>1999</v>
      </c>
      <c r="B40" s="34" t="s">
        <v>1999</v>
      </c>
    </row>
    <row r="41" spans="1:13" s="34" customFormat="1" x14ac:dyDescent="0.25"/>
    <row r="42" spans="1:13" s="34" customFormat="1" x14ac:dyDescent="0.25"/>
    <row r="43" spans="1:13" s="34" customFormat="1" x14ac:dyDescent="0.25"/>
    <row r="44" spans="1:13" s="34" customFormat="1" x14ac:dyDescent="0.25"/>
    <row r="45" spans="1:13" s="34" customFormat="1" x14ac:dyDescent="0.25"/>
    <row r="46" spans="1:13" s="34" customFormat="1" x14ac:dyDescent="0.25"/>
    <row r="47" spans="1:13" s="34" customFormat="1" x14ac:dyDescent="0.25"/>
    <row r="48" spans="1:13" s="34" customFormat="1" x14ac:dyDescent="0.25"/>
    <row r="49" s="34" customFormat="1" x14ac:dyDescent="0.25"/>
    <row r="50" s="34" customFormat="1" x14ac:dyDescent="0.25"/>
    <row r="51" s="34" customFormat="1" x14ac:dyDescent="0.25"/>
    <row r="52" s="34" customFormat="1" x14ac:dyDescent="0.25"/>
    <row r="53" s="34" customFormat="1" x14ac:dyDescent="0.25"/>
    <row r="54" s="34" customFormat="1" x14ac:dyDescent="0.25"/>
    <row r="55" s="34" customFormat="1" x14ac:dyDescent="0.25"/>
    <row r="56" s="34" customFormat="1" x14ac:dyDescent="0.25"/>
    <row r="57" s="34" customFormat="1" x14ac:dyDescent="0.25"/>
    <row r="58" s="34" customFormat="1" x14ac:dyDescent="0.25"/>
    <row r="59" s="34" customFormat="1" x14ac:dyDescent="0.25"/>
    <row r="60" s="34" customFormat="1" x14ac:dyDescent="0.25"/>
    <row r="61" s="34" customFormat="1" x14ac:dyDescent="0.25"/>
    <row r="62" s="34" customFormat="1" x14ac:dyDescent="0.25"/>
    <row r="63" s="34" customFormat="1" x14ac:dyDescent="0.25"/>
    <row r="64" s="34" customFormat="1" x14ac:dyDescent="0.25"/>
    <row r="65" s="34" customFormat="1" x14ac:dyDescent="0.25"/>
    <row r="66" s="34" customFormat="1" x14ac:dyDescent="0.25"/>
    <row r="67" s="34" customFormat="1" x14ac:dyDescent="0.25"/>
    <row r="68" s="34" customFormat="1" x14ac:dyDescent="0.25"/>
    <row r="69" s="34" customFormat="1" x14ac:dyDescent="0.25"/>
    <row r="70" s="34" customFormat="1" x14ac:dyDescent="0.25"/>
    <row r="71" s="34" customFormat="1" x14ac:dyDescent="0.25"/>
    <row r="72" s="34" customFormat="1" x14ac:dyDescent="0.25"/>
    <row r="73" s="34" customFormat="1" x14ac:dyDescent="0.25"/>
    <row r="74" s="34" customFormat="1" x14ac:dyDescent="0.25"/>
    <row r="75" s="34" customFormat="1" x14ac:dyDescent="0.25"/>
    <row r="76" s="34" customFormat="1" x14ac:dyDescent="0.25"/>
    <row r="77" s="34" customFormat="1" x14ac:dyDescent="0.25"/>
    <row r="78" s="34" customFormat="1" x14ac:dyDescent="0.25"/>
    <row r="79" s="34" customFormat="1" x14ac:dyDescent="0.25"/>
    <row r="80" s="34" customFormat="1" x14ac:dyDescent="0.25"/>
    <row r="81" s="34" customFormat="1" x14ac:dyDescent="0.25"/>
    <row r="82" s="34" customFormat="1" x14ac:dyDescent="0.25"/>
    <row r="83" s="34" customFormat="1" x14ac:dyDescent="0.25"/>
    <row r="84" s="34" customFormat="1" x14ac:dyDescent="0.25"/>
    <row r="85" s="34" customFormat="1" x14ac:dyDescent="0.25"/>
    <row r="86" s="34" customFormat="1" x14ac:dyDescent="0.25"/>
    <row r="87" s="34" customFormat="1" x14ac:dyDescent="0.25"/>
    <row r="88" s="34" customFormat="1" x14ac:dyDescent="0.25"/>
    <row r="89" s="34" customFormat="1" x14ac:dyDescent="0.25"/>
    <row r="90" s="34" customFormat="1" x14ac:dyDescent="0.25"/>
    <row r="91" s="34" customFormat="1" x14ac:dyDescent="0.25"/>
    <row r="92" s="34" customFormat="1" x14ac:dyDescent="0.25"/>
    <row r="93" s="34" customFormat="1" x14ac:dyDescent="0.25"/>
    <row r="94" s="34" customFormat="1" x14ac:dyDescent="0.25"/>
    <row r="95" s="34" customFormat="1" x14ac:dyDescent="0.25"/>
    <row r="96" s="34" customFormat="1" x14ac:dyDescent="0.25"/>
    <row r="97" s="34" customFormat="1" x14ac:dyDescent="0.25"/>
    <row r="98" s="34" customFormat="1" x14ac:dyDescent="0.25"/>
    <row r="99" s="34" customFormat="1" x14ac:dyDescent="0.25"/>
    <row r="100" s="34" customFormat="1" x14ac:dyDescent="0.25"/>
    <row r="101" s="34" customFormat="1" x14ac:dyDescent="0.25"/>
    <row r="102" s="34" customFormat="1" x14ac:dyDescent="0.25"/>
    <row r="103" s="34" customFormat="1" x14ac:dyDescent="0.25"/>
    <row r="104" s="34" customFormat="1" x14ac:dyDescent="0.25"/>
    <row r="105" s="34" customFormat="1" x14ac:dyDescent="0.25"/>
    <row r="106" s="34" customFormat="1" x14ac:dyDescent="0.25"/>
    <row r="107" s="34" customFormat="1" x14ac:dyDescent="0.25"/>
    <row r="108" s="34" customFormat="1" x14ac:dyDescent="0.25"/>
    <row r="109" s="34" customFormat="1" x14ac:dyDescent="0.25"/>
    <row r="110" s="34" customFormat="1" x14ac:dyDescent="0.25"/>
    <row r="111" s="34" customFormat="1" x14ac:dyDescent="0.25"/>
    <row r="112" s="34" customFormat="1" x14ac:dyDescent="0.25"/>
    <row r="113" s="34" customFormat="1" x14ac:dyDescent="0.25"/>
    <row r="114" s="34" customFormat="1" x14ac:dyDescent="0.25"/>
    <row r="115" s="34" customFormat="1" x14ac:dyDescent="0.25"/>
    <row r="116" s="34" customFormat="1" x14ac:dyDescent="0.25"/>
    <row r="117" s="34" customFormat="1" x14ac:dyDescent="0.25"/>
    <row r="118" s="34" customFormat="1" x14ac:dyDescent="0.25"/>
    <row r="119" s="34" customFormat="1" x14ac:dyDescent="0.25"/>
    <row r="120" s="34" customFormat="1" x14ac:dyDescent="0.25"/>
    <row r="121" s="34" customFormat="1" x14ac:dyDescent="0.25"/>
    <row r="122" s="34" customFormat="1" x14ac:dyDescent="0.25"/>
    <row r="123" s="34" customFormat="1" x14ac:dyDescent="0.25"/>
    <row r="124" s="34" customFormat="1" x14ac:dyDescent="0.25"/>
    <row r="125" s="34" customFormat="1" x14ac:dyDescent="0.25"/>
    <row r="126" s="34" customFormat="1" x14ac:dyDescent="0.25"/>
    <row r="127" s="34" customFormat="1" x14ac:dyDescent="0.25"/>
    <row r="128" s="34" customFormat="1" x14ac:dyDescent="0.25"/>
    <row r="129" s="34" customFormat="1" x14ac:dyDescent="0.25"/>
    <row r="130" s="34" customFormat="1" x14ac:dyDescent="0.25"/>
    <row r="131" s="34" customFormat="1" x14ac:dyDescent="0.25"/>
    <row r="132" s="34" customFormat="1" x14ac:dyDescent="0.25"/>
    <row r="133" s="34" customFormat="1" x14ac:dyDescent="0.25"/>
    <row r="134" s="34" customFormat="1" x14ac:dyDescent="0.25"/>
    <row r="135" s="34" customFormat="1" x14ac:dyDescent="0.25"/>
    <row r="136" s="34" customFormat="1" x14ac:dyDescent="0.25"/>
    <row r="137" s="34" customFormat="1" x14ac:dyDescent="0.25"/>
    <row r="138" s="34" customFormat="1" x14ac:dyDescent="0.25"/>
    <row r="139" s="34" customFormat="1" x14ac:dyDescent="0.25"/>
    <row r="140" s="34" customFormat="1" x14ac:dyDescent="0.25"/>
    <row r="141" s="34" customFormat="1" x14ac:dyDescent="0.25"/>
    <row r="142" s="34" customFormat="1" x14ac:dyDescent="0.25"/>
    <row r="143" s="34" customFormat="1" x14ac:dyDescent="0.25"/>
    <row r="144" s="34" customFormat="1" x14ac:dyDescent="0.25"/>
    <row r="145" s="34" customFormat="1" x14ac:dyDescent="0.25"/>
    <row r="146" s="34" customFormat="1" x14ac:dyDescent="0.25"/>
    <row r="147" s="34" customFormat="1" x14ac:dyDescent="0.25"/>
    <row r="148" s="34" customFormat="1" x14ac:dyDescent="0.25"/>
    <row r="149" s="34" customFormat="1" x14ac:dyDescent="0.25"/>
    <row r="150" s="34" customFormat="1" x14ac:dyDescent="0.25"/>
    <row r="151" s="34" customFormat="1" x14ac:dyDescent="0.25"/>
    <row r="152" s="34" customFormat="1" x14ac:dyDescent="0.25"/>
    <row r="153" s="34" customFormat="1" x14ac:dyDescent="0.25"/>
    <row r="154" s="34" customFormat="1" x14ac:dyDescent="0.25"/>
    <row r="155" s="34" customFormat="1" x14ac:dyDescent="0.25"/>
    <row r="156" s="34" customFormat="1" x14ac:dyDescent="0.25"/>
    <row r="157" s="34" customFormat="1" x14ac:dyDescent="0.25"/>
    <row r="158" s="34" customFormat="1" x14ac:dyDescent="0.25"/>
    <row r="159" s="34" customFormat="1" x14ac:dyDescent="0.25"/>
    <row r="160" s="34" customFormat="1" x14ac:dyDescent="0.25"/>
    <row r="161" s="34" customFormat="1" x14ac:dyDescent="0.25"/>
    <row r="162" s="34" customFormat="1" x14ac:dyDescent="0.25"/>
    <row r="163" s="34" customFormat="1" x14ac:dyDescent="0.25"/>
    <row r="164" s="34" customFormat="1" x14ac:dyDescent="0.25"/>
    <row r="165" s="34" customFormat="1" x14ac:dyDescent="0.25"/>
    <row r="166" s="34" customFormat="1" x14ac:dyDescent="0.25"/>
    <row r="167" s="34" customFormat="1" x14ac:dyDescent="0.25"/>
    <row r="168" s="34" customFormat="1" x14ac:dyDescent="0.25"/>
    <row r="169" s="34" customFormat="1" x14ac:dyDescent="0.25"/>
    <row r="170" s="34" customFormat="1" x14ac:dyDescent="0.25"/>
    <row r="171" s="34" customFormat="1" x14ac:dyDescent="0.25"/>
    <row r="172" s="34" customFormat="1" x14ac:dyDescent="0.25"/>
    <row r="173" s="34" customFormat="1" x14ac:dyDescent="0.25"/>
    <row r="174" s="34" customFormat="1" x14ac:dyDescent="0.25"/>
    <row r="175" s="34" customFormat="1" x14ac:dyDescent="0.25"/>
    <row r="176" s="34" customFormat="1" x14ac:dyDescent="0.25"/>
    <row r="177" s="34" customFormat="1" x14ac:dyDescent="0.25"/>
    <row r="178" s="34" customFormat="1" x14ac:dyDescent="0.25"/>
    <row r="179" s="34" customFormat="1" x14ac:dyDescent="0.25"/>
    <row r="180" s="34" customFormat="1" x14ac:dyDescent="0.25"/>
    <row r="181" s="34" customFormat="1" x14ac:dyDescent="0.25"/>
    <row r="182" s="34" customFormat="1" x14ac:dyDescent="0.25"/>
    <row r="183" s="34" customFormat="1" x14ac:dyDescent="0.25"/>
    <row r="184" s="34" customFormat="1" x14ac:dyDescent="0.25"/>
    <row r="185" s="34" customFormat="1" x14ac:dyDescent="0.25"/>
    <row r="186" s="34" customFormat="1" x14ac:dyDescent="0.25"/>
    <row r="187" s="34" customFormat="1" x14ac:dyDescent="0.25"/>
    <row r="188" s="34" customFormat="1" x14ac:dyDescent="0.25"/>
    <row r="189" s="34" customFormat="1" x14ac:dyDescent="0.25"/>
    <row r="190" s="34" customFormat="1" x14ac:dyDescent="0.25"/>
    <row r="191" s="34" customFormat="1" x14ac:dyDescent="0.25"/>
    <row r="192" s="34" customFormat="1" x14ac:dyDescent="0.25"/>
    <row r="193" s="34" customFormat="1" x14ac:dyDescent="0.25"/>
    <row r="194" s="34" customFormat="1" x14ac:dyDescent="0.25"/>
    <row r="195" s="34" customFormat="1" x14ac:dyDescent="0.25"/>
    <row r="196" s="34" customFormat="1" x14ac:dyDescent="0.25"/>
    <row r="197" s="34" customFormat="1" x14ac:dyDescent="0.25"/>
    <row r="198" s="34" customFormat="1" x14ac:dyDescent="0.25"/>
    <row r="199" s="34" customFormat="1" x14ac:dyDescent="0.25"/>
    <row r="200" s="34" customFormat="1" x14ac:dyDescent="0.25"/>
    <row r="201" s="34" customFormat="1" x14ac:dyDescent="0.25"/>
    <row r="202" s="34" customFormat="1" x14ac:dyDescent="0.25"/>
    <row r="203" s="34" customFormat="1" x14ac:dyDescent="0.25"/>
    <row r="204" s="34" customFormat="1" x14ac:dyDescent="0.25"/>
    <row r="205" s="34" customFormat="1" x14ac:dyDescent="0.25"/>
    <row r="206" s="34" customFormat="1" x14ac:dyDescent="0.25"/>
    <row r="207" s="34" customFormat="1" x14ac:dyDescent="0.25"/>
    <row r="208" s="34" customFormat="1" x14ac:dyDescent="0.25"/>
    <row r="209" s="34" customFormat="1" x14ac:dyDescent="0.25"/>
    <row r="210" s="34" customFormat="1" x14ac:dyDescent="0.25"/>
    <row r="211" s="34" customFormat="1" x14ac:dyDescent="0.25"/>
    <row r="212" s="34" customFormat="1" x14ac:dyDescent="0.25"/>
    <row r="213" s="34" customFormat="1" x14ac:dyDescent="0.25"/>
    <row r="214" s="34" customFormat="1" x14ac:dyDescent="0.25"/>
    <row r="215" s="34" customFormat="1" x14ac:dyDescent="0.25"/>
    <row r="216" s="34" customFormat="1" x14ac:dyDescent="0.25"/>
    <row r="217" s="34" customFormat="1" x14ac:dyDescent="0.25"/>
    <row r="218" s="34" customFormat="1" x14ac:dyDescent="0.25"/>
    <row r="219" s="34" customFormat="1" x14ac:dyDescent="0.25"/>
    <row r="220" s="34" customFormat="1" x14ac:dyDescent="0.25"/>
    <row r="221" s="34" customFormat="1" x14ac:dyDescent="0.25"/>
    <row r="222" s="34" customFormat="1" x14ac:dyDescent="0.25"/>
    <row r="223" s="34" customFormat="1" x14ac:dyDescent="0.25"/>
    <row r="224" s="34" customFormat="1" x14ac:dyDescent="0.25"/>
    <row r="225" s="34" customFormat="1" x14ac:dyDescent="0.25"/>
    <row r="226" s="34" customFormat="1" x14ac:dyDescent="0.25"/>
    <row r="227" s="34" customFormat="1" x14ac:dyDescent="0.25"/>
    <row r="228" s="34" customFormat="1" x14ac:dyDescent="0.25"/>
    <row r="229" s="34" customFormat="1" x14ac:dyDescent="0.25"/>
    <row r="230" s="34" customFormat="1" x14ac:dyDescent="0.25"/>
    <row r="231" s="34" customFormat="1" x14ac:dyDescent="0.25"/>
    <row r="232" s="34" customFormat="1" x14ac:dyDescent="0.25"/>
    <row r="233" s="34" customFormat="1" x14ac:dyDescent="0.25"/>
    <row r="234" s="34" customFormat="1" x14ac:dyDescent="0.25"/>
    <row r="235" s="34" customFormat="1" x14ac:dyDescent="0.25"/>
    <row r="236" s="34" customFormat="1" x14ac:dyDescent="0.25"/>
    <row r="237" s="34" customFormat="1" x14ac:dyDescent="0.25"/>
    <row r="238" s="34" customFormat="1" x14ac:dyDescent="0.25"/>
    <row r="239" s="34" customFormat="1" x14ac:dyDescent="0.25"/>
    <row r="240" s="34" customFormat="1" x14ac:dyDescent="0.25"/>
    <row r="241" s="34" customFormat="1" x14ac:dyDescent="0.25"/>
    <row r="242" s="34" customFormat="1" x14ac:dyDescent="0.25"/>
    <row r="243" s="34" customFormat="1" x14ac:dyDescent="0.25"/>
    <row r="244" s="34" customFormat="1" x14ac:dyDescent="0.25"/>
    <row r="245" s="34" customFormat="1" x14ac:dyDescent="0.25"/>
    <row r="246" s="34" customFormat="1" x14ac:dyDescent="0.25"/>
    <row r="247" s="34" customFormat="1" x14ac:dyDescent="0.25"/>
    <row r="248" s="34" customFormat="1" x14ac:dyDescent="0.25"/>
    <row r="249" s="34" customFormat="1" x14ac:dyDescent="0.25"/>
    <row r="250" s="34" customFormat="1" x14ac:dyDescent="0.25"/>
    <row r="251" s="34" customFormat="1" x14ac:dyDescent="0.25"/>
    <row r="252" s="34" customFormat="1" x14ac:dyDescent="0.25"/>
    <row r="253" s="34" customFormat="1" x14ac:dyDescent="0.25"/>
    <row r="254" s="34" customFormat="1" x14ac:dyDescent="0.25"/>
    <row r="255" s="34" customFormat="1" x14ac:dyDescent="0.25"/>
    <row r="256" s="34" customFormat="1" x14ac:dyDescent="0.25"/>
    <row r="257" s="34" customFormat="1" x14ac:dyDescent="0.25"/>
    <row r="258" s="34" customFormat="1" x14ac:dyDescent="0.25"/>
    <row r="259" s="34" customFormat="1" x14ac:dyDescent="0.25"/>
    <row r="260" s="34" customFormat="1" x14ac:dyDescent="0.25"/>
    <row r="261" s="34" customFormat="1" x14ac:dyDescent="0.25"/>
    <row r="262" s="34" customFormat="1" x14ac:dyDescent="0.25"/>
    <row r="263" s="34" customFormat="1" x14ac:dyDescent="0.25"/>
    <row r="264" s="34" customFormat="1" x14ac:dyDescent="0.25"/>
    <row r="265" s="34" customFormat="1" x14ac:dyDescent="0.25"/>
    <row r="266" s="34" customFormat="1" x14ac:dyDescent="0.25"/>
    <row r="267" s="34" customFormat="1" x14ac:dyDescent="0.25"/>
    <row r="268" s="34" customFormat="1" x14ac:dyDescent="0.25"/>
    <row r="269" s="34" customFormat="1" x14ac:dyDescent="0.25"/>
    <row r="270" s="34" customFormat="1" x14ac:dyDescent="0.25"/>
    <row r="271" s="34" customFormat="1" x14ac:dyDescent="0.25"/>
    <row r="272" s="34" customFormat="1" x14ac:dyDescent="0.25"/>
    <row r="273" s="34" customFormat="1" x14ac:dyDescent="0.25"/>
    <row r="274" s="34" customFormat="1" x14ac:dyDescent="0.25"/>
    <row r="275" s="34" customFormat="1" x14ac:dyDescent="0.25"/>
    <row r="276" s="34" customFormat="1" x14ac:dyDescent="0.25"/>
    <row r="277" s="34" customFormat="1" x14ac:dyDescent="0.25"/>
    <row r="278" s="34" customFormat="1" x14ac:dyDescent="0.25"/>
    <row r="279" s="34" customFormat="1" x14ac:dyDescent="0.25"/>
    <row r="280" s="34" customFormat="1" x14ac:dyDescent="0.25"/>
    <row r="281" s="34" customFormat="1" x14ac:dyDescent="0.25"/>
    <row r="282" s="34" customFormat="1" x14ac:dyDescent="0.25"/>
    <row r="283" s="34" customFormat="1" x14ac:dyDescent="0.25"/>
    <row r="284" s="34" customFormat="1" x14ac:dyDescent="0.25"/>
    <row r="285" s="34" customFormat="1" x14ac:dyDescent="0.25"/>
    <row r="286" s="34" customFormat="1" x14ac:dyDescent="0.25"/>
    <row r="287" s="34" customFormat="1" x14ac:dyDescent="0.25"/>
    <row r="288" s="34" customFormat="1" x14ac:dyDescent="0.25"/>
    <row r="289" s="34" customFormat="1" x14ac:dyDescent="0.25"/>
    <row r="290" s="34" customFormat="1" x14ac:dyDescent="0.25"/>
    <row r="291" s="34" customFormat="1" x14ac:dyDescent="0.25"/>
    <row r="292" s="34" customFormat="1" x14ac:dyDescent="0.25"/>
    <row r="293" s="34" customFormat="1" x14ac:dyDescent="0.25"/>
    <row r="294" s="34" customFormat="1" x14ac:dyDescent="0.25"/>
    <row r="295" s="34" customFormat="1" x14ac:dyDescent="0.25"/>
    <row r="296" s="34" customFormat="1" x14ac:dyDescent="0.25"/>
    <row r="297" s="34" customFormat="1" x14ac:dyDescent="0.25"/>
    <row r="298" s="34" customFormat="1" x14ac:dyDescent="0.25"/>
    <row r="299" s="34" customFormat="1" x14ac:dyDescent="0.25"/>
    <row r="300" s="34" customFormat="1" x14ac:dyDescent="0.25"/>
    <row r="301" s="34" customFormat="1" x14ac:dyDescent="0.25"/>
    <row r="302" s="34" customFormat="1" x14ac:dyDescent="0.25"/>
    <row r="303" s="34" customFormat="1" x14ac:dyDescent="0.25"/>
    <row r="304" s="34" customFormat="1" x14ac:dyDescent="0.25"/>
    <row r="305" s="34" customFormat="1" x14ac:dyDescent="0.25"/>
    <row r="306" s="34" customFormat="1" x14ac:dyDescent="0.25"/>
    <row r="307" s="34" customFormat="1" x14ac:dyDescent="0.25"/>
    <row r="308" s="34" customFormat="1" x14ac:dyDescent="0.25"/>
    <row r="309" s="34" customFormat="1" x14ac:dyDescent="0.25"/>
    <row r="310" s="34" customFormat="1" x14ac:dyDescent="0.25"/>
    <row r="311" s="34" customFormat="1" x14ac:dyDescent="0.25"/>
    <row r="312" s="34" customFormat="1" x14ac:dyDescent="0.25"/>
    <row r="313" s="34" customFormat="1" x14ac:dyDescent="0.25"/>
    <row r="314" s="34" customFormat="1" x14ac:dyDescent="0.25"/>
    <row r="315" s="34" customFormat="1" x14ac:dyDescent="0.25"/>
    <row r="316" s="34" customFormat="1" x14ac:dyDescent="0.25"/>
    <row r="317" s="34" customFormat="1" x14ac:dyDescent="0.25"/>
    <row r="318" s="34" customFormat="1" x14ac:dyDescent="0.25"/>
    <row r="319" s="34" customFormat="1" x14ac:dyDescent="0.25"/>
    <row r="320" s="34" customFormat="1" x14ac:dyDescent="0.25"/>
    <row r="321" s="34" customFormat="1" x14ac:dyDescent="0.25"/>
    <row r="322" s="34" customFormat="1" x14ac:dyDescent="0.25"/>
    <row r="323" s="34" customFormat="1" x14ac:dyDescent="0.25"/>
    <row r="324" s="34" customFormat="1" x14ac:dyDescent="0.25"/>
    <row r="325" s="34" customFormat="1" x14ac:dyDescent="0.25"/>
    <row r="326" s="34" customFormat="1" x14ac:dyDescent="0.25"/>
    <row r="327" s="34" customFormat="1" x14ac:dyDescent="0.25"/>
    <row r="328" s="34" customFormat="1" x14ac:dyDescent="0.25"/>
    <row r="329" s="34" customFormat="1" x14ac:dyDescent="0.25"/>
    <row r="330" s="34" customFormat="1" x14ac:dyDescent="0.25"/>
    <row r="331" s="34" customFormat="1" x14ac:dyDescent="0.25"/>
    <row r="332" s="34" customFormat="1" x14ac:dyDescent="0.25"/>
    <row r="333" s="34" customFormat="1" x14ac:dyDescent="0.25"/>
    <row r="334" s="34" customFormat="1" x14ac:dyDescent="0.25"/>
    <row r="335" s="34" customFormat="1" x14ac:dyDescent="0.25"/>
    <row r="336" s="34" customFormat="1" x14ac:dyDescent="0.25"/>
    <row r="337" s="34" customFormat="1" x14ac:dyDescent="0.25"/>
    <row r="338" s="34" customFormat="1" x14ac:dyDescent="0.25"/>
    <row r="339" s="34" customFormat="1" x14ac:dyDescent="0.25"/>
    <row r="340" s="34" customFormat="1" x14ac:dyDescent="0.25"/>
    <row r="341" s="34" customFormat="1" x14ac:dyDescent="0.25"/>
    <row r="342" s="34" customFormat="1" x14ac:dyDescent="0.25"/>
    <row r="343" s="34" customFormat="1" x14ac:dyDescent="0.25"/>
    <row r="344" s="34" customFormat="1" x14ac:dyDescent="0.25"/>
    <row r="345" s="34" customFormat="1" x14ac:dyDescent="0.25"/>
    <row r="346" s="34" customFormat="1" x14ac:dyDescent="0.25"/>
    <row r="347" s="34" customFormat="1" x14ac:dyDescent="0.25"/>
    <row r="348" s="34" customFormat="1" x14ac:dyDescent="0.25"/>
    <row r="349" s="34" customFormat="1" x14ac:dyDescent="0.25"/>
    <row r="350" s="34" customFormat="1" x14ac:dyDescent="0.25"/>
    <row r="351" s="34" customFormat="1" x14ac:dyDescent="0.25"/>
    <row r="352" s="34" customFormat="1" x14ac:dyDescent="0.25"/>
    <row r="353" s="34" customFormat="1" x14ac:dyDescent="0.25"/>
    <row r="354" s="34" customFormat="1" x14ac:dyDescent="0.25"/>
    <row r="355" s="34" customFormat="1" x14ac:dyDescent="0.25"/>
    <row r="356" s="34" customFormat="1" x14ac:dyDescent="0.25"/>
    <row r="357" s="34" customFormat="1" x14ac:dyDescent="0.25"/>
    <row r="358" s="34" customFormat="1" x14ac:dyDescent="0.25"/>
    <row r="359" s="34" customFormat="1" x14ac:dyDescent="0.25"/>
    <row r="360" s="34" customFormat="1" x14ac:dyDescent="0.25"/>
    <row r="361" s="34" customFormat="1" x14ac:dyDescent="0.25"/>
    <row r="362" s="34" customFormat="1" x14ac:dyDescent="0.25"/>
    <row r="363" s="34" customFormat="1" x14ac:dyDescent="0.25"/>
    <row r="364" s="34" customFormat="1" x14ac:dyDescent="0.25"/>
    <row r="365" s="34" customFormat="1" x14ac:dyDescent="0.25"/>
    <row r="366" s="34" customFormat="1" x14ac:dyDescent="0.25"/>
    <row r="367" s="34" customFormat="1" x14ac:dyDescent="0.25"/>
    <row r="368" s="34" customFormat="1" x14ac:dyDescent="0.25"/>
    <row r="369" s="34" customFormat="1" x14ac:dyDescent="0.25"/>
    <row r="370" s="34" customFormat="1" x14ac:dyDescent="0.25"/>
    <row r="371" s="34" customFormat="1" x14ac:dyDescent="0.25"/>
    <row r="372" s="34" customFormat="1" x14ac:dyDescent="0.25"/>
    <row r="373" s="34" customFormat="1" x14ac:dyDescent="0.25"/>
    <row r="374" s="34" customFormat="1" x14ac:dyDescent="0.25"/>
    <row r="375" s="34" customFormat="1" x14ac:dyDescent="0.25"/>
    <row r="376" s="34" customFormat="1" x14ac:dyDescent="0.25"/>
    <row r="377" s="34" customFormat="1" x14ac:dyDescent="0.25"/>
    <row r="378" s="34" customFormat="1" x14ac:dyDescent="0.25"/>
    <row r="379" s="34" customFormat="1" x14ac:dyDescent="0.25"/>
    <row r="380" s="34" customFormat="1" x14ac:dyDescent="0.25"/>
    <row r="381" s="34" customFormat="1" x14ac:dyDescent="0.25"/>
    <row r="382" s="34" customFormat="1" x14ac:dyDescent="0.25"/>
    <row r="383" s="34" customFormat="1" x14ac:dyDescent="0.25"/>
    <row r="384" s="34" customFormat="1" x14ac:dyDescent="0.25"/>
    <row r="385" s="34" customFormat="1" x14ac:dyDescent="0.25"/>
    <row r="386" s="34" customFormat="1" x14ac:dyDescent="0.25"/>
    <row r="387" s="34" customFormat="1" x14ac:dyDescent="0.25"/>
    <row r="388" s="34" customFormat="1" x14ac:dyDescent="0.25"/>
    <row r="389" s="34" customFormat="1" x14ac:dyDescent="0.25"/>
    <row r="390" s="34" customFormat="1" x14ac:dyDescent="0.25"/>
    <row r="391" s="34" customFormat="1" x14ac:dyDescent="0.25"/>
    <row r="392" s="34" customFormat="1" x14ac:dyDescent="0.25"/>
    <row r="393" s="34" customFormat="1" x14ac:dyDescent="0.25"/>
    <row r="394" s="34" customFormat="1" x14ac:dyDescent="0.25"/>
    <row r="395" s="34" customFormat="1" x14ac:dyDescent="0.25"/>
    <row r="396" s="34" customFormat="1" x14ac:dyDescent="0.25"/>
    <row r="397" s="34" customFormat="1" x14ac:dyDescent="0.25"/>
    <row r="398" s="34" customFormat="1" x14ac:dyDescent="0.25"/>
    <row r="399" s="34" customFormat="1" x14ac:dyDescent="0.25"/>
    <row r="400" s="34" customFormat="1" x14ac:dyDescent="0.25"/>
    <row r="401" s="34" customFormat="1" x14ac:dyDescent="0.25"/>
    <row r="402" s="34" customFormat="1" x14ac:dyDescent="0.25"/>
    <row r="403" s="34" customFormat="1" x14ac:dyDescent="0.25"/>
    <row r="404" s="34" customFormat="1" x14ac:dyDescent="0.25"/>
    <row r="405" s="34" customFormat="1" x14ac:dyDescent="0.25"/>
    <row r="406" s="34" customFormat="1" x14ac:dyDescent="0.25"/>
    <row r="407" s="34" customFormat="1" x14ac:dyDescent="0.25"/>
    <row r="408" s="34" customFormat="1" x14ac:dyDescent="0.25"/>
    <row r="409" s="34" customFormat="1" x14ac:dyDescent="0.25"/>
    <row r="410" s="34" customFormat="1" x14ac:dyDescent="0.25"/>
    <row r="411" s="34" customFormat="1" x14ac:dyDescent="0.25"/>
    <row r="412" s="34" customFormat="1" x14ac:dyDescent="0.25"/>
    <row r="413" s="34" customFormat="1" x14ac:dyDescent="0.25"/>
    <row r="414" s="34" customFormat="1" x14ac:dyDescent="0.25"/>
    <row r="415" s="34" customFormat="1" x14ac:dyDescent="0.25"/>
    <row r="416" s="34" customFormat="1" x14ac:dyDescent="0.25"/>
    <row r="417" s="34" customFormat="1" x14ac:dyDescent="0.25"/>
    <row r="418" s="34" customFormat="1" x14ac:dyDescent="0.25"/>
    <row r="419" s="34" customFormat="1" x14ac:dyDescent="0.25"/>
    <row r="420" s="34" customFormat="1" x14ac:dyDescent="0.25"/>
    <row r="421" s="34" customFormat="1" x14ac:dyDescent="0.25"/>
    <row r="422" s="34" customFormat="1" x14ac:dyDescent="0.25"/>
    <row r="423" s="34" customFormat="1" x14ac:dyDescent="0.25"/>
    <row r="424" s="34" customFormat="1" x14ac:dyDescent="0.25"/>
    <row r="425" s="34" customFormat="1" x14ac:dyDescent="0.25"/>
    <row r="426" s="34" customFormat="1" x14ac:dyDescent="0.25"/>
    <row r="427" s="34" customFormat="1" x14ac:dyDescent="0.25"/>
    <row r="428" s="34" customFormat="1" x14ac:dyDescent="0.25"/>
    <row r="429" s="34" customFormat="1" x14ac:dyDescent="0.25"/>
    <row r="430" s="34" customFormat="1" x14ac:dyDescent="0.25"/>
    <row r="431" s="34" customFormat="1" x14ac:dyDescent="0.25"/>
    <row r="432" s="34" customFormat="1" x14ac:dyDescent="0.25"/>
    <row r="433" s="34" customFormat="1" x14ac:dyDescent="0.25"/>
    <row r="434" s="34" customFormat="1" x14ac:dyDescent="0.25"/>
    <row r="435" s="34" customFormat="1" x14ac:dyDescent="0.25"/>
    <row r="436" s="34" customFormat="1" x14ac:dyDescent="0.25"/>
    <row r="437" s="34" customFormat="1" x14ac:dyDescent="0.25"/>
    <row r="438" s="34" customFormat="1" x14ac:dyDescent="0.25"/>
    <row r="439" s="34" customFormat="1" x14ac:dyDescent="0.25"/>
    <row r="440" s="34" customFormat="1" x14ac:dyDescent="0.25"/>
    <row r="441" s="34" customFormat="1" x14ac:dyDescent="0.25"/>
    <row r="442" s="34" customFormat="1" x14ac:dyDescent="0.25"/>
    <row r="443" s="34" customFormat="1" x14ac:dyDescent="0.25"/>
    <row r="444" s="34" customFormat="1" x14ac:dyDescent="0.25"/>
    <row r="445" s="34" customFormat="1" x14ac:dyDescent="0.25"/>
    <row r="446" s="34" customFormat="1" x14ac:dyDescent="0.25"/>
    <row r="447" s="34" customFormat="1" x14ac:dyDescent="0.25"/>
    <row r="448" s="34" customFormat="1" x14ac:dyDescent="0.25"/>
    <row r="449" s="34" customFormat="1" x14ac:dyDescent="0.25"/>
    <row r="450" s="34" customFormat="1" x14ac:dyDescent="0.25"/>
    <row r="451" s="34" customFormat="1" x14ac:dyDescent="0.25"/>
    <row r="452" s="34" customFormat="1" x14ac:dyDescent="0.25"/>
    <row r="453" s="34" customFormat="1" x14ac:dyDescent="0.25"/>
    <row r="454" s="34" customFormat="1" x14ac:dyDescent="0.25"/>
    <row r="455" s="34" customFormat="1" x14ac:dyDescent="0.25"/>
    <row r="456" s="34" customFormat="1" x14ac:dyDescent="0.25"/>
    <row r="457" s="34" customFormat="1" x14ac:dyDescent="0.25"/>
    <row r="458" s="34" customFormat="1" x14ac:dyDescent="0.25"/>
    <row r="459" s="34" customFormat="1" x14ac:dyDescent="0.25"/>
    <row r="460" s="34" customFormat="1" x14ac:dyDescent="0.25"/>
    <row r="461" s="34" customFormat="1" x14ac:dyDescent="0.25"/>
    <row r="462" s="34" customFormat="1" x14ac:dyDescent="0.25"/>
    <row r="463" s="34" customFormat="1" x14ac:dyDescent="0.25"/>
    <row r="464" s="34" customFormat="1" x14ac:dyDescent="0.25"/>
    <row r="465" s="34" customFormat="1" x14ac:dyDescent="0.25"/>
    <row r="466" s="34" customFormat="1" x14ac:dyDescent="0.25"/>
    <row r="467" s="34" customFormat="1" x14ac:dyDescent="0.25"/>
    <row r="468" s="34" customFormat="1" x14ac:dyDescent="0.25"/>
    <row r="469" s="34" customFormat="1" x14ac:dyDescent="0.25"/>
    <row r="470" s="34" customFormat="1" x14ac:dyDescent="0.25"/>
    <row r="471" s="34" customFormat="1" x14ac:dyDescent="0.25"/>
    <row r="472" s="34" customFormat="1" x14ac:dyDescent="0.25"/>
    <row r="473" s="34" customFormat="1" x14ac:dyDescent="0.25"/>
    <row r="474" s="34" customFormat="1" x14ac:dyDescent="0.25"/>
    <row r="475" s="34" customFormat="1" x14ac:dyDescent="0.25"/>
    <row r="476" s="34" customFormat="1" x14ac:dyDescent="0.25"/>
    <row r="477" s="34" customFormat="1" x14ac:dyDescent="0.25"/>
    <row r="478" s="34" customFormat="1" x14ac:dyDescent="0.25"/>
    <row r="479" s="34" customFormat="1" x14ac:dyDescent="0.25"/>
    <row r="480" s="34" customFormat="1" x14ac:dyDescent="0.25"/>
    <row r="481" s="34" customFormat="1" x14ac:dyDescent="0.25"/>
    <row r="482" s="34" customFormat="1" x14ac:dyDescent="0.25"/>
    <row r="483" s="34" customFormat="1" x14ac:dyDescent="0.25"/>
    <row r="484" s="34" customFormat="1" x14ac:dyDescent="0.25"/>
    <row r="485" s="34" customFormat="1" x14ac:dyDescent="0.25"/>
    <row r="486" s="34" customFormat="1" x14ac:dyDescent="0.25"/>
    <row r="487" s="34" customFormat="1" x14ac:dyDescent="0.25"/>
    <row r="488" s="34" customFormat="1" x14ac:dyDescent="0.25"/>
    <row r="489" s="34" customFormat="1" x14ac:dyDescent="0.25"/>
    <row r="490" s="34" customFormat="1" x14ac:dyDescent="0.25"/>
    <row r="491" s="34" customFormat="1" x14ac:dyDescent="0.25"/>
    <row r="492" s="34" customFormat="1" x14ac:dyDescent="0.25"/>
    <row r="493" s="34" customFormat="1" x14ac:dyDescent="0.25"/>
    <row r="494" s="34" customFormat="1" x14ac:dyDescent="0.25"/>
    <row r="495" s="34" customFormat="1" x14ac:dyDescent="0.25"/>
    <row r="496" s="34" customFormat="1" x14ac:dyDescent="0.25"/>
    <row r="497" s="34" customFormat="1" x14ac:dyDescent="0.25"/>
    <row r="498" s="34" customFormat="1" x14ac:dyDescent="0.25"/>
    <row r="499" s="34" customFormat="1" x14ac:dyDescent="0.25"/>
    <row r="500" s="34" customFormat="1" x14ac:dyDescent="0.25"/>
    <row r="501" s="34" customFormat="1" x14ac:dyDescent="0.25"/>
    <row r="502" s="34" customFormat="1" x14ac:dyDescent="0.25"/>
    <row r="503" s="34" customFormat="1" x14ac:dyDescent="0.25"/>
    <row r="504" s="34" customFormat="1" x14ac:dyDescent="0.25"/>
    <row r="505" s="34" customFormat="1" x14ac:dyDescent="0.25"/>
    <row r="506" s="34" customFormat="1" x14ac:dyDescent="0.25"/>
    <row r="507" s="34" customFormat="1" x14ac:dyDescent="0.25"/>
    <row r="508" s="34" customFormat="1" x14ac:dyDescent="0.25"/>
    <row r="509" s="34" customFormat="1" x14ac:dyDescent="0.25"/>
    <row r="510" s="34" customFormat="1" x14ac:dyDescent="0.25"/>
    <row r="511" s="34" customFormat="1" x14ac:dyDescent="0.25"/>
    <row r="512" s="34" customFormat="1" x14ac:dyDescent="0.25"/>
    <row r="513" s="34" customFormat="1" x14ac:dyDescent="0.25"/>
    <row r="514" s="34" customFormat="1" x14ac:dyDescent="0.25"/>
    <row r="515" s="34" customFormat="1" x14ac:dyDescent="0.25"/>
    <row r="516" s="34" customFormat="1" x14ac:dyDescent="0.25"/>
    <row r="517" s="34" customFormat="1" x14ac:dyDescent="0.25"/>
    <row r="518" s="34" customFormat="1" x14ac:dyDescent="0.25"/>
    <row r="519" s="34" customFormat="1" x14ac:dyDescent="0.25"/>
    <row r="520" s="34" customFormat="1" x14ac:dyDescent="0.25"/>
    <row r="521" s="34" customFormat="1" x14ac:dyDescent="0.25"/>
    <row r="522" s="34" customFormat="1" x14ac:dyDescent="0.25"/>
    <row r="523" s="34" customFormat="1" x14ac:dyDescent="0.25"/>
    <row r="524" s="34" customFormat="1" x14ac:dyDescent="0.25"/>
    <row r="525" s="34" customFormat="1" x14ac:dyDescent="0.25"/>
    <row r="526" s="34" customFormat="1" x14ac:dyDescent="0.25"/>
    <row r="527" s="34" customFormat="1" x14ac:dyDescent="0.25"/>
    <row r="528" s="34" customFormat="1" x14ac:dyDescent="0.25"/>
    <row r="529" s="34" customFormat="1" x14ac:dyDescent="0.25"/>
    <row r="530" s="34" customFormat="1" x14ac:dyDescent="0.25"/>
    <row r="531" s="34" customFormat="1" x14ac:dyDescent="0.25"/>
    <row r="532" s="34" customFormat="1" x14ac:dyDescent="0.25"/>
    <row r="533" s="34" customFormat="1" x14ac:dyDescent="0.25"/>
    <row r="534" s="34" customFormat="1" x14ac:dyDescent="0.25"/>
    <row r="535" s="34" customFormat="1" x14ac:dyDescent="0.25"/>
    <row r="536" s="34" customFormat="1" x14ac:dyDescent="0.25"/>
    <row r="537" s="34" customFormat="1" x14ac:dyDescent="0.25"/>
    <row r="538" s="34" customFormat="1" x14ac:dyDescent="0.25"/>
    <row r="539" s="34" customFormat="1" x14ac:dyDescent="0.25"/>
    <row r="540" s="34" customFormat="1" x14ac:dyDescent="0.25"/>
    <row r="541" s="34" customFormat="1" x14ac:dyDescent="0.25"/>
    <row r="542" s="34" customFormat="1" x14ac:dyDescent="0.25"/>
    <row r="543" s="34" customFormat="1" x14ac:dyDescent="0.25"/>
    <row r="544" s="34" customFormat="1" x14ac:dyDescent="0.25"/>
    <row r="545" s="34" customFormat="1" x14ac:dyDescent="0.25"/>
    <row r="546" s="34" customFormat="1" x14ac:dyDescent="0.25"/>
    <row r="547" s="34" customFormat="1" x14ac:dyDescent="0.25"/>
    <row r="548" s="34" customFormat="1" x14ac:dyDescent="0.25"/>
    <row r="549" s="34" customFormat="1" x14ac:dyDescent="0.25"/>
    <row r="550" s="34" customFormat="1" x14ac:dyDescent="0.25"/>
    <row r="551" s="34" customFormat="1" x14ac:dyDescent="0.25"/>
    <row r="552" s="34" customFormat="1" x14ac:dyDescent="0.25"/>
    <row r="553" s="34" customFormat="1" x14ac:dyDescent="0.25"/>
    <row r="554" s="34" customFormat="1" x14ac:dyDescent="0.25"/>
    <row r="555" s="34" customFormat="1" x14ac:dyDescent="0.25"/>
    <row r="556" s="34" customFormat="1" x14ac:dyDescent="0.25"/>
    <row r="557" s="34" customFormat="1" x14ac:dyDescent="0.25"/>
    <row r="558" s="34" customFormat="1" x14ac:dyDescent="0.25"/>
    <row r="559" s="34" customFormat="1" x14ac:dyDescent="0.25"/>
    <row r="560" s="34" customFormat="1" x14ac:dyDescent="0.25"/>
    <row r="561" s="34" customFormat="1" x14ac:dyDescent="0.25"/>
    <row r="562" s="34" customFormat="1" x14ac:dyDescent="0.25"/>
    <row r="563" s="34" customFormat="1" x14ac:dyDescent="0.25"/>
    <row r="564" s="34" customFormat="1" x14ac:dyDescent="0.25"/>
    <row r="565" s="34" customFormat="1" x14ac:dyDescent="0.25"/>
    <row r="566" s="34" customFormat="1" x14ac:dyDescent="0.25"/>
    <row r="567" s="34" customFormat="1" x14ac:dyDescent="0.25"/>
    <row r="568" s="34" customFormat="1" x14ac:dyDescent="0.25"/>
    <row r="569" s="34" customFormat="1" x14ac:dyDescent="0.25"/>
    <row r="570" s="34" customFormat="1" x14ac:dyDescent="0.25"/>
    <row r="571" s="34" customFormat="1" x14ac:dyDescent="0.25"/>
    <row r="572" s="34" customFormat="1" x14ac:dyDescent="0.25"/>
    <row r="573" s="34" customFormat="1" x14ac:dyDescent="0.25"/>
    <row r="574" s="34" customFormat="1" x14ac:dyDescent="0.25"/>
    <row r="575" s="34" customFormat="1" x14ac:dyDescent="0.25"/>
    <row r="576" s="34" customFormat="1" x14ac:dyDescent="0.25"/>
    <row r="577" s="34" customFormat="1" x14ac:dyDescent="0.25"/>
    <row r="578" s="34" customFormat="1" x14ac:dyDescent="0.25"/>
    <row r="579" s="34" customFormat="1" x14ac:dyDescent="0.25"/>
    <row r="580" s="34" customFormat="1" x14ac:dyDescent="0.25"/>
    <row r="581" s="34" customFormat="1" x14ac:dyDescent="0.25"/>
    <row r="582" s="34" customFormat="1" x14ac:dyDescent="0.25"/>
    <row r="583" s="34" customFormat="1" x14ac:dyDescent="0.25"/>
    <row r="584" s="34" customFormat="1" x14ac:dyDescent="0.25"/>
    <row r="585" s="34" customFormat="1" x14ac:dyDescent="0.25"/>
    <row r="586" s="34" customFormat="1" x14ac:dyDescent="0.25"/>
    <row r="587" s="34" customFormat="1" x14ac:dyDescent="0.25"/>
    <row r="588" s="34" customFormat="1" x14ac:dyDescent="0.25"/>
    <row r="589" s="34" customFormat="1" x14ac:dyDescent="0.25"/>
    <row r="590" s="34" customFormat="1" x14ac:dyDescent="0.25"/>
    <row r="591" s="34" customFormat="1" x14ac:dyDescent="0.25"/>
    <row r="592" s="34" customFormat="1" x14ac:dyDescent="0.25"/>
    <row r="593" s="34" customFormat="1" x14ac:dyDescent="0.25"/>
    <row r="594" s="34" customFormat="1" x14ac:dyDescent="0.25"/>
    <row r="595" s="34" customFormat="1" x14ac:dyDescent="0.25"/>
    <row r="596" s="34" customFormat="1" x14ac:dyDescent="0.25"/>
    <row r="597" s="34" customFormat="1" x14ac:dyDescent="0.25"/>
    <row r="598" s="34" customFormat="1" x14ac:dyDescent="0.25"/>
    <row r="599" s="34" customFormat="1" x14ac:dyDescent="0.25"/>
    <row r="600" s="34" customFormat="1" x14ac:dyDescent="0.25"/>
    <row r="601" s="34" customFormat="1" x14ac:dyDescent="0.25"/>
    <row r="602" s="34" customFormat="1" x14ac:dyDescent="0.25"/>
    <row r="603" s="34" customFormat="1" x14ac:dyDescent="0.25"/>
    <row r="604" s="34" customFormat="1" x14ac:dyDescent="0.25"/>
    <row r="605" s="34" customFormat="1" x14ac:dyDescent="0.25"/>
    <row r="606" s="34" customFormat="1" x14ac:dyDescent="0.25"/>
    <row r="607" s="34" customFormat="1" x14ac:dyDescent="0.25"/>
    <row r="608" s="34" customFormat="1" x14ac:dyDescent="0.25"/>
    <row r="609" s="34" customFormat="1" x14ac:dyDescent="0.25"/>
    <row r="610" s="34" customFormat="1" x14ac:dyDescent="0.25"/>
    <row r="611" s="34" customFormat="1" x14ac:dyDescent="0.25"/>
    <row r="612" s="34" customFormat="1" x14ac:dyDescent="0.25"/>
    <row r="613" s="34" customFormat="1" x14ac:dyDescent="0.25"/>
    <row r="614" s="34" customFormat="1" x14ac:dyDescent="0.25"/>
    <row r="615" s="34" customFormat="1" x14ac:dyDescent="0.25"/>
    <row r="616" s="34" customFormat="1" x14ac:dyDescent="0.25"/>
    <row r="617" s="34" customFormat="1" x14ac:dyDescent="0.25"/>
    <row r="618" s="34" customFormat="1" x14ac:dyDescent="0.25"/>
    <row r="619" s="34" customFormat="1" x14ac:dyDescent="0.25"/>
    <row r="620" s="34" customFormat="1" x14ac:dyDescent="0.25"/>
    <row r="621" s="34" customFormat="1" x14ac:dyDescent="0.25"/>
    <row r="622" s="34" customFormat="1" x14ac:dyDescent="0.25"/>
    <row r="623" s="34" customFormat="1" x14ac:dyDescent="0.25"/>
    <row r="624" s="34" customFormat="1" x14ac:dyDescent="0.25"/>
    <row r="625" s="34" customFormat="1" x14ac:dyDescent="0.25"/>
    <row r="626" s="34" customFormat="1" x14ac:dyDescent="0.25"/>
    <row r="627" s="34" customFormat="1" x14ac:dyDescent="0.25"/>
    <row r="628" s="34" customFormat="1" x14ac:dyDescent="0.25"/>
    <row r="629" s="34" customFormat="1" x14ac:dyDescent="0.25"/>
    <row r="630" s="34" customFormat="1" x14ac:dyDescent="0.25"/>
    <row r="631" s="34" customFormat="1" x14ac:dyDescent="0.25"/>
    <row r="632" s="34" customFormat="1" x14ac:dyDescent="0.25"/>
    <row r="633" s="34" customFormat="1" x14ac:dyDescent="0.25"/>
    <row r="634" s="34" customFormat="1" x14ac:dyDescent="0.25"/>
    <row r="635" s="34" customFormat="1" x14ac:dyDescent="0.25"/>
    <row r="636" s="34" customFormat="1" x14ac:dyDescent="0.25"/>
    <row r="637" s="34" customFormat="1" x14ac:dyDescent="0.25"/>
    <row r="638" s="34" customFormat="1" x14ac:dyDescent="0.25"/>
    <row r="639" s="34" customFormat="1" x14ac:dyDescent="0.25"/>
    <row r="640" s="34" customFormat="1" x14ac:dyDescent="0.25"/>
    <row r="641" s="34" customFormat="1" x14ac:dyDescent="0.25"/>
    <row r="642" s="34" customFormat="1" x14ac:dyDescent="0.25"/>
    <row r="643" s="34" customFormat="1" x14ac:dyDescent="0.25"/>
    <row r="644" s="34" customFormat="1" x14ac:dyDescent="0.25"/>
    <row r="645" s="34" customFormat="1" x14ac:dyDescent="0.25"/>
    <row r="646" s="34" customFormat="1" x14ac:dyDescent="0.25"/>
    <row r="647" s="34" customFormat="1" x14ac:dyDescent="0.25"/>
    <row r="648" s="34" customFormat="1" x14ac:dyDescent="0.25"/>
    <row r="649" s="34" customFormat="1" x14ac:dyDescent="0.25"/>
    <row r="650" s="34" customFormat="1" x14ac:dyDescent="0.25"/>
    <row r="651" s="34" customFormat="1" x14ac:dyDescent="0.25"/>
    <row r="652" s="34" customFormat="1" x14ac:dyDescent="0.25"/>
    <row r="653" s="34" customFormat="1" x14ac:dyDescent="0.25"/>
    <row r="654" s="34" customFormat="1" x14ac:dyDescent="0.25"/>
    <row r="655" s="34" customFormat="1" x14ac:dyDescent="0.25"/>
    <row r="656" s="34" customFormat="1" x14ac:dyDescent="0.25"/>
    <row r="657" s="34" customFormat="1" x14ac:dyDescent="0.25"/>
    <row r="658" s="34" customFormat="1" x14ac:dyDescent="0.25"/>
    <row r="659" s="34" customFormat="1" x14ac:dyDescent="0.25"/>
    <row r="660" s="34" customFormat="1" x14ac:dyDescent="0.25"/>
    <row r="661" s="34" customFormat="1" x14ac:dyDescent="0.25"/>
    <row r="662" s="34" customFormat="1" x14ac:dyDescent="0.25"/>
    <row r="663" s="34" customFormat="1" x14ac:dyDescent="0.25"/>
    <row r="664" s="34" customFormat="1" x14ac:dyDescent="0.25"/>
    <row r="665" s="34" customFormat="1" x14ac:dyDescent="0.25"/>
    <row r="666" s="34" customFormat="1" x14ac:dyDescent="0.25"/>
    <row r="667" s="34" customFormat="1" x14ac:dyDescent="0.25"/>
    <row r="668" s="34" customFormat="1" x14ac:dyDescent="0.25"/>
    <row r="669" s="34" customFormat="1" x14ac:dyDescent="0.25"/>
    <row r="670" s="34" customFormat="1" x14ac:dyDescent="0.25"/>
    <row r="671" s="34" customFormat="1" x14ac:dyDescent="0.25"/>
    <row r="672" s="34" customFormat="1" x14ac:dyDescent="0.25"/>
    <row r="673" s="34" customFormat="1" x14ac:dyDescent="0.25"/>
    <row r="674" s="34" customFormat="1" x14ac:dyDescent="0.25"/>
    <row r="675" s="34" customFormat="1" x14ac:dyDescent="0.25"/>
    <row r="676" s="34" customFormat="1" x14ac:dyDescent="0.25"/>
    <row r="677" s="34" customFormat="1" x14ac:dyDescent="0.25"/>
    <row r="678" s="34" customFormat="1" x14ac:dyDescent="0.25"/>
    <row r="679" s="34" customFormat="1" x14ac:dyDescent="0.25"/>
    <row r="680" s="34" customFormat="1" x14ac:dyDescent="0.25"/>
    <row r="681" s="34" customFormat="1" x14ac:dyDescent="0.25"/>
    <row r="682" s="34" customFormat="1" x14ac:dyDescent="0.25"/>
    <row r="683" s="34" customFormat="1" x14ac:dyDescent="0.25"/>
    <row r="684" s="34" customFormat="1" x14ac:dyDescent="0.25"/>
    <row r="685" s="34" customFormat="1" x14ac:dyDescent="0.25"/>
    <row r="686" s="34" customFormat="1" x14ac:dyDescent="0.25"/>
    <row r="687" s="34" customFormat="1" x14ac:dyDescent="0.25"/>
    <row r="688" s="34" customFormat="1" x14ac:dyDescent="0.25"/>
    <row r="689" s="34" customFormat="1" x14ac:dyDescent="0.25"/>
    <row r="690" s="34" customFormat="1" x14ac:dyDescent="0.25"/>
    <row r="691" s="34" customFormat="1" x14ac:dyDescent="0.25"/>
    <row r="692" s="34" customFormat="1" x14ac:dyDescent="0.25"/>
    <row r="693" s="34" customFormat="1" x14ac:dyDescent="0.25"/>
    <row r="694" s="34" customFormat="1" x14ac:dyDescent="0.25"/>
    <row r="695" s="34" customFormat="1" x14ac:dyDescent="0.25"/>
    <row r="696" s="34" customFormat="1" x14ac:dyDescent="0.25"/>
    <row r="697" s="34" customFormat="1" x14ac:dyDescent="0.25"/>
    <row r="698" s="34" customFormat="1" x14ac:dyDescent="0.25"/>
    <row r="699" s="34" customFormat="1" x14ac:dyDescent="0.25"/>
    <row r="700" s="34" customFormat="1" x14ac:dyDescent="0.25"/>
    <row r="701" s="34" customFormat="1" x14ac:dyDescent="0.25"/>
    <row r="702" s="34" customFormat="1" x14ac:dyDescent="0.25"/>
    <row r="703" s="34" customFormat="1" x14ac:dyDescent="0.25"/>
    <row r="704" s="34" customFormat="1" x14ac:dyDescent="0.25"/>
    <row r="705" s="34" customFormat="1" x14ac:dyDescent="0.25"/>
    <row r="706" s="34" customFormat="1" x14ac:dyDescent="0.25"/>
    <row r="707" s="34" customFormat="1" x14ac:dyDescent="0.25"/>
    <row r="708" s="34" customFormat="1" x14ac:dyDescent="0.25"/>
    <row r="709" s="34" customFormat="1" x14ac:dyDescent="0.25"/>
    <row r="710" s="34" customFormat="1" x14ac:dyDescent="0.25"/>
    <row r="711" s="34" customFormat="1" x14ac:dyDescent="0.25"/>
    <row r="712" s="34" customFormat="1" x14ac:dyDescent="0.25"/>
    <row r="713" s="34" customFormat="1" x14ac:dyDescent="0.25"/>
    <row r="714" s="34" customFormat="1" x14ac:dyDescent="0.25"/>
    <row r="715" s="34" customFormat="1" x14ac:dyDescent="0.25"/>
    <row r="716" s="34" customFormat="1" x14ac:dyDescent="0.25"/>
    <row r="717" s="34" customFormat="1" x14ac:dyDescent="0.25"/>
    <row r="718" s="34" customFormat="1" x14ac:dyDescent="0.25"/>
    <row r="719" s="34" customFormat="1" x14ac:dyDescent="0.25"/>
    <row r="720" s="34" customFormat="1" x14ac:dyDescent="0.25"/>
    <row r="721" s="34" customFormat="1" x14ac:dyDescent="0.25"/>
    <row r="722" s="34" customFormat="1" x14ac:dyDescent="0.25"/>
    <row r="723" s="34" customFormat="1" x14ac:dyDescent="0.25"/>
    <row r="724" s="34" customFormat="1" x14ac:dyDescent="0.25"/>
    <row r="725" s="34" customFormat="1" x14ac:dyDescent="0.25"/>
    <row r="726" s="34" customFormat="1" x14ac:dyDescent="0.25"/>
    <row r="727" s="34" customFormat="1" x14ac:dyDescent="0.25"/>
    <row r="728" s="34" customFormat="1" x14ac:dyDescent="0.25"/>
    <row r="729" s="34" customFormat="1" x14ac:dyDescent="0.25"/>
    <row r="730" s="34" customFormat="1" x14ac:dyDescent="0.25"/>
    <row r="731" s="34" customFormat="1" x14ac:dyDescent="0.25"/>
    <row r="732" s="34" customFormat="1" x14ac:dyDescent="0.25"/>
    <row r="733" s="34" customFormat="1" x14ac:dyDescent="0.25"/>
    <row r="734" s="34" customFormat="1" x14ac:dyDescent="0.25"/>
    <row r="735" s="34" customFormat="1" x14ac:dyDescent="0.25"/>
    <row r="736" s="34" customFormat="1" x14ac:dyDescent="0.25"/>
    <row r="737" s="34" customFormat="1" x14ac:dyDescent="0.25"/>
    <row r="738" s="34" customFormat="1" x14ac:dyDescent="0.25"/>
    <row r="739" s="34" customFormat="1" x14ac:dyDescent="0.25"/>
    <row r="740" s="34" customFormat="1" x14ac:dyDescent="0.25"/>
    <row r="741" s="34" customFormat="1" x14ac:dyDescent="0.25"/>
    <row r="742" s="34" customFormat="1" x14ac:dyDescent="0.25"/>
    <row r="743" s="34" customFormat="1" x14ac:dyDescent="0.25"/>
    <row r="744" s="34" customFormat="1" x14ac:dyDescent="0.25"/>
    <row r="745" s="34" customFormat="1" x14ac:dyDescent="0.25"/>
    <row r="746" s="34" customFormat="1" x14ac:dyDescent="0.25"/>
    <row r="747" s="34" customFormat="1" x14ac:dyDescent="0.25"/>
    <row r="748" s="34" customFormat="1" x14ac:dyDescent="0.25"/>
    <row r="749" s="34" customFormat="1" x14ac:dyDescent="0.25"/>
    <row r="750" s="34" customFormat="1" x14ac:dyDescent="0.25"/>
    <row r="751" s="34" customFormat="1" x14ac:dyDescent="0.25"/>
    <row r="752" s="34" customFormat="1" x14ac:dyDescent="0.25"/>
    <row r="753" s="34" customFormat="1" x14ac:dyDescent="0.25"/>
    <row r="754" s="34" customFormat="1" x14ac:dyDescent="0.25"/>
    <row r="755" s="34" customFormat="1" x14ac:dyDescent="0.25"/>
    <row r="756" s="34" customFormat="1" x14ac:dyDescent="0.25"/>
    <row r="757" s="34" customFormat="1" x14ac:dyDescent="0.25"/>
    <row r="758" s="34" customFormat="1" x14ac:dyDescent="0.25"/>
    <row r="759" s="34" customFormat="1" x14ac:dyDescent="0.25"/>
    <row r="760" s="34" customFormat="1" x14ac:dyDescent="0.25"/>
    <row r="761" s="34" customFormat="1" x14ac:dyDescent="0.25"/>
    <row r="762" s="34" customFormat="1" x14ac:dyDescent="0.25"/>
    <row r="763" s="34" customFormat="1" x14ac:dyDescent="0.25"/>
    <row r="764" s="34" customFormat="1" x14ac:dyDescent="0.25"/>
    <row r="765" s="34" customFormat="1" x14ac:dyDescent="0.25"/>
    <row r="766" s="34" customFormat="1" x14ac:dyDescent="0.25"/>
    <row r="767" s="34" customFormat="1" x14ac:dyDescent="0.25"/>
    <row r="768" s="34" customFormat="1" x14ac:dyDescent="0.25"/>
    <row r="769" s="34" customFormat="1" x14ac:dyDescent="0.25"/>
    <row r="770" s="34" customFormat="1" x14ac:dyDescent="0.25"/>
    <row r="771" s="34" customFormat="1" x14ac:dyDescent="0.25"/>
    <row r="772" s="34" customFormat="1" x14ac:dyDescent="0.25"/>
    <row r="773" s="34" customFormat="1" x14ac:dyDescent="0.25"/>
    <row r="774" s="34" customFormat="1" x14ac:dyDescent="0.25"/>
    <row r="775" s="34" customFormat="1" x14ac:dyDescent="0.25"/>
    <row r="776" s="34" customFormat="1" x14ac:dyDescent="0.25"/>
    <row r="777" s="34" customFormat="1" x14ac:dyDescent="0.25"/>
    <row r="778" s="34" customFormat="1" x14ac:dyDescent="0.25"/>
    <row r="779" s="34" customFormat="1" x14ac:dyDescent="0.25"/>
    <row r="780" s="34" customFormat="1" x14ac:dyDescent="0.25"/>
    <row r="781" s="34" customFormat="1" x14ac:dyDescent="0.25"/>
    <row r="782" s="34" customFormat="1" x14ac:dyDescent="0.25"/>
    <row r="783" s="34" customFormat="1" x14ac:dyDescent="0.25"/>
    <row r="784" s="34" customFormat="1" x14ac:dyDescent="0.25"/>
    <row r="785" s="34" customFormat="1" x14ac:dyDescent="0.25"/>
    <row r="786" s="34" customFormat="1" x14ac:dyDescent="0.25"/>
    <row r="787" s="34" customFormat="1" x14ac:dyDescent="0.25"/>
    <row r="788" s="34" customFormat="1" x14ac:dyDescent="0.25"/>
    <row r="789" s="34" customFormat="1" x14ac:dyDescent="0.25"/>
    <row r="790" s="34" customFormat="1" x14ac:dyDescent="0.25"/>
    <row r="791" s="34" customFormat="1" x14ac:dyDescent="0.25"/>
    <row r="792" s="34" customFormat="1" x14ac:dyDescent="0.25"/>
    <row r="793" s="34" customFormat="1" x14ac:dyDescent="0.25"/>
    <row r="794" s="34" customFormat="1" x14ac:dyDescent="0.25"/>
    <row r="795" s="34" customFormat="1" x14ac:dyDescent="0.25"/>
    <row r="796" s="34" customFormat="1" x14ac:dyDescent="0.25"/>
    <row r="797" s="34" customFormat="1" x14ac:dyDescent="0.25"/>
    <row r="798" s="34" customFormat="1" x14ac:dyDescent="0.25"/>
    <row r="799" s="34" customFormat="1" x14ac:dyDescent="0.25"/>
    <row r="800" s="34" customFormat="1" x14ac:dyDescent="0.25"/>
    <row r="801" s="34" customFormat="1" x14ac:dyDescent="0.25"/>
    <row r="802" s="34" customFormat="1" x14ac:dyDescent="0.25"/>
    <row r="803" s="34" customFormat="1" x14ac:dyDescent="0.25"/>
    <row r="804" s="34" customFormat="1" x14ac:dyDescent="0.25"/>
    <row r="805" s="34" customFormat="1" x14ac:dyDescent="0.25"/>
    <row r="806" s="34" customFormat="1" x14ac:dyDescent="0.25"/>
    <row r="807" s="34" customFormat="1" x14ac:dyDescent="0.25"/>
    <row r="808" s="34" customFormat="1" x14ac:dyDescent="0.25"/>
    <row r="809" s="34" customFormat="1" x14ac:dyDescent="0.25"/>
    <row r="810" s="34" customFormat="1" x14ac:dyDescent="0.25"/>
    <row r="811" s="34" customFormat="1" x14ac:dyDescent="0.25"/>
    <row r="812" s="34" customFormat="1" x14ac:dyDescent="0.25"/>
    <row r="813" s="34" customFormat="1" x14ac:dyDescent="0.25"/>
    <row r="814" s="34" customFormat="1" x14ac:dyDescent="0.25"/>
    <row r="815" s="34" customFormat="1" x14ac:dyDescent="0.25"/>
    <row r="816" s="34" customFormat="1" x14ac:dyDescent="0.25"/>
    <row r="817" s="34" customFormat="1" x14ac:dyDescent="0.25"/>
    <row r="818" s="34" customFormat="1" x14ac:dyDescent="0.25"/>
    <row r="819" s="34" customFormat="1" x14ac:dyDescent="0.25"/>
    <row r="820" s="34" customFormat="1" x14ac:dyDescent="0.25"/>
    <row r="821" s="34" customFormat="1" x14ac:dyDescent="0.25"/>
    <row r="822" s="34" customFormat="1" x14ac:dyDescent="0.25"/>
    <row r="823" s="34" customFormat="1" x14ac:dyDescent="0.25"/>
    <row r="824" s="34" customFormat="1" x14ac:dyDescent="0.25"/>
    <row r="825" s="34" customFormat="1" x14ac:dyDescent="0.25"/>
    <row r="826" s="34" customFormat="1" x14ac:dyDescent="0.25"/>
    <row r="827" s="34" customFormat="1" x14ac:dyDescent="0.25"/>
    <row r="828" s="34" customFormat="1" x14ac:dyDescent="0.25"/>
    <row r="829" s="34" customFormat="1" x14ac:dyDescent="0.25"/>
    <row r="830" s="34" customFormat="1" x14ac:dyDescent="0.25"/>
    <row r="831" s="34" customFormat="1" x14ac:dyDescent="0.25"/>
    <row r="832" s="34" customFormat="1" x14ac:dyDescent="0.25"/>
    <row r="833" s="34" customFormat="1" x14ac:dyDescent="0.25"/>
    <row r="834" s="34" customFormat="1" x14ac:dyDescent="0.25"/>
    <row r="835" s="34" customFormat="1" x14ac:dyDescent="0.25"/>
    <row r="836" s="34" customFormat="1" x14ac:dyDescent="0.25"/>
    <row r="837" s="34" customFormat="1" x14ac:dyDescent="0.25"/>
    <row r="838" s="34" customFormat="1" x14ac:dyDescent="0.25"/>
    <row r="839" s="34" customFormat="1" x14ac:dyDescent="0.25"/>
    <row r="840" s="34" customFormat="1" x14ac:dyDescent="0.25"/>
    <row r="841" s="34" customFormat="1" x14ac:dyDescent="0.25"/>
    <row r="842" s="34" customFormat="1" x14ac:dyDescent="0.25"/>
    <row r="843" s="34" customFormat="1" x14ac:dyDescent="0.25"/>
    <row r="844" s="34" customFormat="1" x14ac:dyDescent="0.25"/>
    <row r="845" s="34" customFormat="1" x14ac:dyDescent="0.25"/>
    <row r="846" s="34" customFormat="1" x14ac:dyDescent="0.25"/>
    <row r="847" s="34" customFormat="1" x14ac:dyDescent="0.25"/>
    <row r="848" s="34" customFormat="1" x14ac:dyDescent="0.25"/>
    <row r="849" s="34" customFormat="1" x14ac:dyDescent="0.25"/>
    <row r="850" s="34" customFormat="1" x14ac:dyDescent="0.25"/>
    <row r="851" s="34" customFormat="1" x14ac:dyDescent="0.25"/>
    <row r="852" s="34" customFormat="1" x14ac:dyDescent="0.25"/>
    <row r="853" s="34" customFormat="1" x14ac:dyDescent="0.25"/>
    <row r="854" s="34" customFormat="1" x14ac:dyDescent="0.25"/>
    <row r="855" s="34" customFormat="1" x14ac:dyDescent="0.25"/>
    <row r="856" s="34" customFormat="1" x14ac:dyDescent="0.25"/>
    <row r="857" s="34" customFormat="1" x14ac:dyDescent="0.25"/>
    <row r="858" s="34" customFormat="1" x14ac:dyDescent="0.25"/>
    <row r="859" s="34" customFormat="1" x14ac:dyDescent="0.25"/>
    <row r="860" s="34" customFormat="1" x14ac:dyDescent="0.25"/>
    <row r="861" s="34" customFormat="1" x14ac:dyDescent="0.25"/>
    <row r="862" s="34" customFormat="1" x14ac:dyDescent="0.25"/>
    <row r="863" s="34" customFormat="1" x14ac:dyDescent="0.25"/>
    <row r="864" s="34" customFormat="1" x14ac:dyDescent="0.25"/>
    <row r="865" s="34" customFormat="1" x14ac:dyDescent="0.25"/>
    <row r="866" s="34" customFormat="1" x14ac:dyDescent="0.25"/>
    <row r="867" s="34" customFormat="1" x14ac:dyDescent="0.25"/>
    <row r="868" s="34" customFormat="1" x14ac:dyDescent="0.25"/>
    <row r="869" s="34" customFormat="1" x14ac:dyDescent="0.25"/>
    <row r="870" s="34" customFormat="1" x14ac:dyDescent="0.25"/>
    <row r="871" s="34" customFormat="1" x14ac:dyDescent="0.25"/>
    <row r="872" s="34" customFormat="1" x14ac:dyDescent="0.25"/>
    <row r="873" s="34" customFormat="1" x14ac:dyDescent="0.25"/>
    <row r="874" s="34" customFormat="1" x14ac:dyDescent="0.25"/>
    <row r="875" s="34" customFormat="1" x14ac:dyDescent="0.25"/>
    <row r="876" s="34" customFormat="1" x14ac:dyDescent="0.25"/>
    <row r="877" s="34" customFormat="1" x14ac:dyDescent="0.25"/>
    <row r="878" s="34" customFormat="1" x14ac:dyDescent="0.25"/>
    <row r="879" s="34" customFormat="1" x14ac:dyDescent="0.25"/>
    <row r="880" s="34" customFormat="1" x14ac:dyDescent="0.25"/>
    <row r="881" s="34" customFormat="1" x14ac:dyDescent="0.25"/>
    <row r="882" s="34" customFormat="1" x14ac:dyDescent="0.25"/>
    <row r="883" s="34" customFormat="1" x14ac:dyDescent="0.25"/>
    <row r="884" s="34" customFormat="1" x14ac:dyDescent="0.25"/>
    <row r="885" s="34" customFormat="1" x14ac:dyDescent="0.25"/>
    <row r="886" s="34" customFormat="1" x14ac:dyDescent="0.25"/>
    <row r="887" s="34" customFormat="1" x14ac:dyDescent="0.25"/>
    <row r="888" s="34" customFormat="1" x14ac:dyDescent="0.25"/>
    <row r="889" s="34" customFormat="1" x14ac:dyDescent="0.25"/>
    <row r="890" s="34" customFormat="1" x14ac:dyDescent="0.25"/>
    <row r="891" s="34" customFormat="1" x14ac:dyDescent="0.25"/>
    <row r="892" s="34" customFormat="1" x14ac:dyDescent="0.25"/>
    <row r="893" s="34" customFormat="1" x14ac:dyDescent="0.25"/>
    <row r="894" s="34" customFormat="1" x14ac:dyDescent="0.25"/>
    <row r="895" s="34" customFormat="1" x14ac:dyDescent="0.25"/>
    <row r="896" s="34" customFormat="1" x14ac:dyDescent="0.25"/>
    <row r="897" s="34" customFormat="1" x14ac:dyDescent="0.25"/>
    <row r="898" s="34" customFormat="1" x14ac:dyDescent="0.25"/>
    <row r="899" s="34" customFormat="1" x14ac:dyDescent="0.25"/>
    <row r="900" s="34" customFormat="1" x14ac:dyDescent="0.25"/>
    <row r="901" s="34" customFormat="1" x14ac:dyDescent="0.25"/>
    <row r="902" s="34" customFormat="1" x14ac:dyDescent="0.25"/>
    <row r="903" s="34" customFormat="1" x14ac:dyDescent="0.25"/>
    <row r="904" s="34" customFormat="1" x14ac:dyDescent="0.25"/>
    <row r="905" s="34" customFormat="1" x14ac:dyDescent="0.25"/>
    <row r="906" s="34" customFormat="1" x14ac:dyDescent="0.25"/>
    <row r="907" s="34" customFormat="1" x14ac:dyDescent="0.25"/>
    <row r="908" s="34" customFormat="1" x14ac:dyDescent="0.25"/>
    <row r="909" s="34" customFormat="1" x14ac:dyDescent="0.25"/>
    <row r="910" s="34" customFormat="1" x14ac:dyDescent="0.25"/>
    <row r="911" s="34" customFormat="1" x14ac:dyDescent="0.25"/>
    <row r="912" s="34" customFormat="1" x14ac:dyDescent="0.25"/>
    <row r="913" s="34" customFormat="1" x14ac:dyDescent="0.25"/>
    <row r="914" s="34" customFormat="1" x14ac:dyDescent="0.25"/>
    <row r="915" s="34" customFormat="1" x14ac:dyDescent="0.25"/>
    <row r="916" s="34" customFormat="1" x14ac:dyDescent="0.25"/>
    <row r="917" s="34" customFormat="1" x14ac:dyDescent="0.25"/>
    <row r="918" s="34" customFormat="1" x14ac:dyDescent="0.25"/>
    <row r="919" s="34" customFormat="1" x14ac:dyDescent="0.25"/>
    <row r="920" s="34" customFormat="1" x14ac:dyDescent="0.25"/>
    <row r="921" s="34" customFormat="1" x14ac:dyDescent="0.25"/>
    <row r="922" s="34" customFormat="1" x14ac:dyDescent="0.25"/>
    <row r="923" s="34" customFormat="1" x14ac:dyDescent="0.25"/>
    <row r="924" s="34" customFormat="1" x14ac:dyDescent="0.25"/>
    <row r="925" s="34" customFormat="1" x14ac:dyDescent="0.25"/>
    <row r="926" s="34" customFormat="1" x14ac:dyDescent="0.25"/>
    <row r="927" s="34" customFormat="1" x14ac:dyDescent="0.25"/>
    <row r="928" s="34" customFormat="1" x14ac:dyDescent="0.25"/>
    <row r="929" s="34" customFormat="1" x14ac:dyDescent="0.25"/>
    <row r="930" s="34" customFormat="1" x14ac:dyDescent="0.25"/>
    <row r="931" s="34" customFormat="1" x14ac:dyDescent="0.25"/>
    <row r="932" s="34" customFormat="1" x14ac:dyDescent="0.25"/>
    <row r="933" s="34" customFormat="1" x14ac:dyDescent="0.25"/>
    <row r="934" s="34" customFormat="1" x14ac:dyDescent="0.25"/>
    <row r="935" s="34" customFormat="1" x14ac:dyDescent="0.25"/>
    <row r="936" s="34" customFormat="1" x14ac:dyDescent="0.25"/>
    <row r="937" s="34" customFormat="1" x14ac:dyDescent="0.25"/>
    <row r="938" s="34" customFormat="1" x14ac:dyDescent="0.25"/>
    <row r="939" s="34" customFormat="1" x14ac:dyDescent="0.25"/>
    <row r="940" s="34" customFormat="1" x14ac:dyDescent="0.25"/>
    <row r="941" s="34" customFormat="1" x14ac:dyDescent="0.25"/>
    <row r="942" s="34" customFormat="1" x14ac:dyDescent="0.25"/>
    <row r="943" s="34" customFormat="1" x14ac:dyDescent="0.25"/>
    <row r="944" s="34" customFormat="1" x14ac:dyDescent="0.25"/>
    <row r="945" s="34" customFormat="1" x14ac:dyDescent="0.25"/>
    <row r="946" s="34" customFormat="1" x14ac:dyDescent="0.25"/>
    <row r="947" s="34" customFormat="1" x14ac:dyDescent="0.25"/>
    <row r="948" s="34" customFormat="1" x14ac:dyDescent="0.25"/>
    <row r="949" s="34" customFormat="1" x14ac:dyDescent="0.25"/>
    <row r="950" s="34" customFormat="1" x14ac:dyDescent="0.25"/>
    <row r="951" s="34" customFormat="1" x14ac:dyDescent="0.25"/>
    <row r="952" s="34" customFormat="1" x14ac:dyDescent="0.25"/>
    <row r="953" s="34" customFormat="1" x14ac:dyDescent="0.25"/>
    <row r="954" s="34" customFormat="1" x14ac:dyDescent="0.25"/>
    <row r="955" s="34" customFormat="1" x14ac:dyDescent="0.25"/>
    <row r="956" s="34" customFormat="1" x14ac:dyDescent="0.25"/>
    <row r="957" s="34" customFormat="1" x14ac:dyDescent="0.25"/>
    <row r="958" s="34" customFormat="1" x14ac:dyDescent="0.25"/>
    <row r="959" s="34" customFormat="1" x14ac:dyDescent="0.25"/>
    <row r="960" s="34" customFormat="1" x14ac:dyDescent="0.25"/>
    <row r="961" s="34" customFormat="1" x14ac:dyDescent="0.25"/>
    <row r="962" s="34" customFormat="1" x14ac:dyDescent="0.25"/>
    <row r="963" s="34" customFormat="1" x14ac:dyDescent="0.25"/>
    <row r="964" s="34" customFormat="1" x14ac:dyDescent="0.25"/>
    <row r="965" s="34" customFormat="1" x14ac:dyDescent="0.25"/>
    <row r="966" s="34" customFormat="1" x14ac:dyDescent="0.25"/>
    <row r="967" s="34" customFormat="1" x14ac:dyDescent="0.25"/>
    <row r="968" s="34" customFormat="1" x14ac:dyDescent="0.25"/>
    <row r="969" s="34" customFormat="1" x14ac:dyDescent="0.25"/>
    <row r="970" s="34" customFormat="1" x14ac:dyDescent="0.25"/>
    <row r="971" s="34" customFormat="1" x14ac:dyDescent="0.25"/>
    <row r="972" s="34" customFormat="1" x14ac:dyDescent="0.25"/>
    <row r="973" s="34" customFormat="1" x14ac:dyDescent="0.25"/>
    <row r="974" s="34" customFormat="1" x14ac:dyDescent="0.25"/>
    <row r="975" s="34" customFormat="1" x14ac:dyDescent="0.25"/>
    <row r="976" s="34" customFormat="1" x14ac:dyDescent="0.25"/>
    <row r="977" s="34" customFormat="1" x14ac:dyDescent="0.25"/>
    <row r="978" s="34" customFormat="1" x14ac:dyDescent="0.25"/>
    <row r="979" s="34" customFormat="1" x14ac:dyDescent="0.25"/>
    <row r="980" s="34" customFormat="1" x14ac:dyDescent="0.25"/>
    <row r="981" s="34" customFormat="1" x14ac:dyDescent="0.25"/>
    <row r="982" s="34" customFormat="1" x14ac:dyDescent="0.25"/>
    <row r="983" s="34" customFormat="1" x14ac:dyDescent="0.25"/>
    <row r="984" s="34" customFormat="1" x14ac:dyDescent="0.25"/>
    <row r="985" s="34" customFormat="1" x14ac:dyDescent="0.25"/>
    <row r="986" s="34" customFormat="1" x14ac:dyDescent="0.25"/>
    <row r="987" s="34" customFormat="1" x14ac:dyDescent="0.25"/>
    <row r="988" s="34" customFormat="1" x14ac:dyDescent="0.25"/>
    <row r="989" s="34" customFormat="1" x14ac:dyDescent="0.25"/>
    <row r="990" s="34" customFormat="1" x14ac:dyDescent="0.25"/>
    <row r="991" s="34" customFormat="1" x14ac:dyDescent="0.25"/>
    <row r="992" s="34" customFormat="1" x14ac:dyDescent="0.25"/>
    <row r="993" s="34" customFormat="1" x14ac:dyDescent="0.25"/>
    <row r="994" s="34" customFormat="1" x14ac:dyDescent="0.25"/>
    <row r="995" s="34" customFormat="1" x14ac:dyDescent="0.25"/>
    <row r="996" s="34" customFormat="1" x14ac:dyDescent="0.25"/>
    <row r="997" s="34" customFormat="1" x14ac:dyDescent="0.25"/>
    <row r="998" s="34" customFormat="1" x14ac:dyDescent="0.25"/>
    <row r="999" s="34" customFormat="1" x14ac:dyDescent="0.25"/>
    <row r="1000" s="34" customFormat="1" x14ac:dyDescent="0.25"/>
    <row r="1001" s="34" customFormat="1" x14ac:dyDescent="0.25"/>
    <row r="1002" s="34" customFormat="1" x14ac:dyDescent="0.25"/>
    <row r="1003" s="34" customFormat="1" x14ac:dyDescent="0.25"/>
    <row r="1004" s="34" customFormat="1" x14ac:dyDescent="0.25"/>
    <row r="1005" s="34" customFormat="1" x14ac:dyDescent="0.25"/>
    <row r="1006" s="34" customFormat="1" x14ac:dyDescent="0.25"/>
    <row r="1007" s="34" customFormat="1" x14ac:dyDescent="0.25"/>
    <row r="1008" s="34" customFormat="1" x14ac:dyDescent="0.25"/>
    <row r="1009" s="34" customFormat="1" x14ac:dyDescent="0.25"/>
    <row r="1010" s="34" customFormat="1" x14ac:dyDescent="0.25"/>
    <row r="1011" s="34" customFormat="1" x14ac:dyDescent="0.25"/>
    <row r="1012" s="34" customFormat="1" x14ac:dyDescent="0.25"/>
    <row r="1013" s="34" customFormat="1" x14ac:dyDescent="0.25"/>
    <row r="1014" s="34" customFormat="1" x14ac:dyDescent="0.25"/>
    <row r="1015" s="34" customFormat="1" x14ac:dyDescent="0.25"/>
    <row r="1016" s="34" customFormat="1" x14ac:dyDescent="0.25"/>
    <row r="1017" s="34" customFormat="1" x14ac:dyDescent="0.25"/>
    <row r="1018" s="34" customFormat="1" x14ac:dyDescent="0.25"/>
    <row r="1019" s="34" customFormat="1" x14ac:dyDescent="0.25"/>
    <row r="1020" s="34" customFormat="1" x14ac:dyDescent="0.25"/>
    <row r="1021" s="34" customFormat="1" x14ac:dyDescent="0.25"/>
    <row r="1022" s="34" customFormat="1" x14ac:dyDescent="0.25"/>
    <row r="1023" s="34" customFormat="1" x14ac:dyDescent="0.25"/>
    <row r="1024" s="34" customFormat="1" x14ac:dyDescent="0.25"/>
    <row r="1025" s="34" customFormat="1" x14ac:dyDescent="0.25"/>
    <row r="1026" s="34" customFormat="1" x14ac:dyDescent="0.25"/>
    <row r="1027" s="34" customFormat="1" x14ac:dyDescent="0.25"/>
    <row r="1028" s="34" customFormat="1" x14ac:dyDescent="0.25"/>
    <row r="1029" s="34" customFormat="1" x14ac:dyDescent="0.25"/>
    <row r="1030" s="34" customFormat="1" x14ac:dyDescent="0.25"/>
    <row r="1031" s="34" customFormat="1" x14ac:dyDescent="0.25"/>
    <row r="1032" s="34" customFormat="1" x14ac:dyDescent="0.25"/>
    <row r="1033" s="34" customFormat="1" x14ac:dyDescent="0.25"/>
    <row r="1034" s="34" customFormat="1" x14ac:dyDescent="0.25"/>
    <row r="1035" s="34" customFormat="1" x14ac:dyDescent="0.25"/>
    <row r="1036" s="34" customFormat="1" x14ac:dyDescent="0.25"/>
    <row r="1037" s="34" customFormat="1" x14ac:dyDescent="0.25"/>
    <row r="1038" s="34" customFormat="1" x14ac:dyDescent="0.25"/>
    <row r="1039" s="34" customFormat="1" x14ac:dyDescent="0.25"/>
    <row r="1040" s="34" customFormat="1" x14ac:dyDescent="0.25"/>
    <row r="1041" s="34" customFormat="1" x14ac:dyDescent="0.25"/>
    <row r="1042" s="34" customFormat="1" x14ac:dyDescent="0.25"/>
    <row r="1043" s="34" customFormat="1" x14ac:dyDescent="0.25"/>
    <row r="1044" s="34" customFormat="1" x14ac:dyDescent="0.25"/>
    <row r="1045" s="34" customFormat="1" x14ac:dyDescent="0.25"/>
    <row r="1046" s="34" customFormat="1" x14ac:dyDescent="0.25"/>
    <row r="1047" s="34" customFormat="1" x14ac:dyDescent="0.25"/>
    <row r="1048" s="34" customFormat="1" x14ac:dyDescent="0.25"/>
    <row r="1049" s="34" customFormat="1" x14ac:dyDescent="0.25"/>
    <row r="1050" s="34" customFormat="1" x14ac:dyDescent="0.25"/>
    <row r="1051" s="34" customFormat="1" x14ac:dyDescent="0.25"/>
    <row r="1052" s="34" customFormat="1" x14ac:dyDescent="0.25"/>
    <row r="1053" s="34" customFormat="1" x14ac:dyDescent="0.25"/>
    <row r="1054" s="34" customFormat="1" x14ac:dyDescent="0.25"/>
    <row r="1055" s="34" customFormat="1" x14ac:dyDescent="0.25"/>
    <row r="1056" s="34" customFormat="1" x14ac:dyDescent="0.25"/>
    <row r="1057" spans="1:43" s="232" customFormat="1" x14ac:dyDescent="0.25">
      <c r="A1057" s="233"/>
      <c r="B1057" s="34"/>
      <c r="C1057" s="34"/>
      <c r="D1057" s="34"/>
      <c r="E1057" s="34"/>
      <c r="F1057" s="34"/>
      <c r="G1057" s="34"/>
      <c r="H1057" s="34"/>
      <c r="I1057" s="34"/>
      <c r="J1057" s="34"/>
      <c r="K1057" s="34"/>
      <c r="L1057" s="34"/>
      <c r="M1057" s="233"/>
      <c r="N1057" s="233"/>
      <c r="O1057" s="233"/>
      <c r="P1057" s="233"/>
      <c r="Q1057" s="233"/>
      <c r="R1057" s="233"/>
      <c r="S1057" s="233"/>
      <c r="T1057" s="233"/>
      <c r="U1057" s="233"/>
      <c r="V1057" s="233"/>
      <c r="W1057" s="233"/>
      <c r="X1057" s="233"/>
      <c r="Y1057" s="233"/>
      <c r="Z1057" s="233"/>
      <c r="AA1057" s="233"/>
      <c r="AB1057" s="233"/>
      <c r="AC1057" s="233"/>
      <c r="AD1057" s="233"/>
      <c r="AE1057" s="233"/>
      <c r="AF1057" s="233"/>
      <c r="AG1057" s="233"/>
      <c r="AH1057" s="233"/>
      <c r="AI1057" s="233"/>
      <c r="AJ1057" s="233"/>
      <c r="AK1057" s="233"/>
      <c r="AL1057" s="233"/>
      <c r="AM1057" s="233"/>
      <c r="AN1057" s="233"/>
      <c r="AO1057" s="233"/>
      <c r="AP1057" s="233"/>
      <c r="AQ1057" s="233"/>
    </row>
    <row r="1058" spans="1:43" s="232" customFormat="1" x14ac:dyDescent="0.25">
      <c r="A1058" s="233"/>
      <c r="B1058" s="34"/>
      <c r="C1058" s="34"/>
      <c r="D1058" s="34"/>
      <c r="E1058" s="34"/>
      <c r="F1058" s="34"/>
      <c r="G1058" s="34"/>
      <c r="H1058" s="34"/>
      <c r="I1058" s="34"/>
      <c r="J1058" s="34"/>
      <c r="K1058" s="34"/>
      <c r="L1058" s="34"/>
      <c r="M1058" s="233"/>
      <c r="N1058" s="233"/>
      <c r="O1058" s="233"/>
      <c r="P1058" s="233"/>
      <c r="Q1058" s="233"/>
      <c r="R1058" s="233"/>
      <c r="S1058" s="233"/>
      <c r="T1058" s="233"/>
      <c r="U1058" s="233"/>
      <c r="V1058" s="233"/>
      <c r="W1058" s="233"/>
      <c r="X1058" s="233"/>
      <c r="Y1058" s="233"/>
      <c r="Z1058" s="233"/>
      <c r="AA1058" s="233"/>
      <c r="AB1058" s="233"/>
      <c r="AC1058" s="233"/>
      <c r="AD1058" s="233"/>
      <c r="AE1058" s="233"/>
      <c r="AF1058" s="233"/>
      <c r="AG1058" s="233"/>
      <c r="AH1058" s="233"/>
      <c r="AI1058" s="233"/>
      <c r="AJ1058" s="233"/>
      <c r="AK1058" s="233"/>
      <c r="AL1058" s="233"/>
      <c r="AM1058" s="233"/>
      <c r="AN1058" s="233"/>
      <c r="AO1058" s="233"/>
      <c r="AP1058" s="233"/>
      <c r="AQ1058" s="233"/>
    </row>
    <row r="1059" spans="1:43" s="232" customFormat="1" x14ac:dyDescent="0.25">
      <c r="A1059" s="233"/>
      <c r="B1059" s="34"/>
      <c r="C1059" s="34"/>
      <c r="D1059" s="34"/>
      <c r="E1059" s="34"/>
      <c r="F1059" s="34"/>
      <c r="G1059" s="34"/>
      <c r="H1059" s="34"/>
      <c r="I1059" s="34"/>
      <c r="J1059" s="34"/>
      <c r="K1059" s="34"/>
      <c r="L1059" s="34"/>
      <c r="M1059" s="233"/>
      <c r="N1059" s="233"/>
      <c r="O1059" s="233"/>
      <c r="P1059" s="233"/>
      <c r="Q1059" s="233"/>
      <c r="R1059" s="233"/>
      <c r="S1059" s="233"/>
      <c r="T1059" s="233"/>
      <c r="U1059" s="233"/>
      <c r="V1059" s="233"/>
      <c r="W1059" s="233"/>
      <c r="X1059" s="233"/>
      <c r="Y1059" s="233"/>
      <c r="Z1059" s="233"/>
      <c r="AA1059" s="233"/>
      <c r="AB1059" s="233"/>
      <c r="AC1059" s="233"/>
      <c r="AD1059" s="233"/>
      <c r="AE1059" s="233"/>
      <c r="AF1059" s="233"/>
      <c r="AG1059" s="233"/>
      <c r="AH1059" s="233"/>
      <c r="AI1059" s="233"/>
      <c r="AJ1059" s="233"/>
      <c r="AK1059" s="233"/>
      <c r="AL1059" s="233"/>
      <c r="AM1059" s="233"/>
      <c r="AN1059" s="233"/>
      <c r="AO1059" s="233"/>
      <c r="AP1059" s="233"/>
      <c r="AQ1059" s="233"/>
    </row>
    <row r="1060" spans="1:43" s="232" customFormat="1" x14ac:dyDescent="0.25">
      <c r="A1060" s="233"/>
      <c r="B1060" s="34"/>
      <c r="C1060" s="34"/>
      <c r="D1060" s="34"/>
      <c r="E1060" s="34"/>
      <c r="F1060" s="34"/>
      <c r="G1060" s="34"/>
      <c r="H1060" s="34"/>
      <c r="I1060" s="34"/>
      <c r="J1060" s="34"/>
      <c r="K1060" s="34"/>
      <c r="L1060" s="34"/>
      <c r="M1060" s="233"/>
      <c r="N1060" s="233"/>
      <c r="O1060" s="233"/>
      <c r="P1060" s="233"/>
      <c r="Q1060" s="233"/>
      <c r="R1060" s="233"/>
      <c r="S1060" s="233"/>
      <c r="T1060" s="233"/>
      <c r="U1060" s="233"/>
      <c r="V1060" s="233"/>
      <c r="W1060" s="233"/>
      <c r="X1060" s="233"/>
      <c r="Y1060" s="233"/>
      <c r="Z1060" s="233"/>
      <c r="AA1060" s="233"/>
      <c r="AB1060" s="233"/>
      <c r="AC1060" s="233"/>
      <c r="AD1060" s="233"/>
      <c r="AE1060" s="233"/>
      <c r="AF1060" s="233"/>
      <c r="AG1060" s="233"/>
      <c r="AH1060" s="233"/>
      <c r="AI1060" s="233"/>
      <c r="AJ1060" s="233"/>
      <c r="AK1060" s="233"/>
      <c r="AL1060" s="233"/>
      <c r="AM1060" s="233"/>
      <c r="AN1060" s="233"/>
      <c r="AO1060" s="233"/>
      <c r="AP1060" s="233"/>
      <c r="AQ1060" s="233"/>
    </row>
    <row r="1061" spans="1:43" s="232" customFormat="1" x14ac:dyDescent="0.25">
      <c r="A1061" s="233"/>
      <c r="B1061" s="34"/>
      <c r="C1061" s="34"/>
      <c r="D1061" s="34"/>
      <c r="E1061" s="34"/>
      <c r="F1061" s="34"/>
      <c r="G1061" s="34"/>
      <c r="H1061" s="34"/>
      <c r="I1061" s="34"/>
      <c r="J1061" s="34"/>
      <c r="K1061" s="34"/>
      <c r="L1061" s="34"/>
      <c r="M1061" s="233"/>
      <c r="N1061" s="233"/>
      <c r="O1061" s="233"/>
      <c r="P1061" s="233"/>
      <c r="Q1061" s="233"/>
      <c r="R1061" s="233"/>
      <c r="S1061" s="233"/>
      <c r="T1061" s="233"/>
      <c r="U1061" s="233"/>
      <c r="V1061" s="233"/>
      <c r="W1061" s="233"/>
      <c r="X1061" s="233"/>
      <c r="Y1061" s="233"/>
      <c r="Z1061" s="233"/>
      <c r="AA1061" s="233"/>
      <c r="AB1061" s="233"/>
      <c r="AC1061" s="233"/>
      <c r="AD1061" s="233"/>
      <c r="AE1061" s="233"/>
      <c r="AF1061" s="233"/>
      <c r="AG1061" s="233"/>
      <c r="AH1061" s="233"/>
      <c r="AI1061" s="233"/>
      <c r="AJ1061" s="233"/>
      <c r="AK1061" s="233"/>
      <c r="AL1061" s="233"/>
      <c r="AM1061" s="233"/>
      <c r="AN1061" s="233"/>
      <c r="AO1061" s="233"/>
      <c r="AP1061" s="233"/>
      <c r="AQ1061" s="233"/>
    </row>
    <row r="1062" spans="1:43" s="232" customFormat="1" x14ac:dyDescent="0.25">
      <c r="A1062" s="233"/>
      <c r="B1062" s="34"/>
      <c r="C1062" s="34"/>
      <c r="D1062" s="34"/>
      <c r="E1062" s="34"/>
      <c r="F1062" s="34"/>
      <c r="G1062" s="34"/>
      <c r="H1062" s="34"/>
      <c r="I1062" s="34"/>
      <c r="J1062" s="34"/>
      <c r="K1062" s="34"/>
      <c r="L1062" s="34"/>
      <c r="M1062" s="233"/>
      <c r="N1062" s="233"/>
      <c r="O1062" s="233"/>
      <c r="P1062" s="233"/>
      <c r="Q1062" s="233"/>
      <c r="R1062" s="233"/>
      <c r="S1062" s="233"/>
      <c r="T1062" s="233"/>
      <c r="U1062" s="233"/>
      <c r="V1062" s="233"/>
      <c r="W1062" s="233"/>
      <c r="X1062" s="233"/>
      <c r="Y1062" s="233"/>
      <c r="Z1062" s="233"/>
      <c r="AA1062" s="233"/>
      <c r="AB1062" s="233"/>
      <c r="AC1062" s="233"/>
      <c r="AD1062" s="233"/>
      <c r="AE1062" s="233"/>
      <c r="AF1062" s="233"/>
      <c r="AG1062" s="233"/>
      <c r="AH1062" s="233"/>
      <c r="AI1062" s="233"/>
      <c r="AJ1062" s="233"/>
      <c r="AK1062" s="233"/>
      <c r="AL1062" s="233"/>
      <c r="AM1062" s="233"/>
      <c r="AN1062" s="233"/>
      <c r="AO1062" s="233"/>
      <c r="AP1062" s="233"/>
      <c r="AQ1062" s="233"/>
    </row>
    <row r="1063" spans="1:43" s="232" customFormat="1" x14ac:dyDescent="0.25">
      <c r="A1063" s="233"/>
      <c r="B1063" s="34"/>
      <c r="C1063" s="34"/>
      <c r="D1063" s="34"/>
      <c r="E1063" s="34"/>
      <c r="F1063" s="34"/>
      <c r="G1063" s="34"/>
      <c r="H1063" s="34"/>
      <c r="I1063" s="34"/>
      <c r="J1063" s="34"/>
      <c r="K1063" s="34"/>
      <c r="L1063" s="34"/>
      <c r="M1063" s="233"/>
      <c r="N1063" s="233"/>
      <c r="O1063" s="233"/>
      <c r="P1063" s="233"/>
      <c r="Q1063" s="233"/>
      <c r="R1063" s="233"/>
      <c r="S1063" s="233"/>
      <c r="T1063" s="233"/>
      <c r="U1063" s="233"/>
      <c r="V1063" s="233"/>
      <c r="W1063" s="233"/>
      <c r="X1063" s="233"/>
      <c r="Y1063" s="233"/>
      <c r="Z1063" s="233"/>
      <c r="AA1063" s="233"/>
      <c r="AB1063" s="233"/>
      <c r="AC1063" s="233"/>
      <c r="AD1063" s="233"/>
      <c r="AE1063" s="233"/>
      <c r="AF1063" s="233"/>
      <c r="AG1063" s="233"/>
      <c r="AH1063" s="233"/>
      <c r="AI1063" s="233"/>
      <c r="AJ1063" s="233"/>
      <c r="AK1063" s="233"/>
      <c r="AL1063" s="233"/>
      <c r="AM1063" s="233"/>
      <c r="AN1063" s="233"/>
      <c r="AO1063" s="233"/>
      <c r="AP1063" s="233"/>
      <c r="AQ1063" s="233"/>
    </row>
    <row r="1064" spans="1:43" s="232" customFormat="1" x14ac:dyDescent="0.25">
      <c r="A1064" s="233"/>
      <c r="B1064" s="233"/>
      <c r="C1064" s="233"/>
      <c r="D1064" s="233"/>
      <c r="E1064" s="233"/>
      <c r="F1064" s="233"/>
      <c r="G1064" s="233"/>
      <c r="H1064" s="233"/>
      <c r="I1064" s="233"/>
      <c r="J1064" s="233"/>
      <c r="K1064" s="233"/>
      <c r="L1064" s="233"/>
      <c r="M1064" s="233"/>
      <c r="N1064" s="233"/>
      <c r="O1064" s="233"/>
      <c r="P1064" s="233"/>
      <c r="Q1064" s="233"/>
      <c r="R1064" s="233"/>
      <c r="S1064" s="233"/>
      <c r="T1064" s="233"/>
      <c r="U1064" s="233"/>
      <c r="V1064" s="233"/>
      <c r="W1064" s="233"/>
      <c r="X1064" s="233"/>
      <c r="Y1064" s="233"/>
      <c r="Z1064" s="233"/>
      <c r="AA1064" s="233"/>
      <c r="AB1064" s="233"/>
      <c r="AC1064" s="233"/>
      <c r="AD1064" s="233"/>
      <c r="AE1064" s="233"/>
      <c r="AF1064" s="233"/>
      <c r="AG1064" s="233"/>
      <c r="AH1064" s="233"/>
      <c r="AI1064" s="233"/>
      <c r="AJ1064" s="233"/>
      <c r="AK1064" s="233"/>
      <c r="AL1064" s="233"/>
      <c r="AM1064" s="233"/>
      <c r="AN1064" s="233"/>
      <c r="AO1064" s="233"/>
      <c r="AP1064" s="233"/>
      <c r="AQ1064" s="233"/>
    </row>
    <row r="1065" spans="1:43" s="232" customFormat="1" x14ac:dyDescent="0.25">
      <c r="A1065" s="233"/>
      <c r="B1065" s="233"/>
      <c r="C1065" s="233"/>
      <c r="D1065" s="233"/>
      <c r="E1065" s="233"/>
      <c r="F1065" s="233"/>
      <c r="G1065" s="233"/>
      <c r="H1065" s="233"/>
      <c r="I1065" s="233"/>
      <c r="J1065" s="233"/>
      <c r="K1065" s="233"/>
      <c r="L1065" s="233"/>
      <c r="M1065" s="233"/>
      <c r="N1065" s="233"/>
      <c r="O1065" s="233"/>
      <c r="P1065" s="233"/>
      <c r="Q1065" s="233"/>
      <c r="R1065" s="233"/>
      <c r="S1065" s="233"/>
      <c r="T1065" s="233"/>
      <c r="U1065" s="233"/>
      <c r="V1065" s="233"/>
      <c r="W1065" s="233"/>
      <c r="X1065" s="233"/>
      <c r="Y1065" s="233"/>
      <c r="Z1065" s="233"/>
      <c r="AA1065" s="233"/>
      <c r="AB1065" s="233"/>
      <c r="AC1065" s="233"/>
      <c r="AD1065" s="233"/>
      <c r="AE1065" s="233"/>
      <c r="AF1065" s="233"/>
      <c r="AG1065" s="233"/>
      <c r="AH1065" s="233"/>
      <c r="AI1065" s="233"/>
      <c r="AJ1065" s="233"/>
      <c r="AK1065" s="233"/>
      <c r="AL1065" s="233"/>
      <c r="AM1065" s="233"/>
      <c r="AN1065" s="233"/>
      <c r="AO1065" s="233"/>
      <c r="AP1065" s="233"/>
      <c r="AQ1065" s="233"/>
    </row>
    <row r="1066" spans="1:43" s="232" customFormat="1" x14ac:dyDescent="0.25">
      <c r="A1066" s="233"/>
      <c r="B1066" s="233"/>
      <c r="C1066" s="233"/>
      <c r="D1066" s="233"/>
      <c r="E1066" s="233"/>
      <c r="F1066" s="233"/>
      <c r="G1066" s="233"/>
      <c r="H1066" s="233"/>
      <c r="I1066" s="233"/>
      <c r="J1066" s="233"/>
      <c r="K1066" s="233"/>
      <c r="L1066" s="233"/>
      <c r="M1066" s="233"/>
      <c r="N1066" s="233"/>
      <c r="O1066" s="233"/>
      <c r="P1066" s="233"/>
      <c r="Q1066" s="233"/>
      <c r="R1066" s="233"/>
      <c r="S1066" s="233"/>
      <c r="T1066" s="233"/>
      <c r="U1066" s="233"/>
      <c r="V1066" s="233"/>
      <c r="W1066" s="233"/>
      <c r="X1066" s="233"/>
      <c r="Y1066" s="233"/>
      <c r="Z1066" s="233"/>
      <c r="AA1066" s="233"/>
      <c r="AB1066" s="233"/>
      <c r="AC1066" s="233"/>
      <c r="AD1066" s="233"/>
      <c r="AE1066" s="233"/>
      <c r="AF1066" s="233"/>
      <c r="AG1066" s="233"/>
      <c r="AH1066" s="233"/>
      <c r="AI1066" s="233"/>
      <c r="AJ1066" s="233"/>
      <c r="AK1066" s="233"/>
      <c r="AL1066" s="233"/>
      <c r="AM1066" s="233"/>
      <c r="AN1066" s="233"/>
      <c r="AO1066" s="233"/>
      <c r="AP1066" s="233"/>
      <c r="AQ1066" s="233"/>
    </row>
  </sheetData>
  <mergeCells count="94">
    <mergeCell ref="B35:D35"/>
    <mergeCell ref="K35:L35"/>
    <mergeCell ref="B33:D33"/>
    <mergeCell ref="E33:G33"/>
    <mergeCell ref="H33:J33"/>
    <mergeCell ref="K33:L33"/>
    <mergeCell ref="B34:D34"/>
    <mergeCell ref="K34:L34"/>
    <mergeCell ref="E34:G34"/>
    <mergeCell ref="H34:J34"/>
    <mergeCell ref="H35:J35"/>
    <mergeCell ref="E35:G35"/>
    <mergeCell ref="B30:D30"/>
    <mergeCell ref="K30:L30"/>
    <mergeCell ref="B32:D32"/>
    <mergeCell ref="E32:G32"/>
    <mergeCell ref="H32:J32"/>
    <mergeCell ref="K32:L32"/>
    <mergeCell ref="H30:J30"/>
    <mergeCell ref="E30:G30"/>
    <mergeCell ref="B31:D31"/>
    <mergeCell ref="E31:G31"/>
    <mergeCell ref="H31:J31"/>
    <mergeCell ref="K31:L31"/>
    <mergeCell ref="B28:D28"/>
    <mergeCell ref="K28:L28"/>
    <mergeCell ref="B29:D29"/>
    <mergeCell ref="K29:L29"/>
    <mergeCell ref="E28:G28"/>
    <mergeCell ref="H28:J28"/>
    <mergeCell ref="H29:J29"/>
    <mergeCell ref="E29:G29"/>
    <mergeCell ref="B26:C26"/>
    <mergeCell ref="E26:G26"/>
    <mergeCell ref="H26:J26"/>
    <mergeCell ref="K26:L26"/>
    <mergeCell ref="B27:D27"/>
    <mergeCell ref="E27:G27"/>
    <mergeCell ref="H27:J27"/>
    <mergeCell ref="K27:L27"/>
    <mergeCell ref="B22:D22"/>
    <mergeCell ref="K22:L22"/>
    <mergeCell ref="B23:D23"/>
    <mergeCell ref="K23:L23"/>
    <mergeCell ref="B24:D24"/>
    <mergeCell ref="K24:L24"/>
    <mergeCell ref="H23:J23"/>
    <mergeCell ref="H24:J24"/>
    <mergeCell ref="E24:G24"/>
    <mergeCell ref="E23:G23"/>
    <mergeCell ref="B20:C20"/>
    <mergeCell ref="E20:G20"/>
    <mergeCell ref="H20:J20"/>
    <mergeCell ref="K20:L20"/>
    <mergeCell ref="B21:D21"/>
    <mergeCell ref="E21:G21"/>
    <mergeCell ref="H21:J21"/>
    <mergeCell ref="K21:L21"/>
    <mergeCell ref="B18:D18"/>
    <mergeCell ref="E18:G18"/>
    <mergeCell ref="H18:J18"/>
    <mergeCell ref="K18:L18"/>
    <mergeCell ref="B19:D19"/>
    <mergeCell ref="E19:G19"/>
    <mergeCell ref="H19:J19"/>
    <mergeCell ref="K19:L19"/>
    <mergeCell ref="H16:J16"/>
    <mergeCell ref="K16:L16"/>
    <mergeCell ref="B17:D17"/>
    <mergeCell ref="E17:G17"/>
    <mergeCell ref="B11:L11"/>
    <mergeCell ref="B13:C13"/>
    <mergeCell ref="E13:G13"/>
    <mergeCell ref="H13:J13"/>
    <mergeCell ref="K13:L13"/>
    <mergeCell ref="B12:L12"/>
    <mergeCell ref="H17:J17"/>
    <mergeCell ref="K17:L17"/>
    <mergeCell ref="B25:D25"/>
    <mergeCell ref="E25:G25"/>
    <mergeCell ref="H25:J25"/>
    <mergeCell ref="K25:L25"/>
    <mergeCell ref="B14:D14"/>
    <mergeCell ref="E14:G14"/>
    <mergeCell ref="H14:J14"/>
    <mergeCell ref="K14:L14"/>
    <mergeCell ref="E22:G22"/>
    <mergeCell ref="H22:J22"/>
    <mergeCell ref="B15:D15"/>
    <mergeCell ref="E15:G15"/>
    <mergeCell ref="H15:J15"/>
    <mergeCell ref="K15:L15"/>
    <mergeCell ref="B16:D16"/>
    <mergeCell ref="E16:G16"/>
  </mergeCells>
  <printOptions horizontalCentered="1"/>
  <pageMargins left="0.25" right="0.25" top="0.75" bottom="0.75" header="0" footer="0"/>
  <pageSetup scale="99" fitToHeight="0"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autoPageBreaks="0" fitToPage="1"/>
  </sheetPr>
  <dimension ref="A1:AZ42"/>
  <sheetViews>
    <sheetView showGridLines="0" zoomScaleNormal="100" workbookViewId="0">
      <pane ySplit="4" topLeftCell="A5" activePane="bottomLeft" state="frozen"/>
      <selection activeCell="AC27" sqref="AC27"/>
      <selection pane="bottomLeft" activeCell="A8" sqref="A8"/>
    </sheetView>
  </sheetViews>
  <sheetFormatPr defaultColWidth="8.85546875" defaultRowHeight="15" outlineLevelRow="1" x14ac:dyDescent="0.25"/>
  <cols>
    <col min="1" max="1" width="3.7109375" style="206" customWidth="1"/>
    <col min="2" max="7" width="7.85546875" style="206" customWidth="1"/>
    <col min="8" max="8" width="8.5703125" style="206" customWidth="1"/>
    <col min="9" max="10" width="8.5703125" style="207" customWidth="1"/>
    <col min="11" max="12" width="8.7109375" style="206" customWidth="1"/>
    <col min="13" max="13" width="0.85546875" style="206" customWidth="1"/>
    <col min="14" max="14" width="8.5703125" style="206" customWidth="1"/>
    <col min="15" max="15" width="0.85546875" style="206" customWidth="1"/>
    <col min="16" max="19" width="7.85546875" style="206" customWidth="1"/>
    <col min="20" max="20" width="2.140625" style="206" customWidth="1"/>
    <col min="21" max="22" width="7.85546875" style="206" customWidth="1"/>
    <col min="23" max="24" width="8.85546875" style="206"/>
    <col min="25" max="25" width="3.28515625" style="206" customWidth="1"/>
    <col min="26" max="51" width="8.85546875" style="206"/>
  </cols>
  <sheetData>
    <row r="1" spans="1:52" s="23" customFormat="1" ht="12.75" customHeight="1" x14ac:dyDescent="0.25">
      <c r="A1" s="258"/>
      <c r="B1" s="258"/>
      <c r="C1" s="258"/>
      <c r="D1" s="258"/>
      <c r="E1" s="258"/>
      <c r="F1" s="258"/>
      <c r="G1" s="258"/>
      <c r="H1" s="258"/>
      <c r="I1" s="258"/>
      <c r="J1" s="258"/>
      <c r="K1" s="258"/>
      <c r="L1" s="258"/>
      <c r="M1" s="258"/>
      <c r="N1" s="258"/>
      <c r="O1" s="258"/>
      <c r="P1" s="258"/>
      <c r="Q1" s="258"/>
      <c r="R1" s="258"/>
      <c r="S1" s="258"/>
      <c r="T1" s="258"/>
      <c r="U1" s="258"/>
      <c r="V1" s="258"/>
      <c r="W1" s="258"/>
      <c r="X1" s="258"/>
    </row>
    <row r="2" spans="1:52" s="24" customFormat="1" ht="11.25" customHeight="1" x14ac:dyDescent="0.25">
      <c r="M2" s="25"/>
      <c r="N2" s="25"/>
      <c r="O2" s="25"/>
      <c r="P2" s="26"/>
      <c r="R2" s="259"/>
      <c r="S2" s="259"/>
      <c r="T2" s="259"/>
      <c r="U2" s="259"/>
      <c r="V2" s="259"/>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row>
    <row r="3" spans="1:52" s="28" customFormat="1" ht="17.25" customHeight="1" x14ac:dyDescent="0.25">
      <c r="G3" s="29"/>
      <c r="P3" s="32"/>
    </row>
    <row r="4" spans="1:52" s="33" customFormat="1" ht="12.75" customHeight="1" x14ac:dyDescent="0.25"/>
    <row r="5" spans="1:52" ht="7.5" hidden="1" customHeight="1" outlineLevel="1" x14ac:dyDescent="0.25">
      <c r="A5" s="34"/>
      <c r="B5" s="35"/>
      <c r="C5" s="35"/>
      <c r="D5" s="35"/>
      <c r="E5" s="36"/>
      <c r="F5" s="37"/>
      <c r="G5" s="37"/>
      <c r="H5" s="37"/>
      <c r="I5" s="38"/>
      <c r="J5" s="39"/>
      <c r="K5" s="40"/>
      <c r="L5" s="35"/>
      <c r="M5" s="35"/>
      <c r="N5" s="35"/>
      <c r="O5" s="35"/>
      <c r="P5" s="35"/>
      <c r="Q5" s="35"/>
      <c r="R5" s="35"/>
      <c r="S5" s="35"/>
      <c r="T5" s="35"/>
      <c r="U5" s="35"/>
      <c r="V5" s="35"/>
      <c r="W5" s="35"/>
      <c r="X5" s="35"/>
      <c r="Y5" s="35"/>
      <c r="Z5" s="35"/>
      <c r="AA5" s="35"/>
      <c r="AB5" s="35"/>
      <c r="AC5" s="35"/>
      <c r="AD5" s="35"/>
      <c r="AE5" s="35"/>
      <c r="AF5" s="35"/>
      <c r="AG5" s="35"/>
      <c r="AH5" s="35"/>
      <c r="AI5" s="35"/>
      <c r="AJ5" s="35"/>
      <c r="AK5" s="35"/>
      <c r="AL5" s="35"/>
      <c r="AM5" s="35"/>
      <c r="AN5" s="35"/>
      <c r="AO5" s="35"/>
      <c r="AP5" s="35"/>
      <c r="AQ5" s="35"/>
      <c r="AR5" s="35"/>
      <c r="AS5" s="35"/>
      <c r="AT5" s="35"/>
      <c r="AU5" s="35"/>
      <c r="AV5" s="35"/>
      <c r="AW5" s="35"/>
      <c r="AX5" s="35"/>
      <c r="AY5" s="35"/>
    </row>
    <row r="6" spans="1:52" ht="15.75" hidden="1" outlineLevel="1" x14ac:dyDescent="0.25">
      <c r="A6" s="34"/>
      <c r="B6" s="35"/>
      <c r="C6" s="35"/>
      <c r="D6" s="35"/>
      <c r="E6" s="36"/>
      <c r="F6" s="41"/>
      <c r="G6" s="42" t="s">
        <v>60</v>
      </c>
      <c r="H6" s="260" t="s">
        <v>19</v>
      </c>
      <c r="I6" s="261"/>
      <c r="J6" s="39"/>
      <c r="K6" s="40"/>
      <c r="L6" s="35"/>
      <c r="M6" s="35"/>
      <c r="N6" s="35"/>
      <c r="O6" s="35"/>
      <c r="P6" s="35"/>
      <c r="Q6" s="35"/>
      <c r="R6" s="35"/>
      <c r="S6" s="35"/>
      <c r="T6" s="35"/>
      <c r="U6" s="35"/>
      <c r="V6" s="35"/>
      <c r="W6" s="35"/>
      <c r="X6" s="35"/>
      <c r="Y6" s="35"/>
      <c r="Z6" s="35"/>
      <c r="AA6" s="35"/>
      <c r="AB6" s="35"/>
      <c r="AC6" s="35"/>
      <c r="AD6" s="35"/>
      <c r="AE6" s="35"/>
      <c r="AF6" s="35"/>
      <c r="AG6" s="35"/>
      <c r="AH6" s="35"/>
      <c r="AI6" s="35"/>
      <c r="AJ6" s="35"/>
      <c r="AK6" s="35"/>
      <c r="AL6" s="35"/>
      <c r="AM6" s="35"/>
      <c r="AN6" s="35"/>
      <c r="AO6" s="35"/>
      <c r="AP6" s="35"/>
      <c r="AQ6" s="35"/>
      <c r="AR6" s="35"/>
      <c r="AS6" s="35"/>
      <c r="AT6" s="35"/>
      <c r="AU6" s="35"/>
      <c r="AV6" s="35"/>
      <c r="AW6" s="35"/>
      <c r="AX6" s="35"/>
      <c r="AY6" s="35"/>
    </row>
    <row r="7" spans="1:52" ht="7.5" hidden="1" customHeight="1" outlineLevel="1" x14ac:dyDescent="0.25">
      <c r="A7" s="34"/>
      <c r="B7" s="35"/>
      <c r="C7" s="35"/>
      <c r="D7" s="35"/>
      <c r="E7" s="43"/>
      <c r="F7" s="44"/>
      <c r="G7" s="44"/>
      <c r="H7" s="44"/>
      <c r="I7" s="44"/>
      <c r="J7" s="44"/>
      <c r="K7" s="45"/>
      <c r="L7" s="35"/>
      <c r="M7" s="35"/>
      <c r="N7" s="35"/>
      <c r="O7" s="35"/>
      <c r="P7" s="35"/>
      <c r="Q7" s="35"/>
      <c r="R7" s="35"/>
      <c r="S7" s="35"/>
      <c r="T7" s="35"/>
      <c r="U7" s="35"/>
      <c r="V7" s="35"/>
      <c r="W7" s="35"/>
      <c r="X7" s="35"/>
      <c r="Y7" s="35"/>
      <c r="Z7" s="35"/>
      <c r="AA7" s="35"/>
      <c r="AB7" s="35"/>
      <c r="AC7" s="35"/>
      <c r="AD7" s="35"/>
      <c r="AE7" s="35"/>
      <c r="AF7" s="35"/>
      <c r="AG7" s="35"/>
      <c r="AH7" s="35"/>
      <c r="AI7" s="35"/>
      <c r="AJ7" s="35"/>
      <c r="AK7" s="35"/>
      <c r="AL7" s="35"/>
      <c r="AM7" s="35"/>
      <c r="AN7" s="35"/>
      <c r="AO7" s="35"/>
      <c r="AP7" s="35"/>
      <c r="AQ7" s="35"/>
      <c r="AR7" s="35"/>
      <c r="AS7" s="35"/>
      <c r="AT7" s="35"/>
      <c r="AU7" s="35"/>
      <c r="AV7" s="35"/>
      <c r="AW7" s="35"/>
      <c r="AX7" s="35"/>
      <c r="AY7" s="35"/>
    </row>
    <row r="8" spans="1:52" collapsed="1" x14ac:dyDescent="0.25">
      <c r="A8" s="34"/>
      <c r="B8" s="208"/>
      <c r="C8" s="209"/>
      <c r="I8" s="206"/>
      <c r="J8" s="206"/>
    </row>
    <row r="9" spans="1:52" x14ac:dyDescent="0.25">
      <c r="AZ9" s="21"/>
    </row>
    <row r="10" spans="1:52" ht="1.5" customHeight="1" thickBot="1" x14ac:dyDescent="0.3"/>
    <row r="11" spans="1:52" ht="48" customHeight="1" x14ac:dyDescent="0.25">
      <c r="B11" s="300" t="s">
        <v>2307</v>
      </c>
      <c r="C11" s="301"/>
      <c r="D11" s="301"/>
      <c r="E11" s="301"/>
      <c r="F11" s="301"/>
      <c r="G11" s="301"/>
      <c r="H11" s="301"/>
      <c r="I11" s="301"/>
      <c r="J11" s="301"/>
      <c r="K11" s="301"/>
      <c r="L11" s="301"/>
      <c r="M11" s="301"/>
      <c r="N11" s="301"/>
      <c r="O11" s="301"/>
      <c r="P11" s="301"/>
      <c r="Q11" s="301"/>
      <c r="R11" s="301"/>
      <c r="S11" s="301"/>
      <c r="T11" s="301"/>
      <c r="U11" s="301"/>
      <c r="V11" s="301"/>
      <c r="W11" s="301"/>
      <c r="X11" s="302"/>
    </row>
    <row r="12" spans="1:52" ht="18" customHeight="1" x14ac:dyDescent="0.25">
      <c r="B12" s="303" t="s">
        <v>2018</v>
      </c>
      <c r="C12" s="304"/>
      <c r="D12" s="304"/>
      <c r="E12" s="305" t="s">
        <v>61</v>
      </c>
      <c r="F12" s="305"/>
      <c r="G12" s="305"/>
      <c r="H12" s="305"/>
      <c r="I12" s="78"/>
      <c r="J12" s="78"/>
      <c r="K12" s="78"/>
      <c r="L12" s="78"/>
      <c r="M12" s="78"/>
      <c r="N12" s="78"/>
      <c r="O12" s="78"/>
      <c r="P12" s="78"/>
      <c r="Q12" s="78"/>
      <c r="R12" s="78"/>
      <c r="S12" s="78"/>
      <c r="T12" s="78"/>
      <c r="U12" s="78"/>
      <c r="V12" s="78"/>
      <c r="W12" s="78"/>
      <c r="X12" s="212"/>
    </row>
    <row r="13" spans="1:52" ht="12" customHeight="1" x14ac:dyDescent="0.25">
      <c r="B13" s="213"/>
      <c r="C13" s="78"/>
      <c r="D13" s="78"/>
      <c r="E13" s="78"/>
      <c r="F13" s="78"/>
      <c r="G13" s="78"/>
      <c r="H13" s="78"/>
      <c r="I13" s="306"/>
      <c r="J13" s="306"/>
      <c r="K13" s="306"/>
      <c r="L13" s="306"/>
      <c r="M13" s="306"/>
      <c r="N13" s="306"/>
      <c r="O13" s="306"/>
      <c r="P13" s="306"/>
      <c r="Q13" s="306"/>
      <c r="R13" s="306"/>
      <c r="S13" s="306"/>
      <c r="T13" s="306"/>
      <c r="U13" s="306"/>
      <c r="V13" s="306"/>
      <c r="W13" s="306"/>
      <c r="X13" s="307"/>
    </row>
    <row r="14" spans="1:52" s="72" customFormat="1" ht="29.25" customHeight="1" x14ac:dyDescent="0.25">
      <c r="A14" s="211"/>
      <c r="B14" s="308" t="str">
        <f>Calculations!D395</f>
        <v>Time</v>
      </c>
      <c r="C14" s="309"/>
      <c r="D14" s="310" t="str">
        <f>Calculations!E395</f>
        <v>Username</v>
      </c>
      <c r="E14" s="311"/>
      <c r="F14" s="311"/>
      <c r="G14" s="312" t="str">
        <f>Calculations!F395</f>
        <v>Type</v>
      </c>
      <c r="H14" s="312"/>
      <c r="I14" s="311" t="str">
        <f>Calculations!G395</f>
        <v>Caption</v>
      </c>
      <c r="J14" s="311"/>
      <c r="K14" s="311"/>
      <c r="L14" s="311"/>
      <c r="M14" s="311"/>
      <c r="N14" s="311"/>
      <c r="O14" s="313" t="str">
        <f>Calculations!I395</f>
        <v>Likes</v>
      </c>
      <c r="P14" s="312"/>
      <c r="Q14" s="312"/>
      <c r="R14" s="313" t="str">
        <f>Calculations!J395</f>
        <v>Comments</v>
      </c>
      <c r="S14" s="313"/>
      <c r="T14" s="313"/>
      <c r="U14" s="313" t="str">
        <f>Calculations!K395</f>
        <v>Total Engagement</v>
      </c>
      <c r="V14" s="313"/>
      <c r="W14" s="313" t="str">
        <f>Calculations!L395</f>
        <v>Potential Impressions</v>
      </c>
      <c r="X14" s="314"/>
      <c r="Y14" s="206"/>
      <c r="Z14" s="206"/>
      <c r="AA14" s="206"/>
      <c r="AB14" s="206"/>
      <c r="AC14" s="206"/>
      <c r="AD14" s="206"/>
      <c r="AE14" s="206"/>
      <c r="AF14" s="206"/>
      <c r="AG14" s="206"/>
      <c r="AH14" s="206"/>
      <c r="AI14" s="206"/>
      <c r="AJ14" s="206"/>
      <c r="AK14" s="206"/>
      <c r="AL14" s="206"/>
      <c r="AM14" s="206"/>
      <c r="AN14" s="206"/>
      <c r="AO14" s="206"/>
      <c r="AP14" s="206"/>
      <c r="AQ14" s="206"/>
      <c r="AR14" s="206"/>
      <c r="AS14" s="206"/>
      <c r="AT14" s="206"/>
      <c r="AU14" s="206"/>
      <c r="AV14" s="206"/>
      <c r="AW14" s="206"/>
      <c r="AX14" s="206"/>
      <c r="AY14" s="206"/>
    </row>
    <row r="15" spans="1:52" ht="38.1" customHeight="1" x14ac:dyDescent="0.25">
      <c r="B15" s="324">
        <f ca="1">IFERROR(Calculations!D396, "")</f>
        <v>42959.491574074076</v>
      </c>
      <c r="C15" s="325"/>
      <c r="D15" s="326" t="str">
        <f ca="1">IFERROR(Calculations!E396, "")</f>
        <v>annie_rose_cole</v>
      </c>
      <c r="E15" s="326"/>
      <c r="F15" s="326"/>
      <c r="G15" s="327" t="str">
        <f ca="1">IFERROR(Calculations!F396, "")</f>
        <v>image</v>
      </c>
      <c r="H15" s="327"/>
      <c r="I15" s="328" t="str">
        <f ca="1">IFERROR(HYPERLINK(Calculations!H396, LEFT(Calculations!G396, 80)&amp;IF(LEN(Calculations!G396)&gt;80, "…", "")), "")</f>
        <v>"Haters gonna hate patatas gonna patate" - @colleen #keepongoing #dontletemfooly…</v>
      </c>
      <c r="J15" s="328"/>
      <c r="K15" s="328"/>
      <c r="L15" s="328"/>
      <c r="M15" s="328"/>
      <c r="N15" s="328"/>
      <c r="O15" s="315">
        <f ca="1">IFERROR(Calculations!I396, "")</f>
        <v>14532</v>
      </c>
      <c r="P15" s="315"/>
      <c r="Q15" s="315"/>
      <c r="R15" s="315">
        <f ca="1">IFERROR(Calculations!J396, "")</f>
        <v>316</v>
      </c>
      <c r="S15" s="315"/>
      <c r="T15" s="315"/>
      <c r="U15" s="315">
        <f ca="1">IFERROR(Calculations!K396, "")</f>
        <v>14848</v>
      </c>
      <c r="V15" s="315"/>
      <c r="W15" s="315">
        <f ca="1">IFERROR(Calculations!L396, "")</f>
        <v>83033</v>
      </c>
      <c r="X15" s="316"/>
    </row>
    <row r="16" spans="1:52" ht="38.1" customHeight="1" x14ac:dyDescent="0.25">
      <c r="B16" s="317">
        <f ca="1">IFERROR(Calculations!D397, "")</f>
        <v>42964.10255787037</v>
      </c>
      <c r="C16" s="318"/>
      <c r="D16" s="319" t="str">
        <f ca="1">IFERROR(Calculations!E397, "")</f>
        <v>martacarriedo</v>
      </c>
      <c r="E16" s="319"/>
      <c r="F16" s="319"/>
      <c r="G16" s="320" t="str">
        <f ca="1">IFERROR(Calculations!F397, "")</f>
        <v>image</v>
      </c>
      <c r="H16" s="320"/>
      <c r="I16" s="321" t="str">
        <f ca="1">IFERROR(HYPERLINK(Calculations!H397, LEFT(Calculations!G397, 80)&amp;IF(LEN(Calculations!G397)&gt;80, "…", "")), "")</f>
        <v>The climb is tough but the view from the top is worth it✌🏽🌆 #top #LA #runyoncany…</v>
      </c>
      <c r="J16" s="321"/>
      <c r="K16" s="321"/>
      <c r="L16" s="321"/>
      <c r="M16" s="321"/>
      <c r="N16" s="321"/>
      <c r="O16" s="322">
        <f ca="1">IFERROR(Calculations!I397, "")</f>
        <v>13672</v>
      </c>
      <c r="P16" s="322"/>
      <c r="Q16" s="322"/>
      <c r="R16" s="322">
        <f ca="1">IFERROR(Calculations!J397, "")</f>
        <v>107</v>
      </c>
      <c r="S16" s="322"/>
      <c r="T16" s="322"/>
      <c r="U16" s="322">
        <f ca="1">IFERROR(Calculations!K397, "")</f>
        <v>13779</v>
      </c>
      <c r="V16" s="322"/>
      <c r="W16" s="322">
        <f ca="1">IFERROR(Calculations!L397, "")</f>
        <v>397867</v>
      </c>
      <c r="X16" s="323"/>
    </row>
    <row r="17" spans="2:52" ht="38.1" customHeight="1" x14ac:dyDescent="0.25">
      <c r="B17" s="329">
        <f ca="1">IFERROR(Calculations!D398, "")</f>
        <v>42963.684432870374</v>
      </c>
      <c r="C17" s="330"/>
      <c r="D17" s="326" t="str">
        <f ca="1">IFERROR(Calculations!E398, "")</f>
        <v>thiagofragoso</v>
      </c>
      <c r="E17" s="326"/>
      <c r="F17" s="326"/>
      <c r="G17" s="327" t="str">
        <f ca="1">IFERROR(Calculations!F398, "")</f>
        <v>image</v>
      </c>
      <c r="H17" s="327"/>
      <c r="I17" s="328" t="str">
        <f ca="1">IFERROR(HYPERLINK(Calculations!H398, LEFT(Calculations!G398, 80)&amp;IF(LEN(Calculations!G398)&gt;80, "…", "")), "")</f>
        <v>Não falei que era fácil? @amanda.psouza Arrasou e acertou rapidinho. 😎 #timethia…</v>
      </c>
      <c r="J17" s="328"/>
      <c r="K17" s="328"/>
      <c r="L17" s="328"/>
      <c r="M17" s="328"/>
      <c r="N17" s="328"/>
      <c r="O17" s="315">
        <f ca="1">IFERROR(Calculations!I398, "")</f>
        <v>12403</v>
      </c>
      <c r="P17" s="315"/>
      <c r="Q17" s="315"/>
      <c r="R17" s="315">
        <f ca="1">IFERROR(Calculations!J398, "")</f>
        <v>258</v>
      </c>
      <c r="S17" s="315"/>
      <c r="T17" s="315"/>
      <c r="U17" s="315">
        <f ca="1">IFERROR(Calculations!K398, "")</f>
        <v>12661</v>
      </c>
      <c r="V17" s="315"/>
      <c r="W17" s="315">
        <f ca="1">IFERROR(Calculations!L398, "")</f>
        <v>775368</v>
      </c>
      <c r="X17" s="316"/>
    </row>
    <row r="18" spans="2:52" ht="38.1" customHeight="1" x14ac:dyDescent="0.25">
      <c r="B18" s="317">
        <f ca="1">IFERROR(Calculations!D399, "")</f>
        <v>42979.33289351852</v>
      </c>
      <c r="C18" s="318"/>
      <c r="D18" s="319" t="str">
        <f ca="1">IFERROR(Calculations!E399, "")</f>
        <v>millionaire.dream</v>
      </c>
      <c r="E18" s="319"/>
      <c r="F18" s="319"/>
      <c r="G18" s="320" t="str">
        <f ca="1">IFERROR(Calculations!F399, "")</f>
        <v>image</v>
      </c>
      <c r="H18" s="320"/>
      <c r="I18" s="321" t="str">
        <f ca="1">IFERROR(HYPERLINK(Calculations!H399, LEFT(Calculations!G399, 80)&amp;IF(LEN(Calculations!G399)&gt;80, "…", "")), "")</f>
        <v>It takes time...</v>
      </c>
      <c r="J18" s="321"/>
      <c r="K18" s="321"/>
      <c r="L18" s="321"/>
      <c r="M18" s="321"/>
      <c r="N18" s="321"/>
      <c r="O18" s="322">
        <f ca="1">IFERROR(Calculations!I399, "")</f>
        <v>6965</v>
      </c>
      <c r="P18" s="322"/>
      <c r="Q18" s="322"/>
      <c r="R18" s="322">
        <f ca="1">IFERROR(Calculations!J399, "")</f>
        <v>43</v>
      </c>
      <c r="S18" s="322"/>
      <c r="T18" s="322"/>
      <c r="U18" s="322">
        <f ca="1">IFERROR(Calculations!K399, "")</f>
        <v>7008</v>
      </c>
      <c r="V18" s="322"/>
      <c r="W18" s="322">
        <f ca="1">IFERROR(Calculations!L399, "")</f>
        <v>391672</v>
      </c>
      <c r="X18" s="323"/>
    </row>
    <row r="19" spans="2:52" s="206" customFormat="1" ht="38.1" customHeight="1" x14ac:dyDescent="0.25">
      <c r="B19" s="329">
        <f ca="1">IFERROR(Calculations!D400, "")</f>
        <v>42963.747395833336</v>
      </c>
      <c r="C19" s="330"/>
      <c r="D19" s="326" t="str">
        <f ca="1">IFERROR(Calculations!E400, "")</f>
        <v>travellingpreneur</v>
      </c>
      <c r="E19" s="326"/>
      <c r="F19" s="326"/>
      <c r="G19" s="327" t="str">
        <f ca="1">IFERROR(Calculations!F400, "")</f>
        <v>image</v>
      </c>
      <c r="H19" s="327"/>
      <c r="I19" s="328" t="str">
        <f ca="1">IFERROR(HYPERLINK(Calculations!H400, LEFT(Calculations!G400, 80)&amp;IF(LEN(Calculations!G400)&gt;80, "…", "")), "")</f>
        <v>Best caption gets a shoutout! - Follow @travellingpreneur</v>
      </c>
      <c r="J19" s="328"/>
      <c r="K19" s="328"/>
      <c r="L19" s="328"/>
      <c r="M19" s="328"/>
      <c r="N19" s="328"/>
      <c r="O19" s="315">
        <f ca="1">IFERROR(Calculations!I400, "")</f>
        <v>6164</v>
      </c>
      <c r="P19" s="315"/>
      <c r="Q19" s="315"/>
      <c r="R19" s="315">
        <f ca="1">IFERROR(Calculations!J400, "")</f>
        <v>84</v>
      </c>
      <c r="S19" s="315"/>
      <c r="T19" s="315"/>
      <c r="U19" s="315">
        <f ca="1">IFERROR(Calculations!K400, "")</f>
        <v>6248</v>
      </c>
      <c r="V19" s="315"/>
      <c r="W19" s="315">
        <f ca="1">IFERROR(Calculations!L400, "")</f>
        <v>16489</v>
      </c>
      <c r="X19" s="316"/>
      <c r="AZ19"/>
    </row>
    <row r="20" spans="2:52" s="206" customFormat="1" ht="38.1" customHeight="1" x14ac:dyDescent="0.25">
      <c r="B20" s="317">
        <f ca="1">IFERROR(Calculations!D401, "")</f>
        <v>42973.332986111112</v>
      </c>
      <c r="C20" s="318"/>
      <c r="D20" s="319" t="str">
        <f ca="1">IFERROR(Calculations!E401, "")</f>
        <v>millionaire.dream</v>
      </c>
      <c r="E20" s="319"/>
      <c r="F20" s="319"/>
      <c r="G20" s="320" t="str">
        <f ca="1">IFERROR(Calculations!F401, "")</f>
        <v>image</v>
      </c>
      <c r="H20" s="320"/>
      <c r="I20" s="321" t="str">
        <f ca="1">IFERROR(HYPERLINK(Calculations!H401, LEFT(Calculations!G401, 80)&amp;IF(LEN(Calculations!G401)&gt;80, "…", "")), "")</f>
        <v>Dress and act like you are the man, confidence gets you a long way!</v>
      </c>
      <c r="J20" s="321"/>
      <c r="K20" s="321"/>
      <c r="L20" s="321"/>
      <c r="M20" s="321"/>
      <c r="N20" s="321"/>
      <c r="O20" s="322">
        <f ca="1">IFERROR(Calculations!I401, "")</f>
        <v>5695</v>
      </c>
      <c r="P20" s="322"/>
      <c r="Q20" s="322"/>
      <c r="R20" s="322">
        <f ca="1">IFERROR(Calculations!J401, "")</f>
        <v>26</v>
      </c>
      <c r="S20" s="322"/>
      <c r="T20" s="322"/>
      <c r="U20" s="322">
        <f ca="1">IFERROR(Calculations!K401, "")</f>
        <v>5721</v>
      </c>
      <c r="V20" s="322"/>
      <c r="W20" s="322">
        <f ca="1">IFERROR(Calculations!L401, "")</f>
        <v>390114</v>
      </c>
      <c r="X20" s="323"/>
      <c r="AZ20"/>
    </row>
    <row r="21" spans="2:52" s="206" customFormat="1" ht="38.1" customHeight="1" x14ac:dyDescent="0.25">
      <c r="B21" s="329">
        <f ca="1">IFERROR(Calculations!D402, "")</f>
        <v>42977.732499999998</v>
      </c>
      <c r="C21" s="330"/>
      <c r="D21" s="326" t="str">
        <f ca="1">IFERROR(Calculations!E402, "")</f>
        <v>ourfamilynest</v>
      </c>
      <c r="E21" s="326"/>
      <c r="F21" s="326"/>
      <c r="G21" s="327" t="str">
        <f ca="1">IFERROR(Calculations!F402, "")</f>
        <v>image</v>
      </c>
      <c r="H21" s="327"/>
      <c r="I21" s="328" t="str">
        <f ca="1">IFERROR(HYPERLINK(Calculations!H402, LEFT(Calculations!G402, 80)&amp;IF(LEN(Calculations!G402)&gt;80, "…", "")), "")</f>
        <v>It’s almost time for the kids to go back to school so we had a practice run maki…</v>
      </c>
      <c r="J21" s="328"/>
      <c r="K21" s="328"/>
      <c r="L21" s="328"/>
      <c r="M21" s="328"/>
      <c r="N21" s="328"/>
      <c r="O21" s="315">
        <f ca="1">IFERROR(Calculations!I402, "")</f>
        <v>5375</v>
      </c>
      <c r="P21" s="315"/>
      <c r="Q21" s="315"/>
      <c r="R21" s="315">
        <f ca="1">IFERROR(Calculations!J402, "")</f>
        <v>31</v>
      </c>
      <c r="S21" s="315"/>
      <c r="T21" s="315"/>
      <c r="U21" s="315">
        <f ca="1">IFERROR(Calculations!K402, "")</f>
        <v>5406</v>
      </c>
      <c r="V21" s="315"/>
      <c r="W21" s="315">
        <f ca="1">IFERROR(Calculations!L402, "")</f>
        <v>164684</v>
      </c>
      <c r="X21" s="316"/>
      <c r="AZ21"/>
    </row>
    <row r="22" spans="2:52" s="206" customFormat="1" ht="38.1" customHeight="1" x14ac:dyDescent="0.25">
      <c r="B22" s="317">
        <f ca="1">IFERROR(Calculations!D403, "")</f>
        <v>42982.874351851853</v>
      </c>
      <c r="C22" s="318"/>
      <c r="D22" s="319" t="str">
        <f ca="1">IFERROR(Calculations!E403, "")</f>
        <v>stoked.travels</v>
      </c>
      <c r="E22" s="319"/>
      <c r="F22" s="319"/>
      <c r="G22" s="320" t="str">
        <f ca="1">IFERROR(Calculations!F403, "")</f>
        <v>image</v>
      </c>
      <c r="H22" s="320"/>
      <c r="I22" s="321" t="str">
        <f ca="1">IFERROR(HYPERLINK(Calculations!H403, LEFT(Calculations!G403, 80)&amp;IF(LEN(Calculations!G403)&gt;80, "…", "")), "")</f>
        <v>This tree is real and It show how the world loves us❤ Share with your friends 👇 …</v>
      </c>
      <c r="J22" s="321"/>
      <c r="K22" s="321"/>
      <c r="L22" s="321"/>
      <c r="M22" s="321"/>
      <c r="N22" s="321"/>
      <c r="O22" s="322">
        <f ca="1">IFERROR(Calculations!I403, "")</f>
        <v>4976</v>
      </c>
      <c r="P22" s="322"/>
      <c r="Q22" s="322"/>
      <c r="R22" s="322">
        <f ca="1">IFERROR(Calculations!J403, "")</f>
        <v>48</v>
      </c>
      <c r="S22" s="322"/>
      <c r="T22" s="322"/>
      <c r="U22" s="322">
        <f ca="1">IFERROR(Calculations!K403, "")</f>
        <v>5024</v>
      </c>
      <c r="V22" s="322"/>
      <c r="W22" s="322">
        <f ca="1">IFERROR(Calculations!L403, "")</f>
        <v>1622</v>
      </c>
      <c r="X22" s="323"/>
      <c r="AZ22"/>
    </row>
    <row r="23" spans="2:52" s="206" customFormat="1" ht="38.1" customHeight="1" x14ac:dyDescent="0.25">
      <c r="B23" s="329">
        <f ca="1">IFERROR(Calculations!D404, "")</f>
        <v>42987.389317129629</v>
      </c>
      <c r="C23" s="330"/>
      <c r="D23" s="326" t="str">
        <f ca="1">IFERROR(Calculations!E404, "")</f>
        <v>ariletmestyleu</v>
      </c>
      <c r="E23" s="326"/>
      <c r="F23" s="326"/>
      <c r="G23" s="327" t="str">
        <f ca="1">IFERROR(Calculations!F404, "")</f>
        <v>carousel</v>
      </c>
      <c r="H23" s="327"/>
      <c r="I23" s="328" t="str">
        <f ca="1">IFERROR(HYPERLINK(Calculations!H404, LEFT(Calculations!G404, 80)&amp;IF(LEN(Calculations!G404)&gt;80, "…", "")), "")</f>
        <v>#omg #thankyou so so much for the 19k followers this is for you guys. #makeitvir…</v>
      </c>
      <c r="J23" s="328"/>
      <c r="K23" s="328"/>
      <c r="L23" s="328"/>
      <c r="M23" s="328"/>
      <c r="N23" s="328"/>
      <c r="O23" s="315">
        <f ca="1">IFERROR(Calculations!I404, "")</f>
        <v>4677</v>
      </c>
      <c r="P23" s="315"/>
      <c r="Q23" s="315"/>
      <c r="R23" s="315">
        <f ca="1">IFERROR(Calculations!J404, "")</f>
        <v>54</v>
      </c>
      <c r="S23" s="315"/>
      <c r="T23" s="315"/>
      <c r="U23" s="315">
        <f ca="1">IFERROR(Calculations!K404, "")</f>
        <v>4731</v>
      </c>
      <c r="V23" s="315"/>
      <c r="W23" s="315">
        <f ca="1">IFERROR(Calculations!L404, "")</f>
        <v>19637</v>
      </c>
      <c r="X23" s="316"/>
      <c r="AZ23"/>
    </row>
    <row r="24" spans="2:52" s="206" customFormat="1" ht="38.1" customHeight="1" x14ac:dyDescent="0.25">
      <c r="B24" s="317">
        <f ca="1">IFERROR(Calculations!D405, "")</f>
        <v>42967.209583333337</v>
      </c>
      <c r="C24" s="318"/>
      <c r="D24" s="319" t="str">
        <f ca="1">IFERROR(Calculations!E405, "")</f>
        <v>millionaire.dream</v>
      </c>
      <c r="E24" s="319"/>
      <c r="F24" s="319"/>
      <c r="G24" s="320" t="str">
        <f ca="1">IFERROR(Calculations!F405, "")</f>
        <v>image</v>
      </c>
      <c r="H24" s="320"/>
      <c r="I24" s="321" t="str">
        <f ca="1">IFERROR(HYPERLINK(Calculations!H405, LEFT(Calculations!G405, 80)&amp;IF(LEN(Calculations!G405)&gt;80, "…", "")), "")</f>
        <v>tag a friend!</v>
      </c>
      <c r="J24" s="321"/>
      <c r="K24" s="321"/>
      <c r="L24" s="321"/>
      <c r="M24" s="321"/>
      <c r="N24" s="321"/>
      <c r="O24" s="322">
        <f ca="1">IFERROR(Calculations!I405, "")</f>
        <v>4536</v>
      </c>
      <c r="P24" s="322"/>
      <c r="Q24" s="322"/>
      <c r="R24" s="322">
        <f ca="1">IFERROR(Calculations!J405, "")</f>
        <v>34</v>
      </c>
      <c r="S24" s="322"/>
      <c r="T24" s="322"/>
      <c r="U24" s="322">
        <f ca="1">IFERROR(Calculations!K405, "")</f>
        <v>4570</v>
      </c>
      <c r="V24" s="322"/>
      <c r="W24" s="322">
        <f ca="1">IFERROR(Calculations!L405, "")</f>
        <v>389403</v>
      </c>
      <c r="X24" s="323"/>
      <c r="AZ24"/>
    </row>
    <row r="25" spans="2:52" s="206" customFormat="1" ht="38.1" customHeight="1" x14ac:dyDescent="0.25">
      <c r="B25" s="329">
        <f ca="1">IFERROR(Calculations!D406, "")</f>
        <v>42969.922233796293</v>
      </c>
      <c r="C25" s="330"/>
      <c r="D25" s="326" t="str">
        <f ca="1">IFERROR(Calculations!E406, "")</f>
        <v>paulinamichaels</v>
      </c>
      <c r="E25" s="326"/>
      <c r="F25" s="326"/>
      <c r="G25" s="327" t="str">
        <f ca="1">IFERROR(Calculations!F406, "")</f>
        <v>image</v>
      </c>
      <c r="H25" s="327"/>
      <c r="I25" s="328" t="str">
        <f ca="1">IFERROR(HYPERLINK(Calculations!H406, LEFT(Calculations!G406, 80)&amp;IF(LEN(Calculations!G406)&gt;80, "…", "")), "")</f>
        <v>The secret of change is to focus all of your energy, not on fighting the old, bu…</v>
      </c>
      <c r="J25" s="328"/>
      <c r="K25" s="328"/>
      <c r="L25" s="328"/>
      <c r="M25" s="328"/>
      <c r="N25" s="328"/>
      <c r="O25" s="315">
        <f ca="1">IFERROR(Calculations!I406, "")</f>
        <v>4493</v>
      </c>
      <c r="P25" s="315"/>
      <c r="Q25" s="315"/>
      <c r="R25" s="315">
        <f ca="1">IFERROR(Calculations!J406, "")</f>
        <v>62</v>
      </c>
      <c r="S25" s="315"/>
      <c r="T25" s="315"/>
      <c r="U25" s="315">
        <f ca="1">IFERROR(Calculations!K406, "")</f>
        <v>4555</v>
      </c>
      <c r="V25" s="315"/>
      <c r="W25" s="315">
        <f ca="1">IFERROR(Calculations!L406, "")</f>
        <v>88754</v>
      </c>
      <c r="X25" s="316"/>
      <c r="AZ25"/>
    </row>
    <row r="26" spans="2:52" s="206" customFormat="1" ht="38.1" customHeight="1" x14ac:dyDescent="0.25">
      <c r="B26" s="317">
        <f ca="1">IFERROR(Calculations!D407, "")</f>
        <v>42960.95952546296</v>
      </c>
      <c r="C26" s="318"/>
      <c r="D26" s="319" t="str">
        <f ca="1">IFERROR(Calculations!E407, "")</f>
        <v>millionaire.dream</v>
      </c>
      <c r="E26" s="319"/>
      <c r="F26" s="319"/>
      <c r="G26" s="320" t="str">
        <f ca="1">IFERROR(Calculations!F407, "")</f>
        <v>image</v>
      </c>
      <c r="H26" s="320"/>
      <c r="I26" s="321" t="str">
        <f ca="1">IFERROR(HYPERLINK(Calculations!H407, LEFT(Calculations!G407, 80)&amp;IF(LEN(Calculations!G407)&gt;80, "…", "")), "")</f>
        <v>Have no regrets, just lessons, so don't make the same mistake twice!</v>
      </c>
      <c r="J26" s="321"/>
      <c r="K26" s="321"/>
      <c r="L26" s="321"/>
      <c r="M26" s="321"/>
      <c r="N26" s="321"/>
      <c r="O26" s="322">
        <f ca="1">IFERROR(Calculations!I407, "")</f>
        <v>4364</v>
      </c>
      <c r="P26" s="322"/>
      <c r="Q26" s="322"/>
      <c r="R26" s="322">
        <f ca="1">IFERROR(Calculations!J407, "")</f>
        <v>13</v>
      </c>
      <c r="S26" s="322"/>
      <c r="T26" s="322"/>
      <c r="U26" s="322">
        <f ca="1">IFERROR(Calculations!K407, "")</f>
        <v>4377</v>
      </c>
      <c r="V26" s="322"/>
      <c r="W26" s="322">
        <f ca="1">IFERROR(Calculations!L407, "")</f>
        <v>389998</v>
      </c>
      <c r="X26" s="323"/>
      <c r="AZ26"/>
    </row>
    <row r="27" spans="2:52" s="206" customFormat="1" ht="38.1" customHeight="1" x14ac:dyDescent="0.25">
      <c r="B27" s="329">
        <f ca="1">IFERROR(Calculations!D408, "")</f>
        <v>42959.991608796299</v>
      </c>
      <c r="C27" s="330"/>
      <c r="D27" s="326" t="str">
        <f ca="1">IFERROR(Calculations!E408, "")</f>
        <v>travellingpreneur</v>
      </c>
      <c r="E27" s="326"/>
      <c r="F27" s="326"/>
      <c r="G27" s="327" t="str">
        <f ca="1">IFERROR(Calculations!F408, "")</f>
        <v>image</v>
      </c>
      <c r="H27" s="327"/>
      <c r="I27" s="328" t="str">
        <f ca="1">IFERROR(HYPERLINK(Calculations!H408, LEFT(Calculations!G408, 80)&amp;IF(LEN(Calculations!G408)&gt;80, "…", "")), "")</f>
        <v>When your Bae is a real treasure 😉 tag your girl ❤️ - Follow @travellingpreneur</v>
      </c>
      <c r="J27" s="328"/>
      <c r="K27" s="328"/>
      <c r="L27" s="328"/>
      <c r="M27" s="328"/>
      <c r="N27" s="328"/>
      <c r="O27" s="315">
        <f ca="1">IFERROR(Calculations!I408, "")</f>
        <v>4250</v>
      </c>
      <c r="P27" s="315"/>
      <c r="Q27" s="315"/>
      <c r="R27" s="315">
        <f ca="1">IFERROR(Calculations!J408, "")</f>
        <v>58</v>
      </c>
      <c r="S27" s="315"/>
      <c r="T27" s="315"/>
      <c r="U27" s="315">
        <f ca="1">IFERROR(Calculations!K408, "")</f>
        <v>4308</v>
      </c>
      <c r="V27" s="315"/>
      <c r="W27" s="315">
        <f ca="1">IFERROR(Calculations!L408, "")</f>
        <v>13416</v>
      </c>
      <c r="X27" s="316"/>
      <c r="AZ27"/>
    </row>
    <row r="28" spans="2:52" s="206" customFormat="1" ht="38.1" customHeight="1" x14ac:dyDescent="0.25">
      <c r="B28" s="317">
        <f ca="1">IFERROR(Calculations!D409, "")</f>
        <v>42977.95952546296</v>
      </c>
      <c r="C28" s="318"/>
      <c r="D28" s="319" t="str">
        <f ca="1">IFERROR(Calculations!E409, "")</f>
        <v>millionaire.dream</v>
      </c>
      <c r="E28" s="319"/>
      <c r="F28" s="319"/>
      <c r="G28" s="320" t="str">
        <f ca="1">IFERROR(Calculations!F409, "")</f>
        <v>image</v>
      </c>
      <c r="H28" s="320"/>
      <c r="I28" s="321" t="str">
        <f ca="1">IFERROR(HYPERLINK(Calculations!H409, LEFT(Calculations!G409, 80)&amp;IF(LEN(Calculations!G409)&gt;80, "…", "")), "")</f>
        <v>Always move forward...</v>
      </c>
      <c r="J28" s="321"/>
      <c r="K28" s="321"/>
      <c r="L28" s="321"/>
      <c r="M28" s="321"/>
      <c r="N28" s="321"/>
      <c r="O28" s="322">
        <f ca="1">IFERROR(Calculations!I409, "")</f>
        <v>3715</v>
      </c>
      <c r="P28" s="322"/>
      <c r="Q28" s="322"/>
      <c r="R28" s="322">
        <f ca="1">IFERROR(Calculations!J409, "")</f>
        <v>25</v>
      </c>
      <c r="S28" s="322"/>
      <c r="T28" s="322"/>
      <c r="U28" s="322">
        <f ca="1">IFERROR(Calculations!K409, "")</f>
        <v>3740</v>
      </c>
      <c r="V28" s="322"/>
      <c r="W28" s="322">
        <f ca="1">IFERROR(Calculations!L409, "")</f>
        <v>391293</v>
      </c>
      <c r="X28" s="323"/>
      <c r="AZ28"/>
    </row>
    <row r="29" spans="2:52" s="206" customFormat="1" ht="38.1" customHeight="1" x14ac:dyDescent="0.25">
      <c r="B29" s="329">
        <f ca="1">IFERROR(Calculations!D410, "")</f>
        <v>42962.084456018521</v>
      </c>
      <c r="C29" s="330"/>
      <c r="D29" s="326" t="str">
        <f ca="1">IFERROR(Calculations!E410, "")</f>
        <v>millionaire.dream</v>
      </c>
      <c r="E29" s="326"/>
      <c r="F29" s="326"/>
      <c r="G29" s="327" t="str">
        <f ca="1">IFERROR(Calculations!F410, "")</f>
        <v>image</v>
      </c>
      <c r="H29" s="327"/>
      <c r="I29" s="328" t="str">
        <f ca="1">IFERROR(HYPERLINK(Calculations!H410, LEFT(Calculations!G410, 80)&amp;IF(LEN(Calculations!G410)&gt;80, "…", "")), "")</f>
        <v>the 3 steps to greatness</v>
      </c>
      <c r="J29" s="328"/>
      <c r="K29" s="328"/>
      <c r="L29" s="328"/>
      <c r="M29" s="328"/>
      <c r="N29" s="328"/>
      <c r="O29" s="315">
        <f ca="1">IFERROR(Calculations!I410, "")</f>
        <v>3622</v>
      </c>
      <c r="P29" s="315"/>
      <c r="Q29" s="315"/>
      <c r="R29" s="315">
        <f ca="1">IFERROR(Calculations!J410, "")</f>
        <v>16</v>
      </c>
      <c r="S29" s="315"/>
      <c r="T29" s="315"/>
      <c r="U29" s="315">
        <f ca="1">IFERROR(Calculations!K410, "")</f>
        <v>3638</v>
      </c>
      <c r="V29" s="315"/>
      <c r="W29" s="315">
        <f ca="1">IFERROR(Calculations!L410, "")</f>
        <v>389883</v>
      </c>
      <c r="X29" s="316"/>
      <c r="AZ29"/>
    </row>
    <row r="30" spans="2:52" s="206" customFormat="1" ht="38.1" customHeight="1" x14ac:dyDescent="0.25">
      <c r="B30" s="317">
        <f ca="1">IFERROR(Calculations!D411, "")</f>
        <v>42983.594224537039</v>
      </c>
      <c r="C30" s="318"/>
      <c r="D30" s="319" t="str">
        <f ca="1">IFERROR(Calculations!E411, "")</f>
        <v>cassandrafoxdance</v>
      </c>
      <c r="E30" s="319"/>
      <c r="F30" s="319"/>
      <c r="G30" s="320" t="str">
        <f ca="1">IFERROR(Calculations!F411, "")</f>
        <v>carousel</v>
      </c>
      <c r="H30" s="320"/>
      <c r="I30" s="321" t="str">
        <f ca="1">IFERROR(HYPERLINK(Calculations!H411, LEFT(Calculations!G411, 80)&amp;IF(LEN(Calculations!G411)&gt;80, "…", "")), "")</f>
        <v>So many of my decisions have been based around developing my career and art, reg…</v>
      </c>
      <c r="J30" s="321"/>
      <c r="K30" s="321"/>
      <c r="L30" s="321"/>
      <c r="M30" s="321"/>
      <c r="N30" s="321"/>
      <c r="O30" s="322">
        <f ca="1">IFERROR(Calculations!I411, "")</f>
        <v>3475</v>
      </c>
      <c r="P30" s="322"/>
      <c r="Q30" s="322"/>
      <c r="R30" s="322">
        <f ca="1">IFERROR(Calculations!J411, "")</f>
        <v>99</v>
      </c>
      <c r="S30" s="322"/>
      <c r="T30" s="322"/>
      <c r="U30" s="322">
        <f ca="1">IFERROR(Calculations!K411, "")</f>
        <v>3574</v>
      </c>
      <c r="V30" s="322"/>
      <c r="W30" s="322">
        <f ca="1">IFERROR(Calculations!L411, "")</f>
        <v>195404</v>
      </c>
      <c r="X30" s="323"/>
      <c r="AZ30"/>
    </row>
    <row r="31" spans="2:52" s="206" customFormat="1" ht="38.1" customHeight="1" x14ac:dyDescent="0.25">
      <c r="B31" s="329">
        <f ca="1">IFERROR(Calculations!D412, "")</f>
        <v>42973.20925925926</v>
      </c>
      <c r="C31" s="330"/>
      <c r="D31" s="326" t="str">
        <f ca="1">IFERROR(Calculations!E412, "")</f>
        <v>millionaire.dream</v>
      </c>
      <c r="E31" s="326"/>
      <c r="F31" s="326"/>
      <c r="G31" s="327" t="str">
        <f ca="1">IFERROR(Calculations!F412, "")</f>
        <v>image</v>
      </c>
      <c r="H31" s="327"/>
      <c r="I31" s="328" t="str">
        <f ca="1">IFERROR(HYPERLINK(Calculations!H412, LEFT(Calculations!G412, 80)&amp;IF(LEN(Calculations!G412)&gt;80, "…", "")), "")</f>
        <v>Keep hustling!</v>
      </c>
      <c r="J31" s="328"/>
      <c r="K31" s="328"/>
      <c r="L31" s="328"/>
      <c r="M31" s="328"/>
      <c r="N31" s="328"/>
      <c r="O31" s="315">
        <f ca="1">IFERROR(Calculations!I412, "")</f>
        <v>3527</v>
      </c>
      <c r="P31" s="315"/>
      <c r="Q31" s="315"/>
      <c r="R31" s="315">
        <f ca="1">IFERROR(Calculations!J412, "")</f>
        <v>14</v>
      </c>
      <c r="S31" s="315"/>
      <c r="T31" s="315"/>
      <c r="U31" s="315">
        <f ca="1">IFERROR(Calculations!K412, "")</f>
        <v>3541</v>
      </c>
      <c r="V31" s="315"/>
      <c r="W31" s="315">
        <f ca="1">IFERROR(Calculations!L412, "")</f>
        <v>390131</v>
      </c>
      <c r="X31" s="316"/>
      <c r="AZ31"/>
    </row>
    <row r="32" spans="2:52" s="206" customFormat="1" ht="38.1" customHeight="1" x14ac:dyDescent="0.25">
      <c r="B32" s="317">
        <f ca="1">IFERROR(Calculations!D413, "")</f>
        <v>42959.709247685183</v>
      </c>
      <c r="C32" s="318"/>
      <c r="D32" s="319" t="str">
        <f ca="1">IFERROR(Calculations!E413, "")</f>
        <v>millionaire.dream</v>
      </c>
      <c r="E32" s="319"/>
      <c r="F32" s="319"/>
      <c r="G32" s="320" t="str">
        <f ca="1">IFERROR(Calculations!F413, "")</f>
        <v>image</v>
      </c>
      <c r="H32" s="320"/>
      <c r="I32" s="321" t="str">
        <f ca="1">IFERROR(HYPERLINK(Calculations!H413, LEFT(Calculations!G413, 80)&amp;IF(LEN(Calculations!G413)&gt;80, "…", "")), "")</f>
        <v>Dont let the little things stress you out too much (:</v>
      </c>
      <c r="J32" s="321"/>
      <c r="K32" s="321"/>
      <c r="L32" s="321"/>
      <c r="M32" s="321"/>
      <c r="N32" s="321"/>
      <c r="O32" s="322">
        <f ca="1">IFERROR(Calculations!I413, "")</f>
        <v>3513</v>
      </c>
      <c r="P32" s="322"/>
      <c r="Q32" s="322"/>
      <c r="R32" s="322">
        <f ca="1">IFERROR(Calculations!J413, "")</f>
        <v>17</v>
      </c>
      <c r="S32" s="322"/>
      <c r="T32" s="322"/>
      <c r="U32" s="322">
        <f ca="1">IFERROR(Calculations!K413, "")</f>
        <v>3530</v>
      </c>
      <c r="V32" s="322"/>
      <c r="W32" s="322">
        <f ca="1">IFERROR(Calculations!L413, "")</f>
        <v>390125</v>
      </c>
      <c r="X32" s="323"/>
      <c r="AZ32"/>
    </row>
    <row r="33" spans="2:52" s="206" customFormat="1" ht="38.1" customHeight="1" x14ac:dyDescent="0.25">
      <c r="B33" s="329">
        <f ca="1">IFERROR(Calculations!D414, "")</f>
        <v>42986.766493055555</v>
      </c>
      <c r="C33" s="330"/>
      <c r="D33" s="326" t="str">
        <f ca="1">IFERROR(Calculations!E414, "")</f>
        <v>100xsuccess</v>
      </c>
      <c r="E33" s="326"/>
      <c r="F33" s="326"/>
      <c r="G33" s="327" t="str">
        <f ca="1">IFERROR(Calculations!F414, "")</f>
        <v>image</v>
      </c>
      <c r="H33" s="327"/>
      <c r="I33" s="328" t="str">
        <f ca="1">IFERROR(HYPERLINK(Calculations!H414, LEFT(Calculations!G414, 80)&amp;IF(LEN(Calculations!G414)&gt;80, "…", "")), "")</f>
        <v>Double tap 💯❌ Follow us here @100xsuccess 🔥 • From @secrets2success</v>
      </c>
      <c r="J33" s="328"/>
      <c r="K33" s="328"/>
      <c r="L33" s="328"/>
      <c r="M33" s="328"/>
      <c r="N33" s="328"/>
      <c r="O33" s="315">
        <f ca="1">IFERROR(Calculations!I414, "")</f>
        <v>3490</v>
      </c>
      <c r="P33" s="315"/>
      <c r="Q33" s="315"/>
      <c r="R33" s="315">
        <f ca="1">IFERROR(Calculations!J414, "")</f>
        <v>28</v>
      </c>
      <c r="S33" s="315"/>
      <c r="T33" s="315"/>
      <c r="U33" s="315">
        <f ca="1">IFERROR(Calculations!K414, "")</f>
        <v>3518</v>
      </c>
      <c r="V33" s="315"/>
      <c r="W33" s="315">
        <f ca="1">IFERROR(Calculations!L414, "")</f>
        <v>82535</v>
      </c>
      <c r="X33" s="316"/>
      <c r="AZ33"/>
    </row>
    <row r="34" spans="2:52" s="206" customFormat="1" ht="38.1" customHeight="1" thickBot="1" x14ac:dyDescent="0.3">
      <c r="B34" s="331">
        <f ca="1">IFERROR(Calculations!D415, "")</f>
        <v>42970.625057870369</v>
      </c>
      <c r="C34" s="332"/>
      <c r="D34" s="333" t="str">
        <f ca="1">IFERROR(Calculations!E415, "")</f>
        <v>100xsuccess</v>
      </c>
      <c r="E34" s="333"/>
      <c r="F34" s="333"/>
      <c r="G34" s="334" t="str">
        <f ca="1">IFERROR(Calculations!F415, "")</f>
        <v>image</v>
      </c>
      <c r="H34" s="334"/>
      <c r="I34" s="335" t="str">
        <f ca="1">IFERROR(HYPERLINK(Calculations!H415, LEFT(Calculations!G415, 80)&amp;IF(LEN(Calculations!G415)&gt;80, "…", "")), "")</f>
        <v>Be unstoppable 💯❌ Follow us to success @100xsuccess 🔥 • 📷 @markdumbletonphoto</v>
      </c>
      <c r="J34" s="335"/>
      <c r="K34" s="335"/>
      <c r="L34" s="335"/>
      <c r="M34" s="335"/>
      <c r="N34" s="335"/>
      <c r="O34" s="336">
        <f ca="1">IFERROR(Calculations!I415, "")</f>
        <v>3352</v>
      </c>
      <c r="P34" s="336"/>
      <c r="Q34" s="336"/>
      <c r="R34" s="336">
        <f ca="1">IFERROR(Calculations!J415, "")</f>
        <v>30</v>
      </c>
      <c r="S34" s="336"/>
      <c r="T34" s="336"/>
      <c r="U34" s="336">
        <f ca="1">IFERROR(Calculations!K415, "")</f>
        <v>3382</v>
      </c>
      <c r="V34" s="336"/>
      <c r="W34" s="336">
        <f ca="1">IFERROR(Calculations!L415, "")</f>
        <v>72294</v>
      </c>
      <c r="X34" s="337"/>
      <c r="AZ34"/>
    </row>
    <row r="35" spans="2:52" s="206" customFormat="1" ht="14.25" customHeight="1" x14ac:dyDescent="0.25">
      <c r="AZ35"/>
    </row>
    <row r="42" spans="2:52" s="206" customFormat="1" ht="15" customHeight="1" x14ac:dyDescent="0.25">
      <c r="I42" s="207"/>
      <c r="J42" s="207"/>
      <c r="AZ42"/>
    </row>
  </sheetData>
  <mergeCells count="180">
    <mergeCell ref="U33:V33"/>
    <mergeCell ref="W33:X33"/>
    <mergeCell ref="B34:C34"/>
    <mergeCell ref="D34:F34"/>
    <mergeCell ref="G34:H34"/>
    <mergeCell ref="I34:N34"/>
    <mergeCell ref="O34:Q34"/>
    <mergeCell ref="R34:T34"/>
    <mergeCell ref="U34:V34"/>
    <mergeCell ref="W34:X34"/>
    <mergeCell ref="B33:C33"/>
    <mergeCell ref="D33:F33"/>
    <mergeCell ref="G33:H33"/>
    <mergeCell ref="I33:N33"/>
    <mergeCell ref="O33:Q33"/>
    <mergeCell ref="R33:T33"/>
    <mergeCell ref="U31:V31"/>
    <mergeCell ref="W31:X31"/>
    <mergeCell ref="B32:C32"/>
    <mergeCell ref="D32:F32"/>
    <mergeCell ref="G32:H32"/>
    <mergeCell ref="I32:N32"/>
    <mergeCell ref="O32:Q32"/>
    <mergeCell ref="R32:T32"/>
    <mergeCell ref="U32:V32"/>
    <mergeCell ref="W32:X32"/>
    <mergeCell ref="B31:C31"/>
    <mergeCell ref="D31:F31"/>
    <mergeCell ref="G31:H31"/>
    <mergeCell ref="I31:N31"/>
    <mergeCell ref="O31:Q31"/>
    <mergeCell ref="R31:T31"/>
    <mergeCell ref="U29:V29"/>
    <mergeCell ref="W29:X29"/>
    <mergeCell ref="B30:C30"/>
    <mergeCell ref="D30:F30"/>
    <mergeCell ref="G30:H30"/>
    <mergeCell ref="I30:N30"/>
    <mergeCell ref="O30:Q30"/>
    <mergeCell ref="R30:T30"/>
    <mergeCell ref="U30:V30"/>
    <mergeCell ref="W30:X30"/>
    <mergeCell ref="B29:C29"/>
    <mergeCell ref="D29:F29"/>
    <mergeCell ref="G29:H29"/>
    <mergeCell ref="I29:N29"/>
    <mergeCell ref="O29:Q29"/>
    <mergeCell ref="R29:T29"/>
    <mergeCell ref="U27:V27"/>
    <mergeCell ref="W27:X27"/>
    <mergeCell ref="B28:C28"/>
    <mergeCell ref="D28:F28"/>
    <mergeCell ref="G28:H28"/>
    <mergeCell ref="I28:N28"/>
    <mergeCell ref="O28:Q28"/>
    <mergeCell ref="R28:T28"/>
    <mergeCell ref="U28:V28"/>
    <mergeCell ref="W28:X28"/>
    <mergeCell ref="B27:C27"/>
    <mergeCell ref="D27:F27"/>
    <mergeCell ref="G27:H27"/>
    <mergeCell ref="I27:N27"/>
    <mergeCell ref="O27:Q27"/>
    <mergeCell ref="R27:T27"/>
    <mergeCell ref="U25:V25"/>
    <mergeCell ref="W25:X25"/>
    <mergeCell ref="B26:C26"/>
    <mergeCell ref="D26:F26"/>
    <mergeCell ref="G26:H26"/>
    <mergeCell ref="I26:N26"/>
    <mergeCell ref="O26:Q26"/>
    <mergeCell ref="R26:T26"/>
    <mergeCell ref="U26:V26"/>
    <mergeCell ref="W26:X26"/>
    <mergeCell ref="B25:C25"/>
    <mergeCell ref="D25:F25"/>
    <mergeCell ref="G25:H25"/>
    <mergeCell ref="I25:N25"/>
    <mergeCell ref="O25:Q25"/>
    <mergeCell ref="R25:T25"/>
    <mergeCell ref="U23:V23"/>
    <mergeCell ref="W23:X23"/>
    <mergeCell ref="B24:C24"/>
    <mergeCell ref="D24:F24"/>
    <mergeCell ref="G24:H24"/>
    <mergeCell ref="I24:N24"/>
    <mergeCell ref="O24:Q24"/>
    <mergeCell ref="R24:T24"/>
    <mergeCell ref="U24:V24"/>
    <mergeCell ref="W24:X24"/>
    <mergeCell ref="B23:C23"/>
    <mergeCell ref="D23:F23"/>
    <mergeCell ref="G23:H23"/>
    <mergeCell ref="I23:N23"/>
    <mergeCell ref="O23:Q23"/>
    <mergeCell ref="R23:T23"/>
    <mergeCell ref="U21:V21"/>
    <mergeCell ref="W21:X21"/>
    <mergeCell ref="B22:C22"/>
    <mergeCell ref="D22:F22"/>
    <mergeCell ref="G22:H22"/>
    <mergeCell ref="I22:N22"/>
    <mergeCell ref="O22:Q22"/>
    <mergeCell ref="R22:T22"/>
    <mergeCell ref="U22:V22"/>
    <mergeCell ref="W22:X22"/>
    <mergeCell ref="B21:C21"/>
    <mergeCell ref="D21:F21"/>
    <mergeCell ref="G21:H21"/>
    <mergeCell ref="I21:N21"/>
    <mergeCell ref="O21:Q21"/>
    <mergeCell ref="R21:T21"/>
    <mergeCell ref="U19:V19"/>
    <mergeCell ref="W19:X19"/>
    <mergeCell ref="B20:C20"/>
    <mergeCell ref="D20:F20"/>
    <mergeCell ref="G20:H20"/>
    <mergeCell ref="I20:N20"/>
    <mergeCell ref="O20:Q20"/>
    <mergeCell ref="R20:T20"/>
    <mergeCell ref="U20:V20"/>
    <mergeCell ref="W20:X20"/>
    <mergeCell ref="B19:C19"/>
    <mergeCell ref="D19:F19"/>
    <mergeCell ref="G19:H19"/>
    <mergeCell ref="I19:N19"/>
    <mergeCell ref="O19:Q19"/>
    <mergeCell ref="R19:T19"/>
    <mergeCell ref="U17:V17"/>
    <mergeCell ref="W17:X17"/>
    <mergeCell ref="B18:C18"/>
    <mergeCell ref="D18:F18"/>
    <mergeCell ref="G18:H18"/>
    <mergeCell ref="I18:N18"/>
    <mergeCell ref="O18:Q18"/>
    <mergeCell ref="R18:T18"/>
    <mergeCell ref="U18:V18"/>
    <mergeCell ref="W18:X18"/>
    <mergeCell ref="B17:C17"/>
    <mergeCell ref="D17:F17"/>
    <mergeCell ref="G17:H17"/>
    <mergeCell ref="I17:N17"/>
    <mergeCell ref="O17:Q17"/>
    <mergeCell ref="R17:T17"/>
    <mergeCell ref="B16:C16"/>
    <mergeCell ref="D16:F16"/>
    <mergeCell ref="G16:H16"/>
    <mergeCell ref="I16:N16"/>
    <mergeCell ref="O16:Q16"/>
    <mergeCell ref="R16:T16"/>
    <mergeCell ref="U16:V16"/>
    <mergeCell ref="W16:X16"/>
    <mergeCell ref="B15:C15"/>
    <mergeCell ref="D15:F15"/>
    <mergeCell ref="G15:H15"/>
    <mergeCell ref="I15:N15"/>
    <mergeCell ref="O15:Q15"/>
    <mergeCell ref="R15:T15"/>
    <mergeCell ref="B14:C14"/>
    <mergeCell ref="D14:F14"/>
    <mergeCell ref="G14:H14"/>
    <mergeCell ref="I14:N14"/>
    <mergeCell ref="O14:Q14"/>
    <mergeCell ref="R14:T14"/>
    <mergeCell ref="U14:V14"/>
    <mergeCell ref="W14:X14"/>
    <mergeCell ref="U15:V15"/>
    <mergeCell ref="W15:X15"/>
    <mergeCell ref="A1:X1"/>
    <mergeCell ref="R2:V2"/>
    <mergeCell ref="B11:X11"/>
    <mergeCell ref="B12:D12"/>
    <mergeCell ref="E12:H12"/>
    <mergeCell ref="I13:J13"/>
    <mergeCell ref="K13:M13"/>
    <mergeCell ref="N13:P13"/>
    <mergeCell ref="Q13:R13"/>
    <mergeCell ref="S13:U13"/>
    <mergeCell ref="H6:I6"/>
    <mergeCell ref="V13:X13"/>
  </mergeCells>
  <conditionalFormatting sqref="P2">
    <cfRule type="expression" dxfId="1" priority="2">
      <formula>$N$3="Minute"</formula>
    </cfRule>
  </conditionalFormatting>
  <conditionalFormatting sqref="P3">
    <cfRule type="expression" dxfId="0" priority="1">
      <formula>$N$3="Minute"</formula>
    </cfRule>
  </conditionalFormatting>
  <dataValidations count="1">
    <dataValidation type="list" allowBlank="1" showInputMessage="1" showErrorMessage="1" sqref="H6">
      <formula1>"Custom,24 Hours,48 Hours,7 Days,14 Days,30 Days,4 Weeks,3 Months,6 Months"</formula1>
    </dataValidation>
  </dataValidations>
  <pageMargins left="0.25" right="0.25" top="0.75" bottom="0.75" header="0" footer="0"/>
  <pageSetup scale="76" fitToHeight="0" orientation="landscape" horizontalDpi="301" verticalDpi="300" r:id="rId1"/>
  <rowBreaks count="3" manualBreakCount="3">
    <brk id="34" max="24" man="1"/>
    <brk id="60" max="24" man="1"/>
    <brk id="81" max="24" man="1"/>
  </rowBreaks>
  <colBreaks count="1" manualBreakCount="1">
    <brk id="25" max="1048575" man="1"/>
  </col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Calculations!$B$388:$B$392</xm:f>
          </x14:formula1>
          <xm:sqref>E12:H12</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autoPageBreaks="0"/>
  </sheetPr>
  <dimension ref="A1:XN128"/>
  <sheetViews>
    <sheetView showGridLines="0" zoomScaleNormal="100" workbookViewId="0">
      <pane xSplit="2" ySplit="2" topLeftCell="C3" activePane="bottomRight" state="frozen"/>
      <selection pane="topRight" activeCell="C1" sqref="C1"/>
      <selection pane="bottomLeft" activeCell="A3" sqref="A3"/>
      <selection pane="bottomRight"/>
    </sheetView>
  </sheetViews>
  <sheetFormatPr defaultColWidth="11.42578125" defaultRowHeight="15" customHeight="1" x14ac:dyDescent="0.25"/>
  <cols>
    <col min="1" max="1" width="7.140625" customWidth="1"/>
    <col min="2" max="2" width="15.28515625" customWidth="1"/>
    <col min="3" max="4" width="13.42578125" customWidth="1"/>
    <col min="5" max="5" width="1.7109375" style="21" customWidth="1"/>
    <col min="6" max="8" width="12.7109375" style="21" customWidth="1"/>
    <col min="9" max="9" width="14.5703125" style="21" bestFit="1" customWidth="1"/>
    <col min="10" max="10" width="1.7109375" style="21" customWidth="1"/>
    <col min="11" max="11" width="16.140625" bestFit="1" customWidth="1"/>
    <col min="12" max="12" width="21.5703125" bestFit="1" customWidth="1"/>
    <col min="13" max="13" width="21.5703125" customWidth="1"/>
    <col min="14" max="14" width="1.7109375" style="21" customWidth="1"/>
    <col min="15" max="15" width="12" customWidth="1"/>
    <col min="16" max="16" width="1.7109375" style="21" customWidth="1"/>
    <col min="17" max="17" width="21.140625" style="15" bestFit="1" customWidth="1"/>
    <col min="18" max="18" width="1.7109375" style="21" customWidth="1"/>
    <col min="19" max="19" width="20.5703125" bestFit="1" customWidth="1"/>
    <col min="20" max="20" width="1.7109375" style="21" customWidth="1"/>
    <col min="21" max="21" width="7.28515625" style="21" bestFit="1" customWidth="1"/>
    <col min="22" max="22" width="1.7109375" style="21" customWidth="1"/>
    <col min="23" max="23" width="14.42578125" bestFit="1" customWidth="1"/>
    <col min="24" max="24" width="6.5703125" bestFit="1" customWidth="1"/>
    <col min="25" max="25" width="1.7109375" style="21" customWidth="1"/>
    <col min="26" max="28" width="17.28515625" bestFit="1" customWidth="1"/>
    <col min="30" max="30" width="1.7109375" style="21" customWidth="1"/>
    <col min="31" max="31" width="25.5703125" bestFit="1" customWidth="1"/>
    <col min="32" max="32" width="6.5703125" customWidth="1"/>
    <col min="47" max="47" width="0" hidden="1" customWidth="1"/>
    <col min="638" max="638" width="0" hidden="1" customWidth="1"/>
  </cols>
  <sheetData>
    <row r="1" spans="1:638" s="176" customFormat="1" ht="15" customHeight="1" x14ac:dyDescent="0.25">
      <c r="A1" s="46" t="s">
        <v>65</v>
      </c>
      <c r="B1" s="46"/>
      <c r="C1" s="46"/>
      <c r="D1" s="46"/>
      <c r="E1" s="65"/>
      <c r="F1" s="179" t="s">
        <v>2306</v>
      </c>
      <c r="G1" s="65"/>
      <c r="H1" s="65"/>
      <c r="I1" s="65"/>
      <c r="J1" s="175"/>
      <c r="K1" s="179" t="s">
        <v>2003</v>
      </c>
      <c r="L1" s="65"/>
      <c r="M1" s="65"/>
      <c r="N1" s="175"/>
      <c r="P1" s="175"/>
      <c r="R1" s="175"/>
      <c r="T1" s="175"/>
      <c r="U1" s="177"/>
      <c r="V1" s="175"/>
      <c r="Y1" s="175"/>
      <c r="AD1" s="175"/>
      <c r="AU1" s="176" t="s">
        <v>66</v>
      </c>
      <c r="XN1" s="178" t="s">
        <v>2000</v>
      </c>
    </row>
    <row r="2" spans="1:638" ht="15" customHeight="1" x14ac:dyDescent="0.25">
      <c r="A2" s="47" t="s">
        <v>68</v>
      </c>
      <c r="B2" s="48" t="s">
        <v>69</v>
      </c>
      <c r="C2" s="49" t="s">
        <v>67</v>
      </c>
      <c r="D2" s="47" t="s">
        <v>5</v>
      </c>
      <c r="E2" s="63"/>
      <c r="F2" s="149" t="s">
        <v>2039</v>
      </c>
      <c r="G2" s="150" t="s">
        <v>2040</v>
      </c>
      <c r="H2" s="250" t="s">
        <v>2467</v>
      </c>
      <c r="I2" s="150" t="s">
        <v>2021</v>
      </c>
      <c r="J2" s="148"/>
      <c r="K2" s="150" t="s">
        <v>4</v>
      </c>
      <c r="L2" s="150" t="s">
        <v>62</v>
      </c>
      <c r="M2" s="150" t="s">
        <v>61</v>
      </c>
      <c r="N2" s="148"/>
      <c r="O2" s="148" t="s">
        <v>71</v>
      </c>
      <c r="P2" s="148"/>
      <c r="Q2" s="147" t="s">
        <v>72</v>
      </c>
      <c r="R2" s="148"/>
      <c r="S2" s="146" t="s">
        <v>2022</v>
      </c>
      <c r="T2" s="148"/>
      <c r="U2" s="146" t="s">
        <v>2038</v>
      </c>
      <c r="V2" s="148"/>
      <c r="W2" s="146" t="s">
        <v>2041</v>
      </c>
      <c r="X2" s="146" t="s">
        <v>2047</v>
      </c>
      <c r="Y2" s="148"/>
      <c r="Z2" s="146" t="s">
        <v>2048</v>
      </c>
      <c r="AA2" s="146" t="s">
        <v>2049</v>
      </c>
      <c r="AB2" s="146" t="s">
        <v>2050</v>
      </c>
      <c r="AC2" s="146" t="s">
        <v>2047</v>
      </c>
      <c r="AD2" s="63"/>
      <c r="AE2" s="145" t="s">
        <v>2313</v>
      </c>
      <c r="AF2" s="145" t="s">
        <v>2047</v>
      </c>
      <c r="XN2" s="79"/>
    </row>
    <row r="3" spans="1:638" ht="15" customHeight="1" x14ac:dyDescent="0.25">
      <c r="A3" s="51">
        <f t="shared" ref="A3:A62" si="0">C3</f>
        <v>42868</v>
      </c>
      <c r="B3" s="52">
        <f>IF(C4&lt;Charts!$H$3,0,IF(DATE(YEAR(Charts!$H$3),MONTH(Charts!$H$3),DAY(Charts!$H$3))=DATE(YEAR(C4), MONTH(C4),DAY(C4)),0,TEXT(C3,"m/d/yy")&amp;"-"&amp;TEXT(C3+6,"m/d/yy")))</f>
        <v>0</v>
      </c>
      <c r="C3" s="53">
        <f>IF(Controls!$J$24="Monthly",DATE(YEAR(C4),MONTH(C4)-1,1),C4-Controls!$I$24)</f>
        <v>42868</v>
      </c>
      <c r="D3" s="54">
        <f t="shared" ref="D3:D62" si="1">C3</f>
        <v>42868</v>
      </c>
      <c r="E3" s="64"/>
      <c r="F3" s="96">
        <f>COUNTIFS(Media!C:C, "&gt;="&amp;$C3, Media!C:C, "&lt;"&amp;$C4, Media!G:G,"image")</f>
        <v>0</v>
      </c>
      <c r="G3" s="97">
        <f>COUNTIFS(Media!C:C, "&gt;="&amp;$C3, Media!C:C, "&lt;"&amp;$C4, Media!G:G,"video")</f>
        <v>0</v>
      </c>
      <c r="H3" s="251">
        <f>COUNTIFS(Media!C:C, "&gt;="&amp;$C3, Media!C:C, "&lt;"&amp;$C4, Media!G:G,"carousel")</f>
        <v>0</v>
      </c>
      <c r="I3" s="97">
        <f>SUM(F3:H3)</f>
        <v>0</v>
      </c>
      <c r="J3" s="64"/>
      <c r="K3" s="97">
        <f>SUMIFS(Media!K:K, Media!$C:$C, "&gt;="&amp;$C3, Media!$C:$C, "&lt;"&amp;$C4)</f>
        <v>0</v>
      </c>
      <c r="L3" s="97">
        <f>SUMIFS(Media!J:J, Media!$C:$C, "&gt;="&amp;$C3, Media!$C:$C, "&lt;"&amp;$C4)</f>
        <v>0</v>
      </c>
      <c r="M3" s="97">
        <f>K3+L3</f>
        <v>0</v>
      </c>
      <c r="N3" s="64"/>
      <c r="O3" s="99">
        <f>SUMIFS(Media!M:M, Media!$C:$C, "&gt;="&amp;$C3, Media!$C:$C, "&lt;"&amp;$C4)</f>
        <v>0</v>
      </c>
      <c r="P3" s="64"/>
      <c r="Q3" s="98">
        <f>SUMIFS(Media!Q:Q, Media!$C:$C, "&gt;="&amp;$C3, Media!$C:$C, "&lt;"&amp;$C4)</f>
        <v>0</v>
      </c>
      <c r="R3" s="64"/>
      <c r="S3" s="100">
        <f>SUMIFS(Media!H:H, Media!$C:$C, "&gt;="&amp;$C3, Media!$C:$C, "&lt;"&amp;$C4)</f>
        <v>0</v>
      </c>
      <c r="T3" s="64"/>
      <c r="U3" s="100">
        <v>1</v>
      </c>
      <c r="V3" s="64"/>
      <c r="W3" s="130" t="e">
        <f ca="1">IF($C3=Calculations!$C$53, I3, NA())</f>
        <v>#N/A</v>
      </c>
      <c r="X3" s="103" t="e">
        <f ca="1">W3*1.1</f>
        <v>#N/A</v>
      </c>
      <c r="Y3" s="64"/>
      <c r="Z3" s="130" t="e">
        <f ca="1">IF($C3=Calculations!$E$85, M3, NA())</f>
        <v>#N/A</v>
      </c>
      <c r="AA3" s="130" t="e">
        <f ca="1">IF($C3=Calculations!$E$86, M3, NA())</f>
        <v>#N/A</v>
      </c>
      <c r="AB3" s="130" t="e">
        <f ca="1">IF($C3=Calculations!$E$87, M3, NA())</f>
        <v>#N/A</v>
      </c>
      <c r="AC3" s="130" t="e">
        <f ca="1">Z3*1.1</f>
        <v>#N/A</v>
      </c>
      <c r="AD3" s="64"/>
      <c r="AE3" s="130" t="e">
        <f ca="1">IF($C3=Calculations!$C$142,Tables!S3, NA())</f>
        <v>#N/A</v>
      </c>
      <c r="AF3" s="130" t="e">
        <f ca="1">AE3*1.1</f>
        <v>#N/A</v>
      </c>
      <c r="XN3" s="79"/>
    </row>
    <row r="4" spans="1:638" ht="15" customHeight="1" x14ac:dyDescent="0.25">
      <c r="A4" s="51">
        <f t="shared" si="0"/>
        <v>42869</v>
      </c>
      <c r="B4" s="52">
        <f>IF(C5&lt;Charts!$H$3,0,IF(DATE(YEAR(Charts!$H$3),MONTH(Charts!$H$3),DAY(Charts!$H$3))=DATE(YEAR(C5), MONTH(C5),DAY(C5)),0,TEXT(C4,"m/d/yy")&amp;"-"&amp;TEXT(C4+6,"m/d/yy")))</f>
        <v>0</v>
      </c>
      <c r="C4" s="53">
        <f>IF(Controls!$J$24="Monthly",DATE(YEAR(C5),MONTH(C5)-1,1),C5-Controls!$I$24)</f>
        <v>42869</v>
      </c>
      <c r="D4" s="54">
        <f t="shared" si="1"/>
        <v>42869</v>
      </c>
      <c r="E4" s="64"/>
      <c r="F4" s="96">
        <f>COUNTIFS(Media!C:C, "&gt;="&amp;$C4, Media!C:C, "&lt;"&amp;$C5, Media!G:G,"image")</f>
        <v>0</v>
      </c>
      <c r="G4" s="97">
        <f>COUNTIFS(Media!C:C, "&gt;="&amp;$C4, Media!C:C, "&lt;"&amp;$C5, Media!G:G,"video")</f>
        <v>0</v>
      </c>
      <c r="H4" s="251">
        <f>COUNTIFS(Media!C:C, "&gt;="&amp;$C4, Media!C:C, "&lt;"&amp;$C5, Media!G:G,"carousel")</f>
        <v>0</v>
      </c>
      <c r="I4" s="97">
        <f t="shared" ref="I4:I67" si="2">SUM(F4:H4)</f>
        <v>0</v>
      </c>
      <c r="J4" s="64"/>
      <c r="K4" s="97">
        <f>SUMIFS(Media!K:K, Media!$C:$C, "&gt;="&amp;$C4, Media!$C:$C, "&lt;"&amp;$C5)</f>
        <v>0</v>
      </c>
      <c r="L4" s="97">
        <f>SUMIFS(Media!J:J, Media!$C:$C, "&gt;="&amp;$C4, Media!$C:$C, "&lt;"&amp;$C5)</f>
        <v>0</v>
      </c>
      <c r="M4" s="97">
        <f t="shared" ref="M4:M67" si="3">K4+L4</f>
        <v>0</v>
      </c>
      <c r="N4" s="64"/>
      <c r="O4" s="99">
        <f>SUMIFS(Media!M:M, Media!$C:$C, "&gt;="&amp;$C4, Media!$C:$C, "&lt;"&amp;$C5)</f>
        <v>0</v>
      </c>
      <c r="P4" s="64"/>
      <c r="Q4" s="98">
        <f>SUMIFS(Media!Q:Q, Media!$C:$C, "&gt;="&amp;$C4, Media!$C:$C, "&lt;"&amp;$C5)</f>
        <v>0</v>
      </c>
      <c r="R4" s="64"/>
      <c r="S4" s="100">
        <f>SUMIFS(Media!H:H, Media!$C:$C, "&gt;="&amp;$C4, Media!$C:$C, "&lt;"&amp;$C5)</f>
        <v>0</v>
      </c>
      <c r="T4" s="64"/>
      <c r="U4" s="100">
        <f>U3+1</f>
        <v>2</v>
      </c>
      <c r="V4" s="64"/>
      <c r="W4" s="130" t="e">
        <f ca="1">IF($C4=Calculations!$C$53, I4, NA())</f>
        <v>#N/A</v>
      </c>
      <c r="X4" s="103" t="e">
        <f t="shared" ref="X4:X67" ca="1" si="4">W4*1.1</f>
        <v>#N/A</v>
      </c>
      <c r="Y4" s="64"/>
      <c r="Z4" s="130" t="e">
        <f ca="1">IF($C4=Calculations!$E$85, M4, NA())</f>
        <v>#N/A</v>
      </c>
      <c r="AA4" s="130" t="e">
        <f ca="1">IF($C4=Calculations!$E$86, M4, NA())</f>
        <v>#N/A</v>
      </c>
      <c r="AB4" s="130" t="e">
        <f ca="1">IF($C4=Calculations!$E$87, M4, NA())</f>
        <v>#N/A</v>
      </c>
      <c r="AC4" s="130" t="e">
        <f t="shared" ref="AC4:AC67" ca="1" si="5">Z4*1.1</f>
        <v>#N/A</v>
      </c>
      <c r="AD4" s="64"/>
      <c r="AE4" s="130" t="e">
        <f ca="1">IF($C4=Calculations!$C$142,Tables!S4, NA())</f>
        <v>#N/A</v>
      </c>
      <c r="AF4" s="130" t="e">
        <f t="shared" ref="AF4:AF67" ca="1" si="6">AE4*1.1</f>
        <v>#N/A</v>
      </c>
      <c r="XN4" s="79"/>
    </row>
    <row r="5" spans="1:638" ht="15" customHeight="1" x14ac:dyDescent="0.25">
      <c r="A5" s="51">
        <f t="shared" si="0"/>
        <v>42870</v>
      </c>
      <c r="B5" s="52">
        <f>IF(C6&lt;Charts!$H$3,0,IF(DATE(YEAR(Charts!$H$3),MONTH(Charts!$H$3),DAY(Charts!$H$3))=DATE(YEAR(C6), MONTH(C6),DAY(C6)),0,TEXT(C5,"m/d/yy")&amp;"-"&amp;TEXT(C5+6,"m/d/yy")))</f>
        <v>0</v>
      </c>
      <c r="C5" s="53">
        <f>IF(Controls!$J$24="Monthly",DATE(YEAR(C6),MONTH(C6)-1,1),C6-Controls!$I$24)</f>
        <v>42870</v>
      </c>
      <c r="D5" s="54">
        <f t="shared" si="1"/>
        <v>42870</v>
      </c>
      <c r="E5" s="64"/>
      <c r="F5" s="96">
        <f>COUNTIFS(Media!C:C, "&gt;="&amp;$C5, Media!C:C, "&lt;"&amp;$C6, Media!G:G,"image")</f>
        <v>0</v>
      </c>
      <c r="G5" s="97">
        <f>COUNTIFS(Media!C:C, "&gt;="&amp;$C5, Media!C:C, "&lt;"&amp;$C6, Media!G:G,"video")</f>
        <v>0</v>
      </c>
      <c r="H5" s="251">
        <f>COUNTIFS(Media!C:C, "&gt;="&amp;$C5, Media!C:C, "&lt;"&amp;$C6, Media!G:G,"carousel")</f>
        <v>0</v>
      </c>
      <c r="I5" s="97">
        <f t="shared" si="2"/>
        <v>0</v>
      </c>
      <c r="J5" s="64"/>
      <c r="K5" s="97">
        <f>SUMIFS(Media!K:K, Media!$C:$C, "&gt;="&amp;$C5, Media!$C:$C, "&lt;"&amp;$C6)</f>
        <v>0</v>
      </c>
      <c r="L5" s="97">
        <f>SUMIFS(Media!J:J, Media!$C:$C, "&gt;="&amp;$C5, Media!$C:$C, "&lt;"&amp;$C6)</f>
        <v>0</v>
      </c>
      <c r="M5" s="97">
        <f t="shared" si="3"/>
        <v>0</v>
      </c>
      <c r="N5" s="64"/>
      <c r="O5" s="99">
        <f>SUMIFS(Media!M:M, Media!$C:$C, "&gt;="&amp;$C5, Media!$C:$C, "&lt;"&amp;$C6)</f>
        <v>0</v>
      </c>
      <c r="P5" s="64"/>
      <c r="Q5" s="98">
        <f>SUMIFS(Media!Q:Q, Media!$C:$C, "&gt;="&amp;$C5, Media!$C:$C, "&lt;"&amp;$C6)</f>
        <v>0</v>
      </c>
      <c r="R5" s="64"/>
      <c r="S5" s="100">
        <f>SUMIFS(Media!H:H, Media!$C:$C, "&gt;="&amp;$C5, Media!$C:$C, "&lt;"&amp;$C6)</f>
        <v>0</v>
      </c>
      <c r="T5" s="64"/>
      <c r="U5" s="100">
        <f t="shared" ref="U5:U68" si="7">U4+1</f>
        <v>3</v>
      </c>
      <c r="V5" s="64"/>
      <c r="W5" s="130" t="e">
        <f ca="1">IF($C5=Calculations!$C$53, I5, NA())</f>
        <v>#N/A</v>
      </c>
      <c r="X5" s="103" t="e">
        <f t="shared" ca="1" si="4"/>
        <v>#N/A</v>
      </c>
      <c r="Y5" s="64"/>
      <c r="Z5" s="130" t="e">
        <f ca="1">IF($C5=Calculations!$E$85, M5, NA())</f>
        <v>#N/A</v>
      </c>
      <c r="AA5" s="130" t="e">
        <f ca="1">IF($C5=Calculations!$E$86, M5, NA())</f>
        <v>#N/A</v>
      </c>
      <c r="AB5" s="130" t="e">
        <f ca="1">IF($C5=Calculations!$E$87, M5, NA())</f>
        <v>#N/A</v>
      </c>
      <c r="AC5" s="130" t="e">
        <f t="shared" ca="1" si="5"/>
        <v>#N/A</v>
      </c>
      <c r="AD5" s="64"/>
      <c r="AE5" s="130" t="e">
        <f ca="1">IF($C5=Calculations!$C$142,Tables!S5, NA())</f>
        <v>#N/A</v>
      </c>
      <c r="AF5" s="130" t="e">
        <f t="shared" ca="1" si="6"/>
        <v>#N/A</v>
      </c>
      <c r="XN5" s="79"/>
    </row>
    <row r="6" spans="1:638" ht="15" customHeight="1" x14ac:dyDescent="0.25">
      <c r="A6" s="51">
        <f t="shared" si="0"/>
        <v>42871</v>
      </c>
      <c r="B6" s="52">
        <f>IF(C7&lt;Charts!$H$3,0,IF(DATE(YEAR(Charts!$H$3),MONTH(Charts!$H$3),DAY(Charts!$H$3))=DATE(YEAR(C7), MONTH(C7),DAY(C7)),0,TEXT(C6,"m/d/yy")&amp;"-"&amp;TEXT(C6+6,"m/d/yy")))</f>
        <v>0</v>
      </c>
      <c r="C6" s="53">
        <f>IF(Controls!$J$24="Monthly",DATE(YEAR(C7),MONTH(C7)-1,1),C7-Controls!$I$24)</f>
        <v>42871</v>
      </c>
      <c r="D6" s="54">
        <f t="shared" si="1"/>
        <v>42871</v>
      </c>
      <c r="E6" s="64"/>
      <c r="F6" s="96">
        <f>COUNTIFS(Media!C:C, "&gt;="&amp;$C6, Media!C:C, "&lt;"&amp;$C7, Media!G:G,"image")</f>
        <v>0</v>
      </c>
      <c r="G6" s="97">
        <f>COUNTIFS(Media!C:C, "&gt;="&amp;$C6, Media!C:C, "&lt;"&amp;$C7, Media!G:G,"video")</f>
        <v>0</v>
      </c>
      <c r="H6" s="251">
        <f>COUNTIFS(Media!C:C, "&gt;="&amp;$C6, Media!C:C, "&lt;"&amp;$C7, Media!G:G,"carousel")</f>
        <v>0</v>
      </c>
      <c r="I6" s="97">
        <f t="shared" si="2"/>
        <v>0</v>
      </c>
      <c r="J6" s="64"/>
      <c r="K6" s="97">
        <f>SUMIFS(Media!K:K, Media!$C:$C, "&gt;="&amp;$C6, Media!$C:$C, "&lt;"&amp;$C7)</f>
        <v>0</v>
      </c>
      <c r="L6" s="97">
        <f>SUMIFS(Media!J:J, Media!$C:$C, "&gt;="&amp;$C6, Media!$C:$C, "&lt;"&amp;$C7)</f>
        <v>0</v>
      </c>
      <c r="M6" s="97">
        <f t="shared" si="3"/>
        <v>0</v>
      </c>
      <c r="N6" s="64"/>
      <c r="O6" s="99">
        <f>SUMIFS(Media!M:M, Media!$C:$C, "&gt;="&amp;$C6, Media!$C:$C, "&lt;"&amp;$C7)</f>
        <v>0</v>
      </c>
      <c r="P6" s="64"/>
      <c r="Q6" s="98">
        <f>SUMIFS(Media!Q:Q, Media!$C:$C, "&gt;="&amp;$C6, Media!$C:$C, "&lt;"&amp;$C7)</f>
        <v>0</v>
      </c>
      <c r="R6" s="64"/>
      <c r="S6" s="100">
        <f>SUMIFS(Media!H:H, Media!$C:$C, "&gt;="&amp;$C6, Media!$C:$C, "&lt;"&amp;$C7)</f>
        <v>0</v>
      </c>
      <c r="T6" s="64"/>
      <c r="U6" s="100">
        <f t="shared" si="7"/>
        <v>4</v>
      </c>
      <c r="V6" s="64"/>
      <c r="W6" s="130" t="e">
        <f ca="1">IF($C6=Calculations!$C$53, I6, NA())</f>
        <v>#N/A</v>
      </c>
      <c r="X6" s="103" t="e">
        <f t="shared" ca="1" si="4"/>
        <v>#N/A</v>
      </c>
      <c r="Y6" s="64"/>
      <c r="Z6" s="130" t="e">
        <f ca="1">IF($C6=Calculations!$E$85, M6, NA())</f>
        <v>#N/A</v>
      </c>
      <c r="AA6" s="130" t="e">
        <f ca="1">IF($C6=Calculations!$E$86, M6, NA())</f>
        <v>#N/A</v>
      </c>
      <c r="AB6" s="130" t="e">
        <f ca="1">IF($C6=Calculations!$E$87, M6, NA())</f>
        <v>#N/A</v>
      </c>
      <c r="AC6" s="130" t="e">
        <f t="shared" ca="1" si="5"/>
        <v>#N/A</v>
      </c>
      <c r="AD6" s="64"/>
      <c r="AE6" s="130" t="e">
        <f ca="1">IF($C6=Calculations!$C$142,Tables!S6, NA())</f>
        <v>#N/A</v>
      </c>
      <c r="AF6" s="130" t="e">
        <f t="shared" ca="1" si="6"/>
        <v>#N/A</v>
      </c>
      <c r="XN6" s="79"/>
    </row>
    <row r="7" spans="1:638" ht="15" customHeight="1" x14ac:dyDescent="0.25">
      <c r="A7" s="51">
        <f t="shared" si="0"/>
        <v>42872</v>
      </c>
      <c r="B7" s="52">
        <f>IF(C8&lt;Charts!$H$3,0,IF(DATE(YEAR(Charts!$H$3),MONTH(Charts!$H$3),DAY(Charts!$H$3))=DATE(YEAR(C8), MONTH(C8),DAY(C8)),0,TEXT(C7,"m/d/yy")&amp;"-"&amp;TEXT(C7+6,"m/d/yy")))</f>
        <v>0</v>
      </c>
      <c r="C7" s="53">
        <f>IF(Controls!$J$24="Monthly",DATE(YEAR(C8),MONTH(C8)-1,1),C8-Controls!$I$24)</f>
        <v>42872</v>
      </c>
      <c r="D7" s="54">
        <f t="shared" si="1"/>
        <v>42872</v>
      </c>
      <c r="E7" s="64"/>
      <c r="F7" s="96">
        <f>COUNTIFS(Media!C:C, "&gt;="&amp;$C7, Media!C:C, "&lt;"&amp;$C8, Media!G:G,"image")</f>
        <v>0</v>
      </c>
      <c r="G7" s="97">
        <f>COUNTIFS(Media!C:C, "&gt;="&amp;$C7, Media!C:C, "&lt;"&amp;$C8, Media!G:G,"video")</f>
        <v>0</v>
      </c>
      <c r="H7" s="251">
        <f>COUNTIFS(Media!C:C, "&gt;="&amp;$C7, Media!C:C, "&lt;"&amp;$C8, Media!G:G,"carousel")</f>
        <v>0</v>
      </c>
      <c r="I7" s="97">
        <f t="shared" si="2"/>
        <v>0</v>
      </c>
      <c r="J7" s="64"/>
      <c r="K7" s="97">
        <f>SUMIFS(Media!K:K, Media!$C:$C, "&gt;="&amp;$C7, Media!$C:$C, "&lt;"&amp;$C8)</f>
        <v>0</v>
      </c>
      <c r="L7" s="97">
        <f>SUMIFS(Media!J:J, Media!$C:$C, "&gt;="&amp;$C7, Media!$C:$C, "&lt;"&amp;$C8)</f>
        <v>0</v>
      </c>
      <c r="M7" s="97">
        <f t="shared" si="3"/>
        <v>0</v>
      </c>
      <c r="N7" s="64"/>
      <c r="O7" s="99">
        <f>SUMIFS(Media!M:M, Media!$C:$C, "&gt;="&amp;$C7, Media!$C:$C, "&lt;"&amp;$C8)</f>
        <v>0</v>
      </c>
      <c r="P7" s="64"/>
      <c r="Q7" s="98">
        <f>SUMIFS(Media!Q:Q, Media!$C:$C, "&gt;="&amp;$C7, Media!$C:$C, "&lt;"&amp;$C8)</f>
        <v>0</v>
      </c>
      <c r="R7" s="64"/>
      <c r="S7" s="100">
        <f>SUMIFS(Media!H:H, Media!$C:$C, "&gt;="&amp;$C7, Media!$C:$C, "&lt;"&amp;$C8)</f>
        <v>0</v>
      </c>
      <c r="T7" s="64"/>
      <c r="U7" s="100">
        <f t="shared" si="7"/>
        <v>5</v>
      </c>
      <c r="V7" s="64"/>
      <c r="W7" s="130" t="e">
        <f ca="1">IF($C7=Calculations!$C$53, I7, NA())</f>
        <v>#N/A</v>
      </c>
      <c r="X7" s="103" t="e">
        <f t="shared" ca="1" si="4"/>
        <v>#N/A</v>
      </c>
      <c r="Y7" s="64"/>
      <c r="Z7" s="130" t="e">
        <f ca="1">IF($C7=Calculations!$E$85, M7, NA())</f>
        <v>#N/A</v>
      </c>
      <c r="AA7" s="130" t="e">
        <f ca="1">IF($C7=Calculations!$E$86, M7, NA())</f>
        <v>#N/A</v>
      </c>
      <c r="AB7" s="130" t="e">
        <f ca="1">IF($C7=Calculations!$E$87, M7, NA())</f>
        <v>#N/A</v>
      </c>
      <c r="AC7" s="130" t="e">
        <f t="shared" ca="1" si="5"/>
        <v>#N/A</v>
      </c>
      <c r="AD7" s="64"/>
      <c r="AE7" s="130" t="e">
        <f ca="1">IF($C7=Calculations!$C$142,Tables!S7, NA())</f>
        <v>#N/A</v>
      </c>
      <c r="AF7" s="130" t="e">
        <f t="shared" ca="1" si="6"/>
        <v>#N/A</v>
      </c>
      <c r="XN7" s="79"/>
    </row>
    <row r="8" spans="1:638" ht="15" customHeight="1" x14ac:dyDescent="0.25">
      <c r="A8" s="51">
        <f t="shared" si="0"/>
        <v>42873</v>
      </c>
      <c r="B8" s="52">
        <f>IF(C9&lt;Charts!$H$3,0,IF(DATE(YEAR(Charts!$H$3),MONTH(Charts!$H$3),DAY(Charts!$H$3))=DATE(YEAR(C9), MONTH(C9),DAY(C9)),0,TEXT(C8,"m/d/yy")&amp;"-"&amp;TEXT(C8+6,"m/d/yy")))</f>
        <v>0</v>
      </c>
      <c r="C8" s="53">
        <f>IF(Controls!$J$24="Monthly",DATE(YEAR(C9),MONTH(C9)-1,1),C9-Controls!$I$24)</f>
        <v>42873</v>
      </c>
      <c r="D8" s="54">
        <f t="shared" si="1"/>
        <v>42873</v>
      </c>
      <c r="E8" s="64"/>
      <c r="F8" s="96">
        <f>COUNTIFS(Media!C:C, "&gt;="&amp;$C8, Media!C:C, "&lt;"&amp;$C9, Media!G:G,"image")</f>
        <v>0</v>
      </c>
      <c r="G8" s="97">
        <f>COUNTIFS(Media!C:C, "&gt;="&amp;$C8, Media!C:C, "&lt;"&amp;$C9, Media!G:G,"video")</f>
        <v>0</v>
      </c>
      <c r="H8" s="251">
        <f>COUNTIFS(Media!C:C, "&gt;="&amp;$C8, Media!C:C, "&lt;"&amp;$C9, Media!G:G,"carousel")</f>
        <v>0</v>
      </c>
      <c r="I8" s="97">
        <f t="shared" si="2"/>
        <v>0</v>
      </c>
      <c r="J8" s="64"/>
      <c r="K8" s="97">
        <f>SUMIFS(Media!K:K, Media!$C:$C, "&gt;="&amp;$C8, Media!$C:$C, "&lt;"&amp;$C9)</f>
        <v>0</v>
      </c>
      <c r="L8" s="97">
        <f>SUMIFS(Media!J:J, Media!$C:$C, "&gt;="&amp;$C8, Media!$C:$C, "&lt;"&amp;$C9)</f>
        <v>0</v>
      </c>
      <c r="M8" s="97">
        <f t="shared" si="3"/>
        <v>0</v>
      </c>
      <c r="N8" s="64"/>
      <c r="O8" s="99">
        <f>SUMIFS(Media!M:M, Media!$C:$C, "&gt;="&amp;$C8, Media!$C:$C, "&lt;"&amp;$C9)</f>
        <v>0</v>
      </c>
      <c r="P8" s="64"/>
      <c r="Q8" s="98">
        <f>SUMIFS(Media!Q:Q, Media!$C:$C, "&gt;="&amp;$C8, Media!$C:$C, "&lt;"&amp;$C9)</f>
        <v>0</v>
      </c>
      <c r="R8" s="64"/>
      <c r="S8" s="100">
        <f>SUMIFS(Media!H:H, Media!$C:$C, "&gt;="&amp;$C8, Media!$C:$C, "&lt;"&amp;$C9)</f>
        <v>0</v>
      </c>
      <c r="T8" s="64"/>
      <c r="U8" s="100">
        <f t="shared" si="7"/>
        <v>6</v>
      </c>
      <c r="V8" s="64"/>
      <c r="W8" s="130" t="e">
        <f ca="1">IF($C8=Calculations!$C$53, I8, NA())</f>
        <v>#N/A</v>
      </c>
      <c r="X8" s="103" t="e">
        <f t="shared" ca="1" si="4"/>
        <v>#N/A</v>
      </c>
      <c r="Y8" s="64"/>
      <c r="Z8" s="130" t="e">
        <f ca="1">IF($C8=Calculations!$E$85, M8, NA())</f>
        <v>#N/A</v>
      </c>
      <c r="AA8" s="130" t="e">
        <f ca="1">IF($C8=Calculations!$E$86, M8, NA())</f>
        <v>#N/A</v>
      </c>
      <c r="AB8" s="130" t="e">
        <f ca="1">IF($C8=Calculations!$E$87, M8, NA())</f>
        <v>#N/A</v>
      </c>
      <c r="AC8" s="130" t="e">
        <f t="shared" ca="1" si="5"/>
        <v>#N/A</v>
      </c>
      <c r="AD8" s="64"/>
      <c r="AE8" s="130" t="e">
        <f ca="1">IF($C8=Calculations!$C$142,Tables!S8, NA())</f>
        <v>#N/A</v>
      </c>
      <c r="AF8" s="130" t="e">
        <f t="shared" ca="1" si="6"/>
        <v>#N/A</v>
      </c>
      <c r="XN8" s="79"/>
    </row>
    <row r="9" spans="1:638" ht="15" customHeight="1" x14ac:dyDescent="0.25">
      <c r="A9" s="51">
        <f t="shared" si="0"/>
        <v>42874</v>
      </c>
      <c r="B9" s="52">
        <f>IF(C10&lt;Charts!$H$3,0,IF(DATE(YEAR(Charts!$H$3),MONTH(Charts!$H$3),DAY(Charts!$H$3))=DATE(YEAR(C10), MONTH(C10),DAY(C10)),0,TEXT(C9,"m/d/yy")&amp;"-"&amp;TEXT(C9+6,"m/d/yy")))</f>
        <v>0</v>
      </c>
      <c r="C9" s="53">
        <f>IF(Controls!$J$24="Monthly",DATE(YEAR(C10),MONTH(C10)-1,1),C10-Controls!$I$24)</f>
        <v>42874</v>
      </c>
      <c r="D9" s="54">
        <f t="shared" si="1"/>
        <v>42874</v>
      </c>
      <c r="E9" s="64"/>
      <c r="F9" s="96">
        <f>COUNTIFS(Media!C:C, "&gt;="&amp;$C9, Media!C:C, "&lt;"&amp;$C10, Media!G:G,"image")</f>
        <v>0</v>
      </c>
      <c r="G9" s="97">
        <f>COUNTIFS(Media!C:C, "&gt;="&amp;$C9, Media!C:C, "&lt;"&amp;$C10, Media!G:G,"video")</f>
        <v>0</v>
      </c>
      <c r="H9" s="251">
        <f>COUNTIFS(Media!C:C, "&gt;="&amp;$C9, Media!C:C, "&lt;"&amp;$C10, Media!G:G,"carousel")</f>
        <v>0</v>
      </c>
      <c r="I9" s="97">
        <f t="shared" si="2"/>
        <v>0</v>
      </c>
      <c r="J9" s="64"/>
      <c r="K9" s="97">
        <f>SUMIFS(Media!K:K, Media!$C:$C, "&gt;="&amp;$C9, Media!$C:$C, "&lt;"&amp;$C10)</f>
        <v>0</v>
      </c>
      <c r="L9" s="97">
        <f>SUMIFS(Media!J:J, Media!$C:$C, "&gt;="&amp;$C9, Media!$C:$C, "&lt;"&amp;$C10)</f>
        <v>0</v>
      </c>
      <c r="M9" s="97">
        <f t="shared" si="3"/>
        <v>0</v>
      </c>
      <c r="N9" s="64"/>
      <c r="O9" s="99">
        <f>SUMIFS(Media!M:M, Media!$C:$C, "&gt;="&amp;$C9, Media!$C:$C, "&lt;"&amp;$C10)</f>
        <v>0</v>
      </c>
      <c r="P9" s="64"/>
      <c r="Q9" s="98">
        <f>SUMIFS(Media!Q:Q, Media!$C:$C, "&gt;="&amp;$C9, Media!$C:$C, "&lt;"&amp;$C10)</f>
        <v>0</v>
      </c>
      <c r="R9" s="64"/>
      <c r="S9" s="100">
        <f>SUMIFS(Media!H:H, Media!$C:$C, "&gt;="&amp;$C9, Media!$C:$C, "&lt;"&amp;$C10)</f>
        <v>0</v>
      </c>
      <c r="T9" s="64"/>
      <c r="U9" s="100">
        <f t="shared" si="7"/>
        <v>7</v>
      </c>
      <c r="V9" s="64"/>
      <c r="W9" s="130" t="e">
        <f ca="1">IF($C9=Calculations!$C$53, I9, NA())</f>
        <v>#N/A</v>
      </c>
      <c r="X9" s="103" t="e">
        <f t="shared" ca="1" si="4"/>
        <v>#N/A</v>
      </c>
      <c r="Y9" s="64"/>
      <c r="Z9" s="130" t="e">
        <f ca="1">IF($C9=Calculations!$E$85, M9, NA())</f>
        <v>#N/A</v>
      </c>
      <c r="AA9" s="130" t="e">
        <f ca="1">IF($C9=Calculations!$E$86, M9, NA())</f>
        <v>#N/A</v>
      </c>
      <c r="AB9" s="130" t="e">
        <f ca="1">IF($C9=Calculations!$E$87, M9, NA())</f>
        <v>#N/A</v>
      </c>
      <c r="AC9" s="130" t="e">
        <f t="shared" ca="1" si="5"/>
        <v>#N/A</v>
      </c>
      <c r="AD9" s="64"/>
      <c r="AE9" s="130" t="e">
        <f ca="1">IF($C9=Calculations!$C$142,Tables!S9, NA())</f>
        <v>#N/A</v>
      </c>
      <c r="AF9" s="130" t="e">
        <f t="shared" ca="1" si="6"/>
        <v>#N/A</v>
      </c>
      <c r="XN9" s="79"/>
    </row>
    <row r="10" spans="1:638" ht="15" customHeight="1" x14ac:dyDescent="0.25">
      <c r="A10" s="51">
        <f t="shared" si="0"/>
        <v>42875</v>
      </c>
      <c r="B10" s="52">
        <f>IF(C11&lt;Charts!$H$3,0,IF(DATE(YEAR(Charts!$H$3),MONTH(Charts!$H$3),DAY(Charts!$H$3))=DATE(YEAR(C11), MONTH(C11),DAY(C11)),0,TEXT(C10,"m/d/yy")&amp;"-"&amp;TEXT(C10+6,"m/d/yy")))</f>
        <v>0</v>
      </c>
      <c r="C10" s="53">
        <f>IF(Controls!$J$24="Monthly",DATE(YEAR(C11),MONTH(C11)-1,1),C11-Controls!$I$24)</f>
        <v>42875</v>
      </c>
      <c r="D10" s="54">
        <f t="shared" si="1"/>
        <v>42875</v>
      </c>
      <c r="E10" s="64"/>
      <c r="F10" s="96">
        <f>COUNTIFS(Media!C:C, "&gt;="&amp;$C10, Media!C:C, "&lt;"&amp;$C11, Media!G:G,"image")</f>
        <v>0</v>
      </c>
      <c r="G10" s="97">
        <f>COUNTIFS(Media!C:C, "&gt;="&amp;$C10, Media!C:C, "&lt;"&amp;$C11, Media!G:G,"video")</f>
        <v>0</v>
      </c>
      <c r="H10" s="251">
        <f>COUNTIFS(Media!C:C, "&gt;="&amp;$C10, Media!C:C, "&lt;"&amp;$C11, Media!G:G,"carousel")</f>
        <v>0</v>
      </c>
      <c r="I10" s="97">
        <f t="shared" si="2"/>
        <v>0</v>
      </c>
      <c r="J10" s="64"/>
      <c r="K10" s="97">
        <f>SUMIFS(Media!K:K, Media!$C:$C, "&gt;="&amp;$C10, Media!$C:$C, "&lt;"&amp;$C11)</f>
        <v>0</v>
      </c>
      <c r="L10" s="97">
        <f>SUMIFS(Media!J:J, Media!$C:$C, "&gt;="&amp;$C10, Media!$C:$C, "&lt;"&amp;$C11)</f>
        <v>0</v>
      </c>
      <c r="M10" s="97">
        <f t="shared" si="3"/>
        <v>0</v>
      </c>
      <c r="N10" s="64"/>
      <c r="O10" s="99">
        <f>SUMIFS(Media!M:M, Media!$C:$C, "&gt;="&amp;$C10, Media!$C:$C, "&lt;"&amp;$C11)</f>
        <v>0</v>
      </c>
      <c r="P10" s="64"/>
      <c r="Q10" s="98">
        <f>SUMIFS(Media!Q:Q, Media!$C:$C, "&gt;="&amp;$C10, Media!$C:$C, "&lt;"&amp;$C11)</f>
        <v>0</v>
      </c>
      <c r="R10" s="64"/>
      <c r="S10" s="100">
        <f>SUMIFS(Media!H:H, Media!$C:$C, "&gt;="&amp;$C10, Media!$C:$C, "&lt;"&amp;$C11)</f>
        <v>0</v>
      </c>
      <c r="T10" s="64"/>
      <c r="U10" s="100">
        <f t="shared" si="7"/>
        <v>8</v>
      </c>
      <c r="V10" s="64"/>
      <c r="W10" s="130" t="e">
        <f ca="1">IF($C10=Calculations!$C$53, I10, NA())</f>
        <v>#N/A</v>
      </c>
      <c r="X10" s="103" t="e">
        <f t="shared" ca="1" si="4"/>
        <v>#N/A</v>
      </c>
      <c r="Y10" s="64"/>
      <c r="Z10" s="130" t="e">
        <f ca="1">IF($C10=Calculations!$E$85, M10, NA())</f>
        <v>#N/A</v>
      </c>
      <c r="AA10" s="130" t="e">
        <f ca="1">IF($C10=Calculations!$E$86, M10, NA())</f>
        <v>#N/A</v>
      </c>
      <c r="AB10" s="130" t="e">
        <f ca="1">IF($C10=Calculations!$E$87, M10, NA())</f>
        <v>#N/A</v>
      </c>
      <c r="AC10" s="130" t="e">
        <f t="shared" ca="1" si="5"/>
        <v>#N/A</v>
      </c>
      <c r="AD10" s="64"/>
      <c r="AE10" s="130" t="e">
        <f ca="1">IF($C10=Calculations!$C$142,Tables!S10, NA())</f>
        <v>#N/A</v>
      </c>
      <c r="AF10" s="130" t="e">
        <f t="shared" ca="1" si="6"/>
        <v>#N/A</v>
      </c>
      <c r="XN10" s="79"/>
    </row>
    <row r="11" spans="1:638" ht="15" customHeight="1" x14ac:dyDescent="0.25">
      <c r="A11" s="51">
        <f t="shared" si="0"/>
        <v>42876</v>
      </c>
      <c r="B11" s="52">
        <f>IF(C12&lt;Charts!$H$3,0,IF(DATE(YEAR(Charts!$H$3),MONTH(Charts!$H$3),DAY(Charts!$H$3))=DATE(YEAR(C12), MONTH(C12),DAY(C12)),0,TEXT(C11,"m/d/yy")&amp;"-"&amp;TEXT(C11+6,"m/d/yy")))</f>
        <v>0</v>
      </c>
      <c r="C11" s="53">
        <f>IF(Controls!$J$24="Monthly",DATE(YEAR(C12),MONTH(C12)-1,1),C12-Controls!$I$24)</f>
        <v>42876</v>
      </c>
      <c r="D11" s="54">
        <f t="shared" si="1"/>
        <v>42876</v>
      </c>
      <c r="E11" s="64"/>
      <c r="F11" s="96">
        <f>COUNTIFS(Media!C:C, "&gt;="&amp;$C11, Media!C:C, "&lt;"&amp;$C12, Media!G:G,"image")</f>
        <v>0</v>
      </c>
      <c r="G11" s="97">
        <f>COUNTIFS(Media!C:C, "&gt;="&amp;$C11, Media!C:C, "&lt;"&amp;$C12, Media!G:G,"video")</f>
        <v>0</v>
      </c>
      <c r="H11" s="251">
        <f>COUNTIFS(Media!C:C, "&gt;="&amp;$C11, Media!C:C, "&lt;"&amp;$C12, Media!G:G,"carousel")</f>
        <v>0</v>
      </c>
      <c r="I11" s="97">
        <f t="shared" si="2"/>
        <v>0</v>
      </c>
      <c r="J11" s="64"/>
      <c r="K11" s="97">
        <f>SUMIFS(Media!K:K, Media!$C:$C, "&gt;="&amp;$C11, Media!$C:$C, "&lt;"&amp;$C12)</f>
        <v>0</v>
      </c>
      <c r="L11" s="97">
        <f>SUMIFS(Media!J:J, Media!$C:$C, "&gt;="&amp;$C11, Media!$C:$C, "&lt;"&amp;$C12)</f>
        <v>0</v>
      </c>
      <c r="M11" s="97">
        <f t="shared" si="3"/>
        <v>0</v>
      </c>
      <c r="N11" s="64"/>
      <c r="O11" s="99">
        <f>SUMIFS(Media!M:M, Media!$C:$C, "&gt;="&amp;$C11, Media!$C:$C, "&lt;"&amp;$C12)</f>
        <v>0</v>
      </c>
      <c r="P11" s="64"/>
      <c r="Q11" s="98">
        <f>SUMIFS(Media!Q:Q, Media!$C:$C, "&gt;="&amp;$C11, Media!$C:$C, "&lt;"&amp;$C12)</f>
        <v>0</v>
      </c>
      <c r="R11" s="64"/>
      <c r="S11" s="100">
        <f>SUMIFS(Media!H:H, Media!$C:$C, "&gt;="&amp;$C11, Media!$C:$C, "&lt;"&amp;$C12)</f>
        <v>0</v>
      </c>
      <c r="T11" s="64"/>
      <c r="U11" s="100">
        <f t="shared" si="7"/>
        <v>9</v>
      </c>
      <c r="V11" s="64"/>
      <c r="W11" s="130" t="e">
        <f ca="1">IF($C11=Calculations!$C$53, I11, NA())</f>
        <v>#N/A</v>
      </c>
      <c r="X11" s="103" t="e">
        <f t="shared" ca="1" si="4"/>
        <v>#N/A</v>
      </c>
      <c r="Y11" s="64"/>
      <c r="Z11" s="130" t="e">
        <f ca="1">IF($C11=Calculations!$E$85, M11, NA())</f>
        <v>#N/A</v>
      </c>
      <c r="AA11" s="130" t="e">
        <f ca="1">IF($C11=Calculations!$E$86, M11, NA())</f>
        <v>#N/A</v>
      </c>
      <c r="AB11" s="130" t="e">
        <f ca="1">IF($C11=Calculations!$E$87, M11, NA())</f>
        <v>#N/A</v>
      </c>
      <c r="AC11" s="130" t="e">
        <f t="shared" ca="1" si="5"/>
        <v>#N/A</v>
      </c>
      <c r="AD11" s="64"/>
      <c r="AE11" s="130" t="e">
        <f ca="1">IF($C11=Calculations!$C$142,Tables!S11, NA())</f>
        <v>#N/A</v>
      </c>
      <c r="AF11" s="130" t="e">
        <f t="shared" ca="1" si="6"/>
        <v>#N/A</v>
      </c>
      <c r="XN11" s="79"/>
    </row>
    <row r="12" spans="1:638" ht="15" customHeight="1" x14ac:dyDescent="0.25">
      <c r="A12" s="51">
        <f t="shared" si="0"/>
        <v>42877</v>
      </c>
      <c r="B12" s="52">
        <f>IF(C13&lt;Charts!$H$3,0,IF(DATE(YEAR(Charts!$H$3),MONTH(Charts!$H$3),DAY(Charts!$H$3))=DATE(YEAR(C13), MONTH(C13),DAY(C13)),0,TEXT(C12,"m/d/yy")&amp;"-"&amp;TEXT(C12+6,"m/d/yy")))</f>
        <v>0</v>
      </c>
      <c r="C12" s="53">
        <f>IF(Controls!$J$24="Monthly",DATE(YEAR(C13),MONTH(C13)-1,1),C13-Controls!$I$24)</f>
        <v>42877</v>
      </c>
      <c r="D12" s="54">
        <f t="shared" si="1"/>
        <v>42877</v>
      </c>
      <c r="E12" s="64"/>
      <c r="F12" s="96">
        <f>COUNTIFS(Media!C:C, "&gt;="&amp;$C12, Media!C:C, "&lt;"&amp;$C13, Media!G:G,"image")</f>
        <v>0</v>
      </c>
      <c r="G12" s="97">
        <f>COUNTIFS(Media!C:C, "&gt;="&amp;$C12, Media!C:C, "&lt;"&amp;$C13, Media!G:G,"video")</f>
        <v>0</v>
      </c>
      <c r="H12" s="251">
        <f>COUNTIFS(Media!C:C, "&gt;="&amp;$C12, Media!C:C, "&lt;"&amp;$C13, Media!G:G,"carousel")</f>
        <v>0</v>
      </c>
      <c r="I12" s="97">
        <f t="shared" si="2"/>
        <v>0</v>
      </c>
      <c r="J12" s="64"/>
      <c r="K12" s="97">
        <f>SUMIFS(Media!K:K, Media!$C:$C, "&gt;="&amp;$C12, Media!$C:$C, "&lt;"&amp;$C13)</f>
        <v>0</v>
      </c>
      <c r="L12" s="97">
        <f>SUMIFS(Media!J:J, Media!$C:$C, "&gt;="&amp;$C12, Media!$C:$C, "&lt;"&amp;$C13)</f>
        <v>0</v>
      </c>
      <c r="M12" s="97">
        <f t="shared" si="3"/>
        <v>0</v>
      </c>
      <c r="N12" s="64"/>
      <c r="O12" s="99">
        <f>SUMIFS(Media!M:M, Media!$C:$C, "&gt;="&amp;$C12, Media!$C:$C, "&lt;"&amp;$C13)</f>
        <v>0</v>
      </c>
      <c r="P12" s="64"/>
      <c r="Q12" s="98">
        <f>SUMIFS(Media!Q:Q, Media!$C:$C, "&gt;="&amp;$C12, Media!$C:$C, "&lt;"&amp;$C13)</f>
        <v>0</v>
      </c>
      <c r="R12" s="64"/>
      <c r="S12" s="100">
        <f>SUMIFS(Media!H:H, Media!$C:$C, "&gt;="&amp;$C12, Media!$C:$C, "&lt;"&amp;$C13)</f>
        <v>0</v>
      </c>
      <c r="T12" s="64"/>
      <c r="U12" s="100">
        <f t="shared" si="7"/>
        <v>10</v>
      </c>
      <c r="V12" s="64"/>
      <c r="W12" s="130" t="e">
        <f ca="1">IF($C12=Calculations!$C$53, I12, NA())</f>
        <v>#N/A</v>
      </c>
      <c r="X12" s="103" t="e">
        <f t="shared" ca="1" si="4"/>
        <v>#N/A</v>
      </c>
      <c r="Y12" s="64"/>
      <c r="Z12" s="130" t="e">
        <f ca="1">IF($C12=Calculations!$E$85, M12, NA())</f>
        <v>#N/A</v>
      </c>
      <c r="AA12" s="130" t="e">
        <f ca="1">IF($C12=Calculations!$E$86, M12, NA())</f>
        <v>#N/A</v>
      </c>
      <c r="AB12" s="130" t="e">
        <f ca="1">IF($C12=Calculations!$E$87, M12, NA())</f>
        <v>#N/A</v>
      </c>
      <c r="AC12" s="130" t="e">
        <f t="shared" ca="1" si="5"/>
        <v>#N/A</v>
      </c>
      <c r="AD12" s="64"/>
      <c r="AE12" s="130" t="e">
        <f ca="1">IF($C12=Calculations!$C$142,Tables!S12, NA())</f>
        <v>#N/A</v>
      </c>
      <c r="AF12" s="130" t="e">
        <f t="shared" ca="1" si="6"/>
        <v>#N/A</v>
      </c>
      <c r="XN12" s="79"/>
    </row>
    <row r="13" spans="1:638" ht="15" customHeight="1" x14ac:dyDescent="0.25">
      <c r="A13" s="51">
        <f t="shared" si="0"/>
        <v>42878</v>
      </c>
      <c r="B13" s="52">
        <f>IF(C14&lt;Charts!$H$3,0,IF(DATE(YEAR(Charts!$H$3),MONTH(Charts!$H$3),DAY(Charts!$H$3))=DATE(YEAR(C14), MONTH(C14),DAY(C14)),0,TEXT(C13,"m/d/yy")&amp;"-"&amp;TEXT(C13+6,"m/d/yy")))</f>
        <v>0</v>
      </c>
      <c r="C13" s="53">
        <f>IF(Controls!$J$24="Monthly",DATE(YEAR(C14),MONTH(C14)-1,1),C14-Controls!$I$24)</f>
        <v>42878</v>
      </c>
      <c r="D13" s="54">
        <f t="shared" si="1"/>
        <v>42878</v>
      </c>
      <c r="E13" s="64"/>
      <c r="F13" s="96">
        <f>COUNTIFS(Media!C:C, "&gt;="&amp;$C13, Media!C:C, "&lt;"&amp;$C14, Media!G:G,"image")</f>
        <v>0</v>
      </c>
      <c r="G13" s="97">
        <f>COUNTIFS(Media!C:C, "&gt;="&amp;$C13, Media!C:C, "&lt;"&amp;$C14, Media!G:G,"video")</f>
        <v>0</v>
      </c>
      <c r="H13" s="251">
        <f>COUNTIFS(Media!C:C, "&gt;="&amp;$C13, Media!C:C, "&lt;"&amp;$C14, Media!G:G,"carousel")</f>
        <v>0</v>
      </c>
      <c r="I13" s="97">
        <f t="shared" si="2"/>
        <v>0</v>
      </c>
      <c r="J13" s="64"/>
      <c r="K13" s="97">
        <f>SUMIFS(Media!K:K, Media!$C:$C, "&gt;="&amp;$C13, Media!$C:$C, "&lt;"&amp;$C14)</f>
        <v>0</v>
      </c>
      <c r="L13" s="97">
        <f>SUMIFS(Media!J:J, Media!$C:$C, "&gt;="&amp;$C13, Media!$C:$C, "&lt;"&amp;$C14)</f>
        <v>0</v>
      </c>
      <c r="M13" s="97">
        <f t="shared" si="3"/>
        <v>0</v>
      </c>
      <c r="N13" s="64"/>
      <c r="O13" s="99">
        <f>SUMIFS(Media!M:M, Media!$C:$C, "&gt;="&amp;$C13, Media!$C:$C, "&lt;"&amp;$C14)</f>
        <v>0</v>
      </c>
      <c r="P13" s="64"/>
      <c r="Q13" s="98">
        <f>SUMIFS(Media!Q:Q, Media!$C:$C, "&gt;="&amp;$C13, Media!$C:$C, "&lt;"&amp;$C14)</f>
        <v>0</v>
      </c>
      <c r="R13" s="64"/>
      <c r="S13" s="100">
        <f>SUMIFS(Media!H:H, Media!$C:$C, "&gt;="&amp;$C13, Media!$C:$C, "&lt;"&amp;$C14)</f>
        <v>0</v>
      </c>
      <c r="T13" s="64"/>
      <c r="U13" s="100">
        <f t="shared" si="7"/>
        <v>11</v>
      </c>
      <c r="V13" s="64"/>
      <c r="W13" s="130" t="e">
        <f ca="1">IF($C13=Calculations!$C$53, I13, NA())</f>
        <v>#N/A</v>
      </c>
      <c r="X13" s="103" t="e">
        <f t="shared" ca="1" si="4"/>
        <v>#N/A</v>
      </c>
      <c r="Y13" s="64"/>
      <c r="Z13" s="130" t="e">
        <f ca="1">IF($C13=Calculations!$E$85, M13, NA())</f>
        <v>#N/A</v>
      </c>
      <c r="AA13" s="130" t="e">
        <f ca="1">IF($C13=Calculations!$E$86, M13, NA())</f>
        <v>#N/A</v>
      </c>
      <c r="AB13" s="130" t="e">
        <f ca="1">IF($C13=Calculations!$E$87, M13, NA())</f>
        <v>#N/A</v>
      </c>
      <c r="AC13" s="130" t="e">
        <f t="shared" ca="1" si="5"/>
        <v>#N/A</v>
      </c>
      <c r="AD13" s="64"/>
      <c r="AE13" s="130" t="e">
        <f ca="1">IF($C13=Calculations!$C$142,Tables!S13, NA())</f>
        <v>#N/A</v>
      </c>
      <c r="AF13" s="130" t="e">
        <f t="shared" ca="1" si="6"/>
        <v>#N/A</v>
      </c>
      <c r="XN13" s="79"/>
    </row>
    <row r="14" spans="1:638" ht="15" customHeight="1" x14ac:dyDescent="0.25">
      <c r="A14" s="51">
        <f t="shared" si="0"/>
        <v>42879</v>
      </c>
      <c r="B14" s="52">
        <f>IF(C15&lt;Charts!$H$3,0,IF(DATE(YEAR(Charts!$H$3),MONTH(Charts!$H$3),DAY(Charts!$H$3))=DATE(YEAR(C15), MONTH(C15),DAY(C15)),0,TEXT(C14,"m/d/yy")&amp;"-"&amp;TEXT(C14+6,"m/d/yy")))</f>
        <v>0</v>
      </c>
      <c r="C14" s="53">
        <f>IF(Controls!$J$24="Monthly",DATE(YEAR(C15),MONTH(C15)-1,1),C15-Controls!$I$24)</f>
        <v>42879</v>
      </c>
      <c r="D14" s="54">
        <f t="shared" si="1"/>
        <v>42879</v>
      </c>
      <c r="E14" s="64"/>
      <c r="F14" s="96">
        <f>COUNTIFS(Media!C:C, "&gt;="&amp;$C14, Media!C:C, "&lt;"&amp;$C15, Media!G:G,"image")</f>
        <v>0</v>
      </c>
      <c r="G14" s="97">
        <f>COUNTIFS(Media!C:C, "&gt;="&amp;$C14, Media!C:C, "&lt;"&amp;$C15, Media!G:G,"video")</f>
        <v>0</v>
      </c>
      <c r="H14" s="251">
        <f>COUNTIFS(Media!C:C, "&gt;="&amp;$C14, Media!C:C, "&lt;"&amp;$C15, Media!G:G,"carousel")</f>
        <v>0</v>
      </c>
      <c r="I14" s="97">
        <f t="shared" si="2"/>
        <v>0</v>
      </c>
      <c r="J14" s="64"/>
      <c r="K14" s="97">
        <f>SUMIFS(Media!K:K, Media!$C:$C, "&gt;="&amp;$C14, Media!$C:$C, "&lt;"&amp;$C15)</f>
        <v>0</v>
      </c>
      <c r="L14" s="97">
        <f>SUMIFS(Media!J:J, Media!$C:$C, "&gt;="&amp;$C14, Media!$C:$C, "&lt;"&amp;$C15)</f>
        <v>0</v>
      </c>
      <c r="M14" s="97">
        <f t="shared" si="3"/>
        <v>0</v>
      </c>
      <c r="N14" s="64"/>
      <c r="O14" s="99">
        <f>SUMIFS(Media!M:M, Media!$C:$C, "&gt;="&amp;$C14, Media!$C:$C, "&lt;"&amp;$C15)</f>
        <v>0</v>
      </c>
      <c r="P14" s="64"/>
      <c r="Q14" s="98">
        <f>SUMIFS(Media!Q:Q, Media!$C:$C, "&gt;="&amp;$C14, Media!$C:$C, "&lt;"&amp;$C15)</f>
        <v>0</v>
      </c>
      <c r="R14" s="64"/>
      <c r="S14" s="100">
        <f>SUMIFS(Media!H:H, Media!$C:$C, "&gt;="&amp;$C14, Media!$C:$C, "&lt;"&amp;$C15)</f>
        <v>0</v>
      </c>
      <c r="T14" s="64"/>
      <c r="U14" s="100">
        <f t="shared" si="7"/>
        <v>12</v>
      </c>
      <c r="V14" s="64"/>
      <c r="W14" s="130" t="e">
        <f ca="1">IF($C14=Calculations!$C$53, I14, NA())</f>
        <v>#N/A</v>
      </c>
      <c r="X14" s="103" t="e">
        <f t="shared" ca="1" si="4"/>
        <v>#N/A</v>
      </c>
      <c r="Y14" s="64"/>
      <c r="Z14" s="130" t="e">
        <f ca="1">IF($C14=Calculations!$E$85, M14, NA())</f>
        <v>#N/A</v>
      </c>
      <c r="AA14" s="130" t="e">
        <f ca="1">IF($C14=Calculations!$E$86, M14, NA())</f>
        <v>#N/A</v>
      </c>
      <c r="AB14" s="130" t="e">
        <f ca="1">IF($C14=Calculations!$E$87, M14, NA())</f>
        <v>#N/A</v>
      </c>
      <c r="AC14" s="130" t="e">
        <f t="shared" ca="1" si="5"/>
        <v>#N/A</v>
      </c>
      <c r="AD14" s="64"/>
      <c r="AE14" s="130" t="e">
        <f ca="1">IF($C14=Calculations!$C$142,Tables!S14, NA())</f>
        <v>#N/A</v>
      </c>
      <c r="AF14" s="130" t="e">
        <f t="shared" ca="1" si="6"/>
        <v>#N/A</v>
      </c>
      <c r="XN14" s="79"/>
    </row>
    <row r="15" spans="1:638" ht="15" customHeight="1" x14ac:dyDescent="0.25">
      <c r="A15" s="51">
        <f t="shared" si="0"/>
        <v>42880</v>
      </c>
      <c r="B15" s="52">
        <f>IF(C16&lt;Charts!$H$3,0,IF(DATE(YEAR(Charts!$H$3),MONTH(Charts!$H$3),DAY(Charts!$H$3))=DATE(YEAR(C16), MONTH(C16),DAY(C16)),0,TEXT(C15,"m/d/yy")&amp;"-"&amp;TEXT(C15+6,"m/d/yy")))</f>
        <v>0</v>
      </c>
      <c r="C15" s="53">
        <f>IF(Controls!$J$24="Monthly",DATE(YEAR(C16),MONTH(C16)-1,1),C16-Controls!$I$24)</f>
        <v>42880</v>
      </c>
      <c r="D15" s="54">
        <f t="shared" si="1"/>
        <v>42880</v>
      </c>
      <c r="E15" s="64"/>
      <c r="F15" s="96">
        <f>COUNTIFS(Media!C:C, "&gt;="&amp;$C15, Media!C:C, "&lt;"&amp;$C16, Media!G:G,"image")</f>
        <v>0</v>
      </c>
      <c r="G15" s="97">
        <f>COUNTIFS(Media!C:C, "&gt;="&amp;$C15, Media!C:C, "&lt;"&amp;$C16, Media!G:G,"video")</f>
        <v>0</v>
      </c>
      <c r="H15" s="251">
        <f>COUNTIFS(Media!C:C, "&gt;="&amp;$C15, Media!C:C, "&lt;"&amp;$C16, Media!G:G,"carousel")</f>
        <v>0</v>
      </c>
      <c r="I15" s="97">
        <f t="shared" si="2"/>
        <v>0</v>
      </c>
      <c r="J15" s="64"/>
      <c r="K15" s="97">
        <f>SUMIFS(Media!K:K, Media!$C:$C, "&gt;="&amp;$C15, Media!$C:$C, "&lt;"&amp;$C16)</f>
        <v>0</v>
      </c>
      <c r="L15" s="97">
        <f>SUMIFS(Media!J:J, Media!$C:$C, "&gt;="&amp;$C15, Media!$C:$C, "&lt;"&amp;$C16)</f>
        <v>0</v>
      </c>
      <c r="M15" s="97">
        <f t="shared" si="3"/>
        <v>0</v>
      </c>
      <c r="N15" s="64"/>
      <c r="O15" s="99">
        <f>SUMIFS(Media!M:M, Media!$C:$C, "&gt;="&amp;$C15, Media!$C:$C, "&lt;"&amp;$C16)</f>
        <v>0</v>
      </c>
      <c r="P15" s="64"/>
      <c r="Q15" s="98">
        <f>SUMIFS(Media!Q:Q, Media!$C:$C, "&gt;="&amp;$C15, Media!$C:$C, "&lt;"&amp;$C16)</f>
        <v>0</v>
      </c>
      <c r="R15" s="64"/>
      <c r="S15" s="100">
        <f>SUMIFS(Media!H:H, Media!$C:$C, "&gt;="&amp;$C15, Media!$C:$C, "&lt;"&amp;$C16)</f>
        <v>0</v>
      </c>
      <c r="T15" s="64"/>
      <c r="U15" s="100">
        <f t="shared" si="7"/>
        <v>13</v>
      </c>
      <c r="V15" s="64"/>
      <c r="W15" s="130" t="e">
        <f ca="1">IF($C15=Calculations!$C$53, I15, NA())</f>
        <v>#N/A</v>
      </c>
      <c r="X15" s="103" t="e">
        <f t="shared" ca="1" si="4"/>
        <v>#N/A</v>
      </c>
      <c r="Y15" s="64"/>
      <c r="Z15" s="130" t="e">
        <f ca="1">IF($C15=Calculations!$E$85, M15, NA())</f>
        <v>#N/A</v>
      </c>
      <c r="AA15" s="130" t="e">
        <f ca="1">IF($C15=Calculations!$E$86, M15, NA())</f>
        <v>#N/A</v>
      </c>
      <c r="AB15" s="130" t="e">
        <f ca="1">IF($C15=Calculations!$E$87, M15, NA())</f>
        <v>#N/A</v>
      </c>
      <c r="AC15" s="130" t="e">
        <f t="shared" ca="1" si="5"/>
        <v>#N/A</v>
      </c>
      <c r="AD15" s="64"/>
      <c r="AE15" s="130" t="e">
        <f ca="1">IF($C15=Calculations!$C$142,Tables!S15, NA())</f>
        <v>#N/A</v>
      </c>
      <c r="AF15" s="130" t="e">
        <f t="shared" ca="1" si="6"/>
        <v>#N/A</v>
      </c>
      <c r="XN15" s="79"/>
    </row>
    <row r="16" spans="1:638" ht="15" customHeight="1" x14ac:dyDescent="0.25">
      <c r="A16" s="51">
        <f t="shared" si="0"/>
        <v>42881</v>
      </c>
      <c r="B16" s="52">
        <f>IF(C17&lt;Charts!$H$3,0,IF(DATE(YEAR(Charts!$H$3),MONTH(Charts!$H$3),DAY(Charts!$H$3))=DATE(YEAR(C17), MONTH(C17),DAY(C17)),0,TEXT(C16,"m/d/yy")&amp;"-"&amp;TEXT(C16+6,"m/d/yy")))</f>
        <v>0</v>
      </c>
      <c r="C16" s="53">
        <f>IF(Controls!$J$24="Monthly",DATE(YEAR(C17),MONTH(C17)-1,1),C17-Controls!$I$24)</f>
        <v>42881</v>
      </c>
      <c r="D16" s="54">
        <f t="shared" si="1"/>
        <v>42881</v>
      </c>
      <c r="E16" s="64"/>
      <c r="F16" s="96">
        <f>COUNTIFS(Media!C:C, "&gt;="&amp;$C16, Media!C:C, "&lt;"&amp;$C17, Media!G:G,"image")</f>
        <v>0</v>
      </c>
      <c r="G16" s="97">
        <f>COUNTIFS(Media!C:C, "&gt;="&amp;$C16, Media!C:C, "&lt;"&amp;$C17, Media!G:G,"video")</f>
        <v>0</v>
      </c>
      <c r="H16" s="251">
        <f>COUNTIFS(Media!C:C, "&gt;="&amp;$C16, Media!C:C, "&lt;"&amp;$C17, Media!G:G,"carousel")</f>
        <v>0</v>
      </c>
      <c r="I16" s="97">
        <f t="shared" si="2"/>
        <v>0</v>
      </c>
      <c r="J16" s="64"/>
      <c r="K16" s="97">
        <f>SUMIFS(Media!K:K, Media!$C:$C, "&gt;="&amp;$C16, Media!$C:$C, "&lt;"&amp;$C17)</f>
        <v>0</v>
      </c>
      <c r="L16" s="97">
        <f>SUMIFS(Media!J:J, Media!$C:$C, "&gt;="&amp;$C16, Media!$C:$C, "&lt;"&amp;$C17)</f>
        <v>0</v>
      </c>
      <c r="M16" s="97">
        <f t="shared" si="3"/>
        <v>0</v>
      </c>
      <c r="N16" s="64"/>
      <c r="O16" s="99">
        <f>SUMIFS(Media!M:M, Media!$C:$C, "&gt;="&amp;$C16, Media!$C:$C, "&lt;"&amp;$C17)</f>
        <v>0</v>
      </c>
      <c r="P16" s="64"/>
      <c r="Q16" s="98">
        <f>SUMIFS(Media!Q:Q, Media!$C:$C, "&gt;="&amp;$C16, Media!$C:$C, "&lt;"&amp;$C17)</f>
        <v>0</v>
      </c>
      <c r="R16" s="64"/>
      <c r="S16" s="100">
        <f>SUMIFS(Media!H:H, Media!$C:$C, "&gt;="&amp;$C16, Media!$C:$C, "&lt;"&amp;$C17)</f>
        <v>0</v>
      </c>
      <c r="T16" s="64"/>
      <c r="U16" s="100">
        <f t="shared" si="7"/>
        <v>14</v>
      </c>
      <c r="V16" s="64"/>
      <c r="W16" s="130" t="e">
        <f ca="1">IF($C16=Calculations!$C$53, I16, NA())</f>
        <v>#N/A</v>
      </c>
      <c r="X16" s="103" t="e">
        <f t="shared" ca="1" si="4"/>
        <v>#N/A</v>
      </c>
      <c r="Y16" s="64"/>
      <c r="Z16" s="130" t="e">
        <f ca="1">IF($C16=Calculations!$E$85, M16, NA())</f>
        <v>#N/A</v>
      </c>
      <c r="AA16" s="130" t="e">
        <f ca="1">IF($C16=Calculations!$E$86, M16, NA())</f>
        <v>#N/A</v>
      </c>
      <c r="AB16" s="130" t="e">
        <f ca="1">IF($C16=Calculations!$E$87, M16, NA())</f>
        <v>#N/A</v>
      </c>
      <c r="AC16" s="130" t="e">
        <f t="shared" ca="1" si="5"/>
        <v>#N/A</v>
      </c>
      <c r="AD16" s="64"/>
      <c r="AE16" s="130" t="e">
        <f ca="1">IF($C16=Calculations!$C$142,Tables!S16, NA())</f>
        <v>#N/A</v>
      </c>
      <c r="AF16" s="130" t="e">
        <f t="shared" ca="1" si="6"/>
        <v>#N/A</v>
      </c>
      <c r="XN16" s="79"/>
    </row>
    <row r="17" spans="1:638" ht="15" customHeight="1" x14ac:dyDescent="0.25">
      <c r="A17" s="51">
        <f t="shared" si="0"/>
        <v>42882</v>
      </c>
      <c r="B17" s="52">
        <f>IF(C18&lt;Charts!$H$3,0,IF(DATE(YEAR(Charts!$H$3),MONTH(Charts!$H$3),DAY(Charts!$H$3))=DATE(YEAR(C18), MONTH(C18),DAY(C18)),0,TEXT(C17,"m/d/yy")&amp;"-"&amp;TEXT(C17+6,"m/d/yy")))</f>
        <v>0</v>
      </c>
      <c r="C17" s="53">
        <f>IF(Controls!$J$24="Monthly",DATE(YEAR(C18),MONTH(C18)-1,1),C18-Controls!$I$24)</f>
        <v>42882</v>
      </c>
      <c r="D17" s="54">
        <f t="shared" si="1"/>
        <v>42882</v>
      </c>
      <c r="E17" s="64"/>
      <c r="F17" s="96">
        <f>COUNTIFS(Media!C:C, "&gt;="&amp;$C17, Media!C:C, "&lt;"&amp;$C18, Media!G:G,"image")</f>
        <v>0</v>
      </c>
      <c r="G17" s="97">
        <f>COUNTIFS(Media!C:C, "&gt;="&amp;$C17, Media!C:C, "&lt;"&amp;$C18, Media!G:G,"video")</f>
        <v>0</v>
      </c>
      <c r="H17" s="251">
        <f>COUNTIFS(Media!C:C, "&gt;="&amp;$C17, Media!C:C, "&lt;"&amp;$C18, Media!G:G,"carousel")</f>
        <v>0</v>
      </c>
      <c r="I17" s="97">
        <f t="shared" si="2"/>
        <v>0</v>
      </c>
      <c r="J17" s="64"/>
      <c r="K17" s="97">
        <f>SUMIFS(Media!K:K, Media!$C:$C, "&gt;="&amp;$C17, Media!$C:$C, "&lt;"&amp;$C18)</f>
        <v>0</v>
      </c>
      <c r="L17" s="97">
        <f>SUMIFS(Media!J:J, Media!$C:$C, "&gt;="&amp;$C17, Media!$C:$C, "&lt;"&amp;$C18)</f>
        <v>0</v>
      </c>
      <c r="M17" s="97">
        <f t="shared" si="3"/>
        <v>0</v>
      </c>
      <c r="N17" s="64"/>
      <c r="O17" s="99">
        <f>SUMIFS(Media!M:M, Media!$C:$C, "&gt;="&amp;$C17, Media!$C:$C, "&lt;"&amp;$C18)</f>
        <v>0</v>
      </c>
      <c r="P17" s="64"/>
      <c r="Q17" s="98">
        <f>SUMIFS(Media!Q:Q, Media!$C:$C, "&gt;="&amp;$C17, Media!$C:$C, "&lt;"&amp;$C18)</f>
        <v>0</v>
      </c>
      <c r="R17" s="64"/>
      <c r="S17" s="100">
        <f>SUMIFS(Media!H:H, Media!$C:$C, "&gt;="&amp;$C17, Media!$C:$C, "&lt;"&amp;$C18)</f>
        <v>0</v>
      </c>
      <c r="T17" s="64"/>
      <c r="U17" s="100">
        <f t="shared" si="7"/>
        <v>15</v>
      </c>
      <c r="V17" s="64"/>
      <c r="W17" s="130" t="e">
        <f ca="1">IF($C17=Calculations!$C$53, I17, NA())</f>
        <v>#N/A</v>
      </c>
      <c r="X17" s="103" t="e">
        <f t="shared" ca="1" si="4"/>
        <v>#N/A</v>
      </c>
      <c r="Y17" s="64"/>
      <c r="Z17" s="130" t="e">
        <f ca="1">IF($C17=Calculations!$E$85, M17, NA())</f>
        <v>#N/A</v>
      </c>
      <c r="AA17" s="130" t="e">
        <f ca="1">IF($C17=Calculations!$E$86, M17, NA())</f>
        <v>#N/A</v>
      </c>
      <c r="AB17" s="130" t="e">
        <f ca="1">IF($C17=Calculations!$E$87, M17, NA())</f>
        <v>#N/A</v>
      </c>
      <c r="AC17" s="130" t="e">
        <f t="shared" ca="1" si="5"/>
        <v>#N/A</v>
      </c>
      <c r="AD17" s="64"/>
      <c r="AE17" s="130" t="e">
        <f ca="1">IF($C17=Calculations!$C$142,Tables!S17, NA())</f>
        <v>#N/A</v>
      </c>
      <c r="AF17" s="130" t="e">
        <f t="shared" ca="1" si="6"/>
        <v>#N/A</v>
      </c>
      <c r="XN17" s="79"/>
    </row>
    <row r="18" spans="1:638" ht="15" customHeight="1" x14ac:dyDescent="0.25">
      <c r="A18" s="51">
        <f t="shared" si="0"/>
        <v>42883</v>
      </c>
      <c r="B18" s="52">
        <f>IF(C19&lt;Charts!$H$3,0,IF(DATE(YEAR(Charts!$H$3),MONTH(Charts!$H$3),DAY(Charts!$H$3))=DATE(YEAR(C19), MONTH(C19),DAY(C19)),0,TEXT(C18,"m/d/yy")&amp;"-"&amp;TEXT(C18+6,"m/d/yy")))</f>
        <v>0</v>
      </c>
      <c r="C18" s="53">
        <f>IF(Controls!$J$24="Monthly",DATE(YEAR(C19),MONTH(C19)-1,1),C19-Controls!$I$24)</f>
        <v>42883</v>
      </c>
      <c r="D18" s="54">
        <f t="shared" si="1"/>
        <v>42883</v>
      </c>
      <c r="E18" s="64"/>
      <c r="F18" s="96">
        <f>COUNTIFS(Media!C:C, "&gt;="&amp;$C18, Media!C:C, "&lt;"&amp;$C19, Media!G:G,"image")</f>
        <v>0</v>
      </c>
      <c r="G18" s="97">
        <f>COUNTIFS(Media!C:C, "&gt;="&amp;$C18, Media!C:C, "&lt;"&amp;$C19, Media!G:G,"video")</f>
        <v>0</v>
      </c>
      <c r="H18" s="251">
        <f>COUNTIFS(Media!C:C, "&gt;="&amp;$C18, Media!C:C, "&lt;"&amp;$C19, Media!G:G,"carousel")</f>
        <v>0</v>
      </c>
      <c r="I18" s="97">
        <f t="shared" si="2"/>
        <v>0</v>
      </c>
      <c r="J18" s="64"/>
      <c r="K18" s="97">
        <f>SUMIFS(Media!K:K, Media!$C:$C, "&gt;="&amp;$C18, Media!$C:$C, "&lt;"&amp;$C19)</f>
        <v>0</v>
      </c>
      <c r="L18" s="97">
        <f>SUMIFS(Media!J:J, Media!$C:$C, "&gt;="&amp;$C18, Media!$C:$C, "&lt;"&amp;$C19)</f>
        <v>0</v>
      </c>
      <c r="M18" s="97">
        <f t="shared" si="3"/>
        <v>0</v>
      </c>
      <c r="N18" s="64"/>
      <c r="O18" s="99">
        <f>SUMIFS(Media!M:M, Media!$C:$C, "&gt;="&amp;$C18, Media!$C:$C, "&lt;"&amp;$C19)</f>
        <v>0</v>
      </c>
      <c r="P18" s="64"/>
      <c r="Q18" s="98">
        <f>SUMIFS(Media!Q:Q, Media!$C:$C, "&gt;="&amp;$C18, Media!$C:$C, "&lt;"&amp;$C19)</f>
        <v>0</v>
      </c>
      <c r="R18" s="64"/>
      <c r="S18" s="100">
        <f>SUMIFS(Media!H:H, Media!$C:$C, "&gt;="&amp;$C18, Media!$C:$C, "&lt;"&amp;$C19)</f>
        <v>0</v>
      </c>
      <c r="T18" s="64"/>
      <c r="U18" s="100">
        <f t="shared" si="7"/>
        <v>16</v>
      </c>
      <c r="V18" s="64"/>
      <c r="W18" s="130" t="e">
        <f ca="1">IF($C18=Calculations!$C$53, I18, NA())</f>
        <v>#N/A</v>
      </c>
      <c r="X18" s="103" t="e">
        <f t="shared" ca="1" si="4"/>
        <v>#N/A</v>
      </c>
      <c r="Y18" s="64"/>
      <c r="Z18" s="130" t="e">
        <f ca="1">IF($C18=Calculations!$E$85, M18, NA())</f>
        <v>#N/A</v>
      </c>
      <c r="AA18" s="130" t="e">
        <f ca="1">IF($C18=Calculations!$E$86, M18, NA())</f>
        <v>#N/A</v>
      </c>
      <c r="AB18" s="130" t="e">
        <f ca="1">IF($C18=Calculations!$E$87, M18, NA())</f>
        <v>#N/A</v>
      </c>
      <c r="AC18" s="130" t="e">
        <f t="shared" ca="1" si="5"/>
        <v>#N/A</v>
      </c>
      <c r="AD18" s="64"/>
      <c r="AE18" s="130" t="e">
        <f ca="1">IF($C18=Calculations!$C$142,Tables!S18, NA())</f>
        <v>#N/A</v>
      </c>
      <c r="AF18" s="130" t="e">
        <f t="shared" ca="1" si="6"/>
        <v>#N/A</v>
      </c>
      <c r="XN18" s="79"/>
    </row>
    <row r="19" spans="1:638" ht="15" customHeight="1" x14ac:dyDescent="0.25">
      <c r="A19" s="51">
        <f t="shared" si="0"/>
        <v>42884</v>
      </c>
      <c r="B19" s="52">
        <f>IF(C20&lt;Charts!$H$3,0,IF(DATE(YEAR(Charts!$H$3),MONTH(Charts!$H$3),DAY(Charts!$H$3))=DATE(YEAR(C20), MONTH(C20),DAY(C20)),0,TEXT(C19,"m/d/yy")&amp;"-"&amp;TEXT(C19+6,"m/d/yy")))</f>
        <v>0</v>
      </c>
      <c r="C19" s="53">
        <f>IF(Controls!$J$24="Monthly",DATE(YEAR(C20),MONTH(C20)-1,1),C20-Controls!$I$24)</f>
        <v>42884</v>
      </c>
      <c r="D19" s="54">
        <f t="shared" si="1"/>
        <v>42884</v>
      </c>
      <c r="E19" s="64"/>
      <c r="F19" s="96">
        <f>COUNTIFS(Media!C:C, "&gt;="&amp;$C19, Media!C:C, "&lt;"&amp;$C20, Media!G:G,"image")</f>
        <v>0</v>
      </c>
      <c r="G19" s="97">
        <f>COUNTIFS(Media!C:C, "&gt;="&amp;$C19, Media!C:C, "&lt;"&amp;$C20, Media!G:G,"video")</f>
        <v>0</v>
      </c>
      <c r="H19" s="251">
        <f>COUNTIFS(Media!C:C, "&gt;="&amp;$C19, Media!C:C, "&lt;"&amp;$C20, Media!G:G,"carousel")</f>
        <v>0</v>
      </c>
      <c r="I19" s="97">
        <f t="shared" si="2"/>
        <v>0</v>
      </c>
      <c r="J19" s="64"/>
      <c r="K19" s="97">
        <f>SUMIFS(Media!K:K, Media!$C:$C, "&gt;="&amp;$C19, Media!$C:$C, "&lt;"&amp;$C20)</f>
        <v>0</v>
      </c>
      <c r="L19" s="97">
        <f>SUMIFS(Media!J:J, Media!$C:$C, "&gt;="&amp;$C19, Media!$C:$C, "&lt;"&amp;$C20)</f>
        <v>0</v>
      </c>
      <c r="M19" s="97">
        <f t="shared" si="3"/>
        <v>0</v>
      </c>
      <c r="N19" s="64"/>
      <c r="O19" s="99">
        <f>SUMIFS(Media!M:M, Media!$C:$C, "&gt;="&amp;$C19, Media!$C:$C, "&lt;"&amp;$C20)</f>
        <v>0</v>
      </c>
      <c r="P19" s="64"/>
      <c r="Q19" s="98">
        <f>SUMIFS(Media!Q:Q, Media!$C:$C, "&gt;="&amp;$C19, Media!$C:$C, "&lt;"&amp;$C20)</f>
        <v>0</v>
      </c>
      <c r="R19" s="64"/>
      <c r="S19" s="100">
        <f>SUMIFS(Media!H:H, Media!$C:$C, "&gt;="&amp;$C19, Media!$C:$C, "&lt;"&amp;$C20)</f>
        <v>0</v>
      </c>
      <c r="T19" s="64"/>
      <c r="U19" s="100">
        <f t="shared" si="7"/>
        <v>17</v>
      </c>
      <c r="V19" s="64"/>
      <c r="W19" s="130" t="e">
        <f ca="1">IF($C19=Calculations!$C$53, I19, NA())</f>
        <v>#N/A</v>
      </c>
      <c r="X19" s="103" t="e">
        <f t="shared" ca="1" si="4"/>
        <v>#N/A</v>
      </c>
      <c r="Y19" s="64"/>
      <c r="Z19" s="130" t="e">
        <f ca="1">IF($C19=Calculations!$E$85, M19, NA())</f>
        <v>#N/A</v>
      </c>
      <c r="AA19" s="130" t="e">
        <f ca="1">IF($C19=Calculations!$E$86, M19, NA())</f>
        <v>#N/A</v>
      </c>
      <c r="AB19" s="130" t="e">
        <f ca="1">IF($C19=Calculations!$E$87, M19, NA())</f>
        <v>#N/A</v>
      </c>
      <c r="AC19" s="130" t="e">
        <f t="shared" ca="1" si="5"/>
        <v>#N/A</v>
      </c>
      <c r="AD19" s="64"/>
      <c r="AE19" s="130" t="e">
        <f ca="1">IF($C19=Calculations!$C$142,Tables!S19, NA())</f>
        <v>#N/A</v>
      </c>
      <c r="AF19" s="130" t="e">
        <f t="shared" ca="1" si="6"/>
        <v>#N/A</v>
      </c>
      <c r="XN19" s="79"/>
    </row>
    <row r="20" spans="1:638" ht="15" customHeight="1" x14ac:dyDescent="0.25">
      <c r="A20" s="51">
        <f t="shared" si="0"/>
        <v>42885</v>
      </c>
      <c r="B20" s="52">
        <f>IF(C21&lt;Charts!$H$3,0,IF(DATE(YEAR(Charts!$H$3),MONTH(Charts!$H$3),DAY(Charts!$H$3))=DATE(YEAR(C21), MONTH(C21),DAY(C21)),0,TEXT(C20,"m/d/yy")&amp;"-"&amp;TEXT(C20+6,"m/d/yy")))</f>
        <v>0</v>
      </c>
      <c r="C20" s="53">
        <f>IF(Controls!$J$24="Monthly",DATE(YEAR(C21),MONTH(C21)-1,1),C21-Controls!$I$24)</f>
        <v>42885</v>
      </c>
      <c r="D20" s="54">
        <f t="shared" si="1"/>
        <v>42885</v>
      </c>
      <c r="E20" s="64"/>
      <c r="F20" s="96">
        <f>COUNTIFS(Media!C:C, "&gt;="&amp;$C20, Media!C:C, "&lt;"&amp;$C21, Media!G:G,"image")</f>
        <v>0</v>
      </c>
      <c r="G20" s="97">
        <f>COUNTIFS(Media!C:C, "&gt;="&amp;$C20, Media!C:C, "&lt;"&amp;$C21, Media!G:G,"video")</f>
        <v>0</v>
      </c>
      <c r="H20" s="251">
        <f>COUNTIFS(Media!C:C, "&gt;="&amp;$C20, Media!C:C, "&lt;"&amp;$C21, Media!G:G,"carousel")</f>
        <v>0</v>
      </c>
      <c r="I20" s="97">
        <f t="shared" si="2"/>
        <v>0</v>
      </c>
      <c r="J20" s="64"/>
      <c r="K20" s="97">
        <f>SUMIFS(Media!K:K, Media!$C:$C, "&gt;="&amp;$C20, Media!$C:$C, "&lt;"&amp;$C21)</f>
        <v>0</v>
      </c>
      <c r="L20" s="97">
        <f>SUMIFS(Media!J:J, Media!$C:$C, "&gt;="&amp;$C20, Media!$C:$C, "&lt;"&amp;$C21)</f>
        <v>0</v>
      </c>
      <c r="M20" s="97">
        <f t="shared" si="3"/>
        <v>0</v>
      </c>
      <c r="N20" s="64"/>
      <c r="O20" s="99">
        <f>SUMIFS(Media!M:M, Media!$C:$C, "&gt;="&amp;$C20, Media!$C:$C, "&lt;"&amp;$C21)</f>
        <v>0</v>
      </c>
      <c r="P20" s="64"/>
      <c r="Q20" s="98">
        <f>SUMIFS(Media!Q:Q, Media!$C:$C, "&gt;="&amp;$C20, Media!$C:$C, "&lt;"&amp;$C21)</f>
        <v>0</v>
      </c>
      <c r="R20" s="64"/>
      <c r="S20" s="100">
        <f>SUMIFS(Media!H:H, Media!$C:$C, "&gt;="&amp;$C20, Media!$C:$C, "&lt;"&amp;$C21)</f>
        <v>0</v>
      </c>
      <c r="T20" s="64"/>
      <c r="U20" s="100">
        <f t="shared" si="7"/>
        <v>18</v>
      </c>
      <c r="V20" s="64"/>
      <c r="W20" s="130" t="e">
        <f ca="1">IF($C20=Calculations!$C$53, I20, NA())</f>
        <v>#N/A</v>
      </c>
      <c r="X20" s="103" t="e">
        <f t="shared" ca="1" si="4"/>
        <v>#N/A</v>
      </c>
      <c r="Y20" s="64"/>
      <c r="Z20" s="130" t="e">
        <f ca="1">IF($C20=Calculations!$E$85, M20, NA())</f>
        <v>#N/A</v>
      </c>
      <c r="AA20" s="130" t="e">
        <f ca="1">IF($C20=Calculations!$E$86, M20, NA())</f>
        <v>#N/A</v>
      </c>
      <c r="AB20" s="130" t="e">
        <f ca="1">IF($C20=Calculations!$E$87, M20, NA())</f>
        <v>#N/A</v>
      </c>
      <c r="AC20" s="130" t="e">
        <f t="shared" ca="1" si="5"/>
        <v>#N/A</v>
      </c>
      <c r="AD20" s="64"/>
      <c r="AE20" s="130" t="e">
        <f ca="1">IF($C20=Calculations!$C$142,Tables!S20, NA())</f>
        <v>#N/A</v>
      </c>
      <c r="AF20" s="130" t="e">
        <f t="shared" ca="1" si="6"/>
        <v>#N/A</v>
      </c>
      <c r="XN20" s="79"/>
    </row>
    <row r="21" spans="1:638" ht="15" customHeight="1" x14ac:dyDescent="0.25">
      <c r="A21" s="51">
        <f t="shared" si="0"/>
        <v>42886</v>
      </c>
      <c r="B21" s="52">
        <f>IF(C22&lt;Charts!$H$3,0,IF(DATE(YEAR(Charts!$H$3),MONTH(Charts!$H$3),DAY(Charts!$H$3))=DATE(YEAR(C22), MONTH(C22),DAY(C22)),0,TEXT(C21,"m/d/yy")&amp;"-"&amp;TEXT(C21+6,"m/d/yy")))</f>
        <v>0</v>
      </c>
      <c r="C21" s="53">
        <f>IF(Controls!$J$24="Monthly",DATE(YEAR(C22),MONTH(C22)-1,1),C22-Controls!$I$24)</f>
        <v>42886</v>
      </c>
      <c r="D21" s="54">
        <f t="shared" si="1"/>
        <v>42886</v>
      </c>
      <c r="E21" s="64"/>
      <c r="F21" s="96">
        <f>COUNTIFS(Media!C:C, "&gt;="&amp;$C21, Media!C:C, "&lt;"&amp;$C22, Media!G:G,"image")</f>
        <v>0</v>
      </c>
      <c r="G21" s="97">
        <f>COUNTIFS(Media!C:C, "&gt;="&amp;$C21, Media!C:C, "&lt;"&amp;$C22, Media!G:G,"video")</f>
        <v>0</v>
      </c>
      <c r="H21" s="251">
        <f>COUNTIFS(Media!C:C, "&gt;="&amp;$C21, Media!C:C, "&lt;"&amp;$C22, Media!G:G,"carousel")</f>
        <v>0</v>
      </c>
      <c r="I21" s="97">
        <f t="shared" si="2"/>
        <v>0</v>
      </c>
      <c r="J21" s="64"/>
      <c r="K21" s="97">
        <f>SUMIFS(Media!K:K, Media!$C:$C, "&gt;="&amp;$C21, Media!$C:$C, "&lt;"&amp;$C22)</f>
        <v>0</v>
      </c>
      <c r="L21" s="97">
        <f>SUMIFS(Media!J:J, Media!$C:$C, "&gt;="&amp;$C21, Media!$C:$C, "&lt;"&amp;$C22)</f>
        <v>0</v>
      </c>
      <c r="M21" s="97">
        <f t="shared" si="3"/>
        <v>0</v>
      </c>
      <c r="N21" s="64"/>
      <c r="O21" s="99">
        <f>SUMIFS(Media!M:M, Media!$C:$C, "&gt;="&amp;$C21, Media!$C:$C, "&lt;"&amp;$C22)</f>
        <v>0</v>
      </c>
      <c r="P21" s="64"/>
      <c r="Q21" s="98">
        <f>SUMIFS(Media!Q:Q, Media!$C:$C, "&gt;="&amp;$C21, Media!$C:$C, "&lt;"&amp;$C22)</f>
        <v>0</v>
      </c>
      <c r="R21" s="64"/>
      <c r="S21" s="100">
        <f>SUMIFS(Media!H:H, Media!$C:$C, "&gt;="&amp;$C21, Media!$C:$C, "&lt;"&amp;$C22)</f>
        <v>0</v>
      </c>
      <c r="T21" s="64"/>
      <c r="U21" s="100">
        <f t="shared" si="7"/>
        <v>19</v>
      </c>
      <c r="V21" s="64"/>
      <c r="W21" s="130" t="e">
        <f ca="1">IF($C21=Calculations!$C$53, I21, NA())</f>
        <v>#N/A</v>
      </c>
      <c r="X21" s="103" t="e">
        <f t="shared" ca="1" si="4"/>
        <v>#N/A</v>
      </c>
      <c r="Y21" s="64"/>
      <c r="Z21" s="130" t="e">
        <f ca="1">IF($C21=Calculations!$E$85, M21, NA())</f>
        <v>#N/A</v>
      </c>
      <c r="AA21" s="130" t="e">
        <f ca="1">IF($C21=Calculations!$E$86, M21, NA())</f>
        <v>#N/A</v>
      </c>
      <c r="AB21" s="130" t="e">
        <f ca="1">IF($C21=Calculations!$E$87, M21, NA())</f>
        <v>#N/A</v>
      </c>
      <c r="AC21" s="130" t="e">
        <f t="shared" ca="1" si="5"/>
        <v>#N/A</v>
      </c>
      <c r="AD21" s="64"/>
      <c r="AE21" s="130" t="e">
        <f ca="1">IF($C21=Calculations!$C$142,Tables!S21, NA())</f>
        <v>#N/A</v>
      </c>
      <c r="AF21" s="130" t="e">
        <f t="shared" ca="1" si="6"/>
        <v>#N/A</v>
      </c>
      <c r="XN21" s="79"/>
    </row>
    <row r="22" spans="1:638" ht="15" customHeight="1" x14ac:dyDescent="0.25">
      <c r="A22" s="51">
        <f t="shared" si="0"/>
        <v>42887</v>
      </c>
      <c r="B22" s="52">
        <f>IF(C23&lt;Charts!$H$3,0,IF(DATE(YEAR(Charts!$H$3),MONTH(Charts!$H$3),DAY(Charts!$H$3))=DATE(YEAR(C23), MONTH(C23),DAY(C23)),0,TEXT(C22,"m/d/yy")&amp;"-"&amp;TEXT(C22+6,"m/d/yy")))</f>
        <v>0</v>
      </c>
      <c r="C22" s="53">
        <f>IF(Controls!$J$24="Monthly",DATE(YEAR(C23),MONTH(C23)-1,1),C23-Controls!$I$24)</f>
        <v>42887</v>
      </c>
      <c r="D22" s="54">
        <f t="shared" si="1"/>
        <v>42887</v>
      </c>
      <c r="E22" s="64"/>
      <c r="F22" s="96">
        <f>COUNTIFS(Media!C:C, "&gt;="&amp;$C22, Media!C:C, "&lt;"&amp;$C23, Media!G:G,"image")</f>
        <v>0</v>
      </c>
      <c r="G22" s="97">
        <f>COUNTIFS(Media!C:C, "&gt;="&amp;$C22, Media!C:C, "&lt;"&amp;$C23, Media!G:G,"video")</f>
        <v>0</v>
      </c>
      <c r="H22" s="251">
        <f>COUNTIFS(Media!C:C, "&gt;="&amp;$C22, Media!C:C, "&lt;"&amp;$C23, Media!G:G,"carousel")</f>
        <v>0</v>
      </c>
      <c r="I22" s="97">
        <f t="shared" si="2"/>
        <v>0</v>
      </c>
      <c r="J22" s="64"/>
      <c r="K22" s="97">
        <f>SUMIFS(Media!K:K, Media!$C:$C, "&gt;="&amp;$C22, Media!$C:$C, "&lt;"&amp;$C23)</f>
        <v>0</v>
      </c>
      <c r="L22" s="97">
        <f>SUMIFS(Media!J:J, Media!$C:$C, "&gt;="&amp;$C22, Media!$C:$C, "&lt;"&amp;$C23)</f>
        <v>0</v>
      </c>
      <c r="M22" s="97">
        <f t="shared" si="3"/>
        <v>0</v>
      </c>
      <c r="N22" s="64"/>
      <c r="O22" s="99">
        <f>SUMIFS(Media!M:M, Media!$C:$C, "&gt;="&amp;$C22, Media!$C:$C, "&lt;"&amp;$C23)</f>
        <v>0</v>
      </c>
      <c r="P22" s="64"/>
      <c r="Q22" s="98">
        <f>SUMIFS(Media!Q:Q, Media!$C:$C, "&gt;="&amp;$C22, Media!$C:$C, "&lt;"&amp;$C23)</f>
        <v>0</v>
      </c>
      <c r="R22" s="64"/>
      <c r="S22" s="100">
        <f>SUMIFS(Media!H:H, Media!$C:$C, "&gt;="&amp;$C22, Media!$C:$C, "&lt;"&amp;$C23)</f>
        <v>0</v>
      </c>
      <c r="T22" s="64"/>
      <c r="U22" s="100">
        <f t="shared" si="7"/>
        <v>20</v>
      </c>
      <c r="V22" s="64"/>
      <c r="W22" s="130" t="e">
        <f ca="1">IF($C22=Calculations!$C$53, I22, NA())</f>
        <v>#N/A</v>
      </c>
      <c r="X22" s="103" t="e">
        <f t="shared" ca="1" si="4"/>
        <v>#N/A</v>
      </c>
      <c r="Y22" s="64"/>
      <c r="Z22" s="130" t="e">
        <f ca="1">IF($C22=Calculations!$E$85, M22, NA())</f>
        <v>#N/A</v>
      </c>
      <c r="AA22" s="130" t="e">
        <f ca="1">IF($C22=Calculations!$E$86, M22, NA())</f>
        <v>#N/A</v>
      </c>
      <c r="AB22" s="130" t="e">
        <f ca="1">IF($C22=Calculations!$E$87, M22, NA())</f>
        <v>#N/A</v>
      </c>
      <c r="AC22" s="130" t="e">
        <f t="shared" ca="1" si="5"/>
        <v>#N/A</v>
      </c>
      <c r="AD22" s="64"/>
      <c r="AE22" s="130" t="e">
        <f ca="1">IF($C22=Calculations!$C$142,Tables!S22, NA())</f>
        <v>#N/A</v>
      </c>
      <c r="AF22" s="130" t="e">
        <f t="shared" ca="1" si="6"/>
        <v>#N/A</v>
      </c>
      <c r="XN22" s="79"/>
    </row>
    <row r="23" spans="1:638" ht="15" customHeight="1" x14ac:dyDescent="0.25">
      <c r="A23" s="51">
        <f t="shared" si="0"/>
        <v>42888</v>
      </c>
      <c r="B23" s="52">
        <f>IF(C24&lt;Charts!$H$3,0,IF(DATE(YEAR(Charts!$H$3),MONTH(Charts!$H$3),DAY(Charts!$H$3))=DATE(YEAR(C24), MONTH(C24),DAY(C24)),0,TEXT(C23,"m/d/yy")&amp;"-"&amp;TEXT(C23+6,"m/d/yy")))</f>
        <v>0</v>
      </c>
      <c r="C23" s="53">
        <f>IF(Controls!$J$24="Monthly",DATE(YEAR(C24),MONTH(C24)-1,1),C24-Controls!$I$24)</f>
        <v>42888</v>
      </c>
      <c r="D23" s="54">
        <f t="shared" si="1"/>
        <v>42888</v>
      </c>
      <c r="E23" s="64"/>
      <c r="F23" s="96">
        <f>COUNTIFS(Media!C:C, "&gt;="&amp;$C23, Media!C:C, "&lt;"&amp;$C24, Media!G:G,"image")</f>
        <v>0</v>
      </c>
      <c r="G23" s="97">
        <f>COUNTIFS(Media!C:C, "&gt;="&amp;$C23, Media!C:C, "&lt;"&amp;$C24, Media!G:G,"video")</f>
        <v>0</v>
      </c>
      <c r="H23" s="251">
        <f>COUNTIFS(Media!C:C, "&gt;="&amp;$C23, Media!C:C, "&lt;"&amp;$C24, Media!G:G,"carousel")</f>
        <v>0</v>
      </c>
      <c r="I23" s="97">
        <f t="shared" si="2"/>
        <v>0</v>
      </c>
      <c r="J23" s="64"/>
      <c r="K23" s="97">
        <f>SUMIFS(Media!K:K, Media!$C:$C, "&gt;="&amp;$C23, Media!$C:$C, "&lt;"&amp;$C24)</f>
        <v>0</v>
      </c>
      <c r="L23" s="97">
        <f>SUMIFS(Media!J:J, Media!$C:$C, "&gt;="&amp;$C23, Media!$C:$C, "&lt;"&amp;$C24)</f>
        <v>0</v>
      </c>
      <c r="M23" s="97">
        <f t="shared" si="3"/>
        <v>0</v>
      </c>
      <c r="N23" s="64"/>
      <c r="O23" s="99">
        <f>SUMIFS(Media!M:M, Media!$C:$C, "&gt;="&amp;$C23, Media!$C:$C, "&lt;"&amp;$C24)</f>
        <v>0</v>
      </c>
      <c r="P23" s="64"/>
      <c r="Q23" s="98">
        <f>SUMIFS(Media!Q:Q, Media!$C:$C, "&gt;="&amp;$C23, Media!$C:$C, "&lt;"&amp;$C24)</f>
        <v>0</v>
      </c>
      <c r="R23" s="64"/>
      <c r="S23" s="100">
        <f>SUMIFS(Media!H:H, Media!$C:$C, "&gt;="&amp;$C23, Media!$C:$C, "&lt;"&amp;$C24)</f>
        <v>0</v>
      </c>
      <c r="T23" s="64"/>
      <c r="U23" s="100">
        <f t="shared" si="7"/>
        <v>21</v>
      </c>
      <c r="V23" s="64"/>
      <c r="W23" s="130" t="e">
        <f ca="1">IF($C23=Calculations!$C$53, I23, NA())</f>
        <v>#N/A</v>
      </c>
      <c r="X23" s="103" t="e">
        <f t="shared" ca="1" si="4"/>
        <v>#N/A</v>
      </c>
      <c r="Y23" s="64"/>
      <c r="Z23" s="130" t="e">
        <f ca="1">IF($C23=Calculations!$E$85, M23, NA())</f>
        <v>#N/A</v>
      </c>
      <c r="AA23" s="130" t="e">
        <f ca="1">IF($C23=Calculations!$E$86, M23, NA())</f>
        <v>#N/A</v>
      </c>
      <c r="AB23" s="130" t="e">
        <f ca="1">IF($C23=Calculations!$E$87, M23, NA())</f>
        <v>#N/A</v>
      </c>
      <c r="AC23" s="130" t="e">
        <f t="shared" ca="1" si="5"/>
        <v>#N/A</v>
      </c>
      <c r="AD23" s="64"/>
      <c r="AE23" s="130" t="e">
        <f ca="1">IF($C23=Calculations!$C$142,Tables!S23, NA())</f>
        <v>#N/A</v>
      </c>
      <c r="AF23" s="130" t="e">
        <f t="shared" ca="1" si="6"/>
        <v>#N/A</v>
      </c>
      <c r="XN23" s="79"/>
    </row>
    <row r="24" spans="1:638" ht="15" customHeight="1" x14ac:dyDescent="0.25">
      <c r="A24" s="51">
        <f t="shared" si="0"/>
        <v>42889</v>
      </c>
      <c r="B24" s="52">
        <f>IF(C25&lt;Charts!$H$3,0,IF(DATE(YEAR(Charts!$H$3),MONTH(Charts!$H$3),DAY(Charts!$H$3))=DATE(YEAR(C25), MONTH(C25),DAY(C25)),0,TEXT(C24,"m/d/yy")&amp;"-"&amp;TEXT(C24+6,"m/d/yy")))</f>
        <v>0</v>
      </c>
      <c r="C24" s="53">
        <f>IF(Controls!$J$24="Monthly",DATE(YEAR(C25),MONTH(C25)-1,1),C25-Controls!$I$24)</f>
        <v>42889</v>
      </c>
      <c r="D24" s="54">
        <f t="shared" si="1"/>
        <v>42889</v>
      </c>
      <c r="E24" s="64"/>
      <c r="F24" s="96">
        <f>COUNTIFS(Media!C:C, "&gt;="&amp;$C24, Media!C:C, "&lt;"&amp;$C25, Media!G:G,"image")</f>
        <v>0</v>
      </c>
      <c r="G24" s="97">
        <f>COUNTIFS(Media!C:C, "&gt;="&amp;$C24, Media!C:C, "&lt;"&amp;$C25, Media!G:G,"video")</f>
        <v>0</v>
      </c>
      <c r="H24" s="251">
        <f>COUNTIFS(Media!C:C, "&gt;="&amp;$C24, Media!C:C, "&lt;"&amp;$C25, Media!G:G,"carousel")</f>
        <v>0</v>
      </c>
      <c r="I24" s="97">
        <f t="shared" si="2"/>
        <v>0</v>
      </c>
      <c r="J24" s="64"/>
      <c r="K24" s="97">
        <f>SUMIFS(Media!K:K, Media!$C:$C, "&gt;="&amp;$C24, Media!$C:$C, "&lt;"&amp;$C25)</f>
        <v>0</v>
      </c>
      <c r="L24" s="97">
        <f>SUMIFS(Media!J:J, Media!$C:$C, "&gt;="&amp;$C24, Media!$C:$C, "&lt;"&amp;$C25)</f>
        <v>0</v>
      </c>
      <c r="M24" s="97">
        <f t="shared" si="3"/>
        <v>0</v>
      </c>
      <c r="N24" s="64"/>
      <c r="O24" s="99">
        <f>SUMIFS(Media!M:M, Media!$C:$C, "&gt;="&amp;$C24, Media!$C:$C, "&lt;"&amp;$C25)</f>
        <v>0</v>
      </c>
      <c r="P24" s="64"/>
      <c r="Q24" s="98">
        <f>SUMIFS(Media!Q:Q, Media!$C:$C, "&gt;="&amp;$C24, Media!$C:$C, "&lt;"&amp;$C25)</f>
        <v>0</v>
      </c>
      <c r="R24" s="64"/>
      <c r="S24" s="100">
        <f>SUMIFS(Media!H:H, Media!$C:$C, "&gt;="&amp;$C24, Media!$C:$C, "&lt;"&amp;$C25)</f>
        <v>0</v>
      </c>
      <c r="T24" s="64"/>
      <c r="U24" s="100">
        <f t="shared" si="7"/>
        <v>22</v>
      </c>
      <c r="V24" s="64"/>
      <c r="W24" s="130" t="e">
        <f ca="1">IF($C24=Calculations!$C$53, I24, NA())</f>
        <v>#N/A</v>
      </c>
      <c r="X24" s="103" t="e">
        <f t="shared" ca="1" si="4"/>
        <v>#N/A</v>
      </c>
      <c r="Y24" s="64"/>
      <c r="Z24" s="130" t="e">
        <f ca="1">IF($C24=Calculations!$E$85, M24, NA())</f>
        <v>#N/A</v>
      </c>
      <c r="AA24" s="130" t="e">
        <f ca="1">IF($C24=Calculations!$E$86, M24, NA())</f>
        <v>#N/A</v>
      </c>
      <c r="AB24" s="130" t="e">
        <f ca="1">IF($C24=Calculations!$E$87, M24, NA())</f>
        <v>#N/A</v>
      </c>
      <c r="AC24" s="130" t="e">
        <f t="shared" ca="1" si="5"/>
        <v>#N/A</v>
      </c>
      <c r="AD24" s="64"/>
      <c r="AE24" s="130" t="e">
        <f ca="1">IF($C24=Calculations!$C$142,Tables!S24, NA())</f>
        <v>#N/A</v>
      </c>
      <c r="AF24" s="130" t="e">
        <f t="shared" ca="1" si="6"/>
        <v>#N/A</v>
      </c>
      <c r="XN24" s="79"/>
    </row>
    <row r="25" spans="1:638" ht="15" customHeight="1" x14ac:dyDescent="0.25">
      <c r="A25" s="51">
        <f t="shared" si="0"/>
        <v>42890</v>
      </c>
      <c r="B25" s="52">
        <f>IF(C26&lt;Charts!$H$3,0,IF(DATE(YEAR(Charts!$H$3),MONTH(Charts!$H$3),DAY(Charts!$H$3))=DATE(YEAR(C26), MONTH(C26),DAY(C26)),0,TEXT(C25,"m/d/yy")&amp;"-"&amp;TEXT(C25+6,"m/d/yy")))</f>
        <v>0</v>
      </c>
      <c r="C25" s="53">
        <f>IF(Controls!$J$24="Monthly",DATE(YEAR(C26),MONTH(C26)-1,1),C26-Controls!$I$24)</f>
        <v>42890</v>
      </c>
      <c r="D25" s="54">
        <f t="shared" si="1"/>
        <v>42890</v>
      </c>
      <c r="E25" s="64"/>
      <c r="F25" s="96">
        <f>COUNTIFS(Media!C:C, "&gt;="&amp;$C25, Media!C:C, "&lt;"&amp;$C26, Media!G:G,"image")</f>
        <v>0</v>
      </c>
      <c r="G25" s="97">
        <f>COUNTIFS(Media!C:C, "&gt;="&amp;$C25, Media!C:C, "&lt;"&amp;$C26, Media!G:G,"video")</f>
        <v>0</v>
      </c>
      <c r="H25" s="251">
        <f>COUNTIFS(Media!C:C, "&gt;="&amp;$C25, Media!C:C, "&lt;"&amp;$C26, Media!G:G,"carousel")</f>
        <v>0</v>
      </c>
      <c r="I25" s="97">
        <f t="shared" si="2"/>
        <v>0</v>
      </c>
      <c r="J25" s="64"/>
      <c r="K25" s="97">
        <f>SUMIFS(Media!K:K, Media!$C:$C, "&gt;="&amp;$C25, Media!$C:$C, "&lt;"&amp;$C26)</f>
        <v>0</v>
      </c>
      <c r="L25" s="97">
        <f>SUMIFS(Media!J:J, Media!$C:$C, "&gt;="&amp;$C25, Media!$C:$C, "&lt;"&amp;$C26)</f>
        <v>0</v>
      </c>
      <c r="M25" s="97">
        <f t="shared" si="3"/>
        <v>0</v>
      </c>
      <c r="N25" s="64"/>
      <c r="O25" s="99">
        <f>SUMIFS(Media!M:M, Media!$C:$C, "&gt;="&amp;$C25, Media!$C:$C, "&lt;"&amp;$C26)</f>
        <v>0</v>
      </c>
      <c r="P25" s="64"/>
      <c r="Q25" s="98">
        <f>SUMIFS(Media!Q:Q, Media!$C:$C, "&gt;="&amp;$C25, Media!$C:$C, "&lt;"&amp;$C26)</f>
        <v>0</v>
      </c>
      <c r="R25" s="64"/>
      <c r="S25" s="100">
        <f>SUMIFS(Media!H:H, Media!$C:$C, "&gt;="&amp;$C25, Media!$C:$C, "&lt;"&amp;$C26)</f>
        <v>0</v>
      </c>
      <c r="T25" s="64"/>
      <c r="U25" s="100">
        <f t="shared" si="7"/>
        <v>23</v>
      </c>
      <c r="V25" s="64"/>
      <c r="W25" s="130" t="e">
        <f ca="1">IF($C25=Calculations!$C$53, I25, NA())</f>
        <v>#N/A</v>
      </c>
      <c r="X25" s="103" t="e">
        <f t="shared" ca="1" si="4"/>
        <v>#N/A</v>
      </c>
      <c r="Y25" s="64"/>
      <c r="Z25" s="130" t="e">
        <f ca="1">IF($C25=Calculations!$E$85, M25, NA())</f>
        <v>#N/A</v>
      </c>
      <c r="AA25" s="130" t="e">
        <f ca="1">IF($C25=Calculations!$E$86, M25, NA())</f>
        <v>#N/A</v>
      </c>
      <c r="AB25" s="130" t="e">
        <f ca="1">IF($C25=Calculations!$E$87, M25, NA())</f>
        <v>#N/A</v>
      </c>
      <c r="AC25" s="130" t="e">
        <f t="shared" ca="1" si="5"/>
        <v>#N/A</v>
      </c>
      <c r="AD25" s="64"/>
      <c r="AE25" s="130" t="e">
        <f ca="1">IF($C25=Calculations!$C$142,Tables!S25, NA())</f>
        <v>#N/A</v>
      </c>
      <c r="AF25" s="130" t="e">
        <f t="shared" ca="1" si="6"/>
        <v>#N/A</v>
      </c>
      <c r="XN25" s="79"/>
    </row>
    <row r="26" spans="1:638" ht="15" customHeight="1" x14ac:dyDescent="0.25">
      <c r="A26" s="51">
        <f t="shared" si="0"/>
        <v>42891</v>
      </c>
      <c r="B26" s="52">
        <f>IF(C27&lt;Charts!$H$3,0,IF(DATE(YEAR(Charts!$H$3),MONTH(Charts!$H$3),DAY(Charts!$H$3))=DATE(YEAR(C27), MONTH(C27),DAY(C27)),0,TEXT(C26,"m/d/yy")&amp;"-"&amp;TEXT(C26+6,"m/d/yy")))</f>
        <v>0</v>
      </c>
      <c r="C26" s="53">
        <f>IF(Controls!$J$24="Monthly",DATE(YEAR(C27),MONTH(C27)-1,1),C27-Controls!$I$24)</f>
        <v>42891</v>
      </c>
      <c r="D26" s="54">
        <f t="shared" si="1"/>
        <v>42891</v>
      </c>
      <c r="E26" s="64"/>
      <c r="F26" s="96">
        <f>COUNTIFS(Media!C:C, "&gt;="&amp;$C26, Media!C:C, "&lt;"&amp;$C27, Media!G:G,"image")</f>
        <v>0</v>
      </c>
      <c r="G26" s="97">
        <f>COUNTIFS(Media!C:C, "&gt;="&amp;$C26, Media!C:C, "&lt;"&amp;$C27, Media!G:G,"video")</f>
        <v>0</v>
      </c>
      <c r="H26" s="251">
        <f>COUNTIFS(Media!C:C, "&gt;="&amp;$C26, Media!C:C, "&lt;"&amp;$C27, Media!G:G,"carousel")</f>
        <v>0</v>
      </c>
      <c r="I26" s="97">
        <f t="shared" si="2"/>
        <v>0</v>
      </c>
      <c r="J26" s="64"/>
      <c r="K26" s="97">
        <f>SUMIFS(Media!K:K, Media!$C:$C, "&gt;="&amp;$C26, Media!$C:$C, "&lt;"&amp;$C27)</f>
        <v>0</v>
      </c>
      <c r="L26" s="97">
        <f>SUMIFS(Media!J:J, Media!$C:$C, "&gt;="&amp;$C26, Media!$C:$C, "&lt;"&amp;$C27)</f>
        <v>0</v>
      </c>
      <c r="M26" s="97">
        <f t="shared" si="3"/>
        <v>0</v>
      </c>
      <c r="N26" s="64"/>
      <c r="O26" s="99">
        <f>SUMIFS(Media!M:M, Media!$C:$C, "&gt;="&amp;$C26, Media!$C:$C, "&lt;"&amp;$C27)</f>
        <v>0</v>
      </c>
      <c r="P26" s="64"/>
      <c r="Q26" s="98">
        <f>SUMIFS(Media!Q:Q, Media!$C:$C, "&gt;="&amp;$C26, Media!$C:$C, "&lt;"&amp;$C27)</f>
        <v>0</v>
      </c>
      <c r="R26" s="64"/>
      <c r="S26" s="100">
        <f>SUMIFS(Media!H:H, Media!$C:$C, "&gt;="&amp;$C26, Media!$C:$C, "&lt;"&amp;$C27)</f>
        <v>0</v>
      </c>
      <c r="T26" s="64"/>
      <c r="U26" s="100">
        <f t="shared" si="7"/>
        <v>24</v>
      </c>
      <c r="V26" s="64"/>
      <c r="W26" s="130" t="e">
        <f ca="1">IF($C26=Calculations!$C$53, I26, NA())</f>
        <v>#N/A</v>
      </c>
      <c r="X26" s="103" t="e">
        <f t="shared" ca="1" si="4"/>
        <v>#N/A</v>
      </c>
      <c r="Y26" s="64"/>
      <c r="Z26" s="130" t="e">
        <f ca="1">IF($C26=Calculations!$E$85, M26, NA())</f>
        <v>#N/A</v>
      </c>
      <c r="AA26" s="130" t="e">
        <f ca="1">IF($C26=Calculations!$E$86, M26, NA())</f>
        <v>#N/A</v>
      </c>
      <c r="AB26" s="130" t="e">
        <f ca="1">IF($C26=Calculations!$E$87, M26, NA())</f>
        <v>#N/A</v>
      </c>
      <c r="AC26" s="130" t="e">
        <f t="shared" ca="1" si="5"/>
        <v>#N/A</v>
      </c>
      <c r="AD26" s="64"/>
      <c r="AE26" s="130" t="e">
        <f ca="1">IF($C26=Calculations!$C$142,Tables!S26, NA())</f>
        <v>#N/A</v>
      </c>
      <c r="AF26" s="130" t="e">
        <f t="shared" ca="1" si="6"/>
        <v>#N/A</v>
      </c>
      <c r="XN26" s="79"/>
    </row>
    <row r="27" spans="1:638" ht="15" customHeight="1" x14ac:dyDescent="0.25">
      <c r="A27" s="51">
        <f t="shared" si="0"/>
        <v>42892</v>
      </c>
      <c r="B27" s="52">
        <f>IF(C28&lt;Charts!$H$3,0,IF(DATE(YEAR(Charts!$H$3),MONTH(Charts!$H$3),DAY(Charts!$H$3))=DATE(YEAR(C28), MONTH(C28),DAY(C28)),0,TEXT(C27,"m/d/yy")&amp;"-"&amp;TEXT(C27+6,"m/d/yy")))</f>
        <v>0</v>
      </c>
      <c r="C27" s="53">
        <f>IF(Controls!$J$24="Monthly",DATE(YEAR(C28),MONTH(C28)-1,1),C28-Controls!$I$24)</f>
        <v>42892</v>
      </c>
      <c r="D27" s="54">
        <f t="shared" si="1"/>
        <v>42892</v>
      </c>
      <c r="E27" s="64"/>
      <c r="F27" s="96">
        <f>COUNTIFS(Media!C:C, "&gt;="&amp;$C27, Media!C:C, "&lt;"&amp;$C28, Media!G:G,"image")</f>
        <v>0</v>
      </c>
      <c r="G27" s="97">
        <f>COUNTIFS(Media!C:C, "&gt;="&amp;$C27, Media!C:C, "&lt;"&amp;$C28, Media!G:G,"video")</f>
        <v>0</v>
      </c>
      <c r="H27" s="251">
        <f>COUNTIFS(Media!C:C, "&gt;="&amp;$C27, Media!C:C, "&lt;"&amp;$C28, Media!G:G,"carousel")</f>
        <v>0</v>
      </c>
      <c r="I27" s="97">
        <f t="shared" si="2"/>
        <v>0</v>
      </c>
      <c r="J27" s="64"/>
      <c r="K27" s="97">
        <f>SUMIFS(Media!K:K, Media!$C:$C, "&gt;="&amp;$C27, Media!$C:$C, "&lt;"&amp;$C28)</f>
        <v>0</v>
      </c>
      <c r="L27" s="97">
        <f>SUMIFS(Media!J:J, Media!$C:$C, "&gt;="&amp;$C27, Media!$C:$C, "&lt;"&amp;$C28)</f>
        <v>0</v>
      </c>
      <c r="M27" s="97">
        <f t="shared" si="3"/>
        <v>0</v>
      </c>
      <c r="N27" s="64"/>
      <c r="O27" s="99">
        <f>SUMIFS(Media!M:M, Media!$C:$C, "&gt;="&amp;$C27, Media!$C:$C, "&lt;"&amp;$C28)</f>
        <v>0</v>
      </c>
      <c r="P27" s="64"/>
      <c r="Q27" s="98">
        <f>SUMIFS(Media!Q:Q, Media!$C:$C, "&gt;="&amp;$C27, Media!$C:$C, "&lt;"&amp;$C28)</f>
        <v>0</v>
      </c>
      <c r="R27" s="64"/>
      <c r="S27" s="100">
        <f>SUMIFS(Media!H:H, Media!$C:$C, "&gt;="&amp;$C27, Media!$C:$C, "&lt;"&amp;$C28)</f>
        <v>0</v>
      </c>
      <c r="T27" s="64"/>
      <c r="U27" s="100">
        <f t="shared" si="7"/>
        <v>25</v>
      </c>
      <c r="V27" s="64"/>
      <c r="W27" s="130" t="e">
        <f ca="1">IF($C27=Calculations!$C$53, I27, NA())</f>
        <v>#N/A</v>
      </c>
      <c r="X27" s="103" t="e">
        <f t="shared" ca="1" si="4"/>
        <v>#N/A</v>
      </c>
      <c r="Y27" s="64"/>
      <c r="Z27" s="130" t="e">
        <f ca="1">IF($C27=Calculations!$E$85, M27, NA())</f>
        <v>#N/A</v>
      </c>
      <c r="AA27" s="130" t="e">
        <f ca="1">IF($C27=Calculations!$E$86, M27, NA())</f>
        <v>#N/A</v>
      </c>
      <c r="AB27" s="130" t="e">
        <f ca="1">IF($C27=Calculations!$E$87, M27, NA())</f>
        <v>#N/A</v>
      </c>
      <c r="AC27" s="130" t="e">
        <f t="shared" ca="1" si="5"/>
        <v>#N/A</v>
      </c>
      <c r="AD27" s="64"/>
      <c r="AE27" s="130" t="e">
        <f ca="1">IF($C27=Calculations!$C$142,Tables!S27, NA())</f>
        <v>#N/A</v>
      </c>
      <c r="AF27" s="130" t="e">
        <f t="shared" ca="1" si="6"/>
        <v>#N/A</v>
      </c>
      <c r="XN27" s="79"/>
    </row>
    <row r="28" spans="1:638" ht="15" customHeight="1" x14ac:dyDescent="0.25">
      <c r="A28" s="51">
        <f t="shared" si="0"/>
        <v>42893</v>
      </c>
      <c r="B28" s="52">
        <f>IF(C29&lt;Charts!$H$3,0,IF(DATE(YEAR(Charts!$H$3),MONTH(Charts!$H$3),DAY(Charts!$H$3))=DATE(YEAR(C29), MONTH(C29),DAY(C29)),0,TEXT(C28,"m/d/yy")&amp;"-"&amp;TEXT(C28+6,"m/d/yy")))</f>
        <v>0</v>
      </c>
      <c r="C28" s="53">
        <f>IF(Controls!$J$24="Monthly",DATE(YEAR(C29),MONTH(C29)-1,1),C29-Controls!$I$24)</f>
        <v>42893</v>
      </c>
      <c r="D28" s="54">
        <f t="shared" si="1"/>
        <v>42893</v>
      </c>
      <c r="E28" s="64"/>
      <c r="F28" s="96">
        <f>COUNTIFS(Media!C:C, "&gt;="&amp;$C28, Media!C:C, "&lt;"&amp;$C29, Media!G:G,"image")</f>
        <v>0</v>
      </c>
      <c r="G28" s="97">
        <f>COUNTIFS(Media!C:C, "&gt;="&amp;$C28, Media!C:C, "&lt;"&amp;$C29, Media!G:G,"video")</f>
        <v>0</v>
      </c>
      <c r="H28" s="251">
        <f>COUNTIFS(Media!C:C, "&gt;="&amp;$C28, Media!C:C, "&lt;"&amp;$C29, Media!G:G,"carousel")</f>
        <v>0</v>
      </c>
      <c r="I28" s="97">
        <f t="shared" si="2"/>
        <v>0</v>
      </c>
      <c r="J28" s="64"/>
      <c r="K28" s="97">
        <f>SUMIFS(Media!K:K, Media!$C:$C, "&gt;="&amp;$C28, Media!$C:$C, "&lt;"&amp;$C29)</f>
        <v>0</v>
      </c>
      <c r="L28" s="97">
        <f>SUMIFS(Media!J:J, Media!$C:$C, "&gt;="&amp;$C28, Media!$C:$C, "&lt;"&amp;$C29)</f>
        <v>0</v>
      </c>
      <c r="M28" s="97">
        <f t="shared" si="3"/>
        <v>0</v>
      </c>
      <c r="N28" s="64"/>
      <c r="O28" s="99">
        <f>SUMIFS(Media!M:M, Media!$C:$C, "&gt;="&amp;$C28, Media!$C:$C, "&lt;"&amp;$C29)</f>
        <v>0</v>
      </c>
      <c r="P28" s="64"/>
      <c r="Q28" s="98">
        <f>SUMIFS(Media!Q:Q, Media!$C:$C, "&gt;="&amp;$C28, Media!$C:$C, "&lt;"&amp;$C29)</f>
        <v>0</v>
      </c>
      <c r="R28" s="64"/>
      <c r="S28" s="100">
        <f>SUMIFS(Media!H:H, Media!$C:$C, "&gt;="&amp;$C28, Media!$C:$C, "&lt;"&amp;$C29)</f>
        <v>0</v>
      </c>
      <c r="T28" s="64"/>
      <c r="U28" s="100">
        <f t="shared" si="7"/>
        <v>26</v>
      </c>
      <c r="V28" s="64"/>
      <c r="W28" s="130" t="e">
        <f ca="1">IF($C28=Calculations!$C$53, I28, NA())</f>
        <v>#N/A</v>
      </c>
      <c r="X28" s="103" t="e">
        <f t="shared" ca="1" si="4"/>
        <v>#N/A</v>
      </c>
      <c r="Y28" s="64"/>
      <c r="Z28" s="130" t="e">
        <f ca="1">IF($C28=Calculations!$E$85, M28, NA())</f>
        <v>#N/A</v>
      </c>
      <c r="AA28" s="130" t="e">
        <f ca="1">IF($C28=Calculations!$E$86, M28, NA())</f>
        <v>#N/A</v>
      </c>
      <c r="AB28" s="130" t="e">
        <f ca="1">IF($C28=Calculations!$E$87, M28, NA())</f>
        <v>#N/A</v>
      </c>
      <c r="AC28" s="130" t="e">
        <f t="shared" ca="1" si="5"/>
        <v>#N/A</v>
      </c>
      <c r="AD28" s="64"/>
      <c r="AE28" s="130" t="e">
        <f ca="1">IF($C28=Calculations!$C$142,Tables!S28, NA())</f>
        <v>#N/A</v>
      </c>
      <c r="AF28" s="130" t="e">
        <f t="shared" ca="1" si="6"/>
        <v>#N/A</v>
      </c>
      <c r="XN28" s="79"/>
    </row>
    <row r="29" spans="1:638" ht="15" customHeight="1" x14ac:dyDescent="0.25">
      <c r="A29" s="51">
        <f t="shared" si="0"/>
        <v>42894</v>
      </c>
      <c r="B29" s="52">
        <f>IF(C30&lt;Charts!$H$3,0,IF(DATE(YEAR(Charts!$H$3),MONTH(Charts!$H$3),DAY(Charts!$H$3))=DATE(YEAR(C30), MONTH(C30),DAY(C30)),0,TEXT(C29,"m/d/yy")&amp;"-"&amp;TEXT(C29+6,"m/d/yy")))</f>
        <v>0</v>
      </c>
      <c r="C29" s="53">
        <f>IF(Controls!$J$24="Monthly",DATE(YEAR(C30),MONTH(C30)-1,1),C30-Controls!$I$24)</f>
        <v>42894</v>
      </c>
      <c r="D29" s="54">
        <f t="shared" si="1"/>
        <v>42894</v>
      </c>
      <c r="E29" s="64"/>
      <c r="F29" s="96">
        <f>COUNTIFS(Media!C:C, "&gt;="&amp;$C29, Media!C:C, "&lt;"&amp;$C30, Media!G:G,"image")</f>
        <v>0</v>
      </c>
      <c r="G29" s="97">
        <f>COUNTIFS(Media!C:C, "&gt;="&amp;$C29, Media!C:C, "&lt;"&amp;$C30, Media!G:G,"video")</f>
        <v>0</v>
      </c>
      <c r="H29" s="251">
        <f>COUNTIFS(Media!C:C, "&gt;="&amp;$C29, Media!C:C, "&lt;"&amp;$C30, Media!G:G,"carousel")</f>
        <v>0</v>
      </c>
      <c r="I29" s="97">
        <f t="shared" si="2"/>
        <v>0</v>
      </c>
      <c r="J29" s="64"/>
      <c r="K29" s="97">
        <f>SUMIFS(Media!K:K, Media!$C:$C, "&gt;="&amp;$C29, Media!$C:$C, "&lt;"&amp;$C30)</f>
        <v>0</v>
      </c>
      <c r="L29" s="97">
        <f>SUMIFS(Media!J:J, Media!$C:$C, "&gt;="&amp;$C29, Media!$C:$C, "&lt;"&amp;$C30)</f>
        <v>0</v>
      </c>
      <c r="M29" s="97">
        <f t="shared" si="3"/>
        <v>0</v>
      </c>
      <c r="N29" s="64"/>
      <c r="O29" s="99">
        <f>SUMIFS(Media!M:M, Media!$C:$C, "&gt;="&amp;$C29, Media!$C:$C, "&lt;"&amp;$C30)</f>
        <v>0</v>
      </c>
      <c r="P29" s="64"/>
      <c r="Q29" s="98">
        <f>SUMIFS(Media!Q:Q, Media!$C:$C, "&gt;="&amp;$C29, Media!$C:$C, "&lt;"&amp;$C30)</f>
        <v>0</v>
      </c>
      <c r="R29" s="64"/>
      <c r="S29" s="100">
        <f>SUMIFS(Media!H:H, Media!$C:$C, "&gt;="&amp;$C29, Media!$C:$C, "&lt;"&amp;$C30)</f>
        <v>0</v>
      </c>
      <c r="T29" s="64"/>
      <c r="U29" s="100">
        <f t="shared" si="7"/>
        <v>27</v>
      </c>
      <c r="V29" s="64"/>
      <c r="W29" s="130" t="e">
        <f ca="1">IF($C29=Calculations!$C$53, I29, NA())</f>
        <v>#N/A</v>
      </c>
      <c r="X29" s="103" t="e">
        <f t="shared" ca="1" si="4"/>
        <v>#N/A</v>
      </c>
      <c r="Y29" s="64"/>
      <c r="Z29" s="130" t="e">
        <f ca="1">IF($C29=Calculations!$E$85, M29, NA())</f>
        <v>#N/A</v>
      </c>
      <c r="AA29" s="130" t="e">
        <f ca="1">IF($C29=Calculations!$E$86, M29, NA())</f>
        <v>#N/A</v>
      </c>
      <c r="AB29" s="130" t="e">
        <f ca="1">IF($C29=Calculations!$E$87, M29, NA())</f>
        <v>#N/A</v>
      </c>
      <c r="AC29" s="130" t="e">
        <f t="shared" ca="1" si="5"/>
        <v>#N/A</v>
      </c>
      <c r="AD29" s="64"/>
      <c r="AE29" s="130" t="e">
        <f ca="1">IF($C29=Calculations!$C$142,Tables!S29, NA())</f>
        <v>#N/A</v>
      </c>
      <c r="AF29" s="130" t="e">
        <f t="shared" ca="1" si="6"/>
        <v>#N/A</v>
      </c>
      <c r="XN29" s="79"/>
    </row>
    <row r="30" spans="1:638" ht="15" customHeight="1" x14ac:dyDescent="0.25">
      <c r="A30" s="51">
        <f t="shared" si="0"/>
        <v>42895</v>
      </c>
      <c r="B30" s="52">
        <f>IF(C31&lt;Charts!$H$3,0,IF(DATE(YEAR(Charts!$H$3),MONTH(Charts!$H$3),DAY(Charts!$H$3))=DATE(YEAR(C31), MONTH(C31),DAY(C31)),0,TEXT(C30,"m/d/yy")&amp;"-"&amp;TEXT(C30+6,"m/d/yy")))</f>
        <v>0</v>
      </c>
      <c r="C30" s="53">
        <f>IF(Controls!$J$24="Monthly",DATE(YEAR(C31),MONTH(C31)-1,1),C31-Controls!$I$24)</f>
        <v>42895</v>
      </c>
      <c r="D30" s="54">
        <f t="shared" si="1"/>
        <v>42895</v>
      </c>
      <c r="E30" s="64"/>
      <c r="F30" s="96">
        <f>COUNTIFS(Media!C:C, "&gt;="&amp;$C30, Media!C:C, "&lt;"&amp;$C31, Media!G:G,"image")</f>
        <v>0</v>
      </c>
      <c r="G30" s="97">
        <f>COUNTIFS(Media!C:C, "&gt;="&amp;$C30, Media!C:C, "&lt;"&amp;$C31, Media!G:G,"video")</f>
        <v>0</v>
      </c>
      <c r="H30" s="251">
        <f>COUNTIFS(Media!C:C, "&gt;="&amp;$C30, Media!C:C, "&lt;"&amp;$C31, Media!G:G,"carousel")</f>
        <v>0</v>
      </c>
      <c r="I30" s="97">
        <f t="shared" si="2"/>
        <v>0</v>
      </c>
      <c r="J30" s="64"/>
      <c r="K30" s="97">
        <f>SUMIFS(Media!K:K, Media!$C:$C, "&gt;="&amp;$C30, Media!$C:$C, "&lt;"&amp;$C31)</f>
        <v>0</v>
      </c>
      <c r="L30" s="97">
        <f>SUMIFS(Media!J:J, Media!$C:$C, "&gt;="&amp;$C30, Media!$C:$C, "&lt;"&amp;$C31)</f>
        <v>0</v>
      </c>
      <c r="M30" s="97">
        <f t="shared" si="3"/>
        <v>0</v>
      </c>
      <c r="N30" s="64"/>
      <c r="O30" s="99">
        <f>SUMIFS(Media!M:M, Media!$C:$C, "&gt;="&amp;$C30, Media!$C:$C, "&lt;"&amp;$C31)</f>
        <v>0</v>
      </c>
      <c r="P30" s="64"/>
      <c r="Q30" s="98">
        <f>SUMIFS(Media!Q:Q, Media!$C:$C, "&gt;="&amp;$C30, Media!$C:$C, "&lt;"&amp;$C31)</f>
        <v>0</v>
      </c>
      <c r="R30" s="64"/>
      <c r="S30" s="100">
        <f>SUMIFS(Media!H:H, Media!$C:$C, "&gt;="&amp;$C30, Media!$C:$C, "&lt;"&amp;$C31)</f>
        <v>0</v>
      </c>
      <c r="T30" s="64"/>
      <c r="U30" s="100">
        <f t="shared" si="7"/>
        <v>28</v>
      </c>
      <c r="V30" s="64"/>
      <c r="W30" s="130" t="e">
        <f ca="1">IF($C30=Calculations!$C$53, I30, NA())</f>
        <v>#N/A</v>
      </c>
      <c r="X30" s="103" t="e">
        <f t="shared" ca="1" si="4"/>
        <v>#N/A</v>
      </c>
      <c r="Y30" s="64"/>
      <c r="Z30" s="130" t="e">
        <f ca="1">IF($C30=Calculations!$E$85, M30, NA())</f>
        <v>#N/A</v>
      </c>
      <c r="AA30" s="130" t="e">
        <f ca="1">IF($C30=Calculations!$E$86, M30, NA())</f>
        <v>#N/A</v>
      </c>
      <c r="AB30" s="130" t="e">
        <f ca="1">IF($C30=Calculations!$E$87, M30, NA())</f>
        <v>#N/A</v>
      </c>
      <c r="AC30" s="130" t="e">
        <f t="shared" ca="1" si="5"/>
        <v>#N/A</v>
      </c>
      <c r="AD30" s="64"/>
      <c r="AE30" s="130" t="e">
        <f ca="1">IF($C30=Calculations!$C$142,Tables!S30, NA())</f>
        <v>#N/A</v>
      </c>
      <c r="AF30" s="130" t="e">
        <f t="shared" ca="1" si="6"/>
        <v>#N/A</v>
      </c>
      <c r="XN30" s="79"/>
    </row>
    <row r="31" spans="1:638" ht="15" customHeight="1" x14ac:dyDescent="0.25">
      <c r="A31" s="51">
        <f t="shared" si="0"/>
        <v>42896</v>
      </c>
      <c r="B31" s="52">
        <f>IF(C32&lt;Charts!$H$3,0,IF(DATE(YEAR(Charts!$H$3),MONTH(Charts!$H$3),DAY(Charts!$H$3))=DATE(YEAR(C32), MONTH(C32),DAY(C32)),0,TEXT(C31,"m/d/yy")&amp;"-"&amp;TEXT(C31+6,"m/d/yy")))</f>
        <v>0</v>
      </c>
      <c r="C31" s="53">
        <f>IF(Controls!$J$24="Monthly",DATE(YEAR(C32),MONTH(C32)-1,1),C32-Controls!$I$24)</f>
        <v>42896</v>
      </c>
      <c r="D31" s="54">
        <f t="shared" si="1"/>
        <v>42896</v>
      </c>
      <c r="E31" s="64"/>
      <c r="F31" s="96">
        <f>COUNTIFS(Media!C:C, "&gt;="&amp;$C31, Media!C:C, "&lt;"&amp;$C32, Media!G:G,"image")</f>
        <v>0</v>
      </c>
      <c r="G31" s="97">
        <f>COUNTIFS(Media!C:C, "&gt;="&amp;$C31, Media!C:C, "&lt;"&amp;$C32, Media!G:G,"video")</f>
        <v>0</v>
      </c>
      <c r="H31" s="251">
        <f>COUNTIFS(Media!C:C, "&gt;="&amp;$C31, Media!C:C, "&lt;"&amp;$C32, Media!G:G,"carousel")</f>
        <v>0</v>
      </c>
      <c r="I31" s="97">
        <f t="shared" si="2"/>
        <v>0</v>
      </c>
      <c r="J31" s="64"/>
      <c r="K31" s="97">
        <f>SUMIFS(Media!K:K, Media!$C:$C, "&gt;="&amp;$C31, Media!$C:$C, "&lt;"&amp;$C32)</f>
        <v>0</v>
      </c>
      <c r="L31" s="97">
        <f>SUMIFS(Media!J:J, Media!$C:$C, "&gt;="&amp;$C31, Media!$C:$C, "&lt;"&amp;$C32)</f>
        <v>0</v>
      </c>
      <c r="M31" s="97">
        <f t="shared" si="3"/>
        <v>0</v>
      </c>
      <c r="N31" s="64"/>
      <c r="O31" s="99">
        <f>SUMIFS(Media!M:M, Media!$C:$C, "&gt;="&amp;$C31, Media!$C:$C, "&lt;"&amp;$C32)</f>
        <v>0</v>
      </c>
      <c r="P31" s="64"/>
      <c r="Q31" s="98">
        <f>SUMIFS(Media!Q:Q, Media!$C:$C, "&gt;="&amp;$C31, Media!$C:$C, "&lt;"&amp;$C32)</f>
        <v>0</v>
      </c>
      <c r="R31" s="64"/>
      <c r="S31" s="100">
        <f>SUMIFS(Media!H:H, Media!$C:$C, "&gt;="&amp;$C31, Media!$C:$C, "&lt;"&amp;$C32)</f>
        <v>0</v>
      </c>
      <c r="T31" s="64"/>
      <c r="U31" s="100">
        <f t="shared" si="7"/>
        <v>29</v>
      </c>
      <c r="V31" s="64"/>
      <c r="W31" s="130" t="e">
        <f ca="1">IF($C31=Calculations!$C$53, I31, NA())</f>
        <v>#N/A</v>
      </c>
      <c r="X31" s="103" t="e">
        <f t="shared" ca="1" si="4"/>
        <v>#N/A</v>
      </c>
      <c r="Y31" s="64"/>
      <c r="Z31" s="130" t="e">
        <f ca="1">IF($C31=Calculations!$E$85, M31, NA())</f>
        <v>#N/A</v>
      </c>
      <c r="AA31" s="130" t="e">
        <f ca="1">IF($C31=Calculations!$E$86, M31, NA())</f>
        <v>#N/A</v>
      </c>
      <c r="AB31" s="130" t="e">
        <f ca="1">IF($C31=Calculations!$E$87, M31, NA())</f>
        <v>#N/A</v>
      </c>
      <c r="AC31" s="130" t="e">
        <f t="shared" ca="1" si="5"/>
        <v>#N/A</v>
      </c>
      <c r="AD31" s="64"/>
      <c r="AE31" s="130" t="e">
        <f ca="1">IF($C31=Calculations!$C$142,Tables!S31, NA())</f>
        <v>#N/A</v>
      </c>
      <c r="AF31" s="130" t="e">
        <f t="shared" ca="1" si="6"/>
        <v>#N/A</v>
      </c>
      <c r="XN31" s="79"/>
    </row>
    <row r="32" spans="1:638" ht="15" customHeight="1" x14ac:dyDescent="0.25">
      <c r="A32" s="51">
        <f t="shared" si="0"/>
        <v>42897</v>
      </c>
      <c r="B32" s="52">
        <f>IF(C33&lt;Charts!$H$3,0,IF(DATE(YEAR(Charts!$H$3),MONTH(Charts!$H$3),DAY(Charts!$H$3))=DATE(YEAR(C33), MONTH(C33),DAY(C33)),0,TEXT(C32,"m/d/yy")&amp;"-"&amp;TEXT(C32+6,"m/d/yy")))</f>
        <v>0</v>
      </c>
      <c r="C32" s="53">
        <f>IF(Controls!$J$24="Monthly",DATE(YEAR(C33),MONTH(C33)-1,1),C33-Controls!$I$24)</f>
        <v>42897</v>
      </c>
      <c r="D32" s="54">
        <f t="shared" si="1"/>
        <v>42897</v>
      </c>
      <c r="E32" s="64"/>
      <c r="F32" s="96">
        <f>COUNTIFS(Media!C:C, "&gt;="&amp;$C32, Media!C:C, "&lt;"&amp;$C33, Media!G:G,"image")</f>
        <v>0</v>
      </c>
      <c r="G32" s="97">
        <f>COUNTIFS(Media!C:C, "&gt;="&amp;$C32, Media!C:C, "&lt;"&amp;$C33, Media!G:G,"video")</f>
        <v>0</v>
      </c>
      <c r="H32" s="251">
        <f>COUNTIFS(Media!C:C, "&gt;="&amp;$C32, Media!C:C, "&lt;"&amp;$C33, Media!G:G,"carousel")</f>
        <v>0</v>
      </c>
      <c r="I32" s="97">
        <f t="shared" si="2"/>
        <v>0</v>
      </c>
      <c r="J32" s="64"/>
      <c r="K32" s="97">
        <f>SUMIFS(Media!K:K, Media!$C:$C, "&gt;="&amp;$C32, Media!$C:$C, "&lt;"&amp;$C33)</f>
        <v>0</v>
      </c>
      <c r="L32" s="97">
        <f>SUMIFS(Media!J:J, Media!$C:$C, "&gt;="&amp;$C32, Media!$C:$C, "&lt;"&amp;$C33)</f>
        <v>0</v>
      </c>
      <c r="M32" s="97">
        <f t="shared" si="3"/>
        <v>0</v>
      </c>
      <c r="N32" s="64"/>
      <c r="O32" s="99">
        <f>SUMIFS(Media!M:M, Media!$C:$C, "&gt;="&amp;$C32, Media!$C:$C, "&lt;"&amp;$C33)</f>
        <v>0</v>
      </c>
      <c r="P32" s="64"/>
      <c r="Q32" s="98">
        <f>SUMIFS(Media!Q:Q, Media!$C:$C, "&gt;="&amp;$C32, Media!$C:$C, "&lt;"&amp;$C33)</f>
        <v>0</v>
      </c>
      <c r="R32" s="64"/>
      <c r="S32" s="100">
        <f>SUMIFS(Media!H:H, Media!$C:$C, "&gt;="&amp;$C32, Media!$C:$C, "&lt;"&amp;$C33)</f>
        <v>0</v>
      </c>
      <c r="T32" s="64"/>
      <c r="U32" s="100">
        <f t="shared" si="7"/>
        <v>30</v>
      </c>
      <c r="V32" s="64"/>
      <c r="W32" s="130" t="e">
        <f ca="1">IF($C32=Calculations!$C$53, I32, NA())</f>
        <v>#N/A</v>
      </c>
      <c r="X32" s="103" t="e">
        <f t="shared" ca="1" si="4"/>
        <v>#N/A</v>
      </c>
      <c r="Y32" s="64"/>
      <c r="Z32" s="130" t="e">
        <f ca="1">IF($C32=Calculations!$E$85, M32, NA())</f>
        <v>#N/A</v>
      </c>
      <c r="AA32" s="130" t="e">
        <f ca="1">IF($C32=Calculations!$E$86, M32, NA())</f>
        <v>#N/A</v>
      </c>
      <c r="AB32" s="130" t="e">
        <f ca="1">IF($C32=Calculations!$E$87, M32, NA())</f>
        <v>#N/A</v>
      </c>
      <c r="AC32" s="130" t="e">
        <f t="shared" ca="1" si="5"/>
        <v>#N/A</v>
      </c>
      <c r="AD32" s="64"/>
      <c r="AE32" s="130" t="e">
        <f ca="1">IF($C32=Calculations!$C$142,Tables!S32, NA())</f>
        <v>#N/A</v>
      </c>
      <c r="AF32" s="130" t="e">
        <f t="shared" ca="1" si="6"/>
        <v>#N/A</v>
      </c>
      <c r="XN32" s="79"/>
    </row>
    <row r="33" spans="1:638" ht="15" customHeight="1" x14ac:dyDescent="0.25">
      <c r="A33" s="51">
        <f t="shared" si="0"/>
        <v>42898</v>
      </c>
      <c r="B33" s="52">
        <f>IF(C34&lt;Charts!$H$3,0,IF(DATE(YEAR(Charts!$H$3),MONTH(Charts!$H$3),DAY(Charts!$H$3))=DATE(YEAR(C34), MONTH(C34),DAY(C34)),0,TEXT(C33,"m/d/yy")&amp;"-"&amp;TEXT(C33+6,"m/d/yy")))</f>
        <v>0</v>
      </c>
      <c r="C33" s="53">
        <f>IF(Controls!$J$24="Monthly",DATE(YEAR(C34),MONTH(C34)-1,1),C34-Controls!$I$24)</f>
        <v>42898</v>
      </c>
      <c r="D33" s="54">
        <f t="shared" si="1"/>
        <v>42898</v>
      </c>
      <c r="E33" s="64"/>
      <c r="F33" s="96">
        <f>COUNTIFS(Media!C:C, "&gt;="&amp;$C33, Media!C:C, "&lt;"&amp;$C34, Media!G:G,"image")</f>
        <v>0</v>
      </c>
      <c r="G33" s="97">
        <f>COUNTIFS(Media!C:C, "&gt;="&amp;$C33, Media!C:C, "&lt;"&amp;$C34, Media!G:G,"video")</f>
        <v>0</v>
      </c>
      <c r="H33" s="251">
        <f>COUNTIFS(Media!C:C, "&gt;="&amp;$C33, Media!C:C, "&lt;"&amp;$C34, Media!G:G,"carousel")</f>
        <v>0</v>
      </c>
      <c r="I33" s="97">
        <f t="shared" si="2"/>
        <v>0</v>
      </c>
      <c r="J33" s="64"/>
      <c r="K33" s="97">
        <f>SUMIFS(Media!K:K, Media!$C:$C, "&gt;="&amp;$C33, Media!$C:$C, "&lt;"&amp;$C34)</f>
        <v>0</v>
      </c>
      <c r="L33" s="97">
        <f>SUMIFS(Media!J:J, Media!$C:$C, "&gt;="&amp;$C33, Media!$C:$C, "&lt;"&amp;$C34)</f>
        <v>0</v>
      </c>
      <c r="M33" s="97">
        <f t="shared" si="3"/>
        <v>0</v>
      </c>
      <c r="N33" s="64"/>
      <c r="O33" s="99">
        <f>SUMIFS(Media!M:M, Media!$C:$C, "&gt;="&amp;$C33, Media!$C:$C, "&lt;"&amp;$C34)</f>
        <v>0</v>
      </c>
      <c r="P33" s="64"/>
      <c r="Q33" s="98">
        <f>SUMIFS(Media!Q:Q, Media!$C:$C, "&gt;="&amp;$C33, Media!$C:$C, "&lt;"&amp;$C34)</f>
        <v>0</v>
      </c>
      <c r="R33" s="64"/>
      <c r="S33" s="100">
        <f>SUMIFS(Media!H:H, Media!$C:$C, "&gt;="&amp;$C33, Media!$C:$C, "&lt;"&amp;$C34)</f>
        <v>0</v>
      </c>
      <c r="T33" s="64"/>
      <c r="U33" s="100">
        <f t="shared" si="7"/>
        <v>31</v>
      </c>
      <c r="V33" s="64"/>
      <c r="W33" s="130" t="e">
        <f ca="1">IF($C33=Calculations!$C$53, I33, NA())</f>
        <v>#N/A</v>
      </c>
      <c r="X33" s="103" t="e">
        <f t="shared" ca="1" si="4"/>
        <v>#N/A</v>
      </c>
      <c r="Y33" s="64"/>
      <c r="Z33" s="130" t="e">
        <f ca="1">IF($C33=Calculations!$E$85, M33, NA())</f>
        <v>#N/A</v>
      </c>
      <c r="AA33" s="130" t="e">
        <f ca="1">IF($C33=Calculations!$E$86, M33, NA())</f>
        <v>#N/A</v>
      </c>
      <c r="AB33" s="130" t="e">
        <f ca="1">IF($C33=Calculations!$E$87, M33, NA())</f>
        <v>#N/A</v>
      </c>
      <c r="AC33" s="130" t="e">
        <f t="shared" ca="1" si="5"/>
        <v>#N/A</v>
      </c>
      <c r="AD33" s="64"/>
      <c r="AE33" s="130" t="e">
        <f ca="1">IF($C33=Calculations!$C$142,Tables!S33, NA())</f>
        <v>#N/A</v>
      </c>
      <c r="AF33" s="130" t="e">
        <f t="shared" ca="1" si="6"/>
        <v>#N/A</v>
      </c>
      <c r="XN33" s="79"/>
    </row>
    <row r="34" spans="1:638" ht="15" customHeight="1" x14ac:dyDescent="0.25">
      <c r="A34" s="51">
        <f t="shared" si="0"/>
        <v>42899</v>
      </c>
      <c r="B34" s="52">
        <f>IF(C35&lt;Charts!$H$3,0,IF(DATE(YEAR(Charts!$H$3),MONTH(Charts!$H$3),DAY(Charts!$H$3))=DATE(YEAR(C35), MONTH(C35),DAY(C35)),0,TEXT(C34,"m/d/yy")&amp;"-"&amp;TEXT(C34+6,"m/d/yy")))</f>
        <v>0</v>
      </c>
      <c r="C34" s="53">
        <f>IF(Controls!$J$24="Monthly",DATE(YEAR(C35),MONTH(C35)-1,1),C35-Controls!$I$24)</f>
        <v>42899</v>
      </c>
      <c r="D34" s="54">
        <f t="shared" si="1"/>
        <v>42899</v>
      </c>
      <c r="E34" s="64"/>
      <c r="F34" s="96">
        <f>COUNTIFS(Media!C:C, "&gt;="&amp;$C34, Media!C:C, "&lt;"&amp;$C35, Media!G:G,"image")</f>
        <v>0</v>
      </c>
      <c r="G34" s="97">
        <f>COUNTIFS(Media!C:C, "&gt;="&amp;$C34, Media!C:C, "&lt;"&amp;$C35, Media!G:G,"video")</f>
        <v>0</v>
      </c>
      <c r="H34" s="251">
        <f>COUNTIFS(Media!C:C, "&gt;="&amp;$C34, Media!C:C, "&lt;"&amp;$C35, Media!G:G,"carousel")</f>
        <v>0</v>
      </c>
      <c r="I34" s="97">
        <f t="shared" si="2"/>
        <v>0</v>
      </c>
      <c r="J34" s="64"/>
      <c r="K34" s="97">
        <f>SUMIFS(Media!K:K, Media!$C:$C, "&gt;="&amp;$C34, Media!$C:$C, "&lt;"&amp;$C35)</f>
        <v>0</v>
      </c>
      <c r="L34" s="97">
        <f>SUMIFS(Media!J:J, Media!$C:$C, "&gt;="&amp;$C34, Media!$C:$C, "&lt;"&amp;$C35)</f>
        <v>0</v>
      </c>
      <c r="M34" s="97">
        <f t="shared" si="3"/>
        <v>0</v>
      </c>
      <c r="N34" s="64"/>
      <c r="O34" s="99">
        <f>SUMIFS(Media!M:M, Media!$C:$C, "&gt;="&amp;$C34, Media!$C:$C, "&lt;"&amp;$C35)</f>
        <v>0</v>
      </c>
      <c r="P34" s="64"/>
      <c r="Q34" s="98">
        <f>SUMIFS(Media!Q:Q, Media!$C:$C, "&gt;="&amp;$C34, Media!$C:$C, "&lt;"&amp;$C35)</f>
        <v>0</v>
      </c>
      <c r="R34" s="64"/>
      <c r="S34" s="100">
        <f>SUMIFS(Media!H:H, Media!$C:$C, "&gt;="&amp;$C34, Media!$C:$C, "&lt;"&amp;$C35)</f>
        <v>0</v>
      </c>
      <c r="T34" s="64"/>
      <c r="U34" s="100">
        <f t="shared" si="7"/>
        <v>32</v>
      </c>
      <c r="V34" s="64"/>
      <c r="W34" s="130" t="e">
        <f ca="1">IF($C34=Calculations!$C$53, I34, NA())</f>
        <v>#N/A</v>
      </c>
      <c r="X34" s="103" t="e">
        <f t="shared" ca="1" si="4"/>
        <v>#N/A</v>
      </c>
      <c r="Y34" s="64"/>
      <c r="Z34" s="130" t="e">
        <f ca="1">IF($C34=Calculations!$E$85, M34, NA())</f>
        <v>#N/A</v>
      </c>
      <c r="AA34" s="130" t="e">
        <f ca="1">IF($C34=Calculations!$E$86, M34, NA())</f>
        <v>#N/A</v>
      </c>
      <c r="AB34" s="130" t="e">
        <f ca="1">IF($C34=Calculations!$E$87, M34, NA())</f>
        <v>#N/A</v>
      </c>
      <c r="AC34" s="130" t="e">
        <f t="shared" ca="1" si="5"/>
        <v>#N/A</v>
      </c>
      <c r="AD34" s="64"/>
      <c r="AE34" s="130" t="e">
        <f ca="1">IF($C34=Calculations!$C$142,Tables!S34, NA())</f>
        <v>#N/A</v>
      </c>
      <c r="AF34" s="130" t="e">
        <f t="shared" ca="1" si="6"/>
        <v>#N/A</v>
      </c>
      <c r="XN34" s="79"/>
    </row>
    <row r="35" spans="1:638" ht="15" customHeight="1" x14ac:dyDescent="0.25">
      <c r="A35" s="51">
        <f t="shared" si="0"/>
        <v>42900</v>
      </c>
      <c r="B35" s="52">
        <f>IF(C36&lt;Charts!$H$3,0,IF(DATE(YEAR(Charts!$H$3),MONTH(Charts!$H$3),DAY(Charts!$H$3))=DATE(YEAR(C36), MONTH(C36),DAY(C36)),0,TEXT(C35,"m/d/yy")&amp;"-"&amp;TEXT(C35+6,"m/d/yy")))</f>
        <v>0</v>
      </c>
      <c r="C35" s="53">
        <f>IF(Controls!$J$24="Monthly",DATE(YEAR(C36),MONTH(C36)-1,1),C36-Controls!$I$24)</f>
        <v>42900</v>
      </c>
      <c r="D35" s="54">
        <f t="shared" si="1"/>
        <v>42900</v>
      </c>
      <c r="E35" s="64"/>
      <c r="F35" s="96">
        <f>COUNTIFS(Media!C:C, "&gt;="&amp;$C35, Media!C:C, "&lt;"&amp;$C36, Media!G:G,"image")</f>
        <v>0</v>
      </c>
      <c r="G35" s="97">
        <f>COUNTIFS(Media!C:C, "&gt;="&amp;$C35, Media!C:C, "&lt;"&amp;$C36, Media!G:G,"video")</f>
        <v>0</v>
      </c>
      <c r="H35" s="251">
        <f>COUNTIFS(Media!C:C, "&gt;="&amp;$C35, Media!C:C, "&lt;"&amp;$C36, Media!G:G,"carousel")</f>
        <v>0</v>
      </c>
      <c r="I35" s="97">
        <f t="shared" si="2"/>
        <v>0</v>
      </c>
      <c r="J35" s="64"/>
      <c r="K35" s="97">
        <f>SUMIFS(Media!K:K, Media!$C:$C, "&gt;="&amp;$C35, Media!$C:$C, "&lt;"&amp;$C36)</f>
        <v>0</v>
      </c>
      <c r="L35" s="97">
        <f>SUMIFS(Media!J:J, Media!$C:$C, "&gt;="&amp;$C35, Media!$C:$C, "&lt;"&amp;$C36)</f>
        <v>0</v>
      </c>
      <c r="M35" s="97">
        <f t="shared" si="3"/>
        <v>0</v>
      </c>
      <c r="N35" s="64"/>
      <c r="O35" s="99">
        <f>SUMIFS(Media!M:M, Media!$C:$C, "&gt;="&amp;$C35, Media!$C:$C, "&lt;"&amp;$C36)</f>
        <v>0</v>
      </c>
      <c r="P35" s="64"/>
      <c r="Q35" s="98">
        <f>SUMIFS(Media!Q:Q, Media!$C:$C, "&gt;="&amp;$C35, Media!$C:$C, "&lt;"&amp;$C36)</f>
        <v>0</v>
      </c>
      <c r="R35" s="64"/>
      <c r="S35" s="100">
        <f>SUMIFS(Media!H:H, Media!$C:$C, "&gt;="&amp;$C35, Media!$C:$C, "&lt;"&amp;$C36)</f>
        <v>0</v>
      </c>
      <c r="T35" s="64"/>
      <c r="U35" s="100">
        <f t="shared" si="7"/>
        <v>33</v>
      </c>
      <c r="V35" s="64"/>
      <c r="W35" s="130" t="e">
        <f ca="1">IF($C35=Calculations!$C$53, I35, NA())</f>
        <v>#N/A</v>
      </c>
      <c r="X35" s="103" t="e">
        <f t="shared" ca="1" si="4"/>
        <v>#N/A</v>
      </c>
      <c r="Y35" s="64"/>
      <c r="Z35" s="130" t="e">
        <f ca="1">IF($C35=Calculations!$E$85, M35, NA())</f>
        <v>#N/A</v>
      </c>
      <c r="AA35" s="130" t="e">
        <f ca="1">IF($C35=Calculations!$E$86, M35, NA())</f>
        <v>#N/A</v>
      </c>
      <c r="AB35" s="130" t="e">
        <f ca="1">IF($C35=Calculations!$E$87, M35, NA())</f>
        <v>#N/A</v>
      </c>
      <c r="AC35" s="130" t="e">
        <f t="shared" ca="1" si="5"/>
        <v>#N/A</v>
      </c>
      <c r="AD35" s="64"/>
      <c r="AE35" s="130" t="e">
        <f ca="1">IF($C35=Calculations!$C$142,Tables!S35, NA())</f>
        <v>#N/A</v>
      </c>
      <c r="AF35" s="130" t="e">
        <f t="shared" ca="1" si="6"/>
        <v>#N/A</v>
      </c>
      <c r="XN35" s="79"/>
    </row>
    <row r="36" spans="1:638" ht="15" customHeight="1" x14ac:dyDescent="0.25">
      <c r="A36" s="51">
        <f t="shared" si="0"/>
        <v>42901</v>
      </c>
      <c r="B36" s="52">
        <f>IF(C37&lt;Charts!$H$3,0,IF(DATE(YEAR(Charts!$H$3),MONTH(Charts!$H$3),DAY(Charts!$H$3))=DATE(YEAR(C37), MONTH(C37),DAY(C37)),0,TEXT(C36,"m/d/yy")&amp;"-"&amp;TEXT(C36+6,"m/d/yy")))</f>
        <v>0</v>
      </c>
      <c r="C36" s="53">
        <f>IF(Controls!$J$24="Monthly",DATE(YEAR(C37),MONTH(C37)-1,1),C37-Controls!$I$24)</f>
        <v>42901</v>
      </c>
      <c r="D36" s="54">
        <f t="shared" si="1"/>
        <v>42901</v>
      </c>
      <c r="E36" s="64"/>
      <c r="F36" s="96">
        <f>COUNTIFS(Media!C:C, "&gt;="&amp;$C36, Media!C:C, "&lt;"&amp;$C37, Media!G:G,"image")</f>
        <v>0</v>
      </c>
      <c r="G36" s="97">
        <f>COUNTIFS(Media!C:C, "&gt;="&amp;$C36, Media!C:C, "&lt;"&amp;$C37, Media!G:G,"video")</f>
        <v>0</v>
      </c>
      <c r="H36" s="251">
        <f>COUNTIFS(Media!C:C, "&gt;="&amp;$C36, Media!C:C, "&lt;"&amp;$C37, Media!G:G,"carousel")</f>
        <v>0</v>
      </c>
      <c r="I36" s="97">
        <f t="shared" si="2"/>
        <v>0</v>
      </c>
      <c r="J36" s="64"/>
      <c r="K36" s="97">
        <f>SUMIFS(Media!K:K, Media!$C:$C, "&gt;="&amp;$C36, Media!$C:$C, "&lt;"&amp;$C37)</f>
        <v>0</v>
      </c>
      <c r="L36" s="97">
        <f>SUMIFS(Media!J:J, Media!$C:$C, "&gt;="&amp;$C36, Media!$C:$C, "&lt;"&amp;$C37)</f>
        <v>0</v>
      </c>
      <c r="M36" s="97">
        <f t="shared" si="3"/>
        <v>0</v>
      </c>
      <c r="N36" s="64"/>
      <c r="O36" s="99">
        <f>SUMIFS(Media!M:M, Media!$C:$C, "&gt;="&amp;$C36, Media!$C:$C, "&lt;"&amp;$C37)</f>
        <v>0</v>
      </c>
      <c r="P36" s="64"/>
      <c r="Q36" s="98">
        <f>SUMIFS(Media!Q:Q, Media!$C:$C, "&gt;="&amp;$C36, Media!$C:$C, "&lt;"&amp;$C37)</f>
        <v>0</v>
      </c>
      <c r="R36" s="64"/>
      <c r="S36" s="100">
        <f>SUMIFS(Media!H:H, Media!$C:$C, "&gt;="&amp;$C36, Media!$C:$C, "&lt;"&amp;$C37)</f>
        <v>0</v>
      </c>
      <c r="T36" s="64"/>
      <c r="U36" s="100">
        <f t="shared" si="7"/>
        <v>34</v>
      </c>
      <c r="V36" s="64"/>
      <c r="W36" s="130" t="e">
        <f ca="1">IF($C36=Calculations!$C$53, I36, NA())</f>
        <v>#N/A</v>
      </c>
      <c r="X36" s="103" t="e">
        <f t="shared" ca="1" si="4"/>
        <v>#N/A</v>
      </c>
      <c r="Y36" s="64"/>
      <c r="Z36" s="130" t="e">
        <f ca="1">IF($C36=Calculations!$E$85, M36, NA())</f>
        <v>#N/A</v>
      </c>
      <c r="AA36" s="130" t="e">
        <f ca="1">IF($C36=Calculations!$E$86, M36, NA())</f>
        <v>#N/A</v>
      </c>
      <c r="AB36" s="130" t="e">
        <f ca="1">IF($C36=Calculations!$E$87, M36, NA())</f>
        <v>#N/A</v>
      </c>
      <c r="AC36" s="130" t="e">
        <f t="shared" ca="1" si="5"/>
        <v>#N/A</v>
      </c>
      <c r="AD36" s="64"/>
      <c r="AE36" s="130" t="e">
        <f ca="1">IF($C36=Calculations!$C$142,Tables!S36, NA())</f>
        <v>#N/A</v>
      </c>
      <c r="AF36" s="130" t="e">
        <f t="shared" ca="1" si="6"/>
        <v>#N/A</v>
      </c>
      <c r="XN36" s="79"/>
    </row>
    <row r="37" spans="1:638" ht="15" customHeight="1" x14ac:dyDescent="0.25">
      <c r="A37" s="51">
        <f t="shared" si="0"/>
        <v>42902</v>
      </c>
      <c r="B37" s="52">
        <f>IF(C38&lt;Charts!$H$3,0,IF(DATE(YEAR(Charts!$H$3),MONTH(Charts!$H$3),DAY(Charts!$H$3))=DATE(YEAR(C38), MONTH(C38),DAY(C38)),0,TEXT(C37,"m/d/yy")&amp;"-"&amp;TEXT(C37+6,"m/d/yy")))</f>
        <v>0</v>
      </c>
      <c r="C37" s="53">
        <f>IF(Controls!$J$24="Monthly",DATE(YEAR(C38),MONTH(C38)-1,1),C38-Controls!$I$24)</f>
        <v>42902</v>
      </c>
      <c r="D37" s="54">
        <f t="shared" si="1"/>
        <v>42902</v>
      </c>
      <c r="E37" s="64"/>
      <c r="F37" s="96">
        <f>COUNTIFS(Media!C:C, "&gt;="&amp;$C37, Media!C:C, "&lt;"&amp;$C38, Media!G:G,"image")</f>
        <v>0</v>
      </c>
      <c r="G37" s="97">
        <f>COUNTIFS(Media!C:C, "&gt;="&amp;$C37, Media!C:C, "&lt;"&amp;$C38, Media!G:G,"video")</f>
        <v>0</v>
      </c>
      <c r="H37" s="251">
        <f>COUNTIFS(Media!C:C, "&gt;="&amp;$C37, Media!C:C, "&lt;"&amp;$C38, Media!G:G,"carousel")</f>
        <v>0</v>
      </c>
      <c r="I37" s="97">
        <f t="shared" si="2"/>
        <v>0</v>
      </c>
      <c r="J37" s="64"/>
      <c r="K37" s="97">
        <f>SUMIFS(Media!K:K, Media!$C:$C, "&gt;="&amp;$C37, Media!$C:$C, "&lt;"&amp;$C38)</f>
        <v>0</v>
      </c>
      <c r="L37" s="97">
        <f>SUMIFS(Media!J:J, Media!$C:$C, "&gt;="&amp;$C37, Media!$C:$C, "&lt;"&amp;$C38)</f>
        <v>0</v>
      </c>
      <c r="M37" s="97">
        <f t="shared" si="3"/>
        <v>0</v>
      </c>
      <c r="N37" s="64"/>
      <c r="O37" s="99">
        <f>SUMIFS(Media!M:M, Media!$C:$C, "&gt;="&amp;$C37, Media!$C:$C, "&lt;"&amp;$C38)</f>
        <v>0</v>
      </c>
      <c r="P37" s="64"/>
      <c r="Q37" s="98">
        <f>SUMIFS(Media!Q:Q, Media!$C:$C, "&gt;="&amp;$C37, Media!$C:$C, "&lt;"&amp;$C38)</f>
        <v>0</v>
      </c>
      <c r="R37" s="64"/>
      <c r="S37" s="100">
        <f>SUMIFS(Media!H:H, Media!$C:$C, "&gt;="&amp;$C37, Media!$C:$C, "&lt;"&amp;$C38)</f>
        <v>0</v>
      </c>
      <c r="T37" s="64"/>
      <c r="U37" s="100">
        <f t="shared" si="7"/>
        <v>35</v>
      </c>
      <c r="V37" s="64"/>
      <c r="W37" s="130" t="e">
        <f ca="1">IF($C37=Calculations!$C$53, I37, NA())</f>
        <v>#N/A</v>
      </c>
      <c r="X37" s="103" t="e">
        <f t="shared" ca="1" si="4"/>
        <v>#N/A</v>
      </c>
      <c r="Y37" s="64"/>
      <c r="Z37" s="130" t="e">
        <f ca="1">IF($C37=Calculations!$E$85, M37, NA())</f>
        <v>#N/A</v>
      </c>
      <c r="AA37" s="130" t="e">
        <f ca="1">IF($C37=Calculations!$E$86, M37, NA())</f>
        <v>#N/A</v>
      </c>
      <c r="AB37" s="130" t="e">
        <f ca="1">IF($C37=Calculations!$E$87, M37, NA())</f>
        <v>#N/A</v>
      </c>
      <c r="AC37" s="130" t="e">
        <f t="shared" ca="1" si="5"/>
        <v>#N/A</v>
      </c>
      <c r="AD37" s="64"/>
      <c r="AE37" s="130" t="e">
        <f ca="1">IF($C37=Calculations!$C$142,Tables!S37, NA())</f>
        <v>#N/A</v>
      </c>
      <c r="AF37" s="130" t="e">
        <f t="shared" ca="1" si="6"/>
        <v>#N/A</v>
      </c>
      <c r="XN37" s="79"/>
    </row>
    <row r="38" spans="1:638" ht="15" customHeight="1" x14ac:dyDescent="0.25">
      <c r="A38" s="51">
        <f t="shared" si="0"/>
        <v>42903</v>
      </c>
      <c r="B38" s="52">
        <f>IF(C39&lt;Charts!$H$3,0,IF(DATE(YEAR(Charts!$H$3),MONTH(Charts!$H$3),DAY(Charts!$H$3))=DATE(YEAR(C39), MONTH(C39),DAY(C39)),0,TEXT(C38,"m/d/yy")&amp;"-"&amp;TEXT(C38+6,"m/d/yy")))</f>
        <v>0</v>
      </c>
      <c r="C38" s="53">
        <f>IF(Controls!$J$24="Monthly",DATE(YEAR(C39),MONTH(C39)-1,1),C39-Controls!$I$24)</f>
        <v>42903</v>
      </c>
      <c r="D38" s="54">
        <f t="shared" si="1"/>
        <v>42903</v>
      </c>
      <c r="E38" s="64"/>
      <c r="F38" s="96">
        <f>COUNTIFS(Media!C:C, "&gt;="&amp;$C38, Media!C:C, "&lt;"&amp;$C39, Media!G:G,"image")</f>
        <v>0</v>
      </c>
      <c r="G38" s="97">
        <f>COUNTIFS(Media!C:C, "&gt;="&amp;$C38, Media!C:C, "&lt;"&amp;$C39, Media!G:G,"video")</f>
        <v>0</v>
      </c>
      <c r="H38" s="251">
        <f>COUNTIFS(Media!C:C, "&gt;="&amp;$C38, Media!C:C, "&lt;"&amp;$C39, Media!G:G,"carousel")</f>
        <v>0</v>
      </c>
      <c r="I38" s="97">
        <f t="shared" si="2"/>
        <v>0</v>
      </c>
      <c r="J38" s="64"/>
      <c r="K38" s="97">
        <f>SUMIFS(Media!K:K, Media!$C:$C, "&gt;="&amp;$C38, Media!$C:$C, "&lt;"&amp;$C39)</f>
        <v>0</v>
      </c>
      <c r="L38" s="97">
        <f>SUMIFS(Media!J:J, Media!$C:$C, "&gt;="&amp;$C38, Media!$C:$C, "&lt;"&amp;$C39)</f>
        <v>0</v>
      </c>
      <c r="M38" s="97">
        <f t="shared" si="3"/>
        <v>0</v>
      </c>
      <c r="N38" s="64"/>
      <c r="O38" s="99">
        <f>SUMIFS(Media!M:M, Media!$C:$C, "&gt;="&amp;$C38, Media!$C:$C, "&lt;"&amp;$C39)</f>
        <v>0</v>
      </c>
      <c r="P38" s="64"/>
      <c r="Q38" s="98">
        <f>SUMIFS(Media!Q:Q, Media!$C:$C, "&gt;="&amp;$C38, Media!$C:$C, "&lt;"&amp;$C39)</f>
        <v>0</v>
      </c>
      <c r="R38" s="64"/>
      <c r="S38" s="100">
        <f>SUMIFS(Media!H:H, Media!$C:$C, "&gt;="&amp;$C38, Media!$C:$C, "&lt;"&amp;$C39)</f>
        <v>0</v>
      </c>
      <c r="T38" s="64"/>
      <c r="U38" s="100">
        <f t="shared" si="7"/>
        <v>36</v>
      </c>
      <c r="V38" s="64"/>
      <c r="W38" s="130" t="e">
        <f ca="1">IF($C38=Calculations!$C$53, I38, NA())</f>
        <v>#N/A</v>
      </c>
      <c r="X38" s="103" t="e">
        <f t="shared" ca="1" si="4"/>
        <v>#N/A</v>
      </c>
      <c r="Y38" s="64"/>
      <c r="Z38" s="130" t="e">
        <f ca="1">IF($C38=Calculations!$E$85, M38, NA())</f>
        <v>#N/A</v>
      </c>
      <c r="AA38" s="130" t="e">
        <f ca="1">IF($C38=Calculations!$E$86, M38, NA())</f>
        <v>#N/A</v>
      </c>
      <c r="AB38" s="130" t="e">
        <f ca="1">IF($C38=Calculations!$E$87, M38, NA())</f>
        <v>#N/A</v>
      </c>
      <c r="AC38" s="130" t="e">
        <f t="shared" ca="1" si="5"/>
        <v>#N/A</v>
      </c>
      <c r="AD38" s="64"/>
      <c r="AE38" s="130" t="e">
        <f ca="1">IF($C38=Calculations!$C$142,Tables!S38, NA())</f>
        <v>#N/A</v>
      </c>
      <c r="AF38" s="130" t="e">
        <f t="shared" ca="1" si="6"/>
        <v>#N/A</v>
      </c>
      <c r="XN38" s="79"/>
    </row>
    <row r="39" spans="1:638" ht="15" customHeight="1" x14ac:dyDescent="0.25">
      <c r="A39" s="51">
        <f t="shared" si="0"/>
        <v>42904</v>
      </c>
      <c r="B39" s="52">
        <f>IF(C40&lt;Charts!$H$3,0,IF(DATE(YEAR(Charts!$H$3),MONTH(Charts!$H$3),DAY(Charts!$H$3))=DATE(YEAR(C40), MONTH(C40),DAY(C40)),0,TEXT(C39,"m/d/yy")&amp;"-"&amp;TEXT(C39+6,"m/d/yy")))</f>
        <v>0</v>
      </c>
      <c r="C39" s="53">
        <f>IF(Controls!$J$24="Monthly",DATE(YEAR(C40),MONTH(C40)-1,1),C40-Controls!$I$24)</f>
        <v>42904</v>
      </c>
      <c r="D39" s="54">
        <f t="shared" si="1"/>
        <v>42904</v>
      </c>
      <c r="E39" s="64"/>
      <c r="F39" s="96">
        <f>COUNTIFS(Media!C:C, "&gt;="&amp;$C39, Media!C:C, "&lt;"&amp;$C40, Media!G:G,"image")</f>
        <v>0</v>
      </c>
      <c r="G39" s="97">
        <f>COUNTIFS(Media!C:C, "&gt;="&amp;$C39, Media!C:C, "&lt;"&amp;$C40, Media!G:G,"video")</f>
        <v>0</v>
      </c>
      <c r="H39" s="251">
        <f>COUNTIFS(Media!C:C, "&gt;="&amp;$C39, Media!C:C, "&lt;"&amp;$C40, Media!G:G,"carousel")</f>
        <v>0</v>
      </c>
      <c r="I39" s="97">
        <f t="shared" si="2"/>
        <v>0</v>
      </c>
      <c r="J39" s="64"/>
      <c r="K39" s="97">
        <f>SUMIFS(Media!K:K, Media!$C:$C, "&gt;="&amp;$C39, Media!$C:$C, "&lt;"&amp;$C40)</f>
        <v>0</v>
      </c>
      <c r="L39" s="97">
        <f>SUMIFS(Media!J:J, Media!$C:$C, "&gt;="&amp;$C39, Media!$C:$C, "&lt;"&amp;$C40)</f>
        <v>0</v>
      </c>
      <c r="M39" s="97">
        <f t="shared" si="3"/>
        <v>0</v>
      </c>
      <c r="N39" s="64"/>
      <c r="O39" s="99">
        <f>SUMIFS(Media!M:M, Media!$C:$C, "&gt;="&amp;$C39, Media!$C:$C, "&lt;"&amp;$C40)</f>
        <v>0</v>
      </c>
      <c r="P39" s="64"/>
      <c r="Q39" s="98">
        <f>SUMIFS(Media!Q:Q, Media!$C:$C, "&gt;="&amp;$C39, Media!$C:$C, "&lt;"&amp;$C40)</f>
        <v>0</v>
      </c>
      <c r="R39" s="64"/>
      <c r="S39" s="100">
        <f>SUMIFS(Media!H:H, Media!$C:$C, "&gt;="&amp;$C39, Media!$C:$C, "&lt;"&amp;$C40)</f>
        <v>0</v>
      </c>
      <c r="T39" s="64"/>
      <c r="U39" s="100">
        <f t="shared" si="7"/>
        <v>37</v>
      </c>
      <c r="V39" s="64"/>
      <c r="W39" s="130" t="e">
        <f ca="1">IF($C39=Calculations!$C$53, I39, NA())</f>
        <v>#N/A</v>
      </c>
      <c r="X39" s="103" t="e">
        <f t="shared" ca="1" si="4"/>
        <v>#N/A</v>
      </c>
      <c r="Y39" s="64"/>
      <c r="Z39" s="130" t="e">
        <f ca="1">IF($C39=Calculations!$E$85, M39, NA())</f>
        <v>#N/A</v>
      </c>
      <c r="AA39" s="130" t="e">
        <f ca="1">IF($C39=Calculations!$E$86, M39, NA())</f>
        <v>#N/A</v>
      </c>
      <c r="AB39" s="130" t="e">
        <f ca="1">IF($C39=Calculations!$E$87, M39, NA())</f>
        <v>#N/A</v>
      </c>
      <c r="AC39" s="130" t="e">
        <f t="shared" ca="1" si="5"/>
        <v>#N/A</v>
      </c>
      <c r="AD39" s="64"/>
      <c r="AE39" s="130" t="e">
        <f ca="1">IF($C39=Calculations!$C$142,Tables!S39, NA())</f>
        <v>#N/A</v>
      </c>
      <c r="AF39" s="130" t="e">
        <f t="shared" ca="1" si="6"/>
        <v>#N/A</v>
      </c>
      <c r="XN39" s="79"/>
    </row>
    <row r="40" spans="1:638" ht="15" customHeight="1" x14ac:dyDescent="0.25">
      <c r="A40" s="51">
        <f t="shared" si="0"/>
        <v>42905</v>
      </c>
      <c r="B40" s="52">
        <f>IF(C41&lt;Charts!$H$3,0,IF(DATE(YEAR(Charts!$H$3),MONTH(Charts!$H$3),DAY(Charts!$H$3))=DATE(YEAR(C41), MONTH(C41),DAY(C41)),0,TEXT(C40,"m/d/yy")&amp;"-"&amp;TEXT(C40+6,"m/d/yy")))</f>
        <v>0</v>
      </c>
      <c r="C40" s="53">
        <f>IF(Controls!$J$24="Monthly",DATE(YEAR(C41),MONTH(C41)-1,1),C41-Controls!$I$24)</f>
        <v>42905</v>
      </c>
      <c r="D40" s="54">
        <f t="shared" si="1"/>
        <v>42905</v>
      </c>
      <c r="E40" s="64"/>
      <c r="F40" s="96">
        <f>COUNTIFS(Media!C:C, "&gt;="&amp;$C40, Media!C:C, "&lt;"&amp;$C41, Media!G:G,"image")</f>
        <v>0</v>
      </c>
      <c r="G40" s="97">
        <f>COUNTIFS(Media!C:C, "&gt;="&amp;$C40, Media!C:C, "&lt;"&amp;$C41, Media!G:G,"video")</f>
        <v>0</v>
      </c>
      <c r="H40" s="251">
        <f>COUNTIFS(Media!C:C, "&gt;="&amp;$C40, Media!C:C, "&lt;"&amp;$C41, Media!G:G,"carousel")</f>
        <v>0</v>
      </c>
      <c r="I40" s="97">
        <f t="shared" si="2"/>
        <v>0</v>
      </c>
      <c r="J40" s="64"/>
      <c r="K40" s="97">
        <f>SUMIFS(Media!K:K, Media!$C:$C, "&gt;="&amp;$C40, Media!$C:$C, "&lt;"&amp;$C41)</f>
        <v>0</v>
      </c>
      <c r="L40" s="97">
        <f>SUMIFS(Media!J:J, Media!$C:$C, "&gt;="&amp;$C40, Media!$C:$C, "&lt;"&amp;$C41)</f>
        <v>0</v>
      </c>
      <c r="M40" s="97">
        <f t="shared" si="3"/>
        <v>0</v>
      </c>
      <c r="N40" s="64"/>
      <c r="O40" s="99">
        <f>SUMIFS(Media!M:M, Media!$C:$C, "&gt;="&amp;$C40, Media!$C:$C, "&lt;"&amp;$C41)</f>
        <v>0</v>
      </c>
      <c r="P40" s="64"/>
      <c r="Q40" s="98">
        <f>SUMIFS(Media!Q:Q, Media!$C:$C, "&gt;="&amp;$C40, Media!$C:$C, "&lt;"&amp;$C41)</f>
        <v>0</v>
      </c>
      <c r="R40" s="64"/>
      <c r="S40" s="100">
        <f>SUMIFS(Media!H:H, Media!$C:$C, "&gt;="&amp;$C40, Media!$C:$C, "&lt;"&amp;$C41)</f>
        <v>0</v>
      </c>
      <c r="T40" s="64"/>
      <c r="U40" s="100">
        <f t="shared" si="7"/>
        <v>38</v>
      </c>
      <c r="V40" s="64"/>
      <c r="W40" s="130" t="e">
        <f ca="1">IF($C40=Calculations!$C$53, I40, NA())</f>
        <v>#N/A</v>
      </c>
      <c r="X40" s="103" t="e">
        <f t="shared" ca="1" si="4"/>
        <v>#N/A</v>
      </c>
      <c r="Y40" s="64"/>
      <c r="Z40" s="130" t="e">
        <f ca="1">IF($C40=Calculations!$E$85, M40, NA())</f>
        <v>#N/A</v>
      </c>
      <c r="AA40" s="130" t="e">
        <f ca="1">IF($C40=Calculations!$E$86, M40, NA())</f>
        <v>#N/A</v>
      </c>
      <c r="AB40" s="130" t="e">
        <f ca="1">IF($C40=Calculations!$E$87, M40, NA())</f>
        <v>#N/A</v>
      </c>
      <c r="AC40" s="130" t="e">
        <f t="shared" ca="1" si="5"/>
        <v>#N/A</v>
      </c>
      <c r="AD40" s="64"/>
      <c r="AE40" s="130" t="e">
        <f ca="1">IF($C40=Calculations!$C$142,Tables!S40, NA())</f>
        <v>#N/A</v>
      </c>
      <c r="AF40" s="130" t="e">
        <f t="shared" ca="1" si="6"/>
        <v>#N/A</v>
      </c>
      <c r="XN40" s="79"/>
    </row>
    <row r="41" spans="1:638" ht="15" customHeight="1" x14ac:dyDescent="0.25">
      <c r="A41" s="51">
        <f t="shared" si="0"/>
        <v>42906</v>
      </c>
      <c r="B41" s="52">
        <f>IF(C42&lt;Charts!$H$3,0,IF(DATE(YEAR(Charts!$H$3),MONTH(Charts!$H$3),DAY(Charts!$H$3))=DATE(YEAR(C42), MONTH(C42),DAY(C42)),0,TEXT(C41,"m/d/yy")&amp;"-"&amp;TEXT(C41+6,"m/d/yy")))</f>
        <v>0</v>
      </c>
      <c r="C41" s="53">
        <f>IF(Controls!$J$24="Monthly",DATE(YEAR(C42),MONTH(C42)-1,1),C42-Controls!$I$24)</f>
        <v>42906</v>
      </c>
      <c r="D41" s="54">
        <f t="shared" si="1"/>
        <v>42906</v>
      </c>
      <c r="E41" s="64"/>
      <c r="F41" s="96">
        <f>COUNTIFS(Media!C:C, "&gt;="&amp;$C41, Media!C:C, "&lt;"&amp;$C42, Media!G:G,"image")</f>
        <v>0</v>
      </c>
      <c r="G41" s="97">
        <f>COUNTIFS(Media!C:C, "&gt;="&amp;$C41, Media!C:C, "&lt;"&amp;$C42, Media!G:G,"video")</f>
        <v>0</v>
      </c>
      <c r="H41" s="251">
        <f>COUNTIFS(Media!C:C, "&gt;="&amp;$C41, Media!C:C, "&lt;"&amp;$C42, Media!G:G,"carousel")</f>
        <v>0</v>
      </c>
      <c r="I41" s="97">
        <f t="shared" si="2"/>
        <v>0</v>
      </c>
      <c r="J41" s="64"/>
      <c r="K41" s="97">
        <f>SUMIFS(Media!K:K, Media!$C:$C, "&gt;="&amp;$C41, Media!$C:$C, "&lt;"&amp;$C42)</f>
        <v>0</v>
      </c>
      <c r="L41" s="97">
        <f>SUMIFS(Media!J:J, Media!$C:$C, "&gt;="&amp;$C41, Media!$C:$C, "&lt;"&amp;$C42)</f>
        <v>0</v>
      </c>
      <c r="M41" s="97">
        <f t="shared" si="3"/>
        <v>0</v>
      </c>
      <c r="N41" s="64"/>
      <c r="O41" s="99">
        <f>SUMIFS(Media!M:M, Media!$C:$C, "&gt;="&amp;$C41, Media!$C:$C, "&lt;"&amp;$C42)</f>
        <v>0</v>
      </c>
      <c r="P41" s="64"/>
      <c r="Q41" s="98">
        <f>SUMIFS(Media!Q:Q, Media!$C:$C, "&gt;="&amp;$C41, Media!$C:$C, "&lt;"&amp;$C42)</f>
        <v>0</v>
      </c>
      <c r="R41" s="64"/>
      <c r="S41" s="100">
        <f>SUMIFS(Media!H:H, Media!$C:$C, "&gt;="&amp;$C41, Media!$C:$C, "&lt;"&amp;$C42)</f>
        <v>0</v>
      </c>
      <c r="T41" s="64"/>
      <c r="U41" s="100">
        <f t="shared" si="7"/>
        <v>39</v>
      </c>
      <c r="V41" s="64"/>
      <c r="W41" s="130" t="e">
        <f ca="1">IF($C41=Calculations!$C$53, I41, NA())</f>
        <v>#N/A</v>
      </c>
      <c r="X41" s="103" t="e">
        <f t="shared" ca="1" si="4"/>
        <v>#N/A</v>
      </c>
      <c r="Y41" s="64"/>
      <c r="Z41" s="130" t="e">
        <f ca="1">IF($C41=Calculations!$E$85, M41, NA())</f>
        <v>#N/A</v>
      </c>
      <c r="AA41" s="130" t="e">
        <f ca="1">IF($C41=Calculations!$E$86, M41, NA())</f>
        <v>#N/A</v>
      </c>
      <c r="AB41" s="130" t="e">
        <f ca="1">IF($C41=Calculations!$E$87, M41, NA())</f>
        <v>#N/A</v>
      </c>
      <c r="AC41" s="130" t="e">
        <f t="shared" ca="1" si="5"/>
        <v>#N/A</v>
      </c>
      <c r="AD41" s="64"/>
      <c r="AE41" s="130" t="e">
        <f ca="1">IF($C41=Calculations!$C$142,Tables!S41, NA())</f>
        <v>#N/A</v>
      </c>
      <c r="AF41" s="130" t="e">
        <f t="shared" ca="1" si="6"/>
        <v>#N/A</v>
      </c>
      <c r="XN41" s="79"/>
    </row>
    <row r="42" spans="1:638" ht="15" customHeight="1" x14ac:dyDescent="0.25">
      <c r="A42" s="51">
        <f t="shared" si="0"/>
        <v>42907</v>
      </c>
      <c r="B42" s="52">
        <f>IF(C43&lt;Charts!$H$3,0,IF(DATE(YEAR(Charts!$H$3),MONTH(Charts!$H$3),DAY(Charts!$H$3))=DATE(YEAR(C43), MONTH(C43),DAY(C43)),0,TEXT(C42,"m/d/yy")&amp;"-"&amp;TEXT(C42+6,"m/d/yy")))</f>
        <v>0</v>
      </c>
      <c r="C42" s="53">
        <f>IF(Controls!$J$24="Monthly",DATE(YEAR(C43),MONTH(C43)-1,1),C43-Controls!$I$24)</f>
        <v>42907</v>
      </c>
      <c r="D42" s="54">
        <f t="shared" si="1"/>
        <v>42907</v>
      </c>
      <c r="E42" s="64"/>
      <c r="F42" s="96">
        <f>COUNTIFS(Media!C:C, "&gt;="&amp;$C42, Media!C:C, "&lt;"&amp;$C43, Media!G:G,"image")</f>
        <v>0</v>
      </c>
      <c r="G42" s="97">
        <f>COUNTIFS(Media!C:C, "&gt;="&amp;$C42, Media!C:C, "&lt;"&amp;$C43, Media!G:G,"video")</f>
        <v>0</v>
      </c>
      <c r="H42" s="251">
        <f>COUNTIFS(Media!C:C, "&gt;="&amp;$C42, Media!C:C, "&lt;"&amp;$C43, Media!G:G,"carousel")</f>
        <v>0</v>
      </c>
      <c r="I42" s="97">
        <f t="shared" si="2"/>
        <v>0</v>
      </c>
      <c r="J42" s="64"/>
      <c r="K42" s="97">
        <f>SUMIFS(Media!K:K, Media!$C:$C, "&gt;="&amp;$C42, Media!$C:$C, "&lt;"&amp;$C43)</f>
        <v>0</v>
      </c>
      <c r="L42" s="97">
        <f>SUMIFS(Media!J:J, Media!$C:$C, "&gt;="&amp;$C42, Media!$C:$C, "&lt;"&amp;$C43)</f>
        <v>0</v>
      </c>
      <c r="M42" s="97">
        <f t="shared" si="3"/>
        <v>0</v>
      </c>
      <c r="N42" s="64"/>
      <c r="O42" s="99">
        <f>SUMIFS(Media!M:M, Media!$C:$C, "&gt;="&amp;$C42, Media!$C:$C, "&lt;"&amp;$C43)</f>
        <v>0</v>
      </c>
      <c r="P42" s="64"/>
      <c r="Q42" s="98">
        <f>SUMIFS(Media!Q:Q, Media!$C:$C, "&gt;="&amp;$C42, Media!$C:$C, "&lt;"&amp;$C43)</f>
        <v>0</v>
      </c>
      <c r="R42" s="64"/>
      <c r="S42" s="100">
        <f>SUMIFS(Media!H:H, Media!$C:$C, "&gt;="&amp;$C42, Media!$C:$C, "&lt;"&amp;$C43)</f>
        <v>0</v>
      </c>
      <c r="T42" s="64"/>
      <c r="U42" s="100">
        <f t="shared" si="7"/>
        <v>40</v>
      </c>
      <c r="V42" s="64"/>
      <c r="W42" s="130" t="e">
        <f ca="1">IF($C42=Calculations!$C$53, I42, NA())</f>
        <v>#N/A</v>
      </c>
      <c r="X42" s="103" t="e">
        <f t="shared" ca="1" si="4"/>
        <v>#N/A</v>
      </c>
      <c r="Y42" s="64"/>
      <c r="Z42" s="130" t="e">
        <f ca="1">IF($C42=Calculations!$E$85, M42, NA())</f>
        <v>#N/A</v>
      </c>
      <c r="AA42" s="130" t="e">
        <f ca="1">IF($C42=Calculations!$E$86, M42, NA())</f>
        <v>#N/A</v>
      </c>
      <c r="AB42" s="130" t="e">
        <f ca="1">IF($C42=Calculations!$E$87, M42, NA())</f>
        <v>#N/A</v>
      </c>
      <c r="AC42" s="130" t="e">
        <f t="shared" ca="1" si="5"/>
        <v>#N/A</v>
      </c>
      <c r="AD42" s="64"/>
      <c r="AE42" s="130" t="e">
        <f ca="1">IF($C42=Calculations!$C$142,Tables!S42, NA())</f>
        <v>#N/A</v>
      </c>
      <c r="AF42" s="130" t="e">
        <f t="shared" ca="1" si="6"/>
        <v>#N/A</v>
      </c>
      <c r="XN42" s="79"/>
    </row>
    <row r="43" spans="1:638" ht="15" customHeight="1" x14ac:dyDescent="0.25">
      <c r="A43" s="51">
        <f t="shared" si="0"/>
        <v>42908</v>
      </c>
      <c r="B43" s="52">
        <f>IF(C44&lt;Charts!$H$3,0,IF(DATE(YEAR(Charts!$H$3),MONTH(Charts!$H$3),DAY(Charts!$H$3))=DATE(YEAR(C44), MONTH(C44),DAY(C44)),0,TEXT(C43,"m/d/yy")&amp;"-"&amp;TEXT(C43+6,"m/d/yy")))</f>
        <v>0</v>
      </c>
      <c r="C43" s="53">
        <f>IF(Controls!$J$24="Monthly",DATE(YEAR(C44),MONTH(C44)-1,1),C44-Controls!$I$24)</f>
        <v>42908</v>
      </c>
      <c r="D43" s="54">
        <f t="shared" si="1"/>
        <v>42908</v>
      </c>
      <c r="E43" s="64"/>
      <c r="F43" s="96">
        <f>COUNTIFS(Media!C:C, "&gt;="&amp;$C43, Media!C:C, "&lt;"&amp;$C44, Media!G:G,"image")</f>
        <v>0</v>
      </c>
      <c r="G43" s="97">
        <f>COUNTIFS(Media!C:C, "&gt;="&amp;$C43, Media!C:C, "&lt;"&amp;$C44, Media!G:G,"video")</f>
        <v>0</v>
      </c>
      <c r="H43" s="251">
        <f>COUNTIFS(Media!C:C, "&gt;="&amp;$C43, Media!C:C, "&lt;"&amp;$C44, Media!G:G,"carousel")</f>
        <v>0</v>
      </c>
      <c r="I43" s="97">
        <f t="shared" si="2"/>
        <v>0</v>
      </c>
      <c r="J43" s="64"/>
      <c r="K43" s="97">
        <f>SUMIFS(Media!K:K, Media!$C:$C, "&gt;="&amp;$C43, Media!$C:$C, "&lt;"&amp;$C44)</f>
        <v>0</v>
      </c>
      <c r="L43" s="97">
        <f>SUMIFS(Media!J:J, Media!$C:$C, "&gt;="&amp;$C43, Media!$C:$C, "&lt;"&amp;$C44)</f>
        <v>0</v>
      </c>
      <c r="M43" s="97">
        <f t="shared" si="3"/>
        <v>0</v>
      </c>
      <c r="N43" s="64"/>
      <c r="O43" s="99">
        <f>SUMIFS(Media!M:M, Media!$C:$C, "&gt;="&amp;$C43, Media!$C:$C, "&lt;"&amp;$C44)</f>
        <v>0</v>
      </c>
      <c r="P43" s="64"/>
      <c r="Q43" s="98">
        <f>SUMIFS(Media!Q:Q, Media!$C:$C, "&gt;="&amp;$C43, Media!$C:$C, "&lt;"&amp;$C44)</f>
        <v>0</v>
      </c>
      <c r="R43" s="64"/>
      <c r="S43" s="100">
        <f>SUMIFS(Media!H:H, Media!$C:$C, "&gt;="&amp;$C43, Media!$C:$C, "&lt;"&amp;$C44)</f>
        <v>0</v>
      </c>
      <c r="T43" s="64"/>
      <c r="U43" s="100">
        <f t="shared" si="7"/>
        <v>41</v>
      </c>
      <c r="V43" s="64"/>
      <c r="W43" s="130" t="e">
        <f ca="1">IF($C43=Calculations!$C$53, I43, NA())</f>
        <v>#N/A</v>
      </c>
      <c r="X43" s="103" t="e">
        <f t="shared" ca="1" si="4"/>
        <v>#N/A</v>
      </c>
      <c r="Y43" s="64"/>
      <c r="Z43" s="130" t="e">
        <f ca="1">IF($C43=Calculations!$E$85, M43, NA())</f>
        <v>#N/A</v>
      </c>
      <c r="AA43" s="130" t="e">
        <f ca="1">IF($C43=Calculations!$E$86, M43, NA())</f>
        <v>#N/A</v>
      </c>
      <c r="AB43" s="130" t="e">
        <f ca="1">IF($C43=Calculations!$E$87, M43, NA())</f>
        <v>#N/A</v>
      </c>
      <c r="AC43" s="130" t="e">
        <f t="shared" ca="1" si="5"/>
        <v>#N/A</v>
      </c>
      <c r="AD43" s="64"/>
      <c r="AE43" s="130" t="e">
        <f ca="1">IF($C43=Calculations!$C$142,Tables!S43, NA())</f>
        <v>#N/A</v>
      </c>
      <c r="AF43" s="130" t="e">
        <f t="shared" ca="1" si="6"/>
        <v>#N/A</v>
      </c>
      <c r="XN43" s="79"/>
    </row>
    <row r="44" spans="1:638" ht="15" customHeight="1" x14ac:dyDescent="0.25">
      <c r="A44" s="51">
        <f t="shared" si="0"/>
        <v>42909</v>
      </c>
      <c r="B44" s="52">
        <f>IF(C45&lt;Charts!$H$3,0,IF(DATE(YEAR(Charts!$H$3),MONTH(Charts!$H$3),DAY(Charts!$H$3))=DATE(YEAR(C45), MONTH(C45),DAY(C45)),0,TEXT(C44,"m/d/yy")&amp;"-"&amp;TEXT(C44+6,"m/d/yy")))</f>
        <v>0</v>
      </c>
      <c r="C44" s="53">
        <f>IF(Controls!$J$24="Monthly",DATE(YEAR(C45),MONTH(C45)-1,1),C45-Controls!$I$24)</f>
        <v>42909</v>
      </c>
      <c r="D44" s="54">
        <f t="shared" si="1"/>
        <v>42909</v>
      </c>
      <c r="E44" s="64"/>
      <c r="F44" s="96">
        <f>COUNTIFS(Media!C:C, "&gt;="&amp;$C44, Media!C:C, "&lt;"&amp;$C45, Media!G:G,"image")</f>
        <v>0</v>
      </c>
      <c r="G44" s="97">
        <f>COUNTIFS(Media!C:C, "&gt;="&amp;$C44, Media!C:C, "&lt;"&amp;$C45, Media!G:G,"video")</f>
        <v>0</v>
      </c>
      <c r="H44" s="251">
        <f>COUNTIFS(Media!C:C, "&gt;="&amp;$C44, Media!C:C, "&lt;"&amp;$C45, Media!G:G,"carousel")</f>
        <v>0</v>
      </c>
      <c r="I44" s="97">
        <f t="shared" si="2"/>
        <v>0</v>
      </c>
      <c r="J44" s="64"/>
      <c r="K44" s="97">
        <f>SUMIFS(Media!K:K, Media!$C:$C, "&gt;="&amp;$C44, Media!$C:$C, "&lt;"&amp;$C45)</f>
        <v>0</v>
      </c>
      <c r="L44" s="97">
        <f>SUMIFS(Media!J:J, Media!$C:$C, "&gt;="&amp;$C44, Media!$C:$C, "&lt;"&amp;$C45)</f>
        <v>0</v>
      </c>
      <c r="M44" s="97">
        <f t="shared" si="3"/>
        <v>0</v>
      </c>
      <c r="N44" s="64"/>
      <c r="O44" s="99">
        <f>SUMIFS(Media!M:M, Media!$C:$C, "&gt;="&amp;$C44, Media!$C:$C, "&lt;"&amp;$C45)</f>
        <v>0</v>
      </c>
      <c r="P44" s="64"/>
      <c r="Q44" s="98">
        <f>SUMIFS(Media!Q:Q, Media!$C:$C, "&gt;="&amp;$C44, Media!$C:$C, "&lt;"&amp;$C45)</f>
        <v>0</v>
      </c>
      <c r="R44" s="64"/>
      <c r="S44" s="100">
        <f>SUMIFS(Media!H:H, Media!$C:$C, "&gt;="&amp;$C44, Media!$C:$C, "&lt;"&amp;$C45)</f>
        <v>0</v>
      </c>
      <c r="T44" s="64"/>
      <c r="U44" s="100">
        <f t="shared" si="7"/>
        <v>42</v>
      </c>
      <c r="V44" s="64"/>
      <c r="W44" s="130" t="e">
        <f ca="1">IF($C44=Calculations!$C$53, I44, NA())</f>
        <v>#N/A</v>
      </c>
      <c r="X44" s="103" t="e">
        <f t="shared" ca="1" si="4"/>
        <v>#N/A</v>
      </c>
      <c r="Y44" s="64"/>
      <c r="Z44" s="130" t="e">
        <f ca="1">IF($C44=Calculations!$E$85, M44, NA())</f>
        <v>#N/A</v>
      </c>
      <c r="AA44" s="130" t="e">
        <f ca="1">IF($C44=Calculations!$E$86, M44, NA())</f>
        <v>#N/A</v>
      </c>
      <c r="AB44" s="130" t="e">
        <f ca="1">IF($C44=Calculations!$E$87, M44, NA())</f>
        <v>#N/A</v>
      </c>
      <c r="AC44" s="130" t="e">
        <f t="shared" ca="1" si="5"/>
        <v>#N/A</v>
      </c>
      <c r="AD44" s="64"/>
      <c r="AE44" s="130" t="e">
        <f ca="1">IF($C44=Calculations!$C$142,Tables!S44, NA())</f>
        <v>#N/A</v>
      </c>
      <c r="AF44" s="130" t="e">
        <f t="shared" ca="1" si="6"/>
        <v>#N/A</v>
      </c>
      <c r="XN44" s="79"/>
    </row>
    <row r="45" spans="1:638" ht="15" customHeight="1" x14ac:dyDescent="0.25">
      <c r="A45" s="51">
        <f t="shared" si="0"/>
        <v>42910</v>
      </c>
      <c r="B45" s="52">
        <f>IF(C46&lt;Charts!$H$3,0,IF(DATE(YEAR(Charts!$H$3),MONTH(Charts!$H$3),DAY(Charts!$H$3))=DATE(YEAR(C46), MONTH(C46),DAY(C46)),0,TEXT(C45,"m/d/yy")&amp;"-"&amp;TEXT(C45+6,"m/d/yy")))</f>
        <v>0</v>
      </c>
      <c r="C45" s="53">
        <f>IF(Controls!$J$24="Monthly",DATE(YEAR(C46),MONTH(C46)-1,1),C46-Controls!$I$24)</f>
        <v>42910</v>
      </c>
      <c r="D45" s="54">
        <f t="shared" si="1"/>
        <v>42910</v>
      </c>
      <c r="E45" s="64"/>
      <c r="F45" s="96">
        <f>COUNTIFS(Media!C:C, "&gt;="&amp;$C45, Media!C:C, "&lt;"&amp;$C46, Media!G:G,"image")</f>
        <v>0</v>
      </c>
      <c r="G45" s="97">
        <f>COUNTIFS(Media!C:C, "&gt;="&amp;$C45, Media!C:C, "&lt;"&amp;$C46, Media!G:G,"video")</f>
        <v>0</v>
      </c>
      <c r="H45" s="251">
        <f>COUNTIFS(Media!C:C, "&gt;="&amp;$C45, Media!C:C, "&lt;"&amp;$C46, Media!G:G,"carousel")</f>
        <v>0</v>
      </c>
      <c r="I45" s="97">
        <f t="shared" si="2"/>
        <v>0</v>
      </c>
      <c r="J45" s="64"/>
      <c r="K45" s="97">
        <f>SUMIFS(Media!K:K, Media!$C:$C, "&gt;="&amp;$C45, Media!$C:$C, "&lt;"&amp;$C46)</f>
        <v>0</v>
      </c>
      <c r="L45" s="97">
        <f>SUMIFS(Media!J:J, Media!$C:$C, "&gt;="&amp;$C45, Media!$C:$C, "&lt;"&amp;$C46)</f>
        <v>0</v>
      </c>
      <c r="M45" s="97">
        <f t="shared" si="3"/>
        <v>0</v>
      </c>
      <c r="N45" s="64"/>
      <c r="O45" s="99">
        <f>SUMIFS(Media!M:M, Media!$C:$C, "&gt;="&amp;$C45, Media!$C:$C, "&lt;"&amp;$C46)</f>
        <v>0</v>
      </c>
      <c r="P45" s="64"/>
      <c r="Q45" s="98">
        <f>SUMIFS(Media!Q:Q, Media!$C:$C, "&gt;="&amp;$C45, Media!$C:$C, "&lt;"&amp;$C46)</f>
        <v>0</v>
      </c>
      <c r="R45" s="64"/>
      <c r="S45" s="100">
        <f>SUMIFS(Media!H:H, Media!$C:$C, "&gt;="&amp;$C45, Media!$C:$C, "&lt;"&amp;$C46)</f>
        <v>0</v>
      </c>
      <c r="T45" s="64"/>
      <c r="U45" s="100">
        <f t="shared" si="7"/>
        <v>43</v>
      </c>
      <c r="V45" s="64"/>
      <c r="W45" s="130" t="e">
        <f ca="1">IF($C45=Calculations!$C$53, I45, NA())</f>
        <v>#N/A</v>
      </c>
      <c r="X45" s="103" t="e">
        <f t="shared" ca="1" si="4"/>
        <v>#N/A</v>
      </c>
      <c r="Y45" s="64"/>
      <c r="Z45" s="130" t="e">
        <f ca="1">IF($C45=Calculations!$E$85, M45, NA())</f>
        <v>#N/A</v>
      </c>
      <c r="AA45" s="130" t="e">
        <f ca="1">IF($C45=Calculations!$E$86, M45, NA())</f>
        <v>#N/A</v>
      </c>
      <c r="AB45" s="130" t="e">
        <f ca="1">IF($C45=Calculations!$E$87, M45, NA())</f>
        <v>#N/A</v>
      </c>
      <c r="AC45" s="130" t="e">
        <f t="shared" ca="1" si="5"/>
        <v>#N/A</v>
      </c>
      <c r="AD45" s="64"/>
      <c r="AE45" s="130" t="e">
        <f ca="1">IF($C45=Calculations!$C$142,Tables!S45, NA())</f>
        <v>#N/A</v>
      </c>
      <c r="AF45" s="130" t="e">
        <f t="shared" ca="1" si="6"/>
        <v>#N/A</v>
      </c>
      <c r="XN45" s="79"/>
    </row>
    <row r="46" spans="1:638" ht="15" customHeight="1" x14ac:dyDescent="0.25">
      <c r="A46" s="51">
        <f t="shared" si="0"/>
        <v>42911</v>
      </c>
      <c r="B46" s="52">
        <f>IF(C47&lt;Charts!$H$3,0,IF(DATE(YEAR(Charts!$H$3),MONTH(Charts!$H$3),DAY(Charts!$H$3))=DATE(YEAR(C47), MONTH(C47),DAY(C47)),0,TEXT(C46,"m/d/yy")&amp;"-"&amp;TEXT(C46+6,"m/d/yy")))</f>
        <v>0</v>
      </c>
      <c r="C46" s="53">
        <f>IF(Controls!$J$24="Monthly",DATE(YEAR(C47),MONTH(C47)-1,1),C47-Controls!$I$24)</f>
        <v>42911</v>
      </c>
      <c r="D46" s="54">
        <f t="shared" si="1"/>
        <v>42911</v>
      </c>
      <c r="E46" s="64"/>
      <c r="F46" s="96">
        <f>COUNTIFS(Media!C:C, "&gt;="&amp;$C46, Media!C:C, "&lt;"&amp;$C47, Media!G:G,"image")</f>
        <v>0</v>
      </c>
      <c r="G46" s="97">
        <f>COUNTIFS(Media!C:C, "&gt;="&amp;$C46, Media!C:C, "&lt;"&amp;$C47, Media!G:G,"video")</f>
        <v>0</v>
      </c>
      <c r="H46" s="251">
        <f>COUNTIFS(Media!C:C, "&gt;="&amp;$C46, Media!C:C, "&lt;"&amp;$C47, Media!G:G,"carousel")</f>
        <v>0</v>
      </c>
      <c r="I46" s="97">
        <f t="shared" si="2"/>
        <v>0</v>
      </c>
      <c r="J46" s="64"/>
      <c r="K46" s="97">
        <f>SUMIFS(Media!K:K, Media!$C:$C, "&gt;="&amp;$C46, Media!$C:$C, "&lt;"&amp;$C47)</f>
        <v>0</v>
      </c>
      <c r="L46" s="97">
        <f>SUMIFS(Media!J:J, Media!$C:$C, "&gt;="&amp;$C46, Media!$C:$C, "&lt;"&amp;$C47)</f>
        <v>0</v>
      </c>
      <c r="M46" s="97">
        <f t="shared" si="3"/>
        <v>0</v>
      </c>
      <c r="N46" s="64"/>
      <c r="O46" s="99">
        <f>SUMIFS(Media!M:M, Media!$C:$C, "&gt;="&amp;$C46, Media!$C:$C, "&lt;"&amp;$C47)</f>
        <v>0</v>
      </c>
      <c r="P46" s="64"/>
      <c r="Q46" s="98">
        <f>SUMIFS(Media!Q:Q, Media!$C:$C, "&gt;="&amp;$C46, Media!$C:$C, "&lt;"&amp;$C47)</f>
        <v>0</v>
      </c>
      <c r="R46" s="64"/>
      <c r="S46" s="100">
        <f>SUMIFS(Media!H:H, Media!$C:$C, "&gt;="&amp;$C46, Media!$C:$C, "&lt;"&amp;$C47)</f>
        <v>0</v>
      </c>
      <c r="T46" s="64"/>
      <c r="U46" s="100">
        <f t="shared" si="7"/>
        <v>44</v>
      </c>
      <c r="V46" s="64"/>
      <c r="W46" s="130" t="e">
        <f ca="1">IF($C46=Calculations!$C$53, I46, NA())</f>
        <v>#N/A</v>
      </c>
      <c r="X46" s="103" t="e">
        <f t="shared" ca="1" si="4"/>
        <v>#N/A</v>
      </c>
      <c r="Y46" s="64"/>
      <c r="Z46" s="130" t="e">
        <f ca="1">IF($C46=Calculations!$E$85, M46, NA())</f>
        <v>#N/A</v>
      </c>
      <c r="AA46" s="130" t="e">
        <f ca="1">IF($C46=Calculations!$E$86, M46, NA())</f>
        <v>#N/A</v>
      </c>
      <c r="AB46" s="130" t="e">
        <f ca="1">IF($C46=Calculations!$E$87, M46, NA())</f>
        <v>#N/A</v>
      </c>
      <c r="AC46" s="130" t="e">
        <f t="shared" ca="1" si="5"/>
        <v>#N/A</v>
      </c>
      <c r="AD46" s="64"/>
      <c r="AE46" s="130" t="e">
        <f ca="1">IF($C46=Calculations!$C$142,Tables!S46, NA())</f>
        <v>#N/A</v>
      </c>
      <c r="AF46" s="130" t="e">
        <f t="shared" ca="1" si="6"/>
        <v>#N/A</v>
      </c>
      <c r="XN46" s="79"/>
    </row>
    <row r="47" spans="1:638" ht="15" customHeight="1" x14ac:dyDescent="0.25">
      <c r="A47" s="51">
        <f t="shared" si="0"/>
        <v>42912</v>
      </c>
      <c r="B47" s="52">
        <f>IF(C48&lt;Charts!$H$3,0,IF(DATE(YEAR(Charts!$H$3),MONTH(Charts!$H$3),DAY(Charts!$H$3))=DATE(YEAR(C48), MONTH(C48),DAY(C48)),0,TEXT(C47,"m/d/yy")&amp;"-"&amp;TEXT(C47+6,"m/d/yy")))</f>
        <v>0</v>
      </c>
      <c r="C47" s="53">
        <f>IF(Controls!$J$24="Monthly",DATE(YEAR(C48),MONTH(C48)-1,1),C48-Controls!$I$24)</f>
        <v>42912</v>
      </c>
      <c r="D47" s="54">
        <f t="shared" si="1"/>
        <v>42912</v>
      </c>
      <c r="E47" s="64"/>
      <c r="F47" s="96">
        <f>COUNTIFS(Media!C:C, "&gt;="&amp;$C47, Media!C:C, "&lt;"&amp;$C48, Media!G:G,"image")</f>
        <v>0</v>
      </c>
      <c r="G47" s="97">
        <f>COUNTIFS(Media!C:C, "&gt;="&amp;$C47, Media!C:C, "&lt;"&amp;$C48, Media!G:G,"video")</f>
        <v>0</v>
      </c>
      <c r="H47" s="251">
        <f>COUNTIFS(Media!C:C, "&gt;="&amp;$C47, Media!C:C, "&lt;"&amp;$C48, Media!G:G,"carousel")</f>
        <v>0</v>
      </c>
      <c r="I47" s="97">
        <f t="shared" si="2"/>
        <v>0</v>
      </c>
      <c r="J47" s="64"/>
      <c r="K47" s="97">
        <f>SUMIFS(Media!K:K, Media!$C:$C, "&gt;="&amp;$C47, Media!$C:$C, "&lt;"&amp;$C48)</f>
        <v>0</v>
      </c>
      <c r="L47" s="97">
        <f>SUMIFS(Media!J:J, Media!$C:$C, "&gt;="&amp;$C47, Media!$C:$C, "&lt;"&amp;$C48)</f>
        <v>0</v>
      </c>
      <c r="M47" s="97">
        <f t="shared" si="3"/>
        <v>0</v>
      </c>
      <c r="N47" s="64"/>
      <c r="O47" s="99">
        <f>SUMIFS(Media!M:M, Media!$C:$C, "&gt;="&amp;$C47, Media!$C:$C, "&lt;"&amp;$C48)</f>
        <v>0</v>
      </c>
      <c r="P47" s="64"/>
      <c r="Q47" s="98">
        <f>SUMIFS(Media!Q:Q, Media!$C:$C, "&gt;="&amp;$C47, Media!$C:$C, "&lt;"&amp;$C48)</f>
        <v>0</v>
      </c>
      <c r="R47" s="64"/>
      <c r="S47" s="100">
        <f>SUMIFS(Media!H:H, Media!$C:$C, "&gt;="&amp;$C47, Media!$C:$C, "&lt;"&amp;$C48)</f>
        <v>0</v>
      </c>
      <c r="T47" s="64"/>
      <c r="U47" s="100">
        <f t="shared" si="7"/>
        <v>45</v>
      </c>
      <c r="V47" s="64"/>
      <c r="W47" s="130" t="e">
        <f ca="1">IF($C47=Calculations!$C$53, I47, NA())</f>
        <v>#N/A</v>
      </c>
      <c r="X47" s="103" t="e">
        <f t="shared" ca="1" si="4"/>
        <v>#N/A</v>
      </c>
      <c r="Y47" s="64"/>
      <c r="Z47" s="130" t="e">
        <f ca="1">IF($C47=Calculations!$E$85, M47, NA())</f>
        <v>#N/A</v>
      </c>
      <c r="AA47" s="130" t="e">
        <f ca="1">IF($C47=Calculations!$E$86, M47, NA())</f>
        <v>#N/A</v>
      </c>
      <c r="AB47" s="130" t="e">
        <f ca="1">IF($C47=Calculations!$E$87, M47, NA())</f>
        <v>#N/A</v>
      </c>
      <c r="AC47" s="130" t="e">
        <f t="shared" ca="1" si="5"/>
        <v>#N/A</v>
      </c>
      <c r="AD47" s="64"/>
      <c r="AE47" s="130" t="e">
        <f ca="1">IF($C47=Calculations!$C$142,Tables!S47, NA())</f>
        <v>#N/A</v>
      </c>
      <c r="AF47" s="130" t="e">
        <f t="shared" ca="1" si="6"/>
        <v>#N/A</v>
      </c>
      <c r="XN47" s="79"/>
    </row>
    <row r="48" spans="1:638" ht="15" customHeight="1" x14ac:dyDescent="0.25">
      <c r="A48" s="51">
        <f t="shared" si="0"/>
        <v>42913</v>
      </c>
      <c r="B48" s="52">
        <f>IF(C49&lt;Charts!$H$3,0,IF(DATE(YEAR(Charts!$H$3),MONTH(Charts!$H$3),DAY(Charts!$H$3))=DATE(YEAR(C49), MONTH(C49),DAY(C49)),0,TEXT(C48,"m/d/yy")&amp;"-"&amp;TEXT(C48+6,"m/d/yy")))</f>
        <v>0</v>
      </c>
      <c r="C48" s="53">
        <f>IF(Controls!$J$24="Monthly",DATE(YEAR(C49),MONTH(C49)-1,1),C49-Controls!$I$24)</f>
        <v>42913</v>
      </c>
      <c r="D48" s="54">
        <f t="shared" si="1"/>
        <v>42913</v>
      </c>
      <c r="E48" s="64"/>
      <c r="F48" s="96">
        <f>COUNTIFS(Media!C:C, "&gt;="&amp;$C48, Media!C:C, "&lt;"&amp;$C49, Media!G:G,"image")</f>
        <v>0</v>
      </c>
      <c r="G48" s="97">
        <f>COUNTIFS(Media!C:C, "&gt;="&amp;$C48, Media!C:C, "&lt;"&amp;$C49, Media!G:G,"video")</f>
        <v>0</v>
      </c>
      <c r="H48" s="251">
        <f>COUNTIFS(Media!C:C, "&gt;="&amp;$C48, Media!C:C, "&lt;"&amp;$C49, Media!G:G,"carousel")</f>
        <v>0</v>
      </c>
      <c r="I48" s="97">
        <f t="shared" si="2"/>
        <v>0</v>
      </c>
      <c r="J48" s="64"/>
      <c r="K48" s="97">
        <f>SUMIFS(Media!K:K, Media!$C:$C, "&gt;="&amp;$C48, Media!$C:$C, "&lt;"&amp;$C49)</f>
        <v>0</v>
      </c>
      <c r="L48" s="97">
        <f>SUMIFS(Media!J:J, Media!$C:$C, "&gt;="&amp;$C48, Media!$C:$C, "&lt;"&amp;$C49)</f>
        <v>0</v>
      </c>
      <c r="M48" s="97">
        <f t="shared" si="3"/>
        <v>0</v>
      </c>
      <c r="N48" s="64"/>
      <c r="O48" s="99">
        <f>SUMIFS(Media!M:M, Media!$C:$C, "&gt;="&amp;$C48, Media!$C:$C, "&lt;"&amp;$C49)</f>
        <v>0</v>
      </c>
      <c r="P48" s="64"/>
      <c r="Q48" s="98">
        <f>SUMIFS(Media!Q:Q, Media!$C:$C, "&gt;="&amp;$C48, Media!$C:$C, "&lt;"&amp;$C49)</f>
        <v>0</v>
      </c>
      <c r="R48" s="64"/>
      <c r="S48" s="100">
        <f>SUMIFS(Media!H:H, Media!$C:$C, "&gt;="&amp;$C48, Media!$C:$C, "&lt;"&amp;$C49)</f>
        <v>0</v>
      </c>
      <c r="T48" s="64"/>
      <c r="U48" s="100">
        <f t="shared" si="7"/>
        <v>46</v>
      </c>
      <c r="V48" s="64"/>
      <c r="W48" s="130" t="e">
        <f ca="1">IF($C48=Calculations!$C$53, I48, NA())</f>
        <v>#N/A</v>
      </c>
      <c r="X48" s="103" t="e">
        <f t="shared" ca="1" si="4"/>
        <v>#N/A</v>
      </c>
      <c r="Y48" s="64"/>
      <c r="Z48" s="130" t="e">
        <f ca="1">IF($C48=Calculations!$E$85, M48, NA())</f>
        <v>#N/A</v>
      </c>
      <c r="AA48" s="130" t="e">
        <f ca="1">IF($C48=Calculations!$E$86, M48, NA())</f>
        <v>#N/A</v>
      </c>
      <c r="AB48" s="130" t="e">
        <f ca="1">IF($C48=Calculations!$E$87, M48, NA())</f>
        <v>#N/A</v>
      </c>
      <c r="AC48" s="130" t="e">
        <f t="shared" ca="1" si="5"/>
        <v>#N/A</v>
      </c>
      <c r="AD48" s="64"/>
      <c r="AE48" s="130" t="e">
        <f ca="1">IF($C48=Calculations!$C$142,Tables!S48, NA())</f>
        <v>#N/A</v>
      </c>
      <c r="AF48" s="130" t="e">
        <f t="shared" ca="1" si="6"/>
        <v>#N/A</v>
      </c>
      <c r="XN48" s="79"/>
    </row>
    <row r="49" spans="1:638" ht="15" customHeight="1" x14ac:dyDescent="0.25">
      <c r="A49" s="51">
        <f t="shared" si="0"/>
        <v>42914</v>
      </c>
      <c r="B49" s="52">
        <f>IF(C50&lt;Charts!$H$3,0,IF(DATE(YEAR(Charts!$H$3),MONTH(Charts!$H$3),DAY(Charts!$H$3))=DATE(YEAR(C50), MONTH(C50),DAY(C50)),0,TEXT(C49,"m/d/yy")&amp;"-"&amp;TEXT(C49+6,"m/d/yy")))</f>
        <v>0</v>
      </c>
      <c r="C49" s="53">
        <f>IF(Controls!$J$24="Monthly",DATE(YEAR(C50),MONTH(C50)-1,1),C50-Controls!$I$24)</f>
        <v>42914</v>
      </c>
      <c r="D49" s="54">
        <f t="shared" si="1"/>
        <v>42914</v>
      </c>
      <c r="E49" s="64"/>
      <c r="F49" s="96">
        <f>COUNTIFS(Media!C:C, "&gt;="&amp;$C49, Media!C:C, "&lt;"&amp;$C50, Media!G:G,"image")</f>
        <v>0</v>
      </c>
      <c r="G49" s="97">
        <f>COUNTIFS(Media!C:C, "&gt;="&amp;$C49, Media!C:C, "&lt;"&amp;$C50, Media!G:G,"video")</f>
        <v>0</v>
      </c>
      <c r="H49" s="251">
        <f>COUNTIFS(Media!C:C, "&gt;="&amp;$C49, Media!C:C, "&lt;"&amp;$C50, Media!G:G,"carousel")</f>
        <v>0</v>
      </c>
      <c r="I49" s="97">
        <f t="shared" si="2"/>
        <v>0</v>
      </c>
      <c r="J49" s="64"/>
      <c r="K49" s="97">
        <f>SUMIFS(Media!K:K, Media!$C:$C, "&gt;="&amp;$C49, Media!$C:$C, "&lt;"&amp;$C50)</f>
        <v>0</v>
      </c>
      <c r="L49" s="97">
        <f>SUMIFS(Media!J:J, Media!$C:$C, "&gt;="&amp;$C49, Media!$C:$C, "&lt;"&amp;$C50)</f>
        <v>0</v>
      </c>
      <c r="M49" s="97">
        <f t="shared" si="3"/>
        <v>0</v>
      </c>
      <c r="N49" s="64"/>
      <c r="O49" s="99">
        <f>SUMIFS(Media!M:M, Media!$C:$C, "&gt;="&amp;$C49, Media!$C:$C, "&lt;"&amp;$C50)</f>
        <v>0</v>
      </c>
      <c r="P49" s="64"/>
      <c r="Q49" s="98">
        <f>SUMIFS(Media!Q:Q, Media!$C:$C, "&gt;="&amp;$C49, Media!$C:$C, "&lt;"&amp;$C50)</f>
        <v>0</v>
      </c>
      <c r="R49" s="64"/>
      <c r="S49" s="100">
        <f>SUMIFS(Media!H:H, Media!$C:$C, "&gt;="&amp;$C49, Media!$C:$C, "&lt;"&amp;$C50)</f>
        <v>0</v>
      </c>
      <c r="T49" s="64"/>
      <c r="U49" s="100">
        <f t="shared" si="7"/>
        <v>47</v>
      </c>
      <c r="V49" s="64"/>
      <c r="W49" s="130" t="e">
        <f ca="1">IF($C49=Calculations!$C$53, I49, NA())</f>
        <v>#N/A</v>
      </c>
      <c r="X49" s="103" t="e">
        <f t="shared" ca="1" si="4"/>
        <v>#N/A</v>
      </c>
      <c r="Y49" s="64"/>
      <c r="Z49" s="130" t="e">
        <f ca="1">IF($C49=Calculations!$E$85, M49, NA())</f>
        <v>#N/A</v>
      </c>
      <c r="AA49" s="130" t="e">
        <f ca="1">IF($C49=Calculations!$E$86, M49, NA())</f>
        <v>#N/A</v>
      </c>
      <c r="AB49" s="130" t="e">
        <f ca="1">IF($C49=Calculations!$E$87, M49, NA())</f>
        <v>#N/A</v>
      </c>
      <c r="AC49" s="130" t="e">
        <f t="shared" ca="1" si="5"/>
        <v>#N/A</v>
      </c>
      <c r="AD49" s="64"/>
      <c r="AE49" s="130" t="e">
        <f ca="1">IF($C49=Calculations!$C$142,Tables!S49, NA())</f>
        <v>#N/A</v>
      </c>
      <c r="AF49" s="130" t="e">
        <f t="shared" ca="1" si="6"/>
        <v>#N/A</v>
      </c>
      <c r="XN49" s="79"/>
    </row>
    <row r="50" spans="1:638" ht="15" customHeight="1" x14ac:dyDescent="0.25">
      <c r="A50" s="51">
        <f t="shared" si="0"/>
        <v>42915</v>
      </c>
      <c r="B50" s="52">
        <f>IF(C51&lt;Charts!$H$3,0,IF(DATE(YEAR(Charts!$H$3),MONTH(Charts!$H$3),DAY(Charts!$H$3))=DATE(YEAR(C51), MONTH(C51),DAY(C51)),0,TEXT(C50,"m/d/yy")&amp;"-"&amp;TEXT(C50+6,"m/d/yy")))</f>
        <v>0</v>
      </c>
      <c r="C50" s="53">
        <f>IF(Controls!$J$24="Monthly",DATE(YEAR(C51),MONTH(C51)-1,1),C51-Controls!$I$24)</f>
        <v>42915</v>
      </c>
      <c r="D50" s="54">
        <f t="shared" si="1"/>
        <v>42915</v>
      </c>
      <c r="E50" s="64"/>
      <c r="F50" s="96">
        <f>COUNTIFS(Media!C:C, "&gt;="&amp;$C50, Media!C:C, "&lt;"&amp;$C51, Media!G:G,"image")</f>
        <v>0</v>
      </c>
      <c r="G50" s="97">
        <f>COUNTIFS(Media!C:C, "&gt;="&amp;$C50, Media!C:C, "&lt;"&amp;$C51, Media!G:G,"video")</f>
        <v>0</v>
      </c>
      <c r="H50" s="251">
        <f>COUNTIFS(Media!C:C, "&gt;="&amp;$C50, Media!C:C, "&lt;"&amp;$C51, Media!G:G,"carousel")</f>
        <v>0</v>
      </c>
      <c r="I50" s="97">
        <f t="shared" si="2"/>
        <v>0</v>
      </c>
      <c r="J50" s="64"/>
      <c r="K50" s="97">
        <f>SUMIFS(Media!K:K, Media!$C:$C, "&gt;="&amp;$C50, Media!$C:$C, "&lt;"&amp;$C51)</f>
        <v>0</v>
      </c>
      <c r="L50" s="97">
        <f>SUMIFS(Media!J:J, Media!$C:$C, "&gt;="&amp;$C50, Media!$C:$C, "&lt;"&amp;$C51)</f>
        <v>0</v>
      </c>
      <c r="M50" s="97">
        <f t="shared" si="3"/>
        <v>0</v>
      </c>
      <c r="N50" s="64"/>
      <c r="O50" s="99">
        <f>SUMIFS(Media!M:M, Media!$C:$C, "&gt;="&amp;$C50, Media!$C:$C, "&lt;"&amp;$C51)</f>
        <v>0</v>
      </c>
      <c r="P50" s="64"/>
      <c r="Q50" s="98">
        <f>SUMIFS(Media!Q:Q, Media!$C:$C, "&gt;="&amp;$C50, Media!$C:$C, "&lt;"&amp;$C51)</f>
        <v>0</v>
      </c>
      <c r="R50" s="64"/>
      <c r="S50" s="100">
        <f>SUMIFS(Media!H:H, Media!$C:$C, "&gt;="&amp;$C50, Media!$C:$C, "&lt;"&amp;$C51)</f>
        <v>0</v>
      </c>
      <c r="T50" s="64"/>
      <c r="U50" s="100">
        <f t="shared" si="7"/>
        <v>48</v>
      </c>
      <c r="V50" s="64"/>
      <c r="W50" s="130" t="e">
        <f ca="1">IF($C50=Calculations!$C$53, I50, NA())</f>
        <v>#N/A</v>
      </c>
      <c r="X50" s="103" t="e">
        <f t="shared" ca="1" si="4"/>
        <v>#N/A</v>
      </c>
      <c r="Y50" s="64"/>
      <c r="Z50" s="130" t="e">
        <f ca="1">IF($C50=Calculations!$E$85, M50, NA())</f>
        <v>#N/A</v>
      </c>
      <c r="AA50" s="130" t="e">
        <f ca="1">IF($C50=Calculations!$E$86, M50, NA())</f>
        <v>#N/A</v>
      </c>
      <c r="AB50" s="130" t="e">
        <f ca="1">IF($C50=Calculations!$E$87, M50, NA())</f>
        <v>#N/A</v>
      </c>
      <c r="AC50" s="130" t="e">
        <f t="shared" ca="1" si="5"/>
        <v>#N/A</v>
      </c>
      <c r="AD50" s="64"/>
      <c r="AE50" s="130" t="e">
        <f ca="1">IF($C50=Calculations!$C$142,Tables!S50, NA())</f>
        <v>#N/A</v>
      </c>
      <c r="AF50" s="130" t="e">
        <f t="shared" ca="1" si="6"/>
        <v>#N/A</v>
      </c>
      <c r="XN50" s="79"/>
    </row>
    <row r="51" spans="1:638" ht="15" customHeight="1" x14ac:dyDescent="0.25">
      <c r="A51" s="51">
        <f t="shared" si="0"/>
        <v>42916</v>
      </c>
      <c r="B51" s="52">
        <f>IF(C52&lt;Charts!$H$3,0,IF(DATE(YEAR(Charts!$H$3),MONTH(Charts!$H$3),DAY(Charts!$H$3))=DATE(YEAR(C52), MONTH(C52),DAY(C52)),0,TEXT(C51,"m/d/yy")&amp;"-"&amp;TEXT(C51+6,"m/d/yy")))</f>
        <v>0</v>
      </c>
      <c r="C51" s="53">
        <f>IF(Controls!$J$24="Monthly",DATE(YEAR(C52),MONTH(C52)-1,1),C52-Controls!$I$24)</f>
        <v>42916</v>
      </c>
      <c r="D51" s="54">
        <f t="shared" si="1"/>
        <v>42916</v>
      </c>
      <c r="E51" s="64"/>
      <c r="F51" s="96">
        <f>COUNTIFS(Media!C:C, "&gt;="&amp;$C51, Media!C:C, "&lt;"&amp;$C52, Media!G:G,"image")</f>
        <v>0</v>
      </c>
      <c r="G51" s="97">
        <f>COUNTIFS(Media!C:C, "&gt;="&amp;$C51, Media!C:C, "&lt;"&amp;$C52, Media!G:G,"video")</f>
        <v>0</v>
      </c>
      <c r="H51" s="251">
        <f>COUNTIFS(Media!C:C, "&gt;="&amp;$C51, Media!C:C, "&lt;"&amp;$C52, Media!G:G,"carousel")</f>
        <v>0</v>
      </c>
      <c r="I51" s="97">
        <f t="shared" si="2"/>
        <v>0</v>
      </c>
      <c r="J51" s="64"/>
      <c r="K51" s="97">
        <f>SUMIFS(Media!K:K, Media!$C:$C, "&gt;="&amp;$C51, Media!$C:$C, "&lt;"&amp;$C52)</f>
        <v>0</v>
      </c>
      <c r="L51" s="97">
        <f>SUMIFS(Media!J:J, Media!$C:$C, "&gt;="&amp;$C51, Media!$C:$C, "&lt;"&amp;$C52)</f>
        <v>0</v>
      </c>
      <c r="M51" s="97">
        <f t="shared" si="3"/>
        <v>0</v>
      </c>
      <c r="N51" s="64"/>
      <c r="O51" s="99">
        <f>SUMIFS(Media!M:M, Media!$C:$C, "&gt;="&amp;$C51, Media!$C:$C, "&lt;"&amp;$C52)</f>
        <v>0</v>
      </c>
      <c r="P51" s="64"/>
      <c r="Q51" s="98">
        <f>SUMIFS(Media!Q:Q, Media!$C:$C, "&gt;="&amp;$C51, Media!$C:$C, "&lt;"&amp;$C52)</f>
        <v>0</v>
      </c>
      <c r="R51" s="64"/>
      <c r="S51" s="100">
        <f>SUMIFS(Media!H:H, Media!$C:$C, "&gt;="&amp;$C51, Media!$C:$C, "&lt;"&amp;$C52)</f>
        <v>0</v>
      </c>
      <c r="T51" s="64"/>
      <c r="U51" s="100">
        <f t="shared" si="7"/>
        <v>49</v>
      </c>
      <c r="V51" s="64"/>
      <c r="W51" s="130" t="e">
        <f ca="1">IF($C51=Calculations!$C$53, I51, NA())</f>
        <v>#N/A</v>
      </c>
      <c r="X51" s="103" t="e">
        <f t="shared" ca="1" si="4"/>
        <v>#N/A</v>
      </c>
      <c r="Y51" s="64"/>
      <c r="Z51" s="130" t="e">
        <f ca="1">IF($C51=Calculations!$E$85, M51, NA())</f>
        <v>#N/A</v>
      </c>
      <c r="AA51" s="130" t="e">
        <f ca="1">IF($C51=Calculations!$E$86, M51, NA())</f>
        <v>#N/A</v>
      </c>
      <c r="AB51" s="130" t="e">
        <f ca="1">IF($C51=Calculations!$E$87, M51, NA())</f>
        <v>#N/A</v>
      </c>
      <c r="AC51" s="130" t="e">
        <f t="shared" ca="1" si="5"/>
        <v>#N/A</v>
      </c>
      <c r="AD51" s="64"/>
      <c r="AE51" s="130" t="e">
        <f ca="1">IF($C51=Calculations!$C$142,Tables!S51, NA())</f>
        <v>#N/A</v>
      </c>
      <c r="AF51" s="130" t="e">
        <f t="shared" ca="1" si="6"/>
        <v>#N/A</v>
      </c>
      <c r="XN51" s="79"/>
    </row>
    <row r="52" spans="1:638" ht="15" customHeight="1" x14ac:dyDescent="0.25">
      <c r="A52" s="51">
        <f t="shared" si="0"/>
        <v>42917</v>
      </c>
      <c r="B52" s="52">
        <f>IF(C53&lt;Charts!$H$3,0,IF(DATE(YEAR(Charts!$H$3),MONTH(Charts!$H$3),DAY(Charts!$H$3))=DATE(YEAR(C53), MONTH(C53),DAY(C53)),0,TEXT(C52,"m/d/yy")&amp;"-"&amp;TEXT(C52+6,"m/d/yy")))</f>
        <v>0</v>
      </c>
      <c r="C52" s="53">
        <f>IF(Controls!$J$24="Monthly",DATE(YEAR(C53),MONTH(C53)-1,1),C53-Controls!$I$24)</f>
        <v>42917</v>
      </c>
      <c r="D52" s="54">
        <f t="shared" si="1"/>
        <v>42917</v>
      </c>
      <c r="E52" s="64"/>
      <c r="F52" s="96">
        <f>COUNTIFS(Media!C:C, "&gt;="&amp;$C52, Media!C:C, "&lt;"&amp;$C53, Media!G:G,"image")</f>
        <v>0</v>
      </c>
      <c r="G52" s="97">
        <f>COUNTIFS(Media!C:C, "&gt;="&amp;$C52, Media!C:C, "&lt;"&amp;$C53, Media!G:G,"video")</f>
        <v>0</v>
      </c>
      <c r="H52" s="251">
        <f>COUNTIFS(Media!C:C, "&gt;="&amp;$C52, Media!C:C, "&lt;"&amp;$C53, Media!G:G,"carousel")</f>
        <v>0</v>
      </c>
      <c r="I52" s="97">
        <f t="shared" si="2"/>
        <v>0</v>
      </c>
      <c r="J52" s="64"/>
      <c r="K52" s="97">
        <f>SUMIFS(Media!K:K, Media!$C:$C, "&gt;="&amp;$C52, Media!$C:$C, "&lt;"&amp;$C53)</f>
        <v>0</v>
      </c>
      <c r="L52" s="97">
        <f>SUMIFS(Media!J:J, Media!$C:$C, "&gt;="&amp;$C52, Media!$C:$C, "&lt;"&amp;$C53)</f>
        <v>0</v>
      </c>
      <c r="M52" s="97">
        <f t="shared" si="3"/>
        <v>0</v>
      </c>
      <c r="N52" s="64"/>
      <c r="O52" s="99">
        <f>SUMIFS(Media!M:M, Media!$C:$C, "&gt;="&amp;$C52, Media!$C:$C, "&lt;"&amp;$C53)</f>
        <v>0</v>
      </c>
      <c r="P52" s="64"/>
      <c r="Q52" s="98">
        <f>SUMIFS(Media!Q:Q, Media!$C:$C, "&gt;="&amp;$C52, Media!$C:$C, "&lt;"&amp;$C53)</f>
        <v>0</v>
      </c>
      <c r="R52" s="64"/>
      <c r="S52" s="100">
        <f>SUMIFS(Media!H:H, Media!$C:$C, "&gt;="&amp;$C52, Media!$C:$C, "&lt;"&amp;$C53)</f>
        <v>0</v>
      </c>
      <c r="T52" s="64"/>
      <c r="U52" s="100">
        <f t="shared" si="7"/>
        <v>50</v>
      </c>
      <c r="V52" s="64"/>
      <c r="W52" s="130" t="e">
        <f ca="1">IF($C52=Calculations!$C$53, I52, NA())</f>
        <v>#N/A</v>
      </c>
      <c r="X52" s="103" t="e">
        <f t="shared" ca="1" si="4"/>
        <v>#N/A</v>
      </c>
      <c r="Y52" s="64"/>
      <c r="Z52" s="130" t="e">
        <f ca="1">IF($C52=Calculations!$E$85, M52, NA())</f>
        <v>#N/A</v>
      </c>
      <c r="AA52" s="130" t="e">
        <f ca="1">IF($C52=Calculations!$E$86, M52, NA())</f>
        <v>#N/A</v>
      </c>
      <c r="AB52" s="130" t="e">
        <f ca="1">IF($C52=Calculations!$E$87, M52, NA())</f>
        <v>#N/A</v>
      </c>
      <c r="AC52" s="130" t="e">
        <f t="shared" ca="1" si="5"/>
        <v>#N/A</v>
      </c>
      <c r="AD52" s="64"/>
      <c r="AE52" s="130" t="e">
        <f ca="1">IF($C52=Calculations!$C$142,Tables!S52, NA())</f>
        <v>#N/A</v>
      </c>
      <c r="AF52" s="130" t="e">
        <f t="shared" ca="1" si="6"/>
        <v>#N/A</v>
      </c>
      <c r="XN52" s="79"/>
    </row>
    <row r="53" spans="1:638" ht="15" customHeight="1" x14ac:dyDescent="0.25">
      <c r="A53" s="51">
        <f t="shared" si="0"/>
        <v>42918</v>
      </c>
      <c r="B53" s="52">
        <f>IF(C54&lt;Charts!$H$3,0,IF(DATE(YEAR(Charts!$H$3),MONTH(Charts!$H$3),DAY(Charts!$H$3))=DATE(YEAR(C54), MONTH(C54),DAY(C54)),0,TEXT(C53,"m/d/yy")&amp;"-"&amp;TEXT(C53+6,"m/d/yy")))</f>
        <v>0</v>
      </c>
      <c r="C53" s="53">
        <f>IF(Controls!$J$24="Monthly",DATE(YEAR(C54),MONTH(C54)-1,1),C54-Controls!$I$24)</f>
        <v>42918</v>
      </c>
      <c r="D53" s="54">
        <f t="shared" si="1"/>
        <v>42918</v>
      </c>
      <c r="E53" s="64"/>
      <c r="F53" s="96">
        <f>COUNTIFS(Media!C:C, "&gt;="&amp;$C53, Media!C:C, "&lt;"&amp;$C54, Media!G:G,"image")</f>
        <v>0</v>
      </c>
      <c r="G53" s="97">
        <f>COUNTIFS(Media!C:C, "&gt;="&amp;$C53, Media!C:C, "&lt;"&amp;$C54, Media!G:G,"video")</f>
        <v>0</v>
      </c>
      <c r="H53" s="251">
        <f>COUNTIFS(Media!C:C, "&gt;="&amp;$C53, Media!C:C, "&lt;"&amp;$C54, Media!G:G,"carousel")</f>
        <v>0</v>
      </c>
      <c r="I53" s="97">
        <f t="shared" si="2"/>
        <v>0</v>
      </c>
      <c r="J53" s="64"/>
      <c r="K53" s="97">
        <f>SUMIFS(Media!K:K, Media!$C:$C, "&gt;="&amp;$C53, Media!$C:$C, "&lt;"&amp;$C54)</f>
        <v>0</v>
      </c>
      <c r="L53" s="97">
        <f>SUMIFS(Media!J:J, Media!$C:$C, "&gt;="&amp;$C53, Media!$C:$C, "&lt;"&amp;$C54)</f>
        <v>0</v>
      </c>
      <c r="M53" s="97">
        <f t="shared" si="3"/>
        <v>0</v>
      </c>
      <c r="N53" s="64"/>
      <c r="O53" s="99">
        <f>SUMIFS(Media!M:M, Media!$C:$C, "&gt;="&amp;$C53, Media!$C:$C, "&lt;"&amp;$C54)</f>
        <v>0</v>
      </c>
      <c r="P53" s="64"/>
      <c r="Q53" s="98">
        <f>SUMIFS(Media!Q:Q, Media!$C:$C, "&gt;="&amp;$C53, Media!$C:$C, "&lt;"&amp;$C54)</f>
        <v>0</v>
      </c>
      <c r="R53" s="64"/>
      <c r="S53" s="100">
        <f>SUMIFS(Media!H:H, Media!$C:$C, "&gt;="&amp;$C53, Media!$C:$C, "&lt;"&amp;$C54)</f>
        <v>0</v>
      </c>
      <c r="T53" s="64"/>
      <c r="U53" s="100">
        <f t="shared" si="7"/>
        <v>51</v>
      </c>
      <c r="V53" s="64"/>
      <c r="W53" s="130" t="e">
        <f ca="1">IF($C53=Calculations!$C$53, I53, NA())</f>
        <v>#N/A</v>
      </c>
      <c r="X53" s="103" t="e">
        <f t="shared" ca="1" si="4"/>
        <v>#N/A</v>
      </c>
      <c r="Y53" s="64"/>
      <c r="Z53" s="130" t="e">
        <f ca="1">IF($C53=Calculations!$E$85, M53, NA())</f>
        <v>#N/A</v>
      </c>
      <c r="AA53" s="130" t="e">
        <f ca="1">IF($C53=Calculations!$E$86, M53, NA())</f>
        <v>#N/A</v>
      </c>
      <c r="AB53" s="130" t="e">
        <f ca="1">IF($C53=Calculations!$E$87, M53, NA())</f>
        <v>#N/A</v>
      </c>
      <c r="AC53" s="130" t="e">
        <f t="shared" ca="1" si="5"/>
        <v>#N/A</v>
      </c>
      <c r="AD53" s="64"/>
      <c r="AE53" s="130" t="e">
        <f ca="1">IF($C53=Calculations!$C$142,Tables!S53, NA())</f>
        <v>#N/A</v>
      </c>
      <c r="AF53" s="130" t="e">
        <f t="shared" ca="1" si="6"/>
        <v>#N/A</v>
      </c>
      <c r="XN53" s="79"/>
    </row>
    <row r="54" spans="1:638" ht="15" customHeight="1" x14ac:dyDescent="0.25">
      <c r="A54" s="51">
        <f t="shared" si="0"/>
        <v>42919</v>
      </c>
      <c r="B54" s="52">
        <f>IF(C55&lt;Charts!$H$3,0,IF(DATE(YEAR(Charts!$H$3),MONTH(Charts!$H$3),DAY(Charts!$H$3))=DATE(YEAR(C55), MONTH(C55),DAY(C55)),0,TEXT(C54,"m/d/yy")&amp;"-"&amp;TEXT(C54+6,"m/d/yy")))</f>
        <v>0</v>
      </c>
      <c r="C54" s="53">
        <f>IF(Controls!$J$24="Monthly",DATE(YEAR(C55),MONTH(C55)-1,1),C55-Controls!$I$24)</f>
        <v>42919</v>
      </c>
      <c r="D54" s="54">
        <f t="shared" si="1"/>
        <v>42919</v>
      </c>
      <c r="E54" s="64"/>
      <c r="F54" s="96">
        <f>COUNTIFS(Media!C:C, "&gt;="&amp;$C54, Media!C:C, "&lt;"&amp;$C55, Media!G:G,"image")</f>
        <v>0</v>
      </c>
      <c r="G54" s="97">
        <f>COUNTIFS(Media!C:C, "&gt;="&amp;$C54, Media!C:C, "&lt;"&amp;$C55, Media!G:G,"video")</f>
        <v>0</v>
      </c>
      <c r="H54" s="251">
        <f>COUNTIFS(Media!C:C, "&gt;="&amp;$C54, Media!C:C, "&lt;"&amp;$C55, Media!G:G,"carousel")</f>
        <v>0</v>
      </c>
      <c r="I54" s="97">
        <f t="shared" si="2"/>
        <v>0</v>
      </c>
      <c r="J54" s="64"/>
      <c r="K54" s="97">
        <f>SUMIFS(Media!K:K, Media!$C:$C, "&gt;="&amp;$C54, Media!$C:$C, "&lt;"&amp;$C55)</f>
        <v>0</v>
      </c>
      <c r="L54" s="97">
        <f>SUMIFS(Media!J:J, Media!$C:$C, "&gt;="&amp;$C54, Media!$C:$C, "&lt;"&amp;$C55)</f>
        <v>0</v>
      </c>
      <c r="M54" s="97">
        <f t="shared" si="3"/>
        <v>0</v>
      </c>
      <c r="N54" s="64"/>
      <c r="O54" s="99">
        <f>SUMIFS(Media!M:M, Media!$C:$C, "&gt;="&amp;$C54, Media!$C:$C, "&lt;"&amp;$C55)</f>
        <v>0</v>
      </c>
      <c r="P54" s="64"/>
      <c r="Q54" s="98">
        <f>SUMIFS(Media!Q:Q, Media!$C:$C, "&gt;="&amp;$C54, Media!$C:$C, "&lt;"&amp;$C55)</f>
        <v>0</v>
      </c>
      <c r="R54" s="64"/>
      <c r="S54" s="100">
        <f>SUMIFS(Media!H:H, Media!$C:$C, "&gt;="&amp;$C54, Media!$C:$C, "&lt;"&amp;$C55)</f>
        <v>0</v>
      </c>
      <c r="T54" s="64"/>
      <c r="U54" s="100">
        <f t="shared" si="7"/>
        <v>52</v>
      </c>
      <c r="V54" s="64"/>
      <c r="W54" s="130" t="e">
        <f ca="1">IF($C54=Calculations!$C$53, I54, NA())</f>
        <v>#N/A</v>
      </c>
      <c r="X54" s="103" t="e">
        <f t="shared" ca="1" si="4"/>
        <v>#N/A</v>
      </c>
      <c r="Y54" s="64"/>
      <c r="Z54" s="130" t="e">
        <f ca="1">IF($C54=Calculations!$E$85, M54, NA())</f>
        <v>#N/A</v>
      </c>
      <c r="AA54" s="130" t="e">
        <f ca="1">IF($C54=Calculations!$E$86, M54, NA())</f>
        <v>#N/A</v>
      </c>
      <c r="AB54" s="130" t="e">
        <f ca="1">IF($C54=Calculations!$E$87, M54, NA())</f>
        <v>#N/A</v>
      </c>
      <c r="AC54" s="130" t="e">
        <f t="shared" ca="1" si="5"/>
        <v>#N/A</v>
      </c>
      <c r="AD54" s="64"/>
      <c r="AE54" s="130" t="e">
        <f ca="1">IF($C54=Calculations!$C$142,Tables!S54, NA())</f>
        <v>#N/A</v>
      </c>
      <c r="AF54" s="130" t="e">
        <f t="shared" ca="1" si="6"/>
        <v>#N/A</v>
      </c>
      <c r="XN54" s="79"/>
    </row>
    <row r="55" spans="1:638" ht="15" customHeight="1" x14ac:dyDescent="0.25">
      <c r="A55" s="51">
        <f t="shared" si="0"/>
        <v>42920</v>
      </c>
      <c r="B55" s="52">
        <f>IF(C56&lt;Charts!$H$3,0,IF(DATE(YEAR(Charts!$H$3),MONTH(Charts!$H$3),DAY(Charts!$H$3))=DATE(YEAR(C56), MONTH(C56),DAY(C56)),0,TEXT(C55,"m/d/yy")&amp;"-"&amp;TEXT(C55+6,"m/d/yy")))</f>
        <v>0</v>
      </c>
      <c r="C55" s="53">
        <f>IF(Controls!$J$24="Monthly",DATE(YEAR(C56),MONTH(C56)-1,1),C56-Controls!$I$24)</f>
        <v>42920</v>
      </c>
      <c r="D55" s="54">
        <f t="shared" si="1"/>
        <v>42920</v>
      </c>
      <c r="E55" s="64"/>
      <c r="F55" s="96">
        <f>COUNTIFS(Media!C:C, "&gt;="&amp;$C55, Media!C:C, "&lt;"&amp;$C56, Media!G:G,"image")</f>
        <v>0</v>
      </c>
      <c r="G55" s="97">
        <f>COUNTIFS(Media!C:C, "&gt;="&amp;$C55, Media!C:C, "&lt;"&amp;$C56, Media!G:G,"video")</f>
        <v>0</v>
      </c>
      <c r="H55" s="251">
        <f>COUNTIFS(Media!C:C, "&gt;="&amp;$C55, Media!C:C, "&lt;"&amp;$C56, Media!G:G,"carousel")</f>
        <v>0</v>
      </c>
      <c r="I55" s="97">
        <f t="shared" si="2"/>
        <v>0</v>
      </c>
      <c r="J55" s="64"/>
      <c r="K55" s="97">
        <f>SUMIFS(Media!K:K, Media!$C:$C, "&gt;="&amp;$C55, Media!$C:$C, "&lt;"&amp;$C56)</f>
        <v>0</v>
      </c>
      <c r="L55" s="97">
        <f>SUMIFS(Media!J:J, Media!$C:$C, "&gt;="&amp;$C55, Media!$C:$C, "&lt;"&amp;$C56)</f>
        <v>0</v>
      </c>
      <c r="M55" s="97">
        <f t="shared" si="3"/>
        <v>0</v>
      </c>
      <c r="N55" s="64"/>
      <c r="O55" s="99">
        <f>SUMIFS(Media!M:M, Media!$C:$C, "&gt;="&amp;$C55, Media!$C:$C, "&lt;"&amp;$C56)</f>
        <v>0</v>
      </c>
      <c r="P55" s="64"/>
      <c r="Q55" s="98">
        <f>SUMIFS(Media!Q:Q, Media!$C:$C, "&gt;="&amp;$C55, Media!$C:$C, "&lt;"&amp;$C56)</f>
        <v>0</v>
      </c>
      <c r="R55" s="64"/>
      <c r="S55" s="100">
        <f>SUMIFS(Media!H:H, Media!$C:$C, "&gt;="&amp;$C55, Media!$C:$C, "&lt;"&amp;$C56)</f>
        <v>0</v>
      </c>
      <c r="T55" s="64"/>
      <c r="U55" s="100">
        <f t="shared" si="7"/>
        <v>53</v>
      </c>
      <c r="V55" s="64"/>
      <c r="W55" s="130" t="e">
        <f ca="1">IF($C55=Calculations!$C$53, I55, NA())</f>
        <v>#N/A</v>
      </c>
      <c r="X55" s="103" t="e">
        <f t="shared" ca="1" si="4"/>
        <v>#N/A</v>
      </c>
      <c r="Y55" s="64"/>
      <c r="Z55" s="130" t="e">
        <f ca="1">IF($C55=Calculations!$E$85, M55, NA())</f>
        <v>#N/A</v>
      </c>
      <c r="AA55" s="130" t="e">
        <f ca="1">IF($C55=Calculations!$E$86, M55, NA())</f>
        <v>#N/A</v>
      </c>
      <c r="AB55" s="130" t="e">
        <f ca="1">IF($C55=Calculations!$E$87, M55, NA())</f>
        <v>#N/A</v>
      </c>
      <c r="AC55" s="130" t="e">
        <f t="shared" ca="1" si="5"/>
        <v>#N/A</v>
      </c>
      <c r="AD55" s="64"/>
      <c r="AE55" s="130" t="e">
        <f ca="1">IF($C55=Calculations!$C$142,Tables!S55, NA())</f>
        <v>#N/A</v>
      </c>
      <c r="AF55" s="130" t="e">
        <f t="shared" ca="1" si="6"/>
        <v>#N/A</v>
      </c>
      <c r="XN55" s="79"/>
    </row>
    <row r="56" spans="1:638" ht="15" customHeight="1" x14ac:dyDescent="0.25">
      <c r="A56" s="51">
        <f t="shared" si="0"/>
        <v>42921</v>
      </c>
      <c r="B56" s="52">
        <f>IF(C57&lt;Charts!$H$3,0,IF(DATE(YEAR(Charts!$H$3),MONTH(Charts!$H$3),DAY(Charts!$H$3))=DATE(YEAR(C57), MONTH(C57),DAY(C57)),0,TEXT(C56,"m/d/yy")&amp;"-"&amp;TEXT(C56+6,"m/d/yy")))</f>
        <v>0</v>
      </c>
      <c r="C56" s="53">
        <f>IF(Controls!$J$24="Monthly",DATE(YEAR(C57),MONTH(C57)-1,1),C57-Controls!$I$24)</f>
        <v>42921</v>
      </c>
      <c r="D56" s="54">
        <f t="shared" si="1"/>
        <v>42921</v>
      </c>
      <c r="E56" s="64"/>
      <c r="F56" s="96">
        <f>COUNTIFS(Media!C:C, "&gt;="&amp;$C56, Media!C:C, "&lt;"&amp;$C57, Media!G:G,"image")</f>
        <v>0</v>
      </c>
      <c r="G56" s="97">
        <f>COUNTIFS(Media!C:C, "&gt;="&amp;$C56, Media!C:C, "&lt;"&amp;$C57, Media!G:G,"video")</f>
        <v>0</v>
      </c>
      <c r="H56" s="251">
        <f>COUNTIFS(Media!C:C, "&gt;="&amp;$C56, Media!C:C, "&lt;"&amp;$C57, Media!G:G,"carousel")</f>
        <v>0</v>
      </c>
      <c r="I56" s="97">
        <f t="shared" si="2"/>
        <v>0</v>
      </c>
      <c r="J56" s="64"/>
      <c r="K56" s="97">
        <f>SUMIFS(Media!K:K, Media!$C:$C, "&gt;="&amp;$C56, Media!$C:$C, "&lt;"&amp;$C57)</f>
        <v>0</v>
      </c>
      <c r="L56" s="97">
        <f>SUMIFS(Media!J:J, Media!$C:$C, "&gt;="&amp;$C56, Media!$C:$C, "&lt;"&amp;$C57)</f>
        <v>0</v>
      </c>
      <c r="M56" s="97">
        <f t="shared" si="3"/>
        <v>0</v>
      </c>
      <c r="N56" s="64"/>
      <c r="O56" s="99">
        <f>SUMIFS(Media!M:M, Media!$C:$C, "&gt;="&amp;$C56, Media!$C:$C, "&lt;"&amp;$C57)</f>
        <v>0</v>
      </c>
      <c r="P56" s="64"/>
      <c r="Q56" s="98">
        <f>SUMIFS(Media!Q:Q, Media!$C:$C, "&gt;="&amp;$C56, Media!$C:$C, "&lt;"&amp;$C57)</f>
        <v>0</v>
      </c>
      <c r="R56" s="64"/>
      <c r="S56" s="100">
        <f>SUMIFS(Media!H:H, Media!$C:$C, "&gt;="&amp;$C56, Media!$C:$C, "&lt;"&amp;$C57)</f>
        <v>0</v>
      </c>
      <c r="T56" s="64"/>
      <c r="U56" s="100">
        <f t="shared" si="7"/>
        <v>54</v>
      </c>
      <c r="V56" s="64"/>
      <c r="W56" s="130" t="e">
        <f ca="1">IF($C56=Calculations!$C$53, I56, NA())</f>
        <v>#N/A</v>
      </c>
      <c r="X56" s="103" t="e">
        <f t="shared" ca="1" si="4"/>
        <v>#N/A</v>
      </c>
      <c r="Y56" s="64"/>
      <c r="Z56" s="130" t="e">
        <f ca="1">IF($C56=Calculations!$E$85, M56, NA())</f>
        <v>#N/A</v>
      </c>
      <c r="AA56" s="130" t="e">
        <f ca="1">IF($C56=Calculations!$E$86, M56, NA())</f>
        <v>#N/A</v>
      </c>
      <c r="AB56" s="130" t="e">
        <f ca="1">IF($C56=Calculations!$E$87, M56, NA())</f>
        <v>#N/A</v>
      </c>
      <c r="AC56" s="130" t="e">
        <f t="shared" ca="1" si="5"/>
        <v>#N/A</v>
      </c>
      <c r="AD56" s="64"/>
      <c r="AE56" s="130" t="e">
        <f ca="1">IF($C56=Calculations!$C$142,Tables!S56, NA())</f>
        <v>#N/A</v>
      </c>
      <c r="AF56" s="130" t="e">
        <f t="shared" ca="1" si="6"/>
        <v>#N/A</v>
      </c>
      <c r="XN56" s="79"/>
    </row>
    <row r="57" spans="1:638" ht="15" customHeight="1" x14ac:dyDescent="0.25">
      <c r="A57" s="51">
        <f t="shared" si="0"/>
        <v>42922</v>
      </c>
      <c r="B57" s="52">
        <f>IF(C58&lt;Charts!$H$3,0,IF(DATE(YEAR(Charts!$H$3),MONTH(Charts!$H$3),DAY(Charts!$H$3))=DATE(YEAR(C58), MONTH(C58),DAY(C58)),0,TEXT(C57,"m/d/yy")&amp;"-"&amp;TEXT(C57+6,"m/d/yy")))</f>
        <v>0</v>
      </c>
      <c r="C57" s="53">
        <f>IF(Controls!$J$24="Monthly",DATE(YEAR(C58),MONTH(C58)-1,1),C58-Controls!$I$24)</f>
        <v>42922</v>
      </c>
      <c r="D57" s="54">
        <f t="shared" si="1"/>
        <v>42922</v>
      </c>
      <c r="E57" s="64"/>
      <c r="F57" s="96">
        <f>COUNTIFS(Media!C:C, "&gt;="&amp;$C57, Media!C:C, "&lt;"&amp;$C58, Media!G:G,"image")</f>
        <v>0</v>
      </c>
      <c r="G57" s="97">
        <f>COUNTIFS(Media!C:C, "&gt;="&amp;$C57, Media!C:C, "&lt;"&amp;$C58, Media!G:G,"video")</f>
        <v>0</v>
      </c>
      <c r="H57" s="251">
        <f>COUNTIFS(Media!C:C, "&gt;="&amp;$C57, Media!C:C, "&lt;"&amp;$C58, Media!G:G,"carousel")</f>
        <v>0</v>
      </c>
      <c r="I57" s="97">
        <f t="shared" si="2"/>
        <v>0</v>
      </c>
      <c r="J57" s="64"/>
      <c r="K57" s="97">
        <f>SUMIFS(Media!K:K, Media!$C:$C, "&gt;="&amp;$C57, Media!$C:$C, "&lt;"&amp;$C58)</f>
        <v>0</v>
      </c>
      <c r="L57" s="97">
        <f>SUMIFS(Media!J:J, Media!$C:$C, "&gt;="&amp;$C57, Media!$C:$C, "&lt;"&amp;$C58)</f>
        <v>0</v>
      </c>
      <c r="M57" s="97">
        <f t="shared" si="3"/>
        <v>0</v>
      </c>
      <c r="N57" s="64"/>
      <c r="O57" s="99">
        <f>SUMIFS(Media!M:M, Media!$C:$C, "&gt;="&amp;$C57, Media!$C:$C, "&lt;"&amp;$C58)</f>
        <v>0</v>
      </c>
      <c r="P57" s="64"/>
      <c r="Q57" s="98">
        <f>SUMIFS(Media!Q:Q, Media!$C:$C, "&gt;="&amp;$C57, Media!$C:$C, "&lt;"&amp;$C58)</f>
        <v>0</v>
      </c>
      <c r="R57" s="64"/>
      <c r="S57" s="100">
        <f>SUMIFS(Media!H:H, Media!$C:$C, "&gt;="&amp;$C57, Media!$C:$C, "&lt;"&amp;$C58)</f>
        <v>0</v>
      </c>
      <c r="T57" s="64"/>
      <c r="U57" s="100">
        <f t="shared" si="7"/>
        <v>55</v>
      </c>
      <c r="V57" s="64"/>
      <c r="W57" s="130" t="e">
        <f ca="1">IF($C57=Calculations!$C$53, I57, NA())</f>
        <v>#N/A</v>
      </c>
      <c r="X57" s="103" t="e">
        <f t="shared" ca="1" si="4"/>
        <v>#N/A</v>
      </c>
      <c r="Y57" s="64"/>
      <c r="Z57" s="130" t="e">
        <f ca="1">IF($C57=Calculations!$E$85, M57, NA())</f>
        <v>#N/A</v>
      </c>
      <c r="AA57" s="130" t="e">
        <f ca="1">IF($C57=Calculations!$E$86, M57, NA())</f>
        <v>#N/A</v>
      </c>
      <c r="AB57" s="130" t="e">
        <f ca="1">IF($C57=Calculations!$E$87, M57, NA())</f>
        <v>#N/A</v>
      </c>
      <c r="AC57" s="130" t="e">
        <f t="shared" ca="1" si="5"/>
        <v>#N/A</v>
      </c>
      <c r="AD57" s="64"/>
      <c r="AE57" s="130" t="e">
        <f ca="1">IF($C57=Calculations!$C$142,Tables!S57, NA())</f>
        <v>#N/A</v>
      </c>
      <c r="AF57" s="130" t="e">
        <f t="shared" ca="1" si="6"/>
        <v>#N/A</v>
      </c>
      <c r="XN57" s="79"/>
    </row>
    <row r="58" spans="1:638" ht="15" customHeight="1" x14ac:dyDescent="0.25">
      <c r="A58" s="51">
        <f t="shared" si="0"/>
        <v>42923</v>
      </c>
      <c r="B58" s="52">
        <f>IF(C59&lt;Charts!$H$3,0,IF(DATE(YEAR(Charts!$H$3),MONTH(Charts!$H$3),DAY(Charts!$H$3))=DATE(YEAR(C59), MONTH(C59),DAY(C59)),0,TEXT(C58,"m/d/yy")&amp;"-"&amp;TEXT(C58+6,"m/d/yy")))</f>
        <v>0</v>
      </c>
      <c r="C58" s="53">
        <f>IF(Controls!$J$24="Monthly",DATE(YEAR(C59),MONTH(C59)-1,1),C59-Controls!$I$24)</f>
        <v>42923</v>
      </c>
      <c r="D58" s="54">
        <f t="shared" si="1"/>
        <v>42923</v>
      </c>
      <c r="E58" s="64"/>
      <c r="F58" s="96">
        <f>COUNTIFS(Media!C:C, "&gt;="&amp;$C58, Media!C:C, "&lt;"&amp;$C59, Media!G:G,"image")</f>
        <v>0</v>
      </c>
      <c r="G58" s="97">
        <f>COUNTIFS(Media!C:C, "&gt;="&amp;$C58, Media!C:C, "&lt;"&amp;$C59, Media!G:G,"video")</f>
        <v>0</v>
      </c>
      <c r="H58" s="251">
        <f>COUNTIFS(Media!C:C, "&gt;="&amp;$C58, Media!C:C, "&lt;"&amp;$C59, Media!G:G,"carousel")</f>
        <v>0</v>
      </c>
      <c r="I58" s="97">
        <f t="shared" si="2"/>
        <v>0</v>
      </c>
      <c r="J58" s="64"/>
      <c r="K58" s="97">
        <f>SUMIFS(Media!K:K, Media!$C:$C, "&gt;="&amp;$C58, Media!$C:$C, "&lt;"&amp;$C59)</f>
        <v>0</v>
      </c>
      <c r="L58" s="97">
        <f>SUMIFS(Media!J:J, Media!$C:$C, "&gt;="&amp;$C58, Media!$C:$C, "&lt;"&amp;$C59)</f>
        <v>0</v>
      </c>
      <c r="M58" s="97">
        <f t="shared" si="3"/>
        <v>0</v>
      </c>
      <c r="N58" s="64"/>
      <c r="O58" s="99">
        <f>SUMIFS(Media!M:M, Media!$C:$C, "&gt;="&amp;$C58, Media!$C:$C, "&lt;"&amp;$C59)</f>
        <v>0</v>
      </c>
      <c r="P58" s="64"/>
      <c r="Q58" s="98">
        <f>SUMIFS(Media!Q:Q, Media!$C:$C, "&gt;="&amp;$C58, Media!$C:$C, "&lt;"&amp;$C59)</f>
        <v>0</v>
      </c>
      <c r="R58" s="64"/>
      <c r="S58" s="100">
        <f>SUMIFS(Media!H:H, Media!$C:$C, "&gt;="&amp;$C58, Media!$C:$C, "&lt;"&amp;$C59)</f>
        <v>0</v>
      </c>
      <c r="T58" s="64"/>
      <c r="U58" s="100">
        <f t="shared" si="7"/>
        <v>56</v>
      </c>
      <c r="V58" s="64"/>
      <c r="W58" s="130" t="e">
        <f ca="1">IF($C58=Calculations!$C$53, I58, NA())</f>
        <v>#N/A</v>
      </c>
      <c r="X58" s="103" t="e">
        <f t="shared" ca="1" si="4"/>
        <v>#N/A</v>
      </c>
      <c r="Y58" s="64"/>
      <c r="Z58" s="130" t="e">
        <f ca="1">IF($C58=Calculations!$E$85, M58, NA())</f>
        <v>#N/A</v>
      </c>
      <c r="AA58" s="130" t="e">
        <f ca="1">IF($C58=Calculations!$E$86, M58, NA())</f>
        <v>#N/A</v>
      </c>
      <c r="AB58" s="130" t="e">
        <f ca="1">IF($C58=Calculations!$E$87, M58, NA())</f>
        <v>#N/A</v>
      </c>
      <c r="AC58" s="130" t="e">
        <f t="shared" ca="1" si="5"/>
        <v>#N/A</v>
      </c>
      <c r="AD58" s="64"/>
      <c r="AE58" s="130" t="e">
        <f ca="1">IF($C58=Calculations!$C$142,Tables!S58, NA())</f>
        <v>#N/A</v>
      </c>
      <c r="AF58" s="130" t="e">
        <f t="shared" ca="1" si="6"/>
        <v>#N/A</v>
      </c>
      <c r="XN58" s="79"/>
    </row>
    <row r="59" spans="1:638" ht="15" customHeight="1" x14ac:dyDescent="0.25">
      <c r="A59" s="51">
        <f t="shared" si="0"/>
        <v>42924</v>
      </c>
      <c r="B59" s="52">
        <f>IF(C60&lt;Charts!$H$3,0,IF(DATE(YEAR(Charts!$H$3),MONTH(Charts!$H$3),DAY(Charts!$H$3))=DATE(YEAR(C60), MONTH(C60),DAY(C60)),0,TEXT(C59,"m/d/yy")&amp;"-"&amp;TEXT(C59+6,"m/d/yy")))</f>
        <v>0</v>
      </c>
      <c r="C59" s="53">
        <f>IF(Controls!$J$24="Monthly",DATE(YEAR(C60),MONTH(C60)-1,1),C60-Controls!$I$24)</f>
        <v>42924</v>
      </c>
      <c r="D59" s="54">
        <f t="shared" si="1"/>
        <v>42924</v>
      </c>
      <c r="E59" s="64"/>
      <c r="F59" s="96">
        <f>COUNTIFS(Media!C:C, "&gt;="&amp;$C59, Media!C:C, "&lt;"&amp;$C60, Media!G:G,"image")</f>
        <v>0</v>
      </c>
      <c r="G59" s="97">
        <f>COUNTIFS(Media!C:C, "&gt;="&amp;$C59, Media!C:C, "&lt;"&amp;$C60, Media!G:G,"video")</f>
        <v>0</v>
      </c>
      <c r="H59" s="251">
        <f>COUNTIFS(Media!C:C, "&gt;="&amp;$C59, Media!C:C, "&lt;"&amp;$C60, Media!G:G,"carousel")</f>
        <v>0</v>
      </c>
      <c r="I59" s="97">
        <f t="shared" si="2"/>
        <v>0</v>
      </c>
      <c r="J59" s="64"/>
      <c r="K59" s="97">
        <f>SUMIFS(Media!K:K, Media!$C:$C, "&gt;="&amp;$C59, Media!$C:$C, "&lt;"&amp;$C60)</f>
        <v>0</v>
      </c>
      <c r="L59" s="97">
        <f>SUMIFS(Media!J:J, Media!$C:$C, "&gt;="&amp;$C59, Media!$C:$C, "&lt;"&amp;$C60)</f>
        <v>0</v>
      </c>
      <c r="M59" s="97">
        <f t="shared" si="3"/>
        <v>0</v>
      </c>
      <c r="N59" s="64"/>
      <c r="O59" s="99">
        <f>SUMIFS(Media!M:M, Media!$C:$C, "&gt;="&amp;$C59, Media!$C:$C, "&lt;"&amp;$C60)</f>
        <v>0</v>
      </c>
      <c r="P59" s="64"/>
      <c r="Q59" s="98">
        <f>SUMIFS(Media!Q:Q, Media!$C:$C, "&gt;="&amp;$C59, Media!$C:$C, "&lt;"&amp;$C60)</f>
        <v>0</v>
      </c>
      <c r="R59" s="64"/>
      <c r="S59" s="100">
        <f>SUMIFS(Media!H:H, Media!$C:$C, "&gt;="&amp;$C59, Media!$C:$C, "&lt;"&amp;$C60)</f>
        <v>0</v>
      </c>
      <c r="T59" s="64"/>
      <c r="U59" s="100">
        <f t="shared" si="7"/>
        <v>57</v>
      </c>
      <c r="V59" s="64"/>
      <c r="W59" s="130" t="e">
        <f ca="1">IF($C59=Calculations!$C$53, I59, NA())</f>
        <v>#N/A</v>
      </c>
      <c r="X59" s="103" t="e">
        <f t="shared" ca="1" si="4"/>
        <v>#N/A</v>
      </c>
      <c r="Y59" s="64"/>
      <c r="Z59" s="130" t="e">
        <f ca="1">IF($C59=Calculations!$E$85, M59, NA())</f>
        <v>#N/A</v>
      </c>
      <c r="AA59" s="130" t="e">
        <f ca="1">IF($C59=Calculations!$E$86, M59, NA())</f>
        <v>#N/A</v>
      </c>
      <c r="AB59" s="130" t="e">
        <f ca="1">IF($C59=Calculations!$E$87, M59, NA())</f>
        <v>#N/A</v>
      </c>
      <c r="AC59" s="130" t="e">
        <f t="shared" ca="1" si="5"/>
        <v>#N/A</v>
      </c>
      <c r="AD59" s="64"/>
      <c r="AE59" s="130" t="e">
        <f ca="1">IF($C59=Calculations!$C$142,Tables!S59, NA())</f>
        <v>#N/A</v>
      </c>
      <c r="AF59" s="130" t="e">
        <f t="shared" ca="1" si="6"/>
        <v>#N/A</v>
      </c>
      <c r="XN59" s="79"/>
    </row>
    <row r="60" spans="1:638" ht="15" customHeight="1" x14ac:dyDescent="0.25">
      <c r="A60" s="51">
        <f t="shared" si="0"/>
        <v>42925</v>
      </c>
      <c r="B60" s="52">
        <f>IF(C61&lt;Charts!$H$3,0,IF(DATE(YEAR(Charts!$H$3),MONTH(Charts!$H$3),DAY(Charts!$H$3))=DATE(YEAR(C61), MONTH(C61),DAY(C61)),0,TEXT(C60,"m/d/yy")&amp;"-"&amp;TEXT(C60+6,"m/d/yy")))</f>
        <v>0</v>
      </c>
      <c r="C60" s="53">
        <f>IF(Controls!$J$24="Monthly",DATE(YEAR(C61),MONTH(C61)-1,1),C61-Controls!$I$24)</f>
        <v>42925</v>
      </c>
      <c r="D60" s="54">
        <f t="shared" si="1"/>
        <v>42925</v>
      </c>
      <c r="E60" s="64"/>
      <c r="F60" s="96">
        <f>COUNTIFS(Media!C:C, "&gt;="&amp;$C60, Media!C:C, "&lt;"&amp;$C61, Media!G:G,"image")</f>
        <v>0</v>
      </c>
      <c r="G60" s="97">
        <f>COUNTIFS(Media!C:C, "&gt;="&amp;$C60, Media!C:C, "&lt;"&amp;$C61, Media!G:G,"video")</f>
        <v>0</v>
      </c>
      <c r="H60" s="251">
        <f>COUNTIFS(Media!C:C, "&gt;="&amp;$C60, Media!C:C, "&lt;"&amp;$C61, Media!G:G,"carousel")</f>
        <v>0</v>
      </c>
      <c r="I60" s="97">
        <f t="shared" si="2"/>
        <v>0</v>
      </c>
      <c r="J60" s="64"/>
      <c r="K60" s="97">
        <f>SUMIFS(Media!K:K, Media!$C:$C, "&gt;="&amp;$C60, Media!$C:$C, "&lt;"&amp;$C61)</f>
        <v>0</v>
      </c>
      <c r="L60" s="97">
        <f>SUMIFS(Media!J:J, Media!$C:$C, "&gt;="&amp;$C60, Media!$C:$C, "&lt;"&amp;$C61)</f>
        <v>0</v>
      </c>
      <c r="M60" s="97">
        <f t="shared" si="3"/>
        <v>0</v>
      </c>
      <c r="N60" s="64"/>
      <c r="O60" s="99">
        <f>SUMIFS(Media!M:M, Media!$C:$C, "&gt;="&amp;$C60, Media!$C:$C, "&lt;"&amp;$C61)</f>
        <v>0</v>
      </c>
      <c r="P60" s="64"/>
      <c r="Q60" s="98">
        <f>SUMIFS(Media!Q:Q, Media!$C:$C, "&gt;="&amp;$C60, Media!$C:$C, "&lt;"&amp;$C61)</f>
        <v>0</v>
      </c>
      <c r="R60" s="64"/>
      <c r="S60" s="100">
        <f>SUMIFS(Media!H:H, Media!$C:$C, "&gt;="&amp;$C60, Media!$C:$C, "&lt;"&amp;$C61)</f>
        <v>0</v>
      </c>
      <c r="T60" s="64"/>
      <c r="U60" s="100">
        <f t="shared" si="7"/>
        <v>58</v>
      </c>
      <c r="V60" s="64"/>
      <c r="W60" s="130" t="e">
        <f ca="1">IF($C60=Calculations!$C$53, I60, NA())</f>
        <v>#N/A</v>
      </c>
      <c r="X60" s="103" t="e">
        <f t="shared" ca="1" si="4"/>
        <v>#N/A</v>
      </c>
      <c r="Y60" s="64"/>
      <c r="Z60" s="130" t="e">
        <f ca="1">IF($C60=Calculations!$E$85, M60, NA())</f>
        <v>#N/A</v>
      </c>
      <c r="AA60" s="130" t="e">
        <f ca="1">IF($C60=Calculations!$E$86, M60, NA())</f>
        <v>#N/A</v>
      </c>
      <c r="AB60" s="130" t="e">
        <f ca="1">IF($C60=Calculations!$E$87, M60, NA())</f>
        <v>#N/A</v>
      </c>
      <c r="AC60" s="130" t="e">
        <f t="shared" ca="1" si="5"/>
        <v>#N/A</v>
      </c>
      <c r="AD60" s="64"/>
      <c r="AE60" s="130" t="e">
        <f ca="1">IF($C60=Calculations!$C$142,Tables!S60, NA())</f>
        <v>#N/A</v>
      </c>
      <c r="AF60" s="130" t="e">
        <f t="shared" ca="1" si="6"/>
        <v>#N/A</v>
      </c>
      <c r="XN60" s="79"/>
    </row>
    <row r="61" spans="1:638" ht="15" customHeight="1" x14ac:dyDescent="0.25">
      <c r="A61" s="51">
        <f t="shared" si="0"/>
        <v>42926</v>
      </c>
      <c r="B61" s="52">
        <f>IF(C62&lt;Charts!$H$3,0,IF(DATE(YEAR(Charts!$H$3),MONTH(Charts!$H$3),DAY(Charts!$H$3))=DATE(YEAR(C62), MONTH(C62),DAY(C62)),0,TEXT(C61,"m/d/yy")&amp;"-"&amp;TEXT(C61+6,"m/d/yy")))</f>
        <v>0</v>
      </c>
      <c r="C61" s="53">
        <f>IF(Controls!$J$24="Monthly",DATE(YEAR(C62),MONTH(C62)-1,1),C62-Controls!$I$24)</f>
        <v>42926</v>
      </c>
      <c r="D61" s="54">
        <f t="shared" si="1"/>
        <v>42926</v>
      </c>
      <c r="E61" s="64"/>
      <c r="F61" s="96">
        <f>COUNTIFS(Media!C:C, "&gt;="&amp;$C61, Media!C:C, "&lt;"&amp;$C62, Media!G:G,"image")</f>
        <v>0</v>
      </c>
      <c r="G61" s="97">
        <f>COUNTIFS(Media!C:C, "&gt;="&amp;$C61, Media!C:C, "&lt;"&amp;$C62, Media!G:G,"video")</f>
        <v>0</v>
      </c>
      <c r="H61" s="251">
        <f>COUNTIFS(Media!C:C, "&gt;="&amp;$C61, Media!C:C, "&lt;"&amp;$C62, Media!G:G,"carousel")</f>
        <v>0</v>
      </c>
      <c r="I61" s="97">
        <f t="shared" si="2"/>
        <v>0</v>
      </c>
      <c r="J61" s="64"/>
      <c r="K61" s="97">
        <f>SUMIFS(Media!K:K, Media!$C:$C, "&gt;="&amp;$C61, Media!$C:$C, "&lt;"&amp;$C62)</f>
        <v>0</v>
      </c>
      <c r="L61" s="97">
        <f>SUMIFS(Media!J:J, Media!$C:$C, "&gt;="&amp;$C61, Media!$C:$C, "&lt;"&amp;$C62)</f>
        <v>0</v>
      </c>
      <c r="M61" s="97">
        <f t="shared" si="3"/>
        <v>0</v>
      </c>
      <c r="N61" s="64"/>
      <c r="O61" s="99">
        <f>SUMIFS(Media!M:M, Media!$C:$C, "&gt;="&amp;$C61, Media!$C:$C, "&lt;"&amp;$C62)</f>
        <v>0</v>
      </c>
      <c r="P61" s="64"/>
      <c r="Q61" s="98">
        <f>SUMIFS(Media!Q:Q, Media!$C:$C, "&gt;="&amp;$C61, Media!$C:$C, "&lt;"&amp;$C62)</f>
        <v>0</v>
      </c>
      <c r="R61" s="64"/>
      <c r="S61" s="100">
        <f>SUMIFS(Media!H:H, Media!$C:$C, "&gt;="&amp;$C61, Media!$C:$C, "&lt;"&amp;$C62)</f>
        <v>0</v>
      </c>
      <c r="T61" s="64"/>
      <c r="U61" s="100">
        <f t="shared" si="7"/>
        <v>59</v>
      </c>
      <c r="V61" s="64"/>
      <c r="W61" s="130" t="e">
        <f ca="1">IF($C61=Calculations!$C$53, I61, NA())</f>
        <v>#N/A</v>
      </c>
      <c r="X61" s="103" t="e">
        <f t="shared" ca="1" si="4"/>
        <v>#N/A</v>
      </c>
      <c r="Y61" s="64"/>
      <c r="Z61" s="130" t="e">
        <f ca="1">IF($C61=Calculations!$E$85, M61, NA())</f>
        <v>#N/A</v>
      </c>
      <c r="AA61" s="130" t="e">
        <f ca="1">IF($C61=Calculations!$E$86, M61, NA())</f>
        <v>#N/A</v>
      </c>
      <c r="AB61" s="130" t="e">
        <f ca="1">IF($C61=Calculations!$E$87, M61, NA())</f>
        <v>#N/A</v>
      </c>
      <c r="AC61" s="130" t="e">
        <f t="shared" ca="1" si="5"/>
        <v>#N/A</v>
      </c>
      <c r="AD61" s="64"/>
      <c r="AE61" s="130" t="e">
        <f ca="1">IF($C61=Calculations!$C$142,Tables!S61, NA())</f>
        <v>#N/A</v>
      </c>
      <c r="AF61" s="130" t="e">
        <f t="shared" ca="1" si="6"/>
        <v>#N/A</v>
      </c>
      <c r="XN61" s="79"/>
    </row>
    <row r="62" spans="1:638" ht="15" customHeight="1" x14ac:dyDescent="0.25">
      <c r="A62" s="51">
        <f t="shared" si="0"/>
        <v>42927</v>
      </c>
      <c r="B62" s="52">
        <f>IF(C63&lt;Charts!$H$3,0,IF(DATE(YEAR(Charts!$H$3),MONTH(Charts!$H$3),DAY(Charts!$H$3))=DATE(YEAR(C63), MONTH(C63),DAY(C63)),0,TEXT(C62,"m/d/yy")&amp;"-"&amp;TEXT(C62+6,"m/d/yy")))</f>
        <v>0</v>
      </c>
      <c r="C62" s="53">
        <f>IF(Controls!$J$24="Monthly",DATE(YEAR(C63),MONTH(C63)-1,1),C63-Controls!$I$24)</f>
        <v>42927</v>
      </c>
      <c r="D62" s="54">
        <f t="shared" si="1"/>
        <v>42927</v>
      </c>
      <c r="E62" s="64"/>
      <c r="F62" s="96">
        <f>COUNTIFS(Media!C:C, "&gt;="&amp;$C62, Media!C:C, "&lt;"&amp;$C63, Media!G:G,"image")</f>
        <v>0</v>
      </c>
      <c r="G62" s="97">
        <f>COUNTIFS(Media!C:C, "&gt;="&amp;$C62, Media!C:C, "&lt;"&amp;$C63, Media!G:G,"video")</f>
        <v>0</v>
      </c>
      <c r="H62" s="251">
        <f>COUNTIFS(Media!C:C, "&gt;="&amp;$C62, Media!C:C, "&lt;"&amp;$C63, Media!G:G,"carousel")</f>
        <v>0</v>
      </c>
      <c r="I62" s="97">
        <f t="shared" si="2"/>
        <v>0</v>
      </c>
      <c r="J62" s="64"/>
      <c r="K62" s="97">
        <f>SUMIFS(Media!K:K, Media!$C:$C, "&gt;="&amp;$C62, Media!$C:$C, "&lt;"&amp;$C63)</f>
        <v>0</v>
      </c>
      <c r="L62" s="97">
        <f>SUMIFS(Media!J:J, Media!$C:$C, "&gt;="&amp;$C62, Media!$C:$C, "&lt;"&amp;$C63)</f>
        <v>0</v>
      </c>
      <c r="M62" s="97">
        <f t="shared" si="3"/>
        <v>0</v>
      </c>
      <c r="N62" s="64"/>
      <c r="O62" s="99">
        <f>SUMIFS(Media!M:M, Media!$C:$C, "&gt;="&amp;$C62, Media!$C:$C, "&lt;"&amp;$C63)</f>
        <v>0</v>
      </c>
      <c r="P62" s="64"/>
      <c r="Q62" s="98">
        <f>SUMIFS(Media!Q:Q, Media!$C:$C, "&gt;="&amp;$C62, Media!$C:$C, "&lt;"&amp;$C63)</f>
        <v>0</v>
      </c>
      <c r="R62" s="64"/>
      <c r="S62" s="100">
        <f>SUMIFS(Media!H:H, Media!$C:$C, "&gt;="&amp;$C62, Media!$C:$C, "&lt;"&amp;$C63)</f>
        <v>0</v>
      </c>
      <c r="T62" s="64"/>
      <c r="U62" s="100">
        <f t="shared" si="7"/>
        <v>60</v>
      </c>
      <c r="V62" s="64"/>
      <c r="W62" s="130" t="e">
        <f ca="1">IF($C62=Calculations!$C$53, I62, NA())</f>
        <v>#N/A</v>
      </c>
      <c r="X62" s="103" t="e">
        <f t="shared" ca="1" si="4"/>
        <v>#N/A</v>
      </c>
      <c r="Y62" s="64"/>
      <c r="Z62" s="130" t="e">
        <f ca="1">IF($C62=Calculations!$E$85, M62, NA())</f>
        <v>#N/A</v>
      </c>
      <c r="AA62" s="130" t="e">
        <f ca="1">IF($C62=Calculations!$E$86, M62, NA())</f>
        <v>#N/A</v>
      </c>
      <c r="AB62" s="130" t="e">
        <f ca="1">IF($C62=Calculations!$E$87, M62, NA())</f>
        <v>#N/A</v>
      </c>
      <c r="AC62" s="130" t="e">
        <f t="shared" ca="1" si="5"/>
        <v>#N/A</v>
      </c>
      <c r="AD62" s="64"/>
      <c r="AE62" s="130" t="e">
        <f ca="1">IF($C62=Calculations!$C$142,Tables!S62, NA())</f>
        <v>#N/A</v>
      </c>
      <c r="AF62" s="130" t="e">
        <f t="shared" ca="1" si="6"/>
        <v>#N/A</v>
      </c>
      <c r="XN62" s="79"/>
    </row>
    <row r="63" spans="1:638" ht="15" customHeight="1" x14ac:dyDescent="0.25">
      <c r="A63" s="51">
        <f t="shared" ref="A63:A120" si="8">C63</f>
        <v>42928</v>
      </c>
      <c r="B63" s="52">
        <f>IF(C64&lt;Charts!$H$3,0,IF(DATE(YEAR(Charts!$H$3),MONTH(Charts!$H$3),DAY(Charts!$H$3))=DATE(YEAR(C64), MONTH(C64),DAY(C64)),0,TEXT(C63,"m/d/yy")&amp;"-"&amp;TEXT(C63+6,"m/d/yy")))</f>
        <v>0</v>
      </c>
      <c r="C63" s="53">
        <f>IF(Controls!$J$24="Monthly",DATE(YEAR(C64),MONTH(C64)-1,1),C64-Controls!$I$24)</f>
        <v>42928</v>
      </c>
      <c r="D63" s="54">
        <f t="shared" ref="D63:D120" si="9">C63</f>
        <v>42928</v>
      </c>
      <c r="E63" s="64"/>
      <c r="F63" s="96">
        <f>COUNTIFS(Media!C:C, "&gt;="&amp;$C63, Media!C:C, "&lt;"&amp;$C64, Media!G:G,"image")</f>
        <v>0</v>
      </c>
      <c r="G63" s="97">
        <f>COUNTIFS(Media!C:C, "&gt;="&amp;$C63, Media!C:C, "&lt;"&amp;$C64, Media!G:G,"video")</f>
        <v>0</v>
      </c>
      <c r="H63" s="251">
        <f>COUNTIFS(Media!C:C, "&gt;="&amp;$C63, Media!C:C, "&lt;"&amp;$C64, Media!G:G,"carousel")</f>
        <v>0</v>
      </c>
      <c r="I63" s="97">
        <f t="shared" si="2"/>
        <v>0</v>
      </c>
      <c r="J63" s="64"/>
      <c r="K63" s="97">
        <f>SUMIFS(Media!K:K, Media!$C:$C, "&gt;="&amp;$C63, Media!$C:$C, "&lt;"&amp;$C64)</f>
        <v>0</v>
      </c>
      <c r="L63" s="97">
        <f>SUMIFS(Media!J:J, Media!$C:$C, "&gt;="&amp;$C63, Media!$C:$C, "&lt;"&amp;$C64)</f>
        <v>0</v>
      </c>
      <c r="M63" s="97">
        <f t="shared" si="3"/>
        <v>0</v>
      </c>
      <c r="N63" s="64"/>
      <c r="O63" s="99">
        <f>SUMIFS(Media!M:M, Media!$C:$C, "&gt;="&amp;$C63, Media!$C:$C, "&lt;"&amp;$C64)</f>
        <v>0</v>
      </c>
      <c r="P63" s="64"/>
      <c r="Q63" s="98">
        <f>SUMIFS(Media!Q:Q, Media!$C:$C, "&gt;="&amp;$C63, Media!$C:$C, "&lt;"&amp;$C64)</f>
        <v>0</v>
      </c>
      <c r="R63" s="64"/>
      <c r="S63" s="100">
        <f>SUMIFS(Media!H:H, Media!$C:$C, "&gt;="&amp;$C63, Media!$C:$C, "&lt;"&amp;$C64)</f>
        <v>0</v>
      </c>
      <c r="T63" s="64"/>
      <c r="U63" s="100">
        <f t="shared" si="7"/>
        <v>61</v>
      </c>
      <c r="V63" s="64"/>
      <c r="W63" s="130" t="e">
        <f ca="1">IF($C63=Calculations!$C$53, I63, NA())</f>
        <v>#N/A</v>
      </c>
      <c r="X63" s="103" t="e">
        <f t="shared" ca="1" si="4"/>
        <v>#N/A</v>
      </c>
      <c r="Y63" s="64"/>
      <c r="Z63" s="130" t="e">
        <f ca="1">IF($C63=Calculations!$E$85, M63, NA())</f>
        <v>#N/A</v>
      </c>
      <c r="AA63" s="130" t="e">
        <f ca="1">IF($C63=Calculations!$E$86, M63, NA())</f>
        <v>#N/A</v>
      </c>
      <c r="AB63" s="130" t="e">
        <f ca="1">IF($C63=Calculations!$E$87, M63, NA())</f>
        <v>#N/A</v>
      </c>
      <c r="AC63" s="130" t="e">
        <f t="shared" ca="1" si="5"/>
        <v>#N/A</v>
      </c>
      <c r="AD63" s="64"/>
      <c r="AE63" s="130" t="e">
        <f ca="1">IF($C63=Calculations!$C$142,Tables!S63, NA())</f>
        <v>#N/A</v>
      </c>
      <c r="AF63" s="130" t="e">
        <f t="shared" ca="1" si="6"/>
        <v>#N/A</v>
      </c>
      <c r="XN63" s="79"/>
    </row>
    <row r="64" spans="1:638" ht="15" customHeight="1" x14ac:dyDescent="0.25">
      <c r="A64" s="51">
        <f t="shared" si="8"/>
        <v>42929</v>
      </c>
      <c r="B64" s="52">
        <f>IF(C65&lt;Charts!$H$3,0,IF(DATE(YEAR(Charts!$H$3),MONTH(Charts!$H$3),DAY(Charts!$H$3))=DATE(YEAR(C65), MONTH(C65),DAY(C65)),0,TEXT(C64,"m/d/yy")&amp;"-"&amp;TEXT(C64+6,"m/d/yy")))</f>
        <v>0</v>
      </c>
      <c r="C64" s="53">
        <f>IF(Controls!$J$24="Monthly",DATE(YEAR(C65),MONTH(C65)-1,1),C65-Controls!$I$24)</f>
        <v>42929</v>
      </c>
      <c r="D64" s="54">
        <f t="shared" si="9"/>
        <v>42929</v>
      </c>
      <c r="E64" s="64"/>
      <c r="F64" s="96">
        <f>COUNTIFS(Media!C:C, "&gt;="&amp;$C64, Media!C:C, "&lt;"&amp;$C65, Media!G:G,"image")</f>
        <v>0</v>
      </c>
      <c r="G64" s="97">
        <f>COUNTIFS(Media!C:C, "&gt;="&amp;$C64, Media!C:C, "&lt;"&amp;$C65, Media!G:G,"video")</f>
        <v>0</v>
      </c>
      <c r="H64" s="251">
        <f>COUNTIFS(Media!C:C, "&gt;="&amp;$C64, Media!C:C, "&lt;"&amp;$C65, Media!G:G,"carousel")</f>
        <v>0</v>
      </c>
      <c r="I64" s="97">
        <f t="shared" si="2"/>
        <v>0</v>
      </c>
      <c r="J64" s="64"/>
      <c r="K64" s="97">
        <f>SUMIFS(Media!K:K, Media!$C:$C, "&gt;="&amp;$C64, Media!$C:$C, "&lt;"&amp;$C65)</f>
        <v>0</v>
      </c>
      <c r="L64" s="97">
        <f>SUMIFS(Media!J:J, Media!$C:$C, "&gt;="&amp;$C64, Media!$C:$C, "&lt;"&amp;$C65)</f>
        <v>0</v>
      </c>
      <c r="M64" s="97">
        <f t="shared" si="3"/>
        <v>0</v>
      </c>
      <c r="N64" s="64"/>
      <c r="O64" s="99">
        <f>SUMIFS(Media!M:M, Media!$C:$C, "&gt;="&amp;$C64, Media!$C:$C, "&lt;"&amp;$C65)</f>
        <v>0</v>
      </c>
      <c r="P64" s="64"/>
      <c r="Q64" s="98">
        <f>SUMIFS(Media!Q:Q, Media!$C:$C, "&gt;="&amp;$C64, Media!$C:$C, "&lt;"&amp;$C65)</f>
        <v>0</v>
      </c>
      <c r="R64" s="64"/>
      <c r="S64" s="100">
        <f>SUMIFS(Media!H:H, Media!$C:$C, "&gt;="&amp;$C64, Media!$C:$C, "&lt;"&amp;$C65)</f>
        <v>0</v>
      </c>
      <c r="T64" s="64"/>
      <c r="U64" s="100">
        <f t="shared" si="7"/>
        <v>62</v>
      </c>
      <c r="V64" s="64"/>
      <c r="W64" s="130" t="e">
        <f ca="1">IF($C64=Calculations!$C$53, I64, NA())</f>
        <v>#N/A</v>
      </c>
      <c r="X64" s="103" t="e">
        <f t="shared" ca="1" si="4"/>
        <v>#N/A</v>
      </c>
      <c r="Y64" s="64"/>
      <c r="Z64" s="130" t="e">
        <f ca="1">IF($C64=Calculations!$E$85, M64, NA())</f>
        <v>#N/A</v>
      </c>
      <c r="AA64" s="130" t="e">
        <f ca="1">IF($C64=Calculations!$E$86, M64, NA())</f>
        <v>#N/A</v>
      </c>
      <c r="AB64" s="130" t="e">
        <f ca="1">IF($C64=Calculations!$E$87, M64, NA())</f>
        <v>#N/A</v>
      </c>
      <c r="AC64" s="130" t="e">
        <f t="shared" ca="1" si="5"/>
        <v>#N/A</v>
      </c>
      <c r="AD64" s="64"/>
      <c r="AE64" s="130" t="e">
        <f ca="1">IF($C64=Calculations!$C$142,Tables!S64, NA())</f>
        <v>#N/A</v>
      </c>
      <c r="AF64" s="130" t="e">
        <f t="shared" ca="1" si="6"/>
        <v>#N/A</v>
      </c>
      <c r="XN64" s="79"/>
    </row>
    <row r="65" spans="1:638" ht="15" customHeight="1" x14ac:dyDescent="0.25">
      <c r="A65" s="51">
        <f t="shared" si="8"/>
        <v>42930</v>
      </c>
      <c r="B65" s="52">
        <f>IF(C66&lt;Charts!$H$3,0,IF(DATE(YEAR(Charts!$H$3),MONTH(Charts!$H$3),DAY(Charts!$H$3))=DATE(YEAR(C66), MONTH(C66),DAY(C66)),0,TEXT(C65,"m/d/yy")&amp;"-"&amp;TEXT(C65+6,"m/d/yy")))</f>
        <v>0</v>
      </c>
      <c r="C65" s="53">
        <f>IF(Controls!$J$24="Monthly",DATE(YEAR(C66),MONTH(C66)-1,1),C66-Controls!$I$24)</f>
        <v>42930</v>
      </c>
      <c r="D65" s="54">
        <f t="shared" si="9"/>
        <v>42930</v>
      </c>
      <c r="E65" s="64"/>
      <c r="F65" s="96">
        <f>COUNTIFS(Media!C:C, "&gt;="&amp;$C65, Media!C:C, "&lt;"&amp;$C66, Media!G:G,"image")</f>
        <v>0</v>
      </c>
      <c r="G65" s="97">
        <f>COUNTIFS(Media!C:C, "&gt;="&amp;$C65, Media!C:C, "&lt;"&amp;$C66, Media!G:G,"video")</f>
        <v>0</v>
      </c>
      <c r="H65" s="251">
        <f>COUNTIFS(Media!C:C, "&gt;="&amp;$C65, Media!C:C, "&lt;"&amp;$C66, Media!G:G,"carousel")</f>
        <v>0</v>
      </c>
      <c r="I65" s="97">
        <f t="shared" si="2"/>
        <v>0</v>
      </c>
      <c r="J65" s="64"/>
      <c r="K65" s="97">
        <f>SUMIFS(Media!K:K, Media!$C:$C, "&gt;="&amp;$C65, Media!$C:$C, "&lt;"&amp;$C66)</f>
        <v>0</v>
      </c>
      <c r="L65" s="97">
        <f>SUMIFS(Media!J:J, Media!$C:$C, "&gt;="&amp;$C65, Media!$C:$C, "&lt;"&amp;$C66)</f>
        <v>0</v>
      </c>
      <c r="M65" s="97">
        <f t="shared" si="3"/>
        <v>0</v>
      </c>
      <c r="N65" s="64"/>
      <c r="O65" s="99">
        <f>SUMIFS(Media!M:M, Media!$C:$C, "&gt;="&amp;$C65, Media!$C:$C, "&lt;"&amp;$C66)</f>
        <v>0</v>
      </c>
      <c r="P65" s="64"/>
      <c r="Q65" s="98">
        <f>SUMIFS(Media!Q:Q, Media!$C:$C, "&gt;="&amp;$C65, Media!$C:$C, "&lt;"&amp;$C66)</f>
        <v>0</v>
      </c>
      <c r="R65" s="64"/>
      <c r="S65" s="100">
        <f>SUMIFS(Media!H:H, Media!$C:$C, "&gt;="&amp;$C65, Media!$C:$C, "&lt;"&amp;$C66)</f>
        <v>0</v>
      </c>
      <c r="T65" s="64"/>
      <c r="U65" s="100">
        <f t="shared" si="7"/>
        <v>63</v>
      </c>
      <c r="V65" s="64"/>
      <c r="W65" s="130" t="e">
        <f ca="1">IF($C65=Calculations!$C$53, I65, NA())</f>
        <v>#N/A</v>
      </c>
      <c r="X65" s="103" t="e">
        <f t="shared" ca="1" si="4"/>
        <v>#N/A</v>
      </c>
      <c r="Y65" s="64"/>
      <c r="Z65" s="130" t="e">
        <f ca="1">IF($C65=Calculations!$E$85, M65, NA())</f>
        <v>#N/A</v>
      </c>
      <c r="AA65" s="130" t="e">
        <f ca="1">IF($C65=Calculations!$E$86, M65, NA())</f>
        <v>#N/A</v>
      </c>
      <c r="AB65" s="130" t="e">
        <f ca="1">IF($C65=Calculations!$E$87, M65, NA())</f>
        <v>#N/A</v>
      </c>
      <c r="AC65" s="130" t="e">
        <f t="shared" ca="1" si="5"/>
        <v>#N/A</v>
      </c>
      <c r="AD65" s="64"/>
      <c r="AE65" s="130" t="e">
        <f ca="1">IF($C65=Calculations!$C$142,Tables!S65, NA())</f>
        <v>#N/A</v>
      </c>
      <c r="AF65" s="130" t="e">
        <f t="shared" ca="1" si="6"/>
        <v>#N/A</v>
      </c>
      <c r="XN65" s="79"/>
    </row>
    <row r="66" spans="1:638" ht="15" customHeight="1" x14ac:dyDescent="0.25">
      <c r="A66" s="51">
        <f t="shared" si="8"/>
        <v>42931</v>
      </c>
      <c r="B66" s="52">
        <f>IF(C67&lt;Charts!$H$3,0,IF(DATE(YEAR(Charts!$H$3),MONTH(Charts!$H$3),DAY(Charts!$H$3))=DATE(YEAR(C67), MONTH(C67),DAY(C67)),0,TEXT(C66,"m/d/yy")&amp;"-"&amp;TEXT(C66+6,"m/d/yy")))</f>
        <v>0</v>
      </c>
      <c r="C66" s="53">
        <f>IF(Controls!$J$24="Monthly",DATE(YEAR(C67),MONTH(C67)-1,1),C67-Controls!$I$24)</f>
        <v>42931</v>
      </c>
      <c r="D66" s="54">
        <f t="shared" si="9"/>
        <v>42931</v>
      </c>
      <c r="E66" s="64"/>
      <c r="F66" s="96">
        <f>COUNTIFS(Media!C:C, "&gt;="&amp;$C66, Media!C:C, "&lt;"&amp;$C67, Media!G:G,"image")</f>
        <v>0</v>
      </c>
      <c r="G66" s="97">
        <f>COUNTIFS(Media!C:C, "&gt;="&amp;$C66, Media!C:C, "&lt;"&amp;$C67, Media!G:G,"video")</f>
        <v>0</v>
      </c>
      <c r="H66" s="251">
        <f>COUNTIFS(Media!C:C, "&gt;="&amp;$C66, Media!C:C, "&lt;"&amp;$C67, Media!G:G,"carousel")</f>
        <v>0</v>
      </c>
      <c r="I66" s="97">
        <f t="shared" si="2"/>
        <v>0</v>
      </c>
      <c r="J66" s="64"/>
      <c r="K66" s="97">
        <f>SUMIFS(Media!K:K, Media!$C:$C, "&gt;="&amp;$C66, Media!$C:$C, "&lt;"&amp;$C67)</f>
        <v>0</v>
      </c>
      <c r="L66" s="97">
        <f>SUMIFS(Media!J:J, Media!$C:$C, "&gt;="&amp;$C66, Media!$C:$C, "&lt;"&amp;$C67)</f>
        <v>0</v>
      </c>
      <c r="M66" s="97">
        <f t="shared" si="3"/>
        <v>0</v>
      </c>
      <c r="N66" s="64"/>
      <c r="O66" s="99">
        <f>SUMIFS(Media!M:M, Media!$C:$C, "&gt;="&amp;$C66, Media!$C:$C, "&lt;"&amp;$C67)</f>
        <v>0</v>
      </c>
      <c r="P66" s="64"/>
      <c r="Q66" s="98">
        <f>SUMIFS(Media!Q:Q, Media!$C:$C, "&gt;="&amp;$C66, Media!$C:$C, "&lt;"&amp;$C67)</f>
        <v>0</v>
      </c>
      <c r="R66" s="64"/>
      <c r="S66" s="100">
        <f>SUMIFS(Media!H:H, Media!$C:$C, "&gt;="&amp;$C66, Media!$C:$C, "&lt;"&amp;$C67)</f>
        <v>0</v>
      </c>
      <c r="T66" s="64"/>
      <c r="U66" s="100">
        <f t="shared" si="7"/>
        <v>64</v>
      </c>
      <c r="V66" s="64"/>
      <c r="W66" s="130" t="e">
        <f ca="1">IF($C66=Calculations!$C$53, I66, NA())</f>
        <v>#N/A</v>
      </c>
      <c r="X66" s="103" t="e">
        <f t="shared" ca="1" si="4"/>
        <v>#N/A</v>
      </c>
      <c r="Y66" s="64"/>
      <c r="Z66" s="130" t="e">
        <f ca="1">IF($C66=Calculations!$E$85, M66, NA())</f>
        <v>#N/A</v>
      </c>
      <c r="AA66" s="130" t="e">
        <f ca="1">IF($C66=Calculations!$E$86, M66, NA())</f>
        <v>#N/A</v>
      </c>
      <c r="AB66" s="130" t="e">
        <f ca="1">IF($C66=Calculations!$E$87, M66, NA())</f>
        <v>#N/A</v>
      </c>
      <c r="AC66" s="130" t="e">
        <f t="shared" ca="1" si="5"/>
        <v>#N/A</v>
      </c>
      <c r="AD66" s="64"/>
      <c r="AE66" s="130" t="e">
        <f ca="1">IF($C66=Calculations!$C$142,Tables!S66, NA())</f>
        <v>#N/A</v>
      </c>
      <c r="AF66" s="130" t="e">
        <f t="shared" ca="1" si="6"/>
        <v>#N/A</v>
      </c>
      <c r="XN66" s="79"/>
    </row>
    <row r="67" spans="1:638" ht="15" customHeight="1" x14ac:dyDescent="0.25">
      <c r="A67" s="51">
        <f t="shared" si="8"/>
        <v>42932</v>
      </c>
      <c r="B67" s="52">
        <f>IF(C68&lt;Charts!$H$3,0,IF(DATE(YEAR(Charts!$H$3),MONTH(Charts!$H$3),DAY(Charts!$H$3))=DATE(YEAR(C68), MONTH(C68),DAY(C68)),0,TEXT(C67,"m/d/yy")&amp;"-"&amp;TEXT(C67+6,"m/d/yy")))</f>
        <v>0</v>
      </c>
      <c r="C67" s="53">
        <f>IF(Controls!$J$24="Monthly",DATE(YEAR(C68),MONTH(C68)-1,1),C68-Controls!$I$24)</f>
        <v>42932</v>
      </c>
      <c r="D67" s="54">
        <f t="shared" si="9"/>
        <v>42932</v>
      </c>
      <c r="E67" s="64"/>
      <c r="F67" s="96">
        <f>COUNTIFS(Media!C:C, "&gt;="&amp;$C67, Media!C:C, "&lt;"&amp;$C68, Media!G:G,"image")</f>
        <v>0</v>
      </c>
      <c r="G67" s="97">
        <f>COUNTIFS(Media!C:C, "&gt;="&amp;$C67, Media!C:C, "&lt;"&amp;$C68, Media!G:G,"video")</f>
        <v>0</v>
      </c>
      <c r="H67" s="251">
        <f>COUNTIFS(Media!C:C, "&gt;="&amp;$C67, Media!C:C, "&lt;"&amp;$C68, Media!G:G,"carousel")</f>
        <v>0</v>
      </c>
      <c r="I67" s="97">
        <f t="shared" si="2"/>
        <v>0</v>
      </c>
      <c r="J67" s="64"/>
      <c r="K67" s="97">
        <f>SUMIFS(Media!K:K, Media!$C:$C, "&gt;="&amp;$C67, Media!$C:$C, "&lt;"&amp;$C68)</f>
        <v>0</v>
      </c>
      <c r="L67" s="97">
        <f>SUMIFS(Media!J:J, Media!$C:$C, "&gt;="&amp;$C67, Media!$C:$C, "&lt;"&amp;$C68)</f>
        <v>0</v>
      </c>
      <c r="M67" s="97">
        <f t="shared" si="3"/>
        <v>0</v>
      </c>
      <c r="N67" s="64"/>
      <c r="O67" s="99">
        <f>SUMIFS(Media!M:M, Media!$C:$C, "&gt;="&amp;$C67, Media!$C:$C, "&lt;"&amp;$C68)</f>
        <v>0</v>
      </c>
      <c r="P67" s="64"/>
      <c r="Q67" s="98">
        <f>SUMIFS(Media!Q:Q, Media!$C:$C, "&gt;="&amp;$C67, Media!$C:$C, "&lt;"&amp;$C68)</f>
        <v>0</v>
      </c>
      <c r="R67" s="64"/>
      <c r="S67" s="100">
        <f>SUMIFS(Media!H:H, Media!$C:$C, "&gt;="&amp;$C67, Media!$C:$C, "&lt;"&amp;$C68)</f>
        <v>0</v>
      </c>
      <c r="T67" s="64"/>
      <c r="U67" s="100">
        <f t="shared" si="7"/>
        <v>65</v>
      </c>
      <c r="V67" s="64"/>
      <c r="W67" s="130" t="e">
        <f ca="1">IF($C67=Calculations!$C$53, I67, NA())</f>
        <v>#N/A</v>
      </c>
      <c r="X67" s="103" t="e">
        <f t="shared" ca="1" si="4"/>
        <v>#N/A</v>
      </c>
      <c r="Y67" s="64"/>
      <c r="Z67" s="130" t="e">
        <f ca="1">IF($C67=Calculations!$E$85, M67, NA())</f>
        <v>#N/A</v>
      </c>
      <c r="AA67" s="130" t="e">
        <f ca="1">IF($C67=Calculations!$E$86, M67, NA())</f>
        <v>#N/A</v>
      </c>
      <c r="AB67" s="130" t="e">
        <f ca="1">IF($C67=Calculations!$E$87, M67, NA())</f>
        <v>#N/A</v>
      </c>
      <c r="AC67" s="130" t="e">
        <f t="shared" ca="1" si="5"/>
        <v>#N/A</v>
      </c>
      <c r="AD67" s="64"/>
      <c r="AE67" s="130" t="e">
        <f ca="1">IF($C67=Calculations!$C$142,Tables!S67, NA())</f>
        <v>#N/A</v>
      </c>
      <c r="AF67" s="130" t="e">
        <f t="shared" ca="1" si="6"/>
        <v>#N/A</v>
      </c>
      <c r="XN67" s="79"/>
    </row>
    <row r="68" spans="1:638" ht="15" customHeight="1" x14ac:dyDescent="0.25">
      <c r="A68" s="51">
        <f t="shared" si="8"/>
        <v>42933</v>
      </c>
      <c r="B68" s="52">
        <f>IF(C69&lt;Charts!$H$3,0,IF(DATE(YEAR(Charts!$H$3),MONTH(Charts!$H$3),DAY(Charts!$H$3))=DATE(YEAR(C69), MONTH(C69),DAY(C69)),0,TEXT(C68,"m/d/yy")&amp;"-"&amp;TEXT(C68+6,"m/d/yy")))</f>
        <v>0</v>
      </c>
      <c r="C68" s="53">
        <f>IF(Controls!$J$24="Monthly",DATE(YEAR(C69),MONTH(C69)-1,1),C69-Controls!$I$24)</f>
        <v>42933</v>
      </c>
      <c r="D68" s="54">
        <f t="shared" si="9"/>
        <v>42933</v>
      </c>
      <c r="E68" s="64"/>
      <c r="F68" s="96">
        <f>COUNTIFS(Media!C:C, "&gt;="&amp;$C68, Media!C:C, "&lt;"&amp;$C69, Media!G:G,"image")</f>
        <v>0</v>
      </c>
      <c r="G68" s="97">
        <f>COUNTIFS(Media!C:C, "&gt;="&amp;$C68, Media!C:C, "&lt;"&amp;$C69, Media!G:G,"video")</f>
        <v>0</v>
      </c>
      <c r="H68" s="251">
        <f>COUNTIFS(Media!C:C, "&gt;="&amp;$C68, Media!C:C, "&lt;"&amp;$C69, Media!G:G,"carousel")</f>
        <v>0</v>
      </c>
      <c r="I68" s="97">
        <f t="shared" ref="I68:I122" si="10">SUM(F68:H68)</f>
        <v>0</v>
      </c>
      <c r="J68" s="64"/>
      <c r="K68" s="97">
        <f>SUMIFS(Media!K:K, Media!$C:$C, "&gt;="&amp;$C68, Media!$C:$C, "&lt;"&amp;$C69)</f>
        <v>0</v>
      </c>
      <c r="L68" s="97">
        <f>SUMIFS(Media!J:J, Media!$C:$C, "&gt;="&amp;$C68, Media!$C:$C, "&lt;"&amp;$C69)</f>
        <v>0</v>
      </c>
      <c r="M68" s="97">
        <f t="shared" ref="M68:M122" si="11">K68+L68</f>
        <v>0</v>
      </c>
      <c r="N68" s="64"/>
      <c r="O68" s="99">
        <f>SUMIFS(Media!M:M, Media!$C:$C, "&gt;="&amp;$C68, Media!$C:$C, "&lt;"&amp;$C69)</f>
        <v>0</v>
      </c>
      <c r="P68" s="64"/>
      <c r="Q68" s="98">
        <f>SUMIFS(Media!Q:Q, Media!$C:$C, "&gt;="&amp;$C68, Media!$C:$C, "&lt;"&amp;$C69)</f>
        <v>0</v>
      </c>
      <c r="R68" s="64"/>
      <c r="S68" s="100">
        <f>SUMIFS(Media!H:H, Media!$C:$C, "&gt;="&amp;$C68, Media!$C:$C, "&lt;"&amp;$C69)</f>
        <v>0</v>
      </c>
      <c r="T68" s="64"/>
      <c r="U68" s="100">
        <f t="shared" si="7"/>
        <v>66</v>
      </c>
      <c r="V68" s="64"/>
      <c r="W68" s="130" t="e">
        <f ca="1">IF($C68=Calculations!$C$53, I68, NA())</f>
        <v>#N/A</v>
      </c>
      <c r="X68" s="103" t="e">
        <f t="shared" ref="X68:X122" ca="1" si="12">W68*1.1</f>
        <v>#N/A</v>
      </c>
      <c r="Y68" s="64"/>
      <c r="Z68" s="130" t="e">
        <f ca="1">IF($C68=Calculations!$E$85, M68, NA())</f>
        <v>#N/A</v>
      </c>
      <c r="AA68" s="130" t="e">
        <f ca="1">IF($C68=Calculations!$E$86, M68, NA())</f>
        <v>#N/A</v>
      </c>
      <c r="AB68" s="130" t="e">
        <f ca="1">IF($C68=Calculations!$E$87, M68, NA())</f>
        <v>#N/A</v>
      </c>
      <c r="AC68" s="130" t="e">
        <f t="shared" ref="AC68:AC122" ca="1" si="13">Z68*1.1</f>
        <v>#N/A</v>
      </c>
      <c r="AD68" s="64"/>
      <c r="AE68" s="130" t="e">
        <f ca="1">IF($C68=Calculations!$C$142,Tables!S68, NA())</f>
        <v>#N/A</v>
      </c>
      <c r="AF68" s="130" t="e">
        <f t="shared" ref="AF68:AF122" ca="1" si="14">AE68*1.1</f>
        <v>#N/A</v>
      </c>
      <c r="XN68" s="79"/>
    </row>
    <row r="69" spans="1:638" ht="15" customHeight="1" x14ac:dyDescent="0.25">
      <c r="A69" s="51">
        <f t="shared" si="8"/>
        <v>42934</v>
      </c>
      <c r="B69" s="52">
        <f>IF(C70&lt;Charts!$H$3,0,IF(DATE(YEAR(Charts!$H$3),MONTH(Charts!$H$3),DAY(Charts!$H$3))=DATE(YEAR(C70), MONTH(C70),DAY(C70)),0,TEXT(C69,"m/d/yy")&amp;"-"&amp;TEXT(C69+6,"m/d/yy")))</f>
        <v>0</v>
      </c>
      <c r="C69" s="53">
        <f>IF(Controls!$J$24="Monthly",DATE(YEAR(C70),MONTH(C70)-1,1),C70-Controls!$I$24)</f>
        <v>42934</v>
      </c>
      <c r="D69" s="54">
        <f t="shared" si="9"/>
        <v>42934</v>
      </c>
      <c r="E69" s="64"/>
      <c r="F69" s="96">
        <f>COUNTIFS(Media!C:C, "&gt;="&amp;$C69, Media!C:C, "&lt;"&amp;$C70, Media!G:G,"image")</f>
        <v>0</v>
      </c>
      <c r="G69" s="97">
        <f>COUNTIFS(Media!C:C, "&gt;="&amp;$C69, Media!C:C, "&lt;"&amp;$C70, Media!G:G,"video")</f>
        <v>0</v>
      </c>
      <c r="H69" s="251">
        <f>COUNTIFS(Media!C:C, "&gt;="&amp;$C69, Media!C:C, "&lt;"&amp;$C70, Media!G:G,"carousel")</f>
        <v>0</v>
      </c>
      <c r="I69" s="97">
        <f t="shared" si="10"/>
        <v>0</v>
      </c>
      <c r="J69" s="64"/>
      <c r="K69" s="97">
        <f>SUMIFS(Media!K:K, Media!$C:$C, "&gt;="&amp;$C69, Media!$C:$C, "&lt;"&amp;$C70)</f>
        <v>0</v>
      </c>
      <c r="L69" s="97">
        <f>SUMIFS(Media!J:J, Media!$C:$C, "&gt;="&amp;$C69, Media!$C:$C, "&lt;"&amp;$C70)</f>
        <v>0</v>
      </c>
      <c r="M69" s="97">
        <f t="shared" si="11"/>
        <v>0</v>
      </c>
      <c r="N69" s="64"/>
      <c r="O69" s="99">
        <f>SUMIFS(Media!M:M, Media!$C:$C, "&gt;="&amp;$C69, Media!$C:$C, "&lt;"&amp;$C70)</f>
        <v>0</v>
      </c>
      <c r="P69" s="64"/>
      <c r="Q69" s="98">
        <f>SUMIFS(Media!Q:Q, Media!$C:$C, "&gt;="&amp;$C69, Media!$C:$C, "&lt;"&amp;$C70)</f>
        <v>0</v>
      </c>
      <c r="R69" s="64"/>
      <c r="S69" s="100">
        <f>SUMIFS(Media!H:H, Media!$C:$C, "&gt;="&amp;$C69, Media!$C:$C, "&lt;"&amp;$C70)</f>
        <v>0</v>
      </c>
      <c r="T69" s="64"/>
      <c r="U69" s="100">
        <f t="shared" ref="U69:U122" si="15">U68+1</f>
        <v>67</v>
      </c>
      <c r="V69" s="64"/>
      <c r="W69" s="130" t="e">
        <f ca="1">IF($C69=Calculations!$C$53, I69, NA())</f>
        <v>#N/A</v>
      </c>
      <c r="X69" s="103" t="e">
        <f t="shared" ca="1" si="12"/>
        <v>#N/A</v>
      </c>
      <c r="Y69" s="64"/>
      <c r="Z69" s="130" t="e">
        <f ca="1">IF($C69=Calculations!$E$85, M69, NA())</f>
        <v>#N/A</v>
      </c>
      <c r="AA69" s="130" t="e">
        <f ca="1">IF($C69=Calculations!$E$86, M69, NA())</f>
        <v>#N/A</v>
      </c>
      <c r="AB69" s="130" t="e">
        <f ca="1">IF($C69=Calculations!$E$87, M69, NA())</f>
        <v>#N/A</v>
      </c>
      <c r="AC69" s="130" t="e">
        <f t="shared" ca="1" si="13"/>
        <v>#N/A</v>
      </c>
      <c r="AD69" s="64"/>
      <c r="AE69" s="130" t="e">
        <f ca="1">IF($C69=Calculations!$C$142,Tables!S69, NA())</f>
        <v>#N/A</v>
      </c>
      <c r="AF69" s="130" t="e">
        <f t="shared" ca="1" si="14"/>
        <v>#N/A</v>
      </c>
      <c r="XN69" s="79"/>
    </row>
    <row r="70" spans="1:638" ht="15" customHeight="1" x14ac:dyDescent="0.25">
      <c r="A70" s="51">
        <f t="shared" si="8"/>
        <v>42935</v>
      </c>
      <c r="B70" s="52">
        <f>IF(C71&lt;Charts!$H$3,0,IF(DATE(YEAR(Charts!$H$3),MONTH(Charts!$H$3),DAY(Charts!$H$3))=DATE(YEAR(C71), MONTH(C71),DAY(C71)),0,TEXT(C70,"m/d/yy")&amp;"-"&amp;TEXT(C70+6,"m/d/yy")))</f>
        <v>0</v>
      </c>
      <c r="C70" s="53">
        <f>IF(Controls!$J$24="Monthly",DATE(YEAR(C71),MONTH(C71)-1,1),C71-Controls!$I$24)</f>
        <v>42935</v>
      </c>
      <c r="D70" s="54">
        <f t="shared" si="9"/>
        <v>42935</v>
      </c>
      <c r="E70" s="64"/>
      <c r="F70" s="96">
        <f>COUNTIFS(Media!C:C, "&gt;="&amp;$C70, Media!C:C, "&lt;"&amp;$C71, Media!G:G,"image")</f>
        <v>0</v>
      </c>
      <c r="G70" s="97">
        <f>COUNTIFS(Media!C:C, "&gt;="&amp;$C70, Media!C:C, "&lt;"&amp;$C71, Media!G:G,"video")</f>
        <v>0</v>
      </c>
      <c r="H70" s="251">
        <f>COUNTIFS(Media!C:C, "&gt;="&amp;$C70, Media!C:C, "&lt;"&amp;$C71, Media!G:G,"carousel")</f>
        <v>0</v>
      </c>
      <c r="I70" s="97">
        <f t="shared" si="10"/>
        <v>0</v>
      </c>
      <c r="J70" s="64"/>
      <c r="K70" s="97">
        <f>SUMIFS(Media!K:K, Media!$C:$C, "&gt;="&amp;$C70, Media!$C:$C, "&lt;"&amp;$C71)</f>
        <v>0</v>
      </c>
      <c r="L70" s="97">
        <f>SUMIFS(Media!J:J, Media!$C:$C, "&gt;="&amp;$C70, Media!$C:$C, "&lt;"&amp;$C71)</f>
        <v>0</v>
      </c>
      <c r="M70" s="97">
        <f t="shared" si="11"/>
        <v>0</v>
      </c>
      <c r="N70" s="64"/>
      <c r="O70" s="99">
        <f>SUMIFS(Media!M:M, Media!$C:$C, "&gt;="&amp;$C70, Media!$C:$C, "&lt;"&amp;$C71)</f>
        <v>0</v>
      </c>
      <c r="P70" s="64"/>
      <c r="Q70" s="98">
        <f>SUMIFS(Media!Q:Q, Media!$C:$C, "&gt;="&amp;$C70, Media!$C:$C, "&lt;"&amp;$C71)</f>
        <v>0</v>
      </c>
      <c r="R70" s="64"/>
      <c r="S70" s="100">
        <f>SUMIFS(Media!H:H, Media!$C:$C, "&gt;="&amp;$C70, Media!$C:$C, "&lt;"&amp;$C71)</f>
        <v>0</v>
      </c>
      <c r="T70" s="64"/>
      <c r="U70" s="100">
        <f t="shared" si="15"/>
        <v>68</v>
      </c>
      <c r="V70" s="64"/>
      <c r="W70" s="130" t="e">
        <f ca="1">IF($C70=Calculations!$C$53, I70, NA())</f>
        <v>#N/A</v>
      </c>
      <c r="X70" s="103" t="e">
        <f t="shared" ca="1" si="12"/>
        <v>#N/A</v>
      </c>
      <c r="Y70" s="64"/>
      <c r="Z70" s="130" t="e">
        <f ca="1">IF($C70=Calculations!$E$85, M70, NA())</f>
        <v>#N/A</v>
      </c>
      <c r="AA70" s="130" t="e">
        <f ca="1">IF($C70=Calculations!$E$86, M70, NA())</f>
        <v>#N/A</v>
      </c>
      <c r="AB70" s="130" t="e">
        <f ca="1">IF($C70=Calculations!$E$87, M70, NA())</f>
        <v>#N/A</v>
      </c>
      <c r="AC70" s="130" t="e">
        <f t="shared" ca="1" si="13"/>
        <v>#N/A</v>
      </c>
      <c r="AD70" s="64"/>
      <c r="AE70" s="130" t="e">
        <f ca="1">IF($C70=Calculations!$C$142,Tables!S70, NA())</f>
        <v>#N/A</v>
      </c>
      <c r="AF70" s="130" t="e">
        <f t="shared" ca="1" si="14"/>
        <v>#N/A</v>
      </c>
      <c r="XN70" s="79"/>
    </row>
    <row r="71" spans="1:638" ht="15" customHeight="1" x14ac:dyDescent="0.25">
      <c r="A71" s="51">
        <f t="shared" si="8"/>
        <v>42936</v>
      </c>
      <c r="B71" s="52">
        <f>IF(C72&lt;Charts!$H$3,0,IF(DATE(YEAR(Charts!$H$3),MONTH(Charts!$H$3),DAY(Charts!$H$3))=DATE(YEAR(C72), MONTH(C72),DAY(C72)),0,TEXT(C71,"m/d/yy")&amp;"-"&amp;TEXT(C71+6,"m/d/yy")))</f>
        <v>0</v>
      </c>
      <c r="C71" s="53">
        <f>IF(Controls!$J$24="Monthly",DATE(YEAR(C72),MONTH(C72)-1,1),C72-Controls!$I$24)</f>
        <v>42936</v>
      </c>
      <c r="D71" s="54">
        <f t="shared" si="9"/>
        <v>42936</v>
      </c>
      <c r="E71" s="64"/>
      <c r="F71" s="96">
        <f>COUNTIFS(Media!C:C, "&gt;="&amp;$C71, Media!C:C, "&lt;"&amp;$C72, Media!G:G,"image")</f>
        <v>0</v>
      </c>
      <c r="G71" s="97">
        <f>COUNTIFS(Media!C:C, "&gt;="&amp;$C71, Media!C:C, "&lt;"&amp;$C72, Media!G:G,"video")</f>
        <v>0</v>
      </c>
      <c r="H71" s="251">
        <f>COUNTIFS(Media!C:C, "&gt;="&amp;$C71, Media!C:C, "&lt;"&amp;$C72, Media!G:G,"carousel")</f>
        <v>0</v>
      </c>
      <c r="I71" s="97">
        <f t="shared" si="10"/>
        <v>0</v>
      </c>
      <c r="J71" s="64"/>
      <c r="K71" s="97">
        <f>SUMIFS(Media!K:K, Media!$C:$C, "&gt;="&amp;$C71, Media!$C:$C, "&lt;"&amp;$C72)</f>
        <v>0</v>
      </c>
      <c r="L71" s="97">
        <f>SUMIFS(Media!J:J, Media!$C:$C, "&gt;="&amp;$C71, Media!$C:$C, "&lt;"&amp;$C72)</f>
        <v>0</v>
      </c>
      <c r="M71" s="97">
        <f t="shared" si="11"/>
        <v>0</v>
      </c>
      <c r="N71" s="64"/>
      <c r="O71" s="99">
        <f>SUMIFS(Media!M:M, Media!$C:$C, "&gt;="&amp;$C71, Media!$C:$C, "&lt;"&amp;$C72)</f>
        <v>0</v>
      </c>
      <c r="P71" s="64"/>
      <c r="Q71" s="98">
        <f>SUMIFS(Media!Q:Q, Media!$C:$C, "&gt;="&amp;$C71, Media!$C:$C, "&lt;"&amp;$C72)</f>
        <v>0</v>
      </c>
      <c r="R71" s="64"/>
      <c r="S71" s="100">
        <f>SUMIFS(Media!H:H, Media!$C:$C, "&gt;="&amp;$C71, Media!$C:$C, "&lt;"&amp;$C72)</f>
        <v>0</v>
      </c>
      <c r="T71" s="64"/>
      <c r="U71" s="100">
        <f t="shared" si="15"/>
        <v>69</v>
      </c>
      <c r="V71" s="64"/>
      <c r="W71" s="130" t="e">
        <f ca="1">IF($C71=Calculations!$C$53, I71, NA())</f>
        <v>#N/A</v>
      </c>
      <c r="X71" s="103" t="e">
        <f t="shared" ca="1" si="12"/>
        <v>#N/A</v>
      </c>
      <c r="Y71" s="64"/>
      <c r="Z71" s="130" t="e">
        <f ca="1">IF($C71=Calculations!$E$85, M71, NA())</f>
        <v>#N/A</v>
      </c>
      <c r="AA71" s="130" t="e">
        <f ca="1">IF($C71=Calculations!$E$86, M71, NA())</f>
        <v>#N/A</v>
      </c>
      <c r="AB71" s="130" t="e">
        <f ca="1">IF($C71=Calculations!$E$87, M71, NA())</f>
        <v>#N/A</v>
      </c>
      <c r="AC71" s="130" t="e">
        <f t="shared" ca="1" si="13"/>
        <v>#N/A</v>
      </c>
      <c r="AD71" s="64"/>
      <c r="AE71" s="130" t="e">
        <f ca="1">IF($C71=Calculations!$C$142,Tables!S71, NA())</f>
        <v>#N/A</v>
      </c>
      <c r="AF71" s="130" t="e">
        <f t="shared" ca="1" si="14"/>
        <v>#N/A</v>
      </c>
      <c r="XN71" s="79"/>
    </row>
    <row r="72" spans="1:638" ht="15" customHeight="1" x14ac:dyDescent="0.25">
      <c r="A72" s="51">
        <f t="shared" si="8"/>
        <v>42937</v>
      </c>
      <c r="B72" s="52">
        <f>IF(C73&lt;Charts!$H$3,0,IF(DATE(YEAR(Charts!$H$3),MONTH(Charts!$H$3),DAY(Charts!$H$3))=DATE(YEAR(C73), MONTH(C73),DAY(C73)),0,TEXT(C72,"m/d/yy")&amp;"-"&amp;TEXT(C72+6,"m/d/yy")))</f>
        <v>0</v>
      </c>
      <c r="C72" s="53">
        <f>IF(Controls!$J$24="Monthly",DATE(YEAR(C73),MONTH(C73)-1,1),C73-Controls!$I$24)</f>
        <v>42937</v>
      </c>
      <c r="D72" s="54">
        <f t="shared" si="9"/>
        <v>42937</v>
      </c>
      <c r="E72" s="64"/>
      <c r="F72" s="96">
        <f>COUNTIFS(Media!C:C, "&gt;="&amp;$C72, Media!C:C, "&lt;"&amp;$C73, Media!G:G,"image")</f>
        <v>0</v>
      </c>
      <c r="G72" s="97">
        <f>COUNTIFS(Media!C:C, "&gt;="&amp;$C72, Media!C:C, "&lt;"&amp;$C73, Media!G:G,"video")</f>
        <v>0</v>
      </c>
      <c r="H72" s="251">
        <f>COUNTIFS(Media!C:C, "&gt;="&amp;$C72, Media!C:C, "&lt;"&amp;$C73, Media!G:G,"carousel")</f>
        <v>0</v>
      </c>
      <c r="I72" s="97">
        <f t="shared" si="10"/>
        <v>0</v>
      </c>
      <c r="J72" s="64"/>
      <c r="K72" s="97">
        <f>SUMIFS(Media!K:K, Media!$C:$C, "&gt;="&amp;$C72, Media!$C:$C, "&lt;"&amp;$C73)</f>
        <v>0</v>
      </c>
      <c r="L72" s="97">
        <f>SUMIFS(Media!J:J, Media!$C:$C, "&gt;="&amp;$C72, Media!$C:$C, "&lt;"&amp;$C73)</f>
        <v>0</v>
      </c>
      <c r="M72" s="97">
        <f t="shared" si="11"/>
        <v>0</v>
      </c>
      <c r="N72" s="64"/>
      <c r="O72" s="99">
        <f>SUMIFS(Media!M:M, Media!$C:$C, "&gt;="&amp;$C72, Media!$C:$C, "&lt;"&amp;$C73)</f>
        <v>0</v>
      </c>
      <c r="P72" s="64"/>
      <c r="Q72" s="98">
        <f>SUMIFS(Media!Q:Q, Media!$C:$C, "&gt;="&amp;$C72, Media!$C:$C, "&lt;"&amp;$C73)</f>
        <v>0</v>
      </c>
      <c r="R72" s="64"/>
      <c r="S72" s="100">
        <f>SUMIFS(Media!H:H, Media!$C:$C, "&gt;="&amp;$C72, Media!$C:$C, "&lt;"&amp;$C73)</f>
        <v>0</v>
      </c>
      <c r="T72" s="64"/>
      <c r="U72" s="100">
        <f t="shared" si="15"/>
        <v>70</v>
      </c>
      <c r="V72" s="64"/>
      <c r="W72" s="130" t="e">
        <f ca="1">IF($C72=Calculations!$C$53, I72, NA())</f>
        <v>#N/A</v>
      </c>
      <c r="X72" s="103" t="e">
        <f t="shared" ca="1" si="12"/>
        <v>#N/A</v>
      </c>
      <c r="Y72" s="64"/>
      <c r="Z72" s="130" t="e">
        <f ca="1">IF($C72=Calculations!$E$85, M72, NA())</f>
        <v>#N/A</v>
      </c>
      <c r="AA72" s="130" t="e">
        <f ca="1">IF($C72=Calculations!$E$86, M72, NA())</f>
        <v>#N/A</v>
      </c>
      <c r="AB72" s="130" t="e">
        <f ca="1">IF($C72=Calculations!$E$87, M72, NA())</f>
        <v>#N/A</v>
      </c>
      <c r="AC72" s="130" t="e">
        <f t="shared" ca="1" si="13"/>
        <v>#N/A</v>
      </c>
      <c r="AD72" s="64"/>
      <c r="AE72" s="130" t="e">
        <f ca="1">IF($C72=Calculations!$C$142,Tables!S72, NA())</f>
        <v>#N/A</v>
      </c>
      <c r="AF72" s="130" t="e">
        <f t="shared" ca="1" si="14"/>
        <v>#N/A</v>
      </c>
      <c r="XN72" s="79"/>
    </row>
    <row r="73" spans="1:638" ht="15" customHeight="1" x14ac:dyDescent="0.25">
      <c r="A73" s="51">
        <f t="shared" si="8"/>
        <v>42938</v>
      </c>
      <c r="B73" s="52">
        <f>IF(C74&lt;Charts!$H$3,0,IF(DATE(YEAR(Charts!$H$3),MONTH(Charts!$H$3),DAY(Charts!$H$3))=DATE(YEAR(C74), MONTH(C74),DAY(C74)),0,TEXT(C73,"m/d/yy")&amp;"-"&amp;TEXT(C73+6,"m/d/yy")))</f>
        <v>0</v>
      </c>
      <c r="C73" s="53">
        <f>IF(Controls!$J$24="Monthly",DATE(YEAR(C74),MONTH(C74)-1,1),C74-Controls!$I$24)</f>
        <v>42938</v>
      </c>
      <c r="D73" s="54">
        <f t="shared" si="9"/>
        <v>42938</v>
      </c>
      <c r="E73" s="64"/>
      <c r="F73" s="96">
        <f>COUNTIFS(Media!C:C, "&gt;="&amp;$C73, Media!C:C, "&lt;"&amp;$C74, Media!G:G,"image")</f>
        <v>0</v>
      </c>
      <c r="G73" s="97">
        <f>COUNTIFS(Media!C:C, "&gt;="&amp;$C73, Media!C:C, "&lt;"&amp;$C74, Media!G:G,"video")</f>
        <v>0</v>
      </c>
      <c r="H73" s="251">
        <f>COUNTIFS(Media!C:C, "&gt;="&amp;$C73, Media!C:C, "&lt;"&amp;$C74, Media!G:G,"carousel")</f>
        <v>0</v>
      </c>
      <c r="I73" s="97">
        <f t="shared" si="10"/>
        <v>0</v>
      </c>
      <c r="J73" s="64"/>
      <c r="K73" s="97">
        <f>SUMIFS(Media!K:K, Media!$C:$C, "&gt;="&amp;$C73, Media!$C:$C, "&lt;"&amp;$C74)</f>
        <v>0</v>
      </c>
      <c r="L73" s="97">
        <f>SUMIFS(Media!J:J, Media!$C:$C, "&gt;="&amp;$C73, Media!$C:$C, "&lt;"&amp;$C74)</f>
        <v>0</v>
      </c>
      <c r="M73" s="97">
        <f t="shared" si="11"/>
        <v>0</v>
      </c>
      <c r="N73" s="64"/>
      <c r="O73" s="99">
        <f>SUMIFS(Media!M:M, Media!$C:$C, "&gt;="&amp;$C73, Media!$C:$C, "&lt;"&amp;$C74)</f>
        <v>0</v>
      </c>
      <c r="P73" s="64"/>
      <c r="Q73" s="98">
        <f>SUMIFS(Media!Q:Q, Media!$C:$C, "&gt;="&amp;$C73, Media!$C:$C, "&lt;"&amp;$C74)</f>
        <v>0</v>
      </c>
      <c r="R73" s="64"/>
      <c r="S73" s="100">
        <f>SUMIFS(Media!H:H, Media!$C:$C, "&gt;="&amp;$C73, Media!$C:$C, "&lt;"&amp;$C74)</f>
        <v>0</v>
      </c>
      <c r="T73" s="64"/>
      <c r="U73" s="100">
        <f t="shared" si="15"/>
        <v>71</v>
      </c>
      <c r="V73" s="64"/>
      <c r="W73" s="130" t="e">
        <f ca="1">IF($C73=Calculations!$C$53, I73, NA())</f>
        <v>#N/A</v>
      </c>
      <c r="X73" s="103" t="e">
        <f t="shared" ca="1" si="12"/>
        <v>#N/A</v>
      </c>
      <c r="Y73" s="64"/>
      <c r="Z73" s="130" t="e">
        <f ca="1">IF($C73=Calculations!$E$85, M73, NA())</f>
        <v>#N/A</v>
      </c>
      <c r="AA73" s="130" t="e">
        <f ca="1">IF($C73=Calculations!$E$86, M73, NA())</f>
        <v>#N/A</v>
      </c>
      <c r="AB73" s="130" t="e">
        <f ca="1">IF($C73=Calculations!$E$87, M73, NA())</f>
        <v>#N/A</v>
      </c>
      <c r="AC73" s="130" t="e">
        <f t="shared" ca="1" si="13"/>
        <v>#N/A</v>
      </c>
      <c r="AD73" s="64"/>
      <c r="AE73" s="130" t="e">
        <f ca="1">IF($C73=Calculations!$C$142,Tables!S73, NA())</f>
        <v>#N/A</v>
      </c>
      <c r="AF73" s="130" t="e">
        <f t="shared" ca="1" si="14"/>
        <v>#N/A</v>
      </c>
      <c r="XN73" s="79"/>
    </row>
    <row r="74" spans="1:638" ht="15" customHeight="1" x14ac:dyDescent="0.25">
      <c r="A74" s="51">
        <f t="shared" si="8"/>
        <v>42939</v>
      </c>
      <c r="B74" s="52">
        <f>IF(C75&lt;Charts!$H$3,0,IF(DATE(YEAR(Charts!$H$3),MONTH(Charts!$H$3),DAY(Charts!$H$3))=DATE(YEAR(C75), MONTH(C75),DAY(C75)),0,TEXT(C74,"m/d/yy")&amp;"-"&amp;TEXT(C74+6,"m/d/yy")))</f>
        <v>0</v>
      </c>
      <c r="C74" s="53">
        <f>IF(Controls!$J$24="Monthly",DATE(YEAR(C75),MONTH(C75)-1,1),C75-Controls!$I$24)</f>
        <v>42939</v>
      </c>
      <c r="D74" s="54">
        <f t="shared" si="9"/>
        <v>42939</v>
      </c>
      <c r="E74" s="64"/>
      <c r="F74" s="96">
        <f>COUNTIFS(Media!C:C, "&gt;="&amp;$C74, Media!C:C, "&lt;"&amp;$C75, Media!G:G,"image")</f>
        <v>0</v>
      </c>
      <c r="G74" s="97">
        <f>COUNTIFS(Media!C:C, "&gt;="&amp;$C74, Media!C:C, "&lt;"&amp;$C75, Media!G:G,"video")</f>
        <v>0</v>
      </c>
      <c r="H74" s="251">
        <f>COUNTIFS(Media!C:C, "&gt;="&amp;$C74, Media!C:C, "&lt;"&amp;$C75, Media!G:G,"carousel")</f>
        <v>0</v>
      </c>
      <c r="I74" s="97">
        <f t="shared" si="10"/>
        <v>0</v>
      </c>
      <c r="J74" s="64"/>
      <c r="K74" s="97">
        <f>SUMIFS(Media!K:K, Media!$C:$C, "&gt;="&amp;$C74, Media!$C:$C, "&lt;"&amp;$C75)</f>
        <v>0</v>
      </c>
      <c r="L74" s="97">
        <f>SUMIFS(Media!J:J, Media!$C:$C, "&gt;="&amp;$C74, Media!$C:$C, "&lt;"&amp;$C75)</f>
        <v>0</v>
      </c>
      <c r="M74" s="97">
        <f t="shared" si="11"/>
        <v>0</v>
      </c>
      <c r="N74" s="64"/>
      <c r="O74" s="99">
        <f>SUMIFS(Media!M:M, Media!$C:$C, "&gt;="&amp;$C74, Media!$C:$C, "&lt;"&amp;$C75)</f>
        <v>0</v>
      </c>
      <c r="P74" s="64"/>
      <c r="Q74" s="98">
        <f>SUMIFS(Media!Q:Q, Media!$C:$C, "&gt;="&amp;$C74, Media!$C:$C, "&lt;"&amp;$C75)</f>
        <v>0</v>
      </c>
      <c r="R74" s="64"/>
      <c r="S74" s="100">
        <f>SUMIFS(Media!H:H, Media!$C:$C, "&gt;="&amp;$C74, Media!$C:$C, "&lt;"&amp;$C75)</f>
        <v>0</v>
      </c>
      <c r="T74" s="64"/>
      <c r="U74" s="100">
        <f t="shared" si="15"/>
        <v>72</v>
      </c>
      <c r="V74" s="64"/>
      <c r="W74" s="130" t="e">
        <f ca="1">IF($C74=Calculations!$C$53, I74, NA())</f>
        <v>#N/A</v>
      </c>
      <c r="X74" s="103" t="e">
        <f t="shared" ca="1" si="12"/>
        <v>#N/A</v>
      </c>
      <c r="Y74" s="64"/>
      <c r="Z74" s="130" t="e">
        <f ca="1">IF($C74=Calculations!$E$85, M74, NA())</f>
        <v>#N/A</v>
      </c>
      <c r="AA74" s="130" t="e">
        <f ca="1">IF($C74=Calculations!$E$86, M74, NA())</f>
        <v>#N/A</v>
      </c>
      <c r="AB74" s="130" t="e">
        <f ca="1">IF($C74=Calculations!$E$87, M74, NA())</f>
        <v>#N/A</v>
      </c>
      <c r="AC74" s="130" t="e">
        <f t="shared" ca="1" si="13"/>
        <v>#N/A</v>
      </c>
      <c r="AD74" s="64"/>
      <c r="AE74" s="130" t="e">
        <f ca="1">IF($C74=Calculations!$C$142,Tables!S74, NA())</f>
        <v>#N/A</v>
      </c>
      <c r="AF74" s="130" t="e">
        <f t="shared" ca="1" si="14"/>
        <v>#N/A</v>
      </c>
      <c r="XN74" s="79"/>
    </row>
    <row r="75" spans="1:638" ht="15" customHeight="1" x14ac:dyDescent="0.25">
      <c r="A75" s="51">
        <f t="shared" si="8"/>
        <v>42940</v>
      </c>
      <c r="B75" s="52">
        <f>IF(C76&lt;Charts!$H$3,0,IF(DATE(YEAR(Charts!$H$3),MONTH(Charts!$H$3),DAY(Charts!$H$3))=DATE(YEAR(C76), MONTH(C76),DAY(C76)),0,TEXT(C75,"m/d/yy")&amp;"-"&amp;TEXT(C75+6,"m/d/yy")))</f>
        <v>0</v>
      </c>
      <c r="C75" s="53">
        <f>IF(Controls!$J$24="Monthly",DATE(YEAR(C76),MONTH(C76)-1,1),C76-Controls!$I$24)</f>
        <v>42940</v>
      </c>
      <c r="D75" s="54">
        <f t="shared" si="9"/>
        <v>42940</v>
      </c>
      <c r="E75" s="64"/>
      <c r="F75" s="96">
        <f>COUNTIFS(Media!C:C, "&gt;="&amp;$C75, Media!C:C, "&lt;"&amp;$C76, Media!G:G,"image")</f>
        <v>0</v>
      </c>
      <c r="G75" s="97">
        <f>COUNTIFS(Media!C:C, "&gt;="&amp;$C75, Media!C:C, "&lt;"&amp;$C76, Media!G:G,"video")</f>
        <v>0</v>
      </c>
      <c r="H75" s="251">
        <f>COUNTIFS(Media!C:C, "&gt;="&amp;$C75, Media!C:C, "&lt;"&amp;$C76, Media!G:G,"carousel")</f>
        <v>0</v>
      </c>
      <c r="I75" s="97">
        <f t="shared" si="10"/>
        <v>0</v>
      </c>
      <c r="J75" s="64"/>
      <c r="K75" s="97">
        <f>SUMIFS(Media!K:K, Media!$C:$C, "&gt;="&amp;$C75, Media!$C:$C, "&lt;"&amp;$C76)</f>
        <v>0</v>
      </c>
      <c r="L75" s="97">
        <f>SUMIFS(Media!J:J, Media!$C:$C, "&gt;="&amp;$C75, Media!$C:$C, "&lt;"&amp;$C76)</f>
        <v>0</v>
      </c>
      <c r="M75" s="97">
        <f t="shared" si="11"/>
        <v>0</v>
      </c>
      <c r="N75" s="64"/>
      <c r="O75" s="99">
        <f>SUMIFS(Media!M:M, Media!$C:$C, "&gt;="&amp;$C75, Media!$C:$C, "&lt;"&amp;$C76)</f>
        <v>0</v>
      </c>
      <c r="P75" s="64"/>
      <c r="Q75" s="98">
        <f>SUMIFS(Media!Q:Q, Media!$C:$C, "&gt;="&amp;$C75, Media!$C:$C, "&lt;"&amp;$C76)</f>
        <v>0</v>
      </c>
      <c r="R75" s="64"/>
      <c r="S75" s="100">
        <f>SUMIFS(Media!H:H, Media!$C:$C, "&gt;="&amp;$C75, Media!$C:$C, "&lt;"&amp;$C76)</f>
        <v>0</v>
      </c>
      <c r="T75" s="64"/>
      <c r="U75" s="100">
        <f t="shared" si="15"/>
        <v>73</v>
      </c>
      <c r="V75" s="64"/>
      <c r="W75" s="130" t="e">
        <f ca="1">IF($C75=Calculations!$C$53, I75, NA())</f>
        <v>#N/A</v>
      </c>
      <c r="X75" s="103" t="e">
        <f t="shared" ca="1" si="12"/>
        <v>#N/A</v>
      </c>
      <c r="Y75" s="64"/>
      <c r="Z75" s="130" t="e">
        <f ca="1">IF($C75=Calculations!$E$85, M75, NA())</f>
        <v>#N/A</v>
      </c>
      <c r="AA75" s="130" t="e">
        <f ca="1">IF($C75=Calculations!$E$86, M75, NA())</f>
        <v>#N/A</v>
      </c>
      <c r="AB75" s="130" t="e">
        <f ca="1">IF($C75=Calculations!$E$87, M75, NA())</f>
        <v>#N/A</v>
      </c>
      <c r="AC75" s="130" t="e">
        <f t="shared" ca="1" si="13"/>
        <v>#N/A</v>
      </c>
      <c r="AD75" s="64"/>
      <c r="AE75" s="130" t="e">
        <f ca="1">IF($C75=Calculations!$C$142,Tables!S75, NA())</f>
        <v>#N/A</v>
      </c>
      <c r="AF75" s="130" t="e">
        <f t="shared" ca="1" si="14"/>
        <v>#N/A</v>
      </c>
      <c r="XN75" s="79"/>
    </row>
    <row r="76" spans="1:638" ht="15" customHeight="1" x14ac:dyDescent="0.25">
      <c r="A76" s="51">
        <f t="shared" si="8"/>
        <v>42941</v>
      </c>
      <c r="B76" s="52">
        <f>IF(C77&lt;Charts!$H$3,0,IF(DATE(YEAR(Charts!$H$3),MONTH(Charts!$H$3),DAY(Charts!$H$3))=DATE(YEAR(C77), MONTH(C77),DAY(C77)),0,TEXT(C76,"m/d/yy")&amp;"-"&amp;TEXT(C76+6,"m/d/yy")))</f>
        <v>0</v>
      </c>
      <c r="C76" s="53">
        <f>IF(Controls!$J$24="Monthly",DATE(YEAR(C77),MONTH(C77)-1,1),C77-Controls!$I$24)</f>
        <v>42941</v>
      </c>
      <c r="D76" s="54">
        <f t="shared" si="9"/>
        <v>42941</v>
      </c>
      <c r="E76" s="64"/>
      <c r="F76" s="96">
        <f>COUNTIFS(Media!C:C, "&gt;="&amp;$C76, Media!C:C, "&lt;"&amp;$C77, Media!G:G,"image")</f>
        <v>0</v>
      </c>
      <c r="G76" s="97">
        <f>COUNTIFS(Media!C:C, "&gt;="&amp;$C76, Media!C:C, "&lt;"&amp;$C77, Media!G:G,"video")</f>
        <v>0</v>
      </c>
      <c r="H76" s="251">
        <f>COUNTIFS(Media!C:C, "&gt;="&amp;$C76, Media!C:C, "&lt;"&amp;$C77, Media!G:G,"carousel")</f>
        <v>0</v>
      </c>
      <c r="I76" s="97">
        <f t="shared" si="10"/>
        <v>0</v>
      </c>
      <c r="J76" s="64"/>
      <c r="K76" s="97">
        <f>SUMIFS(Media!K:K, Media!$C:$C, "&gt;="&amp;$C76, Media!$C:$C, "&lt;"&amp;$C77)</f>
        <v>0</v>
      </c>
      <c r="L76" s="97">
        <f>SUMIFS(Media!J:J, Media!$C:$C, "&gt;="&amp;$C76, Media!$C:$C, "&lt;"&amp;$C77)</f>
        <v>0</v>
      </c>
      <c r="M76" s="97">
        <f t="shared" si="11"/>
        <v>0</v>
      </c>
      <c r="N76" s="64"/>
      <c r="O76" s="99">
        <f>SUMIFS(Media!M:M, Media!$C:$C, "&gt;="&amp;$C76, Media!$C:$C, "&lt;"&amp;$C77)</f>
        <v>0</v>
      </c>
      <c r="P76" s="64"/>
      <c r="Q76" s="98">
        <f>SUMIFS(Media!Q:Q, Media!$C:$C, "&gt;="&amp;$C76, Media!$C:$C, "&lt;"&amp;$C77)</f>
        <v>0</v>
      </c>
      <c r="R76" s="64"/>
      <c r="S76" s="100">
        <f>SUMIFS(Media!H:H, Media!$C:$C, "&gt;="&amp;$C76, Media!$C:$C, "&lt;"&amp;$C77)</f>
        <v>0</v>
      </c>
      <c r="T76" s="64"/>
      <c r="U76" s="100">
        <f t="shared" si="15"/>
        <v>74</v>
      </c>
      <c r="V76" s="64"/>
      <c r="W76" s="130" t="e">
        <f ca="1">IF($C76=Calculations!$C$53, I76, NA())</f>
        <v>#N/A</v>
      </c>
      <c r="X76" s="103" t="e">
        <f t="shared" ca="1" si="12"/>
        <v>#N/A</v>
      </c>
      <c r="Y76" s="64"/>
      <c r="Z76" s="130" t="e">
        <f ca="1">IF($C76=Calculations!$E$85, M76, NA())</f>
        <v>#N/A</v>
      </c>
      <c r="AA76" s="130" t="e">
        <f ca="1">IF($C76=Calculations!$E$86, M76, NA())</f>
        <v>#N/A</v>
      </c>
      <c r="AB76" s="130" t="e">
        <f ca="1">IF($C76=Calculations!$E$87, M76, NA())</f>
        <v>#N/A</v>
      </c>
      <c r="AC76" s="130" t="e">
        <f t="shared" ca="1" si="13"/>
        <v>#N/A</v>
      </c>
      <c r="AD76" s="64"/>
      <c r="AE76" s="130" t="e">
        <f ca="1">IF($C76=Calculations!$C$142,Tables!S76, NA())</f>
        <v>#N/A</v>
      </c>
      <c r="AF76" s="130" t="e">
        <f t="shared" ca="1" si="14"/>
        <v>#N/A</v>
      </c>
      <c r="XN76" s="79"/>
    </row>
    <row r="77" spans="1:638" ht="15" customHeight="1" x14ac:dyDescent="0.25">
      <c r="A77" s="51">
        <f t="shared" si="8"/>
        <v>42942</v>
      </c>
      <c r="B77" s="52">
        <f>IF(C78&lt;Charts!$H$3,0,IF(DATE(YEAR(Charts!$H$3),MONTH(Charts!$H$3),DAY(Charts!$H$3))=DATE(YEAR(C78), MONTH(C78),DAY(C78)),0,TEXT(C77,"m/d/yy")&amp;"-"&amp;TEXT(C77+6,"m/d/yy")))</f>
        <v>0</v>
      </c>
      <c r="C77" s="53">
        <f>IF(Controls!$J$24="Monthly",DATE(YEAR(C78),MONTH(C78)-1,1),C78-Controls!$I$24)</f>
        <v>42942</v>
      </c>
      <c r="D77" s="54">
        <f t="shared" si="9"/>
        <v>42942</v>
      </c>
      <c r="E77" s="64"/>
      <c r="F77" s="96">
        <f>COUNTIFS(Media!C:C, "&gt;="&amp;$C77, Media!C:C, "&lt;"&amp;$C78, Media!G:G,"image")</f>
        <v>0</v>
      </c>
      <c r="G77" s="97">
        <f>COUNTIFS(Media!C:C, "&gt;="&amp;$C77, Media!C:C, "&lt;"&amp;$C78, Media!G:G,"video")</f>
        <v>0</v>
      </c>
      <c r="H77" s="251">
        <f>COUNTIFS(Media!C:C, "&gt;="&amp;$C77, Media!C:C, "&lt;"&amp;$C78, Media!G:G,"carousel")</f>
        <v>0</v>
      </c>
      <c r="I77" s="97">
        <f t="shared" si="10"/>
        <v>0</v>
      </c>
      <c r="J77" s="64"/>
      <c r="K77" s="97">
        <f>SUMIFS(Media!K:K, Media!$C:$C, "&gt;="&amp;$C77, Media!$C:$C, "&lt;"&amp;$C78)</f>
        <v>0</v>
      </c>
      <c r="L77" s="97">
        <f>SUMIFS(Media!J:J, Media!$C:$C, "&gt;="&amp;$C77, Media!$C:$C, "&lt;"&amp;$C78)</f>
        <v>0</v>
      </c>
      <c r="M77" s="97">
        <f t="shared" si="11"/>
        <v>0</v>
      </c>
      <c r="N77" s="64"/>
      <c r="O77" s="99">
        <f>SUMIFS(Media!M:M, Media!$C:$C, "&gt;="&amp;$C77, Media!$C:$C, "&lt;"&amp;$C78)</f>
        <v>0</v>
      </c>
      <c r="P77" s="64"/>
      <c r="Q77" s="98">
        <f>SUMIFS(Media!Q:Q, Media!$C:$C, "&gt;="&amp;$C77, Media!$C:$C, "&lt;"&amp;$C78)</f>
        <v>0</v>
      </c>
      <c r="R77" s="64"/>
      <c r="S77" s="100">
        <f>SUMIFS(Media!H:H, Media!$C:$C, "&gt;="&amp;$C77, Media!$C:$C, "&lt;"&amp;$C78)</f>
        <v>0</v>
      </c>
      <c r="T77" s="64"/>
      <c r="U77" s="100">
        <f t="shared" si="15"/>
        <v>75</v>
      </c>
      <c r="V77" s="64"/>
      <c r="W77" s="130" t="e">
        <f ca="1">IF($C77=Calculations!$C$53, I77, NA())</f>
        <v>#N/A</v>
      </c>
      <c r="X77" s="103" t="e">
        <f t="shared" ca="1" si="12"/>
        <v>#N/A</v>
      </c>
      <c r="Y77" s="64"/>
      <c r="Z77" s="130" t="e">
        <f ca="1">IF($C77=Calculations!$E$85, M77, NA())</f>
        <v>#N/A</v>
      </c>
      <c r="AA77" s="130" t="e">
        <f ca="1">IF($C77=Calculations!$E$86, M77, NA())</f>
        <v>#N/A</v>
      </c>
      <c r="AB77" s="130" t="e">
        <f ca="1">IF($C77=Calculations!$E$87, M77, NA())</f>
        <v>#N/A</v>
      </c>
      <c r="AC77" s="130" t="e">
        <f t="shared" ca="1" si="13"/>
        <v>#N/A</v>
      </c>
      <c r="AD77" s="64"/>
      <c r="AE77" s="130" t="e">
        <f ca="1">IF($C77=Calculations!$C$142,Tables!S77, NA())</f>
        <v>#N/A</v>
      </c>
      <c r="AF77" s="130" t="e">
        <f t="shared" ca="1" si="14"/>
        <v>#N/A</v>
      </c>
      <c r="XN77" s="79"/>
    </row>
    <row r="78" spans="1:638" ht="15" customHeight="1" x14ac:dyDescent="0.25">
      <c r="A78" s="51">
        <f t="shared" si="8"/>
        <v>42943</v>
      </c>
      <c r="B78" s="52">
        <f>IF(C79&lt;Charts!$H$3,0,IF(DATE(YEAR(Charts!$H$3),MONTH(Charts!$H$3),DAY(Charts!$H$3))=DATE(YEAR(C79), MONTH(C79),DAY(C79)),0,TEXT(C78,"m/d/yy")&amp;"-"&amp;TEXT(C78+6,"m/d/yy")))</f>
        <v>0</v>
      </c>
      <c r="C78" s="53">
        <f>IF(Controls!$J$24="Monthly",DATE(YEAR(C79),MONTH(C79)-1,1),C79-Controls!$I$24)</f>
        <v>42943</v>
      </c>
      <c r="D78" s="54">
        <f t="shared" si="9"/>
        <v>42943</v>
      </c>
      <c r="E78" s="64"/>
      <c r="F78" s="96">
        <f>COUNTIFS(Media!C:C, "&gt;="&amp;$C78, Media!C:C, "&lt;"&amp;$C79, Media!G:G,"image")</f>
        <v>0</v>
      </c>
      <c r="G78" s="97">
        <f>COUNTIFS(Media!C:C, "&gt;="&amp;$C78, Media!C:C, "&lt;"&amp;$C79, Media!G:G,"video")</f>
        <v>0</v>
      </c>
      <c r="H78" s="251">
        <f>COUNTIFS(Media!C:C, "&gt;="&amp;$C78, Media!C:C, "&lt;"&amp;$C79, Media!G:G,"carousel")</f>
        <v>0</v>
      </c>
      <c r="I78" s="97">
        <f t="shared" si="10"/>
        <v>0</v>
      </c>
      <c r="J78" s="64"/>
      <c r="K78" s="97">
        <f>SUMIFS(Media!K:K, Media!$C:$C, "&gt;="&amp;$C78, Media!$C:$C, "&lt;"&amp;$C79)</f>
        <v>0</v>
      </c>
      <c r="L78" s="97">
        <f>SUMIFS(Media!J:J, Media!$C:$C, "&gt;="&amp;$C78, Media!$C:$C, "&lt;"&amp;$C79)</f>
        <v>0</v>
      </c>
      <c r="M78" s="97">
        <f t="shared" si="11"/>
        <v>0</v>
      </c>
      <c r="N78" s="64"/>
      <c r="O78" s="99">
        <f>SUMIFS(Media!M:M, Media!$C:$C, "&gt;="&amp;$C78, Media!$C:$C, "&lt;"&amp;$C79)</f>
        <v>0</v>
      </c>
      <c r="P78" s="64"/>
      <c r="Q78" s="98">
        <f>SUMIFS(Media!Q:Q, Media!$C:$C, "&gt;="&amp;$C78, Media!$C:$C, "&lt;"&amp;$C79)</f>
        <v>0</v>
      </c>
      <c r="R78" s="64"/>
      <c r="S78" s="100">
        <f>SUMIFS(Media!H:H, Media!$C:$C, "&gt;="&amp;$C78, Media!$C:$C, "&lt;"&amp;$C79)</f>
        <v>0</v>
      </c>
      <c r="T78" s="64"/>
      <c r="U78" s="100">
        <f t="shared" si="15"/>
        <v>76</v>
      </c>
      <c r="V78" s="64"/>
      <c r="W78" s="130" t="e">
        <f ca="1">IF($C78=Calculations!$C$53, I78, NA())</f>
        <v>#N/A</v>
      </c>
      <c r="X78" s="103" t="e">
        <f t="shared" ca="1" si="12"/>
        <v>#N/A</v>
      </c>
      <c r="Y78" s="64"/>
      <c r="Z78" s="130" t="e">
        <f ca="1">IF($C78=Calculations!$E$85, M78, NA())</f>
        <v>#N/A</v>
      </c>
      <c r="AA78" s="130" t="e">
        <f ca="1">IF($C78=Calculations!$E$86, M78, NA())</f>
        <v>#N/A</v>
      </c>
      <c r="AB78" s="130" t="e">
        <f ca="1">IF($C78=Calculations!$E$87, M78, NA())</f>
        <v>#N/A</v>
      </c>
      <c r="AC78" s="130" t="e">
        <f t="shared" ca="1" si="13"/>
        <v>#N/A</v>
      </c>
      <c r="AD78" s="64"/>
      <c r="AE78" s="130" t="e">
        <f ca="1">IF($C78=Calculations!$C$142,Tables!S78, NA())</f>
        <v>#N/A</v>
      </c>
      <c r="AF78" s="130" t="e">
        <f t="shared" ca="1" si="14"/>
        <v>#N/A</v>
      </c>
      <c r="XN78" s="79"/>
    </row>
    <row r="79" spans="1:638" ht="15" customHeight="1" x14ac:dyDescent="0.25">
      <c r="A79" s="51">
        <f t="shared" si="8"/>
        <v>42944</v>
      </c>
      <c r="B79" s="52">
        <f>IF(C80&lt;Charts!$H$3,0,IF(DATE(YEAR(Charts!$H$3),MONTH(Charts!$H$3),DAY(Charts!$H$3))=DATE(YEAR(C80), MONTH(C80),DAY(C80)),0,TEXT(C79,"m/d/yy")&amp;"-"&amp;TEXT(C79+6,"m/d/yy")))</f>
        <v>0</v>
      </c>
      <c r="C79" s="53">
        <f>IF(Controls!$J$24="Monthly",DATE(YEAR(C80),MONTH(C80)-1,1),C80-Controls!$I$24)</f>
        <v>42944</v>
      </c>
      <c r="D79" s="54">
        <f t="shared" si="9"/>
        <v>42944</v>
      </c>
      <c r="E79" s="64"/>
      <c r="F79" s="96">
        <f>COUNTIFS(Media!C:C, "&gt;="&amp;$C79, Media!C:C, "&lt;"&amp;$C80, Media!G:G,"image")</f>
        <v>0</v>
      </c>
      <c r="G79" s="97">
        <f>COUNTIFS(Media!C:C, "&gt;="&amp;$C79, Media!C:C, "&lt;"&amp;$C80, Media!G:G,"video")</f>
        <v>0</v>
      </c>
      <c r="H79" s="251">
        <f>COUNTIFS(Media!C:C, "&gt;="&amp;$C79, Media!C:C, "&lt;"&amp;$C80, Media!G:G,"carousel")</f>
        <v>0</v>
      </c>
      <c r="I79" s="97">
        <f t="shared" si="10"/>
        <v>0</v>
      </c>
      <c r="J79" s="64"/>
      <c r="K79" s="97">
        <f>SUMIFS(Media!K:K, Media!$C:$C, "&gt;="&amp;$C79, Media!$C:$C, "&lt;"&amp;$C80)</f>
        <v>0</v>
      </c>
      <c r="L79" s="97">
        <f>SUMIFS(Media!J:J, Media!$C:$C, "&gt;="&amp;$C79, Media!$C:$C, "&lt;"&amp;$C80)</f>
        <v>0</v>
      </c>
      <c r="M79" s="97">
        <f t="shared" si="11"/>
        <v>0</v>
      </c>
      <c r="N79" s="64"/>
      <c r="O79" s="99">
        <f>SUMIFS(Media!M:M, Media!$C:$C, "&gt;="&amp;$C79, Media!$C:$C, "&lt;"&amp;$C80)</f>
        <v>0</v>
      </c>
      <c r="P79" s="64"/>
      <c r="Q79" s="98">
        <f>SUMIFS(Media!Q:Q, Media!$C:$C, "&gt;="&amp;$C79, Media!$C:$C, "&lt;"&amp;$C80)</f>
        <v>0</v>
      </c>
      <c r="R79" s="64"/>
      <c r="S79" s="100">
        <f>SUMIFS(Media!H:H, Media!$C:$C, "&gt;="&amp;$C79, Media!$C:$C, "&lt;"&amp;$C80)</f>
        <v>0</v>
      </c>
      <c r="T79" s="64"/>
      <c r="U79" s="100">
        <f t="shared" si="15"/>
        <v>77</v>
      </c>
      <c r="V79" s="64"/>
      <c r="W79" s="130" t="e">
        <f ca="1">IF($C79=Calculations!$C$53, I79, NA())</f>
        <v>#N/A</v>
      </c>
      <c r="X79" s="103" t="e">
        <f t="shared" ca="1" si="12"/>
        <v>#N/A</v>
      </c>
      <c r="Y79" s="64"/>
      <c r="Z79" s="130" t="e">
        <f ca="1">IF($C79=Calculations!$E$85, M79, NA())</f>
        <v>#N/A</v>
      </c>
      <c r="AA79" s="130" t="e">
        <f ca="1">IF($C79=Calculations!$E$86, M79, NA())</f>
        <v>#N/A</v>
      </c>
      <c r="AB79" s="130" t="e">
        <f ca="1">IF($C79=Calculations!$E$87, M79, NA())</f>
        <v>#N/A</v>
      </c>
      <c r="AC79" s="130" t="e">
        <f t="shared" ca="1" si="13"/>
        <v>#N/A</v>
      </c>
      <c r="AD79" s="64"/>
      <c r="AE79" s="130" t="e">
        <f ca="1">IF($C79=Calculations!$C$142,Tables!S79, NA())</f>
        <v>#N/A</v>
      </c>
      <c r="AF79" s="130" t="e">
        <f t="shared" ca="1" si="14"/>
        <v>#N/A</v>
      </c>
      <c r="XN79" s="79"/>
    </row>
    <row r="80" spans="1:638" ht="15" customHeight="1" x14ac:dyDescent="0.25">
      <c r="A80" s="51">
        <f t="shared" si="8"/>
        <v>42945</v>
      </c>
      <c r="B80" s="52">
        <f>IF(C81&lt;Charts!$H$3,0,IF(DATE(YEAR(Charts!$H$3),MONTH(Charts!$H$3),DAY(Charts!$H$3))=DATE(YEAR(C81), MONTH(C81),DAY(C81)),0,TEXT(C80,"m/d/yy")&amp;"-"&amp;TEXT(C80+6,"m/d/yy")))</f>
        <v>0</v>
      </c>
      <c r="C80" s="53">
        <f>IF(Controls!$J$24="Monthly",DATE(YEAR(C81),MONTH(C81)-1,1),C81-Controls!$I$24)</f>
        <v>42945</v>
      </c>
      <c r="D80" s="54">
        <f t="shared" si="9"/>
        <v>42945</v>
      </c>
      <c r="E80" s="64"/>
      <c r="F80" s="96">
        <f>COUNTIFS(Media!C:C, "&gt;="&amp;$C80, Media!C:C, "&lt;"&amp;$C81, Media!G:G,"image")</f>
        <v>0</v>
      </c>
      <c r="G80" s="97">
        <f>COUNTIFS(Media!C:C, "&gt;="&amp;$C80, Media!C:C, "&lt;"&amp;$C81, Media!G:G,"video")</f>
        <v>0</v>
      </c>
      <c r="H80" s="251">
        <f>COUNTIFS(Media!C:C, "&gt;="&amp;$C80, Media!C:C, "&lt;"&amp;$C81, Media!G:G,"carousel")</f>
        <v>0</v>
      </c>
      <c r="I80" s="97">
        <f t="shared" si="10"/>
        <v>0</v>
      </c>
      <c r="J80" s="64"/>
      <c r="K80" s="97">
        <f>SUMIFS(Media!K:K, Media!$C:$C, "&gt;="&amp;$C80, Media!$C:$C, "&lt;"&amp;$C81)</f>
        <v>0</v>
      </c>
      <c r="L80" s="97">
        <f>SUMIFS(Media!J:J, Media!$C:$C, "&gt;="&amp;$C80, Media!$C:$C, "&lt;"&amp;$C81)</f>
        <v>0</v>
      </c>
      <c r="M80" s="97">
        <f t="shared" si="11"/>
        <v>0</v>
      </c>
      <c r="N80" s="64"/>
      <c r="O80" s="99">
        <f>SUMIFS(Media!M:M, Media!$C:$C, "&gt;="&amp;$C80, Media!$C:$C, "&lt;"&amp;$C81)</f>
        <v>0</v>
      </c>
      <c r="P80" s="64"/>
      <c r="Q80" s="98">
        <f>SUMIFS(Media!Q:Q, Media!$C:$C, "&gt;="&amp;$C80, Media!$C:$C, "&lt;"&amp;$C81)</f>
        <v>0</v>
      </c>
      <c r="R80" s="64"/>
      <c r="S80" s="100">
        <f>SUMIFS(Media!H:H, Media!$C:$C, "&gt;="&amp;$C80, Media!$C:$C, "&lt;"&amp;$C81)</f>
        <v>0</v>
      </c>
      <c r="T80" s="64"/>
      <c r="U80" s="100">
        <f t="shared" si="15"/>
        <v>78</v>
      </c>
      <c r="V80" s="64"/>
      <c r="W80" s="130" t="e">
        <f ca="1">IF($C80=Calculations!$C$53, I80, NA())</f>
        <v>#N/A</v>
      </c>
      <c r="X80" s="103" t="e">
        <f t="shared" ca="1" si="12"/>
        <v>#N/A</v>
      </c>
      <c r="Y80" s="64"/>
      <c r="Z80" s="130" t="e">
        <f ca="1">IF($C80=Calculations!$E$85, M80, NA())</f>
        <v>#N/A</v>
      </c>
      <c r="AA80" s="130" t="e">
        <f ca="1">IF($C80=Calculations!$E$86, M80, NA())</f>
        <v>#N/A</v>
      </c>
      <c r="AB80" s="130" t="e">
        <f ca="1">IF($C80=Calculations!$E$87, M80, NA())</f>
        <v>#N/A</v>
      </c>
      <c r="AC80" s="130" t="e">
        <f t="shared" ca="1" si="13"/>
        <v>#N/A</v>
      </c>
      <c r="AD80" s="64"/>
      <c r="AE80" s="130" t="e">
        <f ca="1">IF($C80=Calculations!$C$142,Tables!S80, NA())</f>
        <v>#N/A</v>
      </c>
      <c r="AF80" s="130" t="e">
        <f t="shared" ca="1" si="14"/>
        <v>#N/A</v>
      </c>
      <c r="XN80" s="79"/>
    </row>
    <row r="81" spans="1:638" ht="15" customHeight="1" x14ac:dyDescent="0.25">
      <c r="A81" s="51">
        <f t="shared" si="8"/>
        <v>42946</v>
      </c>
      <c r="B81" s="52">
        <f>IF(C82&lt;Charts!$H$3,0,IF(DATE(YEAR(Charts!$H$3),MONTH(Charts!$H$3),DAY(Charts!$H$3))=DATE(YEAR(C82), MONTH(C82),DAY(C82)),0,TEXT(C81,"m/d/yy")&amp;"-"&amp;TEXT(C81+6,"m/d/yy")))</f>
        <v>0</v>
      </c>
      <c r="C81" s="53">
        <f>IF(Controls!$J$24="Monthly",DATE(YEAR(C82),MONTH(C82)-1,1),C82-Controls!$I$24)</f>
        <v>42946</v>
      </c>
      <c r="D81" s="54">
        <f t="shared" si="9"/>
        <v>42946</v>
      </c>
      <c r="E81" s="64"/>
      <c r="F81" s="96">
        <f>COUNTIFS(Media!C:C, "&gt;="&amp;$C81, Media!C:C, "&lt;"&amp;$C82, Media!G:G,"image")</f>
        <v>0</v>
      </c>
      <c r="G81" s="97">
        <f>COUNTIFS(Media!C:C, "&gt;="&amp;$C81, Media!C:C, "&lt;"&amp;$C82, Media!G:G,"video")</f>
        <v>0</v>
      </c>
      <c r="H81" s="251">
        <f>COUNTIFS(Media!C:C, "&gt;="&amp;$C81, Media!C:C, "&lt;"&amp;$C82, Media!G:G,"carousel")</f>
        <v>0</v>
      </c>
      <c r="I81" s="97">
        <f t="shared" si="10"/>
        <v>0</v>
      </c>
      <c r="J81" s="64"/>
      <c r="K81" s="97">
        <f>SUMIFS(Media!K:K, Media!$C:$C, "&gt;="&amp;$C81, Media!$C:$C, "&lt;"&amp;$C82)</f>
        <v>0</v>
      </c>
      <c r="L81" s="97">
        <f>SUMIFS(Media!J:J, Media!$C:$C, "&gt;="&amp;$C81, Media!$C:$C, "&lt;"&amp;$C82)</f>
        <v>0</v>
      </c>
      <c r="M81" s="97">
        <f t="shared" si="11"/>
        <v>0</v>
      </c>
      <c r="N81" s="64"/>
      <c r="O81" s="99">
        <f>SUMIFS(Media!M:M, Media!$C:$C, "&gt;="&amp;$C81, Media!$C:$C, "&lt;"&amp;$C82)</f>
        <v>0</v>
      </c>
      <c r="P81" s="64"/>
      <c r="Q81" s="98">
        <f>SUMIFS(Media!Q:Q, Media!$C:$C, "&gt;="&amp;$C81, Media!$C:$C, "&lt;"&amp;$C82)</f>
        <v>0</v>
      </c>
      <c r="R81" s="64"/>
      <c r="S81" s="100">
        <f>SUMIFS(Media!H:H, Media!$C:$C, "&gt;="&amp;$C81, Media!$C:$C, "&lt;"&amp;$C82)</f>
        <v>0</v>
      </c>
      <c r="T81" s="64"/>
      <c r="U81" s="100">
        <f t="shared" si="15"/>
        <v>79</v>
      </c>
      <c r="V81" s="64"/>
      <c r="W81" s="130" t="e">
        <f ca="1">IF($C81=Calculations!$C$53, I81, NA())</f>
        <v>#N/A</v>
      </c>
      <c r="X81" s="103" t="e">
        <f t="shared" ca="1" si="12"/>
        <v>#N/A</v>
      </c>
      <c r="Y81" s="64"/>
      <c r="Z81" s="130" t="e">
        <f ca="1">IF($C81=Calculations!$E$85, M81, NA())</f>
        <v>#N/A</v>
      </c>
      <c r="AA81" s="130" t="e">
        <f ca="1">IF($C81=Calculations!$E$86, M81, NA())</f>
        <v>#N/A</v>
      </c>
      <c r="AB81" s="130" t="e">
        <f ca="1">IF($C81=Calculations!$E$87, M81, NA())</f>
        <v>#N/A</v>
      </c>
      <c r="AC81" s="130" t="e">
        <f t="shared" ca="1" si="13"/>
        <v>#N/A</v>
      </c>
      <c r="AD81" s="64"/>
      <c r="AE81" s="130" t="e">
        <f ca="1">IF($C81=Calculations!$C$142,Tables!S81, NA())</f>
        <v>#N/A</v>
      </c>
      <c r="AF81" s="130" t="e">
        <f t="shared" ca="1" si="14"/>
        <v>#N/A</v>
      </c>
      <c r="XN81" s="79"/>
    </row>
    <row r="82" spans="1:638" ht="15" customHeight="1" x14ac:dyDescent="0.25">
      <c r="A82" s="51">
        <f t="shared" si="8"/>
        <v>42947</v>
      </c>
      <c r="B82" s="52">
        <f>IF(C83&lt;Charts!$H$3,0,IF(DATE(YEAR(Charts!$H$3),MONTH(Charts!$H$3),DAY(Charts!$H$3))=DATE(YEAR(C83), MONTH(C83),DAY(C83)),0,TEXT(C82,"m/d/yy")&amp;"-"&amp;TEXT(C82+6,"m/d/yy")))</f>
        <v>0</v>
      </c>
      <c r="C82" s="53">
        <f>IF(Controls!$J$24="Monthly",DATE(YEAR(C83),MONTH(C83)-1,1),C83-Controls!$I$24)</f>
        <v>42947</v>
      </c>
      <c r="D82" s="54">
        <f t="shared" si="9"/>
        <v>42947</v>
      </c>
      <c r="E82" s="64"/>
      <c r="F82" s="96">
        <f>COUNTIFS(Media!C:C, "&gt;="&amp;$C82, Media!C:C, "&lt;"&amp;$C83, Media!G:G,"image")</f>
        <v>0</v>
      </c>
      <c r="G82" s="97">
        <f>COUNTIFS(Media!C:C, "&gt;="&amp;$C82, Media!C:C, "&lt;"&amp;$C83, Media!G:G,"video")</f>
        <v>0</v>
      </c>
      <c r="H82" s="251">
        <f>COUNTIFS(Media!C:C, "&gt;="&amp;$C82, Media!C:C, "&lt;"&amp;$C83, Media!G:G,"carousel")</f>
        <v>0</v>
      </c>
      <c r="I82" s="97">
        <f t="shared" si="10"/>
        <v>0</v>
      </c>
      <c r="J82" s="64"/>
      <c r="K82" s="97">
        <f>SUMIFS(Media!K:K, Media!$C:$C, "&gt;="&amp;$C82, Media!$C:$C, "&lt;"&amp;$C83)</f>
        <v>0</v>
      </c>
      <c r="L82" s="97">
        <f>SUMIFS(Media!J:J, Media!$C:$C, "&gt;="&amp;$C82, Media!$C:$C, "&lt;"&amp;$C83)</f>
        <v>0</v>
      </c>
      <c r="M82" s="97">
        <f t="shared" si="11"/>
        <v>0</v>
      </c>
      <c r="N82" s="64"/>
      <c r="O82" s="99">
        <f>SUMIFS(Media!M:M, Media!$C:$C, "&gt;="&amp;$C82, Media!$C:$C, "&lt;"&amp;$C83)</f>
        <v>0</v>
      </c>
      <c r="P82" s="64"/>
      <c r="Q82" s="98">
        <f>SUMIFS(Media!Q:Q, Media!$C:$C, "&gt;="&amp;$C82, Media!$C:$C, "&lt;"&amp;$C83)</f>
        <v>0</v>
      </c>
      <c r="R82" s="64"/>
      <c r="S82" s="100">
        <f>SUMIFS(Media!H:H, Media!$C:$C, "&gt;="&amp;$C82, Media!$C:$C, "&lt;"&amp;$C83)</f>
        <v>0</v>
      </c>
      <c r="T82" s="64"/>
      <c r="U82" s="100">
        <f t="shared" si="15"/>
        <v>80</v>
      </c>
      <c r="V82" s="64"/>
      <c r="W82" s="130" t="e">
        <f ca="1">IF($C82=Calculations!$C$53, I82, NA())</f>
        <v>#N/A</v>
      </c>
      <c r="X82" s="103" t="e">
        <f t="shared" ca="1" si="12"/>
        <v>#N/A</v>
      </c>
      <c r="Y82" s="64"/>
      <c r="Z82" s="130" t="e">
        <f ca="1">IF($C82=Calculations!$E$85, M82, NA())</f>
        <v>#N/A</v>
      </c>
      <c r="AA82" s="130" t="e">
        <f ca="1">IF($C82=Calculations!$E$86, M82, NA())</f>
        <v>#N/A</v>
      </c>
      <c r="AB82" s="130" t="e">
        <f ca="1">IF($C82=Calculations!$E$87, M82, NA())</f>
        <v>#N/A</v>
      </c>
      <c r="AC82" s="130" t="e">
        <f t="shared" ca="1" si="13"/>
        <v>#N/A</v>
      </c>
      <c r="AD82" s="64"/>
      <c r="AE82" s="130" t="e">
        <f ca="1">IF($C82=Calculations!$C$142,Tables!S82, NA())</f>
        <v>#N/A</v>
      </c>
      <c r="AF82" s="130" t="e">
        <f t="shared" ca="1" si="14"/>
        <v>#N/A</v>
      </c>
      <c r="XN82" s="79"/>
    </row>
    <row r="83" spans="1:638" ht="15" customHeight="1" x14ac:dyDescent="0.25">
      <c r="A83" s="51">
        <f t="shared" si="8"/>
        <v>42948</v>
      </c>
      <c r="B83" s="52">
        <f>IF(C84&lt;Charts!$H$3,0,IF(DATE(YEAR(Charts!$H$3),MONTH(Charts!$H$3),DAY(Charts!$H$3))=DATE(YEAR(C84), MONTH(C84),DAY(C84)),0,TEXT(C83,"m/d/yy")&amp;"-"&amp;TEXT(C83+6,"m/d/yy")))</f>
        <v>0</v>
      </c>
      <c r="C83" s="53">
        <f>IF(Controls!$J$24="Monthly",DATE(YEAR(C84),MONTH(C84)-1,1),C84-Controls!$I$24)</f>
        <v>42948</v>
      </c>
      <c r="D83" s="54">
        <f t="shared" si="9"/>
        <v>42948</v>
      </c>
      <c r="E83" s="64"/>
      <c r="F83" s="96">
        <f>COUNTIFS(Media!C:C, "&gt;="&amp;$C83, Media!C:C, "&lt;"&amp;$C84, Media!G:G,"image")</f>
        <v>0</v>
      </c>
      <c r="G83" s="97">
        <f>COUNTIFS(Media!C:C, "&gt;="&amp;$C83, Media!C:C, "&lt;"&amp;$C84, Media!G:G,"video")</f>
        <v>0</v>
      </c>
      <c r="H83" s="251">
        <f>COUNTIFS(Media!C:C, "&gt;="&amp;$C83, Media!C:C, "&lt;"&amp;$C84, Media!G:G,"carousel")</f>
        <v>0</v>
      </c>
      <c r="I83" s="97">
        <f t="shared" si="10"/>
        <v>0</v>
      </c>
      <c r="J83" s="64"/>
      <c r="K83" s="97">
        <f>SUMIFS(Media!K:K, Media!$C:$C, "&gt;="&amp;$C83, Media!$C:$C, "&lt;"&amp;$C84)</f>
        <v>0</v>
      </c>
      <c r="L83" s="97">
        <f>SUMIFS(Media!J:J, Media!$C:$C, "&gt;="&amp;$C83, Media!$C:$C, "&lt;"&amp;$C84)</f>
        <v>0</v>
      </c>
      <c r="M83" s="97">
        <f t="shared" si="11"/>
        <v>0</v>
      </c>
      <c r="N83" s="64"/>
      <c r="O83" s="99">
        <f>SUMIFS(Media!M:M, Media!$C:$C, "&gt;="&amp;$C83, Media!$C:$C, "&lt;"&amp;$C84)</f>
        <v>0</v>
      </c>
      <c r="P83" s="64"/>
      <c r="Q83" s="98">
        <f>SUMIFS(Media!Q:Q, Media!$C:$C, "&gt;="&amp;$C83, Media!$C:$C, "&lt;"&amp;$C84)</f>
        <v>0</v>
      </c>
      <c r="R83" s="64"/>
      <c r="S83" s="100">
        <f>SUMIFS(Media!H:H, Media!$C:$C, "&gt;="&amp;$C83, Media!$C:$C, "&lt;"&amp;$C84)</f>
        <v>0</v>
      </c>
      <c r="T83" s="64"/>
      <c r="U83" s="100">
        <f t="shared" si="15"/>
        <v>81</v>
      </c>
      <c r="V83" s="64"/>
      <c r="W83" s="130" t="e">
        <f ca="1">IF($C83=Calculations!$C$53, I83, NA())</f>
        <v>#N/A</v>
      </c>
      <c r="X83" s="103" t="e">
        <f t="shared" ca="1" si="12"/>
        <v>#N/A</v>
      </c>
      <c r="Y83" s="64"/>
      <c r="Z83" s="130" t="e">
        <f ca="1">IF($C83=Calculations!$E$85, M83, NA())</f>
        <v>#N/A</v>
      </c>
      <c r="AA83" s="130" t="e">
        <f ca="1">IF($C83=Calculations!$E$86, M83, NA())</f>
        <v>#N/A</v>
      </c>
      <c r="AB83" s="130" t="e">
        <f ca="1">IF($C83=Calculations!$E$87, M83, NA())</f>
        <v>#N/A</v>
      </c>
      <c r="AC83" s="130" t="e">
        <f t="shared" ca="1" si="13"/>
        <v>#N/A</v>
      </c>
      <c r="AD83" s="64"/>
      <c r="AE83" s="130" t="e">
        <f ca="1">IF($C83=Calculations!$C$142,Tables!S83, NA())</f>
        <v>#N/A</v>
      </c>
      <c r="AF83" s="130" t="e">
        <f t="shared" ca="1" si="14"/>
        <v>#N/A</v>
      </c>
      <c r="XN83" s="79"/>
    </row>
    <row r="84" spans="1:638" ht="15" customHeight="1" x14ac:dyDescent="0.25">
      <c r="A84" s="51">
        <f t="shared" si="8"/>
        <v>42949</v>
      </c>
      <c r="B84" s="52">
        <f>IF(C85&lt;Charts!$H$3,0,IF(DATE(YEAR(Charts!$H$3),MONTH(Charts!$H$3),DAY(Charts!$H$3))=DATE(YEAR(C85), MONTH(C85),DAY(C85)),0,TEXT(C84,"m/d/yy")&amp;"-"&amp;TEXT(C84+6,"m/d/yy")))</f>
        <v>0</v>
      </c>
      <c r="C84" s="53">
        <f>IF(Controls!$J$24="Monthly",DATE(YEAR(C85),MONTH(C85)-1,1),C85-Controls!$I$24)</f>
        <v>42949</v>
      </c>
      <c r="D84" s="54">
        <f t="shared" si="9"/>
        <v>42949</v>
      </c>
      <c r="E84" s="64"/>
      <c r="F84" s="96">
        <f>COUNTIFS(Media!C:C, "&gt;="&amp;$C84, Media!C:C, "&lt;"&amp;$C85, Media!G:G,"image")</f>
        <v>0</v>
      </c>
      <c r="G84" s="97">
        <f>COUNTIFS(Media!C:C, "&gt;="&amp;$C84, Media!C:C, "&lt;"&amp;$C85, Media!G:G,"video")</f>
        <v>0</v>
      </c>
      <c r="H84" s="251">
        <f>COUNTIFS(Media!C:C, "&gt;="&amp;$C84, Media!C:C, "&lt;"&amp;$C85, Media!G:G,"carousel")</f>
        <v>0</v>
      </c>
      <c r="I84" s="97">
        <f t="shared" si="10"/>
        <v>0</v>
      </c>
      <c r="J84" s="64"/>
      <c r="K84" s="97">
        <f>SUMIFS(Media!K:K, Media!$C:$C, "&gt;="&amp;$C84, Media!$C:$C, "&lt;"&amp;$C85)</f>
        <v>0</v>
      </c>
      <c r="L84" s="97">
        <f>SUMIFS(Media!J:J, Media!$C:$C, "&gt;="&amp;$C84, Media!$C:$C, "&lt;"&amp;$C85)</f>
        <v>0</v>
      </c>
      <c r="M84" s="97">
        <f t="shared" si="11"/>
        <v>0</v>
      </c>
      <c r="N84" s="64"/>
      <c r="O84" s="99">
        <f>SUMIFS(Media!M:M, Media!$C:$C, "&gt;="&amp;$C84, Media!$C:$C, "&lt;"&amp;$C85)</f>
        <v>0</v>
      </c>
      <c r="P84" s="64"/>
      <c r="Q84" s="98">
        <f>SUMIFS(Media!Q:Q, Media!$C:$C, "&gt;="&amp;$C84, Media!$C:$C, "&lt;"&amp;$C85)</f>
        <v>0</v>
      </c>
      <c r="R84" s="64"/>
      <c r="S84" s="100">
        <f>SUMIFS(Media!H:H, Media!$C:$C, "&gt;="&amp;$C84, Media!$C:$C, "&lt;"&amp;$C85)</f>
        <v>0</v>
      </c>
      <c r="T84" s="64"/>
      <c r="U84" s="100">
        <f t="shared" si="15"/>
        <v>82</v>
      </c>
      <c r="V84" s="64"/>
      <c r="W84" s="130" t="e">
        <f ca="1">IF($C84=Calculations!$C$53, I84, NA())</f>
        <v>#N/A</v>
      </c>
      <c r="X84" s="103" t="e">
        <f t="shared" ca="1" si="12"/>
        <v>#N/A</v>
      </c>
      <c r="Y84" s="64"/>
      <c r="Z84" s="130" t="e">
        <f ca="1">IF($C84=Calculations!$E$85, M84, NA())</f>
        <v>#N/A</v>
      </c>
      <c r="AA84" s="130" t="e">
        <f ca="1">IF($C84=Calculations!$E$86, M84, NA())</f>
        <v>#N/A</v>
      </c>
      <c r="AB84" s="130" t="e">
        <f ca="1">IF($C84=Calculations!$E$87, M84, NA())</f>
        <v>#N/A</v>
      </c>
      <c r="AC84" s="130" t="e">
        <f t="shared" ca="1" si="13"/>
        <v>#N/A</v>
      </c>
      <c r="AD84" s="64"/>
      <c r="AE84" s="130" t="e">
        <f ca="1">IF($C84=Calculations!$C$142,Tables!S84, NA())</f>
        <v>#N/A</v>
      </c>
      <c r="AF84" s="130" t="e">
        <f t="shared" ca="1" si="14"/>
        <v>#N/A</v>
      </c>
      <c r="XN84" s="79"/>
    </row>
    <row r="85" spans="1:638" ht="15" customHeight="1" x14ac:dyDescent="0.25">
      <c r="A85" s="51">
        <f t="shared" si="8"/>
        <v>42950</v>
      </c>
      <c r="B85" s="52">
        <f>IF(C86&lt;Charts!$H$3,0,IF(DATE(YEAR(Charts!$H$3),MONTH(Charts!$H$3),DAY(Charts!$H$3))=DATE(YEAR(C86), MONTH(C86),DAY(C86)),0,TEXT(C85,"m/d/yy")&amp;"-"&amp;TEXT(C85+6,"m/d/yy")))</f>
        <v>0</v>
      </c>
      <c r="C85" s="53">
        <f>IF(Controls!$J$24="Monthly",DATE(YEAR(C86),MONTH(C86)-1,1),C86-Controls!$I$24)</f>
        <v>42950</v>
      </c>
      <c r="D85" s="54">
        <f t="shared" si="9"/>
        <v>42950</v>
      </c>
      <c r="E85" s="64"/>
      <c r="F85" s="96">
        <f>COUNTIFS(Media!C:C, "&gt;="&amp;$C85, Media!C:C, "&lt;"&amp;$C86, Media!G:G,"image")</f>
        <v>0</v>
      </c>
      <c r="G85" s="97">
        <f>COUNTIFS(Media!C:C, "&gt;="&amp;$C85, Media!C:C, "&lt;"&amp;$C86, Media!G:G,"video")</f>
        <v>0</v>
      </c>
      <c r="H85" s="251">
        <f>COUNTIFS(Media!C:C, "&gt;="&amp;$C85, Media!C:C, "&lt;"&amp;$C86, Media!G:G,"carousel")</f>
        <v>0</v>
      </c>
      <c r="I85" s="97">
        <f t="shared" si="10"/>
        <v>0</v>
      </c>
      <c r="J85" s="64"/>
      <c r="K85" s="97">
        <f>SUMIFS(Media!K:K, Media!$C:$C, "&gt;="&amp;$C85, Media!$C:$C, "&lt;"&amp;$C86)</f>
        <v>0</v>
      </c>
      <c r="L85" s="97">
        <f>SUMIFS(Media!J:J, Media!$C:$C, "&gt;="&amp;$C85, Media!$C:$C, "&lt;"&amp;$C86)</f>
        <v>0</v>
      </c>
      <c r="M85" s="97">
        <f t="shared" si="11"/>
        <v>0</v>
      </c>
      <c r="N85" s="64"/>
      <c r="O85" s="99">
        <f>SUMIFS(Media!M:M, Media!$C:$C, "&gt;="&amp;$C85, Media!$C:$C, "&lt;"&amp;$C86)</f>
        <v>0</v>
      </c>
      <c r="P85" s="64"/>
      <c r="Q85" s="98">
        <f>SUMIFS(Media!Q:Q, Media!$C:$C, "&gt;="&amp;$C85, Media!$C:$C, "&lt;"&amp;$C86)</f>
        <v>0</v>
      </c>
      <c r="R85" s="64"/>
      <c r="S85" s="100">
        <f>SUMIFS(Media!H:H, Media!$C:$C, "&gt;="&amp;$C85, Media!$C:$C, "&lt;"&amp;$C86)</f>
        <v>0</v>
      </c>
      <c r="T85" s="64"/>
      <c r="U85" s="100">
        <f t="shared" si="15"/>
        <v>83</v>
      </c>
      <c r="V85" s="64"/>
      <c r="W85" s="130" t="e">
        <f ca="1">IF($C85=Calculations!$C$53, I85, NA())</f>
        <v>#N/A</v>
      </c>
      <c r="X85" s="103" t="e">
        <f t="shared" ca="1" si="12"/>
        <v>#N/A</v>
      </c>
      <c r="Y85" s="64"/>
      <c r="Z85" s="130" t="e">
        <f ca="1">IF($C85=Calculations!$E$85, M85, NA())</f>
        <v>#N/A</v>
      </c>
      <c r="AA85" s="130" t="e">
        <f ca="1">IF($C85=Calculations!$E$86, M85, NA())</f>
        <v>#N/A</v>
      </c>
      <c r="AB85" s="130" t="e">
        <f ca="1">IF($C85=Calculations!$E$87, M85, NA())</f>
        <v>#N/A</v>
      </c>
      <c r="AC85" s="130" t="e">
        <f t="shared" ca="1" si="13"/>
        <v>#N/A</v>
      </c>
      <c r="AD85" s="64"/>
      <c r="AE85" s="130" t="e">
        <f ca="1">IF($C85=Calculations!$C$142,Tables!S85, NA())</f>
        <v>#N/A</v>
      </c>
      <c r="AF85" s="130" t="e">
        <f t="shared" ca="1" si="14"/>
        <v>#N/A</v>
      </c>
      <c r="XN85" s="79"/>
    </row>
    <row r="86" spans="1:638" ht="15" customHeight="1" x14ac:dyDescent="0.25">
      <c r="A86" s="51">
        <f t="shared" si="8"/>
        <v>42951</v>
      </c>
      <c r="B86" s="52">
        <f>IF(C87&lt;Charts!$H$3,0,IF(DATE(YEAR(Charts!$H$3),MONTH(Charts!$H$3),DAY(Charts!$H$3))=DATE(YEAR(C87), MONTH(C87),DAY(C87)),0,TEXT(C86,"m/d/yy")&amp;"-"&amp;TEXT(C86+6,"m/d/yy")))</f>
        <v>0</v>
      </c>
      <c r="C86" s="53">
        <f>IF(Controls!$J$24="Monthly",DATE(YEAR(C87),MONTH(C87)-1,1),C87-Controls!$I$24)</f>
        <v>42951</v>
      </c>
      <c r="D86" s="54">
        <f t="shared" si="9"/>
        <v>42951</v>
      </c>
      <c r="E86" s="64"/>
      <c r="F86" s="96">
        <f>COUNTIFS(Media!C:C, "&gt;="&amp;$C86, Media!C:C, "&lt;"&amp;$C87, Media!G:G,"image")</f>
        <v>0</v>
      </c>
      <c r="G86" s="97">
        <f>COUNTIFS(Media!C:C, "&gt;="&amp;$C86, Media!C:C, "&lt;"&amp;$C87, Media!G:G,"video")</f>
        <v>0</v>
      </c>
      <c r="H86" s="251">
        <f>COUNTIFS(Media!C:C, "&gt;="&amp;$C86, Media!C:C, "&lt;"&amp;$C87, Media!G:G,"carousel")</f>
        <v>0</v>
      </c>
      <c r="I86" s="97">
        <f t="shared" si="10"/>
        <v>0</v>
      </c>
      <c r="J86" s="64"/>
      <c r="K86" s="97">
        <f>SUMIFS(Media!K:K, Media!$C:$C, "&gt;="&amp;$C86, Media!$C:$C, "&lt;"&amp;$C87)</f>
        <v>0</v>
      </c>
      <c r="L86" s="97">
        <f>SUMIFS(Media!J:J, Media!$C:$C, "&gt;="&amp;$C86, Media!$C:$C, "&lt;"&amp;$C87)</f>
        <v>0</v>
      </c>
      <c r="M86" s="97">
        <f t="shared" si="11"/>
        <v>0</v>
      </c>
      <c r="N86" s="64"/>
      <c r="O86" s="99">
        <f>SUMIFS(Media!M:M, Media!$C:$C, "&gt;="&amp;$C86, Media!$C:$C, "&lt;"&amp;$C87)</f>
        <v>0</v>
      </c>
      <c r="P86" s="64"/>
      <c r="Q86" s="98">
        <f>SUMIFS(Media!Q:Q, Media!$C:$C, "&gt;="&amp;$C86, Media!$C:$C, "&lt;"&amp;$C87)</f>
        <v>0</v>
      </c>
      <c r="R86" s="64"/>
      <c r="S86" s="100">
        <f>SUMIFS(Media!H:H, Media!$C:$C, "&gt;="&amp;$C86, Media!$C:$C, "&lt;"&amp;$C87)</f>
        <v>0</v>
      </c>
      <c r="T86" s="64"/>
      <c r="U86" s="100">
        <f t="shared" si="15"/>
        <v>84</v>
      </c>
      <c r="V86" s="64"/>
      <c r="W86" s="130" t="e">
        <f ca="1">IF($C86=Calculations!$C$53, I86, NA())</f>
        <v>#N/A</v>
      </c>
      <c r="X86" s="103" t="e">
        <f t="shared" ca="1" si="12"/>
        <v>#N/A</v>
      </c>
      <c r="Y86" s="64"/>
      <c r="Z86" s="130" t="e">
        <f ca="1">IF($C86=Calculations!$E$85, M86, NA())</f>
        <v>#N/A</v>
      </c>
      <c r="AA86" s="130" t="e">
        <f ca="1">IF($C86=Calculations!$E$86, M86, NA())</f>
        <v>#N/A</v>
      </c>
      <c r="AB86" s="130" t="e">
        <f ca="1">IF($C86=Calculations!$E$87, M86, NA())</f>
        <v>#N/A</v>
      </c>
      <c r="AC86" s="130" t="e">
        <f t="shared" ca="1" si="13"/>
        <v>#N/A</v>
      </c>
      <c r="AD86" s="64"/>
      <c r="AE86" s="130" t="e">
        <f ca="1">IF($C86=Calculations!$C$142,Tables!S86, NA())</f>
        <v>#N/A</v>
      </c>
      <c r="AF86" s="130" t="e">
        <f t="shared" ca="1" si="14"/>
        <v>#N/A</v>
      </c>
      <c r="XN86" s="79"/>
    </row>
    <row r="87" spans="1:638" ht="15" customHeight="1" x14ac:dyDescent="0.25">
      <c r="A87" s="51">
        <f t="shared" si="8"/>
        <v>42952</v>
      </c>
      <c r="B87" s="52">
        <f>IF(C88&lt;Charts!$H$3,0,IF(DATE(YEAR(Charts!$H$3),MONTH(Charts!$H$3),DAY(Charts!$H$3))=DATE(YEAR(C88), MONTH(C88),DAY(C88)),0,TEXT(C87,"m/d/yy")&amp;"-"&amp;TEXT(C87+6,"m/d/yy")))</f>
        <v>0</v>
      </c>
      <c r="C87" s="53">
        <f>IF(Controls!$J$24="Monthly",DATE(YEAR(C88),MONTH(C88)-1,1),C88-Controls!$I$24)</f>
        <v>42952</v>
      </c>
      <c r="D87" s="54">
        <f t="shared" si="9"/>
        <v>42952</v>
      </c>
      <c r="E87" s="64"/>
      <c r="F87" s="96">
        <f>COUNTIFS(Media!C:C, "&gt;="&amp;$C87, Media!C:C, "&lt;"&amp;$C88, Media!G:G,"image")</f>
        <v>0</v>
      </c>
      <c r="G87" s="97">
        <f>COUNTIFS(Media!C:C, "&gt;="&amp;$C87, Media!C:C, "&lt;"&amp;$C88, Media!G:G,"video")</f>
        <v>0</v>
      </c>
      <c r="H87" s="251">
        <f>COUNTIFS(Media!C:C, "&gt;="&amp;$C87, Media!C:C, "&lt;"&amp;$C88, Media!G:G,"carousel")</f>
        <v>0</v>
      </c>
      <c r="I87" s="97">
        <f t="shared" si="10"/>
        <v>0</v>
      </c>
      <c r="J87" s="64"/>
      <c r="K87" s="97">
        <f>SUMIFS(Media!K:K, Media!$C:$C, "&gt;="&amp;$C87, Media!$C:$C, "&lt;"&amp;$C88)</f>
        <v>0</v>
      </c>
      <c r="L87" s="97">
        <f>SUMIFS(Media!J:J, Media!$C:$C, "&gt;="&amp;$C87, Media!$C:$C, "&lt;"&amp;$C88)</f>
        <v>0</v>
      </c>
      <c r="M87" s="97">
        <f t="shared" si="11"/>
        <v>0</v>
      </c>
      <c r="N87" s="64"/>
      <c r="O87" s="99">
        <f>SUMIFS(Media!M:M, Media!$C:$C, "&gt;="&amp;$C87, Media!$C:$C, "&lt;"&amp;$C88)</f>
        <v>0</v>
      </c>
      <c r="P87" s="64"/>
      <c r="Q87" s="98">
        <f>SUMIFS(Media!Q:Q, Media!$C:$C, "&gt;="&amp;$C87, Media!$C:$C, "&lt;"&amp;$C88)</f>
        <v>0</v>
      </c>
      <c r="R87" s="64"/>
      <c r="S87" s="100">
        <f>SUMIFS(Media!H:H, Media!$C:$C, "&gt;="&amp;$C87, Media!$C:$C, "&lt;"&amp;$C88)</f>
        <v>0</v>
      </c>
      <c r="T87" s="64"/>
      <c r="U87" s="100">
        <f t="shared" si="15"/>
        <v>85</v>
      </c>
      <c r="V87" s="64"/>
      <c r="W87" s="130" t="e">
        <f ca="1">IF($C87=Calculations!$C$53, I87, NA())</f>
        <v>#N/A</v>
      </c>
      <c r="X87" s="103" t="e">
        <f t="shared" ca="1" si="12"/>
        <v>#N/A</v>
      </c>
      <c r="Y87" s="64"/>
      <c r="Z87" s="130" t="e">
        <f ca="1">IF($C87=Calculations!$E$85, M87, NA())</f>
        <v>#N/A</v>
      </c>
      <c r="AA87" s="130" t="e">
        <f ca="1">IF($C87=Calculations!$E$86, M87, NA())</f>
        <v>#N/A</v>
      </c>
      <c r="AB87" s="130" t="e">
        <f ca="1">IF($C87=Calculations!$E$87, M87, NA())</f>
        <v>#N/A</v>
      </c>
      <c r="AC87" s="130" t="e">
        <f t="shared" ca="1" si="13"/>
        <v>#N/A</v>
      </c>
      <c r="AD87" s="64"/>
      <c r="AE87" s="130" t="e">
        <f ca="1">IF($C87=Calculations!$C$142,Tables!S87, NA())</f>
        <v>#N/A</v>
      </c>
      <c r="AF87" s="130" t="e">
        <f t="shared" ca="1" si="14"/>
        <v>#N/A</v>
      </c>
      <c r="XN87" s="79"/>
    </row>
    <row r="88" spans="1:638" ht="15" customHeight="1" x14ac:dyDescent="0.25">
      <c r="A88" s="51">
        <f t="shared" si="8"/>
        <v>42953</v>
      </c>
      <c r="B88" s="52">
        <f>IF(C89&lt;Charts!$H$3,0,IF(DATE(YEAR(Charts!$H$3),MONTH(Charts!$H$3),DAY(Charts!$H$3))=DATE(YEAR(C89), MONTH(C89),DAY(C89)),0,TEXT(C88,"m/d/yy")&amp;"-"&amp;TEXT(C88+6,"m/d/yy")))</f>
        <v>0</v>
      </c>
      <c r="C88" s="53">
        <f>IF(Controls!$J$24="Monthly",DATE(YEAR(C89),MONTH(C89)-1,1),C89-Controls!$I$24)</f>
        <v>42953</v>
      </c>
      <c r="D88" s="54">
        <f t="shared" si="9"/>
        <v>42953</v>
      </c>
      <c r="E88" s="64"/>
      <c r="F88" s="96">
        <f>COUNTIFS(Media!C:C, "&gt;="&amp;$C88, Media!C:C, "&lt;"&amp;$C89, Media!G:G,"image")</f>
        <v>0</v>
      </c>
      <c r="G88" s="97">
        <f>COUNTIFS(Media!C:C, "&gt;="&amp;$C88, Media!C:C, "&lt;"&amp;$C89, Media!G:G,"video")</f>
        <v>0</v>
      </c>
      <c r="H88" s="251">
        <f>COUNTIFS(Media!C:C, "&gt;="&amp;$C88, Media!C:C, "&lt;"&amp;$C89, Media!G:G,"carousel")</f>
        <v>0</v>
      </c>
      <c r="I88" s="97">
        <f t="shared" si="10"/>
        <v>0</v>
      </c>
      <c r="J88" s="64"/>
      <c r="K88" s="97">
        <f>SUMIFS(Media!K:K, Media!$C:$C, "&gt;="&amp;$C88, Media!$C:$C, "&lt;"&amp;$C89)</f>
        <v>0</v>
      </c>
      <c r="L88" s="97">
        <f>SUMIFS(Media!J:J, Media!$C:$C, "&gt;="&amp;$C88, Media!$C:$C, "&lt;"&amp;$C89)</f>
        <v>0</v>
      </c>
      <c r="M88" s="97">
        <f t="shared" si="11"/>
        <v>0</v>
      </c>
      <c r="N88" s="64"/>
      <c r="O88" s="99">
        <f>SUMIFS(Media!M:M, Media!$C:$C, "&gt;="&amp;$C88, Media!$C:$C, "&lt;"&amp;$C89)</f>
        <v>0</v>
      </c>
      <c r="P88" s="64"/>
      <c r="Q88" s="98">
        <f>SUMIFS(Media!Q:Q, Media!$C:$C, "&gt;="&amp;$C88, Media!$C:$C, "&lt;"&amp;$C89)</f>
        <v>0</v>
      </c>
      <c r="R88" s="64"/>
      <c r="S88" s="100">
        <f>SUMIFS(Media!H:H, Media!$C:$C, "&gt;="&amp;$C88, Media!$C:$C, "&lt;"&amp;$C89)</f>
        <v>0</v>
      </c>
      <c r="T88" s="64"/>
      <c r="U88" s="100">
        <f t="shared" si="15"/>
        <v>86</v>
      </c>
      <c r="V88" s="64"/>
      <c r="W88" s="130" t="e">
        <f ca="1">IF($C88=Calculations!$C$53, I88, NA())</f>
        <v>#N/A</v>
      </c>
      <c r="X88" s="103" t="e">
        <f t="shared" ca="1" si="12"/>
        <v>#N/A</v>
      </c>
      <c r="Y88" s="64"/>
      <c r="Z88" s="130" t="e">
        <f ca="1">IF($C88=Calculations!$E$85, M88, NA())</f>
        <v>#N/A</v>
      </c>
      <c r="AA88" s="130" t="e">
        <f ca="1">IF($C88=Calculations!$E$86, M88, NA())</f>
        <v>#N/A</v>
      </c>
      <c r="AB88" s="130" t="e">
        <f ca="1">IF($C88=Calculations!$E$87, M88, NA())</f>
        <v>#N/A</v>
      </c>
      <c r="AC88" s="130" t="e">
        <f t="shared" ca="1" si="13"/>
        <v>#N/A</v>
      </c>
      <c r="AD88" s="64"/>
      <c r="AE88" s="130" t="e">
        <f ca="1">IF($C88=Calculations!$C$142,Tables!S88, NA())</f>
        <v>#N/A</v>
      </c>
      <c r="AF88" s="130" t="e">
        <f t="shared" ca="1" si="14"/>
        <v>#N/A</v>
      </c>
      <c r="XN88" s="79"/>
    </row>
    <row r="89" spans="1:638" ht="15" customHeight="1" x14ac:dyDescent="0.25">
      <c r="A89" s="51">
        <f t="shared" si="8"/>
        <v>42954</v>
      </c>
      <c r="B89" s="52">
        <f>IF(C90&lt;Charts!$H$3,0,IF(DATE(YEAR(Charts!$H$3),MONTH(Charts!$H$3),DAY(Charts!$H$3))=DATE(YEAR(C90), MONTH(C90),DAY(C90)),0,TEXT(C89,"m/d/yy")&amp;"-"&amp;TEXT(C89+6,"m/d/yy")))</f>
        <v>0</v>
      </c>
      <c r="C89" s="53">
        <f>IF(Controls!$J$24="Monthly",DATE(YEAR(C90),MONTH(C90)-1,1),C90-Controls!$I$24)</f>
        <v>42954</v>
      </c>
      <c r="D89" s="54">
        <f t="shared" si="9"/>
        <v>42954</v>
      </c>
      <c r="E89" s="64"/>
      <c r="F89" s="96">
        <f>COUNTIFS(Media!C:C, "&gt;="&amp;$C89, Media!C:C, "&lt;"&amp;$C90, Media!G:G,"image")</f>
        <v>0</v>
      </c>
      <c r="G89" s="97">
        <f>COUNTIFS(Media!C:C, "&gt;="&amp;$C89, Media!C:C, "&lt;"&amp;$C90, Media!G:G,"video")</f>
        <v>0</v>
      </c>
      <c r="H89" s="251">
        <f>COUNTIFS(Media!C:C, "&gt;="&amp;$C89, Media!C:C, "&lt;"&amp;$C90, Media!G:G,"carousel")</f>
        <v>0</v>
      </c>
      <c r="I89" s="97">
        <f t="shared" si="10"/>
        <v>0</v>
      </c>
      <c r="J89" s="64"/>
      <c r="K89" s="97">
        <f>SUMIFS(Media!K:K, Media!$C:$C, "&gt;="&amp;$C89, Media!$C:$C, "&lt;"&amp;$C90)</f>
        <v>0</v>
      </c>
      <c r="L89" s="97">
        <f>SUMIFS(Media!J:J, Media!$C:$C, "&gt;="&amp;$C89, Media!$C:$C, "&lt;"&amp;$C90)</f>
        <v>0</v>
      </c>
      <c r="M89" s="97">
        <f t="shared" si="11"/>
        <v>0</v>
      </c>
      <c r="N89" s="64"/>
      <c r="O89" s="99">
        <f>SUMIFS(Media!M:M, Media!$C:$C, "&gt;="&amp;$C89, Media!$C:$C, "&lt;"&amp;$C90)</f>
        <v>0</v>
      </c>
      <c r="P89" s="64"/>
      <c r="Q89" s="98">
        <f>SUMIFS(Media!Q:Q, Media!$C:$C, "&gt;="&amp;$C89, Media!$C:$C, "&lt;"&amp;$C90)</f>
        <v>0</v>
      </c>
      <c r="R89" s="64"/>
      <c r="S89" s="100">
        <f>SUMIFS(Media!H:H, Media!$C:$C, "&gt;="&amp;$C89, Media!$C:$C, "&lt;"&amp;$C90)</f>
        <v>0</v>
      </c>
      <c r="T89" s="64"/>
      <c r="U89" s="100">
        <f t="shared" si="15"/>
        <v>87</v>
      </c>
      <c r="V89" s="64"/>
      <c r="W89" s="130" t="e">
        <f ca="1">IF($C89=Calculations!$C$53, I89, NA())</f>
        <v>#N/A</v>
      </c>
      <c r="X89" s="103" t="e">
        <f t="shared" ca="1" si="12"/>
        <v>#N/A</v>
      </c>
      <c r="Y89" s="64"/>
      <c r="Z89" s="130" t="e">
        <f ca="1">IF($C89=Calculations!$E$85, M89, NA())</f>
        <v>#N/A</v>
      </c>
      <c r="AA89" s="130" t="e">
        <f ca="1">IF($C89=Calculations!$E$86, M89, NA())</f>
        <v>#N/A</v>
      </c>
      <c r="AB89" s="130" t="e">
        <f ca="1">IF($C89=Calculations!$E$87, M89, NA())</f>
        <v>#N/A</v>
      </c>
      <c r="AC89" s="130" t="e">
        <f t="shared" ca="1" si="13"/>
        <v>#N/A</v>
      </c>
      <c r="AD89" s="64"/>
      <c r="AE89" s="130" t="e">
        <f ca="1">IF($C89=Calculations!$C$142,Tables!S89, NA())</f>
        <v>#N/A</v>
      </c>
      <c r="AF89" s="130" t="e">
        <f t="shared" ca="1" si="14"/>
        <v>#N/A</v>
      </c>
      <c r="XN89" s="79"/>
    </row>
    <row r="90" spans="1:638" ht="15" customHeight="1" x14ac:dyDescent="0.25">
      <c r="A90" s="51">
        <f t="shared" si="8"/>
        <v>42955</v>
      </c>
      <c r="B90" s="52">
        <f>IF(C91&lt;Charts!$H$3,0,IF(DATE(YEAR(Charts!$H$3),MONTH(Charts!$H$3),DAY(Charts!$H$3))=DATE(YEAR(C91), MONTH(C91),DAY(C91)),0,TEXT(C90,"m/d/yy")&amp;"-"&amp;TEXT(C90+6,"m/d/yy")))</f>
        <v>0</v>
      </c>
      <c r="C90" s="53">
        <f>IF(Controls!$J$24="Monthly",DATE(YEAR(C91),MONTH(C91)-1,1),C91-Controls!$I$24)</f>
        <v>42955</v>
      </c>
      <c r="D90" s="54">
        <f t="shared" si="9"/>
        <v>42955</v>
      </c>
      <c r="E90" s="64"/>
      <c r="F90" s="96">
        <f>COUNTIFS(Media!C:C, "&gt;="&amp;$C90, Media!C:C, "&lt;"&amp;$C91, Media!G:G,"image")</f>
        <v>0</v>
      </c>
      <c r="G90" s="97">
        <f>COUNTIFS(Media!C:C, "&gt;="&amp;$C90, Media!C:C, "&lt;"&amp;$C91, Media!G:G,"video")</f>
        <v>0</v>
      </c>
      <c r="H90" s="251">
        <f>COUNTIFS(Media!C:C, "&gt;="&amp;$C90, Media!C:C, "&lt;"&amp;$C91, Media!G:G,"carousel")</f>
        <v>0</v>
      </c>
      <c r="I90" s="97">
        <f t="shared" si="10"/>
        <v>0</v>
      </c>
      <c r="J90" s="64"/>
      <c r="K90" s="97">
        <f>SUMIFS(Media!K:K, Media!$C:$C, "&gt;="&amp;$C90, Media!$C:$C, "&lt;"&amp;$C91)</f>
        <v>0</v>
      </c>
      <c r="L90" s="97">
        <f>SUMIFS(Media!J:J, Media!$C:$C, "&gt;="&amp;$C90, Media!$C:$C, "&lt;"&amp;$C91)</f>
        <v>0</v>
      </c>
      <c r="M90" s="97">
        <f t="shared" si="11"/>
        <v>0</v>
      </c>
      <c r="N90" s="64"/>
      <c r="O90" s="99">
        <f>SUMIFS(Media!M:M, Media!$C:$C, "&gt;="&amp;$C90, Media!$C:$C, "&lt;"&amp;$C91)</f>
        <v>0</v>
      </c>
      <c r="P90" s="64"/>
      <c r="Q90" s="98">
        <f>SUMIFS(Media!Q:Q, Media!$C:$C, "&gt;="&amp;$C90, Media!$C:$C, "&lt;"&amp;$C91)</f>
        <v>0</v>
      </c>
      <c r="R90" s="64"/>
      <c r="S90" s="100">
        <f>SUMIFS(Media!H:H, Media!$C:$C, "&gt;="&amp;$C90, Media!$C:$C, "&lt;"&amp;$C91)</f>
        <v>0</v>
      </c>
      <c r="T90" s="64"/>
      <c r="U90" s="100">
        <f t="shared" si="15"/>
        <v>88</v>
      </c>
      <c r="V90" s="64"/>
      <c r="W90" s="130" t="e">
        <f ca="1">IF($C90=Calculations!$C$53, I90, NA())</f>
        <v>#N/A</v>
      </c>
      <c r="X90" s="103" t="e">
        <f t="shared" ca="1" si="12"/>
        <v>#N/A</v>
      </c>
      <c r="Y90" s="64"/>
      <c r="Z90" s="130" t="e">
        <f ca="1">IF($C90=Calculations!$E$85, M90, NA())</f>
        <v>#N/A</v>
      </c>
      <c r="AA90" s="130" t="e">
        <f ca="1">IF($C90=Calculations!$E$86, M90, NA())</f>
        <v>#N/A</v>
      </c>
      <c r="AB90" s="130" t="e">
        <f ca="1">IF($C90=Calculations!$E$87, M90, NA())</f>
        <v>#N/A</v>
      </c>
      <c r="AC90" s="130" t="e">
        <f t="shared" ca="1" si="13"/>
        <v>#N/A</v>
      </c>
      <c r="AD90" s="64"/>
      <c r="AE90" s="130" t="e">
        <f ca="1">IF($C90=Calculations!$C$142,Tables!S90, NA())</f>
        <v>#N/A</v>
      </c>
      <c r="AF90" s="130" t="e">
        <f t="shared" ca="1" si="14"/>
        <v>#N/A</v>
      </c>
      <c r="XN90" s="79"/>
    </row>
    <row r="91" spans="1:638" ht="15" customHeight="1" x14ac:dyDescent="0.25">
      <c r="A91" s="51">
        <f t="shared" si="8"/>
        <v>42956</v>
      </c>
      <c r="B91" s="52">
        <f>IF(C92&lt;Charts!$H$3,0,IF(DATE(YEAR(Charts!$H$3),MONTH(Charts!$H$3),DAY(Charts!$H$3))=DATE(YEAR(C92), MONTH(C92),DAY(C92)),0,TEXT(C91,"m/d/yy")&amp;"-"&amp;TEXT(C91+6,"m/d/yy")))</f>
        <v>0</v>
      </c>
      <c r="C91" s="53">
        <f>IF(Controls!$J$24="Monthly",DATE(YEAR(C92),MONTH(C92)-1,1),C92-Controls!$I$24)</f>
        <v>42956</v>
      </c>
      <c r="D91" s="54">
        <f t="shared" si="9"/>
        <v>42956</v>
      </c>
      <c r="E91" s="64"/>
      <c r="F91" s="96">
        <f>COUNTIFS(Media!C:C, "&gt;="&amp;$C91, Media!C:C, "&lt;"&amp;$C92, Media!G:G,"image")</f>
        <v>0</v>
      </c>
      <c r="G91" s="97">
        <f>COUNTIFS(Media!C:C, "&gt;="&amp;$C91, Media!C:C, "&lt;"&amp;$C92, Media!G:G,"video")</f>
        <v>0</v>
      </c>
      <c r="H91" s="251">
        <f>COUNTIFS(Media!C:C, "&gt;="&amp;$C91, Media!C:C, "&lt;"&amp;$C92, Media!G:G,"carousel")</f>
        <v>0</v>
      </c>
      <c r="I91" s="97">
        <f t="shared" si="10"/>
        <v>0</v>
      </c>
      <c r="J91" s="64"/>
      <c r="K91" s="97">
        <f>SUMIFS(Media!K:K, Media!$C:$C, "&gt;="&amp;$C91, Media!$C:$C, "&lt;"&amp;$C92)</f>
        <v>0</v>
      </c>
      <c r="L91" s="97">
        <f>SUMIFS(Media!J:J, Media!$C:$C, "&gt;="&amp;$C91, Media!$C:$C, "&lt;"&amp;$C92)</f>
        <v>0</v>
      </c>
      <c r="M91" s="97">
        <f t="shared" si="11"/>
        <v>0</v>
      </c>
      <c r="N91" s="64"/>
      <c r="O91" s="99">
        <f>SUMIFS(Media!M:M, Media!$C:$C, "&gt;="&amp;$C91, Media!$C:$C, "&lt;"&amp;$C92)</f>
        <v>0</v>
      </c>
      <c r="P91" s="64"/>
      <c r="Q91" s="98">
        <f>SUMIFS(Media!Q:Q, Media!$C:$C, "&gt;="&amp;$C91, Media!$C:$C, "&lt;"&amp;$C92)</f>
        <v>0</v>
      </c>
      <c r="R91" s="64"/>
      <c r="S91" s="100">
        <f>SUMIFS(Media!H:H, Media!$C:$C, "&gt;="&amp;$C91, Media!$C:$C, "&lt;"&amp;$C92)</f>
        <v>0</v>
      </c>
      <c r="T91" s="64"/>
      <c r="U91" s="100">
        <f t="shared" si="15"/>
        <v>89</v>
      </c>
      <c r="V91" s="64"/>
      <c r="W91" s="130" t="e">
        <f ca="1">IF($C91=Calculations!$C$53, I91, NA())</f>
        <v>#N/A</v>
      </c>
      <c r="X91" s="103" t="e">
        <f t="shared" ca="1" si="12"/>
        <v>#N/A</v>
      </c>
      <c r="Y91" s="64"/>
      <c r="Z91" s="130" t="e">
        <f ca="1">IF($C91=Calculations!$E$85, M91, NA())</f>
        <v>#N/A</v>
      </c>
      <c r="AA91" s="130" t="e">
        <f ca="1">IF($C91=Calculations!$E$86, M91, NA())</f>
        <v>#N/A</v>
      </c>
      <c r="AB91" s="130" t="e">
        <f ca="1">IF($C91=Calculations!$E$87, M91, NA())</f>
        <v>#N/A</v>
      </c>
      <c r="AC91" s="130" t="e">
        <f t="shared" ca="1" si="13"/>
        <v>#N/A</v>
      </c>
      <c r="AD91" s="64"/>
      <c r="AE91" s="130" t="e">
        <f ca="1">IF($C91=Calculations!$C$142,Tables!S91, NA())</f>
        <v>#N/A</v>
      </c>
      <c r="AF91" s="130" t="e">
        <f t="shared" ca="1" si="14"/>
        <v>#N/A</v>
      </c>
      <c r="XN91" s="79"/>
    </row>
    <row r="92" spans="1:638" ht="15" customHeight="1" x14ac:dyDescent="0.25">
      <c r="A92" s="51">
        <f t="shared" si="8"/>
        <v>42957</v>
      </c>
      <c r="B92" s="52">
        <f>IF(C93&lt;Charts!$H$3,0,IF(DATE(YEAR(Charts!$H$3),MONTH(Charts!$H$3),DAY(Charts!$H$3))=DATE(YEAR(C93), MONTH(C93),DAY(C93)),0,TEXT(C92,"m/d/yy")&amp;"-"&amp;TEXT(C92+6,"m/d/yy")))</f>
        <v>0</v>
      </c>
      <c r="C92" s="53">
        <f>IF(Controls!$J$24="Monthly",DATE(YEAR(C93),MONTH(C93)-1,1),C93-Controls!$I$24)</f>
        <v>42957</v>
      </c>
      <c r="D92" s="54">
        <f t="shared" si="9"/>
        <v>42957</v>
      </c>
      <c r="E92" s="64"/>
      <c r="F92" s="96">
        <f>COUNTIFS(Media!C:C, "&gt;="&amp;$C92, Media!C:C, "&lt;"&amp;$C93, Media!G:G,"image")</f>
        <v>0</v>
      </c>
      <c r="G92" s="97">
        <f>COUNTIFS(Media!C:C, "&gt;="&amp;$C92, Media!C:C, "&lt;"&amp;$C93, Media!G:G,"video")</f>
        <v>0</v>
      </c>
      <c r="H92" s="251">
        <f>COUNTIFS(Media!C:C, "&gt;="&amp;$C92, Media!C:C, "&lt;"&amp;$C93, Media!G:G,"carousel")</f>
        <v>0</v>
      </c>
      <c r="I92" s="97">
        <f t="shared" si="10"/>
        <v>0</v>
      </c>
      <c r="J92" s="64"/>
      <c r="K92" s="97">
        <f>SUMIFS(Media!K:K, Media!$C:$C, "&gt;="&amp;$C92, Media!$C:$C, "&lt;"&amp;$C93)</f>
        <v>0</v>
      </c>
      <c r="L92" s="97">
        <f>SUMIFS(Media!J:J, Media!$C:$C, "&gt;="&amp;$C92, Media!$C:$C, "&lt;"&amp;$C93)</f>
        <v>0</v>
      </c>
      <c r="M92" s="97">
        <f t="shared" si="11"/>
        <v>0</v>
      </c>
      <c r="N92" s="64"/>
      <c r="O92" s="99">
        <f>SUMIFS(Media!M:M, Media!$C:$C, "&gt;="&amp;$C92, Media!$C:$C, "&lt;"&amp;$C93)</f>
        <v>0</v>
      </c>
      <c r="P92" s="64"/>
      <c r="Q92" s="98">
        <f>SUMIFS(Media!Q:Q, Media!$C:$C, "&gt;="&amp;$C92, Media!$C:$C, "&lt;"&amp;$C93)</f>
        <v>0</v>
      </c>
      <c r="R92" s="64"/>
      <c r="S92" s="100">
        <f>SUMIFS(Media!H:H, Media!$C:$C, "&gt;="&amp;$C92, Media!$C:$C, "&lt;"&amp;$C93)</f>
        <v>0</v>
      </c>
      <c r="T92" s="64"/>
      <c r="U92" s="100">
        <f t="shared" si="15"/>
        <v>90</v>
      </c>
      <c r="V92" s="64"/>
      <c r="W92" s="130" t="e">
        <f ca="1">IF($C92=Calculations!$C$53, I92, NA())</f>
        <v>#N/A</v>
      </c>
      <c r="X92" s="103" t="e">
        <f t="shared" ca="1" si="12"/>
        <v>#N/A</v>
      </c>
      <c r="Y92" s="64"/>
      <c r="Z92" s="130" t="e">
        <f ca="1">IF($C92=Calculations!$E$85, M92, NA())</f>
        <v>#N/A</v>
      </c>
      <c r="AA92" s="130" t="e">
        <f ca="1">IF($C92=Calculations!$E$86, M92, NA())</f>
        <v>#N/A</v>
      </c>
      <c r="AB92" s="130" t="e">
        <f ca="1">IF($C92=Calculations!$E$87, M92, NA())</f>
        <v>#N/A</v>
      </c>
      <c r="AC92" s="130" t="e">
        <f t="shared" ca="1" si="13"/>
        <v>#N/A</v>
      </c>
      <c r="AD92" s="64"/>
      <c r="AE92" s="130" t="e">
        <f ca="1">IF($C92=Calculations!$C$142,Tables!S92, NA())</f>
        <v>#N/A</v>
      </c>
      <c r="AF92" s="130" t="e">
        <f t="shared" ca="1" si="14"/>
        <v>#N/A</v>
      </c>
      <c r="XN92" s="79"/>
    </row>
    <row r="93" spans="1:638" ht="15" customHeight="1" x14ac:dyDescent="0.25">
      <c r="A93" s="51">
        <f t="shared" si="8"/>
        <v>42958</v>
      </c>
      <c r="B93" s="52" t="str">
        <f>IF(C94&lt;Charts!$H$3,0,IF(DATE(YEAR(Charts!$H$3),MONTH(Charts!$H$3),DAY(Charts!$H$3))=DATE(YEAR(C94), MONTH(C94),DAY(C94)),0,TEXT(C93,"m/d/yy")&amp;"-"&amp;TEXT(C93+6,"m/d/yy")))</f>
        <v>8/11/17-8/17/17</v>
      </c>
      <c r="C93" s="53">
        <f>IF(Controls!$J$24="Monthly",DATE(YEAR(C94),MONTH(C94)-1,1),C94-Controls!$I$24)</f>
        <v>42958</v>
      </c>
      <c r="D93" s="54">
        <f t="shared" si="9"/>
        <v>42958</v>
      </c>
      <c r="E93" s="64"/>
      <c r="F93" s="96">
        <f>COUNTIFS(Media!C:C, "&gt;="&amp;$C93, Media!C:C, "&lt;"&amp;$C94, Media!G:G,"image")</f>
        <v>146</v>
      </c>
      <c r="G93" s="97">
        <f>COUNTIFS(Media!C:C, "&gt;="&amp;$C93, Media!C:C, "&lt;"&amp;$C94, Media!G:G,"video")</f>
        <v>7</v>
      </c>
      <c r="H93" s="251">
        <f>COUNTIFS(Media!C:C, "&gt;="&amp;$C93, Media!C:C, "&lt;"&amp;$C94, Media!G:G,"carousel")</f>
        <v>10</v>
      </c>
      <c r="I93" s="97">
        <f t="shared" si="10"/>
        <v>163</v>
      </c>
      <c r="J93" s="64"/>
      <c r="K93" s="97">
        <f>SUMIFS(Media!K:K, Media!$C:$C, "&gt;="&amp;$C93, Media!$C:$C, "&lt;"&amp;$C94)</f>
        <v>9777</v>
      </c>
      <c r="L93" s="97">
        <f>SUMIFS(Media!J:J, Media!$C:$C, "&gt;="&amp;$C93, Media!$C:$C, "&lt;"&amp;$C94)</f>
        <v>382</v>
      </c>
      <c r="M93" s="97">
        <f t="shared" si="11"/>
        <v>10159</v>
      </c>
      <c r="N93" s="64"/>
      <c r="O93" s="99">
        <f>SUMIFS(Media!M:M, Media!$C:$C, "&gt;="&amp;$C93, Media!$C:$C, "&lt;"&amp;$C94)</f>
        <v>0</v>
      </c>
      <c r="P93" s="64"/>
      <c r="Q93" s="98">
        <f>SUMIFS(Media!Q:Q, Media!$C:$C, "&gt;="&amp;$C93, Media!$C:$C, "&lt;"&amp;$C94)</f>
        <v>0</v>
      </c>
      <c r="R93" s="64"/>
      <c r="S93" s="100">
        <f>SUMIFS(Media!H:H, Media!$C:$C, "&gt;="&amp;$C93, Media!$C:$C, "&lt;"&amp;$C94)</f>
        <v>315904</v>
      </c>
      <c r="T93" s="64"/>
      <c r="U93" s="100">
        <f t="shared" si="15"/>
        <v>91</v>
      </c>
      <c r="V93" s="64"/>
      <c r="W93" s="130" t="e">
        <f ca="1">IF($C93=Calculations!$C$53, I93, NA())</f>
        <v>#N/A</v>
      </c>
      <c r="X93" s="103" t="e">
        <f t="shared" ca="1" si="12"/>
        <v>#N/A</v>
      </c>
      <c r="Y93" s="64"/>
      <c r="Z93" s="130" t="e">
        <f ca="1">IF($C93=Calculations!$E$85, M93, NA())</f>
        <v>#N/A</v>
      </c>
      <c r="AA93" s="130" t="e">
        <f ca="1">IF($C93=Calculations!$E$86, M93, NA())</f>
        <v>#N/A</v>
      </c>
      <c r="AB93" s="130" t="e">
        <f ca="1">IF($C93=Calculations!$E$87, M93, NA())</f>
        <v>#N/A</v>
      </c>
      <c r="AC93" s="130" t="e">
        <f t="shared" ca="1" si="13"/>
        <v>#N/A</v>
      </c>
      <c r="AD93" s="64"/>
      <c r="AE93" s="130" t="e">
        <f ca="1">IF($C93=Calculations!$C$142,Tables!S93, NA())</f>
        <v>#N/A</v>
      </c>
      <c r="AF93" s="130" t="e">
        <f t="shared" ca="1" si="14"/>
        <v>#N/A</v>
      </c>
      <c r="XN93" s="79"/>
    </row>
    <row r="94" spans="1:638" ht="15" customHeight="1" x14ac:dyDescent="0.25">
      <c r="A94" s="51">
        <f t="shared" si="8"/>
        <v>42959</v>
      </c>
      <c r="B94" s="52" t="str">
        <f>IF(C95&lt;Charts!$H$3,0,IF(DATE(YEAR(Charts!$H$3),MONTH(Charts!$H$3),DAY(Charts!$H$3))=DATE(YEAR(C95), MONTH(C95),DAY(C95)),0,TEXT(C94,"m/d/yy")&amp;"-"&amp;TEXT(C94+6,"m/d/yy")))</f>
        <v>8/12/17-8/18/17</v>
      </c>
      <c r="C94" s="53">
        <f>IF(Controls!$J$24="Monthly",DATE(YEAR(C95),MONTH(C95)-1,1),C95-Controls!$I$24)</f>
        <v>42959</v>
      </c>
      <c r="D94" s="54">
        <f t="shared" si="9"/>
        <v>42959</v>
      </c>
      <c r="E94" s="64"/>
      <c r="F94" s="96">
        <f>COUNTIFS(Media!C:C, "&gt;="&amp;$C94, Media!C:C, "&lt;"&amp;$C95, Media!G:G,"image")</f>
        <v>135</v>
      </c>
      <c r="G94" s="97">
        <f>COUNTIFS(Media!C:C, "&gt;="&amp;$C94, Media!C:C, "&lt;"&amp;$C95, Media!G:G,"video")</f>
        <v>12</v>
      </c>
      <c r="H94" s="251">
        <f>COUNTIFS(Media!C:C, "&gt;="&amp;$C94, Media!C:C, "&lt;"&amp;$C95, Media!G:G,"carousel")</f>
        <v>6</v>
      </c>
      <c r="I94" s="97">
        <f t="shared" si="10"/>
        <v>153</v>
      </c>
      <c r="J94" s="64"/>
      <c r="K94" s="97">
        <f>SUMIFS(Media!K:K, Media!$C:$C, "&gt;="&amp;$C94, Media!$C:$C, "&lt;"&amp;$C95)</f>
        <v>34131</v>
      </c>
      <c r="L94" s="97">
        <f>SUMIFS(Media!J:J, Media!$C:$C, "&gt;="&amp;$C94, Media!$C:$C, "&lt;"&amp;$C95)</f>
        <v>868</v>
      </c>
      <c r="M94" s="97">
        <f t="shared" si="11"/>
        <v>34999</v>
      </c>
      <c r="N94" s="64"/>
      <c r="O94" s="99">
        <f>SUMIFS(Media!M:M, Media!$C:$C, "&gt;="&amp;$C94, Media!$C:$C, "&lt;"&amp;$C95)</f>
        <v>0</v>
      </c>
      <c r="P94" s="64"/>
      <c r="Q94" s="98">
        <f>SUMIFS(Media!Q:Q, Media!$C:$C, "&gt;="&amp;$C94, Media!$C:$C, "&lt;"&amp;$C95)</f>
        <v>0</v>
      </c>
      <c r="R94" s="64"/>
      <c r="S94" s="100">
        <f>SUMIFS(Media!H:H, Media!$C:$C, "&gt;="&amp;$C94, Media!$C:$C, "&lt;"&amp;$C95)</f>
        <v>1069002</v>
      </c>
      <c r="T94" s="64"/>
      <c r="U94" s="100">
        <f t="shared" si="15"/>
        <v>92</v>
      </c>
      <c r="V94" s="64"/>
      <c r="W94" s="130" t="e">
        <f ca="1">IF($C94=Calculations!$C$53, I94, NA())</f>
        <v>#N/A</v>
      </c>
      <c r="X94" s="103" t="e">
        <f t="shared" ca="1" si="12"/>
        <v>#N/A</v>
      </c>
      <c r="Y94" s="64"/>
      <c r="Z94" s="130" t="e">
        <f ca="1">IF($C94=Calculations!$E$85, M94, NA())</f>
        <v>#N/A</v>
      </c>
      <c r="AA94" s="130" t="e">
        <f ca="1">IF($C94=Calculations!$E$86, M94, NA())</f>
        <v>#N/A</v>
      </c>
      <c r="AB94" s="130">
        <f ca="1">IF($C94=Calculations!$E$87, M94, NA())</f>
        <v>34999</v>
      </c>
      <c r="AC94" s="130" t="e">
        <f t="shared" ca="1" si="13"/>
        <v>#N/A</v>
      </c>
      <c r="AD94" s="64"/>
      <c r="AE94" s="130" t="e">
        <f ca="1">IF($C94=Calculations!$C$142,Tables!S94, NA())</f>
        <v>#N/A</v>
      </c>
      <c r="AF94" s="130" t="e">
        <f t="shared" ca="1" si="14"/>
        <v>#N/A</v>
      </c>
      <c r="XN94" s="79"/>
    </row>
    <row r="95" spans="1:638" ht="15" customHeight="1" x14ac:dyDescent="0.25">
      <c r="A95" s="51">
        <f t="shared" si="8"/>
        <v>42960</v>
      </c>
      <c r="B95" s="52" t="str">
        <f>IF(C96&lt;Charts!$H$3,0,IF(DATE(YEAR(Charts!$H$3),MONTH(Charts!$H$3),DAY(Charts!$H$3))=DATE(YEAR(C96), MONTH(C96),DAY(C96)),0,TEXT(C95,"m/d/yy")&amp;"-"&amp;TEXT(C95+6,"m/d/yy")))</f>
        <v>8/13/17-8/19/17</v>
      </c>
      <c r="C95" s="53">
        <f>IF(Controls!$J$24="Monthly",DATE(YEAR(C96),MONTH(C96)-1,1),C96-Controls!$I$24)</f>
        <v>42960</v>
      </c>
      <c r="D95" s="54">
        <f t="shared" si="9"/>
        <v>42960</v>
      </c>
      <c r="E95" s="64"/>
      <c r="F95" s="96">
        <f>COUNTIFS(Media!C:C, "&gt;="&amp;$C95, Media!C:C, "&lt;"&amp;$C96, Media!G:G,"image")</f>
        <v>173</v>
      </c>
      <c r="G95" s="97">
        <f>COUNTIFS(Media!C:C, "&gt;="&amp;$C95, Media!C:C, "&lt;"&amp;$C96, Media!G:G,"video")</f>
        <v>28</v>
      </c>
      <c r="H95" s="251">
        <f>COUNTIFS(Media!C:C, "&gt;="&amp;$C95, Media!C:C, "&lt;"&amp;$C96, Media!G:G,"carousel")</f>
        <v>11</v>
      </c>
      <c r="I95" s="97">
        <f t="shared" si="10"/>
        <v>212</v>
      </c>
      <c r="J95" s="64"/>
      <c r="K95" s="97">
        <f>SUMIFS(Media!K:K, Media!$C:$C, "&gt;="&amp;$C95, Media!$C:$C, "&lt;"&amp;$C96)</f>
        <v>23499</v>
      </c>
      <c r="L95" s="97">
        <f>SUMIFS(Media!J:J, Media!$C:$C, "&gt;="&amp;$C95, Media!$C:$C, "&lt;"&amp;$C96)</f>
        <v>670</v>
      </c>
      <c r="M95" s="97">
        <f t="shared" si="11"/>
        <v>24169</v>
      </c>
      <c r="N95" s="64"/>
      <c r="O95" s="99">
        <f>SUMIFS(Media!M:M, Media!$C:$C, "&gt;="&amp;$C95, Media!$C:$C, "&lt;"&amp;$C96)</f>
        <v>0</v>
      </c>
      <c r="P95" s="64"/>
      <c r="Q95" s="98">
        <f>SUMIFS(Media!Q:Q, Media!$C:$C, "&gt;="&amp;$C95, Media!$C:$C, "&lt;"&amp;$C96)</f>
        <v>0</v>
      </c>
      <c r="R95" s="64"/>
      <c r="S95" s="100">
        <f>SUMIFS(Media!H:H, Media!$C:$C, "&gt;="&amp;$C95, Media!$C:$C, "&lt;"&amp;$C96)</f>
        <v>3374890</v>
      </c>
      <c r="T95" s="64"/>
      <c r="U95" s="100">
        <f t="shared" si="15"/>
        <v>93</v>
      </c>
      <c r="V95" s="64"/>
      <c r="W95" s="130" t="e">
        <f ca="1">IF($C95=Calculations!$C$53, I95, NA())</f>
        <v>#N/A</v>
      </c>
      <c r="X95" s="103" t="e">
        <f t="shared" ca="1" si="12"/>
        <v>#N/A</v>
      </c>
      <c r="Y95" s="64"/>
      <c r="Z95" s="130" t="e">
        <f ca="1">IF($C95=Calculations!$E$85, M95, NA())</f>
        <v>#N/A</v>
      </c>
      <c r="AA95" s="130" t="e">
        <f ca="1">IF($C95=Calculations!$E$86, M95, NA())</f>
        <v>#N/A</v>
      </c>
      <c r="AB95" s="130" t="e">
        <f ca="1">IF($C95=Calculations!$E$87, M95, NA())</f>
        <v>#N/A</v>
      </c>
      <c r="AC95" s="130" t="e">
        <f t="shared" ca="1" si="13"/>
        <v>#N/A</v>
      </c>
      <c r="AD95" s="64"/>
      <c r="AE95" s="130">
        <f ca="1">IF($C95=Calculations!$C$142,Tables!S95, NA())</f>
        <v>3374890</v>
      </c>
      <c r="AF95" s="130">
        <f t="shared" ca="1" si="14"/>
        <v>3712379.0000000005</v>
      </c>
      <c r="XN95" s="79"/>
    </row>
    <row r="96" spans="1:638" ht="15" customHeight="1" x14ac:dyDescent="0.25">
      <c r="A96" s="51">
        <f t="shared" si="8"/>
        <v>42961</v>
      </c>
      <c r="B96" s="52" t="str">
        <f>IF(C97&lt;Charts!$H$3,0,IF(DATE(YEAR(Charts!$H$3),MONTH(Charts!$H$3),DAY(Charts!$H$3))=DATE(YEAR(C97), MONTH(C97),DAY(C97)),0,TEXT(C96,"m/d/yy")&amp;"-"&amp;TEXT(C96+6,"m/d/yy")))</f>
        <v>8/14/17-8/20/17</v>
      </c>
      <c r="C96" s="53">
        <f>IF(Controls!$J$24="Monthly",DATE(YEAR(C97),MONTH(C97)-1,1),C97-Controls!$I$24)</f>
        <v>42961</v>
      </c>
      <c r="D96" s="54">
        <f t="shared" si="9"/>
        <v>42961</v>
      </c>
      <c r="E96" s="64"/>
      <c r="F96" s="96">
        <f>COUNTIFS(Media!C:C, "&gt;="&amp;$C96, Media!C:C, "&lt;"&amp;$C97, Media!G:G,"image")</f>
        <v>195</v>
      </c>
      <c r="G96" s="97">
        <f>COUNTIFS(Media!C:C, "&gt;="&amp;$C96, Media!C:C, "&lt;"&amp;$C97, Media!G:G,"video")</f>
        <v>21</v>
      </c>
      <c r="H96" s="251">
        <f>COUNTIFS(Media!C:C, "&gt;="&amp;$C96, Media!C:C, "&lt;"&amp;$C97, Media!G:G,"carousel")</f>
        <v>17</v>
      </c>
      <c r="I96" s="97">
        <f t="shared" si="10"/>
        <v>233</v>
      </c>
      <c r="J96" s="64"/>
      <c r="K96" s="97">
        <f>SUMIFS(Media!K:K, Media!$C:$C, "&gt;="&amp;$C96, Media!$C:$C, "&lt;"&amp;$C97)</f>
        <v>23833</v>
      </c>
      <c r="L96" s="97">
        <f>SUMIFS(Media!J:J, Media!$C:$C, "&gt;="&amp;$C96, Media!$C:$C, "&lt;"&amp;$C97)</f>
        <v>755</v>
      </c>
      <c r="M96" s="97">
        <f t="shared" si="11"/>
        <v>24588</v>
      </c>
      <c r="N96" s="64"/>
      <c r="O96" s="99">
        <f>SUMIFS(Media!M:M, Media!$C:$C, "&gt;="&amp;$C96, Media!$C:$C, "&lt;"&amp;$C97)</f>
        <v>0</v>
      </c>
      <c r="P96" s="64"/>
      <c r="Q96" s="98">
        <f>SUMIFS(Media!Q:Q, Media!$C:$C, "&gt;="&amp;$C96, Media!$C:$C, "&lt;"&amp;$C97)</f>
        <v>0</v>
      </c>
      <c r="R96" s="64"/>
      <c r="S96" s="100">
        <f>SUMIFS(Media!H:H, Media!$C:$C, "&gt;="&amp;$C96, Media!$C:$C, "&lt;"&amp;$C97)</f>
        <v>1470221</v>
      </c>
      <c r="T96" s="64"/>
      <c r="U96" s="100">
        <f t="shared" si="15"/>
        <v>94</v>
      </c>
      <c r="V96" s="64"/>
      <c r="W96" s="130">
        <f ca="1">IF($C96=Calculations!$C$53, I96, NA())</f>
        <v>233</v>
      </c>
      <c r="X96" s="103">
        <f t="shared" ca="1" si="12"/>
        <v>256.3</v>
      </c>
      <c r="Y96" s="64"/>
      <c r="Z96" s="130" t="e">
        <f ca="1">IF($C96=Calculations!$E$85, M96, NA())</f>
        <v>#N/A</v>
      </c>
      <c r="AA96" s="130" t="e">
        <f ca="1">IF($C96=Calculations!$E$86, M96, NA())</f>
        <v>#N/A</v>
      </c>
      <c r="AB96" s="130" t="e">
        <f ca="1">IF($C96=Calculations!$E$87, M96, NA())</f>
        <v>#N/A</v>
      </c>
      <c r="AC96" s="130" t="e">
        <f t="shared" ca="1" si="13"/>
        <v>#N/A</v>
      </c>
      <c r="AD96" s="64"/>
      <c r="AE96" s="130" t="e">
        <f ca="1">IF($C96=Calculations!$C$142,Tables!S96, NA())</f>
        <v>#N/A</v>
      </c>
      <c r="AF96" s="130" t="e">
        <f t="shared" ca="1" si="14"/>
        <v>#N/A</v>
      </c>
      <c r="XN96" s="79"/>
    </row>
    <row r="97" spans="1:638" ht="15" customHeight="1" x14ac:dyDescent="0.25">
      <c r="A97" s="51">
        <f t="shared" si="8"/>
        <v>42962</v>
      </c>
      <c r="B97" s="52" t="str">
        <f>IF(C98&lt;Charts!$H$3,0,IF(DATE(YEAR(Charts!$H$3),MONTH(Charts!$H$3),DAY(Charts!$H$3))=DATE(YEAR(C98), MONTH(C98),DAY(C98)),0,TEXT(C97,"m/d/yy")&amp;"-"&amp;TEXT(C97+6,"m/d/yy")))</f>
        <v>8/15/17-8/21/17</v>
      </c>
      <c r="C97" s="53">
        <f>IF(Controls!$J$24="Monthly",DATE(YEAR(C98),MONTH(C98)-1,1),C98-Controls!$I$24)</f>
        <v>42962</v>
      </c>
      <c r="D97" s="54">
        <f t="shared" si="9"/>
        <v>42962</v>
      </c>
      <c r="E97" s="64"/>
      <c r="F97" s="96">
        <f>COUNTIFS(Media!C:C, "&gt;="&amp;$C97, Media!C:C, "&lt;"&amp;$C98, Media!G:G,"image")</f>
        <v>164</v>
      </c>
      <c r="G97" s="97">
        <f>COUNTIFS(Media!C:C, "&gt;="&amp;$C97, Media!C:C, "&lt;"&amp;$C98, Media!G:G,"video")</f>
        <v>13</v>
      </c>
      <c r="H97" s="251">
        <f>COUNTIFS(Media!C:C, "&gt;="&amp;$C97, Media!C:C, "&lt;"&amp;$C98, Media!G:G,"carousel")</f>
        <v>6</v>
      </c>
      <c r="I97" s="97">
        <f t="shared" si="10"/>
        <v>183</v>
      </c>
      <c r="J97" s="64"/>
      <c r="K97" s="97">
        <f>SUMIFS(Media!K:K, Media!$C:$C, "&gt;="&amp;$C97, Media!$C:$C, "&lt;"&amp;$C98)</f>
        <v>27078</v>
      </c>
      <c r="L97" s="97">
        <f>SUMIFS(Media!J:J, Media!$C:$C, "&gt;="&amp;$C97, Media!$C:$C, "&lt;"&amp;$C98)</f>
        <v>663</v>
      </c>
      <c r="M97" s="97">
        <f t="shared" si="11"/>
        <v>27741</v>
      </c>
      <c r="N97" s="64"/>
      <c r="O97" s="99">
        <f>SUMIFS(Media!M:M, Media!$C:$C, "&gt;="&amp;$C97, Media!$C:$C, "&lt;"&amp;$C98)</f>
        <v>0</v>
      </c>
      <c r="P97" s="64"/>
      <c r="Q97" s="98">
        <f>SUMIFS(Media!Q:Q, Media!$C:$C, "&gt;="&amp;$C97, Media!$C:$C, "&lt;"&amp;$C98)</f>
        <v>0</v>
      </c>
      <c r="R97" s="64"/>
      <c r="S97" s="100">
        <f>SUMIFS(Media!H:H, Media!$C:$C, "&gt;="&amp;$C97, Media!$C:$C, "&lt;"&amp;$C98)</f>
        <v>1086037</v>
      </c>
      <c r="T97" s="64"/>
      <c r="U97" s="100">
        <f t="shared" si="15"/>
        <v>95</v>
      </c>
      <c r="V97" s="64"/>
      <c r="W97" s="130" t="e">
        <f ca="1">IF($C97=Calculations!$C$53, I97, NA())</f>
        <v>#N/A</v>
      </c>
      <c r="X97" s="103" t="e">
        <f t="shared" ca="1" si="12"/>
        <v>#N/A</v>
      </c>
      <c r="Y97" s="64"/>
      <c r="Z97" s="130" t="e">
        <f ca="1">IF($C97=Calculations!$E$85, M97, NA())</f>
        <v>#N/A</v>
      </c>
      <c r="AA97" s="130" t="e">
        <f ca="1">IF($C97=Calculations!$E$86, M97, NA())</f>
        <v>#N/A</v>
      </c>
      <c r="AB97" s="130" t="e">
        <f ca="1">IF($C97=Calculations!$E$87, M97, NA())</f>
        <v>#N/A</v>
      </c>
      <c r="AC97" s="130" t="e">
        <f t="shared" ca="1" si="13"/>
        <v>#N/A</v>
      </c>
      <c r="AD97" s="64"/>
      <c r="AE97" s="130" t="e">
        <f ca="1">IF($C97=Calculations!$C$142,Tables!S97, NA())</f>
        <v>#N/A</v>
      </c>
      <c r="AF97" s="130" t="e">
        <f t="shared" ca="1" si="14"/>
        <v>#N/A</v>
      </c>
      <c r="XN97" s="79"/>
    </row>
    <row r="98" spans="1:638" ht="15" customHeight="1" x14ac:dyDescent="0.25">
      <c r="A98" s="51">
        <f t="shared" si="8"/>
        <v>42963</v>
      </c>
      <c r="B98" s="52" t="str">
        <f>IF(C99&lt;Charts!$H$3,0,IF(DATE(YEAR(Charts!$H$3),MONTH(Charts!$H$3),DAY(Charts!$H$3))=DATE(YEAR(C99), MONTH(C99),DAY(C99)),0,TEXT(C98,"m/d/yy")&amp;"-"&amp;TEXT(C98+6,"m/d/yy")))</f>
        <v>8/16/17-8/22/17</v>
      </c>
      <c r="C98" s="53">
        <f>IF(Controls!$J$24="Monthly",DATE(YEAR(C99),MONTH(C99)-1,1),C99-Controls!$I$24)</f>
        <v>42963</v>
      </c>
      <c r="D98" s="54">
        <f t="shared" si="9"/>
        <v>42963</v>
      </c>
      <c r="E98" s="64"/>
      <c r="F98" s="96">
        <f>COUNTIFS(Media!C:C, "&gt;="&amp;$C98, Media!C:C, "&lt;"&amp;$C99, Media!G:G,"image")</f>
        <v>192</v>
      </c>
      <c r="G98" s="97">
        <f>COUNTIFS(Media!C:C, "&gt;="&amp;$C98, Media!C:C, "&lt;"&amp;$C99, Media!G:G,"video")</f>
        <v>18</v>
      </c>
      <c r="H98" s="251">
        <f>COUNTIFS(Media!C:C, "&gt;="&amp;$C98, Media!C:C, "&lt;"&amp;$C99, Media!G:G,"carousel")</f>
        <v>12</v>
      </c>
      <c r="I98" s="97">
        <f t="shared" si="10"/>
        <v>222</v>
      </c>
      <c r="J98" s="64"/>
      <c r="K98" s="97">
        <f>SUMIFS(Media!K:K, Media!$C:$C, "&gt;="&amp;$C98, Media!$C:$C, "&lt;"&amp;$C99)</f>
        <v>41776</v>
      </c>
      <c r="L98" s="97">
        <f>SUMIFS(Media!J:J, Media!$C:$C, "&gt;="&amp;$C98, Media!$C:$C, "&lt;"&amp;$C99)</f>
        <v>988</v>
      </c>
      <c r="M98" s="97">
        <f t="shared" si="11"/>
        <v>42764</v>
      </c>
      <c r="N98" s="64"/>
      <c r="O98" s="99">
        <f>SUMIFS(Media!M:M, Media!$C:$C, "&gt;="&amp;$C98, Media!$C:$C, "&lt;"&amp;$C99)</f>
        <v>0</v>
      </c>
      <c r="P98" s="64"/>
      <c r="Q98" s="98">
        <f>SUMIFS(Media!Q:Q, Media!$C:$C, "&gt;="&amp;$C98, Media!$C:$C, "&lt;"&amp;$C99)</f>
        <v>0</v>
      </c>
      <c r="R98" s="64"/>
      <c r="S98" s="100">
        <f>SUMIFS(Media!H:H, Media!$C:$C, "&gt;="&amp;$C98, Media!$C:$C, "&lt;"&amp;$C99)</f>
        <v>1389510</v>
      </c>
      <c r="T98" s="64"/>
      <c r="U98" s="100">
        <f t="shared" si="15"/>
        <v>96</v>
      </c>
      <c r="V98" s="64"/>
      <c r="W98" s="130" t="e">
        <f ca="1">IF($C98=Calculations!$C$53, I98, NA())</f>
        <v>#N/A</v>
      </c>
      <c r="X98" s="103" t="e">
        <f t="shared" ca="1" si="12"/>
        <v>#N/A</v>
      </c>
      <c r="Y98" s="64"/>
      <c r="Z98" s="130">
        <f ca="1">IF($C98=Calculations!$E$85, M98, NA())</f>
        <v>42764</v>
      </c>
      <c r="AA98" s="130" t="e">
        <f ca="1">IF($C98=Calculations!$E$86, M98, NA())</f>
        <v>#N/A</v>
      </c>
      <c r="AB98" s="130" t="e">
        <f ca="1">IF($C98=Calculations!$E$87, M98, NA())</f>
        <v>#N/A</v>
      </c>
      <c r="AC98" s="130">
        <f t="shared" ca="1" si="13"/>
        <v>47040.4</v>
      </c>
      <c r="AD98" s="64"/>
      <c r="AE98" s="130" t="e">
        <f ca="1">IF($C98=Calculations!$C$142,Tables!S98, NA())</f>
        <v>#N/A</v>
      </c>
      <c r="AF98" s="130" t="e">
        <f t="shared" ca="1" si="14"/>
        <v>#N/A</v>
      </c>
      <c r="XN98" s="79"/>
    </row>
    <row r="99" spans="1:638" ht="15" customHeight="1" x14ac:dyDescent="0.25">
      <c r="A99" s="51">
        <f t="shared" si="8"/>
        <v>42964</v>
      </c>
      <c r="B99" s="52" t="str">
        <f>IF(C100&lt;Charts!$H$3,0,IF(DATE(YEAR(Charts!$H$3),MONTH(Charts!$H$3),DAY(Charts!$H$3))=DATE(YEAR(C100), MONTH(C100),DAY(C100)),0,TEXT(C99,"m/d/yy")&amp;"-"&amp;TEXT(C99+6,"m/d/yy")))</f>
        <v>8/17/17-8/23/17</v>
      </c>
      <c r="C99" s="53">
        <f>IF(Controls!$J$24="Monthly",DATE(YEAR(C100),MONTH(C100)-1,1),C100-Controls!$I$24)</f>
        <v>42964</v>
      </c>
      <c r="D99" s="54">
        <f t="shared" si="9"/>
        <v>42964</v>
      </c>
      <c r="E99" s="64"/>
      <c r="F99" s="96">
        <f>COUNTIFS(Media!C:C, "&gt;="&amp;$C99, Media!C:C, "&lt;"&amp;$C100, Media!G:G,"image")</f>
        <v>178</v>
      </c>
      <c r="G99" s="97">
        <f>COUNTIFS(Media!C:C, "&gt;="&amp;$C99, Media!C:C, "&lt;"&amp;$C100, Media!G:G,"video")</f>
        <v>14</v>
      </c>
      <c r="H99" s="251">
        <f>COUNTIFS(Media!C:C, "&gt;="&amp;$C99, Media!C:C, "&lt;"&amp;$C100, Media!G:G,"carousel")</f>
        <v>9</v>
      </c>
      <c r="I99" s="97">
        <f t="shared" si="10"/>
        <v>201</v>
      </c>
      <c r="J99" s="64"/>
      <c r="K99" s="97">
        <f>SUMIFS(Media!K:K, Media!$C:$C, "&gt;="&amp;$C99, Media!$C:$C, "&lt;"&amp;$C100)</f>
        <v>39912</v>
      </c>
      <c r="L99" s="97">
        <f>SUMIFS(Media!J:J, Media!$C:$C, "&gt;="&amp;$C99, Media!$C:$C, "&lt;"&amp;$C100)</f>
        <v>828</v>
      </c>
      <c r="M99" s="97">
        <f t="shared" si="11"/>
        <v>40740</v>
      </c>
      <c r="N99" s="64"/>
      <c r="O99" s="99">
        <f>SUMIFS(Media!M:M, Media!$C:$C, "&gt;="&amp;$C99, Media!$C:$C, "&lt;"&amp;$C100)</f>
        <v>0</v>
      </c>
      <c r="P99" s="64"/>
      <c r="Q99" s="98">
        <f>SUMIFS(Media!Q:Q, Media!$C:$C, "&gt;="&amp;$C99, Media!$C:$C, "&lt;"&amp;$C100)</f>
        <v>0</v>
      </c>
      <c r="R99" s="64"/>
      <c r="S99" s="100">
        <f>SUMIFS(Media!H:H, Media!$C:$C, "&gt;="&amp;$C99, Media!$C:$C, "&lt;"&amp;$C100)</f>
        <v>996137</v>
      </c>
      <c r="T99" s="64"/>
      <c r="U99" s="100">
        <f t="shared" si="15"/>
        <v>97</v>
      </c>
      <c r="V99" s="64"/>
      <c r="W99" s="130" t="e">
        <f ca="1">IF($C99=Calculations!$C$53, I99, NA())</f>
        <v>#N/A</v>
      </c>
      <c r="X99" s="103" t="e">
        <f t="shared" ca="1" si="12"/>
        <v>#N/A</v>
      </c>
      <c r="Y99" s="64"/>
      <c r="Z99" s="130" t="e">
        <f ca="1">IF($C99=Calculations!$E$85, M99, NA())</f>
        <v>#N/A</v>
      </c>
      <c r="AA99" s="130">
        <f ca="1">IF($C99=Calculations!$E$86, M99, NA())</f>
        <v>40740</v>
      </c>
      <c r="AB99" s="130" t="e">
        <f ca="1">IF($C99=Calculations!$E$87, M99, NA())</f>
        <v>#N/A</v>
      </c>
      <c r="AC99" s="130" t="e">
        <f t="shared" ca="1" si="13"/>
        <v>#N/A</v>
      </c>
      <c r="AD99" s="64"/>
      <c r="AE99" s="130" t="e">
        <f ca="1">IF($C99=Calculations!$C$142,Tables!S99, NA())</f>
        <v>#N/A</v>
      </c>
      <c r="AF99" s="130" t="e">
        <f t="shared" ca="1" si="14"/>
        <v>#N/A</v>
      </c>
      <c r="XN99" s="79"/>
    </row>
    <row r="100" spans="1:638" ht="15" customHeight="1" x14ac:dyDescent="0.25">
      <c r="A100" s="51">
        <f t="shared" si="8"/>
        <v>42965</v>
      </c>
      <c r="B100" s="52" t="str">
        <f>IF(C101&lt;Charts!$H$3,0,IF(DATE(YEAR(Charts!$H$3),MONTH(Charts!$H$3),DAY(Charts!$H$3))=DATE(YEAR(C101), MONTH(C101),DAY(C101)),0,TEXT(C100,"m/d/yy")&amp;"-"&amp;TEXT(C100+6,"m/d/yy")))</f>
        <v>8/18/17-8/24/17</v>
      </c>
      <c r="C100" s="53">
        <f>IF(Controls!$J$24="Monthly",DATE(YEAR(C101),MONTH(C101)-1,1),C101-Controls!$I$24)</f>
        <v>42965</v>
      </c>
      <c r="D100" s="54">
        <f t="shared" si="9"/>
        <v>42965</v>
      </c>
      <c r="E100" s="64"/>
      <c r="F100" s="96">
        <f>COUNTIFS(Media!C:C, "&gt;="&amp;$C100, Media!C:C, "&lt;"&amp;$C101, Media!G:G,"image")</f>
        <v>153</v>
      </c>
      <c r="G100" s="97">
        <f>COUNTIFS(Media!C:C, "&gt;="&amp;$C100, Media!C:C, "&lt;"&amp;$C101, Media!G:G,"video")</f>
        <v>15</v>
      </c>
      <c r="H100" s="251">
        <f>COUNTIFS(Media!C:C, "&gt;="&amp;$C100, Media!C:C, "&lt;"&amp;$C101, Media!G:G,"carousel")</f>
        <v>7</v>
      </c>
      <c r="I100" s="97">
        <f t="shared" si="10"/>
        <v>175</v>
      </c>
      <c r="J100" s="64"/>
      <c r="K100" s="97">
        <f>SUMIFS(Media!K:K, Media!$C:$C, "&gt;="&amp;$C100, Media!$C:$C, "&lt;"&amp;$C101)</f>
        <v>17360</v>
      </c>
      <c r="L100" s="97">
        <f>SUMIFS(Media!J:J, Media!$C:$C, "&gt;="&amp;$C100, Media!$C:$C, "&lt;"&amp;$C101)</f>
        <v>398</v>
      </c>
      <c r="M100" s="97">
        <f t="shared" si="11"/>
        <v>17758</v>
      </c>
      <c r="N100" s="64"/>
      <c r="O100" s="99">
        <f>SUMIFS(Media!M:M, Media!$C:$C, "&gt;="&amp;$C100, Media!$C:$C, "&lt;"&amp;$C101)</f>
        <v>0</v>
      </c>
      <c r="P100" s="64"/>
      <c r="Q100" s="98">
        <f>SUMIFS(Media!Q:Q, Media!$C:$C, "&gt;="&amp;$C100, Media!$C:$C, "&lt;"&amp;$C101)</f>
        <v>0</v>
      </c>
      <c r="R100" s="64"/>
      <c r="S100" s="100">
        <f>SUMIFS(Media!H:H, Media!$C:$C, "&gt;="&amp;$C100, Media!$C:$C, "&lt;"&amp;$C101)</f>
        <v>361192</v>
      </c>
      <c r="T100" s="64"/>
      <c r="U100" s="100">
        <f t="shared" si="15"/>
        <v>98</v>
      </c>
      <c r="V100" s="64"/>
      <c r="W100" s="130" t="e">
        <f ca="1">IF($C100=Calculations!$C$53, I100, NA())</f>
        <v>#N/A</v>
      </c>
      <c r="X100" s="103" t="e">
        <f t="shared" ca="1" si="12"/>
        <v>#N/A</v>
      </c>
      <c r="Y100" s="64"/>
      <c r="Z100" s="130" t="e">
        <f ca="1">IF($C100=Calculations!$E$85, M100, NA())</f>
        <v>#N/A</v>
      </c>
      <c r="AA100" s="130" t="e">
        <f ca="1">IF($C100=Calculations!$E$86, M100, NA())</f>
        <v>#N/A</v>
      </c>
      <c r="AB100" s="130" t="e">
        <f ca="1">IF($C100=Calculations!$E$87, M100, NA())</f>
        <v>#N/A</v>
      </c>
      <c r="AC100" s="130" t="e">
        <f t="shared" ca="1" si="13"/>
        <v>#N/A</v>
      </c>
      <c r="AD100" s="64"/>
      <c r="AE100" s="130" t="e">
        <f ca="1">IF($C100=Calculations!$C$142,Tables!S100, NA())</f>
        <v>#N/A</v>
      </c>
      <c r="AF100" s="130" t="e">
        <f t="shared" ca="1" si="14"/>
        <v>#N/A</v>
      </c>
      <c r="XN100" s="79"/>
    </row>
    <row r="101" spans="1:638" ht="15" customHeight="1" x14ac:dyDescent="0.25">
      <c r="A101" s="51">
        <f t="shared" si="8"/>
        <v>42966</v>
      </c>
      <c r="B101" s="52" t="str">
        <f>IF(C102&lt;Charts!$H$3,0,IF(DATE(YEAR(Charts!$H$3),MONTH(Charts!$H$3),DAY(Charts!$H$3))=DATE(YEAR(C102), MONTH(C102),DAY(C102)),0,TEXT(C101,"m/d/yy")&amp;"-"&amp;TEXT(C101+6,"m/d/yy")))</f>
        <v>8/19/17-8/25/17</v>
      </c>
      <c r="C101" s="53">
        <f>IF(Controls!$J$24="Monthly",DATE(YEAR(C102),MONTH(C102)-1,1),C102-Controls!$I$24)</f>
        <v>42966</v>
      </c>
      <c r="D101" s="54">
        <f t="shared" si="9"/>
        <v>42966</v>
      </c>
      <c r="E101" s="64"/>
      <c r="F101" s="96">
        <f>COUNTIFS(Media!C:C, "&gt;="&amp;$C101, Media!C:C, "&lt;"&amp;$C102, Media!G:G,"image")</f>
        <v>125</v>
      </c>
      <c r="G101" s="97">
        <f>COUNTIFS(Media!C:C, "&gt;="&amp;$C101, Media!C:C, "&lt;"&amp;$C102, Media!G:G,"video")</f>
        <v>6</v>
      </c>
      <c r="H101" s="251">
        <f>COUNTIFS(Media!C:C, "&gt;="&amp;$C101, Media!C:C, "&lt;"&amp;$C102, Media!G:G,"carousel")</f>
        <v>10</v>
      </c>
      <c r="I101" s="97">
        <f t="shared" si="10"/>
        <v>141</v>
      </c>
      <c r="J101" s="64"/>
      <c r="K101" s="97">
        <f>SUMIFS(Media!K:K, Media!$C:$C, "&gt;="&amp;$C101, Media!$C:$C, "&lt;"&amp;$C102)</f>
        <v>11332</v>
      </c>
      <c r="L101" s="97">
        <f>SUMIFS(Media!J:J, Media!$C:$C, "&gt;="&amp;$C101, Media!$C:$C, "&lt;"&amp;$C102)</f>
        <v>428</v>
      </c>
      <c r="M101" s="97">
        <f t="shared" si="11"/>
        <v>11760</v>
      </c>
      <c r="N101" s="64"/>
      <c r="O101" s="99">
        <f>SUMIFS(Media!M:M, Media!$C:$C, "&gt;="&amp;$C101, Media!$C:$C, "&lt;"&amp;$C102)</f>
        <v>0</v>
      </c>
      <c r="P101" s="64"/>
      <c r="Q101" s="98">
        <f>SUMIFS(Media!Q:Q, Media!$C:$C, "&gt;="&amp;$C101, Media!$C:$C, "&lt;"&amp;$C102)</f>
        <v>0</v>
      </c>
      <c r="R101" s="64"/>
      <c r="S101" s="100">
        <f>SUMIFS(Media!H:H, Media!$C:$C, "&gt;="&amp;$C101, Media!$C:$C, "&lt;"&amp;$C102)</f>
        <v>464619</v>
      </c>
      <c r="T101" s="64"/>
      <c r="U101" s="100">
        <f t="shared" si="15"/>
        <v>99</v>
      </c>
      <c r="V101" s="64"/>
      <c r="W101" s="130" t="e">
        <f ca="1">IF($C101=Calculations!$C$53, I101, NA())</f>
        <v>#N/A</v>
      </c>
      <c r="X101" s="103" t="e">
        <f t="shared" ca="1" si="12"/>
        <v>#N/A</v>
      </c>
      <c r="Y101" s="64"/>
      <c r="Z101" s="130" t="e">
        <f ca="1">IF($C101=Calculations!$E$85, M101, NA())</f>
        <v>#N/A</v>
      </c>
      <c r="AA101" s="130" t="e">
        <f ca="1">IF($C101=Calculations!$E$86, M101, NA())</f>
        <v>#N/A</v>
      </c>
      <c r="AB101" s="130" t="e">
        <f ca="1">IF($C101=Calculations!$E$87, M101, NA())</f>
        <v>#N/A</v>
      </c>
      <c r="AC101" s="130" t="e">
        <f t="shared" ca="1" si="13"/>
        <v>#N/A</v>
      </c>
      <c r="AD101" s="64"/>
      <c r="AE101" s="130" t="e">
        <f ca="1">IF($C101=Calculations!$C$142,Tables!S101, NA())</f>
        <v>#N/A</v>
      </c>
      <c r="AF101" s="130" t="e">
        <f t="shared" ca="1" si="14"/>
        <v>#N/A</v>
      </c>
      <c r="XN101" s="79"/>
    </row>
    <row r="102" spans="1:638" ht="15" customHeight="1" x14ac:dyDescent="0.25">
      <c r="A102" s="51">
        <f t="shared" si="8"/>
        <v>42967</v>
      </c>
      <c r="B102" s="52" t="str">
        <f>IF(C103&lt;Charts!$H$3,0,IF(DATE(YEAR(Charts!$H$3),MONTH(Charts!$H$3),DAY(Charts!$H$3))=DATE(YEAR(C103), MONTH(C103),DAY(C103)),0,TEXT(C102,"m/d/yy")&amp;"-"&amp;TEXT(C102+6,"m/d/yy")))</f>
        <v>8/20/17-8/26/17</v>
      </c>
      <c r="C102" s="53">
        <f>IF(Controls!$J$24="Monthly",DATE(YEAR(C103),MONTH(C103)-1,1),C103-Controls!$I$24)</f>
        <v>42967</v>
      </c>
      <c r="D102" s="54">
        <f t="shared" si="9"/>
        <v>42967</v>
      </c>
      <c r="E102" s="64"/>
      <c r="F102" s="96">
        <f>COUNTIFS(Media!C:C, "&gt;="&amp;$C102, Media!C:C, "&lt;"&amp;$C103, Media!G:G,"image")</f>
        <v>156</v>
      </c>
      <c r="G102" s="97">
        <f>COUNTIFS(Media!C:C, "&gt;="&amp;$C102, Media!C:C, "&lt;"&amp;$C103, Media!G:G,"video")</f>
        <v>8</v>
      </c>
      <c r="H102" s="251">
        <f>COUNTIFS(Media!C:C, "&gt;="&amp;$C102, Media!C:C, "&lt;"&amp;$C103, Media!G:G,"carousel")</f>
        <v>4</v>
      </c>
      <c r="I102" s="97">
        <f t="shared" si="10"/>
        <v>168</v>
      </c>
      <c r="J102" s="64"/>
      <c r="K102" s="97">
        <f>SUMIFS(Media!K:K, Media!$C:$C, "&gt;="&amp;$C102, Media!$C:$C, "&lt;"&amp;$C103)</f>
        <v>24565</v>
      </c>
      <c r="L102" s="97">
        <f>SUMIFS(Media!J:J, Media!$C:$C, "&gt;="&amp;$C102, Media!$C:$C, "&lt;"&amp;$C103)</f>
        <v>512</v>
      </c>
      <c r="M102" s="97">
        <f t="shared" si="11"/>
        <v>25077</v>
      </c>
      <c r="N102" s="64"/>
      <c r="O102" s="99">
        <f>SUMIFS(Media!M:M, Media!$C:$C, "&gt;="&amp;$C102, Media!$C:$C, "&lt;"&amp;$C103)</f>
        <v>0</v>
      </c>
      <c r="P102" s="64"/>
      <c r="Q102" s="98">
        <f>SUMIFS(Media!Q:Q, Media!$C:$C, "&gt;="&amp;$C102, Media!$C:$C, "&lt;"&amp;$C103)</f>
        <v>0</v>
      </c>
      <c r="R102" s="64"/>
      <c r="S102" s="100">
        <f>SUMIFS(Media!H:H, Media!$C:$C, "&gt;="&amp;$C102, Media!$C:$C, "&lt;"&amp;$C103)</f>
        <v>963975</v>
      </c>
      <c r="T102" s="64"/>
      <c r="U102" s="100">
        <f t="shared" si="15"/>
        <v>100</v>
      </c>
      <c r="V102" s="64"/>
      <c r="W102" s="130" t="e">
        <f ca="1">IF($C102=Calculations!$C$53, I102, NA())</f>
        <v>#N/A</v>
      </c>
      <c r="X102" s="103" t="e">
        <f t="shared" ca="1" si="12"/>
        <v>#N/A</v>
      </c>
      <c r="Y102" s="64"/>
      <c r="Z102" s="130" t="e">
        <f ca="1">IF($C102=Calculations!$E$85, M102, NA())</f>
        <v>#N/A</v>
      </c>
      <c r="AA102" s="130" t="e">
        <f ca="1">IF($C102=Calculations!$E$86, M102, NA())</f>
        <v>#N/A</v>
      </c>
      <c r="AB102" s="130" t="e">
        <f ca="1">IF($C102=Calculations!$E$87, M102, NA())</f>
        <v>#N/A</v>
      </c>
      <c r="AC102" s="130" t="e">
        <f t="shared" ca="1" si="13"/>
        <v>#N/A</v>
      </c>
      <c r="AD102" s="64"/>
      <c r="AE102" s="130" t="e">
        <f ca="1">IF($C102=Calculations!$C$142,Tables!S102, NA())</f>
        <v>#N/A</v>
      </c>
      <c r="AF102" s="130" t="e">
        <f t="shared" ca="1" si="14"/>
        <v>#N/A</v>
      </c>
      <c r="XN102" s="79"/>
    </row>
    <row r="103" spans="1:638" ht="15" customHeight="1" x14ac:dyDescent="0.25">
      <c r="A103" s="51">
        <f t="shared" si="8"/>
        <v>42968</v>
      </c>
      <c r="B103" s="52" t="str">
        <f>IF(C104&lt;Charts!$H$3,0,IF(DATE(YEAR(Charts!$H$3),MONTH(Charts!$H$3),DAY(Charts!$H$3))=DATE(YEAR(C104), MONTH(C104),DAY(C104)),0,TEXT(C103,"m/d/yy")&amp;"-"&amp;TEXT(C103+6,"m/d/yy")))</f>
        <v>8/21/17-8/27/17</v>
      </c>
      <c r="C103" s="53">
        <f>IF(Controls!$J$24="Monthly",DATE(YEAR(C104),MONTH(C104)-1,1),C104-Controls!$I$24)</f>
        <v>42968</v>
      </c>
      <c r="D103" s="54">
        <f t="shared" si="9"/>
        <v>42968</v>
      </c>
      <c r="E103" s="64"/>
      <c r="F103" s="96">
        <f>COUNTIFS(Media!C:C, "&gt;="&amp;$C103, Media!C:C, "&lt;"&amp;$C104, Media!G:G,"image")</f>
        <v>194</v>
      </c>
      <c r="G103" s="97">
        <f>COUNTIFS(Media!C:C, "&gt;="&amp;$C103, Media!C:C, "&lt;"&amp;$C104, Media!G:G,"video")</f>
        <v>14</v>
      </c>
      <c r="H103" s="251">
        <f>COUNTIFS(Media!C:C, "&gt;="&amp;$C103, Media!C:C, "&lt;"&amp;$C104, Media!G:G,"carousel")</f>
        <v>12</v>
      </c>
      <c r="I103" s="97">
        <f t="shared" si="10"/>
        <v>220</v>
      </c>
      <c r="J103" s="64"/>
      <c r="K103" s="97">
        <f>SUMIFS(Media!K:K, Media!$C:$C, "&gt;="&amp;$C103, Media!$C:$C, "&lt;"&amp;$C104)</f>
        <v>14021</v>
      </c>
      <c r="L103" s="97">
        <f>SUMIFS(Media!J:J, Media!$C:$C, "&gt;="&amp;$C103, Media!$C:$C, "&lt;"&amp;$C104)</f>
        <v>524</v>
      </c>
      <c r="M103" s="97">
        <f t="shared" si="11"/>
        <v>14545</v>
      </c>
      <c r="N103" s="64"/>
      <c r="O103" s="99">
        <f>SUMIFS(Media!M:M, Media!$C:$C, "&gt;="&amp;$C103, Media!$C:$C, "&lt;"&amp;$C104)</f>
        <v>0</v>
      </c>
      <c r="P103" s="64"/>
      <c r="Q103" s="98">
        <f>SUMIFS(Media!Q:Q, Media!$C:$C, "&gt;="&amp;$C103, Media!$C:$C, "&lt;"&amp;$C104)</f>
        <v>0</v>
      </c>
      <c r="R103" s="64"/>
      <c r="S103" s="100">
        <f>SUMIFS(Media!H:H, Media!$C:$C, "&gt;="&amp;$C103, Media!$C:$C, "&lt;"&amp;$C104)</f>
        <v>455962</v>
      </c>
      <c r="T103" s="64"/>
      <c r="U103" s="100">
        <f t="shared" si="15"/>
        <v>101</v>
      </c>
      <c r="V103" s="64"/>
      <c r="W103" s="130" t="e">
        <f ca="1">IF($C103=Calculations!$C$53, I103, NA())</f>
        <v>#N/A</v>
      </c>
      <c r="X103" s="103" t="e">
        <f t="shared" ca="1" si="12"/>
        <v>#N/A</v>
      </c>
      <c r="Y103" s="64"/>
      <c r="Z103" s="130" t="e">
        <f ca="1">IF($C103=Calculations!$E$85, M103, NA())</f>
        <v>#N/A</v>
      </c>
      <c r="AA103" s="130" t="e">
        <f ca="1">IF($C103=Calculations!$E$86, M103, NA())</f>
        <v>#N/A</v>
      </c>
      <c r="AB103" s="130" t="e">
        <f ca="1">IF($C103=Calculations!$E$87, M103, NA())</f>
        <v>#N/A</v>
      </c>
      <c r="AC103" s="130" t="e">
        <f t="shared" ca="1" si="13"/>
        <v>#N/A</v>
      </c>
      <c r="AD103" s="64"/>
      <c r="AE103" s="130" t="e">
        <f ca="1">IF($C103=Calculations!$C$142,Tables!S103, NA())</f>
        <v>#N/A</v>
      </c>
      <c r="AF103" s="130" t="e">
        <f t="shared" ca="1" si="14"/>
        <v>#N/A</v>
      </c>
      <c r="XN103" s="79"/>
    </row>
    <row r="104" spans="1:638" ht="15" customHeight="1" x14ac:dyDescent="0.25">
      <c r="A104" s="51">
        <f t="shared" si="8"/>
        <v>42969</v>
      </c>
      <c r="B104" s="52" t="str">
        <f>IF(C105&lt;Charts!$H$3,0,IF(DATE(YEAR(Charts!$H$3),MONTH(Charts!$H$3),DAY(Charts!$H$3))=DATE(YEAR(C105), MONTH(C105),DAY(C105)),0,TEXT(C104,"m/d/yy")&amp;"-"&amp;TEXT(C104+6,"m/d/yy")))</f>
        <v>8/22/17-8/28/17</v>
      </c>
      <c r="C104" s="53">
        <f>IF(Controls!$J$24="Monthly",DATE(YEAR(C105),MONTH(C105)-1,1),C105-Controls!$I$24)</f>
        <v>42969</v>
      </c>
      <c r="D104" s="54">
        <f t="shared" si="9"/>
        <v>42969</v>
      </c>
      <c r="E104" s="64"/>
      <c r="F104" s="96">
        <f>COUNTIFS(Media!C:C, "&gt;="&amp;$C104, Media!C:C, "&lt;"&amp;$C105, Media!G:G,"image")</f>
        <v>185</v>
      </c>
      <c r="G104" s="97">
        <f>COUNTIFS(Media!C:C, "&gt;="&amp;$C104, Media!C:C, "&lt;"&amp;$C105, Media!G:G,"video")</f>
        <v>21</v>
      </c>
      <c r="H104" s="251">
        <f>COUNTIFS(Media!C:C, "&gt;="&amp;$C104, Media!C:C, "&lt;"&amp;$C105, Media!G:G,"carousel")</f>
        <v>10</v>
      </c>
      <c r="I104" s="97">
        <f t="shared" si="10"/>
        <v>216</v>
      </c>
      <c r="J104" s="64"/>
      <c r="K104" s="97">
        <f>SUMIFS(Media!K:K, Media!$C:$C, "&gt;="&amp;$C104, Media!$C:$C, "&lt;"&amp;$C105)</f>
        <v>19222</v>
      </c>
      <c r="L104" s="97">
        <f>SUMIFS(Media!J:J, Media!$C:$C, "&gt;="&amp;$C104, Media!$C:$C, "&lt;"&amp;$C105)</f>
        <v>621</v>
      </c>
      <c r="M104" s="97">
        <f t="shared" si="11"/>
        <v>19843</v>
      </c>
      <c r="N104" s="64"/>
      <c r="O104" s="99">
        <f>SUMIFS(Media!M:M, Media!$C:$C, "&gt;="&amp;$C104, Media!$C:$C, "&lt;"&amp;$C105)</f>
        <v>0</v>
      </c>
      <c r="P104" s="64"/>
      <c r="Q104" s="98">
        <f>SUMIFS(Media!Q:Q, Media!$C:$C, "&gt;="&amp;$C104, Media!$C:$C, "&lt;"&amp;$C105)</f>
        <v>0</v>
      </c>
      <c r="R104" s="64"/>
      <c r="S104" s="100">
        <f>SUMIFS(Media!H:H, Media!$C:$C, "&gt;="&amp;$C104, Media!$C:$C, "&lt;"&amp;$C105)</f>
        <v>1021914</v>
      </c>
      <c r="T104" s="64"/>
      <c r="U104" s="100">
        <f t="shared" si="15"/>
        <v>102</v>
      </c>
      <c r="V104" s="64"/>
      <c r="W104" s="130" t="e">
        <f ca="1">IF($C104=Calculations!$C$53, I104, NA())</f>
        <v>#N/A</v>
      </c>
      <c r="X104" s="103" t="e">
        <f t="shared" ca="1" si="12"/>
        <v>#N/A</v>
      </c>
      <c r="Y104" s="64"/>
      <c r="Z104" s="130" t="e">
        <f ca="1">IF($C104=Calculations!$E$85, M104, NA())</f>
        <v>#N/A</v>
      </c>
      <c r="AA104" s="130" t="e">
        <f ca="1">IF($C104=Calculations!$E$86, M104, NA())</f>
        <v>#N/A</v>
      </c>
      <c r="AB104" s="130" t="e">
        <f ca="1">IF($C104=Calculations!$E$87, M104, NA())</f>
        <v>#N/A</v>
      </c>
      <c r="AC104" s="130" t="e">
        <f t="shared" ca="1" si="13"/>
        <v>#N/A</v>
      </c>
      <c r="AD104" s="64"/>
      <c r="AE104" s="130" t="e">
        <f ca="1">IF($C104=Calculations!$C$142,Tables!S104, NA())</f>
        <v>#N/A</v>
      </c>
      <c r="AF104" s="130" t="e">
        <f t="shared" ca="1" si="14"/>
        <v>#N/A</v>
      </c>
      <c r="XN104" s="79"/>
    </row>
    <row r="105" spans="1:638" ht="15" customHeight="1" x14ac:dyDescent="0.25">
      <c r="A105" s="51">
        <f t="shared" si="8"/>
        <v>42970</v>
      </c>
      <c r="B105" s="52" t="str">
        <f>IF(C106&lt;Charts!$H$3,0,IF(DATE(YEAR(Charts!$H$3),MONTH(Charts!$H$3),DAY(Charts!$H$3))=DATE(YEAR(C106), MONTH(C106),DAY(C106)),0,TEXT(C105,"m/d/yy")&amp;"-"&amp;TEXT(C105+6,"m/d/yy")))</f>
        <v>8/23/17-8/29/17</v>
      </c>
      <c r="C105" s="53">
        <f>IF(Controls!$J$24="Monthly",DATE(YEAR(C106),MONTH(C106)-1,1),C106-Controls!$I$24)</f>
        <v>42970</v>
      </c>
      <c r="D105" s="54">
        <f t="shared" si="9"/>
        <v>42970</v>
      </c>
      <c r="E105" s="64"/>
      <c r="F105" s="96">
        <f>COUNTIFS(Media!C:C, "&gt;="&amp;$C105, Media!C:C, "&lt;"&amp;$C106, Media!G:G,"image")</f>
        <v>205</v>
      </c>
      <c r="G105" s="97">
        <f>COUNTIFS(Media!C:C, "&gt;="&amp;$C105, Media!C:C, "&lt;"&amp;$C106, Media!G:G,"video")</f>
        <v>11</v>
      </c>
      <c r="H105" s="251">
        <f>COUNTIFS(Media!C:C, "&gt;="&amp;$C105, Media!C:C, "&lt;"&amp;$C106, Media!G:G,"carousel")</f>
        <v>8</v>
      </c>
      <c r="I105" s="97">
        <f t="shared" si="10"/>
        <v>224</v>
      </c>
      <c r="J105" s="64"/>
      <c r="K105" s="97">
        <f>SUMIFS(Media!K:K, Media!$C:$C, "&gt;="&amp;$C105, Media!$C:$C, "&lt;"&amp;$C106)</f>
        <v>23302</v>
      </c>
      <c r="L105" s="97">
        <f>SUMIFS(Media!J:J, Media!$C:$C, "&gt;="&amp;$C105, Media!$C:$C, "&lt;"&amp;$C106)</f>
        <v>645</v>
      </c>
      <c r="M105" s="97">
        <f t="shared" si="11"/>
        <v>23947</v>
      </c>
      <c r="N105" s="64"/>
      <c r="O105" s="99">
        <f>SUMIFS(Media!M:M, Media!$C:$C, "&gt;="&amp;$C105, Media!$C:$C, "&lt;"&amp;$C106)</f>
        <v>0</v>
      </c>
      <c r="P105" s="64"/>
      <c r="Q105" s="98">
        <f>SUMIFS(Media!Q:Q, Media!$C:$C, "&gt;="&amp;$C105, Media!$C:$C, "&lt;"&amp;$C106)</f>
        <v>0</v>
      </c>
      <c r="R105" s="64"/>
      <c r="S105" s="100">
        <f>SUMIFS(Media!H:H, Media!$C:$C, "&gt;="&amp;$C105, Media!$C:$C, "&lt;"&amp;$C106)</f>
        <v>1515766</v>
      </c>
      <c r="T105" s="64"/>
      <c r="U105" s="100">
        <f t="shared" si="15"/>
        <v>103</v>
      </c>
      <c r="V105" s="64"/>
      <c r="W105" s="130" t="e">
        <f ca="1">IF($C105=Calculations!$C$53, I105, NA())</f>
        <v>#N/A</v>
      </c>
      <c r="X105" s="103" t="e">
        <f t="shared" ca="1" si="12"/>
        <v>#N/A</v>
      </c>
      <c r="Y105" s="64"/>
      <c r="Z105" s="130" t="e">
        <f ca="1">IF($C105=Calculations!$E$85, M105, NA())</f>
        <v>#N/A</v>
      </c>
      <c r="AA105" s="130" t="e">
        <f ca="1">IF($C105=Calculations!$E$86, M105, NA())</f>
        <v>#N/A</v>
      </c>
      <c r="AB105" s="130" t="e">
        <f ca="1">IF($C105=Calculations!$E$87, M105, NA())</f>
        <v>#N/A</v>
      </c>
      <c r="AC105" s="130" t="e">
        <f t="shared" ca="1" si="13"/>
        <v>#N/A</v>
      </c>
      <c r="AD105" s="64"/>
      <c r="AE105" s="130" t="e">
        <f ca="1">IF($C105=Calculations!$C$142,Tables!S105, NA())</f>
        <v>#N/A</v>
      </c>
      <c r="AF105" s="130" t="e">
        <f t="shared" ca="1" si="14"/>
        <v>#N/A</v>
      </c>
      <c r="XN105" s="79"/>
    </row>
    <row r="106" spans="1:638" ht="15" customHeight="1" x14ac:dyDescent="0.25">
      <c r="A106" s="51">
        <f t="shared" si="8"/>
        <v>42971</v>
      </c>
      <c r="B106" s="52" t="str">
        <f>IF(C107&lt;Charts!$H$3,0,IF(DATE(YEAR(Charts!$H$3),MONTH(Charts!$H$3),DAY(Charts!$H$3))=DATE(YEAR(C107), MONTH(C107),DAY(C107)),0,TEXT(C106,"m/d/yy")&amp;"-"&amp;TEXT(C106+6,"m/d/yy")))</f>
        <v>8/24/17-8/30/17</v>
      </c>
      <c r="C106" s="53">
        <f>IF(Controls!$J$24="Monthly",DATE(YEAR(C107),MONTH(C107)-1,1),C107-Controls!$I$24)</f>
        <v>42971</v>
      </c>
      <c r="D106" s="54">
        <f t="shared" si="9"/>
        <v>42971</v>
      </c>
      <c r="E106" s="64"/>
      <c r="F106" s="96">
        <f>COUNTIFS(Media!C:C, "&gt;="&amp;$C106, Media!C:C, "&lt;"&amp;$C107, Media!G:G,"image")</f>
        <v>169</v>
      </c>
      <c r="G106" s="97">
        <f>COUNTIFS(Media!C:C, "&gt;="&amp;$C106, Media!C:C, "&lt;"&amp;$C107, Media!G:G,"video")</f>
        <v>15</v>
      </c>
      <c r="H106" s="251">
        <f>COUNTIFS(Media!C:C, "&gt;="&amp;$C106, Media!C:C, "&lt;"&amp;$C107, Media!G:G,"carousel")</f>
        <v>7</v>
      </c>
      <c r="I106" s="97">
        <f t="shared" si="10"/>
        <v>191</v>
      </c>
      <c r="J106" s="64"/>
      <c r="K106" s="97">
        <f>SUMIFS(Media!K:K, Media!$C:$C, "&gt;="&amp;$C106, Media!$C:$C, "&lt;"&amp;$C107)</f>
        <v>15566</v>
      </c>
      <c r="L106" s="97">
        <f>SUMIFS(Media!J:J, Media!$C:$C, "&gt;="&amp;$C106, Media!$C:$C, "&lt;"&amp;$C107)</f>
        <v>479</v>
      </c>
      <c r="M106" s="97">
        <f t="shared" si="11"/>
        <v>16045</v>
      </c>
      <c r="N106" s="64"/>
      <c r="O106" s="99">
        <f>SUMIFS(Media!M:M, Media!$C:$C, "&gt;="&amp;$C106, Media!$C:$C, "&lt;"&amp;$C107)</f>
        <v>0</v>
      </c>
      <c r="P106" s="64"/>
      <c r="Q106" s="98">
        <f>SUMIFS(Media!Q:Q, Media!$C:$C, "&gt;="&amp;$C106, Media!$C:$C, "&lt;"&amp;$C107)</f>
        <v>0</v>
      </c>
      <c r="R106" s="64"/>
      <c r="S106" s="100">
        <f>SUMIFS(Media!H:H, Media!$C:$C, "&gt;="&amp;$C106, Media!$C:$C, "&lt;"&amp;$C107)</f>
        <v>1400850</v>
      </c>
      <c r="T106" s="64"/>
      <c r="U106" s="100">
        <f t="shared" si="15"/>
        <v>104</v>
      </c>
      <c r="V106" s="64"/>
      <c r="W106" s="130" t="e">
        <f ca="1">IF($C106=Calculations!$C$53, I106, NA())</f>
        <v>#N/A</v>
      </c>
      <c r="X106" s="103" t="e">
        <f t="shared" ca="1" si="12"/>
        <v>#N/A</v>
      </c>
      <c r="Y106" s="64"/>
      <c r="Z106" s="130" t="e">
        <f ca="1">IF($C106=Calculations!$E$85, M106, NA())</f>
        <v>#N/A</v>
      </c>
      <c r="AA106" s="130" t="e">
        <f ca="1">IF($C106=Calculations!$E$86, M106, NA())</f>
        <v>#N/A</v>
      </c>
      <c r="AB106" s="130" t="e">
        <f ca="1">IF($C106=Calculations!$E$87, M106, NA())</f>
        <v>#N/A</v>
      </c>
      <c r="AC106" s="130" t="e">
        <f t="shared" ca="1" si="13"/>
        <v>#N/A</v>
      </c>
      <c r="AD106" s="64"/>
      <c r="AE106" s="130" t="e">
        <f ca="1">IF($C106=Calculations!$C$142,Tables!S106, NA())</f>
        <v>#N/A</v>
      </c>
      <c r="AF106" s="130" t="e">
        <f t="shared" ca="1" si="14"/>
        <v>#N/A</v>
      </c>
      <c r="XN106" s="79"/>
    </row>
    <row r="107" spans="1:638" ht="15" customHeight="1" x14ac:dyDescent="0.25">
      <c r="A107" s="51">
        <f t="shared" si="8"/>
        <v>42972</v>
      </c>
      <c r="B107" s="52" t="str">
        <f>IF(C108&lt;Charts!$H$3,0,IF(DATE(YEAR(Charts!$H$3),MONTH(Charts!$H$3),DAY(Charts!$H$3))=DATE(YEAR(C108), MONTH(C108),DAY(C108)),0,TEXT(C107,"m/d/yy")&amp;"-"&amp;TEXT(C107+6,"m/d/yy")))</f>
        <v>8/25/17-8/31/17</v>
      </c>
      <c r="C107" s="53">
        <f>IF(Controls!$J$24="Monthly",DATE(YEAR(C108),MONTH(C108)-1,1),C108-Controls!$I$24)</f>
        <v>42972</v>
      </c>
      <c r="D107" s="54">
        <f t="shared" si="9"/>
        <v>42972</v>
      </c>
      <c r="E107" s="64"/>
      <c r="F107" s="96">
        <f>COUNTIFS(Media!C:C, "&gt;="&amp;$C107, Media!C:C, "&lt;"&amp;$C108, Media!G:G,"image")</f>
        <v>153</v>
      </c>
      <c r="G107" s="97">
        <f>COUNTIFS(Media!C:C, "&gt;="&amp;$C107, Media!C:C, "&lt;"&amp;$C108, Media!G:G,"video")</f>
        <v>9</v>
      </c>
      <c r="H107" s="251">
        <f>COUNTIFS(Media!C:C, "&gt;="&amp;$C107, Media!C:C, "&lt;"&amp;$C108, Media!G:G,"carousel")</f>
        <v>6</v>
      </c>
      <c r="I107" s="97">
        <f t="shared" si="10"/>
        <v>168</v>
      </c>
      <c r="J107" s="64"/>
      <c r="K107" s="97">
        <f>SUMIFS(Media!K:K, Media!$C:$C, "&gt;="&amp;$C107, Media!$C:$C, "&lt;"&amp;$C108)</f>
        <v>21076</v>
      </c>
      <c r="L107" s="97">
        <f>SUMIFS(Media!J:J, Media!$C:$C, "&gt;="&amp;$C107, Media!$C:$C, "&lt;"&amp;$C108)</f>
        <v>686</v>
      </c>
      <c r="M107" s="97">
        <f t="shared" si="11"/>
        <v>21762</v>
      </c>
      <c r="N107" s="64"/>
      <c r="O107" s="99">
        <f>SUMIFS(Media!M:M, Media!$C:$C, "&gt;="&amp;$C107, Media!$C:$C, "&lt;"&amp;$C108)</f>
        <v>0</v>
      </c>
      <c r="P107" s="64"/>
      <c r="Q107" s="98">
        <f>SUMIFS(Media!Q:Q, Media!$C:$C, "&gt;="&amp;$C107, Media!$C:$C, "&lt;"&amp;$C108)</f>
        <v>0</v>
      </c>
      <c r="R107" s="64"/>
      <c r="S107" s="100">
        <f>SUMIFS(Media!H:H, Media!$C:$C, "&gt;="&amp;$C107, Media!$C:$C, "&lt;"&amp;$C108)</f>
        <v>1092299</v>
      </c>
      <c r="T107" s="64"/>
      <c r="U107" s="100">
        <f t="shared" si="15"/>
        <v>105</v>
      </c>
      <c r="V107" s="64"/>
      <c r="W107" s="130" t="e">
        <f ca="1">IF($C107=Calculations!$C$53, I107, NA())</f>
        <v>#N/A</v>
      </c>
      <c r="X107" s="103" t="e">
        <f t="shared" ca="1" si="12"/>
        <v>#N/A</v>
      </c>
      <c r="Y107" s="64"/>
      <c r="Z107" s="130" t="e">
        <f ca="1">IF($C107=Calculations!$E$85, M107, NA())</f>
        <v>#N/A</v>
      </c>
      <c r="AA107" s="130" t="e">
        <f ca="1">IF($C107=Calculations!$E$86, M107, NA())</f>
        <v>#N/A</v>
      </c>
      <c r="AB107" s="130" t="e">
        <f ca="1">IF($C107=Calculations!$E$87, M107, NA())</f>
        <v>#N/A</v>
      </c>
      <c r="AC107" s="130" t="e">
        <f t="shared" ca="1" si="13"/>
        <v>#N/A</v>
      </c>
      <c r="AD107" s="64"/>
      <c r="AE107" s="130" t="e">
        <f ca="1">IF($C107=Calculations!$C$142,Tables!S107, NA())</f>
        <v>#N/A</v>
      </c>
      <c r="AF107" s="130" t="e">
        <f t="shared" ca="1" si="14"/>
        <v>#N/A</v>
      </c>
      <c r="XN107" s="79"/>
    </row>
    <row r="108" spans="1:638" ht="15" customHeight="1" x14ac:dyDescent="0.25">
      <c r="A108" s="51">
        <f t="shared" si="8"/>
        <v>42973</v>
      </c>
      <c r="B108" s="52" t="str">
        <f>IF(C109&lt;Charts!$H$3,0,IF(DATE(YEAR(Charts!$H$3),MONTH(Charts!$H$3),DAY(Charts!$H$3))=DATE(YEAR(C109), MONTH(C109),DAY(C109)),0,TEXT(C108,"m/d/yy")&amp;"-"&amp;TEXT(C108+6,"m/d/yy")))</f>
        <v>8/26/17-9/1/17</v>
      </c>
      <c r="C108" s="53">
        <f>IF(Controls!$J$24="Monthly",DATE(YEAR(C109),MONTH(C109)-1,1),C109-Controls!$I$24)</f>
        <v>42973</v>
      </c>
      <c r="D108" s="54">
        <f t="shared" si="9"/>
        <v>42973</v>
      </c>
      <c r="E108" s="64"/>
      <c r="F108" s="96">
        <f>COUNTIFS(Media!C:C, "&gt;="&amp;$C108, Media!C:C, "&lt;"&amp;$C109, Media!G:G,"image")</f>
        <v>146</v>
      </c>
      <c r="G108" s="97">
        <f>COUNTIFS(Media!C:C, "&gt;="&amp;$C108, Media!C:C, "&lt;"&amp;$C109, Media!G:G,"video")</f>
        <v>7</v>
      </c>
      <c r="H108" s="251">
        <f>COUNTIFS(Media!C:C, "&gt;="&amp;$C108, Media!C:C, "&lt;"&amp;$C109, Media!G:G,"carousel")</f>
        <v>5</v>
      </c>
      <c r="I108" s="97">
        <f t="shared" si="10"/>
        <v>158</v>
      </c>
      <c r="J108" s="64"/>
      <c r="K108" s="97">
        <f>SUMIFS(Media!K:K, Media!$C:$C, "&gt;="&amp;$C108, Media!$C:$C, "&lt;"&amp;$C109)</f>
        <v>26653</v>
      </c>
      <c r="L108" s="97">
        <f>SUMIFS(Media!J:J, Media!$C:$C, "&gt;="&amp;$C108, Media!$C:$C, "&lt;"&amp;$C109)</f>
        <v>438</v>
      </c>
      <c r="M108" s="97">
        <f t="shared" si="11"/>
        <v>27091</v>
      </c>
      <c r="N108" s="64"/>
      <c r="O108" s="99">
        <f>SUMIFS(Media!M:M, Media!$C:$C, "&gt;="&amp;$C108, Media!$C:$C, "&lt;"&amp;$C109)</f>
        <v>0</v>
      </c>
      <c r="P108" s="64"/>
      <c r="Q108" s="98">
        <f>SUMIFS(Media!Q:Q, Media!$C:$C, "&gt;="&amp;$C108, Media!$C:$C, "&lt;"&amp;$C109)</f>
        <v>0</v>
      </c>
      <c r="R108" s="64"/>
      <c r="S108" s="100">
        <f>SUMIFS(Media!H:H, Media!$C:$C, "&gt;="&amp;$C108, Media!$C:$C, "&lt;"&amp;$C109)</f>
        <v>1628540</v>
      </c>
      <c r="T108" s="64"/>
      <c r="U108" s="100">
        <f t="shared" si="15"/>
        <v>106</v>
      </c>
      <c r="V108" s="64"/>
      <c r="W108" s="130" t="e">
        <f ca="1">IF($C108=Calculations!$C$53, I108, NA())</f>
        <v>#N/A</v>
      </c>
      <c r="X108" s="103" t="e">
        <f t="shared" ca="1" si="12"/>
        <v>#N/A</v>
      </c>
      <c r="Y108" s="64"/>
      <c r="Z108" s="130" t="e">
        <f ca="1">IF($C108=Calculations!$E$85, M108, NA())</f>
        <v>#N/A</v>
      </c>
      <c r="AA108" s="130" t="e">
        <f ca="1">IF($C108=Calculations!$E$86, M108, NA())</f>
        <v>#N/A</v>
      </c>
      <c r="AB108" s="130" t="e">
        <f ca="1">IF($C108=Calculations!$E$87, M108, NA())</f>
        <v>#N/A</v>
      </c>
      <c r="AC108" s="130" t="e">
        <f t="shared" ca="1" si="13"/>
        <v>#N/A</v>
      </c>
      <c r="AD108" s="64"/>
      <c r="AE108" s="130" t="e">
        <f ca="1">IF($C108=Calculations!$C$142,Tables!S108, NA())</f>
        <v>#N/A</v>
      </c>
      <c r="AF108" s="130" t="e">
        <f t="shared" ca="1" si="14"/>
        <v>#N/A</v>
      </c>
      <c r="XN108" s="79"/>
    </row>
    <row r="109" spans="1:638" ht="15" customHeight="1" x14ac:dyDescent="0.25">
      <c r="A109" s="51">
        <f t="shared" si="8"/>
        <v>42974</v>
      </c>
      <c r="B109" s="52" t="str">
        <f>IF(C110&lt;Charts!$H$3,0,IF(DATE(YEAR(Charts!$H$3),MONTH(Charts!$H$3),DAY(Charts!$H$3))=DATE(YEAR(C110), MONTH(C110),DAY(C110)),0,TEXT(C109,"m/d/yy")&amp;"-"&amp;TEXT(C109+6,"m/d/yy")))</f>
        <v>8/27/17-9/2/17</v>
      </c>
      <c r="C109" s="53">
        <f>IF(Controls!$J$24="Monthly",DATE(YEAR(C110),MONTH(C110)-1,1),C110-Controls!$I$24)</f>
        <v>42974</v>
      </c>
      <c r="D109" s="54">
        <f t="shared" si="9"/>
        <v>42974</v>
      </c>
      <c r="E109" s="64"/>
      <c r="F109" s="96">
        <f>COUNTIFS(Media!C:C, "&gt;="&amp;$C109, Media!C:C, "&lt;"&amp;$C110, Media!G:G,"image")</f>
        <v>150</v>
      </c>
      <c r="G109" s="97">
        <f>COUNTIFS(Media!C:C, "&gt;="&amp;$C109, Media!C:C, "&lt;"&amp;$C110, Media!G:G,"video")</f>
        <v>11</v>
      </c>
      <c r="H109" s="251">
        <f>COUNTIFS(Media!C:C, "&gt;="&amp;$C109, Media!C:C, "&lt;"&amp;$C110, Media!G:G,"carousel")</f>
        <v>18</v>
      </c>
      <c r="I109" s="97">
        <f t="shared" si="10"/>
        <v>179</v>
      </c>
      <c r="J109" s="64"/>
      <c r="K109" s="97">
        <f>SUMIFS(Media!K:K, Media!$C:$C, "&gt;="&amp;$C109, Media!$C:$C, "&lt;"&amp;$C110)</f>
        <v>14059</v>
      </c>
      <c r="L109" s="97">
        <f>SUMIFS(Media!J:J, Media!$C:$C, "&gt;="&amp;$C109, Media!$C:$C, "&lt;"&amp;$C110)</f>
        <v>381</v>
      </c>
      <c r="M109" s="97">
        <f t="shared" si="11"/>
        <v>14440</v>
      </c>
      <c r="N109" s="64"/>
      <c r="O109" s="99">
        <f>SUMIFS(Media!M:M, Media!$C:$C, "&gt;="&amp;$C109, Media!$C:$C, "&lt;"&amp;$C110)</f>
        <v>0</v>
      </c>
      <c r="P109" s="64"/>
      <c r="Q109" s="98">
        <f>SUMIFS(Media!Q:Q, Media!$C:$C, "&gt;="&amp;$C109, Media!$C:$C, "&lt;"&amp;$C110)</f>
        <v>0</v>
      </c>
      <c r="R109" s="64"/>
      <c r="S109" s="100">
        <f>SUMIFS(Media!H:H, Media!$C:$C, "&gt;="&amp;$C109, Media!$C:$C, "&lt;"&amp;$C110)</f>
        <v>2076645</v>
      </c>
      <c r="T109" s="64"/>
      <c r="U109" s="100">
        <f t="shared" si="15"/>
        <v>107</v>
      </c>
      <c r="V109" s="64"/>
      <c r="W109" s="130" t="e">
        <f ca="1">IF($C109=Calculations!$C$53, I109, NA())</f>
        <v>#N/A</v>
      </c>
      <c r="X109" s="103" t="e">
        <f t="shared" ca="1" si="12"/>
        <v>#N/A</v>
      </c>
      <c r="Y109" s="64"/>
      <c r="Z109" s="130" t="e">
        <f ca="1">IF($C109=Calculations!$E$85, M109, NA())</f>
        <v>#N/A</v>
      </c>
      <c r="AA109" s="130" t="e">
        <f ca="1">IF($C109=Calculations!$E$86, M109, NA())</f>
        <v>#N/A</v>
      </c>
      <c r="AB109" s="130" t="e">
        <f ca="1">IF($C109=Calculations!$E$87, M109, NA())</f>
        <v>#N/A</v>
      </c>
      <c r="AC109" s="130" t="e">
        <f t="shared" ca="1" si="13"/>
        <v>#N/A</v>
      </c>
      <c r="AD109" s="64"/>
      <c r="AE109" s="130" t="e">
        <f ca="1">IF($C109=Calculations!$C$142,Tables!S109, NA())</f>
        <v>#N/A</v>
      </c>
      <c r="AF109" s="130" t="e">
        <f t="shared" ca="1" si="14"/>
        <v>#N/A</v>
      </c>
      <c r="XN109" s="79"/>
    </row>
    <row r="110" spans="1:638" ht="15" customHeight="1" x14ac:dyDescent="0.25">
      <c r="A110" s="51">
        <f t="shared" si="8"/>
        <v>42975</v>
      </c>
      <c r="B110" s="52" t="str">
        <f>IF(C111&lt;Charts!$H$3,0,IF(DATE(YEAR(Charts!$H$3),MONTH(Charts!$H$3),DAY(Charts!$H$3))=DATE(YEAR(C111), MONTH(C111),DAY(C111)),0,TEXT(C110,"m/d/yy")&amp;"-"&amp;TEXT(C110+6,"m/d/yy")))</f>
        <v>8/28/17-9/3/17</v>
      </c>
      <c r="C110" s="53">
        <f>IF(Controls!$J$24="Monthly",DATE(YEAR(C111),MONTH(C111)-1,1),C111-Controls!$I$24)</f>
        <v>42975</v>
      </c>
      <c r="D110" s="54">
        <f t="shared" si="9"/>
        <v>42975</v>
      </c>
      <c r="E110" s="64"/>
      <c r="F110" s="96">
        <f>COUNTIFS(Media!C:C, "&gt;="&amp;$C110, Media!C:C, "&lt;"&amp;$C111, Media!G:G,"image")</f>
        <v>181</v>
      </c>
      <c r="G110" s="97">
        <f>COUNTIFS(Media!C:C, "&gt;="&amp;$C110, Media!C:C, "&lt;"&amp;$C111, Media!G:G,"video")</f>
        <v>8</v>
      </c>
      <c r="H110" s="251">
        <f>COUNTIFS(Media!C:C, "&gt;="&amp;$C110, Media!C:C, "&lt;"&amp;$C111, Media!G:G,"carousel")</f>
        <v>8</v>
      </c>
      <c r="I110" s="97">
        <f t="shared" si="10"/>
        <v>197</v>
      </c>
      <c r="J110" s="64"/>
      <c r="K110" s="97">
        <f>SUMIFS(Media!K:K, Media!$C:$C, "&gt;="&amp;$C110, Media!$C:$C, "&lt;"&amp;$C111)</f>
        <v>15006</v>
      </c>
      <c r="L110" s="97">
        <f>SUMIFS(Media!J:J, Media!$C:$C, "&gt;="&amp;$C110, Media!$C:$C, "&lt;"&amp;$C111)</f>
        <v>572</v>
      </c>
      <c r="M110" s="97">
        <f t="shared" si="11"/>
        <v>15578</v>
      </c>
      <c r="N110" s="64"/>
      <c r="O110" s="99">
        <f>SUMIFS(Media!M:M, Media!$C:$C, "&gt;="&amp;$C110, Media!$C:$C, "&lt;"&amp;$C111)</f>
        <v>0</v>
      </c>
      <c r="P110" s="64"/>
      <c r="Q110" s="98">
        <f>SUMIFS(Media!Q:Q, Media!$C:$C, "&gt;="&amp;$C110, Media!$C:$C, "&lt;"&amp;$C111)</f>
        <v>0</v>
      </c>
      <c r="R110" s="64"/>
      <c r="S110" s="100">
        <f>SUMIFS(Media!H:H, Media!$C:$C, "&gt;="&amp;$C110, Media!$C:$C, "&lt;"&amp;$C111)</f>
        <v>1742075</v>
      </c>
      <c r="T110" s="64"/>
      <c r="U110" s="100">
        <f t="shared" si="15"/>
        <v>108</v>
      </c>
      <c r="V110" s="64"/>
      <c r="W110" s="130" t="e">
        <f ca="1">IF($C110=Calculations!$C$53, I110, NA())</f>
        <v>#N/A</v>
      </c>
      <c r="X110" s="103" t="e">
        <f t="shared" ca="1" si="12"/>
        <v>#N/A</v>
      </c>
      <c r="Y110" s="64"/>
      <c r="Z110" s="130" t="e">
        <f ca="1">IF($C110=Calculations!$E$85, M110, NA())</f>
        <v>#N/A</v>
      </c>
      <c r="AA110" s="130" t="e">
        <f ca="1">IF($C110=Calculations!$E$86, M110, NA())</f>
        <v>#N/A</v>
      </c>
      <c r="AB110" s="130" t="e">
        <f ca="1">IF($C110=Calculations!$E$87, M110, NA())</f>
        <v>#N/A</v>
      </c>
      <c r="AC110" s="130" t="e">
        <f t="shared" ca="1" si="13"/>
        <v>#N/A</v>
      </c>
      <c r="AD110" s="64"/>
      <c r="AE110" s="130" t="e">
        <f ca="1">IF($C110=Calculations!$C$142,Tables!S110, NA())</f>
        <v>#N/A</v>
      </c>
      <c r="AF110" s="130" t="e">
        <f t="shared" ca="1" si="14"/>
        <v>#N/A</v>
      </c>
      <c r="XN110" s="79"/>
    </row>
    <row r="111" spans="1:638" ht="15" customHeight="1" x14ac:dyDescent="0.25">
      <c r="A111" s="51">
        <f t="shared" si="8"/>
        <v>42976</v>
      </c>
      <c r="B111" s="52" t="str">
        <f>IF(C112&lt;Charts!$H$3,0,IF(DATE(YEAR(Charts!$H$3),MONTH(Charts!$H$3),DAY(Charts!$H$3))=DATE(YEAR(C112), MONTH(C112),DAY(C112)),0,TEXT(C111,"m/d/yy")&amp;"-"&amp;TEXT(C111+6,"m/d/yy")))</f>
        <v>8/29/17-9/4/17</v>
      </c>
      <c r="C111" s="53">
        <f>IF(Controls!$J$24="Monthly",DATE(YEAR(C112),MONTH(C112)-1,1),C112-Controls!$I$24)</f>
        <v>42976</v>
      </c>
      <c r="D111" s="54">
        <f t="shared" si="9"/>
        <v>42976</v>
      </c>
      <c r="E111" s="64"/>
      <c r="F111" s="96">
        <f>COUNTIFS(Media!C:C, "&gt;="&amp;$C111, Media!C:C, "&lt;"&amp;$C112, Media!G:G,"image")</f>
        <v>153</v>
      </c>
      <c r="G111" s="97">
        <f>COUNTIFS(Media!C:C, "&gt;="&amp;$C111, Media!C:C, "&lt;"&amp;$C112, Media!G:G,"video")</f>
        <v>13</v>
      </c>
      <c r="H111" s="251">
        <f>COUNTIFS(Media!C:C, "&gt;="&amp;$C111, Media!C:C, "&lt;"&amp;$C112, Media!G:G,"carousel")</f>
        <v>12</v>
      </c>
      <c r="I111" s="97">
        <f t="shared" si="10"/>
        <v>178</v>
      </c>
      <c r="J111" s="64"/>
      <c r="K111" s="97">
        <f>SUMIFS(Media!K:K, Media!$C:$C, "&gt;="&amp;$C111, Media!$C:$C, "&lt;"&amp;$C112)</f>
        <v>21865</v>
      </c>
      <c r="L111" s="97">
        <f>SUMIFS(Media!J:J, Media!$C:$C, "&gt;="&amp;$C111, Media!$C:$C, "&lt;"&amp;$C112)</f>
        <v>640</v>
      </c>
      <c r="M111" s="97">
        <f t="shared" si="11"/>
        <v>22505</v>
      </c>
      <c r="N111" s="64"/>
      <c r="O111" s="99">
        <f>SUMIFS(Media!M:M, Media!$C:$C, "&gt;="&amp;$C111, Media!$C:$C, "&lt;"&amp;$C112)</f>
        <v>0</v>
      </c>
      <c r="P111" s="64"/>
      <c r="Q111" s="98">
        <f>SUMIFS(Media!Q:Q, Media!$C:$C, "&gt;="&amp;$C111, Media!$C:$C, "&lt;"&amp;$C112)</f>
        <v>0</v>
      </c>
      <c r="R111" s="64"/>
      <c r="S111" s="100">
        <f>SUMIFS(Media!H:H, Media!$C:$C, "&gt;="&amp;$C111, Media!$C:$C, "&lt;"&amp;$C112)</f>
        <v>1842079</v>
      </c>
      <c r="T111" s="64"/>
      <c r="U111" s="100">
        <f t="shared" si="15"/>
        <v>109</v>
      </c>
      <c r="V111" s="64"/>
      <c r="W111" s="130" t="e">
        <f ca="1">IF($C111=Calculations!$C$53, I111, NA())</f>
        <v>#N/A</v>
      </c>
      <c r="X111" s="103" t="e">
        <f t="shared" ca="1" si="12"/>
        <v>#N/A</v>
      </c>
      <c r="Y111" s="64"/>
      <c r="Z111" s="130" t="e">
        <f ca="1">IF($C111=Calculations!$E$85, M111, NA())</f>
        <v>#N/A</v>
      </c>
      <c r="AA111" s="130" t="e">
        <f ca="1">IF($C111=Calculations!$E$86, M111, NA())</f>
        <v>#N/A</v>
      </c>
      <c r="AB111" s="130" t="e">
        <f ca="1">IF($C111=Calculations!$E$87, M111, NA())</f>
        <v>#N/A</v>
      </c>
      <c r="AC111" s="130" t="e">
        <f t="shared" ca="1" si="13"/>
        <v>#N/A</v>
      </c>
      <c r="AD111" s="64"/>
      <c r="AE111" s="130" t="e">
        <f ca="1">IF($C111=Calculations!$C$142,Tables!S111, NA())</f>
        <v>#N/A</v>
      </c>
      <c r="AF111" s="130" t="e">
        <f t="shared" ca="1" si="14"/>
        <v>#N/A</v>
      </c>
      <c r="XN111" s="79"/>
    </row>
    <row r="112" spans="1:638" ht="15" customHeight="1" x14ac:dyDescent="0.25">
      <c r="A112" s="51">
        <f t="shared" si="8"/>
        <v>42977</v>
      </c>
      <c r="B112" s="52" t="str">
        <f>IF(C113&lt;Charts!$H$3,0,IF(DATE(YEAR(Charts!$H$3),MONTH(Charts!$H$3),DAY(Charts!$H$3))=DATE(YEAR(C113), MONTH(C113),DAY(C113)),0,TEXT(C112,"m/d/yy")&amp;"-"&amp;TEXT(C112+6,"m/d/yy")))</f>
        <v>8/30/17-9/5/17</v>
      </c>
      <c r="C112" s="53">
        <f>IF(Controls!$J$24="Monthly",DATE(YEAR(C113),MONTH(C113)-1,1),C113-Controls!$I$24)</f>
        <v>42977</v>
      </c>
      <c r="D112" s="54">
        <f t="shared" si="9"/>
        <v>42977</v>
      </c>
      <c r="E112" s="64"/>
      <c r="F112" s="96">
        <f>COUNTIFS(Media!C:C, "&gt;="&amp;$C112, Media!C:C, "&lt;"&amp;$C113, Media!G:G,"image")</f>
        <v>168</v>
      </c>
      <c r="G112" s="97">
        <f>COUNTIFS(Media!C:C, "&gt;="&amp;$C112, Media!C:C, "&lt;"&amp;$C113, Media!G:G,"video")</f>
        <v>14</v>
      </c>
      <c r="H112" s="251">
        <f>COUNTIFS(Media!C:C, "&gt;="&amp;$C112, Media!C:C, "&lt;"&amp;$C113, Media!G:G,"carousel")</f>
        <v>16</v>
      </c>
      <c r="I112" s="97">
        <f t="shared" si="10"/>
        <v>198</v>
      </c>
      <c r="J112" s="64"/>
      <c r="K112" s="97">
        <f>SUMIFS(Media!K:K, Media!$C:$C, "&gt;="&amp;$C112, Media!$C:$C, "&lt;"&amp;$C113)</f>
        <v>26528</v>
      </c>
      <c r="L112" s="97">
        <f>SUMIFS(Media!J:J, Media!$C:$C, "&gt;="&amp;$C112, Media!$C:$C, "&lt;"&amp;$C113)</f>
        <v>572</v>
      </c>
      <c r="M112" s="97">
        <f t="shared" si="11"/>
        <v>27100</v>
      </c>
      <c r="N112" s="64"/>
      <c r="O112" s="99">
        <f>SUMIFS(Media!M:M, Media!$C:$C, "&gt;="&amp;$C112, Media!$C:$C, "&lt;"&amp;$C113)</f>
        <v>0</v>
      </c>
      <c r="P112" s="64"/>
      <c r="Q112" s="98">
        <f>SUMIFS(Media!Q:Q, Media!$C:$C, "&gt;="&amp;$C112, Media!$C:$C, "&lt;"&amp;$C113)</f>
        <v>0</v>
      </c>
      <c r="R112" s="64"/>
      <c r="S112" s="100">
        <f>SUMIFS(Media!H:H, Media!$C:$C, "&gt;="&amp;$C112, Media!$C:$C, "&lt;"&amp;$C113)</f>
        <v>2152808</v>
      </c>
      <c r="T112" s="64"/>
      <c r="U112" s="100">
        <f t="shared" si="15"/>
        <v>110</v>
      </c>
      <c r="V112" s="64"/>
      <c r="W112" s="130" t="e">
        <f ca="1">IF($C112=Calculations!$C$53, I112, NA())</f>
        <v>#N/A</v>
      </c>
      <c r="X112" s="103" t="e">
        <f t="shared" ca="1" si="12"/>
        <v>#N/A</v>
      </c>
      <c r="Y112" s="64"/>
      <c r="Z112" s="130" t="e">
        <f ca="1">IF($C112=Calculations!$E$85, M112, NA())</f>
        <v>#N/A</v>
      </c>
      <c r="AA112" s="130" t="e">
        <f ca="1">IF($C112=Calculations!$E$86, M112, NA())</f>
        <v>#N/A</v>
      </c>
      <c r="AB112" s="130" t="e">
        <f ca="1">IF($C112=Calculations!$E$87, M112, NA())</f>
        <v>#N/A</v>
      </c>
      <c r="AC112" s="130" t="e">
        <f t="shared" ca="1" si="13"/>
        <v>#N/A</v>
      </c>
      <c r="AD112" s="64"/>
      <c r="AE112" s="130" t="e">
        <f ca="1">IF($C112=Calculations!$C$142,Tables!S112, NA())</f>
        <v>#N/A</v>
      </c>
      <c r="AF112" s="130" t="e">
        <f t="shared" ca="1" si="14"/>
        <v>#N/A</v>
      </c>
      <c r="XN112" s="79"/>
    </row>
    <row r="113" spans="1:638" ht="15" customHeight="1" x14ac:dyDescent="0.25">
      <c r="A113" s="51">
        <f t="shared" si="8"/>
        <v>42978</v>
      </c>
      <c r="B113" s="52" t="str">
        <f>IF(C114&lt;Charts!$H$3,0,IF(DATE(YEAR(Charts!$H$3),MONTH(Charts!$H$3),DAY(Charts!$H$3))=DATE(YEAR(C114), MONTH(C114),DAY(C114)),0,TEXT(C113,"m/d/yy")&amp;"-"&amp;TEXT(C113+6,"m/d/yy")))</f>
        <v>8/31/17-9/6/17</v>
      </c>
      <c r="C113" s="53">
        <f>IF(Controls!$J$24="Monthly",DATE(YEAR(C114),MONTH(C114)-1,1),C114-Controls!$I$24)</f>
        <v>42978</v>
      </c>
      <c r="D113" s="54">
        <f t="shared" si="9"/>
        <v>42978</v>
      </c>
      <c r="E113" s="64"/>
      <c r="F113" s="96">
        <f>COUNTIFS(Media!C:C, "&gt;="&amp;$C113, Media!C:C, "&lt;"&amp;$C114, Media!G:G,"image")</f>
        <v>170</v>
      </c>
      <c r="G113" s="97">
        <f>COUNTIFS(Media!C:C, "&gt;="&amp;$C113, Media!C:C, "&lt;"&amp;$C114, Media!G:G,"video")</f>
        <v>11</v>
      </c>
      <c r="H113" s="251">
        <f>COUNTIFS(Media!C:C, "&gt;="&amp;$C113, Media!C:C, "&lt;"&amp;$C114, Media!G:G,"carousel")</f>
        <v>9</v>
      </c>
      <c r="I113" s="97">
        <f t="shared" si="10"/>
        <v>190</v>
      </c>
      <c r="J113" s="64"/>
      <c r="K113" s="97">
        <f>SUMIFS(Media!K:K, Media!$C:$C, "&gt;="&amp;$C113, Media!$C:$C, "&lt;"&amp;$C114)</f>
        <v>21213</v>
      </c>
      <c r="L113" s="97">
        <f>SUMIFS(Media!J:J, Media!$C:$C, "&gt;="&amp;$C113, Media!$C:$C, "&lt;"&amp;$C114)</f>
        <v>577</v>
      </c>
      <c r="M113" s="97">
        <f t="shared" si="11"/>
        <v>21790</v>
      </c>
      <c r="N113" s="64"/>
      <c r="O113" s="99">
        <f>SUMIFS(Media!M:M, Media!$C:$C, "&gt;="&amp;$C113, Media!$C:$C, "&lt;"&amp;$C114)</f>
        <v>0</v>
      </c>
      <c r="P113" s="64"/>
      <c r="Q113" s="98">
        <f>SUMIFS(Media!Q:Q, Media!$C:$C, "&gt;="&amp;$C113, Media!$C:$C, "&lt;"&amp;$C114)</f>
        <v>0</v>
      </c>
      <c r="R113" s="64"/>
      <c r="S113" s="100">
        <f>SUMIFS(Media!H:H, Media!$C:$C, "&gt;="&amp;$C113, Media!$C:$C, "&lt;"&amp;$C114)</f>
        <v>2461709</v>
      </c>
      <c r="T113" s="64"/>
      <c r="U113" s="100">
        <f t="shared" si="15"/>
        <v>111</v>
      </c>
      <c r="V113" s="64"/>
      <c r="W113" s="130" t="e">
        <f ca="1">IF($C113=Calculations!$C$53, I113, NA())</f>
        <v>#N/A</v>
      </c>
      <c r="X113" s="103" t="e">
        <f t="shared" ca="1" si="12"/>
        <v>#N/A</v>
      </c>
      <c r="Y113" s="64"/>
      <c r="Z113" s="130" t="e">
        <f ca="1">IF($C113=Calculations!$E$85, M113, NA())</f>
        <v>#N/A</v>
      </c>
      <c r="AA113" s="130" t="e">
        <f ca="1">IF($C113=Calculations!$E$86, M113, NA())</f>
        <v>#N/A</v>
      </c>
      <c r="AB113" s="130" t="e">
        <f ca="1">IF($C113=Calculations!$E$87, M113, NA())</f>
        <v>#N/A</v>
      </c>
      <c r="AC113" s="130" t="e">
        <f t="shared" ca="1" si="13"/>
        <v>#N/A</v>
      </c>
      <c r="AD113" s="64"/>
      <c r="AE113" s="130" t="e">
        <f ca="1">IF($C113=Calculations!$C$142,Tables!S113, NA())</f>
        <v>#N/A</v>
      </c>
      <c r="AF113" s="130" t="e">
        <f t="shared" ca="1" si="14"/>
        <v>#N/A</v>
      </c>
      <c r="XN113" s="79"/>
    </row>
    <row r="114" spans="1:638" ht="15" customHeight="1" x14ac:dyDescent="0.25">
      <c r="A114" s="51">
        <f t="shared" si="8"/>
        <v>42979</v>
      </c>
      <c r="B114" s="52" t="str">
        <f>IF(C115&lt;Charts!$H$3,0,IF(DATE(YEAR(Charts!$H$3),MONTH(Charts!$H$3),DAY(Charts!$H$3))=DATE(YEAR(C115), MONTH(C115),DAY(C115)),0,TEXT(C114,"m/d/yy")&amp;"-"&amp;TEXT(C114+6,"m/d/yy")))</f>
        <v>9/1/17-9/7/17</v>
      </c>
      <c r="C114" s="53">
        <f>IF(Controls!$J$24="Monthly",DATE(YEAR(C115),MONTH(C115)-1,1),C115-Controls!$I$24)</f>
        <v>42979</v>
      </c>
      <c r="D114" s="54">
        <f t="shared" si="9"/>
        <v>42979</v>
      </c>
      <c r="E114" s="64"/>
      <c r="F114" s="96">
        <f>COUNTIFS(Media!C:C, "&gt;="&amp;$C114, Media!C:C, "&lt;"&amp;$C115, Media!G:G,"image")</f>
        <v>168</v>
      </c>
      <c r="G114" s="97">
        <f>COUNTIFS(Media!C:C, "&gt;="&amp;$C114, Media!C:C, "&lt;"&amp;$C115, Media!G:G,"video")</f>
        <v>15</v>
      </c>
      <c r="H114" s="251">
        <f>COUNTIFS(Media!C:C, "&gt;="&amp;$C114, Media!C:C, "&lt;"&amp;$C115, Media!G:G,"carousel")</f>
        <v>11</v>
      </c>
      <c r="I114" s="97">
        <f t="shared" si="10"/>
        <v>194</v>
      </c>
      <c r="J114" s="64"/>
      <c r="K114" s="97">
        <f>SUMIFS(Media!K:K, Media!$C:$C, "&gt;="&amp;$C114, Media!$C:$C, "&lt;"&amp;$C115)</f>
        <v>26999</v>
      </c>
      <c r="L114" s="97">
        <f>SUMIFS(Media!J:J, Media!$C:$C, "&gt;="&amp;$C114, Media!$C:$C, "&lt;"&amp;$C115)</f>
        <v>624</v>
      </c>
      <c r="M114" s="97">
        <f t="shared" si="11"/>
        <v>27623</v>
      </c>
      <c r="N114" s="64"/>
      <c r="O114" s="99">
        <f>SUMIFS(Media!M:M, Media!$C:$C, "&gt;="&amp;$C114, Media!$C:$C, "&lt;"&amp;$C115)</f>
        <v>0</v>
      </c>
      <c r="P114" s="64"/>
      <c r="Q114" s="98">
        <f>SUMIFS(Media!Q:Q, Media!$C:$C, "&gt;="&amp;$C114, Media!$C:$C, "&lt;"&amp;$C115)</f>
        <v>0</v>
      </c>
      <c r="R114" s="64"/>
      <c r="S114" s="100">
        <f>SUMIFS(Media!H:H, Media!$C:$C, "&gt;="&amp;$C114, Media!$C:$C, "&lt;"&amp;$C115)</f>
        <v>1627143</v>
      </c>
      <c r="T114" s="64"/>
      <c r="U114" s="100">
        <f t="shared" si="15"/>
        <v>112</v>
      </c>
      <c r="V114" s="64"/>
      <c r="W114" s="130" t="e">
        <f ca="1">IF($C114=Calculations!$C$53, I114, NA())</f>
        <v>#N/A</v>
      </c>
      <c r="X114" s="103" t="e">
        <f t="shared" ca="1" si="12"/>
        <v>#N/A</v>
      </c>
      <c r="Y114" s="64"/>
      <c r="Z114" s="130" t="e">
        <f ca="1">IF($C114=Calculations!$E$85, M114, NA())</f>
        <v>#N/A</v>
      </c>
      <c r="AA114" s="130" t="e">
        <f ca="1">IF($C114=Calculations!$E$86, M114, NA())</f>
        <v>#N/A</v>
      </c>
      <c r="AB114" s="130" t="e">
        <f ca="1">IF($C114=Calculations!$E$87, M114, NA())</f>
        <v>#N/A</v>
      </c>
      <c r="AC114" s="130" t="e">
        <f t="shared" ca="1" si="13"/>
        <v>#N/A</v>
      </c>
      <c r="AD114" s="64"/>
      <c r="AE114" s="130" t="e">
        <f ca="1">IF($C114=Calculations!$C$142,Tables!S114, NA())</f>
        <v>#N/A</v>
      </c>
      <c r="AF114" s="130" t="e">
        <f t="shared" ca="1" si="14"/>
        <v>#N/A</v>
      </c>
      <c r="XN114" s="79"/>
    </row>
    <row r="115" spans="1:638" ht="15" customHeight="1" x14ac:dyDescent="0.25">
      <c r="A115" s="51">
        <f t="shared" si="8"/>
        <v>42980</v>
      </c>
      <c r="B115" s="52" t="str">
        <f>IF(C116&lt;Charts!$H$3,0,IF(DATE(YEAR(Charts!$H$3),MONTH(Charts!$H$3),DAY(Charts!$H$3))=DATE(YEAR(C116), MONTH(C116),DAY(C116)),0,TEXT(C115,"m/d/yy")&amp;"-"&amp;TEXT(C115+6,"m/d/yy")))</f>
        <v>9/2/17-9/8/17</v>
      </c>
      <c r="C115" s="53">
        <f>IF(Controls!$J$24="Monthly",DATE(YEAR(C116),MONTH(C116)-1,1),C116-Controls!$I$24)</f>
        <v>42980</v>
      </c>
      <c r="D115" s="54">
        <f t="shared" si="9"/>
        <v>42980</v>
      </c>
      <c r="E115" s="64"/>
      <c r="F115" s="96">
        <f>COUNTIFS(Media!C:C, "&gt;="&amp;$C115, Media!C:C, "&lt;"&amp;$C116, Media!G:G,"image")</f>
        <v>137</v>
      </c>
      <c r="G115" s="97">
        <f>COUNTIFS(Media!C:C, "&gt;="&amp;$C115, Media!C:C, "&lt;"&amp;$C116, Media!G:G,"video")</f>
        <v>12</v>
      </c>
      <c r="H115" s="251">
        <f>COUNTIFS(Media!C:C, "&gt;="&amp;$C115, Media!C:C, "&lt;"&amp;$C116, Media!G:G,"carousel")</f>
        <v>4</v>
      </c>
      <c r="I115" s="97">
        <f t="shared" si="10"/>
        <v>153</v>
      </c>
      <c r="J115" s="64"/>
      <c r="K115" s="97">
        <f>SUMIFS(Media!K:K, Media!$C:$C, "&gt;="&amp;$C115, Media!$C:$C, "&lt;"&amp;$C116)</f>
        <v>11405</v>
      </c>
      <c r="L115" s="97">
        <f>SUMIFS(Media!J:J, Media!$C:$C, "&gt;="&amp;$C115, Media!$C:$C, "&lt;"&amp;$C116)</f>
        <v>352</v>
      </c>
      <c r="M115" s="97">
        <f t="shared" si="11"/>
        <v>11757</v>
      </c>
      <c r="N115" s="64"/>
      <c r="O115" s="99">
        <f>SUMIFS(Media!M:M, Media!$C:$C, "&gt;="&amp;$C115, Media!$C:$C, "&lt;"&amp;$C116)</f>
        <v>0</v>
      </c>
      <c r="P115" s="64"/>
      <c r="Q115" s="98">
        <f>SUMIFS(Media!Q:Q, Media!$C:$C, "&gt;="&amp;$C115, Media!$C:$C, "&lt;"&amp;$C116)</f>
        <v>0</v>
      </c>
      <c r="R115" s="64"/>
      <c r="S115" s="100">
        <f>SUMIFS(Media!H:H, Media!$C:$C, "&gt;="&amp;$C115, Media!$C:$C, "&lt;"&amp;$C116)</f>
        <v>564556</v>
      </c>
      <c r="T115" s="64"/>
      <c r="U115" s="100">
        <f t="shared" si="15"/>
        <v>113</v>
      </c>
      <c r="V115" s="64"/>
      <c r="W115" s="130" t="e">
        <f ca="1">IF($C115=Calculations!$C$53, I115, NA())</f>
        <v>#N/A</v>
      </c>
      <c r="X115" s="103" t="e">
        <f t="shared" ca="1" si="12"/>
        <v>#N/A</v>
      </c>
      <c r="Y115" s="64"/>
      <c r="Z115" s="130" t="e">
        <f ca="1">IF($C115=Calculations!$E$85, M115, NA())</f>
        <v>#N/A</v>
      </c>
      <c r="AA115" s="130" t="e">
        <f ca="1">IF($C115=Calculations!$E$86, M115, NA())</f>
        <v>#N/A</v>
      </c>
      <c r="AB115" s="130" t="e">
        <f ca="1">IF($C115=Calculations!$E$87, M115, NA())</f>
        <v>#N/A</v>
      </c>
      <c r="AC115" s="130" t="e">
        <f t="shared" ca="1" si="13"/>
        <v>#N/A</v>
      </c>
      <c r="AD115" s="64"/>
      <c r="AE115" s="130" t="e">
        <f ca="1">IF($C115=Calculations!$C$142,Tables!S115, NA())</f>
        <v>#N/A</v>
      </c>
      <c r="AF115" s="130" t="e">
        <f t="shared" ca="1" si="14"/>
        <v>#N/A</v>
      </c>
      <c r="XN115" s="79"/>
    </row>
    <row r="116" spans="1:638" ht="15" customHeight="1" x14ac:dyDescent="0.25">
      <c r="A116" s="51">
        <f t="shared" si="8"/>
        <v>42981</v>
      </c>
      <c r="B116" s="52" t="str">
        <f>IF(C117&lt;Charts!$H$3,0,IF(DATE(YEAR(Charts!$H$3),MONTH(Charts!$H$3),DAY(Charts!$H$3))=DATE(YEAR(C117), MONTH(C117),DAY(C117)),0,TEXT(C116,"m/d/yy")&amp;"-"&amp;TEXT(C116+6,"m/d/yy")))</f>
        <v>9/3/17-9/9/17</v>
      </c>
      <c r="C116" s="53">
        <f>IF(Controls!$J$24="Monthly",DATE(YEAR(C117),MONTH(C117)-1,1),C117-Controls!$I$24)</f>
        <v>42981</v>
      </c>
      <c r="D116" s="54">
        <f t="shared" si="9"/>
        <v>42981</v>
      </c>
      <c r="E116" s="64"/>
      <c r="F116" s="96">
        <f>COUNTIFS(Media!C:C, "&gt;="&amp;$C116, Media!C:C, "&lt;"&amp;$C117, Media!G:G,"image")</f>
        <v>162</v>
      </c>
      <c r="G116" s="97">
        <f>COUNTIFS(Media!C:C, "&gt;="&amp;$C116, Media!C:C, "&lt;"&amp;$C117, Media!G:G,"video")</f>
        <v>16</v>
      </c>
      <c r="H116" s="251">
        <f>COUNTIFS(Media!C:C, "&gt;="&amp;$C116, Media!C:C, "&lt;"&amp;$C117, Media!G:G,"carousel")</f>
        <v>11</v>
      </c>
      <c r="I116" s="97">
        <f t="shared" si="10"/>
        <v>189</v>
      </c>
      <c r="J116" s="64"/>
      <c r="K116" s="97">
        <f>SUMIFS(Media!K:K, Media!$C:$C, "&gt;="&amp;$C116, Media!$C:$C, "&lt;"&amp;$C117)</f>
        <v>14283</v>
      </c>
      <c r="L116" s="97">
        <f>SUMIFS(Media!J:J, Media!$C:$C, "&gt;="&amp;$C116, Media!$C:$C, "&lt;"&amp;$C117)</f>
        <v>418</v>
      </c>
      <c r="M116" s="97">
        <f t="shared" si="11"/>
        <v>14701</v>
      </c>
      <c r="N116" s="64"/>
      <c r="O116" s="99">
        <f>SUMIFS(Media!M:M, Media!$C:$C, "&gt;="&amp;$C116, Media!$C:$C, "&lt;"&amp;$C117)</f>
        <v>0</v>
      </c>
      <c r="P116" s="64"/>
      <c r="Q116" s="98">
        <f>SUMIFS(Media!Q:Q, Media!$C:$C, "&gt;="&amp;$C116, Media!$C:$C, "&lt;"&amp;$C117)</f>
        <v>0</v>
      </c>
      <c r="R116" s="64"/>
      <c r="S116" s="100">
        <f>SUMIFS(Media!H:H, Media!$C:$C, "&gt;="&amp;$C116, Media!$C:$C, "&lt;"&amp;$C117)</f>
        <v>317310</v>
      </c>
      <c r="T116" s="64"/>
      <c r="U116" s="100">
        <f t="shared" si="15"/>
        <v>114</v>
      </c>
      <c r="V116" s="64"/>
      <c r="W116" s="130" t="e">
        <f ca="1">IF($C116=Calculations!$C$53, I116, NA())</f>
        <v>#N/A</v>
      </c>
      <c r="X116" s="103" t="e">
        <f t="shared" ca="1" si="12"/>
        <v>#N/A</v>
      </c>
      <c r="Y116" s="64"/>
      <c r="Z116" s="130" t="e">
        <f ca="1">IF($C116=Calculations!$E$85, M116, NA())</f>
        <v>#N/A</v>
      </c>
      <c r="AA116" s="130" t="e">
        <f ca="1">IF($C116=Calculations!$E$86, M116, NA())</f>
        <v>#N/A</v>
      </c>
      <c r="AB116" s="130" t="e">
        <f ca="1">IF($C116=Calculations!$E$87, M116, NA())</f>
        <v>#N/A</v>
      </c>
      <c r="AC116" s="130" t="e">
        <f t="shared" ca="1" si="13"/>
        <v>#N/A</v>
      </c>
      <c r="AD116" s="64"/>
      <c r="AE116" s="130" t="e">
        <f ca="1">IF($C116=Calculations!$C$142,Tables!S116, NA())</f>
        <v>#N/A</v>
      </c>
      <c r="AF116" s="130" t="e">
        <f t="shared" ca="1" si="14"/>
        <v>#N/A</v>
      </c>
      <c r="XN116" s="79"/>
    </row>
    <row r="117" spans="1:638" ht="15" customHeight="1" x14ac:dyDescent="0.25">
      <c r="A117" s="51">
        <f t="shared" si="8"/>
        <v>42982</v>
      </c>
      <c r="B117" s="52" t="str">
        <f>IF(C118&lt;Charts!$H$3,0,IF(DATE(YEAR(Charts!$H$3),MONTH(Charts!$H$3),DAY(Charts!$H$3))=DATE(YEAR(C118), MONTH(C118),DAY(C118)),0,TEXT(C117,"m/d/yy")&amp;"-"&amp;TEXT(C117+6,"m/d/yy")))</f>
        <v>9/4/17-9/10/17</v>
      </c>
      <c r="C117" s="53">
        <f>IF(Controls!$J$24="Monthly",DATE(YEAR(C118),MONTH(C118)-1,1),C118-Controls!$I$24)</f>
        <v>42982</v>
      </c>
      <c r="D117" s="54">
        <f t="shared" si="9"/>
        <v>42982</v>
      </c>
      <c r="E117" s="64"/>
      <c r="F117" s="96">
        <f>COUNTIFS(Media!C:C, "&gt;="&amp;$C117, Media!C:C, "&lt;"&amp;$C118, Media!G:G,"image")</f>
        <v>184</v>
      </c>
      <c r="G117" s="97">
        <f>COUNTIFS(Media!C:C, "&gt;="&amp;$C117, Media!C:C, "&lt;"&amp;$C118, Media!G:G,"video")</f>
        <v>17</v>
      </c>
      <c r="H117" s="251">
        <f>COUNTIFS(Media!C:C, "&gt;="&amp;$C117, Media!C:C, "&lt;"&amp;$C118, Media!G:G,"carousel")</f>
        <v>17</v>
      </c>
      <c r="I117" s="97">
        <f t="shared" si="10"/>
        <v>218</v>
      </c>
      <c r="J117" s="64"/>
      <c r="K117" s="97">
        <f>SUMIFS(Media!K:K, Media!$C:$C, "&gt;="&amp;$C117, Media!$C:$C, "&lt;"&amp;$C118)</f>
        <v>21966</v>
      </c>
      <c r="L117" s="97">
        <f>SUMIFS(Media!J:J, Media!$C:$C, "&gt;="&amp;$C117, Media!$C:$C, "&lt;"&amp;$C118)</f>
        <v>559</v>
      </c>
      <c r="M117" s="97">
        <f t="shared" si="11"/>
        <v>22525</v>
      </c>
      <c r="N117" s="64"/>
      <c r="O117" s="99">
        <f>SUMIFS(Media!M:M, Media!$C:$C, "&gt;="&amp;$C117, Media!$C:$C, "&lt;"&amp;$C118)</f>
        <v>0</v>
      </c>
      <c r="P117" s="64"/>
      <c r="Q117" s="98">
        <f>SUMIFS(Media!Q:Q, Media!$C:$C, "&gt;="&amp;$C117, Media!$C:$C, "&lt;"&amp;$C118)</f>
        <v>0</v>
      </c>
      <c r="R117" s="64"/>
      <c r="S117" s="100">
        <f>SUMIFS(Media!H:H, Media!$C:$C, "&gt;="&amp;$C117, Media!$C:$C, "&lt;"&amp;$C118)</f>
        <v>1093404</v>
      </c>
      <c r="T117" s="64"/>
      <c r="U117" s="100">
        <f t="shared" si="15"/>
        <v>115</v>
      </c>
      <c r="V117" s="64"/>
      <c r="W117" s="130" t="e">
        <f ca="1">IF($C117=Calculations!$C$53, I117, NA())</f>
        <v>#N/A</v>
      </c>
      <c r="X117" s="103" t="e">
        <f t="shared" ca="1" si="12"/>
        <v>#N/A</v>
      </c>
      <c r="Y117" s="64"/>
      <c r="Z117" s="130" t="e">
        <f ca="1">IF($C117=Calculations!$E$85, M117, NA())</f>
        <v>#N/A</v>
      </c>
      <c r="AA117" s="130" t="e">
        <f ca="1">IF($C117=Calculations!$E$86, M117, NA())</f>
        <v>#N/A</v>
      </c>
      <c r="AB117" s="130" t="e">
        <f ca="1">IF($C117=Calculations!$E$87, M117, NA())</f>
        <v>#N/A</v>
      </c>
      <c r="AC117" s="130" t="e">
        <f t="shared" ca="1" si="13"/>
        <v>#N/A</v>
      </c>
      <c r="AD117" s="64"/>
      <c r="AE117" s="130" t="e">
        <f ca="1">IF($C117=Calculations!$C$142,Tables!S117, NA())</f>
        <v>#N/A</v>
      </c>
      <c r="AF117" s="130" t="e">
        <f t="shared" ca="1" si="14"/>
        <v>#N/A</v>
      </c>
      <c r="XN117" s="79"/>
    </row>
    <row r="118" spans="1:638" ht="15" customHeight="1" x14ac:dyDescent="0.25">
      <c r="A118" s="51">
        <f t="shared" si="8"/>
        <v>42983</v>
      </c>
      <c r="B118" s="52" t="str">
        <f>IF(C119&lt;Charts!$H$3,0,IF(DATE(YEAR(Charts!$H$3),MONTH(Charts!$H$3),DAY(Charts!$H$3))=DATE(YEAR(C119), MONTH(C119),DAY(C119)),0,TEXT(C118,"m/d/yy")&amp;"-"&amp;TEXT(C118+6,"m/d/yy")))</f>
        <v>9/5/17-9/11/17</v>
      </c>
      <c r="C118" s="53">
        <f>IF(Controls!$J$24="Monthly",DATE(YEAR(C119),MONTH(C119)-1,1),C119-Controls!$I$24)</f>
        <v>42983</v>
      </c>
      <c r="D118" s="54">
        <f t="shared" si="9"/>
        <v>42983</v>
      </c>
      <c r="E118" s="64"/>
      <c r="F118" s="96">
        <f>COUNTIFS(Media!C:C, "&gt;="&amp;$C118, Media!C:C, "&lt;"&amp;$C119, Media!G:G,"image")</f>
        <v>195</v>
      </c>
      <c r="G118" s="97">
        <f>COUNTIFS(Media!C:C, "&gt;="&amp;$C118, Media!C:C, "&lt;"&amp;$C119, Media!G:G,"video")</f>
        <v>17</v>
      </c>
      <c r="H118" s="251">
        <f>COUNTIFS(Media!C:C, "&gt;="&amp;$C118, Media!C:C, "&lt;"&amp;$C119, Media!G:G,"carousel")</f>
        <v>17</v>
      </c>
      <c r="I118" s="97">
        <f t="shared" si="10"/>
        <v>229</v>
      </c>
      <c r="J118" s="64"/>
      <c r="K118" s="97">
        <f>SUMIFS(Media!K:K, Media!$C:$C, "&gt;="&amp;$C118, Media!$C:$C, "&lt;"&amp;$C119)</f>
        <v>23134</v>
      </c>
      <c r="L118" s="97">
        <f>SUMIFS(Media!J:J, Media!$C:$C, "&gt;="&amp;$C118, Media!$C:$C, "&lt;"&amp;$C119)</f>
        <v>685</v>
      </c>
      <c r="M118" s="97">
        <f t="shared" si="11"/>
        <v>23819</v>
      </c>
      <c r="N118" s="64"/>
      <c r="O118" s="99">
        <f>SUMIFS(Media!M:M, Media!$C:$C, "&gt;="&amp;$C118, Media!$C:$C, "&lt;"&amp;$C119)</f>
        <v>0</v>
      </c>
      <c r="P118" s="64"/>
      <c r="Q118" s="98">
        <f>SUMIFS(Media!Q:Q, Media!$C:$C, "&gt;="&amp;$C118, Media!$C:$C, "&lt;"&amp;$C119)</f>
        <v>0</v>
      </c>
      <c r="R118" s="64"/>
      <c r="S118" s="100">
        <f>SUMIFS(Media!H:H, Media!$C:$C, "&gt;="&amp;$C118, Media!$C:$C, "&lt;"&amp;$C119)</f>
        <v>1497728</v>
      </c>
      <c r="T118" s="64"/>
      <c r="U118" s="100">
        <f t="shared" si="15"/>
        <v>116</v>
      </c>
      <c r="V118" s="64"/>
      <c r="W118" s="130" t="e">
        <f ca="1">IF($C118=Calculations!$C$53, I118, NA())</f>
        <v>#N/A</v>
      </c>
      <c r="X118" s="103" t="e">
        <f t="shared" ca="1" si="12"/>
        <v>#N/A</v>
      </c>
      <c r="Y118" s="64"/>
      <c r="Z118" s="130" t="e">
        <f ca="1">IF($C118=Calculations!$E$85, M118, NA())</f>
        <v>#N/A</v>
      </c>
      <c r="AA118" s="130" t="e">
        <f ca="1">IF($C118=Calculations!$E$86, M118, NA())</f>
        <v>#N/A</v>
      </c>
      <c r="AB118" s="130" t="e">
        <f ca="1">IF($C118=Calculations!$E$87, M118, NA())</f>
        <v>#N/A</v>
      </c>
      <c r="AC118" s="130" t="e">
        <f t="shared" ca="1" si="13"/>
        <v>#N/A</v>
      </c>
      <c r="AD118" s="64"/>
      <c r="AE118" s="130" t="e">
        <f ca="1">IF($C118=Calculations!$C$142,Tables!S118, NA())</f>
        <v>#N/A</v>
      </c>
      <c r="AF118" s="130" t="e">
        <f t="shared" ca="1" si="14"/>
        <v>#N/A</v>
      </c>
      <c r="XN118" s="79"/>
    </row>
    <row r="119" spans="1:638" ht="15" customHeight="1" x14ac:dyDescent="0.25">
      <c r="A119" s="51">
        <f t="shared" si="8"/>
        <v>42984</v>
      </c>
      <c r="B119" s="52" t="str">
        <f>IF(C120&lt;Charts!$H$3,0,IF(DATE(YEAR(Charts!$H$3),MONTH(Charts!$H$3),DAY(Charts!$H$3))=DATE(YEAR(C120), MONTH(C120),DAY(C120)),0,TEXT(C119,"m/d/yy")&amp;"-"&amp;TEXT(C119+6,"m/d/yy")))</f>
        <v>9/6/17-9/12/17</v>
      </c>
      <c r="C119" s="53">
        <f>IF(Controls!$J$24="Monthly",DATE(YEAR(C120),MONTH(C120)-1,1),C120-Controls!$I$24)</f>
        <v>42984</v>
      </c>
      <c r="D119" s="54">
        <f t="shared" si="9"/>
        <v>42984</v>
      </c>
      <c r="E119" s="64"/>
      <c r="F119" s="96">
        <f>COUNTIFS(Media!C:C, "&gt;="&amp;$C119, Media!C:C, "&lt;"&amp;$C120, Media!G:G,"image")</f>
        <v>202</v>
      </c>
      <c r="G119" s="97">
        <f>COUNTIFS(Media!C:C, "&gt;="&amp;$C119, Media!C:C, "&lt;"&amp;$C120, Media!G:G,"video")</f>
        <v>16</v>
      </c>
      <c r="H119" s="251">
        <f>COUNTIFS(Media!C:C, "&gt;="&amp;$C119, Media!C:C, "&lt;"&amp;$C120, Media!G:G,"carousel")</f>
        <v>6</v>
      </c>
      <c r="I119" s="97">
        <f t="shared" si="10"/>
        <v>224</v>
      </c>
      <c r="J119" s="64"/>
      <c r="K119" s="97">
        <f>SUMIFS(Media!K:K, Media!$C:$C, "&gt;="&amp;$C119, Media!$C:$C, "&lt;"&amp;$C120)</f>
        <v>18102</v>
      </c>
      <c r="L119" s="97">
        <f>SUMIFS(Media!J:J, Media!$C:$C, "&gt;="&amp;$C119, Media!$C:$C, "&lt;"&amp;$C120)</f>
        <v>827</v>
      </c>
      <c r="M119" s="97">
        <f t="shared" si="11"/>
        <v>18929</v>
      </c>
      <c r="N119" s="64"/>
      <c r="O119" s="99">
        <f>SUMIFS(Media!M:M, Media!$C:$C, "&gt;="&amp;$C119, Media!$C:$C, "&lt;"&amp;$C120)</f>
        <v>0</v>
      </c>
      <c r="P119" s="64"/>
      <c r="Q119" s="98">
        <f>SUMIFS(Media!Q:Q, Media!$C:$C, "&gt;="&amp;$C119, Media!$C:$C, "&lt;"&amp;$C120)</f>
        <v>0</v>
      </c>
      <c r="R119" s="64"/>
      <c r="S119" s="100">
        <f>SUMIFS(Media!H:H, Media!$C:$C, "&gt;="&amp;$C119, Media!$C:$C, "&lt;"&amp;$C120)</f>
        <v>473744</v>
      </c>
      <c r="T119" s="64"/>
      <c r="U119" s="100">
        <f t="shared" si="15"/>
        <v>117</v>
      </c>
      <c r="V119" s="64"/>
      <c r="W119" s="130" t="e">
        <f ca="1">IF($C119=Calculations!$C$53, I119, NA())</f>
        <v>#N/A</v>
      </c>
      <c r="X119" s="103" t="e">
        <f t="shared" ca="1" si="12"/>
        <v>#N/A</v>
      </c>
      <c r="Y119" s="64"/>
      <c r="Z119" s="130" t="e">
        <f ca="1">IF($C119=Calculations!$E$85, M119, NA())</f>
        <v>#N/A</v>
      </c>
      <c r="AA119" s="130" t="e">
        <f ca="1">IF($C119=Calculations!$E$86, M119, NA())</f>
        <v>#N/A</v>
      </c>
      <c r="AB119" s="130" t="e">
        <f ca="1">IF($C119=Calculations!$E$87, M119, NA())</f>
        <v>#N/A</v>
      </c>
      <c r="AC119" s="130" t="e">
        <f t="shared" ca="1" si="13"/>
        <v>#N/A</v>
      </c>
      <c r="AD119" s="64"/>
      <c r="AE119" s="130" t="e">
        <f ca="1">IF($C119=Calculations!$C$142,Tables!S119, NA())</f>
        <v>#N/A</v>
      </c>
      <c r="AF119" s="130" t="e">
        <f t="shared" ca="1" si="14"/>
        <v>#N/A</v>
      </c>
      <c r="XN119" s="79"/>
    </row>
    <row r="120" spans="1:638" ht="15" customHeight="1" x14ac:dyDescent="0.25">
      <c r="A120" s="51">
        <f t="shared" si="8"/>
        <v>42985</v>
      </c>
      <c r="B120" s="52" t="str">
        <f>IF(C121&lt;Charts!$H$3,0,IF(DATE(YEAR(Charts!$H$3),MONTH(Charts!$H$3),DAY(Charts!$H$3))=DATE(YEAR(C121), MONTH(C121),DAY(C121)),0,TEXT(C120,"m/d/yy")&amp;"-"&amp;TEXT(C120+6,"m/d/yy")))</f>
        <v>9/7/17-9/13/17</v>
      </c>
      <c r="C120" s="53">
        <f>IF(Controls!$J$24="Monthly",DATE(YEAR(C121),MONTH(C121)-1,1),C121-Controls!$I$24)</f>
        <v>42985</v>
      </c>
      <c r="D120" s="54">
        <f t="shared" si="9"/>
        <v>42985</v>
      </c>
      <c r="E120" s="64"/>
      <c r="F120" s="96">
        <f>COUNTIFS(Media!C:C, "&gt;="&amp;$C120, Media!C:C, "&lt;"&amp;$C121, Media!G:G,"image")</f>
        <v>176</v>
      </c>
      <c r="G120" s="97">
        <f>COUNTIFS(Media!C:C, "&gt;="&amp;$C120, Media!C:C, "&lt;"&amp;$C121, Media!G:G,"video")</f>
        <v>11</v>
      </c>
      <c r="H120" s="251">
        <f>COUNTIFS(Media!C:C, "&gt;="&amp;$C120, Media!C:C, "&lt;"&amp;$C121, Media!G:G,"carousel")</f>
        <v>6</v>
      </c>
      <c r="I120" s="97">
        <f t="shared" si="10"/>
        <v>193</v>
      </c>
      <c r="J120" s="64"/>
      <c r="K120" s="97">
        <f>SUMIFS(Media!K:K, Media!$C:$C, "&gt;="&amp;$C120, Media!$C:$C, "&lt;"&amp;$C121)</f>
        <v>22647</v>
      </c>
      <c r="L120" s="97">
        <f>SUMIFS(Media!J:J, Media!$C:$C, "&gt;="&amp;$C120, Media!$C:$C, "&lt;"&amp;$C121)</f>
        <v>772</v>
      </c>
      <c r="M120" s="97">
        <f t="shared" si="11"/>
        <v>23419</v>
      </c>
      <c r="N120" s="64"/>
      <c r="O120" s="99">
        <f>SUMIFS(Media!M:M, Media!$C:$C, "&gt;="&amp;$C120, Media!$C:$C, "&lt;"&amp;$C121)</f>
        <v>0</v>
      </c>
      <c r="P120" s="64"/>
      <c r="Q120" s="98">
        <f>SUMIFS(Media!Q:Q, Media!$C:$C, "&gt;="&amp;$C120, Media!$C:$C, "&lt;"&amp;$C121)</f>
        <v>0</v>
      </c>
      <c r="R120" s="64"/>
      <c r="S120" s="100">
        <f>SUMIFS(Media!H:H, Media!$C:$C, "&gt;="&amp;$C120, Media!$C:$C, "&lt;"&amp;$C121)</f>
        <v>610980</v>
      </c>
      <c r="T120" s="64"/>
      <c r="U120" s="100">
        <f t="shared" si="15"/>
        <v>118</v>
      </c>
      <c r="V120" s="64"/>
      <c r="W120" s="130" t="e">
        <f ca="1">IF($C120=Calculations!$C$53, I120, NA())</f>
        <v>#N/A</v>
      </c>
      <c r="X120" s="103" t="e">
        <f t="shared" ca="1" si="12"/>
        <v>#N/A</v>
      </c>
      <c r="Y120" s="64"/>
      <c r="Z120" s="130" t="e">
        <f ca="1">IF($C120=Calculations!$E$85, M120, NA())</f>
        <v>#N/A</v>
      </c>
      <c r="AA120" s="130" t="e">
        <f ca="1">IF($C120=Calculations!$E$86, M120, NA())</f>
        <v>#N/A</v>
      </c>
      <c r="AB120" s="130" t="e">
        <f ca="1">IF($C120=Calculations!$E$87, M120, NA())</f>
        <v>#N/A</v>
      </c>
      <c r="AC120" s="130" t="e">
        <f t="shared" ca="1" si="13"/>
        <v>#N/A</v>
      </c>
      <c r="AD120" s="64"/>
      <c r="AE120" s="130" t="e">
        <f ca="1">IF($C120=Calculations!$C$142,Tables!S120, NA())</f>
        <v>#N/A</v>
      </c>
      <c r="AF120" s="130" t="e">
        <f t="shared" ca="1" si="14"/>
        <v>#N/A</v>
      </c>
      <c r="XN120" s="79"/>
    </row>
    <row r="121" spans="1:638" ht="15" customHeight="1" x14ac:dyDescent="0.25">
      <c r="A121" s="51">
        <f>C121</f>
        <v>42986</v>
      </c>
      <c r="B121" s="52" t="str">
        <f>IF(C122&lt;Charts!$H$3,0,IF(DATE(YEAR(Charts!$H$3),MONTH(Charts!$H$3),DAY(Charts!$H$3))=DATE(YEAR(C122), MONTH(C122),DAY(C122)),0,TEXT(C121,"m/d/yy")&amp;"-"&amp;TEXT(C121+6,"m/d/yy")))</f>
        <v>9/8/17-9/14/17</v>
      </c>
      <c r="C121" s="53">
        <f>IF(Controls!$J$24="Monthly",DATE(YEAR(C122),MONTH(C122)-1,1),C122-Controls!$I$24)</f>
        <v>42986</v>
      </c>
      <c r="D121" s="54">
        <f>C121</f>
        <v>42986</v>
      </c>
      <c r="E121" s="64"/>
      <c r="F121" s="96">
        <f>COUNTIFS(Media!C:C, "&gt;="&amp;$C121, Media!C:C, "&lt;"&amp;$C122, Media!G:G,"image")</f>
        <v>157</v>
      </c>
      <c r="G121" s="97">
        <f>COUNTIFS(Media!C:C, "&gt;="&amp;$C121, Media!C:C, "&lt;"&amp;$C122, Media!G:G,"video")</f>
        <v>11</v>
      </c>
      <c r="H121" s="251">
        <f>COUNTIFS(Media!C:C, "&gt;="&amp;$C121, Media!C:C, "&lt;"&amp;$C122, Media!G:G,"carousel")</f>
        <v>5</v>
      </c>
      <c r="I121" s="97">
        <f t="shared" si="10"/>
        <v>173</v>
      </c>
      <c r="J121" s="64"/>
      <c r="K121" s="97">
        <f>SUMIFS(Media!K:K, Media!$C:$C, "&gt;="&amp;$C121, Media!$C:$C, "&lt;"&amp;$C122)</f>
        <v>15954</v>
      </c>
      <c r="L121" s="97">
        <f>SUMIFS(Media!J:J, Media!$C:$C, "&gt;="&amp;$C121, Media!$C:$C, "&lt;"&amp;$C122)</f>
        <v>636</v>
      </c>
      <c r="M121" s="97">
        <f t="shared" si="11"/>
        <v>16590</v>
      </c>
      <c r="N121" s="64"/>
      <c r="O121" s="99">
        <f>SUMIFS(Media!M:M, Media!$C:$C, "&gt;="&amp;$C121, Media!$C:$C, "&lt;"&amp;$C122)</f>
        <v>0</v>
      </c>
      <c r="P121" s="64"/>
      <c r="Q121" s="98">
        <f>SUMIFS(Media!Q:Q, Media!$C:$C, "&gt;="&amp;$C121, Media!$C:$C, "&lt;"&amp;$C122)</f>
        <v>0</v>
      </c>
      <c r="R121" s="64"/>
      <c r="S121" s="100">
        <f>SUMIFS(Media!H:H, Media!$C:$C, "&gt;="&amp;$C121, Media!$C:$C, "&lt;"&amp;$C122)</f>
        <v>355178</v>
      </c>
      <c r="T121" s="64"/>
      <c r="U121" s="100">
        <f t="shared" si="15"/>
        <v>119</v>
      </c>
      <c r="V121" s="64"/>
      <c r="W121" s="130" t="e">
        <f ca="1">IF($C121=Calculations!$C$53, I121, NA())</f>
        <v>#N/A</v>
      </c>
      <c r="X121" s="103" t="e">
        <f t="shared" ca="1" si="12"/>
        <v>#N/A</v>
      </c>
      <c r="Y121" s="64"/>
      <c r="Z121" s="130" t="e">
        <f ca="1">IF($C121=Calculations!$E$85, M121, NA())</f>
        <v>#N/A</v>
      </c>
      <c r="AA121" s="130" t="e">
        <f ca="1">IF($C121=Calculations!$E$86, M121, NA())</f>
        <v>#N/A</v>
      </c>
      <c r="AB121" s="130" t="e">
        <f ca="1">IF($C121=Calculations!$E$87, M121, NA())</f>
        <v>#N/A</v>
      </c>
      <c r="AC121" s="130" t="e">
        <f t="shared" ca="1" si="13"/>
        <v>#N/A</v>
      </c>
      <c r="AD121" s="64"/>
      <c r="AE121" s="130" t="e">
        <f ca="1">IF($C121=Calculations!$C$142,Tables!S121, NA())</f>
        <v>#N/A</v>
      </c>
      <c r="AF121" s="130" t="e">
        <f t="shared" ca="1" si="14"/>
        <v>#N/A</v>
      </c>
      <c r="XN121" s="79"/>
    </row>
    <row r="122" spans="1:638" ht="15" customHeight="1" x14ac:dyDescent="0.25">
      <c r="A122" s="57">
        <f>C122</f>
        <v>42987</v>
      </c>
      <c r="B122" s="52" t="str">
        <f>IF(C123&lt;Charts!$H$3,0,IF(DATE(YEAR(Charts!$H$3),MONTH(Charts!$H$3),DAY(Charts!$H$3))=DATE(YEAR(C123), MONTH(C123),DAY(C123)),0,TEXT(C122,"m/d/yy")&amp;"-"&amp;TEXT(C122+6,"m/d/yy")))</f>
        <v>9/9/17-9/15/17</v>
      </c>
      <c r="C122" s="58">
        <f>IF(Controls!$J$24="Monthly", DATE(YEAR(Charts!$K$3), MONTH(Charts!$K$3),1), IF(Controls!$J$24="Weekly", DATE(YEAR(VLOOKUP(Charts!$H$6, Controls!$A$5:$D$13, 4, FALSE)), MONTH(VLOOKUP(Charts!$H$6, Controls!$A$5:$D$13, 4, FALSE)), DAY(VLOOKUP(Charts!$H$6, Controls!$A$5:$D$13, 4, FALSE)))-6, VLOOKUP(Charts!$H$6, Controls!$A$5:$D$13, 4, FALSE)))</f>
        <v>42987</v>
      </c>
      <c r="D122" s="59">
        <f>C122</f>
        <v>42987</v>
      </c>
      <c r="E122" s="64"/>
      <c r="F122" s="96">
        <f>COUNTIFS(Media!C:C, "&gt;="&amp;$C122, Media!C:C, "&lt;"&amp;$C123, Media!G:G,"image")</f>
        <v>145</v>
      </c>
      <c r="G122" s="97">
        <f>COUNTIFS(Media!C:C, "&gt;="&amp;$C122, Media!C:C, "&lt;"&amp;$C123, Media!G:G,"video")</f>
        <v>10</v>
      </c>
      <c r="H122" s="251">
        <f>COUNTIFS(Media!C:C, "&gt;="&amp;$C122, Media!C:C, "&lt;"&amp;$C123, Media!G:G,"carousel")</f>
        <v>19</v>
      </c>
      <c r="I122" s="97">
        <f t="shared" si="10"/>
        <v>174</v>
      </c>
      <c r="J122" s="64"/>
      <c r="K122" s="97">
        <f>SUMIFS(Media!K:K, Media!$C:$C, "&gt;="&amp;$C122, Media!$C:$C, "&lt;"&amp;$C123)</f>
        <v>20656</v>
      </c>
      <c r="L122" s="97">
        <f>SUMIFS(Media!J:J, Media!$C:$C, "&gt;="&amp;$C122, Media!$C:$C, "&lt;"&amp;$C123)</f>
        <v>489</v>
      </c>
      <c r="M122" s="97">
        <f t="shared" si="11"/>
        <v>21145</v>
      </c>
      <c r="N122" s="64"/>
      <c r="O122" s="99">
        <f>SUMIFS(Media!M:M, Media!$C:$C, "&gt;="&amp;$C122, Media!$C:$C, "&lt;"&amp;$C123)</f>
        <v>0</v>
      </c>
      <c r="P122" s="64"/>
      <c r="Q122" s="98">
        <f>SUMIFS(Media!Q:Q, Media!$C:$C, "&gt;="&amp;$C122, Media!$C:$C, "&lt;"&amp;$C123)</f>
        <v>0</v>
      </c>
      <c r="R122" s="64"/>
      <c r="S122" s="100">
        <f>SUMIFS(Media!H:H, Media!$C:$C, "&gt;="&amp;$C122, Media!$C:$C, "&lt;"&amp;$C123)</f>
        <v>592490</v>
      </c>
      <c r="T122" s="64"/>
      <c r="U122" s="100">
        <f t="shared" si="15"/>
        <v>120</v>
      </c>
      <c r="V122" s="64"/>
      <c r="W122" s="130" t="e">
        <f ca="1">IF($C122=Calculations!$C$53, I122, NA())</f>
        <v>#N/A</v>
      </c>
      <c r="X122" s="103" t="e">
        <f t="shared" ca="1" si="12"/>
        <v>#N/A</v>
      </c>
      <c r="Y122" s="64"/>
      <c r="Z122" s="130" t="e">
        <f ca="1">IF($C122=Calculations!$E$85, M122, NA())</f>
        <v>#N/A</v>
      </c>
      <c r="AA122" s="130" t="e">
        <f ca="1">IF($C122=Calculations!$E$86, M122, NA())</f>
        <v>#N/A</v>
      </c>
      <c r="AB122" s="130" t="e">
        <f ca="1">IF($C122=Calculations!$E$87, M122, NA())</f>
        <v>#N/A</v>
      </c>
      <c r="AC122" s="130" t="e">
        <f t="shared" ca="1" si="13"/>
        <v>#N/A</v>
      </c>
      <c r="AD122" s="64"/>
      <c r="AE122" s="130" t="e">
        <f ca="1">IF($C122=Calculations!$C$142,Tables!S122, NA())</f>
        <v>#N/A</v>
      </c>
      <c r="AF122" s="130" t="e">
        <f t="shared" ca="1" si="14"/>
        <v>#N/A</v>
      </c>
      <c r="XN122" s="79"/>
    </row>
    <row r="123" spans="1:638" ht="15" customHeight="1" x14ac:dyDescent="0.25">
      <c r="A123" s="60"/>
      <c r="B123" s="56"/>
      <c r="C123" s="61">
        <f>IF(Controls!$J$24="Monthly",DATE(YEAR(C122),MONTH(C122)+1,1),C122+Controls!$I$24)</f>
        <v>42988</v>
      </c>
      <c r="D123" s="56"/>
    </row>
    <row r="124" spans="1:638" ht="15" customHeight="1" x14ac:dyDescent="0.25">
      <c r="D124" s="62"/>
    </row>
    <row r="125" spans="1:638" ht="15" customHeight="1" x14ac:dyDescent="0.25">
      <c r="E125" s="55"/>
      <c r="F125" s="55"/>
      <c r="G125" s="55"/>
      <c r="H125" s="55"/>
      <c r="I125" s="55"/>
      <c r="J125" s="55"/>
      <c r="L125" s="55"/>
      <c r="M125" s="55"/>
      <c r="N125" s="55"/>
      <c r="P125" s="55"/>
      <c r="R125" s="55"/>
      <c r="T125" s="55"/>
      <c r="V125" s="55"/>
      <c r="Y125" s="55"/>
      <c r="AD125" s="55"/>
    </row>
    <row r="126" spans="1:638" ht="15" customHeight="1" x14ac:dyDescent="0.25">
      <c r="E126" s="55"/>
      <c r="F126" s="55"/>
      <c r="G126" s="55"/>
      <c r="H126" s="55"/>
      <c r="I126" s="55"/>
      <c r="J126" s="55"/>
      <c r="N126" s="55"/>
      <c r="P126" s="55"/>
      <c r="R126" s="55"/>
      <c r="T126" s="55"/>
      <c r="V126" s="55"/>
      <c r="Y126" s="55"/>
      <c r="AD126" s="55"/>
    </row>
    <row r="128" spans="1:638" ht="15" customHeight="1" x14ac:dyDescent="0.25">
      <c r="L128" s="61"/>
      <c r="M128" s="61"/>
    </row>
  </sheetData>
  <pageMargins left="0.75" right="0.75" top="1" bottom="1" header="0.5" footer="0.5"/>
  <pageSetup orientation="portrait" r:id="rId1"/>
  <ignoredErrors>
    <ignoredError sqref="AC3 AC4:AC122 X3:X122" evalError="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L44"/>
  <sheetViews>
    <sheetView showGridLines="0" zoomScaleNormal="100" workbookViewId="0"/>
  </sheetViews>
  <sheetFormatPr defaultRowHeight="15" customHeight="1" x14ac:dyDescent="0.25"/>
  <cols>
    <col min="1" max="1" width="34" bestFit="1" customWidth="1"/>
    <col min="2" max="2" width="12" bestFit="1" customWidth="1"/>
    <col min="3" max="5" width="17.140625" bestFit="1" customWidth="1"/>
    <col min="6" max="6" width="16" bestFit="1" customWidth="1"/>
    <col min="7" max="8" width="17.140625" bestFit="1" customWidth="1"/>
    <col min="9" max="11" width="13.85546875" bestFit="1" customWidth="1"/>
  </cols>
  <sheetData>
    <row r="1" spans="1:10" ht="15" customHeight="1" thickBot="1" x14ac:dyDescent="0.3">
      <c r="A1" s="1" t="s">
        <v>6</v>
      </c>
      <c r="B1" s="2"/>
      <c r="C1" s="2"/>
      <c r="D1" s="2"/>
      <c r="E1" s="2"/>
      <c r="F1" s="2"/>
      <c r="G1" s="2"/>
      <c r="H1" s="2"/>
      <c r="I1" s="3"/>
      <c r="J1" s="3"/>
    </row>
    <row r="2" spans="1:10" ht="15" customHeight="1" x14ac:dyDescent="0.25">
      <c r="A2" s="4"/>
      <c r="B2" s="4"/>
      <c r="C2" s="4"/>
      <c r="D2" s="4"/>
      <c r="E2" s="4"/>
      <c r="F2" s="4"/>
      <c r="G2" s="5" t="s">
        <v>7</v>
      </c>
      <c r="H2" s="6">
        <v>120</v>
      </c>
      <c r="I2" s="5" t="s">
        <v>8</v>
      </c>
      <c r="J2" s="6">
        <v>0</v>
      </c>
    </row>
    <row r="3" spans="1:10" ht="15" customHeight="1" x14ac:dyDescent="0.25">
      <c r="A3" s="4"/>
      <c r="B3" s="4"/>
      <c r="C3" s="4"/>
      <c r="D3" s="4"/>
      <c r="E3" s="4"/>
      <c r="F3" s="4"/>
      <c r="G3" s="4"/>
      <c r="H3" s="4"/>
    </row>
    <row r="4" spans="1:10" ht="15" customHeight="1" x14ac:dyDescent="0.25">
      <c r="A4" s="7" t="s">
        <v>9</v>
      </c>
      <c r="B4" s="7" t="s">
        <v>10</v>
      </c>
      <c r="C4" s="7" t="s">
        <v>11</v>
      </c>
      <c r="D4" s="7" t="s">
        <v>12</v>
      </c>
      <c r="E4" s="7" t="s">
        <v>13</v>
      </c>
      <c r="F4" s="7" t="s">
        <v>14</v>
      </c>
      <c r="G4" s="7" t="s">
        <v>15</v>
      </c>
      <c r="H4" s="7" t="s">
        <v>16</v>
      </c>
      <c r="I4" s="7" t="s">
        <v>17</v>
      </c>
      <c r="J4" s="7" t="s">
        <v>18</v>
      </c>
    </row>
    <row r="5" spans="1:10" ht="15" customHeight="1" x14ac:dyDescent="0.25">
      <c r="A5" s="8" t="s">
        <v>19</v>
      </c>
      <c r="B5" s="9" t="str">
        <f>Charts!N3</f>
        <v>Daily</v>
      </c>
      <c r="C5" s="10">
        <f>Charts!$H$3</f>
        <v>42958</v>
      </c>
      <c r="D5" s="10">
        <f>VLOOKUP(B5,Controls!$A$16:$H$20,8,FALSE)</f>
        <v>42987</v>
      </c>
      <c r="E5" s="11">
        <f>1+$H$2+$J$2</f>
        <v>121</v>
      </c>
      <c r="F5" s="12">
        <f>VLOOKUP(Charts!$N$3,Controls!$A$16:$D$20,4,FALSE)</f>
        <v>2</v>
      </c>
      <c r="G5" s="11">
        <f>IF(VLOOKUP(Charts!$N$3,Controls!$A$16:$E$20,5,FALSE)&gt;=$H$2,-H2,-1*VLOOKUP(Charts!$N$3,Controls!$A$16:$E$20,5,FALSE)-1-VLOOKUP(Charts!$N$3,Controls!$A$16:$F$20,6,FALSE))</f>
        <v>-30</v>
      </c>
      <c r="H5" s="13">
        <v>1</v>
      </c>
      <c r="I5" s="8">
        <f>VLOOKUP(Charts!$N$3,Controls!$A$16:$B$20,2,FALSE)</f>
        <v>1</v>
      </c>
      <c r="J5" s="8">
        <f>VLOOKUP(Charts!$N$3,Controls!$A$16:$I$20,9,FALSE)</f>
        <v>-1</v>
      </c>
    </row>
    <row r="6" spans="1:10" ht="15" customHeight="1" x14ac:dyDescent="0.25">
      <c r="A6" s="8" t="s">
        <v>20</v>
      </c>
      <c r="B6" s="8" t="s">
        <v>21</v>
      </c>
      <c r="C6" s="10">
        <f>D6-1</f>
        <v>42986.958333333336</v>
      </c>
      <c r="D6" s="10">
        <f>VLOOKUP(B6,Controls!$A$16:$H$20,8,FALSE)</f>
        <v>42987.958333333336</v>
      </c>
      <c r="E6" s="11">
        <f t="shared" ref="E6:E13" si="0">1+$H$2+$J$2</f>
        <v>121</v>
      </c>
      <c r="F6" s="13">
        <v>3</v>
      </c>
      <c r="G6" s="13">
        <v>-24</v>
      </c>
      <c r="H6" s="13">
        <v>1</v>
      </c>
      <c r="I6" s="13">
        <f>1/24</f>
        <v>4.1666666666666664E-2</v>
      </c>
      <c r="J6" s="14">
        <v>0</v>
      </c>
    </row>
    <row r="7" spans="1:10" ht="15" customHeight="1" x14ac:dyDescent="0.25">
      <c r="A7" s="8" t="s">
        <v>22</v>
      </c>
      <c r="B7" s="8" t="s">
        <v>21</v>
      </c>
      <c r="C7" s="10">
        <f>D7-2</f>
        <v>42985.958333333336</v>
      </c>
      <c r="D7" s="10">
        <f>VLOOKUP(B7,Controls!$A$16:$H$20,8,FALSE)</f>
        <v>42987.958333333336</v>
      </c>
      <c r="E7" s="11">
        <f t="shared" si="0"/>
        <v>121</v>
      </c>
      <c r="F7" s="13">
        <v>3</v>
      </c>
      <c r="G7" s="13">
        <v>-48</v>
      </c>
      <c r="H7" s="13">
        <v>1</v>
      </c>
      <c r="I7" s="13">
        <f>1/24</f>
        <v>4.1666666666666664E-2</v>
      </c>
      <c r="J7" s="14">
        <v>0</v>
      </c>
    </row>
    <row r="8" spans="1:10" ht="15" customHeight="1" x14ac:dyDescent="0.25">
      <c r="A8" s="8" t="s">
        <v>23</v>
      </c>
      <c r="B8" s="8" t="s">
        <v>24</v>
      </c>
      <c r="C8" s="10">
        <f>D8-7</f>
        <v>42980</v>
      </c>
      <c r="D8" s="10">
        <f>VLOOKUP(B8,Controls!$A$16:$H$20,8,FALSE)</f>
        <v>42987</v>
      </c>
      <c r="E8" s="11">
        <f t="shared" si="0"/>
        <v>121</v>
      </c>
      <c r="F8" s="13">
        <v>2</v>
      </c>
      <c r="G8" s="13">
        <v>-7</v>
      </c>
      <c r="H8" s="13">
        <v>1</v>
      </c>
      <c r="I8" s="13">
        <v>1</v>
      </c>
      <c r="J8" s="14">
        <v>-1</v>
      </c>
    </row>
    <row r="9" spans="1:10" ht="15" customHeight="1" x14ac:dyDescent="0.25">
      <c r="A9" s="8" t="s">
        <v>25</v>
      </c>
      <c r="B9" s="8" t="s">
        <v>24</v>
      </c>
      <c r="C9" s="10">
        <f>D9-27</f>
        <v>42960</v>
      </c>
      <c r="D9" s="10">
        <f>VLOOKUP(B9,Controls!$A$16:$H$20,8,FALSE)</f>
        <v>42987</v>
      </c>
      <c r="E9" s="11">
        <f t="shared" si="0"/>
        <v>121</v>
      </c>
      <c r="F9" s="13">
        <v>2</v>
      </c>
      <c r="G9" s="13">
        <v>-14</v>
      </c>
      <c r="H9" s="13">
        <v>1</v>
      </c>
      <c r="I9" s="13">
        <v>1</v>
      </c>
      <c r="J9" s="14">
        <v>-1</v>
      </c>
    </row>
    <row r="10" spans="1:10" ht="15" customHeight="1" x14ac:dyDescent="0.25">
      <c r="A10" s="8" t="s">
        <v>26</v>
      </c>
      <c r="B10" s="8" t="s">
        <v>24</v>
      </c>
      <c r="C10" s="10">
        <f>D10-30</f>
        <v>42957</v>
      </c>
      <c r="D10" s="10">
        <f>VLOOKUP(B10,Controls!$A$16:$H$20,8,FALSE)</f>
        <v>42987</v>
      </c>
      <c r="E10" s="11">
        <f t="shared" si="0"/>
        <v>121</v>
      </c>
      <c r="F10" s="13">
        <v>2</v>
      </c>
      <c r="G10" s="13">
        <v>-30</v>
      </c>
      <c r="H10" s="13">
        <v>1</v>
      </c>
      <c r="I10" s="13">
        <v>1</v>
      </c>
      <c r="J10" s="14">
        <v>-1</v>
      </c>
    </row>
    <row r="11" spans="1:10" ht="15" customHeight="1" x14ac:dyDescent="0.25">
      <c r="A11" s="8" t="s">
        <v>27</v>
      </c>
      <c r="B11" s="8" t="s">
        <v>28</v>
      </c>
      <c r="C11" s="10">
        <f>D11-21</f>
        <v>42966.999988425923</v>
      </c>
      <c r="D11" s="10">
        <f>IF(WEEKDAY(Charts!$K$3)-INDEX(Controls!$A$24:$A$30,MATCH(Controls!$C$23,Controls!$B$24:$B$30,0))&gt;0,Charts!$K$3-(WEEKDAY(Charts!$K$3)-INDEX(Controls!$A$24:$A$30,MATCH(Controls!$C$23,Controls!$B$24:$B$30,0),1))+6,6+Charts!$K$3-(7+(WEEKDAY(Charts!$K$3)-INDEX(Controls!$A$24:$A$30,MATCH(Controls!$C$23,Controls!$B$24:$B$30,0)))))</f>
        <v>42987.999988425923</v>
      </c>
      <c r="E11" s="11">
        <f t="shared" si="0"/>
        <v>121</v>
      </c>
      <c r="F11" s="13">
        <v>1</v>
      </c>
      <c r="G11" s="13">
        <v>-4</v>
      </c>
      <c r="H11" s="13">
        <v>1</v>
      </c>
      <c r="I11" s="13">
        <v>7</v>
      </c>
      <c r="J11" s="14">
        <v>-1</v>
      </c>
    </row>
    <row r="12" spans="1:10" ht="15" customHeight="1" x14ac:dyDescent="0.25">
      <c r="A12" s="8" t="s">
        <v>29</v>
      </c>
      <c r="B12" s="8" t="s">
        <v>30</v>
      </c>
      <c r="C12" s="10">
        <f>DATE(YEAR(D12),MONTH(D12)-2,DAY(D12))</f>
        <v>42917</v>
      </c>
      <c r="D12" s="10">
        <f>DATE(YEAR(VLOOKUP(Charts!$N$3,Controls!$A$16:$H$20,8,FALSE)),MONTH(VLOOKUP(Charts!$N$3,Controls!$A$16:$H$20,8,FALSE)),DAY(1))</f>
        <v>42979</v>
      </c>
      <c r="E12" s="11">
        <f t="shared" si="0"/>
        <v>121</v>
      </c>
      <c r="F12" s="13">
        <v>0</v>
      </c>
      <c r="G12" s="13">
        <v>-3</v>
      </c>
      <c r="H12" s="13">
        <v>1</v>
      </c>
      <c r="I12" s="13">
        <v>1</v>
      </c>
      <c r="J12" s="14">
        <v>-1</v>
      </c>
    </row>
    <row r="13" spans="1:10" ht="15" customHeight="1" x14ac:dyDescent="0.25">
      <c r="A13" s="8" t="s">
        <v>31</v>
      </c>
      <c r="B13" s="8" t="s">
        <v>30</v>
      </c>
      <c r="C13" s="10">
        <f>DATE(YEAR(D13),MONTH(D13)-5,DAY(D13))</f>
        <v>42826</v>
      </c>
      <c r="D13" s="10">
        <f>DATE(YEAR(VLOOKUP(Charts!$N$3,Controls!$A$16:$H$20,8,FALSE)),MONTH(VLOOKUP(Charts!$N$3,Controls!$A$16:$H$20,8,FALSE)),DAY(1))</f>
        <v>42979</v>
      </c>
      <c r="E13" s="11">
        <f t="shared" si="0"/>
        <v>121</v>
      </c>
      <c r="F13" s="13">
        <v>0</v>
      </c>
      <c r="G13" s="13">
        <v>-6</v>
      </c>
      <c r="H13" s="13">
        <v>1</v>
      </c>
      <c r="I13" s="13">
        <v>1</v>
      </c>
      <c r="J13" s="14">
        <v>-1</v>
      </c>
    </row>
    <row r="14" spans="1:10" ht="15" customHeight="1" x14ac:dyDescent="0.25">
      <c r="A14" s="4"/>
      <c r="B14" s="4"/>
      <c r="C14" s="4"/>
      <c r="D14" s="4"/>
      <c r="E14" s="4"/>
      <c r="F14" s="4"/>
      <c r="G14" s="4"/>
      <c r="H14" s="4"/>
    </row>
    <row r="15" spans="1:10" ht="15" customHeight="1" x14ac:dyDescent="0.25">
      <c r="A15" s="7" t="s">
        <v>10</v>
      </c>
      <c r="B15" s="7" t="s">
        <v>17</v>
      </c>
      <c r="C15" s="7" t="s">
        <v>32</v>
      </c>
      <c r="D15" s="7" t="s">
        <v>14</v>
      </c>
      <c r="E15" s="7" t="s">
        <v>33</v>
      </c>
      <c r="F15" s="7" t="s">
        <v>34</v>
      </c>
      <c r="G15" s="7" t="s">
        <v>35</v>
      </c>
      <c r="H15" s="7" t="s">
        <v>36</v>
      </c>
      <c r="I15" s="7" t="s">
        <v>18</v>
      </c>
      <c r="J15" s="7" t="s">
        <v>73</v>
      </c>
    </row>
    <row r="16" spans="1:10" ht="15" customHeight="1" x14ac:dyDescent="0.25">
      <c r="A16" s="8" t="s">
        <v>30</v>
      </c>
      <c r="B16" s="8">
        <v>1</v>
      </c>
      <c r="C16" s="11"/>
      <c r="D16" s="11">
        <v>0</v>
      </c>
      <c r="E16" s="11">
        <f>(YEAR(H16)-YEAR(G16))*12+MONTH(H16)-MONTH(G16)</f>
        <v>1</v>
      </c>
      <c r="F16" s="11"/>
      <c r="G16" s="10">
        <f>DATE(YEAR(Charts!$H$3),MONTH(Charts!$H$3),1)</f>
        <v>42948</v>
      </c>
      <c r="H16" s="10">
        <f>EOMONTH(Charts!$K$3,0)</f>
        <v>43008</v>
      </c>
      <c r="I16" s="4">
        <v>-1</v>
      </c>
      <c r="J16" s="4">
        <v>1</v>
      </c>
    </row>
    <row r="17" spans="1:12" ht="15" customHeight="1" x14ac:dyDescent="0.25">
      <c r="A17" s="8" t="s">
        <v>28</v>
      </c>
      <c r="B17" s="8">
        <v>7</v>
      </c>
      <c r="C17" s="11">
        <v>7</v>
      </c>
      <c r="D17" s="11">
        <v>1</v>
      </c>
      <c r="E17" s="11">
        <f>H2-COUNT(Tables!B3:B122)</f>
        <v>30</v>
      </c>
      <c r="F17" s="11">
        <v>-1</v>
      </c>
      <c r="G17" s="10">
        <f>IF(WEEKDAY(Charts!$H$3)-INDEX(Controls!$A$24:$A$30,MATCH(Controls!$C$23,Controls!$B$24:$B$30,0))&gt;0,Charts!$H$3-(WEEKDAY(Charts!$H$3)-INDEX(Controls!$A$24:$A$30,MATCH(Controls!$C$23,Controls!$B$24:$B$30,0),1)),Charts!$H$3-(7+(WEEKDAY(Charts!$H$3)-INDEX(Controls!$A$24:$A$30,MATCH(Controls!$C$23,Controls!$B$24:$B$30,0)))))</f>
        <v>42953</v>
      </c>
      <c r="H17" s="10">
        <f>IF(WEEKDAY(Charts!$K$3)-INDEX(Controls!$A$24:$A$30,MATCH(Controls!$C$23,Controls!$B$24:$B$30,0))&gt;=0,DATE(YEAR(Charts!$K$3),MONTH(Charts!$K$3),DAY(Charts!$K$3))-(WEEKDAY(Charts!$K$3)-INDEX(Controls!$A$24:$A$30,MATCH(Controls!$C$23,Controls!$B$24:$B$30,0),1))+6,6+DATE(YEAR(Charts!$K$3),MONTH(Charts!$K$3),DAY(Charts!$K$3))-(7+(WEEKDAY(Charts!$K$3)-INDEX(Controls!$A$24:$A$30,MATCH(Controls!$C$23,Controls!$B$24:$B$30,0)))))</f>
        <v>42987</v>
      </c>
      <c r="I17" s="4">
        <v>-1</v>
      </c>
      <c r="J17" s="4">
        <v>1</v>
      </c>
    </row>
    <row r="18" spans="1:12" ht="15" customHeight="1" x14ac:dyDescent="0.25">
      <c r="A18" s="8" t="s">
        <v>24</v>
      </c>
      <c r="B18" s="8">
        <v>1</v>
      </c>
      <c r="C18" s="11">
        <v>1</v>
      </c>
      <c r="D18" s="11">
        <v>2</v>
      </c>
      <c r="E18" s="11">
        <f>(H18-G18)*C18</f>
        <v>29</v>
      </c>
      <c r="F18" s="11">
        <v>0</v>
      </c>
      <c r="G18" s="10">
        <f>DATE(YEAR(Charts!$H$3),MONTH(Charts!$H$3),DAY(Charts!$H$3))</f>
        <v>42958</v>
      </c>
      <c r="H18" s="10">
        <f>DATE(YEAR(Charts!$K$3),MONTH(Charts!$K$3),DAY(Charts!$K$3))</f>
        <v>42987</v>
      </c>
      <c r="I18" s="4">
        <v>-1</v>
      </c>
      <c r="J18" s="4">
        <v>1</v>
      </c>
    </row>
    <row r="19" spans="1:12" ht="15" customHeight="1" x14ac:dyDescent="0.25">
      <c r="A19" s="8" t="s">
        <v>21</v>
      </c>
      <c r="B19" s="8">
        <f>1/24</f>
        <v>4.1666666666666664E-2</v>
      </c>
      <c r="C19" s="11">
        <f>24</f>
        <v>24</v>
      </c>
      <c r="D19" s="11">
        <v>3</v>
      </c>
      <c r="E19" s="11">
        <f>(H19-G19)*C19</f>
        <v>719.00000000005821</v>
      </c>
      <c r="F19" s="11">
        <v>0</v>
      </c>
      <c r="G19" s="10">
        <f>DATE(YEAR(Charts!$H$3),MONTH(Charts!$H$3),DAY(Charts!$H$3))+TIME(HOUR(Charts!$H$3),0,0)</f>
        <v>42958</v>
      </c>
      <c r="H19" s="10">
        <f>DATE(YEAR(Charts!$K$3),MONTH(Charts!$K$3),DAY(Charts!$K$3))+IF(TIME(HOUR(Charts!$K$3)+1,0,0)=0,23/24,TIME(HOUR(Charts!$K$3)+23/24,0,0))</f>
        <v>42987.958333333336</v>
      </c>
      <c r="I19" s="4">
        <v>0</v>
      </c>
      <c r="J19" s="67">
        <f>1/24/60/60</f>
        <v>1.1574074074074073E-5</v>
      </c>
    </row>
    <row r="20" spans="1:12" ht="15" customHeight="1" x14ac:dyDescent="0.25">
      <c r="A20" s="8" t="s">
        <v>37</v>
      </c>
      <c r="B20" s="8">
        <f>(1/24/60)*Charts!$P$3</f>
        <v>3.472222222222222E-3</v>
      </c>
      <c r="C20" s="11">
        <v>1440</v>
      </c>
      <c r="D20" s="11">
        <v>3</v>
      </c>
      <c r="E20" s="11">
        <f>ROUNDDOWN(((H20-G20)*C20)/(B20/(1/24/60))+2,0)</f>
        <v>8641</v>
      </c>
      <c r="F20" s="11">
        <v>-2</v>
      </c>
      <c r="G20" s="10">
        <f>Charts!$H$3</f>
        <v>42958</v>
      </c>
      <c r="H20" s="10">
        <f>Charts!$K$3</f>
        <v>42987.999988425923</v>
      </c>
      <c r="I20" s="4">
        <v>0</v>
      </c>
      <c r="J20" s="67">
        <f>1/24/60/60</f>
        <v>1.1574074074074073E-5</v>
      </c>
    </row>
    <row r="21" spans="1:12" ht="15" customHeight="1" x14ac:dyDescent="0.25">
      <c r="A21" s="4"/>
      <c r="B21" s="4"/>
      <c r="C21" s="15"/>
      <c r="D21" s="4"/>
      <c r="E21" s="4"/>
      <c r="F21" s="4"/>
      <c r="G21" s="16"/>
      <c r="H21" s="16"/>
      <c r="I21" s="4"/>
      <c r="J21" s="4"/>
    </row>
    <row r="22" spans="1:12" ht="15" customHeight="1" x14ac:dyDescent="0.25">
      <c r="A22" s="4"/>
      <c r="B22" s="4"/>
      <c r="C22" s="4"/>
      <c r="D22" s="4"/>
      <c r="E22" s="4"/>
      <c r="F22" s="4"/>
      <c r="G22" s="4"/>
      <c r="H22" s="4"/>
    </row>
    <row r="23" spans="1:12" ht="15" customHeight="1" x14ac:dyDescent="0.25">
      <c r="A23" s="338" t="s">
        <v>38</v>
      </c>
      <c r="B23" s="339"/>
      <c r="C23" s="6" t="s">
        <v>39</v>
      </c>
      <c r="D23" s="4"/>
      <c r="E23" s="7" t="s">
        <v>13</v>
      </c>
      <c r="F23" s="7" t="s">
        <v>14</v>
      </c>
      <c r="G23" s="7" t="s">
        <v>15</v>
      </c>
      <c r="H23" s="7" t="s">
        <v>16</v>
      </c>
      <c r="I23" s="7" t="s">
        <v>17</v>
      </c>
      <c r="J23" s="7" t="s">
        <v>10</v>
      </c>
      <c r="K23" s="7" t="s">
        <v>18</v>
      </c>
      <c r="L23" s="7" t="s">
        <v>73</v>
      </c>
    </row>
    <row r="24" spans="1:12" ht="15" customHeight="1" x14ac:dyDescent="0.25">
      <c r="A24" s="17">
        <v>2</v>
      </c>
      <c r="B24" s="8" t="s">
        <v>40</v>
      </c>
      <c r="C24" s="8">
        <v>-1</v>
      </c>
      <c r="D24" s="4"/>
      <c r="E24" s="4">
        <f>VLOOKUP(Charts!$H$6,Controls!$A$5:$I$14,5,FALSE)</f>
        <v>121</v>
      </c>
      <c r="F24" s="4">
        <f>VLOOKUP(Charts!$H$6,Controls!$A$5:$I$14,6,FALSE)</f>
        <v>2</v>
      </c>
      <c r="G24" s="4">
        <f>VLOOKUP(Charts!$H$6,Controls!$A$5:$I$14,7,FALSE)</f>
        <v>-30</v>
      </c>
      <c r="H24" s="4">
        <f>VLOOKUP(Charts!$H$6,Controls!$A$5:$I$14,8,FALSE)</f>
        <v>1</v>
      </c>
      <c r="I24" s="4">
        <f>VLOOKUP(Charts!$H$6,Controls!$A$5:$I$14,9,FALSE)</f>
        <v>1</v>
      </c>
      <c r="J24" s="18" t="str">
        <f>VLOOKUP(Charts!$H$6,Controls!$A$5:$I$14,2,FALSE)</f>
        <v>Daily</v>
      </c>
      <c r="K24" s="18">
        <f>VLOOKUP(Charts!$H$6,Controls!$A$4:$J$13,10,FALSE)</f>
        <v>-1</v>
      </c>
      <c r="L24">
        <f>VLOOKUP($J$24, $A$16:$J$20, 10, 0)</f>
        <v>1</v>
      </c>
    </row>
    <row r="25" spans="1:12" ht="15" customHeight="1" x14ac:dyDescent="0.25">
      <c r="A25" s="17">
        <v>3</v>
      </c>
      <c r="B25" s="8" t="s">
        <v>41</v>
      </c>
      <c r="C25" s="8">
        <v>-2</v>
      </c>
      <c r="D25" s="4"/>
      <c r="E25" s="4"/>
      <c r="F25" s="4"/>
      <c r="G25" s="4"/>
      <c r="H25" s="4"/>
    </row>
    <row r="26" spans="1:12" ht="15" customHeight="1" x14ac:dyDescent="0.25">
      <c r="A26" s="17">
        <v>4</v>
      </c>
      <c r="B26" s="8" t="s">
        <v>42</v>
      </c>
      <c r="C26" s="8">
        <v>-3</v>
      </c>
      <c r="D26" s="4"/>
      <c r="E26" s="340" t="s">
        <v>43</v>
      </c>
      <c r="F26" s="340"/>
      <c r="G26" s="4"/>
      <c r="H26" s="19"/>
    </row>
    <row r="27" spans="1:12" ht="15" customHeight="1" x14ac:dyDescent="0.25">
      <c r="A27" s="17">
        <v>5</v>
      </c>
      <c r="B27" s="8" t="s">
        <v>44</v>
      </c>
      <c r="C27" s="8">
        <v>-4</v>
      </c>
      <c r="D27" s="20"/>
      <c r="E27" s="7" t="s">
        <v>11</v>
      </c>
      <c r="F27" s="7" t="s">
        <v>12</v>
      </c>
      <c r="G27" s="4"/>
      <c r="H27" s="4"/>
    </row>
    <row r="28" spans="1:12" ht="15" customHeight="1" x14ac:dyDescent="0.25">
      <c r="A28" s="17">
        <v>6</v>
      </c>
      <c r="B28" s="8" t="s">
        <v>45</v>
      </c>
      <c r="C28" s="8">
        <v>-5</v>
      </c>
      <c r="D28" s="16"/>
      <c r="E28" s="16">
        <f>VLOOKUP(Charts!$H$6,Controls!$A$5:$D$13,3,FALSE)</f>
        <v>42958</v>
      </c>
      <c r="F28" s="16">
        <f>IF(Charts!$N$3="Hourly",VLOOKUP(Charts!$H$6,Controls!$A$5:$D$13,4,FALSE)+1/24,VLOOKUP(Charts!$H$6,Controls!$A$5:$D$13,4,FALSE))</f>
        <v>42987</v>
      </c>
      <c r="G28" s="4"/>
      <c r="H28" s="4"/>
    </row>
    <row r="29" spans="1:12" ht="15" customHeight="1" x14ac:dyDescent="0.25">
      <c r="A29" s="17">
        <v>7</v>
      </c>
      <c r="B29" s="8" t="s">
        <v>46</v>
      </c>
      <c r="C29" s="8">
        <v>-6</v>
      </c>
      <c r="D29" s="4"/>
      <c r="E29" s="16"/>
      <c r="F29" s="4"/>
      <c r="G29" s="4"/>
      <c r="H29" s="4"/>
    </row>
    <row r="30" spans="1:12" ht="15" customHeight="1" x14ac:dyDescent="0.25">
      <c r="A30" s="17">
        <v>1</v>
      </c>
      <c r="B30" s="8" t="s">
        <v>39</v>
      </c>
      <c r="C30" s="8">
        <v>0</v>
      </c>
      <c r="D30" s="16"/>
      <c r="E30" s="340" t="s">
        <v>47</v>
      </c>
      <c r="F30" s="340"/>
      <c r="G30" s="4"/>
      <c r="H30" s="4"/>
    </row>
    <row r="31" spans="1:12" ht="15" customHeight="1" x14ac:dyDescent="0.25">
      <c r="E31" s="7" t="s">
        <v>11</v>
      </c>
      <c r="F31" s="7" t="s">
        <v>12</v>
      </c>
      <c r="G31" s="7" t="s">
        <v>48</v>
      </c>
      <c r="H31" s="7" t="s">
        <v>10</v>
      </c>
    </row>
    <row r="32" spans="1:12" ht="15" customHeight="1" x14ac:dyDescent="0.25">
      <c r="E32" s="221">
        <v>42958</v>
      </c>
      <c r="F32" s="221">
        <v>42987.999988425923</v>
      </c>
      <c r="G32" s="241" t="s">
        <v>24</v>
      </c>
      <c r="H32" t="str">
        <f>IF(G32="","Daily",G32)</f>
        <v>Daily</v>
      </c>
      <c r="I32" s="241"/>
    </row>
    <row r="35" spans="1:12" ht="15" customHeight="1" x14ac:dyDescent="0.25">
      <c r="A35" s="341" t="s">
        <v>49</v>
      </c>
      <c r="B35" s="342"/>
      <c r="C35" s="342"/>
      <c r="D35" s="4"/>
      <c r="E35" s="341" t="s">
        <v>50</v>
      </c>
      <c r="F35" s="342"/>
      <c r="G35" s="342"/>
    </row>
    <row r="36" spans="1:12" ht="15" customHeight="1" x14ac:dyDescent="0.25">
      <c r="A36" s="7" t="s">
        <v>51</v>
      </c>
      <c r="B36" s="7" t="s">
        <v>52</v>
      </c>
      <c r="C36" s="7" t="s">
        <v>53</v>
      </c>
      <c r="D36" s="4"/>
      <c r="E36" s="7" t="s">
        <v>51</v>
      </c>
      <c r="F36" s="7" t="s">
        <v>52</v>
      </c>
      <c r="G36" s="7" t="s">
        <v>53</v>
      </c>
    </row>
    <row r="37" spans="1:12" ht="15" customHeight="1" x14ac:dyDescent="0.25">
      <c r="A37" s="249" t="str">
        <f>HYPERLINK("https://app.simplymeasured.com/viewer/excel_redirect/pjt23idq7pu4gpj5y4ljml2r33lbsu")</f>
        <v>https://app.simplymeasured.com/viewer/excel_redirect/pjt23idq7pu4gpj5y4ljml2r33lbsu</v>
      </c>
      <c r="B37" s="4" t="s">
        <v>54</v>
      </c>
      <c r="C37" s="4" t="str">
        <f>IF(RIGHT(A37,1)="/",CONCATENATE(A37,B37),CONCATENATE(A37,"/",B37))</f>
        <v>https://app.simplymeasured.com/viewer/excel_redirect/pjt23idq7pu4gpj5y4ljml2r33lbsu/#utm_source=excel_to_web&amp;utm_medium=spreadsheet&amp;utm_content=web_viewer&amp;utm_campaign=excel_to_web</v>
      </c>
      <c r="D37" s="4"/>
      <c r="E37" s="241" t="str">
        <f ca="1">CONCATENATE("https://app.simplymeasured.com/viewer/excel_redirect/pjt23idq7pu4gpj5y4ljml2r33lbsu?upload_url=", IF(LEN(SUBSTITUTE(SUBSTITUTE(LEFT(CELL("filename"),FIND("]",CELL("filename"))),"[",""),"]",""))&gt;150," ",(SUBSTITUTE(SUBSTITUTE(LEFT(CELL("filename"),FIND("]",CELL("filename"))),"[",""),"]",""))))</f>
        <v>https://app.simplymeasured.com/viewer/excel_redirect/pjt23idq7pu4gpj5y4ljml2r33lbsu?upload_url=U:\Dept\Promotions\Kimberly Clark\Scott\2017\Scott Towels\Food Truck Events\Station Recap materials\Miami Instagram Report - September.xlsx</v>
      </c>
      <c r="F37" s="22"/>
      <c r="G37" s="22" t="str">
        <f ca="1">IF(RIGHT(E37,1)="/",CONCATENATE(E37,F37),CONCATENATE(E37,"/",F37))</f>
        <v>https://app.simplymeasured.com/viewer/excel_redirect/pjt23idq7pu4gpj5y4ljml2r33lbsu?upload_url=U:\Dept\Promotions\Kimberly Clark\Scott\2017\Scott Towels\Food Truck Events\Station Recap materials\Miami Instagram Report - September.xlsx/</v>
      </c>
    </row>
    <row r="40" spans="1:12" ht="15" customHeight="1" x14ac:dyDescent="0.25">
      <c r="B40" s="241"/>
      <c r="C40" s="241"/>
    </row>
    <row r="41" spans="1:12" ht="15" customHeight="1" x14ac:dyDescent="0.25">
      <c r="B41" s="241"/>
      <c r="E41" s="241"/>
      <c r="K41" s="74" t="s">
        <v>2370</v>
      </c>
      <c r="L41" s="241" t="s">
        <v>2020</v>
      </c>
    </row>
    <row r="42" spans="1:12" ht="15" customHeight="1" x14ac:dyDescent="0.25">
      <c r="B42" s="241"/>
      <c r="D42" s="74" t="s">
        <v>2369</v>
      </c>
      <c r="E42" s="241" t="s">
        <v>2020</v>
      </c>
      <c r="K42" s="74" t="s">
        <v>2371</v>
      </c>
      <c r="L42" s="241" t="s">
        <v>2020</v>
      </c>
    </row>
    <row r="43" spans="1:12" ht="15" customHeight="1" x14ac:dyDescent="0.25">
      <c r="B43" s="241"/>
    </row>
    <row r="44" spans="1:12" ht="15" customHeight="1" x14ac:dyDescent="0.25">
      <c r="B44" s="241"/>
    </row>
  </sheetData>
  <mergeCells count="5">
    <mergeCell ref="A23:B23"/>
    <mergeCell ref="E26:F26"/>
    <mergeCell ref="E30:F30"/>
    <mergeCell ref="A35:C35"/>
    <mergeCell ref="E35:G35"/>
  </mergeCells>
  <dataValidations disablePrompts="1" count="1">
    <dataValidation type="list" allowBlank="1" showInputMessage="1" showErrorMessage="1" sqref="C23">
      <formula1>"Monday,Tuesday,Wednesday,Thursday,Friday,Saturday,Sunday"</formula1>
    </dataValidation>
  </dataValidation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B1:XX1392"/>
  <sheetViews>
    <sheetView zoomScaleNormal="100" workbookViewId="0"/>
  </sheetViews>
  <sheetFormatPr defaultRowHeight="15" x14ac:dyDescent="0.25"/>
  <cols>
    <col min="1" max="1" width="1.7109375" customWidth="1"/>
    <col min="2" max="2" width="37.7109375" customWidth="1"/>
    <col min="3" max="3" width="21.7109375" customWidth="1"/>
    <col min="4" max="4" width="21.5703125" customWidth="1"/>
    <col min="5" max="5" width="24.140625" customWidth="1"/>
    <col min="6" max="6" width="22.85546875" customWidth="1"/>
    <col min="7" max="7" width="23.5703125" bestFit="1" customWidth="1"/>
    <col min="8" max="8" width="24.28515625" bestFit="1" customWidth="1"/>
    <col min="9" max="9" width="15.85546875" customWidth="1"/>
    <col min="10" max="10" width="15.5703125" customWidth="1"/>
    <col min="11" max="11" width="20.5703125" customWidth="1"/>
    <col min="12" max="12" width="20.28515625" customWidth="1"/>
    <col min="13" max="13" width="20.5703125" customWidth="1"/>
    <col min="14" max="14" width="24.28515625" customWidth="1"/>
    <col min="15" max="15" width="21.85546875" customWidth="1"/>
    <col min="16" max="16" width="36.7109375" customWidth="1"/>
    <col min="648" max="648" width="9.140625" hidden="1" customWidth="1"/>
  </cols>
  <sheetData>
    <row r="1" spans="2:648" x14ac:dyDescent="0.25">
      <c r="XX1" s="79" t="s">
        <v>2000</v>
      </c>
    </row>
    <row r="2" spans="2:648" ht="30" x14ac:dyDescent="0.25">
      <c r="B2" s="172" t="s">
        <v>2001</v>
      </c>
      <c r="D2" s="171" t="s">
        <v>2310</v>
      </c>
      <c r="E2" s="170" t="s">
        <v>2309</v>
      </c>
      <c r="XX2" s="79"/>
    </row>
    <row r="3" spans="2:648" x14ac:dyDescent="0.25">
      <c r="XX3" s="79"/>
    </row>
    <row r="4" spans="2:648" x14ac:dyDescent="0.25">
      <c r="B4" s="66" t="s">
        <v>2311</v>
      </c>
      <c r="C4" s="66"/>
      <c r="D4" s="66"/>
      <c r="E4" s="66"/>
      <c r="F4" s="66"/>
      <c r="G4" s="66"/>
      <c r="H4" s="66"/>
      <c r="I4" s="66"/>
      <c r="J4" s="66"/>
      <c r="K4" s="66"/>
      <c r="L4" s="66"/>
      <c r="XX4" s="79"/>
    </row>
    <row r="5" spans="2:648" s="173" customFormat="1" x14ac:dyDescent="0.25">
      <c r="XX5" s="174"/>
    </row>
    <row r="6" spans="2:648" s="173" customFormat="1" x14ac:dyDescent="0.25">
      <c r="B6" s="173" t="str">
        <f>"Instagram Hashtag Report: "&amp;TEXT(Controls!$E$28, "m/d/yy")&amp;" to "&amp;TEXT(Controls!F$28, "m/d/yy")</f>
        <v>Instagram Hashtag Report: 8/11/17 to 9/9/17</v>
      </c>
      <c r="XX6" s="174"/>
    </row>
    <row r="7" spans="2:648" s="173" customFormat="1" x14ac:dyDescent="0.25">
      <c r="B7" s="173" t="s">
        <v>2331</v>
      </c>
      <c r="C7" s="224" t="str">
        <f ca="1">IF(IF(ISERROR(MATCH(1,Terms!D:D,0))=TRUE,OFFSET(Terms!$B$1,COUNT(Terms!D:D),0),INDEX(Terms!$B:$B,MATCH(1,Terms!$D:$D,0),1)&amp;" and "&amp;COUNT(Terms!D:D)+1-MATCH(1,Terms!D:D,0)&amp;" more")="String Builder","",IF(ISERROR(MATCH(1,Terms!D:D,0))=TRUE,OFFSET(Terms!$B$1,COUNT(Terms!D:D),0),INDEX(Terms!$B:$B,MATCH(1,Terms!$D:$D,0),1)&amp;" and "&amp;COUNT(Terms!D:D)+1-MATCH(1,Terms!D:D,0)&amp;" more"))</f>
        <v>#keepongoing</v>
      </c>
      <c r="XX7" s="174"/>
    </row>
    <row r="8" spans="2:648" s="173" customFormat="1" x14ac:dyDescent="0.25">
      <c r="XX8" s="174"/>
    </row>
    <row r="9" spans="2:648" s="173" customFormat="1" x14ac:dyDescent="0.25">
      <c r="XX9" s="174"/>
    </row>
    <row r="10" spans="2:648" s="173" customFormat="1" x14ac:dyDescent="0.25">
      <c r="XX10" s="174"/>
    </row>
    <row r="11" spans="2:648" s="173" customFormat="1" x14ac:dyDescent="0.25">
      <c r="XX11" s="174"/>
    </row>
    <row r="12" spans="2:648" s="173" customFormat="1" x14ac:dyDescent="0.25">
      <c r="B12" s="173" t="s">
        <v>2312</v>
      </c>
      <c r="C12" s="227">
        <f>COUNT(People!B:B)</f>
        <v>3616</v>
      </c>
      <c r="D12" s="100" t="str">
        <f>IFERROR(IF(C12&lt;10000, TEXT(C12, "#,##0"), IF(C12&lt;999500, TEXT(C12, "0,k"), TEXT(C12, "0.0,,\M"))), "NA")</f>
        <v>3,616</v>
      </c>
      <c r="F12" s="106" t="str">
        <f>Charts!$N$3</f>
        <v>Daily</v>
      </c>
      <c r="G12" s="112" t="str">
        <f>INDEX(G13:G17, MATCH($F$12, $F$13:$F$17, 0))</f>
        <v>m/d/yy</v>
      </c>
      <c r="H12" s="107" t="str">
        <f>INDEX(H13:H17, MATCH($F$12, $F$13:$F$17, 0))</f>
        <v>daily</v>
      </c>
      <c r="I12" s="107" t="str">
        <f>INDEX(I13:I17, MATCH($F$12, $F$13:$F$17, 0))</f>
        <v>day</v>
      </c>
      <c r="J12" s="108">
        <f>INDEX(J13:J17, MATCH($F$12, $F$13:$F$17, 0))</f>
        <v>1</v>
      </c>
      <c r="XX12" s="174"/>
    </row>
    <row r="13" spans="2:648" s="173" customFormat="1" x14ac:dyDescent="0.25">
      <c r="B13" s="205" t="str">
        <f>"Per "&amp;PROPER(I12)</f>
        <v>Per Day</v>
      </c>
      <c r="C13" s="200">
        <f>$J$12*(C12/(Controls!$F$28+Controls!$L$24-Controls!$E$28))</f>
        <v>120.53333333333333</v>
      </c>
      <c r="D13" s="201" t="str">
        <f>TEXT(C13, "0.0")</f>
        <v>120.5</v>
      </c>
      <c r="F13" s="109" t="s">
        <v>30</v>
      </c>
      <c r="G13" s="83" t="s">
        <v>2028</v>
      </c>
      <c r="H13" s="83" t="s">
        <v>2029</v>
      </c>
      <c r="I13" s="83" t="s">
        <v>2034</v>
      </c>
      <c r="J13" s="196">
        <f>365/12</f>
        <v>30.416666666666668</v>
      </c>
      <c r="XX13" s="174"/>
    </row>
    <row r="14" spans="2:648" s="173" customFormat="1" x14ac:dyDescent="0.25">
      <c r="F14" s="109" t="s">
        <v>28</v>
      </c>
      <c r="G14" s="83"/>
      <c r="H14" s="83" t="s">
        <v>2030</v>
      </c>
      <c r="I14" s="83" t="s">
        <v>2035</v>
      </c>
      <c r="J14" s="110">
        <v>7</v>
      </c>
      <c r="XX14" s="174"/>
    </row>
    <row r="15" spans="2:648" s="173" customFormat="1" x14ac:dyDescent="0.25">
      <c r="B15" s="173" t="s">
        <v>2321</v>
      </c>
      <c r="C15" s="199">
        <f>C44</f>
        <v>5717</v>
      </c>
      <c r="D15" s="203" t="str">
        <f>D44</f>
        <v>5,717</v>
      </c>
      <c r="F15" s="109" t="s">
        <v>24</v>
      </c>
      <c r="G15" s="83" t="s">
        <v>2031</v>
      </c>
      <c r="H15" s="83" t="s">
        <v>2032</v>
      </c>
      <c r="I15" s="83" t="s">
        <v>2036</v>
      </c>
      <c r="J15" s="110">
        <v>1</v>
      </c>
      <c r="XX15" s="174"/>
    </row>
    <row r="16" spans="2:648" s="173" customFormat="1" x14ac:dyDescent="0.25">
      <c r="B16" s="205" t="str">
        <f>B42</f>
        <v>Daily Trend</v>
      </c>
      <c r="D16" s="201" t="str">
        <f ca="1">D42</f>
        <v>↑0.1%</v>
      </c>
      <c r="F16" s="109" t="s">
        <v>21</v>
      </c>
      <c r="G16" s="83" t="s">
        <v>2336</v>
      </c>
      <c r="H16" s="83" t="s">
        <v>2033</v>
      </c>
      <c r="I16" s="83" t="s">
        <v>2037</v>
      </c>
      <c r="J16" s="197">
        <f>1/24</f>
        <v>4.1666666666666664E-2</v>
      </c>
      <c r="XX16" s="174"/>
    </row>
    <row r="17" spans="2:648" s="173" customFormat="1" x14ac:dyDescent="0.25">
      <c r="F17" s="111" t="s">
        <v>37</v>
      </c>
      <c r="G17" s="82" t="s">
        <v>2336</v>
      </c>
      <c r="H17" s="82" t="str">
        <f>"per "&amp;IF(Charts!$P$3=1, "minute", Charts!$P$3&amp;" minutes")</f>
        <v>per 5 minutes</v>
      </c>
      <c r="I17" s="82" t="str">
        <f>IF(Charts!$P$3=1, "MINUTE", Charts!$P$3&amp;" MINUTES")</f>
        <v>5 MINUTES</v>
      </c>
      <c r="J17" s="198">
        <f>(1/24/60)*Charts!$P$3</f>
        <v>3.472222222222222E-3</v>
      </c>
      <c r="XX17" s="174"/>
    </row>
    <row r="18" spans="2:648" s="173" customFormat="1" x14ac:dyDescent="0.25">
      <c r="B18" s="173" t="str">
        <f>B136</f>
        <v>Potential Reach</v>
      </c>
      <c r="C18" s="199">
        <f>C136</f>
        <v>7532057</v>
      </c>
      <c r="D18" s="201" t="str">
        <f>D136</f>
        <v>7.5M</v>
      </c>
      <c r="XX18" s="174"/>
    </row>
    <row r="19" spans="2:648" s="173" customFormat="1" x14ac:dyDescent="0.25">
      <c r="B19" s="205" t="s">
        <v>2326</v>
      </c>
      <c r="C19" s="202">
        <f>IFERROR(C18/C15, 0)</f>
        <v>1317.4841700192408</v>
      </c>
      <c r="D19" s="201" t="str">
        <f>TEXT(C19, "0.0")</f>
        <v>1317.5</v>
      </c>
      <c r="XX19" s="174"/>
    </row>
    <row r="20" spans="2:648" s="173" customFormat="1" x14ac:dyDescent="0.25">
      <c r="XX20" s="174"/>
    </row>
    <row r="21" spans="2:648" s="173" customFormat="1" x14ac:dyDescent="0.25">
      <c r="B21" s="173" t="str">
        <f>B134</f>
        <v>Potential Impressions</v>
      </c>
      <c r="C21" s="199">
        <f>C134</f>
        <v>36014667</v>
      </c>
      <c r="D21" s="201" t="str">
        <f>D134</f>
        <v>36.0M</v>
      </c>
      <c r="XX21" s="174"/>
    </row>
    <row r="22" spans="2:648" s="173" customFormat="1" x14ac:dyDescent="0.25">
      <c r="B22" s="205" t="s">
        <v>2322</v>
      </c>
      <c r="C22" s="202">
        <f>IFERROR(C21/C18, 0)</f>
        <v>4.7815181164985869</v>
      </c>
      <c r="D22" s="201" t="str">
        <f>TEXT(C22, "0.0")</f>
        <v>4.8</v>
      </c>
      <c r="XX22" s="174"/>
    </row>
    <row r="23" spans="2:648" s="173" customFormat="1" x14ac:dyDescent="0.25">
      <c r="XX23" s="174"/>
    </row>
    <row r="24" spans="2:648" s="173" customFormat="1" x14ac:dyDescent="0.25">
      <c r="B24" s="173" t="s">
        <v>2003</v>
      </c>
      <c r="D24" s="199" t="str">
        <f>E75</f>
        <v>665k</v>
      </c>
      <c r="XX24" s="174"/>
    </row>
    <row r="25" spans="2:648" s="173" customFormat="1" x14ac:dyDescent="0.25">
      <c r="B25" s="205" t="s">
        <v>4</v>
      </c>
      <c r="C25" s="199"/>
      <c r="D25" s="199" t="str">
        <f>C75</f>
        <v>647k</v>
      </c>
      <c r="XX25" s="174"/>
    </row>
    <row r="26" spans="2:648" s="173" customFormat="1" x14ac:dyDescent="0.25">
      <c r="B26" s="205" t="s">
        <v>62</v>
      </c>
      <c r="D26" s="199" t="str">
        <f>D75</f>
        <v>18k</v>
      </c>
      <c r="XX26" s="174"/>
    </row>
    <row r="27" spans="2:648" s="173" customFormat="1" x14ac:dyDescent="0.25">
      <c r="C27" s="199"/>
      <c r="D27" s="199"/>
      <c r="XX27" s="174"/>
    </row>
    <row r="28" spans="2:648" s="173" customFormat="1" x14ac:dyDescent="0.25">
      <c r="B28" s="173" t="s">
        <v>2308</v>
      </c>
      <c r="C28" s="199"/>
      <c r="D28" s="173" t="str">
        <f>D112</f>
        <v>0</v>
      </c>
      <c r="XX28" s="174"/>
    </row>
    <row r="29" spans="2:648" s="173" customFormat="1" x14ac:dyDescent="0.25">
      <c r="C29" s="199"/>
      <c r="XX29" s="174"/>
    </row>
    <row r="30" spans="2:648" s="173" customFormat="1" x14ac:dyDescent="0.25">
      <c r="B30" s="173" t="s">
        <v>2327</v>
      </c>
      <c r="C30" s="200">
        <f>IFERROR(C15/C12,"N/A")</f>
        <v>1.5810287610619469</v>
      </c>
      <c r="XX30" s="174"/>
    </row>
    <row r="31" spans="2:648" s="173" customFormat="1" x14ac:dyDescent="0.25">
      <c r="B31" s="173" t="s">
        <v>2328</v>
      </c>
      <c r="C31" s="200">
        <f>IFERROR(C18/C15,"N/A")</f>
        <v>1317.4841700192408</v>
      </c>
      <c r="XX31" s="174"/>
    </row>
    <row r="32" spans="2:648" s="173" customFormat="1" x14ac:dyDescent="0.25">
      <c r="B32" s="173" t="s">
        <v>2329</v>
      </c>
      <c r="C32" s="200">
        <f>IFERROR(C21/C18,"N/A")</f>
        <v>4.7815181164985869</v>
      </c>
      <c r="XX32" s="174"/>
    </row>
    <row r="33" spans="2:648" s="173" customFormat="1" x14ac:dyDescent="0.25">
      <c r="B33" s="173" t="s">
        <v>2330</v>
      </c>
      <c r="C33" s="200">
        <f>IFERROR(E69/C15,"N/A")</f>
        <v>116.3038306804268</v>
      </c>
      <c r="XX33" s="174"/>
    </row>
    <row r="34" spans="2:648" s="173" customFormat="1" x14ac:dyDescent="0.25">
      <c r="C34" s="199"/>
      <c r="XX34" s="174"/>
    </row>
    <row r="35" spans="2:648" s="173" customFormat="1" x14ac:dyDescent="0.25">
      <c r="C35" s="199"/>
      <c r="XX35" s="174"/>
    </row>
    <row r="36" spans="2:648" s="87" customFormat="1" x14ac:dyDescent="0.25">
      <c r="B36" s="92"/>
      <c r="C36" s="93"/>
      <c r="D36"/>
      <c r="E36" s="70"/>
      <c r="XX36" s="88"/>
    </row>
    <row r="37" spans="2:648" s="87" customFormat="1" x14ac:dyDescent="0.25">
      <c r="C37" s="89"/>
      <c r="D37" s="90"/>
      <c r="XX37" s="88"/>
    </row>
    <row r="38" spans="2:648" s="87" customFormat="1" x14ac:dyDescent="0.25">
      <c r="C38" s="89"/>
      <c r="D38" s="90"/>
      <c r="XX38" s="88"/>
    </row>
    <row r="39" spans="2:648" s="87" customFormat="1" x14ac:dyDescent="0.25">
      <c r="B39" s="66" t="s">
        <v>2027</v>
      </c>
      <c r="C39" s="66"/>
      <c r="D39" s="66"/>
      <c r="E39" s="66"/>
      <c r="F39" s="66"/>
      <c r="G39" s="66"/>
      <c r="H39" s="66"/>
      <c r="I39" s="66"/>
      <c r="J39" s="66"/>
      <c r="K39" s="66"/>
      <c r="L39" s="66"/>
      <c r="XX39" s="88"/>
    </row>
    <row r="41" spans="2:648" x14ac:dyDescent="0.25">
      <c r="B41" s="100" t="str">
        <f>"Average Mentions Per "&amp;PROPER($I$12)</f>
        <v>Average Mentions Per Day</v>
      </c>
      <c r="C41" s="103">
        <f ca="1">AVERAGE(tables.mentions)</f>
        <v>190.56666666666666</v>
      </c>
      <c r="D41" s="100" t="str">
        <f ca="1">IFERROR(IF(C41&lt;10000, TEXT(C41, "#,##0"), IF(C41&lt;999500, TEXT(C41, "0,k"), TEXT(C41, "0.0,,\M"))), "NA")</f>
        <v>191</v>
      </c>
    </row>
    <row r="42" spans="2:648" x14ac:dyDescent="0.25">
      <c r="B42" s="100" t="str">
        <f>PROPER(H12)&amp;" Trend"</f>
        <v>Daily Trend</v>
      </c>
      <c r="C42" s="114">
        <f ca="1">SLOPE(tables.mentions, tables.slope_x)/C41</f>
        <v>9.5610869597786443E-4</v>
      </c>
      <c r="D42" s="114" t="str">
        <f ca="1">IFERROR(IF(C42&gt;=0, "↑", "↓")&amp; TEXT(ABS(C42), "0.0%"),"N/A")</f>
        <v>↑0.1%</v>
      </c>
      <c r="E42" s="180"/>
    </row>
    <row r="43" spans="2:648" x14ac:dyDescent="0.25">
      <c r="B43" s="100"/>
      <c r="C43" s="100"/>
    </row>
    <row r="44" spans="2:648" x14ac:dyDescent="0.25">
      <c r="B44" s="100" t="s">
        <v>2021</v>
      </c>
      <c r="C44" s="103">
        <f>SUM(C45:C47)</f>
        <v>5717</v>
      </c>
      <c r="D44" s="100" t="str">
        <f>IFERROR(IF(C44&lt;10000, TEXT(C44, "#,##0"), IF(C44&lt;999500, TEXT(C44, "0,k"), TEXT(C44, "0.0,,\M"))), "NA")</f>
        <v>5,717</v>
      </c>
    </row>
    <row r="45" spans="2:648" x14ac:dyDescent="0.25">
      <c r="B45" s="152" t="s">
        <v>2039</v>
      </c>
      <c r="C45" s="103">
        <f>COUNTIFS(Media!C:C, "&gt;="&amp;Controls!$E$28, Media!C:C, "&lt;"&amp;Controls!$F$28+Controls!$L$24, Media!G:G,"image")</f>
        <v>5017</v>
      </c>
      <c r="D45" s="100" t="str">
        <f t="shared" ref="D45:D47" si="0">IFERROR(IF(C45&lt;10000, TEXT(C45, "#,##0"), IF(C45&lt;999500, TEXT(C45, "0,k"), TEXT(C45, "0.0,,\M"))), "NA")</f>
        <v>5,017</v>
      </c>
    </row>
    <row r="46" spans="2:648" x14ac:dyDescent="0.25">
      <c r="B46" s="152" t="s">
        <v>2040</v>
      </c>
      <c r="C46" s="103">
        <f>COUNTIFS(Media!C:C, "&gt;="&amp;Controls!$E$28, Media!C:C, "&lt;"&amp;Controls!$F$28+Controls!$L$24, Media!G:G,"video")</f>
        <v>401</v>
      </c>
      <c r="D46" s="100" t="str">
        <f t="shared" si="0"/>
        <v>401</v>
      </c>
    </row>
    <row r="47" spans="2:648" x14ac:dyDescent="0.25">
      <c r="B47" s="152" t="s">
        <v>2467</v>
      </c>
      <c r="C47" s="103">
        <f>COUNTIFS(Media!C:C, "&gt;="&amp;Controls!$E$28, Media!C:C, "&lt;"&amp;Controls!$F$28+Controls!$L$24, Media!G:G,"carousel")</f>
        <v>299</v>
      </c>
      <c r="D47" s="100" t="str">
        <f t="shared" si="0"/>
        <v>299</v>
      </c>
    </row>
    <row r="48" spans="2:648" x14ac:dyDescent="0.25">
      <c r="B48" s="100"/>
      <c r="C48" s="100"/>
    </row>
    <row r="49" spans="2:648" x14ac:dyDescent="0.25">
      <c r="B49" s="153" t="s">
        <v>2041</v>
      </c>
      <c r="C49" s="100"/>
      <c r="F49" s="4"/>
      <c r="G49" s="4"/>
      <c r="H49" s="4"/>
      <c r="I49" s="4"/>
      <c r="J49" s="21"/>
    </row>
    <row r="50" spans="2:648" x14ac:dyDescent="0.25">
      <c r="B50" s="153"/>
      <c r="C50" s="100"/>
      <c r="F50" s="4"/>
      <c r="G50" s="4"/>
      <c r="H50" s="4"/>
      <c r="I50" s="4"/>
      <c r="J50" s="21"/>
    </row>
    <row r="51" spans="2:648" x14ac:dyDescent="0.25">
      <c r="B51" s="154" t="str">
        <f>"Mentions on Peak "&amp;PROPER(I12)</f>
        <v>Mentions on Peak Day</v>
      </c>
      <c r="C51" s="103">
        <f ca="1">IF(MAX(tables.mentions)=0, NA(), MAX(tables.mentions))</f>
        <v>233</v>
      </c>
    </row>
    <row r="52" spans="2:648" x14ac:dyDescent="0.25">
      <c r="B52" s="154" t="str">
        <f>"% Higher Than Average "&amp;PROPER(I12)</f>
        <v>% Higher Than Average Day</v>
      </c>
      <c r="C52" s="115">
        <f ca="1">C51/C41-1</f>
        <v>0.22266923211474543</v>
      </c>
    </row>
    <row r="53" spans="2:648" x14ac:dyDescent="0.25">
      <c r="B53" s="100" t="s">
        <v>2042</v>
      </c>
      <c r="C53" s="116">
        <f ca="1">INDEX(tables.day, MATCH(C51, tables.mentions, 0))</f>
        <v>42961</v>
      </c>
    </row>
    <row r="54" spans="2:648" x14ac:dyDescent="0.25">
      <c r="B54" s="100" t="s">
        <v>2043</v>
      </c>
      <c r="C54" s="116">
        <f ca="1">INDEX(Tables!$C:$C, MATCH(C53, Tables!$C:$C, 0)+1)</f>
        <v>42962</v>
      </c>
    </row>
    <row r="55" spans="2:648" x14ac:dyDescent="0.25">
      <c r="B55" s="100" t="s">
        <v>2056</v>
      </c>
      <c r="C55" s="100">
        <f ca="1">IF($F$12="Weekly", INDEX(tables.times, MATCH(C53, tables.day, 0)), C53)</f>
        <v>42961</v>
      </c>
    </row>
    <row r="56" spans="2:648" x14ac:dyDescent="0.25">
      <c r="B56" s="100" t="s">
        <v>2057</v>
      </c>
      <c r="C56" s="119">
        <f ca="1">IF($F$12="weekly", LEFT(C55, SEARCH("-", C55)-1)&amp;" - "&amp;RIGHT(C55, LEN(C55)-SEARCH("-", C55)), C55)</f>
        <v>42961</v>
      </c>
    </row>
    <row r="57" spans="2:648" x14ac:dyDescent="0.25">
      <c r="B57" s="100"/>
      <c r="C57" s="116"/>
    </row>
    <row r="58" spans="2:648" x14ac:dyDescent="0.25">
      <c r="B58" s="100" t="str">
        <f>"MENTIONS PEAK "&amp;UPPER(I12)</f>
        <v>MENTIONS PEAK DAY</v>
      </c>
      <c r="C58" s="116"/>
    </row>
    <row r="59" spans="2:648" x14ac:dyDescent="0.25">
      <c r="B59" s="100" t="str">
        <f ca="1">IFERROR(TEXT(C56, $G$12),"N/A")</f>
        <v>8/14/17</v>
      </c>
      <c r="C59" s="116"/>
    </row>
    <row r="60" spans="2:648" x14ac:dyDescent="0.25">
      <c r="B60" s="119" t="str">
        <f ca="1">IFERROR(CONCATENATE(F60,G60,H60,I60,J60,K60),"N/A")</f>
        <v>233 Hashtag Mentions (22% higher volume than the average day from this report period)</v>
      </c>
      <c r="C60" s="116"/>
      <c r="F60" s="100" t="str">
        <f ca="1">IFERROR(IF(C51&lt;10000, TEXT(C51, "#,##0"), IF(C51&lt;999500, TEXT(C51, "0,k"), TEXT(C51, "0.0,,\M"))), "NA")</f>
        <v>233</v>
      </c>
      <c r="G60" s="155" t="s">
        <v>2044</v>
      </c>
      <c r="H60" s="100" t="str">
        <f ca="1">TEXT(C52, "0%")</f>
        <v>22%</v>
      </c>
      <c r="I60" s="155" t="s">
        <v>2045</v>
      </c>
      <c r="J60" s="100" t="str">
        <f>I12</f>
        <v>day</v>
      </c>
      <c r="K60" s="155" t="s">
        <v>2046</v>
      </c>
    </row>
    <row r="64" spans="2:648" s="87" customFormat="1" x14ac:dyDescent="0.25">
      <c r="B64" s="66" t="s">
        <v>2051</v>
      </c>
      <c r="C64" s="66"/>
      <c r="D64" s="66"/>
      <c r="E64" s="66"/>
      <c r="F64" s="66"/>
      <c r="G64" s="66"/>
      <c r="H64" s="66"/>
      <c r="I64" s="66"/>
      <c r="J64" s="66"/>
      <c r="K64" s="66"/>
      <c r="L64" s="66"/>
      <c r="XX64" s="88"/>
    </row>
    <row r="65" spans="2:5" x14ac:dyDescent="0.25">
      <c r="B65" s="181"/>
      <c r="C65" s="182" t="s">
        <v>4</v>
      </c>
      <c r="D65" s="182" t="s">
        <v>62</v>
      </c>
      <c r="E65" s="182" t="s">
        <v>61</v>
      </c>
    </row>
    <row r="66" spans="2:5" x14ac:dyDescent="0.25">
      <c r="B66" s="181" t="s">
        <v>2039</v>
      </c>
      <c r="C66" s="183">
        <f>SUMIFS(Media!$K:$K, Media!$G:$G, "image", Media!$C:$C, "&gt;="&amp;Controls!$E$28, Media!$C:$C, "&lt;"&amp;Controls!$F$28+Controls!$L$24)</f>
        <v>602658</v>
      </c>
      <c r="D66" s="183">
        <f>SUMIFS(Media!$J:$J, Media!$G:$G, "image", Media!$C:$C, "&gt;="&amp;Controls!$E$28, Media!$C:$C, "&lt;"&amp;Controls!$F$28+Controls!$L$24)</f>
        <v>16101</v>
      </c>
      <c r="E66" s="183">
        <f>SUM(C66:D66)</f>
        <v>618759</v>
      </c>
    </row>
    <row r="67" spans="2:5" x14ac:dyDescent="0.25">
      <c r="B67" s="181" t="s">
        <v>2040</v>
      </c>
      <c r="C67" s="183">
        <f>SUMIFS(Media!$K:$K, Media!$G:$G, "video", Media!$C:$C, "&gt;="&amp;Controls!$E$28, Media!$C:$C, "&lt;"&amp;Controls!$F$28+Controls!$L$24)</f>
        <v>20603</v>
      </c>
      <c r="D67" s="183">
        <f>SUMIFS(Media!$J:$J, Media!$G:$G, "video", Media!$C:$C, "&gt;="&amp;Controls!$E$28, Media!$C:$C, "&lt;"&amp;Controls!$F$28+Controls!$L$24)</f>
        <v>994</v>
      </c>
      <c r="E67" s="183">
        <f>SUM(C67:D67)</f>
        <v>21597</v>
      </c>
    </row>
    <row r="68" spans="2:5" x14ac:dyDescent="0.25">
      <c r="B68" s="181" t="s">
        <v>2467</v>
      </c>
      <c r="C68" s="183">
        <f>SUMIFS(Media!$K:$K, Media!$G:$G, "carousel", Media!$C:$C, "&gt;="&amp;Controls!$E$28, Media!$C:$C, "&lt;"&amp;Controls!$F$28+Controls!$L$24)</f>
        <v>23659</v>
      </c>
      <c r="D68" s="183">
        <f>SUMIFS(Media!$J:$J, Media!$G:$G, "carousel", Media!$C:$C, "&gt;="&amp;Controls!$E$28, Media!$C:$C, "&lt;"&amp;Controls!$F$28+Controls!$L$24)</f>
        <v>894</v>
      </c>
      <c r="E68" s="183">
        <f>SUM(C68:D68)</f>
        <v>24553</v>
      </c>
    </row>
    <row r="69" spans="2:5" x14ac:dyDescent="0.25">
      <c r="B69" s="181" t="s">
        <v>2069</v>
      </c>
      <c r="C69" s="183">
        <f>SUM(C66:C68)</f>
        <v>646920</v>
      </c>
      <c r="D69" s="183">
        <f>SUM(D66:D68)</f>
        <v>17989</v>
      </c>
      <c r="E69" s="183">
        <f>SUM(E66:E68)</f>
        <v>664909</v>
      </c>
    </row>
    <row r="72" spans="2:5" x14ac:dyDescent="0.25">
      <c r="B72" t="s">
        <v>2039</v>
      </c>
      <c r="C72" s="100" t="str">
        <f t="shared" ref="C72:D72" si="1">IFERROR(IF(C66&lt;10000, TEXT(C66, "#,##0"), IF(C66&lt;999500, TEXT(C66, "0,k"), TEXT(C66, "0.0,,\M"))), "NA")</f>
        <v>603k</v>
      </c>
      <c r="D72" s="100" t="str">
        <f t="shared" si="1"/>
        <v>16k</v>
      </c>
      <c r="E72" s="101" t="str">
        <f>IFERROR(IF(E66&lt;10000, TEXT(E66, "#,##0"), IF(E66&lt;999500, TEXT(E66, "0,k"), TEXT(E66, "0.0,,\M"))), "NA")</f>
        <v>619k</v>
      </c>
    </row>
    <row r="73" spans="2:5" x14ac:dyDescent="0.25">
      <c r="B73" t="s">
        <v>2040</v>
      </c>
      <c r="C73" s="100" t="str">
        <f t="shared" ref="C73:D74" si="2">IFERROR(IF(C67&lt;10000, TEXT(C67, "#,##0"), IF(C67&lt;999500, TEXT(C67, "0,k"), TEXT(C67, "0.0,,\M"))), "NA")</f>
        <v>21k</v>
      </c>
      <c r="D73" s="100" t="str">
        <f t="shared" si="2"/>
        <v>994</v>
      </c>
      <c r="E73" s="101" t="str">
        <f>IFERROR(IF(E67&lt;10000, TEXT(E67, "#,##0"), IF(E67&lt;999500, TEXT(E67, "0,k"), TEXT(E67, "0.0,,\M"))), "NA")</f>
        <v>22k</v>
      </c>
    </row>
    <row r="74" spans="2:5" ht="15.75" thickBot="1" x14ac:dyDescent="0.3">
      <c r="B74" t="s">
        <v>2467</v>
      </c>
      <c r="C74" s="100" t="str">
        <f t="shared" si="2"/>
        <v>24k</v>
      </c>
      <c r="D74" s="100" t="str">
        <f t="shared" si="2"/>
        <v>894</v>
      </c>
      <c r="E74" s="101" t="str">
        <f>IFERROR(IF(E68&lt;10000, TEXT(E68, "#,##0"), IF(E68&lt;999500, TEXT(E68, "0,k"), TEXT(E68, "0.0,,\M"))), "NA")</f>
        <v>25k</v>
      </c>
    </row>
    <row r="75" spans="2:5" ht="15.75" thickBot="1" x14ac:dyDescent="0.3">
      <c r="B75" s="74" t="s">
        <v>2069</v>
      </c>
      <c r="C75" s="101" t="str">
        <f t="shared" ref="C75:D75" si="3">IFERROR(IF(C69&lt;10000, TEXT(C69, "#,##0"), IF(C69&lt;999500, TEXT(C69, "0,k"), TEXT(C69, "0.0,,\M"))), "NA")</f>
        <v>647k</v>
      </c>
      <c r="D75" s="101" t="str">
        <f t="shared" si="3"/>
        <v>18k</v>
      </c>
      <c r="E75" s="184" t="str">
        <f t="shared" ref="E75" si="4">IFERROR(IF(E69&lt;10000, TEXT(E69, "#,##0"), IF(E69&lt;999500, TEXT(E69, "0,k"), TEXT(E69, "0.0,,\M"))), "NA")</f>
        <v>665k</v>
      </c>
    </row>
    <row r="80" spans="2:5" x14ac:dyDescent="0.25">
      <c r="B80" s="50" t="s">
        <v>2070</v>
      </c>
    </row>
    <row r="81" spans="2:14" x14ac:dyDescent="0.25">
      <c r="B81" t="s">
        <v>2059</v>
      </c>
      <c r="C81">
        <f ca="1">ROW(tables.IG_engagement)-1</f>
        <v>92</v>
      </c>
    </row>
    <row r="82" spans="2:14" x14ac:dyDescent="0.25">
      <c r="B82" t="s">
        <v>2060</v>
      </c>
      <c r="C82" s="71">
        <f ca="1">AVERAGE(tables.IG_engagement)</f>
        <v>22163.633333333335</v>
      </c>
    </row>
    <row r="84" spans="2:14" x14ac:dyDescent="0.25">
      <c r="B84" s="121" t="s">
        <v>2052</v>
      </c>
      <c r="C84" s="121" t="s">
        <v>2053</v>
      </c>
      <c r="D84" s="121" t="s">
        <v>2054</v>
      </c>
      <c r="E84" s="121" t="s">
        <v>67</v>
      </c>
      <c r="F84" s="121" t="s">
        <v>2055</v>
      </c>
      <c r="G84" s="121" t="s">
        <v>2056</v>
      </c>
      <c r="H84" s="121" t="s">
        <v>2057</v>
      </c>
      <c r="I84" s="122" t="s">
        <v>2053</v>
      </c>
      <c r="J84" s="122" t="s">
        <v>2058</v>
      </c>
      <c r="K84" s="132" t="s">
        <v>1</v>
      </c>
      <c r="L84" s="69" t="s">
        <v>0</v>
      </c>
      <c r="M84" t="s">
        <v>2015</v>
      </c>
      <c r="N84" s="125"/>
    </row>
    <row r="85" spans="2:14" x14ac:dyDescent="0.25">
      <c r="B85">
        <v>1</v>
      </c>
      <c r="C85" s="71">
        <f ca="1">LARGE(tables.IG_engagement, B85)</f>
        <v>42764</v>
      </c>
      <c r="D85" s="123">
        <f ca="1">C85/$C$82-1</f>
        <v>0.92946703985056578</v>
      </c>
      <c r="E85" s="124">
        <f t="array" aca="1" ref="E85" ca="1">INDEX(tables.day, SMALL(IF(C85=tables.IG_engagement, ROW(tables.IG_engagement)-$C$81), COUNTIFS($C$85:C85, C85)))</f>
        <v>42963</v>
      </c>
      <c r="F85" s="124">
        <f ca="1">INDEX(Tables!$C:$C, MATCH(E85, Tables!$C:$C, 0)+1)</f>
        <v>42964</v>
      </c>
      <c r="G85">
        <f ca="1">IF($F$12="Weekly", INDEX(tables.times, MATCH(E85, tables.day, 0)), E85)</f>
        <v>42963</v>
      </c>
      <c r="H85" s="113">
        <f ca="1">IF($F$12="weekly", LEFT(G85, SEARCH("-", G85)-1)&amp;" - "&amp;RIGHT(G85, LEN(G85)-SEARCH("-", G85)), G85)</f>
        <v>42963</v>
      </c>
      <c r="I85">
        <f ca="1">MAX(data.peak1.values)</f>
        <v>12661</v>
      </c>
      <c r="J85" s="123">
        <f ca="1">I85/C85</f>
        <v>0.29606678514638479</v>
      </c>
      <c r="K85" s="133" t="str">
        <f ca="1">IF(SUBSTITUTE(INDEX(Media!$F:$F, MATCH(I85, data.peak1.values, 0)), $E$2, " ")="",INDEX(Media!$E:$E, MATCH(I85, data.peak1.values, 0),1),SUBSTITUTE(INDEX(Media!$F:$F, MATCH(I85, data.peak1.values, 0)), $E$2, " "))</f>
        <v>Não falei que era fácil? @amanda.psouza Arrasou e acertou rapidinho. 😎 #timethiagofragoso #rocks #palcopopstar  #popstar  #keepongoing  #nobodysaiditwaseasy  Foto: @studiofaya  Make: @rafaelnsar  Style: @marcellaboselli  Acessórios: @vanusapiovesan @legepbrasil  @namesagenciamento</v>
      </c>
      <c r="L85" s="134" t="str">
        <f ca="1">INDEX(Media!$B:$B, MATCH(I85, data.peak1.values, 0))</f>
        <v>thiagofragoso</v>
      </c>
      <c r="M85">
        <f ca="1">INDEX(People!C:C, MATCH(L85, People!A:A, 0))</f>
        <v>775368</v>
      </c>
      <c r="N85" s="118" t="str">
        <f ca="1">IFERROR(IF(M85&lt;10000, TEXT(M85, "#,##0"), IF(M85&lt;999500, TEXT(M85, "0,k"), TEXT(M85, "0.0,,\M"))), "NA")</f>
        <v>775k</v>
      </c>
    </row>
    <row r="86" spans="2:14" x14ac:dyDescent="0.25">
      <c r="B86">
        <v>2</v>
      </c>
      <c r="C86" s="71">
        <f ca="1">LARGE(tables.IG_engagement, B86)</f>
        <v>40740</v>
      </c>
      <c r="D86" s="123">
        <f t="shared" ref="D86:D87" ca="1" si="5">C86/$C$82-1</f>
        <v>0.83814627264783592</v>
      </c>
      <c r="E86" s="124">
        <f t="array" aca="1" ref="E86" ca="1">INDEX(tables.day, SMALL(IF(C86=tables.IG_engagement, ROW(tables.IG_engagement)-$C$81), COUNTIFS($C$85:C86, C86)))</f>
        <v>42964</v>
      </c>
      <c r="F86" s="124">
        <f ca="1">INDEX(Tables!$C:$C, MATCH(E86, Tables!$C:$C, 0)+1)</f>
        <v>42965</v>
      </c>
      <c r="G86">
        <f ca="1">IF($F$12="Weekly", INDEX(tables.times, MATCH(E86, tables.day, 0)), E86)</f>
        <v>42964</v>
      </c>
      <c r="H86" s="113">
        <f ca="1">IF($F$12="weekly", LEFT(G86, SEARCH("-", G86)-1)&amp;" - "&amp;RIGHT(G86, LEN(G86)-SEARCH("-", G86)), G86)</f>
        <v>42964</v>
      </c>
      <c r="I86">
        <f ca="1">MAX(data.peak2.values)</f>
        <v>13779</v>
      </c>
      <c r="J86" s="123">
        <f t="shared" ref="J86:J87" ca="1" si="6">I86/C86</f>
        <v>0.33821796759941092</v>
      </c>
      <c r="K86" s="109" t="str">
        <f ca="1">IF(SUBSTITUTE(INDEX(Media!$F:$F, MATCH(I86, data.peak2.values, 0)), $E$2, " ")="",INDEX(Media!$E:$E, MATCH(I86, data.peak2.values, 0),1),SUBSTITUTE(INDEX(Media!$F:$F, MATCH(I86, data.peak2.values, 0)), $E$2, " "))</f>
        <v>The climb is tough but the view from the top is worth it✌🏽🌆 #top #LA #runyoncanyon #neverlookback #seeyouatthetop #california #calilife #keepongoing</v>
      </c>
      <c r="L86" s="110" t="str">
        <f ca="1">INDEX(Media!$B:$B, MATCH(I86, data.peak2.values, 0))</f>
        <v>martacarriedo</v>
      </c>
      <c r="M86">
        <f ca="1">INDEX(People!C:C, MATCH(L86, People!A:A, 0))</f>
        <v>397867</v>
      </c>
    </row>
    <row r="87" spans="2:14" x14ac:dyDescent="0.25">
      <c r="B87">
        <v>3</v>
      </c>
      <c r="C87" s="71">
        <f ca="1">LARGE(tables.IG_engagement, B87)</f>
        <v>34999</v>
      </c>
      <c r="D87" s="123">
        <f t="shared" ca="1" si="5"/>
        <v>0.57911834551795804</v>
      </c>
      <c r="E87" s="124">
        <f t="array" aca="1" ref="E87" ca="1">INDEX(tables.day, SMALL(IF(C87=tables.IG_engagement, ROW(tables.IG_engagement)-$C$81), COUNTIFS($C$85:C87, C87)))</f>
        <v>42959</v>
      </c>
      <c r="F87" s="124">
        <f ca="1">INDEX(Tables!$C:$C, MATCH(E87, Tables!$C:$C, 0)+1)</f>
        <v>42960</v>
      </c>
      <c r="G87">
        <f ca="1">IF($F$12="Weekly", INDEX(tables.times, MATCH(E87, tables.day, 0)), E87)</f>
        <v>42959</v>
      </c>
      <c r="H87" s="113">
        <f ca="1">IF($F$12="weekly", LEFT(G87, SEARCH("-", G87)-1)&amp;" - "&amp;RIGHT(G87, LEN(G87)-SEARCH("-", G87)), G87)</f>
        <v>42959</v>
      </c>
      <c r="I87">
        <f ca="1">MAX(data.peak3.values)</f>
        <v>14848</v>
      </c>
      <c r="J87" s="123">
        <f t="shared" ca="1" si="6"/>
        <v>0.42424069259121688</v>
      </c>
      <c r="K87" s="109" t="str">
        <f ca="1">IF(SUBSTITUTE(INDEX(Media!$F:$F, MATCH(I87, data.peak3.values, 0)), $E$2, " ")="",INDEX(Media!$E:$E, MATCH(I87, data.peak3.values, 0),1),SUBSTITUTE(INDEX(Media!$F:$F, MATCH(I87, data.peak3.values, 0)), $E$2, " "))</f>
        <v>"Haters gonna hate patatas gonna patate" - @colleen #keepongoing #dontletemfoolya</v>
      </c>
      <c r="L87" s="110" t="str">
        <f ca="1">INDEX(Media!$B:$B, MATCH(I87, data.peak3.values, 0))</f>
        <v>annie_rose_cole</v>
      </c>
      <c r="M87">
        <f ca="1">INDEX(People!C:C, MATCH(L87, People!A:A, 0))</f>
        <v>83033</v>
      </c>
    </row>
    <row r="88" spans="2:14" x14ac:dyDescent="0.25">
      <c r="K88" s="135" t="s">
        <v>2064</v>
      </c>
      <c r="L88" s="129"/>
    </row>
    <row r="89" spans="2:14" x14ac:dyDescent="0.25">
      <c r="K89" s="126"/>
    </row>
    <row r="90" spans="2:14" x14ac:dyDescent="0.25">
      <c r="G90" s="69" t="s">
        <v>2061</v>
      </c>
      <c r="I90" s="127" t="s">
        <v>2066</v>
      </c>
    </row>
    <row r="91" spans="2:14" x14ac:dyDescent="0.25">
      <c r="I91" s="128">
        <v>100</v>
      </c>
    </row>
    <row r="92" spans="2:14" x14ac:dyDescent="0.25">
      <c r="B92" s="136" t="str">
        <f ca="1">CONCATENATE(G92,H92)</f>
        <v>MOST ENGAGING POST FROM 8/16/17</v>
      </c>
      <c r="C92" s="137"/>
      <c r="D92" s="137"/>
      <c r="E92" s="138"/>
      <c r="G92" t="s">
        <v>2065</v>
      </c>
      <c r="H92" t="str">
        <f ca="1">TEXT(H85, $G$12)</f>
        <v>8/16/17</v>
      </c>
    </row>
    <row r="93" spans="2:14" x14ac:dyDescent="0.25">
      <c r="B93" s="139" t="str">
        <f ca="1">G93</f>
        <v>Não falei que era fácil? @amanda.psouza Arrasou e acertou rapidinho. 😎 #timethiagofragoso #rocks #pa…</v>
      </c>
      <c r="C93" s="4"/>
      <c r="D93" s="4"/>
      <c r="E93" s="140"/>
      <c r="G93" t="str">
        <f ca="1">LEFT(K85,$I$91)&amp;IF(LEN(K85)&gt;$I$91,"…", "")</f>
        <v>Não falei que era fácil? @amanda.psouza Arrasou e acertou rapidinho. 😎 #timethiagofragoso #rocks #pa…</v>
      </c>
    </row>
    <row r="94" spans="2:14" x14ac:dyDescent="0.25">
      <c r="B94" s="141" t="str">
        <f ca="1">CONCATENATE(G94,H94,I94,J94)</f>
        <v>thiagofragoso (775k followers)</v>
      </c>
      <c r="C94" s="4"/>
      <c r="D94" s="4"/>
      <c r="E94" s="140"/>
      <c r="G94" t="str">
        <f ca="1">L85</f>
        <v>thiagofragoso</v>
      </c>
      <c r="H94" t="s">
        <v>2067</v>
      </c>
      <c r="I94" s="125" t="str">
        <f ca="1">IFERROR(IF(M85&lt;10000, TEXT(M85, "#,##0"), IF(M85&lt;999500, TEXT(M85, "0,k"), TEXT(M85, "0.0,,\M"))), "N/A")</f>
        <v>775k</v>
      </c>
      <c r="J94" t="s">
        <v>2068</v>
      </c>
    </row>
    <row r="95" spans="2:14" x14ac:dyDescent="0.25">
      <c r="B95" s="141" t="str">
        <f ca="1">IFERROR(CONCATENATE(G95,H95,I95,J95,K95),"N/A")</f>
        <v>13k interactions, 30% of the total for this day</v>
      </c>
      <c r="C95" s="4"/>
      <c r="D95" s="4"/>
      <c r="E95" s="140"/>
      <c r="G95" s="125" t="str">
        <f ca="1">IFERROR(IF(I85&lt;10000, TEXT(I85, "#,##0"), IF(I85&lt;999500, TEXT(I85, "0,k"), TEXT(I85, "0.0,,\M"))), "NA")</f>
        <v>13k</v>
      </c>
      <c r="H95" t="s">
        <v>2062</v>
      </c>
      <c r="I95" s="123" t="str">
        <f ca="1">TEXT(J85, "0%")</f>
        <v>30%</v>
      </c>
      <c r="J95" t="s">
        <v>2063</v>
      </c>
      <c r="K95" t="str">
        <f>$I$12</f>
        <v>day</v>
      </c>
    </row>
    <row r="96" spans="2:14" x14ac:dyDescent="0.25">
      <c r="B96" s="139"/>
      <c r="C96" s="4"/>
      <c r="D96" s="4"/>
      <c r="E96" s="140"/>
    </row>
    <row r="97" spans="2:648" x14ac:dyDescent="0.25">
      <c r="B97" s="139" t="str">
        <f ca="1">IFERROR(CONCATENATE(G97,H97),"N/A")</f>
        <v>MOST ENGAGING POST FROM 8/17/17</v>
      </c>
      <c r="C97" s="4"/>
      <c r="D97" s="4"/>
      <c r="E97" s="140"/>
      <c r="G97" t="s">
        <v>2065</v>
      </c>
      <c r="H97" t="str">
        <f ca="1">TEXT(H86, $G$12)</f>
        <v>8/17/17</v>
      </c>
    </row>
    <row r="98" spans="2:648" x14ac:dyDescent="0.25">
      <c r="B98" s="139" t="str">
        <f ca="1">IFERROR(G98,"N/A")</f>
        <v>The climb is tough but the view from the top is worth it✌🏽🌆 #top #LA #runyoncanyon #neverlookback #s…</v>
      </c>
      <c r="C98" s="4"/>
      <c r="D98" s="4"/>
      <c r="E98" s="140"/>
      <c r="G98" t="str">
        <f ca="1">LEFT(K86,$I$91)&amp;IF(LEN(K86)&gt;$I$91,"…", "")</f>
        <v>The climb is tough but the view from the top is worth it✌🏽🌆 #top #LA #runyoncanyon #neverlookback #s…</v>
      </c>
    </row>
    <row r="99" spans="2:648" x14ac:dyDescent="0.25">
      <c r="B99" s="141" t="str">
        <f ca="1">IFERROR(CONCATENATE(G99,H99,I99,J99),"N/A")</f>
        <v>martacarriedo (398k followers)</v>
      </c>
      <c r="C99" s="4"/>
      <c r="D99" s="4"/>
      <c r="E99" s="140"/>
      <c r="G99" t="str">
        <f ca="1">L86</f>
        <v>martacarriedo</v>
      </c>
      <c r="H99" t="s">
        <v>2067</v>
      </c>
      <c r="I99" s="125" t="str">
        <f ca="1">IFERROR(IF(M86&lt;10000, TEXT(M86, "#,##0"), IF(M86&lt;999500, TEXT(M86, "0,k"), TEXT(M86, "0.0,,\M"))), "N/A")</f>
        <v>398k</v>
      </c>
      <c r="J99" t="s">
        <v>2068</v>
      </c>
    </row>
    <row r="100" spans="2:648" x14ac:dyDescent="0.25">
      <c r="B100" s="141" t="str">
        <f ca="1">IFERROR(CONCATENATE(G100,H100,I100,J100,K100),"N/A")</f>
        <v>14k interactions, 34% of the total for this day</v>
      </c>
      <c r="C100" s="4"/>
      <c r="D100" s="4"/>
      <c r="E100" s="140"/>
      <c r="G100" s="125" t="str">
        <f ca="1">IFERROR(IF(I86&lt;10000, TEXT(I86, "#,##0"), IF(I86&lt;999500, TEXT(I86, "0,k"), TEXT(I86, "0.0,,\M"))), "NA")</f>
        <v>14k</v>
      </c>
      <c r="H100" t="s">
        <v>2062</v>
      </c>
      <c r="I100" s="123" t="str">
        <f ca="1">TEXT(J86, "0%")</f>
        <v>34%</v>
      </c>
      <c r="J100" t="s">
        <v>2063</v>
      </c>
      <c r="K100" t="str">
        <f>$I$12</f>
        <v>day</v>
      </c>
    </row>
    <row r="101" spans="2:648" x14ac:dyDescent="0.25">
      <c r="B101" s="139"/>
      <c r="C101" s="4"/>
      <c r="D101" s="4"/>
      <c r="E101" s="140"/>
    </row>
    <row r="102" spans="2:648" x14ac:dyDescent="0.25">
      <c r="B102" s="139" t="str">
        <f ca="1">IFERROR(CONCATENATE(G102,H102),"N/A")</f>
        <v>MOST ENGAGING POST FROM 8/12/17</v>
      </c>
      <c r="C102" s="4"/>
      <c r="D102" s="4"/>
      <c r="E102" s="140"/>
      <c r="G102" t="s">
        <v>2065</v>
      </c>
      <c r="H102" t="str">
        <f ca="1">TEXT(H87, $G$12)</f>
        <v>8/12/17</v>
      </c>
    </row>
    <row r="103" spans="2:648" x14ac:dyDescent="0.25">
      <c r="B103" s="139" t="str">
        <f ca="1">IFERROR(G103,"N/A")</f>
        <v>"Haters gonna hate patatas gonna patate" - @colleen #keepongoing #dontletemfoolya</v>
      </c>
      <c r="C103" s="4"/>
      <c r="D103" s="4"/>
      <c r="E103" s="140"/>
      <c r="G103" t="str">
        <f ca="1">LEFT(K87,$I$91)&amp;IF(LEN(K87)&gt;$I$91,"…", "")</f>
        <v>"Haters gonna hate patatas gonna patate" - @colleen #keepongoing #dontletemfoolya</v>
      </c>
    </row>
    <row r="104" spans="2:648" x14ac:dyDescent="0.25">
      <c r="B104" s="141" t="str">
        <f ca="1">IFERROR(CONCATENATE(G104,H104,I104,J104),"N/A")</f>
        <v>annie_rose_cole (83k followers)</v>
      </c>
      <c r="C104" s="4"/>
      <c r="D104" s="4"/>
      <c r="E104" s="140"/>
      <c r="G104" t="str">
        <f ca="1">L87</f>
        <v>annie_rose_cole</v>
      </c>
      <c r="H104" t="s">
        <v>2067</v>
      </c>
      <c r="I104" s="125" t="str">
        <f ca="1">IFERROR(IF(M87&lt;10000, TEXT(M87, "#,##0"), IF(M87&lt;999500, TEXT(M87, "0,k"), TEXT(M87, "0.0,,\M"))), "N/A")</f>
        <v>83k</v>
      </c>
      <c r="J104" t="s">
        <v>2068</v>
      </c>
    </row>
    <row r="105" spans="2:648" x14ac:dyDescent="0.25">
      <c r="B105" s="144" t="str">
        <f ca="1">IFERROR(CONCATENATE(G105,H105,I105,J105,K105),"N/A")</f>
        <v>15k interactions, 42% of the total for this day</v>
      </c>
      <c r="C105" s="142"/>
      <c r="D105" s="142"/>
      <c r="E105" s="143"/>
      <c r="G105" s="125" t="str">
        <f ca="1">IFERROR(IF(I87&lt;10000, TEXT(I87, "#,##0"), IF(I87&lt;999500, TEXT(I87, "0,k"), TEXT(I87, "0.0,,\M"))), "NA")</f>
        <v>15k</v>
      </c>
      <c r="H105" t="s">
        <v>2062</v>
      </c>
      <c r="I105" s="123" t="str">
        <f ca="1">TEXT(J87, "0%")</f>
        <v>42%</v>
      </c>
      <c r="J105" t="s">
        <v>2063</v>
      </c>
      <c r="K105" t="str">
        <f>$I$12</f>
        <v>day</v>
      </c>
    </row>
    <row r="107" spans="2:648" s="87" customFormat="1" x14ac:dyDescent="0.25">
      <c r="C107" s="89"/>
      <c r="D107" s="90"/>
      <c r="E107"/>
      <c r="XX107" s="88"/>
    </row>
    <row r="108" spans="2:648" s="87" customFormat="1" x14ac:dyDescent="0.25">
      <c r="C108" s="89"/>
      <c r="D108" s="90"/>
      <c r="E108"/>
      <c r="XX108" s="88"/>
    </row>
    <row r="109" spans="2:648" s="87" customFormat="1" x14ac:dyDescent="0.25">
      <c r="C109" s="89"/>
      <c r="D109" s="90"/>
      <c r="E109"/>
      <c r="XX109" s="88"/>
    </row>
    <row r="110" spans="2:648" s="87" customFormat="1" x14ac:dyDescent="0.25">
      <c r="B110" s="66" t="s">
        <v>2308</v>
      </c>
      <c r="C110" s="66"/>
      <c r="D110" s="66"/>
      <c r="E110" s="66"/>
      <c r="F110" s="66"/>
      <c r="G110" s="66"/>
      <c r="H110" s="66"/>
      <c r="I110" s="66"/>
      <c r="J110" s="66"/>
      <c r="K110" s="66"/>
      <c r="L110" s="66"/>
      <c r="XX110" s="88"/>
    </row>
    <row r="111" spans="2:648" s="204" customFormat="1" x14ac:dyDescent="0.25"/>
    <row r="112" spans="2:648" s="204" customFormat="1" x14ac:dyDescent="0.25">
      <c r="B112" s="204" t="s">
        <v>2323</v>
      </c>
      <c r="C112" s="225">
        <f>SUM(F115:F116, F122:F123)</f>
        <v>0</v>
      </c>
      <c r="D112" s="100" t="str">
        <f>IFERROR(IF(C112&lt;10000, TEXT(C112, "#,##0"), IF(C112&lt;999500, TEXT(C112, "0,k"), TEXT(C112, "0.0,,\M"))), "NA")</f>
        <v>0</v>
      </c>
    </row>
    <row r="113" spans="2:648" s="204" customFormat="1" x14ac:dyDescent="0.25"/>
    <row r="114" spans="2:648" s="87" customFormat="1" x14ac:dyDescent="0.25">
      <c r="B114" s="132" t="s">
        <v>2324</v>
      </c>
      <c r="D114" s="74" t="s">
        <v>84</v>
      </c>
      <c r="G114" s="74" t="s">
        <v>61</v>
      </c>
      <c r="I114" s="74" t="s">
        <v>80</v>
      </c>
      <c r="XW114" s="88"/>
    </row>
    <row r="115" spans="2:648" x14ac:dyDescent="0.25">
      <c r="B115" s="91" t="s">
        <v>89</v>
      </c>
      <c r="C115" s="104">
        <f>COUNTIFS(Media!$G:$G, "image", Media!$M:$M, "&gt;"&amp;0, Media!$C:$C, "&gt;="&amp;Controls!$E$28, Media!$C:$C, "&lt;"&amp;Controls!$F$28+Controls!$L$24)</f>
        <v>0</v>
      </c>
      <c r="D115" s="100" t="str">
        <f>IFERROR(IF(C115&lt;10000, TEXT(C115, "#,##0"), IF(C115&lt;999500, TEXT(C115, "0,k"), TEXT(C115, "0.0,,\M"))), "NA")</f>
        <v>0</v>
      </c>
      <c r="F115" s="104">
        <f>SUMIFS(Media!$M:$M, Media!$G:$G, "image", Media!$C:$C, "&gt;="&amp;Controls!$E$28, Media!$C:$C, "&lt;"&amp;Controls!$F$28+Controls!$L$24)</f>
        <v>0</v>
      </c>
      <c r="G115" s="100" t="str">
        <f>IFERROR(IF(F115&lt;10000, TEXT(F115, "#,##0"), IF(F115&lt;999500, TEXT(F115, "0,k"), TEXT(F115, "0.0,,\M"))), "NA")</f>
        <v>0</v>
      </c>
      <c r="I115" s="94">
        <f>IFERROR(TEXT(G115/$D$115, "#,##0.0"), 0)</f>
        <v>0</v>
      </c>
      <c r="XV115" s="79"/>
    </row>
    <row r="116" spans="2:648" x14ac:dyDescent="0.25">
      <c r="B116" s="74" t="s">
        <v>76</v>
      </c>
      <c r="C116" s="104">
        <f>COUNTIFS(Media!$G:$G, "image", Media!$Q:$Q, "&gt;"&amp;0, Media!$C:$C, "&gt;="&amp;Controls!$E$28, Media!$C:$C, "&lt;"&amp;Controls!$F$28+Controls!$L$24)</f>
        <v>0</v>
      </c>
      <c r="D116" s="100" t="str">
        <f>IFERROR(IF(C116&lt;10000, TEXT(C116, "#,##0"), IF(C116&lt;999500, TEXT(C116, "0,k"), TEXT(C116, "0.0,,\M"))), "NA")</f>
        <v>0</v>
      </c>
      <c r="F116" s="104">
        <f>SUM(F117:F119)</f>
        <v>0</v>
      </c>
      <c r="G116" s="100" t="str">
        <f>IFERROR(IF(F116&lt;10000, TEXT(F116, "#,##0"), IF(F116&lt;999500, TEXT(F116, "0,k"), TEXT(F116, "0.0,,\M"))), "NA")</f>
        <v>0</v>
      </c>
      <c r="I116" s="95">
        <f>IFERROR(G116/D116, 0)</f>
        <v>0</v>
      </c>
      <c r="XV116" s="79"/>
    </row>
    <row r="117" spans="2:648" x14ac:dyDescent="0.25">
      <c r="B117" s="76" t="s">
        <v>86</v>
      </c>
      <c r="F117" s="103">
        <f>SUMIFS(Media!$P:$P, Media!$G:$G, "image", Media!$C:$C, "&gt;="&amp;Controls!$E$28, Media!$C:$C, "&lt;"&amp;Controls!$F$28+Controls!$L$24)</f>
        <v>0</v>
      </c>
      <c r="G117" s="100" t="str">
        <f t="shared" ref="G117:G119" si="7">IFERROR(IF(F117&lt;10000, TEXT(F117, "#,##0"), IF(F117&lt;999500, TEXT(F117, "0,k"), TEXT(F117, "0.0,,\M"))), "NA")</f>
        <v>0</v>
      </c>
      <c r="I117" s="85">
        <f>IFERROR(TEXT(G117/$D$116, "#,##0.0"), 0)</f>
        <v>0</v>
      </c>
      <c r="XV117" s="79"/>
    </row>
    <row r="118" spans="2:648" x14ac:dyDescent="0.25">
      <c r="B118" s="76" t="s">
        <v>87</v>
      </c>
      <c r="F118" s="103">
        <f>SUMIFS(Media!$O:$O, Media!$G:$G, "image", Media!$C:$C, "&gt;="&amp;Controls!$E$28, Media!$C:$C, "&lt;"&amp;Controls!$F$28+Controls!$L$24)</f>
        <v>0</v>
      </c>
      <c r="G118" s="100" t="str">
        <f t="shared" si="7"/>
        <v>0</v>
      </c>
      <c r="I118" s="85">
        <f>IFERROR(TEXT(G118/$D$116, "#,##0.0"), 0)</f>
        <v>0</v>
      </c>
      <c r="XV118" s="79"/>
    </row>
    <row r="119" spans="2:648" x14ac:dyDescent="0.25">
      <c r="B119" s="76" t="s">
        <v>88</v>
      </c>
      <c r="F119" s="103">
        <f>SUMIFS(Media!$N:$N, Media!$G:$G, "image", Media!$C:$C, "&gt;="&amp;Controls!$E$28, Media!$C:$C, "&lt;"&amp;Controls!$F$28+Controls!$L$24)</f>
        <v>0</v>
      </c>
      <c r="G119" s="100" t="str">
        <f t="shared" si="7"/>
        <v>0</v>
      </c>
      <c r="I119" s="85">
        <f>IFERROR(TEXT(G119/$D$116, "#,##0.0"), 0)</f>
        <v>0</v>
      </c>
      <c r="XV119" s="79"/>
    </row>
    <row r="120" spans="2:648" x14ac:dyDescent="0.25">
      <c r="XV120" s="79"/>
    </row>
    <row r="121" spans="2:648" x14ac:dyDescent="0.25">
      <c r="B121" s="132" t="s">
        <v>2325</v>
      </c>
      <c r="D121" s="74" t="s">
        <v>2006</v>
      </c>
      <c r="F121" s="74" t="s">
        <v>61</v>
      </c>
      <c r="G121" s="74" t="s">
        <v>61</v>
      </c>
      <c r="I121" s="74" t="s">
        <v>2005</v>
      </c>
      <c r="XV121" s="79"/>
    </row>
    <row r="122" spans="2:648" x14ac:dyDescent="0.25">
      <c r="B122" s="91" t="s">
        <v>89</v>
      </c>
      <c r="C122" s="104">
        <f>COUNTIFS(Media!$G:$G, "video", Media!$M:$M, "&gt;"&amp;0, Media!$C:$C, "&gt;="&amp;Controls!$E$28, Media!$C:$C, "&lt;"&amp;Controls!$F$28+Controls!$L$24)</f>
        <v>0</v>
      </c>
      <c r="D122" s="100" t="str">
        <f>IFERROR(IF(C122&lt;10000, TEXT(C122, "#,##0"), IF(C122&lt;999500, TEXT(C122, "0,k"), TEXT(C122, "0.0,,\M"))), "NA")</f>
        <v>0</v>
      </c>
      <c r="F122" s="104">
        <f>SUMIFS(Media!$M:$M, Media!$G:$G, "video", Media!$C:$C, "&gt;="&amp;Controls!$E$28, Media!$C:$C, "&lt;"&amp;Controls!$F$28+Controls!$L$24)</f>
        <v>0</v>
      </c>
      <c r="G122" s="100" t="str">
        <f t="shared" ref="G122:G126" si="8">IFERROR(IF(F122&lt;10000, TEXT(F122, "#,##0"), IF(F122&lt;999500, TEXT(F122, "0,k"), TEXT(F122, "0.0,,\M"))), "NA")</f>
        <v>0</v>
      </c>
      <c r="I122" s="94">
        <f>IFERROR(TEXT(G122/$D$122, "#,##0.0"), 0)</f>
        <v>0</v>
      </c>
      <c r="XV122" s="79"/>
    </row>
    <row r="123" spans="2:648" x14ac:dyDescent="0.25">
      <c r="B123" s="74" t="s">
        <v>76</v>
      </c>
      <c r="C123" s="104">
        <f>COUNTIFS(Media!$G:$G, "video", Media!$Q:$Q, "&gt;"&amp;0, Media!$C:$C, "&gt;="&amp;Controls!$E$28, Media!$C:$C, "&lt;"&amp;Controls!$F$28+Controls!$L$24)</f>
        <v>0</v>
      </c>
      <c r="D123" s="100" t="str">
        <f>IFERROR(IF(C123&lt;10000, TEXT(C123, "#,##0"), IF(C123&lt;999500, TEXT(C123, "0,k"), TEXT(C123, "0.0,,\M"))), "NA")</f>
        <v>0</v>
      </c>
      <c r="F123" s="104">
        <f>SUM(F124:F126)</f>
        <v>0</v>
      </c>
      <c r="G123" s="100" t="str">
        <f t="shared" si="8"/>
        <v>0</v>
      </c>
      <c r="I123" s="95">
        <f>IFERROR(G123/D123, 0)</f>
        <v>0</v>
      </c>
      <c r="XV123" s="79"/>
    </row>
    <row r="124" spans="2:648" x14ac:dyDescent="0.25">
      <c r="B124" s="76" t="s">
        <v>86</v>
      </c>
      <c r="F124" s="103">
        <f>SUMIFS(Media!$P:$P, Media!$G:$G, "video", Media!$C:$C, "&gt;="&amp;Controls!$E$28, Media!$C:$C, "&lt;"&amp;Controls!$F$28+Controls!$L$24)</f>
        <v>0</v>
      </c>
      <c r="G124" s="100" t="str">
        <f t="shared" si="8"/>
        <v>0</v>
      </c>
      <c r="I124" s="85">
        <f>IFERROR(TEXT(G124/$D$123, "#,##0.0"), 0)</f>
        <v>0</v>
      </c>
      <c r="XV124" s="79"/>
    </row>
    <row r="125" spans="2:648" x14ac:dyDescent="0.25">
      <c r="B125" s="76" t="s">
        <v>87</v>
      </c>
      <c r="F125" s="103">
        <f>SUMIFS(Media!$O:$O, Media!$G:$G, "video", Media!$C:$C, "&gt;="&amp;Controls!$E$28, Media!$C:$C, "&lt;"&amp;Controls!$F$28+Controls!$L$24)</f>
        <v>0</v>
      </c>
      <c r="G125" s="100" t="str">
        <f t="shared" si="8"/>
        <v>0</v>
      </c>
      <c r="I125" s="85">
        <f>IFERROR(TEXT(G125/$D$123, "#,##0.0"), 0)</f>
        <v>0</v>
      </c>
      <c r="XV125" s="79"/>
    </row>
    <row r="126" spans="2:648" x14ac:dyDescent="0.25">
      <c r="B126" s="76" t="s">
        <v>88</v>
      </c>
      <c r="F126" s="103">
        <f>SUMIFS(Media!$N:$N, Media!$G:$G, "video", Media!$C:$C, "&gt;="&amp;Controls!$E$28, Media!$C:$C, "&lt;"&amp;Controls!$F$28+Controls!$L$24)</f>
        <v>0</v>
      </c>
      <c r="G126" s="100" t="str">
        <f t="shared" si="8"/>
        <v>0</v>
      </c>
      <c r="I126" s="85">
        <f>IFERROR(TEXT(G126/$D$123, "#,##0.0"), 0)</f>
        <v>0</v>
      </c>
      <c r="XV126" s="79"/>
    </row>
    <row r="127" spans="2:648" x14ac:dyDescent="0.25">
      <c r="XW127" s="79"/>
    </row>
    <row r="128" spans="2:648" x14ac:dyDescent="0.25">
      <c r="XX128" s="79"/>
    </row>
    <row r="129" spans="2:648" x14ac:dyDescent="0.25">
      <c r="XX129" s="79"/>
    </row>
    <row r="130" spans="2:648" s="87" customFormat="1" x14ac:dyDescent="0.25">
      <c r="B130" s="66" t="s">
        <v>2022</v>
      </c>
      <c r="C130" s="66"/>
      <c r="D130" s="66"/>
      <c r="E130" s="66"/>
      <c r="F130" s="66"/>
      <c r="G130" s="66"/>
      <c r="H130" s="66"/>
      <c r="I130" s="66"/>
      <c r="J130" s="66"/>
      <c r="K130" s="66"/>
      <c r="L130" s="66"/>
      <c r="XX130" s="88"/>
    </row>
    <row r="131" spans="2:648" x14ac:dyDescent="0.25">
      <c r="XX131" s="79"/>
    </row>
    <row r="132" spans="2:648" x14ac:dyDescent="0.25">
      <c r="B132" t="str">
        <f>"Average Impressions Per "&amp;PROPER($I$12)</f>
        <v>Average Impressions Per Day</v>
      </c>
      <c r="C132" s="103">
        <f ca="1">AVERAGE(tables.impressions)</f>
        <v>1200488.8999999999</v>
      </c>
      <c r="XX132" s="79"/>
    </row>
    <row r="133" spans="2:648" x14ac:dyDescent="0.25">
      <c r="XX133" s="79"/>
    </row>
    <row r="134" spans="2:648" x14ac:dyDescent="0.25">
      <c r="B134" t="s">
        <v>2022</v>
      </c>
      <c r="C134" s="151">
        <f>SUMIFS(Media!H:H, Media!$C:$C, "&gt;="&amp;Controls!$E$28, Media!$C:$C, "&lt;"&amp;Controls!$F$28+Controls!$L$24)</f>
        <v>36014667</v>
      </c>
      <c r="D134" s="100" t="str">
        <f>IFERROR(IF(C134&lt;10000, TEXT(C134, "#,##0"), IF(C134&lt;999500, TEXT(C134, "0,k"), TEXT(C134, "0.0,,\M"))), "NA")</f>
        <v>36.0M</v>
      </c>
      <c r="XX134" s="79"/>
    </row>
    <row r="135" spans="2:648" x14ac:dyDescent="0.25">
      <c r="B135" t="s">
        <v>2071</v>
      </c>
      <c r="C135" s="151">
        <f>IFERROR(C134/C44, 0)</f>
        <v>6299.5744271471049</v>
      </c>
      <c r="D135" s="100" t="str">
        <f>IFERROR(IF(C135&lt;10000, TEXT(C135, "#,##0"), IF(C135&lt;999500, TEXT(C135, "0,k"), TEXT(C135, "0.0,,\M"))), "NA")</f>
        <v>6,300</v>
      </c>
      <c r="XX135" s="79"/>
    </row>
    <row r="136" spans="2:648" x14ac:dyDescent="0.25">
      <c r="B136" t="s">
        <v>2072</v>
      </c>
      <c r="C136" s="151">
        <f>SUM(People!G:G)</f>
        <v>7532057</v>
      </c>
      <c r="D136" s="100" t="str">
        <f>IFERROR(IF(C136&lt;10000, TEXT(C136, "#,##0"), IF(C136&lt;999500, TEXT(C136, "0,k"), TEXT(C136, "0.0,,\M"))), "NA")</f>
        <v>7.5M</v>
      </c>
      <c r="XX136" s="79"/>
    </row>
    <row r="137" spans="2:648" x14ac:dyDescent="0.25">
      <c r="XX137" s="79"/>
    </row>
    <row r="138" spans="2:648" x14ac:dyDescent="0.25">
      <c r="XX138" s="79"/>
    </row>
    <row r="139" spans="2:648" x14ac:dyDescent="0.25">
      <c r="B139" s="69" t="s">
        <v>2073</v>
      </c>
      <c r="F139" s="4"/>
      <c r="G139" s="4"/>
      <c r="H139" s="4"/>
      <c r="I139" s="4"/>
      <c r="J139" s="21"/>
      <c r="XX139" s="79"/>
    </row>
    <row r="140" spans="2:648" x14ac:dyDescent="0.25">
      <c r="B140" s="154" t="str">
        <f>"Impressions on Peak "&amp;PROPER(K106)</f>
        <v xml:space="preserve">Impressions on Peak </v>
      </c>
      <c r="C140" s="103">
        <f ca="1">IF(MAX(tables.impressions)=0, NA(), MAX(tables.impressions))</f>
        <v>3374890</v>
      </c>
      <c r="XX140" s="79"/>
    </row>
    <row r="141" spans="2:648" x14ac:dyDescent="0.25">
      <c r="B141" s="154" t="str">
        <f>"% Higher Than Average "&amp;PROPER(K106)</f>
        <v xml:space="preserve">% Higher Than Average </v>
      </c>
      <c r="C141" s="115">
        <f ca="1">C140/C132-1</f>
        <v>1.8112629779417371</v>
      </c>
      <c r="XX141" s="79"/>
    </row>
    <row r="142" spans="2:648" x14ac:dyDescent="0.25">
      <c r="B142" s="100" t="s">
        <v>2074</v>
      </c>
      <c r="C142" s="116">
        <f ca="1">INDEX(tables.day, MATCH(C140, tables.impressions, 0))</f>
        <v>42960</v>
      </c>
      <c r="XX142" s="79"/>
    </row>
    <row r="143" spans="2:648" x14ac:dyDescent="0.25">
      <c r="B143" s="100" t="s">
        <v>2075</v>
      </c>
      <c r="C143" s="116">
        <f ca="1">INDEX(Tables!$C:$C, MATCH(C142, Tables!$C:$C, 0)+1)</f>
        <v>42961</v>
      </c>
      <c r="XX143" s="79"/>
    </row>
    <row r="144" spans="2:648" x14ac:dyDescent="0.25">
      <c r="B144" s="100" t="s">
        <v>2056</v>
      </c>
      <c r="C144" s="100">
        <f ca="1">IF($F$12="Weekly", INDEX(tables.times, MATCH(C142, tables.day, 0)), C142)</f>
        <v>42960</v>
      </c>
      <c r="XX144" s="79"/>
    </row>
    <row r="145" spans="2:648" x14ac:dyDescent="0.25">
      <c r="B145" s="100" t="s">
        <v>2057</v>
      </c>
      <c r="C145" s="119">
        <f ca="1">IF($F$12="weekly", LEFT(C144, SEARCH("-", C144)-1)&amp;" - "&amp;RIGHT(C144, LEN(C144)-SEARCH("-", C144)), C144)</f>
        <v>42960</v>
      </c>
      <c r="H145" s="117"/>
      <c r="J145" s="117"/>
      <c r="XX145" s="79"/>
    </row>
    <row r="146" spans="2:648" x14ac:dyDescent="0.25">
      <c r="B146" s="100"/>
      <c r="C146" s="116"/>
      <c r="XX146" s="79"/>
    </row>
    <row r="147" spans="2:648" s="21" customFormat="1" x14ac:dyDescent="0.25">
      <c r="B147" s="100" t="s">
        <v>2079</v>
      </c>
      <c r="C147" s="100" t="str">
        <f>INDEX(People!A:A, MATCH(MAX(People!D:D), People!D:D, 0))</f>
        <v>millionaireimage</v>
      </c>
    </row>
    <row r="148" spans="2:648" s="21" customFormat="1" x14ac:dyDescent="0.25">
      <c r="B148" s="152" t="s">
        <v>2078</v>
      </c>
      <c r="C148" s="100">
        <f>INDEX(People!B:B, MATCH(MAX(People!D:D), People!D:D, 0))</f>
        <v>71</v>
      </c>
    </row>
    <row r="149" spans="2:648" s="21" customFormat="1" x14ac:dyDescent="0.25">
      <c r="B149" s="152" t="s">
        <v>2022</v>
      </c>
      <c r="C149" s="103">
        <f>MAX(People!D:D)</f>
        <v>14304097</v>
      </c>
    </row>
    <row r="150" spans="2:648" s="21" customFormat="1" x14ac:dyDescent="0.25">
      <c r="B150" s="152" t="s">
        <v>2081</v>
      </c>
      <c r="C150" s="160">
        <f>IFERROR(C149/C134, 0)</f>
        <v>0.39717421238408229</v>
      </c>
    </row>
    <row r="151" spans="2:648" s="21" customFormat="1" x14ac:dyDescent="0.25">
      <c r="B151" s="55" t="s">
        <v>2020</v>
      </c>
      <c r="C151" s="53"/>
    </row>
    <row r="152" spans="2:648" s="21" customFormat="1" x14ac:dyDescent="0.25">
      <c r="B152" s="55"/>
      <c r="C152" s="53"/>
    </row>
    <row r="153" spans="2:648" s="21" customFormat="1" x14ac:dyDescent="0.25">
      <c r="B153" s="55"/>
      <c r="C153" s="53"/>
    </row>
    <row r="154" spans="2:648" s="21" customFormat="1" x14ac:dyDescent="0.25">
      <c r="B154" s="55"/>
      <c r="C154" s="53"/>
    </row>
    <row r="155" spans="2:648" s="21" customFormat="1" x14ac:dyDescent="0.25">
      <c r="B155" s="55"/>
      <c r="C155" s="53"/>
    </row>
    <row r="156" spans="2:648" s="21" customFormat="1" x14ac:dyDescent="0.25">
      <c r="B156" s="157" t="str">
        <f>"IMPRESSIONS PEAK "&amp;UPPER(I12)</f>
        <v>IMPRESSIONS PEAK DAY</v>
      </c>
      <c r="C156" s="53"/>
    </row>
    <row r="157" spans="2:648" s="21" customFormat="1" x14ac:dyDescent="0.25">
      <c r="B157" s="158" t="str">
        <f ca="1">IFERROR(TEXT(C145, $G$12),"N/A")</f>
        <v>8/13/17</v>
      </c>
      <c r="C157" s="53"/>
    </row>
    <row r="158" spans="2:648" x14ac:dyDescent="0.25">
      <c r="B158" s="158" t="str">
        <f ca="1">CONCATENATE(D158,E158)</f>
        <v>3.4M Total Potential Impressions</v>
      </c>
      <c r="D158" s="21" t="str">
        <f ca="1">IFERROR(IF(C140&lt;10000, TEXT(C140, "#,##0"), IF(C140&lt;999500, TEXT(C140, "0,k"), TEXT(C140, "0.0,,\M"))), "N/A")</f>
        <v>3.4M</v>
      </c>
      <c r="E158" t="s">
        <v>2077</v>
      </c>
      <c r="XX158" s="79"/>
    </row>
    <row r="159" spans="2:648" s="21" customFormat="1" x14ac:dyDescent="0.25">
      <c r="B159" s="158"/>
      <c r="C159" s="53"/>
    </row>
    <row r="160" spans="2:648" s="21" customFormat="1" x14ac:dyDescent="0.25">
      <c r="B160" s="158" t="s">
        <v>2335</v>
      </c>
    </row>
    <row r="161" spans="2:648" s="21" customFormat="1" x14ac:dyDescent="0.25">
      <c r="B161" s="158" t="str">
        <f>IFERROR(C147,"N/A")</f>
        <v>millionaireimage</v>
      </c>
    </row>
    <row r="162" spans="2:648" s="21" customFormat="1" x14ac:dyDescent="0.25">
      <c r="B162" s="158" t="str">
        <f>CONCATENATE(D162,E162)</f>
        <v>71 Posts</v>
      </c>
      <c r="D162" s="21" t="str">
        <f>IFERROR(IF(C148&lt;10000, TEXT(C148, "#,##0"), IF(C148&lt;999500, TEXT(C148, "0,k"), TEXT(C148, "0.0,,\M"))), "N/A")</f>
        <v>71</v>
      </c>
      <c r="E162" s="21" t="s">
        <v>2080</v>
      </c>
    </row>
    <row r="163" spans="2:648" s="21" customFormat="1" x14ac:dyDescent="0.25">
      <c r="B163" s="159" t="str">
        <f>CONCATENATE(D163,E163,F163,G163)</f>
        <v>14.3M Potential Impressions (40%of total)</v>
      </c>
      <c r="D163" s="21" t="str">
        <f>IFERROR(IF(C149&lt;10000, TEXT(C149, "#,##0"), IF(C149&lt;999500, TEXT(C149, "0,k"), TEXT(C149, "0.0,,\M"))), "NA")</f>
        <v>14.3M</v>
      </c>
      <c r="E163" s="21" t="s">
        <v>2076</v>
      </c>
      <c r="F163" s="21" t="str">
        <f>TEXT(C150, "0%")</f>
        <v>40%</v>
      </c>
      <c r="G163" s="21" t="s">
        <v>2082</v>
      </c>
      <c r="H163" s="220" t="str">
        <f>B162&amp;"  –  "&amp;B163</f>
        <v>71 Posts  –  14.3M Potential Impressions (40%of total)</v>
      </c>
    </row>
    <row r="164" spans="2:648" s="21" customFormat="1" x14ac:dyDescent="0.25"/>
    <row r="165" spans="2:648" x14ac:dyDescent="0.25">
      <c r="XX165" s="79"/>
    </row>
    <row r="166" spans="2:648" x14ac:dyDescent="0.25">
      <c r="XX166" s="79"/>
    </row>
    <row r="167" spans="2:648" x14ac:dyDescent="0.25">
      <c r="B167" s="66" t="s">
        <v>2083</v>
      </c>
      <c r="C167" s="66"/>
      <c r="D167" s="66"/>
      <c r="E167" s="66"/>
      <c r="F167" s="66"/>
      <c r="G167" s="66"/>
      <c r="H167" s="66"/>
      <c r="I167" s="66"/>
      <c r="J167" s="66"/>
      <c r="K167" s="66"/>
      <c r="L167" s="66"/>
      <c r="XX167" s="79"/>
    </row>
    <row r="168" spans="2:648" s="185" customFormat="1" x14ac:dyDescent="0.25">
      <c r="B168" s="186" t="s">
        <v>2314</v>
      </c>
      <c r="C168" s="186" t="b">
        <f>NOT(COUNT(C173:C182)=0)</f>
        <v>1</v>
      </c>
      <c r="D168" s="187"/>
    </row>
    <row r="169" spans="2:648" s="185" customFormat="1" x14ac:dyDescent="0.25">
      <c r="B169" s="189" t="str">
        <f>IF(C168=TRUE, "", B167&amp;":")</f>
        <v/>
      </c>
      <c r="C169" s="186"/>
      <c r="D169" s="188" t="s">
        <v>2315</v>
      </c>
    </row>
    <row r="170" spans="2:648" s="185" customFormat="1" x14ac:dyDescent="0.25">
      <c r="B170" s="189" t="str">
        <f>IF(C168=TRUE, "", "No Data Available For This Chart")</f>
        <v/>
      </c>
      <c r="C170" s="186"/>
      <c r="D170" s="187"/>
    </row>
    <row r="171" spans="2:648" s="185" customFormat="1" x14ac:dyDescent="0.25"/>
    <row r="172" spans="2:648" x14ac:dyDescent="0.25">
      <c r="B172" s="69" t="s">
        <v>0</v>
      </c>
      <c r="C172" s="161" t="s">
        <v>2025</v>
      </c>
      <c r="D172" s="122" t="s">
        <v>2039</v>
      </c>
      <c r="E172" s="122" t="s">
        <v>2040</v>
      </c>
      <c r="F172" s="122" t="s">
        <v>2467</v>
      </c>
      <c r="XX172" s="79"/>
    </row>
    <row r="173" spans="2:648" x14ac:dyDescent="0.25">
      <c r="B173" s="100" t="str">
        <f t="array" ref="B173">INDEX(People!A:A,SMALL(IF(C173=People!B:B, ROW(People!B:B),""),COUNTIF($C$173:C173, C173)),1)</f>
        <v>stephcurried</v>
      </c>
      <c r="C173" s="156">
        <f>LARGE(People!B:B, ROWS(Calculations!$C$173:C173))</f>
        <v>118</v>
      </c>
      <c r="D173" s="103">
        <f>COUNTIFS(Media!$B:$B, $B173, Media!$G:$G, "image",Media!$C:$C,"&gt;="&amp;Controls!$E$32,Media!$C:$C,"&lt;"&amp;Controls!$F$32)</f>
        <v>102</v>
      </c>
      <c r="E173" s="103">
        <f>COUNTIFS(Media!$B:$B, $B173, Media!$G:$G, "video",Media!$C:$C,"&gt;="&amp;Controls!$E$32,Media!$C:$C,"&lt;"&amp;Controls!$F$32)</f>
        <v>0</v>
      </c>
      <c r="F173" s="103">
        <f>COUNTIFS(Media!$B:$B, $B173, Media!$G:$G, "carousel",Media!$C:$C,"&gt;="&amp;Controls!$E$32,Media!$C:$C,"&lt;"&amp;Controls!$F$32)</f>
        <v>16</v>
      </c>
      <c r="XX173" s="79"/>
    </row>
    <row r="174" spans="2:648" x14ac:dyDescent="0.25">
      <c r="B174" s="100" t="str">
        <f t="array" ref="B174">INDEX(People!A:A,SMALL(IF(C174=People!B:B, ROW(People!B:B),""),COUNTIF($C$173:C174, C174)),1)</f>
        <v>jishwa.and.tylerr</v>
      </c>
      <c r="C174" s="156">
        <f>LARGE(People!B:B, ROWS(Calculations!$C$173:C174))</f>
        <v>88</v>
      </c>
      <c r="D174" s="103">
        <f>COUNTIFS(Media!$B:$B, $B174, Media!$G:$G, "image",Media!$C:$C,"&gt;="&amp;Controls!$E$32,Media!$C:$C,"&lt;"&amp;Controls!$F$32)</f>
        <v>76</v>
      </c>
      <c r="E174" s="103">
        <f>COUNTIFS(Media!$B:$B, $B174, Media!$G:$G, "video",Media!$C:$C,"&gt;="&amp;Controls!$E$32,Media!$C:$C,"&lt;"&amp;Controls!$F$32)</f>
        <v>2</v>
      </c>
      <c r="F174" s="103">
        <f>COUNTIFS(Media!$B:$B, $B174, Media!$G:$G, "carousel",Media!$C:$C,"&gt;="&amp;Controls!$E$32,Media!$C:$C,"&lt;"&amp;Controls!$F$32)</f>
        <v>10</v>
      </c>
      <c r="XX174" s="79"/>
    </row>
    <row r="175" spans="2:648" x14ac:dyDescent="0.25">
      <c r="B175" s="100" t="str">
        <f t="array" ref="B175">INDEX(People!A:A,SMALL(IF(C175=People!B:B, ROW(People!B:B),""),COUNTIF($C$173:C175, C175)),1)</f>
        <v>millionaireimage</v>
      </c>
      <c r="C175" s="156">
        <f>LARGE(People!B:B, ROWS(Calculations!$C$173:C175))</f>
        <v>71</v>
      </c>
      <c r="D175" s="103">
        <f>COUNTIFS(Media!$B:$B, $B175, Media!$G:$G, "image",Media!$C:$C,"&gt;="&amp;Controls!$E$32,Media!$C:$C,"&lt;"&amp;Controls!$F$32)</f>
        <v>71</v>
      </c>
      <c r="E175" s="103">
        <f>COUNTIFS(Media!$B:$B, $B175, Media!$G:$G, "video",Media!$C:$C,"&gt;="&amp;Controls!$E$32,Media!$C:$C,"&lt;"&amp;Controls!$F$32)</f>
        <v>0</v>
      </c>
      <c r="F175" s="103">
        <f>COUNTIFS(Media!$B:$B, $B175, Media!$G:$G, "carousel",Media!$C:$C,"&gt;="&amp;Controls!$E$32,Media!$C:$C,"&lt;"&amp;Controls!$F$32)</f>
        <v>0</v>
      </c>
      <c r="XX175" s="79"/>
    </row>
    <row r="176" spans="2:648" x14ac:dyDescent="0.25">
      <c r="B176" s="100" t="str">
        <f t="array" ref="B176">INDEX(People!A:A,SMALL(IF(C176=People!B:B, ROW(People!B:B),""),COUNTIF($C$173:C176, C176)),1)</f>
        <v>katrinlangsamen</v>
      </c>
      <c r="C176" s="156">
        <f>LARGE(People!B:B, ROWS(Calculations!$C$173:C176))</f>
        <v>52</v>
      </c>
      <c r="D176" s="103">
        <f>COUNTIFS(Media!$B:$B, $B176, Media!$G:$G, "image",Media!$C:$C,"&gt;="&amp;Controls!$E$32,Media!$C:$C,"&lt;"&amp;Controls!$F$32)</f>
        <v>48</v>
      </c>
      <c r="E176" s="103">
        <f>COUNTIFS(Media!$B:$B, $B176, Media!$G:$G, "video",Media!$C:$C,"&gt;="&amp;Controls!$E$32,Media!$C:$C,"&lt;"&amp;Controls!$F$32)</f>
        <v>0</v>
      </c>
      <c r="F176" s="103">
        <f>COUNTIFS(Media!$B:$B, $B176, Media!$G:$G, "carousel",Media!$C:$C,"&gt;="&amp;Controls!$E$32,Media!$C:$C,"&lt;"&amp;Controls!$F$32)</f>
        <v>4</v>
      </c>
      <c r="XX176" s="79"/>
    </row>
    <row r="177" spans="2:648" x14ac:dyDescent="0.25">
      <c r="B177" s="100" t="str">
        <f t="array" ref="B177">INDEX(People!A:A,SMALL(IF(C177=People!B:B, ROW(People!B:B),""),COUNTIF($C$173:C177, C177)),1)</f>
        <v>motivationbyeli</v>
      </c>
      <c r="C177" s="156">
        <f>LARGE(People!B:B, ROWS(Calculations!$C$173:C177))</f>
        <v>43</v>
      </c>
      <c r="D177" s="103">
        <f>COUNTIFS(Media!$B:$B, $B177, Media!$G:$G, "image",Media!$C:$C,"&gt;="&amp;Controls!$E$32,Media!$C:$C,"&lt;"&amp;Controls!$F$32)</f>
        <v>43</v>
      </c>
      <c r="E177" s="103">
        <f>COUNTIFS(Media!$B:$B, $B177, Media!$G:$G, "video",Media!$C:$C,"&gt;="&amp;Controls!$E$32,Media!$C:$C,"&lt;"&amp;Controls!$F$32)</f>
        <v>0</v>
      </c>
      <c r="F177" s="103">
        <f>COUNTIFS(Media!$B:$B, $B177, Media!$G:$G, "carousel",Media!$C:$C,"&gt;="&amp;Controls!$E$32,Media!$C:$C,"&lt;"&amp;Controls!$F$32)</f>
        <v>0</v>
      </c>
      <c r="XX177" s="79"/>
    </row>
    <row r="178" spans="2:648" x14ac:dyDescent="0.25">
      <c r="B178" s="100" t="str">
        <f t="array" ref="B178">INDEX(People!A:A,SMALL(IF(C178=People!B:B, ROW(People!B:B),""),COUNTIF($C$173:C178, C178)),1)</f>
        <v>the_world_laughs_in_flowers_</v>
      </c>
      <c r="C178" s="156">
        <f>LARGE(People!B:B, ROWS(Calculations!$C$173:C178))</f>
        <v>40</v>
      </c>
      <c r="D178" s="103">
        <f>COUNTIFS(Media!$B:$B, $B178, Media!$G:$G, "image",Media!$C:$C,"&gt;="&amp;Controls!$E$32,Media!$C:$C,"&lt;"&amp;Controls!$F$32)</f>
        <v>39</v>
      </c>
      <c r="E178" s="103">
        <f>COUNTIFS(Media!$B:$B, $B178, Media!$G:$G, "video",Media!$C:$C,"&gt;="&amp;Controls!$E$32,Media!$C:$C,"&lt;"&amp;Controls!$F$32)</f>
        <v>1</v>
      </c>
      <c r="F178" s="103">
        <f>COUNTIFS(Media!$B:$B, $B178, Media!$G:$G, "carousel",Media!$C:$C,"&gt;="&amp;Controls!$E$32,Media!$C:$C,"&lt;"&amp;Controls!$F$32)</f>
        <v>0</v>
      </c>
      <c r="XX178" s="79"/>
    </row>
    <row r="179" spans="2:648" x14ac:dyDescent="0.25">
      <c r="B179" s="100" t="str">
        <f t="array" ref="B179">INDEX(People!A:A,SMALL(IF(C179=People!B:B, ROW(People!B:B),""),COUNTIF($C$173:C179, C179)),1)</f>
        <v>nieldeepnarain</v>
      </c>
      <c r="C179" s="156">
        <f>LARGE(People!B:B, ROWS(Calculations!$C$173:C179))</f>
        <v>38</v>
      </c>
      <c r="D179" s="103">
        <f>COUNTIFS(Media!$B:$B, $B179, Media!$G:$G, "image",Media!$C:$C,"&gt;="&amp;Controls!$E$32,Media!$C:$C,"&lt;"&amp;Controls!$F$32)</f>
        <v>37</v>
      </c>
      <c r="E179" s="103">
        <f>COUNTIFS(Media!$B:$B, $B179, Media!$G:$G, "video",Media!$C:$C,"&gt;="&amp;Controls!$E$32,Media!$C:$C,"&lt;"&amp;Controls!$F$32)</f>
        <v>1</v>
      </c>
      <c r="F179" s="103">
        <f>COUNTIFS(Media!$B:$B, $B179, Media!$G:$G, "carousel",Media!$C:$C,"&gt;="&amp;Controls!$E$32,Media!$C:$C,"&lt;"&amp;Controls!$F$32)</f>
        <v>0</v>
      </c>
      <c r="XX179" s="79"/>
    </row>
    <row r="180" spans="2:648" x14ac:dyDescent="0.25">
      <c r="B180" s="100" t="str">
        <f t="array" ref="B180">INDEX(People!A:A,SMALL(IF(C180=People!B:B, ROW(People!B:B),""),COUNTIF($C$173:C180, C180)),1)</f>
        <v>mortentillitz.dk</v>
      </c>
      <c r="C180" s="156">
        <f>LARGE(People!B:B, ROWS(Calculations!$C$173:C180))</f>
        <v>35</v>
      </c>
      <c r="D180" s="103">
        <f>COUNTIFS(Media!$B:$B, $B180, Media!$G:$G, "image",Media!$C:$C,"&gt;="&amp;Controls!$E$32,Media!$C:$C,"&lt;"&amp;Controls!$F$32)</f>
        <v>13</v>
      </c>
      <c r="E180" s="103">
        <f>COUNTIFS(Media!$B:$B, $B180, Media!$G:$G, "video",Media!$C:$C,"&gt;="&amp;Controls!$E$32,Media!$C:$C,"&lt;"&amp;Controls!$F$32)</f>
        <v>20</v>
      </c>
      <c r="F180" s="103">
        <f>COUNTIFS(Media!$B:$B, $B180, Media!$G:$G, "carousel",Media!$C:$C,"&gt;="&amp;Controls!$E$32,Media!$C:$C,"&lt;"&amp;Controls!$F$32)</f>
        <v>2</v>
      </c>
      <c r="XX180" s="79"/>
    </row>
    <row r="181" spans="2:648" x14ac:dyDescent="0.25">
      <c r="B181" s="100" t="str">
        <f t="array" ref="B181">INDEX(People!A:A,SMALL(IF(C181=People!B:B, ROW(People!B:B),""),COUNTIF($C$173:C181, C181)),1)</f>
        <v>wholefoodcheerleader</v>
      </c>
      <c r="C181" s="156">
        <f>LARGE(People!B:B, ROWS(Calculations!$C$173:C181))</f>
        <v>35</v>
      </c>
      <c r="D181" s="103">
        <f>COUNTIFS(Media!$B:$B, $B181, Media!$G:$G, "image",Media!$C:$C,"&gt;="&amp;Controls!$E$32,Media!$C:$C,"&lt;"&amp;Controls!$F$32)</f>
        <v>35</v>
      </c>
      <c r="E181" s="103">
        <f>COUNTIFS(Media!$B:$B, $B181, Media!$G:$G, "video",Media!$C:$C,"&gt;="&amp;Controls!$E$32,Media!$C:$C,"&lt;"&amp;Controls!$F$32)</f>
        <v>0</v>
      </c>
      <c r="F181" s="103">
        <f>COUNTIFS(Media!$B:$B, $B181, Media!$G:$G, "carousel",Media!$C:$C,"&gt;="&amp;Controls!$E$32,Media!$C:$C,"&lt;"&amp;Controls!$F$32)</f>
        <v>0</v>
      </c>
      <c r="XX181" s="79"/>
    </row>
    <row r="182" spans="2:648" x14ac:dyDescent="0.25">
      <c r="B182" s="100" t="str">
        <f t="array" ref="B182">INDEX(People!A:A,SMALL(IF(C182=People!B:B, ROW(People!B:B),""),COUNTIF($C$173:C182, C182)),1)</f>
        <v>susannabanana246</v>
      </c>
      <c r="C182" s="156">
        <f>LARGE(People!B:B, ROWS(Calculations!$C$173:C182))</f>
        <v>34</v>
      </c>
      <c r="D182" s="103">
        <f>COUNTIFS(Media!$B:$B, $B182, Media!$G:$G, "image",Media!$C:$C,"&gt;="&amp;Controls!$E$32,Media!$C:$C,"&lt;"&amp;Controls!$F$32)</f>
        <v>30</v>
      </c>
      <c r="E182" s="103">
        <f>COUNTIFS(Media!$B:$B, $B182, Media!$G:$G, "video",Media!$C:$C,"&gt;="&amp;Controls!$E$32,Media!$C:$C,"&lt;"&amp;Controls!$F$32)</f>
        <v>0</v>
      </c>
      <c r="F182" s="103">
        <f>COUNTIFS(Media!$B:$B, $B182, Media!$G:$G, "carousel",Media!$C:$C,"&gt;="&amp;Controls!$E$32,Media!$C:$C,"&lt;"&amp;Controls!$F$32)</f>
        <v>4</v>
      </c>
      <c r="XX182" s="79"/>
    </row>
    <row r="183" spans="2:648" x14ac:dyDescent="0.25">
      <c r="C183" s="21"/>
      <c r="XX183" s="79"/>
    </row>
    <row r="184" spans="2:648" x14ac:dyDescent="0.25">
      <c r="C184" s="21"/>
      <c r="XX184" s="79"/>
    </row>
    <row r="185" spans="2:648" x14ac:dyDescent="0.25">
      <c r="C185" s="21"/>
      <c r="XX185" s="79"/>
    </row>
    <row r="186" spans="2:648" x14ac:dyDescent="0.25">
      <c r="B186" s="66" t="s">
        <v>2084</v>
      </c>
      <c r="C186" s="66"/>
      <c r="D186" s="66"/>
      <c r="E186" s="66"/>
      <c r="F186" s="66"/>
      <c r="G186" s="66"/>
      <c r="H186" s="66"/>
      <c r="I186" s="66"/>
      <c r="J186" s="66"/>
      <c r="K186" s="66"/>
      <c r="L186" s="66"/>
      <c r="XX186" s="79"/>
    </row>
    <row r="187" spans="2:648" x14ac:dyDescent="0.25">
      <c r="B187" s="186" t="s">
        <v>2314</v>
      </c>
      <c r="C187" s="186" t="b">
        <f>NOT(COUNT(C192:C201)=0)</f>
        <v>1</v>
      </c>
      <c r="D187" s="187"/>
      <c r="XX187" s="79"/>
    </row>
    <row r="188" spans="2:648" x14ac:dyDescent="0.25">
      <c r="B188" s="189" t="str">
        <f>IF(C187=TRUE, "", B186&amp;":")</f>
        <v/>
      </c>
      <c r="C188" s="186"/>
      <c r="D188" s="188" t="s">
        <v>2315</v>
      </c>
      <c r="XX188" s="79"/>
    </row>
    <row r="189" spans="2:648" x14ac:dyDescent="0.25">
      <c r="B189" s="189" t="str">
        <f>IF(C187=TRUE, "", "No Data Available For This Chart")</f>
        <v/>
      </c>
      <c r="C189" s="186"/>
      <c r="D189" s="187"/>
      <c r="XX189" s="79"/>
    </row>
    <row r="190" spans="2:648" x14ac:dyDescent="0.25">
      <c r="C190" s="21"/>
      <c r="XX190" s="79"/>
    </row>
    <row r="191" spans="2:648" x14ac:dyDescent="0.25">
      <c r="B191" s="69" t="s">
        <v>0</v>
      </c>
      <c r="C191" s="122" t="s">
        <v>2015</v>
      </c>
      <c r="XX191" s="79"/>
    </row>
    <row r="192" spans="2:648" x14ac:dyDescent="0.25">
      <c r="B192" s="100" t="str">
        <f t="array" ref="B192">INDEX(People!A:A,SMALL(IF(C192=People!C:C, ROW(People!C:C),""),COUNTIF($C$192:C192, C192)),1)</f>
        <v>thiagofragoso</v>
      </c>
      <c r="C192" s="103">
        <f>LARGE(People!C:C, ROWS(Calculations!$C$192:C192))</f>
        <v>775368</v>
      </c>
      <c r="XX192" s="79"/>
    </row>
    <row r="193" spans="2:648" x14ac:dyDescent="0.25">
      <c r="B193" s="100" t="str">
        <f t="array" ref="B193">INDEX(People!A:A,SMALL(IF(C193=People!C:C, ROW(People!C:C),""),COUNTIF($C$192:C193, C193)),1)</f>
        <v>martacarriedo</v>
      </c>
      <c r="C193" s="103">
        <f>LARGE(People!C:C, ROWS(Calculations!$C$192:C193))</f>
        <v>397867</v>
      </c>
      <c r="XX193" s="79"/>
    </row>
    <row r="194" spans="2:648" x14ac:dyDescent="0.25">
      <c r="B194" s="100" t="str">
        <f t="array" ref="B194">INDEX(People!A:A,SMALL(IF(C194=People!C:C, ROW(People!C:C),""),COUNTIF($C$192:C194, C194)),1)</f>
        <v>millionaire.dream</v>
      </c>
      <c r="C194" s="103">
        <f>LARGE(People!C:C, ROWS(Calculations!$C$192:C194))</f>
        <v>391672</v>
      </c>
      <c r="XX194" s="79"/>
    </row>
    <row r="195" spans="2:648" x14ac:dyDescent="0.25">
      <c r="B195" s="100" t="str">
        <f t="array" ref="B195">INDEX(People!A:A,SMALL(IF(C195=People!C:C, ROW(People!C:C),""),COUNTIF($C$192:C195, C195)),1)</f>
        <v>millionaireimage</v>
      </c>
      <c r="C195" s="103">
        <f>LARGE(People!C:C, ROWS(Calculations!$C$192:C195))</f>
        <v>201020</v>
      </c>
      <c r="XX195" s="79"/>
    </row>
    <row r="196" spans="2:648" x14ac:dyDescent="0.25">
      <c r="B196" s="100" t="str">
        <f t="array" ref="B196">INDEX(People!A:A,SMALL(IF(C196=People!C:C, ROW(People!C:C),""),COUNTIF($C$192:C196, C196)),1)</f>
        <v>cassandrafoxdance</v>
      </c>
      <c r="C196" s="103">
        <f>LARGE(People!C:C, ROWS(Calculations!$C$192:C196))</f>
        <v>195404</v>
      </c>
      <c r="XX196" s="79"/>
    </row>
    <row r="197" spans="2:648" x14ac:dyDescent="0.25">
      <c r="B197" s="100" t="str">
        <f t="array" ref="B197">INDEX(People!A:A,SMALL(IF(C197=People!C:C, ROW(People!C:C),""),COUNTIF($C$192:C197, C197)),1)</f>
        <v>ourfamilynest</v>
      </c>
      <c r="C197" s="103">
        <f>LARGE(People!C:C, ROWS(Calculations!$C$192:C197))</f>
        <v>164684</v>
      </c>
      <c r="XX197" s="79"/>
    </row>
    <row r="198" spans="2:648" x14ac:dyDescent="0.25">
      <c r="B198" s="100" t="str">
        <f t="array" ref="B198">INDEX(People!A:A,SMALL(IF(C198=People!C:C, ROW(People!C:C),""),COUNTIF($C$192:C198, C198)),1)</f>
        <v>lodmare</v>
      </c>
      <c r="C198" s="103">
        <f>LARGE(People!C:C, ROWS(Calculations!$C$192:C198))</f>
        <v>151752</v>
      </c>
      <c r="XX198" s="79"/>
    </row>
    <row r="199" spans="2:648" x14ac:dyDescent="0.25">
      <c r="B199" s="100" t="str">
        <f t="array" ref="B199">INDEX(People!A:A,SMALL(IF(C199=People!C:C, ROW(People!C:C),""),COUNTIF($C$192:C199, C199)),1)</f>
        <v>paulinamichaels</v>
      </c>
      <c r="C199" s="103">
        <f>LARGE(People!C:C, ROWS(Calculations!$C$192:C199))</f>
        <v>88754</v>
      </c>
      <c r="XX199" s="79"/>
    </row>
    <row r="200" spans="2:648" x14ac:dyDescent="0.25">
      <c r="B200" s="100" t="str">
        <f t="array" ref="B200">INDEX(People!A:A,SMALL(IF(C200=People!C:C, ROW(People!C:C),""),COUNTIF($C$192:C200, C200)),1)</f>
        <v>annie_rose_cole</v>
      </c>
      <c r="C200" s="103">
        <f>LARGE(People!C:C, ROWS(Calculations!$C$192:C200))</f>
        <v>83033</v>
      </c>
      <c r="XX200" s="79"/>
    </row>
    <row r="201" spans="2:648" x14ac:dyDescent="0.25">
      <c r="B201" s="100" t="str">
        <f t="array" ref="B201">INDEX(People!A:A,SMALL(IF(C201=People!C:C, ROW(People!C:C),""),COUNTIF($C$192:C201, C201)),1)</f>
        <v>100xsuccess</v>
      </c>
      <c r="C201" s="103">
        <f>LARGE(People!C:C, ROWS(Calculations!$C$192:C201))</f>
        <v>82535</v>
      </c>
      <c r="XX201" s="79"/>
    </row>
    <row r="202" spans="2:648" x14ac:dyDescent="0.25">
      <c r="C202" s="21"/>
      <c r="XX202" s="79"/>
    </row>
    <row r="203" spans="2:648" x14ac:dyDescent="0.25">
      <c r="C203" s="21"/>
      <c r="XX203" s="79"/>
    </row>
    <row r="204" spans="2:648" x14ac:dyDescent="0.25">
      <c r="C204" s="21"/>
      <c r="XX204" s="79"/>
    </row>
    <row r="205" spans="2:648" x14ac:dyDescent="0.25">
      <c r="B205" s="66" t="s">
        <v>2085</v>
      </c>
      <c r="C205" s="66"/>
      <c r="D205" s="66"/>
      <c r="E205" s="66"/>
      <c r="F205" s="66"/>
      <c r="G205" s="66"/>
      <c r="H205" s="66"/>
      <c r="I205" s="66"/>
      <c r="J205" s="66"/>
      <c r="K205" s="66"/>
      <c r="L205" s="66"/>
      <c r="XX205" s="79"/>
    </row>
    <row r="206" spans="2:648" x14ac:dyDescent="0.25">
      <c r="B206" s="186" t="s">
        <v>2314</v>
      </c>
      <c r="C206" s="186" t="b">
        <f>NOT(COUNT(C211:C220)=0)</f>
        <v>1</v>
      </c>
      <c r="D206" s="187"/>
      <c r="XX206" s="79"/>
    </row>
    <row r="207" spans="2:648" x14ac:dyDescent="0.25">
      <c r="B207" s="189" t="str">
        <f>IF(C206=TRUE, "", B205&amp;":")</f>
        <v/>
      </c>
      <c r="C207" s="186"/>
      <c r="D207" s="188" t="s">
        <v>2315</v>
      </c>
      <c r="XX207" s="79"/>
    </row>
    <row r="208" spans="2:648" x14ac:dyDescent="0.25">
      <c r="B208" s="189" t="str">
        <f>IF(C206=TRUE, "", "No Data Available For This Chart")</f>
        <v/>
      </c>
      <c r="C208" s="186"/>
      <c r="D208" s="187"/>
      <c r="XX208" s="79"/>
    </row>
    <row r="209" spans="2:648" x14ac:dyDescent="0.25">
      <c r="C209" s="21"/>
      <c r="XX209" s="79"/>
    </row>
    <row r="210" spans="2:648" x14ac:dyDescent="0.25">
      <c r="B210" s="69" t="s">
        <v>0</v>
      </c>
      <c r="C210" s="122" t="s">
        <v>2009</v>
      </c>
      <c r="XX210" s="79"/>
    </row>
    <row r="211" spans="2:648" x14ac:dyDescent="0.25">
      <c r="B211" s="100" t="str">
        <f t="array" ref="B211">INDEX(People!A:A,SMALL(IF(C211=People!F:F, ROW(People!F:F),""),COUNTIF($C$211:C211, C211)),1)</f>
        <v>annie_rose_cole</v>
      </c>
      <c r="C211" s="103">
        <f>LARGE(People!F:F, ROWS(Calculations!$C$211:C211))</f>
        <v>14848</v>
      </c>
      <c r="XX211" s="79"/>
    </row>
    <row r="212" spans="2:648" x14ac:dyDescent="0.25">
      <c r="B212" s="100" t="str">
        <f t="array" ref="B212">INDEX(People!A:A,SMALL(IF(C212=People!F:F, ROW(People!F:F),""),COUNTIF($C$211:C212, C212)),1)</f>
        <v>martacarriedo</v>
      </c>
      <c r="C212" s="103">
        <f>LARGE(People!F:F, ROWS(Calculations!$C$211:C212))</f>
        <v>13779</v>
      </c>
      <c r="XX212" s="79"/>
    </row>
    <row r="213" spans="2:648" x14ac:dyDescent="0.25">
      <c r="B213" s="100" t="str">
        <f t="array" ref="B213">INDEX(People!A:A,SMALL(IF(C213=People!F:F, ROW(People!F:F),""),COUNTIF($C$211:C213, C213)),1)</f>
        <v>thiagofragoso</v>
      </c>
      <c r="C213" s="103">
        <f>LARGE(People!F:F, ROWS(Calculations!$C$211:C213))</f>
        <v>12661</v>
      </c>
      <c r="XX213" s="79"/>
    </row>
    <row r="214" spans="2:648" x14ac:dyDescent="0.25">
      <c r="B214" s="100" t="str">
        <f t="array" ref="B214">INDEX(People!A:A,SMALL(IF(C214=People!F:F, ROW(People!F:F),""),COUNTIF($C$211:C214, C214)),1)</f>
        <v>ourfamilynest</v>
      </c>
      <c r="C214" s="103">
        <f>LARGE(People!F:F, ROWS(Calculations!$C$211:C214))</f>
        <v>5406</v>
      </c>
      <c r="XX214" s="79"/>
    </row>
    <row r="215" spans="2:648" x14ac:dyDescent="0.25">
      <c r="B215" s="100" t="str">
        <f t="array" ref="B215">INDEX(People!A:A,SMALL(IF(C215=People!F:F, ROW(People!F:F),""),COUNTIF($C$211:C215, C215)),1)</f>
        <v>ariletmestyleu</v>
      </c>
      <c r="C215" s="103">
        <f>LARGE(People!F:F, ROWS(Calculations!$C$211:C215))</f>
        <v>4731</v>
      </c>
      <c r="XX215" s="79"/>
    </row>
    <row r="216" spans="2:648" x14ac:dyDescent="0.25">
      <c r="B216" s="100" t="str">
        <f t="array" ref="B216">INDEX(People!A:A,SMALL(IF(C216=People!F:F, ROW(People!F:F),""),COUNTIF($C$211:C216, C216)),1)</f>
        <v>paulinamichaels</v>
      </c>
      <c r="C216" s="103">
        <f>LARGE(People!F:F, ROWS(Calculations!$C$211:C216))</f>
        <v>4555</v>
      </c>
      <c r="XX216" s="79"/>
    </row>
    <row r="217" spans="2:648" x14ac:dyDescent="0.25">
      <c r="B217" s="100" t="str">
        <f t="array" ref="B217">INDEX(People!A:A,SMALL(IF(C217=People!F:F, ROW(People!F:F),""),COUNTIF($C$211:C217, C217)),1)</f>
        <v>millionaire.dream</v>
      </c>
      <c r="C217" s="103">
        <f>LARGE(People!F:F, ROWS(Calculations!$C$211:C217))</f>
        <v>4515.625</v>
      </c>
      <c r="XX217" s="79"/>
    </row>
    <row r="218" spans="2:648" x14ac:dyDescent="0.25">
      <c r="B218" s="100" t="str">
        <f t="array" ref="B218">INDEX(People!A:A,SMALL(IF(C218=People!F:F, ROW(People!F:F),""),COUNTIF($C$211:C218, C218)),1)</f>
        <v>travellingpreneur</v>
      </c>
      <c r="C218" s="103">
        <f>LARGE(People!F:F, ROWS(Calculations!$C$211:C218))</f>
        <v>4439.333333333333</v>
      </c>
      <c r="XX218" s="79"/>
    </row>
    <row r="219" spans="2:648" x14ac:dyDescent="0.25">
      <c r="B219" s="100" t="str">
        <f t="array" ref="B219">INDEX(People!A:A,SMALL(IF(C219=People!F:F, ROW(People!F:F),""),COUNTIF($C$211:C219, C219)),1)</f>
        <v>cassandrafoxdance</v>
      </c>
      <c r="C219" s="103">
        <f>LARGE(People!F:F, ROWS(Calculations!$C$211:C219))</f>
        <v>3574</v>
      </c>
      <c r="XX219" s="79"/>
    </row>
    <row r="220" spans="2:648" x14ac:dyDescent="0.25">
      <c r="B220" s="100" t="str">
        <f t="array" ref="B220">INDEX(People!A:A,SMALL(IF(C220=People!F:F, ROW(People!F:F),""),COUNTIF($C$211:C220, C220)),1)</f>
        <v>stoked.travels</v>
      </c>
      <c r="C220" s="103">
        <f>LARGE(People!F:F, ROWS(Calculations!$C$211:C220))</f>
        <v>3188.5</v>
      </c>
      <c r="XX220" s="79"/>
    </row>
    <row r="221" spans="2:648" x14ac:dyDescent="0.25">
      <c r="C221" s="86"/>
      <c r="XX221" s="79"/>
    </row>
    <row r="222" spans="2:648" x14ac:dyDescent="0.25">
      <c r="C222" s="86"/>
      <c r="XX222" s="79"/>
    </row>
    <row r="223" spans="2:648" x14ac:dyDescent="0.25">
      <c r="C223" s="86"/>
      <c r="XX223" s="79"/>
    </row>
    <row r="224" spans="2:648" x14ac:dyDescent="0.25">
      <c r="B224" s="66" t="s">
        <v>2086</v>
      </c>
      <c r="C224" s="66"/>
      <c r="D224" s="66"/>
      <c r="E224" s="66"/>
      <c r="F224" s="66"/>
      <c r="G224" s="66"/>
      <c r="H224" s="66"/>
      <c r="I224" s="66"/>
      <c r="J224" s="66"/>
      <c r="K224" s="66"/>
      <c r="L224" s="66"/>
      <c r="XX224" s="79"/>
    </row>
    <row r="225" spans="2:648" x14ac:dyDescent="0.25">
      <c r="C225" s="86"/>
      <c r="XX225" s="79"/>
    </row>
    <row r="226" spans="2:648" x14ac:dyDescent="0.25">
      <c r="B226" s="122" t="s">
        <v>2087</v>
      </c>
      <c r="C226" s="162" t="s">
        <v>2088</v>
      </c>
      <c r="D226" s="122" t="s">
        <v>2089</v>
      </c>
      <c r="E226" s="122" t="s">
        <v>2024</v>
      </c>
      <c r="XX226" s="79"/>
    </row>
    <row r="227" spans="2:648" x14ac:dyDescent="0.25">
      <c r="B227" s="103">
        <v>0</v>
      </c>
      <c r="C227" s="103">
        <v>100</v>
      </c>
      <c r="D227" s="120" t="str">
        <f>B227&amp;" - "&amp;C227</f>
        <v>0 - 100</v>
      </c>
      <c r="E227" s="120">
        <f>COUNTIFS(People!C:C, "&gt;="&amp;B227, People!C:C, "&lt;="&amp;C227)</f>
        <v>537</v>
      </c>
      <c r="XX227" s="79"/>
    </row>
    <row r="228" spans="2:648" x14ac:dyDescent="0.25">
      <c r="B228" s="103">
        <f>C227+1</f>
        <v>101</v>
      </c>
      <c r="C228" s="103">
        <v>500</v>
      </c>
      <c r="D228" s="120" t="str">
        <f>B228&amp;" - "&amp;C228</f>
        <v>101 - 500</v>
      </c>
      <c r="E228" s="120">
        <f>COUNTIFS(People!C:C, "&gt;="&amp;B228, People!C:C, "&lt;="&amp;C228)</f>
        <v>1742</v>
      </c>
      <c r="XX228" s="79"/>
    </row>
    <row r="229" spans="2:648" x14ac:dyDescent="0.25">
      <c r="B229" s="103">
        <f>C228+1</f>
        <v>501</v>
      </c>
      <c r="C229" s="103">
        <v>1000</v>
      </c>
      <c r="D229" s="120" t="str">
        <f>B229&amp;" - "&amp;C229</f>
        <v>501 - 1000</v>
      </c>
      <c r="E229" s="120">
        <f>COUNTIFS(People!C:C, "&gt;="&amp;B229, People!C:C, "&lt;="&amp;C229)</f>
        <v>606</v>
      </c>
      <c r="XX229" s="79"/>
    </row>
    <row r="230" spans="2:648" x14ac:dyDescent="0.25">
      <c r="B230" s="103">
        <f>C229+1</f>
        <v>1001</v>
      </c>
      <c r="C230" s="103">
        <v>2500</v>
      </c>
      <c r="D230" s="120" t="str">
        <f>B230&amp;" - "&amp;C230</f>
        <v>1001 - 2500</v>
      </c>
      <c r="E230" s="120">
        <f>COUNTIFS(People!C:C, "&gt;="&amp;B230, People!C:C, "&lt;="&amp;C230)</f>
        <v>381</v>
      </c>
      <c r="XX230" s="79"/>
    </row>
    <row r="231" spans="2:648" x14ac:dyDescent="0.25">
      <c r="B231" s="103">
        <f>C230+1</f>
        <v>2501</v>
      </c>
      <c r="C231" s="103"/>
      <c r="D231" s="163" t="str">
        <f>"&gt;"&amp;C230</f>
        <v>&gt;2500</v>
      </c>
      <c r="E231" s="163">
        <f>COUNTIFS(People!C:C, "&gt;="&amp;B231)</f>
        <v>269</v>
      </c>
      <c r="XX231" s="79"/>
    </row>
    <row r="232" spans="2:648" x14ac:dyDescent="0.25">
      <c r="C232" s="86"/>
      <c r="XX232" s="79"/>
    </row>
    <row r="233" spans="2:648" x14ac:dyDescent="0.25">
      <c r="C233" s="86"/>
      <c r="XX233" s="79"/>
    </row>
    <row r="234" spans="2:648" x14ac:dyDescent="0.25">
      <c r="C234" s="86"/>
      <c r="XX234" s="79"/>
    </row>
    <row r="235" spans="2:648" x14ac:dyDescent="0.25">
      <c r="B235" s="66" t="s">
        <v>2090</v>
      </c>
      <c r="C235" s="66"/>
      <c r="D235" s="66"/>
      <c r="E235" s="66"/>
      <c r="F235" s="66"/>
      <c r="G235" s="66"/>
      <c r="H235" s="66"/>
      <c r="I235" s="66"/>
      <c r="J235" s="66"/>
      <c r="K235" s="66"/>
      <c r="L235" s="66"/>
      <c r="XX235" s="79"/>
    </row>
    <row r="236" spans="2:648" x14ac:dyDescent="0.25">
      <c r="C236" s="86"/>
      <c r="XX236" s="79"/>
    </row>
    <row r="237" spans="2:648" x14ac:dyDescent="0.25">
      <c r="B237" s="122" t="s">
        <v>2087</v>
      </c>
      <c r="C237" s="162" t="s">
        <v>2088</v>
      </c>
      <c r="D237" s="122" t="s">
        <v>2089</v>
      </c>
      <c r="E237" s="122" t="s">
        <v>2024</v>
      </c>
      <c r="XX237" s="79"/>
    </row>
    <row r="238" spans="2:648" x14ac:dyDescent="0.25">
      <c r="B238" s="103">
        <v>1</v>
      </c>
      <c r="C238" s="103">
        <v>1</v>
      </c>
      <c r="D238" s="163">
        <v>1</v>
      </c>
      <c r="E238" s="120">
        <f>COUNTIFS(People!B:B, "&gt;="&amp;B238, People!B:B, "&lt;="&amp;C238)</f>
        <v>3133</v>
      </c>
      <c r="XX238" s="79"/>
    </row>
    <row r="239" spans="2:648" x14ac:dyDescent="0.25">
      <c r="B239" s="103">
        <f>C238+1</f>
        <v>2</v>
      </c>
      <c r="C239" s="103">
        <v>5</v>
      </c>
      <c r="D239" s="120" t="str">
        <f>B239&amp;" - "&amp;C239</f>
        <v>2 - 5</v>
      </c>
      <c r="E239" s="120">
        <f>COUNTIFS(People!B:B, "&gt;="&amp;B239, People!B:B, "&lt;="&amp;C239)</f>
        <v>379</v>
      </c>
      <c r="XX239" s="79"/>
    </row>
    <row r="240" spans="2:648" x14ac:dyDescent="0.25">
      <c r="B240" s="103">
        <f>C239+1</f>
        <v>6</v>
      </c>
      <c r="C240" s="103">
        <v>10</v>
      </c>
      <c r="D240" s="120" t="str">
        <f>B240&amp;" - "&amp;C240</f>
        <v>6 - 10</v>
      </c>
      <c r="E240" s="120">
        <f>COUNTIFS(People!B:B, "&gt;="&amp;B240, People!B:B, "&lt;="&amp;C240)</f>
        <v>58</v>
      </c>
      <c r="XX240" s="79"/>
    </row>
    <row r="241" spans="2:648" x14ac:dyDescent="0.25">
      <c r="B241" s="103">
        <f>C240+1</f>
        <v>11</v>
      </c>
      <c r="C241" s="103">
        <v>50</v>
      </c>
      <c r="D241" s="120" t="str">
        <f>B241&amp;" - "&amp;C241</f>
        <v>11 - 50</v>
      </c>
      <c r="E241" s="120">
        <f>COUNTIFS(People!B:B, "&gt;="&amp;B241, People!B:B, "&lt;="&amp;C241)</f>
        <v>42</v>
      </c>
      <c r="XX241" s="79"/>
    </row>
    <row r="242" spans="2:648" x14ac:dyDescent="0.25">
      <c r="B242" s="103">
        <f>C241+1</f>
        <v>51</v>
      </c>
      <c r="C242" s="164"/>
      <c r="D242" s="163" t="str">
        <f>"&gt;"&amp;C241</f>
        <v>&gt;50</v>
      </c>
      <c r="E242" s="163">
        <f>COUNTIFS(People!B:B, "&gt;="&amp;B242)</f>
        <v>4</v>
      </c>
      <c r="XX242" s="79"/>
    </row>
    <row r="243" spans="2:648" x14ac:dyDescent="0.25">
      <c r="C243" s="86"/>
      <c r="XX243" s="79"/>
    </row>
    <row r="244" spans="2:648" x14ac:dyDescent="0.25">
      <c r="C244" s="86"/>
      <c r="XX244" s="79"/>
    </row>
    <row r="245" spans="2:648" x14ac:dyDescent="0.25">
      <c r="C245" s="86"/>
      <c r="XX245" s="79"/>
    </row>
    <row r="246" spans="2:648" x14ac:dyDescent="0.25">
      <c r="B246" s="66" t="s">
        <v>2316</v>
      </c>
      <c r="C246" s="66"/>
      <c r="D246" s="66"/>
      <c r="E246" s="66"/>
      <c r="F246" s="66"/>
      <c r="G246" s="66"/>
      <c r="H246" s="66"/>
      <c r="I246" s="66"/>
      <c r="J246" s="66"/>
      <c r="K246" s="66"/>
      <c r="L246" s="66"/>
      <c r="XX246" s="79"/>
    </row>
    <row r="247" spans="2:648" x14ac:dyDescent="0.25">
      <c r="B247" s="186" t="s">
        <v>2314</v>
      </c>
      <c r="C247" s="186" t="b">
        <f>NOT(COUNT(C252:C256)=0)</f>
        <v>1</v>
      </c>
      <c r="D247" s="187"/>
      <c r="F247" s="68" t="s">
        <v>2318</v>
      </c>
      <c r="G247" s="79" t="s">
        <v>1999</v>
      </c>
      <c r="XX247" s="79"/>
    </row>
    <row r="248" spans="2:648" x14ac:dyDescent="0.25">
      <c r="B248" s="189" t="str">
        <f>IF(C247=TRUE, "", B246&amp;":")</f>
        <v/>
      </c>
      <c r="C248" s="186"/>
      <c r="D248" s="188" t="s">
        <v>2315</v>
      </c>
      <c r="E248" s="190"/>
      <c r="XX248" s="79"/>
    </row>
    <row r="249" spans="2:648" x14ac:dyDescent="0.25">
      <c r="B249" s="189" t="str">
        <f>IF(C247=TRUE, "", "No Data Available For This Chart")</f>
        <v/>
      </c>
      <c r="C249" s="186"/>
      <c r="D249" s="187"/>
      <c r="XX249" s="79"/>
    </row>
    <row r="250" spans="2:648" x14ac:dyDescent="0.25">
      <c r="D250" s="86"/>
      <c r="XX250" s="79"/>
    </row>
    <row r="251" spans="2:648" x14ac:dyDescent="0.25">
      <c r="B251" s="153" t="s">
        <v>83</v>
      </c>
      <c r="C251" s="153" t="s">
        <v>2010</v>
      </c>
      <c r="D251" s="153" t="s">
        <v>2009</v>
      </c>
      <c r="E251" s="153" t="s">
        <v>82</v>
      </c>
      <c r="XX251" s="79"/>
    </row>
    <row r="252" spans="2:648" x14ac:dyDescent="0.25">
      <c r="B252" s="100" t="str">
        <f t="array" ref="B252">INDEX($C$433:$C$1383, MATCH(INDEX(Cities!A:A,SMALL(IF(C252=Cities!B:B, ROW(Cities!B:B),""),COUNTIF($C$252:C252, C252)),1), $B$433:$B$1383, 0))</f>
        <v>Miami, FL</v>
      </c>
      <c r="C252" s="103">
        <f>LARGE(Cities!B:B, ROWS(Calculations!$C$252:C252))</f>
        <v>29</v>
      </c>
      <c r="D252" s="103">
        <f>INDEX(Cities!D:D, MATCH(INDEX($B$433:$B$1383, MATCH(Calculations!B252, $C$433:$C$1383, 0)), Cities!A:A, 0))</f>
        <v>87.068965517241381</v>
      </c>
      <c r="E252" s="165">
        <v>0</v>
      </c>
      <c r="XX252" s="79"/>
    </row>
    <row r="253" spans="2:648" x14ac:dyDescent="0.25">
      <c r="B253" s="100" t="str">
        <f t="array" ref="B253">INDEX($C$433:$C$1383, MATCH(INDEX(Cities!A:A,SMALL(IF(C253=Cities!B:B, ROW(Cities!B:B),""),COUNTIF($C$252:C253, C253)),1), $B$433:$B$1383, 0))</f>
        <v>Los Angeles, CA</v>
      </c>
      <c r="C253" s="103">
        <f>LARGE(Cities!B:B, ROWS(Calculations!$C$252:C253))</f>
        <v>26</v>
      </c>
      <c r="D253" s="103">
        <f>INDEX(Cities!D:D, MATCH(INDEX($B$433:$B$1383, MATCH(Calculations!B253, $C$433:$C$1383, 0)), Cities!A:A, 0))</f>
        <v>642.5</v>
      </c>
      <c r="E253" s="165">
        <v>0</v>
      </c>
      <c r="XX253" s="79"/>
    </row>
    <row r="254" spans="2:648" x14ac:dyDescent="0.25">
      <c r="B254" s="100" t="str">
        <f t="array" ref="B254">INDEX($C$433:$C$1383, MATCH(INDEX(Cities!A:A,SMALL(IF(C254=Cities!B:B, ROW(Cities!B:B),""),COUNTIF($C$252:C254, C254)),1), $B$433:$B$1383, 0))</f>
        <v>New York, NY</v>
      </c>
      <c r="C254" s="103">
        <f>LARGE(Cities!B:B, ROWS(Calculations!$C$252:C254))</f>
        <v>20</v>
      </c>
      <c r="D254" s="103">
        <f>INDEX(Cities!D:D, MATCH(INDEX($B$433:$B$1383, MATCH(Calculations!B254, $C$433:$C$1383, 0)), Cities!A:A, 0))</f>
        <v>132.6</v>
      </c>
      <c r="E254" s="165">
        <v>0</v>
      </c>
      <c r="XX254" s="79"/>
    </row>
    <row r="255" spans="2:648" x14ac:dyDescent="0.25">
      <c r="B255" s="100" t="str">
        <f t="array" ref="B255">INDEX($C$433:$C$1383, MATCH(INDEX(Cities!A:A,SMALL(IF(C255=Cities!B:B, ROW(Cities!B:B),""),COUNTIF($C$252:C255, C255)),1), $B$433:$B$1383, 0))</f>
        <v>Houston, TX</v>
      </c>
      <c r="C255" s="103">
        <f>LARGE(Cities!B:B, ROWS(Calculations!$C$252:C255))</f>
        <v>12</v>
      </c>
      <c r="D255" s="103">
        <f>INDEX(Cities!D:D, MATCH(INDEX($B$433:$B$1383, MATCH(Calculations!B255, $C$433:$C$1383, 0)), Cities!A:A, 0))</f>
        <v>401.41666666666669</v>
      </c>
      <c r="E255" s="165">
        <v>0</v>
      </c>
      <c r="XX255" s="79"/>
    </row>
    <row r="256" spans="2:648" x14ac:dyDescent="0.25">
      <c r="B256" s="100" t="str">
        <f t="array" ref="B256">INDEX($C$433:$C$1383, MATCH(INDEX(Cities!A:A,SMALL(IF(C256=Cities!B:B, ROW(Cities!B:B),""),COUNTIF($C$252:C256, C256)),1), $B$433:$B$1383, 0))</f>
        <v>San Francisco, CA</v>
      </c>
      <c r="C256" s="103">
        <f>LARGE(Cities!B:B, ROWS(Calculations!$C$252:C256))</f>
        <v>10</v>
      </c>
      <c r="D256" s="103">
        <f>INDEX(Cities!D:D, MATCH(INDEX($B$433:$B$1383, MATCH(Calculations!B256, $C$433:$C$1383, 0)), Cities!A:A, 0))</f>
        <v>67.900000000000006</v>
      </c>
      <c r="E256" s="165">
        <v>0</v>
      </c>
      <c r="XX256" s="79"/>
    </row>
    <row r="257" spans="2:648" x14ac:dyDescent="0.25">
      <c r="D257" s="86"/>
      <c r="XX257" s="79"/>
    </row>
    <row r="258" spans="2:648" x14ac:dyDescent="0.25">
      <c r="D258" s="86"/>
      <c r="XX258" s="79"/>
    </row>
    <row r="259" spans="2:648" x14ac:dyDescent="0.25">
      <c r="D259" s="86"/>
      <c r="XX259" s="79"/>
    </row>
    <row r="260" spans="2:648" x14ac:dyDescent="0.25">
      <c r="B260" s="66" t="s">
        <v>2302</v>
      </c>
      <c r="C260" s="66"/>
      <c r="D260" s="66"/>
      <c r="E260" s="66"/>
      <c r="F260" s="66"/>
      <c r="G260" s="66"/>
      <c r="H260" s="66"/>
      <c r="I260" s="66"/>
      <c r="J260" s="66"/>
      <c r="K260" s="66"/>
      <c r="L260" s="66"/>
      <c r="XX260" s="79"/>
    </row>
    <row r="261" spans="2:648" x14ac:dyDescent="0.25">
      <c r="B261" s="186" t="s">
        <v>2314</v>
      </c>
      <c r="C261" s="186" t="b">
        <f>NOT(COUNT(C266:C275)=0)</f>
        <v>1</v>
      </c>
      <c r="D261" s="187"/>
      <c r="XX261" s="79"/>
    </row>
    <row r="262" spans="2:648" x14ac:dyDescent="0.25">
      <c r="B262" s="189" t="str">
        <f>IF(C261=TRUE, "", B260&amp;":")</f>
        <v/>
      </c>
      <c r="C262" s="186"/>
      <c r="D262" s="188" t="s">
        <v>2317</v>
      </c>
      <c r="XX262" s="79"/>
    </row>
    <row r="263" spans="2:648" x14ac:dyDescent="0.25">
      <c r="B263" s="189" t="str">
        <f>IF(C261=TRUE, "", "No Data Available For This Chart")</f>
        <v/>
      </c>
      <c r="C263" s="186"/>
      <c r="D263" s="187"/>
      <c r="XX263" s="79"/>
    </row>
    <row r="264" spans="2:648" x14ac:dyDescent="0.25">
      <c r="C264" s="86"/>
      <c r="XX264" s="79"/>
    </row>
    <row r="265" spans="2:648" x14ac:dyDescent="0.25">
      <c r="B265" s="69" t="s">
        <v>2091</v>
      </c>
      <c r="C265" s="190" t="s">
        <v>2306</v>
      </c>
      <c r="XX265" s="79"/>
    </row>
    <row r="266" spans="2:648" x14ac:dyDescent="0.25">
      <c r="B266" s="100" t="str">
        <f t="array" ref="B266">INDEX(Countries!A:A, SMALL(IF(Countries!B:B=C266, ROW(Countries!B:B)), COUNTIFS($C$266:C266, C266)))</f>
        <v>UNITED STATES</v>
      </c>
      <c r="C266" s="103">
        <f>LARGE(Countries!B:B, ROWS($C$266:C266))</f>
        <v>292</v>
      </c>
      <c r="XX266" s="79"/>
    </row>
    <row r="267" spans="2:648" x14ac:dyDescent="0.25">
      <c r="B267" s="100" t="str">
        <f t="array" ref="B267">INDEX(Countries!A:A, SMALL(IF(Countries!B:B=C267, ROW(Countries!B:B)), COUNTIFS($C$266:C267, C267)))</f>
        <v>GERMANY</v>
      </c>
      <c r="C267" s="103">
        <f>LARGE(Countries!B:B, ROWS($C$266:C267))</f>
        <v>95</v>
      </c>
      <c r="XX267" s="79"/>
    </row>
    <row r="268" spans="2:648" x14ac:dyDescent="0.25">
      <c r="B268" s="100" t="str">
        <f t="array" ref="B268">INDEX(Countries!A:A, SMALL(IF(Countries!B:B=C268, ROW(Countries!B:B)), COUNTIFS($C$266:C268, C268)))</f>
        <v>SPAIN</v>
      </c>
      <c r="C268" s="103">
        <f>LARGE(Countries!B:B, ROWS($C$266:C268))</f>
        <v>90</v>
      </c>
      <c r="XX268" s="79"/>
    </row>
    <row r="269" spans="2:648" x14ac:dyDescent="0.25">
      <c r="B269" s="100" t="str">
        <f t="array" ref="B269">INDEX(Countries!A:A, SMALL(IF(Countries!B:B=C269, ROW(Countries!B:B)), COUNTIFS($C$266:C269, C269)))</f>
        <v>ITALY</v>
      </c>
      <c r="C269" s="103">
        <f>LARGE(Countries!B:B, ROWS($C$266:C269))</f>
        <v>75</v>
      </c>
      <c r="XX269" s="79"/>
    </row>
    <row r="270" spans="2:648" x14ac:dyDescent="0.25">
      <c r="B270" s="100" t="str">
        <f t="array" ref="B270">INDEX(Countries!A:A, SMALL(IF(Countries!B:B=C270, ROW(Countries!B:B)), COUNTIFS($C$266:C270, C270)))</f>
        <v>NETHERLANDS</v>
      </c>
      <c r="C270" s="103">
        <f>LARGE(Countries!B:B, ROWS($C$266:C270))</f>
        <v>66</v>
      </c>
      <c r="XX270" s="79"/>
    </row>
    <row r="271" spans="2:648" x14ac:dyDescent="0.25">
      <c r="B271" s="100" t="str">
        <f t="array" ref="B271">INDEX(Countries!A:A, SMALL(IF(Countries!B:B=C271, ROW(Countries!B:B)), COUNTIFS($C$266:C271, C271)))</f>
        <v>RUSSIA</v>
      </c>
      <c r="C271" s="103">
        <f>LARGE(Countries!B:B, ROWS($C$266:C271))</f>
        <v>64</v>
      </c>
      <c r="XX271" s="79"/>
    </row>
    <row r="272" spans="2:648" x14ac:dyDescent="0.25">
      <c r="B272" s="100" t="str">
        <f t="array" ref="B272">INDEX(Countries!A:A, SMALL(IF(Countries!B:B=C272, ROW(Countries!B:B)), COUNTIFS($C$266:C272, C272)))</f>
        <v>UNITED KINGDOM</v>
      </c>
      <c r="C272" s="103">
        <f>LARGE(Countries!B:B, ROWS($C$266:C272))</f>
        <v>64</v>
      </c>
      <c r="XX272" s="79"/>
    </row>
    <row r="273" spans="2:648" x14ac:dyDescent="0.25">
      <c r="B273" s="100" t="str">
        <f t="array" ref="B273">INDEX(Countries!A:A, SMALL(IF(Countries!B:B=C273, ROW(Countries!B:B)), COUNTIFS($C$266:C273, C273)))</f>
        <v>CANADA</v>
      </c>
      <c r="C273" s="103">
        <f>LARGE(Countries!B:B, ROWS($C$266:C273))</f>
        <v>58</v>
      </c>
      <c r="XX273" s="79"/>
    </row>
    <row r="274" spans="2:648" x14ac:dyDescent="0.25">
      <c r="B274" s="100" t="str">
        <f t="array" ref="B274">INDEX(Countries!A:A, SMALL(IF(Countries!B:B=C274, ROW(Countries!B:B)), COUNTIFS($C$266:C274, C274)))</f>
        <v>BELGIUM</v>
      </c>
      <c r="C274" s="103">
        <f>LARGE(Countries!B:B, ROWS($C$266:C274))</f>
        <v>56</v>
      </c>
      <c r="XX274" s="79"/>
    </row>
    <row r="275" spans="2:648" x14ac:dyDescent="0.25">
      <c r="B275" s="167" t="s">
        <v>2303</v>
      </c>
      <c r="C275" s="168">
        <f>SUM(Countries!B:B)-SUM(C266:C274)</f>
        <v>584</v>
      </c>
      <c r="XX275" s="79"/>
    </row>
    <row r="276" spans="2:648" x14ac:dyDescent="0.25">
      <c r="C276" s="86"/>
      <c r="XX276" s="79"/>
    </row>
    <row r="277" spans="2:648" x14ac:dyDescent="0.25">
      <c r="XX277" s="79"/>
    </row>
    <row r="278" spans="2:648" x14ac:dyDescent="0.25">
      <c r="XX278" s="79"/>
    </row>
    <row r="279" spans="2:648" ht="15" customHeight="1" x14ac:dyDescent="0.25">
      <c r="B279" s="75" t="s">
        <v>2304</v>
      </c>
      <c r="C279" s="75"/>
      <c r="D279" s="75"/>
      <c r="E279" s="75"/>
      <c r="F279" s="75"/>
      <c r="G279" s="75"/>
      <c r="H279" s="75"/>
      <c r="I279" s="75"/>
      <c r="J279" s="75"/>
      <c r="K279" s="75"/>
      <c r="L279" s="75"/>
      <c r="M279" s="75"/>
      <c r="N279" s="75"/>
      <c r="O279" s="75"/>
      <c r="P279" s="75"/>
      <c r="Q279" s="75"/>
      <c r="R279" s="75"/>
      <c r="S279" s="75"/>
      <c r="T279" s="75"/>
      <c r="U279" s="75"/>
      <c r="V279" s="75"/>
      <c r="W279" s="75"/>
      <c r="X279" s="75"/>
      <c r="Y279" s="75"/>
      <c r="Z279" s="75"/>
      <c r="AA279" s="15"/>
      <c r="AB279" s="15"/>
      <c r="AC279" s="15"/>
      <c r="AD279" s="15"/>
      <c r="AE279" s="15"/>
      <c r="AF279" s="15"/>
      <c r="AG279" s="15"/>
      <c r="AH279" s="15"/>
      <c r="XX279" s="79"/>
    </row>
    <row r="280" spans="2:648" x14ac:dyDescent="0.25">
      <c r="B280" s="101" t="s">
        <v>79</v>
      </c>
      <c r="C280" s="102">
        <v>0</v>
      </c>
      <c r="D280" s="102">
        <f>C280+(1/24)</f>
        <v>4.1666666666666664E-2</v>
      </c>
      <c r="E280" s="102">
        <f>D280+(1/24)</f>
        <v>8.3333333333333329E-2</v>
      </c>
      <c r="F280" s="102">
        <f>E280+(1/24)</f>
        <v>0.125</v>
      </c>
      <c r="G280" s="102">
        <f t="shared" ref="G280" si="9">F280+(1/24)</f>
        <v>0.16666666666666666</v>
      </c>
      <c r="H280" s="102">
        <f t="shared" ref="H280" si="10">G280+(1/24)</f>
        <v>0.20833333333333331</v>
      </c>
      <c r="I280" s="102">
        <f t="shared" ref="I280" si="11">H280+(1/24)</f>
        <v>0.24999999999999997</v>
      </c>
      <c r="J280" s="102">
        <f t="shared" ref="J280" si="12">I280+(1/24)</f>
        <v>0.29166666666666663</v>
      </c>
      <c r="K280" s="102">
        <f t="shared" ref="K280" si="13">J280+(1/24)</f>
        <v>0.33333333333333331</v>
      </c>
      <c r="L280" s="102">
        <f t="shared" ref="L280" si="14">K280+(1/24)</f>
        <v>0.375</v>
      </c>
      <c r="M280" s="102">
        <f t="shared" ref="M280" si="15">L280+(1/24)</f>
        <v>0.41666666666666669</v>
      </c>
      <c r="N280" s="102">
        <f t="shared" ref="N280" si="16">M280+(1/24)</f>
        <v>0.45833333333333337</v>
      </c>
      <c r="O280" s="102">
        <f t="shared" ref="O280" si="17">N280+(1/24)</f>
        <v>0.5</v>
      </c>
      <c r="P280" s="102">
        <f t="shared" ref="P280" si="18">O280+(1/24)</f>
        <v>0.54166666666666663</v>
      </c>
      <c r="Q280" s="102">
        <f t="shared" ref="Q280" si="19">P280+(1/24)</f>
        <v>0.58333333333333326</v>
      </c>
      <c r="R280" s="102">
        <f t="shared" ref="R280" si="20">Q280+(1/24)</f>
        <v>0.62499999999999989</v>
      </c>
      <c r="S280" s="102">
        <f t="shared" ref="S280" si="21">R280+(1/24)</f>
        <v>0.66666666666666652</v>
      </c>
      <c r="T280" s="102">
        <f t="shared" ref="T280" si="22">S280+(1/24)</f>
        <v>0.70833333333333315</v>
      </c>
      <c r="U280" s="102">
        <f t="shared" ref="U280" si="23">T280+(1/24)</f>
        <v>0.74999999999999978</v>
      </c>
      <c r="V280" s="102">
        <f t="shared" ref="V280" si="24">U280+(1/24)</f>
        <v>0.79166666666666641</v>
      </c>
      <c r="W280" s="102">
        <f t="shared" ref="W280" si="25">V280+(1/24)</f>
        <v>0.83333333333333304</v>
      </c>
      <c r="X280" s="102">
        <f t="shared" ref="X280" si="26">W280+(1/24)</f>
        <v>0.87499999999999967</v>
      </c>
      <c r="Y280" s="102">
        <f t="shared" ref="Y280" si="27">X280+(1/24)</f>
        <v>0.9166666666666663</v>
      </c>
      <c r="Z280" s="102">
        <f t="shared" ref="Z280" si="28">Y280+(1/24)</f>
        <v>0.95833333333333293</v>
      </c>
      <c r="XX280" s="79"/>
    </row>
    <row r="281" spans="2:648" x14ac:dyDescent="0.25">
      <c r="B281" s="100" t="s">
        <v>40</v>
      </c>
      <c r="C281" s="86">
        <f t="array" aca="1" ref="C281" ca="1">SUMPRODUCT(data.media.engagement, --(WEEKDAY(data.media.dates, 2)=ROWS($C$281:C281)),--(HOUR(data.media.dates)=COLUMNS($C$281:C281)-1),--(data.media.dates&gt;=Controls!$E$32),--(data.media.dates&lt;Controls!$F$32+Controls!$L$24))</f>
        <v>1729</v>
      </c>
      <c r="D281" s="86">
        <f t="array" aca="1" ref="D281" ca="1">SUMPRODUCT(data.media.engagement, --(WEEKDAY(data.media.dates, 2)=ROWS($C$281:D281)),--(HOUR(data.media.dates)=COLUMNS($C$281:D281)-1),--(data.media.dates&gt;=Controls!$E$32),--(data.media.dates&lt;Controls!$F$32+Controls!$L$24))</f>
        <v>5204</v>
      </c>
      <c r="E281" s="86">
        <f t="array" aca="1" ref="E281" ca="1">SUMPRODUCT(data.media.engagement, --(WEEKDAY(data.media.dates, 2)=ROWS($C$281:E281)),--(HOUR(data.media.dates)=COLUMNS($C$281:E281)-1),--(data.media.dates&gt;=Controls!$E$32),--(data.media.dates&lt;Controls!$F$32+Controls!$L$24))</f>
        <v>1355</v>
      </c>
      <c r="F281" s="86">
        <f t="array" aca="1" ref="F281" ca="1">SUMPRODUCT(data.media.engagement, --(WEEKDAY(data.media.dates, 2)=ROWS($C$281:F281)),--(HOUR(data.media.dates)=COLUMNS($C$281:F281)-1),--(data.media.dates&gt;=Controls!$E$32),--(data.media.dates&lt;Controls!$F$32+Controls!$L$24))</f>
        <v>1475</v>
      </c>
      <c r="G281" s="86">
        <f t="array" aca="1" ref="G281" ca="1">SUMPRODUCT(data.media.engagement, --(WEEKDAY(data.media.dates, 2)=ROWS($C$281:G281)),--(HOUR(data.media.dates)=COLUMNS($C$281:G281)-1),--(data.media.dates&gt;=Controls!$E$32),--(data.media.dates&lt;Controls!$F$32+Controls!$L$24))</f>
        <v>3225</v>
      </c>
      <c r="H281" s="86">
        <f t="array" aca="1" ref="H281" ca="1">SUMPRODUCT(data.media.engagement, --(WEEKDAY(data.media.dates, 2)=ROWS($C$281:H281)),--(HOUR(data.media.dates)=COLUMNS($C$281:H281)-1),--(data.media.dates&gt;=Controls!$E$32),--(data.media.dates&lt;Controls!$F$32+Controls!$L$24))</f>
        <v>1557</v>
      </c>
      <c r="I281" s="86">
        <f t="array" aca="1" ref="I281" ca="1">SUMPRODUCT(data.media.engagement, --(WEEKDAY(data.media.dates, 2)=ROWS($C$281:I281)),--(HOUR(data.media.dates)=COLUMNS($C$281:I281)-1),--(data.media.dates&gt;=Controls!$E$32),--(data.media.dates&lt;Controls!$F$32+Controls!$L$24))</f>
        <v>3059</v>
      </c>
      <c r="J281" s="86">
        <f t="array" aca="1" ref="J281" ca="1">SUMPRODUCT(data.media.engagement, --(WEEKDAY(data.media.dates, 2)=ROWS($C$281:J281)),--(HOUR(data.media.dates)=COLUMNS($C$281:J281)-1),--(data.media.dates&gt;=Controls!$E$32),--(data.media.dates&lt;Controls!$F$32+Controls!$L$24))</f>
        <v>1850</v>
      </c>
      <c r="K281" s="86">
        <f t="array" aca="1" ref="K281" ca="1">SUMPRODUCT(data.media.engagement, --(WEEKDAY(data.media.dates, 2)=ROWS($C$281:K281)),--(HOUR(data.media.dates)=COLUMNS($C$281:K281)-1),--(data.media.dates&gt;=Controls!$E$32),--(data.media.dates&lt;Controls!$F$32+Controls!$L$24))</f>
        <v>2107</v>
      </c>
      <c r="L281" s="86">
        <f t="array" aca="1" ref="L281" ca="1">SUMPRODUCT(data.media.engagement, --(WEEKDAY(data.media.dates, 2)=ROWS($C$281:L281)),--(HOUR(data.media.dates)=COLUMNS($C$281:L281)-1),--(data.media.dates&gt;=Controls!$E$32),--(data.media.dates&lt;Controls!$F$32+Controls!$L$24))</f>
        <v>1892</v>
      </c>
      <c r="M281" s="86">
        <f t="array" aca="1" ref="M281" ca="1">SUMPRODUCT(data.media.engagement, --(WEEKDAY(data.media.dates, 2)=ROWS($C$281:M281)),--(HOUR(data.media.dates)=COLUMNS($C$281:M281)-1),--(data.media.dates&gt;=Controls!$E$32),--(data.media.dates&lt;Controls!$F$32+Controls!$L$24))</f>
        <v>1812</v>
      </c>
      <c r="N281" s="86">
        <f t="array" aca="1" ref="N281" ca="1">SUMPRODUCT(data.media.engagement, --(WEEKDAY(data.media.dates, 2)=ROWS($C$281:N281)),--(HOUR(data.media.dates)=COLUMNS($C$281:N281)-1),--(data.media.dates&gt;=Controls!$E$32),--(data.media.dates&lt;Controls!$F$32+Controls!$L$24))</f>
        <v>3711</v>
      </c>
      <c r="O281" s="86">
        <f t="array" aca="1" ref="O281" ca="1">SUMPRODUCT(data.media.engagement, --(WEEKDAY(data.media.dates, 2)=ROWS($C$281:O281)),--(HOUR(data.media.dates)=COLUMNS($C$281:O281)-1),--(data.media.dates&gt;=Controls!$E$32),--(data.media.dates&lt;Controls!$F$32+Controls!$L$24))</f>
        <v>3439</v>
      </c>
      <c r="P281" s="86">
        <f t="array" aca="1" ref="P281" ca="1">SUMPRODUCT(data.media.engagement, --(WEEKDAY(data.media.dates, 2)=ROWS($C$281:P281)),--(HOUR(data.media.dates)=COLUMNS($C$281:P281)-1),--(data.media.dates&gt;=Controls!$E$32),--(data.media.dates&lt;Controls!$F$32+Controls!$L$24))</f>
        <v>2735</v>
      </c>
      <c r="Q281" s="86">
        <f t="array" aca="1" ref="Q281" ca="1">SUMPRODUCT(data.media.engagement, --(WEEKDAY(data.media.dates, 2)=ROWS($C$281:Q281)),--(HOUR(data.media.dates)=COLUMNS($C$281:Q281)-1),--(data.media.dates&gt;=Controls!$E$32),--(data.media.dates&lt;Controls!$F$32+Controls!$L$24))</f>
        <v>13140</v>
      </c>
      <c r="R281" s="86">
        <f t="array" aca="1" ref="R281" ca="1">SUMPRODUCT(data.media.engagement, --(WEEKDAY(data.media.dates, 2)=ROWS($C$281:R281)),--(HOUR(data.media.dates)=COLUMNS($C$281:R281)-1),--(data.media.dates&gt;=Controls!$E$32),--(data.media.dates&lt;Controls!$F$32+Controls!$L$24))</f>
        <v>7357</v>
      </c>
      <c r="S281" s="86">
        <f t="array" aca="1" ref="S281" ca="1">SUMPRODUCT(data.media.engagement, --(WEEKDAY(data.media.dates, 2)=ROWS($C$281:S281)),--(HOUR(data.media.dates)=COLUMNS($C$281:S281)-1),--(data.media.dates&gt;=Controls!$E$32),--(data.media.dates&lt;Controls!$F$32+Controls!$L$24))</f>
        <v>1770</v>
      </c>
      <c r="T281" s="86">
        <f t="array" aca="1" ref="T281" ca="1">SUMPRODUCT(data.media.engagement, --(WEEKDAY(data.media.dates, 2)=ROWS($C$281:T281)),--(HOUR(data.media.dates)=COLUMNS($C$281:T281)-1),--(data.media.dates&gt;=Controls!$E$32),--(data.media.dates&lt;Controls!$F$32+Controls!$L$24))</f>
        <v>2007</v>
      </c>
      <c r="U281" s="86">
        <f t="array" aca="1" ref="U281" ca="1">SUMPRODUCT(data.media.engagement, --(WEEKDAY(data.media.dates, 2)=ROWS($C$281:U281)),--(HOUR(data.media.dates)=COLUMNS($C$281:U281)-1),--(data.media.dates&gt;=Controls!$E$32),--(data.media.dates&lt;Controls!$F$32+Controls!$L$24))</f>
        <v>1061</v>
      </c>
      <c r="V281" s="86">
        <f t="array" aca="1" ref="V281" ca="1">SUMPRODUCT(data.media.engagement, --(WEEKDAY(data.media.dates, 2)=ROWS($C$281:V281)),--(HOUR(data.media.dates)=COLUMNS($C$281:V281)-1),--(data.media.dates&gt;=Controls!$E$32),--(data.media.dates&lt;Controls!$F$32+Controls!$L$24))</f>
        <v>1479</v>
      </c>
      <c r="W281" s="86">
        <f t="array" aca="1" ref="W281" ca="1">SUMPRODUCT(data.media.engagement, --(WEEKDAY(data.media.dates, 2)=ROWS($C$281:W281)),--(HOUR(data.media.dates)=COLUMNS($C$281:W281)-1),--(data.media.dates&gt;=Controls!$E$32),--(data.media.dates&lt;Controls!$F$32+Controls!$L$24))</f>
        <v>8695</v>
      </c>
      <c r="X281" s="86">
        <f t="array" aca="1" ref="X281" ca="1">SUMPRODUCT(data.media.engagement, --(WEEKDAY(data.media.dates, 2)=ROWS($C$281:X281)),--(HOUR(data.media.dates)=COLUMNS($C$281:X281)-1),--(data.media.dates&gt;=Controls!$E$32),--(data.media.dates&lt;Controls!$F$32+Controls!$L$24))</f>
        <v>3047</v>
      </c>
      <c r="Y281" s="86">
        <f t="array" aca="1" ref="Y281" ca="1">SUMPRODUCT(data.media.engagement, --(WEEKDAY(data.media.dates, 2)=ROWS($C$281:Y281)),--(HOUR(data.media.dates)=COLUMNS($C$281:Y281)-1),--(data.media.dates&gt;=Controls!$E$32),--(data.media.dates&lt;Controls!$F$32+Controls!$L$24))</f>
        <v>2786</v>
      </c>
      <c r="Z281" s="86">
        <f t="array" aca="1" ref="Z281" ca="1">SUMPRODUCT(data.media.engagement, --(WEEKDAY(data.media.dates, 2)=ROWS($C$281:Z281)),--(HOUR(data.media.dates)=COLUMNS($C$281:Z281)-1),--(data.media.dates&gt;=Controls!$E$32),--(data.media.dates&lt;Controls!$F$32+Controls!$L$24))</f>
        <v>744</v>
      </c>
      <c r="AA281" s="246">
        <f ca="1">SUM(C281:Z281)</f>
        <v>77236</v>
      </c>
      <c r="AB281" s="247">
        <f ca="1">AA281/$AA$288</f>
        <v>0.11616025651630524</v>
      </c>
      <c r="XX281" s="79"/>
    </row>
    <row r="282" spans="2:648" x14ac:dyDescent="0.25">
      <c r="B282" s="100" t="s">
        <v>41</v>
      </c>
      <c r="C282" s="86">
        <f t="array" aca="1" ref="C282" ca="1">SUMPRODUCT(data.media.engagement, --(WEEKDAY(data.media.dates, 2)=ROWS($C$281:C282)),--(HOUR(data.media.dates)=COLUMNS($C$281:C282)-1),--(data.media.dates&gt;=Controls!$E$32),--(data.media.dates&lt;Controls!$F$32+Controls!$L$24))</f>
        <v>3666</v>
      </c>
      <c r="D282" s="86">
        <f t="array" aca="1" ref="D282" ca="1">SUMPRODUCT(data.media.engagement, --(WEEKDAY(data.media.dates, 2)=ROWS($C$281:D282)),--(HOUR(data.media.dates)=COLUMNS($C$281:D282)-1),--(data.media.dates&gt;=Controls!$E$32),--(data.media.dates&lt;Controls!$F$32+Controls!$L$24))</f>
        <v>3115</v>
      </c>
      <c r="E282" s="86">
        <f t="array" aca="1" ref="E282" ca="1">SUMPRODUCT(data.media.engagement, --(WEEKDAY(data.media.dates, 2)=ROWS($C$281:E282)),--(HOUR(data.media.dates)=COLUMNS($C$281:E282)-1),--(data.media.dates&gt;=Controls!$E$32),--(data.media.dates&lt;Controls!$F$32+Controls!$L$24))</f>
        <v>9327</v>
      </c>
      <c r="F282" s="86">
        <f t="array" aca="1" ref="F282" ca="1">SUMPRODUCT(data.media.engagement, --(WEEKDAY(data.media.dates, 2)=ROWS($C$281:F282)),--(HOUR(data.media.dates)=COLUMNS($C$281:F282)-1),--(data.media.dates&gt;=Controls!$E$32),--(data.media.dates&lt;Controls!$F$32+Controls!$L$24))</f>
        <v>1912</v>
      </c>
      <c r="G282" s="86">
        <f t="array" aca="1" ref="G282" ca="1">SUMPRODUCT(data.media.engagement, --(WEEKDAY(data.media.dates, 2)=ROWS($C$281:G282)),--(HOUR(data.media.dates)=COLUMNS($C$281:G282)-1),--(data.media.dates&gt;=Controls!$E$32),--(data.media.dates&lt;Controls!$F$32+Controls!$L$24))</f>
        <v>1702</v>
      </c>
      <c r="H282" s="86">
        <f t="array" aca="1" ref="H282" ca="1">SUMPRODUCT(data.media.engagement, --(WEEKDAY(data.media.dates, 2)=ROWS($C$281:H282)),--(HOUR(data.media.dates)=COLUMNS($C$281:H282)-1),--(data.media.dates&gt;=Controls!$E$32),--(data.media.dates&lt;Controls!$F$32+Controls!$L$24))</f>
        <v>1410</v>
      </c>
      <c r="I282" s="86">
        <f t="array" aca="1" ref="I282" ca="1">SUMPRODUCT(data.media.engagement, --(WEEKDAY(data.media.dates, 2)=ROWS($C$281:I282)),--(HOUR(data.media.dates)=COLUMNS($C$281:I282)-1),--(data.media.dates&gt;=Controls!$E$32),--(data.media.dates&lt;Controls!$F$32+Controls!$L$24))</f>
        <v>2256</v>
      </c>
      <c r="J282" s="86">
        <f t="array" aca="1" ref="J282" ca="1">SUMPRODUCT(data.media.engagement, --(WEEKDAY(data.media.dates, 2)=ROWS($C$281:J282)),--(HOUR(data.media.dates)=COLUMNS($C$281:J282)-1),--(data.media.dates&gt;=Controls!$E$32),--(data.media.dates&lt;Controls!$F$32+Controls!$L$24))</f>
        <v>2600</v>
      </c>
      <c r="K282" s="86">
        <f t="array" aca="1" ref="K282" ca="1">SUMPRODUCT(data.media.engagement, --(WEEKDAY(data.media.dates, 2)=ROWS($C$281:K282)),--(HOUR(data.media.dates)=COLUMNS($C$281:K282)-1),--(data.media.dates&gt;=Controls!$E$32),--(data.media.dates&lt;Controls!$F$32+Controls!$L$24))</f>
        <v>2943</v>
      </c>
      <c r="L282" s="86">
        <f t="array" aca="1" ref="L282" ca="1">SUMPRODUCT(data.media.engagement, --(WEEKDAY(data.media.dates, 2)=ROWS($C$281:L282)),--(HOUR(data.media.dates)=COLUMNS($C$281:L282)-1),--(data.media.dates&gt;=Controls!$E$32),--(data.media.dates&lt;Controls!$F$32+Controls!$L$24))</f>
        <v>2741</v>
      </c>
      <c r="M282" s="86">
        <f t="array" aca="1" ref="M282" ca="1">SUMPRODUCT(data.media.engagement, --(WEEKDAY(data.media.dates, 2)=ROWS($C$281:M282)),--(HOUR(data.media.dates)=COLUMNS($C$281:M282)-1),--(data.media.dates&gt;=Controls!$E$32),--(data.media.dates&lt;Controls!$F$32+Controls!$L$24))</f>
        <v>1588</v>
      </c>
      <c r="N282" s="86">
        <f t="array" aca="1" ref="N282" ca="1">SUMPRODUCT(data.media.engagement, --(WEEKDAY(data.media.dates, 2)=ROWS($C$281:N282)),--(HOUR(data.media.dates)=COLUMNS($C$281:N282)-1),--(data.media.dates&gt;=Controls!$E$32),--(data.media.dates&lt;Controls!$F$32+Controls!$L$24))</f>
        <v>8737</v>
      </c>
      <c r="O282" s="86">
        <f t="array" aca="1" ref="O282" ca="1">SUMPRODUCT(data.media.engagement, --(WEEKDAY(data.media.dates, 2)=ROWS($C$281:O282)),--(HOUR(data.media.dates)=COLUMNS($C$281:O282)-1),--(data.media.dates&gt;=Controls!$E$32),--(data.media.dates&lt;Controls!$F$32+Controls!$L$24))</f>
        <v>3881</v>
      </c>
      <c r="P282" s="86">
        <f t="array" aca="1" ref="P282" ca="1">SUMPRODUCT(data.media.engagement, --(WEEKDAY(data.media.dates, 2)=ROWS($C$281:P282)),--(HOUR(data.media.dates)=COLUMNS($C$281:P282)-1),--(data.media.dates&gt;=Controls!$E$32),--(data.media.dates&lt;Controls!$F$32+Controls!$L$24))</f>
        <v>2406</v>
      </c>
      <c r="Q282" s="86">
        <f t="array" aca="1" ref="Q282" ca="1">SUMPRODUCT(data.media.engagement, --(WEEKDAY(data.media.dates, 2)=ROWS($C$281:Q282)),--(HOUR(data.media.dates)=COLUMNS($C$281:Q282)-1),--(data.media.dates&gt;=Controls!$E$32),--(data.media.dates&lt;Controls!$F$32+Controls!$L$24))</f>
        <v>16970</v>
      </c>
      <c r="R282" s="86">
        <f t="array" aca="1" ref="R282" ca="1">SUMPRODUCT(data.media.engagement, --(WEEKDAY(data.media.dates, 2)=ROWS($C$281:R282)),--(HOUR(data.media.dates)=COLUMNS($C$281:R282)-1),--(data.media.dates&gt;=Controls!$E$32),--(data.media.dates&lt;Controls!$F$32+Controls!$L$24))</f>
        <v>8381</v>
      </c>
      <c r="S282" s="86">
        <f t="array" aca="1" ref="S282" ca="1">SUMPRODUCT(data.media.engagement, --(WEEKDAY(data.media.dates, 2)=ROWS($C$281:S282)),--(HOUR(data.media.dates)=COLUMNS($C$281:S282)-1),--(data.media.dates&gt;=Controls!$E$32),--(data.media.dates&lt;Controls!$F$32+Controls!$L$24))</f>
        <v>3227</v>
      </c>
      <c r="T282" s="86">
        <f t="array" aca="1" ref="T282" ca="1">SUMPRODUCT(data.media.engagement, --(WEEKDAY(data.media.dates, 2)=ROWS($C$281:T282)),--(HOUR(data.media.dates)=COLUMNS($C$281:T282)-1),--(data.media.dates&gt;=Controls!$E$32),--(data.media.dates&lt;Controls!$F$32+Controls!$L$24))</f>
        <v>1842</v>
      </c>
      <c r="U282" s="86">
        <f t="array" aca="1" ref="U282" ca="1">SUMPRODUCT(data.media.engagement, --(WEEKDAY(data.media.dates, 2)=ROWS($C$281:U282)),--(HOUR(data.media.dates)=COLUMNS($C$281:U282)-1),--(data.media.dates&gt;=Controls!$E$32),--(data.media.dates&lt;Controls!$F$32+Controls!$L$24))</f>
        <v>2199</v>
      </c>
      <c r="V282" s="86">
        <f t="array" aca="1" ref="V282" ca="1">SUMPRODUCT(data.media.engagement, --(WEEKDAY(data.media.dates, 2)=ROWS($C$281:V282)),--(HOUR(data.media.dates)=COLUMNS($C$281:V282)-1),--(data.media.dates&gt;=Controls!$E$32),--(data.media.dates&lt;Controls!$F$32+Controls!$L$24))</f>
        <v>3822</v>
      </c>
      <c r="W282" s="86">
        <f t="array" aca="1" ref="W282" ca="1">SUMPRODUCT(data.media.engagement, --(WEEKDAY(data.media.dates, 2)=ROWS($C$281:W282)),--(HOUR(data.media.dates)=COLUMNS($C$281:W282)-1),--(data.media.dates&gt;=Controls!$E$32),--(data.media.dates&lt;Controls!$F$32+Controls!$L$24))</f>
        <v>1239</v>
      </c>
      <c r="X282" s="86">
        <f t="array" aca="1" ref="X282" ca="1">SUMPRODUCT(data.media.engagement, --(WEEKDAY(data.media.dates, 2)=ROWS($C$281:X282)),--(HOUR(data.media.dates)=COLUMNS($C$281:X282)-1),--(data.media.dates&gt;=Controls!$E$32),--(data.media.dates&lt;Controls!$F$32+Controls!$L$24))</f>
        <v>1140</v>
      </c>
      <c r="Y282" s="86">
        <f t="array" aca="1" ref="Y282" ca="1">SUMPRODUCT(data.media.engagement, --(WEEKDAY(data.media.dates, 2)=ROWS($C$281:Y282)),--(HOUR(data.media.dates)=COLUMNS($C$281:Y282)-1),--(data.media.dates&gt;=Controls!$E$32),--(data.media.dates&lt;Controls!$F$32+Controls!$L$24))</f>
        <v>5432</v>
      </c>
      <c r="Z282" s="86">
        <f t="array" aca="1" ref="Z282" ca="1">SUMPRODUCT(data.media.engagement, --(WEEKDAY(data.media.dates, 2)=ROWS($C$281:Z282)),--(HOUR(data.media.dates)=COLUMNS($C$281:Z282)-1),--(data.media.dates&gt;=Controls!$E$32),--(data.media.dates&lt;Controls!$F$32+Controls!$L$24))</f>
        <v>1372</v>
      </c>
      <c r="AA282" s="246">
        <f t="shared" ref="AA282:AA287" ca="1" si="29">SUM(C282:Z282)</f>
        <v>93908</v>
      </c>
      <c r="AB282" s="247">
        <f t="shared" ref="AB282:AB288" ca="1" si="30">AA282/$AA$288</f>
        <v>0.14123436440174519</v>
      </c>
      <c r="XX282" s="79"/>
    </row>
    <row r="283" spans="2:648" x14ac:dyDescent="0.25">
      <c r="B283" s="100" t="s">
        <v>42</v>
      </c>
      <c r="C283" s="86">
        <f t="array" aca="1" ref="C283" ca="1">SUMPRODUCT(data.media.engagement, --(WEEKDAY(data.media.dates, 2)=ROWS($C$281:C283)),--(HOUR(data.media.dates)=COLUMNS($C$281:C283)-1),--(data.media.dates&gt;=Controls!$E$32),--(data.media.dates&lt;Controls!$F$32+Controls!$L$24))</f>
        <v>1012</v>
      </c>
      <c r="D283" s="86">
        <f t="array" aca="1" ref="D283" ca="1">SUMPRODUCT(data.media.engagement, --(WEEKDAY(data.media.dates, 2)=ROWS($C$281:D283)),--(HOUR(data.media.dates)=COLUMNS($C$281:D283)-1),--(data.media.dates&gt;=Controls!$E$32),--(data.media.dates&lt;Controls!$F$32+Controls!$L$24))</f>
        <v>1234</v>
      </c>
      <c r="E283" s="86">
        <f t="array" aca="1" ref="E283" ca="1">SUMPRODUCT(data.media.engagement, --(WEEKDAY(data.media.dates, 2)=ROWS($C$281:E283)),--(HOUR(data.media.dates)=COLUMNS($C$281:E283)-1),--(data.media.dates&gt;=Controls!$E$32),--(data.media.dates&lt;Controls!$F$32+Controls!$L$24))</f>
        <v>2057</v>
      </c>
      <c r="F283" s="86">
        <f t="array" aca="1" ref="F283" ca="1">SUMPRODUCT(data.media.engagement, --(WEEKDAY(data.media.dates, 2)=ROWS($C$281:F283)),--(HOUR(data.media.dates)=COLUMNS($C$281:F283)-1),--(data.media.dates&gt;=Controls!$E$32),--(data.media.dates&lt;Controls!$F$32+Controls!$L$24))</f>
        <v>3057</v>
      </c>
      <c r="G283" s="86">
        <f t="array" aca="1" ref="G283" ca="1">SUMPRODUCT(data.media.engagement, --(WEEKDAY(data.media.dates, 2)=ROWS($C$281:G283)),--(HOUR(data.media.dates)=COLUMNS($C$281:G283)-1),--(data.media.dates&gt;=Controls!$E$32),--(data.media.dates&lt;Controls!$F$32+Controls!$L$24))</f>
        <v>2000</v>
      </c>
      <c r="H283" s="86">
        <f t="array" aca="1" ref="H283" ca="1">SUMPRODUCT(data.media.engagement, --(WEEKDAY(data.media.dates, 2)=ROWS($C$281:H283)),--(HOUR(data.media.dates)=COLUMNS($C$281:H283)-1),--(data.media.dates&gt;=Controls!$E$32),--(data.media.dates&lt;Controls!$F$32+Controls!$L$24))</f>
        <v>2058</v>
      </c>
      <c r="I283" s="86">
        <f t="array" aca="1" ref="I283" ca="1">SUMPRODUCT(data.media.engagement, --(WEEKDAY(data.media.dates, 2)=ROWS($C$281:I283)),--(HOUR(data.media.dates)=COLUMNS($C$281:I283)-1),--(data.media.dates&gt;=Controls!$E$32),--(data.media.dates&lt;Controls!$F$32+Controls!$L$24))</f>
        <v>2915</v>
      </c>
      <c r="J283" s="86">
        <f t="array" aca="1" ref="J283" ca="1">SUMPRODUCT(data.media.engagement, --(WEEKDAY(data.media.dates, 2)=ROWS($C$281:J283)),--(HOUR(data.media.dates)=COLUMNS($C$281:J283)-1),--(data.media.dates&gt;=Controls!$E$32),--(data.media.dates&lt;Controls!$F$32+Controls!$L$24))</f>
        <v>5318</v>
      </c>
      <c r="K283" s="86">
        <f t="array" aca="1" ref="K283" ca="1">SUMPRODUCT(data.media.engagement, --(WEEKDAY(data.media.dates, 2)=ROWS($C$281:K283)),--(HOUR(data.media.dates)=COLUMNS($C$281:K283)-1),--(data.media.dates&gt;=Controls!$E$32),--(data.media.dates&lt;Controls!$F$32+Controls!$L$24))</f>
        <v>6090</v>
      </c>
      <c r="L283" s="86">
        <f t="array" aca="1" ref="L283" ca="1">SUMPRODUCT(data.media.engagement, --(WEEKDAY(data.media.dates, 2)=ROWS($C$281:L283)),--(HOUR(data.media.dates)=COLUMNS($C$281:L283)-1),--(data.media.dates&gt;=Controls!$E$32),--(data.media.dates&lt;Controls!$F$32+Controls!$L$24))</f>
        <v>4063</v>
      </c>
      <c r="M283" s="86">
        <f t="array" aca="1" ref="M283" ca="1">SUMPRODUCT(data.media.engagement, --(WEEKDAY(data.media.dates, 2)=ROWS($C$281:M283)),--(HOUR(data.media.dates)=COLUMNS($C$281:M283)-1),--(data.media.dates&gt;=Controls!$E$32),--(data.media.dates&lt;Controls!$F$32+Controls!$L$24))</f>
        <v>5164</v>
      </c>
      <c r="N283" s="86">
        <f t="array" aca="1" ref="N283" ca="1">SUMPRODUCT(data.media.engagement, --(WEEKDAY(data.media.dates, 2)=ROWS($C$281:N283)),--(HOUR(data.media.dates)=COLUMNS($C$281:N283)-1),--(data.media.dates&gt;=Controls!$E$32),--(data.media.dates&lt;Controls!$F$32+Controls!$L$24))</f>
        <v>2924</v>
      </c>
      <c r="O283" s="86">
        <f t="array" aca="1" ref="O283" ca="1">SUMPRODUCT(data.media.engagement, --(WEEKDAY(data.media.dates, 2)=ROWS($C$281:O283)),--(HOUR(data.media.dates)=COLUMNS($C$281:O283)-1),--(data.media.dates&gt;=Controls!$E$32),--(data.media.dates&lt;Controls!$F$32+Controls!$L$24))</f>
        <v>3266</v>
      </c>
      <c r="P283" s="86">
        <f t="array" aca="1" ref="P283" ca="1">SUMPRODUCT(data.media.engagement, --(WEEKDAY(data.media.dates, 2)=ROWS($C$281:P283)),--(HOUR(data.media.dates)=COLUMNS($C$281:P283)-1),--(data.media.dates&gt;=Controls!$E$32),--(data.media.dates&lt;Controls!$F$32+Controls!$L$24))</f>
        <v>3116</v>
      </c>
      <c r="Q283" s="86">
        <f t="array" aca="1" ref="Q283" ca="1">SUMPRODUCT(data.media.engagement, --(WEEKDAY(data.media.dates, 2)=ROWS($C$281:Q283)),--(HOUR(data.media.dates)=COLUMNS($C$281:Q283)-1),--(data.media.dates&gt;=Controls!$E$32),--(data.media.dates&lt;Controls!$F$32+Controls!$L$24))</f>
        <v>8733</v>
      </c>
      <c r="R283" s="86">
        <f t="array" aca="1" ref="R283" ca="1">SUMPRODUCT(data.media.engagement, --(WEEKDAY(data.media.dates, 2)=ROWS($C$281:R283)),--(HOUR(data.media.dates)=COLUMNS($C$281:R283)-1),--(data.media.dates&gt;=Controls!$E$32),--(data.media.dates&lt;Controls!$F$32+Controls!$L$24))</f>
        <v>8985</v>
      </c>
      <c r="S283" s="86">
        <f t="array" aca="1" ref="S283" ca="1">SUMPRODUCT(data.media.engagement, --(WEEKDAY(data.media.dates, 2)=ROWS($C$281:S283)),--(HOUR(data.media.dates)=COLUMNS($C$281:S283)-1),--(data.media.dates&gt;=Controls!$E$32),--(data.media.dates&lt;Controls!$F$32+Controls!$L$24))</f>
        <v>16024</v>
      </c>
      <c r="T283" s="86">
        <f t="array" aca="1" ref="T283" ca="1">SUMPRODUCT(data.media.engagement, --(WEEKDAY(data.media.dates, 2)=ROWS($C$281:T283)),--(HOUR(data.media.dates)=COLUMNS($C$281:T283)-1),--(data.media.dates&gt;=Controls!$E$32),--(data.media.dates&lt;Controls!$F$32+Controls!$L$24))</f>
        <v>15748</v>
      </c>
      <c r="U283" s="86">
        <f t="array" aca="1" ref="U283" ca="1">SUMPRODUCT(data.media.engagement, --(WEEKDAY(data.media.dates, 2)=ROWS($C$281:U283)),--(HOUR(data.media.dates)=COLUMNS($C$281:U283)-1),--(data.media.dates&gt;=Controls!$E$32),--(data.media.dates&lt;Controls!$F$32+Controls!$L$24))</f>
        <v>2306</v>
      </c>
      <c r="V283" s="86">
        <f t="array" aca="1" ref="V283" ca="1">SUMPRODUCT(data.media.engagement, --(WEEKDAY(data.media.dates, 2)=ROWS($C$281:V283)),--(HOUR(data.media.dates)=COLUMNS($C$281:V283)-1),--(data.media.dates&gt;=Controls!$E$32),--(data.media.dates&lt;Controls!$F$32+Controls!$L$24))</f>
        <v>4439</v>
      </c>
      <c r="W283" s="86">
        <f t="array" aca="1" ref="W283" ca="1">SUMPRODUCT(data.media.engagement, --(WEEKDAY(data.media.dates, 2)=ROWS($C$281:W283)),--(HOUR(data.media.dates)=COLUMNS($C$281:W283)-1),--(data.media.dates&gt;=Controls!$E$32),--(data.media.dates&lt;Controls!$F$32+Controls!$L$24))</f>
        <v>2308</v>
      </c>
      <c r="X283" s="86">
        <f t="array" aca="1" ref="X283" ca="1">SUMPRODUCT(data.media.engagement, --(WEEKDAY(data.media.dates, 2)=ROWS($C$281:X283)),--(HOUR(data.media.dates)=COLUMNS($C$281:X283)-1),--(data.media.dates&gt;=Controls!$E$32),--(data.media.dates&lt;Controls!$F$32+Controls!$L$24))</f>
        <v>3812</v>
      </c>
      <c r="Y283" s="86">
        <f t="array" aca="1" ref="Y283" ca="1">SUMPRODUCT(data.media.engagement, --(WEEKDAY(data.media.dates, 2)=ROWS($C$281:Y283)),--(HOUR(data.media.dates)=COLUMNS($C$281:Y283)-1),--(data.media.dates&gt;=Controls!$E$32),--(data.media.dates&lt;Controls!$F$32+Controls!$L$24))</f>
        <v>1351</v>
      </c>
      <c r="Z283" s="86">
        <f t="array" aca="1" ref="Z283" ca="1">SUMPRODUCT(data.media.engagement, --(WEEKDAY(data.media.dates, 2)=ROWS($C$281:Z283)),--(HOUR(data.media.dates)=COLUMNS($C$281:Z283)-1),--(data.media.dates&gt;=Controls!$E$32),--(data.media.dates&lt;Controls!$F$32+Controls!$L$24))</f>
        <v>4760</v>
      </c>
      <c r="AA283" s="246">
        <f t="shared" ca="1" si="29"/>
        <v>112740</v>
      </c>
      <c r="AB283" s="247">
        <f t="shared" ca="1" si="30"/>
        <v>0.16955703712838899</v>
      </c>
      <c r="XX283" s="79"/>
    </row>
    <row r="284" spans="2:648" x14ac:dyDescent="0.25">
      <c r="B284" s="100" t="s">
        <v>44</v>
      </c>
      <c r="C284" s="86">
        <f t="array" aca="1" ref="C284" ca="1">SUMPRODUCT(data.media.engagement, --(WEEKDAY(data.media.dates, 2)=ROWS($C$281:C284)),--(HOUR(data.media.dates)=COLUMNS($C$281:C284)-1),--(data.media.dates&gt;=Controls!$E$32),--(data.media.dates&lt;Controls!$F$32+Controls!$L$24))</f>
        <v>5368</v>
      </c>
      <c r="D284" s="86">
        <f t="array" aca="1" ref="D284" ca="1">SUMPRODUCT(data.media.engagement, --(WEEKDAY(data.media.dates, 2)=ROWS($C$281:D284)),--(HOUR(data.media.dates)=COLUMNS($C$281:D284)-1),--(data.media.dates&gt;=Controls!$E$32),--(data.media.dates&lt;Controls!$F$32+Controls!$L$24))</f>
        <v>1234</v>
      </c>
      <c r="E284" s="86">
        <f t="array" aca="1" ref="E284" ca="1">SUMPRODUCT(data.media.engagement, --(WEEKDAY(data.media.dates, 2)=ROWS($C$281:E284)),--(HOUR(data.media.dates)=COLUMNS($C$281:E284)-1),--(data.media.dates&gt;=Controls!$E$32),--(data.media.dates&lt;Controls!$F$32+Controls!$L$24))</f>
        <v>16840</v>
      </c>
      <c r="F284" s="86">
        <f t="array" aca="1" ref="F284" ca="1">SUMPRODUCT(data.media.engagement, --(WEEKDAY(data.media.dates, 2)=ROWS($C$281:F284)),--(HOUR(data.media.dates)=COLUMNS($C$281:F284)-1),--(data.media.dates&gt;=Controls!$E$32),--(data.media.dates&lt;Controls!$F$32+Controls!$L$24))</f>
        <v>1788</v>
      </c>
      <c r="G284" s="86">
        <f t="array" aca="1" ref="G284" ca="1">SUMPRODUCT(data.media.engagement, --(WEEKDAY(data.media.dates, 2)=ROWS($C$281:G284)),--(HOUR(data.media.dates)=COLUMNS($C$281:G284)-1),--(data.media.dates&gt;=Controls!$E$32),--(data.media.dates&lt;Controls!$F$32+Controls!$L$24))</f>
        <v>1249</v>
      </c>
      <c r="H284" s="86">
        <f t="array" aca="1" ref="H284" ca="1">SUMPRODUCT(data.media.engagement, --(WEEKDAY(data.media.dates, 2)=ROWS($C$281:H284)),--(HOUR(data.media.dates)=COLUMNS($C$281:H284)-1),--(data.media.dates&gt;=Controls!$E$32),--(data.media.dates&lt;Controls!$F$32+Controls!$L$24))</f>
        <v>2174</v>
      </c>
      <c r="I284" s="86">
        <f t="array" aca="1" ref="I284" ca="1">SUMPRODUCT(data.media.engagement, --(WEEKDAY(data.media.dates, 2)=ROWS($C$281:I284)),--(HOUR(data.media.dates)=COLUMNS($C$281:I284)-1),--(data.media.dates&gt;=Controls!$E$32),--(data.media.dates&lt;Controls!$F$32+Controls!$L$24))</f>
        <v>2292</v>
      </c>
      <c r="J284" s="86">
        <f t="array" aca="1" ref="J284" ca="1">SUMPRODUCT(data.media.engagement, --(WEEKDAY(data.media.dates, 2)=ROWS($C$281:J284)),--(HOUR(data.media.dates)=COLUMNS($C$281:J284)-1),--(data.media.dates&gt;=Controls!$E$32),--(data.media.dates&lt;Controls!$F$32+Controls!$L$24))</f>
        <v>1638</v>
      </c>
      <c r="K284" s="86">
        <f t="array" aca="1" ref="K284" ca="1">SUMPRODUCT(data.media.engagement, --(WEEKDAY(data.media.dates, 2)=ROWS($C$281:K284)),--(HOUR(data.media.dates)=COLUMNS($C$281:K284)-1),--(data.media.dates&gt;=Controls!$E$32),--(data.media.dates&lt;Controls!$F$32+Controls!$L$24))</f>
        <v>7121</v>
      </c>
      <c r="L284" s="86">
        <f t="array" aca="1" ref="L284" ca="1">SUMPRODUCT(data.media.engagement, --(WEEKDAY(data.media.dates, 2)=ROWS($C$281:L284)),--(HOUR(data.media.dates)=COLUMNS($C$281:L284)-1),--(data.media.dates&gt;=Controls!$E$32),--(data.media.dates&lt;Controls!$F$32+Controls!$L$24))</f>
        <v>11896</v>
      </c>
      <c r="M284" s="86">
        <f t="array" aca="1" ref="M284" ca="1">SUMPRODUCT(data.media.engagement, --(WEEKDAY(data.media.dates, 2)=ROWS($C$281:M284)),--(HOUR(data.media.dates)=COLUMNS($C$281:M284)-1),--(data.media.dates&gt;=Controls!$E$32),--(data.media.dates&lt;Controls!$F$32+Controls!$L$24))</f>
        <v>2359</v>
      </c>
      <c r="N284" s="86">
        <f t="array" aca="1" ref="N284" ca="1">SUMPRODUCT(data.media.engagement, --(WEEKDAY(data.media.dates, 2)=ROWS($C$281:N284)),--(HOUR(data.media.dates)=COLUMNS($C$281:N284)-1),--(data.media.dates&gt;=Controls!$E$32),--(data.media.dates&lt;Controls!$F$32+Controls!$L$24))</f>
        <v>3091</v>
      </c>
      <c r="O284" s="86">
        <f t="array" aca="1" ref="O284" ca="1">SUMPRODUCT(data.media.engagement, --(WEEKDAY(data.media.dates, 2)=ROWS($C$281:O284)),--(HOUR(data.media.dates)=COLUMNS($C$281:O284)-1),--(data.media.dates&gt;=Controls!$E$32),--(data.media.dates&lt;Controls!$F$32+Controls!$L$24))</f>
        <v>4530</v>
      </c>
      <c r="P284" s="86">
        <f t="array" aca="1" ref="P284" ca="1">SUMPRODUCT(data.media.engagement, --(WEEKDAY(data.media.dates, 2)=ROWS($C$281:P284)),--(HOUR(data.media.dates)=COLUMNS($C$281:P284)-1),--(data.media.dates&gt;=Controls!$E$32),--(data.media.dates&lt;Controls!$F$32+Controls!$L$24))</f>
        <v>2280</v>
      </c>
      <c r="Q284" s="86">
        <f t="array" aca="1" ref="Q284" ca="1">SUMPRODUCT(data.media.engagement, --(WEEKDAY(data.media.dates, 2)=ROWS($C$281:Q284)),--(HOUR(data.media.dates)=COLUMNS($C$281:Q284)-1),--(data.media.dates&gt;=Controls!$E$32),--(data.media.dates&lt;Controls!$F$32+Controls!$L$24))</f>
        <v>8460</v>
      </c>
      <c r="R284" s="86">
        <f t="array" aca="1" ref="R284" ca="1">SUMPRODUCT(data.media.engagement, --(WEEKDAY(data.media.dates, 2)=ROWS($C$281:R284)),--(HOUR(data.media.dates)=COLUMNS($C$281:R284)-1),--(data.media.dates&gt;=Controls!$E$32),--(data.media.dates&lt;Controls!$F$32+Controls!$L$24))</f>
        <v>3752</v>
      </c>
      <c r="S284" s="86">
        <f t="array" aca="1" ref="S284" ca="1">SUMPRODUCT(data.media.engagement, --(WEEKDAY(data.media.dates, 2)=ROWS($C$281:S284)),--(HOUR(data.media.dates)=COLUMNS($C$281:S284)-1),--(data.media.dates&gt;=Controls!$E$32),--(data.media.dates&lt;Controls!$F$32+Controls!$L$24))</f>
        <v>4353</v>
      </c>
      <c r="T284" s="86">
        <f t="array" aca="1" ref="T284" ca="1">SUMPRODUCT(data.media.engagement, --(WEEKDAY(data.media.dates, 2)=ROWS($C$281:T284)),--(HOUR(data.media.dates)=COLUMNS($C$281:T284)-1),--(data.media.dates&gt;=Controls!$E$32),--(data.media.dates&lt;Controls!$F$32+Controls!$L$24))</f>
        <v>3758</v>
      </c>
      <c r="U284" s="86">
        <f t="array" aca="1" ref="U284" ca="1">SUMPRODUCT(data.media.engagement, --(WEEKDAY(data.media.dates, 2)=ROWS($C$281:U284)),--(HOUR(data.media.dates)=COLUMNS($C$281:U284)-1),--(data.media.dates&gt;=Controls!$E$32),--(data.media.dates&lt;Controls!$F$32+Controls!$L$24))</f>
        <v>5375</v>
      </c>
      <c r="V284" s="86">
        <f t="array" aca="1" ref="V284" ca="1">SUMPRODUCT(data.media.engagement, --(WEEKDAY(data.media.dates, 2)=ROWS($C$281:V284)),--(HOUR(data.media.dates)=COLUMNS($C$281:V284)-1),--(data.media.dates&gt;=Controls!$E$32),--(data.media.dates&lt;Controls!$F$32+Controls!$L$24))</f>
        <v>2010</v>
      </c>
      <c r="W284" s="86">
        <f t="array" aca="1" ref="W284" ca="1">SUMPRODUCT(data.media.engagement, --(WEEKDAY(data.media.dates, 2)=ROWS($C$281:W284)),--(HOUR(data.media.dates)=COLUMNS($C$281:W284)-1),--(data.media.dates&gt;=Controls!$E$32),--(data.media.dates&lt;Controls!$F$32+Controls!$L$24))</f>
        <v>2453</v>
      </c>
      <c r="X284" s="86">
        <f t="array" aca="1" ref="X284" ca="1">SUMPRODUCT(data.media.engagement, --(WEEKDAY(data.media.dates, 2)=ROWS($C$281:X284)),--(HOUR(data.media.dates)=COLUMNS($C$281:X284)-1),--(data.media.dates&gt;=Controls!$E$32),--(data.media.dates&lt;Controls!$F$32+Controls!$L$24))</f>
        <v>2706</v>
      </c>
      <c r="Y284" s="86">
        <f t="array" aca="1" ref="Y284" ca="1">SUMPRODUCT(data.media.engagement, --(WEEKDAY(data.media.dates, 2)=ROWS($C$281:Y284)),--(HOUR(data.media.dates)=COLUMNS($C$281:Y284)-1),--(data.media.dates&gt;=Controls!$E$32),--(data.media.dates&lt;Controls!$F$32+Controls!$L$24))</f>
        <v>1080</v>
      </c>
      <c r="Z284" s="86">
        <f t="array" aca="1" ref="Z284" ca="1">SUMPRODUCT(data.media.engagement, --(WEEKDAY(data.media.dates, 2)=ROWS($C$281:Z284)),--(HOUR(data.media.dates)=COLUMNS($C$281:Z284)-1),--(data.media.dates&gt;=Controls!$E$32),--(data.media.dates&lt;Controls!$F$32+Controls!$L$24))</f>
        <v>4187</v>
      </c>
      <c r="AA284" s="246">
        <f t="shared" ca="1" si="29"/>
        <v>101994</v>
      </c>
      <c r="AB284" s="247">
        <f t="shared" ca="1" si="30"/>
        <v>0.15339542704339992</v>
      </c>
      <c r="XX284" s="79"/>
    </row>
    <row r="285" spans="2:648" x14ac:dyDescent="0.25">
      <c r="B285" s="100" t="s">
        <v>45</v>
      </c>
      <c r="C285" s="86">
        <f t="array" aca="1" ref="C285" ca="1">SUMPRODUCT(data.media.engagement, --(WEEKDAY(data.media.dates, 2)=ROWS($C$281:C285)),--(HOUR(data.media.dates)=COLUMNS($C$281:C285)-1),--(data.media.dates&gt;=Controls!$E$32),--(data.media.dates&lt;Controls!$F$32+Controls!$L$24))</f>
        <v>2434</v>
      </c>
      <c r="D285" s="86">
        <f t="array" aca="1" ref="D285" ca="1">SUMPRODUCT(data.media.engagement, --(WEEKDAY(data.media.dates, 2)=ROWS($C$281:D285)),--(HOUR(data.media.dates)=COLUMNS($C$281:D285)-1),--(data.media.dates&gt;=Controls!$E$32),--(data.media.dates&lt;Controls!$F$32+Controls!$L$24))</f>
        <v>1212</v>
      </c>
      <c r="E285" s="86">
        <f t="array" aca="1" ref="E285" ca="1">SUMPRODUCT(data.media.engagement, --(WEEKDAY(data.media.dates, 2)=ROWS($C$281:E285)),--(HOUR(data.media.dates)=COLUMNS($C$281:E285)-1),--(data.media.dates&gt;=Controls!$E$32),--(data.media.dates&lt;Controls!$F$32+Controls!$L$24))</f>
        <v>2503</v>
      </c>
      <c r="F285" s="86">
        <f t="array" aca="1" ref="F285" ca="1">SUMPRODUCT(data.media.engagement, --(WEEKDAY(data.media.dates, 2)=ROWS($C$281:F285)),--(HOUR(data.media.dates)=COLUMNS($C$281:F285)-1),--(data.media.dates&gt;=Controls!$E$32),--(data.media.dates&lt;Controls!$F$32+Controls!$L$24))</f>
        <v>1832</v>
      </c>
      <c r="G285" s="86">
        <f t="array" aca="1" ref="G285" ca="1">SUMPRODUCT(data.media.engagement, --(WEEKDAY(data.media.dates, 2)=ROWS($C$281:G285)),--(HOUR(data.media.dates)=COLUMNS($C$281:G285)-1),--(data.media.dates&gt;=Controls!$E$32),--(data.media.dates&lt;Controls!$F$32+Controls!$L$24))</f>
        <v>2775</v>
      </c>
      <c r="H285" s="86">
        <f t="array" aca="1" ref="H285" ca="1">SUMPRODUCT(data.media.engagement, --(WEEKDAY(data.media.dates, 2)=ROWS($C$281:H285)),--(HOUR(data.media.dates)=COLUMNS($C$281:H285)-1),--(data.media.dates&gt;=Controls!$E$32),--(data.media.dates&lt;Controls!$F$32+Controls!$L$24))</f>
        <v>2105</v>
      </c>
      <c r="I285" s="86">
        <f t="array" aca="1" ref="I285" ca="1">SUMPRODUCT(data.media.engagement, --(WEEKDAY(data.media.dates, 2)=ROWS($C$281:I285)),--(HOUR(data.media.dates)=COLUMNS($C$281:I285)-1),--(data.media.dates&gt;=Controls!$E$32),--(data.media.dates&lt;Controls!$F$32+Controls!$L$24))</f>
        <v>3650</v>
      </c>
      <c r="J285" s="86">
        <f t="array" aca="1" ref="J285" ca="1">SUMPRODUCT(data.media.engagement, --(WEEKDAY(data.media.dates, 2)=ROWS($C$281:J285)),--(HOUR(data.media.dates)=COLUMNS($C$281:J285)-1),--(data.media.dates&gt;=Controls!$E$32),--(data.media.dates&lt;Controls!$F$32+Controls!$L$24))</f>
        <v>10002</v>
      </c>
      <c r="K285" s="86">
        <f t="array" aca="1" ref="K285" ca="1">SUMPRODUCT(data.media.engagement, --(WEEKDAY(data.media.dates, 2)=ROWS($C$281:K285)),--(HOUR(data.media.dates)=COLUMNS($C$281:K285)-1),--(data.media.dates&gt;=Controls!$E$32),--(data.media.dates&lt;Controls!$F$32+Controls!$L$24))</f>
        <v>4074</v>
      </c>
      <c r="L285" s="86">
        <f t="array" aca="1" ref="L285" ca="1">SUMPRODUCT(data.media.engagement, --(WEEKDAY(data.media.dates, 2)=ROWS($C$281:L285)),--(HOUR(data.media.dates)=COLUMNS($C$281:L285)-1),--(data.media.dates&gt;=Controls!$E$32),--(data.media.dates&lt;Controls!$F$32+Controls!$L$24))</f>
        <v>2614</v>
      </c>
      <c r="M285" s="86">
        <f t="array" aca="1" ref="M285" ca="1">SUMPRODUCT(data.media.engagement, --(WEEKDAY(data.media.dates, 2)=ROWS($C$281:M285)),--(HOUR(data.media.dates)=COLUMNS($C$281:M285)-1),--(data.media.dates&gt;=Controls!$E$32),--(data.media.dates&lt;Controls!$F$32+Controls!$L$24))</f>
        <v>2650</v>
      </c>
      <c r="N285" s="86">
        <f t="array" aca="1" ref="N285" ca="1">SUMPRODUCT(data.media.engagement, --(WEEKDAY(data.media.dates, 2)=ROWS($C$281:N285)),--(HOUR(data.media.dates)=COLUMNS($C$281:N285)-1),--(data.media.dates&gt;=Controls!$E$32),--(data.media.dates&lt;Controls!$F$32+Controls!$L$24))</f>
        <v>7963</v>
      </c>
      <c r="O285" s="86">
        <f t="array" aca="1" ref="O285" ca="1">SUMPRODUCT(data.media.engagement, --(WEEKDAY(data.media.dates, 2)=ROWS($C$281:O285)),--(HOUR(data.media.dates)=COLUMNS($C$281:O285)-1),--(data.media.dates&gt;=Controls!$E$32),--(data.media.dates&lt;Controls!$F$32+Controls!$L$24))</f>
        <v>7363</v>
      </c>
      <c r="P285" s="86">
        <f t="array" aca="1" ref="P285" ca="1">SUMPRODUCT(data.media.engagement, --(WEEKDAY(data.media.dates, 2)=ROWS($C$281:P285)),--(HOUR(data.media.dates)=COLUMNS($C$281:P285)-1),--(data.media.dates&gt;=Controls!$E$32),--(data.media.dates&lt;Controls!$F$32+Controls!$L$24))</f>
        <v>5090</v>
      </c>
      <c r="Q285" s="86">
        <f t="array" aca="1" ref="Q285" ca="1">SUMPRODUCT(data.media.engagement, --(WEEKDAY(data.media.dates, 2)=ROWS($C$281:Q285)),--(HOUR(data.media.dates)=COLUMNS($C$281:Q285)-1),--(data.media.dates&gt;=Controls!$E$32),--(data.media.dates&lt;Controls!$F$32+Controls!$L$24))</f>
        <v>6837</v>
      </c>
      <c r="R285" s="86">
        <f t="array" aca="1" ref="R285" ca="1">SUMPRODUCT(data.media.engagement, --(WEEKDAY(data.media.dates, 2)=ROWS($C$281:R285)),--(HOUR(data.media.dates)=COLUMNS($C$281:R285)-1),--(data.media.dates&gt;=Controls!$E$32),--(data.media.dates&lt;Controls!$F$32+Controls!$L$24))</f>
        <v>4844</v>
      </c>
      <c r="S285" s="86">
        <f t="array" aca="1" ref="S285" ca="1">SUMPRODUCT(data.media.engagement, --(WEEKDAY(data.media.dates, 2)=ROWS($C$281:S285)),--(HOUR(data.media.dates)=COLUMNS($C$281:S285)-1),--(data.media.dates&gt;=Controls!$E$32),--(data.media.dates&lt;Controls!$F$32+Controls!$L$24))</f>
        <v>6555</v>
      </c>
      <c r="T285" s="86">
        <f t="array" aca="1" ref="T285" ca="1">SUMPRODUCT(data.media.engagement, --(WEEKDAY(data.media.dates, 2)=ROWS($C$281:T285)),--(HOUR(data.media.dates)=COLUMNS($C$281:T285)-1),--(data.media.dates&gt;=Controls!$E$32),--(data.media.dates&lt;Controls!$F$32+Controls!$L$24))</f>
        <v>1791</v>
      </c>
      <c r="U285" s="86">
        <f t="array" aca="1" ref="U285" ca="1">SUMPRODUCT(data.media.engagement, --(WEEKDAY(data.media.dates, 2)=ROWS($C$281:U285)),--(HOUR(data.media.dates)=COLUMNS($C$281:U285)-1),--(data.media.dates&gt;=Controls!$E$32),--(data.media.dates&lt;Controls!$F$32+Controls!$L$24))</f>
        <v>4495</v>
      </c>
      <c r="V285" s="86">
        <f t="array" aca="1" ref="V285" ca="1">SUMPRODUCT(data.media.engagement, --(WEEKDAY(data.media.dates, 2)=ROWS($C$281:V285)),--(HOUR(data.media.dates)=COLUMNS($C$281:V285)-1),--(data.media.dates&gt;=Controls!$E$32),--(data.media.dates&lt;Controls!$F$32+Controls!$L$24))</f>
        <v>2587</v>
      </c>
      <c r="W285" s="86">
        <f t="array" aca="1" ref="W285" ca="1">SUMPRODUCT(data.media.engagement, --(WEEKDAY(data.media.dates, 2)=ROWS($C$281:W285)),--(HOUR(data.media.dates)=COLUMNS($C$281:W285)-1),--(data.media.dates&gt;=Controls!$E$32),--(data.media.dates&lt;Controls!$F$32+Controls!$L$24))</f>
        <v>1965</v>
      </c>
      <c r="X285" s="86">
        <f t="array" aca="1" ref="X285" ca="1">SUMPRODUCT(data.media.engagement, --(WEEKDAY(data.media.dates, 2)=ROWS($C$281:X285)),--(HOUR(data.media.dates)=COLUMNS($C$281:X285)-1),--(data.media.dates&gt;=Controls!$E$32),--(data.media.dates&lt;Controls!$F$32+Controls!$L$24))</f>
        <v>2514</v>
      </c>
      <c r="Y285" s="86">
        <f t="array" aca="1" ref="Y285" ca="1">SUMPRODUCT(data.media.engagement, --(WEEKDAY(data.media.dates, 2)=ROWS($C$281:Y285)),--(HOUR(data.media.dates)=COLUMNS($C$281:Y285)-1),--(data.media.dates&gt;=Controls!$E$32),--(data.media.dates&lt;Controls!$F$32+Controls!$L$24))</f>
        <v>4901</v>
      </c>
      <c r="Z285" s="86">
        <f t="array" aca="1" ref="Z285" ca="1">SUMPRODUCT(data.media.engagement, --(WEEKDAY(data.media.dates, 2)=ROWS($C$281:Z285)),--(HOUR(data.media.dates)=COLUMNS($C$281:Z285)-1),--(data.media.dates&gt;=Controls!$E$32),--(data.media.dates&lt;Controls!$F$32+Controls!$L$24))</f>
        <v>1136</v>
      </c>
      <c r="AA285" s="246">
        <f t="shared" ca="1" si="29"/>
        <v>93892</v>
      </c>
      <c r="AB285" s="247">
        <f t="shared" ca="1" si="30"/>
        <v>0.14121030095847703</v>
      </c>
      <c r="XX285" s="79"/>
    </row>
    <row r="286" spans="2:648" x14ac:dyDescent="0.25">
      <c r="B286" s="100" t="s">
        <v>46</v>
      </c>
      <c r="C286" s="86">
        <f t="array" aca="1" ref="C286" ca="1">SUMPRODUCT(data.media.engagement, --(WEEKDAY(data.media.dates, 2)=ROWS($C$281:C286)),--(HOUR(data.media.dates)=COLUMNS($C$281:C286)-1),--(data.media.dates&gt;=Controls!$E$32),--(data.media.dates&lt;Controls!$F$32+Controls!$L$24))</f>
        <v>1314</v>
      </c>
      <c r="D286" s="86">
        <f t="array" aca="1" ref="D286" ca="1">SUMPRODUCT(data.media.engagement, --(WEEKDAY(data.media.dates, 2)=ROWS($C$281:D286)),--(HOUR(data.media.dates)=COLUMNS($C$281:D286)-1),--(data.media.dates&gt;=Controls!$E$32),--(data.media.dates&lt;Controls!$F$32+Controls!$L$24))</f>
        <v>1554</v>
      </c>
      <c r="E286" s="86">
        <f t="array" aca="1" ref="E286" ca="1">SUMPRODUCT(data.media.engagement, --(WEEKDAY(data.media.dates, 2)=ROWS($C$281:E286)),--(HOUR(data.media.dates)=COLUMNS($C$281:E286)-1),--(data.media.dates&gt;=Controls!$E$32),--(data.media.dates&lt;Controls!$F$32+Controls!$L$24))</f>
        <v>1041</v>
      </c>
      <c r="F286" s="86">
        <f t="array" aca="1" ref="F286" ca="1">SUMPRODUCT(data.media.engagement, --(WEEKDAY(data.media.dates, 2)=ROWS($C$281:F286)),--(HOUR(data.media.dates)=COLUMNS($C$281:F286)-1),--(data.media.dates&gt;=Controls!$E$32),--(data.media.dates&lt;Controls!$F$32+Controls!$L$24))</f>
        <v>3062</v>
      </c>
      <c r="G286" s="86">
        <f t="array" aca="1" ref="G286" ca="1">SUMPRODUCT(data.media.engagement, --(WEEKDAY(data.media.dates, 2)=ROWS($C$281:G286)),--(HOUR(data.media.dates)=COLUMNS($C$281:G286)-1),--(data.media.dates&gt;=Controls!$E$32),--(data.media.dates&lt;Controls!$F$32+Controls!$L$24))</f>
        <v>1158</v>
      </c>
      <c r="H286" s="86">
        <f t="array" aca="1" ref="H286" ca="1">SUMPRODUCT(data.media.engagement, --(WEEKDAY(data.media.dates, 2)=ROWS($C$281:H286)),--(HOUR(data.media.dates)=COLUMNS($C$281:H286)-1),--(data.media.dates&gt;=Controls!$E$32),--(data.media.dates&lt;Controls!$F$32+Controls!$L$24))</f>
        <v>6446</v>
      </c>
      <c r="I286" s="86">
        <f t="array" aca="1" ref="I286" ca="1">SUMPRODUCT(data.media.engagement, --(WEEKDAY(data.media.dates, 2)=ROWS($C$281:I286)),--(HOUR(data.media.dates)=COLUMNS($C$281:I286)-1),--(data.media.dates&gt;=Controls!$E$32),--(data.media.dates&lt;Controls!$F$32+Controls!$L$24))</f>
        <v>2152</v>
      </c>
      <c r="J286" s="86">
        <f t="array" aca="1" ref="J286" ca="1">SUMPRODUCT(data.media.engagement, --(WEEKDAY(data.media.dates, 2)=ROWS($C$281:J286)),--(HOUR(data.media.dates)=COLUMNS($C$281:J286)-1),--(data.media.dates&gt;=Controls!$E$32),--(data.media.dates&lt;Controls!$F$32+Controls!$L$24))</f>
        <v>9004</v>
      </c>
      <c r="K286" s="86">
        <f t="array" aca="1" ref="K286" ca="1">SUMPRODUCT(data.media.engagement, --(WEEKDAY(data.media.dates, 2)=ROWS($C$281:K286)),--(HOUR(data.media.dates)=COLUMNS($C$281:K286)-1),--(data.media.dates&gt;=Controls!$E$32),--(data.media.dates&lt;Controls!$F$32+Controls!$L$24))</f>
        <v>2740</v>
      </c>
      <c r="L286" s="86">
        <f t="array" aca="1" ref="L286" ca="1">SUMPRODUCT(data.media.engagement, --(WEEKDAY(data.media.dates, 2)=ROWS($C$281:L286)),--(HOUR(data.media.dates)=COLUMNS($C$281:L286)-1),--(data.media.dates&gt;=Controls!$E$32),--(data.media.dates&lt;Controls!$F$32+Controls!$L$24))</f>
        <v>11345</v>
      </c>
      <c r="M286" s="86">
        <f t="array" aca="1" ref="M286" ca="1">SUMPRODUCT(data.media.engagement, --(WEEKDAY(data.media.dates, 2)=ROWS($C$281:M286)),--(HOUR(data.media.dates)=COLUMNS($C$281:M286)-1),--(data.media.dates&gt;=Controls!$E$32),--(data.media.dates&lt;Controls!$F$32+Controls!$L$24))</f>
        <v>1819</v>
      </c>
      <c r="N286" s="86">
        <f t="array" aca="1" ref="N286" ca="1">SUMPRODUCT(data.media.engagement, --(WEEKDAY(data.media.dates, 2)=ROWS($C$281:N286)),--(HOUR(data.media.dates)=COLUMNS($C$281:N286)-1),--(data.media.dates&gt;=Controls!$E$32),--(data.media.dates&lt;Controls!$F$32+Controls!$L$24))</f>
        <v>19074</v>
      </c>
      <c r="O286" s="86">
        <f t="array" aca="1" ref="O286" ca="1">SUMPRODUCT(data.media.engagement, --(WEEKDAY(data.media.dates, 2)=ROWS($C$281:O286)),--(HOUR(data.media.dates)=COLUMNS($C$281:O286)-1),--(data.media.dates&gt;=Controls!$E$32),--(data.media.dates&lt;Controls!$F$32+Controls!$L$24))</f>
        <v>6128</v>
      </c>
      <c r="P286" s="86">
        <f t="array" aca="1" ref="P286" ca="1">SUMPRODUCT(data.media.engagement, --(WEEKDAY(data.media.dates, 2)=ROWS($C$281:P286)),--(HOUR(data.media.dates)=COLUMNS($C$281:P286)-1),--(data.media.dates&gt;=Controls!$E$32),--(data.media.dates&lt;Controls!$F$32+Controls!$L$24))</f>
        <v>2494</v>
      </c>
      <c r="Q286" s="86">
        <f t="array" aca="1" ref="Q286" ca="1">SUMPRODUCT(data.media.engagement, --(WEEKDAY(data.media.dates, 2)=ROWS($C$281:Q286)),--(HOUR(data.media.dates)=COLUMNS($C$281:Q286)-1),--(data.media.dates&gt;=Controls!$E$32),--(data.media.dates&lt;Controls!$F$32+Controls!$L$24))</f>
        <v>4285</v>
      </c>
      <c r="R286" s="86">
        <f t="array" aca="1" ref="R286" ca="1">SUMPRODUCT(data.media.engagement, --(WEEKDAY(data.media.dates, 2)=ROWS($C$281:R286)),--(HOUR(data.media.dates)=COLUMNS($C$281:R286)-1),--(data.media.dates&gt;=Controls!$E$32),--(data.media.dates&lt;Controls!$F$32+Controls!$L$24))</f>
        <v>1383</v>
      </c>
      <c r="S286" s="86">
        <f t="array" aca="1" ref="S286" ca="1">SUMPRODUCT(data.media.engagement, --(WEEKDAY(data.media.dates, 2)=ROWS($C$281:S286)),--(HOUR(data.media.dates)=COLUMNS($C$281:S286)-1),--(data.media.dates&gt;=Controls!$E$32),--(data.media.dates&lt;Controls!$F$32+Controls!$L$24))</f>
        <v>5086</v>
      </c>
      <c r="T286" s="86">
        <f t="array" aca="1" ref="T286" ca="1">SUMPRODUCT(data.media.engagement, --(WEEKDAY(data.media.dates, 2)=ROWS($C$281:T286)),--(HOUR(data.media.dates)=COLUMNS($C$281:T286)-1),--(data.media.dates&gt;=Controls!$E$32),--(data.media.dates&lt;Controls!$F$32+Controls!$L$24))</f>
        <v>5102</v>
      </c>
      <c r="U286" s="86">
        <f t="array" aca="1" ref="U286" ca="1">SUMPRODUCT(data.media.engagement, --(WEEKDAY(data.media.dates, 2)=ROWS($C$281:U286)),--(HOUR(data.media.dates)=COLUMNS($C$281:U286)-1),--(data.media.dates&gt;=Controls!$E$32),--(data.media.dates&lt;Controls!$F$32+Controls!$L$24))</f>
        <v>2622</v>
      </c>
      <c r="V286" s="86">
        <f t="array" aca="1" ref="V286" ca="1">SUMPRODUCT(data.media.engagement, --(WEEKDAY(data.media.dates, 2)=ROWS($C$281:V286)),--(HOUR(data.media.dates)=COLUMNS($C$281:V286)-1),--(data.media.dates&gt;=Controls!$E$32),--(data.media.dates&lt;Controls!$F$32+Controls!$L$24))</f>
        <v>1032</v>
      </c>
      <c r="W286" s="86">
        <f t="array" aca="1" ref="W286" ca="1">SUMPRODUCT(data.media.engagement, --(WEEKDAY(data.media.dates, 2)=ROWS($C$281:W286)),--(HOUR(data.media.dates)=COLUMNS($C$281:W286)-1),--(data.media.dates&gt;=Controls!$E$32),--(data.media.dates&lt;Controls!$F$32+Controls!$L$24))</f>
        <v>1088</v>
      </c>
      <c r="X286" s="86">
        <f t="array" aca="1" ref="X286" ca="1">SUMPRODUCT(data.media.engagement, --(WEEKDAY(data.media.dates, 2)=ROWS($C$281:X286)),--(HOUR(data.media.dates)=COLUMNS($C$281:X286)-1),--(data.media.dates&gt;=Controls!$E$32),--(data.media.dates&lt;Controls!$F$32+Controls!$L$24))</f>
        <v>2576</v>
      </c>
      <c r="Y286" s="86">
        <f t="array" aca="1" ref="Y286" ca="1">SUMPRODUCT(data.media.engagement, --(WEEKDAY(data.media.dates, 2)=ROWS($C$281:Y286)),--(HOUR(data.media.dates)=COLUMNS($C$281:Y286)-1),--(data.media.dates&gt;=Controls!$E$32),--(data.media.dates&lt;Controls!$F$32+Controls!$L$24))</f>
        <v>4972</v>
      </c>
      <c r="Z286" s="86">
        <f t="array" aca="1" ref="Z286" ca="1">SUMPRODUCT(data.media.engagement, --(WEEKDAY(data.media.dates, 2)=ROWS($C$281:Z286)),--(HOUR(data.media.dates)=COLUMNS($C$281:Z286)-1),--(data.media.dates&gt;=Controls!$E$32),--(data.media.dates&lt;Controls!$F$32+Controls!$L$24))</f>
        <v>9275</v>
      </c>
      <c r="AA286" s="246">
        <f t="shared" ca="1" si="29"/>
        <v>106752</v>
      </c>
      <c r="AB286" s="247">
        <f t="shared" ca="1" si="30"/>
        <v>0.16055129348527392</v>
      </c>
      <c r="XX286" s="79"/>
    </row>
    <row r="287" spans="2:648" x14ac:dyDescent="0.25">
      <c r="B287" s="100" t="s">
        <v>39</v>
      </c>
      <c r="C287" s="86">
        <f t="array" aca="1" ref="C287" ca="1">SUMPRODUCT(data.media.engagement, --(WEEKDAY(data.media.dates, 2)=ROWS($C$281:C287)),--(HOUR(data.media.dates)=COLUMNS($C$281:C287)-1),--(data.media.dates&gt;=Controls!$E$32),--(data.media.dates&lt;Controls!$F$32+Controls!$L$24))</f>
        <v>842</v>
      </c>
      <c r="D287" s="86">
        <f t="array" aca="1" ref="D287" ca="1">SUMPRODUCT(data.media.engagement, --(WEEKDAY(data.media.dates, 2)=ROWS($C$281:D287)),--(HOUR(data.media.dates)=COLUMNS($C$281:D287)-1),--(data.media.dates&gt;=Controls!$E$32),--(data.media.dates&lt;Controls!$F$32+Controls!$L$24))</f>
        <v>746</v>
      </c>
      <c r="E287" s="86">
        <f t="array" aca="1" ref="E287" ca="1">SUMPRODUCT(data.media.engagement, --(WEEKDAY(data.media.dates, 2)=ROWS($C$281:E287)),--(HOUR(data.media.dates)=COLUMNS($C$281:E287)-1),--(data.media.dates&gt;=Controls!$E$32),--(data.media.dates&lt;Controls!$F$32+Controls!$L$24))</f>
        <v>743</v>
      </c>
      <c r="F287" s="86">
        <f t="array" aca="1" ref="F287" ca="1">SUMPRODUCT(data.media.engagement, --(WEEKDAY(data.media.dates, 2)=ROWS($C$281:F287)),--(HOUR(data.media.dates)=COLUMNS($C$281:F287)-1),--(data.media.dates&gt;=Controls!$E$32),--(data.media.dates&lt;Controls!$F$32+Controls!$L$24))</f>
        <v>3122</v>
      </c>
      <c r="G287" s="86">
        <f t="array" aca="1" ref="G287" ca="1">SUMPRODUCT(data.media.engagement, --(WEEKDAY(data.media.dates, 2)=ROWS($C$281:G287)),--(HOUR(data.media.dates)=COLUMNS($C$281:G287)-1),--(data.media.dates&gt;=Controls!$E$32),--(data.media.dates&lt;Controls!$F$32+Controls!$L$24))</f>
        <v>4258</v>
      </c>
      <c r="H287" s="86">
        <f t="array" aca="1" ref="H287" ca="1">SUMPRODUCT(data.media.engagement, --(WEEKDAY(data.media.dates, 2)=ROWS($C$281:H287)),--(HOUR(data.media.dates)=COLUMNS($C$281:H287)-1),--(data.media.dates&gt;=Controls!$E$32),--(data.media.dates&lt;Controls!$F$32+Controls!$L$24))</f>
        <v>8825</v>
      </c>
      <c r="I287" s="86">
        <f t="array" aca="1" ref="I287" ca="1">SUMPRODUCT(data.media.engagement, --(WEEKDAY(data.media.dates, 2)=ROWS($C$281:I287)),--(HOUR(data.media.dates)=COLUMNS($C$281:I287)-1),--(data.media.dates&gt;=Controls!$E$32),--(data.media.dates&lt;Controls!$F$32+Controls!$L$24))</f>
        <v>1557</v>
      </c>
      <c r="J287" s="86">
        <f t="array" aca="1" ref="J287" ca="1">SUMPRODUCT(data.media.engagement, --(WEEKDAY(data.media.dates, 2)=ROWS($C$281:J287)),--(HOUR(data.media.dates)=COLUMNS($C$281:J287)-1),--(data.media.dates&gt;=Controls!$E$32),--(data.media.dates&lt;Controls!$F$32+Controls!$L$24))</f>
        <v>2493</v>
      </c>
      <c r="K287" s="86">
        <f t="array" aca="1" ref="K287" ca="1">SUMPRODUCT(data.media.engagement, --(WEEKDAY(data.media.dates, 2)=ROWS($C$281:K287)),--(HOUR(data.media.dates)=COLUMNS($C$281:K287)-1),--(data.media.dates&gt;=Controls!$E$32),--(data.media.dates&lt;Controls!$F$32+Controls!$L$24))</f>
        <v>4128</v>
      </c>
      <c r="L287" s="86">
        <f t="array" aca="1" ref="L287" ca="1">SUMPRODUCT(data.media.engagement, --(WEEKDAY(data.media.dates, 2)=ROWS($C$281:L287)),--(HOUR(data.media.dates)=COLUMNS($C$281:L287)-1),--(data.media.dates&gt;=Controls!$E$32),--(data.media.dates&lt;Controls!$F$32+Controls!$L$24))</f>
        <v>5453</v>
      </c>
      <c r="M287" s="86">
        <f t="array" aca="1" ref="M287" ca="1">SUMPRODUCT(data.media.engagement, --(WEEKDAY(data.media.dates, 2)=ROWS($C$281:M287)),--(HOUR(data.media.dates)=COLUMNS($C$281:M287)-1),--(data.media.dates&gt;=Controls!$E$32),--(data.media.dates&lt;Controls!$F$32+Controls!$L$24))</f>
        <v>2238</v>
      </c>
      <c r="N287" s="86">
        <f t="array" aca="1" ref="N287" ca="1">SUMPRODUCT(data.media.engagement, --(WEEKDAY(data.media.dates, 2)=ROWS($C$281:N287)),--(HOUR(data.media.dates)=COLUMNS($C$281:N287)-1),--(data.media.dates&gt;=Controls!$E$32),--(data.media.dates&lt;Controls!$F$32+Controls!$L$24))</f>
        <v>4944</v>
      </c>
      <c r="O287" s="86">
        <f t="array" aca="1" ref="O287" ca="1">SUMPRODUCT(data.media.engagement, --(WEEKDAY(data.media.dates, 2)=ROWS($C$281:O287)),--(HOUR(data.media.dates)=COLUMNS($C$281:O287)-1),--(data.media.dates&gt;=Controls!$E$32),--(data.media.dates&lt;Controls!$F$32+Controls!$L$24))</f>
        <v>5876</v>
      </c>
      <c r="P287" s="86">
        <f t="array" aca="1" ref="P287" ca="1">SUMPRODUCT(data.media.engagement, --(WEEKDAY(data.media.dates, 2)=ROWS($C$281:P287)),--(HOUR(data.media.dates)=COLUMNS($C$281:P287)-1),--(data.media.dates&gt;=Controls!$E$32),--(data.media.dates&lt;Controls!$F$32+Controls!$L$24))</f>
        <v>2400</v>
      </c>
      <c r="Q287" s="86">
        <f t="array" aca="1" ref="Q287" ca="1">SUMPRODUCT(data.media.engagement, --(WEEKDAY(data.media.dates, 2)=ROWS($C$281:Q287)),--(HOUR(data.media.dates)=COLUMNS($C$281:Q287)-1),--(data.media.dates&gt;=Controls!$E$32),--(data.media.dates&lt;Controls!$F$32+Controls!$L$24))</f>
        <v>4701</v>
      </c>
      <c r="R287" s="86">
        <f t="array" aca="1" ref="R287" ca="1">SUMPRODUCT(data.media.engagement, --(WEEKDAY(data.media.dates, 2)=ROWS($C$281:R287)),--(HOUR(data.media.dates)=COLUMNS($C$281:R287)-1),--(data.media.dates&gt;=Controls!$E$32),--(data.media.dates&lt;Controls!$F$32+Controls!$L$24))</f>
        <v>3906</v>
      </c>
      <c r="S287" s="86">
        <f t="array" aca="1" ref="S287" ca="1">SUMPRODUCT(data.media.engagement, --(WEEKDAY(data.media.dates, 2)=ROWS($C$281:S287)),--(HOUR(data.media.dates)=COLUMNS($C$281:S287)-1),--(data.media.dates&gt;=Controls!$E$32),--(data.media.dates&lt;Controls!$F$32+Controls!$L$24))</f>
        <v>2663</v>
      </c>
      <c r="T287" s="86">
        <f t="array" aca="1" ref="T287" ca="1">SUMPRODUCT(data.media.engagement, --(WEEKDAY(data.media.dates, 2)=ROWS($C$281:T287)),--(HOUR(data.media.dates)=COLUMNS($C$281:T287)-1),--(data.media.dates&gt;=Controls!$E$32),--(data.media.dates&lt;Controls!$F$32+Controls!$L$24))</f>
        <v>1731</v>
      </c>
      <c r="U287" s="86">
        <f t="array" aca="1" ref="U287" ca="1">SUMPRODUCT(data.media.engagement, --(WEEKDAY(data.media.dates, 2)=ROWS($C$281:U287)),--(HOUR(data.media.dates)=COLUMNS($C$281:U287)-1),--(data.media.dates&gt;=Controls!$E$32),--(data.media.dates&lt;Controls!$F$32+Controls!$L$24))</f>
        <v>1878</v>
      </c>
      <c r="V287" s="86">
        <f t="array" aca="1" ref="V287" ca="1">SUMPRODUCT(data.media.engagement, --(WEEKDAY(data.media.dates, 2)=ROWS($C$281:V287)),--(HOUR(data.media.dates)=COLUMNS($C$281:V287)-1),--(data.media.dates&gt;=Controls!$E$32),--(data.media.dates&lt;Controls!$F$32+Controls!$L$24))</f>
        <v>1291</v>
      </c>
      <c r="W287" s="86">
        <f t="array" aca="1" ref="W287" ca="1">SUMPRODUCT(data.media.engagement, --(WEEKDAY(data.media.dates, 2)=ROWS($C$281:W287)),--(HOUR(data.media.dates)=COLUMNS($C$281:W287)-1),--(data.media.dates&gt;=Controls!$E$32),--(data.media.dates&lt;Controls!$F$32+Controls!$L$24))</f>
        <v>2435</v>
      </c>
      <c r="X287" s="86">
        <f t="array" aca="1" ref="X287" ca="1">SUMPRODUCT(data.media.engagement, --(WEEKDAY(data.media.dates, 2)=ROWS($C$281:X287)),--(HOUR(data.media.dates)=COLUMNS($C$281:X287)-1),--(data.media.dates&gt;=Controls!$E$32),--(data.media.dates&lt;Controls!$F$32+Controls!$L$24))</f>
        <v>1410</v>
      </c>
      <c r="Y287" s="86">
        <f t="array" aca="1" ref="Y287" ca="1">SUMPRODUCT(data.media.engagement, --(WEEKDAY(data.media.dates, 2)=ROWS($C$281:Y287)),--(HOUR(data.media.dates)=COLUMNS($C$281:Y287)-1),--(data.media.dates&gt;=Controls!$E$32),--(data.media.dates&lt;Controls!$F$32+Controls!$L$24))</f>
        <v>3728</v>
      </c>
      <c r="Z287" s="86">
        <f t="array" aca="1" ref="Z287" ca="1">SUMPRODUCT(data.media.engagement, --(WEEKDAY(data.media.dates, 2)=ROWS($C$281:Z287)),--(HOUR(data.media.dates)=COLUMNS($C$281:Z287)-1),--(data.media.dates&gt;=Controls!$E$32),--(data.media.dates&lt;Controls!$F$32+Controls!$L$24))</f>
        <v>7019</v>
      </c>
      <c r="AA287" s="246">
        <f t="shared" ca="1" si="29"/>
        <v>78387</v>
      </c>
      <c r="AB287" s="247">
        <f t="shared" ca="1" si="30"/>
        <v>0.11789132046640968</v>
      </c>
      <c r="XX287" s="79"/>
    </row>
    <row r="288" spans="2:648" x14ac:dyDescent="0.25">
      <c r="B288" s="101" t="s">
        <v>94</v>
      </c>
      <c r="C288" s="246">
        <f ca="1">SUM(C281:C287)</f>
        <v>16365</v>
      </c>
      <c r="D288" s="246">
        <f t="shared" ref="D288:Y288" ca="1" si="31">SUM(D281:D287)</f>
        <v>14299</v>
      </c>
      <c r="E288" s="246">
        <f t="shared" ca="1" si="31"/>
        <v>33866</v>
      </c>
      <c r="F288" s="246">
        <f t="shared" ca="1" si="31"/>
        <v>16248</v>
      </c>
      <c r="G288" s="246">
        <f t="shared" ca="1" si="31"/>
        <v>16367</v>
      </c>
      <c r="H288" s="246">
        <f t="shared" ca="1" si="31"/>
        <v>24575</v>
      </c>
      <c r="I288" s="246">
        <f t="shared" ca="1" si="31"/>
        <v>17881</v>
      </c>
      <c r="J288" s="246">
        <f t="shared" ca="1" si="31"/>
        <v>32905</v>
      </c>
      <c r="K288" s="246">
        <f t="shared" ca="1" si="31"/>
        <v>29203</v>
      </c>
      <c r="L288" s="246">
        <f t="shared" ca="1" si="31"/>
        <v>40004</v>
      </c>
      <c r="M288" s="246">
        <f t="shared" ca="1" si="31"/>
        <v>17630</v>
      </c>
      <c r="N288" s="246">
        <f t="shared" ca="1" si="31"/>
        <v>50444</v>
      </c>
      <c r="O288" s="246">
        <f t="shared" ca="1" si="31"/>
        <v>34483</v>
      </c>
      <c r="P288" s="246">
        <f t="shared" ca="1" si="31"/>
        <v>20521</v>
      </c>
      <c r="Q288" s="246">
        <f t="shared" ca="1" si="31"/>
        <v>63126</v>
      </c>
      <c r="R288" s="246">
        <f t="shared" ca="1" si="31"/>
        <v>38608</v>
      </c>
      <c r="S288" s="246">
        <f t="shared" ca="1" si="31"/>
        <v>39678</v>
      </c>
      <c r="T288" s="246">
        <f t="shared" ca="1" si="31"/>
        <v>31979</v>
      </c>
      <c r="U288" s="246">
        <f t="shared" ca="1" si="31"/>
        <v>19936</v>
      </c>
      <c r="V288" s="246">
        <f t="shared" ca="1" si="31"/>
        <v>16660</v>
      </c>
      <c r="W288" s="246">
        <f t="shared" ca="1" si="31"/>
        <v>20183</v>
      </c>
      <c r="X288" s="246">
        <f t="shared" ca="1" si="31"/>
        <v>17205</v>
      </c>
      <c r="Y288" s="246">
        <f t="shared" ca="1" si="31"/>
        <v>24250</v>
      </c>
      <c r="Z288" s="246">
        <f ca="1">SUM(Z281:Z287)</f>
        <v>28493</v>
      </c>
      <c r="AA288" s="246">
        <f ca="1">SUM(AA281:AA287)</f>
        <v>664909</v>
      </c>
      <c r="AB288" s="247">
        <f t="shared" ca="1" si="30"/>
        <v>1</v>
      </c>
      <c r="XX288" s="79"/>
    </row>
    <row r="289" spans="2:648" x14ac:dyDescent="0.25">
      <c r="XX289" s="79"/>
    </row>
    <row r="290" spans="2:648" x14ac:dyDescent="0.25">
      <c r="B290" s="100" t="s">
        <v>92</v>
      </c>
      <c r="C290" s="191" t="str">
        <f ca="1">INDEX(B281:B287, MATCH(D290, AA281:AA287, 0))</f>
        <v>Wednesday</v>
      </c>
      <c r="D290" s="192">
        <f ca="1">MAX(AA281:AA287)</f>
        <v>112740</v>
      </c>
      <c r="E290" s="191" t="str">
        <f ca="1">IFERROR(IF(D290/$AA$288&gt;=0.995, TEXT(D290/$AA$288, "#0%"), TEXT(D290/$AA$288, "#0.0%")), "")</f>
        <v>17.0%</v>
      </c>
      <c r="F290" s="191" t="str">
        <f ca="1">IFERROR(C290, "N/A")</f>
        <v>Wednesday</v>
      </c>
      <c r="G290" t="str">
        <f ca="1">IFERROR(IF(D290/$AA$288&gt;=0.1, "  of total engagements", "of total engagements"), "")</f>
        <v>  of total engagements</v>
      </c>
      <c r="XX290" s="79"/>
    </row>
    <row r="291" spans="2:648" x14ac:dyDescent="0.25">
      <c r="B291" s="100" t="s">
        <v>93</v>
      </c>
      <c r="C291" s="193" t="str">
        <f ca="1">"from "&amp;TEXT(INDEX(C280:Z280, MATCH(D291, C288:Z288, 0)), "[$-409]h:mm AM/PM;@")&amp;" to "&amp;TEXT(INDEX(C280:Z280, MATCH(D291, C288:Z288, 0))+1/24, "[$-409]h:mm AM/PM;@")</f>
        <v>from 2:00 PM to 3:00 PM</v>
      </c>
      <c r="D291" s="192">
        <f ca="1">MAX(C288:Z288)</f>
        <v>63126</v>
      </c>
      <c r="E291" s="191" t="str">
        <f ca="1">IFERROR(IF(D291/$AA$288&gt;=0.995, TEXT(D291/$AA$288, "#0%"), TEXT(D291/$AA$288, "#0.0%")), "")</f>
        <v>9.5%</v>
      </c>
      <c r="F291" s="191" t="str">
        <f ca="1">IFERROR(TEXT(INDEX(C280:Z280, MATCH(D291, C288:Z288, 0)), "[$-409]h:mm AM/PM;@")&amp;" – "&amp;TEXT(INDEX(C280:Z280, MATCH(D291, C288:Z288, 0))+1/24, "[$-409]h:mm AM/PM;@"), "N/A")</f>
        <v>2:00 PM – 3:00 PM</v>
      </c>
      <c r="G291" t="str">
        <f ca="1">IFERROR(IF(D291/$AA$288&gt;=0.1, "  of total engagements", "of total engagements"), "")</f>
        <v>of total engagements</v>
      </c>
      <c r="XX291" s="79"/>
    </row>
    <row r="292" spans="2:648" x14ac:dyDescent="0.25">
      <c r="XX292" s="79"/>
    </row>
    <row r="293" spans="2:648" x14ac:dyDescent="0.25">
      <c r="XX293" s="79"/>
    </row>
    <row r="294" spans="2:648" ht="15" customHeight="1" x14ac:dyDescent="0.25">
      <c r="B294" s="75" t="s">
        <v>2026</v>
      </c>
      <c r="C294" s="75"/>
      <c r="D294" s="75"/>
      <c r="E294" s="75"/>
      <c r="F294" s="75"/>
      <c r="G294" s="75"/>
      <c r="H294" s="75"/>
      <c r="I294" s="75"/>
      <c r="J294" s="75"/>
      <c r="K294" s="75"/>
      <c r="L294" s="75"/>
      <c r="M294" s="75"/>
      <c r="N294" s="75"/>
      <c r="O294" s="75"/>
      <c r="P294" s="75"/>
      <c r="Q294" s="75"/>
      <c r="R294" s="75"/>
      <c r="S294" s="75"/>
      <c r="T294" s="75"/>
      <c r="U294" s="75"/>
      <c r="V294" s="75"/>
      <c r="W294" s="75"/>
      <c r="X294" s="75"/>
      <c r="Y294" s="75"/>
      <c r="Z294" s="75"/>
      <c r="AA294" s="15"/>
      <c r="AB294" s="15"/>
      <c r="AC294" s="15"/>
      <c r="AD294" s="15"/>
      <c r="AE294" s="15"/>
      <c r="AF294" s="15"/>
      <c r="AG294" s="15"/>
      <c r="AH294" s="15"/>
      <c r="XX294" s="79"/>
    </row>
    <row r="295" spans="2:648" x14ac:dyDescent="0.25">
      <c r="B295" s="101" t="s">
        <v>79</v>
      </c>
      <c r="C295" s="102">
        <v>0</v>
      </c>
      <c r="D295" s="102">
        <f>C295+(1/24)</f>
        <v>4.1666666666666664E-2</v>
      </c>
      <c r="E295" s="102">
        <f>D295+(1/24)</f>
        <v>8.3333333333333329E-2</v>
      </c>
      <c r="F295" s="102">
        <f>E295+(1/24)</f>
        <v>0.125</v>
      </c>
      <c r="G295" s="102">
        <f t="shared" ref="G295:Z295" si="32">F295+(1/24)</f>
        <v>0.16666666666666666</v>
      </c>
      <c r="H295" s="102">
        <f t="shared" si="32"/>
        <v>0.20833333333333331</v>
      </c>
      <c r="I295" s="102">
        <f t="shared" si="32"/>
        <v>0.24999999999999997</v>
      </c>
      <c r="J295" s="102">
        <f t="shared" si="32"/>
        <v>0.29166666666666663</v>
      </c>
      <c r="K295" s="102">
        <f t="shared" si="32"/>
        <v>0.33333333333333331</v>
      </c>
      <c r="L295" s="102">
        <f t="shared" si="32"/>
        <v>0.375</v>
      </c>
      <c r="M295" s="102">
        <f t="shared" si="32"/>
        <v>0.41666666666666669</v>
      </c>
      <c r="N295" s="102">
        <f t="shared" si="32"/>
        <v>0.45833333333333337</v>
      </c>
      <c r="O295" s="102">
        <f t="shared" si="32"/>
        <v>0.5</v>
      </c>
      <c r="P295" s="102">
        <f t="shared" si="32"/>
        <v>0.54166666666666663</v>
      </c>
      <c r="Q295" s="102">
        <f t="shared" si="32"/>
        <v>0.58333333333333326</v>
      </c>
      <c r="R295" s="102">
        <f t="shared" si="32"/>
        <v>0.62499999999999989</v>
      </c>
      <c r="S295" s="102">
        <f t="shared" si="32"/>
        <v>0.66666666666666652</v>
      </c>
      <c r="T295" s="102">
        <f t="shared" si="32"/>
        <v>0.70833333333333315</v>
      </c>
      <c r="U295" s="102">
        <f t="shared" si="32"/>
        <v>0.74999999999999978</v>
      </c>
      <c r="V295" s="102">
        <f t="shared" si="32"/>
        <v>0.79166666666666641</v>
      </c>
      <c r="W295" s="102">
        <f t="shared" si="32"/>
        <v>0.83333333333333304</v>
      </c>
      <c r="X295" s="102">
        <f t="shared" si="32"/>
        <v>0.87499999999999967</v>
      </c>
      <c r="Y295" s="102">
        <f t="shared" si="32"/>
        <v>0.9166666666666663</v>
      </c>
      <c r="Z295" s="102">
        <f t="shared" si="32"/>
        <v>0.95833333333333293</v>
      </c>
      <c r="AA295" s="101" t="s">
        <v>94</v>
      </c>
      <c r="AB295" s="101" t="s">
        <v>95</v>
      </c>
      <c r="XX295" s="79"/>
    </row>
    <row r="296" spans="2:648" x14ac:dyDescent="0.25">
      <c r="B296" s="100" t="s">
        <v>40</v>
      </c>
      <c r="C296" s="103">
        <f t="array" aca="1" ref="C296" ca="1">SUMPRODUCT(--(WEEKDAY(data.media.dates, 2)=ROWS($C$296:C296)),--(HOUR(data.media.dates)=COLUMNS($C$296:C296)-1),--(data.media.dates&gt;=Controls!$E$32),--(data.media.dates&lt;Controls!$F$32+Controls!$L$24))</f>
        <v>25</v>
      </c>
      <c r="D296" s="103">
        <f t="array" aca="1" ref="D296" ca="1">SUMPRODUCT(--(WEEKDAY(data.media.dates, 2)=ROWS($C$296:D296)),--(HOUR(data.media.dates)=COLUMNS($C$296:D296)-1),--(data.media.dates&gt;=Controls!$E$32),--(data.media.dates&lt;Controls!$F$32+Controls!$L$24))</f>
        <v>50</v>
      </c>
      <c r="E296" s="103">
        <f t="array" aca="1" ref="E296" ca="1">SUMPRODUCT(--(WEEKDAY(data.media.dates, 2)=ROWS($C$296:E296)),--(HOUR(data.media.dates)=COLUMNS($C$296:E296)-1),--(data.media.dates&gt;=Controls!$E$32),--(data.media.dates&lt;Controls!$F$32+Controls!$L$24))</f>
        <v>27</v>
      </c>
      <c r="F296" s="103">
        <f t="array" aca="1" ref="F296" ca="1">SUMPRODUCT(--(WEEKDAY(data.media.dates, 2)=ROWS($C$296:F296)),--(HOUR(data.media.dates)=COLUMNS($C$296:F296)-1),--(data.media.dates&gt;=Controls!$E$32),--(data.media.dates&lt;Controls!$F$32+Controls!$L$24))</f>
        <v>30</v>
      </c>
      <c r="G296" s="103">
        <f t="array" aca="1" ref="G296" ca="1">SUMPRODUCT(--(WEEKDAY(data.media.dates, 2)=ROWS($C$296:G296)),--(HOUR(data.media.dates)=COLUMNS($C$296:G296)-1),--(data.media.dates&gt;=Controls!$E$32),--(data.media.dates&lt;Controls!$F$32+Controls!$L$24))</f>
        <v>43</v>
      </c>
      <c r="H296" s="103">
        <f t="array" aca="1" ref="H296" ca="1">SUMPRODUCT(--(WEEKDAY(data.media.dates, 2)=ROWS($C$296:H296)),--(HOUR(data.media.dates)=COLUMNS($C$296:H296)-1),--(data.media.dates&gt;=Controls!$E$32),--(data.media.dates&lt;Controls!$F$32+Controls!$L$24))</f>
        <v>19</v>
      </c>
      <c r="I296" s="103">
        <f t="array" aca="1" ref="I296" ca="1">SUMPRODUCT(--(WEEKDAY(data.media.dates, 2)=ROWS($C$296:I296)),--(HOUR(data.media.dates)=COLUMNS($C$296:I296)-1),--(data.media.dates&gt;=Controls!$E$32),--(data.media.dates&lt;Controls!$F$32+Controls!$L$24))</f>
        <v>37</v>
      </c>
      <c r="J296" s="103">
        <f t="array" aca="1" ref="J296" ca="1">SUMPRODUCT(--(WEEKDAY(data.media.dates, 2)=ROWS($C$296:J296)),--(HOUR(data.media.dates)=COLUMNS($C$296:J296)-1),--(data.media.dates&gt;=Controls!$E$32),--(data.media.dates&lt;Controls!$F$32+Controls!$L$24))</f>
        <v>33</v>
      </c>
      <c r="K296" s="103">
        <f t="array" aca="1" ref="K296" ca="1">SUMPRODUCT(--(WEEKDAY(data.media.dates, 2)=ROWS($C$296:K296)),--(HOUR(data.media.dates)=COLUMNS($C$296:K296)-1),--(data.media.dates&gt;=Controls!$E$32),--(data.media.dates&lt;Controls!$F$32+Controls!$L$24))</f>
        <v>45</v>
      </c>
      <c r="L296" s="103">
        <f t="array" aca="1" ref="L296" ca="1">SUMPRODUCT(--(WEEKDAY(data.media.dates, 2)=ROWS($C$296:L296)),--(HOUR(data.media.dates)=COLUMNS($C$296:L296)-1),--(data.media.dates&gt;=Controls!$E$32),--(data.media.dates&lt;Controls!$F$32+Controls!$L$24))</f>
        <v>41</v>
      </c>
      <c r="M296" s="103">
        <f t="array" aca="1" ref="M296" ca="1">SUMPRODUCT(--(WEEKDAY(data.media.dates, 2)=ROWS($C$296:M296)),--(HOUR(data.media.dates)=COLUMNS($C$296:M296)-1),--(data.media.dates&gt;=Controls!$E$32),--(data.media.dates&lt;Controls!$F$32+Controls!$L$24))</f>
        <v>28</v>
      </c>
      <c r="N296" s="103">
        <f t="array" aca="1" ref="N296" ca="1">SUMPRODUCT(--(WEEKDAY(data.media.dates, 2)=ROWS($C$296:N296)),--(HOUR(data.media.dates)=COLUMNS($C$296:N296)-1),--(data.media.dates&gt;=Controls!$E$32),--(data.media.dates&lt;Controls!$F$32+Controls!$L$24))</f>
        <v>43</v>
      </c>
      <c r="O296" s="103">
        <f t="array" aca="1" ref="O296" ca="1">SUMPRODUCT(--(WEEKDAY(data.media.dates, 2)=ROWS($C$296:O296)),--(HOUR(data.media.dates)=COLUMNS($C$296:O296)-1),--(data.media.dates&gt;=Controls!$E$32),--(data.media.dates&lt;Controls!$F$32+Controls!$L$24))</f>
        <v>48</v>
      </c>
      <c r="P296" s="103">
        <f t="array" aca="1" ref="P296" ca="1">SUMPRODUCT(--(WEEKDAY(data.media.dates, 2)=ROWS($C$296:P296)),--(HOUR(data.media.dates)=COLUMNS($C$296:P296)-1),--(data.media.dates&gt;=Controls!$E$32),--(data.media.dates&lt;Controls!$F$32+Controls!$L$24))</f>
        <v>37</v>
      </c>
      <c r="Q296" s="103">
        <f t="array" aca="1" ref="Q296" ca="1">SUMPRODUCT(--(WEEKDAY(data.media.dates, 2)=ROWS($C$296:Q296)),--(HOUR(data.media.dates)=COLUMNS($C$296:Q296)-1),--(data.media.dates&gt;=Controls!$E$32),--(data.media.dates&lt;Controls!$F$32+Controls!$L$24))</f>
        <v>59</v>
      </c>
      <c r="R296" s="103">
        <f t="array" aca="1" ref="R296" ca="1">SUMPRODUCT(--(WEEKDAY(data.media.dates, 2)=ROWS($C$296:R296)),--(HOUR(data.media.dates)=COLUMNS($C$296:R296)-1),--(data.media.dates&gt;=Controls!$E$32),--(data.media.dates&lt;Controls!$F$32+Controls!$L$24))</f>
        <v>45</v>
      </c>
      <c r="S296" s="103">
        <f t="array" aca="1" ref="S296" ca="1">SUMPRODUCT(--(WEEKDAY(data.media.dates, 2)=ROWS($C$296:S296)),--(HOUR(data.media.dates)=COLUMNS($C$296:S296)-1),--(data.media.dates&gt;=Controls!$E$32),--(data.media.dates&lt;Controls!$F$32+Controls!$L$24))</f>
        <v>39</v>
      </c>
      <c r="T296" s="103">
        <f t="array" aca="1" ref="T296" ca="1">SUMPRODUCT(--(WEEKDAY(data.media.dates, 2)=ROWS($C$296:T296)),--(HOUR(data.media.dates)=COLUMNS($C$296:T296)-1),--(data.media.dates&gt;=Controls!$E$32),--(data.media.dates&lt;Controls!$F$32+Controls!$L$24))</f>
        <v>34</v>
      </c>
      <c r="U296" s="103">
        <f t="array" aca="1" ref="U296" ca="1">SUMPRODUCT(--(WEEKDAY(data.media.dates, 2)=ROWS($C$296:U296)),--(HOUR(data.media.dates)=COLUMNS($C$296:U296)-1),--(data.media.dates&gt;=Controls!$E$32),--(data.media.dates&lt;Controls!$F$32+Controls!$L$24))</f>
        <v>27</v>
      </c>
      <c r="V296" s="103">
        <f t="array" aca="1" ref="V296" ca="1">SUMPRODUCT(--(WEEKDAY(data.media.dates, 2)=ROWS($C$296:V296)),--(HOUR(data.media.dates)=COLUMNS($C$296:V296)-1),--(data.media.dates&gt;=Controls!$E$32),--(data.media.dates&lt;Controls!$F$32+Controls!$L$24))</f>
        <v>30</v>
      </c>
      <c r="W296" s="103">
        <f t="array" aca="1" ref="W296" ca="1">SUMPRODUCT(--(WEEKDAY(data.media.dates, 2)=ROWS($C$296:W296)),--(HOUR(data.media.dates)=COLUMNS($C$296:W296)-1),--(data.media.dates&gt;=Controls!$E$32),--(data.media.dates&lt;Controls!$F$32+Controls!$L$24))</f>
        <v>35</v>
      </c>
      <c r="X296" s="103">
        <f t="array" aca="1" ref="X296" ca="1">SUMPRODUCT(--(WEEKDAY(data.media.dates, 2)=ROWS($C$296:X296)),--(HOUR(data.media.dates)=COLUMNS($C$296:X296)-1),--(data.media.dates&gt;=Controls!$E$32),--(data.media.dates&lt;Controls!$F$32+Controls!$L$24))</f>
        <v>42</v>
      </c>
      <c r="Y296" s="103">
        <f t="array" aca="1" ref="Y296" ca="1">SUMPRODUCT(--(WEEKDAY(data.media.dates, 2)=ROWS($C$296:Y296)),--(HOUR(data.media.dates)=COLUMNS($C$296:Y296)-1),--(data.media.dates&gt;=Controls!$E$32),--(data.media.dates&lt;Controls!$F$32+Controls!$L$24))</f>
        <v>31</v>
      </c>
      <c r="Z296" s="103">
        <f t="array" aca="1" ref="Z296" ca="1">SUMPRODUCT(--(WEEKDAY(data.media.dates, 2)=ROWS($C$296:Z296)),--(HOUR(data.media.dates)=COLUMNS($C$296:Z296)-1),--(data.media.dates&gt;=Controls!$E$32),--(data.media.dates&lt;Controls!$F$32+Controls!$L$24))</f>
        <v>20</v>
      </c>
      <c r="AA296" s="104">
        <f ca="1">SUM(C296:Z296)</f>
        <v>868</v>
      </c>
      <c r="AB296" s="105">
        <f ca="1">AA296/$AA$303</f>
        <v>0.15182788175616582</v>
      </c>
      <c r="XX296" s="79"/>
    </row>
    <row r="297" spans="2:648" x14ac:dyDescent="0.25">
      <c r="B297" s="100" t="s">
        <v>41</v>
      </c>
      <c r="C297" s="103">
        <f t="array" aca="1" ref="C297" ca="1">SUMPRODUCT(--(WEEKDAY(data.media.dates, 2)=ROWS($C$296:C297)),--(HOUR(data.media.dates)=COLUMNS($C$296:C297)-1),--(data.media.dates&gt;=Controls!$E$32),--(data.media.dates&lt;Controls!$F$32+Controls!$L$24))</f>
        <v>25</v>
      </c>
      <c r="D297" s="103">
        <f t="array" aca="1" ref="D297" ca="1">SUMPRODUCT(--(WEEKDAY(data.media.dates, 2)=ROWS($C$296:D297)),--(HOUR(data.media.dates)=COLUMNS($C$296:D297)-1),--(data.media.dates&gt;=Controls!$E$32),--(data.media.dates&lt;Controls!$F$32+Controls!$L$24))</f>
        <v>23</v>
      </c>
      <c r="E297" s="103">
        <f t="array" aca="1" ref="E297" ca="1">SUMPRODUCT(--(WEEKDAY(data.media.dates, 2)=ROWS($C$296:E297)),--(HOUR(data.media.dates)=COLUMNS($C$296:E297)-1),--(data.media.dates&gt;=Controls!$E$32),--(data.media.dates&lt;Controls!$F$32+Controls!$L$24))</f>
        <v>30</v>
      </c>
      <c r="F297" s="103">
        <f t="array" aca="1" ref="F297" ca="1">SUMPRODUCT(--(WEEKDAY(data.media.dates, 2)=ROWS($C$296:F297)),--(HOUR(data.media.dates)=COLUMNS($C$296:F297)-1),--(data.media.dates&gt;=Controls!$E$32),--(data.media.dates&lt;Controls!$F$32+Controls!$L$24))</f>
        <v>22</v>
      </c>
      <c r="G297" s="103">
        <f t="array" aca="1" ref="G297" ca="1">SUMPRODUCT(--(WEEKDAY(data.media.dates, 2)=ROWS($C$296:G297)),--(HOUR(data.media.dates)=COLUMNS($C$296:G297)-1),--(data.media.dates&gt;=Controls!$E$32),--(data.media.dates&lt;Controls!$F$32+Controls!$L$24))</f>
        <v>27</v>
      </c>
      <c r="H297" s="103">
        <f t="array" aca="1" ref="H297" ca="1">SUMPRODUCT(--(WEEKDAY(data.media.dates, 2)=ROWS($C$296:H297)),--(HOUR(data.media.dates)=COLUMNS($C$296:H297)-1),--(data.media.dates&gt;=Controls!$E$32),--(data.media.dates&lt;Controls!$F$32+Controls!$L$24))</f>
        <v>24</v>
      </c>
      <c r="I297" s="103">
        <f t="array" aca="1" ref="I297" ca="1">SUMPRODUCT(--(WEEKDAY(data.media.dates, 2)=ROWS($C$296:I297)),--(HOUR(data.media.dates)=COLUMNS($C$296:I297)-1),--(data.media.dates&gt;=Controls!$E$32),--(data.media.dates&lt;Controls!$F$32+Controls!$L$24))</f>
        <v>30</v>
      </c>
      <c r="J297" s="103">
        <f t="array" aca="1" ref="J297" ca="1">SUMPRODUCT(--(WEEKDAY(data.media.dates, 2)=ROWS($C$296:J297)),--(HOUR(data.media.dates)=COLUMNS($C$296:J297)-1),--(data.media.dates&gt;=Controls!$E$32),--(data.media.dates&lt;Controls!$F$32+Controls!$L$24))</f>
        <v>39</v>
      </c>
      <c r="K297" s="103">
        <f t="array" aca="1" ref="K297" ca="1">SUMPRODUCT(--(WEEKDAY(data.media.dates, 2)=ROWS($C$296:K297)),--(HOUR(data.media.dates)=COLUMNS($C$296:K297)-1),--(data.media.dates&gt;=Controls!$E$32),--(data.media.dates&lt;Controls!$F$32+Controls!$L$24))</f>
        <v>35</v>
      </c>
      <c r="L297" s="103">
        <f t="array" aca="1" ref="L297" ca="1">SUMPRODUCT(--(WEEKDAY(data.media.dates, 2)=ROWS($C$296:L297)),--(HOUR(data.media.dates)=COLUMNS($C$296:L297)-1),--(data.media.dates&gt;=Controls!$E$32),--(data.media.dates&lt;Controls!$F$32+Controls!$L$24))</f>
        <v>40</v>
      </c>
      <c r="M297" s="103">
        <f t="array" aca="1" ref="M297" ca="1">SUMPRODUCT(--(WEEKDAY(data.media.dates, 2)=ROWS($C$296:M297)),--(HOUR(data.media.dates)=COLUMNS($C$296:M297)-1),--(data.media.dates&gt;=Controls!$E$32),--(data.media.dates&lt;Controls!$F$32+Controls!$L$24))</f>
        <v>26</v>
      </c>
      <c r="N297" s="103">
        <f t="array" aca="1" ref="N297" ca="1">SUMPRODUCT(--(WEEKDAY(data.media.dates, 2)=ROWS($C$296:N297)),--(HOUR(data.media.dates)=COLUMNS($C$296:N297)-1),--(data.media.dates&gt;=Controls!$E$32),--(data.media.dates&lt;Controls!$F$32+Controls!$L$24))</f>
        <v>55</v>
      </c>
      <c r="O297" s="103">
        <f t="array" aca="1" ref="O297" ca="1">SUMPRODUCT(--(WEEKDAY(data.media.dates, 2)=ROWS($C$296:O297)),--(HOUR(data.media.dates)=COLUMNS($C$296:O297)-1),--(data.media.dates&gt;=Controls!$E$32),--(data.media.dates&lt;Controls!$F$32+Controls!$L$24))</f>
        <v>54</v>
      </c>
      <c r="P297" s="103">
        <f t="array" aca="1" ref="P297" ca="1">SUMPRODUCT(--(WEEKDAY(data.media.dates, 2)=ROWS($C$296:P297)),--(HOUR(data.media.dates)=COLUMNS($C$296:P297)-1),--(data.media.dates&gt;=Controls!$E$32),--(data.media.dates&lt;Controls!$F$32+Controls!$L$24))</f>
        <v>49</v>
      </c>
      <c r="Q297" s="103">
        <f t="array" aca="1" ref="Q297" ca="1">SUMPRODUCT(--(WEEKDAY(data.media.dates, 2)=ROWS($C$296:Q297)),--(HOUR(data.media.dates)=COLUMNS($C$296:Q297)-1),--(data.media.dates&gt;=Controls!$E$32),--(data.media.dates&lt;Controls!$F$32+Controls!$L$24))</f>
        <v>50</v>
      </c>
      <c r="R297" s="103">
        <f t="array" aca="1" ref="R297" ca="1">SUMPRODUCT(--(WEEKDAY(data.media.dates, 2)=ROWS($C$296:R297)),--(HOUR(data.media.dates)=COLUMNS($C$296:R297)-1),--(data.media.dates&gt;=Controls!$E$32),--(data.media.dates&lt;Controls!$F$32+Controls!$L$24))</f>
        <v>41</v>
      </c>
      <c r="S297" s="103">
        <f t="array" aca="1" ref="S297" ca="1">SUMPRODUCT(--(WEEKDAY(data.media.dates, 2)=ROWS($C$296:S297)),--(HOUR(data.media.dates)=COLUMNS($C$296:S297)-1),--(data.media.dates&gt;=Controls!$E$32),--(data.media.dates&lt;Controls!$F$32+Controls!$L$24))</f>
        <v>43</v>
      </c>
      <c r="T297" s="103">
        <f t="array" aca="1" ref="T297" ca="1">SUMPRODUCT(--(WEEKDAY(data.media.dates, 2)=ROWS($C$296:T297)),--(HOUR(data.media.dates)=COLUMNS($C$296:T297)-1),--(data.media.dates&gt;=Controls!$E$32),--(data.media.dates&lt;Controls!$F$32+Controls!$L$24))</f>
        <v>26</v>
      </c>
      <c r="U297" s="103">
        <f t="array" aca="1" ref="U297" ca="1">SUMPRODUCT(--(WEEKDAY(data.media.dates, 2)=ROWS($C$296:U297)),--(HOUR(data.media.dates)=COLUMNS($C$296:U297)-1),--(data.media.dates&gt;=Controls!$E$32),--(data.media.dates&lt;Controls!$F$32+Controls!$L$24))</f>
        <v>28</v>
      </c>
      <c r="V297" s="103">
        <f t="array" aca="1" ref="V297" ca="1">SUMPRODUCT(--(WEEKDAY(data.media.dates, 2)=ROWS($C$296:V297)),--(HOUR(data.media.dates)=COLUMNS($C$296:V297)-1),--(data.media.dates&gt;=Controls!$E$32),--(data.media.dates&lt;Controls!$F$32+Controls!$L$24))</f>
        <v>34</v>
      </c>
      <c r="W297" s="103">
        <f t="array" aca="1" ref="W297" ca="1">SUMPRODUCT(--(WEEKDAY(data.media.dates, 2)=ROWS($C$296:W297)),--(HOUR(data.media.dates)=COLUMNS($C$296:W297)-1),--(data.media.dates&gt;=Controls!$E$32),--(data.media.dates&lt;Controls!$F$32+Controls!$L$24))</f>
        <v>30</v>
      </c>
      <c r="X297" s="103">
        <f t="array" aca="1" ref="X297" ca="1">SUMPRODUCT(--(WEEKDAY(data.media.dates, 2)=ROWS($C$296:X297)),--(HOUR(data.media.dates)=COLUMNS($C$296:X297)-1),--(data.media.dates&gt;=Controls!$E$32),--(data.media.dates&lt;Controls!$F$32+Controls!$L$24))</f>
        <v>25</v>
      </c>
      <c r="Y297" s="103">
        <f t="array" aca="1" ref="Y297" ca="1">SUMPRODUCT(--(WEEKDAY(data.media.dates, 2)=ROWS($C$296:Y297)),--(HOUR(data.media.dates)=COLUMNS($C$296:Y297)-1),--(data.media.dates&gt;=Controls!$E$32),--(data.media.dates&lt;Controls!$F$32+Controls!$L$24))</f>
        <v>25</v>
      </c>
      <c r="Z297" s="103">
        <f t="array" aca="1" ref="Z297" ca="1">SUMPRODUCT(--(WEEKDAY(data.media.dates, 2)=ROWS($C$296:Z297)),--(HOUR(data.media.dates)=COLUMNS($C$296:Z297)-1),--(data.media.dates&gt;=Controls!$E$32),--(data.media.dates&lt;Controls!$F$32+Controls!$L$24))</f>
        <v>25</v>
      </c>
      <c r="AA297" s="104">
        <f t="shared" ref="AA297:AA302" ca="1" si="33">SUM(C297:Z297)</f>
        <v>806</v>
      </c>
      <c r="AB297" s="105">
        <f t="shared" ref="AB297:AB303" ca="1" si="34">AA297/$AA$303</f>
        <v>0.14098303305929683</v>
      </c>
      <c r="XX297" s="79"/>
    </row>
    <row r="298" spans="2:648" x14ac:dyDescent="0.25">
      <c r="B298" s="100" t="s">
        <v>42</v>
      </c>
      <c r="C298" s="103">
        <f t="array" aca="1" ref="C298" ca="1">SUMPRODUCT(--(WEEKDAY(data.media.dates, 2)=ROWS($C$296:C298)),--(HOUR(data.media.dates)=COLUMNS($C$296:C298)-1),--(data.media.dates&gt;=Controls!$E$32),--(data.media.dates&lt;Controls!$F$32+Controls!$L$24))</f>
        <v>18</v>
      </c>
      <c r="D298" s="103">
        <f t="array" aca="1" ref="D298" ca="1">SUMPRODUCT(--(WEEKDAY(data.media.dates, 2)=ROWS($C$296:D298)),--(HOUR(data.media.dates)=COLUMNS($C$296:D298)-1),--(data.media.dates&gt;=Controls!$E$32),--(data.media.dates&lt;Controls!$F$32+Controls!$L$24))</f>
        <v>26</v>
      </c>
      <c r="E298" s="103">
        <f t="array" aca="1" ref="E298" ca="1">SUMPRODUCT(--(WEEKDAY(data.media.dates, 2)=ROWS($C$296:E298)),--(HOUR(data.media.dates)=COLUMNS($C$296:E298)-1),--(data.media.dates&gt;=Controls!$E$32),--(data.media.dates&lt;Controls!$F$32+Controls!$L$24))</f>
        <v>29</v>
      </c>
      <c r="F298" s="103">
        <f t="array" aca="1" ref="F298" ca="1">SUMPRODUCT(--(WEEKDAY(data.media.dates, 2)=ROWS($C$296:F298)),--(HOUR(data.media.dates)=COLUMNS($C$296:F298)-1),--(data.media.dates&gt;=Controls!$E$32),--(data.media.dates&lt;Controls!$F$32+Controls!$L$24))</f>
        <v>39</v>
      </c>
      <c r="G298" s="103">
        <f t="array" aca="1" ref="G298" ca="1">SUMPRODUCT(--(WEEKDAY(data.media.dates, 2)=ROWS($C$296:G298)),--(HOUR(data.media.dates)=COLUMNS($C$296:G298)-1),--(data.media.dates&gt;=Controls!$E$32),--(data.media.dates&lt;Controls!$F$32+Controls!$L$24))</f>
        <v>37</v>
      </c>
      <c r="H298" s="103">
        <f t="array" aca="1" ref="H298" ca="1">SUMPRODUCT(--(WEEKDAY(data.media.dates, 2)=ROWS($C$296:H298)),--(HOUR(data.media.dates)=COLUMNS($C$296:H298)-1),--(data.media.dates&gt;=Controls!$E$32),--(data.media.dates&lt;Controls!$F$32+Controls!$L$24))</f>
        <v>35</v>
      </c>
      <c r="I298" s="103">
        <f t="array" aca="1" ref="I298" ca="1">SUMPRODUCT(--(WEEKDAY(data.media.dates, 2)=ROWS($C$296:I298)),--(HOUR(data.media.dates)=COLUMNS($C$296:I298)-1),--(data.media.dates&gt;=Controls!$E$32),--(data.media.dates&lt;Controls!$F$32+Controls!$L$24))</f>
        <v>33</v>
      </c>
      <c r="J298" s="103">
        <f t="array" aca="1" ref="J298" ca="1">SUMPRODUCT(--(WEEKDAY(data.media.dates, 2)=ROWS($C$296:J298)),--(HOUR(data.media.dates)=COLUMNS($C$296:J298)-1),--(data.media.dates&gt;=Controls!$E$32),--(data.media.dates&lt;Controls!$F$32+Controls!$L$24))</f>
        <v>41</v>
      </c>
      <c r="K298" s="103">
        <f t="array" aca="1" ref="K298" ca="1">SUMPRODUCT(--(WEEKDAY(data.media.dates, 2)=ROWS($C$296:K298)),--(HOUR(data.media.dates)=COLUMNS($C$296:K298)-1),--(data.media.dates&gt;=Controls!$E$32),--(data.media.dates&lt;Controls!$F$32+Controls!$L$24))</f>
        <v>48</v>
      </c>
      <c r="L298" s="103">
        <f t="array" aca="1" ref="L298" ca="1">SUMPRODUCT(--(WEEKDAY(data.media.dates, 2)=ROWS($C$296:L298)),--(HOUR(data.media.dates)=COLUMNS($C$296:L298)-1),--(data.media.dates&gt;=Controls!$E$32),--(data.media.dates&lt;Controls!$F$32+Controls!$L$24))</f>
        <v>42</v>
      </c>
      <c r="M298" s="103">
        <f t="array" aca="1" ref="M298" ca="1">SUMPRODUCT(--(WEEKDAY(data.media.dates, 2)=ROWS($C$296:M298)),--(HOUR(data.media.dates)=COLUMNS($C$296:M298)-1),--(data.media.dates&gt;=Controls!$E$32),--(data.media.dates&lt;Controls!$F$32+Controls!$L$24))</f>
        <v>38</v>
      </c>
      <c r="N298" s="103">
        <f t="array" aca="1" ref="N298" ca="1">SUMPRODUCT(--(WEEKDAY(data.media.dates, 2)=ROWS($C$296:N298)),--(HOUR(data.media.dates)=COLUMNS($C$296:N298)-1),--(data.media.dates&gt;=Controls!$E$32),--(data.media.dates&lt;Controls!$F$32+Controls!$L$24))</f>
        <v>46</v>
      </c>
      <c r="O298" s="103">
        <f t="array" aca="1" ref="O298" ca="1">SUMPRODUCT(--(WEEKDAY(data.media.dates, 2)=ROWS($C$296:O298)),--(HOUR(data.media.dates)=COLUMNS($C$296:O298)-1),--(data.media.dates&gt;=Controls!$E$32),--(data.media.dates&lt;Controls!$F$32+Controls!$L$24))</f>
        <v>51</v>
      </c>
      <c r="P298" s="103">
        <f t="array" aca="1" ref="P298" ca="1">SUMPRODUCT(--(WEEKDAY(data.media.dates, 2)=ROWS($C$296:P298)),--(HOUR(data.media.dates)=COLUMNS($C$296:P298)-1),--(data.media.dates&gt;=Controls!$E$32),--(data.media.dates&lt;Controls!$F$32+Controls!$L$24))</f>
        <v>38</v>
      </c>
      <c r="Q298" s="103">
        <f t="array" aca="1" ref="Q298" ca="1">SUMPRODUCT(--(WEEKDAY(data.media.dates, 2)=ROWS($C$296:Q298)),--(HOUR(data.media.dates)=COLUMNS($C$296:Q298)-1),--(data.media.dates&gt;=Controls!$E$32),--(data.media.dates&lt;Controls!$F$32+Controls!$L$24))</f>
        <v>47</v>
      </c>
      <c r="R298" s="103">
        <f t="array" aca="1" ref="R298" ca="1">SUMPRODUCT(--(WEEKDAY(data.media.dates, 2)=ROWS($C$296:R298)),--(HOUR(data.media.dates)=COLUMNS($C$296:R298)-1),--(data.media.dates&gt;=Controls!$E$32),--(data.media.dates&lt;Controls!$F$32+Controls!$L$24))</f>
        <v>61</v>
      </c>
      <c r="S298" s="103">
        <f t="array" aca="1" ref="S298" ca="1">SUMPRODUCT(--(WEEKDAY(data.media.dates, 2)=ROWS($C$296:S298)),--(HOUR(data.media.dates)=COLUMNS($C$296:S298)-1),--(data.media.dates&gt;=Controls!$E$32),--(data.media.dates&lt;Controls!$F$32+Controls!$L$24))</f>
        <v>44</v>
      </c>
      <c r="T298" s="103">
        <f t="array" aca="1" ref="T298" ca="1">SUMPRODUCT(--(WEEKDAY(data.media.dates, 2)=ROWS($C$296:T298)),--(HOUR(data.media.dates)=COLUMNS($C$296:T298)-1),--(data.media.dates&gt;=Controls!$E$32),--(data.media.dates&lt;Controls!$F$32+Controls!$L$24))</f>
        <v>38</v>
      </c>
      <c r="U298" s="103">
        <f t="array" aca="1" ref="U298" ca="1">SUMPRODUCT(--(WEEKDAY(data.media.dates, 2)=ROWS($C$296:U298)),--(HOUR(data.media.dates)=COLUMNS($C$296:U298)-1),--(data.media.dates&gt;=Controls!$E$32),--(data.media.dates&lt;Controls!$F$32+Controls!$L$24))</f>
        <v>25</v>
      </c>
      <c r="V298" s="103">
        <f t="array" aca="1" ref="V298" ca="1">SUMPRODUCT(--(WEEKDAY(data.media.dates, 2)=ROWS($C$296:V298)),--(HOUR(data.media.dates)=COLUMNS($C$296:V298)-1),--(data.media.dates&gt;=Controls!$E$32),--(data.media.dates&lt;Controls!$F$32+Controls!$L$24))</f>
        <v>29</v>
      </c>
      <c r="W298" s="103">
        <f t="array" aca="1" ref="W298" ca="1">SUMPRODUCT(--(WEEKDAY(data.media.dates, 2)=ROWS($C$296:W298)),--(HOUR(data.media.dates)=COLUMNS($C$296:W298)-1),--(data.media.dates&gt;=Controls!$E$32),--(data.media.dates&lt;Controls!$F$32+Controls!$L$24))</f>
        <v>23</v>
      </c>
      <c r="X298" s="103">
        <f t="array" aca="1" ref="X298" ca="1">SUMPRODUCT(--(WEEKDAY(data.media.dates, 2)=ROWS($C$296:X298)),--(HOUR(data.media.dates)=COLUMNS($C$296:X298)-1),--(data.media.dates&gt;=Controls!$E$32),--(data.media.dates&lt;Controls!$F$32+Controls!$L$24))</f>
        <v>27</v>
      </c>
      <c r="Y298" s="103">
        <f t="array" aca="1" ref="Y298" ca="1">SUMPRODUCT(--(WEEKDAY(data.media.dates, 2)=ROWS($C$296:Y298)),--(HOUR(data.media.dates)=COLUMNS($C$296:Y298)-1),--(data.media.dates&gt;=Controls!$E$32),--(data.media.dates&lt;Controls!$F$32+Controls!$L$24))</f>
        <v>28</v>
      </c>
      <c r="Z298" s="103">
        <f t="array" aca="1" ref="Z298" ca="1">SUMPRODUCT(--(WEEKDAY(data.media.dates, 2)=ROWS($C$296:Z298)),--(HOUR(data.media.dates)=COLUMNS($C$296:Z298)-1),--(data.media.dates&gt;=Controls!$E$32),--(data.media.dates&lt;Controls!$F$32+Controls!$L$24))</f>
        <v>25</v>
      </c>
      <c r="AA298" s="104">
        <f t="shared" ca="1" si="33"/>
        <v>868</v>
      </c>
      <c r="AB298" s="105">
        <f t="shared" ca="1" si="34"/>
        <v>0.15182788175616582</v>
      </c>
      <c r="XX298" s="79"/>
    </row>
    <row r="299" spans="2:648" x14ac:dyDescent="0.25">
      <c r="B299" s="100" t="s">
        <v>44</v>
      </c>
      <c r="C299" s="103">
        <f t="array" aca="1" ref="C299" ca="1">SUMPRODUCT(--(WEEKDAY(data.media.dates, 2)=ROWS($C$296:C299)),--(HOUR(data.media.dates)=COLUMNS($C$296:C299)-1),--(data.media.dates&gt;=Controls!$E$32),--(data.media.dates&lt;Controls!$F$32+Controls!$L$24))</f>
        <v>30</v>
      </c>
      <c r="D299" s="103">
        <f t="array" aca="1" ref="D299" ca="1">SUMPRODUCT(--(WEEKDAY(data.media.dates, 2)=ROWS($C$296:D299)),--(HOUR(data.media.dates)=COLUMNS($C$296:D299)-1),--(data.media.dates&gt;=Controls!$E$32),--(data.media.dates&lt;Controls!$F$32+Controls!$L$24))</f>
        <v>20</v>
      </c>
      <c r="E299" s="103">
        <f t="array" aca="1" ref="E299" ca="1">SUMPRODUCT(--(WEEKDAY(data.media.dates, 2)=ROWS($C$296:E299)),--(HOUR(data.media.dates)=COLUMNS($C$296:E299)-1),--(data.media.dates&gt;=Controls!$E$32),--(data.media.dates&lt;Controls!$F$32+Controls!$L$24))</f>
        <v>33</v>
      </c>
      <c r="F299" s="103">
        <f t="array" aca="1" ref="F299" ca="1">SUMPRODUCT(--(WEEKDAY(data.media.dates, 2)=ROWS($C$296:F299)),--(HOUR(data.media.dates)=COLUMNS($C$296:F299)-1),--(data.media.dates&gt;=Controls!$E$32),--(data.media.dates&lt;Controls!$F$32+Controls!$L$24))</f>
        <v>29</v>
      </c>
      <c r="G299" s="103">
        <f t="array" aca="1" ref="G299" ca="1">SUMPRODUCT(--(WEEKDAY(data.media.dates, 2)=ROWS($C$296:G299)),--(HOUR(data.media.dates)=COLUMNS($C$296:G299)-1),--(data.media.dates&gt;=Controls!$E$32),--(data.media.dates&lt;Controls!$F$32+Controls!$L$24))</f>
        <v>25</v>
      </c>
      <c r="H299" s="103">
        <f t="array" aca="1" ref="H299" ca="1">SUMPRODUCT(--(WEEKDAY(data.media.dates, 2)=ROWS($C$296:H299)),--(HOUR(data.media.dates)=COLUMNS($C$296:H299)-1),--(data.media.dates&gt;=Controls!$E$32),--(data.media.dates&lt;Controls!$F$32+Controls!$L$24))</f>
        <v>36</v>
      </c>
      <c r="I299" s="103">
        <f t="array" aca="1" ref="I299" ca="1">SUMPRODUCT(--(WEEKDAY(data.media.dates, 2)=ROWS($C$296:I299)),--(HOUR(data.media.dates)=COLUMNS($C$296:I299)-1),--(data.media.dates&gt;=Controls!$E$32),--(data.media.dates&lt;Controls!$F$32+Controls!$L$24))</f>
        <v>30</v>
      </c>
      <c r="J299" s="103">
        <f t="array" aca="1" ref="J299" ca="1">SUMPRODUCT(--(WEEKDAY(data.media.dates, 2)=ROWS($C$296:J299)),--(HOUR(data.media.dates)=COLUMNS($C$296:J299)-1),--(data.media.dates&gt;=Controls!$E$32),--(data.media.dates&lt;Controls!$F$32+Controls!$L$24))</f>
        <v>35</v>
      </c>
      <c r="K299" s="103">
        <f t="array" aca="1" ref="K299" ca="1">SUMPRODUCT(--(WEEKDAY(data.media.dates, 2)=ROWS($C$296:K299)),--(HOUR(data.media.dates)=COLUMNS($C$296:K299)-1),--(data.media.dates&gt;=Controls!$E$32),--(data.media.dates&lt;Controls!$F$32+Controls!$L$24))</f>
        <v>45</v>
      </c>
      <c r="L299" s="103">
        <f t="array" aca="1" ref="L299" ca="1">SUMPRODUCT(--(WEEKDAY(data.media.dates, 2)=ROWS($C$296:L299)),--(HOUR(data.media.dates)=COLUMNS($C$296:L299)-1),--(data.media.dates&gt;=Controls!$E$32),--(data.media.dates&lt;Controls!$F$32+Controls!$L$24))</f>
        <v>48</v>
      </c>
      <c r="M299" s="103">
        <f t="array" aca="1" ref="M299" ca="1">SUMPRODUCT(--(WEEKDAY(data.media.dates, 2)=ROWS($C$296:M299)),--(HOUR(data.media.dates)=COLUMNS($C$296:M299)-1),--(data.media.dates&gt;=Controls!$E$32),--(data.media.dates&lt;Controls!$F$32+Controls!$L$24))</f>
        <v>35</v>
      </c>
      <c r="N299" s="103">
        <f t="array" aca="1" ref="N299" ca="1">SUMPRODUCT(--(WEEKDAY(data.media.dates, 2)=ROWS($C$296:N299)),--(HOUR(data.media.dates)=COLUMNS($C$296:N299)-1),--(data.media.dates&gt;=Controls!$E$32),--(data.media.dates&lt;Controls!$F$32+Controls!$L$24))</f>
        <v>45</v>
      </c>
      <c r="O299" s="103">
        <f t="array" aca="1" ref="O299" ca="1">SUMPRODUCT(--(WEEKDAY(data.media.dates, 2)=ROWS($C$296:O299)),--(HOUR(data.media.dates)=COLUMNS($C$296:O299)-1),--(data.media.dates&gt;=Controls!$E$32),--(data.media.dates&lt;Controls!$F$32+Controls!$L$24))</f>
        <v>40</v>
      </c>
      <c r="P299" s="103">
        <f t="array" aca="1" ref="P299" ca="1">SUMPRODUCT(--(WEEKDAY(data.media.dates, 2)=ROWS($C$296:P299)),--(HOUR(data.media.dates)=COLUMNS($C$296:P299)-1),--(data.media.dates&gt;=Controls!$E$32),--(data.media.dates&lt;Controls!$F$32+Controls!$L$24))</f>
        <v>41</v>
      </c>
      <c r="Q299" s="103">
        <f t="array" aca="1" ref="Q299" ca="1">SUMPRODUCT(--(WEEKDAY(data.media.dates, 2)=ROWS($C$296:Q299)),--(HOUR(data.media.dates)=COLUMNS($C$296:Q299)-1),--(data.media.dates&gt;=Controls!$E$32),--(data.media.dates&lt;Controls!$F$32+Controls!$L$24))</f>
        <v>42</v>
      </c>
      <c r="R299" s="103">
        <f t="array" aca="1" ref="R299" ca="1">SUMPRODUCT(--(WEEKDAY(data.media.dates, 2)=ROWS($C$296:R299)),--(HOUR(data.media.dates)=COLUMNS($C$296:R299)-1),--(data.media.dates&gt;=Controls!$E$32),--(data.media.dates&lt;Controls!$F$32+Controls!$L$24))</f>
        <v>37</v>
      </c>
      <c r="S299" s="103">
        <f t="array" aca="1" ref="S299" ca="1">SUMPRODUCT(--(WEEKDAY(data.media.dates, 2)=ROWS($C$296:S299)),--(HOUR(data.media.dates)=COLUMNS($C$296:S299)-1),--(data.media.dates&gt;=Controls!$E$32),--(data.media.dates&lt;Controls!$F$32+Controls!$L$24))</f>
        <v>25</v>
      </c>
      <c r="T299" s="103">
        <f t="array" aca="1" ref="T299" ca="1">SUMPRODUCT(--(WEEKDAY(data.media.dates, 2)=ROWS($C$296:T299)),--(HOUR(data.media.dates)=COLUMNS($C$296:T299)-1),--(data.media.dates&gt;=Controls!$E$32),--(data.media.dates&lt;Controls!$F$32+Controls!$L$24))</f>
        <v>32</v>
      </c>
      <c r="U299" s="103">
        <f t="array" aca="1" ref="U299" ca="1">SUMPRODUCT(--(WEEKDAY(data.media.dates, 2)=ROWS($C$296:U299)),--(HOUR(data.media.dates)=COLUMNS($C$296:U299)-1),--(data.media.dates&gt;=Controls!$E$32),--(data.media.dates&lt;Controls!$F$32+Controls!$L$24))</f>
        <v>30</v>
      </c>
      <c r="V299" s="103">
        <f t="array" aca="1" ref="V299" ca="1">SUMPRODUCT(--(WEEKDAY(data.media.dates, 2)=ROWS($C$296:V299)),--(HOUR(data.media.dates)=COLUMNS($C$296:V299)-1),--(data.media.dates&gt;=Controls!$E$32),--(data.media.dates&lt;Controls!$F$32+Controls!$L$24))</f>
        <v>16</v>
      </c>
      <c r="W299" s="103">
        <f t="array" aca="1" ref="W299" ca="1">SUMPRODUCT(--(WEEKDAY(data.media.dates, 2)=ROWS($C$296:W299)),--(HOUR(data.media.dates)=COLUMNS($C$296:W299)-1),--(data.media.dates&gt;=Controls!$E$32),--(data.media.dates&lt;Controls!$F$32+Controls!$L$24))</f>
        <v>30</v>
      </c>
      <c r="X299" s="103">
        <f t="array" aca="1" ref="X299" ca="1">SUMPRODUCT(--(WEEKDAY(data.media.dates, 2)=ROWS($C$296:X299)),--(HOUR(data.media.dates)=COLUMNS($C$296:X299)-1),--(data.media.dates&gt;=Controls!$E$32),--(data.media.dates&lt;Controls!$F$32+Controls!$L$24))</f>
        <v>31</v>
      </c>
      <c r="Y299" s="103">
        <f t="array" aca="1" ref="Y299" ca="1">SUMPRODUCT(--(WEEKDAY(data.media.dates, 2)=ROWS($C$296:Y299)),--(HOUR(data.media.dates)=COLUMNS($C$296:Y299)-1),--(data.media.dates&gt;=Controls!$E$32),--(data.media.dates&lt;Controls!$F$32+Controls!$L$24))</f>
        <v>19</v>
      </c>
      <c r="Z299" s="103">
        <f t="array" aca="1" ref="Z299" ca="1">SUMPRODUCT(--(WEEKDAY(data.media.dates, 2)=ROWS($C$296:Z299)),--(HOUR(data.media.dates)=COLUMNS($C$296:Z299)-1),--(data.media.dates&gt;=Controls!$E$32),--(data.media.dates&lt;Controls!$F$32+Controls!$L$24))</f>
        <v>21</v>
      </c>
      <c r="AA299" s="104">
        <f t="shared" ca="1" si="33"/>
        <v>775</v>
      </c>
      <c r="AB299" s="105">
        <f t="shared" ca="1" si="34"/>
        <v>0.13556060871086234</v>
      </c>
      <c r="XX299" s="79"/>
    </row>
    <row r="300" spans="2:648" x14ac:dyDescent="0.25">
      <c r="B300" s="100" t="s">
        <v>45</v>
      </c>
      <c r="C300" s="103">
        <f t="array" aca="1" ref="C300" ca="1">SUMPRODUCT(--(WEEKDAY(data.media.dates, 2)=ROWS($C$296:C300)),--(HOUR(data.media.dates)=COLUMNS($C$296:C300)-1),--(data.media.dates&gt;=Controls!$E$32),--(data.media.dates&lt;Controls!$F$32+Controls!$L$24))</f>
        <v>19</v>
      </c>
      <c r="D300" s="103">
        <f t="array" aca="1" ref="D300" ca="1">SUMPRODUCT(--(WEEKDAY(data.media.dates, 2)=ROWS($C$296:D300)),--(HOUR(data.media.dates)=COLUMNS($C$296:D300)-1),--(data.media.dates&gt;=Controls!$E$32),--(data.media.dates&lt;Controls!$F$32+Controls!$L$24))</f>
        <v>26</v>
      </c>
      <c r="E300" s="103">
        <f t="array" aca="1" ref="E300" ca="1">SUMPRODUCT(--(WEEKDAY(data.media.dates, 2)=ROWS($C$296:E300)),--(HOUR(data.media.dates)=COLUMNS($C$296:E300)-1),--(data.media.dates&gt;=Controls!$E$32),--(data.media.dates&lt;Controls!$F$32+Controls!$L$24))</f>
        <v>23</v>
      </c>
      <c r="F300" s="103">
        <f t="array" aca="1" ref="F300" ca="1">SUMPRODUCT(--(WEEKDAY(data.media.dates, 2)=ROWS($C$296:F300)),--(HOUR(data.media.dates)=COLUMNS($C$296:F300)-1),--(data.media.dates&gt;=Controls!$E$32),--(data.media.dates&lt;Controls!$F$32+Controls!$L$24))</f>
        <v>35</v>
      </c>
      <c r="G300" s="103">
        <f t="array" aca="1" ref="G300" ca="1">SUMPRODUCT(--(WEEKDAY(data.media.dates, 2)=ROWS($C$296:G300)),--(HOUR(data.media.dates)=COLUMNS($C$296:G300)-1),--(data.media.dates&gt;=Controls!$E$32),--(data.media.dates&lt;Controls!$F$32+Controls!$L$24))</f>
        <v>33</v>
      </c>
      <c r="H300" s="103">
        <f t="array" aca="1" ref="H300" ca="1">SUMPRODUCT(--(WEEKDAY(data.media.dates, 2)=ROWS($C$296:H300)),--(HOUR(data.media.dates)=COLUMNS($C$296:H300)-1),--(data.media.dates&gt;=Controls!$E$32),--(data.media.dates&lt;Controls!$F$32+Controls!$L$24))</f>
        <v>49</v>
      </c>
      <c r="I300" s="103">
        <f t="array" aca="1" ref="I300" ca="1">SUMPRODUCT(--(WEEKDAY(data.media.dates, 2)=ROWS($C$296:I300)),--(HOUR(data.media.dates)=COLUMNS($C$296:I300)-1),--(data.media.dates&gt;=Controls!$E$32),--(data.media.dates&lt;Controls!$F$32+Controls!$L$24))</f>
        <v>43</v>
      </c>
      <c r="J300" s="103">
        <f t="array" aca="1" ref="J300" ca="1">SUMPRODUCT(--(WEEKDAY(data.media.dates, 2)=ROWS($C$296:J300)),--(HOUR(data.media.dates)=COLUMNS($C$296:J300)-1),--(data.media.dates&gt;=Controls!$E$32),--(data.media.dates&lt;Controls!$F$32+Controls!$L$24))</f>
        <v>35</v>
      </c>
      <c r="K300" s="103">
        <f t="array" aca="1" ref="K300" ca="1">SUMPRODUCT(--(WEEKDAY(data.media.dates, 2)=ROWS($C$296:K300)),--(HOUR(data.media.dates)=COLUMNS($C$296:K300)-1),--(data.media.dates&gt;=Controls!$E$32),--(data.media.dates&lt;Controls!$F$32+Controls!$L$24))</f>
        <v>57</v>
      </c>
      <c r="L300" s="103">
        <f t="array" aca="1" ref="L300" ca="1">SUMPRODUCT(--(WEEKDAY(data.media.dates, 2)=ROWS($C$296:L300)),--(HOUR(data.media.dates)=COLUMNS($C$296:L300)-1),--(data.media.dates&gt;=Controls!$E$32),--(data.media.dates&lt;Controls!$F$32+Controls!$L$24))</f>
        <v>39</v>
      </c>
      <c r="M300" s="103">
        <f t="array" aca="1" ref="M300" ca="1">SUMPRODUCT(--(WEEKDAY(data.media.dates, 2)=ROWS($C$296:M300)),--(HOUR(data.media.dates)=COLUMNS($C$296:M300)-1),--(data.media.dates&gt;=Controls!$E$32),--(data.media.dates&lt;Controls!$F$32+Controls!$L$24))</f>
        <v>38</v>
      </c>
      <c r="N300" s="103">
        <f t="array" aca="1" ref="N300" ca="1">SUMPRODUCT(--(WEEKDAY(data.media.dates, 2)=ROWS($C$296:N300)),--(HOUR(data.media.dates)=COLUMNS($C$296:N300)-1),--(data.media.dates&gt;=Controls!$E$32),--(data.media.dates&lt;Controls!$F$32+Controls!$L$24))</f>
        <v>43</v>
      </c>
      <c r="O300" s="103">
        <f t="array" aca="1" ref="O300" ca="1">SUMPRODUCT(--(WEEKDAY(data.media.dates, 2)=ROWS($C$296:O300)),--(HOUR(data.media.dates)=COLUMNS($C$296:O300)-1),--(data.media.dates&gt;=Controls!$E$32),--(data.media.dates&lt;Controls!$F$32+Controls!$L$24))</f>
        <v>58</v>
      </c>
      <c r="P300" s="103">
        <f t="array" aca="1" ref="P300" ca="1">SUMPRODUCT(--(WEEKDAY(data.media.dates, 2)=ROWS($C$296:P300)),--(HOUR(data.media.dates)=COLUMNS($C$296:P300)-1),--(data.media.dates&gt;=Controls!$E$32),--(data.media.dates&lt;Controls!$F$32+Controls!$L$24))</f>
        <v>55</v>
      </c>
      <c r="Q300" s="103">
        <f t="array" aca="1" ref="Q300" ca="1">SUMPRODUCT(--(WEEKDAY(data.media.dates, 2)=ROWS($C$296:Q300)),--(HOUR(data.media.dates)=COLUMNS($C$296:Q300)-1),--(data.media.dates&gt;=Controls!$E$32),--(data.media.dates&lt;Controls!$F$32+Controls!$L$24))</f>
        <v>60</v>
      </c>
      <c r="R300" s="103">
        <f t="array" aca="1" ref="R300" ca="1">SUMPRODUCT(--(WEEKDAY(data.media.dates, 2)=ROWS($C$296:R300)),--(HOUR(data.media.dates)=COLUMNS($C$296:R300)-1),--(data.media.dates&gt;=Controls!$E$32),--(data.media.dates&lt;Controls!$F$32+Controls!$L$24))</f>
        <v>36</v>
      </c>
      <c r="S300" s="103">
        <f t="array" aca="1" ref="S300" ca="1">SUMPRODUCT(--(WEEKDAY(data.media.dates, 2)=ROWS($C$296:S300)),--(HOUR(data.media.dates)=COLUMNS($C$296:S300)-1),--(data.media.dates&gt;=Controls!$E$32),--(data.media.dates&lt;Controls!$F$32+Controls!$L$24))</f>
        <v>47</v>
      </c>
      <c r="T300" s="103">
        <f t="array" aca="1" ref="T300" ca="1">SUMPRODUCT(--(WEEKDAY(data.media.dates, 2)=ROWS($C$296:T300)),--(HOUR(data.media.dates)=COLUMNS($C$296:T300)-1),--(data.media.dates&gt;=Controls!$E$32),--(data.media.dates&lt;Controls!$F$32+Controls!$L$24))</f>
        <v>28</v>
      </c>
      <c r="U300" s="103">
        <f t="array" aca="1" ref="U300" ca="1">SUMPRODUCT(--(WEEKDAY(data.media.dates, 2)=ROWS($C$296:U300)),--(HOUR(data.media.dates)=COLUMNS($C$296:U300)-1),--(data.media.dates&gt;=Controls!$E$32),--(data.media.dates&lt;Controls!$F$32+Controls!$L$24))</f>
        <v>25</v>
      </c>
      <c r="V300" s="103">
        <f t="array" aca="1" ref="V300" ca="1">SUMPRODUCT(--(WEEKDAY(data.media.dates, 2)=ROWS($C$296:V300)),--(HOUR(data.media.dates)=COLUMNS($C$296:V300)-1),--(data.media.dates&gt;=Controls!$E$32),--(data.media.dates&lt;Controls!$F$32+Controls!$L$24))</f>
        <v>22</v>
      </c>
      <c r="W300" s="103">
        <f t="array" aca="1" ref="W300" ca="1">SUMPRODUCT(--(WEEKDAY(data.media.dates, 2)=ROWS($C$296:W300)),--(HOUR(data.media.dates)=COLUMNS($C$296:W300)-1),--(data.media.dates&gt;=Controls!$E$32),--(data.media.dates&lt;Controls!$F$32+Controls!$L$24))</f>
        <v>23</v>
      </c>
      <c r="X300" s="103">
        <f t="array" aca="1" ref="X300" ca="1">SUMPRODUCT(--(WEEKDAY(data.media.dates, 2)=ROWS($C$296:X300)),--(HOUR(data.media.dates)=COLUMNS($C$296:X300)-1),--(data.media.dates&gt;=Controls!$E$32),--(data.media.dates&lt;Controls!$F$32+Controls!$L$24))</f>
        <v>27</v>
      </c>
      <c r="Y300" s="103">
        <f t="array" aca="1" ref="Y300" ca="1">SUMPRODUCT(--(WEEKDAY(data.media.dates, 2)=ROWS($C$296:Y300)),--(HOUR(data.media.dates)=COLUMNS($C$296:Y300)-1),--(data.media.dates&gt;=Controls!$E$32),--(data.media.dates&lt;Controls!$F$32+Controls!$L$24))</f>
        <v>30</v>
      </c>
      <c r="Z300" s="103">
        <f t="array" aca="1" ref="Z300" ca="1">SUMPRODUCT(--(WEEKDAY(data.media.dates, 2)=ROWS($C$296:Z300)),--(HOUR(data.media.dates)=COLUMNS($C$296:Z300)-1),--(data.media.dates&gt;=Controls!$E$32),--(data.media.dates&lt;Controls!$F$32+Controls!$L$24))</f>
        <v>22</v>
      </c>
      <c r="AA300" s="104">
        <f t="shared" ca="1" si="33"/>
        <v>873</v>
      </c>
      <c r="AB300" s="105">
        <f t="shared" ca="1" si="34"/>
        <v>0.15270246632849396</v>
      </c>
      <c r="XX300" s="79"/>
    </row>
    <row r="301" spans="2:648" x14ac:dyDescent="0.25">
      <c r="B301" s="100" t="s">
        <v>46</v>
      </c>
      <c r="C301" s="103">
        <f t="array" aca="1" ref="C301" ca="1">SUMPRODUCT(--(WEEKDAY(data.media.dates, 2)=ROWS($C$296:C301)),--(HOUR(data.media.dates)=COLUMNS($C$296:C301)-1),--(data.media.dates&gt;=Controls!$E$32),--(data.media.dates&lt;Controls!$F$32+Controls!$L$24))</f>
        <v>21</v>
      </c>
      <c r="D301" s="103">
        <f t="array" aca="1" ref="D301" ca="1">SUMPRODUCT(--(WEEKDAY(data.media.dates, 2)=ROWS($C$296:D301)),--(HOUR(data.media.dates)=COLUMNS($C$296:D301)-1),--(data.media.dates&gt;=Controls!$E$32),--(data.media.dates&lt;Controls!$F$32+Controls!$L$24))</f>
        <v>30</v>
      </c>
      <c r="E301" s="103">
        <f t="array" aca="1" ref="E301" ca="1">SUMPRODUCT(--(WEEKDAY(data.media.dates, 2)=ROWS($C$296:E301)),--(HOUR(data.media.dates)=COLUMNS($C$296:E301)-1),--(data.media.dates&gt;=Controls!$E$32),--(data.media.dates&lt;Controls!$F$32+Controls!$L$24))</f>
        <v>24</v>
      </c>
      <c r="F301" s="103">
        <f t="array" aca="1" ref="F301" ca="1">SUMPRODUCT(--(WEEKDAY(data.media.dates, 2)=ROWS($C$296:F301)),--(HOUR(data.media.dates)=COLUMNS($C$296:F301)-1),--(data.media.dates&gt;=Controls!$E$32),--(data.media.dates&lt;Controls!$F$32+Controls!$L$24))</f>
        <v>30</v>
      </c>
      <c r="G301" s="103">
        <f t="array" aca="1" ref="G301" ca="1">SUMPRODUCT(--(WEEKDAY(data.media.dates, 2)=ROWS($C$296:G301)),--(HOUR(data.media.dates)=COLUMNS($C$296:G301)-1),--(data.media.dates&gt;=Controls!$E$32),--(data.media.dates&lt;Controls!$F$32+Controls!$L$24))</f>
        <v>24</v>
      </c>
      <c r="H301" s="103">
        <f t="array" aca="1" ref="H301" ca="1">SUMPRODUCT(--(WEEKDAY(data.media.dates, 2)=ROWS($C$296:H301)),--(HOUR(data.media.dates)=COLUMNS($C$296:H301)-1),--(data.media.dates&gt;=Controls!$E$32),--(data.media.dates&lt;Controls!$F$32+Controls!$L$24))</f>
        <v>28</v>
      </c>
      <c r="I301" s="103">
        <f t="array" aca="1" ref="I301" ca="1">SUMPRODUCT(--(WEEKDAY(data.media.dates, 2)=ROWS($C$296:I301)),--(HOUR(data.media.dates)=COLUMNS($C$296:I301)-1),--(data.media.dates&gt;=Controls!$E$32),--(data.media.dates&lt;Controls!$F$32+Controls!$L$24))</f>
        <v>42</v>
      </c>
      <c r="J301" s="103">
        <f t="array" aca="1" ref="J301" ca="1">SUMPRODUCT(--(WEEKDAY(data.media.dates, 2)=ROWS($C$296:J301)),--(HOUR(data.media.dates)=COLUMNS($C$296:J301)-1),--(data.media.dates&gt;=Controls!$E$32),--(data.media.dates&lt;Controls!$F$32+Controls!$L$24))</f>
        <v>46</v>
      </c>
      <c r="K301" s="103">
        <f t="array" aca="1" ref="K301" ca="1">SUMPRODUCT(--(WEEKDAY(data.media.dates, 2)=ROWS($C$296:K301)),--(HOUR(data.media.dates)=COLUMNS($C$296:K301)-1),--(data.media.dates&gt;=Controls!$E$32),--(data.media.dates&lt;Controls!$F$32+Controls!$L$24))</f>
        <v>39</v>
      </c>
      <c r="L301" s="103">
        <f t="array" aca="1" ref="L301" ca="1">SUMPRODUCT(--(WEEKDAY(data.media.dates, 2)=ROWS($C$296:L301)),--(HOUR(data.media.dates)=COLUMNS($C$296:L301)-1),--(data.media.dates&gt;=Controls!$E$32),--(data.media.dates&lt;Controls!$F$32+Controls!$L$24))</f>
        <v>39</v>
      </c>
      <c r="M301" s="103">
        <f t="array" aca="1" ref="M301" ca="1">SUMPRODUCT(--(WEEKDAY(data.media.dates, 2)=ROWS($C$296:M301)),--(HOUR(data.media.dates)=COLUMNS($C$296:M301)-1),--(data.media.dates&gt;=Controls!$E$32),--(data.media.dates&lt;Controls!$F$32+Controls!$L$24))</f>
        <v>32</v>
      </c>
      <c r="N301" s="103">
        <f t="array" aca="1" ref="N301" ca="1">SUMPRODUCT(--(WEEKDAY(data.media.dates, 2)=ROWS($C$296:N301)),--(HOUR(data.media.dates)=COLUMNS($C$296:N301)-1),--(data.media.dates&gt;=Controls!$E$32),--(data.media.dates&lt;Controls!$F$32+Controls!$L$24))</f>
        <v>40</v>
      </c>
      <c r="O301" s="103">
        <f t="array" aca="1" ref="O301" ca="1">SUMPRODUCT(--(WEEKDAY(data.media.dates, 2)=ROWS($C$296:O301)),--(HOUR(data.media.dates)=COLUMNS($C$296:O301)-1),--(data.media.dates&gt;=Controls!$E$32),--(data.media.dates&lt;Controls!$F$32+Controls!$L$24))</f>
        <v>58</v>
      </c>
      <c r="P301" s="103">
        <f t="array" aca="1" ref="P301" ca="1">SUMPRODUCT(--(WEEKDAY(data.media.dates, 2)=ROWS($C$296:P301)),--(HOUR(data.media.dates)=COLUMNS($C$296:P301)-1),--(data.media.dates&gt;=Controls!$E$32),--(data.media.dates&lt;Controls!$F$32+Controls!$L$24))</f>
        <v>46</v>
      </c>
      <c r="Q301" s="103">
        <f t="array" aca="1" ref="Q301" ca="1">SUMPRODUCT(--(WEEKDAY(data.media.dates, 2)=ROWS($C$296:Q301)),--(HOUR(data.media.dates)=COLUMNS($C$296:Q301)-1),--(data.media.dates&gt;=Controls!$E$32),--(data.media.dates&lt;Controls!$F$32+Controls!$L$24))</f>
        <v>35</v>
      </c>
      <c r="R301" s="103">
        <f t="array" aca="1" ref="R301" ca="1">SUMPRODUCT(--(WEEKDAY(data.media.dates, 2)=ROWS($C$296:R301)),--(HOUR(data.media.dates)=COLUMNS($C$296:R301)-1),--(data.media.dates&gt;=Controls!$E$32),--(data.media.dates&lt;Controls!$F$32+Controls!$L$24))</f>
        <v>31</v>
      </c>
      <c r="S301" s="103">
        <f t="array" aca="1" ref="S301" ca="1">SUMPRODUCT(--(WEEKDAY(data.media.dates, 2)=ROWS($C$296:S301)),--(HOUR(data.media.dates)=COLUMNS($C$296:S301)-1),--(data.media.dates&gt;=Controls!$E$32),--(data.media.dates&lt;Controls!$F$32+Controls!$L$24))</f>
        <v>29</v>
      </c>
      <c r="T301" s="103">
        <f t="array" aca="1" ref="T301" ca="1">SUMPRODUCT(--(WEEKDAY(data.media.dates, 2)=ROWS($C$296:T301)),--(HOUR(data.media.dates)=COLUMNS($C$296:T301)-1),--(data.media.dates&gt;=Controls!$E$32),--(data.media.dates&lt;Controls!$F$32+Controls!$L$24))</f>
        <v>26</v>
      </c>
      <c r="U301" s="103">
        <f t="array" aca="1" ref="U301" ca="1">SUMPRODUCT(--(WEEKDAY(data.media.dates, 2)=ROWS($C$296:U301)),--(HOUR(data.media.dates)=COLUMNS($C$296:U301)-1),--(data.media.dates&gt;=Controls!$E$32),--(data.media.dates&lt;Controls!$F$32+Controls!$L$24))</f>
        <v>40</v>
      </c>
      <c r="V301" s="103">
        <f t="array" aca="1" ref="V301" ca="1">SUMPRODUCT(--(WEEKDAY(data.media.dates, 2)=ROWS($C$296:V301)),--(HOUR(data.media.dates)=COLUMNS($C$296:V301)-1),--(data.media.dates&gt;=Controls!$E$32),--(data.media.dates&lt;Controls!$F$32+Controls!$L$24))</f>
        <v>25</v>
      </c>
      <c r="W301" s="103">
        <f t="array" aca="1" ref="W301" ca="1">SUMPRODUCT(--(WEEKDAY(data.media.dates, 2)=ROWS($C$296:W301)),--(HOUR(data.media.dates)=COLUMNS($C$296:W301)-1),--(data.media.dates&gt;=Controls!$E$32),--(data.media.dates&lt;Controls!$F$32+Controls!$L$24))</f>
        <v>10</v>
      </c>
      <c r="X301" s="103">
        <f t="array" aca="1" ref="X301" ca="1">SUMPRODUCT(--(WEEKDAY(data.media.dates, 2)=ROWS($C$296:X301)),--(HOUR(data.media.dates)=COLUMNS($C$296:X301)-1),--(data.media.dates&gt;=Controls!$E$32),--(data.media.dates&lt;Controls!$F$32+Controls!$L$24))</f>
        <v>13</v>
      </c>
      <c r="Y301" s="103">
        <f t="array" aca="1" ref="Y301" ca="1">SUMPRODUCT(--(WEEKDAY(data.media.dates, 2)=ROWS($C$296:Y301)),--(HOUR(data.media.dates)=COLUMNS($C$296:Y301)-1),--(data.media.dates&gt;=Controls!$E$32),--(data.media.dates&lt;Controls!$F$32+Controls!$L$24))</f>
        <v>29</v>
      </c>
      <c r="Z301" s="103">
        <f t="array" aca="1" ref="Z301" ca="1">SUMPRODUCT(--(WEEKDAY(data.media.dates, 2)=ROWS($C$296:Z301)),--(HOUR(data.media.dates)=COLUMNS($C$296:Z301)-1),--(data.media.dates&gt;=Controls!$E$32),--(data.media.dates&lt;Controls!$F$32+Controls!$L$24))</f>
        <v>42</v>
      </c>
      <c r="AA301" s="104">
        <f t="shared" ca="1" si="33"/>
        <v>779</v>
      </c>
      <c r="AB301" s="105">
        <f t="shared" ca="1" si="34"/>
        <v>0.13626027636872484</v>
      </c>
      <c r="XX301" s="79"/>
    </row>
    <row r="302" spans="2:648" x14ac:dyDescent="0.25">
      <c r="B302" s="100" t="s">
        <v>39</v>
      </c>
      <c r="C302" s="103">
        <f t="array" aca="1" ref="C302" ca="1">SUMPRODUCT(--(WEEKDAY(data.media.dates, 2)=ROWS($C$296:C302)),--(HOUR(data.media.dates)=COLUMNS($C$296:C302)-1),--(data.media.dates&gt;=Controls!$E$32),--(data.media.dates&lt;Controls!$F$32+Controls!$L$24))</f>
        <v>20</v>
      </c>
      <c r="D302" s="103">
        <f t="array" aca="1" ref="D302" ca="1">SUMPRODUCT(--(WEEKDAY(data.media.dates, 2)=ROWS($C$296:D302)),--(HOUR(data.media.dates)=COLUMNS($C$296:D302)-1),--(data.media.dates&gt;=Controls!$E$32),--(data.media.dates&lt;Controls!$F$32+Controls!$L$24))</f>
        <v>16</v>
      </c>
      <c r="E302" s="103">
        <f t="array" aca="1" ref="E302" ca="1">SUMPRODUCT(--(WEEKDAY(data.media.dates, 2)=ROWS($C$296:E302)),--(HOUR(data.media.dates)=COLUMNS($C$296:E302)-1),--(data.media.dates&gt;=Controls!$E$32),--(data.media.dates&lt;Controls!$F$32+Controls!$L$24))</f>
        <v>17</v>
      </c>
      <c r="F302" s="103">
        <f t="array" aca="1" ref="F302" ca="1">SUMPRODUCT(--(WEEKDAY(data.media.dates, 2)=ROWS($C$296:F302)),--(HOUR(data.media.dates)=COLUMNS($C$296:F302)-1),--(data.media.dates&gt;=Controls!$E$32),--(data.media.dates&lt;Controls!$F$32+Controls!$L$24))</f>
        <v>23</v>
      </c>
      <c r="G302" s="103">
        <f t="array" aca="1" ref="G302" ca="1">SUMPRODUCT(--(WEEKDAY(data.media.dates, 2)=ROWS($C$296:G302)),--(HOUR(data.media.dates)=COLUMNS($C$296:G302)-1),--(data.media.dates&gt;=Controls!$E$32),--(data.media.dates&lt;Controls!$F$32+Controls!$L$24))</f>
        <v>30</v>
      </c>
      <c r="H302" s="103">
        <f t="array" aca="1" ref="H302" ca="1">SUMPRODUCT(--(WEEKDAY(data.media.dates, 2)=ROWS($C$296:H302)),--(HOUR(data.media.dates)=COLUMNS($C$296:H302)-1),--(data.media.dates&gt;=Controls!$E$32),--(data.media.dates&lt;Controls!$F$32+Controls!$L$24))</f>
        <v>29</v>
      </c>
      <c r="I302" s="103">
        <f t="array" aca="1" ref="I302" ca="1">SUMPRODUCT(--(WEEKDAY(data.media.dates, 2)=ROWS($C$296:I302)),--(HOUR(data.media.dates)=COLUMNS($C$296:I302)-1),--(data.media.dates&gt;=Controls!$E$32),--(data.media.dates&lt;Controls!$F$32+Controls!$L$24))</f>
        <v>29</v>
      </c>
      <c r="J302" s="103">
        <f t="array" aca="1" ref="J302" ca="1">SUMPRODUCT(--(WEEKDAY(data.media.dates, 2)=ROWS($C$296:J302)),--(HOUR(data.media.dates)=COLUMNS($C$296:J302)-1),--(data.media.dates&gt;=Controls!$E$32),--(data.media.dates&lt;Controls!$F$32+Controls!$L$24))</f>
        <v>31</v>
      </c>
      <c r="K302" s="103">
        <f t="array" aca="1" ref="K302" ca="1">SUMPRODUCT(--(WEEKDAY(data.media.dates, 2)=ROWS($C$296:K302)),--(HOUR(data.media.dates)=COLUMNS($C$296:K302)-1),--(data.media.dates&gt;=Controls!$E$32),--(data.media.dates&lt;Controls!$F$32+Controls!$L$24))</f>
        <v>29</v>
      </c>
      <c r="L302" s="103">
        <f t="array" aca="1" ref="L302" ca="1">SUMPRODUCT(--(WEEKDAY(data.media.dates, 2)=ROWS($C$296:L302)),--(HOUR(data.media.dates)=COLUMNS($C$296:L302)-1),--(data.media.dates&gt;=Controls!$E$32),--(data.media.dates&lt;Controls!$F$32+Controls!$L$24))</f>
        <v>34</v>
      </c>
      <c r="M302" s="103">
        <f t="array" aca="1" ref="M302" ca="1">SUMPRODUCT(--(WEEKDAY(data.media.dates, 2)=ROWS($C$296:M302)),--(HOUR(data.media.dates)=COLUMNS($C$296:M302)-1),--(data.media.dates&gt;=Controls!$E$32),--(data.media.dates&lt;Controls!$F$32+Controls!$L$24))</f>
        <v>40</v>
      </c>
      <c r="N302" s="103">
        <f t="array" aca="1" ref="N302" ca="1">SUMPRODUCT(--(WEEKDAY(data.media.dates, 2)=ROWS($C$296:N302)),--(HOUR(data.media.dates)=COLUMNS($C$296:N302)-1),--(data.media.dates&gt;=Controls!$E$32),--(data.media.dates&lt;Controls!$F$32+Controls!$L$24))</f>
        <v>45</v>
      </c>
      <c r="O302" s="103">
        <f t="array" aca="1" ref="O302" ca="1">SUMPRODUCT(--(WEEKDAY(data.media.dates, 2)=ROWS($C$296:O302)),--(HOUR(data.media.dates)=COLUMNS($C$296:O302)-1),--(data.media.dates&gt;=Controls!$E$32),--(data.media.dates&lt;Controls!$F$32+Controls!$L$24))</f>
        <v>43</v>
      </c>
      <c r="P302" s="103">
        <f t="array" aca="1" ref="P302" ca="1">SUMPRODUCT(--(WEEKDAY(data.media.dates, 2)=ROWS($C$296:P302)),--(HOUR(data.media.dates)=COLUMNS($C$296:P302)-1),--(data.media.dates&gt;=Controls!$E$32),--(data.media.dates&lt;Controls!$F$32+Controls!$L$24))</f>
        <v>51</v>
      </c>
      <c r="Q302" s="103">
        <f t="array" aca="1" ref="Q302" ca="1">SUMPRODUCT(--(WEEKDAY(data.media.dates, 2)=ROWS($C$296:Q302)),--(HOUR(data.media.dates)=COLUMNS($C$296:Q302)-1),--(data.media.dates&gt;=Controls!$E$32),--(data.media.dates&lt;Controls!$F$32+Controls!$L$24))</f>
        <v>48</v>
      </c>
      <c r="R302" s="103">
        <f t="array" aca="1" ref="R302" ca="1">SUMPRODUCT(--(WEEKDAY(data.media.dates, 2)=ROWS($C$296:R302)),--(HOUR(data.media.dates)=COLUMNS($C$296:R302)-1),--(data.media.dates&gt;=Controls!$E$32),--(data.media.dates&lt;Controls!$F$32+Controls!$L$24))</f>
        <v>56</v>
      </c>
      <c r="S302" s="103">
        <f t="array" aca="1" ref="S302" ca="1">SUMPRODUCT(--(WEEKDAY(data.media.dates, 2)=ROWS($C$296:S302)),--(HOUR(data.media.dates)=COLUMNS($C$296:S302)-1),--(data.media.dates&gt;=Controls!$E$32),--(data.media.dates&lt;Controls!$F$32+Controls!$L$24))</f>
        <v>39</v>
      </c>
      <c r="T302" s="103">
        <f t="array" aca="1" ref="T302" ca="1">SUMPRODUCT(--(WEEKDAY(data.media.dates, 2)=ROWS($C$296:T302)),--(HOUR(data.media.dates)=COLUMNS($C$296:T302)-1),--(data.media.dates&gt;=Controls!$E$32),--(data.media.dates&lt;Controls!$F$32+Controls!$L$24))</f>
        <v>22</v>
      </c>
      <c r="U302" s="103">
        <f t="array" aca="1" ref="U302" ca="1">SUMPRODUCT(--(WEEKDAY(data.media.dates, 2)=ROWS($C$296:U302)),--(HOUR(data.media.dates)=COLUMNS($C$296:U302)-1),--(data.media.dates&gt;=Controls!$E$32),--(data.media.dates&lt;Controls!$F$32+Controls!$L$24))</f>
        <v>30</v>
      </c>
      <c r="V302" s="103">
        <f t="array" aca="1" ref="V302" ca="1">SUMPRODUCT(--(WEEKDAY(data.media.dates, 2)=ROWS($C$296:V302)),--(HOUR(data.media.dates)=COLUMNS($C$296:V302)-1),--(data.media.dates&gt;=Controls!$E$32),--(data.media.dates&lt;Controls!$F$32+Controls!$L$24))</f>
        <v>26</v>
      </c>
      <c r="W302" s="103">
        <f t="array" aca="1" ref="W302" ca="1">SUMPRODUCT(--(WEEKDAY(data.media.dates, 2)=ROWS($C$296:W302)),--(HOUR(data.media.dates)=COLUMNS($C$296:W302)-1),--(data.media.dates&gt;=Controls!$E$32),--(data.media.dates&lt;Controls!$F$32+Controls!$L$24))</f>
        <v>20</v>
      </c>
      <c r="X302" s="103">
        <f t="array" aca="1" ref="X302" ca="1">SUMPRODUCT(--(WEEKDAY(data.media.dates, 2)=ROWS($C$296:X302)),--(HOUR(data.media.dates)=COLUMNS($C$296:X302)-1),--(data.media.dates&gt;=Controls!$E$32),--(data.media.dates&lt;Controls!$F$32+Controls!$L$24))</f>
        <v>20</v>
      </c>
      <c r="Y302" s="103">
        <f t="array" aca="1" ref="Y302" ca="1">SUMPRODUCT(--(WEEKDAY(data.media.dates, 2)=ROWS($C$296:Y302)),--(HOUR(data.media.dates)=COLUMNS($C$296:Y302)-1),--(data.media.dates&gt;=Controls!$E$32),--(data.media.dates&lt;Controls!$F$32+Controls!$L$24))</f>
        <v>30</v>
      </c>
      <c r="Z302" s="103">
        <f t="array" aca="1" ref="Z302" ca="1">SUMPRODUCT(--(WEEKDAY(data.media.dates, 2)=ROWS($C$296:Z302)),--(HOUR(data.media.dates)=COLUMNS($C$296:Z302)-1),--(data.media.dates&gt;=Controls!$E$32),--(data.media.dates&lt;Controls!$F$32+Controls!$L$24))</f>
        <v>20</v>
      </c>
      <c r="AA302" s="104">
        <f t="shared" ca="1" si="33"/>
        <v>748</v>
      </c>
      <c r="AB302" s="105">
        <f t="shared" ca="1" si="34"/>
        <v>0.13083785202029036</v>
      </c>
      <c r="XX302" s="79"/>
    </row>
    <row r="303" spans="2:648" s="74" customFormat="1" x14ac:dyDescent="0.25">
      <c r="B303" s="101" t="s">
        <v>94</v>
      </c>
      <c r="C303" s="104">
        <f ca="1">SUM(C296:C302)</f>
        <v>158</v>
      </c>
      <c r="D303" s="104">
        <f t="shared" ref="D303:Z303" ca="1" si="35">SUM(D296:D302)</f>
        <v>191</v>
      </c>
      <c r="E303" s="104">
        <f t="shared" ca="1" si="35"/>
        <v>183</v>
      </c>
      <c r="F303" s="104">
        <f t="shared" ca="1" si="35"/>
        <v>208</v>
      </c>
      <c r="G303" s="104">
        <f t="shared" ca="1" si="35"/>
        <v>219</v>
      </c>
      <c r="H303" s="104">
        <f t="shared" ca="1" si="35"/>
        <v>220</v>
      </c>
      <c r="I303" s="104">
        <f t="shared" ca="1" si="35"/>
        <v>244</v>
      </c>
      <c r="J303" s="104">
        <f t="shared" ca="1" si="35"/>
        <v>260</v>
      </c>
      <c r="K303" s="104">
        <f t="shared" ca="1" si="35"/>
        <v>298</v>
      </c>
      <c r="L303" s="104">
        <f t="shared" ca="1" si="35"/>
        <v>283</v>
      </c>
      <c r="M303" s="104">
        <f t="shared" ca="1" si="35"/>
        <v>237</v>
      </c>
      <c r="N303" s="104">
        <f t="shared" ca="1" si="35"/>
        <v>317</v>
      </c>
      <c r="O303" s="104">
        <f t="shared" ca="1" si="35"/>
        <v>352</v>
      </c>
      <c r="P303" s="104">
        <f t="shared" ca="1" si="35"/>
        <v>317</v>
      </c>
      <c r="Q303" s="104">
        <f t="shared" ca="1" si="35"/>
        <v>341</v>
      </c>
      <c r="R303" s="104">
        <f t="shared" ca="1" si="35"/>
        <v>307</v>
      </c>
      <c r="S303" s="104">
        <f t="shared" ca="1" si="35"/>
        <v>266</v>
      </c>
      <c r="T303" s="104">
        <f t="shared" ca="1" si="35"/>
        <v>206</v>
      </c>
      <c r="U303" s="104">
        <f t="shared" ca="1" si="35"/>
        <v>205</v>
      </c>
      <c r="V303" s="104">
        <f t="shared" ca="1" si="35"/>
        <v>182</v>
      </c>
      <c r="W303" s="104">
        <f t="shared" ca="1" si="35"/>
        <v>171</v>
      </c>
      <c r="X303" s="104">
        <f t="shared" ca="1" si="35"/>
        <v>185</v>
      </c>
      <c r="Y303" s="104">
        <f t="shared" ca="1" si="35"/>
        <v>192</v>
      </c>
      <c r="Z303" s="104">
        <f t="shared" ca="1" si="35"/>
        <v>175</v>
      </c>
      <c r="AA303" s="104">
        <f ca="1">SUM(AA296:AA302)</f>
        <v>5717</v>
      </c>
      <c r="AB303" s="105">
        <f t="shared" ca="1" si="34"/>
        <v>1</v>
      </c>
      <c r="XX303" s="80"/>
    </row>
    <row r="304" spans="2:648" x14ac:dyDescent="0.25">
      <c r="XX304" s="79"/>
    </row>
    <row r="305" spans="2:648" x14ac:dyDescent="0.25">
      <c r="XX305" s="79"/>
    </row>
    <row r="306" spans="2:648" x14ac:dyDescent="0.25">
      <c r="XX306" s="79"/>
    </row>
    <row r="307" spans="2:648" x14ac:dyDescent="0.25">
      <c r="C307" s="15"/>
      <c r="D307" s="84"/>
      <c r="E307" s="15"/>
      <c r="F307" s="15"/>
      <c r="G307" s="15"/>
      <c r="XX307" s="79"/>
    </row>
    <row r="308" spans="2:648" x14ac:dyDescent="0.25">
      <c r="C308" s="15"/>
      <c r="D308" s="84"/>
      <c r="E308" s="15"/>
      <c r="F308" s="15"/>
      <c r="G308" s="15"/>
      <c r="XX308" s="79"/>
    </row>
    <row r="309" spans="2:648" x14ac:dyDescent="0.25">
      <c r="XX309" s="79"/>
    </row>
    <row r="310" spans="2:648" x14ac:dyDescent="0.25">
      <c r="B310" s="66" t="s">
        <v>2319</v>
      </c>
      <c r="C310" s="66"/>
      <c r="D310" s="66" t="str">
        <f ca="1">IF(SUM(C313:C320)=0, "No Data Available For This Chart (Comment Keyword Analysis)", "")</f>
        <v/>
      </c>
      <c r="E310" s="66"/>
      <c r="F310" s="66"/>
      <c r="G310" s="66"/>
      <c r="H310" s="66"/>
      <c r="I310" s="66"/>
      <c r="J310" s="66"/>
      <c r="K310" s="66"/>
      <c r="L310" s="66"/>
      <c r="XX310" s="79"/>
    </row>
    <row r="311" spans="2:648" x14ac:dyDescent="0.25">
      <c r="B311" s="100" t="s">
        <v>2395</v>
      </c>
      <c r="C311" s="100" t="s">
        <v>2396</v>
      </c>
      <c r="D311" s="100" t="s">
        <v>2397</v>
      </c>
      <c r="E311" s="100" t="s">
        <v>2398</v>
      </c>
      <c r="F311" s="100" t="s">
        <v>2399</v>
      </c>
      <c r="G311" s="100" t="s">
        <v>2400</v>
      </c>
      <c r="XX311" s="79"/>
    </row>
    <row r="312" spans="2:648" x14ac:dyDescent="0.25">
      <c r="B312" s="100" t="s">
        <v>2025</v>
      </c>
      <c r="C312" s="100">
        <f>COUNTIFS(Media!C:C,"&gt;="&amp;Controls!$E$32,Media!C:C,"&lt;"&amp;Controls!$F$32)</f>
        <v>5717</v>
      </c>
      <c r="D312" s="100"/>
      <c r="E312" s="100" t="s">
        <v>2025</v>
      </c>
      <c r="F312" s="100">
        <f>C312:C313</f>
        <v>5717</v>
      </c>
      <c r="G312" s="100"/>
      <c r="XX312" s="79"/>
    </row>
    <row r="313" spans="2:648" x14ac:dyDescent="0.25">
      <c r="B313" s="100" t="str">
        <f t="array" aca="1" ref="B313" ca="1">INDEX(top_keyword.col.keyword,LARGE(IF(C313=top_keyword.col.count,ROW(top_keyword.col.count)-ROW(Keywords!$B$1),""),COUNTIF($C$313:C313,C313)),1)</f>
        <v>#nevergiveup</v>
      </c>
      <c r="C313" s="100">
        <f ca="1">LARGE(top_keyword.col.count,ROWS($C$313:C313))</f>
        <v>566</v>
      </c>
      <c r="D313" s="100">
        <f ca="1">LEN(E313)</f>
        <v>12</v>
      </c>
      <c r="E313" s="100" t="str">
        <f ca="1">IF($B313=kw_1,$B313,kw_1)</f>
        <v>#nevergiveup</v>
      </c>
      <c r="F313" s="100">
        <f ca="1">IF($B313=$E313,$C313,COUNTIFS(Media!$F:$F,"*"&amp;$E313&amp;"*",Media!$C:$C, "&gt;="&amp;Controls!$E$28, Media!$C:$C, "&lt;"&amp;Controls!$F$28+Controls!$L$24))</f>
        <v>566</v>
      </c>
      <c r="G313" s="100">
        <f ca="1">F313/$F$312</f>
        <v>9.9002973587545909E-2</v>
      </c>
      <c r="XX313" s="79"/>
    </row>
    <row r="314" spans="2:648" x14ac:dyDescent="0.25">
      <c r="B314" s="100" t="str">
        <f t="array" aca="1" ref="B314" ca="1">INDEX(top_keyword.col.keyword,LARGE(IF(C314=top_keyword.col.count,ROW(top_keyword.col.count)-ROW(Keywords!$B$1),""),COUNTIF($C$313:C314,C314)),1)</f>
        <v>#motivation</v>
      </c>
      <c r="C314" s="100">
        <f ca="1">LARGE(top_keyword.col.count,ROWS($C$313:C314))</f>
        <v>478</v>
      </c>
      <c r="D314" s="100">
        <f t="shared" ref="D314:D320" ca="1" si="36">LEN(E314)</f>
        <v>11</v>
      </c>
      <c r="E314" s="100" t="str">
        <f ca="1">IF($B314=kw_2,$B314,kw_2)</f>
        <v>#motivation</v>
      </c>
      <c r="F314" s="100">
        <f ca="1">IF($B314=$E314,$C314,COUNTIFS(Media!$F:$F,"*"&amp;$E314&amp;"*",Media!$C:$C, "&gt;="&amp;Controls!$E$28, Media!$C:$C, "&lt;"&amp;Controls!$F$28+Controls!$L$24))</f>
        <v>478</v>
      </c>
      <c r="G314" s="100">
        <f t="shared" ref="G314:G320" ca="1" si="37">F314/$F$312</f>
        <v>8.3610285114570582E-2</v>
      </c>
      <c r="XX314" s="79"/>
    </row>
    <row r="315" spans="2:648" x14ac:dyDescent="0.25">
      <c r="B315" s="100" t="str">
        <f t="array" aca="1" ref="B315" ca="1">INDEX(top_keyword.col.keyword,LARGE(IF(C315=top_keyword.col.count,ROW(top_keyword.col.count)-ROW(Keywords!$B$1),""),COUNTIF($C$313:C315,C315)),1)</f>
        <v>#fitness</v>
      </c>
      <c r="C315" s="100">
        <f ca="1">LARGE(top_keyword.col.count,ROWS($C$313:C315))</f>
        <v>374</v>
      </c>
      <c r="D315" s="100">
        <f t="shared" ca="1" si="36"/>
        <v>8</v>
      </c>
      <c r="E315" s="100" t="str">
        <f ca="1">IF($B315=kw_3,$B315,kw_3)</f>
        <v>#fitness</v>
      </c>
      <c r="F315" s="100">
        <f ca="1">IF($B315=$E315,$C315,COUNTIFS(Media!$F:$F,"*"&amp;$E315&amp;"*",Media!$C:$C, "&gt;="&amp;Controls!$E$28, Media!$C:$C, "&lt;"&amp;Controls!$F$28+Controls!$L$24))</f>
        <v>374</v>
      </c>
      <c r="G315" s="100">
        <f t="shared" ca="1" si="37"/>
        <v>6.5418926010145179E-2</v>
      </c>
      <c r="XX315" s="79"/>
    </row>
    <row r="316" spans="2:648" x14ac:dyDescent="0.25">
      <c r="B316" s="100" t="str">
        <f t="array" aca="1" ref="B316" ca="1">INDEX(top_keyword.col.keyword,LARGE(IF(C316=top_keyword.col.count,ROW(top_keyword.col.count)-ROW(Keywords!$B$1),""),COUNTIF($C$313:C316,C316)),1)</f>
        <v>life</v>
      </c>
      <c r="C316" s="100">
        <f ca="1">LARGE(top_keyword.col.count,ROWS($C$313:C316))</f>
        <v>334</v>
      </c>
      <c r="D316" s="100">
        <f t="shared" ca="1" si="36"/>
        <v>4</v>
      </c>
      <c r="E316" s="100" t="str">
        <f ca="1">IF($B316=kw_4,$B316,kw_4)</f>
        <v>life</v>
      </c>
      <c r="F316" s="100">
        <f ca="1">IF($B316=$E316,$C316,COUNTIFS(Media!$F:$F,"*"&amp;$E316&amp;"*",Media!$C:$C, "&gt;="&amp;Controls!$E$28, Media!$C:$C, "&lt;"&amp;Controls!$F$28+Controls!$L$24))</f>
        <v>334</v>
      </c>
      <c r="G316" s="100">
        <f t="shared" ca="1" si="37"/>
        <v>5.8422249431520031E-2</v>
      </c>
      <c r="XX316" s="79"/>
    </row>
    <row r="317" spans="2:648" x14ac:dyDescent="0.25">
      <c r="B317" s="100" t="str">
        <f t="array" aca="1" ref="B317" ca="1">INDEX(top_keyword.col.keyword,LARGE(IF(C317=top_keyword.col.count,ROW(top_keyword.col.count)-ROW(Keywords!$B$1),""),COUNTIF($C$313:C317,C317)),1)</f>
        <v>#love</v>
      </c>
      <c r="C317" s="100">
        <f ca="1">LARGE(top_keyword.col.count,ROWS($C$313:C317))</f>
        <v>295</v>
      </c>
      <c r="D317" s="100">
        <f t="shared" ca="1" si="36"/>
        <v>5</v>
      </c>
      <c r="E317" s="100" t="str">
        <f ca="1">IF($B317=kw_5,$B317,kw_5)</f>
        <v>#love</v>
      </c>
      <c r="F317" s="100">
        <f ca="1">IF($B317=$E317,$C317,COUNTIFS(Media!$F:$F,"*"&amp;$E317&amp;"*",Media!$C:$C, "&gt;="&amp;Controls!$E$28, Media!$C:$C, "&lt;"&amp;Controls!$F$28+Controls!$L$24))</f>
        <v>295</v>
      </c>
      <c r="G317" s="100">
        <f t="shared" ca="1" si="37"/>
        <v>5.1600489767360501E-2</v>
      </c>
      <c r="XX317" s="79"/>
    </row>
    <row r="318" spans="2:648" x14ac:dyDescent="0.25">
      <c r="B318" s="100" t="str">
        <f t="array" aca="1" ref="B318" ca="1">INDEX(top_keyword.col.keyword,LARGE(IF(C318=top_keyword.col.count,ROW(top_keyword.col.count)-ROW(Keywords!$B$1),""),COUNTIF($C$313:C318,C318)),1)</f>
        <v>#smile</v>
      </c>
      <c r="C318" s="100">
        <f ca="1">LARGE(top_keyword.col.count,ROWS($C$313:C318))</f>
        <v>266</v>
      </c>
      <c r="D318" s="100">
        <f t="shared" ca="1" si="36"/>
        <v>6</v>
      </c>
      <c r="E318" s="100" t="str">
        <f ca="1">IF($B318=kw_6,$B318,kw_6)</f>
        <v>#smile</v>
      </c>
      <c r="F318" s="100">
        <f ca="1">IF($B318=$E318,$C318,COUNTIFS(Media!$F:$F,"*"&amp;$E318&amp;"*",Media!$C:$C, "&gt;="&amp;Controls!$E$28, Media!$C:$C, "&lt;"&amp;Controls!$F$28+Controls!$L$24))</f>
        <v>266</v>
      </c>
      <c r="G318" s="100">
        <f t="shared" ca="1" si="37"/>
        <v>4.6527899247857267E-2</v>
      </c>
      <c r="XX318" s="79"/>
    </row>
    <row r="319" spans="2:648" x14ac:dyDescent="0.25">
      <c r="B319" s="100" t="str">
        <f t="array" aca="1" ref="B319" ca="1">INDEX(top_keyword.col.keyword,LARGE(IF(C319=top_keyword.col.count,ROW(top_keyword.col.count)-ROW(Keywords!$B$1),""),COUNTIF($C$313:C319,C319)),1)</f>
        <v>#happy</v>
      </c>
      <c r="C319" s="100">
        <f ca="1">LARGE(top_keyword.col.count,ROWS($C$313:C319))</f>
        <v>215</v>
      </c>
      <c r="D319" s="100">
        <f t="shared" ca="1" si="36"/>
        <v>6</v>
      </c>
      <c r="E319" s="100" t="str">
        <f ca="1">IF($B319=kw_7,$B319,kw_7)</f>
        <v>#happy</v>
      </c>
      <c r="F319" s="100">
        <f ca="1">IF($B319=$E319,$C319,COUNTIFS(Media!$F:$F,"*"&amp;$E319&amp;"*",Media!$C:$C, "&gt;="&amp;Controls!$E$28, Media!$C:$C, "&lt;"&amp;Controls!$F$28+Controls!$L$24))</f>
        <v>215</v>
      </c>
      <c r="G319" s="100">
        <f t="shared" ca="1" si="37"/>
        <v>3.7607136610110198E-2</v>
      </c>
      <c r="XX319" s="79"/>
    </row>
    <row r="320" spans="2:648" x14ac:dyDescent="0.25">
      <c r="B320" s="100" t="str">
        <f t="array" aca="1" ref="B320" ca="1">INDEX(top_keyword.col.keyword,LARGE(IF(C320=top_keyword.col.count,ROW(top_keyword.col.count)-ROW(Keywords!$B$1),""),COUNTIF($C$313:C320,C320)),1)</f>
        <v>#workout</v>
      </c>
      <c r="C320" s="100">
        <f ca="1">LARGE(top_keyword.col.count,ROWS($C$313:C320))</f>
        <v>194</v>
      </c>
      <c r="D320" s="100">
        <f t="shared" ca="1" si="36"/>
        <v>8</v>
      </c>
      <c r="E320" s="100" t="str">
        <f ca="1">IF($B320=kw_8,$B320,kw_8)</f>
        <v>#workout</v>
      </c>
      <c r="F320" s="100">
        <f ca="1">IF($B320=$E320,$C320,COUNTIFS(Media!$F:$F,"*"&amp;$E320&amp;"*",Media!$C:$C, "&gt;="&amp;Controls!$E$28, Media!$C:$C, "&lt;"&amp;Controls!$F$28+Controls!$L$24))</f>
        <v>194</v>
      </c>
      <c r="G320" s="100">
        <f t="shared" ca="1" si="37"/>
        <v>3.3933881406331995E-2</v>
      </c>
      <c r="XX320" s="79"/>
    </row>
    <row r="321" spans="2:648" ht="15" customHeight="1" x14ac:dyDescent="0.25">
      <c r="B321" s="75" t="s">
        <v>2320</v>
      </c>
      <c r="C321" s="75"/>
      <c r="D321" s="75"/>
      <c r="E321" s="194"/>
      <c r="F321" s="75" t="s">
        <v>2305</v>
      </c>
      <c r="G321" s="75"/>
      <c r="H321" s="75"/>
      <c r="I321" s="75"/>
      <c r="J321" s="75"/>
      <c r="K321" s="75"/>
      <c r="L321" s="75"/>
      <c r="M321" s="75"/>
      <c r="N321" s="75"/>
      <c r="O321" s="75"/>
      <c r="P321" s="75"/>
      <c r="Q321" s="75"/>
      <c r="R321" s="75"/>
      <c r="S321" s="75"/>
      <c r="T321" s="75"/>
      <c r="U321" s="75"/>
      <c r="V321" s="75"/>
      <c r="W321" s="75"/>
      <c r="X321" s="75"/>
      <c r="Y321" s="75"/>
      <c r="AA321" s="15"/>
      <c r="AB321" s="15"/>
      <c r="AC321" s="15"/>
      <c r="AD321" s="15"/>
      <c r="AE321" s="15"/>
      <c r="AF321" s="15"/>
      <c r="AG321" s="15"/>
      <c r="AH321" s="15"/>
      <c r="XX321" s="79"/>
    </row>
    <row r="322" spans="2:648" s="169" customFormat="1" ht="15" customHeight="1" x14ac:dyDescent="0.25">
      <c r="B322" s="186" t="s">
        <v>2314</v>
      </c>
      <c r="C322" s="186" t="b">
        <f>NOT(COUNT(C327:C336)=0)</f>
        <v>1</v>
      </c>
      <c r="D322" s="187"/>
      <c r="F322" s="186" t="s">
        <v>2314</v>
      </c>
      <c r="G322" s="186" t="b">
        <f>NOT(COUNT(G327:G336)=0)</f>
        <v>1</v>
      </c>
      <c r="H322" s="187"/>
    </row>
    <row r="323" spans="2:648" s="169" customFormat="1" ht="15" customHeight="1" x14ac:dyDescent="0.25">
      <c r="B323" s="189" t="str">
        <f>IF(C322=TRUE, "", B321&amp;":")</f>
        <v/>
      </c>
      <c r="C323" s="186"/>
      <c r="D323" s="188" t="s">
        <v>2315</v>
      </c>
      <c r="F323" s="189" t="str">
        <f>IF(G322=TRUE, "", F321&amp;":")</f>
        <v/>
      </c>
      <c r="G323" s="186"/>
      <c r="H323" s="188" t="s">
        <v>2315</v>
      </c>
    </row>
    <row r="324" spans="2:648" s="169" customFormat="1" ht="15" customHeight="1" x14ac:dyDescent="0.25">
      <c r="B324" s="189" t="str">
        <f>IF(C322=TRUE, "", "No Data Available For This Chart")</f>
        <v/>
      </c>
      <c r="C324" s="186"/>
      <c r="D324" s="187"/>
      <c r="F324" s="189" t="str">
        <f>IF(G322=TRUE, "", "No Data Available For This Chart")</f>
        <v/>
      </c>
      <c r="G324" s="186"/>
      <c r="H324" s="187"/>
    </row>
    <row r="325" spans="2:648" x14ac:dyDescent="0.25">
      <c r="XX325" s="79"/>
    </row>
    <row r="326" spans="2:648" x14ac:dyDescent="0.25">
      <c r="B326" s="69" t="s">
        <v>2016</v>
      </c>
      <c r="C326" s="69" t="s">
        <v>2306</v>
      </c>
      <c r="F326" s="69" t="s">
        <v>2016</v>
      </c>
      <c r="G326" s="69" t="s">
        <v>2009</v>
      </c>
      <c r="XX326" s="79"/>
    </row>
    <row r="327" spans="2:648" x14ac:dyDescent="0.25">
      <c r="B327" s="169" t="str">
        <f t="array" ref="B327">INDEX('Other Tags'!A:A, SMALL(IF('Other Tags'!B:B=C327, ROW('Other Tags'!B:B)), COUNTIFS($C$327:C327, C327)))</f>
        <v>keepongoing</v>
      </c>
      <c r="C327" s="71">
        <f>LARGE('Other Tags'!B:B, ROWS($C$327:C327))</f>
        <v>2478</v>
      </c>
      <c r="F327" s="169" t="str">
        <f t="array" ref="F327">INDEX('Other Tags'!A:A, SMALL(IF('Other Tags'!D:D=G327, ROW('Other Tags'!B:B)), COUNTIFS($G$327:G327, G327)))</f>
        <v>dontletemfoolya</v>
      </c>
      <c r="G327" s="71">
        <f>LARGE('Other Tags'!D:D, ROWS($G$327:G327))</f>
        <v>14848</v>
      </c>
      <c r="XX327" s="79"/>
    </row>
    <row r="328" spans="2:648" x14ac:dyDescent="0.25">
      <c r="B328" s="169" t="str">
        <f t="array" ref="B328">INDEX('Other Tags'!A:A, SMALL(IF('Other Tags'!B:B=C328, ROW('Other Tags'!B:B)), COUNTIFS($C$327:C328, C328)))</f>
        <v>nevergiveup</v>
      </c>
      <c r="C328" s="71">
        <f>LARGE('Other Tags'!B:B, ROWS($C$327:C328))</f>
        <v>212</v>
      </c>
      <c r="F328" s="169" t="str">
        <f t="array" ref="F328">INDEX('Other Tags'!A:A, SMALL(IF('Other Tags'!D:D=G328, ROW('Other Tags'!B:B)), COUNTIFS($G$327:G328, G328)))</f>
        <v>calilife</v>
      </c>
      <c r="G328" s="71">
        <f>LARGE('Other Tags'!D:D, ROWS($G$327:G328))</f>
        <v>13779</v>
      </c>
      <c r="XX328" s="79"/>
    </row>
    <row r="329" spans="2:648" x14ac:dyDescent="0.25">
      <c r="B329" s="169" t="str">
        <f t="array" ref="B329">INDEX('Other Tags'!A:A, SMALL(IF('Other Tags'!B:B=C329, ROW('Other Tags'!B:B)), COUNTIFS($C$327:C329, C329)))</f>
        <v>motivation</v>
      </c>
      <c r="C329" s="71">
        <f>LARGE('Other Tags'!B:B, ROWS($C$327:C329))</f>
        <v>184</v>
      </c>
      <c r="F329" s="169" t="str">
        <f t="array" ref="F329">INDEX('Other Tags'!A:A, SMALL(IF('Other Tags'!D:D=G329, ROW('Other Tags'!B:B)), COUNTIFS($G$327:G329, G329)))</f>
        <v>seeyouatthetop</v>
      </c>
      <c r="G329" s="71">
        <f>LARGE('Other Tags'!D:D, ROWS($G$327:G329))</f>
        <v>13779</v>
      </c>
      <c r="XX329" s="79"/>
    </row>
    <row r="330" spans="2:648" x14ac:dyDescent="0.25">
      <c r="B330" s="169" t="str">
        <f t="array" ref="B330">INDEX('Other Tags'!A:A, SMALL(IF('Other Tags'!B:B=C330, ROW('Other Tags'!B:B)), COUNTIFS($C$327:C330, C330)))</f>
        <v>fitness</v>
      </c>
      <c r="C330" s="71">
        <f>LARGE('Other Tags'!B:B, ROWS($C$327:C330))</f>
        <v>131</v>
      </c>
      <c r="F330" s="169" t="str">
        <f t="array" ref="F330">INDEX('Other Tags'!A:A, SMALL(IF('Other Tags'!D:D=G330, ROW('Other Tags'!B:B)), COUNTIFS($G$327:G330, G330)))</f>
        <v>palcopopstar</v>
      </c>
      <c r="G330" s="71">
        <f>LARGE('Other Tags'!D:D, ROWS($G$327:G330))</f>
        <v>12661</v>
      </c>
      <c r="XX330" s="79"/>
    </row>
    <row r="331" spans="2:648" x14ac:dyDescent="0.25">
      <c r="B331" s="169" t="str">
        <f t="array" ref="B331">INDEX('Other Tags'!A:A, SMALL(IF('Other Tags'!B:B=C331, ROW('Other Tags'!B:B)), COUNTIFS($C$327:C331, C331)))</f>
        <v>love</v>
      </c>
      <c r="C331" s="71">
        <f>LARGE('Other Tags'!B:B, ROWS($C$327:C331))</f>
        <v>123</v>
      </c>
      <c r="F331" s="169" t="str">
        <f t="array" ref="F331">INDEX('Other Tags'!A:A, SMALL(IF('Other Tags'!D:D=G331, ROW('Other Tags'!B:B)), COUNTIFS($G$327:G331, G331)))</f>
        <v>timethiagofragoso</v>
      </c>
      <c r="G331" s="71">
        <f>LARGE('Other Tags'!D:D, ROWS($G$327:G331))</f>
        <v>12661</v>
      </c>
      <c r="XX331" s="79"/>
    </row>
    <row r="332" spans="2:648" x14ac:dyDescent="0.25">
      <c r="B332" s="169" t="str">
        <f t="array" ref="B332">INDEX('Other Tags'!A:A, SMALL(IF('Other Tags'!B:B=C332, ROW('Other Tags'!B:B)), COUNTIFS($C$327:C332, C332)))</f>
        <v>smile</v>
      </c>
      <c r="C332" s="71">
        <f>LARGE('Other Tags'!B:B, ROWS($C$327:C332))</f>
        <v>88</v>
      </c>
      <c r="F332" s="169" t="str">
        <f t="array" ref="F332">INDEX('Other Tags'!A:A, SMALL(IF('Other Tags'!D:D=G332, ROW('Other Tags'!B:B)), COUNTIFS($G$327:G332, G332)))</f>
        <v>top</v>
      </c>
      <c r="G332" s="71">
        <f>LARGE('Other Tags'!D:D, ROWS($G$327:G332))</f>
        <v>6894.5</v>
      </c>
      <c r="XX332" s="79"/>
    </row>
    <row r="333" spans="2:648" x14ac:dyDescent="0.25">
      <c r="B333" s="169" t="str">
        <f t="array" ref="B333">INDEX('Other Tags'!A:A, SMALL(IF('Other Tags'!B:B=C333, ROW('Other Tags'!B:B)), COUNTIFS($C$327:C333, C333)))</f>
        <v>happy</v>
      </c>
      <c r="C333" s="71">
        <f>LARGE('Other Tags'!B:B, ROWS($C$327:C333))</f>
        <v>86</v>
      </c>
      <c r="F333" s="169" t="str">
        <f t="array" ref="F333">INDEX('Other Tags'!A:A, SMALL(IF('Other Tags'!D:D=G333, ROW('Other Tags'!B:B)), COUNTIFS($G$327:G333, G333)))</f>
        <v>popstar</v>
      </c>
      <c r="G333" s="71">
        <f>LARGE('Other Tags'!D:D, ROWS($G$327:G333))</f>
        <v>6338</v>
      </c>
      <c r="XX333" s="79"/>
    </row>
    <row r="334" spans="2:648" x14ac:dyDescent="0.25">
      <c r="B334" s="169" t="str">
        <f t="array" ref="B334">INDEX('Other Tags'!A:A, SMALL(IF('Other Tags'!B:B=C334, ROW('Other Tags'!B:B)), COUNTIFS($C$327:C334, C334)))</f>
        <v>life</v>
      </c>
      <c r="C334" s="71">
        <f>LARGE('Other Tags'!B:B, ROWS($C$327:C334))</f>
        <v>80</v>
      </c>
      <c r="F334" s="169" t="str">
        <f t="array" ref="F334">INDEX('Other Tags'!A:A, SMALL(IF('Other Tags'!D:D=G334, ROW('Other Tags'!B:B)), COUNTIFS($G$327:G334, G334)))</f>
        <v>snacks</v>
      </c>
      <c r="G334" s="71">
        <f>LARGE('Other Tags'!D:D, ROWS($G$327:G334))</f>
        <v>5406</v>
      </c>
      <c r="XX334" s="79"/>
    </row>
    <row r="335" spans="2:648" x14ac:dyDescent="0.25">
      <c r="B335" s="169" t="str">
        <f t="array" ref="B335">INDEX('Other Tags'!A:A, SMALL(IF('Other Tags'!B:B=C335, ROW('Other Tags'!B:B)), COUNTIFS($C$327:C335, C335)))</f>
        <v>workout</v>
      </c>
      <c r="C335" s="71">
        <f>LARGE('Other Tags'!B:B, ROWS($C$327:C335))</f>
        <v>71</v>
      </c>
      <c r="F335" s="169" t="str">
        <f t="array" ref="F335">INDEX('Other Tags'!A:A, SMALL(IF('Other Tags'!D:D=G335, ROW('Other Tags'!B:B)), COUNTIFS($G$327:G335, G335)))</f>
        <v>scotttowels</v>
      </c>
      <c r="G335" s="71">
        <f>LARGE('Other Tags'!D:D, ROWS($G$327:G335))</f>
        <v>5406</v>
      </c>
      <c r="XX335" s="79"/>
    </row>
    <row r="336" spans="2:648" x14ac:dyDescent="0.25">
      <c r="B336" s="169" t="str">
        <f t="array" ref="B336">INDEX('Other Tags'!A:A, SMALL(IF('Other Tags'!B:B=C336, ROW('Other Tags'!B:B)), COUNTIFS($C$327:C336, C336)))</f>
        <v>inspiration</v>
      </c>
      <c r="C336" s="71">
        <f>LARGE('Other Tags'!B:B, ROWS($C$327:C336))</f>
        <v>70</v>
      </c>
      <c r="F336" s="169" t="str">
        <f t="array" ref="F336">INDEX('Other Tags'!A:A, SMALL(IF('Other Tags'!D:D=G336, ROW('Other Tags'!B:B)), COUNTIFS($G$327:G336, G336)))</f>
        <v>hairmenstyle</v>
      </c>
      <c r="G336" s="71">
        <f>LARGE('Other Tags'!D:D, ROWS($G$327:G336))</f>
        <v>4731</v>
      </c>
      <c r="XX336" s="79"/>
    </row>
    <row r="337" spans="2:648" x14ac:dyDescent="0.25">
      <c r="XX337" s="79"/>
    </row>
    <row r="338" spans="2:648" x14ac:dyDescent="0.25">
      <c r="B338" s="4"/>
      <c r="C338" s="21"/>
      <c r="D338" s="81"/>
      <c r="XX338" s="79"/>
    </row>
    <row r="339" spans="2:648" ht="15" customHeight="1" x14ac:dyDescent="0.25">
      <c r="B339" s="75" t="s">
        <v>2007</v>
      </c>
      <c r="C339" s="75"/>
      <c r="D339" s="75" t="str">
        <f ca="1">IF(COUNT(C345:C349)=0, "No Data Available For This Chart (Top Filters)", "")</f>
        <v/>
      </c>
      <c r="E339" s="75"/>
      <c r="F339" s="75"/>
      <c r="G339" s="75"/>
      <c r="H339" s="75"/>
      <c r="I339" s="75"/>
      <c r="J339" s="75"/>
      <c r="K339" s="75"/>
      <c r="L339" s="75"/>
      <c r="M339" s="75"/>
      <c r="N339" s="75"/>
      <c r="O339" s="75"/>
      <c r="P339" s="75"/>
      <c r="Q339" s="75"/>
      <c r="R339" s="75"/>
      <c r="S339" s="75"/>
      <c r="T339" s="75"/>
      <c r="U339" s="75"/>
      <c r="V339" s="75"/>
      <c r="W339" s="75"/>
      <c r="X339" s="75"/>
      <c r="Y339" s="75"/>
      <c r="Z339" s="75"/>
      <c r="AA339" s="15"/>
      <c r="AB339" s="15"/>
      <c r="AC339" s="15"/>
      <c r="AD339" s="15"/>
      <c r="AE339" s="15"/>
      <c r="AF339" s="15"/>
      <c r="AG339" s="15"/>
      <c r="AH339" s="15"/>
      <c r="XX339" s="79"/>
    </row>
    <row r="340" spans="2:648" x14ac:dyDescent="0.25">
      <c r="B340" s="186" t="s">
        <v>2314</v>
      </c>
      <c r="C340" s="186" t="b">
        <f ca="1">NOT(COUNT(C345:C349)=0)</f>
        <v>1</v>
      </c>
      <c r="D340" s="187"/>
      <c r="F340" s="68" t="s">
        <v>2318</v>
      </c>
      <c r="G340" s="68" t="s">
        <v>1999</v>
      </c>
      <c r="XX340" s="79"/>
    </row>
    <row r="341" spans="2:648" x14ac:dyDescent="0.25">
      <c r="B341" s="189" t="str">
        <f ca="1">IF(C340=TRUE, "", B339&amp;":")</f>
        <v/>
      </c>
      <c r="C341" s="186"/>
      <c r="D341" s="188" t="s">
        <v>2315</v>
      </c>
      <c r="F341" s="195"/>
      <c r="G341" s="195"/>
      <c r="XX341" s="79"/>
    </row>
    <row r="342" spans="2:648" x14ac:dyDescent="0.25">
      <c r="B342" s="189" t="str">
        <f ca="1">IF(C340=TRUE, "", "No Data Available For This Chart")</f>
        <v/>
      </c>
      <c r="C342" s="186"/>
      <c r="D342" s="187"/>
      <c r="F342" s="195"/>
      <c r="G342" s="195"/>
      <c r="XX342" s="79"/>
    </row>
    <row r="343" spans="2:648" x14ac:dyDescent="0.25">
      <c r="F343" s="195"/>
      <c r="G343" s="195"/>
      <c r="XX343" s="79"/>
    </row>
    <row r="344" spans="2:648" x14ac:dyDescent="0.25">
      <c r="B344" s="69" t="s">
        <v>2</v>
      </c>
      <c r="C344" s="69" t="s">
        <v>85</v>
      </c>
      <c r="D344" s="69" t="s">
        <v>80</v>
      </c>
      <c r="E344" s="69" t="s">
        <v>82</v>
      </c>
      <c r="XX344" s="79"/>
    </row>
    <row r="345" spans="2:648" x14ac:dyDescent="0.25">
      <c r="B345" t="str">
        <f t="array" aca="1" ref="B345" ca="1">INDEX(Filters!A:A,SMALL(IF(D345=Filters!D:D, ROW(Filters!D:D),""),COUNTIF($D$345:D345, D345)),1)</f>
        <v>Ashby</v>
      </c>
      <c r="C345">
        <f t="array" aca="1" ref="C345" ca="1">INDEX(Filters!B:B,SMALL(IF(D345=Filters!D:D, ROW(Filters!D:D),""),COUNTIF(D$345:$D345, D345)),1)</f>
        <v>4</v>
      </c>
      <c r="D345" s="71">
        <f t="array" aca="1" ref="D345" ca="1">IF(COUNTIFS(Filters!E:E,"image")=0,NA(),LARGE(IF(filtersposttypes="image",engagementperphoto),ROWS(Calculations!$D$345:D345)))</f>
        <v>301.5</v>
      </c>
      <c r="E345" s="77">
        <v>0</v>
      </c>
      <c r="XX345" s="79"/>
    </row>
    <row r="346" spans="2:648" x14ac:dyDescent="0.25">
      <c r="B346" t="str">
        <f t="array" aca="1" ref="B346" ca="1">INDEX(Filters!A:A,SMALL(IF(D346=Filters!D:D, ROW(Filters!D:D),""),COUNTIF($D$345:D346, D346)),1)</f>
        <v>Helena</v>
      </c>
      <c r="C346">
        <f t="array" aca="1" ref="C346" ca="1">INDEX(Filters!B:B,SMALL(IF(D346=Filters!D:D, ROW(Filters!D:D),""),COUNTIF(D$345:$D346, D346)),1)</f>
        <v>5</v>
      </c>
      <c r="D346" s="71">
        <f t="array" aca="1" ref="D346" ca="1">LARGE(IF(filtersposttypes="image",engagementperphoto),ROWS(Calculations!$D$345:D346))</f>
        <v>238.4</v>
      </c>
      <c r="E346" s="77">
        <v>0</v>
      </c>
      <c r="XX346" s="79"/>
    </row>
    <row r="347" spans="2:648" x14ac:dyDescent="0.25">
      <c r="B347" t="str">
        <f t="array" aca="1" ref="B347" ca="1">INDEX(Filters!A:A,SMALL(IF(D347=Filters!D:D, ROW(Filters!D:D),""),COUNTIF($D$345:D347, D347)),1)</f>
        <v>Lark</v>
      </c>
      <c r="C347">
        <f t="array" aca="1" ref="C347" ca="1">INDEX(Filters!B:B,SMALL(IF(D347=Filters!D:D, ROW(Filters!D:D),""),COUNTIF(D$345:$D347, D347)),1)</f>
        <v>99</v>
      </c>
      <c r="D347" s="71">
        <f t="array" aca="1" ref="D347" ca="1">LARGE(IF(filtersposttypes="image",engagementperphoto),ROWS(Calculations!$D$345:D347))</f>
        <v>177.49494949494951</v>
      </c>
      <c r="E347" s="77">
        <v>0</v>
      </c>
      <c r="XX347" s="79"/>
    </row>
    <row r="348" spans="2:648" x14ac:dyDescent="0.25">
      <c r="B348" t="str">
        <f t="array" aca="1" ref="B348" ca="1">INDEX(Filters!A:A,SMALL(IF(D348=Filters!D:D, ROW(Filters!D:D),""),COUNTIF($D$345:D348, D348)),1)</f>
        <v>Normal</v>
      </c>
      <c r="C348">
        <f t="array" aca="1" ref="C348" ca="1">INDEX(Filters!B:B,SMALL(IF(D348=Filters!D:D, ROW(Filters!D:D),""),COUNTIF(D$345:$D348, D348)),1)</f>
        <v>3146</v>
      </c>
      <c r="D348" s="71">
        <f t="array" aca="1" ref="D348" ca="1">LARGE(IF(filtersposttypes="image",engagementperphoto),ROWS(Calculations!$D$345:D348))</f>
        <v>158.74761602034329</v>
      </c>
      <c r="E348" s="77">
        <v>0</v>
      </c>
      <c r="XX348" s="79"/>
    </row>
    <row r="349" spans="2:648" x14ac:dyDescent="0.25">
      <c r="B349" t="str">
        <f t="array" aca="1" ref="B349" ca="1">INDEX(Filters!A:A,SMALL(IF(D349=Filters!D:D, ROW(Filters!D:D),""),COUNTIF($D$345:D349, D349)),1)</f>
        <v>Mayfair</v>
      </c>
      <c r="C349">
        <f t="array" aca="1" ref="C349" ca="1">INDEX(Filters!B:B,SMALL(IF(D349=Filters!D:D, ROW(Filters!D:D),""),COUNTIF(D$345:$D349, D349)),1)</f>
        <v>66</v>
      </c>
      <c r="D349" s="71">
        <f t="array" aca="1" ref="D349" ca="1">LARGE(IF(filtersposttypes="image",engagementperphoto),ROWS(Calculations!$D$345:D349))</f>
        <v>148.66666666666666</v>
      </c>
      <c r="E349" s="77">
        <v>0</v>
      </c>
      <c r="XX349" s="79"/>
    </row>
    <row r="350" spans="2:648" x14ac:dyDescent="0.25">
      <c r="D350" s="71"/>
      <c r="E350" s="77"/>
      <c r="XX350" s="79"/>
    </row>
    <row r="351" spans="2:648" x14ac:dyDescent="0.25">
      <c r="XX351" s="79"/>
    </row>
    <row r="352" spans="2:648" x14ac:dyDescent="0.25">
      <c r="XX352" s="79"/>
    </row>
    <row r="353" spans="2:648" x14ac:dyDescent="0.25">
      <c r="XX353" s="79"/>
    </row>
    <row r="354" spans="2:648" ht="15" customHeight="1" x14ac:dyDescent="0.25">
      <c r="B354" s="75" t="s">
        <v>2008</v>
      </c>
      <c r="C354" s="75"/>
      <c r="D354" s="75" t="str">
        <f ca="1">IF(COUNT(D360:D364)=0, "No Data Available For This Chart (Top Video Filters)", "")</f>
        <v/>
      </c>
      <c r="E354" s="75"/>
      <c r="F354" s="75"/>
      <c r="G354" s="75"/>
      <c r="H354" s="75"/>
      <c r="I354" s="75"/>
      <c r="J354" s="75"/>
      <c r="K354" s="75"/>
      <c r="L354" s="75"/>
      <c r="M354" s="75"/>
      <c r="N354" s="75"/>
      <c r="O354" s="75"/>
      <c r="P354" s="75"/>
      <c r="Q354" s="75"/>
      <c r="R354" s="75"/>
      <c r="S354" s="75"/>
      <c r="T354" s="75"/>
      <c r="U354" s="75"/>
      <c r="V354" s="75"/>
      <c r="W354" s="75"/>
      <c r="X354" s="75"/>
      <c r="Y354" s="75"/>
      <c r="Z354" s="75"/>
      <c r="AA354" s="15"/>
      <c r="AB354" s="15"/>
      <c r="AC354" s="15"/>
      <c r="AD354" s="15"/>
      <c r="AE354" s="15"/>
      <c r="AF354" s="15"/>
      <c r="AG354" s="15"/>
      <c r="AH354" s="15"/>
      <c r="XX354" s="79"/>
    </row>
    <row r="355" spans="2:648" x14ac:dyDescent="0.25">
      <c r="B355" s="186" t="s">
        <v>2314</v>
      </c>
      <c r="C355" s="186" t="b">
        <f ca="1">NOT(COUNT(C360:C364)=0)</f>
        <v>1</v>
      </c>
      <c r="D355" s="187"/>
      <c r="F355" s="79" t="s">
        <v>2002</v>
      </c>
      <c r="G355" s="79" t="s">
        <v>1999</v>
      </c>
      <c r="XX355" s="79"/>
    </row>
    <row r="356" spans="2:648" x14ac:dyDescent="0.25">
      <c r="B356" s="189" t="str">
        <f ca="1">IF(C355=TRUE, "", B354&amp;":")</f>
        <v/>
      </c>
      <c r="C356" s="186"/>
      <c r="D356" s="188" t="s">
        <v>2315</v>
      </c>
      <c r="F356" s="21"/>
      <c r="G356" s="21"/>
      <c r="XX356" s="79"/>
    </row>
    <row r="357" spans="2:648" x14ac:dyDescent="0.25">
      <c r="B357" s="189" t="str">
        <f ca="1">IF(C355=TRUE, "", "No Data Available For This Chart")</f>
        <v/>
      </c>
      <c r="C357" s="186"/>
      <c r="D357" s="187"/>
      <c r="F357" s="21"/>
      <c r="G357" s="21"/>
      <c r="XX357" s="79"/>
    </row>
    <row r="358" spans="2:648" x14ac:dyDescent="0.25">
      <c r="F358" s="21"/>
      <c r="G358" s="21"/>
      <c r="XX358" s="79"/>
    </row>
    <row r="359" spans="2:648" x14ac:dyDescent="0.25">
      <c r="B359" s="69" t="s">
        <v>2</v>
      </c>
      <c r="C359" s="69" t="s">
        <v>2019</v>
      </c>
      <c r="D359" s="69" t="s">
        <v>2005</v>
      </c>
      <c r="E359" s="69" t="s">
        <v>82</v>
      </c>
      <c r="XX359" s="79"/>
    </row>
    <row r="360" spans="2:648" x14ac:dyDescent="0.25">
      <c r="B360" t="str">
        <f t="array" aca="1" ref="B360" ca="1">INDEX(Filters!A:A,SMALL(IF(D360=Filters!D:D, ROW(Filters!D:D),""),COUNTIF($D$360:D360, D360)),1)</f>
        <v>Hudson</v>
      </c>
      <c r="C360">
        <f t="array" aca="1" ref="C360" ca="1">INDEX(Filters!B:B,SMALL(IF(D360=Filters!D:D, ROW(Filters!D:D),""),COUNTIF(D$360:$D360, D360)),1)</f>
        <v>3</v>
      </c>
      <c r="D360" s="71">
        <f t="array" aca="1" ref="D360" ca="1">IF(COUNTIFS(Filters!E:E,"video")=0,NA(),LARGE(IF(filtersposttypes="Video",engagementperphoto),ROWS(Calculations!$D$360:D360)))</f>
        <v>470.33333333333331</v>
      </c>
      <c r="E360" s="77">
        <v>0</v>
      </c>
      <c r="XX360" s="79"/>
    </row>
    <row r="361" spans="2:648" x14ac:dyDescent="0.25">
      <c r="B361" t="str">
        <f t="array" aca="1" ref="B361" ca="1">INDEX(Filters!A:A,SMALL(IF(D361=Filters!D:D, ROW(Filters!D:D),""),COUNTIF($D$360:D361, D361)),1)</f>
        <v>Amaro</v>
      </c>
      <c r="C361">
        <f t="array" aca="1" ref="C361" ca="1">INDEX(Filters!B:B,SMALL(IF(D361=Filters!D:D, ROW(Filters!D:D),""),COUNTIF(D$360:$D361, D361)),1)</f>
        <v>6</v>
      </c>
      <c r="D361" s="71">
        <f t="array" aca="1" ref="D361" ca="1">LARGE(IF(filtersposttypes="Video",engagementperphoto),ROWS(Calculations!$D$360:D361))</f>
        <v>101.66666666666667</v>
      </c>
      <c r="E361" s="77">
        <v>0</v>
      </c>
      <c r="XX361" s="79"/>
    </row>
    <row r="362" spans="2:648" x14ac:dyDescent="0.25">
      <c r="B362" t="str">
        <f t="array" aca="1" ref="B362" ca="1">INDEX(Filters!A:A,SMALL(IF(D362=Filters!D:D, ROW(Filters!D:D),""),COUNTIF($D$360:D362, D362)),1)</f>
        <v>Rise</v>
      </c>
      <c r="C362">
        <f t="array" aca="1" ref="C362" ca="1">INDEX(Filters!B:B,SMALL(IF(D362=Filters!D:D, ROW(Filters!D:D),""),COUNTIF(D$360:$D362, D362)),1)</f>
        <v>2</v>
      </c>
      <c r="D362" s="71">
        <f t="array" aca="1" ref="D362" ca="1">LARGE(IF(filtersposttypes="Video",engagementperphoto),ROWS(Calculations!$D$360:D362))</f>
        <v>73.5</v>
      </c>
      <c r="E362" s="77">
        <v>0</v>
      </c>
      <c r="XX362" s="79"/>
    </row>
    <row r="363" spans="2:648" x14ac:dyDescent="0.25">
      <c r="B363" t="str">
        <f t="array" aca="1" ref="B363" ca="1">INDEX(Filters!A:A,SMALL(IF(D363=Filters!D:D, ROW(Filters!D:D),""),COUNTIF($D$360:D363, D363)),1)</f>
        <v>Willow</v>
      </c>
      <c r="C363">
        <f t="array" aca="1" ref="C363" ca="1">INDEX(Filters!B:B,SMALL(IF(D363=Filters!D:D, ROW(Filters!D:D),""),COUNTIF(D$360:$D363, D363)),1)</f>
        <v>2</v>
      </c>
      <c r="D363" s="71">
        <f t="array" aca="1" ref="D363" ca="1">LARGE(IF(filtersposttypes="Video",engagementperphoto),ROWS(Calculations!$D$360:D363))</f>
        <v>73</v>
      </c>
      <c r="E363" s="77">
        <v>0</v>
      </c>
      <c r="XX363" s="79"/>
    </row>
    <row r="364" spans="2:648" x14ac:dyDescent="0.25">
      <c r="B364" t="str">
        <f t="array" aca="1" ref="B364" ca="1">INDEX(Filters!A:A,SMALL(IF(D364=Filters!D:D, ROW(Filters!D:D),""),COUNTIF($D$360:D364, D364)),1)</f>
        <v>Skyline</v>
      </c>
      <c r="C364">
        <f t="array" aca="1" ref="C364" ca="1">INDEX(Filters!B:B,SMALL(IF(D364=Filters!D:D, ROW(Filters!D:D),""),COUNTIF(D$360:$D364, D364)),1)</f>
        <v>1</v>
      </c>
      <c r="D364" s="71">
        <f t="array" aca="1" ref="D364" ca="1">LARGE(IF(filtersposttypes="Video",engagementperphoto),ROWS(Calculations!$D$360:D364))</f>
        <v>70</v>
      </c>
      <c r="E364" s="77">
        <v>0</v>
      </c>
      <c r="XX364" s="79"/>
    </row>
    <row r="365" spans="2:648" x14ac:dyDescent="0.25">
      <c r="D365" s="71"/>
      <c r="E365" s="77"/>
      <c r="XX365" s="79"/>
    </row>
    <row r="366" spans="2:648" x14ac:dyDescent="0.25">
      <c r="XX366" s="79"/>
    </row>
    <row r="367" spans="2:648" x14ac:dyDescent="0.25">
      <c r="XX367" s="79"/>
    </row>
    <row r="368" spans="2:648" x14ac:dyDescent="0.25">
      <c r="B368" s="50"/>
      <c r="E368" s="50"/>
      <c r="XX368" s="79"/>
    </row>
    <row r="369" spans="2:648" x14ac:dyDescent="0.25">
      <c r="B369" s="50"/>
      <c r="E369" s="50"/>
      <c r="XX369" s="79"/>
    </row>
    <row r="370" spans="2:648" x14ac:dyDescent="0.25">
      <c r="XX370" s="79"/>
    </row>
    <row r="371" spans="2:648" x14ac:dyDescent="0.25">
      <c r="XX371" s="79"/>
    </row>
    <row r="372" spans="2:648" x14ac:dyDescent="0.25">
      <c r="XX372" s="79"/>
    </row>
    <row r="373" spans="2:648" x14ac:dyDescent="0.25">
      <c r="XX373" s="79"/>
    </row>
    <row r="374" spans="2:648" x14ac:dyDescent="0.25">
      <c r="XX374" s="79"/>
    </row>
    <row r="375" spans="2:648" x14ac:dyDescent="0.25">
      <c r="XX375" s="79"/>
    </row>
    <row r="376" spans="2:648" x14ac:dyDescent="0.25">
      <c r="XX376" s="79"/>
    </row>
    <row r="377" spans="2:648" x14ac:dyDescent="0.25">
      <c r="XX377" s="79"/>
    </row>
    <row r="378" spans="2:648" x14ac:dyDescent="0.25">
      <c r="XX378" s="79"/>
    </row>
    <row r="379" spans="2:648" x14ac:dyDescent="0.25">
      <c r="XX379" s="79"/>
    </row>
    <row r="380" spans="2:648" x14ac:dyDescent="0.25">
      <c r="XX380" s="79"/>
    </row>
    <row r="381" spans="2:648" ht="15" customHeight="1" x14ac:dyDescent="0.25">
      <c r="B381" s="75" t="str">
        <f>IF(COUNT(#REF!)=0, "", "Top Location Names")</f>
        <v/>
      </c>
      <c r="C381" s="75"/>
      <c r="D381" s="75" t="str">
        <f>IF(COUNT(#REF!)=0, "No Data Available For This Chart (Top Location Names)", "")</f>
        <v>No Data Available For This Chart (Top Location Names)</v>
      </c>
      <c r="E381" s="75"/>
      <c r="F381" s="75"/>
      <c r="G381" s="75"/>
      <c r="H381" s="75"/>
      <c r="I381" s="75"/>
      <c r="J381" s="75"/>
      <c r="K381" s="75"/>
      <c r="L381" s="75"/>
      <c r="M381" s="75"/>
      <c r="N381" s="75"/>
      <c r="O381" s="75"/>
      <c r="P381" s="75"/>
      <c r="Q381" s="75"/>
      <c r="R381" s="75"/>
      <c r="S381" s="75"/>
      <c r="T381" s="75"/>
      <c r="U381" s="75"/>
      <c r="V381" s="75"/>
      <c r="W381" s="75"/>
      <c r="X381" s="75"/>
      <c r="Y381" s="75"/>
      <c r="Z381" s="75"/>
      <c r="AA381" s="15"/>
      <c r="AB381" s="15"/>
      <c r="AC381" s="15"/>
      <c r="AD381" s="15"/>
      <c r="AE381" s="15"/>
      <c r="AF381" s="15"/>
      <c r="AG381" s="15"/>
      <c r="AH381" s="15"/>
      <c r="XX381" s="79"/>
    </row>
    <row r="382" spans="2:648" x14ac:dyDescent="0.25">
      <c r="XX382" s="79"/>
    </row>
    <row r="383" spans="2:648" x14ac:dyDescent="0.25">
      <c r="XX383" s="79"/>
    </row>
    <row r="384" spans="2:648" x14ac:dyDescent="0.25">
      <c r="XX384" s="79"/>
    </row>
    <row r="385" spans="2:648" x14ac:dyDescent="0.25">
      <c r="XX385" s="79"/>
    </row>
    <row r="386" spans="2:648" x14ac:dyDescent="0.25">
      <c r="B386" s="66" t="s">
        <v>91</v>
      </c>
      <c r="C386" s="66"/>
      <c r="D386" s="66"/>
      <c r="E386" s="66"/>
      <c r="F386" s="66"/>
      <c r="G386" s="66"/>
      <c r="H386" s="66"/>
      <c r="I386" s="66"/>
      <c r="J386" s="66"/>
      <c r="K386" s="66"/>
      <c r="L386" s="66"/>
      <c r="XX386" s="79"/>
    </row>
    <row r="387" spans="2:648" x14ac:dyDescent="0.25">
      <c r="B387" s="68" t="s">
        <v>74</v>
      </c>
      <c r="C387" s="68" t="s">
        <v>90</v>
      </c>
      <c r="D387" s="68" t="s">
        <v>75</v>
      </c>
      <c r="XX387" s="79"/>
    </row>
    <row r="388" spans="2:648" x14ac:dyDescent="0.25">
      <c r="B388" t="s">
        <v>70</v>
      </c>
      <c r="C388" t="s">
        <v>5</v>
      </c>
      <c r="D388">
        <f>MATCH(C388, Media!$1:$1, 0)</f>
        <v>3</v>
      </c>
      <c r="XX388" s="79"/>
    </row>
    <row r="389" spans="2:648" x14ac:dyDescent="0.25">
      <c r="B389" t="s">
        <v>4</v>
      </c>
      <c r="C389" t="s">
        <v>2339</v>
      </c>
      <c r="D389">
        <f>MATCH(C389, Media!$1:$1, 0)</f>
        <v>11</v>
      </c>
      <c r="XX389" s="79"/>
    </row>
    <row r="390" spans="2:648" x14ac:dyDescent="0.25">
      <c r="B390" t="s">
        <v>62</v>
      </c>
      <c r="C390" t="s">
        <v>2338</v>
      </c>
      <c r="D390">
        <f>MATCH(C390, Media!$1:$1, 0)</f>
        <v>10</v>
      </c>
      <c r="XX390" s="79"/>
    </row>
    <row r="391" spans="2:648" x14ac:dyDescent="0.25">
      <c r="B391" t="s">
        <v>61</v>
      </c>
      <c r="C391" t="s">
        <v>61</v>
      </c>
      <c r="D391">
        <f>MATCH(C391, Media!$1:$1, 0)</f>
        <v>19</v>
      </c>
      <c r="XX391" s="79"/>
    </row>
    <row r="392" spans="2:648" x14ac:dyDescent="0.25">
      <c r="B392" t="s">
        <v>2022</v>
      </c>
      <c r="C392" t="s">
        <v>2015</v>
      </c>
      <c r="D392">
        <f>MATCH(C392, Media!$1:$1, 0)</f>
        <v>8</v>
      </c>
      <c r="XX392" s="79"/>
    </row>
    <row r="393" spans="2:648" x14ac:dyDescent="0.25">
      <c r="XX393" s="79"/>
    </row>
    <row r="394" spans="2:648" x14ac:dyDescent="0.25">
      <c r="XX394" s="79"/>
    </row>
    <row r="395" spans="2:648" x14ac:dyDescent="0.25">
      <c r="B395" s="228" t="s">
        <v>77</v>
      </c>
      <c r="C395" s="248" t="s">
        <v>78</v>
      </c>
      <c r="D395" s="228" t="s">
        <v>5</v>
      </c>
      <c r="E395" s="228" t="s">
        <v>0</v>
      </c>
      <c r="F395" s="228" t="s">
        <v>2004</v>
      </c>
      <c r="G395" s="228" t="s">
        <v>1</v>
      </c>
      <c r="H395" s="228" t="s">
        <v>63</v>
      </c>
      <c r="I395" s="228" t="s">
        <v>4</v>
      </c>
      <c r="J395" s="228" t="s">
        <v>62</v>
      </c>
      <c r="K395" s="228" t="s">
        <v>61</v>
      </c>
      <c r="L395" s="228" t="s">
        <v>2022</v>
      </c>
      <c r="XQ395" s="79"/>
    </row>
    <row r="396" spans="2:648" x14ac:dyDescent="0.25">
      <c r="B396" t="str">
        <f t="array" aca="1" ref="B396" ca="1">INDEX(id_TopMedia, SMALL(IF(C396=sort_by_TopMedia,ROW(sort_by_TopMedia)-ROW(TopMedia!$D$1),""),COUNTIF($C$396:C396,C396)),1)</f>
        <v>1579850458206097184_1721533875</v>
      </c>
      <c r="C396" s="79">
        <f ca="1">LARGE(sort_by_TopMedia, ROWS($C$396:C396))</f>
        <v>14848</v>
      </c>
      <c r="D396" s="73">
        <f ca="1">INDEX(TopMedia!C:C, MATCH($B396, TopMedia!$D:$D, 0))</f>
        <v>42959.491574074076</v>
      </c>
      <c r="E396" t="str">
        <f ca="1">INDEX(TopMedia!B:B, MATCH($B396, TopMedia!$D:$D, 0))</f>
        <v>annie_rose_cole</v>
      </c>
      <c r="F396" s="131" t="str">
        <f ca="1">INDEX(TopMedia!G:G, MATCH($B396, TopMedia!$D:$D, 0))</f>
        <v>image</v>
      </c>
      <c r="G396" t="str">
        <f ca="1">IF(SUBSTITUTE(INDEX(TopMedia!F:F, MATCH($B396, TopMedia!$D:$D, 0)), $E$2, " ")="",H396,SUBSTITUTE(INDEX(TopMedia!F:F, MATCH($B396, TopMedia!$D:$D, 0)), $E$2, " "))</f>
        <v>"Haters gonna hate patatas gonna patate" - @colleen #keepongoing #dontletemfoolya</v>
      </c>
      <c r="H396" t="str">
        <f ca="1">INDEX(TopMedia!E:E, MATCH($B396, TopMedia!$D:$D, 0))</f>
        <v>https://www.instagram.com/p/BXswZ8PnM8g/</v>
      </c>
      <c r="I396" s="71">
        <f ca="1">INDEX(TopMedia!K:K, MATCH($B396, TopMedia!$D:$D, 0))</f>
        <v>14532</v>
      </c>
      <c r="J396" s="71">
        <f ca="1">INDEX(TopMedia!J:J, MATCH($B396, TopMedia!$D:$D, 0))</f>
        <v>316</v>
      </c>
      <c r="K396" s="71">
        <f ca="1">INDEX(TopMedia!L:L, MATCH($B396, TopMedia!$D:$D, 0))</f>
        <v>14848</v>
      </c>
      <c r="L396" s="71">
        <f ca="1">INDEX(TopMedia!H:H, MATCH($B396, TopMedia!$D:$D, 0))</f>
        <v>83033</v>
      </c>
      <c r="XQ396" s="79"/>
    </row>
    <row r="397" spans="2:648" x14ac:dyDescent="0.25">
      <c r="B397" t="str">
        <f t="array" aca="1" ref="B397" ca="1">INDEX(id_TopMedia, SMALL(IF(C397=sort_by_TopMedia,ROW(sort_by_TopMedia)-ROW(TopMedia!$D$1),""),COUNTIF($C$396:C397,C397)),1)</f>
        <v>1583192385588149557_8648698</v>
      </c>
      <c r="C397" s="79">
        <f ca="1">LARGE(sort_by_TopMedia, ROWS($C$396:C397))</f>
        <v>13779</v>
      </c>
      <c r="D397" s="73">
        <f ca="1">INDEX(TopMedia!C:C, MATCH($B397, TopMedia!$D:$D, 0))</f>
        <v>42964.10255787037</v>
      </c>
      <c r="E397" t="str">
        <f ca="1">INDEX(TopMedia!B:B, MATCH($B397, TopMedia!$D:$D, 0))</f>
        <v>martacarriedo</v>
      </c>
      <c r="F397" s="131" t="str">
        <f ca="1">INDEX(TopMedia!G:G, MATCH($B397, TopMedia!$D:$D, 0))</f>
        <v>image</v>
      </c>
      <c r="G397" t="str">
        <f ca="1">IF(SUBSTITUTE(INDEX(TopMedia!F:F, MATCH($B397, TopMedia!$D:$D, 0)), $E$2, " ")="",H397,SUBSTITUTE(INDEX(TopMedia!F:F, MATCH($B397, TopMedia!$D:$D, 0)), $E$2, " "))</f>
        <v>The climb is tough but the view from the top is worth it✌🏽🌆 #top #LA #runyoncanyon #neverlookback #seeyouatthetop #california #calilife #keepongoing</v>
      </c>
      <c r="H397" t="str">
        <f ca="1">INDEX(TopMedia!E:E, MATCH($B397, TopMedia!$D:$D, 0))</f>
        <v>https://www.instagram.com/p/BX4oRYqFb01/</v>
      </c>
      <c r="I397" s="71">
        <f ca="1">INDEX(TopMedia!K:K, MATCH($B397, TopMedia!$D:$D, 0))</f>
        <v>13672</v>
      </c>
      <c r="J397" s="71">
        <f ca="1">INDEX(TopMedia!J:J, MATCH($B397, TopMedia!$D:$D, 0))</f>
        <v>107</v>
      </c>
      <c r="K397" s="71">
        <f ca="1">INDEX(TopMedia!L:L, MATCH($B397, TopMedia!$D:$D, 0))</f>
        <v>13779</v>
      </c>
      <c r="L397" s="71">
        <f ca="1">INDEX(TopMedia!H:H, MATCH($B397, TopMedia!$D:$D, 0))</f>
        <v>397867</v>
      </c>
      <c r="XQ397" s="79"/>
    </row>
    <row r="398" spans="2:648" x14ac:dyDescent="0.25">
      <c r="B398" t="str">
        <f t="array" aca="1" ref="B398" ca="1">INDEX(id_TopMedia, SMALL(IF(C398=sort_by_TopMedia,ROW(sort_by_TopMedia)-ROW(TopMedia!$D$1),""),COUNTIF($C$396:C398,C398)),1)</f>
        <v>1582889344925372062_564928491</v>
      </c>
      <c r="C398" s="79">
        <f ca="1">LARGE(sort_by_TopMedia, ROWS($C$396:C398))</f>
        <v>12661</v>
      </c>
      <c r="D398" s="73">
        <f ca="1">INDEX(TopMedia!C:C, MATCH($B398, TopMedia!$D:$D, 0))</f>
        <v>42963.684432870374</v>
      </c>
      <c r="E398" t="str">
        <f ca="1">INDEX(TopMedia!B:B, MATCH($B398, TopMedia!$D:$D, 0))</f>
        <v>thiagofragoso</v>
      </c>
      <c r="F398" s="131" t="str">
        <f ca="1">INDEX(TopMedia!G:G, MATCH($B398, TopMedia!$D:$D, 0))</f>
        <v>image</v>
      </c>
      <c r="G398" t="str">
        <f ca="1">IF(SUBSTITUTE(INDEX(TopMedia!F:F, MATCH($B398, TopMedia!$D:$D, 0)), $E$2, " ")="",H398,SUBSTITUTE(INDEX(TopMedia!F:F, MATCH($B398, TopMedia!$D:$D, 0)), $E$2, " "))</f>
        <v>Não falei que era fácil? @amanda.psouza Arrasou e acertou rapidinho. 😎 #timethiagofragoso #rocks #palcopopstar  #popstar  #keepongoing  #nobodysaiditwaseasy  Foto: @studiofaya  Make: @rafaelnsar  Style: @marcellaboselli  Acessórios: @vanusapiovesan @legepbrasil  @namesagenciamento</v>
      </c>
      <c r="H398" t="str">
        <f ca="1">INDEX(TopMedia!E:E, MATCH($B398, TopMedia!$D:$D, 0))</f>
        <v>https://www.instagram.com/p/BX3jXkDBw6e/</v>
      </c>
      <c r="I398" s="71">
        <f ca="1">INDEX(TopMedia!K:K, MATCH($B398, TopMedia!$D:$D, 0))</f>
        <v>12403</v>
      </c>
      <c r="J398" s="71">
        <f ca="1">INDEX(TopMedia!J:J, MATCH($B398, TopMedia!$D:$D, 0))</f>
        <v>258</v>
      </c>
      <c r="K398" s="71">
        <f ca="1">INDEX(TopMedia!L:L, MATCH($B398, TopMedia!$D:$D, 0))</f>
        <v>12661</v>
      </c>
      <c r="L398" s="71">
        <f ca="1">INDEX(TopMedia!H:H, MATCH($B398, TopMedia!$D:$D, 0))</f>
        <v>775368</v>
      </c>
      <c r="XQ398" s="79"/>
    </row>
    <row r="399" spans="2:648" x14ac:dyDescent="0.25">
      <c r="B399" t="str">
        <f t="array" aca="1" ref="B399" ca="1">INDEX(id_TopMedia, SMALL(IF(C399=sort_by_TopMedia,ROW(sort_by_TopMedia)-ROW(TopMedia!$D$1),""),COUNTIF($C$396:C399,C399)),1)</f>
        <v>1594230968971967252_1469303635</v>
      </c>
      <c r="C399" s="79">
        <f ca="1">LARGE(sort_by_TopMedia, ROWS($C$396:C399))</f>
        <v>7008</v>
      </c>
      <c r="D399" s="73">
        <f ca="1">INDEX(TopMedia!C:C, MATCH($B399, TopMedia!$D:$D, 0))</f>
        <v>42979.33289351852</v>
      </c>
      <c r="E399" t="str">
        <f ca="1">INDEX(TopMedia!B:B, MATCH($B399, TopMedia!$D:$D, 0))</f>
        <v>millionaire.dream</v>
      </c>
      <c r="F399" s="131" t="str">
        <f ca="1">INDEX(TopMedia!G:G, MATCH($B399, TopMedia!$D:$D, 0))</f>
        <v>image</v>
      </c>
      <c r="G399" t="str">
        <f ca="1">IF(SUBSTITUTE(INDEX(TopMedia!F:F, MATCH($B399, TopMedia!$D:$D, 0)), $E$2, " ")="",H399,SUBSTITUTE(INDEX(TopMedia!F:F, MATCH($B399, TopMedia!$D:$D, 0)), $E$2, " "))</f>
        <v>It takes time...</v>
      </c>
      <c r="H399" t="str">
        <f ca="1">INDEX(TopMedia!E:E, MATCH($B399, TopMedia!$D:$D, 0))</f>
        <v>https://www.instagram.com/p/BYf2J6jgDsU/</v>
      </c>
      <c r="I399" s="71">
        <f ca="1">INDEX(TopMedia!K:K, MATCH($B399, TopMedia!$D:$D, 0))</f>
        <v>6965</v>
      </c>
      <c r="J399" s="71">
        <f ca="1">INDEX(TopMedia!J:J, MATCH($B399, TopMedia!$D:$D, 0))</f>
        <v>43</v>
      </c>
      <c r="K399" s="71">
        <f ca="1">INDEX(TopMedia!L:L, MATCH($B399, TopMedia!$D:$D, 0))</f>
        <v>7008</v>
      </c>
      <c r="L399" s="71">
        <f ca="1">INDEX(TopMedia!H:H, MATCH($B399, TopMedia!$D:$D, 0))</f>
        <v>391672</v>
      </c>
      <c r="XQ399" s="79"/>
    </row>
    <row r="400" spans="2:648" x14ac:dyDescent="0.25">
      <c r="B400" t="str">
        <f t="array" aca="1" ref="B400" ca="1">INDEX(id_TopMedia, SMALL(IF(C400=sort_by_TopMedia,ROW(sort_by_TopMedia)-ROW(TopMedia!$D$1),""),COUNTIF($C$396:C400,C400)),1)</f>
        <v>1582934973098591274_5047113707</v>
      </c>
      <c r="C400" s="79">
        <f ca="1">LARGE(sort_by_TopMedia, ROWS($C$396:C400))</f>
        <v>6248</v>
      </c>
      <c r="D400" s="73">
        <f ca="1">INDEX(TopMedia!C:C, MATCH($B400, TopMedia!$D:$D, 0))</f>
        <v>42963.747395833336</v>
      </c>
      <c r="E400" t="str">
        <f ca="1">INDEX(TopMedia!B:B, MATCH($B400, TopMedia!$D:$D, 0))</f>
        <v>travellingpreneur</v>
      </c>
      <c r="F400" s="131" t="str">
        <f ca="1">INDEX(TopMedia!G:G, MATCH($B400, TopMedia!$D:$D, 0))</f>
        <v>image</v>
      </c>
      <c r="G400" t="str">
        <f ca="1">IF(SUBSTITUTE(INDEX(TopMedia!F:F, MATCH($B400, TopMedia!$D:$D, 0)), $E$2, " ")="",H400,SUBSTITUTE(INDEX(TopMedia!F:F, MATCH($B400, TopMedia!$D:$D, 0)), $E$2, " "))</f>
        <v>Best caption gets a shoutout! - Follow @travellingpreneur</v>
      </c>
      <c r="H400" t="str">
        <f ca="1">INDEX(TopMedia!E:E, MATCH($B400, TopMedia!$D:$D, 0))</f>
        <v>https://www.instagram.com/p/BX3tvimFYQq/</v>
      </c>
      <c r="I400" s="71">
        <f ca="1">INDEX(TopMedia!K:K, MATCH($B400, TopMedia!$D:$D, 0))</f>
        <v>6164</v>
      </c>
      <c r="J400" s="71">
        <f ca="1">INDEX(TopMedia!J:J, MATCH($B400, TopMedia!$D:$D, 0))</f>
        <v>84</v>
      </c>
      <c r="K400" s="71">
        <f ca="1">INDEX(TopMedia!L:L, MATCH($B400, TopMedia!$D:$D, 0))</f>
        <v>6248</v>
      </c>
      <c r="L400" s="71">
        <f ca="1">INDEX(TopMedia!H:H, MATCH($B400, TopMedia!$D:$D, 0))</f>
        <v>16489</v>
      </c>
      <c r="XQ400" s="79"/>
    </row>
    <row r="401" spans="2:648" x14ac:dyDescent="0.25">
      <c r="B401" t="str">
        <f t="array" aca="1" ref="B401" ca="1">INDEX(id_TopMedia, SMALL(IF(C401=sort_by_TopMedia,ROW(sort_by_TopMedia)-ROW(TopMedia!$D$1),""),COUNTIF($C$396:C401,C401)),1)</f>
        <v>1589882377239287909_1469303635</v>
      </c>
      <c r="C401" s="79">
        <f ca="1">LARGE(sort_by_TopMedia, ROWS($C$396:C401))</f>
        <v>5721</v>
      </c>
      <c r="D401" s="73">
        <f ca="1">INDEX(TopMedia!C:C, MATCH($B401, TopMedia!$D:$D, 0))</f>
        <v>42973.332986111112</v>
      </c>
      <c r="E401" t="str">
        <f ca="1">INDEX(TopMedia!B:B, MATCH($B401, TopMedia!$D:$D, 0))</f>
        <v>millionaire.dream</v>
      </c>
      <c r="F401" s="131" t="str">
        <f ca="1">INDEX(TopMedia!G:G, MATCH($B401, TopMedia!$D:$D, 0))</f>
        <v>image</v>
      </c>
      <c r="G401" t="str">
        <f ca="1">IF(SUBSTITUTE(INDEX(TopMedia!F:F, MATCH($B401, TopMedia!$D:$D, 0)), $E$2, " ")="",H401,SUBSTITUTE(INDEX(TopMedia!F:F, MATCH($B401, TopMedia!$D:$D, 0)), $E$2, " "))</f>
        <v>Dress and act like you are the man, confidence gets you a long way!</v>
      </c>
      <c r="H401" t="str">
        <f ca="1">INDEX(TopMedia!E:E, MATCH($B401, TopMedia!$D:$D, 0))</f>
        <v>https://www.instagram.com/p/BYQZZk6AFhl/</v>
      </c>
      <c r="I401" s="71">
        <f ca="1">INDEX(TopMedia!K:K, MATCH($B401, TopMedia!$D:$D, 0))</f>
        <v>5695</v>
      </c>
      <c r="J401" s="71">
        <f ca="1">INDEX(TopMedia!J:J, MATCH($B401, TopMedia!$D:$D, 0))</f>
        <v>26</v>
      </c>
      <c r="K401" s="71">
        <f ca="1">INDEX(TopMedia!L:L, MATCH($B401, TopMedia!$D:$D, 0))</f>
        <v>5721</v>
      </c>
      <c r="L401" s="71">
        <f ca="1">INDEX(TopMedia!H:H, MATCH($B401, TopMedia!$D:$D, 0))</f>
        <v>390114</v>
      </c>
      <c r="XQ401" s="79"/>
    </row>
    <row r="402" spans="2:648" x14ac:dyDescent="0.25">
      <c r="B402" t="str">
        <f t="array" aca="1" ref="B402" ca="1">INDEX(id_TopMedia, SMALL(IF(C402=sort_by_TopMedia,ROW(sort_by_TopMedia)-ROW(TopMedia!$D$1),""),COUNTIF($C$396:C402,C402)),1)</f>
        <v>1593071039058672065_1964823</v>
      </c>
      <c r="C402" s="79">
        <f ca="1">LARGE(sort_by_TopMedia, ROWS($C$396:C402))</f>
        <v>5406</v>
      </c>
      <c r="D402" s="73">
        <f ca="1">INDEX(TopMedia!C:C, MATCH($B402, TopMedia!$D:$D, 0))</f>
        <v>42977.732499999998</v>
      </c>
      <c r="E402" t="str">
        <f ca="1">INDEX(TopMedia!B:B, MATCH($B402, TopMedia!$D:$D, 0))</f>
        <v>ourfamilynest</v>
      </c>
      <c r="F402" s="131" t="str">
        <f ca="1">INDEX(TopMedia!G:G, MATCH($B402, TopMedia!$D:$D, 0))</f>
        <v>image</v>
      </c>
      <c r="G402" t="str">
        <f ca="1">IF(SUBSTITUTE(INDEX(TopMedia!F:F, MATCH($B402, TopMedia!$D:$D, 0)), $E$2, " ")="",H402,SUBSTITUTE(INDEX(TopMedia!F:F, MATCH($B402, TopMedia!$D:$D, 0)), $E$2, " "))</f>
        <v>It’s almost time for the kids to go back to school so we had a practice run making After School Snacks in today’s vlog and even held a mini competition! One messy kitchen later, Blake had fun cleaning up using Scott® Towels with quick absorbing ridges, leaving more time for snacking! What’s your go-to after school snack?  Link in Bio! #ad #scotttowels #keepongoing #backtoschool #snacks</v>
      </c>
      <c r="H402" t="str">
        <f ca="1">INDEX(TopMedia!E:E, MATCH($B402, TopMedia!$D:$D, 0))</f>
        <v>https://www.instagram.com/p/BYbuatpDfnB/</v>
      </c>
      <c r="I402" s="71">
        <f ca="1">INDEX(TopMedia!K:K, MATCH($B402, TopMedia!$D:$D, 0))</f>
        <v>5375</v>
      </c>
      <c r="J402" s="71">
        <f ca="1">INDEX(TopMedia!J:J, MATCH($B402, TopMedia!$D:$D, 0))</f>
        <v>31</v>
      </c>
      <c r="K402" s="71">
        <f ca="1">INDEX(TopMedia!L:L, MATCH($B402, TopMedia!$D:$D, 0))</f>
        <v>5406</v>
      </c>
      <c r="L402" s="71">
        <f ca="1">INDEX(TopMedia!H:H, MATCH($B402, TopMedia!$D:$D, 0))</f>
        <v>164684</v>
      </c>
      <c r="XQ402" s="79"/>
    </row>
    <row r="403" spans="2:648" x14ac:dyDescent="0.25">
      <c r="B403" t="str">
        <f t="array" aca="1" ref="B403" ca="1">INDEX(id_TopMedia, SMALL(IF(C403=sort_by_TopMedia,ROW(sort_by_TopMedia)-ROW(TopMedia!$D$1),""),COUNTIF($C$396:C403,C403)),1)</f>
        <v>1596797731272076017_5798495348</v>
      </c>
      <c r="C403" s="79">
        <f ca="1">LARGE(sort_by_TopMedia, ROWS($C$396:C403))</f>
        <v>5024</v>
      </c>
      <c r="D403" s="73">
        <f ca="1">INDEX(TopMedia!C:C, MATCH($B403, TopMedia!$D:$D, 0))</f>
        <v>42982.874351851853</v>
      </c>
      <c r="E403" t="str">
        <f ca="1">INDEX(TopMedia!B:B, MATCH($B403, TopMedia!$D:$D, 0))</f>
        <v>stoked.travels</v>
      </c>
      <c r="F403" s="131" t="str">
        <f ca="1">INDEX(TopMedia!G:G, MATCH($B403, TopMedia!$D:$D, 0))</f>
        <v>image</v>
      </c>
      <c r="G403" t="str">
        <f ca="1">IF(SUBSTITUTE(INDEX(TopMedia!F:F, MATCH($B403, TopMedia!$D:$D, 0)), $E$2, " ")="",H403,SUBSTITUTE(INDEX(TopMedia!F:F, MATCH($B403, TopMedia!$D:$D, 0)), $E$2, " "))</f>
        <v>This tree is real and It show how the world loves us❤ Share with your friends 👇 cc: @ unknow via @lovethisglobe . . . . . . . . #travelvlog #creativeentrepreneur #goodstart #animals #paradisebay #awesomeglobe #crystalclearwaters #discoverearth #lifeisfun #travelfreak #skypainters #travelphotography #meditationtime #paradisefound #keepongoing #paycationtravel #paradisehotelse #travelinspired #openmyworld #beachboy #allthewayup #traveldiaries #lifechoices #vacationland #travelgermany</v>
      </c>
      <c r="H403" t="str">
        <f ca="1">INDEX(TopMedia!E:E, MATCH($B403, TopMedia!$D:$D, 0))</f>
        <v>https://www.instagram.com/p/BYo9xOOnyrx/</v>
      </c>
      <c r="I403" s="71">
        <f ca="1">INDEX(TopMedia!K:K, MATCH($B403, TopMedia!$D:$D, 0))</f>
        <v>4976</v>
      </c>
      <c r="J403" s="71">
        <f ca="1">INDEX(TopMedia!J:J, MATCH($B403, TopMedia!$D:$D, 0))</f>
        <v>48</v>
      </c>
      <c r="K403" s="71">
        <f ca="1">INDEX(TopMedia!L:L, MATCH($B403, TopMedia!$D:$D, 0))</f>
        <v>5024</v>
      </c>
      <c r="L403" s="71">
        <f ca="1">INDEX(TopMedia!H:H, MATCH($B403, TopMedia!$D:$D, 0))</f>
        <v>1622</v>
      </c>
      <c r="XQ403" s="79"/>
    </row>
    <row r="404" spans="2:648" x14ac:dyDescent="0.25">
      <c r="B404" t="str">
        <f t="array" aca="1" ref="B404" ca="1">INDEX(id_TopMedia, SMALL(IF(C404=sort_by_TopMedia,ROW(sort_by_TopMedia)-ROW(TopMedia!$D$1),""),COUNTIF($C$396:C404,C404)),1)</f>
        <v>1600070068373044313_1509895195</v>
      </c>
      <c r="C404" s="79">
        <f ca="1">LARGE(sort_by_TopMedia, ROWS($C$396:C404))</f>
        <v>4731</v>
      </c>
      <c r="D404" s="73">
        <f ca="1">INDEX(TopMedia!C:C, MATCH($B404, TopMedia!$D:$D, 0))</f>
        <v>42987.389317129629</v>
      </c>
      <c r="E404" t="str">
        <f ca="1">INDEX(TopMedia!B:B, MATCH($B404, TopMedia!$D:$D, 0))</f>
        <v>ariletmestyleu</v>
      </c>
      <c r="F404" s="131" t="str">
        <f ca="1">INDEX(TopMedia!G:G, MATCH($B404, TopMedia!$D:$D, 0))</f>
        <v>carousel</v>
      </c>
      <c r="G404" t="str">
        <f ca="1">IF(SUBSTITUTE(INDEX(TopMedia!F:F, MATCH($B404, TopMedia!$D:$D, 0)), $E$2, " ")="",H404,SUBSTITUTE(INDEX(TopMedia!F:F, MATCH($B404, TopMedia!$D:$D, 0)), $E$2, " "))</f>
        <v>#omg #thankyou so so much for the 19k followers this is for you guys. #makeitviral #heartshape and remember to #loveyourhair love yourself smile and be kind #sundayfunday #style #fashion #lifeofahairstylist #hairmenstyle  #surfersparadise #blogger #americancrew #hairbyarim #lookwhatyoumademedo</v>
      </c>
      <c r="H404" t="str">
        <f ca="1">INDEX(TopMedia!E:E, MATCH($B404, TopMedia!$D:$D, 0))</f>
        <v>https://www.instagram.com/p/BY0lz_pHDxZ/</v>
      </c>
      <c r="I404" s="71">
        <f ca="1">INDEX(TopMedia!K:K, MATCH($B404, TopMedia!$D:$D, 0))</f>
        <v>4677</v>
      </c>
      <c r="J404" s="71">
        <f ca="1">INDEX(TopMedia!J:J, MATCH($B404, TopMedia!$D:$D, 0))</f>
        <v>54</v>
      </c>
      <c r="K404" s="71">
        <f ca="1">INDEX(TopMedia!L:L, MATCH($B404, TopMedia!$D:$D, 0))</f>
        <v>4731</v>
      </c>
      <c r="L404" s="71">
        <f ca="1">INDEX(TopMedia!H:H, MATCH($B404, TopMedia!$D:$D, 0))</f>
        <v>19637</v>
      </c>
      <c r="XQ404" s="79"/>
    </row>
    <row r="405" spans="2:648" x14ac:dyDescent="0.25">
      <c r="B405" t="str">
        <f t="array" aca="1" ref="B405" ca="1">INDEX(id_TopMedia, SMALL(IF(C405=sort_by_TopMedia,ROW(sort_by_TopMedia)-ROW(TopMedia!$D$1),""),COUNTIF($C$396:C405,C405)),1)</f>
        <v>1585444282121115452_1469303635</v>
      </c>
      <c r="C405" s="79">
        <f ca="1">LARGE(sort_by_TopMedia, ROWS($C$396:C405))</f>
        <v>4570</v>
      </c>
      <c r="D405" s="73">
        <f ca="1">INDEX(TopMedia!C:C, MATCH($B405, TopMedia!$D:$D, 0))</f>
        <v>42967.209583333337</v>
      </c>
      <c r="E405" t="str">
        <f ca="1">INDEX(TopMedia!B:B, MATCH($B405, TopMedia!$D:$D, 0))</f>
        <v>millionaire.dream</v>
      </c>
      <c r="F405" s="131" t="str">
        <f ca="1">INDEX(TopMedia!G:G, MATCH($B405, TopMedia!$D:$D, 0))</f>
        <v>image</v>
      </c>
      <c r="G405" t="str">
        <f ca="1">IF(SUBSTITUTE(INDEX(TopMedia!F:F, MATCH($B405, TopMedia!$D:$D, 0)), $E$2, " ")="",H405,SUBSTITUTE(INDEX(TopMedia!F:F, MATCH($B405, TopMedia!$D:$D, 0)), $E$2, " "))</f>
        <v>tag a friend!</v>
      </c>
      <c r="H405" t="str">
        <f ca="1">INDEX(TopMedia!E:E, MATCH($B405, TopMedia!$D:$D, 0))</f>
        <v>https://www.instagram.com/p/BYAoSyvANc8/</v>
      </c>
      <c r="I405" s="71">
        <f ca="1">INDEX(TopMedia!K:K, MATCH($B405, TopMedia!$D:$D, 0))</f>
        <v>4536</v>
      </c>
      <c r="J405" s="71">
        <f ca="1">INDEX(TopMedia!J:J, MATCH($B405, TopMedia!$D:$D, 0))</f>
        <v>34</v>
      </c>
      <c r="K405" s="71">
        <f ca="1">INDEX(TopMedia!L:L, MATCH($B405, TopMedia!$D:$D, 0))</f>
        <v>4570</v>
      </c>
      <c r="L405" s="71">
        <f ca="1">INDEX(TopMedia!H:H, MATCH($B405, TopMedia!$D:$D, 0))</f>
        <v>389403</v>
      </c>
      <c r="XQ405" s="79"/>
    </row>
    <row r="406" spans="2:648" x14ac:dyDescent="0.25">
      <c r="B406" t="str">
        <f t="array" aca="1" ref="B406" ca="1">INDEX(id_TopMedia, SMALL(IF(C406=sort_by_TopMedia,ROW(sort_by_TopMedia)-ROW(TopMedia!$D$1),""),COUNTIF($C$396:C406,C406)),1)</f>
        <v>1587410348573483134_9886962</v>
      </c>
      <c r="C406" s="79">
        <f ca="1">LARGE(sort_by_TopMedia, ROWS($C$396:C406))</f>
        <v>4555</v>
      </c>
      <c r="D406" s="73">
        <f ca="1">INDEX(TopMedia!C:C, MATCH($B406, TopMedia!$D:$D, 0))</f>
        <v>42969.922233796293</v>
      </c>
      <c r="E406" t="str">
        <f ca="1">INDEX(TopMedia!B:B, MATCH($B406, TopMedia!$D:$D, 0))</f>
        <v>paulinamichaels</v>
      </c>
      <c r="F406" s="131" t="str">
        <f ca="1">INDEX(TopMedia!G:G, MATCH($B406, TopMedia!$D:$D, 0))</f>
        <v>image</v>
      </c>
      <c r="G406" t="str">
        <f ca="1">IF(SUBSTITUTE(INDEX(TopMedia!F:F, MATCH($B406, TopMedia!$D:$D, 0)), $E$2, " ")="",H406,SUBSTITUTE(INDEX(TopMedia!F:F, MATCH($B406, TopMedia!$D:$D, 0)), $E$2, " "))</f>
        <v>The secret of change is to focus all of your energy, not on fighting the old, but on building the new.  #secretofchange #maninthemirror #changeyourlife #makeachange #newbeginnings #gofullforce #createyourlife #lalaland #hritalent #acting #commercials #onset #caligirls #melrose #blogger #keepongoing</v>
      </c>
      <c r="H406" t="str">
        <f ca="1">INDEX(TopMedia!E:E, MATCH($B406, TopMedia!$D:$D, 0))</f>
        <v>https://www.instagram.com/p/BYHnU0zgGB-/</v>
      </c>
      <c r="I406" s="71">
        <f ca="1">INDEX(TopMedia!K:K, MATCH($B406, TopMedia!$D:$D, 0))</f>
        <v>4493</v>
      </c>
      <c r="J406" s="71">
        <f ca="1">INDEX(TopMedia!J:J, MATCH($B406, TopMedia!$D:$D, 0))</f>
        <v>62</v>
      </c>
      <c r="K406" s="71">
        <f ca="1">INDEX(TopMedia!L:L, MATCH($B406, TopMedia!$D:$D, 0))</f>
        <v>4555</v>
      </c>
      <c r="L406" s="71">
        <f ca="1">INDEX(TopMedia!H:H, MATCH($B406, TopMedia!$D:$D, 0))</f>
        <v>88754</v>
      </c>
      <c r="XQ406" s="79"/>
    </row>
    <row r="407" spans="2:648" x14ac:dyDescent="0.25">
      <c r="B407" t="str">
        <f t="array" aca="1" ref="B407" ca="1">INDEX(id_TopMedia, SMALL(IF(C407=sort_by_TopMedia,ROW(sort_by_TopMedia)-ROW(TopMedia!$D$1),""),COUNTIF($C$396:C407,C407)),1)</f>
        <v>1580914390222424917_1469303635</v>
      </c>
      <c r="C407" s="79">
        <f ca="1">LARGE(sort_by_TopMedia, ROWS($C$396:C407))</f>
        <v>4377</v>
      </c>
      <c r="D407" s="73">
        <f ca="1">INDEX(TopMedia!C:C, MATCH($B407, TopMedia!$D:$D, 0))</f>
        <v>42960.95952546296</v>
      </c>
      <c r="E407" t="str">
        <f ca="1">INDEX(TopMedia!B:B, MATCH($B407, TopMedia!$D:$D, 0))</f>
        <v>millionaire.dream</v>
      </c>
      <c r="F407" s="131" t="str">
        <f ca="1">INDEX(TopMedia!G:G, MATCH($B407, TopMedia!$D:$D, 0))</f>
        <v>image</v>
      </c>
      <c r="G407" t="str">
        <f ca="1">IF(SUBSTITUTE(INDEX(TopMedia!F:F, MATCH($B407, TopMedia!$D:$D, 0)), $E$2, " ")="",H407,SUBSTITUTE(INDEX(TopMedia!F:F, MATCH($B407, TopMedia!$D:$D, 0)), $E$2, " "))</f>
        <v>Have no regrets, just lessons, so don't make the same mistake twice!</v>
      </c>
      <c r="H407" t="str">
        <f ca="1">INDEX(TopMedia!E:E, MATCH($B407, TopMedia!$D:$D, 0))</f>
        <v>https://www.instagram.com/p/BXwiUMJgstV/</v>
      </c>
      <c r="I407" s="71">
        <f ca="1">INDEX(TopMedia!K:K, MATCH($B407, TopMedia!$D:$D, 0))</f>
        <v>4364</v>
      </c>
      <c r="J407" s="71">
        <f ca="1">INDEX(TopMedia!J:J, MATCH($B407, TopMedia!$D:$D, 0))</f>
        <v>13</v>
      </c>
      <c r="K407" s="71">
        <f ca="1">INDEX(TopMedia!L:L, MATCH($B407, TopMedia!$D:$D, 0))</f>
        <v>4377</v>
      </c>
      <c r="L407" s="71">
        <f ca="1">INDEX(TopMedia!H:H, MATCH($B407, TopMedia!$D:$D, 0))</f>
        <v>389998</v>
      </c>
      <c r="XQ407" s="79"/>
    </row>
    <row r="408" spans="2:648" x14ac:dyDescent="0.25">
      <c r="B408" t="str">
        <f t="array" aca="1" ref="B408" ca="1">INDEX(id_TopMedia, SMALL(IF(C408=sort_by_TopMedia,ROW(sort_by_TopMedia)-ROW(TopMedia!$D$1),""),COUNTIF($C$396:C408,C408)),1)</f>
        <v>1580212873476741514_5047113707</v>
      </c>
      <c r="C408" s="79">
        <f ca="1">LARGE(sort_by_TopMedia, ROWS($C$396:C408))</f>
        <v>4308</v>
      </c>
      <c r="D408" s="73">
        <f ca="1">INDEX(TopMedia!C:C, MATCH($B408, TopMedia!$D:$D, 0))</f>
        <v>42959.991608796299</v>
      </c>
      <c r="E408" t="str">
        <f ca="1">INDEX(TopMedia!B:B, MATCH($B408, TopMedia!$D:$D, 0))</f>
        <v>travellingpreneur</v>
      </c>
      <c r="F408" s="131" t="str">
        <f ca="1">INDEX(TopMedia!G:G, MATCH($B408, TopMedia!$D:$D, 0))</f>
        <v>image</v>
      </c>
      <c r="G408" t="str">
        <f ca="1">IF(SUBSTITUTE(INDEX(TopMedia!F:F, MATCH($B408, TopMedia!$D:$D, 0)), $E$2, " ")="",H408,SUBSTITUTE(INDEX(TopMedia!F:F, MATCH($B408, TopMedia!$D:$D, 0)), $E$2, " "))</f>
        <v>When your Bae is a real treasure 😉 tag your girl ❤️ - Follow @travellingpreneur</v>
      </c>
      <c r="H408" t="str">
        <f ca="1">INDEX(TopMedia!E:E, MATCH($B408, TopMedia!$D:$D, 0))</f>
        <v>https://www.instagram.com/p/BXuCzxxFJmK/</v>
      </c>
      <c r="I408" s="71">
        <f ca="1">INDEX(TopMedia!K:K, MATCH($B408, TopMedia!$D:$D, 0))</f>
        <v>4250</v>
      </c>
      <c r="J408" s="71">
        <f ca="1">INDEX(TopMedia!J:J, MATCH($B408, TopMedia!$D:$D, 0))</f>
        <v>58</v>
      </c>
      <c r="K408" s="71">
        <f ca="1">INDEX(TopMedia!L:L, MATCH($B408, TopMedia!$D:$D, 0))</f>
        <v>4308</v>
      </c>
      <c r="L408" s="71">
        <f ca="1">INDEX(TopMedia!H:H, MATCH($B408, TopMedia!$D:$D, 0))</f>
        <v>13416</v>
      </c>
      <c r="XQ408" s="79"/>
    </row>
    <row r="409" spans="2:648" x14ac:dyDescent="0.25">
      <c r="B409" t="str">
        <f t="array" aca="1" ref="B409" ca="1">INDEX(id_TopMedia, SMALL(IF(C409=sort_by_TopMedia,ROW(sort_by_TopMedia)-ROW(TopMedia!$D$1),""),COUNTIF($C$396:C409,C409)),1)</f>
        <v>1593235585420499556_1469303635</v>
      </c>
      <c r="C409" s="79">
        <f ca="1">LARGE(sort_by_TopMedia, ROWS($C$396:C409))</f>
        <v>3740</v>
      </c>
      <c r="D409" s="73">
        <f ca="1">INDEX(TopMedia!C:C, MATCH($B409, TopMedia!$D:$D, 0))</f>
        <v>42977.95952546296</v>
      </c>
      <c r="E409" t="str">
        <f ca="1">INDEX(TopMedia!B:B, MATCH($B409, TopMedia!$D:$D, 0))</f>
        <v>millionaire.dream</v>
      </c>
      <c r="F409" s="131" t="str">
        <f ca="1">INDEX(TopMedia!G:G, MATCH($B409, TopMedia!$D:$D, 0))</f>
        <v>image</v>
      </c>
      <c r="G409" t="str">
        <f ca="1">IF(SUBSTITUTE(INDEX(TopMedia!F:F, MATCH($B409, TopMedia!$D:$D, 0)), $E$2, " ")="",H409,SUBSTITUTE(INDEX(TopMedia!F:F, MATCH($B409, TopMedia!$D:$D, 0)), $E$2, " "))</f>
        <v>Always move forward...</v>
      </c>
      <c r="H409" t="str">
        <f ca="1">INDEX(TopMedia!E:E, MATCH($B409, TopMedia!$D:$D, 0))</f>
        <v>https://www.instagram.com/p/BYcT1LYgBpk/</v>
      </c>
      <c r="I409" s="71">
        <f ca="1">INDEX(TopMedia!K:K, MATCH($B409, TopMedia!$D:$D, 0))</f>
        <v>3715</v>
      </c>
      <c r="J409" s="71">
        <f ca="1">INDEX(TopMedia!J:J, MATCH($B409, TopMedia!$D:$D, 0))</f>
        <v>25</v>
      </c>
      <c r="K409" s="71">
        <f ca="1">INDEX(TopMedia!L:L, MATCH($B409, TopMedia!$D:$D, 0))</f>
        <v>3740</v>
      </c>
      <c r="L409" s="71">
        <f ca="1">INDEX(TopMedia!H:H, MATCH($B409, TopMedia!$D:$D, 0))</f>
        <v>391293</v>
      </c>
      <c r="XQ409" s="79"/>
    </row>
    <row r="410" spans="2:648" x14ac:dyDescent="0.25">
      <c r="B410" t="str">
        <f t="array" aca="1" ref="B410" ca="1">INDEX(id_TopMedia, SMALL(IF(C410=sort_by_TopMedia,ROW(sort_by_TopMedia)-ROW(TopMedia!$D$1),""),COUNTIF($C$396:C410,C410)),1)</f>
        <v>1581729719567587324_1469303635</v>
      </c>
      <c r="C410" s="79">
        <f ca="1">LARGE(sort_by_TopMedia, ROWS($C$396:C410))</f>
        <v>3638</v>
      </c>
      <c r="D410" s="73">
        <f ca="1">INDEX(TopMedia!C:C, MATCH($B410, TopMedia!$D:$D, 0))</f>
        <v>42962.084456018521</v>
      </c>
      <c r="E410" t="str">
        <f ca="1">INDEX(TopMedia!B:B, MATCH($B410, TopMedia!$D:$D, 0))</f>
        <v>millionaire.dream</v>
      </c>
      <c r="F410" s="131" t="str">
        <f ca="1">INDEX(TopMedia!G:G, MATCH($B410, TopMedia!$D:$D, 0))</f>
        <v>image</v>
      </c>
      <c r="G410" t="str">
        <f ca="1">IF(SUBSTITUTE(INDEX(TopMedia!F:F, MATCH($B410, TopMedia!$D:$D, 0)), $E$2, " ")="",H410,SUBSTITUTE(INDEX(TopMedia!F:F, MATCH($B410, TopMedia!$D:$D, 0)), $E$2, " "))</f>
        <v>the 3 steps to greatness</v>
      </c>
      <c r="H410" t="str">
        <f ca="1">INDEX(TopMedia!E:E, MATCH($B410, TopMedia!$D:$D, 0))</f>
        <v>https://www.instagram.com/p/BXzbsyxgRf8/</v>
      </c>
      <c r="I410" s="71">
        <f ca="1">INDEX(TopMedia!K:K, MATCH($B410, TopMedia!$D:$D, 0))</f>
        <v>3622</v>
      </c>
      <c r="J410" s="71">
        <f ca="1">INDEX(TopMedia!J:J, MATCH($B410, TopMedia!$D:$D, 0))</f>
        <v>16</v>
      </c>
      <c r="K410" s="71">
        <f ca="1">INDEX(TopMedia!L:L, MATCH($B410, TopMedia!$D:$D, 0))</f>
        <v>3638</v>
      </c>
      <c r="L410" s="71">
        <f ca="1">INDEX(TopMedia!H:H, MATCH($B410, TopMedia!$D:$D, 0))</f>
        <v>389883</v>
      </c>
      <c r="XQ410" s="79"/>
    </row>
    <row r="411" spans="2:648" x14ac:dyDescent="0.25">
      <c r="B411" t="str">
        <f t="array" aca="1" ref="B411" ca="1">INDEX(id_TopMedia, SMALL(IF(C411=sort_by_TopMedia,ROW(sort_by_TopMedia)-ROW(TopMedia!$D$1),""),COUNTIF($C$396:C411,C411)),1)</f>
        <v>1597319470821350905_453506597</v>
      </c>
      <c r="C411" s="79">
        <f ca="1">LARGE(sort_by_TopMedia, ROWS($C$396:C411))</f>
        <v>3574</v>
      </c>
      <c r="D411" s="73">
        <f ca="1">INDEX(TopMedia!C:C, MATCH($B411, TopMedia!$D:$D, 0))</f>
        <v>42983.594224537039</v>
      </c>
      <c r="E411" t="str">
        <f ca="1">INDEX(TopMedia!B:B, MATCH($B411, TopMedia!$D:$D, 0))</f>
        <v>cassandrafoxdance</v>
      </c>
      <c r="F411" s="131" t="str">
        <f ca="1">INDEX(TopMedia!G:G, MATCH($B411, TopMedia!$D:$D, 0))</f>
        <v>carousel</v>
      </c>
      <c r="G411" t="str">
        <f ca="1">IF(SUBSTITUTE(INDEX(TopMedia!F:F, MATCH($B411, TopMedia!$D:$D, 0)), $E$2, " ")="",H411,SUBSTITUTE(INDEX(TopMedia!F:F, MATCH($B411, TopMedia!$D:$D, 0)), $E$2, " "))</f>
        <v>So many of my decisions have been based around developing my career and art, regardless of what others might say or think, or what judgements they have expressed. I have been so fortunate to have support from my friends, my family, and my cats 😂😻. I have lived precariously because I believe in what I do and can't imagine not doing it.  When I started, I never let what I didn't have or didn't have access to stop me from doing the best with what I did have. I moved the kitchen table and practiced my dancing in the kitchen. You can see a lot of my old practice videos on my YouTube channel are in an old  kitchen, some are in studio space I had access to in University. I did all of my sewing in my bedroom. I cut out fabric on my grandma's kitchen table.  Eventually I found a big piece of mirror someone was trying to get rid of on facebook and I dropped everything and scrambled to find a truck to get it that day. I saved for wood flooring, and eventually over time a small in home studio space was born for practicing and teaching. It is my happy place.  Instead of going on vacation I invested in a sewing machine more suited for the fine and stretchy fabrics that I regularly work with. I relentlessly checked kijiji waiting for a good deal on a second hand serger. I currently have a sewing room instead of a living room and rely on my one sewing machine, one serger, two hands, and imagination.  Pics in order,  My first mirror selfie in my current dance space. Such a happy day!! Screencap from a kitchen practice video, back in the day. My sewing machine jammed in a small space in my old bedroom.  My sewing machine now (on my Grandma's former kitchen table, and now my sewing table) featuring my sewing companion, Butters❤ Two of my biggest supporters, my Mom and Grandma.  My cats (Butters and Bunny Muffins) modelling various fabric, giving me inspiration, and above all else tolerating me 😂  Thank you for taking the time to read and learn about my story so far. This has actually been fun and emotional for me. It has given me great perspective and appreciation.  #createmorefund @creemoresprings #dance #dancelife #sewing #creating #ittakestime #keepongoing</v>
      </c>
      <c r="H411" t="str">
        <f ca="1">INDEX(TopMedia!E:E, MATCH($B411, TopMedia!$D:$D, 0))</f>
        <v>https://www.instagram.com/p/BYq0ZiDHx35/</v>
      </c>
      <c r="I411" s="71">
        <f ca="1">INDEX(TopMedia!K:K, MATCH($B411, TopMedia!$D:$D, 0))</f>
        <v>3475</v>
      </c>
      <c r="J411" s="71">
        <f ca="1">INDEX(TopMedia!J:J, MATCH($B411, TopMedia!$D:$D, 0))</f>
        <v>99</v>
      </c>
      <c r="K411" s="71">
        <f ca="1">INDEX(TopMedia!L:L, MATCH($B411, TopMedia!$D:$D, 0))</f>
        <v>3574</v>
      </c>
      <c r="L411" s="71">
        <f ca="1">INDEX(TopMedia!H:H, MATCH($B411, TopMedia!$D:$D, 0))</f>
        <v>195404</v>
      </c>
      <c r="XQ411" s="79"/>
    </row>
    <row r="412" spans="2:648" x14ac:dyDescent="0.25">
      <c r="B412" t="str">
        <f t="array" aca="1" ref="B412" ca="1">INDEX(id_TopMedia, SMALL(IF(C412=sort_by_TopMedia,ROW(sort_by_TopMedia)-ROW(TopMedia!$D$1),""),COUNTIF($C$396:C412,C412)),1)</f>
        <v>1589792706392196747_1469303635</v>
      </c>
      <c r="C412" s="79">
        <f ca="1">LARGE(sort_by_TopMedia, ROWS($C$396:C412))</f>
        <v>3541</v>
      </c>
      <c r="D412" s="73">
        <f ca="1">INDEX(TopMedia!C:C, MATCH($B412, TopMedia!$D:$D, 0))</f>
        <v>42973.20925925926</v>
      </c>
      <c r="E412" t="str">
        <f ca="1">INDEX(TopMedia!B:B, MATCH($B412, TopMedia!$D:$D, 0))</f>
        <v>millionaire.dream</v>
      </c>
      <c r="F412" s="131" t="str">
        <f ca="1">INDEX(TopMedia!G:G, MATCH($B412, TopMedia!$D:$D, 0))</f>
        <v>image</v>
      </c>
      <c r="G412" t="str">
        <f ca="1">IF(SUBSTITUTE(INDEX(TopMedia!F:F, MATCH($B412, TopMedia!$D:$D, 0)), $E$2, " ")="",H412,SUBSTITUTE(INDEX(TopMedia!F:F, MATCH($B412, TopMedia!$D:$D, 0)), $E$2, " "))</f>
        <v>Keep hustling!</v>
      </c>
      <c r="H412" t="str">
        <f ca="1">INDEX(TopMedia!E:E, MATCH($B412, TopMedia!$D:$D, 0))</f>
        <v>https://www.instagram.com/p/BYQFAsbA4aL/</v>
      </c>
      <c r="I412" s="71">
        <f ca="1">INDEX(TopMedia!K:K, MATCH($B412, TopMedia!$D:$D, 0))</f>
        <v>3527</v>
      </c>
      <c r="J412" s="71">
        <f ca="1">INDEX(TopMedia!J:J, MATCH($B412, TopMedia!$D:$D, 0))</f>
        <v>14</v>
      </c>
      <c r="K412" s="71">
        <f ca="1">INDEX(TopMedia!L:L, MATCH($B412, TopMedia!$D:$D, 0))</f>
        <v>3541</v>
      </c>
      <c r="L412" s="71">
        <f ca="1">INDEX(TopMedia!H:H, MATCH($B412, TopMedia!$D:$D, 0))</f>
        <v>390131</v>
      </c>
      <c r="XQ412" s="79"/>
    </row>
    <row r="413" spans="2:648" x14ac:dyDescent="0.25">
      <c r="B413" t="str">
        <f t="array" aca="1" ref="B413" ca="1">INDEX(id_TopMedia, SMALL(IF(C413=sort_by_TopMedia,ROW(sort_by_TopMedia)-ROW(TopMedia!$D$1),""),COUNTIF($C$396:C413,C413)),1)</f>
        <v>1580008222117527671_1469303635</v>
      </c>
      <c r="C413" s="79">
        <f ca="1">LARGE(sort_by_TopMedia, ROWS($C$396:C413))</f>
        <v>3530</v>
      </c>
      <c r="D413" s="73">
        <f ca="1">INDEX(TopMedia!C:C, MATCH($B413, TopMedia!$D:$D, 0))</f>
        <v>42959.709247685183</v>
      </c>
      <c r="E413" t="str">
        <f ca="1">INDEX(TopMedia!B:B, MATCH($B413, TopMedia!$D:$D, 0))</f>
        <v>millionaire.dream</v>
      </c>
      <c r="F413" s="131" t="str">
        <f ca="1">INDEX(TopMedia!G:G, MATCH($B413, TopMedia!$D:$D, 0))</f>
        <v>image</v>
      </c>
      <c r="G413" t="str">
        <f ca="1">IF(SUBSTITUTE(INDEX(TopMedia!F:F, MATCH($B413, TopMedia!$D:$D, 0)), $E$2, " ")="",H413,SUBSTITUTE(INDEX(TopMedia!F:F, MATCH($B413, TopMedia!$D:$D, 0)), $E$2, " "))</f>
        <v>Dont let the little things stress you out too much (:</v>
      </c>
      <c r="H413" t="str">
        <f ca="1">INDEX(TopMedia!E:E, MATCH($B413, TopMedia!$D:$D, 0))</f>
        <v>https://www.instagram.com/p/BXtURtVgwB3/</v>
      </c>
      <c r="I413" s="71">
        <f ca="1">INDEX(TopMedia!K:K, MATCH($B413, TopMedia!$D:$D, 0))</f>
        <v>3513</v>
      </c>
      <c r="J413" s="71">
        <f ca="1">INDEX(TopMedia!J:J, MATCH($B413, TopMedia!$D:$D, 0))</f>
        <v>17</v>
      </c>
      <c r="K413" s="71">
        <f ca="1">INDEX(TopMedia!L:L, MATCH($B413, TopMedia!$D:$D, 0))</f>
        <v>3530</v>
      </c>
      <c r="L413" s="71">
        <f ca="1">INDEX(TopMedia!H:H, MATCH($B413, TopMedia!$D:$D, 0))</f>
        <v>390125</v>
      </c>
      <c r="XQ413" s="79"/>
    </row>
    <row r="414" spans="2:648" x14ac:dyDescent="0.25">
      <c r="B414" t="str">
        <f t="array" aca="1" ref="B414" ca="1">INDEX(id_TopMedia, SMALL(IF(C414=sort_by_TopMedia,ROW(sort_by_TopMedia)-ROW(TopMedia!$D$1),""),COUNTIF($C$396:C414,C414)),1)</f>
        <v>1599618660028596519_4869035138</v>
      </c>
      <c r="C414" s="79">
        <f ca="1">LARGE(sort_by_TopMedia, ROWS($C$396:C414))</f>
        <v>3518</v>
      </c>
      <c r="D414" s="73">
        <f ca="1">INDEX(TopMedia!C:C, MATCH($B414, TopMedia!$D:$D, 0))</f>
        <v>42986.766493055555</v>
      </c>
      <c r="E414" t="str">
        <f ca="1">INDEX(TopMedia!B:B, MATCH($B414, TopMedia!$D:$D, 0))</f>
        <v>100xsuccess</v>
      </c>
      <c r="F414" s="131" t="str">
        <f ca="1">INDEX(TopMedia!G:G, MATCH($B414, TopMedia!$D:$D, 0))</f>
        <v>image</v>
      </c>
      <c r="G414" t="str">
        <f ca="1">IF(SUBSTITUTE(INDEX(TopMedia!F:F, MATCH($B414, TopMedia!$D:$D, 0)), $E$2, " ")="",H414,SUBSTITUTE(INDEX(TopMedia!F:F, MATCH($B414, TopMedia!$D:$D, 0)), $E$2, " "))</f>
        <v>Double tap 💯❌ Follow us here @100xsuccess 🔥 • From @secrets2success</v>
      </c>
      <c r="H414" t="str">
        <f ca="1">INDEX(TopMedia!E:E, MATCH($B414, TopMedia!$D:$D, 0))</f>
        <v>https://www.instagram.com/p/BYy_LI3F0En/</v>
      </c>
      <c r="I414" s="71">
        <f ca="1">INDEX(TopMedia!K:K, MATCH($B414, TopMedia!$D:$D, 0))</f>
        <v>3490</v>
      </c>
      <c r="J414" s="71">
        <f ca="1">INDEX(TopMedia!J:J, MATCH($B414, TopMedia!$D:$D, 0))</f>
        <v>28</v>
      </c>
      <c r="K414" s="71">
        <f ca="1">INDEX(TopMedia!L:L, MATCH($B414, TopMedia!$D:$D, 0))</f>
        <v>3518</v>
      </c>
      <c r="L414" s="71">
        <f ca="1">INDEX(TopMedia!H:H, MATCH($B414, TopMedia!$D:$D, 0))</f>
        <v>82535</v>
      </c>
      <c r="XQ414" s="79"/>
    </row>
    <row r="415" spans="2:648" x14ac:dyDescent="0.25">
      <c r="B415" t="str">
        <f t="array" aca="1" ref="B415" ca="1">INDEX(id_TopMedia, SMALL(IF(C415=sort_by_TopMedia,ROW(sort_by_TopMedia)-ROW(TopMedia!$D$1),""),COUNTIF($C$396:C415,C415)),1)</f>
        <v>1587919741267529540_4869035138</v>
      </c>
      <c r="C415" s="79">
        <f ca="1">LARGE(sort_by_TopMedia, ROWS($C$396:C415))</f>
        <v>3382</v>
      </c>
      <c r="D415" s="73">
        <f ca="1">INDEX(TopMedia!C:C, MATCH($B415, TopMedia!$D:$D, 0))</f>
        <v>42970.625057870369</v>
      </c>
      <c r="E415" t="str">
        <f ca="1">INDEX(TopMedia!B:B, MATCH($B415, TopMedia!$D:$D, 0))</f>
        <v>100xsuccess</v>
      </c>
      <c r="F415" s="131" t="str">
        <f ca="1">INDEX(TopMedia!G:G, MATCH($B415, TopMedia!$D:$D, 0))</f>
        <v>image</v>
      </c>
      <c r="G415" t="str">
        <f ca="1">IF(SUBSTITUTE(INDEX(TopMedia!F:F, MATCH($B415, TopMedia!$D:$D, 0)), $E$2, " ")="",H415,SUBSTITUTE(INDEX(TopMedia!F:F, MATCH($B415, TopMedia!$D:$D, 0)), $E$2, " "))</f>
        <v>Be unstoppable 💯❌ Follow us to success @100xsuccess 🔥 • 📷 @markdumbletonphoto</v>
      </c>
      <c r="H415" t="str">
        <f ca="1">INDEX(TopMedia!E:E, MATCH($B415, TopMedia!$D:$D, 0))</f>
        <v>https://www.instagram.com/p/BYJbJduFM9E/</v>
      </c>
      <c r="I415" s="71">
        <f ca="1">INDEX(TopMedia!K:K, MATCH($B415, TopMedia!$D:$D, 0))</f>
        <v>3352</v>
      </c>
      <c r="J415" s="71">
        <f ca="1">INDEX(TopMedia!J:J, MATCH($B415, TopMedia!$D:$D, 0))</f>
        <v>30</v>
      </c>
      <c r="K415" s="71">
        <f ca="1">INDEX(TopMedia!L:L, MATCH($B415, TopMedia!$D:$D, 0))</f>
        <v>3382</v>
      </c>
      <c r="L415" s="71">
        <f ca="1">INDEX(TopMedia!H:H, MATCH($B415, TopMedia!$D:$D, 0))</f>
        <v>72294</v>
      </c>
      <c r="XQ415" s="79"/>
    </row>
    <row r="416" spans="2:648" x14ac:dyDescent="0.25">
      <c r="XX416" s="79"/>
    </row>
    <row r="417" spans="2:648" x14ac:dyDescent="0.25">
      <c r="B417" s="66" t="s">
        <v>2391</v>
      </c>
      <c r="C417" s="66"/>
      <c r="D417" s="66"/>
      <c r="E417" s="66"/>
      <c r="F417" s="66"/>
      <c r="G417" s="66"/>
      <c r="H417" s="66"/>
      <c r="I417" s="66"/>
      <c r="J417" s="66"/>
      <c r="K417" s="66"/>
      <c r="L417" s="66"/>
      <c r="M417" s="66"/>
      <c r="N417" s="66"/>
      <c r="O417" s="66"/>
      <c r="P417" s="66"/>
      <c r="XX417" s="79"/>
    </row>
    <row r="418" spans="2:648" s="18" customFormat="1" x14ac:dyDescent="0.25">
      <c r="B418" s="228" t="s">
        <v>2386</v>
      </c>
      <c r="C418" s="228" t="s">
        <v>67</v>
      </c>
      <c r="D418" s="228" t="s">
        <v>0</v>
      </c>
      <c r="E418" s="228" t="s">
        <v>2003</v>
      </c>
      <c r="F418" s="228" t="s">
        <v>2381</v>
      </c>
      <c r="G418" s="228" t="s">
        <v>2382</v>
      </c>
      <c r="H418" s="228" t="s">
        <v>2383</v>
      </c>
      <c r="I418" s="228" t="s">
        <v>2378</v>
      </c>
      <c r="J418" s="228" t="s">
        <v>2393</v>
      </c>
      <c r="K418" s="228" t="s">
        <v>2385</v>
      </c>
      <c r="L418" s="228" t="s">
        <v>2379</v>
      </c>
      <c r="M418" s="228" t="s">
        <v>2392</v>
      </c>
      <c r="N418" s="228" t="s">
        <v>2384</v>
      </c>
      <c r="O418" s="228" t="s">
        <v>2380</v>
      </c>
      <c r="P418" s="228" t="s">
        <v>63</v>
      </c>
      <c r="XQ418" s="242"/>
    </row>
    <row r="419" spans="2:648" s="72" customFormat="1" x14ac:dyDescent="0.25">
      <c r="B419" s="72">
        <f>SMALL(TopMedia!AD:AD, ROWS($B$419:B419))</f>
        <v>1</v>
      </c>
      <c r="C419" s="243">
        <f>IFERROR(INDEX(TopMedia!C:C, MATCH($B419,TopMedia!$AD:$AD, 0)),"")</f>
        <v>42959.491574074076</v>
      </c>
      <c r="D419" s="72" t="str">
        <f t="array" ref="D419">IFERROR(IF(LEN(INDEX(TopMedia!B:B, MATCH($B419,TopMedia!$AD:$AD, 0)))&gt;=18,MID(INDEX(TopMedia!B:B, MATCH($B419,TopMedia!$AD:$AD, 0)),1,16)&amp;"…",INDEX(TopMedia!B:B, MATCH($B419,TopMedia!$AD:$AD, 0))),"")</f>
        <v>annie_rose_cole</v>
      </c>
      <c r="E419" s="72">
        <f>IFERROR(INDEX(TopMedia!L:L, MATCH(B419,TopMedia!$AD:$AD, 0)),"")</f>
        <v>14848</v>
      </c>
      <c r="F419" s="72" t="str">
        <f>IF(E419&lt;999500, TEXT(E419, "#,##0"), TEXT(E419, "0.0,,\M"))</f>
        <v>14,848</v>
      </c>
      <c r="G419" s="72" t="str">
        <f>IF(E419="","",IF(E419=1,"Instagram Engagement","Instagram Engagements"))</f>
        <v>Instagram Engagements</v>
      </c>
      <c r="H419" s="72" t="str">
        <f ca="1">IFERROR(IF(E419/SUM(tables.IG_engagement)&gt;0.9,CONCATENATE(TEXT(E419/SUM(tables.IG_engagement),"##%")," of overall instagram engagement"),CONCATENATE(TEXT(E419/SUM(tables.IG_engagement),"#.0%")," of overall instagram engagement")),"")</f>
        <v>2.2% of overall instagram engagement</v>
      </c>
      <c r="I419" s="72">
        <f>IFERROR(INDEX(TopMedia!K:K, MATCH($B419,TopMedia!$AD:$AD, 0)),"")</f>
        <v>14532</v>
      </c>
      <c r="J419" s="244" t="str">
        <f>IFERROR(IF(I419&lt;999500,TEXT(I419,"#,###0"),TEXT(I419,".0,,\M")),"")</f>
        <v>14,532</v>
      </c>
      <c r="K419" s="72" t="str">
        <f>IF(E419="","",IF(I419=1, "Like","Likes"))</f>
        <v>Likes</v>
      </c>
      <c r="L419" s="72">
        <f>IFERROR(INDEX(TopMedia!J:J, MATCH($B419,TopMedia!$AD:$AD, 0)),"")</f>
        <v>316</v>
      </c>
      <c r="M419" s="244" t="str">
        <f>IFERROR(IF(L419&lt;999500,TEXT(L419,"#,###0"),TEXT(L419,".0,,\M")),"")</f>
        <v>316</v>
      </c>
      <c r="N419" s="72" t="str">
        <f>IF(E419="","",IF(L419=1, "Comment","Comments"))</f>
        <v>Comments</v>
      </c>
      <c r="O419" s="72" t="str">
        <f>IFERROR(IF(INDEX(TopMedia!F:F,MATCH(B419,TopMedia!AD:AD,0))="",P419,IF(LEN(INDEX(TopMedia!F:F,MATCH(B419,TopMedia!AD:AD,0)))&gt;=92,MID(INDEX(TopMedia!F:F,MATCH(B419,TopMedia!AD:AD,0)),1,90)&amp;"…",INDEX(TopMedia!F:F,MATCH(B419,TopMedia!AD:AD,0)))),"")</f>
        <v>"Haters gonna hate patatas gonna patate" - @colleen #keepongoing #dontletemfoolya</v>
      </c>
      <c r="P419" s="72" t="str">
        <f>IFERROR(INDEX(TopMedia!E:E, MATCH($B419,TopMedia!$AD:$AD, 0)),"")</f>
        <v>https://www.instagram.com/p/BXswZ8PnM8g/</v>
      </c>
      <c r="XX419" s="245"/>
    </row>
    <row r="420" spans="2:648" s="72" customFormat="1" x14ac:dyDescent="0.25">
      <c r="B420" s="72">
        <f>SMALL(TopMedia!AD:AD, ROWS($B$419:B420))</f>
        <v>2</v>
      </c>
      <c r="C420" s="243">
        <f>IFERROR(INDEX(TopMedia!C:C, MATCH($B420,TopMedia!$AD:$AD, 0)),"")</f>
        <v>42964.10255787037</v>
      </c>
      <c r="D420" s="72" t="str">
        <f t="array" ref="D420">IFERROR(IF(LEN(INDEX(TopMedia!B:B, MATCH($B420,TopMedia!$AD:$AD, 0)))&gt;=18,MID(INDEX(TopMedia!B:B, MATCH($B420,TopMedia!$AD:$AD, 0)),1,16)&amp;"…",INDEX(TopMedia!B:B, MATCH($B420,TopMedia!$AD:$AD, 0))),"")</f>
        <v>martacarriedo</v>
      </c>
      <c r="E420" s="72">
        <f>IFERROR(INDEX(TopMedia!L:L, MATCH(B420,TopMedia!$AD:$AD, 0)),"")</f>
        <v>13779</v>
      </c>
      <c r="F420" s="72" t="str">
        <f t="shared" ref="F420:F428" si="38">IF(E420&lt;999500, TEXT(E420, "#,##0"), TEXT(E420, "0.0,,\M"))</f>
        <v>13,779</v>
      </c>
      <c r="G420" s="72" t="str">
        <f t="shared" ref="G420:G428" si="39">IF(E420="","",IF(E420=1,"Instagram Engagement","Instagram Engagements"))</f>
        <v>Instagram Engagements</v>
      </c>
      <c r="H420" s="72" t="str">
        <f ca="1">IFERROR(IF(E420/SUM(tables.IG_engagement)&gt;0.9,CONCATENATE(TEXT(E420/SUM(tables.IG_engagement),"##%")," of overall instagram engagement"),CONCATENATE(TEXT(E420/SUM(tables.IG_engagement),"#.0%")," of overall instagram engagement")),"")</f>
        <v>2.1% of overall instagram engagement</v>
      </c>
      <c r="I420" s="72">
        <f>IFERROR(INDEX(TopMedia!K:K, MATCH($B420,TopMedia!$AD:$AD, 0)),"")</f>
        <v>13672</v>
      </c>
      <c r="J420" s="244" t="str">
        <f t="shared" ref="J420:J428" si="40">IFERROR(IF(I420&lt;999500,TEXT(I420,"#,###0"),TEXT(I420,".0,,\M")),"")</f>
        <v>13,672</v>
      </c>
      <c r="K420" s="72" t="str">
        <f t="shared" ref="K420:K428" si="41">IF(E420="","",IF(I420=1, "Like","Likes"))</f>
        <v>Likes</v>
      </c>
      <c r="L420" s="72">
        <f>IFERROR(INDEX(TopMedia!J:J, MATCH($B420,TopMedia!$AD:$AD, 0)),"")</f>
        <v>107</v>
      </c>
      <c r="M420" s="244" t="str">
        <f t="shared" ref="M420:M428" si="42">IFERROR(IF(L420&lt;999500,TEXT(L420,"#,###0"),TEXT(L420,".0,,\M")),"")</f>
        <v>107</v>
      </c>
      <c r="N420" s="72" t="str">
        <f t="shared" ref="N420:N428" si="43">IF(E420="","",IF(L420=1, "Comment","Comments"))</f>
        <v>Comments</v>
      </c>
      <c r="O420" s="72" t="str">
        <f>IFERROR(IF(INDEX(TopMedia!F:F,MATCH(B420,TopMedia!AD:AD,0))="",P420,IF(LEN(INDEX(TopMedia!F:F,MATCH(B420,TopMedia!AD:AD,0)))&gt;=92,MID(INDEX(TopMedia!F:F,MATCH(B420,TopMedia!AD:AD,0)),1,90)&amp;"…",INDEX(TopMedia!F:F,MATCH(B420,TopMedia!AD:AD,0)))),"")</f>
        <v>The climb is tough but the view from the top is worth it✌🏽🌆 #top #LA #runyoncanyon #neve…</v>
      </c>
      <c r="P420" s="72" t="str">
        <f>IFERROR(INDEX(TopMedia!E:E, MATCH($B420,TopMedia!$AD:$AD, 0)),"")</f>
        <v>https://www.instagram.com/p/BX4oRYqFb01/</v>
      </c>
      <c r="XX420" s="245"/>
    </row>
    <row r="421" spans="2:648" s="72" customFormat="1" x14ac:dyDescent="0.25">
      <c r="B421" s="72">
        <f>SMALL(TopMedia!AD:AD, ROWS($B$419:B421))</f>
        <v>3</v>
      </c>
      <c r="C421" s="243">
        <f>IFERROR(INDEX(TopMedia!C:C, MATCH($B421,TopMedia!$AD:$AD, 0)),"")</f>
        <v>42963.684432870374</v>
      </c>
      <c r="D421" s="72" t="str">
        <f t="array" ref="D421">IFERROR(IF(LEN(INDEX(TopMedia!B:B, MATCH($B421,TopMedia!$AD:$AD, 0)))&gt;=18,MID(INDEX(TopMedia!B:B, MATCH($B421,TopMedia!$AD:$AD, 0)),1,16)&amp;"…",INDEX(TopMedia!B:B, MATCH($B421,TopMedia!$AD:$AD, 0))),"")</f>
        <v>thiagofragoso</v>
      </c>
      <c r="E421" s="72">
        <f>IFERROR(INDEX(TopMedia!L:L, MATCH(B421,TopMedia!$AD:$AD, 0)),"")</f>
        <v>12661</v>
      </c>
      <c r="F421" s="72" t="str">
        <f t="shared" si="38"/>
        <v>12,661</v>
      </c>
      <c r="G421" s="72" t="str">
        <f t="shared" si="39"/>
        <v>Instagram Engagements</v>
      </c>
      <c r="I421" s="72">
        <f>IFERROR(INDEX(TopMedia!K:K, MATCH($B421,TopMedia!$AD:$AD, 0)),"")</f>
        <v>12403</v>
      </c>
      <c r="J421" s="244" t="str">
        <f t="shared" si="40"/>
        <v>12,403</v>
      </c>
      <c r="K421" s="72" t="str">
        <f t="shared" si="41"/>
        <v>Likes</v>
      </c>
      <c r="L421" s="72">
        <f>IFERROR(INDEX(TopMedia!J:J, MATCH($B421,TopMedia!$AD:$AD, 0)),"")</f>
        <v>258</v>
      </c>
      <c r="M421" s="244" t="str">
        <f t="shared" si="42"/>
        <v>258</v>
      </c>
      <c r="N421" s="72" t="str">
        <f t="shared" si="43"/>
        <v>Comments</v>
      </c>
      <c r="O421" s="72" t="str">
        <f>IFERROR(IF(INDEX(TopMedia!F:F,MATCH(B421,TopMedia!AD:AD,0))="",P421,IF(LEN(INDEX(TopMedia!F:F,MATCH(B421,TopMedia!AD:AD,0)))&gt;=59,MID(INDEX(TopMedia!F:F,MATCH(B421,TopMedia!AD:AD,0)),1,58)&amp;"…",INDEX(TopMedia!F:F,MATCH(B421,TopMedia!AD:AD,0)))),"")</f>
        <v>Não falei que era fácil?
@amanda.psouza Arrasou e acertou …</v>
      </c>
      <c r="P421" s="72" t="str">
        <f>IFERROR(INDEX(TopMedia!E:E, MATCH($B421,TopMedia!$AD:$AD, 0)),"")</f>
        <v>https://www.instagram.com/p/BX3jXkDBw6e/</v>
      </c>
      <c r="XX421" s="245"/>
    </row>
    <row r="422" spans="2:648" s="72" customFormat="1" x14ac:dyDescent="0.25">
      <c r="B422" s="72">
        <f>SMALL(TopMedia!AD:AD, ROWS($B$419:B422))</f>
        <v>4</v>
      </c>
      <c r="C422" s="243">
        <f>IFERROR(INDEX(TopMedia!C:C, MATCH($B422,TopMedia!$AD:$AD, 0)),"")</f>
        <v>42979.33289351852</v>
      </c>
      <c r="D422" s="72" t="str">
        <f t="array" ref="D422">IFERROR(IF(LEN(INDEX(TopMedia!B:B, MATCH($B422,TopMedia!$AD:$AD, 0)))&gt;=18,MID(INDEX(TopMedia!B:B, MATCH($B422,TopMedia!$AD:$AD, 0)),1,16)&amp;"…",INDEX(TopMedia!B:B, MATCH($B422,TopMedia!$AD:$AD, 0))),"")</f>
        <v>millionaire.dream</v>
      </c>
      <c r="E422" s="72">
        <f>IFERROR(INDEX(TopMedia!L:L, MATCH(B422,TopMedia!$AD:$AD, 0)),"")</f>
        <v>7008</v>
      </c>
      <c r="F422" s="72" t="str">
        <f t="shared" si="38"/>
        <v>7,008</v>
      </c>
      <c r="G422" s="72" t="str">
        <f t="shared" si="39"/>
        <v>Instagram Engagements</v>
      </c>
      <c r="I422" s="72">
        <f>IFERROR(INDEX(TopMedia!K:K, MATCH($B422,TopMedia!$AD:$AD, 0)),"")</f>
        <v>6965</v>
      </c>
      <c r="J422" s="244" t="str">
        <f t="shared" si="40"/>
        <v>6,965</v>
      </c>
      <c r="K422" s="72" t="str">
        <f t="shared" si="41"/>
        <v>Likes</v>
      </c>
      <c r="L422" s="72">
        <f>IFERROR(INDEX(TopMedia!J:J, MATCH($B422,TopMedia!$AD:$AD, 0)),"")</f>
        <v>43</v>
      </c>
      <c r="M422" s="244" t="str">
        <f t="shared" si="42"/>
        <v>43</v>
      </c>
      <c r="N422" s="72" t="str">
        <f t="shared" si="43"/>
        <v>Comments</v>
      </c>
      <c r="O422" s="72" t="str">
        <f>IFERROR(IF(INDEX(TopMedia!F:F,MATCH(B422,TopMedia!AD:AD,0))="",P422,IF(LEN(INDEX(TopMedia!F:F,MATCH(B422,TopMedia!AD:AD,0)))&gt;=59,MID(INDEX(TopMedia!F:F,MATCH(B422,TopMedia!AD:AD,0)),1,58)&amp;"…",INDEX(TopMedia!F:F,MATCH(B422,TopMedia!AD:AD,0)))),"")</f>
        <v>It takes time...</v>
      </c>
      <c r="P422" s="72" t="str">
        <f>IFERROR(INDEX(TopMedia!E:E, MATCH($B422,TopMedia!$AD:$AD, 0)),"")</f>
        <v>https://www.instagram.com/p/BYf2J6jgDsU/</v>
      </c>
      <c r="XX422" s="245"/>
    </row>
    <row r="423" spans="2:648" s="72" customFormat="1" x14ac:dyDescent="0.25">
      <c r="B423" s="72">
        <f>SMALL(TopMedia!AD:AD, ROWS($B$419:B423))</f>
        <v>5</v>
      </c>
      <c r="C423" s="243">
        <f>IFERROR(INDEX(TopMedia!C:C, MATCH($B423,TopMedia!$AD:$AD, 0)),"")</f>
        <v>42963.747395833336</v>
      </c>
      <c r="D423" s="72" t="str">
        <f t="array" ref="D423">IFERROR(IF(LEN(INDEX(TopMedia!B:B, MATCH($B423,TopMedia!$AD:$AD, 0)))&gt;=18,MID(INDEX(TopMedia!B:B, MATCH($B423,TopMedia!$AD:$AD, 0)),1,16)&amp;"…",INDEX(TopMedia!B:B, MATCH($B423,TopMedia!$AD:$AD, 0))),"")</f>
        <v>travellingpreneur</v>
      </c>
      <c r="E423" s="72">
        <f>IFERROR(INDEX(TopMedia!L:L, MATCH(B423,TopMedia!$AD:$AD, 0)),"")</f>
        <v>6248</v>
      </c>
      <c r="F423" s="72" t="str">
        <f t="shared" si="38"/>
        <v>6,248</v>
      </c>
      <c r="G423" s="72" t="str">
        <f t="shared" si="39"/>
        <v>Instagram Engagements</v>
      </c>
      <c r="I423" s="72">
        <f>IFERROR(INDEX(TopMedia!K:K, MATCH($B423,TopMedia!$AD:$AD, 0)),"")</f>
        <v>6164</v>
      </c>
      <c r="J423" s="244" t="str">
        <f t="shared" si="40"/>
        <v>6,164</v>
      </c>
      <c r="K423" s="72" t="str">
        <f t="shared" si="41"/>
        <v>Likes</v>
      </c>
      <c r="L423" s="72">
        <f>IFERROR(INDEX(TopMedia!J:J, MATCH($B423,TopMedia!$AD:$AD, 0)),"")</f>
        <v>84</v>
      </c>
      <c r="M423" s="244" t="str">
        <f t="shared" si="42"/>
        <v>84</v>
      </c>
      <c r="N423" s="72" t="str">
        <f t="shared" si="43"/>
        <v>Comments</v>
      </c>
      <c r="O423" s="72" t="str">
        <f>IFERROR(IF(INDEX(TopMedia!F:F,MATCH(B423,TopMedia!AD:AD,0))="",P423,IF(LEN(INDEX(TopMedia!F:F,MATCH(B423,TopMedia!AD:AD,0)))&gt;=59,MID(INDEX(TopMedia!F:F,MATCH(B423,TopMedia!AD:AD,0)),1,58)&amp;"…",INDEX(TopMedia!F:F,MATCH(B423,TopMedia!AD:AD,0)))),"")</f>
        <v>Best caption gets a shoutout!
-
Follow @travellingpreneur</v>
      </c>
      <c r="P423" s="72" t="str">
        <f>IFERROR(INDEX(TopMedia!E:E, MATCH($B423,TopMedia!$AD:$AD, 0)),"")</f>
        <v>https://www.instagram.com/p/BX3tvimFYQq/</v>
      </c>
      <c r="XX423" s="245"/>
    </row>
    <row r="424" spans="2:648" s="72" customFormat="1" x14ac:dyDescent="0.25">
      <c r="B424" s="72">
        <f>SMALL(TopMedia!AD:AD, ROWS($B$419:B424))</f>
        <v>6</v>
      </c>
      <c r="C424" s="243">
        <f>IFERROR(INDEX(TopMedia!C:C, MATCH($B424,TopMedia!$AD:$AD, 0)),"")</f>
        <v>42973.332986111112</v>
      </c>
      <c r="D424" s="72" t="str">
        <f t="array" ref="D424">IFERROR(IF(LEN(INDEX(TopMedia!B:B, MATCH($B424,TopMedia!$AD:$AD, 0)))&gt;=18,MID(INDEX(TopMedia!B:B, MATCH($B424,TopMedia!$AD:$AD, 0)),1,16)&amp;"…",INDEX(TopMedia!B:B, MATCH($B424,TopMedia!$AD:$AD, 0))),"")</f>
        <v>millionaire.dream</v>
      </c>
      <c r="E424" s="72">
        <f>IFERROR(INDEX(TopMedia!L:L, MATCH(B424,TopMedia!$AD:$AD, 0)),"")</f>
        <v>5721</v>
      </c>
      <c r="F424" s="72" t="str">
        <f t="shared" si="38"/>
        <v>5,721</v>
      </c>
      <c r="G424" s="72" t="str">
        <f t="shared" si="39"/>
        <v>Instagram Engagements</v>
      </c>
      <c r="I424" s="72">
        <f>IFERROR(INDEX(TopMedia!K:K, MATCH($B424,TopMedia!$AD:$AD, 0)),"")</f>
        <v>5695</v>
      </c>
      <c r="J424" s="244" t="str">
        <f t="shared" si="40"/>
        <v>5,695</v>
      </c>
      <c r="K424" s="72" t="str">
        <f t="shared" si="41"/>
        <v>Likes</v>
      </c>
      <c r="L424" s="72">
        <f>IFERROR(INDEX(TopMedia!J:J, MATCH($B424,TopMedia!$AD:$AD, 0)),"")</f>
        <v>26</v>
      </c>
      <c r="M424" s="244" t="str">
        <f t="shared" si="42"/>
        <v>26</v>
      </c>
      <c r="N424" s="72" t="str">
        <f t="shared" si="43"/>
        <v>Comments</v>
      </c>
      <c r="O424" s="72" t="str">
        <f>IFERROR(IF(INDEX(TopMedia!F:F,MATCH(B424,TopMedia!AD:AD,0))="",P424,IF(LEN(INDEX(TopMedia!F:F,MATCH(B424,TopMedia!AD:AD,0)))&gt;=59,MID(INDEX(TopMedia!F:F,MATCH(B424,TopMedia!AD:AD,0)),1,58)&amp;"…",INDEX(TopMedia!F:F,MATCH(B424,TopMedia!AD:AD,0)))),"")</f>
        <v>Dress and act like you are the man, confidence gets you a …</v>
      </c>
      <c r="P424" s="72" t="str">
        <f>IFERROR(INDEX(TopMedia!E:E, MATCH($B424,TopMedia!$AD:$AD, 0)),"")</f>
        <v>https://www.instagram.com/p/BYQZZk6AFhl/</v>
      </c>
      <c r="XX424" s="245"/>
    </row>
    <row r="425" spans="2:648" s="72" customFormat="1" x14ac:dyDescent="0.25">
      <c r="B425" s="72">
        <f>SMALL(TopMedia!AD:AD, ROWS($B$419:B425))</f>
        <v>7</v>
      </c>
      <c r="C425" s="243">
        <f>IFERROR(INDEX(TopMedia!C:C, MATCH($B425,TopMedia!$AD:$AD, 0)),"")</f>
        <v>42977.732499999998</v>
      </c>
      <c r="D425" s="72" t="str">
        <f t="array" ref="D425">IFERROR(IF(LEN(INDEX(TopMedia!B:B, MATCH($B425,TopMedia!$AD:$AD, 0)))&gt;=18,MID(INDEX(TopMedia!B:B, MATCH($B425,TopMedia!$AD:$AD, 0)),1,16)&amp;"…",INDEX(TopMedia!B:B, MATCH($B425,TopMedia!$AD:$AD, 0))),"")</f>
        <v>ourfamilynest</v>
      </c>
      <c r="E425" s="72">
        <f>IFERROR(INDEX(TopMedia!L:L, MATCH(B425,TopMedia!$AD:$AD, 0)),"")</f>
        <v>5406</v>
      </c>
      <c r="F425" s="72" t="str">
        <f t="shared" si="38"/>
        <v>5,406</v>
      </c>
      <c r="G425" s="72" t="str">
        <f t="shared" si="39"/>
        <v>Instagram Engagements</v>
      </c>
      <c r="I425" s="72">
        <f>IFERROR(INDEX(TopMedia!K:K, MATCH($B425,TopMedia!$AD:$AD, 0)),"")</f>
        <v>5375</v>
      </c>
      <c r="J425" s="244" t="str">
        <f t="shared" si="40"/>
        <v>5,375</v>
      </c>
      <c r="K425" s="72" t="str">
        <f t="shared" si="41"/>
        <v>Likes</v>
      </c>
      <c r="L425" s="72">
        <f>IFERROR(INDEX(TopMedia!J:J, MATCH($B425,TopMedia!$AD:$AD, 0)),"")</f>
        <v>31</v>
      </c>
      <c r="M425" s="244" t="str">
        <f t="shared" si="42"/>
        <v>31</v>
      </c>
      <c r="N425" s="72" t="str">
        <f t="shared" si="43"/>
        <v>Comments</v>
      </c>
      <c r="O425" s="72" t="str">
        <f>IFERROR(IF(INDEX(TopMedia!F:F,MATCH(B425,TopMedia!AD:AD,0))="",P425,IF(LEN(INDEX(TopMedia!F:F,MATCH(B425,TopMedia!AD:AD,0)))&gt;=59,MID(INDEX(TopMedia!F:F,MATCH(B425,TopMedia!AD:AD,0)),1,58)&amp;"…",INDEX(TopMedia!F:F,MATCH(B425,TopMedia!AD:AD,0)))),"")</f>
        <v>It’s almost time for the kids to go back to school so we h…</v>
      </c>
      <c r="P425" s="72" t="str">
        <f>IFERROR(INDEX(TopMedia!E:E, MATCH($B425,TopMedia!$AD:$AD, 0)),"")</f>
        <v>https://www.instagram.com/p/BYbuatpDfnB/</v>
      </c>
      <c r="XX425" s="245"/>
    </row>
    <row r="426" spans="2:648" s="72" customFormat="1" x14ac:dyDescent="0.25">
      <c r="B426" s="72">
        <f>SMALL(TopMedia!AD:AD, ROWS($B$419:B426))</f>
        <v>8</v>
      </c>
      <c r="C426" s="243">
        <f>IFERROR(INDEX(TopMedia!C:C, MATCH($B426,TopMedia!$AD:$AD, 0)),"")</f>
        <v>42982.874351851853</v>
      </c>
      <c r="D426" s="72" t="str">
        <f t="array" ref="D426">IFERROR(IF(LEN(INDEX(TopMedia!B:B, MATCH($B426,TopMedia!$AD:$AD, 0)))&gt;=18,MID(INDEX(TopMedia!B:B, MATCH($B426,TopMedia!$AD:$AD, 0)),1,16)&amp;"…",INDEX(TopMedia!B:B, MATCH($B426,TopMedia!$AD:$AD, 0))),"")</f>
        <v>stoked.travels</v>
      </c>
      <c r="E426" s="72">
        <f>IFERROR(INDEX(TopMedia!L:L, MATCH(B426,TopMedia!$AD:$AD, 0)),"")</f>
        <v>5024</v>
      </c>
      <c r="F426" s="72" t="str">
        <f t="shared" si="38"/>
        <v>5,024</v>
      </c>
      <c r="G426" s="72" t="str">
        <f t="shared" si="39"/>
        <v>Instagram Engagements</v>
      </c>
      <c r="I426" s="72">
        <f>IFERROR(INDEX(TopMedia!K:K, MATCH($B426,TopMedia!$AD:$AD, 0)),"")</f>
        <v>4976</v>
      </c>
      <c r="J426" s="244" t="str">
        <f t="shared" si="40"/>
        <v>4,976</v>
      </c>
      <c r="K426" s="72" t="str">
        <f t="shared" si="41"/>
        <v>Likes</v>
      </c>
      <c r="L426" s="72">
        <f>IFERROR(INDEX(TopMedia!J:J, MATCH($B426,TopMedia!$AD:$AD, 0)),"")</f>
        <v>48</v>
      </c>
      <c r="M426" s="244" t="str">
        <f t="shared" si="42"/>
        <v>48</v>
      </c>
      <c r="N426" s="72" t="str">
        <f t="shared" si="43"/>
        <v>Comments</v>
      </c>
      <c r="O426" s="72" t="str">
        <f>IFERROR(IF(INDEX(TopMedia!F:F,MATCH(B426,TopMedia!AD:AD,0))="",P426,IF(LEN(INDEX(TopMedia!F:F,MATCH(B426,TopMedia!AD:AD,0)))&gt;=59,MID(INDEX(TopMedia!F:F,MATCH(B426,TopMedia!AD:AD,0)),1,58)&amp;"…",INDEX(TopMedia!F:F,MATCH(B426,TopMedia!AD:AD,0)))),"")</f>
        <v>This tree is real and It show how the world loves us❤ Shar…</v>
      </c>
      <c r="P426" s="72" t="str">
        <f>IFERROR(INDEX(TopMedia!E:E, MATCH($B426,TopMedia!$AD:$AD, 0)),"")</f>
        <v>https://www.instagram.com/p/BYo9xOOnyrx/</v>
      </c>
      <c r="XX426" s="245"/>
    </row>
    <row r="427" spans="2:648" s="72" customFormat="1" x14ac:dyDescent="0.25">
      <c r="B427" s="72">
        <f>SMALL(TopMedia!AD:AD, ROWS($B$419:B427))</f>
        <v>9</v>
      </c>
      <c r="C427" s="243">
        <f>IFERROR(INDEX(TopMedia!C:C, MATCH($B427,TopMedia!$AD:$AD, 0)),"")</f>
        <v>42987.389317129629</v>
      </c>
      <c r="D427" s="72" t="str">
        <f t="array" ref="D427">IFERROR(IF(LEN(INDEX(TopMedia!B:B, MATCH($B427,TopMedia!$AD:$AD, 0)))&gt;=18,MID(INDEX(TopMedia!B:B, MATCH($B427,TopMedia!$AD:$AD, 0)),1,16)&amp;"…",INDEX(TopMedia!B:B, MATCH($B427,TopMedia!$AD:$AD, 0))),"")</f>
        <v>ariletmestyleu</v>
      </c>
      <c r="E427" s="72">
        <f>IFERROR(INDEX(TopMedia!L:L, MATCH(B427,TopMedia!$AD:$AD, 0)),"")</f>
        <v>4731</v>
      </c>
      <c r="F427" s="72" t="str">
        <f t="shared" si="38"/>
        <v>4,731</v>
      </c>
      <c r="G427" s="72" t="str">
        <f t="shared" si="39"/>
        <v>Instagram Engagements</v>
      </c>
      <c r="I427" s="72">
        <f>IFERROR(INDEX(TopMedia!K:K, MATCH($B427,TopMedia!$AD:$AD, 0)),"")</f>
        <v>4677</v>
      </c>
      <c r="J427" s="244" t="str">
        <f t="shared" si="40"/>
        <v>4,677</v>
      </c>
      <c r="K427" s="72" t="str">
        <f t="shared" si="41"/>
        <v>Likes</v>
      </c>
      <c r="L427" s="72">
        <f>IFERROR(INDEX(TopMedia!J:J, MATCH($B427,TopMedia!$AD:$AD, 0)),"")</f>
        <v>54</v>
      </c>
      <c r="M427" s="244" t="str">
        <f t="shared" si="42"/>
        <v>54</v>
      </c>
      <c r="N427" s="72" t="str">
        <f t="shared" si="43"/>
        <v>Comments</v>
      </c>
      <c r="O427" s="72" t="str">
        <f>IFERROR(IF(INDEX(TopMedia!F:F,MATCH(B427,TopMedia!AD:AD,0))="",P427,IF(LEN(INDEX(TopMedia!F:F,MATCH(B427,TopMedia!AD:AD,0)))&gt;=59,MID(INDEX(TopMedia!F:F,MATCH(B427,TopMedia!AD:AD,0)),1,58)&amp;"…",INDEX(TopMedia!F:F,MATCH(B427,TopMedia!AD:AD,0)))),"")</f>
        <v>#omg #thankyou so so much for the 19k followers this is fo…</v>
      </c>
      <c r="P427" s="72" t="str">
        <f>IFERROR(INDEX(TopMedia!E:E, MATCH($B427,TopMedia!$AD:$AD, 0)),"")</f>
        <v>https://www.instagram.com/p/BY0lz_pHDxZ/</v>
      </c>
      <c r="XX427" s="245"/>
    </row>
    <row r="428" spans="2:648" s="72" customFormat="1" x14ac:dyDescent="0.25">
      <c r="B428" s="72">
        <f>SMALL(TopMedia!AD:AD, ROWS($B$419:B428))</f>
        <v>10</v>
      </c>
      <c r="C428" s="243">
        <f>IFERROR(INDEX(TopMedia!C:C, MATCH($B428,TopMedia!$AD:$AD, 0)),"")</f>
        <v>42967.209583333337</v>
      </c>
      <c r="D428" s="72" t="str">
        <f t="array" ref="D428">IFERROR(IF(LEN(INDEX(TopMedia!B:B, MATCH($B428,TopMedia!$AD:$AD, 0)))&gt;=18,MID(INDEX(TopMedia!B:B, MATCH($B428,TopMedia!$AD:$AD, 0)),1,16)&amp;"…",INDEX(TopMedia!B:B, MATCH($B428,TopMedia!$AD:$AD, 0))),"")</f>
        <v>millionaire.dream</v>
      </c>
      <c r="E428" s="72">
        <f>IFERROR(INDEX(TopMedia!L:L, MATCH(B428,TopMedia!$AD:$AD, 0)),"")</f>
        <v>4570</v>
      </c>
      <c r="F428" s="72" t="str">
        <f t="shared" si="38"/>
        <v>4,570</v>
      </c>
      <c r="G428" s="72" t="str">
        <f t="shared" si="39"/>
        <v>Instagram Engagements</v>
      </c>
      <c r="I428" s="72">
        <f>IFERROR(INDEX(TopMedia!K:K, MATCH($B428,TopMedia!$AD:$AD, 0)),"")</f>
        <v>4536</v>
      </c>
      <c r="J428" s="244" t="str">
        <f t="shared" si="40"/>
        <v>4,536</v>
      </c>
      <c r="K428" s="72" t="str">
        <f t="shared" si="41"/>
        <v>Likes</v>
      </c>
      <c r="L428" s="72">
        <f>IFERROR(INDEX(TopMedia!J:J, MATCH($B428,TopMedia!$AD:$AD, 0)),"")</f>
        <v>34</v>
      </c>
      <c r="M428" s="244" t="str">
        <f t="shared" si="42"/>
        <v>34</v>
      </c>
      <c r="N428" s="72" t="str">
        <f t="shared" si="43"/>
        <v>Comments</v>
      </c>
      <c r="O428" s="72" t="str">
        <f>IFERROR(IF(INDEX(TopMedia!F:F,MATCH(B428,TopMedia!AD:AD,0))="",P428,IF(LEN(INDEX(TopMedia!F:F,MATCH(B428,TopMedia!AD:AD,0)))&gt;=59,MID(INDEX(TopMedia!F:F,MATCH(B428,TopMedia!AD:AD,0)),1,58)&amp;"…",INDEX(TopMedia!F:F,MATCH(B428,TopMedia!AD:AD,0)))),"")</f>
        <v>tag a friend!</v>
      </c>
      <c r="P428" s="72" t="str">
        <f>IFERROR(INDEX(TopMedia!E:E, MATCH($B428,TopMedia!$AD:$AD, 0)),"")</f>
        <v>https://www.instagram.com/p/BYAoSyvANc8/</v>
      </c>
      <c r="XX428" s="245"/>
    </row>
    <row r="429" spans="2:648" s="72" customFormat="1" x14ac:dyDescent="0.25">
      <c r="XX429" s="245"/>
    </row>
    <row r="430" spans="2:648" x14ac:dyDescent="0.25">
      <c r="B430" s="75" t="s">
        <v>2300</v>
      </c>
      <c r="C430" s="75"/>
      <c r="D430" s="75"/>
      <c r="G430" s="75" t="s">
        <v>2301</v>
      </c>
      <c r="H430" s="75"/>
      <c r="I430" s="75"/>
    </row>
    <row r="432" spans="2:648" x14ac:dyDescent="0.25">
      <c r="B432" t="s">
        <v>96</v>
      </c>
      <c r="C432" t="s">
        <v>1998</v>
      </c>
      <c r="D432" t="s">
        <v>98</v>
      </c>
      <c r="G432" s="15" t="s">
        <v>2091</v>
      </c>
    </row>
    <row r="433" spans="2:7" x14ac:dyDescent="0.25">
      <c r="B433" t="s">
        <v>99</v>
      </c>
      <c r="C433" t="s">
        <v>100</v>
      </c>
      <c r="D433">
        <v>14806552</v>
      </c>
      <c r="G433" s="15" t="s">
        <v>2092</v>
      </c>
    </row>
    <row r="434" spans="2:7" x14ac:dyDescent="0.25">
      <c r="B434" t="s">
        <v>97</v>
      </c>
      <c r="C434" t="s">
        <v>101</v>
      </c>
      <c r="D434">
        <v>9889524</v>
      </c>
      <c r="G434" s="15" t="s">
        <v>2093</v>
      </c>
    </row>
    <row r="435" spans="2:7" x14ac:dyDescent="0.25">
      <c r="B435" t="s">
        <v>102</v>
      </c>
      <c r="C435" t="s">
        <v>103</v>
      </c>
      <c r="D435">
        <v>7688585</v>
      </c>
      <c r="G435" s="15" t="s">
        <v>2094</v>
      </c>
    </row>
    <row r="436" spans="2:7" x14ac:dyDescent="0.25">
      <c r="B436" t="s">
        <v>104</v>
      </c>
      <c r="C436" t="s">
        <v>105</v>
      </c>
      <c r="D436">
        <v>5114920</v>
      </c>
      <c r="G436" s="15" t="s">
        <v>2095</v>
      </c>
    </row>
    <row r="437" spans="2:7" x14ac:dyDescent="0.25">
      <c r="B437" t="s">
        <v>106</v>
      </c>
      <c r="C437" t="s">
        <v>107</v>
      </c>
      <c r="D437">
        <v>4775445</v>
      </c>
      <c r="G437" s="15" t="s">
        <v>2096</v>
      </c>
    </row>
    <row r="438" spans="2:7" x14ac:dyDescent="0.25">
      <c r="B438" t="s">
        <v>108</v>
      </c>
      <c r="C438" t="s">
        <v>109</v>
      </c>
      <c r="D438">
        <v>3695988</v>
      </c>
      <c r="G438" s="15" t="s">
        <v>2097</v>
      </c>
    </row>
    <row r="439" spans="2:7" x14ac:dyDescent="0.25">
      <c r="B439" t="s">
        <v>110</v>
      </c>
      <c r="C439" t="s">
        <v>111</v>
      </c>
      <c r="D439">
        <v>3429299</v>
      </c>
      <c r="G439" s="15" t="s">
        <v>2098</v>
      </c>
    </row>
    <row r="440" spans="2:7" x14ac:dyDescent="0.25">
      <c r="B440" t="s">
        <v>112</v>
      </c>
      <c r="C440" t="s">
        <v>113</v>
      </c>
      <c r="D440">
        <v>3347375</v>
      </c>
      <c r="G440" s="15" t="s">
        <v>2099</v>
      </c>
    </row>
    <row r="441" spans="2:7" x14ac:dyDescent="0.25">
      <c r="B441" t="s">
        <v>114</v>
      </c>
      <c r="C441" t="s">
        <v>115</v>
      </c>
      <c r="D441">
        <v>3143733</v>
      </c>
      <c r="G441" s="15" t="s">
        <v>2100</v>
      </c>
    </row>
    <row r="442" spans="2:7" x14ac:dyDescent="0.25">
      <c r="B442" t="s">
        <v>116</v>
      </c>
      <c r="C442" t="s">
        <v>117</v>
      </c>
      <c r="D442">
        <v>3111374</v>
      </c>
      <c r="G442" s="15" t="s">
        <v>2101</v>
      </c>
    </row>
    <row r="443" spans="2:7" x14ac:dyDescent="0.25">
      <c r="B443" t="s">
        <v>118</v>
      </c>
      <c r="C443" t="s">
        <v>119</v>
      </c>
      <c r="D443">
        <v>3104085</v>
      </c>
      <c r="G443" s="15" t="s">
        <v>2102</v>
      </c>
    </row>
    <row r="444" spans="2:7" x14ac:dyDescent="0.25">
      <c r="B444" t="s">
        <v>120</v>
      </c>
      <c r="C444" t="s">
        <v>121</v>
      </c>
      <c r="D444">
        <v>2798044</v>
      </c>
      <c r="G444" s="15" t="s">
        <v>2103</v>
      </c>
    </row>
    <row r="445" spans="2:7" x14ac:dyDescent="0.25">
      <c r="B445" t="s">
        <v>122</v>
      </c>
      <c r="C445" t="s">
        <v>123</v>
      </c>
      <c r="D445">
        <v>2608293</v>
      </c>
      <c r="G445" s="15" t="s">
        <v>2104</v>
      </c>
    </row>
    <row r="446" spans="2:7" x14ac:dyDescent="0.25">
      <c r="B446" t="s">
        <v>124</v>
      </c>
      <c r="C446" t="s">
        <v>125</v>
      </c>
      <c r="D446">
        <v>2545970</v>
      </c>
      <c r="G446" s="15" t="s">
        <v>2105</v>
      </c>
    </row>
    <row r="447" spans="2:7" x14ac:dyDescent="0.25">
      <c r="B447" t="s">
        <v>126</v>
      </c>
      <c r="C447" t="s">
        <v>127</v>
      </c>
      <c r="D447">
        <v>2541915</v>
      </c>
      <c r="G447" s="15" t="s">
        <v>2106</v>
      </c>
    </row>
    <row r="448" spans="2:7" x14ac:dyDescent="0.25">
      <c r="B448" t="s">
        <v>128</v>
      </c>
      <c r="C448" t="s">
        <v>129</v>
      </c>
      <c r="D448">
        <v>2510914</v>
      </c>
      <c r="G448" s="15" t="s">
        <v>2107</v>
      </c>
    </row>
    <row r="449" spans="2:7" x14ac:dyDescent="0.25">
      <c r="B449" t="s">
        <v>130</v>
      </c>
      <c r="C449" t="s">
        <v>131</v>
      </c>
      <c r="D449">
        <v>2430268</v>
      </c>
      <c r="G449" s="15" t="s">
        <v>2108</v>
      </c>
    </row>
    <row r="450" spans="2:7" x14ac:dyDescent="0.25">
      <c r="B450" t="s">
        <v>132</v>
      </c>
      <c r="C450" t="s">
        <v>133</v>
      </c>
      <c r="D450">
        <v>2189242</v>
      </c>
      <c r="G450" s="15" t="s">
        <v>2109</v>
      </c>
    </row>
    <row r="451" spans="2:7" x14ac:dyDescent="0.25">
      <c r="B451" t="s">
        <v>134</v>
      </c>
      <c r="C451" t="s">
        <v>135</v>
      </c>
      <c r="D451">
        <v>2014169</v>
      </c>
      <c r="G451" s="15" t="s">
        <v>2110</v>
      </c>
    </row>
    <row r="452" spans="2:7" x14ac:dyDescent="0.25">
      <c r="B452" t="s">
        <v>136</v>
      </c>
      <c r="C452" t="s">
        <v>137</v>
      </c>
      <c r="D452">
        <v>1990751</v>
      </c>
      <c r="G452" s="15" t="s">
        <v>2111</v>
      </c>
    </row>
    <row r="453" spans="2:7" x14ac:dyDescent="0.25">
      <c r="B453" t="s">
        <v>138</v>
      </c>
      <c r="C453" t="s">
        <v>139</v>
      </c>
      <c r="D453">
        <v>1932816</v>
      </c>
      <c r="G453" s="15" t="s">
        <v>2112</v>
      </c>
    </row>
    <row r="454" spans="2:7" x14ac:dyDescent="0.25">
      <c r="B454" t="s">
        <v>140</v>
      </c>
      <c r="C454" t="s">
        <v>141</v>
      </c>
      <c r="D454">
        <v>1875410</v>
      </c>
      <c r="G454" s="15" t="s">
        <v>2113</v>
      </c>
    </row>
    <row r="455" spans="2:7" x14ac:dyDescent="0.25">
      <c r="B455" t="s">
        <v>142</v>
      </c>
      <c r="C455" t="s">
        <v>143</v>
      </c>
      <c r="D455">
        <v>1771028</v>
      </c>
      <c r="G455" s="15" t="s">
        <v>2114</v>
      </c>
    </row>
    <row r="456" spans="2:7" x14ac:dyDescent="0.25">
      <c r="B456" t="s">
        <v>144</v>
      </c>
      <c r="C456" t="s">
        <v>145</v>
      </c>
      <c r="D456">
        <v>1758524</v>
      </c>
      <c r="G456" s="15" t="s">
        <v>2115</v>
      </c>
    </row>
    <row r="457" spans="2:7" x14ac:dyDescent="0.25">
      <c r="B457" t="s">
        <v>146</v>
      </c>
      <c r="C457" t="s">
        <v>147</v>
      </c>
      <c r="D457">
        <v>1679594</v>
      </c>
      <c r="G457" s="15" t="s">
        <v>2116</v>
      </c>
    </row>
    <row r="458" spans="2:7" x14ac:dyDescent="0.25">
      <c r="B458" t="s">
        <v>148</v>
      </c>
      <c r="C458" t="s">
        <v>149</v>
      </c>
      <c r="D458">
        <v>1405817</v>
      </c>
      <c r="G458" s="15" t="s">
        <v>2117</v>
      </c>
    </row>
    <row r="459" spans="2:7" x14ac:dyDescent="0.25">
      <c r="B459" t="s">
        <v>150</v>
      </c>
      <c r="C459" t="s">
        <v>151</v>
      </c>
      <c r="D459">
        <v>1371669</v>
      </c>
      <c r="G459" s="15" t="s">
        <v>2118</v>
      </c>
    </row>
    <row r="460" spans="2:7" x14ac:dyDescent="0.25">
      <c r="B460" t="s">
        <v>152</v>
      </c>
      <c r="C460" t="s">
        <v>153</v>
      </c>
      <c r="D460">
        <v>1255303</v>
      </c>
      <c r="G460" s="15" t="s">
        <v>2119</v>
      </c>
    </row>
    <row r="461" spans="2:7" x14ac:dyDescent="0.25">
      <c r="B461" t="s">
        <v>154</v>
      </c>
      <c r="C461" t="s">
        <v>155</v>
      </c>
      <c r="D461">
        <v>1226514</v>
      </c>
      <c r="G461" s="15" t="s">
        <v>2120</v>
      </c>
    </row>
    <row r="462" spans="2:7" x14ac:dyDescent="0.25">
      <c r="B462" t="s">
        <v>156</v>
      </c>
      <c r="C462" t="s">
        <v>157</v>
      </c>
      <c r="D462">
        <v>1223669</v>
      </c>
      <c r="G462" s="15" t="s">
        <v>2121</v>
      </c>
    </row>
    <row r="463" spans="2:7" x14ac:dyDescent="0.25">
      <c r="B463" t="s">
        <v>158</v>
      </c>
      <c r="C463" t="s">
        <v>159</v>
      </c>
      <c r="D463">
        <v>1183099</v>
      </c>
      <c r="G463" s="15" t="s">
        <v>2122</v>
      </c>
    </row>
    <row r="464" spans="2:7" x14ac:dyDescent="0.25">
      <c r="B464" t="s">
        <v>160</v>
      </c>
      <c r="C464" t="s">
        <v>161</v>
      </c>
      <c r="D464">
        <v>1162418</v>
      </c>
      <c r="G464" s="15" t="s">
        <v>2123</v>
      </c>
    </row>
    <row r="465" spans="2:7" x14ac:dyDescent="0.25">
      <c r="B465" t="s">
        <v>162</v>
      </c>
      <c r="C465" t="s">
        <v>163</v>
      </c>
      <c r="D465">
        <v>1134655</v>
      </c>
      <c r="G465" s="15" t="s">
        <v>2124</v>
      </c>
    </row>
    <row r="466" spans="2:7" x14ac:dyDescent="0.25">
      <c r="B466" t="s">
        <v>164</v>
      </c>
      <c r="C466" t="s">
        <v>165</v>
      </c>
      <c r="D466">
        <v>1119599</v>
      </c>
      <c r="G466" s="15" t="s">
        <v>2125</v>
      </c>
    </row>
    <row r="467" spans="2:7" x14ac:dyDescent="0.25">
      <c r="B467" t="s">
        <v>166</v>
      </c>
      <c r="C467" t="s">
        <v>167</v>
      </c>
      <c r="D467">
        <v>1103477</v>
      </c>
      <c r="G467" s="15" t="s">
        <v>2126</v>
      </c>
    </row>
    <row r="468" spans="2:7" x14ac:dyDescent="0.25">
      <c r="B468" t="s">
        <v>168</v>
      </c>
      <c r="C468" t="s">
        <v>169</v>
      </c>
      <c r="D468">
        <v>1091419</v>
      </c>
      <c r="G468" s="15" t="s">
        <v>2127</v>
      </c>
    </row>
    <row r="469" spans="2:7" x14ac:dyDescent="0.25">
      <c r="B469" t="s">
        <v>170</v>
      </c>
      <c r="C469" t="s">
        <v>171</v>
      </c>
      <c r="D469">
        <v>1074936</v>
      </c>
      <c r="G469" s="15" t="s">
        <v>2128</v>
      </c>
    </row>
    <row r="470" spans="2:7" x14ac:dyDescent="0.25">
      <c r="B470" t="s">
        <v>172</v>
      </c>
      <c r="C470" t="s">
        <v>173</v>
      </c>
      <c r="D470">
        <v>1072811</v>
      </c>
      <c r="G470" s="15" t="s">
        <v>2129</v>
      </c>
    </row>
    <row r="471" spans="2:7" x14ac:dyDescent="0.25">
      <c r="B471" t="s">
        <v>174</v>
      </c>
      <c r="C471" t="s">
        <v>175</v>
      </c>
      <c r="D471">
        <v>1015936</v>
      </c>
      <c r="G471" s="15" t="s">
        <v>2130</v>
      </c>
    </row>
    <row r="472" spans="2:7" x14ac:dyDescent="0.25">
      <c r="B472" t="s">
        <v>176</v>
      </c>
      <c r="C472" t="s">
        <v>177</v>
      </c>
      <c r="D472">
        <v>941714</v>
      </c>
      <c r="G472" s="15" t="s">
        <v>2131</v>
      </c>
    </row>
    <row r="473" spans="2:7" x14ac:dyDescent="0.25">
      <c r="B473" t="s">
        <v>178</v>
      </c>
      <c r="C473" t="s">
        <v>179</v>
      </c>
      <c r="D473">
        <v>938575</v>
      </c>
      <c r="G473" s="15" t="s">
        <v>2132</v>
      </c>
    </row>
    <row r="474" spans="2:7" x14ac:dyDescent="0.25">
      <c r="B474" t="s">
        <v>180</v>
      </c>
      <c r="C474" t="s">
        <v>181</v>
      </c>
      <c r="D474">
        <v>922157</v>
      </c>
      <c r="G474" s="15" t="s">
        <v>2133</v>
      </c>
    </row>
    <row r="475" spans="2:7" x14ac:dyDescent="0.25">
      <c r="B475" t="s">
        <v>182</v>
      </c>
      <c r="C475" t="s">
        <v>183</v>
      </c>
      <c r="D475">
        <v>916654</v>
      </c>
      <c r="G475" s="15" t="s">
        <v>2134</v>
      </c>
    </row>
    <row r="476" spans="2:7" x14ac:dyDescent="0.25">
      <c r="B476" t="s">
        <v>184</v>
      </c>
      <c r="C476" t="s">
        <v>185</v>
      </c>
      <c r="D476">
        <v>916443</v>
      </c>
      <c r="G476" s="15" t="s">
        <v>2134</v>
      </c>
    </row>
    <row r="477" spans="2:7" x14ac:dyDescent="0.25">
      <c r="B477" t="s">
        <v>186</v>
      </c>
      <c r="C477" t="s">
        <v>187</v>
      </c>
      <c r="D477">
        <v>911100</v>
      </c>
      <c r="G477" s="15" t="s">
        <v>2135</v>
      </c>
    </row>
    <row r="478" spans="2:7" x14ac:dyDescent="0.25">
      <c r="B478" t="s">
        <v>188</v>
      </c>
      <c r="C478" t="s">
        <v>189</v>
      </c>
      <c r="D478">
        <v>856930</v>
      </c>
      <c r="G478" s="15" t="s">
        <v>2136</v>
      </c>
    </row>
    <row r="479" spans="2:7" x14ac:dyDescent="0.25">
      <c r="B479" t="s">
        <v>190</v>
      </c>
      <c r="C479" t="s">
        <v>191</v>
      </c>
      <c r="D479">
        <v>845815</v>
      </c>
      <c r="G479" s="15" t="s">
        <v>2137</v>
      </c>
    </row>
    <row r="480" spans="2:7" x14ac:dyDescent="0.25">
      <c r="B480" t="s">
        <v>192</v>
      </c>
      <c r="C480" t="s">
        <v>193</v>
      </c>
      <c r="D480">
        <v>818351</v>
      </c>
      <c r="G480" s="15" t="s">
        <v>2138</v>
      </c>
    </row>
    <row r="481" spans="2:7" x14ac:dyDescent="0.25">
      <c r="B481" t="s">
        <v>194</v>
      </c>
      <c r="C481" t="s">
        <v>195</v>
      </c>
      <c r="D481">
        <v>784535</v>
      </c>
      <c r="G481" s="15" t="s">
        <v>2139</v>
      </c>
    </row>
    <row r="482" spans="2:7" x14ac:dyDescent="0.25">
      <c r="B482" t="s">
        <v>196</v>
      </c>
      <c r="C482" t="s">
        <v>197</v>
      </c>
      <c r="D482">
        <v>755906</v>
      </c>
      <c r="G482" s="15" t="s">
        <v>2140</v>
      </c>
    </row>
    <row r="483" spans="2:7" x14ac:dyDescent="0.25">
      <c r="B483" t="s">
        <v>198</v>
      </c>
      <c r="C483" t="s">
        <v>199</v>
      </c>
      <c r="D483">
        <v>754450</v>
      </c>
      <c r="G483" s="15" t="s">
        <v>2141</v>
      </c>
    </row>
    <row r="484" spans="2:7" x14ac:dyDescent="0.25">
      <c r="B484" t="s">
        <v>200</v>
      </c>
      <c r="C484" t="s">
        <v>201</v>
      </c>
      <c r="D484">
        <v>733513</v>
      </c>
      <c r="G484" s="15" t="s">
        <v>2142</v>
      </c>
    </row>
    <row r="485" spans="2:7" x14ac:dyDescent="0.25">
      <c r="B485" t="s">
        <v>202</v>
      </c>
      <c r="C485" t="s">
        <v>203</v>
      </c>
      <c r="D485">
        <v>731448</v>
      </c>
      <c r="G485" s="15" t="s">
        <v>2143</v>
      </c>
    </row>
    <row r="486" spans="2:7" x14ac:dyDescent="0.25">
      <c r="B486" t="s">
        <v>204</v>
      </c>
      <c r="C486" t="s">
        <v>205</v>
      </c>
      <c r="D486">
        <v>701679</v>
      </c>
      <c r="G486" s="15" t="s">
        <v>2144</v>
      </c>
    </row>
    <row r="487" spans="2:7" x14ac:dyDescent="0.25">
      <c r="B487" t="s">
        <v>206</v>
      </c>
      <c r="C487" t="s">
        <v>207</v>
      </c>
      <c r="D487">
        <v>684036</v>
      </c>
      <c r="G487" s="15" t="s">
        <v>2145</v>
      </c>
    </row>
    <row r="488" spans="2:7" x14ac:dyDescent="0.25">
      <c r="B488" t="s">
        <v>208</v>
      </c>
      <c r="C488" t="s">
        <v>209</v>
      </c>
      <c r="D488">
        <v>641084</v>
      </c>
      <c r="G488" s="15" t="s">
        <v>2146</v>
      </c>
    </row>
    <row r="489" spans="2:7" x14ac:dyDescent="0.25">
      <c r="B489" t="s">
        <v>210</v>
      </c>
      <c r="C489" t="s">
        <v>211</v>
      </c>
      <c r="D489">
        <v>627408</v>
      </c>
      <c r="G489" s="15" t="s">
        <v>2147</v>
      </c>
    </row>
    <row r="490" spans="2:7" x14ac:dyDescent="0.25">
      <c r="B490" t="s">
        <v>212</v>
      </c>
      <c r="C490" t="s">
        <v>213</v>
      </c>
      <c r="D490">
        <v>622437</v>
      </c>
      <c r="G490" s="15" t="s">
        <v>2148</v>
      </c>
    </row>
    <row r="491" spans="2:7" x14ac:dyDescent="0.25">
      <c r="B491" t="s">
        <v>214</v>
      </c>
      <c r="C491" t="s">
        <v>215</v>
      </c>
      <c r="D491">
        <v>591668</v>
      </c>
      <c r="G491" s="15" t="s">
        <v>2149</v>
      </c>
    </row>
    <row r="492" spans="2:7" x14ac:dyDescent="0.25">
      <c r="B492" t="s">
        <v>216</v>
      </c>
      <c r="C492" t="s">
        <v>217</v>
      </c>
      <c r="D492">
        <v>590267</v>
      </c>
      <c r="G492" s="15" t="s">
        <v>2150</v>
      </c>
    </row>
    <row r="493" spans="2:7" x14ac:dyDescent="0.25">
      <c r="B493" t="s">
        <v>218</v>
      </c>
      <c r="C493" t="s">
        <v>219</v>
      </c>
      <c r="D493">
        <v>585674</v>
      </c>
      <c r="G493" s="15" t="s">
        <v>2151</v>
      </c>
    </row>
    <row r="494" spans="2:7" x14ac:dyDescent="0.25">
      <c r="B494" t="s">
        <v>220</v>
      </c>
      <c r="C494" t="s">
        <v>221</v>
      </c>
      <c r="D494">
        <v>585299</v>
      </c>
      <c r="G494" s="15" t="s">
        <v>2152</v>
      </c>
    </row>
    <row r="495" spans="2:7" x14ac:dyDescent="0.25">
      <c r="B495" t="s">
        <v>222</v>
      </c>
      <c r="C495" t="s">
        <v>223</v>
      </c>
      <c r="D495">
        <v>574412</v>
      </c>
      <c r="G495" s="15" t="s">
        <v>2153</v>
      </c>
    </row>
    <row r="496" spans="2:7" x14ac:dyDescent="0.25">
      <c r="B496" t="s">
        <v>224</v>
      </c>
      <c r="C496" t="s">
        <v>225</v>
      </c>
      <c r="D496">
        <v>566111</v>
      </c>
      <c r="G496" s="15" t="s">
        <v>2154</v>
      </c>
    </row>
    <row r="497" spans="2:7" x14ac:dyDescent="0.25">
      <c r="B497" t="s">
        <v>226</v>
      </c>
      <c r="C497" t="s">
        <v>227</v>
      </c>
      <c r="D497">
        <v>556128</v>
      </c>
      <c r="G497" s="15" t="s">
        <v>2155</v>
      </c>
    </row>
    <row r="498" spans="2:7" x14ac:dyDescent="0.25">
      <c r="B498" t="s">
        <v>228</v>
      </c>
      <c r="C498" t="s">
        <v>229</v>
      </c>
      <c r="D498">
        <v>549338</v>
      </c>
      <c r="G498" s="15" t="s">
        <v>2156</v>
      </c>
    </row>
    <row r="499" spans="2:7" x14ac:dyDescent="0.25">
      <c r="B499" t="s">
        <v>230</v>
      </c>
      <c r="C499" t="s">
        <v>231</v>
      </c>
      <c r="D499">
        <v>548396</v>
      </c>
      <c r="G499" s="15" t="s">
        <v>2157</v>
      </c>
    </row>
    <row r="500" spans="2:7" x14ac:dyDescent="0.25">
      <c r="B500" t="s">
        <v>232</v>
      </c>
      <c r="C500" t="s">
        <v>233</v>
      </c>
      <c r="D500">
        <v>544487</v>
      </c>
      <c r="G500" s="15" t="s">
        <v>2158</v>
      </c>
    </row>
    <row r="501" spans="2:7" x14ac:dyDescent="0.25">
      <c r="B501" t="s">
        <v>234</v>
      </c>
      <c r="C501" t="s">
        <v>235</v>
      </c>
      <c r="D501">
        <v>542204</v>
      </c>
      <c r="G501" s="15" t="s">
        <v>2159</v>
      </c>
    </row>
    <row r="502" spans="2:7" x14ac:dyDescent="0.25">
      <c r="B502" t="s">
        <v>236</v>
      </c>
      <c r="C502" t="s">
        <v>237</v>
      </c>
      <c r="D502">
        <v>535746</v>
      </c>
      <c r="G502" s="15" t="s">
        <v>2160</v>
      </c>
    </row>
    <row r="503" spans="2:7" x14ac:dyDescent="0.25">
      <c r="B503" t="s">
        <v>238</v>
      </c>
      <c r="C503" t="s">
        <v>239</v>
      </c>
      <c r="D503">
        <v>531940</v>
      </c>
      <c r="G503" s="15" t="s">
        <v>2161</v>
      </c>
    </row>
    <row r="504" spans="2:7" x14ac:dyDescent="0.25">
      <c r="B504" t="s">
        <v>240</v>
      </c>
      <c r="C504" t="s">
        <v>241</v>
      </c>
      <c r="D504">
        <v>519601</v>
      </c>
      <c r="G504" s="15" t="s">
        <v>2162</v>
      </c>
    </row>
    <row r="505" spans="2:7" x14ac:dyDescent="0.25">
      <c r="B505" t="s">
        <v>242</v>
      </c>
      <c r="C505" t="s">
        <v>243</v>
      </c>
      <c r="D505">
        <v>516267</v>
      </c>
      <c r="G505" s="15" t="s">
        <v>2163</v>
      </c>
    </row>
    <row r="506" spans="2:7" x14ac:dyDescent="0.25">
      <c r="B506" t="s">
        <v>244</v>
      </c>
      <c r="C506" t="s">
        <v>245</v>
      </c>
      <c r="D506">
        <v>511563</v>
      </c>
      <c r="G506" s="15" t="s">
        <v>2164</v>
      </c>
    </row>
    <row r="507" spans="2:7" x14ac:dyDescent="0.25">
      <c r="B507" t="s">
        <v>246</v>
      </c>
      <c r="C507" t="s">
        <v>247</v>
      </c>
      <c r="D507">
        <v>500674</v>
      </c>
      <c r="G507" s="15" t="s">
        <v>2165</v>
      </c>
    </row>
    <row r="508" spans="2:7" x14ac:dyDescent="0.25">
      <c r="B508" t="s">
        <v>248</v>
      </c>
      <c r="C508" t="s">
        <v>249</v>
      </c>
      <c r="D508">
        <v>498813</v>
      </c>
      <c r="G508" s="15" t="s">
        <v>2166</v>
      </c>
    </row>
    <row r="509" spans="2:7" x14ac:dyDescent="0.25">
      <c r="B509" t="s">
        <v>250</v>
      </c>
      <c r="C509" t="s">
        <v>251</v>
      </c>
      <c r="D509">
        <v>471425</v>
      </c>
      <c r="G509" s="15" t="s">
        <v>2167</v>
      </c>
    </row>
    <row r="510" spans="2:7" x14ac:dyDescent="0.25">
      <c r="B510" t="s">
        <v>252</v>
      </c>
      <c r="C510" t="s">
        <v>253</v>
      </c>
      <c r="D510">
        <v>465580</v>
      </c>
      <c r="G510" s="15" t="s">
        <v>2168</v>
      </c>
    </row>
    <row r="511" spans="2:7" x14ac:dyDescent="0.25">
      <c r="B511" t="s">
        <v>254</v>
      </c>
      <c r="C511" t="s">
        <v>255</v>
      </c>
      <c r="D511">
        <v>457860</v>
      </c>
      <c r="G511" s="15" t="s">
        <v>2169</v>
      </c>
    </row>
    <row r="512" spans="2:7" x14ac:dyDescent="0.25">
      <c r="B512" t="s">
        <v>256</v>
      </c>
      <c r="C512" t="s">
        <v>257</v>
      </c>
      <c r="D512">
        <v>457546</v>
      </c>
      <c r="G512" s="15" t="s">
        <v>2170</v>
      </c>
    </row>
    <row r="513" spans="2:7" x14ac:dyDescent="0.25">
      <c r="B513" t="s">
        <v>258</v>
      </c>
      <c r="C513" t="s">
        <v>259</v>
      </c>
      <c r="D513">
        <v>453432</v>
      </c>
      <c r="G513" s="15" t="s">
        <v>2171</v>
      </c>
    </row>
    <row r="514" spans="2:7" x14ac:dyDescent="0.25">
      <c r="B514" t="s">
        <v>260</v>
      </c>
      <c r="C514" t="s">
        <v>261</v>
      </c>
      <c r="D514">
        <v>452676</v>
      </c>
      <c r="G514" s="15" t="s">
        <v>2172</v>
      </c>
    </row>
    <row r="515" spans="2:7" x14ac:dyDescent="0.25">
      <c r="B515" t="s">
        <v>262</v>
      </c>
      <c r="C515" t="s">
        <v>263</v>
      </c>
      <c r="D515">
        <v>451711</v>
      </c>
      <c r="G515" s="15" t="s">
        <v>2173</v>
      </c>
    </row>
    <row r="516" spans="2:7" x14ac:dyDescent="0.25">
      <c r="B516" t="s">
        <v>264</v>
      </c>
      <c r="C516" t="s">
        <v>265</v>
      </c>
      <c r="D516">
        <v>431701</v>
      </c>
      <c r="G516" s="15" t="s">
        <v>2174</v>
      </c>
    </row>
    <row r="517" spans="2:7" x14ac:dyDescent="0.25">
      <c r="B517" t="s">
        <v>266</v>
      </c>
      <c r="C517" t="s">
        <v>267</v>
      </c>
      <c r="D517">
        <v>426795</v>
      </c>
      <c r="G517" s="15" t="s">
        <v>2175</v>
      </c>
    </row>
    <row r="518" spans="2:7" x14ac:dyDescent="0.25">
      <c r="B518" t="s">
        <v>268</v>
      </c>
      <c r="C518" t="s">
        <v>269</v>
      </c>
      <c r="D518">
        <v>426642</v>
      </c>
      <c r="G518" s="15" t="s">
        <v>2176</v>
      </c>
    </row>
    <row r="519" spans="2:7" x14ac:dyDescent="0.25">
      <c r="B519" t="s">
        <v>270</v>
      </c>
      <c r="C519" t="s">
        <v>271</v>
      </c>
      <c r="D519">
        <v>406169</v>
      </c>
      <c r="G519" s="15" t="s">
        <v>2177</v>
      </c>
    </row>
    <row r="520" spans="2:7" x14ac:dyDescent="0.25">
      <c r="B520" t="s">
        <v>272</v>
      </c>
      <c r="C520" t="s">
        <v>273</v>
      </c>
      <c r="D520">
        <v>401732</v>
      </c>
      <c r="G520" s="15" t="s">
        <v>2178</v>
      </c>
    </row>
    <row r="521" spans="2:7" x14ac:dyDescent="0.25">
      <c r="B521" t="s">
        <v>274</v>
      </c>
      <c r="C521" t="s">
        <v>275</v>
      </c>
      <c r="D521">
        <v>399563</v>
      </c>
      <c r="G521" s="15" t="s">
        <v>2179</v>
      </c>
    </row>
    <row r="522" spans="2:7" x14ac:dyDescent="0.25">
      <c r="B522" t="s">
        <v>276</v>
      </c>
      <c r="C522" t="s">
        <v>277</v>
      </c>
      <c r="D522">
        <v>395284</v>
      </c>
      <c r="G522" s="15" t="s">
        <v>2180</v>
      </c>
    </row>
    <row r="523" spans="2:7" x14ac:dyDescent="0.25">
      <c r="B523" t="s">
        <v>278</v>
      </c>
      <c r="C523" t="s">
        <v>279</v>
      </c>
      <c r="D523">
        <v>388105</v>
      </c>
      <c r="G523" s="15" t="s">
        <v>2181</v>
      </c>
    </row>
    <row r="524" spans="2:7" x14ac:dyDescent="0.25">
      <c r="B524" t="s">
        <v>280</v>
      </c>
      <c r="C524" t="s">
        <v>281</v>
      </c>
      <c r="D524">
        <v>386765</v>
      </c>
      <c r="G524" s="15" t="s">
        <v>2182</v>
      </c>
    </row>
    <row r="525" spans="2:7" x14ac:dyDescent="0.25">
      <c r="B525" t="s">
        <v>282</v>
      </c>
      <c r="C525" t="s">
        <v>283</v>
      </c>
      <c r="D525">
        <v>380868</v>
      </c>
      <c r="G525" s="15" t="s">
        <v>2183</v>
      </c>
    </row>
    <row r="526" spans="2:7" x14ac:dyDescent="0.25">
      <c r="B526" t="s">
        <v>284</v>
      </c>
      <c r="C526" t="s">
        <v>285</v>
      </c>
      <c r="D526">
        <v>379293</v>
      </c>
      <c r="G526" s="15" t="s">
        <v>2184</v>
      </c>
    </row>
    <row r="527" spans="2:7" x14ac:dyDescent="0.25">
      <c r="B527" t="s">
        <v>286</v>
      </c>
      <c r="C527" t="s">
        <v>287</v>
      </c>
      <c r="D527">
        <v>376246</v>
      </c>
      <c r="G527" s="15" t="s">
        <v>2185</v>
      </c>
    </row>
    <row r="528" spans="2:7" x14ac:dyDescent="0.25">
      <c r="B528" t="s">
        <v>288</v>
      </c>
      <c r="C528" t="s">
        <v>289</v>
      </c>
      <c r="D528">
        <v>375691</v>
      </c>
      <c r="G528" s="15" t="s">
        <v>2186</v>
      </c>
    </row>
    <row r="529" spans="2:7" x14ac:dyDescent="0.25">
      <c r="B529" t="s">
        <v>290</v>
      </c>
      <c r="C529" t="s">
        <v>291</v>
      </c>
      <c r="D529">
        <v>375171</v>
      </c>
      <c r="G529" s="15" t="s">
        <v>2187</v>
      </c>
    </row>
    <row r="530" spans="2:7" x14ac:dyDescent="0.25">
      <c r="B530" t="s">
        <v>292</v>
      </c>
      <c r="C530" t="s">
        <v>293</v>
      </c>
      <c r="D530">
        <v>374326</v>
      </c>
      <c r="G530" s="15" t="s">
        <v>2188</v>
      </c>
    </row>
    <row r="531" spans="2:7" x14ac:dyDescent="0.25">
      <c r="B531" t="s">
        <v>294</v>
      </c>
      <c r="C531" t="s">
        <v>295</v>
      </c>
      <c r="D531">
        <v>374192</v>
      </c>
      <c r="G531" s="15" t="s">
        <v>2189</v>
      </c>
    </row>
    <row r="532" spans="2:7" x14ac:dyDescent="0.25">
      <c r="B532" t="s">
        <v>296</v>
      </c>
      <c r="C532" t="s">
        <v>297</v>
      </c>
      <c r="D532">
        <v>371170</v>
      </c>
      <c r="G532" s="15" t="s">
        <v>2190</v>
      </c>
    </row>
    <row r="533" spans="2:7" x14ac:dyDescent="0.25">
      <c r="B533" t="s">
        <v>298</v>
      </c>
      <c r="C533" t="s">
        <v>299</v>
      </c>
      <c r="D533">
        <v>368713</v>
      </c>
      <c r="G533" s="15" t="s">
        <v>2191</v>
      </c>
    </row>
    <row r="534" spans="2:7" x14ac:dyDescent="0.25">
      <c r="B534" t="s">
        <v>300</v>
      </c>
      <c r="C534" t="s">
        <v>301</v>
      </c>
      <c r="D534">
        <v>364483</v>
      </c>
      <c r="G534" s="15" t="s">
        <v>2192</v>
      </c>
    </row>
    <row r="535" spans="2:7" x14ac:dyDescent="0.25">
      <c r="B535" t="s">
        <v>302</v>
      </c>
      <c r="C535" t="s">
        <v>303</v>
      </c>
      <c r="D535">
        <v>361656</v>
      </c>
      <c r="G535" s="15" t="s">
        <v>2193</v>
      </c>
    </row>
    <row r="536" spans="2:7" x14ac:dyDescent="0.25">
      <c r="B536" t="s">
        <v>304</v>
      </c>
      <c r="C536" t="s">
        <v>305</v>
      </c>
      <c r="D536">
        <v>360735</v>
      </c>
      <c r="G536" s="15" t="s">
        <v>2194</v>
      </c>
    </row>
    <row r="537" spans="2:7" x14ac:dyDescent="0.25">
      <c r="B537" t="s">
        <v>306</v>
      </c>
      <c r="C537" t="s">
        <v>307</v>
      </c>
      <c r="D537">
        <v>350664</v>
      </c>
      <c r="G537" s="15" t="s">
        <v>2195</v>
      </c>
    </row>
    <row r="538" spans="2:7" x14ac:dyDescent="0.25">
      <c r="B538" t="s">
        <v>308</v>
      </c>
      <c r="C538" t="s">
        <v>309</v>
      </c>
      <c r="D538">
        <v>348983</v>
      </c>
      <c r="G538" s="15" t="s">
        <v>2196</v>
      </c>
    </row>
    <row r="539" spans="2:7" x14ac:dyDescent="0.25">
      <c r="B539" t="s">
        <v>310</v>
      </c>
      <c r="C539" t="s">
        <v>311</v>
      </c>
      <c r="D539">
        <v>348834</v>
      </c>
      <c r="G539" s="15" t="s">
        <v>2197</v>
      </c>
    </row>
    <row r="540" spans="2:7" x14ac:dyDescent="0.25">
      <c r="B540" t="s">
        <v>312</v>
      </c>
      <c r="C540" t="s">
        <v>313</v>
      </c>
      <c r="D540">
        <v>340910</v>
      </c>
      <c r="G540" s="15" t="s">
        <v>2198</v>
      </c>
    </row>
    <row r="541" spans="2:7" x14ac:dyDescent="0.25">
      <c r="B541" t="s">
        <v>314</v>
      </c>
      <c r="C541" t="s">
        <v>315</v>
      </c>
      <c r="D541">
        <v>337146</v>
      </c>
      <c r="G541" s="15" t="s">
        <v>2199</v>
      </c>
    </row>
    <row r="542" spans="2:7" x14ac:dyDescent="0.25">
      <c r="B542" t="s">
        <v>316</v>
      </c>
      <c r="C542" t="s">
        <v>317</v>
      </c>
      <c r="D542">
        <v>334924</v>
      </c>
      <c r="G542" s="15" t="s">
        <v>2200</v>
      </c>
    </row>
    <row r="543" spans="2:7" x14ac:dyDescent="0.25">
      <c r="B543" t="s">
        <v>318</v>
      </c>
      <c r="C543" t="s">
        <v>319</v>
      </c>
      <c r="D543">
        <v>332804</v>
      </c>
      <c r="G543" s="15" t="s">
        <v>2201</v>
      </c>
    </row>
    <row r="544" spans="2:7" x14ac:dyDescent="0.25">
      <c r="B544" t="s">
        <v>320</v>
      </c>
      <c r="C544" t="s">
        <v>321</v>
      </c>
      <c r="D544">
        <v>327902</v>
      </c>
      <c r="G544" s="15" t="s">
        <v>2202</v>
      </c>
    </row>
    <row r="545" spans="2:7" x14ac:dyDescent="0.25">
      <c r="B545" t="s">
        <v>322</v>
      </c>
      <c r="C545" t="s">
        <v>323</v>
      </c>
      <c r="D545">
        <v>327894</v>
      </c>
      <c r="G545" s="15" t="s">
        <v>2203</v>
      </c>
    </row>
    <row r="546" spans="2:7" x14ac:dyDescent="0.25">
      <c r="B546" t="s">
        <v>324</v>
      </c>
      <c r="C546" t="s">
        <v>325</v>
      </c>
      <c r="D546">
        <v>320441</v>
      </c>
      <c r="G546" s="15" t="s">
        <v>2204</v>
      </c>
    </row>
    <row r="547" spans="2:7" x14ac:dyDescent="0.25">
      <c r="B547" t="s">
        <v>326</v>
      </c>
      <c r="C547" t="s">
        <v>327</v>
      </c>
      <c r="D547">
        <v>318809</v>
      </c>
      <c r="G547" s="15" t="s">
        <v>2205</v>
      </c>
    </row>
    <row r="548" spans="2:7" x14ac:dyDescent="0.25">
      <c r="B548" t="s">
        <v>328</v>
      </c>
      <c r="C548" t="s">
        <v>329</v>
      </c>
      <c r="D548">
        <v>315100</v>
      </c>
      <c r="G548" s="15" t="s">
        <v>2206</v>
      </c>
    </row>
    <row r="549" spans="2:7" x14ac:dyDescent="0.25">
      <c r="B549" t="s">
        <v>330</v>
      </c>
      <c r="C549" t="s">
        <v>331</v>
      </c>
      <c r="D549">
        <v>314712</v>
      </c>
      <c r="G549" s="15" t="s">
        <v>2207</v>
      </c>
    </row>
    <row r="550" spans="2:7" x14ac:dyDescent="0.25">
      <c r="B550" t="s">
        <v>332</v>
      </c>
      <c r="C550" t="s">
        <v>333</v>
      </c>
      <c r="D550">
        <v>310643</v>
      </c>
      <c r="G550" s="15" t="s">
        <v>2208</v>
      </c>
    </row>
    <row r="551" spans="2:7" x14ac:dyDescent="0.25">
      <c r="B551" t="s">
        <v>334</v>
      </c>
      <c r="C551" t="s">
        <v>335</v>
      </c>
      <c r="D551">
        <v>298470</v>
      </c>
      <c r="G551" s="15" t="s">
        <v>2209</v>
      </c>
    </row>
    <row r="552" spans="2:7" x14ac:dyDescent="0.25">
      <c r="B552" t="s">
        <v>336</v>
      </c>
      <c r="C552" t="s">
        <v>337</v>
      </c>
      <c r="D552">
        <v>297510</v>
      </c>
      <c r="G552" s="15" t="s">
        <v>2210</v>
      </c>
    </row>
    <row r="553" spans="2:7" x14ac:dyDescent="0.25">
      <c r="B553" t="s">
        <v>338</v>
      </c>
      <c r="C553" t="s">
        <v>339</v>
      </c>
      <c r="D553">
        <v>293926</v>
      </c>
      <c r="G553" s="15" t="s">
        <v>2211</v>
      </c>
    </row>
    <row r="554" spans="2:7" x14ac:dyDescent="0.25">
      <c r="B554" t="s">
        <v>340</v>
      </c>
      <c r="C554" t="s">
        <v>341</v>
      </c>
      <c r="D554">
        <v>288604</v>
      </c>
      <c r="G554" s="15" t="s">
        <v>2212</v>
      </c>
    </row>
    <row r="555" spans="2:7" x14ac:dyDescent="0.25">
      <c r="B555" t="s">
        <v>342</v>
      </c>
      <c r="C555" t="s">
        <v>343</v>
      </c>
      <c r="D555">
        <v>286730</v>
      </c>
      <c r="G555" s="15" t="s">
        <v>2213</v>
      </c>
    </row>
    <row r="556" spans="2:7" x14ac:dyDescent="0.25">
      <c r="B556" t="s">
        <v>344</v>
      </c>
      <c r="C556" t="s">
        <v>345</v>
      </c>
      <c r="D556">
        <v>284967</v>
      </c>
      <c r="G556" s="15" t="s">
        <v>2214</v>
      </c>
    </row>
    <row r="557" spans="2:7" x14ac:dyDescent="0.25">
      <c r="B557" t="s">
        <v>346</v>
      </c>
      <c r="C557" t="s">
        <v>347</v>
      </c>
      <c r="D557">
        <v>275855</v>
      </c>
      <c r="G557" s="15" t="s">
        <v>2215</v>
      </c>
    </row>
    <row r="558" spans="2:7" x14ac:dyDescent="0.25">
      <c r="B558" t="s">
        <v>348</v>
      </c>
      <c r="C558" t="s">
        <v>349</v>
      </c>
      <c r="D558">
        <v>275576</v>
      </c>
      <c r="G558" s="15" t="s">
        <v>2216</v>
      </c>
    </row>
    <row r="559" spans="2:7" x14ac:dyDescent="0.25">
      <c r="B559" t="s">
        <v>350</v>
      </c>
      <c r="C559" t="s">
        <v>351</v>
      </c>
      <c r="D559">
        <v>273790</v>
      </c>
      <c r="G559" s="15" t="s">
        <v>2217</v>
      </c>
    </row>
    <row r="560" spans="2:7" x14ac:dyDescent="0.25">
      <c r="B560" t="s">
        <v>352</v>
      </c>
      <c r="C560" t="s">
        <v>353</v>
      </c>
      <c r="D560">
        <v>270731</v>
      </c>
      <c r="G560" s="15" t="s">
        <v>2218</v>
      </c>
    </row>
    <row r="561" spans="2:7" x14ac:dyDescent="0.25">
      <c r="B561" t="s">
        <v>354</v>
      </c>
      <c r="C561" t="s">
        <v>355</v>
      </c>
      <c r="D561">
        <v>269741</v>
      </c>
      <c r="G561" s="15" t="s">
        <v>2219</v>
      </c>
    </row>
    <row r="562" spans="2:7" x14ac:dyDescent="0.25">
      <c r="B562" t="s">
        <v>356</v>
      </c>
      <c r="C562" t="s">
        <v>357</v>
      </c>
      <c r="D562">
        <v>268812</v>
      </c>
      <c r="G562" s="15" t="s">
        <v>2220</v>
      </c>
    </row>
    <row r="563" spans="2:7" x14ac:dyDescent="0.25">
      <c r="B563" t="s">
        <v>358</v>
      </c>
      <c r="C563" t="s">
        <v>359</v>
      </c>
      <c r="D563">
        <v>264919</v>
      </c>
      <c r="G563" s="15" t="s">
        <v>2221</v>
      </c>
    </row>
    <row r="564" spans="2:7" x14ac:dyDescent="0.25">
      <c r="B564" t="s">
        <v>360</v>
      </c>
      <c r="C564" t="s">
        <v>361</v>
      </c>
      <c r="D564">
        <v>263716</v>
      </c>
      <c r="G564" s="15" t="s">
        <v>2222</v>
      </c>
    </row>
    <row r="565" spans="2:7" x14ac:dyDescent="0.25">
      <c r="B565" t="s">
        <v>362</v>
      </c>
      <c r="C565" t="s">
        <v>363</v>
      </c>
      <c r="D565">
        <v>262718</v>
      </c>
      <c r="G565" s="15" t="s">
        <v>2223</v>
      </c>
    </row>
    <row r="566" spans="2:7" x14ac:dyDescent="0.25">
      <c r="B566" t="s">
        <v>364</v>
      </c>
      <c r="C566" t="s">
        <v>365</v>
      </c>
      <c r="D566">
        <v>261214</v>
      </c>
      <c r="G566" s="15" t="s">
        <v>2224</v>
      </c>
    </row>
    <row r="567" spans="2:7" x14ac:dyDescent="0.25">
      <c r="B567" t="s">
        <v>366</v>
      </c>
      <c r="C567" t="s">
        <v>367</v>
      </c>
      <c r="D567">
        <v>259049</v>
      </c>
      <c r="G567" s="15" t="s">
        <v>2225</v>
      </c>
    </row>
    <row r="568" spans="2:7" x14ac:dyDescent="0.25">
      <c r="B568" t="s">
        <v>368</v>
      </c>
      <c r="C568" t="s">
        <v>369</v>
      </c>
      <c r="D568">
        <v>257528</v>
      </c>
      <c r="G568" s="15" t="s">
        <v>2226</v>
      </c>
    </row>
    <row r="569" spans="2:7" x14ac:dyDescent="0.25">
      <c r="B569" t="s">
        <v>370</v>
      </c>
      <c r="C569" t="s">
        <v>371</v>
      </c>
      <c r="D569">
        <v>247101</v>
      </c>
      <c r="G569" s="15" t="s">
        <v>2227</v>
      </c>
    </row>
    <row r="570" spans="2:7" x14ac:dyDescent="0.25">
      <c r="B570" t="s">
        <v>372</v>
      </c>
      <c r="C570" t="s">
        <v>373</v>
      </c>
      <c r="D570">
        <v>243263</v>
      </c>
      <c r="G570" s="15" t="s">
        <v>2228</v>
      </c>
    </row>
    <row r="571" spans="2:7" x14ac:dyDescent="0.25">
      <c r="B571" t="s">
        <v>374</v>
      </c>
      <c r="C571" t="s">
        <v>375</v>
      </c>
      <c r="D571">
        <v>243226</v>
      </c>
      <c r="G571" s="15" t="s">
        <v>2229</v>
      </c>
    </row>
    <row r="572" spans="2:7" x14ac:dyDescent="0.25">
      <c r="B572" t="s">
        <v>376</v>
      </c>
      <c r="C572" t="s">
        <v>377</v>
      </c>
      <c r="D572">
        <v>241360</v>
      </c>
      <c r="G572" s="15" t="s">
        <v>2230</v>
      </c>
    </row>
    <row r="573" spans="2:7" x14ac:dyDescent="0.25">
      <c r="B573" t="s">
        <v>378</v>
      </c>
      <c r="C573" t="s">
        <v>379</v>
      </c>
      <c r="D573">
        <v>239402</v>
      </c>
      <c r="G573" s="15" t="s">
        <v>2231</v>
      </c>
    </row>
    <row r="574" spans="2:7" x14ac:dyDescent="0.25">
      <c r="B574" t="s">
        <v>380</v>
      </c>
      <c r="C574" t="s">
        <v>381</v>
      </c>
      <c r="D574">
        <v>232131</v>
      </c>
      <c r="G574" s="15" t="s">
        <v>2232</v>
      </c>
    </row>
    <row r="575" spans="2:7" x14ac:dyDescent="0.25">
      <c r="B575" t="s">
        <v>382</v>
      </c>
      <c r="C575" t="s">
        <v>383</v>
      </c>
      <c r="D575">
        <v>230446</v>
      </c>
      <c r="G575" s="15" t="s">
        <v>2233</v>
      </c>
    </row>
    <row r="576" spans="2:7" x14ac:dyDescent="0.25">
      <c r="B576" t="s">
        <v>384</v>
      </c>
      <c r="C576" t="s">
        <v>385</v>
      </c>
      <c r="D576">
        <v>229767</v>
      </c>
      <c r="G576" s="15" t="s">
        <v>2234</v>
      </c>
    </row>
    <row r="577" spans="2:7" x14ac:dyDescent="0.25">
      <c r="B577" t="s">
        <v>386</v>
      </c>
      <c r="C577" t="s">
        <v>387</v>
      </c>
      <c r="D577">
        <v>228083</v>
      </c>
      <c r="G577" s="15" t="s">
        <v>2235</v>
      </c>
    </row>
    <row r="578" spans="2:7" x14ac:dyDescent="0.25">
      <c r="B578" t="s">
        <v>388</v>
      </c>
      <c r="C578" t="s">
        <v>389</v>
      </c>
      <c r="D578">
        <v>225476</v>
      </c>
      <c r="G578" s="15" t="s">
        <v>2236</v>
      </c>
    </row>
    <row r="579" spans="2:7" x14ac:dyDescent="0.25">
      <c r="B579" t="s">
        <v>390</v>
      </c>
      <c r="C579" t="s">
        <v>391</v>
      </c>
      <c r="D579">
        <v>223035</v>
      </c>
      <c r="G579" s="15" t="s">
        <v>2237</v>
      </c>
    </row>
    <row r="580" spans="2:7" x14ac:dyDescent="0.25">
      <c r="B580" t="s">
        <v>392</v>
      </c>
      <c r="C580" t="s">
        <v>393</v>
      </c>
      <c r="D580">
        <v>222772</v>
      </c>
      <c r="G580" s="15" t="s">
        <v>2238</v>
      </c>
    </row>
    <row r="581" spans="2:7" x14ac:dyDescent="0.25">
      <c r="B581" t="s">
        <v>394</v>
      </c>
      <c r="C581" t="s">
        <v>395</v>
      </c>
      <c r="D581">
        <v>222117</v>
      </c>
      <c r="G581" s="15" t="s">
        <v>2239</v>
      </c>
    </row>
    <row r="582" spans="2:7" x14ac:dyDescent="0.25">
      <c r="B582" t="s">
        <v>396</v>
      </c>
      <c r="C582" t="s">
        <v>397</v>
      </c>
      <c r="D582">
        <v>219896</v>
      </c>
      <c r="G582" s="15" t="s">
        <v>2240</v>
      </c>
    </row>
    <row r="583" spans="2:7" x14ac:dyDescent="0.25">
      <c r="B583" t="s">
        <v>398</v>
      </c>
      <c r="C583" t="s">
        <v>399</v>
      </c>
      <c r="D583">
        <v>217071</v>
      </c>
      <c r="G583" s="15" t="s">
        <v>2241</v>
      </c>
    </row>
    <row r="584" spans="2:7" x14ac:dyDescent="0.25">
      <c r="B584" t="s">
        <v>400</v>
      </c>
      <c r="C584" t="s">
        <v>401</v>
      </c>
      <c r="D584">
        <v>215920</v>
      </c>
      <c r="G584" s="15" t="s">
        <v>2242</v>
      </c>
    </row>
    <row r="585" spans="2:7" x14ac:dyDescent="0.25">
      <c r="B585" t="s">
        <v>402</v>
      </c>
      <c r="C585" t="s">
        <v>403</v>
      </c>
      <c r="D585">
        <v>215083</v>
      </c>
      <c r="G585" s="15" t="s">
        <v>2243</v>
      </c>
    </row>
    <row r="586" spans="2:7" x14ac:dyDescent="0.25">
      <c r="B586" t="s">
        <v>404</v>
      </c>
      <c r="C586" t="s">
        <v>405</v>
      </c>
      <c r="D586">
        <v>214214</v>
      </c>
      <c r="G586" s="15" t="s">
        <v>2244</v>
      </c>
    </row>
    <row r="587" spans="2:7" x14ac:dyDescent="0.25">
      <c r="B587" t="s">
        <v>406</v>
      </c>
      <c r="C587" t="s">
        <v>407</v>
      </c>
      <c r="D587">
        <v>213004</v>
      </c>
      <c r="G587" s="15" t="s">
        <v>2245</v>
      </c>
    </row>
    <row r="588" spans="2:7" x14ac:dyDescent="0.25">
      <c r="B588" t="s">
        <v>408</v>
      </c>
      <c r="C588" t="s">
        <v>409</v>
      </c>
      <c r="D588">
        <v>211031</v>
      </c>
      <c r="G588" s="15" t="s">
        <v>2246</v>
      </c>
    </row>
    <row r="589" spans="2:7" x14ac:dyDescent="0.25">
      <c r="B589" t="s">
        <v>410</v>
      </c>
      <c r="C589" t="s">
        <v>411</v>
      </c>
      <c r="D589">
        <v>210741</v>
      </c>
      <c r="G589" s="15" t="s">
        <v>2247</v>
      </c>
    </row>
    <row r="590" spans="2:7" x14ac:dyDescent="0.25">
      <c r="B590" t="s">
        <v>412</v>
      </c>
      <c r="C590" t="s">
        <v>413</v>
      </c>
      <c r="D590">
        <v>208168</v>
      </c>
      <c r="G590" s="15" t="s">
        <v>2248</v>
      </c>
    </row>
    <row r="591" spans="2:7" x14ac:dyDescent="0.25">
      <c r="B591" t="s">
        <v>414</v>
      </c>
      <c r="C591" t="s">
        <v>415</v>
      </c>
      <c r="D591">
        <v>207745</v>
      </c>
      <c r="G591" s="15" t="s">
        <v>2249</v>
      </c>
    </row>
    <row r="592" spans="2:7" x14ac:dyDescent="0.25">
      <c r="B592" t="s">
        <v>416</v>
      </c>
      <c r="C592" t="s">
        <v>417</v>
      </c>
      <c r="D592">
        <v>207567</v>
      </c>
      <c r="G592" s="15" t="s">
        <v>2250</v>
      </c>
    </row>
    <row r="593" spans="2:7" x14ac:dyDescent="0.25">
      <c r="B593" t="s">
        <v>418</v>
      </c>
      <c r="C593" t="s">
        <v>419</v>
      </c>
      <c r="D593">
        <v>206381</v>
      </c>
      <c r="G593" s="15" t="s">
        <v>2251</v>
      </c>
    </row>
    <row r="594" spans="2:7" x14ac:dyDescent="0.25">
      <c r="B594" t="s">
        <v>420</v>
      </c>
      <c r="C594" t="s">
        <v>421</v>
      </c>
      <c r="D594">
        <v>205474</v>
      </c>
      <c r="G594" s="15" t="s">
        <v>2252</v>
      </c>
    </row>
    <row r="595" spans="2:7" x14ac:dyDescent="0.25">
      <c r="B595" t="s">
        <v>422</v>
      </c>
      <c r="C595" t="s">
        <v>423</v>
      </c>
      <c r="D595">
        <v>200684</v>
      </c>
      <c r="G595" s="15" t="s">
        <v>2253</v>
      </c>
    </row>
    <row r="596" spans="2:7" x14ac:dyDescent="0.25">
      <c r="B596" t="s">
        <v>424</v>
      </c>
      <c r="C596" t="s">
        <v>425</v>
      </c>
      <c r="D596">
        <v>198546</v>
      </c>
      <c r="G596" s="15" t="s">
        <v>2254</v>
      </c>
    </row>
    <row r="597" spans="2:7" x14ac:dyDescent="0.25">
      <c r="B597" t="s">
        <v>426</v>
      </c>
      <c r="C597" t="s">
        <v>427</v>
      </c>
      <c r="D597">
        <v>198495</v>
      </c>
      <c r="G597" s="15" t="s">
        <v>2255</v>
      </c>
    </row>
    <row r="598" spans="2:7" x14ac:dyDescent="0.25">
      <c r="B598" t="s">
        <v>428</v>
      </c>
      <c r="C598" t="s">
        <v>429</v>
      </c>
      <c r="D598">
        <v>194822</v>
      </c>
      <c r="G598" s="15" t="s">
        <v>2256</v>
      </c>
    </row>
    <row r="599" spans="2:7" x14ac:dyDescent="0.25">
      <c r="B599" t="s">
        <v>430</v>
      </c>
      <c r="C599" t="s">
        <v>431</v>
      </c>
      <c r="D599">
        <v>192662</v>
      </c>
      <c r="G599" s="15" t="s">
        <v>2257</v>
      </c>
    </row>
    <row r="600" spans="2:7" x14ac:dyDescent="0.25">
      <c r="B600" t="s">
        <v>432</v>
      </c>
      <c r="C600" t="s">
        <v>433</v>
      </c>
      <c r="D600">
        <v>191879</v>
      </c>
      <c r="G600" s="15" t="s">
        <v>2258</v>
      </c>
    </row>
    <row r="601" spans="2:7" x14ac:dyDescent="0.25">
      <c r="B601" t="s">
        <v>434</v>
      </c>
      <c r="C601" t="s">
        <v>435</v>
      </c>
      <c r="D601">
        <v>185613</v>
      </c>
      <c r="G601" s="15" t="s">
        <v>2259</v>
      </c>
    </row>
    <row r="602" spans="2:7" x14ac:dyDescent="0.25">
      <c r="B602" t="s">
        <v>436</v>
      </c>
      <c r="C602" t="s">
        <v>437</v>
      </c>
      <c r="D602">
        <v>185392</v>
      </c>
      <c r="G602" s="15" t="s">
        <v>2260</v>
      </c>
    </row>
    <row r="603" spans="2:7" x14ac:dyDescent="0.25">
      <c r="B603" t="s">
        <v>438</v>
      </c>
      <c r="C603" t="s">
        <v>439</v>
      </c>
      <c r="D603">
        <v>182475</v>
      </c>
      <c r="G603" s="15" t="s">
        <v>2261</v>
      </c>
    </row>
    <row r="604" spans="2:7" x14ac:dyDescent="0.25">
      <c r="B604" t="s">
        <v>440</v>
      </c>
      <c r="C604" t="s">
        <v>441</v>
      </c>
      <c r="D604">
        <v>178951</v>
      </c>
      <c r="G604" s="15" t="s">
        <v>2262</v>
      </c>
    </row>
    <row r="605" spans="2:7" x14ac:dyDescent="0.25">
      <c r="B605" t="s">
        <v>442</v>
      </c>
      <c r="C605" t="s">
        <v>443</v>
      </c>
      <c r="D605">
        <v>178342</v>
      </c>
      <c r="G605" s="15" t="s">
        <v>2263</v>
      </c>
    </row>
    <row r="606" spans="2:7" x14ac:dyDescent="0.25">
      <c r="B606" t="s">
        <v>444</v>
      </c>
      <c r="C606" t="s">
        <v>445</v>
      </c>
      <c r="D606">
        <v>176510</v>
      </c>
      <c r="G606" s="15" t="s">
        <v>2264</v>
      </c>
    </row>
    <row r="607" spans="2:7" x14ac:dyDescent="0.25">
      <c r="B607" t="s">
        <v>446</v>
      </c>
      <c r="C607" t="s">
        <v>447</v>
      </c>
      <c r="D607">
        <v>173436</v>
      </c>
      <c r="G607" s="15" t="s">
        <v>2265</v>
      </c>
    </row>
    <row r="608" spans="2:7" x14ac:dyDescent="0.25">
      <c r="B608" t="s">
        <v>448</v>
      </c>
      <c r="C608" t="s">
        <v>449</v>
      </c>
      <c r="D608">
        <v>173289</v>
      </c>
      <c r="G608" s="15" t="s">
        <v>2266</v>
      </c>
    </row>
    <row r="609" spans="2:7" x14ac:dyDescent="0.25">
      <c r="B609" t="s">
        <v>450</v>
      </c>
      <c r="C609" t="s">
        <v>451</v>
      </c>
      <c r="D609">
        <v>171561</v>
      </c>
      <c r="G609" s="15" t="s">
        <v>2267</v>
      </c>
    </row>
    <row r="610" spans="2:7" x14ac:dyDescent="0.25">
      <c r="B610" t="s">
        <v>452</v>
      </c>
      <c r="C610" t="s">
        <v>453</v>
      </c>
      <c r="D610">
        <v>171058</v>
      </c>
      <c r="G610" s="15" t="s">
        <v>2268</v>
      </c>
    </row>
    <row r="611" spans="2:7" x14ac:dyDescent="0.25">
      <c r="B611" t="s">
        <v>454</v>
      </c>
      <c r="C611" t="s">
        <v>455</v>
      </c>
      <c r="D611">
        <v>170549</v>
      </c>
      <c r="G611" s="15" t="s">
        <v>2269</v>
      </c>
    </row>
    <row r="612" spans="2:7" x14ac:dyDescent="0.25">
      <c r="B612" t="s">
        <v>456</v>
      </c>
      <c r="C612" t="s">
        <v>457</v>
      </c>
      <c r="D612">
        <v>170011</v>
      </c>
      <c r="G612" s="15" t="s">
        <v>2270</v>
      </c>
    </row>
    <row r="613" spans="2:7" x14ac:dyDescent="0.25">
      <c r="B613" t="s">
        <v>458</v>
      </c>
      <c r="C613" t="s">
        <v>459</v>
      </c>
      <c r="D613">
        <v>165428</v>
      </c>
      <c r="G613" s="15" t="s">
        <v>2271</v>
      </c>
    </row>
    <row r="614" spans="2:7" x14ac:dyDescent="0.25">
      <c r="B614" t="s">
        <v>460</v>
      </c>
      <c r="C614" t="s">
        <v>461</v>
      </c>
      <c r="D614">
        <v>164105</v>
      </c>
      <c r="G614" s="15" t="s">
        <v>2272</v>
      </c>
    </row>
    <row r="615" spans="2:7" x14ac:dyDescent="0.25">
      <c r="B615" t="s">
        <v>462</v>
      </c>
      <c r="C615" t="s">
        <v>463</v>
      </c>
      <c r="D615">
        <v>164048</v>
      </c>
      <c r="G615" s="15" t="s">
        <v>2273</v>
      </c>
    </row>
    <row r="616" spans="2:7" x14ac:dyDescent="0.25">
      <c r="B616" t="s">
        <v>464</v>
      </c>
      <c r="C616" t="s">
        <v>465</v>
      </c>
      <c r="D616">
        <v>163576</v>
      </c>
      <c r="G616" s="15" t="s">
        <v>2274</v>
      </c>
    </row>
    <row r="617" spans="2:7" x14ac:dyDescent="0.25">
      <c r="B617" t="s">
        <v>466</v>
      </c>
      <c r="C617" t="s">
        <v>467</v>
      </c>
      <c r="D617">
        <v>163271</v>
      </c>
      <c r="G617" s="15" t="s">
        <v>2275</v>
      </c>
    </row>
    <row r="618" spans="2:7" x14ac:dyDescent="0.25">
      <c r="B618" t="s">
        <v>468</v>
      </c>
      <c r="C618" t="s">
        <v>469</v>
      </c>
      <c r="D618">
        <v>161396</v>
      </c>
      <c r="G618" s="15" t="s">
        <v>2276</v>
      </c>
    </row>
    <row r="619" spans="2:7" x14ac:dyDescent="0.25">
      <c r="B619" t="s">
        <v>470</v>
      </c>
      <c r="C619" t="s">
        <v>471</v>
      </c>
      <c r="D619">
        <v>161178</v>
      </c>
      <c r="G619" s="15" t="s">
        <v>2277</v>
      </c>
    </row>
    <row r="620" spans="2:7" x14ac:dyDescent="0.25">
      <c r="B620" t="s">
        <v>472</v>
      </c>
      <c r="C620" t="s">
        <v>473</v>
      </c>
      <c r="D620">
        <v>158673</v>
      </c>
      <c r="G620" s="15" t="s">
        <v>2278</v>
      </c>
    </row>
    <row r="621" spans="2:7" x14ac:dyDescent="0.25">
      <c r="B621" t="s">
        <v>474</v>
      </c>
      <c r="C621" t="s">
        <v>475</v>
      </c>
      <c r="D621">
        <v>158639</v>
      </c>
      <c r="G621" s="15" t="s">
        <v>2279</v>
      </c>
    </row>
    <row r="622" spans="2:7" x14ac:dyDescent="0.25">
      <c r="B622" t="s">
        <v>476</v>
      </c>
      <c r="C622" t="s">
        <v>477</v>
      </c>
      <c r="D622">
        <v>155728</v>
      </c>
      <c r="G622" s="15" t="s">
        <v>2280</v>
      </c>
    </row>
    <row r="623" spans="2:7" x14ac:dyDescent="0.25">
      <c r="B623" t="s">
        <v>478</v>
      </c>
      <c r="C623" t="s">
        <v>479</v>
      </c>
      <c r="D623">
        <v>153465</v>
      </c>
      <c r="G623" s="15" t="s">
        <v>2281</v>
      </c>
    </row>
    <row r="624" spans="2:7" x14ac:dyDescent="0.25">
      <c r="B624" t="s">
        <v>480</v>
      </c>
      <c r="C624" t="s">
        <v>481</v>
      </c>
      <c r="D624">
        <v>152628</v>
      </c>
      <c r="G624" s="15" t="s">
        <v>2282</v>
      </c>
    </row>
    <row r="625" spans="2:7" x14ac:dyDescent="0.25">
      <c r="B625" t="s">
        <v>482</v>
      </c>
      <c r="C625" t="s">
        <v>483</v>
      </c>
      <c r="D625">
        <v>152214</v>
      </c>
      <c r="G625" s="15" t="s">
        <v>2283</v>
      </c>
    </row>
    <row r="626" spans="2:7" x14ac:dyDescent="0.25">
      <c r="B626" t="s">
        <v>484</v>
      </c>
      <c r="C626" t="s">
        <v>485</v>
      </c>
      <c r="D626">
        <v>150383</v>
      </c>
      <c r="G626" s="15" t="s">
        <v>2284</v>
      </c>
    </row>
    <row r="627" spans="2:7" x14ac:dyDescent="0.25">
      <c r="B627" t="s">
        <v>486</v>
      </c>
      <c r="C627" t="s">
        <v>487</v>
      </c>
      <c r="D627">
        <v>149911</v>
      </c>
      <c r="G627" s="15" t="s">
        <v>2285</v>
      </c>
    </row>
    <row r="628" spans="2:7" x14ac:dyDescent="0.25">
      <c r="B628" t="s">
        <v>488</v>
      </c>
      <c r="C628" t="s">
        <v>489</v>
      </c>
      <c r="D628">
        <v>147563</v>
      </c>
      <c r="G628" s="15" t="s">
        <v>2286</v>
      </c>
    </row>
    <row r="629" spans="2:7" x14ac:dyDescent="0.25">
      <c r="B629" t="s">
        <v>490</v>
      </c>
      <c r="C629" t="s">
        <v>491</v>
      </c>
      <c r="D629">
        <v>146528</v>
      </c>
      <c r="G629" s="15" t="s">
        <v>2287</v>
      </c>
    </row>
    <row r="630" spans="2:7" x14ac:dyDescent="0.25">
      <c r="B630" t="s">
        <v>492</v>
      </c>
      <c r="C630" t="s">
        <v>493</v>
      </c>
      <c r="D630">
        <v>146374</v>
      </c>
      <c r="G630" s="15" t="s">
        <v>2288</v>
      </c>
    </row>
    <row r="631" spans="2:7" x14ac:dyDescent="0.25">
      <c r="B631" t="s">
        <v>494</v>
      </c>
      <c r="C631" t="s">
        <v>495</v>
      </c>
      <c r="D631">
        <v>145827</v>
      </c>
      <c r="G631" s="166" t="s">
        <v>2299</v>
      </c>
    </row>
    <row r="632" spans="2:7" x14ac:dyDescent="0.25">
      <c r="B632" t="s">
        <v>496</v>
      </c>
      <c r="C632" t="s">
        <v>497</v>
      </c>
      <c r="D632">
        <v>145066</v>
      </c>
      <c r="G632" s="15" t="s">
        <v>2289</v>
      </c>
    </row>
    <row r="633" spans="2:7" x14ac:dyDescent="0.25">
      <c r="B633" t="s">
        <v>498</v>
      </c>
      <c r="C633" t="s">
        <v>499</v>
      </c>
      <c r="D633">
        <v>144103</v>
      </c>
      <c r="G633" s="15" t="s">
        <v>2290</v>
      </c>
    </row>
    <row r="634" spans="2:7" x14ac:dyDescent="0.25">
      <c r="B634" t="s">
        <v>500</v>
      </c>
      <c r="C634" t="s">
        <v>501</v>
      </c>
      <c r="D634">
        <v>144078</v>
      </c>
      <c r="G634" s="15" t="s">
        <v>2291</v>
      </c>
    </row>
    <row r="635" spans="2:7" x14ac:dyDescent="0.25">
      <c r="B635" t="s">
        <v>502</v>
      </c>
      <c r="C635" t="s">
        <v>503</v>
      </c>
      <c r="D635">
        <v>143255</v>
      </c>
      <c r="G635" s="15" t="s">
        <v>2292</v>
      </c>
    </row>
    <row r="636" spans="2:7" x14ac:dyDescent="0.25">
      <c r="B636" t="s">
        <v>504</v>
      </c>
      <c r="C636" t="s">
        <v>505</v>
      </c>
      <c r="D636">
        <v>142150</v>
      </c>
      <c r="G636" s="15" t="s">
        <v>2293</v>
      </c>
    </row>
    <row r="637" spans="2:7" x14ac:dyDescent="0.25">
      <c r="B637" t="s">
        <v>506</v>
      </c>
      <c r="C637" t="s">
        <v>507</v>
      </c>
      <c r="D637">
        <v>142099</v>
      </c>
      <c r="G637" s="15" t="s">
        <v>2294</v>
      </c>
    </row>
    <row r="638" spans="2:7" x14ac:dyDescent="0.25">
      <c r="B638" t="s">
        <v>508</v>
      </c>
      <c r="C638" t="s">
        <v>509</v>
      </c>
      <c r="D638">
        <v>141900</v>
      </c>
      <c r="G638" s="15" t="s">
        <v>2295</v>
      </c>
    </row>
    <row r="639" spans="2:7" x14ac:dyDescent="0.25">
      <c r="B639" t="s">
        <v>510</v>
      </c>
      <c r="C639" t="s">
        <v>511</v>
      </c>
      <c r="D639">
        <v>141532</v>
      </c>
      <c r="G639" s="15" t="s">
        <v>2296</v>
      </c>
    </row>
    <row r="640" spans="2:7" x14ac:dyDescent="0.25">
      <c r="B640" t="s">
        <v>512</v>
      </c>
      <c r="C640" t="s">
        <v>513</v>
      </c>
      <c r="D640">
        <v>138952</v>
      </c>
      <c r="G640" s="15" t="s">
        <v>2297</v>
      </c>
    </row>
    <row r="641" spans="2:7" x14ac:dyDescent="0.25">
      <c r="B641" t="s">
        <v>514</v>
      </c>
      <c r="C641" t="s">
        <v>515</v>
      </c>
      <c r="D641">
        <v>138207</v>
      </c>
      <c r="G641" s="15" t="s">
        <v>2298</v>
      </c>
    </row>
    <row r="642" spans="2:7" x14ac:dyDescent="0.25">
      <c r="B642" t="s">
        <v>516</v>
      </c>
      <c r="C642" t="s">
        <v>517</v>
      </c>
      <c r="D642">
        <v>137715</v>
      </c>
    </row>
    <row r="643" spans="2:7" x14ac:dyDescent="0.25">
      <c r="B643" t="s">
        <v>518</v>
      </c>
      <c r="C643" t="s">
        <v>519</v>
      </c>
      <c r="D643">
        <v>137394</v>
      </c>
    </row>
    <row r="644" spans="2:7" x14ac:dyDescent="0.25">
      <c r="B644" t="s">
        <v>520</v>
      </c>
      <c r="C644" t="s">
        <v>521</v>
      </c>
      <c r="D644">
        <v>136335</v>
      </c>
    </row>
    <row r="645" spans="2:7" x14ac:dyDescent="0.25">
      <c r="B645" t="s">
        <v>522</v>
      </c>
      <c r="C645" t="s">
        <v>523</v>
      </c>
      <c r="D645">
        <v>135628</v>
      </c>
    </row>
    <row r="646" spans="2:7" x14ac:dyDescent="0.25">
      <c r="B646" t="s">
        <v>524</v>
      </c>
      <c r="C646" t="s">
        <v>525</v>
      </c>
      <c r="D646">
        <v>135324</v>
      </c>
    </row>
    <row r="647" spans="2:7" x14ac:dyDescent="0.25">
      <c r="B647" t="s">
        <v>526</v>
      </c>
      <c r="C647" t="s">
        <v>527</v>
      </c>
      <c r="D647">
        <v>134645</v>
      </c>
    </row>
    <row r="648" spans="2:7" x14ac:dyDescent="0.25">
      <c r="B648" t="s">
        <v>528</v>
      </c>
      <c r="C648" t="s">
        <v>529</v>
      </c>
      <c r="D648">
        <v>134238</v>
      </c>
    </row>
    <row r="649" spans="2:7" x14ac:dyDescent="0.25">
      <c r="B649" t="s">
        <v>530</v>
      </c>
      <c r="C649" t="s">
        <v>531</v>
      </c>
      <c r="D649">
        <v>133711</v>
      </c>
    </row>
    <row r="650" spans="2:7" x14ac:dyDescent="0.25">
      <c r="B650" t="s">
        <v>532</v>
      </c>
      <c r="C650" t="s">
        <v>533</v>
      </c>
      <c r="D650">
        <v>133506</v>
      </c>
    </row>
    <row r="651" spans="2:7" x14ac:dyDescent="0.25">
      <c r="B651" t="s">
        <v>534</v>
      </c>
      <c r="C651" t="s">
        <v>535</v>
      </c>
      <c r="D651">
        <v>133272</v>
      </c>
    </row>
    <row r="652" spans="2:7" x14ac:dyDescent="0.25">
      <c r="B652" t="s">
        <v>536</v>
      </c>
      <c r="C652" t="s">
        <v>537</v>
      </c>
      <c r="D652">
        <v>131954</v>
      </c>
    </row>
    <row r="653" spans="2:7" x14ac:dyDescent="0.25">
      <c r="B653" t="s">
        <v>538</v>
      </c>
      <c r="C653" t="s">
        <v>539</v>
      </c>
      <c r="D653">
        <v>131591</v>
      </c>
    </row>
    <row r="654" spans="2:7" x14ac:dyDescent="0.25">
      <c r="B654" t="s">
        <v>540</v>
      </c>
      <c r="C654" t="s">
        <v>541</v>
      </c>
      <c r="D654">
        <v>131451</v>
      </c>
    </row>
    <row r="655" spans="2:7" x14ac:dyDescent="0.25">
      <c r="B655" t="s">
        <v>542</v>
      </c>
      <c r="C655" t="s">
        <v>543</v>
      </c>
      <c r="D655">
        <v>130726</v>
      </c>
    </row>
    <row r="656" spans="2:7" x14ac:dyDescent="0.25">
      <c r="B656" t="s">
        <v>544</v>
      </c>
      <c r="C656" t="s">
        <v>545</v>
      </c>
      <c r="D656">
        <v>130691</v>
      </c>
    </row>
    <row r="657" spans="2:4" x14ac:dyDescent="0.25">
      <c r="B657" t="s">
        <v>546</v>
      </c>
      <c r="C657" t="s">
        <v>547</v>
      </c>
      <c r="D657">
        <v>130077</v>
      </c>
    </row>
    <row r="658" spans="2:4" x14ac:dyDescent="0.25">
      <c r="B658" t="s">
        <v>548</v>
      </c>
      <c r="C658" t="s">
        <v>549</v>
      </c>
      <c r="D658">
        <v>129715</v>
      </c>
    </row>
    <row r="659" spans="2:4" x14ac:dyDescent="0.25">
      <c r="B659" t="s">
        <v>550</v>
      </c>
      <c r="C659" t="s">
        <v>551</v>
      </c>
      <c r="D659">
        <v>128871</v>
      </c>
    </row>
    <row r="660" spans="2:4" x14ac:dyDescent="0.25">
      <c r="B660" t="s">
        <v>552</v>
      </c>
      <c r="C660" t="s">
        <v>553</v>
      </c>
      <c r="D660">
        <v>128764</v>
      </c>
    </row>
    <row r="661" spans="2:4" x14ac:dyDescent="0.25">
      <c r="B661" t="s">
        <v>554</v>
      </c>
      <c r="C661" t="s">
        <v>555</v>
      </c>
      <c r="D661">
        <v>127679</v>
      </c>
    </row>
    <row r="662" spans="2:4" x14ac:dyDescent="0.25">
      <c r="B662" t="s">
        <v>556</v>
      </c>
      <c r="C662" t="s">
        <v>557</v>
      </c>
      <c r="D662">
        <v>127275</v>
      </c>
    </row>
    <row r="663" spans="2:4" x14ac:dyDescent="0.25">
      <c r="B663" t="s">
        <v>558</v>
      </c>
      <c r="C663" t="s">
        <v>559</v>
      </c>
      <c r="D663">
        <v>127143</v>
      </c>
    </row>
    <row r="664" spans="2:4" x14ac:dyDescent="0.25">
      <c r="B664" t="s">
        <v>560</v>
      </c>
      <c r="C664" t="s">
        <v>561</v>
      </c>
      <c r="D664">
        <v>126902</v>
      </c>
    </row>
    <row r="665" spans="2:4" x14ac:dyDescent="0.25">
      <c r="B665" t="s">
        <v>562</v>
      </c>
      <c r="C665" t="s">
        <v>563</v>
      </c>
      <c r="D665">
        <v>126864</v>
      </c>
    </row>
    <row r="666" spans="2:4" x14ac:dyDescent="0.25">
      <c r="B666" t="s">
        <v>564</v>
      </c>
      <c r="C666" t="s">
        <v>565</v>
      </c>
      <c r="D666">
        <v>125655</v>
      </c>
    </row>
    <row r="667" spans="2:4" x14ac:dyDescent="0.25">
      <c r="B667" t="s">
        <v>566</v>
      </c>
      <c r="C667" t="s">
        <v>567</v>
      </c>
      <c r="D667">
        <v>123931</v>
      </c>
    </row>
    <row r="668" spans="2:4" x14ac:dyDescent="0.25">
      <c r="B668" t="s">
        <v>568</v>
      </c>
      <c r="C668" t="s">
        <v>569</v>
      </c>
      <c r="D668">
        <v>123468</v>
      </c>
    </row>
    <row r="669" spans="2:4" x14ac:dyDescent="0.25">
      <c r="B669" t="s">
        <v>570</v>
      </c>
      <c r="C669" t="s">
        <v>571</v>
      </c>
      <c r="D669">
        <v>122960</v>
      </c>
    </row>
    <row r="670" spans="2:4" x14ac:dyDescent="0.25">
      <c r="B670" t="s">
        <v>572</v>
      </c>
      <c r="C670" t="s">
        <v>573</v>
      </c>
      <c r="D670">
        <v>122943</v>
      </c>
    </row>
    <row r="671" spans="2:4" x14ac:dyDescent="0.25">
      <c r="B671" t="s">
        <v>574</v>
      </c>
      <c r="C671" t="s">
        <v>575</v>
      </c>
      <c r="D671">
        <v>122688</v>
      </c>
    </row>
    <row r="672" spans="2:4" x14ac:dyDescent="0.25">
      <c r="B672" t="s">
        <v>576</v>
      </c>
      <c r="C672" t="s">
        <v>577</v>
      </c>
      <c r="D672">
        <v>122383</v>
      </c>
    </row>
    <row r="673" spans="2:4" x14ac:dyDescent="0.25">
      <c r="B673" t="s">
        <v>578</v>
      </c>
      <c r="C673" t="s">
        <v>579</v>
      </c>
      <c r="D673">
        <v>122220</v>
      </c>
    </row>
    <row r="674" spans="2:4" x14ac:dyDescent="0.25">
      <c r="B674" t="s">
        <v>580</v>
      </c>
      <c r="C674" t="s">
        <v>581</v>
      </c>
      <c r="D674">
        <v>122162</v>
      </c>
    </row>
    <row r="675" spans="2:4" x14ac:dyDescent="0.25">
      <c r="B675" t="s">
        <v>582</v>
      </c>
      <c r="C675" t="s">
        <v>583</v>
      </c>
      <c r="D675">
        <v>122059</v>
      </c>
    </row>
    <row r="676" spans="2:4" x14ac:dyDescent="0.25">
      <c r="B676" t="s">
        <v>584</v>
      </c>
      <c r="C676" t="s">
        <v>585</v>
      </c>
      <c r="D676">
        <v>121753</v>
      </c>
    </row>
    <row r="677" spans="2:4" x14ac:dyDescent="0.25">
      <c r="B677" t="s">
        <v>586</v>
      </c>
      <c r="C677" t="s">
        <v>587</v>
      </c>
      <c r="D677">
        <v>120822</v>
      </c>
    </row>
    <row r="678" spans="2:4" x14ac:dyDescent="0.25">
      <c r="B678" t="s">
        <v>588</v>
      </c>
      <c r="C678" t="s">
        <v>589</v>
      </c>
      <c r="D678">
        <v>120318</v>
      </c>
    </row>
    <row r="679" spans="2:4" x14ac:dyDescent="0.25">
      <c r="B679" t="s">
        <v>590</v>
      </c>
      <c r="C679" t="s">
        <v>591</v>
      </c>
      <c r="D679">
        <v>120290</v>
      </c>
    </row>
    <row r="680" spans="2:4" x14ac:dyDescent="0.25">
      <c r="B680" t="s">
        <v>592</v>
      </c>
      <c r="C680" t="s">
        <v>593</v>
      </c>
      <c r="D680">
        <v>120017</v>
      </c>
    </row>
    <row r="681" spans="2:4" x14ac:dyDescent="0.25">
      <c r="B681" t="s">
        <v>594</v>
      </c>
      <c r="C681" t="s">
        <v>595</v>
      </c>
      <c r="D681">
        <v>119911</v>
      </c>
    </row>
    <row r="682" spans="2:4" x14ac:dyDescent="0.25">
      <c r="B682" t="s">
        <v>596</v>
      </c>
      <c r="C682" t="s">
        <v>597</v>
      </c>
      <c r="D682">
        <v>119097</v>
      </c>
    </row>
    <row r="683" spans="2:4" x14ac:dyDescent="0.25">
      <c r="B683" t="s">
        <v>598</v>
      </c>
      <c r="C683" t="s">
        <v>599</v>
      </c>
      <c r="D683">
        <v>118611</v>
      </c>
    </row>
    <row r="684" spans="2:4" x14ac:dyDescent="0.25">
      <c r="B684" t="s">
        <v>600</v>
      </c>
      <c r="C684" t="s">
        <v>601</v>
      </c>
      <c r="D684">
        <v>118063</v>
      </c>
    </row>
    <row r="685" spans="2:4" x14ac:dyDescent="0.25">
      <c r="B685" t="s">
        <v>602</v>
      </c>
      <c r="C685" t="s">
        <v>603</v>
      </c>
      <c r="D685">
        <v>117694</v>
      </c>
    </row>
    <row r="686" spans="2:4" x14ac:dyDescent="0.25">
      <c r="B686" t="s">
        <v>604</v>
      </c>
      <c r="C686" t="s">
        <v>605</v>
      </c>
      <c r="D686">
        <v>117694</v>
      </c>
    </row>
    <row r="687" spans="2:4" x14ac:dyDescent="0.25">
      <c r="B687" t="s">
        <v>606</v>
      </c>
      <c r="C687" t="s">
        <v>607</v>
      </c>
      <c r="D687">
        <v>116946</v>
      </c>
    </row>
    <row r="688" spans="2:4" x14ac:dyDescent="0.25">
      <c r="B688" t="s">
        <v>608</v>
      </c>
      <c r="C688" t="s">
        <v>609</v>
      </c>
      <c r="D688">
        <v>116870</v>
      </c>
    </row>
    <row r="689" spans="2:4" x14ac:dyDescent="0.25">
      <c r="B689" t="s">
        <v>610</v>
      </c>
      <c r="C689" t="s">
        <v>611</v>
      </c>
      <c r="D689">
        <v>116553</v>
      </c>
    </row>
    <row r="690" spans="2:4" x14ac:dyDescent="0.25">
      <c r="B690" t="s">
        <v>612</v>
      </c>
      <c r="C690" t="s">
        <v>613</v>
      </c>
      <c r="D690">
        <v>115922</v>
      </c>
    </row>
    <row r="691" spans="2:4" x14ac:dyDescent="0.25">
      <c r="B691" t="s">
        <v>614</v>
      </c>
      <c r="C691" t="s">
        <v>615</v>
      </c>
      <c r="D691">
        <v>114119</v>
      </c>
    </row>
    <row r="692" spans="2:4" x14ac:dyDescent="0.25">
      <c r="B692" t="s">
        <v>616</v>
      </c>
      <c r="C692" t="s">
        <v>617</v>
      </c>
      <c r="D692">
        <v>113980</v>
      </c>
    </row>
    <row r="693" spans="2:4" x14ac:dyDescent="0.25">
      <c r="B693" t="s">
        <v>618</v>
      </c>
      <c r="C693" t="s">
        <v>619</v>
      </c>
      <c r="D693">
        <v>113867</v>
      </c>
    </row>
    <row r="694" spans="2:4" x14ac:dyDescent="0.25">
      <c r="B694" t="s">
        <v>620</v>
      </c>
      <c r="C694" t="s">
        <v>621</v>
      </c>
      <c r="D694">
        <v>113678</v>
      </c>
    </row>
    <row r="695" spans="2:4" x14ac:dyDescent="0.25">
      <c r="B695" t="s">
        <v>622</v>
      </c>
      <c r="C695" t="s">
        <v>623</v>
      </c>
      <c r="D695">
        <v>112524</v>
      </c>
    </row>
    <row r="696" spans="2:4" x14ac:dyDescent="0.25">
      <c r="B696" t="s">
        <v>624</v>
      </c>
      <c r="C696" t="s">
        <v>625</v>
      </c>
      <c r="D696">
        <v>112400</v>
      </c>
    </row>
    <row r="697" spans="2:4" x14ac:dyDescent="0.25">
      <c r="B697" t="s">
        <v>626</v>
      </c>
      <c r="C697" t="s">
        <v>627</v>
      </c>
      <c r="D697">
        <v>112056</v>
      </c>
    </row>
    <row r="698" spans="2:4" x14ac:dyDescent="0.25">
      <c r="B698" t="s">
        <v>628</v>
      </c>
      <c r="C698" t="s">
        <v>629</v>
      </c>
      <c r="D698">
        <v>110473</v>
      </c>
    </row>
    <row r="699" spans="2:4" x14ac:dyDescent="0.25">
      <c r="B699" t="s">
        <v>630</v>
      </c>
      <c r="C699" t="s">
        <v>631</v>
      </c>
      <c r="D699">
        <v>109637</v>
      </c>
    </row>
    <row r="700" spans="2:4" x14ac:dyDescent="0.25">
      <c r="B700" t="s">
        <v>632</v>
      </c>
      <c r="C700" t="s">
        <v>633</v>
      </c>
      <c r="D700">
        <v>109615</v>
      </c>
    </row>
    <row r="701" spans="2:4" x14ac:dyDescent="0.25">
      <c r="B701" t="s">
        <v>634</v>
      </c>
      <c r="C701" t="s">
        <v>635</v>
      </c>
      <c r="D701">
        <v>108551</v>
      </c>
    </row>
    <row r="702" spans="2:4" x14ac:dyDescent="0.25">
      <c r="B702" t="s">
        <v>636</v>
      </c>
      <c r="C702" t="s">
        <v>637</v>
      </c>
      <c r="D702">
        <v>108511</v>
      </c>
    </row>
    <row r="703" spans="2:4" x14ac:dyDescent="0.25">
      <c r="B703" t="s">
        <v>638</v>
      </c>
      <c r="C703" t="s">
        <v>639</v>
      </c>
      <c r="D703">
        <v>108248</v>
      </c>
    </row>
    <row r="704" spans="2:4" x14ac:dyDescent="0.25">
      <c r="B704" t="s">
        <v>640</v>
      </c>
      <c r="C704" t="s">
        <v>641</v>
      </c>
      <c r="D704">
        <v>107981</v>
      </c>
    </row>
    <row r="705" spans="2:4" x14ac:dyDescent="0.25">
      <c r="B705" t="s">
        <v>642</v>
      </c>
      <c r="C705" t="s">
        <v>643</v>
      </c>
      <c r="D705">
        <v>107888</v>
      </c>
    </row>
    <row r="706" spans="2:4" x14ac:dyDescent="0.25">
      <c r="B706" t="s">
        <v>644</v>
      </c>
      <c r="C706" t="s">
        <v>645</v>
      </c>
      <c r="D706">
        <v>107828</v>
      </c>
    </row>
    <row r="707" spans="2:4" x14ac:dyDescent="0.25">
      <c r="B707" t="s">
        <v>646</v>
      </c>
      <c r="C707" t="s">
        <v>647</v>
      </c>
      <c r="D707">
        <v>107573</v>
      </c>
    </row>
    <row r="708" spans="2:4" x14ac:dyDescent="0.25">
      <c r="B708" t="s">
        <v>648</v>
      </c>
      <c r="C708" t="s">
        <v>649</v>
      </c>
      <c r="D708">
        <v>107047</v>
      </c>
    </row>
    <row r="709" spans="2:4" x14ac:dyDescent="0.25">
      <c r="B709" t="s">
        <v>650</v>
      </c>
      <c r="C709" t="s">
        <v>651</v>
      </c>
      <c r="D709">
        <v>106544</v>
      </c>
    </row>
    <row r="710" spans="2:4" x14ac:dyDescent="0.25">
      <c r="B710" t="s">
        <v>652</v>
      </c>
      <c r="C710" t="s">
        <v>653</v>
      </c>
      <c r="D710">
        <v>105573</v>
      </c>
    </row>
    <row r="711" spans="2:4" x14ac:dyDescent="0.25">
      <c r="B711" t="s">
        <v>654</v>
      </c>
      <c r="C711" t="s">
        <v>655</v>
      </c>
      <c r="D711">
        <v>105395</v>
      </c>
    </row>
    <row r="712" spans="2:4" x14ac:dyDescent="0.25">
      <c r="B712" t="s">
        <v>656</v>
      </c>
      <c r="C712" t="s">
        <v>657</v>
      </c>
      <c r="D712">
        <v>105285</v>
      </c>
    </row>
    <row r="713" spans="2:4" x14ac:dyDescent="0.25">
      <c r="B713" t="s">
        <v>658</v>
      </c>
      <c r="C713" t="s">
        <v>659</v>
      </c>
      <c r="D713">
        <v>105223</v>
      </c>
    </row>
    <row r="714" spans="2:4" x14ac:dyDescent="0.25">
      <c r="B714" t="s">
        <v>660</v>
      </c>
      <c r="C714" t="s">
        <v>661</v>
      </c>
      <c r="D714">
        <v>105144</v>
      </c>
    </row>
    <row r="715" spans="2:4" x14ac:dyDescent="0.25">
      <c r="B715" t="s">
        <v>662</v>
      </c>
      <c r="C715" t="s">
        <v>663</v>
      </c>
      <c r="D715">
        <v>105029</v>
      </c>
    </row>
    <row r="716" spans="2:4" x14ac:dyDescent="0.25">
      <c r="B716" t="s">
        <v>664</v>
      </c>
      <c r="C716" t="s">
        <v>665</v>
      </c>
      <c r="D716">
        <v>104880</v>
      </c>
    </row>
    <row r="717" spans="2:4" x14ac:dyDescent="0.25">
      <c r="B717" t="s">
        <v>666</v>
      </c>
      <c r="C717" t="s">
        <v>667</v>
      </c>
      <c r="D717">
        <v>104682</v>
      </c>
    </row>
    <row r="718" spans="2:4" x14ac:dyDescent="0.25">
      <c r="B718" t="s">
        <v>668</v>
      </c>
      <c r="C718" t="s">
        <v>669</v>
      </c>
      <c r="D718">
        <v>104339</v>
      </c>
    </row>
    <row r="719" spans="2:4" x14ac:dyDescent="0.25">
      <c r="B719" t="s">
        <v>670</v>
      </c>
      <c r="C719" t="s">
        <v>671</v>
      </c>
      <c r="D719">
        <v>104034</v>
      </c>
    </row>
    <row r="720" spans="2:4" x14ac:dyDescent="0.25">
      <c r="B720" t="s">
        <v>672</v>
      </c>
      <c r="C720" t="s">
        <v>673</v>
      </c>
      <c r="D720">
        <v>104008</v>
      </c>
    </row>
    <row r="721" spans="2:4" x14ac:dyDescent="0.25">
      <c r="B721" t="s">
        <v>674</v>
      </c>
      <c r="C721" t="s">
        <v>675</v>
      </c>
      <c r="D721">
        <v>103595</v>
      </c>
    </row>
    <row r="722" spans="2:4" x14ac:dyDescent="0.25">
      <c r="B722" t="s">
        <v>676</v>
      </c>
      <c r="C722" t="s">
        <v>677</v>
      </c>
      <c r="D722">
        <v>103195</v>
      </c>
    </row>
    <row r="723" spans="2:4" x14ac:dyDescent="0.25">
      <c r="B723" t="s">
        <v>678</v>
      </c>
      <c r="C723" t="s">
        <v>679</v>
      </c>
      <c r="D723">
        <v>102766</v>
      </c>
    </row>
    <row r="724" spans="2:4" x14ac:dyDescent="0.25">
      <c r="B724" t="s">
        <v>680</v>
      </c>
      <c r="C724" t="s">
        <v>681</v>
      </c>
      <c r="D724">
        <v>102680</v>
      </c>
    </row>
    <row r="725" spans="2:4" x14ac:dyDescent="0.25">
      <c r="B725" t="s">
        <v>682</v>
      </c>
      <c r="C725" t="s">
        <v>683</v>
      </c>
      <c r="D725">
        <v>102135</v>
      </c>
    </row>
    <row r="726" spans="2:4" x14ac:dyDescent="0.25">
      <c r="B726" t="s">
        <v>684</v>
      </c>
      <c r="C726" t="s">
        <v>685</v>
      </c>
      <c r="D726">
        <v>102047</v>
      </c>
    </row>
    <row r="727" spans="2:4" x14ac:dyDescent="0.25">
      <c r="B727" t="s">
        <v>686</v>
      </c>
      <c r="C727" t="s">
        <v>687</v>
      </c>
      <c r="D727">
        <v>101929</v>
      </c>
    </row>
    <row r="728" spans="2:4" x14ac:dyDescent="0.25">
      <c r="B728" t="s">
        <v>688</v>
      </c>
      <c r="C728" t="s">
        <v>689</v>
      </c>
      <c r="D728">
        <v>101608</v>
      </c>
    </row>
    <row r="729" spans="2:4" x14ac:dyDescent="0.25">
      <c r="B729" t="s">
        <v>690</v>
      </c>
      <c r="C729" t="s">
        <v>691</v>
      </c>
      <c r="D729">
        <v>101516</v>
      </c>
    </row>
    <row r="730" spans="2:4" x14ac:dyDescent="0.25">
      <c r="B730" t="s">
        <v>692</v>
      </c>
      <c r="C730" t="s">
        <v>693</v>
      </c>
      <c r="D730">
        <v>101136</v>
      </c>
    </row>
    <row r="731" spans="2:4" x14ac:dyDescent="0.25">
      <c r="B731" t="s">
        <v>694</v>
      </c>
      <c r="C731" t="s">
        <v>695</v>
      </c>
      <c r="D731">
        <v>100132</v>
      </c>
    </row>
    <row r="732" spans="2:4" x14ac:dyDescent="0.25">
      <c r="B732" t="s">
        <v>696</v>
      </c>
      <c r="C732" t="s">
        <v>697</v>
      </c>
      <c r="D732">
        <v>100122</v>
      </c>
    </row>
    <row r="733" spans="2:4" x14ac:dyDescent="0.25">
      <c r="B733" t="s">
        <v>698</v>
      </c>
      <c r="C733" t="s">
        <v>699</v>
      </c>
      <c r="D733">
        <v>98433</v>
      </c>
    </row>
    <row r="734" spans="2:4" x14ac:dyDescent="0.25">
      <c r="B734" t="s">
        <v>700</v>
      </c>
      <c r="C734" t="s">
        <v>701</v>
      </c>
      <c r="D734">
        <v>98419</v>
      </c>
    </row>
    <row r="735" spans="2:4" x14ac:dyDescent="0.25">
      <c r="B735" t="s">
        <v>702</v>
      </c>
      <c r="C735" t="s">
        <v>703</v>
      </c>
      <c r="D735">
        <v>97619</v>
      </c>
    </row>
    <row r="736" spans="2:4" x14ac:dyDescent="0.25">
      <c r="B736" t="s">
        <v>704</v>
      </c>
      <c r="C736" t="s">
        <v>705</v>
      </c>
      <c r="D736">
        <v>97022</v>
      </c>
    </row>
    <row r="737" spans="2:4" x14ac:dyDescent="0.25">
      <c r="B737" t="s">
        <v>706</v>
      </c>
      <c r="C737" t="s">
        <v>707</v>
      </c>
      <c r="D737">
        <v>96010</v>
      </c>
    </row>
    <row r="738" spans="2:4" x14ac:dyDescent="0.25">
      <c r="B738" t="s">
        <v>708</v>
      </c>
      <c r="C738" t="s">
        <v>709</v>
      </c>
      <c r="D738">
        <v>95734</v>
      </c>
    </row>
    <row r="739" spans="2:4" x14ac:dyDescent="0.25">
      <c r="B739" t="s">
        <v>710</v>
      </c>
      <c r="C739" t="s">
        <v>711</v>
      </c>
      <c r="D739">
        <v>95534</v>
      </c>
    </row>
    <row r="740" spans="2:4" x14ac:dyDescent="0.25">
      <c r="B740" t="s">
        <v>712</v>
      </c>
      <c r="C740" t="s">
        <v>713</v>
      </c>
      <c r="D740">
        <v>94790</v>
      </c>
    </row>
    <row r="741" spans="2:4" x14ac:dyDescent="0.25">
      <c r="B741" t="s">
        <v>714</v>
      </c>
      <c r="C741" t="s">
        <v>715</v>
      </c>
      <c r="D741">
        <v>94739</v>
      </c>
    </row>
    <row r="742" spans="2:4" x14ac:dyDescent="0.25">
      <c r="B742" t="s">
        <v>716</v>
      </c>
      <c r="C742" t="s">
        <v>717</v>
      </c>
      <c r="D742">
        <v>94672</v>
      </c>
    </row>
    <row r="743" spans="2:4" x14ac:dyDescent="0.25">
      <c r="B743" t="s">
        <v>718</v>
      </c>
      <c r="C743" t="s">
        <v>719</v>
      </c>
      <c r="D743">
        <v>94281</v>
      </c>
    </row>
    <row r="744" spans="2:4" x14ac:dyDescent="0.25">
      <c r="B744" t="s">
        <v>720</v>
      </c>
      <c r="C744" t="s">
        <v>721</v>
      </c>
      <c r="D744">
        <v>94043</v>
      </c>
    </row>
    <row r="745" spans="2:4" x14ac:dyDescent="0.25">
      <c r="B745" t="s">
        <v>722</v>
      </c>
      <c r="C745" t="s">
        <v>723</v>
      </c>
      <c r="D745">
        <v>93732</v>
      </c>
    </row>
    <row r="746" spans="2:4" x14ac:dyDescent="0.25">
      <c r="B746" t="s">
        <v>724</v>
      </c>
      <c r="C746" t="s">
        <v>725</v>
      </c>
      <c r="D746">
        <v>92683</v>
      </c>
    </row>
    <row r="747" spans="2:4" x14ac:dyDescent="0.25">
      <c r="B747" t="s">
        <v>726</v>
      </c>
      <c r="C747" t="s">
        <v>727</v>
      </c>
      <c r="D747">
        <v>92026</v>
      </c>
    </row>
    <row r="748" spans="2:4" x14ac:dyDescent="0.25">
      <c r="B748" t="s">
        <v>728</v>
      </c>
      <c r="C748" t="s">
        <v>729</v>
      </c>
      <c r="D748">
        <v>91820</v>
      </c>
    </row>
    <row r="749" spans="2:4" x14ac:dyDescent="0.25">
      <c r="B749" t="s">
        <v>730</v>
      </c>
      <c r="C749" t="s">
        <v>731</v>
      </c>
      <c r="D749">
        <v>91820</v>
      </c>
    </row>
    <row r="750" spans="2:4" x14ac:dyDescent="0.25">
      <c r="B750" t="s">
        <v>732</v>
      </c>
      <c r="C750" t="s">
        <v>733</v>
      </c>
      <c r="D750">
        <v>90617</v>
      </c>
    </row>
    <row r="751" spans="2:4" x14ac:dyDescent="0.25">
      <c r="B751" t="s">
        <v>734</v>
      </c>
      <c r="C751" t="s">
        <v>735</v>
      </c>
      <c r="D751">
        <v>90496</v>
      </c>
    </row>
    <row r="752" spans="2:4" x14ac:dyDescent="0.25">
      <c r="B752" t="s">
        <v>736</v>
      </c>
      <c r="C752" t="s">
        <v>737</v>
      </c>
      <c r="D752">
        <v>90237</v>
      </c>
    </row>
    <row r="753" spans="2:4" x14ac:dyDescent="0.25">
      <c r="B753" t="s">
        <v>738</v>
      </c>
      <c r="C753" t="s">
        <v>739</v>
      </c>
      <c r="D753">
        <v>89929</v>
      </c>
    </row>
    <row r="754" spans="2:4" x14ac:dyDescent="0.25">
      <c r="B754" t="s">
        <v>740</v>
      </c>
      <c r="C754" t="s">
        <v>741</v>
      </c>
      <c r="D754">
        <v>89731</v>
      </c>
    </row>
    <row r="755" spans="2:4" x14ac:dyDescent="0.25">
      <c r="B755" t="s">
        <v>742</v>
      </c>
      <c r="C755" t="s">
        <v>743</v>
      </c>
      <c r="D755">
        <v>89585</v>
      </c>
    </row>
    <row r="756" spans="2:4" x14ac:dyDescent="0.25">
      <c r="B756" t="s">
        <v>744</v>
      </c>
      <c r="C756" t="s">
        <v>745</v>
      </c>
      <c r="D756">
        <v>89383</v>
      </c>
    </row>
    <row r="757" spans="2:4" x14ac:dyDescent="0.25">
      <c r="B757" t="s">
        <v>746</v>
      </c>
      <c r="C757" t="s">
        <v>747</v>
      </c>
      <c r="D757">
        <v>89111</v>
      </c>
    </row>
    <row r="758" spans="2:4" x14ac:dyDescent="0.25">
      <c r="B758" t="s">
        <v>748</v>
      </c>
      <c r="C758" t="s">
        <v>749</v>
      </c>
      <c r="D758">
        <v>88084</v>
      </c>
    </row>
    <row r="759" spans="2:4" x14ac:dyDescent="0.25">
      <c r="B759" t="s">
        <v>750</v>
      </c>
      <c r="C759" t="s">
        <v>751</v>
      </c>
      <c r="D759">
        <v>87851</v>
      </c>
    </row>
    <row r="760" spans="2:4" x14ac:dyDescent="0.25">
      <c r="B760" t="s">
        <v>752</v>
      </c>
      <c r="C760" t="s">
        <v>753</v>
      </c>
      <c r="D760">
        <v>87792</v>
      </c>
    </row>
    <row r="761" spans="2:4" x14ac:dyDescent="0.25">
      <c r="B761" t="s">
        <v>754</v>
      </c>
      <c r="C761" t="s">
        <v>755</v>
      </c>
      <c r="D761">
        <v>87638</v>
      </c>
    </row>
    <row r="762" spans="2:4" x14ac:dyDescent="0.25">
      <c r="B762" t="s">
        <v>756</v>
      </c>
      <c r="C762" t="s">
        <v>757</v>
      </c>
      <c r="D762">
        <v>87615</v>
      </c>
    </row>
    <row r="763" spans="2:4" x14ac:dyDescent="0.25">
      <c r="B763" t="s">
        <v>758</v>
      </c>
      <c r="C763" t="s">
        <v>759</v>
      </c>
      <c r="D763">
        <v>86951</v>
      </c>
    </row>
    <row r="764" spans="2:4" x14ac:dyDescent="0.25">
      <c r="B764" t="s">
        <v>760</v>
      </c>
      <c r="C764" t="s">
        <v>761</v>
      </c>
      <c r="D764">
        <v>86923</v>
      </c>
    </row>
    <row r="765" spans="2:4" x14ac:dyDescent="0.25">
      <c r="B765" t="s">
        <v>762</v>
      </c>
      <c r="C765" t="s">
        <v>763</v>
      </c>
      <c r="D765">
        <v>86416</v>
      </c>
    </row>
    <row r="766" spans="2:4" x14ac:dyDescent="0.25">
      <c r="B766" t="s">
        <v>764</v>
      </c>
      <c r="C766" t="s">
        <v>765</v>
      </c>
      <c r="D766">
        <v>85981</v>
      </c>
    </row>
    <row r="767" spans="2:4" x14ac:dyDescent="0.25">
      <c r="B767" t="s">
        <v>766</v>
      </c>
      <c r="C767" t="s">
        <v>767</v>
      </c>
      <c r="D767">
        <v>84651</v>
      </c>
    </row>
    <row r="768" spans="2:4" x14ac:dyDescent="0.25">
      <c r="B768" t="s">
        <v>768</v>
      </c>
      <c r="C768" t="s">
        <v>769</v>
      </c>
      <c r="D768">
        <v>83227</v>
      </c>
    </row>
    <row r="769" spans="2:4" x14ac:dyDescent="0.25">
      <c r="B769" t="s">
        <v>770</v>
      </c>
      <c r="C769" t="s">
        <v>771</v>
      </c>
      <c r="D769">
        <v>83048</v>
      </c>
    </row>
    <row r="770" spans="2:4" x14ac:dyDescent="0.25">
      <c r="B770" t="s">
        <v>772</v>
      </c>
      <c r="C770" t="s">
        <v>773</v>
      </c>
      <c r="D770">
        <v>82913</v>
      </c>
    </row>
    <row r="771" spans="2:4" x14ac:dyDescent="0.25">
      <c r="B771" t="s">
        <v>774</v>
      </c>
      <c r="C771" t="s">
        <v>775</v>
      </c>
      <c r="D771">
        <v>82865</v>
      </c>
    </row>
    <row r="772" spans="2:4" x14ac:dyDescent="0.25">
      <c r="B772" t="s">
        <v>776</v>
      </c>
      <c r="C772" t="s">
        <v>777</v>
      </c>
      <c r="D772">
        <v>82742</v>
      </c>
    </row>
    <row r="773" spans="2:4" x14ac:dyDescent="0.25">
      <c r="B773" t="s">
        <v>778</v>
      </c>
      <c r="C773" t="s">
        <v>779</v>
      </c>
      <c r="D773">
        <v>82559</v>
      </c>
    </row>
    <row r="774" spans="2:4" x14ac:dyDescent="0.25">
      <c r="B774" t="s">
        <v>780</v>
      </c>
      <c r="C774" t="s">
        <v>781</v>
      </c>
      <c r="D774">
        <v>82453</v>
      </c>
    </row>
    <row r="775" spans="2:4" x14ac:dyDescent="0.25">
      <c r="B775" t="s">
        <v>782</v>
      </c>
      <c r="C775" t="s">
        <v>783</v>
      </c>
      <c r="D775">
        <v>82354</v>
      </c>
    </row>
    <row r="776" spans="2:4" x14ac:dyDescent="0.25">
      <c r="B776" t="s">
        <v>784</v>
      </c>
      <c r="C776" t="s">
        <v>785</v>
      </c>
      <c r="D776">
        <v>82229</v>
      </c>
    </row>
    <row r="777" spans="2:4" x14ac:dyDescent="0.25">
      <c r="B777" t="s">
        <v>786</v>
      </c>
      <c r="C777" t="s">
        <v>787</v>
      </c>
      <c r="D777">
        <v>81893</v>
      </c>
    </row>
    <row r="778" spans="2:4" x14ac:dyDescent="0.25">
      <c r="B778" t="s">
        <v>788</v>
      </c>
      <c r="C778" t="s">
        <v>789</v>
      </c>
      <c r="D778">
        <v>81677</v>
      </c>
    </row>
    <row r="779" spans="2:4" x14ac:dyDescent="0.25">
      <c r="B779" t="s">
        <v>790</v>
      </c>
      <c r="C779" t="s">
        <v>791</v>
      </c>
      <c r="D779">
        <v>81408</v>
      </c>
    </row>
    <row r="780" spans="2:4" x14ac:dyDescent="0.25">
      <c r="B780" t="s">
        <v>792</v>
      </c>
      <c r="C780" t="s">
        <v>793</v>
      </c>
      <c r="D780">
        <v>81340</v>
      </c>
    </row>
    <row r="781" spans="2:4" x14ac:dyDescent="0.25">
      <c r="B781" t="s">
        <v>794</v>
      </c>
      <c r="C781" t="s">
        <v>795</v>
      </c>
      <c r="D781">
        <v>81168</v>
      </c>
    </row>
    <row r="782" spans="2:4" x14ac:dyDescent="0.25">
      <c r="B782" t="s">
        <v>796</v>
      </c>
      <c r="C782" t="s">
        <v>797</v>
      </c>
      <c r="D782">
        <v>80870</v>
      </c>
    </row>
    <row r="783" spans="2:4" x14ac:dyDescent="0.25">
      <c r="B783" t="s">
        <v>798</v>
      </c>
      <c r="C783" t="s">
        <v>799</v>
      </c>
      <c r="D783">
        <v>80725</v>
      </c>
    </row>
    <row r="784" spans="2:4" x14ac:dyDescent="0.25">
      <c r="B784" t="s">
        <v>800</v>
      </c>
      <c r="C784" t="s">
        <v>801</v>
      </c>
      <c r="D784">
        <v>80673</v>
      </c>
    </row>
    <row r="785" spans="2:4" x14ac:dyDescent="0.25">
      <c r="B785" t="s">
        <v>802</v>
      </c>
      <c r="C785" t="s">
        <v>803</v>
      </c>
      <c r="D785">
        <v>80178</v>
      </c>
    </row>
    <row r="786" spans="2:4" x14ac:dyDescent="0.25">
      <c r="B786" t="s">
        <v>804</v>
      </c>
      <c r="C786" t="s">
        <v>805</v>
      </c>
      <c r="D786">
        <v>80082</v>
      </c>
    </row>
    <row r="787" spans="2:4" x14ac:dyDescent="0.25">
      <c r="B787" t="s">
        <v>806</v>
      </c>
      <c r="C787" t="s">
        <v>807</v>
      </c>
      <c r="D787">
        <v>79529</v>
      </c>
    </row>
    <row r="788" spans="2:4" x14ac:dyDescent="0.25">
      <c r="B788" t="s">
        <v>808</v>
      </c>
      <c r="C788" t="s">
        <v>809</v>
      </c>
      <c r="D788">
        <v>79176</v>
      </c>
    </row>
    <row r="789" spans="2:4" x14ac:dyDescent="0.25">
      <c r="B789" t="s">
        <v>810</v>
      </c>
      <c r="C789" t="s">
        <v>811</v>
      </c>
      <c r="D789">
        <v>78738</v>
      </c>
    </row>
    <row r="790" spans="2:4" x14ac:dyDescent="0.25">
      <c r="B790" t="s">
        <v>812</v>
      </c>
      <c r="C790" t="s">
        <v>813</v>
      </c>
      <c r="D790">
        <v>78574</v>
      </c>
    </row>
    <row r="791" spans="2:4" x14ac:dyDescent="0.25">
      <c r="B791" t="s">
        <v>814</v>
      </c>
      <c r="C791" t="s">
        <v>815</v>
      </c>
      <c r="D791">
        <v>78533</v>
      </c>
    </row>
    <row r="792" spans="2:4" x14ac:dyDescent="0.25">
      <c r="B792" t="s">
        <v>816</v>
      </c>
      <c r="C792" t="s">
        <v>817</v>
      </c>
      <c r="D792">
        <v>78411</v>
      </c>
    </row>
    <row r="793" spans="2:4" x14ac:dyDescent="0.25">
      <c r="B793" t="s">
        <v>818</v>
      </c>
      <c r="C793" t="s">
        <v>819</v>
      </c>
      <c r="D793">
        <v>78237</v>
      </c>
    </row>
    <row r="794" spans="2:4" x14ac:dyDescent="0.25">
      <c r="B794" t="s">
        <v>820</v>
      </c>
      <c r="C794" t="s">
        <v>821</v>
      </c>
      <c r="D794">
        <v>77990</v>
      </c>
    </row>
    <row r="795" spans="2:4" x14ac:dyDescent="0.25">
      <c r="B795" t="s">
        <v>822</v>
      </c>
      <c r="C795" t="s">
        <v>823</v>
      </c>
      <c r="D795">
        <v>77755</v>
      </c>
    </row>
    <row r="796" spans="2:4" x14ac:dyDescent="0.25">
      <c r="B796" t="s">
        <v>824</v>
      </c>
      <c r="C796" t="s">
        <v>825</v>
      </c>
      <c r="D796">
        <v>77683</v>
      </c>
    </row>
    <row r="797" spans="2:4" x14ac:dyDescent="0.25">
      <c r="B797" t="s">
        <v>826</v>
      </c>
      <c r="C797" t="s">
        <v>827</v>
      </c>
      <c r="D797">
        <v>77374</v>
      </c>
    </row>
    <row r="798" spans="2:4" x14ac:dyDescent="0.25">
      <c r="B798" t="s">
        <v>828</v>
      </c>
      <c r="C798" t="s">
        <v>829</v>
      </c>
      <c r="D798">
        <v>77235</v>
      </c>
    </row>
    <row r="799" spans="2:4" x14ac:dyDescent="0.25">
      <c r="B799" t="s">
        <v>830</v>
      </c>
      <c r="C799" t="s">
        <v>831</v>
      </c>
      <c r="D799">
        <v>76564</v>
      </c>
    </row>
    <row r="800" spans="2:4" x14ac:dyDescent="0.25">
      <c r="B800" t="s">
        <v>832</v>
      </c>
      <c r="C800" t="s">
        <v>833</v>
      </c>
      <c r="D800">
        <v>76179</v>
      </c>
    </row>
    <row r="801" spans="2:4" x14ac:dyDescent="0.25">
      <c r="B801" t="s">
        <v>834</v>
      </c>
      <c r="C801" t="s">
        <v>835</v>
      </c>
      <c r="D801">
        <v>76047</v>
      </c>
    </row>
    <row r="802" spans="2:4" x14ac:dyDescent="0.25">
      <c r="B802" t="s">
        <v>836</v>
      </c>
      <c r="C802" t="s">
        <v>837</v>
      </c>
      <c r="D802">
        <v>75747</v>
      </c>
    </row>
    <row r="803" spans="2:4" x14ac:dyDescent="0.25">
      <c r="B803" t="s">
        <v>838</v>
      </c>
      <c r="C803" t="s">
        <v>839</v>
      </c>
      <c r="D803">
        <v>75332</v>
      </c>
    </row>
    <row r="804" spans="2:4" x14ac:dyDescent="0.25">
      <c r="B804" t="s">
        <v>840</v>
      </c>
      <c r="C804" t="s">
        <v>841</v>
      </c>
      <c r="D804">
        <v>74769</v>
      </c>
    </row>
    <row r="805" spans="2:4" x14ac:dyDescent="0.25">
      <c r="B805" t="s">
        <v>842</v>
      </c>
      <c r="C805" t="s">
        <v>843</v>
      </c>
      <c r="D805">
        <v>74761</v>
      </c>
    </row>
    <row r="806" spans="2:4" x14ac:dyDescent="0.25">
      <c r="B806" t="s">
        <v>844</v>
      </c>
      <c r="C806" t="s">
        <v>845</v>
      </c>
      <c r="D806">
        <v>74059</v>
      </c>
    </row>
    <row r="807" spans="2:4" x14ac:dyDescent="0.25">
      <c r="B807" t="s">
        <v>846</v>
      </c>
      <c r="C807" t="s">
        <v>847</v>
      </c>
      <c r="D807">
        <v>74024</v>
      </c>
    </row>
    <row r="808" spans="2:4" x14ac:dyDescent="0.25">
      <c r="B808" t="s">
        <v>848</v>
      </c>
      <c r="C808" t="s">
        <v>849</v>
      </c>
      <c r="D808">
        <v>73920</v>
      </c>
    </row>
    <row r="809" spans="2:4" x14ac:dyDescent="0.25">
      <c r="B809" t="s">
        <v>850</v>
      </c>
      <c r="C809" t="s">
        <v>851</v>
      </c>
      <c r="D809">
        <v>73495</v>
      </c>
    </row>
    <row r="810" spans="2:4" x14ac:dyDescent="0.25">
      <c r="B810" t="s">
        <v>852</v>
      </c>
      <c r="C810" t="s">
        <v>853</v>
      </c>
      <c r="D810">
        <v>73253</v>
      </c>
    </row>
    <row r="811" spans="2:4" x14ac:dyDescent="0.25">
      <c r="B811" t="s">
        <v>854</v>
      </c>
      <c r="C811" t="s">
        <v>855</v>
      </c>
      <c r="D811">
        <v>72755</v>
      </c>
    </row>
    <row r="812" spans="2:4" x14ac:dyDescent="0.25">
      <c r="B812" t="s">
        <v>856</v>
      </c>
      <c r="C812" t="s">
        <v>857</v>
      </c>
      <c r="D812">
        <v>72682</v>
      </c>
    </row>
    <row r="813" spans="2:4" x14ac:dyDescent="0.25">
      <c r="B813" t="s">
        <v>858</v>
      </c>
      <c r="C813" t="s">
        <v>859</v>
      </c>
      <c r="D813">
        <v>72039</v>
      </c>
    </row>
    <row r="814" spans="2:4" x14ac:dyDescent="0.25">
      <c r="B814" t="s">
        <v>860</v>
      </c>
      <c r="C814" t="s">
        <v>861</v>
      </c>
      <c r="D814">
        <v>71491</v>
      </c>
    </row>
    <row r="815" spans="2:4" x14ac:dyDescent="0.25">
      <c r="B815" t="s">
        <v>862</v>
      </c>
      <c r="C815" t="s">
        <v>863</v>
      </c>
      <c r="D815">
        <v>71148</v>
      </c>
    </row>
    <row r="816" spans="2:4" x14ac:dyDescent="0.25">
      <c r="B816" t="s">
        <v>864</v>
      </c>
      <c r="C816" t="s">
        <v>865</v>
      </c>
      <c r="D816">
        <v>71004</v>
      </c>
    </row>
    <row r="817" spans="2:4" x14ac:dyDescent="0.25">
      <c r="B817" t="s">
        <v>866</v>
      </c>
      <c r="C817" t="s">
        <v>867</v>
      </c>
      <c r="D817">
        <v>70408</v>
      </c>
    </row>
    <row r="818" spans="2:4" x14ac:dyDescent="0.25">
      <c r="B818" t="s">
        <v>868</v>
      </c>
      <c r="C818" t="s">
        <v>869</v>
      </c>
      <c r="D818">
        <v>70379</v>
      </c>
    </row>
    <row r="819" spans="2:4" x14ac:dyDescent="0.25">
      <c r="B819" t="s">
        <v>870</v>
      </c>
      <c r="C819" t="s">
        <v>871</v>
      </c>
      <c r="D819">
        <v>70191</v>
      </c>
    </row>
    <row r="820" spans="2:4" x14ac:dyDescent="0.25">
      <c r="B820" t="s">
        <v>872</v>
      </c>
      <c r="C820" t="s">
        <v>873</v>
      </c>
      <c r="D820">
        <v>69929</v>
      </c>
    </row>
    <row r="821" spans="2:4" x14ac:dyDescent="0.25">
      <c r="B821" t="s">
        <v>874</v>
      </c>
      <c r="C821" t="s">
        <v>875</v>
      </c>
      <c r="D821">
        <v>69852</v>
      </c>
    </row>
    <row r="822" spans="2:4" x14ac:dyDescent="0.25">
      <c r="B822" t="s">
        <v>876</v>
      </c>
      <c r="C822" t="s">
        <v>877</v>
      </c>
      <c r="D822">
        <v>69590</v>
      </c>
    </row>
    <row r="823" spans="2:4" x14ac:dyDescent="0.25">
      <c r="B823" t="s">
        <v>878</v>
      </c>
      <c r="C823" t="s">
        <v>879</v>
      </c>
      <c r="D823">
        <v>69578</v>
      </c>
    </row>
    <row r="824" spans="2:4" x14ac:dyDescent="0.25">
      <c r="B824" t="s">
        <v>880</v>
      </c>
      <c r="C824" t="s">
        <v>881</v>
      </c>
      <c r="D824">
        <v>69430</v>
      </c>
    </row>
    <row r="825" spans="2:4" x14ac:dyDescent="0.25">
      <c r="B825" t="s">
        <v>882</v>
      </c>
      <c r="C825" t="s">
        <v>883</v>
      </c>
      <c r="D825">
        <v>69329</v>
      </c>
    </row>
    <row r="826" spans="2:4" x14ac:dyDescent="0.25">
      <c r="B826" t="s">
        <v>884</v>
      </c>
      <c r="C826" t="s">
        <v>885</v>
      </c>
      <c r="D826">
        <v>69325</v>
      </c>
    </row>
    <row r="827" spans="2:4" x14ac:dyDescent="0.25">
      <c r="B827" t="s">
        <v>886</v>
      </c>
      <c r="C827" t="s">
        <v>887</v>
      </c>
      <c r="D827">
        <v>68885</v>
      </c>
    </row>
    <row r="828" spans="2:4" x14ac:dyDescent="0.25">
      <c r="B828" t="s">
        <v>888</v>
      </c>
      <c r="C828" t="s">
        <v>889</v>
      </c>
      <c r="D828">
        <v>68844</v>
      </c>
    </row>
    <row r="829" spans="2:4" x14ac:dyDescent="0.25">
      <c r="B829" t="s">
        <v>890</v>
      </c>
      <c r="C829" t="s">
        <v>891</v>
      </c>
      <c r="D829">
        <v>68758</v>
      </c>
    </row>
    <row r="830" spans="2:4" x14ac:dyDescent="0.25">
      <c r="B830" t="s">
        <v>892</v>
      </c>
      <c r="C830" t="s">
        <v>893</v>
      </c>
      <c r="D830">
        <v>68617</v>
      </c>
    </row>
    <row r="831" spans="2:4" x14ac:dyDescent="0.25">
      <c r="B831" t="s">
        <v>894</v>
      </c>
      <c r="C831" t="s">
        <v>895</v>
      </c>
      <c r="D831">
        <v>68596</v>
      </c>
    </row>
    <row r="832" spans="2:4" x14ac:dyDescent="0.25">
      <c r="B832" t="s">
        <v>896</v>
      </c>
      <c r="C832" t="s">
        <v>897</v>
      </c>
      <c r="D832">
        <v>68261</v>
      </c>
    </row>
    <row r="833" spans="2:4" x14ac:dyDescent="0.25">
      <c r="B833" t="s">
        <v>898</v>
      </c>
      <c r="C833" t="s">
        <v>899</v>
      </c>
      <c r="D833">
        <v>67769</v>
      </c>
    </row>
    <row r="834" spans="2:4" x14ac:dyDescent="0.25">
      <c r="B834" t="s">
        <v>900</v>
      </c>
      <c r="C834" t="s">
        <v>901</v>
      </c>
      <c r="D834">
        <v>67393</v>
      </c>
    </row>
    <row r="835" spans="2:4" x14ac:dyDescent="0.25">
      <c r="B835" t="s">
        <v>902</v>
      </c>
      <c r="C835" t="s">
        <v>903</v>
      </c>
      <c r="D835">
        <v>67350</v>
      </c>
    </row>
    <row r="836" spans="2:4" x14ac:dyDescent="0.25">
      <c r="B836" t="s">
        <v>904</v>
      </c>
      <c r="C836" t="s">
        <v>905</v>
      </c>
      <c r="D836">
        <v>67159</v>
      </c>
    </row>
    <row r="837" spans="2:4" x14ac:dyDescent="0.25">
      <c r="B837" t="s">
        <v>906</v>
      </c>
      <c r="C837" t="s">
        <v>907</v>
      </c>
      <c r="D837">
        <v>67152</v>
      </c>
    </row>
    <row r="838" spans="2:4" x14ac:dyDescent="0.25">
      <c r="B838" t="s">
        <v>908</v>
      </c>
      <c r="C838" t="s">
        <v>909</v>
      </c>
      <c r="D838">
        <v>66097</v>
      </c>
    </row>
    <row r="839" spans="2:4" x14ac:dyDescent="0.25">
      <c r="B839" t="s">
        <v>910</v>
      </c>
      <c r="C839" t="s">
        <v>911</v>
      </c>
      <c r="D839">
        <v>65902</v>
      </c>
    </row>
    <row r="840" spans="2:4" x14ac:dyDescent="0.25">
      <c r="B840" t="s">
        <v>912</v>
      </c>
      <c r="C840" t="s">
        <v>913</v>
      </c>
      <c r="D840">
        <v>65889</v>
      </c>
    </row>
    <row r="841" spans="2:4" x14ac:dyDescent="0.25">
      <c r="B841" t="s">
        <v>914</v>
      </c>
      <c r="C841" t="s">
        <v>915</v>
      </c>
      <c r="D841">
        <v>65832</v>
      </c>
    </row>
    <row r="842" spans="2:4" x14ac:dyDescent="0.25">
      <c r="B842" t="s">
        <v>916</v>
      </c>
      <c r="C842" t="s">
        <v>917</v>
      </c>
      <c r="D842">
        <v>65768</v>
      </c>
    </row>
    <row r="843" spans="2:4" x14ac:dyDescent="0.25">
      <c r="B843" t="s">
        <v>918</v>
      </c>
      <c r="C843" t="s">
        <v>919</v>
      </c>
      <c r="D843">
        <v>65662</v>
      </c>
    </row>
    <row r="844" spans="2:4" x14ac:dyDescent="0.25">
      <c r="B844" t="s">
        <v>920</v>
      </c>
      <c r="C844" t="s">
        <v>921</v>
      </c>
      <c r="D844">
        <v>65609</v>
      </c>
    </row>
    <row r="845" spans="2:4" x14ac:dyDescent="0.25">
      <c r="B845" t="s">
        <v>922</v>
      </c>
      <c r="C845" t="s">
        <v>923</v>
      </c>
      <c r="D845">
        <v>65601</v>
      </c>
    </row>
    <row r="846" spans="2:4" x14ac:dyDescent="0.25">
      <c r="B846" t="s">
        <v>924</v>
      </c>
      <c r="C846" t="s">
        <v>925</v>
      </c>
      <c r="D846">
        <v>65572</v>
      </c>
    </row>
    <row r="847" spans="2:4" x14ac:dyDescent="0.25">
      <c r="B847" t="s">
        <v>926</v>
      </c>
      <c r="C847" t="s">
        <v>927</v>
      </c>
      <c r="D847">
        <v>65417</v>
      </c>
    </row>
    <row r="848" spans="2:4" x14ac:dyDescent="0.25">
      <c r="B848" t="s">
        <v>928</v>
      </c>
      <c r="C848" t="s">
        <v>929</v>
      </c>
      <c r="D848">
        <v>65332</v>
      </c>
    </row>
    <row r="849" spans="2:4" x14ac:dyDescent="0.25">
      <c r="B849" t="s">
        <v>930</v>
      </c>
      <c r="C849" t="s">
        <v>931</v>
      </c>
      <c r="D849">
        <v>65055</v>
      </c>
    </row>
    <row r="850" spans="2:4" x14ac:dyDescent="0.25">
      <c r="B850" t="s">
        <v>932</v>
      </c>
      <c r="C850" t="s">
        <v>933</v>
      </c>
      <c r="D850">
        <v>65005</v>
      </c>
    </row>
    <row r="851" spans="2:4" x14ac:dyDescent="0.25">
      <c r="B851" t="s">
        <v>934</v>
      </c>
      <c r="C851" t="s">
        <v>935</v>
      </c>
      <c r="D851">
        <v>64796</v>
      </c>
    </row>
    <row r="852" spans="2:4" x14ac:dyDescent="0.25">
      <c r="B852" t="s">
        <v>936</v>
      </c>
      <c r="C852" t="s">
        <v>937</v>
      </c>
      <c r="D852">
        <v>64454</v>
      </c>
    </row>
    <row r="853" spans="2:4" x14ac:dyDescent="0.25">
      <c r="B853" t="s">
        <v>938</v>
      </c>
      <c r="C853" t="s">
        <v>939</v>
      </c>
      <c r="D853">
        <v>63997</v>
      </c>
    </row>
    <row r="854" spans="2:4" x14ac:dyDescent="0.25">
      <c r="B854" t="s">
        <v>940</v>
      </c>
      <c r="C854" t="s">
        <v>941</v>
      </c>
      <c r="D854">
        <v>63918</v>
      </c>
    </row>
    <row r="855" spans="2:4" x14ac:dyDescent="0.25">
      <c r="B855" t="s">
        <v>942</v>
      </c>
      <c r="C855" t="s">
        <v>943</v>
      </c>
      <c r="D855">
        <v>63415</v>
      </c>
    </row>
    <row r="856" spans="2:4" x14ac:dyDescent="0.25">
      <c r="B856" t="s">
        <v>944</v>
      </c>
      <c r="C856" t="s">
        <v>945</v>
      </c>
      <c r="D856">
        <v>63371</v>
      </c>
    </row>
    <row r="857" spans="2:4" x14ac:dyDescent="0.25">
      <c r="B857" t="s">
        <v>946</v>
      </c>
      <c r="C857" t="s">
        <v>947</v>
      </c>
      <c r="D857">
        <v>63063</v>
      </c>
    </row>
    <row r="858" spans="2:4" x14ac:dyDescent="0.25">
      <c r="B858" t="s">
        <v>948</v>
      </c>
      <c r="C858" t="s">
        <v>949</v>
      </c>
      <c r="D858">
        <v>62917</v>
      </c>
    </row>
    <row r="859" spans="2:4" x14ac:dyDescent="0.25">
      <c r="B859" t="s">
        <v>950</v>
      </c>
      <c r="C859" t="s">
        <v>951</v>
      </c>
      <c r="D859">
        <v>62762</v>
      </c>
    </row>
    <row r="860" spans="2:4" x14ac:dyDescent="0.25">
      <c r="B860" t="s">
        <v>952</v>
      </c>
      <c r="C860" t="s">
        <v>953</v>
      </c>
      <c r="D860">
        <v>62698</v>
      </c>
    </row>
    <row r="861" spans="2:4" x14ac:dyDescent="0.25">
      <c r="B861" t="s">
        <v>954</v>
      </c>
      <c r="C861" t="s">
        <v>955</v>
      </c>
      <c r="D861">
        <v>62262</v>
      </c>
    </row>
    <row r="862" spans="2:4" x14ac:dyDescent="0.25">
      <c r="B862" t="s">
        <v>956</v>
      </c>
      <c r="C862" t="s">
        <v>957</v>
      </c>
      <c r="D862">
        <v>62246</v>
      </c>
    </row>
    <row r="863" spans="2:4" x14ac:dyDescent="0.25">
      <c r="B863" t="s">
        <v>958</v>
      </c>
      <c r="C863" t="s">
        <v>959</v>
      </c>
      <c r="D863">
        <v>62218</v>
      </c>
    </row>
    <row r="864" spans="2:4" x14ac:dyDescent="0.25">
      <c r="B864" t="s">
        <v>960</v>
      </c>
      <c r="C864" t="s">
        <v>961</v>
      </c>
      <c r="D864">
        <v>62107</v>
      </c>
    </row>
    <row r="865" spans="2:4" x14ac:dyDescent="0.25">
      <c r="B865" t="s">
        <v>962</v>
      </c>
      <c r="C865" t="s">
        <v>963</v>
      </c>
      <c r="D865">
        <v>61864</v>
      </c>
    </row>
    <row r="866" spans="2:4" x14ac:dyDescent="0.25">
      <c r="B866" t="s">
        <v>964</v>
      </c>
      <c r="C866" t="s">
        <v>965</v>
      </c>
      <c r="D866">
        <v>61838</v>
      </c>
    </row>
    <row r="867" spans="2:4" x14ac:dyDescent="0.25">
      <c r="B867" t="s">
        <v>966</v>
      </c>
      <c r="C867" t="s">
        <v>967</v>
      </c>
      <c r="D867">
        <v>61738</v>
      </c>
    </row>
    <row r="868" spans="2:4" x14ac:dyDescent="0.25">
      <c r="B868" t="s">
        <v>968</v>
      </c>
      <c r="C868" t="s">
        <v>969</v>
      </c>
      <c r="D868">
        <v>61390</v>
      </c>
    </row>
    <row r="869" spans="2:4" x14ac:dyDescent="0.25">
      <c r="B869" t="s">
        <v>970</v>
      </c>
      <c r="C869" t="s">
        <v>971</v>
      </c>
      <c r="D869">
        <v>61366</v>
      </c>
    </row>
    <row r="870" spans="2:4" x14ac:dyDescent="0.25">
      <c r="B870" t="s">
        <v>972</v>
      </c>
      <c r="C870" t="s">
        <v>973</v>
      </c>
      <c r="D870">
        <v>61010</v>
      </c>
    </row>
    <row r="871" spans="2:4" x14ac:dyDescent="0.25">
      <c r="B871" t="s">
        <v>974</v>
      </c>
      <c r="C871" t="s">
        <v>975</v>
      </c>
      <c r="D871">
        <v>60636</v>
      </c>
    </row>
    <row r="872" spans="2:4" x14ac:dyDescent="0.25">
      <c r="B872" t="s">
        <v>976</v>
      </c>
      <c r="C872" t="s">
        <v>977</v>
      </c>
      <c r="D872">
        <v>60558</v>
      </c>
    </row>
    <row r="873" spans="2:4" x14ac:dyDescent="0.25">
      <c r="B873" t="s">
        <v>978</v>
      </c>
      <c r="C873" t="s">
        <v>979</v>
      </c>
      <c r="D873">
        <v>60549</v>
      </c>
    </row>
    <row r="874" spans="2:4" x14ac:dyDescent="0.25">
      <c r="B874" t="s">
        <v>980</v>
      </c>
      <c r="C874" t="s">
        <v>981</v>
      </c>
      <c r="D874">
        <v>60379</v>
      </c>
    </row>
    <row r="875" spans="2:4" x14ac:dyDescent="0.25">
      <c r="B875" t="s">
        <v>982</v>
      </c>
      <c r="C875" t="s">
        <v>983</v>
      </c>
      <c r="D875">
        <v>60284</v>
      </c>
    </row>
    <row r="876" spans="2:4" x14ac:dyDescent="0.25">
      <c r="B876" t="s">
        <v>984</v>
      </c>
      <c r="C876" t="s">
        <v>985</v>
      </c>
      <c r="D876">
        <v>60073</v>
      </c>
    </row>
    <row r="877" spans="2:4" x14ac:dyDescent="0.25">
      <c r="B877" t="s">
        <v>986</v>
      </c>
      <c r="C877" t="s">
        <v>987</v>
      </c>
      <c r="D877">
        <v>59835</v>
      </c>
    </row>
    <row r="878" spans="2:4" x14ac:dyDescent="0.25">
      <c r="B878" t="s">
        <v>988</v>
      </c>
      <c r="C878" t="s">
        <v>989</v>
      </c>
      <c r="D878">
        <v>59675</v>
      </c>
    </row>
    <row r="879" spans="2:4" x14ac:dyDescent="0.25">
      <c r="B879" t="s">
        <v>990</v>
      </c>
      <c r="C879" t="s">
        <v>991</v>
      </c>
      <c r="D879">
        <v>59586</v>
      </c>
    </row>
    <row r="880" spans="2:4" x14ac:dyDescent="0.25">
      <c r="B880" t="s">
        <v>992</v>
      </c>
      <c r="C880" t="s">
        <v>993</v>
      </c>
      <c r="D880">
        <v>59417</v>
      </c>
    </row>
    <row r="881" spans="2:4" x14ac:dyDescent="0.25">
      <c r="B881" t="s">
        <v>994</v>
      </c>
      <c r="C881" t="s">
        <v>995</v>
      </c>
      <c r="D881">
        <v>59243</v>
      </c>
    </row>
    <row r="882" spans="2:4" x14ac:dyDescent="0.25">
      <c r="B882" t="s">
        <v>996</v>
      </c>
      <c r="C882" t="s">
        <v>997</v>
      </c>
      <c r="D882">
        <v>59070</v>
      </c>
    </row>
    <row r="883" spans="2:4" x14ac:dyDescent="0.25">
      <c r="B883" t="s">
        <v>998</v>
      </c>
      <c r="C883" t="s">
        <v>999</v>
      </c>
      <c r="D883">
        <v>58542</v>
      </c>
    </row>
    <row r="884" spans="2:4" x14ac:dyDescent="0.25">
      <c r="B884" t="s">
        <v>1000</v>
      </c>
      <c r="C884" t="s">
        <v>1001</v>
      </c>
      <c r="D884">
        <v>58159</v>
      </c>
    </row>
    <row r="885" spans="2:4" x14ac:dyDescent="0.25">
      <c r="B885" t="s">
        <v>1002</v>
      </c>
      <c r="C885" t="s">
        <v>1003</v>
      </c>
      <c r="D885">
        <v>58105</v>
      </c>
    </row>
    <row r="886" spans="2:4" x14ac:dyDescent="0.25">
      <c r="B886" t="s">
        <v>1004</v>
      </c>
      <c r="C886" t="s">
        <v>1005</v>
      </c>
      <c r="D886">
        <v>57918</v>
      </c>
    </row>
    <row r="887" spans="2:4" x14ac:dyDescent="0.25">
      <c r="B887" t="s">
        <v>1006</v>
      </c>
      <c r="C887" t="s">
        <v>1007</v>
      </c>
      <c r="D887">
        <v>57765</v>
      </c>
    </row>
    <row r="888" spans="2:4" x14ac:dyDescent="0.25">
      <c r="B888" t="s">
        <v>1008</v>
      </c>
      <c r="C888" t="s">
        <v>1009</v>
      </c>
      <c r="D888">
        <v>57735</v>
      </c>
    </row>
    <row r="889" spans="2:4" x14ac:dyDescent="0.25">
      <c r="B889" t="s">
        <v>1010</v>
      </c>
      <c r="C889" t="s">
        <v>1011</v>
      </c>
      <c r="D889">
        <v>57552</v>
      </c>
    </row>
    <row r="890" spans="2:4" x14ac:dyDescent="0.25">
      <c r="B890" t="s">
        <v>1012</v>
      </c>
      <c r="C890" t="s">
        <v>1013</v>
      </c>
      <c r="D890">
        <v>57367</v>
      </c>
    </row>
    <row r="891" spans="2:4" x14ac:dyDescent="0.25">
      <c r="B891" t="s">
        <v>1014</v>
      </c>
      <c r="C891" t="s">
        <v>1015</v>
      </c>
      <c r="D891">
        <v>57130</v>
      </c>
    </row>
    <row r="892" spans="2:4" x14ac:dyDescent="0.25">
      <c r="B892" t="s">
        <v>1016</v>
      </c>
      <c r="C892" t="s">
        <v>1017</v>
      </c>
      <c r="D892">
        <v>56985</v>
      </c>
    </row>
    <row r="893" spans="2:4" x14ac:dyDescent="0.25">
      <c r="B893" t="s">
        <v>1018</v>
      </c>
      <c r="C893" t="s">
        <v>1019</v>
      </c>
      <c r="D893">
        <v>56884</v>
      </c>
    </row>
    <row r="894" spans="2:4" x14ac:dyDescent="0.25">
      <c r="B894" t="s">
        <v>1020</v>
      </c>
      <c r="C894" t="s">
        <v>1021</v>
      </c>
      <c r="D894">
        <v>56755</v>
      </c>
    </row>
    <row r="895" spans="2:4" x14ac:dyDescent="0.25">
      <c r="B895" t="s">
        <v>1022</v>
      </c>
      <c r="C895" t="s">
        <v>1023</v>
      </c>
      <c r="D895">
        <v>55696</v>
      </c>
    </row>
    <row r="896" spans="2:4" x14ac:dyDescent="0.25">
      <c r="B896" t="s">
        <v>1024</v>
      </c>
      <c r="C896" t="s">
        <v>1025</v>
      </c>
      <c r="D896">
        <v>55573</v>
      </c>
    </row>
    <row r="897" spans="2:4" x14ac:dyDescent="0.25">
      <c r="B897" t="s">
        <v>1026</v>
      </c>
      <c r="C897" t="s">
        <v>1027</v>
      </c>
      <c r="D897">
        <v>55471</v>
      </c>
    </row>
    <row r="898" spans="2:4" x14ac:dyDescent="0.25">
      <c r="B898" t="s">
        <v>1028</v>
      </c>
      <c r="C898" t="s">
        <v>1029</v>
      </c>
      <c r="D898">
        <v>55439</v>
      </c>
    </row>
    <row r="899" spans="2:4" x14ac:dyDescent="0.25">
      <c r="B899" t="s">
        <v>1030</v>
      </c>
      <c r="C899" t="s">
        <v>1031</v>
      </c>
      <c r="D899">
        <v>55391</v>
      </c>
    </row>
    <row r="900" spans="2:4" x14ac:dyDescent="0.25">
      <c r="B900" t="s">
        <v>1032</v>
      </c>
      <c r="C900" t="s">
        <v>1033</v>
      </c>
      <c r="D900">
        <v>54972</v>
      </c>
    </row>
    <row r="901" spans="2:4" x14ac:dyDescent="0.25">
      <c r="B901" t="s">
        <v>1034</v>
      </c>
      <c r="C901" t="s">
        <v>1035</v>
      </c>
      <c r="D901">
        <v>54549</v>
      </c>
    </row>
    <row r="902" spans="2:4" x14ac:dyDescent="0.25">
      <c r="B902" t="s">
        <v>1036</v>
      </c>
      <c r="C902" t="s">
        <v>1037</v>
      </c>
      <c r="D902">
        <v>54532</v>
      </c>
    </row>
    <row r="903" spans="2:4" x14ac:dyDescent="0.25">
      <c r="B903" t="s">
        <v>1038</v>
      </c>
      <c r="C903" t="s">
        <v>1039</v>
      </c>
      <c r="D903">
        <v>54225</v>
      </c>
    </row>
    <row r="904" spans="2:4" x14ac:dyDescent="0.25">
      <c r="B904" t="s">
        <v>1040</v>
      </c>
      <c r="C904" t="s">
        <v>1041</v>
      </c>
      <c r="D904">
        <v>53973</v>
      </c>
    </row>
    <row r="905" spans="2:4" x14ac:dyDescent="0.25">
      <c r="B905" t="s">
        <v>1042</v>
      </c>
      <c r="C905" t="s">
        <v>1043</v>
      </c>
      <c r="D905">
        <v>53738</v>
      </c>
    </row>
    <row r="906" spans="2:4" x14ac:dyDescent="0.25">
      <c r="B906" t="s">
        <v>1044</v>
      </c>
      <c r="C906" t="s">
        <v>1045</v>
      </c>
      <c r="D906">
        <v>53630</v>
      </c>
    </row>
    <row r="907" spans="2:4" x14ac:dyDescent="0.25">
      <c r="B907" t="s">
        <v>1046</v>
      </c>
      <c r="C907" t="s">
        <v>1047</v>
      </c>
      <c r="D907">
        <v>53490</v>
      </c>
    </row>
    <row r="908" spans="2:4" x14ac:dyDescent="0.25">
      <c r="B908" t="s">
        <v>1048</v>
      </c>
      <c r="C908" t="s">
        <v>1049</v>
      </c>
      <c r="D908">
        <v>53309</v>
      </c>
    </row>
    <row r="909" spans="2:4" x14ac:dyDescent="0.25">
      <c r="B909" t="s">
        <v>1050</v>
      </c>
      <c r="C909" t="s">
        <v>1051</v>
      </c>
      <c r="D909">
        <v>53059</v>
      </c>
    </row>
    <row r="910" spans="2:4" x14ac:dyDescent="0.25">
      <c r="B910" t="s">
        <v>1052</v>
      </c>
      <c r="C910" t="s">
        <v>1053</v>
      </c>
      <c r="D910">
        <v>52918</v>
      </c>
    </row>
    <row r="911" spans="2:4" x14ac:dyDescent="0.25">
      <c r="B911" t="s">
        <v>1054</v>
      </c>
      <c r="C911" t="s">
        <v>1055</v>
      </c>
      <c r="D911">
        <v>52758</v>
      </c>
    </row>
    <row r="912" spans="2:4" x14ac:dyDescent="0.25">
      <c r="B912" t="s">
        <v>1056</v>
      </c>
      <c r="C912" t="s">
        <v>1057</v>
      </c>
      <c r="D912">
        <v>52756</v>
      </c>
    </row>
    <row r="913" spans="2:4" x14ac:dyDescent="0.25">
      <c r="B913" t="s">
        <v>1058</v>
      </c>
      <c r="C913" t="s">
        <v>1059</v>
      </c>
      <c r="D913">
        <v>52470</v>
      </c>
    </row>
    <row r="914" spans="2:4" x14ac:dyDescent="0.25">
      <c r="B914" t="s">
        <v>1060</v>
      </c>
      <c r="C914" t="s">
        <v>1061</v>
      </c>
      <c r="D914">
        <v>52364</v>
      </c>
    </row>
    <row r="915" spans="2:4" x14ac:dyDescent="0.25">
      <c r="B915" t="s">
        <v>1062</v>
      </c>
      <c r="C915" t="s">
        <v>1063</v>
      </c>
      <c r="D915">
        <v>52335</v>
      </c>
    </row>
    <row r="916" spans="2:4" x14ac:dyDescent="0.25">
      <c r="B916" t="s">
        <v>1064</v>
      </c>
      <c r="C916" t="s">
        <v>1065</v>
      </c>
      <c r="D916">
        <v>52334</v>
      </c>
    </row>
    <row r="917" spans="2:4" x14ac:dyDescent="0.25">
      <c r="B917" t="s">
        <v>1066</v>
      </c>
      <c r="C917" t="s">
        <v>1067</v>
      </c>
      <c r="D917">
        <v>52310</v>
      </c>
    </row>
    <row r="918" spans="2:4" x14ac:dyDescent="0.25">
      <c r="B918" t="s">
        <v>1068</v>
      </c>
      <c r="C918" t="s">
        <v>1069</v>
      </c>
      <c r="D918">
        <v>52079</v>
      </c>
    </row>
    <row r="919" spans="2:4" x14ac:dyDescent="0.25">
      <c r="B919" t="s">
        <v>1070</v>
      </c>
      <c r="C919" t="s">
        <v>1071</v>
      </c>
      <c r="D919">
        <v>51736</v>
      </c>
    </row>
    <row r="920" spans="2:4" x14ac:dyDescent="0.25">
      <c r="B920" t="s">
        <v>1072</v>
      </c>
      <c r="C920" t="s">
        <v>1073</v>
      </c>
      <c r="D920">
        <v>51586</v>
      </c>
    </row>
    <row r="921" spans="2:4" x14ac:dyDescent="0.25">
      <c r="B921" t="s">
        <v>1074</v>
      </c>
      <c r="C921" t="s">
        <v>1075</v>
      </c>
      <c r="D921">
        <v>51501</v>
      </c>
    </row>
    <row r="922" spans="2:4" x14ac:dyDescent="0.25">
      <c r="B922" t="s">
        <v>1076</v>
      </c>
      <c r="C922" t="s">
        <v>1077</v>
      </c>
      <c r="D922">
        <v>51475</v>
      </c>
    </row>
    <row r="923" spans="2:4" x14ac:dyDescent="0.25">
      <c r="B923" t="s">
        <v>1078</v>
      </c>
      <c r="C923" t="s">
        <v>1079</v>
      </c>
      <c r="D923">
        <v>50823</v>
      </c>
    </row>
    <row r="924" spans="2:4" x14ac:dyDescent="0.25">
      <c r="B924" t="s">
        <v>1080</v>
      </c>
      <c r="C924" t="s">
        <v>1081</v>
      </c>
      <c r="D924">
        <v>50724</v>
      </c>
    </row>
    <row r="925" spans="2:4" x14ac:dyDescent="0.25">
      <c r="B925" t="s">
        <v>1082</v>
      </c>
      <c r="C925" t="s">
        <v>1083</v>
      </c>
      <c r="D925">
        <v>50681</v>
      </c>
    </row>
    <row r="926" spans="2:4" x14ac:dyDescent="0.25">
      <c r="B926" t="s">
        <v>1084</v>
      </c>
      <c r="C926" t="s">
        <v>1085</v>
      </c>
      <c r="D926">
        <v>50628</v>
      </c>
    </row>
    <row r="927" spans="2:4" x14ac:dyDescent="0.25">
      <c r="B927" t="s">
        <v>1086</v>
      </c>
      <c r="C927" t="s">
        <v>1087</v>
      </c>
      <c r="D927">
        <v>50586</v>
      </c>
    </row>
    <row r="928" spans="2:4" x14ac:dyDescent="0.25">
      <c r="B928" t="s">
        <v>1088</v>
      </c>
      <c r="C928" t="s">
        <v>1089</v>
      </c>
      <c r="D928">
        <v>50499</v>
      </c>
    </row>
    <row r="929" spans="2:4" x14ac:dyDescent="0.25">
      <c r="B929" t="s">
        <v>1090</v>
      </c>
      <c r="C929" t="s">
        <v>1091</v>
      </c>
      <c r="D929">
        <v>50477</v>
      </c>
    </row>
    <row r="930" spans="2:4" x14ac:dyDescent="0.25">
      <c r="B930" t="s">
        <v>1092</v>
      </c>
      <c r="C930" t="s">
        <v>1093</v>
      </c>
      <c r="D930">
        <v>50128</v>
      </c>
    </row>
    <row r="931" spans="2:4" x14ac:dyDescent="0.25">
      <c r="B931" t="s">
        <v>1094</v>
      </c>
      <c r="C931" t="s">
        <v>1095</v>
      </c>
      <c r="D931">
        <v>50091</v>
      </c>
    </row>
    <row r="932" spans="2:4" x14ac:dyDescent="0.25">
      <c r="B932" t="s">
        <v>1096</v>
      </c>
      <c r="C932" t="s">
        <v>1097</v>
      </c>
      <c r="D932">
        <v>50029</v>
      </c>
    </row>
    <row r="933" spans="2:4" x14ac:dyDescent="0.25">
      <c r="B933" t="s">
        <v>1098</v>
      </c>
      <c r="C933" t="s">
        <v>1099</v>
      </c>
      <c r="D933">
        <v>49981</v>
      </c>
    </row>
    <row r="934" spans="2:4" x14ac:dyDescent="0.25">
      <c r="B934" t="s">
        <v>1100</v>
      </c>
      <c r="C934" t="s">
        <v>1101</v>
      </c>
      <c r="D934">
        <v>49930</v>
      </c>
    </row>
    <row r="935" spans="2:4" x14ac:dyDescent="0.25">
      <c r="B935" t="s">
        <v>1102</v>
      </c>
      <c r="C935" t="s">
        <v>1103</v>
      </c>
      <c r="D935">
        <v>49858</v>
      </c>
    </row>
    <row r="936" spans="2:4" x14ac:dyDescent="0.25">
      <c r="B936" t="s">
        <v>1104</v>
      </c>
      <c r="C936" t="s">
        <v>1105</v>
      </c>
      <c r="D936">
        <v>49833</v>
      </c>
    </row>
    <row r="937" spans="2:4" x14ac:dyDescent="0.25">
      <c r="B937" t="s">
        <v>1106</v>
      </c>
      <c r="C937" t="s">
        <v>1107</v>
      </c>
      <c r="D937">
        <v>49644</v>
      </c>
    </row>
    <row r="938" spans="2:4" x14ac:dyDescent="0.25">
      <c r="B938" t="s">
        <v>1108</v>
      </c>
      <c r="C938" t="s">
        <v>1109</v>
      </c>
      <c r="D938">
        <v>49586</v>
      </c>
    </row>
    <row r="939" spans="2:4" x14ac:dyDescent="0.25">
      <c r="B939" t="s">
        <v>1110</v>
      </c>
      <c r="C939" t="s">
        <v>1111</v>
      </c>
      <c r="D939">
        <v>49559</v>
      </c>
    </row>
    <row r="940" spans="2:4" x14ac:dyDescent="0.25">
      <c r="B940" t="s">
        <v>1112</v>
      </c>
      <c r="C940" t="s">
        <v>1113</v>
      </c>
      <c r="D940">
        <v>49404</v>
      </c>
    </row>
    <row r="941" spans="2:4" x14ac:dyDescent="0.25">
      <c r="B941" t="s">
        <v>1114</v>
      </c>
      <c r="C941" t="s">
        <v>1115</v>
      </c>
      <c r="D941">
        <v>48933</v>
      </c>
    </row>
    <row r="942" spans="2:4" x14ac:dyDescent="0.25">
      <c r="B942" t="s">
        <v>1116</v>
      </c>
      <c r="C942" t="s">
        <v>1117</v>
      </c>
      <c r="D942">
        <v>48449</v>
      </c>
    </row>
    <row r="943" spans="2:4" x14ac:dyDescent="0.25">
      <c r="B943" t="s">
        <v>1118</v>
      </c>
      <c r="C943" t="s">
        <v>1119</v>
      </c>
      <c r="D943">
        <v>48432</v>
      </c>
    </row>
    <row r="944" spans="2:4" x14ac:dyDescent="0.25">
      <c r="B944" t="s">
        <v>1120</v>
      </c>
      <c r="C944" t="s">
        <v>1121</v>
      </c>
      <c r="D944">
        <v>48407</v>
      </c>
    </row>
    <row r="945" spans="2:4" x14ac:dyDescent="0.25">
      <c r="B945" t="s">
        <v>1122</v>
      </c>
      <c r="C945" t="s">
        <v>1123</v>
      </c>
      <c r="D945">
        <v>48405</v>
      </c>
    </row>
    <row r="946" spans="2:4" x14ac:dyDescent="0.25">
      <c r="B946" t="s">
        <v>1124</v>
      </c>
      <c r="C946" t="s">
        <v>1125</v>
      </c>
      <c r="D946">
        <v>48285</v>
      </c>
    </row>
    <row r="947" spans="2:4" x14ac:dyDescent="0.25">
      <c r="B947" t="s">
        <v>1126</v>
      </c>
      <c r="C947" t="s">
        <v>1127</v>
      </c>
      <c r="D947">
        <v>48262</v>
      </c>
    </row>
    <row r="948" spans="2:4" x14ac:dyDescent="0.25">
      <c r="B948" t="s">
        <v>1128</v>
      </c>
      <c r="C948" t="s">
        <v>1129</v>
      </c>
      <c r="D948">
        <v>47842</v>
      </c>
    </row>
    <row r="949" spans="2:4" x14ac:dyDescent="0.25">
      <c r="B949" t="s">
        <v>1130</v>
      </c>
      <c r="C949" t="s">
        <v>1131</v>
      </c>
      <c r="D949">
        <v>47795</v>
      </c>
    </row>
    <row r="950" spans="2:4" x14ac:dyDescent="0.25">
      <c r="B950" t="s">
        <v>1132</v>
      </c>
      <c r="C950" t="s">
        <v>1133</v>
      </c>
      <c r="D950">
        <v>47554</v>
      </c>
    </row>
    <row r="951" spans="2:4" x14ac:dyDescent="0.25">
      <c r="B951" t="s">
        <v>1134</v>
      </c>
      <c r="C951" t="s">
        <v>1135</v>
      </c>
      <c r="D951">
        <v>47540</v>
      </c>
    </row>
    <row r="952" spans="2:4" x14ac:dyDescent="0.25">
      <c r="B952" t="s">
        <v>1136</v>
      </c>
      <c r="C952" t="s">
        <v>1137</v>
      </c>
      <c r="D952">
        <v>47483</v>
      </c>
    </row>
    <row r="953" spans="2:4" x14ac:dyDescent="0.25">
      <c r="B953" t="s">
        <v>1138</v>
      </c>
      <c r="C953" t="s">
        <v>1139</v>
      </c>
      <c r="D953">
        <v>47464</v>
      </c>
    </row>
    <row r="954" spans="2:4" x14ac:dyDescent="0.25">
      <c r="B954" t="s">
        <v>1140</v>
      </c>
      <c r="C954" t="s">
        <v>1141</v>
      </c>
      <c r="D954">
        <v>47398</v>
      </c>
    </row>
    <row r="955" spans="2:4" x14ac:dyDescent="0.25">
      <c r="B955" t="s">
        <v>1142</v>
      </c>
      <c r="C955" t="s">
        <v>1143</v>
      </c>
      <c r="D955">
        <v>47325</v>
      </c>
    </row>
    <row r="956" spans="2:4" x14ac:dyDescent="0.25">
      <c r="B956" t="s">
        <v>1144</v>
      </c>
      <c r="C956" t="s">
        <v>1145</v>
      </c>
      <c r="D956">
        <v>47238</v>
      </c>
    </row>
    <row r="957" spans="2:4" x14ac:dyDescent="0.25">
      <c r="B957" t="s">
        <v>1146</v>
      </c>
      <c r="C957" t="s">
        <v>1147</v>
      </c>
      <c r="D957">
        <v>47175</v>
      </c>
    </row>
    <row r="958" spans="2:4" x14ac:dyDescent="0.25">
      <c r="B958" t="s">
        <v>1148</v>
      </c>
      <c r="C958" t="s">
        <v>1149</v>
      </c>
      <c r="D958">
        <v>47125</v>
      </c>
    </row>
    <row r="959" spans="2:4" x14ac:dyDescent="0.25">
      <c r="B959" t="s">
        <v>1150</v>
      </c>
      <c r="C959" t="s">
        <v>1151</v>
      </c>
      <c r="D959">
        <v>47075</v>
      </c>
    </row>
    <row r="960" spans="2:4" x14ac:dyDescent="0.25">
      <c r="B960" t="s">
        <v>1152</v>
      </c>
      <c r="C960" t="s">
        <v>1153</v>
      </c>
      <c r="D960">
        <v>46873</v>
      </c>
    </row>
    <row r="961" spans="2:4" x14ac:dyDescent="0.25">
      <c r="B961" t="s">
        <v>1154</v>
      </c>
      <c r="C961" t="s">
        <v>1155</v>
      </c>
      <c r="D961">
        <v>46771</v>
      </c>
    </row>
    <row r="962" spans="2:4" x14ac:dyDescent="0.25">
      <c r="B962" t="s">
        <v>1156</v>
      </c>
      <c r="C962" t="s">
        <v>1157</v>
      </c>
      <c r="D962">
        <v>46614</v>
      </c>
    </row>
    <row r="963" spans="2:4" x14ac:dyDescent="0.25">
      <c r="B963" t="s">
        <v>1158</v>
      </c>
      <c r="C963" t="s">
        <v>1159</v>
      </c>
      <c r="D963">
        <v>46607</v>
      </c>
    </row>
    <row r="964" spans="2:4" x14ac:dyDescent="0.25">
      <c r="B964" t="s">
        <v>1160</v>
      </c>
      <c r="C964" t="s">
        <v>1161</v>
      </c>
      <c r="D964">
        <v>46602</v>
      </c>
    </row>
    <row r="965" spans="2:4" x14ac:dyDescent="0.25">
      <c r="B965" t="s">
        <v>1162</v>
      </c>
      <c r="C965" t="s">
        <v>1163</v>
      </c>
      <c r="D965">
        <v>46586</v>
      </c>
    </row>
    <row r="966" spans="2:4" x14ac:dyDescent="0.25">
      <c r="B966" t="s">
        <v>1164</v>
      </c>
      <c r="C966" t="s">
        <v>1165</v>
      </c>
      <c r="D966">
        <v>46563</v>
      </c>
    </row>
    <row r="967" spans="2:4" x14ac:dyDescent="0.25">
      <c r="B967" t="s">
        <v>1166</v>
      </c>
      <c r="C967" t="s">
        <v>1167</v>
      </c>
      <c r="D967">
        <v>46540</v>
      </c>
    </row>
    <row r="968" spans="2:4" x14ac:dyDescent="0.25">
      <c r="B968" t="s">
        <v>1168</v>
      </c>
      <c r="C968" t="s">
        <v>1169</v>
      </c>
      <c r="D968">
        <v>46487</v>
      </c>
    </row>
    <row r="969" spans="2:4" x14ac:dyDescent="0.25">
      <c r="B969" t="s">
        <v>1170</v>
      </c>
      <c r="C969" t="s">
        <v>1171</v>
      </c>
      <c r="D969">
        <v>46333</v>
      </c>
    </row>
    <row r="970" spans="2:4" x14ac:dyDescent="0.25">
      <c r="B970" t="s">
        <v>1172</v>
      </c>
      <c r="C970" t="s">
        <v>1173</v>
      </c>
      <c r="D970">
        <v>46258</v>
      </c>
    </row>
    <row r="971" spans="2:4" x14ac:dyDescent="0.25">
      <c r="B971" t="s">
        <v>1174</v>
      </c>
      <c r="C971" t="s">
        <v>1175</v>
      </c>
      <c r="D971">
        <v>46215</v>
      </c>
    </row>
    <row r="972" spans="2:4" x14ac:dyDescent="0.25">
      <c r="B972" t="s">
        <v>1176</v>
      </c>
      <c r="C972" t="s">
        <v>1177</v>
      </c>
      <c r="D972">
        <v>46060</v>
      </c>
    </row>
    <row r="973" spans="2:4" x14ac:dyDescent="0.25">
      <c r="B973" t="s">
        <v>1178</v>
      </c>
      <c r="C973" t="s">
        <v>1179</v>
      </c>
      <c r="D973">
        <v>45722</v>
      </c>
    </row>
    <row r="974" spans="2:4" x14ac:dyDescent="0.25">
      <c r="B974" t="s">
        <v>1180</v>
      </c>
      <c r="C974" t="s">
        <v>1181</v>
      </c>
      <c r="D974">
        <v>45685</v>
      </c>
    </row>
    <row r="975" spans="2:4" x14ac:dyDescent="0.25">
      <c r="B975" t="s">
        <v>1182</v>
      </c>
      <c r="C975" t="s">
        <v>1183</v>
      </c>
      <c r="D975">
        <v>45503</v>
      </c>
    </row>
    <row r="976" spans="2:4" x14ac:dyDescent="0.25">
      <c r="B976" t="s">
        <v>1184</v>
      </c>
      <c r="C976" t="s">
        <v>1185</v>
      </c>
      <c r="D976">
        <v>45454</v>
      </c>
    </row>
    <row r="977" spans="2:4" x14ac:dyDescent="0.25">
      <c r="B977" t="s">
        <v>1186</v>
      </c>
      <c r="C977" t="s">
        <v>1187</v>
      </c>
      <c r="D977">
        <v>45346</v>
      </c>
    </row>
    <row r="978" spans="2:4" x14ac:dyDescent="0.25">
      <c r="B978" t="s">
        <v>1188</v>
      </c>
      <c r="C978" t="s">
        <v>1189</v>
      </c>
      <c r="D978">
        <v>45123</v>
      </c>
    </row>
    <row r="979" spans="2:4" x14ac:dyDescent="0.25">
      <c r="B979" t="s">
        <v>1190</v>
      </c>
      <c r="C979" t="s">
        <v>1191</v>
      </c>
      <c r="D979">
        <v>45028</v>
      </c>
    </row>
    <row r="980" spans="2:4" x14ac:dyDescent="0.25">
      <c r="B980" t="s">
        <v>1192</v>
      </c>
      <c r="C980" t="s">
        <v>1193</v>
      </c>
      <c r="D980">
        <v>44725</v>
      </c>
    </row>
    <row r="981" spans="2:4" x14ac:dyDescent="0.25">
      <c r="B981" t="s">
        <v>1194</v>
      </c>
      <c r="C981" t="s">
        <v>1195</v>
      </c>
      <c r="D981">
        <v>44465</v>
      </c>
    </row>
    <row r="982" spans="2:4" x14ac:dyDescent="0.25">
      <c r="B982" t="s">
        <v>1196</v>
      </c>
      <c r="C982" t="s">
        <v>1197</v>
      </c>
      <c r="D982">
        <v>44411</v>
      </c>
    </row>
    <row r="983" spans="2:4" x14ac:dyDescent="0.25">
      <c r="B983" t="s">
        <v>1198</v>
      </c>
      <c r="C983" t="s">
        <v>1199</v>
      </c>
      <c r="D983">
        <v>44326</v>
      </c>
    </row>
    <row r="984" spans="2:4" x14ac:dyDescent="0.25">
      <c r="B984" t="s">
        <v>1200</v>
      </c>
      <c r="C984" t="s">
        <v>1201</v>
      </c>
      <c r="D984">
        <v>44233</v>
      </c>
    </row>
    <row r="985" spans="2:4" x14ac:dyDescent="0.25">
      <c r="B985" t="s">
        <v>1202</v>
      </c>
      <c r="C985" t="s">
        <v>1203</v>
      </c>
      <c r="D985">
        <v>44105</v>
      </c>
    </row>
    <row r="986" spans="2:4" x14ac:dyDescent="0.25">
      <c r="B986" t="s">
        <v>1204</v>
      </c>
      <c r="C986" t="s">
        <v>1205</v>
      </c>
      <c r="D986">
        <v>44056</v>
      </c>
    </row>
    <row r="987" spans="2:4" x14ac:dyDescent="0.25">
      <c r="B987" t="s">
        <v>1206</v>
      </c>
      <c r="C987" t="s">
        <v>1207</v>
      </c>
      <c r="D987">
        <v>43964</v>
      </c>
    </row>
    <row r="988" spans="2:4" x14ac:dyDescent="0.25">
      <c r="B988" t="s">
        <v>1208</v>
      </c>
      <c r="C988" t="s">
        <v>1209</v>
      </c>
      <c r="D988">
        <v>43805</v>
      </c>
    </row>
    <row r="989" spans="2:4" x14ac:dyDescent="0.25">
      <c r="B989" t="s">
        <v>1210</v>
      </c>
      <c r="C989" t="s">
        <v>1211</v>
      </c>
      <c r="D989">
        <v>43703</v>
      </c>
    </row>
    <row r="990" spans="2:4" x14ac:dyDescent="0.25">
      <c r="B990" t="s">
        <v>1212</v>
      </c>
      <c r="C990" t="s">
        <v>1213</v>
      </c>
      <c r="D990">
        <v>43675</v>
      </c>
    </row>
    <row r="991" spans="2:4" x14ac:dyDescent="0.25">
      <c r="B991" t="s">
        <v>1214</v>
      </c>
      <c r="C991" t="s">
        <v>1215</v>
      </c>
      <c r="D991">
        <v>43483</v>
      </c>
    </row>
    <row r="992" spans="2:4" x14ac:dyDescent="0.25">
      <c r="B992" t="s">
        <v>1216</v>
      </c>
      <c r="C992" t="s">
        <v>1217</v>
      </c>
      <c r="D992">
        <v>43469</v>
      </c>
    </row>
    <row r="993" spans="2:4" x14ac:dyDescent="0.25">
      <c r="B993" t="s">
        <v>1218</v>
      </c>
      <c r="C993" t="s">
        <v>1219</v>
      </c>
      <c r="D993">
        <v>43372</v>
      </c>
    </row>
    <row r="994" spans="2:4" x14ac:dyDescent="0.25">
      <c r="B994" t="s">
        <v>1220</v>
      </c>
      <c r="C994" t="s">
        <v>1221</v>
      </c>
      <c r="D994">
        <v>43125</v>
      </c>
    </row>
    <row r="995" spans="2:4" x14ac:dyDescent="0.25">
      <c r="B995" t="s">
        <v>1222</v>
      </c>
      <c r="C995" t="s">
        <v>1223</v>
      </c>
      <c r="D995">
        <v>43011</v>
      </c>
    </row>
    <row r="996" spans="2:4" x14ac:dyDescent="0.25">
      <c r="B996" t="s">
        <v>1224</v>
      </c>
      <c r="C996" t="s">
        <v>1225</v>
      </c>
      <c r="D996">
        <v>42965</v>
      </c>
    </row>
    <row r="997" spans="2:4" x14ac:dyDescent="0.25">
      <c r="B997" t="s">
        <v>1226</v>
      </c>
      <c r="C997" t="s">
        <v>1227</v>
      </c>
      <c r="D997">
        <v>42877</v>
      </c>
    </row>
    <row r="998" spans="2:4" x14ac:dyDescent="0.25">
      <c r="B998" t="s">
        <v>1228</v>
      </c>
      <c r="C998" t="s">
        <v>1229</v>
      </c>
      <c r="D998">
        <v>42732</v>
      </c>
    </row>
    <row r="999" spans="2:4" x14ac:dyDescent="0.25">
      <c r="B999" t="s">
        <v>1230</v>
      </c>
      <c r="C999" t="s">
        <v>1231</v>
      </c>
      <c r="D999">
        <v>42686</v>
      </c>
    </row>
    <row r="1000" spans="2:4" x14ac:dyDescent="0.25">
      <c r="B1000" t="s">
        <v>1232</v>
      </c>
      <c r="C1000" t="s">
        <v>1233</v>
      </c>
      <c r="D1000">
        <v>42672</v>
      </c>
    </row>
    <row r="1001" spans="2:4" x14ac:dyDescent="0.25">
      <c r="B1001" t="s">
        <v>1234</v>
      </c>
      <c r="C1001" t="s">
        <v>1235</v>
      </c>
      <c r="D1001">
        <v>42635</v>
      </c>
    </row>
    <row r="1002" spans="2:4" x14ac:dyDescent="0.25">
      <c r="B1002" t="s">
        <v>1236</v>
      </c>
      <c r="C1002" t="s">
        <v>1237</v>
      </c>
      <c r="D1002">
        <v>42588</v>
      </c>
    </row>
    <row r="1003" spans="2:4" x14ac:dyDescent="0.25">
      <c r="B1003" t="s">
        <v>1238</v>
      </c>
      <c r="C1003" t="s">
        <v>1239</v>
      </c>
      <c r="D1003">
        <v>42467</v>
      </c>
    </row>
    <row r="1004" spans="2:4" x14ac:dyDescent="0.25">
      <c r="B1004" t="s">
        <v>1240</v>
      </c>
      <c r="C1004" t="s">
        <v>1241</v>
      </c>
      <c r="D1004">
        <v>42396</v>
      </c>
    </row>
    <row r="1005" spans="2:4" x14ac:dyDescent="0.25">
      <c r="B1005" t="s">
        <v>1242</v>
      </c>
      <c r="C1005" t="s">
        <v>1243</v>
      </c>
      <c r="D1005">
        <v>42096</v>
      </c>
    </row>
    <row r="1006" spans="2:4" x14ac:dyDescent="0.25">
      <c r="B1006" t="s">
        <v>1244</v>
      </c>
      <c r="C1006" t="s">
        <v>1245</v>
      </c>
      <c r="D1006">
        <v>42052</v>
      </c>
    </row>
    <row r="1007" spans="2:4" x14ac:dyDescent="0.25">
      <c r="B1007" t="s">
        <v>1246</v>
      </c>
      <c r="C1007" t="s">
        <v>1247</v>
      </c>
      <c r="D1007">
        <v>41959</v>
      </c>
    </row>
    <row r="1008" spans="2:4" x14ac:dyDescent="0.25">
      <c r="B1008" t="s">
        <v>1248</v>
      </c>
      <c r="C1008" t="s">
        <v>1249</v>
      </c>
      <c r="D1008">
        <v>41757</v>
      </c>
    </row>
    <row r="1009" spans="2:4" x14ac:dyDescent="0.25">
      <c r="B1009" t="s">
        <v>1250</v>
      </c>
      <c r="C1009" t="s">
        <v>1251</v>
      </c>
      <c r="D1009">
        <v>41615</v>
      </c>
    </row>
    <row r="1010" spans="2:4" x14ac:dyDescent="0.25">
      <c r="B1010" t="s">
        <v>1252</v>
      </c>
      <c r="C1010" t="s">
        <v>1253</v>
      </c>
      <c r="D1010">
        <v>41518</v>
      </c>
    </row>
    <row r="1011" spans="2:4" x14ac:dyDescent="0.25">
      <c r="B1011" t="s">
        <v>1254</v>
      </c>
      <c r="C1011" t="s">
        <v>1255</v>
      </c>
      <c r="D1011">
        <v>41406</v>
      </c>
    </row>
    <row r="1012" spans="2:4" x14ac:dyDescent="0.25">
      <c r="B1012" t="s">
        <v>1256</v>
      </c>
      <c r="C1012" t="s">
        <v>1257</v>
      </c>
      <c r="D1012">
        <v>41405</v>
      </c>
    </row>
    <row r="1013" spans="2:4" x14ac:dyDescent="0.25">
      <c r="B1013" t="s">
        <v>1258</v>
      </c>
      <c r="C1013" t="s">
        <v>1259</v>
      </c>
      <c r="D1013">
        <v>40953</v>
      </c>
    </row>
    <row r="1014" spans="2:4" x14ac:dyDescent="0.25">
      <c r="B1014" t="s">
        <v>1260</v>
      </c>
      <c r="C1014" t="s">
        <v>1261</v>
      </c>
      <c r="D1014">
        <v>40809</v>
      </c>
    </row>
    <row r="1015" spans="2:4" x14ac:dyDescent="0.25">
      <c r="B1015" t="s">
        <v>1262</v>
      </c>
      <c r="C1015" t="s">
        <v>1263</v>
      </c>
      <c r="D1015">
        <v>40804</v>
      </c>
    </row>
    <row r="1016" spans="2:4" x14ac:dyDescent="0.25">
      <c r="B1016" t="s">
        <v>1264</v>
      </c>
      <c r="C1016" t="s">
        <v>1265</v>
      </c>
      <c r="D1016">
        <v>40698</v>
      </c>
    </row>
    <row r="1017" spans="2:4" x14ac:dyDescent="0.25">
      <c r="B1017" t="s">
        <v>1266</v>
      </c>
      <c r="C1017" t="s">
        <v>1267</v>
      </c>
      <c r="D1017">
        <v>40521</v>
      </c>
    </row>
    <row r="1018" spans="2:4" x14ac:dyDescent="0.25">
      <c r="B1018" t="s">
        <v>1268</v>
      </c>
      <c r="C1018" t="s">
        <v>1269</v>
      </c>
      <c r="D1018">
        <v>40423</v>
      </c>
    </row>
    <row r="1019" spans="2:4" x14ac:dyDescent="0.25">
      <c r="B1019" t="s">
        <v>1270</v>
      </c>
      <c r="C1019" t="s">
        <v>1271</v>
      </c>
      <c r="D1019">
        <v>40376</v>
      </c>
    </row>
    <row r="1020" spans="2:4" x14ac:dyDescent="0.25">
      <c r="B1020" t="s">
        <v>1272</v>
      </c>
      <c r="C1020" t="s">
        <v>1273</v>
      </c>
      <c r="D1020">
        <v>40372</v>
      </c>
    </row>
    <row r="1021" spans="2:4" x14ac:dyDescent="0.25">
      <c r="B1021" t="s">
        <v>1274</v>
      </c>
      <c r="C1021" t="s">
        <v>1275</v>
      </c>
      <c r="D1021">
        <v>40258</v>
      </c>
    </row>
    <row r="1022" spans="2:4" x14ac:dyDescent="0.25">
      <c r="B1022" t="s">
        <v>1276</v>
      </c>
      <c r="C1022" t="s">
        <v>1277</v>
      </c>
      <c r="D1022">
        <v>39758</v>
      </c>
    </row>
    <row r="1023" spans="2:4" x14ac:dyDescent="0.25">
      <c r="B1023" t="s">
        <v>1278</v>
      </c>
      <c r="C1023" t="s">
        <v>1279</v>
      </c>
      <c r="D1023">
        <v>39677</v>
      </c>
    </row>
    <row r="1024" spans="2:4" x14ac:dyDescent="0.25">
      <c r="B1024" t="s">
        <v>1280</v>
      </c>
      <c r="C1024" t="s">
        <v>1281</v>
      </c>
      <c r="D1024">
        <v>39621</v>
      </c>
    </row>
    <row r="1025" spans="2:4" x14ac:dyDescent="0.25">
      <c r="B1025" t="s">
        <v>1282</v>
      </c>
      <c r="C1025" t="s">
        <v>1283</v>
      </c>
      <c r="D1025">
        <v>39604</v>
      </c>
    </row>
    <row r="1026" spans="2:4" x14ac:dyDescent="0.25">
      <c r="B1026" t="s">
        <v>1284</v>
      </c>
      <c r="C1026" t="s">
        <v>1285</v>
      </c>
      <c r="D1026">
        <v>39556</v>
      </c>
    </row>
    <row r="1027" spans="2:4" x14ac:dyDescent="0.25">
      <c r="B1027" t="s">
        <v>1286</v>
      </c>
      <c r="C1027" t="s">
        <v>1287</v>
      </c>
      <c r="D1027">
        <v>39536</v>
      </c>
    </row>
    <row r="1028" spans="2:4" x14ac:dyDescent="0.25">
      <c r="B1028" t="s">
        <v>1288</v>
      </c>
      <c r="C1028" t="s">
        <v>1289</v>
      </c>
      <c r="D1028">
        <v>39522</v>
      </c>
    </row>
    <row r="1029" spans="2:4" x14ac:dyDescent="0.25">
      <c r="B1029" t="s">
        <v>1290</v>
      </c>
      <c r="C1029" t="s">
        <v>1291</v>
      </c>
      <c r="D1029">
        <v>39489</v>
      </c>
    </row>
    <row r="1030" spans="2:4" x14ac:dyDescent="0.25">
      <c r="B1030" t="s">
        <v>1292</v>
      </c>
      <c r="C1030" t="s">
        <v>1293</v>
      </c>
      <c r="D1030">
        <v>39430</v>
      </c>
    </row>
    <row r="1031" spans="2:4" x14ac:dyDescent="0.25">
      <c r="B1031" t="s">
        <v>1294</v>
      </c>
      <c r="C1031" t="s">
        <v>1295</v>
      </c>
      <c r="D1031">
        <v>39404</v>
      </c>
    </row>
    <row r="1032" spans="2:4" x14ac:dyDescent="0.25">
      <c r="B1032" t="s">
        <v>1296</v>
      </c>
      <c r="C1032" t="s">
        <v>1297</v>
      </c>
      <c r="D1032">
        <v>39273</v>
      </c>
    </row>
    <row r="1033" spans="2:4" x14ac:dyDescent="0.25">
      <c r="B1033" t="s">
        <v>1298</v>
      </c>
      <c r="C1033" t="s">
        <v>1299</v>
      </c>
      <c r="D1033">
        <v>39199</v>
      </c>
    </row>
    <row r="1034" spans="2:4" x14ac:dyDescent="0.25">
      <c r="B1034" t="s">
        <v>1300</v>
      </c>
      <c r="C1034" t="s">
        <v>1301</v>
      </c>
      <c r="D1034">
        <v>39085</v>
      </c>
    </row>
    <row r="1035" spans="2:4" x14ac:dyDescent="0.25">
      <c r="B1035" t="s">
        <v>1302</v>
      </c>
      <c r="C1035" t="s">
        <v>1303</v>
      </c>
      <c r="D1035">
        <v>38856</v>
      </c>
    </row>
    <row r="1036" spans="2:4" x14ac:dyDescent="0.25">
      <c r="B1036" t="s">
        <v>1304</v>
      </c>
      <c r="C1036" t="s">
        <v>1305</v>
      </c>
      <c r="D1036">
        <v>38830</v>
      </c>
    </row>
    <row r="1037" spans="2:4" x14ac:dyDescent="0.25">
      <c r="B1037" t="s">
        <v>1306</v>
      </c>
      <c r="C1037" t="s">
        <v>1307</v>
      </c>
      <c r="D1037">
        <v>38726</v>
      </c>
    </row>
    <row r="1038" spans="2:4" x14ac:dyDescent="0.25">
      <c r="B1038" t="s">
        <v>1308</v>
      </c>
      <c r="C1038" t="s">
        <v>1309</v>
      </c>
      <c r="D1038">
        <v>38687</v>
      </c>
    </row>
    <row r="1039" spans="2:4" x14ac:dyDescent="0.25">
      <c r="B1039" t="s">
        <v>1310</v>
      </c>
      <c r="C1039" t="s">
        <v>1311</v>
      </c>
      <c r="D1039">
        <v>38566</v>
      </c>
    </row>
    <row r="1040" spans="2:4" x14ac:dyDescent="0.25">
      <c r="B1040" t="s">
        <v>1312</v>
      </c>
      <c r="C1040" t="s">
        <v>1313</v>
      </c>
      <c r="D1040">
        <v>38513</v>
      </c>
    </row>
    <row r="1041" spans="2:4" x14ac:dyDescent="0.25">
      <c r="B1041" t="s">
        <v>1314</v>
      </c>
      <c r="C1041" t="s">
        <v>1315</v>
      </c>
      <c r="D1041">
        <v>38413</v>
      </c>
    </row>
    <row r="1042" spans="2:4" x14ac:dyDescent="0.25">
      <c r="B1042" t="s">
        <v>1316</v>
      </c>
      <c r="C1042" t="s">
        <v>1317</v>
      </c>
      <c r="D1042">
        <v>38047</v>
      </c>
    </row>
    <row r="1043" spans="2:4" x14ac:dyDescent="0.25">
      <c r="B1043" t="s">
        <v>1318</v>
      </c>
      <c r="C1043" t="s">
        <v>1319</v>
      </c>
      <c r="D1043">
        <v>38046</v>
      </c>
    </row>
    <row r="1044" spans="2:4" x14ac:dyDescent="0.25">
      <c r="B1044" t="s">
        <v>1320</v>
      </c>
      <c r="C1044" t="s">
        <v>1321</v>
      </c>
      <c r="D1044">
        <v>38026</v>
      </c>
    </row>
    <row r="1045" spans="2:4" x14ac:dyDescent="0.25">
      <c r="B1045" t="s">
        <v>1322</v>
      </c>
      <c r="C1045" t="s">
        <v>1323</v>
      </c>
      <c r="D1045">
        <v>37627</v>
      </c>
    </row>
    <row r="1046" spans="2:4" x14ac:dyDescent="0.25">
      <c r="B1046" t="s">
        <v>1324</v>
      </c>
      <c r="C1046" t="s">
        <v>1325</v>
      </c>
      <c r="D1046">
        <v>37597</v>
      </c>
    </row>
    <row r="1047" spans="2:4" x14ac:dyDescent="0.25">
      <c r="B1047" t="s">
        <v>1326</v>
      </c>
      <c r="C1047" t="s">
        <v>1327</v>
      </c>
      <c r="D1047">
        <v>37443</v>
      </c>
    </row>
    <row r="1048" spans="2:4" x14ac:dyDescent="0.25">
      <c r="B1048" t="s">
        <v>1328</v>
      </c>
      <c r="C1048" t="s">
        <v>1329</v>
      </c>
      <c r="D1048">
        <v>37361</v>
      </c>
    </row>
    <row r="1049" spans="2:4" x14ac:dyDescent="0.25">
      <c r="B1049" t="s">
        <v>1330</v>
      </c>
      <c r="C1049" t="s">
        <v>1331</v>
      </c>
      <c r="D1049">
        <v>37105</v>
      </c>
    </row>
    <row r="1050" spans="2:4" x14ac:dyDescent="0.25">
      <c r="B1050" t="s">
        <v>1332</v>
      </c>
      <c r="C1050" t="s">
        <v>1333</v>
      </c>
      <c r="D1050">
        <v>37015</v>
      </c>
    </row>
    <row r="1051" spans="2:4" x14ac:dyDescent="0.25">
      <c r="B1051" t="s">
        <v>1334</v>
      </c>
      <c r="C1051" t="s">
        <v>1335</v>
      </c>
      <c r="D1051">
        <v>36965</v>
      </c>
    </row>
    <row r="1052" spans="2:4" x14ac:dyDescent="0.25">
      <c r="B1052" t="s">
        <v>1336</v>
      </c>
      <c r="C1052" t="s">
        <v>1337</v>
      </c>
      <c r="D1052">
        <v>36897</v>
      </c>
    </row>
    <row r="1053" spans="2:4" x14ac:dyDescent="0.25">
      <c r="B1053" t="s">
        <v>1338</v>
      </c>
      <c r="C1053" t="s">
        <v>1339</v>
      </c>
      <c r="D1053">
        <v>36877</v>
      </c>
    </row>
    <row r="1054" spans="2:4" x14ac:dyDescent="0.25">
      <c r="B1054" t="s">
        <v>1340</v>
      </c>
      <c r="C1054" t="s">
        <v>1341</v>
      </c>
      <c r="D1054">
        <v>36860</v>
      </c>
    </row>
    <row r="1055" spans="2:4" x14ac:dyDescent="0.25">
      <c r="B1055" t="s">
        <v>1342</v>
      </c>
      <c r="C1055" t="s">
        <v>1343</v>
      </c>
      <c r="D1055">
        <v>36802</v>
      </c>
    </row>
    <row r="1056" spans="2:4" x14ac:dyDescent="0.25">
      <c r="B1056" t="s">
        <v>1344</v>
      </c>
      <c r="C1056" t="s">
        <v>1345</v>
      </c>
      <c r="D1056">
        <v>36717</v>
      </c>
    </row>
    <row r="1057" spans="2:4" x14ac:dyDescent="0.25">
      <c r="B1057" t="s">
        <v>1346</v>
      </c>
      <c r="C1057" t="s">
        <v>1347</v>
      </c>
      <c r="D1057">
        <v>36700</v>
      </c>
    </row>
    <row r="1058" spans="2:4" x14ac:dyDescent="0.25">
      <c r="B1058" t="s">
        <v>1348</v>
      </c>
      <c r="C1058" t="s">
        <v>1349</v>
      </c>
      <c r="D1058">
        <v>36627</v>
      </c>
    </row>
    <row r="1059" spans="2:4" x14ac:dyDescent="0.25">
      <c r="B1059" t="s">
        <v>1350</v>
      </c>
      <c r="C1059" t="s">
        <v>1351</v>
      </c>
      <c r="D1059">
        <v>36622</v>
      </c>
    </row>
    <row r="1060" spans="2:4" x14ac:dyDescent="0.25">
      <c r="B1060" t="s">
        <v>1352</v>
      </c>
      <c r="C1060" t="s">
        <v>1353</v>
      </c>
      <c r="D1060">
        <v>36569</v>
      </c>
    </row>
    <row r="1061" spans="2:4" x14ac:dyDescent="0.25">
      <c r="B1061" t="s">
        <v>1354</v>
      </c>
      <c r="C1061" t="s">
        <v>1355</v>
      </c>
      <c r="D1061">
        <v>36355</v>
      </c>
    </row>
    <row r="1062" spans="2:4" x14ac:dyDescent="0.25">
      <c r="B1062" t="s">
        <v>1356</v>
      </c>
      <c r="C1062" t="s">
        <v>1357</v>
      </c>
      <c r="D1062">
        <v>36224</v>
      </c>
    </row>
    <row r="1063" spans="2:4" x14ac:dyDescent="0.25">
      <c r="B1063" t="s">
        <v>1358</v>
      </c>
      <c r="C1063" t="s">
        <v>1359</v>
      </c>
      <c r="D1063">
        <v>36215</v>
      </c>
    </row>
    <row r="1064" spans="2:4" x14ac:dyDescent="0.25">
      <c r="B1064" t="s">
        <v>1360</v>
      </c>
      <c r="C1064" t="s">
        <v>1361</v>
      </c>
      <c r="D1064">
        <v>36172</v>
      </c>
    </row>
    <row r="1065" spans="2:4" x14ac:dyDescent="0.25">
      <c r="B1065" t="s">
        <v>1362</v>
      </c>
      <c r="C1065" t="s">
        <v>1363</v>
      </c>
      <c r="D1065">
        <v>36166</v>
      </c>
    </row>
    <row r="1066" spans="2:4" x14ac:dyDescent="0.25">
      <c r="B1066" t="s">
        <v>1364</v>
      </c>
      <c r="C1066" t="s">
        <v>1365</v>
      </c>
      <c r="D1066">
        <v>36103</v>
      </c>
    </row>
    <row r="1067" spans="2:4" x14ac:dyDescent="0.25">
      <c r="B1067" t="s">
        <v>1366</v>
      </c>
      <c r="C1067" t="s">
        <v>1367</v>
      </c>
      <c r="D1067">
        <v>35981</v>
      </c>
    </row>
    <row r="1068" spans="2:4" x14ac:dyDescent="0.25">
      <c r="B1068" t="s">
        <v>1368</v>
      </c>
      <c r="C1068" t="s">
        <v>1369</v>
      </c>
      <c r="D1068">
        <v>35813</v>
      </c>
    </row>
    <row r="1069" spans="2:4" x14ac:dyDescent="0.25">
      <c r="B1069" t="s">
        <v>1370</v>
      </c>
      <c r="C1069" t="s">
        <v>1371</v>
      </c>
      <c r="D1069">
        <v>35801</v>
      </c>
    </row>
    <row r="1070" spans="2:4" x14ac:dyDescent="0.25">
      <c r="B1070" t="s">
        <v>1372</v>
      </c>
      <c r="C1070" t="s">
        <v>1373</v>
      </c>
      <c r="D1070">
        <v>35657</v>
      </c>
    </row>
    <row r="1071" spans="2:4" x14ac:dyDescent="0.25">
      <c r="B1071" t="s">
        <v>1374</v>
      </c>
      <c r="C1071" t="s">
        <v>1375</v>
      </c>
      <c r="D1071">
        <v>35470</v>
      </c>
    </row>
    <row r="1072" spans="2:4" x14ac:dyDescent="0.25">
      <c r="B1072" t="s">
        <v>1376</v>
      </c>
      <c r="C1072" t="s">
        <v>1377</v>
      </c>
      <c r="D1072">
        <v>35396</v>
      </c>
    </row>
    <row r="1073" spans="2:4" x14ac:dyDescent="0.25">
      <c r="B1073" t="s">
        <v>1378</v>
      </c>
      <c r="C1073" t="s">
        <v>1379</v>
      </c>
      <c r="D1073">
        <v>35384</v>
      </c>
    </row>
    <row r="1074" spans="2:4" x14ac:dyDescent="0.25">
      <c r="B1074" t="s">
        <v>1380</v>
      </c>
      <c r="C1074" t="s">
        <v>1381</v>
      </c>
      <c r="D1074">
        <v>35270</v>
      </c>
    </row>
    <row r="1075" spans="2:4" x14ac:dyDescent="0.25">
      <c r="B1075" t="s">
        <v>1382</v>
      </c>
      <c r="C1075" t="s">
        <v>1383</v>
      </c>
      <c r="D1075">
        <v>35239</v>
      </c>
    </row>
    <row r="1076" spans="2:4" x14ac:dyDescent="0.25">
      <c r="B1076" t="s">
        <v>1384</v>
      </c>
      <c r="C1076" t="s">
        <v>1385</v>
      </c>
      <c r="D1076">
        <v>35210</v>
      </c>
    </row>
    <row r="1077" spans="2:4" x14ac:dyDescent="0.25">
      <c r="B1077" t="s">
        <v>1386</v>
      </c>
      <c r="C1077" t="s">
        <v>1387</v>
      </c>
      <c r="D1077">
        <v>35088</v>
      </c>
    </row>
    <row r="1078" spans="2:4" x14ac:dyDescent="0.25">
      <c r="B1078" t="s">
        <v>1388</v>
      </c>
      <c r="C1078" t="s">
        <v>1389</v>
      </c>
      <c r="D1078">
        <v>35077</v>
      </c>
    </row>
    <row r="1079" spans="2:4" x14ac:dyDescent="0.25">
      <c r="B1079" t="s">
        <v>1390</v>
      </c>
      <c r="C1079" t="s">
        <v>1391</v>
      </c>
      <c r="D1079">
        <v>35057</v>
      </c>
    </row>
    <row r="1080" spans="2:4" x14ac:dyDescent="0.25">
      <c r="B1080" t="s">
        <v>1392</v>
      </c>
      <c r="C1080" t="s">
        <v>1393</v>
      </c>
      <c r="D1080">
        <v>35015</v>
      </c>
    </row>
    <row r="1081" spans="2:4" x14ac:dyDescent="0.25">
      <c r="B1081" t="s">
        <v>1394</v>
      </c>
      <c r="C1081" t="s">
        <v>1395</v>
      </c>
      <c r="D1081">
        <v>34981</v>
      </c>
    </row>
    <row r="1082" spans="2:4" x14ac:dyDescent="0.25">
      <c r="B1082" t="s">
        <v>1396</v>
      </c>
      <c r="C1082" t="s">
        <v>1397</v>
      </c>
      <c r="D1082">
        <v>34957</v>
      </c>
    </row>
    <row r="1083" spans="2:4" x14ac:dyDescent="0.25">
      <c r="B1083" t="s">
        <v>1398</v>
      </c>
      <c r="C1083" t="s">
        <v>1399</v>
      </c>
      <c r="D1083">
        <v>34949</v>
      </c>
    </row>
    <row r="1084" spans="2:4" x14ac:dyDescent="0.25">
      <c r="B1084" t="s">
        <v>1400</v>
      </c>
      <c r="C1084" t="s">
        <v>1401</v>
      </c>
      <c r="D1084">
        <v>34938</v>
      </c>
    </row>
    <row r="1085" spans="2:4" x14ac:dyDescent="0.25">
      <c r="B1085" t="s">
        <v>1402</v>
      </c>
      <c r="C1085" t="s">
        <v>1403</v>
      </c>
      <c r="D1085">
        <v>34718</v>
      </c>
    </row>
    <row r="1086" spans="2:4" x14ac:dyDescent="0.25">
      <c r="B1086" t="s">
        <v>1404</v>
      </c>
      <c r="C1086" t="s">
        <v>1405</v>
      </c>
      <c r="D1086">
        <v>34627</v>
      </c>
    </row>
    <row r="1087" spans="2:4" x14ac:dyDescent="0.25">
      <c r="B1087" t="s">
        <v>1406</v>
      </c>
      <c r="C1087" t="s">
        <v>1407</v>
      </c>
      <c r="D1087">
        <v>34534</v>
      </c>
    </row>
    <row r="1088" spans="2:4" x14ac:dyDescent="0.25">
      <c r="B1088" t="s">
        <v>1408</v>
      </c>
      <c r="C1088" t="s">
        <v>1409</v>
      </c>
      <c r="D1088">
        <v>34530</v>
      </c>
    </row>
    <row r="1089" spans="2:4" x14ac:dyDescent="0.25">
      <c r="B1089" t="s">
        <v>1410</v>
      </c>
      <c r="C1089" t="s">
        <v>1411</v>
      </c>
      <c r="D1089">
        <v>34460</v>
      </c>
    </row>
    <row r="1090" spans="2:4" x14ac:dyDescent="0.25">
      <c r="B1090" t="s">
        <v>1412</v>
      </c>
      <c r="C1090" t="s">
        <v>1413</v>
      </c>
      <c r="D1090">
        <v>34415</v>
      </c>
    </row>
    <row r="1091" spans="2:4" x14ac:dyDescent="0.25">
      <c r="B1091" t="s">
        <v>1414</v>
      </c>
      <c r="C1091" t="s">
        <v>1415</v>
      </c>
      <c r="D1091">
        <v>34323</v>
      </c>
    </row>
    <row r="1092" spans="2:4" x14ac:dyDescent="0.25">
      <c r="B1092" t="s">
        <v>1416</v>
      </c>
      <c r="C1092" t="s">
        <v>1417</v>
      </c>
      <c r="D1092">
        <v>34247</v>
      </c>
    </row>
    <row r="1093" spans="2:4" x14ac:dyDescent="0.25">
      <c r="B1093" t="s">
        <v>1418</v>
      </c>
      <c r="C1093" t="s">
        <v>1419</v>
      </c>
      <c r="D1093">
        <v>34204</v>
      </c>
    </row>
    <row r="1094" spans="2:4" x14ac:dyDescent="0.25">
      <c r="B1094" t="s">
        <v>1420</v>
      </c>
      <c r="C1094" t="s">
        <v>1421</v>
      </c>
      <c r="D1094">
        <v>34118</v>
      </c>
    </row>
    <row r="1095" spans="2:4" x14ac:dyDescent="0.25">
      <c r="B1095" t="s">
        <v>1422</v>
      </c>
      <c r="C1095" t="s">
        <v>1423</v>
      </c>
      <c r="D1095">
        <v>34112</v>
      </c>
    </row>
    <row r="1096" spans="2:4" x14ac:dyDescent="0.25">
      <c r="B1096" t="s">
        <v>1424</v>
      </c>
      <c r="C1096" t="s">
        <v>1425</v>
      </c>
      <c r="D1096">
        <v>34075</v>
      </c>
    </row>
    <row r="1097" spans="2:4" x14ac:dyDescent="0.25">
      <c r="B1097" t="s">
        <v>1426</v>
      </c>
      <c r="C1097" t="s">
        <v>1427</v>
      </c>
      <c r="D1097">
        <v>34052</v>
      </c>
    </row>
    <row r="1098" spans="2:4" x14ac:dyDescent="0.25">
      <c r="B1098" t="s">
        <v>1428</v>
      </c>
      <c r="C1098" t="s">
        <v>1429</v>
      </c>
      <c r="D1098">
        <v>34035</v>
      </c>
    </row>
    <row r="1099" spans="2:4" x14ac:dyDescent="0.25">
      <c r="B1099" t="s">
        <v>1430</v>
      </c>
      <c r="C1099" t="s">
        <v>1431</v>
      </c>
      <c r="D1099">
        <v>33892</v>
      </c>
    </row>
    <row r="1100" spans="2:4" x14ac:dyDescent="0.25">
      <c r="B1100" t="s">
        <v>1432</v>
      </c>
      <c r="C1100" t="s">
        <v>1433</v>
      </c>
      <c r="D1100">
        <v>33888</v>
      </c>
    </row>
    <row r="1101" spans="2:4" x14ac:dyDescent="0.25">
      <c r="B1101" t="s">
        <v>1434</v>
      </c>
      <c r="C1101" t="s">
        <v>1435</v>
      </c>
      <c r="D1101">
        <v>33876</v>
      </c>
    </row>
    <row r="1102" spans="2:4" x14ac:dyDescent="0.25">
      <c r="B1102" t="s">
        <v>1436</v>
      </c>
      <c r="C1102" t="s">
        <v>1437</v>
      </c>
      <c r="D1102">
        <v>33812</v>
      </c>
    </row>
    <row r="1103" spans="2:4" x14ac:dyDescent="0.25">
      <c r="B1103" t="s">
        <v>1438</v>
      </c>
      <c r="C1103" t="s">
        <v>1439</v>
      </c>
      <c r="D1103">
        <v>33740</v>
      </c>
    </row>
    <row r="1104" spans="2:4" x14ac:dyDescent="0.25">
      <c r="B1104" t="s">
        <v>1440</v>
      </c>
      <c r="C1104" t="s">
        <v>1441</v>
      </c>
      <c r="D1104">
        <v>33707</v>
      </c>
    </row>
    <row r="1105" spans="2:4" x14ac:dyDescent="0.25">
      <c r="B1105" t="s">
        <v>1442</v>
      </c>
      <c r="C1105" t="s">
        <v>1443</v>
      </c>
      <c r="D1105">
        <v>33556</v>
      </c>
    </row>
    <row r="1106" spans="2:4" x14ac:dyDescent="0.25">
      <c r="B1106" t="s">
        <v>1444</v>
      </c>
      <c r="C1106" t="s">
        <v>1445</v>
      </c>
      <c r="D1106">
        <v>33528</v>
      </c>
    </row>
    <row r="1107" spans="2:4" x14ac:dyDescent="0.25">
      <c r="B1107" t="s">
        <v>1446</v>
      </c>
      <c r="C1107" t="s">
        <v>1447</v>
      </c>
      <c r="D1107">
        <v>33397</v>
      </c>
    </row>
    <row r="1108" spans="2:4" x14ac:dyDescent="0.25">
      <c r="B1108" t="s">
        <v>1448</v>
      </c>
      <c r="C1108" t="s">
        <v>1449</v>
      </c>
      <c r="D1108">
        <v>33353</v>
      </c>
    </row>
    <row r="1109" spans="2:4" x14ac:dyDescent="0.25">
      <c r="B1109" t="s">
        <v>1450</v>
      </c>
      <c r="C1109" t="s">
        <v>1451</v>
      </c>
      <c r="D1109">
        <v>33251</v>
      </c>
    </row>
    <row r="1110" spans="2:4" x14ac:dyDescent="0.25">
      <c r="B1110" t="s">
        <v>1452</v>
      </c>
      <c r="C1110" t="s">
        <v>1453</v>
      </c>
      <c r="D1110">
        <v>33168</v>
      </c>
    </row>
    <row r="1111" spans="2:4" x14ac:dyDescent="0.25">
      <c r="B1111" t="s">
        <v>1454</v>
      </c>
      <c r="C1111" t="s">
        <v>1455</v>
      </c>
      <c r="D1111">
        <v>33123</v>
      </c>
    </row>
    <row r="1112" spans="2:4" x14ac:dyDescent="0.25">
      <c r="B1112" t="s">
        <v>1456</v>
      </c>
      <c r="C1112" t="s">
        <v>1457</v>
      </c>
      <c r="D1112">
        <v>33006</v>
      </c>
    </row>
    <row r="1113" spans="2:4" x14ac:dyDescent="0.25">
      <c r="B1113" t="s">
        <v>1458</v>
      </c>
      <c r="C1113" t="s">
        <v>1459</v>
      </c>
      <c r="D1113">
        <v>32971</v>
      </c>
    </row>
    <row r="1114" spans="2:4" x14ac:dyDescent="0.25">
      <c r="B1114" t="s">
        <v>1460</v>
      </c>
      <c r="C1114" t="s">
        <v>1461</v>
      </c>
      <c r="D1114">
        <v>32855</v>
      </c>
    </row>
    <row r="1115" spans="2:4" x14ac:dyDescent="0.25">
      <c r="B1115" t="s">
        <v>1462</v>
      </c>
      <c r="C1115" t="s">
        <v>1463</v>
      </c>
      <c r="D1115">
        <v>32816</v>
      </c>
    </row>
    <row r="1116" spans="2:4" x14ac:dyDescent="0.25">
      <c r="B1116" t="s">
        <v>1464</v>
      </c>
      <c r="C1116" t="s">
        <v>1465</v>
      </c>
      <c r="D1116">
        <v>32773</v>
      </c>
    </row>
    <row r="1117" spans="2:4" x14ac:dyDescent="0.25">
      <c r="B1117" t="s">
        <v>1466</v>
      </c>
      <c r="C1117" t="s">
        <v>1467</v>
      </c>
      <c r="D1117">
        <v>32714</v>
      </c>
    </row>
    <row r="1118" spans="2:4" x14ac:dyDescent="0.25">
      <c r="B1118" t="s">
        <v>1468</v>
      </c>
      <c r="C1118" t="s">
        <v>1469</v>
      </c>
      <c r="D1118">
        <v>32579</v>
      </c>
    </row>
    <row r="1119" spans="2:4" x14ac:dyDescent="0.25">
      <c r="B1119" t="s">
        <v>1470</v>
      </c>
      <c r="C1119" t="s">
        <v>1471</v>
      </c>
      <c r="D1119">
        <v>32489</v>
      </c>
    </row>
    <row r="1120" spans="2:4" x14ac:dyDescent="0.25">
      <c r="B1120" t="s">
        <v>1472</v>
      </c>
      <c r="C1120" t="s">
        <v>1473</v>
      </c>
      <c r="D1120">
        <v>32440</v>
      </c>
    </row>
    <row r="1121" spans="2:4" x14ac:dyDescent="0.25">
      <c r="B1121" t="s">
        <v>1474</v>
      </c>
      <c r="C1121" t="s">
        <v>1475</v>
      </c>
      <c r="D1121">
        <v>32073</v>
      </c>
    </row>
    <row r="1122" spans="2:4" x14ac:dyDescent="0.25">
      <c r="B1122" t="s">
        <v>1476</v>
      </c>
      <c r="C1122" t="s">
        <v>1477</v>
      </c>
      <c r="D1122">
        <v>32068</v>
      </c>
    </row>
    <row r="1123" spans="2:4" x14ac:dyDescent="0.25">
      <c r="B1123" t="s">
        <v>1478</v>
      </c>
      <c r="C1123" t="s">
        <v>1479</v>
      </c>
      <c r="D1123">
        <v>32043</v>
      </c>
    </row>
    <row r="1124" spans="2:4" x14ac:dyDescent="0.25">
      <c r="B1124" t="s">
        <v>1480</v>
      </c>
      <c r="C1124" t="s">
        <v>1481</v>
      </c>
      <c r="D1124">
        <v>31964</v>
      </c>
    </row>
    <row r="1125" spans="2:4" x14ac:dyDescent="0.25">
      <c r="B1125" t="s">
        <v>1482</v>
      </c>
      <c r="C1125" t="s">
        <v>1483</v>
      </c>
      <c r="D1125">
        <v>31893</v>
      </c>
    </row>
    <row r="1126" spans="2:4" x14ac:dyDescent="0.25">
      <c r="B1126" t="s">
        <v>1484</v>
      </c>
      <c r="C1126" t="s">
        <v>1485</v>
      </c>
      <c r="D1126">
        <v>31854</v>
      </c>
    </row>
    <row r="1127" spans="2:4" x14ac:dyDescent="0.25">
      <c r="B1127" t="s">
        <v>1486</v>
      </c>
      <c r="C1127" t="s">
        <v>1487</v>
      </c>
      <c r="D1127">
        <v>31853</v>
      </c>
    </row>
    <row r="1128" spans="2:4" x14ac:dyDescent="0.25">
      <c r="B1128" t="s">
        <v>1488</v>
      </c>
      <c r="C1128" t="s">
        <v>1489</v>
      </c>
      <c r="D1128">
        <v>31800</v>
      </c>
    </row>
    <row r="1129" spans="2:4" x14ac:dyDescent="0.25">
      <c r="B1129" t="s">
        <v>1490</v>
      </c>
      <c r="C1129" t="s">
        <v>1491</v>
      </c>
      <c r="D1129">
        <v>31732</v>
      </c>
    </row>
    <row r="1130" spans="2:4" x14ac:dyDescent="0.25">
      <c r="B1130" t="s">
        <v>1492</v>
      </c>
      <c r="C1130" t="s">
        <v>1493</v>
      </c>
      <c r="D1130">
        <v>31701</v>
      </c>
    </row>
    <row r="1131" spans="2:4" x14ac:dyDescent="0.25">
      <c r="B1131" t="s">
        <v>1494</v>
      </c>
      <c r="C1131" t="s">
        <v>1495</v>
      </c>
      <c r="D1131">
        <v>31657</v>
      </c>
    </row>
    <row r="1132" spans="2:4" x14ac:dyDescent="0.25">
      <c r="B1132" t="s">
        <v>1496</v>
      </c>
      <c r="C1132" t="s">
        <v>1497</v>
      </c>
      <c r="D1132">
        <v>31605</v>
      </c>
    </row>
    <row r="1133" spans="2:4" x14ac:dyDescent="0.25">
      <c r="B1133" t="s">
        <v>1498</v>
      </c>
      <c r="C1133" t="s">
        <v>1499</v>
      </c>
      <c r="D1133">
        <v>31451</v>
      </c>
    </row>
    <row r="1134" spans="2:4" x14ac:dyDescent="0.25">
      <c r="B1134" t="s">
        <v>1500</v>
      </c>
      <c r="C1134" t="s">
        <v>1501</v>
      </c>
      <c r="D1134">
        <v>31442</v>
      </c>
    </row>
    <row r="1135" spans="2:4" x14ac:dyDescent="0.25">
      <c r="B1135" t="s">
        <v>1502</v>
      </c>
      <c r="C1135" t="s">
        <v>1503</v>
      </c>
      <c r="D1135">
        <v>31383</v>
      </c>
    </row>
    <row r="1136" spans="2:4" x14ac:dyDescent="0.25">
      <c r="B1136" t="s">
        <v>1504</v>
      </c>
      <c r="C1136" t="s">
        <v>1505</v>
      </c>
      <c r="D1136">
        <v>31314</v>
      </c>
    </row>
    <row r="1137" spans="2:4" x14ac:dyDescent="0.25">
      <c r="B1137" t="s">
        <v>1506</v>
      </c>
      <c r="C1137" t="s">
        <v>1507</v>
      </c>
      <c r="D1137">
        <v>31196</v>
      </c>
    </row>
    <row r="1138" spans="2:4" x14ac:dyDescent="0.25">
      <c r="B1138" t="s">
        <v>1508</v>
      </c>
      <c r="C1138" t="s">
        <v>1509</v>
      </c>
      <c r="D1138">
        <v>31156</v>
      </c>
    </row>
    <row r="1139" spans="2:4" x14ac:dyDescent="0.25">
      <c r="B1139" t="s">
        <v>1510</v>
      </c>
      <c r="C1139" t="s">
        <v>1511</v>
      </c>
      <c r="D1139">
        <v>31131</v>
      </c>
    </row>
    <row r="1140" spans="2:4" x14ac:dyDescent="0.25">
      <c r="B1140" t="s">
        <v>1512</v>
      </c>
      <c r="C1140" t="s">
        <v>1513</v>
      </c>
      <c r="D1140">
        <v>31094</v>
      </c>
    </row>
    <row r="1141" spans="2:4" x14ac:dyDescent="0.25">
      <c r="B1141" t="s">
        <v>1514</v>
      </c>
      <c r="C1141" t="s">
        <v>1515</v>
      </c>
      <c r="D1141">
        <v>30966</v>
      </c>
    </row>
    <row r="1142" spans="2:4" x14ac:dyDescent="0.25">
      <c r="B1142" t="s">
        <v>1516</v>
      </c>
      <c r="C1142" t="s">
        <v>1517</v>
      </c>
      <c r="D1142">
        <v>30892</v>
      </c>
    </row>
    <row r="1143" spans="2:4" x14ac:dyDescent="0.25">
      <c r="B1143" t="s">
        <v>1518</v>
      </c>
      <c r="C1143" t="s">
        <v>1519</v>
      </c>
      <c r="D1143">
        <v>30883</v>
      </c>
    </row>
    <row r="1144" spans="2:4" x14ac:dyDescent="0.25">
      <c r="B1144" t="s">
        <v>1520</v>
      </c>
      <c r="C1144" t="s">
        <v>1521</v>
      </c>
      <c r="D1144">
        <v>30876</v>
      </c>
    </row>
    <row r="1145" spans="2:4" x14ac:dyDescent="0.25">
      <c r="B1145" t="s">
        <v>1522</v>
      </c>
      <c r="C1145" t="s">
        <v>1523</v>
      </c>
      <c r="D1145">
        <v>30732</v>
      </c>
    </row>
    <row r="1146" spans="2:4" x14ac:dyDescent="0.25">
      <c r="B1146" t="s">
        <v>1524</v>
      </c>
      <c r="C1146" t="s">
        <v>1525</v>
      </c>
      <c r="D1146">
        <v>30696</v>
      </c>
    </row>
    <row r="1147" spans="2:4" x14ac:dyDescent="0.25">
      <c r="B1147" t="s">
        <v>1526</v>
      </c>
      <c r="C1147" t="s">
        <v>1527</v>
      </c>
      <c r="D1147">
        <v>30646</v>
      </c>
    </row>
    <row r="1148" spans="2:4" x14ac:dyDescent="0.25">
      <c r="B1148" t="s">
        <v>1528</v>
      </c>
      <c r="C1148" t="s">
        <v>1529</v>
      </c>
      <c r="D1148">
        <v>30615</v>
      </c>
    </row>
    <row r="1149" spans="2:4" x14ac:dyDescent="0.25">
      <c r="B1149" t="s">
        <v>1530</v>
      </c>
      <c r="C1149" t="s">
        <v>1531</v>
      </c>
      <c r="D1149">
        <v>30504</v>
      </c>
    </row>
    <row r="1150" spans="2:4" x14ac:dyDescent="0.25">
      <c r="B1150" t="s">
        <v>1532</v>
      </c>
      <c r="C1150" t="s">
        <v>1533</v>
      </c>
      <c r="D1150">
        <v>30489</v>
      </c>
    </row>
    <row r="1151" spans="2:4" x14ac:dyDescent="0.25">
      <c r="B1151" t="s">
        <v>1534</v>
      </c>
      <c r="C1151" t="s">
        <v>1535</v>
      </c>
      <c r="D1151">
        <v>30431</v>
      </c>
    </row>
    <row r="1152" spans="2:4" x14ac:dyDescent="0.25">
      <c r="B1152" t="s">
        <v>1536</v>
      </c>
      <c r="C1152" t="s">
        <v>1537</v>
      </c>
      <c r="D1152">
        <v>30262</v>
      </c>
    </row>
    <row r="1153" spans="2:4" x14ac:dyDescent="0.25">
      <c r="B1153" t="s">
        <v>1538</v>
      </c>
      <c r="C1153" t="s">
        <v>1539</v>
      </c>
      <c r="D1153">
        <v>30137</v>
      </c>
    </row>
    <row r="1154" spans="2:4" x14ac:dyDescent="0.25">
      <c r="B1154" t="s">
        <v>1540</v>
      </c>
      <c r="C1154" t="s">
        <v>1541</v>
      </c>
      <c r="D1154">
        <v>30117</v>
      </c>
    </row>
    <row r="1155" spans="2:4" x14ac:dyDescent="0.25">
      <c r="B1155" t="s">
        <v>1542</v>
      </c>
      <c r="C1155" t="s">
        <v>1543</v>
      </c>
      <c r="D1155">
        <v>30052</v>
      </c>
    </row>
    <row r="1156" spans="2:4" x14ac:dyDescent="0.25">
      <c r="B1156" t="s">
        <v>1544</v>
      </c>
      <c r="C1156" t="s">
        <v>1545</v>
      </c>
      <c r="D1156">
        <v>29569</v>
      </c>
    </row>
    <row r="1157" spans="2:4" x14ac:dyDescent="0.25">
      <c r="B1157" t="s">
        <v>1546</v>
      </c>
      <c r="C1157" t="s">
        <v>1547</v>
      </c>
      <c r="D1157">
        <v>29565</v>
      </c>
    </row>
    <row r="1158" spans="2:4" x14ac:dyDescent="0.25">
      <c r="B1158" t="s">
        <v>1548</v>
      </c>
      <c r="C1158" t="s">
        <v>1549</v>
      </c>
      <c r="D1158">
        <v>29499</v>
      </c>
    </row>
    <row r="1159" spans="2:4" x14ac:dyDescent="0.25">
      <c r="B1159" t="s">
        <v>1550</v>
      </c>
      <c r="C1159" t="s">
        <v>1551</v>
      </c>
      <c r="D1159">
        <v>29478</v>
      </c>
    </row>
    <row r="1160" spans="2:4" x14ac:dyDescent="0.25">
      <c r="B1160" t="s">
        <v>1552</v>
      </c>
      <c r="C1160" t="s">
        <v>1553</v>
      </c>
      <c r="D1160">
        <v>29461</v>
      </c>
    </row>
    <row r="1161" spans="2:4" x14ac:dyDescent="0.25">
      <c r="B1161" t="s">
        <v>1554</v>
      </c>
      <c r="C1161" t="s">
        <v>1555</v>
      </c>
      <c r="D1161">
        <v>29432</v>
      </c>
    </row>
    <row r="1162" spans="2:4" x14ac:dyDescent="0.25">
      <c r="B1162" t="s">
        <v>1556</v>
      </c>
      <c r="C1162" t="s">
        <v>1557</v>
      </c>
      <c r="D1162">
        <v>29374</v>
      </c>
    </row>
    <row r="1163" spans="2:4" x14ac:dyDescent="0.25">
      <c r="B1163" t="s">
        <v>1558</v>
      </c>
      <c r="C1163" t="s">
        <v>1559</v>
      </c>
      <c r="D1163">
        <v>29367</v>
      </c>
    </row>
    <row r="1164" spans="2:4" x14ac:dyDescent="0.25">
      <c r="B1164" t="s">
        <v>1560</v>
      </c>
      <c r="C1164" t="s">
        <v>1561</v>
      </c>
      <c r="D1164">
        <v>29279</v>
      </c>
    </row>
    <row r="1165" spans="2:4" x14ac:dyDescent="0.25">
      <c r="B1165" t="s">
        <v>1562</v>
      </c>
      <c r="C1165" t="s">
        <v>1563</v>
      </c>
      <c r="D1165">
        <v>29183</v>
      </c>
    </row>
    <row r="1166" spans="2:4" x14ac:dyDescent="0.25">
      <c r="B1166" t="s">
        <v>1564</v>
      </c>
      <c r="C1166" t="s">
        <v>1565</v>
      </c>
      <c r="D1166">
        <v>29030</v>
      </c>
    </row>
    <row r="1167" spans="2:4" x14ac:dyDescent="0.25">
      <c r="B1167" t="s">
        <v>1566</v>
      </c>
      <c r="C1167" t="s">
        <v>1567</v>
      </c>
      <c r="D1167">
        <v>29002</v>
      </c>
    </row>
    <row r="1168" spans="2:4" x14ac:dyDescent="0.25">
      <c r="B1168" t="s">
        <v>1568</v>
      </c>
      <c r="C1168" t="s">
        <v>1569</v>
      </c>
      <c r="D1168">
        <v>28987</v>
      </c>
    </row>
    <row r="1169" spans="2:4" x14ac:dyDescent="0.25">
      <c r="B1169" t="s">
        <v>1570</v>
      </c>
      <c r="C1169" t="s">
        <v>1571</v>
      </c>
      <c r="D1169">
        <v>28927</v>
      </c>
    </row>
    <row r="1170" spans="2:4" x14ac:dyDescent="0.25">
      <c r="B1170" t="s">
        <v>1572</v>
      </c>
      <c r="C1170" t="s">
        <v>1573</v>
      </c>
      <c r="D1170">
        <v>28836</v>
      </c>
    </row>
    <row r="1171" spans="2:4" x14ac:dyDescent="0.25">
      <c r="B1171" t="s">
        <v>1574</v>
      </c>
      <c r="C1171" t="s">
        <v>1575</v>
      </c>
      <c r="D1171">
        <v>28576</v>
      </c>
    </row>
    <row r="1172" spans="2:4" x14ac:dyDescent="0.25">
      <c r="B1172" t="s">
        <v>1576</v>
      </c>
      <c r="C1172" t="s">
        <v>1577</v>
      </c>
      <c r="D1172">
        <v>28538</v>
      </c>
    </row>
    <row r="1173" spans="2:4" x14ac:dyDescent="0.25">
      <c r="B1173" t="s">
        <v>1578</v>
      </c>
      <c r="C1173" t="s">
        <v>1579</v>
      </c>
      <c r="D1173">
        <v>28513</v>
      </c>
    </row>
    <row r="1174" spans="2:4" x14ac:dyDescent="0.25">
      <c r="B1174" t="s">
        <v>1580</v>
      </c>
      <c r="C1174" t="s">
        <v>1581</v>
      </c>
      <c r="D1174">
        <v>28428</v>
      </c>
    </row>
    <row r="1175" spans="2:4" x14ac:dyDescent="0.25">
      <c r="B1175" t="s">
        <v>1582</v>
      </c>
      <c r="C1175" t="s">
        <v>1583</v>
      </c>
      <c r="D1175">
        <v>28376</v>
      </c>
    </row>
    <row r="1176" spans="2:4" x14ac:dyDescent="0.25">
      <c r="B1176" t="s">
        <v>1584</v>
      </c>
      <c r="C1176" t="s">
        <v>1585</v>
      </c>
      <c r="D1176">
        <v>28374</v>
      </c>
    </row>
    <row r="1177" spans="2:4" x14ac:dyDescent="0.25">
      <c r="B1177" t="s">
        <v>1586</v>
      </c>
      <c r="C1177" t="s">
        <v>1587</v>
      </c>
      <c r="D1177">
        <v>28372</v>
      </c>
    </row>
    <row r="1178" spans="2:4" x14ac:dyDescent="0.25">
      <c r="B1178" t="s">
        <v>1588</v>
      </c>
      <c r="C1178" t="s">
        <v>1589</v>
      </c>
      <c r="D1178">
        <v>28270</v>
      </c>
    </row>
    <row r="1179" spans="2:4" x14ac:dyDescent="0.25">
      <c r="B1179" t="s">
        <v>1590</v>
      </c>
      <c r="C1179" t="s">
        <v>1591</v>
      </c>
      <c r="D1179">
        <v>28222</v>
      </c>
    </row>
    <row r="1180" spans="2:4" x14ac:dyDescent="0.25">
      <c r="B1180" t="s">
        <v>1592</v>
      </c>
      <c r="C1180" t="s">
        <v>1593</v>
      </c>
      <c r="D1180">
        <v>28106</v>
      </c>
    </row>
    <row r="1181" spans="2:4" x14ac:dyDescent="0.25">
      <c r="B1181" t="s">
        <v>1594</v>
      </c>
      <c r="C1181" t="s">
        <v>1595</v>
      </c>
      <c r="D1181">
        <v>27993</v>
      </c>
    </row>
    <row r="1182" spans="2:4" x14ac:dyDescent="0.25">
      <c r="B1182" t="s">
        <v>1596</v>
      </c>
      <c r="C1182" t="s">
        <v>1597</v>
      </c>
      <c r="D1182">
        <v>27798</v>
      </c>
    </row>
    <row r="1183" spans="2:4" x14ac:dyDescent="0.25">
      <c r="B1183" t="s">
        <v>1598</v>
      </c>
      <c r="C1183" t="s">
        <v>1599</v>
      </c>
      <c r="D1183">
        <v>27676</v>
      </c>
    </row>
    <row r="1184" spans="2:4" x14ac:dyDescent="0.25">
      <c r="B1184" t="s">
        <v>1600</v>
      </c>
      <c r="C1184" t="s">
        <v>1601</v>
      </c>
      <c r="D1184">
        <v>27630</v>
      </c>
    </row>
    <row r="1185" spans="2:4" x14ac:dyDescent="0.25">
      <c r="B1185" t="s">
        <v>1602</v>
      </c>
      <c r="C1185" t="s">
        <v>1603</v>
      </c>
      <c r="D1185">
        <v>27578</v>
      </c>
    </row>
    <row r="1186" spans="2:4" x14ac:dyDescent="0.25">
      <c r="B1186" t="s">
        <v>1604</v>
      </c>
      <c r="C1186" t="s">
        <v>1605</v>
      </c>
      <c r="D1186">
        <v>27504</v>
      </c>
    </row>
    <row r="1187" spans="2:4" x14ac:dyDescent="0.25">
      <c r="B1187" t="s">
        <v>1606</v>
      </c>
      <c r="C1187" t="s">
        <v>1607</v>
      </c>
      <c r="D1187">
        <v>27477</v>
      </c>
    </row>
    <row r="1188" spans="2:4" x14ac:dyDescent="0.25">
      <c r="B1188" t="s">
        <v>1608</v>
      </c>
      <c r="C1188" t="s">
        <v>1609</v>
      </c>
      <c r="D1188">
        <v>27333</v>
      </c>
    </row>
    <row r="1189" spans="2:4" x14ac:dyDescent="0.25">
      <c r="B1189" t="s">
        <v>1610</v>
      </c>
      <c r="C1189" t="s">
        <v>1611</v>
      </c>
      <c r="D1189">
        <v>27021</v>
      </c>
    </row>
    <row r="1190" spans="2:4" x14ac:dyDescent="0.25">
      <c r="B1190" t="s">
        <v>1612</v>
      </c>
      <c r="C1190" t="s">
        <v>1613</v>
      </c>
      <c r="D1190">
        <v>26832</v>
      </c>
    </row>
    <row r="1191" spans="2:4" x14ac:dyDescent="0.25">
      <c r="B1191" t="s">
        <v>1614</v>
      </c>
      <c r="C1191" t="s">
        <v>1615</v>
      </c>
      <c r="D1191">
        <v>26819</v>
      </c>
    </row>
    <row r="1192" spans="2:4" x14ac:dyDescent="0.25">
      <c r="B1192" t="s">
        <v>1616</v>
      </c>
      <c r="C1192" t="s">
        <v>1617</v>
      </c>
      <c r="D1192">
        <v>26805</v>
      </c>
    </row>
    <row r="1193" spans="2:4" x14ac:dyDescent="0.25">
      <c r="B1193" t="s">
        <v>1618</v>
      </c>
      <c r="C1193" t="s">
        <v>1619</v>
      </c>
      <c r="D1193">
        <v>26671</v>
      </c>
    </row>
    <row r="1194" spans="2:4" x14ac:dyDescent="0.25">
      <c r="B1194" t="s">
        <v>1620</v>
      </c>
      <c r="C1194" t="s">
        <v>1621</v>
      </c>
      <c r="D1194">
        <v>26530</v>
      </c>
    </row>
    <row r="1195" spans="2:4" x14ac:dyDescent="0.25">
      <c r="B1195" t="s">
        <v>1622</v>
      </c>
      <c r="C1195" t="s">
        <v>1623</v>
      </c>
      <c r="D1195">
        <v>26518</v>
      </c>
    </row>
    <row r="1196" spans="2:4" x14ac:dyDescent="0.25">
      <c r="B1196" t="s">
        <v>1624</v>
      </c>
      <c r="C1196" t="s">
        <v>1625</v>
      </c>
      <c r="D1196">
        <v>26486</v>
      </c>
    </row>
    <row r="1197" spans="2:4" x14ac:dyDescent="0.25">
      <c r="B1197" t="s">
        <v>1626</v>
      </c>
      <c r="C1197" t="s">
        <v>1627</v>
      </c>
      <c r="D1197">
        <v>26476</v>
      </c>
    </row>
    <row r="1198" spans="2:4" x14ac:dyDescent="0.25">
      <c r="B1198" t="s">
        <v>1628</v>
      </c>
      <c r="C1198" t="s">
        <v>1629</v>
      </c>
      <c r="D1198">
        <v>26348</v>
      </c>
    </row>
    <row r="1199" spans="2:4" x14ac:dyDescent="0.25">
      <c r="B1199" t="s">
        <v>1630</v>
      </c>
      <c r="C1199" t="s">
        <v>1631</v>
      </c>
      <c r="D1199">
        <v>26319</v>
      </c>
    </row>
    <row r="1200" spans="2:4" x14ac:dyDescent="0.25">
      <c r="B1200" t="s">
        <v>1632</v>
      </c>
      <c r="C1200" t="s">
        <v>1633</v>
      </c>
      <c r="D1200">
        <v>26199</v>
      </c>
    </row>
    <row r="1201" spans="2:4" x14ac:dyDescent="0.25">
      <c r="B1201" t="s">
        <v>1634</v>
      </c>
      <c r="C1201" t="s">
        <v>1635</v>
      </c>
      <c r="D1201">
        <v>26185</v>
      </c>
    </row>
    <row r="1202" spans="2:4" x14ac:dyDescent="0.25">
      <c r="B1202" t="s">
        <v>1636</v>
      </c>
      <c r="C1202" t="s">
        <v>1637</v>
      </c>
      <c r="D1202">
        <v>26159</v>
      </c>
    </row>
    <row r="1203" spans="2:4" x14ac:dyDescent="0.25">
      <c r="B1203" t="s">
        <v>1638</v>
      </c>
      <c r="C1203" t="s">
        <v>1639</v>
      </c>
      <c r="D1203">
        <v>25939</v>
      </c>
    </row>
    <row r="1204" spans="2:4" x14ac:dyDescent="0.25">
      <c r="B1204" t="s">
        <v>1640</v>
      </c>
      <c r="C1204" t="s">
        <v>1641</v>
      </c>
      <c r="D1204">
        <v>25890</v>
      </c>
    </row>
    <row r="1205" spans="2:4" x14ac:dyDescent="0.25">
      <c r="B1205" t="s">
        <v>1642</v>
      </c>
      <c r="C1205" t="s">
        <v>1643</v>
      </c>
      <c r="D1205">
        <v>25872</v>
      </c>
    </row>
    <row r="1206" spans="2:4" x14ac:dyDescent="0.25">
      <c r="B1206" t="s">
        <v>1644</v>
      </c>
      <c r="C1206" t="s">
        <v>1645</v>
      </c>
      <c r="D1206">
        <v>25780</v>
      </c>
    </row>
    <row r="1207" spans="2:4" x14ac:dyDescent="0.25">
      <c r="B1207" t="s">
        <v>1646</v>
      </c>
      <c r="C1207" t="s">
        <v>1647</v>
      </c>
      <c r="D1207">
        <v>25468</v>
      </c>
    </row>
    <row r="1208" spans="2:4" x14ac:dyDescent="0.25">
      <c r="B1208" t="s">
        <v>1648</v>
      </c>
      <c r="C1208" t="s">
        <v>1649</v>
      </c>
      <c r="D1208">
        <v>25401</v>
      </c>
    </row>
    <row r="1209" spans="2:4" x14ac:dyDescent="0.25">
      <c r="B1209" t="s">
        <v>1650</v>
      </c>
      <c r="C1209" t="s">
        <v>1651</v>
      </c>
      <c r="D1209">
        <v>25359</v>
      </c>
    </row>
    <row r="1210" spans="2:4" x14ac:dyDescent="0.25">
      <c r="B1210" t="s">
        <v>1652</v>
      </c>
      <c r="C1210" t="s">
        <v>1653</v>
      </c>
      <c r="D1210">
        <v>25039</v>
      </c>
    </row>
    <row r="1211" spans="2:4" x14ac:dyDescent="0.25">
      <c r="B1211" t="s">
        <v>1654</v>
      </c>
      <c r="C1211" t="s">
        <v>1655</v>
      </c>
      <c r="D1211">
        <v>25022</v>
      </c>
    </row>
    <row r="1212" spans="2:4" x14ac:dyDescent="0.25">
      <c r="B1212" t="s">
        <v>1656</v>
      </c>
      <c r="C1212" t="s">
        <v>1657</v>
      </c>
      <c r="D1212">
        <v>25016</v>
      </c>
    </row>
    <row r="1213" spans="2:4" x14ac:dyDescent="0.25">
      <c r="B1213" t="s">
        <v>1658</v>
      </c>
      <c r="C1213" t="s">
        <v>1659</v>
      </c>
      <c r="D1213">
        <v>24990</v>
      </c>
    </row>
    <row r="1214" spans="2:4" x14ac:dyDescent="0.25">
      <c r="B1214" t="s">
        <v>1660</v>
      </c>
      <c r="C1214" t="s">
        <v>1661</v>
      </c>
      <c r="D1214">
        <v>24900</v>
      </c>
    </row>
    <row r="1215" spans="2:4" x14ac:dyDescent="0.25">
      <c r="B1215" t="s">
        <v>1662</v>
      </c>
      <c r="C1215" t="s">
        <v>1663</v>
      </c>
      <c r="D1215">
        <v>24829</v>
      </c>
    </row>
    <row r="1216" spans="2:4" x14ac:dyDescent="0.25">
      <c r="B1216" t="s">
        <v>1664</v>
      </c>
      <c r="C1216" t="s">
        <v>1665</v>
      </c>
      <c r="D1216">
        <v>24810</v>
      </c>
    </row>
    <row r="1217" spans="2:4" x14ac:dyDescent="0.25">
      <c r="B1217" t="s">
        <v>1666</v>
      </c>
      <c r="C1217" t="s">
        <v>1667</v>
      </c>
      <c r="D1217">
        <v>24796</v>
      </c>
    </row>
    <row r="1218" spans="2:4" x14ac:dyDescent="0.25">
      <c r="B1218" t="s">
        <v>1668</v>
      </c>
      <c r="C1218" t="s">
        <v>1669</v>
      </c>
      <c r="D1218">
        <v>24704</v>
      </c>
    </row>
    <row r="1219" spans="2:4" x14ac:dyDescent="0.25">
      <c r="B1219" t="s">
        <v>1670</v>
      </c>
      <c r="C1219" t="s">
        <v>1671</v>
      </c>
      <c r="D1219">
        <v>24481</v>
      </c>
    </row>
    <row r="1220" spans="2:4" x14ac:dyDescent="0.25">
      <c r="B1220" t="s">
        <v>1672</v>
      </c>
      <c r="C1220" t="s">
        <v>1673</v>
      </c>
      <c r="D1220">
        <v>24468</v>
      </c>
    </row>
    <row r="1221" spans="2:4" x14ac:dyDescent="0.25">
      <c r="B1221" t="s">
        <v>1674</v>
      </c>
      <c r="C1221" t="s">
        <v>1675</v>
      </c>
      <c r="D1221">
        <v>24427</v>
      </c>
    </row>
    <row r="1222" spans="2:4" x14ac:dyDescent="0.25">
      <c r="B1222" t="s">
        <v>1676</v>
      </c>
      <c r="C1222" t="s">
        <v>1677</v>
      </c>
      <c r="D1222">
        <v>24362</v>
      </c>
    </row>
    <row r="1223" spans="2:4" x14ac:dyDescent="0.25">
      <c r="B1223" t="s">
        <v>1678</v>
      </c>
      <c r="C1223" t="s">
        <v>1679</v>
      </c>
      <c r="D1223">
        <v>24320</v>
      </c>
    </row>
    <row r="1224" spans="2:4" x14ac:dyDescent="0.25">
      <c r="B1224" t="s">
        <v>1680</v>
      </c>
      <c r="C1224" t="s">
        <v>1681</v>
      </c>
      <c r="D1224">
        <v>24308</v>
      </c>
    </row>
    <row r="1225" spans="2:4" x14ac:dyDescent="0.25">
      <c r="B1225" t="s">
        <v>1682</v>
      </c>
      <c r="C1225" t="s">
        <v>1683</v>
      </c>
      <c r="D1225">
        <v>24009</v>
      </c>
    </row>
    <row r="1226" spans="2:4" x14ac:dyDescent="0.25">
      <c r="B1226" t="s">
        <v>1684</v>
      </c>
      <c r="C1226" t="s">
        <v>1685</v>
      </c>
      <c r="D1226">
        <v>23936</v>
      </c>
    </row>
    <row r="1227" spans="2:4" x14ac:dyDescent="0.25">
      <c r="B1227" t="s">
        <v>1686</v>
      </c>
      <c r="C1227" t="s">
        <v>1687</v>
      </c>
      <c r="D1227">
        <v>23927</v>
      </c>
    </row>
    <row r="1228" spans="2:4" x14ac:dyDescent="0.25">
      <c r="B1228" t="s">
        <v>1688</v>
      </c>
      <c r="C1228" t="s">
        <v>1689</v>
      </c>
      <c r="D1228">
        <v>23830</v>
      </c>
    </row>
    <row r="1229" spans="2:4" x14ac:dyDescent="0.25">
      <c r="B1229" t="s">
        <v>1690</v>
      </c>
      <c r="C1229" t="s">
        <v>1691</v>
      </c>
      <c r="D1229">
        <v>23548</v>
      </c>
    </row>
    <row r="1230" spans="2:4" x14ac:dyDescent="0.25">
      <c r="B1230" t="s">
        <v>1692</v>
      </c>
      <c r="C1230" t="s">
        <v>1693</v>
      </c>
      <c r="D1230">
        <v>23427</v>
      </c>
    </row>
    <row r="1231" spans="2:4" x14ac:dyDescent="0.25">
      <c r="B1231" t="s">
        <v>1694</v>
      </c>
      <c r="C1231" t="s">
        <v>1695</v>
      </c>
      <c r="D1231">
        <v>23333</v>
      </c>
    </row>
    <row r="1232" spans="2:4" x14ac:dyDescent="0.25">
      <c r="B1232" t="s">
        <v>1696</v>
      </c>
      <c r="C1232" t="s">
        <v>1697</v>
      </c>
      <c r="D1232">
        <v>23172</v>
      </c>
    </row>
    <row r="1233" spans="2:4" x14ac:dyDescent="0.25">
      <c r="B1233" t="s">
        <v>1698</v>
      </c>
      <c r="C1233" t="s">
        <v>1699</v>
      </c>
      <c r="D1233">
        <v>23107</v>
      </c>
    </row>
    <row r="1234" spans="2:4" x14ac:dyDescent="0.25">
      <c r="B1234" t="s">
        <v>1700</v>
      </c>
      <c r="C1234" t="s">
        <v>1701</v>
      </c>
      <c r="D1234">
        <v>23085</v>
      </c>
    </row>
    <row r="1235" spans="2:4" x14ac:dyDescent="0.25">
      <c r="B1235" t="s">
        <v>1702</v>
      </c>
      <c r="C1235" t="s">
        <v>1703</v>
      </c>
      <c r="D1235">
        <v>22902</v>
      </c>
    </row>
    <row r="1236" spans="2:4" x14ac:dyDescent="0.25">
      <c r="B1236" t="s">
        <v>1704</v>
      </c>
      <c r="C1236" t="s">
        <v>1705</v>
      </c>
      <c r="D1236">
        <v>22635</v>
      </c>
    </row>
    <row r="1237" spans="2:4" x14ac:dyDescent="0.25">
      <c r="B1237" t="s">
        <v>1706</v>
      </c>
      <c r="C1237" t="s">
        <v>1707</v>
      </c>
      <c r="D1237">
        <v>22335</v>
      </c>
    </row>
    <row r="1238" spans="2:4" x14ac:dyDescent="0.25">
      <c r="B1238" t="s">
        <v>1708</v>
      </c>
      <c r="C1238" t="s">
        <v>1709</v>
      </c>
      <c r="D1238">
        <v>22314</v>
      </c>
    </row>
    <row r="1239" spans="2:4" x14ac:dyDescent="0.25">
      <c r="B1239" t="s">
        <v>1710</v>
      </c>
      <c r="C1239" t="s">
        <v>1711</v>
      </c>
      <c r="D1239">
        <v>22256</v>
      </c>
    </row>
    <row r="1240" spans="2:4" x14ac:dyDescent="0.25">
      <c r="B1240" t="s">
        <v>1712</v>
      </c>
      <c r="C1240" t="s">
        <v>1713</v>
      </c>
      <c r="D1240">
        <v>22117</v>
      </c>
    </row>
    <row r="1241" spans="2:4" x14ac:dyDescent="0.25">
      <c r="B1241" t="s">
        <v>1714</v>
      </c>
      <c r="C1241" t="s">
        <v>1715</v>
      </c>
      <c r="D1241">
        <v>22061</v>
      </c>
    </row>
    <row r="1242" spans="2:4" x14ac:dyDescent="0.25">
      <c r="B1242" t="s">
        <v>1716</v>
      </c>
      <c r="C1242" t="s">
        <v>1717</v>
      </c>
      <c r="D1242">
        <v>21842</v>
      </c>
    </row>
    <row r="1243" spans="2:4" x14ac:dyDescent="0.25">
      <c r="B1243" t="s">
        <v>1718</v>
      </c>
      <c r="C1243" t="s">
        <v>1719</v>
      </c>
      <c r="D1243">
        <v>21826</v>
      </c>
    </row>
    <row r="1244" spans="2:4" x14ac:dyDescent="0.25">
      <c r="B1244" t="s">
        <v>1720</v>
      </c>
      <c r="C1244" t="s">
        <v>1721</v>
      </c>
      <c r="D1244">
        <v>21665</v>
      </c>
    </row>
    <row r="1245" spans="2:4" x14ac:dyDescent="0.25">
      <c r="B1245" t="s">
        <v>1722</v>
      </c>
      <c r="C1245" t="s">
        <v>1723</v>
      </c>
      <c r="D1245">
        <v>21544</v>
      </c>
    </row>
    <row r="1246" spans="2:4" x14ac:dyDescent="0.25">
      <c r="B1246" t="s">
        <v>1724</v>
      </c>
      <c r="C1246" t="s">
        <v>1725</v>
      </c>
      <c r="D1246">
        <v>21374</v>
      </c>
    </row>
    <row r="1247" spans="2:4" x14ac:dyDescent="0.25">
      <c r="B1247" t="s">
        <v>1726</v>
      </c>
      <c r="C1247" t="s">
        <v>1727</v>
      </c>
      <c r="D1247">
        <v>21281</v>
      </c>
    </row>
    <row r="1248" spans="2:4" x14ac:dyDescent="0.25">
      <c r="B1248" t="s">
        <v>1728</v>
      </c>
      <c r="C1248" t="s">
        <v>1729</v>
      </c>
      <c r="D1248">
        <v>21267</v>
      </c>
    </row>
    <row r="1249" spans="2:4" x14ac:dyDescent="0.25">
      <c r="B1249" t="s">
        <v>1730</v>
      </c>
      <c r="C1249" t="s">
        <v>1731</v>
      </c>
      <c r="D1249">
        <v>21209</v>
      </c>
    </row>
    <row r="1250" spans="2:4" x14ac:dyDescent="0.25">
      <c r="B1250" t="s">
        <v>1732</v>
      </c>
      <c r="C1250" t="s">
        <v>1733</v>
      </c>
      <c r="D1250">
        <v>21069</v>
      </c>
    </row>
    <row r="1251" spans="2:4" x14ac:dyDescent="0.25">
      <c r="B1251" t="s">
        <v>1734</v>
      </c>
      <c r="C1251" t="s">
        <v>1735</v>
      </c>
      <c r="D1251">
        <v>21061</v>
      </c>
    </row>
    <row r="1252" spans="2:4" x14ac:dyDescent="0.25">
      <c r="B1252" t="s">
        <v>1736</v>
      </c>
      <c r="C1252" t="s">
        <v>1737</v>
      </c>
      <c r="D1252">
        <v>20853</v>
      </c>
    </row>
    <row r="1253" spans="2:4" x14ac:dyDescent="0.25">
      <c r="B1253" t="s">
        <v>1738</v>
      </c>
      <c r="C1253" t="s">
        <v>1739</v>
      </c>
      <c r="D1253">
        <v>20787</v>
      </c>
    </row>
    <row r="1254" spans="2:4" x14ac:dyDescent="0.25">
      <c r="B1254" t="s">
        <v>1740</v>
      </c>
      <c r="C1254" t="s">
        <v>1741</v>
      </c>
      <c r="D1254">
        <v>20784</v>
      </c>
    </row>
    <row r="1255" spans="2:4" x14ac:dyDescent="0.25">
      <c r="B1255" t="s">
        <v>1742</v>
      </c>
      <c r="C1255" t="s">
        <v>1743</v>
      </c>
      <c r="D1255">
        <v>20769</v>
      </c>
    </row>
    <row r="1256" spans="2:4" x14ac:dyDescent="0.25">
      <c r="B1256" t="s">
        <v>1744</v>
      </c>
      <c r="C1256" t="s">
        <v>1745</v>
      </c>
      <c r="D1256">
        <v>20744</v>
      </c>
    </row>
    <row r="1257" spans="2:4" x14ac:dyDescent="0.25">
      <c r="B1257" t="s">
        <v>1746</v>
      </c>
      <c r="C1257" t="s">
        <v>1747</v>
      </c>
      <c r="D1257">
        <v>20714</v>
      </c>
    </row>
    <row r="1258" spans="2:4" x14ac:dyDescent="0.25">
      <c r="B1258" t="s">
        <v>1748</v>
      </c>
      <c r="C1258" t="s">
        <v>1749</v>
      </c>
      <c r="D1258">
        <v>20672</v>
      </c>
    </row>
    <row r="1259" spans="2:4" x14ac:dyDescent="0.25">
      <c r="B1259" t="s">
        <v>1750</v>
      </c>
      <c r="C1259" t="s">
        <v>1751</v>
      </c>
      <c r="D1259">
        <v>20580</v>
      </c>
    </row>
    <row r="1260" spans="2:4" x14ac:dyDescent="0.25">
      <c r="B1260" t="s">
        <v>1752</v>
      </c>
      <c r="C1260" t="s">
        <v>1753</v>
      </c>
      <c r="D1260">
        <v>20562</v>
      </c>
    </row>
    <row r="1261" spans="2:4" x14ac:dyDescent="0.25">
      <c r="B1261" t="s">
        <v>1754</v>
      </c>
      <c r="C1261" t="s">
        <v>1755</v>
      </c>
      <c r="D1261">
        <v>20360</v>
      </c>
    </row>
    <row r="1262" spans="2:4" x14ac:dyDescent="0.25">
      <c r="B1262" t="s">
        <v>1756</v>
      </c>
      <c r="C1262" t="s">
        <v>1757</v>
      </c>
      <c r="D1262">
        <v>20218</v>
      </c>
    </row>
    <row r="1263" spans="2:4" x14ac:dyDescent="0.25">
      <c r="B1263" t="s">
        <v>1758</v>
      </c>
      <c r="C1263" t="s">
        <v>1759</v>
      </c>
      <c r="D1263">
        <v>20192</v>
      </c>
    </row>
    <row r="1264" spans="2:4" x14ac:dyDescent="0.25">
      <c r="B1264" t="s">
        <v>1760</v>
      </c>
      <c r="C1264" t="s">
        <v>1761</v>
      </c>
      <c r="D1264">
        <v>20163</v>
      </c>
    </row>
    <row r="1265" spans="2:4" x14ac:dyDescent="0.25">
      <c r="B1265" t="s">
        <v>1762</v>
      </c>
      <c r="C1265" t="s">
        <v>1763</v>
      </c>
      <c r="D1265">
        <v>20053</v>
      </c>
    </row>
    <row r="1266" spans="2:4" x14ac:dyDescent="0.25">
      <c r="B1266" t="s">
        <v>1764</v>
      </c>
      <c r="C1266" t="s">
        <v>1765</v>
      </c>
      <c r="D1266">
        <v>19819</v>
      </c>
    </row>
    <row r="1267" spans="2:4" x14ac:dyDescent="0.25">
      <c r="B1267" t="s">
        <v>1766</v>
      </c>
      <c r="C1267" t="s">
        <v>1767</v>
      </c>
      <c r="D1267">
        <v>19812</v>
      </c>
    </row>
    <row r="1268" spans="2:4" x14ac:dyDescent="0.25">
      <c r="B1268" t="s">
        <v>1768</v>
      </c>
      <c r="C1268" t="s">
        <v>1769</v>
      </c>
      <c r="D1268">
        <v>19758</v>
      </c>
    </row>
    <row r="1269" spans="2:4" x14ac:dyDescent="0.25">
      <c r="B1269" t="s">
        <v>1770</v>
      </c>
      <c r="C1269" t="s">
        <v>1771</v>
      </c>
      <c r="D1269">
        <v>19674</v>
      </c>
    </row>
    <row r="1270" spans="2:4" x14ac:dyDescent="0.25">
      <c r="B1270" t="s">
        <v>1772</v>
      </c>
      <c r="C1270" t="s">
        <v>1773</v>
      </c>
      <c r="D1270">
        <v>19576</v>
      </c>
    </row>
    <row r="1271" spans="2:4" x14ac:dyDescent="0.25">
      <c r="B1271" t="s">
        <v>1774</v>
      </c>
      <c r="C1271" t="s">
        <v>1775</v>
      </c>
      <c r="D1271">
        <v>19572</v>
      </c>
    </row>
    <row r="1272" spans="2:4" x14ac:dyDescent="0.25">
      <c r="B1272" t="s">
        <v>1776</v>
      </c>
      <c r="C1272" t="s">
        <v>1777</v>
      </c>
      <c r="D1272">
        <v>19347</v>
      </c>
    </row>
    <row r="1273" spans="2:4" x14ac:dyDescent="0.25">
      <c r="B1273" t="s">
        <v>1778</v>
      </c>
      <c r="C1273" t="s">
        <v>1779</v>
      </c>
      <c r="D1273">
        <v>19287</v>
      </c>
    </row>
    <row r="1274" spans="2:4" x14ac:dyDescent="0.25">
      <c r="B1274" t="s">
        <v>1780</v>
      </c>
      <c r="C1274" t="s">
        <v>1781</v>
      </c>
      <c r="D1274">
        <v>19143</v>
      </c>
    </row>
    <row r="1275" spans="2:4" x14ac:dyDescent="0.25">
      <c r="B1275" t="s">
        <v>1782</v>
      </c>
      <c r="C1275" t="s">
        <v>1783</v>
      </c>
      <c r="D1275">
        <v>19062</v>
      </c>
    </row>
    <row r="1276" spans="2:4" x14ac:dyDescent="0.25">
      <c r="B1276" t="s">
        <v>1784</v>
      </c>
      <c r="C1276" t="s">
        <v>1785</v>
      </c>
      <c r="D1276">
        <v>18834</v>
      </c>
    </row>
    <row r="1277" spans="2:4" x14ac:dyDescent="0.25">
      <c r="B1277" t="s">
        <v>1786</v>
      </c>
      <c r="C1277" t="s">
        <v>1787</v>
      </c>
      <c r="D1277">
        <v>18641</v>
      </c>
    </row>
    <row r="1278" spans="2:4" x14ac:dyDescent="0.25">
      <c r="B1278" t="s">
        <v>1788</v>
      </c>
      <c r="C1278" t="s">
        <v>1789</v>
      </c>
      <c r="D1278">
        <v>18604</v>
      </c>
    </row>
    <row r="1279" spans="2:4" x14ac:dyDescent="0.25">
      <c r="B1279" t="s">
        <v>1790</v>
      </c>
      <c r="C1279" t="s">
        <v>1791</v>
      </c>
      <c r="D1279">
        <v>18560</v>
      </c>
    </row>
    <row r="1280" spans="2:4" x14ac:dyDescent="0.25">
      <c r="B1280" t="s">
        <v>1792</v>
      </c>
      <c r="C1280" t="s">
        <v>1793</v>
      </c>
      <c r="D1280">
        <v>18354</v>
      </c>
    </row>
    <row r="1281" spans="2:4" x14ac:dyDescent="0.25">
      <c r="B1281" t="s">
        <v>1794</v>
      </c>
      <c r="C1281" t="s">
        <v>1795</v>
      </c>
      <c r="D1281">
        <v>18075</v>
      </c>
    </row>
    <row r="1282" spans="2:4" x14ac:dyDescent="0.25">
      <c r="B1282" t="s">
        <v>1796</v>
      </c>
      <c r="C1282" t="s">
        <v>1797</v>
      </c>
      <c r="D1282">
        <v>17902</v>
      </c>
    </row>
    <row r="1283" spans="2:4" x14ac:dyDescent="0.25">
      <c r="B1283" t="s">
        <v>1798</v>
      </c>
      <c r="C1283" t="s">
        <v>1799</v>
      </c>
      <c r="D1283">
        <v>17713</v>
      </c>
    </row>
    <row r="1284" spans="2:4" x14ac:dyDescent="0.25">
      <c r="B1284" t="s">
        <v>1800</v>
      </c>
      <c r="C1284" t="s">
        <v>1801</v>
      </c>
      <c r="D1284">
        <v>17657</v>
      </c>
    </row>
    <row r="1285" spans="2:4" x14ac:dyDescent="0.25">
      <c r="B1285" t="s">
        <v>1802</v>
      </c>
      <c r="C1285" t="s">
        <v>1803</v>
      </c>
      <c r="D1285">
        <v>17624</v>
      </c>
    </row>
    <row r="1286" spans="2:4" x14ac:dyDescent="0.25">
      <c r="B1286" t="s">
        <v>1804</v>
      </c>
      <c r="C1286" t="s">
        <v>1805</v>
      </c>
      <c r="D1286">
        <v>17512</v>
      </c>
    </row>
    <row r="1287" spans="2:4" x14ac:dyDescent="0.25">
      <c r="B1287" t="s">
        <v>1806</v>
      </c>
      <c r="C1287" t="s">
        <v>1807</v>
      </c>
      <c r="D1287">
        <v>17472</v>
      </c>
    </row>
    <row r="1288" spans="2:4" x14ac:dyDescent="0.25">
      <c r="B1288" t="s">
        <v>1808</v>
      </c>
      <c r="C1288" t="s">
        <v>1809</v>
      </c>
      <c r="D1288">
        <v>17425</v>
      </c>
    </row>
    <row r="1289" spans="2:4" x14ac:dyDescent="0.25">
      <c r="B1289" t="s">
        <v>1810</v>
      </c>
      <c r="C1289" t="s">
        <v>1811</v>
      </c>
      <c r="D1289">
        <v>17318</v>
      </c>
    </row>
    <row r="1290" spans="2:4" x14ac:dyDescent="0.25">
      <c r="B1290" t="s">
        <v>1812</v>
      </c>
      <c r="C1290" t="s">
        <v>1813</v>
      </c>
      <c r="D1290">
        <v>17127</v>
      </c>
    </row>
    <row r="1291" spans="2:4" x14ac:dyDescent="0.25">
      <c r="B1291" t="s">
        <v>1814</v>
      </c>
      <c r="C1291" t="s">
        <v>1815</v>
      </c>
      <c r="D1291">
        <v>16604</v>
      </c>
    </row>
    <row r="1292" spans="2:4" x14ac:dyDescent="0.25">
      <c r="B1292" t="s">
        <v>1816</v>
      </c>
      <c r="C1292" t="s">
        <v>1817</v>
      </c>
      <c r="D1292">
        <v>16288</v>
      </c>
    </row>
    <row r="1293" spans="2:4" x14ac:dyDescent="0.25">
      <c r="B1293" t="s">
        <v>1818</v>
      </c>
      <c r="C1293" t="s">
        <v>1819</v>
      </c>
      <c r="D1293">
        <v>16282</v>
      </c>
    </row>
    <row r="1294" spans="2:4" x14ac:dyDescent="0.25">
      <c r="B1294" t="s">
        <v>1820</v>
      </c>
      <c r="C1294" t="s">
        <v>1821</v>
      </c>
      <c r="D1294">
        <v>16079</v>
      </c>
    </row>
    <row r="1295" spans="2:4" x14ac:dyDescent="0.25">
      <c r="B1295" t="s">
        <v>1822</v>
      </c>
      <c r="C1295" t="s">
        <v>1823</v>
      </c>
      <c r="D1295">
        <v>15628</v>
      </c>
    </row>
    <row r="1296" spans="2:4" x14ac:dyDescent="0.25">
      <c r="B1296" t="s">
        <v>1824</v>
      </c>
      <c r="C1296" t="s">
        <v>1825</v>
      </c>
      <c r="D1296">
        <v>14938</v>
      </c>
    </row>
    <row r="1297" spans="2:4" x14ac:dyDescent="0.25">
      <c r="B1297" t="s">
        <v>1826</v>
      </c>
      <c r="C1297" t="s">
        <v>1827</v>
      </c>
      <c r="D1297">
        <v>14899</v>
      </c>
    </row>
    <row r="1298" spans="2:4" x14ac:dyDescent="0.25">
      <c r="B1298" t="s">
        <v>1828</v>
      </c>
      <c r="C1298" t="s">
        <v>1829</v>
      </c>
      <c r="D1298">
        <v>14757</v>
      </c>
    </row>
    <row r="1299" spans="2:4" x14ac:dyDescent="0.25">
      <c r="B1299" t="s">
        <v>1830</v>
      </c>
      <c r="C1299" t="s">
        <v>1831</v>
      </c>
      <c r="D1299">
        <v>14750</v>
      </c>
    </row>
    <row r="1300" spans="2:4" x14ac:dyDescent="0.25">
      <c r="B1300" t="s">
        <v>1832</v>
      </c>
      <c r="C1300" t="s">
        <v>1833</v>
      </c>
      <c r="D1300">
        <v>14712</v>
      </c>
    </row>
    <row r="1301" spans="2:4" x14ac:dyDescent="0.25">
      <c r="B1301" t="s">
        <v>1834</v>
      </c>
      <c r="C1301" t="s">
        <v>1835</v>
      </c>
      <c r="D1301">
        <v>14674</v>
      </c>
    </row>
    <row r="1302" spans="2:4" x14ac:dyDescent="0.25">
      <c r="B1302" t="s">
        <v>1836</v>
      </c>
      <c r="C1302" t="s">
        <v>1837</v>
      </c>
      <c r="D1302">
        <v>14609</v>
      </c>
    </row>
    <row r="1303" spans="2:4" x14ac:dyDescent="0.25">
      <c r="B1303" t="s">
        <v>1838</v>
      </c>
      <c r="C1303" t="s">
        <v>1839</v>
      </c>
      <c r="D1303">
        <v>14521</v>
      </c>
    </row>
    <row r="1304" spans="2:4" x14ac:dyDescent="0.25">
      <c r="B1304" t="s">
        <v>1840</v>
      </c>
      <c r="C1304" t="s">
        <v>1841</v>
      </c>
      <c r="D1304">
        <v>14335</v>
      </c>
    </row>
    <row r="1305" spans="2:4" x14ac:dyDescent="0.25">
      <c r="B1305" t="s">
        <v>1842</v>
      </c>
      <c r="C1305" t="s">
        <v>1843</v>
      </c>
      <c r="D1305">
        <v>14272</v>
      </c>
    </row>
    <row r="1306" spans="2:4" x14ac:dyDescent="0.25">
      <c r="B1306" t="s">
        <v>1844</v>
      </c>
      <c r="C1306" t="s">
        <v>1845</v>
      </c>
      <c r="D1306">
        <v>14271</v>
      </c>
    </row>
    <row r="1307" spans="2:4" x14ac:dyDescent="0.25">
      <c r="B1307" t="s">
        <v>1846</v>
      </c>
      <c r="C1307" t="s">
        <v>1847</v>
      </c>
      <c r="D1307">
        <v>14188</v>
      </c>
    </row>
    <row r="1308" spans="2:4" x14ac:dyDescent="0.25">
      <c r="B1308" t="s">
        <v>1848</v>
      </c>
      <c r="C1308" t="s">
        <v>1849</v>
      </c>
      <c r="D1308">
        <v>14149</v>
      </c>
    </row>
    <row r="1309" spans="2:4" x14ac:dyDescent="0.25">
      <c r="B1309" t="s">
        <v>1850</v>
      </c>
      <c r="C1309" t="s">
        <v>1851</v>
      </c>
      <c r="D1309">
        <v>14066</v>
      </c>
    </row>
    <row r="1310" spans="2:4" x14ac:dyDescent="0.25">
      <c r="B1310" t="s">
        <v>1852</v>
      </c>
      <c r="C1310" t="s">
        <v>1853</v>
      </c>
      <c r="D1310">
        <v>14046</v>
      </c>
    </row>
    <row r="1311" spans="2:4" x14ac:dyDescent="0.25">
      <c r="B1311" t="s">
        <v>1854</v>
      </c>
      <c r="C1311" t="s">
        <v>1855</v>
      </c>
      <c r="D1311">
        <v>13961</v>
      </c>
    </row>
    <row r="1312" spans="2:4" x14ac:dyDescent="0.25">
      <c r="B1312" t="s">
        <v>1856</v>
      </c>
      <c r="C1312" t="s">
        <v>1857</v>
      </c>
      <c r="D1312">
        <v>13802</v>
      </c>
    </row>
    <row r="1313" spans="2:4" x14ac:dyDescent="0.25">
      <c r="B1313" t="s">
        <v>1858</v>
      </c>
      <c r="C1313" t="s">
        <v>1859</v>
      </c>
      <c r="D1313">
        <v>13648</v>
      </c>
    </row>
    <row r="1314" spans="2:4" x14ac:dyDescent="0.25">
      <c r="B1314" t="s">
        <v>1860</v>
      </c>
      <c r="C1314" t="s">
        <v>1861</v>
      </c>
      <c r="D1314">
        <v>13529</v>
      </c>
    </row>
    <row r="1315" spans="2:4" x14ac:dyDescent="0.25">
      <c r="B1315" t="s">
        <v>1862</v>
      </c>
      <c r="C1315" t="s">
        <v>1863</v>
      </c>
      <c r="D1315">
        <v>13501</v>
      </c>
    </row>
    <row r="1316" spans="2:4" x14ac:dyDescent="0.25">
      <c r="B1316" t="s">
        <v>1864</v>
      </c>
      <c r="C1316" t="s">
        <v>1865</v>
      </c>
      <c r="D1316">
        <v>13043</v>
      </c>
    </row>
    <row r="1317" spans="2:4" x14ac:dyDescent="0.25">
      <c r="B1317" t="s">
        <v>1866</v>
      </c>
      <c r="C1317" t="s">
        <v>1867</v>
      </c>
      <c r="D1317">
        <v>12985</v>
      </c>
    </row>
    <row r="1318" spans="2:4" x14ac:dyDescent="0.25">
      <c r="B1318" t="s">
        <v>1868</v>
      </c>
      <c r="C1318" t="s">
        <v>1869</v>
      </c>
      <c r="D1318">
        <v>12890</v>
      </c>
    </row>
    <row r="1319" spans="2:4" x14ac:dyDescent="0.25">
      <c r="B1319" t="s">
        <v>1870</v>
      </c>
      <c r="C1319" t="s">
        <v>1871</v>
      </c>
      <c r="D1319">
        <v>12733</v>
      </c>
    </row>
    <row r="1320" spans="2:4" x14ac:dyDescent="0.25">
      <c r="B1320" t="s">
        <v>1872</v>
      </c>
      <c r="C1320" t="s">
        <v>1873</v>
      </c>
      <c r="D1320">
        <v>12540</v>
      </c>
    </row>
    <row r="1321" spans="2:4" x14ac:dyDescent="0.25">
      <c r="B1321" t="s">
        <v>1874</v>
      </c>
      <c r="C1321" t="s">
        <v>1875</v>
      </c>
      <c r="D1321">
        <v>12445</v>
      </c>
    </row>
    <row r="1322" spans="2:4" x14ac:dyDescent="0.25">
      <c r="B1322" t="s">
        <v>1876</v>
      </c>
      <c r="C1322" t="s">
        <v>1877</v>
      </c>
      <c r="D1322">
        <v>12421</v>
      </c>
    </row>
    <row r="1323" spans="2:4" x14ac:dyDescent="0.25">
      <c r="B1323" t="s">
        <v>1878</v>
      </c>
      <c r="C1323" t="s">
        <v>1879</v>
      </c>
      <c r="D1323">
        <v>12218</v>
      </c>
    </row>
    <row r="1324" spans="2:4" x14ac:dyDescent="0.25">
      <c r="B1324" t="s">
        <v>1880</v>
      </c>
      <c r="C1324" t="s">
        <v>1881</v>
      </c>
      <c r="D1324">
        <v>12207</v>
      </c>
    </row>
    <row r="1325" spans="2:4" x14ac:dyDescent="0.25">
      <c r="B1325" t="s">
        <v>1882</v>
      </c>
      <c r="C1325" t="s">
        <v>1883</v>
      </c>
      <c r="D1325">
        <v>12171</v>
      </c>
    </row>
    <row r="1326" spans="2:4" x14ac:dyDescent="0.25">
      <c r="B1326" t="s">
        <v>1884</v>
      </c>
      <c r="C1326" t="s">
        <v>1885</v>
      </c>
      <c r="D1326">
        <v>10963</v>
      </c>
    </row>
    <row r="1327" spans="2:4" x14ac:dyDescent="0.25">
      <c r="B1327" t="s">
        <v>1886</v>
      </c>
      <c r="C1327" t="s">
        <v>1887</v>
      </c>
      <c r="D1327">
        <v>10904</v>
      </c>
    </row>
    <row r="1328" spans="2:4" x14ac:dyDescent="0.25">
      <c r="B1328" t="s">
        <v>1888</v>
      </c>
      <c r="C1328" t="s">
        <v>1889</v>
      </c>
      <c r="D1328">
        <v>10783</v>
      </c>
    </row>
    <row r="1329" spans="2:4" x14ac:dyDescent="0.25">
      <c r="B1329" t="s">
        <v>1890</v>
      </c>
      <c r="C1329" t="s">
        <v>1891</v>
      </c>
      <c r="D1329">
        <v>10656</v>
      </c>
    </row>
    <row r="1330" spans="2:4" x14ac:dyDescent="0.25">
      <c r="B1330" t="s">
        <v>1892</v>
      </c>
      <c r="C1330" t="s">
        <v>1893</v>
      </c>
      <c r="D1330">
        <v>9659</v>
      </c>
    </row>
    <row r="1331" spans="2:4" x14ac:dyDescent="0.25">
      <c r="B1331" t="s">
        <v>1894</v>
      </c>
      <c r="C1331" t="s">
        <v>1895</v>
      </c>
      <c r="D1331">
        <v>9511</v>
      </c>
    </row>
    <row r="1332" spans="2:4" x14ac:dyDescent="0.25">
      <c r="B1332" t="s">
        <v>1896</v>
      </c>
      <c r="C1332" t="s">
        <v>1897</v>
      </c>
      <c r="D1332">
        <v>9438</v>
      </c>
    </row>
    <row r="1333" spans="2:4" x14ac:dyDescent="0.25">
      <c r="B1333" t="s">
        <v>1898</v>
      </c>
      <c r="C1333" t="s">
        <v>1899</v>
      </c>
      <c r="D1333">
        <v>9337</v>
      </c>
    </row>
    <row r="1334" spans="2:4" x14ac:dyDescent="0.25">
      <c r="B1334" t="s">
        <v>1900</v>
      </c>
      <c r="C1334" t="s">
        <v>1901</v>
      </c>
      <c r="D1334">
        <v>9233</v>
      </c>
    </row>
    <row r="1335" spans="2:4" x14ac:dyDescent="0.25">
      <c r="B1335" t="s">
        <v>1902</v>
      </c>
      <c r="C1335" t="s">
        <v>1903</v>
      </c>
      <c r="D1335">
        <v>9155</v>
      </c>
    </row>
    <row r="1336" spans="2:4" x14ac:dyDescent="0.25">
      <c r="B1336" t="s">
        <v>1904</v>
      </c>
      <c r="C1336" t="s">
        <v>1905</v>
      </c>
      <c r="D1336">
        <v>9091</v>
      </c>
    </row>
    <row r="1337" spans="2:4" x14ac:dyDescent="0.25">
      <c r="B1337" t="s">
        <v>1906</v>
      </c>
      <c r="C1337" t="s">
        <v>1907</v>
      </c>
      <c r="D1337">
        <v>9039</v>
      </c>
    </row>
    <row r="1338" spans="2:4" x14ac:dyDescent="0.25">
      <c r="B1338" t="s">
        <v>1908</v>
      </c>
      <c r="C1338" t="s">
        <v>1909</v>
      </c>
      <c r="D1338">
        <v>8913</v>
      </c>
    </row>
    <row r="1339" spans="2:4" x14ac:dyDescent="0.25">
      <c r="B1339" t="s">
        <v>1910</v>
      </c>
      <c r="C1339" t="s">
        <v>1911</v>
      </c>
      <c r="D1339">
        <v>8894</v>
      </c>
    </row>
    <row r="1340" spans="2:4" x14ac:dyDescent="0.25">
      <c r="B1340" t="s">
        <v>1912</v>
      </c>
      <c r="C1340" t="s">
        <v>1913</v>
      </c>
      <c r="D1340">
        <v>8737</v>
      </c>
    </row>
    <row r="1341" spans="2:4" x14ac:dyDescent="0.25">
      <c r="B1341" t="s">
        <v>1914</v>
      </c>
      <c r="C1341" t="s">
        <v>1915</v>
      </c>
      <c r="D1341">
        <v>8699</v>
      </c>
    </row>
    <row r="1342" spans="2:4" x14ac:dyDescent="0.25">
      <c r="B1342" t="s">
        <v>1916</v>
      </c>
      <c r="C1342" t="s">
        <v>1917</v>
      </c>
      <c r="D1342">
        <v>8517</v>
      </c>
    </row>
    <row r="1343" spans="2:4" x14ac:dyDescent="0.25">
      <c r="B1343" t="s">
        <v>1918</v>
      </c>
      <c r="C1343" t="s">
        <v>1919</v>
      </c>
      <c r="D1343">
        <v>8079</v>
      </c>
    </row>
    <row r="1344" spans="2:4" x14ac:dyDescent="0.25">
      <c r="B1344" t="s">
        <v>1920</v>
      </c>
      <c r="C1344" t="s">
        <v>1921</v>
      </c>
      <c r="D1344">
        <v>8026</v>
      </c>
    </row>
    <row r="1345" spans="2:4" x14ac:dyDescent="0.25">
      <c r="B1345" t="s">
        <v>1922</v>
      </c>
      <c r="C1345" t="s">
        <v>1923</v>
      </c>
      <c r="D1345">
        <v>7969</v>
      </c>
    </row>
    <row r="1346" spans="2:4" x14ac:dyDescent="0.25">
      <c r="B1346" t="s">
        <v>1924</v>
      </c>
      <c r="C1346" t="s">
        <v>1925</v>
      </c>
      <c r="D1346">
        <v>7950</v>
      </c>
    </row>
    <row r="1347" spans="2:4" x14ac:dyDescent="0.25">
      <c r="B1347" t="s">
        <v>1926</v>
      </c>
      <c r="C1347" t="s">
        <v>1927</v>
      </c>
      <c r="D1347">
        <v>7941</v>
      </c>
    </row>
    <row r="1348" spans="2:4" x14ac:dyDescent="0.25">
      <c r="B1348" t="s">
        <v>1928</v>
      </c>
      <c r="C1348" t="s">
        <v>1929</v>
      </c>
      <c r="D1348">
        <v>7645</v>
      </c>
    </row>
    <row r="1349" spans="2:4" x14ac:dyDescent="0.25">
      <c r="B1349" t="s">
        <v>1930</v>
      </c>
      <c r="C1349" t="s">
        <v>1931</v>
      </c>
      <c r="D1349">
        <v>7570</v>
      </c>
    </row>
    <row r="1350" spans="2:4" x14ac:dyDescent="0.25">
      <c r="B1350" t="s">
        <v>1932</v>
      </c>
      <c r="C1350" t="s">
        <v>1933</v>
      </c>
      <c r="D1350">
        <v>7263</v>
      </c>
    </row>
    <row r="1351" spans="2:4" x14ac:dyDescent="0.25">
      <c r="B1351" t="s">
        <v>1934</v>
      </c>
      <c r="C1351" t="s">
        <v>1935</v>
      </c>
      <c r="D1351">
        <v>7028</v>
      </c>
    </row>
    <row r="1352" spans="2:4" x14ac:dyDescent="0.25">
      <c r="B1352" t="s">
        <v>1936</v>
      </c>
      <c r="C1352" t="s">
        <v>1937</v>
      </c>
      <c r="D1352">
        <v>6509</v>
      </c>
    </row>
    <row r="1353" spans="2:4" x14ac:dyDescent="0.25">
      <c r="B1353" t="s">
        <v>1938</v>
      </c>
      <c r="C1353" t="s">
        <v>1939</v>
      </c>
      <c r="D1353">
        <v>6482</v>
      </c>
    </row>
    <row r="1354" spans="2:4" x14ac:dyDescent="0.25">
      <c r="B1354" t="s">
        <v>1940</v>
      </c>
      <c r="C1354" t="s">
        <v>1941</v>
      </c>
      <c r="D1354">
        <v>6277</v>
      </c>
    </row>
    <row r="1355" spans="2:4" x14ac:dyDescent="0.25">
      <c r="B1355" t="s">
        <v>1942</v>
      </c>
      <c r="C1355" t="s">
        <v>1943</v>
      </c>
      <c r="D1355">
        <v>6021</v>
      </c>
    </row>
    <row r="1356" spans="2:4" x14ac:dyDescent="0.25">
      <c r="B1356" t="s">
        <v>1944</v>
      </c>
      <c r="C1356" t="s">
        <v>1945</v>
      </c>
      <c r="D1356">
        <v>5658</v>
      </c>
    </row>
    <row r="1357" spans="2:4" x14ac:dyDescent="0.25">
      <c r="B1357" t="s">
        <v>1946</v>
      </c>
      <c r="C1357" t="s">
        <v>1947</v>
      </c>
      <c r="D1357">
        <v>5605</v>
      </c>
    </row>
    <row r="1358" spans="2:4" x14ac:dyDescent="0.25">
      <c r="B1358" t="s">
        <v>1948</v>
      </c>
      <c r="C1358" t="s">
        <v>1949</v>
      </c>
      <c r="D1358">
        <v>5157</v>
      </c>
    </row>
    <row r="1359" spans="2:4" x14ac:dyDescent="0.25">
      <c r="B1359" t="s">
        <v>1950</v>
      </c>
      <c r="C1359" t="s">
        <v>1951</v>
      </c>
      <c r="D1359">
        <v>4875</v>
      </c>
    </row>
    <row r="1360" spans="2:4" x14ac:dyDescent="0.25">
      <c r="B1360" t="s">
        <v>1952</v>
      </c>
      <c r="C1360" t="s">
        <v>1953</v>
      </c>
      <c r="D1360">
        <v>4052</v>
      </c>
    </row>
    <row r="1361" spans="2:4" x14ac:dyDescent="0.25">
      <c r="B1361" t="s">
        <v>1954</v>
      </c>
      <c r="C1361" t="s">
        <v>1955</v>
      </c>
      <c r="D1361">
        <v>3757</v>
      </c>
    </row>
    <row r="1362" spans="2:4" x14ac:dyDescent="0.25">
      <c r="B1362" t="s">
        <v>1956</v>
      </c>
      <c r="C1362" t="s">
        <v>1957</v>
      </c>
      <c r="D1362">
        <v>3694</v>
      </c>
    </row>
    <row r="1363" spans="2:4" x14ac:dyDescent="0.25">
      <c r="B1363" t="s">
        <v>1958</v>
      </c>
      <c r="C1363" t="s">
        <v>1959</v>
      </c>
      <c r="D1363">
        <v>3397</v>
      </c>
    </row>
    <row r="1364" spans="2:4" x14ac:dyDescent="0.25">
      <c r="B1364" t="s">
        <v>1960</v>
      </c>
      <c r="C1364" t="s">
        <v>1961</v>
      </c>
      <c r="D1364">
        <v>3382</v>
      </c>
    </row>
    <row r="1365" spans="2:4" x14ac:dyDescent="0.25">
      <c r="B1365" t="s">
        <v>1962</v>
      </c>
      <c r="C1365" t="s">
        <v>1963</v>
      </c>
      <c r="D1365">
        <v>3244</v>
      </c>
    </row>
    <row r="1366" spans="2:4" x14ac:dyDescent="0.25">
      <c r="B1366" t="s">
        <v>1964</v>
      </c>
      <c r="C1366" t="s">
        <v>1965</v>
      </c>
      <c r="D1366">
        <v>3234</v>
      </c>
    </row>
    <row r="1367" spans="2:4" x14ac:dyDescent="0.25">
      <c r="B1367" t="s">
        <v>1966</v>
      </c>
      <c r="C1367" t="s">
        <v>1967</v>
      </c>
      <c r="D1367">
        <v>3042</v>
      </c>
    </row>
    <row r="1368" spans="2:4" x14ac:dyDescent="0.25">
      <c r="B1368" t="s">
        <v>1968</v>
      </c>
      <c r="C1368" t="s">
        <v>1969</v>
      </c>
      <c r="D1368">
        <v>2990</v>
      </c>
    </row>
    <row r="1369" spans="2:4" x14ac:dyDescent="0.25">
      <c r="B1369" t="s">
        <v>1970</v>
      </c>
      <c r="C1369" t="s">
        <v>1971</v>
      </c>
      <c r="D1369">
        <v>2968</v>
      </c>
    </row>
    <row r="1370" spans="2:4" x14ac:dyDescent="0.25">
      <c r="B1370" t="s">
        <v>1972</v>
      </c>
      <c r="C1370" t="s">
        <v>1973</v>
      </c>
      <c r="D1370">
        <v>2800</v>
      </c>
    </row>
    <row r="1371" spans="2:4" x14ac:dyDescent="0.25">
      <c r="B1371" t="s">
        <v>1974</v>
      </c>
      <c r="C1371" t="s">
        <v>1975</v>
      </c>
      <c r="D1371">
        <v>2723</v>
      </c>
    </row>
    <row r="1372" spans="2:4" x14ac:dyDescent="0.25">
      <c r="B1372" t="s">
        <v>1976</v>
      </c>
      <c r="C1372" t="s">
        <v>1977</v>
      </c>
      <c r="D1372">
        <v>2097</v>
      </c>
    </row>
    <row r="1373" spans="2:4" x14ac:dyDescent="0.25">
      <c r="B1373" t="s">
        <v>1978</v>
      </c>
      <c r="C1373" t="s">
        <v>1979</v>
      </c>
      <c r="D1373">
        <v>2056</v>
      </c>
    </row>
    <row r="1374" spans="2:4" x14ac:dyDescent="0.25">
      <c r="B1374" t="s">
        <v>1980</v>
      </c>
      <c r="C1374" t="s">
        <v>1981</v>
      </c>
      <c r="D1374">
        <v>1975</v>
      </c>
    </row>
    <row r="1375" spans="2:4" x14ac:dyDescent="0.25">
      <c r="B1375" t="s">
        <v>1982</v>
      </c>
      <c r="C1375" t="s">
        <v>1983</v>
      </c>
      <c r="D1375">
        <v>1886</v>
      </c>
    </row>
    <row r="1376" spans="2:4" x14ac:dyDescent="0.25">
      <c r="B1376" t="s">
        <v>1984</v>
      </c>
      <c r="C1376" t="s">
        <v>1985</v>
      </c>
      <c r="D1376">
        <v>1884</v>
      </c>
    </row>
    <row r="1377" spans="2:4" x14ac:dyDescent="0.25">
      <c r="B1377" t="s">
        <v>1986</v>
      </c>
      <c r="C1377" t="s">
        <v>1987</v>
      </c>
      <c r="D1377">
        <v>783</v>
      </c>
    </row>
    <row r="1378" spans="2:4" x14ac:dyDescent="0.25">
      <c r="B1378" t="s">
        <v>1988</v>
      </c>
      <c r="C1378" t="s">
        <v>1989</v>
      </c>
      <c r="D1378">
        <v>540</v>
      </c>
    </row>
    <row r="1379" spans="2:4" x14ac:dyDescent="0.25">
      <c r="B1379" t="s">
        <v>1990</v>
      </c>
      <c r="C1379" t="s">
        <v>1991</v>
      </c>
      <c r="D1379">
        <v>313</v>
      </c>
    </row>
    <row r="1380" spans="2:4" x14ac:dyDescent="0.25">
      <c r="B1380" t="s">
        <v>1992</v>
      </c>
      <c r="C1380" t="s">
        <v>1993</v>
      </c>
      <c r="D1380">
        <v>174</v>
      </c>
    </row>
    <row r="1381" spans="2:4" x14ac:dyDescent="0.25">
      <c r="B1381" t="s">
        <v>1994</v>
      </c>
      <c r="C1381" t="s">
        <v>1995</v>
      </c>
      <c r="D1381">
        <v>0</v>
      </c>
    </row>
    <row r="1382" spans="2:4" x14ac:dyDescent="0.25">
      <c r="B1382" t="s">
        <v>1996</v>
      </c>
      <c r="C1382" t="s">
        <v>1997</v>
      </c>
      <c r="D1382">
        <v>0</v>
      </c>
    </row>
    <row r="1383" spans="2:4" x14ac:dyDescent="0.25">
      <c r="B1383" t="s">
        <v>904</v>
      </c>
      <c r="C1383" t="s">
        <v>905</v>
      </c>
    </row>
    <row r="1385" spans="2:4" x14ac:dyDescent="0.25">
      <c r="B1385" s="75" t="s">
        <v>2349</v>
      </c>
      <c r="C1385" s="75"/>
    </row>
    <row r="1386" spans="2:4" x14ac:dyDescent="0.25">
      <c r="B1386" t="s">
        <v>2347</v>
      </c>
      <c r="C1386" t="str">
        <f ca="1">C7</f>
        <v>#keepongoing</v>
      </c>
    </row>
    <row r="1387" spans="2:4" x14ac:dyDescent="0.25">
      <c r="B1387" t="s">
        <v>2312</v>
      </c>
      <c r="C1387" s="226">
        <f>C12</f>
        <v>3616</v>
      </c>
    </row>
    <row r="1388" spans="2:4" x14ac:dyDescent="0.25">
      <c r="B1388" t="s">
        <v>2348</v>
      </c>
      <c r="C1388" s="71">
        <f>C44</f>
        <v>5717</v>
      </c>
    </row>
    <row r="1389" spans="2:4" x14ac:dyDescent="0.25">
      <c r="B1389" t="s">
        <v>2072</v>
      </c>
      <c r="C1389" s="71">
        <f>C136</f>
        <v>7532057</v>
      </c>
    </row>
    <row r="1390" spans="2:4" x14ac:dyDescent="0.25">
      <c r="B1390" t="s">
        <v>2022</v>
      </c>
      <c r="C1390" s="71">
        <f>C134</f>
        <v>36014667</v>
      </c>
    </row>
    <row r="1391" spans="2:4" x14ac:dyDescent="0.25">
      <c r="B1391" t="s">
        <v>2003</v>
      </c>
      <c r="C1391" s="226">
        <f>E69</f>
        <v>664909</v>
      </c>
    </row>
    <row r="1392" spans="2:4" x14ac:dyDescent="0.25">
      <c r="B1392" t="s">
        <v>2323</v>
      </c>
      <c r="C1392" s="226">
        <f>C112</f>
        <v>0</v>
      </c>
    </row>
  </sheetData>
  <sortState ref="F380:F588">
    <sortCondition ref="F381:F589"/>
  </sortState>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theme="1"/>
  </sheetPr>
  <dimension ref="A1:C14"/>
  <sheetViews>
    <sheetView workbookViewId="0">
      <selection activeCell="A3" sqref="A3"/>
    </sheetView>
  </sheetViews>
  <sheetFormatPr defaultRowHeight="15" x14ac:dyDescent="0.25"/>
  <cols>
    <col min="1" max="1" width="12.85546875" customWidth="1"/>
    <col min="2" max="2" width="33.28515625" customWidth="1"/>
    <col min="3" max="3" width="13.28515625" bestFit="1" customWidth="1"/>
  </cols>
  <sheetData>
    <row r="1" spans="1:3" x14ac:dyDescent="0.25">
      <c r="A1" t="s">
        <v>2343</v>
      </c>
      <c r="B1" t="s">
        <v>2344</v>
      </c>
      <c r="C1" t="s">
        <v>2345</v>
      </c>
    </row>
    <row r="2" spans="1:3" x14ac:dyDescent="0.25">
      <c r="A2" t="s">
        <v>2346</v>
      </c>
      <c r="B2" t="s">
        <v>2347</v>
      </c>
      <c r="C2" s="226" t="str">
        <f ca="1">Calculations!C1386</f>
        <v>#keepongoing</v>
      </c>
    </row>
    <row r="3" spans="1:3" x14ac:dyDescent="0.25">
      <c r="A3" t="s">
        <v>2346</v>
      </c>
      <c r="B3" t="s">
        <v>2312</v>
      </c>
      <c r="C3" s="226">
        <f>Calculations!C1387</f>
        <v>3616</v>
      </c>
    </row>
    <row r="4" spans="1:3" x14ac:dyDescent="0.25">
      <c r="A4" t="s">
        <v>2346</v>
      </c>
      <c r="B4" t="s">
        <v>2348</v>
      </c>
      <c r="C4" s="226">
        <f>Calculations!C1388</f>
        <v>5717</v>
      </c>
    </row>
    <row r="5" spans="1:3" x14ac:dyDescent="0.25">
      <c r="A5" t="s">
        <v>2346</v>
      </c>
      <c r="B5" t="s">
        <v>2072</v>
      </c>
      <c r="C5" s="226">
        <f>Calculations!C1389</f>
        <v>7532057</v>
      </c>
    </row>
    <row r="6" spans="1:3" x14ac:dyDescent="0.25">
      <c r="A6" t="s">
        <v>2346</v>
      </c>
      <c r="B6" t="s">
        <v>2022</v>
      </c>
      <c r="C6" s="226">
        <f>Calculations!C1390</f>
        <v>36014667</v>
      </c>
    </row>
    <row r="7" spans="1:3" x14ac:dyDescent="0.25">
      <c r="A7" t="s">
        <v>2346</v>
      </c>
      <c r="B7" t="s">
        <v>2003</v>
      </c>
      <c r="C7" s="226">
        <f>Calculations!C1391</f>
        <v>664909</v>
      </c>
    </row>
    <row r="8" spans="1:3" x14ac:dyDescent="0.25">
      <c r="A8" t="s">
        <v>2346</v>
      </c>
      <c r="B8" t="s">
        <v>2323</v>
      </c>
      <c r="C8" s="226">
        <f>Calculations!C1392</f>
        <v>0</v>
      </c>
    </row>
    <row r="9" spans="1:3" x14ac:dyDescent="0.25">
      <c r="A9" t="s">
        <v>2372</v>
      </c>
      <c r="B9" t="s">
        <v>2373</v>
      </c>
    </row>
    <row r="10" spans="1:3" x14ac:dyDescent="0.25">
      <c r="A10" t="s">
        <v>2372</v>
      </c>
      <c r="B10" t="s">
        <v>2374</v>
      </c>
    </row>
    <row r="11" spans="1:3" x14ac:dyDescent="0.25">
      <c r="A11" t="s">
        <v>2372</v>
      </c>
      <c r="B11" t="s">
        <v>2387</v>
      </c>
    </row>
    <row r="12" spans="1:3" x14ac:dyDescent="0.25">
      <c r="A12" t="s">
        <v>2375</v>
      </c>
      <c r="B12" t="s">
        <v>2373</v>
      </c>
      <c r="C12" t="s">
        <v>2376</v>
      </c>
    </row>
    <row r="13" spans="1:3" x14ac:dyDescent="0.25">
      <c r="A13" t="s">
        <v>2375</v>
      </c>
      <c r="B13" t="s">
        <v>2374</v>
      </c>
      <c r="C13" t="s">
        <v>2377</v>
      </c>
    </row>
    <row r="14" spans="1:3" x14ac:dyDescent="0.25">
      <c r="A14" t="s">
        <v>2375</v>
      </c>
      <c r="B14" t="s">
        <v>2387</v>
      </c>
      <c r="C14" t="s">
        <v>2388</v>
      </c>
    </row>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E5718"/>
  <sheetViews>
    <sheetView zoomScaleNormal="100" workbookViewId="0">
      <pane ySplit="1" topLeftCell="A2" activePane="bottomLeft" state="frozen"/>
      <selection pane="bottomLeft"/>
    </sheetView>
  </sheetViews>
  <sheetFormatPr defaultColWidth="9.140625" defaultRowHeight="12.75" customHeight="1" x14ac:dyDescent="0.25"/>
  <cols>
    <col min="1" max="1" width="11.5703125" style="21" bestFit="1" customWidth="1"/>
    <col min="2" max="2" width="10" style="21" bestFit="1" customWidth="1"/>
    <col min="3" max="3" width="17.28515625" style="21" bestFit="1" customWidth="1"/>
    <col min="4" max="4" width="15.7109375" style="21" customWidth="1"/>
    <col min="5" max="5" width="51.140625" style="21" customWidth="1"/>
    <col min="6" max="6" width="40.7109375" style="222" customWidth="1"/>
    <col min="7" max="8" width="25.5703125" style="21" customWidth="1"/>
    <col min="9" max="9" width="12.7109375" style="21" customWidth="1"/>
    <col min="10" max="10" width="14.42578125" style="21" customWidth="1"/>
    <col min="11" max="11" width="9.140625" style="21" customWidth="1"/>
    <col min="12" max="12" width="20.85546875" style="21" bestFit="1" customWidth="1"/>
    <col min="13" max="13" width="31.42578125" style="21" customWidth="1"/>
    <col min="14" max="14" width="39.5703125" style="21" bestFit="1" customWidth="1"/>
    <col min="15" max="15" width="43.28515625" style="21" bestFit="1" customWidth="1"/>
    <col min="16" max="16" width="38" style="21" bestFit="1" customWidth="1"/>
    <col min="17" max="19" width="9.42578125" style="21" customWidth="1"/>
    <col min="20" max="20" width="13.85546875" style="21" customWidth="1"/>
    <col min="21" max="21" width="28.28515625" style="21" customWidth="1"/>
    <col min="22" max="22" width="35.140625" style="21" customWidth="1"/>
    <col min="23" max="23" width="11.42578125" style="21" customWidth="1"/>
    <col min="24" max="24" width="14.5703125" style="21" bestFit="1" customWidth="1"/>
    <col min="25" max="16384" width="9.140625" style="21"/>
  </cols>
  <sheetData>
    <row r="1" spans="1:31" ht="12.75" customHeight="1" x14ac:dyDescent="0.25">
      <c r="A1" s="21" t="s">
        <v>2337</v>
      </c>
      <c r="B1" s="21" t="s">
        <v>0</v>
      </c>
      <c r="C1" s="221" t="s">
        <v>5</v>
      </c>
      <c r="D1" s="21" t="s">
        <v>2350</v>
      </c>
      <c r="E1" s="21" t="s">
        <v>2351</v>
      </c>
      <c r="F1" s="222" t="s">
        <v>1</v>
      </c>
      <c r="G1" s="21" t="s">
        <v>2004</v>
      </c>
      <c r="H1" s="21" t="s">
        <v>2015</v>
      </c>
      <c r="I1" s="21" t="s">
        <v>2</v>
      </c>
      <c r="J1" s="21" t="s">
        <v>2338</v>
      </c>
      <c r="K1" s="21" t="s">
        <v>2339</v>
      </c>
      <c r="L1" s="21" t="s">
        <v>2003</v>
      </c>
      <c r="M1" s="21" t="s">
        <v>64</v>
      </c>
      <c r="N1" s="21" t="s">
        <v>2352</v>
      </c>
      <c r="O1" s="21" t="s">
        <v>2353</v>
      </c>
      <c r="P1" s="21" t="s">
        <v>2354</v>
      </c>
      <c r="Q1" s="21" t="s">
        <v>2355</v>
      </c>
      <c r="R1" s="21" t="s">
        <v>2308</v>
      </c>
      <c r="S1" s="21" t="s">
        <v>61</v>
      </c>
      <c r="T1" s="21" t="s">
        <v>3</v>
      </c>
      <c r="U1" s="21" t="s">
        <v>96</v>
      </c>
      <c r="V1" s="21" t="s">
        <v>2091</v>
      </c>
      <c r="W1" s="21" t="s">
        <v>2356</v>
      </c>
      <c r="X1" s="21" t="s">
        <v>2357</v>
      </c>
      <c r="Y1" s="21" t="s">
        <v>2340</v>
      </c>
      <c r="Z1" s="21" t="s">
        <v>2011</v>
      </c>
      <c r="AA1" s="21" t="s">
        <v>2012</v>
      </c>
      <c r="AB1" t="s">
        <v>2013</v>
      </c>
      <c r="AC1" t="s">
        <v>2014</v>
      </c>
      <c r="AD1" t="s">
        <v>2389</v>
      </c>
      <c r="AE1" t="s">
        <v>2390</v>
      </c>
    </row>
    <row r="2" spans="1:31" ht="15" x14ac:dyDescent="0.25">
      <c r="A2" t="s">
        <v>2474</v>
      </c>
      <c r="B2" t="s">
        <v>2475</v>
      </c>
      <c r="C2" s="221">
        <v>42958.014351851853</v>
      </c>
      <c r="D2" t="s">
        <v>2476</v>
      </c>
      <c r="E2" s="249" t="str">
        <f>HYPERLINK("https://www.instagram.com/p/BXo891CBIV0/")</f>
        <v>https://www.instagram.com/p/BXo891CBIV0/</v>
      </c>
      <c r="F2" t="s">
        <v>2477</v>
      </c>
      <c r="G2" t="s">
        <v>2478</v>
      </c>
      <c r="H2">
        <v>173</v>
      </c>
      <c r="I2" t="s">
        <v>2479</v>
      </c>
      <c r="J2">
        <v>2</v>
      </c>
      <c r="K2">
        <v>54</v>
      </c>
      <c r="L2">
        <v>56</v>
      </c>
      <c r="Q2">
        <v>0</v>
      </c>
      <c r="R2">
        <v>0</v>
      </c>
      <c r="S2">
        <v>56</v>
      </c>
      <c r="Y2" t="s">
        <v>2480</v>
      </c>
      <c r="Z2" t="s">
        <v>2481</v>
      </c>
      <c r="AA2" t="s">
        <v>2482</v>
      </c>
      <c r="AB2" t="s">
        <v>2483</v>
      </c>
      <c r="AC2" t="s">
        <v>2484</v>
      </c>
      <c r="AD2" s="249" t="str">
        <f>HYPERLINK("https://scontent.cdninstagram.com/t51.2885-15/s320x320/e35/20687099_457467927956492_3384236720881926144_n.jpg")</f>
        <v>https://scontent.cdninstagram.com/t51.2885-15/s320x320/e35/20687099_457467927956492_3384236720881926144_n.jpg</v>
      </c>
      <c r="AE2" s="249" t="str">
        <f>HYPERLINK("https://scontent.cdninstagram.com/t51.2885-19/s150x150/20399021_1732864330347358_1303283194333757440_a.jpg")</f>
        <v>https://scontent.cdninstagram.com/t51.2885-19/s150x150/20399021_1732864330347358_1303283194333757440_a.jpg</v>
      </c>
    </row>
    <row r="3" spans="1:31" ht="15" x14ac:dyDescent="0.25">
      <c r="A3" t="s">
        <v>2474</v>
      </c>
      <c r="B3" t="s">
        <v>2485</v>
      </c>
      <c r="C3" s="221">
        <v>42958.017569444448</v>
      </c>
      <c r="D3" t="s">
        <v>2486</v>
      </c>
      <c r="E3" s="249" t="str">
        <f>HYPERLINK("https://www.instagram.com/p/BXo9fvyBkSs/")</f>
        <v>https://www.instagram.com/p/BXo9fvyBkSs/</v>
      </c>
      <c r="F3" t="s">
        <v>2487</v>
      </c>
      <c r="G3" t="s">
        <v>2488</v>
      </c>
      <c r="H3">
        <v>501</v>
      </c>
      <c r="I3" t="s">
        <v>2479</v>
      </c>
      <c r="J3">
        <v>1</v>
      </c>
      <c r="K3">
        <v>64</v>
      </c>
      <c r="L3">
        <v>65</v>
      </c>
      <c r="Q3">
        <v>0</v>
      </c>
      <c r="R3">
        <v>0</v>
      </c>
      <c r="S3">
        <v>65</v>
      </c>
      <c r="Y3" t="s">
        <v>2489</v>
      </c>
      <c r="Z3" t="s">
        <v>2490</v>
      </c>
      <c r="AA3" t="s">
        <v>2491</v>
      </c>
      <c r="AB3" t="s">
        <v>2492</v>
      </c>
      <c r="AC3" t="s">
        <v>2493</v>
      </c>
      <c r="AD3" s="249" t="str">
        <f>HYPERLINK("https://scontent.cdninstagram.com/t51.2885-15/s320x320/e35/20686573_818421751665638_7678108237580730368_n.jpg")</f>
        <v>https://scontent.cdninstagram.com/t51.2885-15/s320x320/e35/20686573_818421751665638_7678108237580730368_n.jpg</v>
      </c>
      <c r="AE3" s="249" t="str">
        <f>HYPERLINK("https://scontent.cdninstagram.com/t51.2885-19/s150x150/18443233_377558215972041_2583214741673476096_a.jpg")</f>
        <v>https://scontent.cdninstagram.com/t51.2885-19/s150x150/18443233_377558215972041_2583214741673476096_a.jpg</v>
      </c>
    </row>
    <row r="4" spans="1:31" ht="15" x14ac:dyDescent="0.25">
      <c r="A4" t="s">
        <v>2474</v>
      </c>
      <c r="B4" t="s">
        <v>2494</v>
      </c>
      <c r="C4" s="221">
        <v>42958.033738425926</v>
      </c>
      <c r="D4" t="s">
        <v>2495</v>
      </c>
      <c r="E4" s="249" t="str">
        <f>HYPERLINK("https://www.instagram.com/p/BXpAKR8AzF7/")</f>
        <v>https://www.instagram.com/p/BXpAKR8AzF7/</v>
      </c>
      <c r="F4" t="s">
        <v>2496</v>
      </c>
      <c r="G4" t="s">
        <v>2478</v>
      </c>
      <c r="H4">
        <v>305</v>
      </c>
      <c r="I4" t="s">
        <v>2479</v>
      </c>
      <c r="J4">
        <v>2</v>
      </c>
      <c r="K4">
        <v>15</v>
      </c>
      <c r="L4">
        <v>17</v>
      </c>
      <c r="Q4">
        <v>0</v>
      </c>
      <c r="R4">
        <v>0</v>
      </c>
      <c r="S4">
        <v>17</v>
      </c>
      <c r="Y4" t="s">
        <v>2497</v>
      </c>
      <c r="Z4" t="s">
        <v>2498</v>
      </c>
      <c r="AA4" t="s">
        <v>2499</v>
      </c>
      <c r="AB4" t="s">
        <v>2500</v>
      </c>
      <c r="AC4" t="s">
        <v>2501</v>
      </c>
      <c r="AD4" s="249" t="str">
        <f>HYPERLINK("https://scontent.cdninstagram.com/t51.2885-15/s320x320/e35/20759613_117712152218326_9222432568593350656_n.jpg")</f>
        <v>https://scontent.cdninstagram.com/t51.2885-15/s320x320/e35/20759613_117712152218326_9222432568593350656_n.jpg</v>
      </c>
      <c r="AE4" s="249" t="str">
        <f>HYPERLINK("https://scontent.cdninstagram.com/t51.2885-19/s150x150/17493899_202477543570997_3284885219563274240_a.jpg")</f>
        <v>https://scontent.cdninstagram.com/t51.2885-19/s150x150/17493899_202477543570997_3284885219563274240_a.jpg</v>
      </c>
    </row>
    <row r="5" spans="1:31" ht="15" x14ac:dyDescent="0.25">
      <c r="A5" t="s">
        <v>2474</v>
      </c>
      <c r="B5" t="s">
        <v>2502</v>
      </c>
      <c r="C5" s="221">
        <v>42958.040532407409</v>
      </c>
      <c r="D5" t="s">
        <v>2503</v>
      </c>
      <c r="E5" s="249" t="str">
        <f>HYPERLINK("https://www.instagram.com/p/BXpBR_wF7-U/")</f>
        <v>https://www.instagram.com/p/BXpBR_wF7-U/</v>
      </c>
      <c r="F5" t="s">
        <v>2504</v>
      </c>
      <c r="G5" t="s">
        <v>2478</v>
      </c>
      <c r="H5">
        <v>1081</v>
      </c>
      <c r="I5" t="s">
        <v>2479</v>
      </c>
      <c r="J5">
        <v>2</v>
      </c>
      <c r="K5">
        <v>118</v>
      </c>
      <c r="L5">
        <v>120</v>
      </c>
      <c r="Q5">
        <v>0</v>
      </c>
      <c r="R5">
        <v>0</v>
      </c>
      <c r="S5">
        <v>120</v>
      </c>
      <c r="Y5" t="s">
        <v>2505</v>
      </c>
      <c r="Z5" t="s">
        <v>2506</v>
      </c>
      <c r="AA5" t="s">
        <v>2497</v>
      </c>
      <c r="AD5" s="249" t="str">
        <f>HYPERLINK("https://scontent.cdninstagram.com/t51.2885-15/s320x320/e35/20686470_1841479339203135_2081618645183627264_n.jpg")</f>
        <v>https://scontent.cdninstagram.com/t51.2885-15/s320x320/e35/20686470_1841479339203135_2081618645183627264_n.jpg</v>
      </c>
      <c r="AE5" s="249" t="str">
        <f>HYPERLINK("https://scontent.cdninstagram.com/t51.2885-19/s150x150/20837424_324027784725694_6782077467206090752_a.jpg")</f>
        <v>https://scontent.cdninstagram.com/t51.2885-19/s150x150/20837424_324027784725694_6782077467206090752_a.jpg</v>
      </c>
    </row>
    <row r="6" spans="1:31" ht="15" x14ac:dyDescent="0.25">
      <c r="A6" t="s">
        <v>2474</v>
      </c>
      <c r="B6" t="s">
        <v>2507</v>
      </c>
      <c r="C6" s="221">
        <v>42958.044918981483</v>
      </c>
      <c r="D6" t="s">
        <v>2508</v>
      </c>
      <c r="E6" s="249" t="str">
        <f>HYPERLINK("https://www.instagram.com/p/BXpCAUHBWnl/")</f>
        <v>https://www.instagram.com/p/BXpCAUHBWnl/</v>
      </c>
      <c r="F6" t="s">
        <v>2509</v>
      </c>
      <c r="G6" t="s">
        <v>2478</v>
      </c>
      <c r="H6">
        <v>269</v>
      </c>
      <c r="I6" t="s">
        <v>2510</v>
      </c>
      <c r="J6">
        <v>1</v>
      </c>
      <c r="K6">
        <v>75</v>
      </c>
      <c r="L6">
        <v>76</v>
      </c>
      <c r="Q6">
        <v>0</v>
      </c>
      <c r="R6">
        <v>0</v>
      </c>
      <c r="S6">
        <v>76</v>
      </c>
      <c r="Y6" t="s">
        <v>2511</v>
      </c>
      <c r="Z6" t="s">
        <v>2512</v>
      </c>
      <c r="AA6" t="s">
        <v>2513</v>
      </c>
      <c r="AB6" t="s">
        <v>2514</v>
      </c>
      <c r="AC6" t="s">
        <v>2515</v>
      </c>
      <c r="AD6" s="249" t="str">
        <f>HYPERLINK("https://scontent.cdninstagram.com/t51.2885-15/s320x320/e35/20766878_1567571243287253_7061693676560318464_n.jpg")</f>
        <v>https://scontent.cdninstagram.com/t51.2885-15/s320x320/e35/20766878_1567571243287253_7061693676560318464_n.jpg</v>
      </c>
      <c r="AE6" s="249" t="str">
        <f>HYPERLINK("https://scontent.cdninstagram.com/t51.2885-19/s150x150/20688656_891409331008012_775389051745206272_a.jpg")</f>
        <v>https://scontent.cdninstagram.com/t51.2885-19/s150x150/20688656_891409331008012_775389051745206272_a.jpg</v>
      </c>
    </row>
    <row r="7" spans="1:31" ht="15" x14ac:dyDescent="0.25">
      <c r="A7" t="s">
        <v>2474</v>
      </c>
      <c r="B7" t="s">
        <v>2516</v>
      </c>
      <c r="C7" s="221">
        <v>42958.049456018518</v>
      </c>
      <c r="D7" t="s">
        <v>2517</v>
      </c>
      <c r="E7" s="249" t="str">
        <f>HYPERLINK("https://www.instagram.com/p/BXpCwIWDfHj/")</f>
        <v>https://www.instagram.com/p/BXpCwIWDfHj/</v>
      </c>
      <c r="F7" t="s">
        <v>2518</v>
      </c>
      <c r="G7" t="s">
        <v>2478</v>
      </c>
      <c r="H7">
        <v>692</v>
      </c>
      <c r="I7" t="s">
        <v>2519</v>
      </c>
      <c r="J7">
        <v>0</v>
      </c>
      <c r="K7">
        <v>21</v>
      </c>
      <c r="L7">
        <v>21</v>
      </c>
      <c r="Q7">
        <v>0</v>
      </c>
      <c r="R7">
        <v>0</v>
      </c>
      <c r="S7">
        <v>21</v>
      </c>
      <c r="Y7" t="s">
        <v>2520</v>
      </c>
      <c r="Z7" t="s">
        <v>2521</v>
      </c>
      <c r="AA7" t="s">
        <v>2522</v>
      </c>
      <c r="AB7" t="s">
        <v>2523</v>
      </c>
      <c r="AC7" t="s">
        <v>2524</v>
      </c>
      <c r="AD7" s="249" t="str">
        <f>HYPERLINK("https://scontent.cdninstagram.com/t51.2885-15/s320x320/e35/20686769_806398719530267_2621009783863377920_n.jpg")</f>
        <v>https://scontent.cdninstagram.com/t51.2885-15/s320x320/e35/20686769_806398719530267_2621009783863377920_n.jpg</v>
      </c>
      <c r="AE7" s="249" t="str">
        <f>HYPERLINK("https://scontent.cdninstagram.com/t51.2885-19/s150x150/19955124_1311741785589715_3896736407896457216_a.jpg")</f>
        <v>https://scontent.cdninstagram.com/t51.2885-19/s150x150/19955124_1311741785589715_3896736407896457216_a.jpg</v>
      </c>
    </row>
    <row r="8" spans="1:31" ht="15" x14ac:dyDescent="0.25">
      <c r="A8" t="s">
        <v>2474</v>
      </c>
      <c r="B8" t="s">
        <v>2525</v>
      </c>
      <c r="C8" s="221">
        <v>42958.05196759259</v>
      </c>
      <c r="D8" t="s">
        <v>2526</v>
      </c>
      <c r="E8" s="249" t="str">
        <f>HYPERLINK("https://www.instagram.com/p/BXpDKp7l9ZZ/")</f>
        <v>https://www.instagram.com/p/BXpDKp7l9ZZ/</v>
      </c>
      <c r="F8" t="s">
        <v>2527</v>
      </c>
      <c r="G8" t="s">
        <v>2478</v>
      </c>
      <c r="H8">
        <v>1831</v>
      </c>
      <c r="I8" t="s">
        <v>2479</v>
      </c>
      <c r="J8">
        <v>3</v>
      </c>
      <c r="K8">
        <v>111</v>
      </c>
      <c r="L8">
        <v>114</v>
      </c>
      <c r="Q8">
        <v>0</v>
      </c>
      <c r="R8">
        <v>0</v>
      </c>
      <c r="S8">
        <v>114</v>
      </c>
      <c r="T8" t="s">
        <v>2528</v>
      </c>
      <c r="U8" t="s">
        <v>97</v>
      </c>
      <c r="V8" t="s">
        <v>2299</v>
      </c>
      <c r="W8">
        <v>33.437800000000003</v>
      </c>
      <c r="X8">
        <v>-117.62</v>
      </c>
      <c r="Y8" t="s">
        <v>2529</v>
      </c>
      <c r="Z8" t="s">
        <v>2530</v>
      </c>
      <c r="AA8" t="s">
        <v>2531</v>
      </c>
      <c r="AB8" t="s">
        <v>2532</v>
      </c>
      <c r="AC8" t="s">
        <v>2533</v>
      </c>
      <c r="AD8" s="249" t="str">
        <f>HYPERLINK("https://scontent.cdninstagram.com/t51.2885-15/s320x320/e35/20688262_1415473635168302_3461809920511311872_n.jpg")</f>
        <v>https://scontent.cdninstagram.com/t51.2885-15/s320x320/e35/20688262_1415473635168302_3461809920511311872_n.jpg</v>
      </c>
      <c r="AE8" s="249" t="str">
        <f>HYPERLINK("https://scontent.cdninstagram.com/t51.2885-19/s150x150/20181164_175835752957589_5713051109275205632_a.jpg")</f>
        <v>https://scontent.cdninstagram.com/t51.2885-19/s150x150/20181164_175835752957589_5713051109275205632_a.jpg</v>
      </c>
    </row>
    <row r="9" spans="1:31" ht="15" x14ac:dyDescent="0.25">
      <c r="A9" t="s">
        <v>2474</v>
      </c>
      <c r="B9" t="s">
        <v>2534</v>
      </c>
      <c r="C9" s="221">
        <v>42958.063564814816</v>
      </c>
      <c r="D9" t="s">
        <v>2535</v>
      </c>
      <c r="E9" s="249" t="str">
        <f>HYPERLINK("https://www.instagram.com/p/BXpFE4OhPIM/")</f>
        <v>https://www.instagram.com/p/BXpFE4OhPIM/</v>
      </c>
      <c r="F9" t="s">
        <v>2536</v>
      </c>
      <c r="G9" t="s">
        <v>2478</v>
      </c>
      <c r="H9">
        <v>41</v>
      </c>
      <c r="I9" t="s">
        <v>2519</v>
      </c>
      <c r="J9">
        <v>1</v>
      </c>
      <c r="K9">
        <v>6</v>
      </c>
      <c r="L9">
        <v>7</v>
      </c>
      <c r="Q9">
        <v>0</v>
      </c>
      <c r="R9">
        <v>0</v>
      </c>
      <c r="S9">
        <v>7</v>
      </c>
      <c r="Y9" t="s">
        <v>2537</v>
      </c>
      <c r="Z9" t="s">
        <v>2497</v>
      </c>
      <c r="AA9" t="s">
        <v>2538</v>
      </c>
      <c r="AD9" s="249" t="str">
        <f>HYPERLINK("https://scontent.cdninstagram.com/t51.2885-15/s320x320/e35/20688543_1114034075363444_285393790770872320_n.jpg")</f>
        <v>https://scontent.cdninstagram.com/t51.2885-15/s320x320/e35/20688543_1114034075363444_285393790770872320_n.jpg</v>
      </c>
      <c r="AE9" s="249" t="str">
        <f>HYPERLINK("https://scontent.cdninstagram.com/t51.2885-19/s150x150/18013782_169053083620233_1981109336646090752_a.jpg")</f>
        <v>https://scontent.cdninstagram.com/t51.2885-19/s150x150/18013782_169053083620233_1981109336646090752_a.jpg</v>
      </c>
    </row>
    <row r="10" spans="1:31" ht="15" x14ac:dyDescent="0.25">
      <c r="A10" t="s">
        <v>2474</v>
      </c>
      <c r="B10" t="s">
        <v>2539</v>
      </c>
      <c r="C10" s="221">
        <v>42958.075046296297</v>
      </c>
      <c r="D10" t="s">
        <v>2540</v>
      </c>
      <c r="E10" s="249" t="str">
        <f>HYPERLINK("https://www.instagram.com/p/BXpG99blqIG/")</f>
        <v>https://www.instagram.com/p/BXpG99blqIG/</v>
      </c>
      <c r="F10" t="s">
        <v>2541</v>
      </c>
      <c r="G10" t="s">
        <v>2478</v>
      </c>
      <c r="H10">
        <v>408</v>
      </c>
      <c r="I10" t="s">
        <v>2542</v>
      </c>
      <c r="J10">
        <v>1</v>
      </c>
      <c r="K10">
        <v>30</v>
      </c>
      <c r="L10">
        <v>31</v>
      </c>
      <c r="Q10">
        <v>0</v>
      </c>
      <c r="R10">
        <v>0</v>
      </c>
      <c r="S10">
        <v>31</v>
      </c>
      <c r="Y10" t="s">
        <v>2543</v>
      </c>
      <c r="Z10" t="s">
        <v>2544</v>
      </c>
      <c r="AA10" t="s">
        <v>2545</v>
      </c>
      <c r="AB10" t="s">
        <v>2546</v>
      </c>
      <c r="AC10" t="s">
        <v>2547</v>
      </c>
      <c r="AD10" s="249" t="str">
        <f>HYPERLINK("https://scontent.cdninstagram.com/t51.2885-15/s320x320/e35/c0.90.720.720/20759071_378607202555196_1526181405606805504_n.jpg")</f>
        <v>https://scontent.cdninstagram.com/t51.2885-15/s320x320/e35/c0.90.720.720/20759071_378607202555196_1526181405606805504_n.jpg</v>
      </c>
      <c r="AE10" s="249" t="str">
        <f>HYPERLINK("https://scontent.cdninstagram.com/t51.2885-19/s150x150/19227114_291634031306626_657711552039747584_a.jpg")</f>
        <v>https://scontent.cdninstagram.com/t51.2885-19/s150x150/19227114_291634031306626_657711552039747584_a.jpg</v>
      </c>
    </row>
    <row r="11" spans="1:31" ht="15" x14ac:dyDescent="0.25">
      <c r="A11" t="s">
        <v>2474</v>
      </c>
      <c r="B11" t="s">
        <v>2548</v>
      </c>
      <c r="C11" s="221">
        <v>42958.089259259257</v>
      </c>
      <c r="D11" t="s">
        <v>2549</v>
      </c>
      <c r="E11" s="249" t="str">
        <f>HYPERLINK("https://www.instagram.com/p/BXpJT4gnlFM/")</f>
        <v>https://www.instagram.com/p/BXpJT4gnlFM/</v>
      </c>
      <c r="F11" t="s">
        <v>2550</v>
      </c>
      <c r="G11" t="s">
        <v>2478</v>
      </c>
      <c r="H11">
        <v>520</v>
      </c>
      <c r="I11" t="s">
        <v>2479</v>
      </c>
      <c r="J11">
        <v>1</v>
      </c>
      <c r="K11">
        <v>44</v>
      </c>
      <c r="L11">
        <v>45</v>
      </c>
      <c r="Q11">
        <v>0</v>
      </c>
      <c r="R11">
        <v>0</v>
      </c>
      <c r="S11">
        <v>45</v>
      </c>
      <c r="Y11" t="s">
        <v>2551</v>
      </c>
      <c r="Z11" t="s">
        <v>2513</v>
      </c>
      <c r="AA11" t="s">
        <v>2552</v>
      </c>
      <c r="AB11" t="s">
        <v>2553</v>
      </c>
      <c r="AC11" t="s">
        <v>2554</v>
      </c>
      <c r="AD11" s="249" t="str">
        <f>HYPERLINK("https://scontent.cdninstagram.com/t51.2885-15/s320x320/e35/20687950_1138668606233114_3725105146766557184_n.jpg")</f>
        <v>https://scontent.cdninstagram.com/t51.2885-15/s320x320/e35/20687950_1138668606233114_3725105146766557184_n.jpg</v>
      </c>
      <c r="AE11" s="249" t="str">
        <f>HYPERLINK("https://scontent.cdninstagram.com/t51.2885-19/s150x150/20902268_463519954020811_6603510379353997312_a.jpg")</f>
        <v>https://scontent.cdninstagram.com/t51.2885-19/s150x150/20902268_463519954020811_6603510379353997312_a.jpg</v>
      </c>
    </row>
    <row r="12" spans="1:31" ht="15" x14ac:dyDescent="0.25">
      <c r="A12" t="s">
        <v>2474</v>
      </c>
      <c r="B12" t="s">
        <v>2555</v>
      </c>
      <c r="C12" s="221">
        <v>42958.090578703705</v>
      </c>
      <c r="D12" t="s">
        <v>2556</v>
      </c>
      <c r="E12" s="249" t="str">
        <f>HYPERLINK("https://www.instagram.com/p/BXpJh0ZAHfP/")</f>
        <v>https://www.instagram.com/p/BXpJh0ZAHfP/</v>
      </c>
      <c r="F12" t="s">
        <v>2557</v>
      </c>
      <c r="G12" t="s">
        <v>2478</v>
      </c>
      <c r="H12">
        <v>54</v>
      </c>
      <c r="I12" t="s">
        <v>2479</v>
      </c>
      <c r="J12">
        <v>1</v>
      </c>
      <c r="K12">
        <v>33</v>
      </c>
      <c r="L12">
        <v>34</v>
      </c>
      <c r="Q12">
        <v>0</v>
      </c>
      <c r="R12">
        <v>0</v>
      </c>
      <c r="S12">
        <v>34</v>
      </c>
      <c r="Y12" t="s">
        <v>2558</v>
      </c>
      <c r="Z12" t="s">
        <v>2559</v>
      </c>
      <c r="AA12" t="s">
        <v>2560</v>
      </c>
      <c r="AB12" t="s">
        <v>2561</v>
      </c>
      <c r="AC12" t="s">
        <v>2562</v>
      </c>
      <c r="AD12" s="249" t="str">
        <f>HYPERLINK("https://scontent.cdninstagram.com/t51.2885-15/s320x320/e35/c241.0.598.598/20687374_309240062881169_7678806388809662464_n.jpg")</f>
        <v>https://scontent.cdninstagram.com/t51.2885-15/s320x320/e35/c241.0.598.598/20687374_309240062881169_7678806388809662464_n.jpg</v>
      </c>
      <c r="AE12" s="249" t="str">
        <f>HYPERLINK("https://scontent.cdninstagram.com/t51.2885-19/s150x150/20393601_1693221057653531_3056774034684379136_a.jpg")</f>
        <v>https://scontent.cdninstagram.com/t51.2885-19/s150x150/20393601_1693221057653531_3056774034684379136_a.jpg</v>
      </c>
    </row>
    <row r="13" spans="1:31" ht="15" x14ac:dyDescent="0.25">
      <c r="A13" t="s">
        <v>2474</v>
      </c>
      <c r="B13" t="s">
        <v>2563</v>
      </c>
      <c r="C13" s="221">
        <v>42958.120949074073</v>
      </c>
      <c r="D13" t="s">
        <v>2564</v>
      </c>
      <c r="E13" s="249" t="str">
        <f>HYPERLINK("https://www.instagram.com/p/BXpOiI7Fuw_/")</f>
        <v>https://www.instagram.com/p/BXpOiI7Fuw_/</v>
      </c>
      <c r="F13" t="s">
        <v>2565</v>
      </c>
      <c r="G13" t="s">
        <v>2478</v>
      </c>
      <c r="H13">
        <v>182</v>
      </c>
      <c r="I13" t="s">
        <v>2479</v>
      </c>
      <c r="J13">
        <v>0</v>
      </c>
      <c r="K13">
        <v>17</v>
      </c>
      <c r="L13">
        <v>17</v>
      </c>
      <c r="Q13">
        <v>0</v>
      </c>
      <c r="R13">
        <v>0</v>
      </c>
      <c r="S13">
        <v>17</v>
      </c>
      <c r="T13" t="s">
        <v>2566</v>
      </c>
      <c r="V13" t="s">
        <v>2263</v>
      </c>
      <c r="W13">
        <v>-33.9253</v>
      </c>
      <c r="X13">
        <v>18.4239</v>
      </c>
      <c r="Y13" t="s">
        <v>2567</v>
      </c>
      <c r="Z13" t="s">
        <v>2497</v>
      </c>
      <c r="AA13" t="s">
        <v>2568</v>
      </c>
      <c r="AB13" t="s">
        <v>2569</v>
      </c>
      <c r="AC13" t="s">
        <v>2570</v>
      </c>
      <c r="AD13" s="249" t="str">
        <f>HYPERLINK("https://scontent.cdninstagram.com/t51.2885-15/s320x320/e35/c18.0.1044.1044/20686748_859804694197695_1421519353320308736_n.jpg")</f>
        <v>https://scontent.cdninstagram.com/t51.2885-15/s320x320/e35/c18.0.1044.1044/20686748_859804694197695_1421519353320308736_n.jpg</v>
      </c>
      <c r="AE13" s="249" t="str">
        <f>HYPERLINK("https://scontent.cdninstagram.com/t51.2885-19/10693533_736255873076467_1465750838_a.jpg")</f>
        <v>https://scontent.cdninstagram.com/t51.2885-19/10693533_736255873076467_1465750838_a.jpg</v>
      </c>
    </row>
    <row r="14" spans="1:31" ht="15" x14ac:dyDescent="0.25">
      <c r="A14" t="s">
        <v>2474</v>
      </c>
      <c r="B14" t="s">
        <v>2571</v>
      </c>
      <c r="C14" s="221">
        <v>42958.122372685182</v>
      </c>
      <c r="D14" t="s">
        <v>2572</v>
      </c>
      <c r="E14" s="249" t="str">
        <f>HYPERLINK("https://www.instagram.com/p/BXpOxJCgxux/")</f>
        <v>https://www.instagram.com/p/BXpOxJCgxux/</v>
      </c>
      <c r="F14" t="s">
        <v>2573</v>
      </c>
      <c r="G14" t="s">
        <v>2478</v>
      </c>
      <c r="H14">
        <v>730</v>
      </c>
      <c r="I14" t="s">
        <v>2542</v>
      </c>
      <c r="J14">
        <v>2</v>
      </c>
      <c r="K14">
        <v>96</v>
      </c>
      <c r="L14">
        <v>98</v>
      </c>
      <c r="Q14">
        <v>0</v>
      </c>
      <c r="R14">
        <v>0</v>
      </c>
      <c r="S14">
        <v>98</v>
      </c>
      <c r="Y14" t="s">
        <v>2574</v>
      </c>
      <c r="Z14" t="s">
        <v>2575</v>
      </c>
      <c r="AA14" t="s">
        <v>2576</v>
      </c>
      <c r="AB14" t="s">
        <v>2577</v>
      </c>
      <c r="AC14" t="s">
        <v>2578</v>
      </c>
      <c r="AD14" s="249" t="str">
        <f>HYPERLINK("https://scontent.cdninstagram.com/t51.2885-15/s320x320/e35/c0.135.1080.1080/20766751_2033923953299771_446554845051092992_n.jpg")</f>
        <v>https://scontent.cdninstagram.com/t51.2885-15/s320x320/e35/c0.135.1080.1080/20766751_2033923953299771_446554845051092992_n.jpg</v>
      </c>
      <c r="AE14" s="249" t="str">
        <f>HYPERLINK("https://scontent.cdninstagram.com/t51.2885-19/891343_494012064032337_1470491883_a.jpg")</f>
        <v>https://scontent.cdninstagram.com/t51.2885-19/891343_494012064032337_1470491883_a.jpg</v>
      </c>
    </row>
    <row r="15" spans="1:31" ht="15" x14ac:dyDescent="0.25">
      <c r="A15" t="s">
        <v>2474</v>
      </c>
      <c r="B15" t="s">
        <v>2579</v>
      </c>
      <c r="C15" s="221">
        <v>42958.127349537041</v>
      </c>
      <c r="D15" t="s">
        <v>2580</v>
      </c>
      <c r="E15" s="249" t="str">
        <f>HYPERLINK("https://www.instagram.com/p/BXpPlljDT0Q/")</f>
        <v>https://www.instagram.com/p/BXpPlljDT0Q/</v>
      </c>
      <c r="F15" t="s">
        <v>2581</v>
      </c>
      <c r="G15" t="s">
        <v>2478</v>
      </c>
      <c r="H15">
        <v>177</v>
      </c>
      <c r="I15" t="s">
        <v>2582</v>
      </c>
      <c r="J15">
        <v>0</v>
      </c>
      <c r="K15">
        <v>43</v>
      </c>
      <c r="L15">
        <v>43</v>
      </c>
      <c r="Q15">
        <v>0</v>
      </c>
      <c r="R15">
        <v>0</v>
      </c>
      <c r="S15">
        <v>43</v>
      </c>
      <c r="Y15" t="s">
        <v>2583</v>
      </c>
      <c r="Z15" t="s">
        <v>2584</v>
      </c>
      <c r="AA15" t="s">
        <v>2585</v>
      </c>
      <c r="AB15" t="s">
        <v>2586</v>
      </c>
      <c r="AC15" t="s">
        <v>2587</v>
      </c>
      <c r="AD15" s="249" t="str">
        <f>HYPERLINK("https://scontent.cdninstagram.com/t51.2885-15/s320x320/e35/20686833_251330012052593_230436432928309248_n.jpg")</f>
        <v>https://scontent.cdninstagram.com/t51.2885-15/s320x320/e35/20686833_251330012052593_230436432928309248_n.jpg</v>
      </c>
      <c r="AE15" s="249" t="str">
        <f>HYPERLINK("https://scontent.cdninstagram.com/t51.2885-19/s150x150/15338425_230769417351848_1090439604579860480_a.jpg")</f>
        <v>https://scontent.cdninstagram.com/t51.2885-19/s150x150/15338425_230769417351848_1090439604579860480_a.jpg</v>
      </c>
    </row>
    <row r="16" spans="1:31" ht="15" x14ac:dyDescent="0.25">
      <c r="A16" t="s">
        <v>2474</v>
      </c>
      <c r="B16" t="s">
        <v>2588</v>
      </c>
      <c r="C16" s="221">
        <v>42958.128125000003</v>
      </c>
      <c r="D16" t="s">
        <v>2589</v>
      </c>
      <c r="E16" s="249" t="str">
        <f>HYPERLINK("https://www.instagram.com/p/BXpPtzagSKV/")</f>
        <v>https://www.instagram.com/p/BXpPtzagSKV/</v>
      </c>
      <c r="F16" t="s">
        <v>2590</v>
      </c>
      <c r="G16" t="s">
        <v>2478</v>
      </c>
      <c r="H16">
        <v>229</v>
      </c>
      <c r="I16" t="s">
        <v>2479</v>
      </c>
      <c r="J16">
        <v>1</v>
      </c>
      <c r="K16">
        <v>18</v>
      </c>
      <c r="L16">
        <v>19</v>
      </c>
      <c r="Q16">
        <v>0</v>
      </c>
      <c r="R16">
        <v>0</v>
      </c>
      <c r="S16">
        <v>19</v>
      </c>
      <c r="Y16" t="s">
        <v>2591</v>
      </c>
      <c r="Z16" t="s">
        <v>2592</v>
      </c>
      <c r="AA16" t="s">
        <v>2593</v>
      </c>
      <c r="AB16" t="s">
        <v>2594</v>
      </c>
      <c r="AC16" t="s">
        <v>2595</v>
      </c>
      <c r="AD16" s="249" t="str">
        <f>HYPERLINK("https://scontent.cdninstagram.com/t51.2885-15/s320x320/e35/20686481_109866619700471_5288763981731725312_n.jpg")</f>
        <v>https://scontent.cdninstagram.com/t51.2885-15/s320x320/e35/20686481_109866619700471_5288763981731725312_n.jpg</v>
      </c>
      <c r="AE16" s="249" t="str">
        <f>HYPERLINK("https://scontent.cdninstagram.com/t51.2885-19/s150x150/20633561_108840983138666_5897549723056734208_a.jpg")</f>
        <v>https://scontent.cdninstagram.com/t51.2885-19/s150x150/20633561_108840983138666_5897549723056734208_a.jpg</v>
      </c>
    </row>
    <row r="17" spans="1:31" ht="15" x14ac:dyDescent="0.25">
      <c r="A17" t="s">
        <v>2474</v>
      </c>
      <c r="B17" t="s">
        <v>2596</v>
      </c>
      <c r="C17" s="221">
        <v>42958.134965277779</v>
      </c>
      <c r="D17" t="s">
        <v>2597</v>
      </c>
      <c r="E17" s="249" t="str">
        <f>HYPERLINK("https://www.instagram.com/p/BXpQ16qji7V/")</f>
        <v>https://www.instagram.com/p/BXpQ16qji7V/</v>
      </c>
      <c r="F17" t="s">
        <v>2598</v>
      </c>
      <c r="G17" t="s">
        <v>2478</v>
      </c>
      <c r="H17">
        <v>221</v>
      </c>
      <c r="I17" t="s">
        <v>2599</v>
      </c>
      <c r="J17">
        <v>2</v>
      </c>
      <c r="K17">
        <v>16</v>
      </c>
      <c r="L17">
        <v>18</v>
      </c>
      <c r="Q17">
        <v>0</v>
      </c>
      <c r="R17">
        <v>0</v>
      </c>
      <c r="S17">
        <v>18</v>
      </c>
      <c r="Y17" t="s">
        <v>2600</v>
      </c>
      <c r="Z17" t="s">
        <v>2601</v>
      </c>
      <c r="AA17" t="s">
        <v>2497</v>
      </c>
      <c r="AB17" t="s">
        <v>2602</v>
      </c>
      <c r="AC17" t="s">
        <v>2603</v>
      </c>
      <c r="AD17" s="249" t="str">
        <f>HYPERLINK("https://scontent.cdninstagram.com/t51.2885-15/s320x320/e35/20686666_313551805782242_3978739840521863168_n.jpg")</f>
        <v>https://scontent.cdninstagram.com/t51.2885-15/s320x320/e35/20686666_313551805782242_3978739840521863168_n.jpg</v>
      </c>
      <c r="AE17" s="249" t="str">
        <f>HYPERLINK("https://scontent.cdninstagram.com/t51.2885-19/s150x150/12930891_702859196483243_1075444634_a.jpg")</f>
        <v>https://scontent.cdninstagram.com/t51.2885-19/s150x150/12930891_702859196483243_1075444634_a.jpg</v>
      </c>
    </row>
    <row r="18" spans="1:31" ht="15" x14ac:dyDescent="0.25">
      <c r="A18" t="s">
        <v>2474</v>
      </c>
      <c r="B18" t="s">
        <v>2604</v>
      </c>
      <c r="C18" s="221">
        <v>42958.160636574074</v>
      </c>
      <c r="D18" t="s">
        <v>2605</v>
      </c>
      <c r="E18" s="249" t="str">
        <f>HYPERLINK("https://www.instagram.com/p/BXpVEv6hf0X/")</f>
        <v>https://www.instagram.com/p/BXpVEv6hf0X/</v>
      </c>
      <c r="F18" t="s">
        <v>2606</v>
      </c>
      <c r="G18" t="s">
        <v>2488</v>
      </c>
      <c r="H18">
        <v>104</v>
      </c>
      <c r="I18" t="s">
        <v>2479</v>
      </c>
      <c r="J18">
        <v>0</v>
      </c>
      <c r="K18">
        <v>60</v>
      </c>
      <c r="L18">
        <v>60</v>
      </c>
      <c r="Q18">
        <v>0</v>
      </c>
      <c r="R18">
        <v>0</v>
      </c>
      <c r="S18">
        <v>60</v>
      </c>
      <c r="Y18" t="s">
        <v>2607</v>
      </c>
      <c r="Z18" t="s">
        <v>2608</v>
      </c>
      <c r="AA18" t="s">
        <v>2483</v>
      </c>
      <c r="AB18" t="s">
        <v>2497</v>
      </c>
      <c r="AC18" t="s">
        <v>2609</v>
      </c>
      <c r="AD18" s="249" t="str">
        <f>HYPERLINK("https://scontent.cdninstagram.com/t51.2885-15/s320x320/e15/20688450_1944743605814899_5581957690810171392_n.jpg")</f>
        <v>https://scontent.cdninstagram.com/t51.2885-15/s320x320/e15/20688450_1944743605814899_5581957690810171392_n.jpg</v>
      </c>
      <c r="AE18" s="249" t="str">
        <f>HYPERLINK("https://scontent.cdninstagram.com/t51.2885-19/s150x150/19984628_471076843243640_4080079022640332800_a.jpg")</f>
        <v>https://scontent.cdninstagram.com/t51.2885-19/s150x150/19984628_471076843243640_4080079022640332800_a.jpg</v>
      </c>
    </row>
    <row r="19" spans="1:31" ht="15" x14ac:dyDescent="0.25">
      <c r="A19" t="s">
        <v>2474</v>
      </c>
      <c r="B19" t="s">
        <v>2610</v>
      </c>
      <c r="C19" s="221">
        <v>42958.166284722225</v>
      </c>
      <c r="D19" t="s">
        <v>2611</v>
      </c>
      <c r="E19" s="249" t="str">
        <f>HYPERLINK("https://www.instagram.com/p/BXpWARigH7N/")</f>
        <v>https://www.instagram.com/p/BXpWARigH7N/</v>
      </c>
      <c r="F19" t="s">
        <v>2612</v>
      </c>
      <c r="G19" t="s">
        <v>2478</v>
      </c>
      <c r="H19">
        <v>580</v>
      </c>
      <c r="I19" t="s">
        <v>2479</v>
      </c>
      <c r="J19">
        <v>9</v>
      </c>
      <c r="K19">
        <v>74</v>
      </c>
      <c r="L19">
        <v>83</v>
      </c>
      <c r="Q19">
        <v>0</v>
      </c>
      <c r="R19">
        <v>0</v>
      </c>
      <c r="S19">
        <v>83</v>
      </c>
      <c r="T19" t="s">
        <v>2613</v>
      </c>
      <c r="V19" t="s">
        <v>2264</v>
      </c>
      <c r="W19">
        <v>36.488109999999999</v>
      </c>
      <c r="X19">
        <v>-4.9574499999999997</v>
      </c>
      <c r="Y19" t="s">
        <v>2614</v>
      </c>
      <c r="Z19" t="s">
        <v>2615</v>
      </c>
      <c r="AA19" t="s">
        <v>2616</v>
      </c>
      <c r="AB19" t="s">
        <v>2617</v>
      </c>
      <c r="AC19" t="s">
        <v>2618</v>
      </c>
      <c r="AD19" s="249" t="str">
        <f>HYPERLINK("https://scontent.cdninstagram.com/t51.2885-15/s320x320/e35/c0.134.1080.1080/20686536_461163810936962_7676526912226721792_n.jpg")</f>
        <v>https://scontent.cdninstagram.com/t51.2885-15/s320x320/e35/c0.134.1080.1080/20686536_461163810936962_7676526912226721792_n.jpg</v>
      </c>
      <c r="AE19" s="249" t="str">
        <f>HYPERLINK("https://scontent.cdninstagram.com/t51.2885-19/s150x150/20582644_469524920079434_492590915869736960_a.jpg")</f>
        <v>https://scontent.cdninstagram.com/t51.2885-19/s150x150/20582644_469524920079434_492590915869736960_a.jpg</v>
      </c>
    </row>
    <row r="20" spans="1:31" ht="15" x14ac:dyDescent="0.25">
      <c r="A20" t="s">
        <v>2474</v>
      </c>
      <c r="B20" t="s">
        <v>2619</v>
      </c>
      <c r="C20" s="221">
        <v>42958.172789351855</v>
      </c>
      <c r="D20" t="s">
        <v>2620</v>
      </c>
      <c r="E20" s="249" t="str">
        <f>HYPERLINK("https://www.instagram.com/p/BXpXE4kDilt/")</f>
        <v>https://www.instagram.com/p/BXpXE4kDilt/</v>
      </c>
      <c r="F20" t="s">
        <v>2621</v>
      </c>
      <c r="G20" t="s">
        <v>2478</v>
      </c>
      <c r="H20">
        <v>811</v>
      </c>
      <c r="I20" t="s">
        <v>2622</v>
      </c>
      <c r="J20">
        <v>13</v>
      </c>
      <c r="K20">
        <v>55</v>
      </c>
      <c r="L20">
        <v>68</v>
      </c>
      <c r="Q20">
        <v>0</v>
      </c>
      <c r="R20">
        <v>0</v>
      </c>
      <c r="S20">
        <v>68</v>
      </c>
      <c r="T20" t="s">
        <v>2623</v>
      </c>
      <c r="V20" t="s">
        <v>2102</v>
      </c>
      <c r="W20">
        <v>-34.316699999999997</v>
      </c>
      <c r="X20">
        <v>142.18299999999999</v>
      </c>
      <c r="Y20" t="s">
        <v>2624</v>
      </c>
      <c r="Z20" t="s">
        <v>2625</v>
      </c>
      <c r="AA20" t="s">
        <v>2626</v>
      </c>
      <c r="AB20" t="s">
        <v>2627</v>
      </c>
      <c r="AC20" t="s">
        <v>2497</v>
      </c>
      <c r="AD20" s="249" t="str">
        <f>HYPERLINK("https://scontent.cdninstagram.com/t51.2885-15/s320x320/e35/c0.135.1080.1080/20688361_467127566976738_5951894652922626048_n.jpg")</f>
        <v>https://scontent.cdninstagram.com/t51.2885-15/s320x320/e35/c0.135.1080.1080/20688361_467127566976738_5951894652922626048_n.jpg</v>
      </c>
      <c r="AE20" s="249" t="str">
        <f>HYPERLINK("https://scontent.cdninstagram.com/t51.2885-19/s150x150/14719583_1073368536093824_6781485298590154752_a.jpg")</f>
        <v>https://scontent.cdninstagram.com/t51.2885-19/s150x150/14719583_1073368536093824_6781485298590154752_a.jpg</v>
      </c>
    </row>
    <row r="21" spans="1:31" ht="15" x14ac:dyDescent="0.25">
      <c r="A21" t="s">
        <v>2474</v>
      </c>
      <c r="B21" t="s">
        <v>2628</v>
      </c>
      <c r="C21" s="221">
        <v>42958.172858796293</v>
      </c>
      <c r="D21" t="s">
        <v>2629</v>
      </c>
      <c r="E21" s="249" t="str">
        <f>HYPERLINK("https://www.instagram.com/p/BXpXFrQAWYd/")</f>
        <v>https://www.instagram.com/p/BXpXFrQAWYd/</v>
      </c>
      <c r="F21" t="s">
        <v>2630</v>
      </c>
      <c r="G21" t="s">
        <v>2631</v>
      </c>
      <c r="H21">
        <v>183</v>
      </c>
      <c r="I21" t="s">
        <v>2479</v>
      </c>
      <c r="J21">
        <v>0</v>
      </c>
      <c r="K21">
        <v>17</v>
      </c>
      <c r="L21">
        <v>17</v>
      </c>
      <c r="Q21">
        <v>0</v>
      </c>
      <c r="R21">
        <v>0</v>
      </c>
      <c r="S21">
        <v>17</v>
      </c>
      <c r="Y21" t="s">
        <v>2632</v>
      </c>
      <c r="Z21" t="s">
        <v>2633</v>
      </c>
      <c r="AA21" t="s">
        <v>2634</v>
      </c>
      <c r="AB21" t="s">
        <v>2524</v>
      </c>
      <c r="AC21" t="s">
        <v>2635</v>
      </c>
      <c r="AD21" s="249" t="str">
        <f>HYPERLINK("https://scontent.cdninstagram.com/t51.2885-15/s320x320/e15/20686432_1831444057169539_3305090798718025728_n.jpg")</f>
        <v>https://scontent.cdninstagram.com/t51.2885-15/s320x320/e15/20686432_1831444057169539_3305090798718025728_n.jpg</v>
      </c>
      <c r="AE21" s="249" t="str">
        <f>HYPERLINK("https://scontent.cdninstagram.com/t51.2885-19/s150x150/13739472_923311071148595_1681273203_a.jpg")</f>
        <v>https://scontent.cdninstagram.com/t51.2885-19/s150x150/13739472_923311071148595_1681273203_a.jpg</v>
      </c>
    </row>
    <row r="22" spans="1:31" ht="15" x14ac:dyDescent="0.25">
      <c r="A22" t="s">
        <v>2474</v>
      </c>
      <c r="B22" t="s">
        <v>2636</v>
      </c>
      <c r="C22" s="221">
        <v>42958.177824074075</v>
      </c>
      <c r="D22" t="s">
        <v>2637</v>
      </c>
      <c r="E22" s="249" t="str">
        <f>HYPERLINK("https://www.instagram.com/p/BXpX6AwHUpG/")</f>
        <v>https://www.instagram.com/p/BXpX6AwHUpG/</v>
      </c>
      <c r="F22" t="s">
        <v>2638</v>
      </c>
      <c r="G22" t="s">
        <v>2478</v>
      </c>
      <c r="H22">
        <v>299</v>
      </c>
      <c r="I22" t="s">
        <v>2639</v>
      </c>
      <c r="J22">
        <v>1</v>
      </c>
      <c r="K22">
        <v>66</v>
      </c>
      <c r="L22">
        <v>67</v>
      </c>
      <c r="Q22">
        <v>0</v>
      </c>
      <c r="R22">
        <v>0</v>
      </c>
      <c r="S22">
        <v>67</v>
      </c>
      <c r="Y22" t="s">
        <v>2640</v>
      </c>
      <c r="Z22" t="s">
        <v>2641</v>
      </c>
      <c r="AA22" t="s">
        <v>2513</v>
      </c>
      <c r="AB22" t="s">
        <v>2642</v>
      </c>
      <c r="AC22" t="s">
        <v>2643</v>
      </c>
      <c r="AD22" s="249" t="str">
        <f>HYPERLINK("https://scontent.cdninstagram.com/t51.2885-15/s320x320/e35/c108.0.863.863/20688590_2009395702617701_8139208363041882112_n.jpg")</f>
        <v>https://scontent.cdninstagram.com/t51.2885-15/s320x320/e35/c108.0.863.863/20688590_2009395702617701_8139208363041882112_n.jpg</v>
      </c>
      <c r="AE22" s="249" t="str">
        <f>HYPERLINK("https://scontent.cdninstagram.com/t51.2885-19/s150x150/15802797_1331780626878656_4160680230047973376_a.jpg")</f>
        <v>https://scontent.cdninstagram.com/t51.2885-19/s150x150/15802797_1331780626878656_4160680230047973376_a.jpg</v>
      </c>
    </row>
    <row r="23" spans="1:31" ht="15" x14ac:dyDescent="0.25">
      <c r="A23" t="s">
        <v>2474</v>
      </c>
      <c r="B23" t="s">
        <v>2644</v>
      </c>
      <c r="C23" s="221">
        <v>42958.188460648147</v>
      </c>
      <c r="D23" t="s">
        <v>2645</v>
      </c>
      <c r="E23" s="249" t="str">
        <f>HYPERLINK("https://www.instagram.com/p/BXpZqK0gkyS/")</f>
        <v>https://www.instagram.com/p/BXpZqK0gkyS/</v>
      </c>
      <c r="F23" t="s">
        <v>2646</v>
      </c>
      <c r="G23" t="s">
        <v>2478</v>
      </c>
      <c r="H23">
        <v>1758</v>
      </c>
      <c r="I23" t="s">
        <v>2479</v>
      </c>
      <c r="J23">
        <v>0</v>
      </c>
      <c r="K23">
        <v>77</v>
      </c>
      <c r="L23">
        <v>77</v>
      </c>
      <c r="Q23">
        <v>0</v>
      </c>
      <c r="R23">
        <v>0</v>
      </c>
      <c r="S23">
        <v>77</v>
      </c>
      <c r="T23" t="s">
        <v>2647</v>
      </c>
      <c r="V23" t="s">
        <v>2648</v>
      </c>
      <c r="W23">
        <v>55.761577172701998</v>
      </c>
      <c r="X23">
        <v>37.619280333191</v>
      </c>
      <c r="Y23" t="s">
        <v>2649</v>
      </c>
      <c r="Z23" t="s">
        <v>2650</v>
      </c>
      <c r="AA23" t="s">
        <v>2651</v>
      </c>
      <c r="AB23" t="s">
        <v>2497</v>
      </c>
      <c r="AC23" t="s">
        <v>2652</v>
      </c>
      <c r="AD23" s="249" t="str">
        <f>HYPERLINK("https://scontent.cdninstagram.com/t51.2885-15/s320x320/e35/20687041_109788953060952_8842429723557494784_n.jpg")</f>
        <v>https://scontent.cdninstagram.com/t51.2885-15/s320x320/e35/20687041_109788953060952_8842429723557494784_n.jpg</v>
      </c>
      <c r="AE23" s="249" t="str">
        <f>HYPERLINK("https://scontent.cdninstagram.com/t51.2885-19/11372086_1598451257062069_1320225693_a.jpg")</f>
        <v>https://scontent.cdninstagram.com/t51.2885-19/11372086_1598451257062069_1320225693_a.jpg</v>
      </c>
    </row>
    <row r="24" spans="1:31" ht="15" x14ac:dyDescent="0.25">
      <c r="A24" t="s">
        <v>2474</v>
      </c>
      <c r="B24" t="s">
        <v>2653</v>
      </c>
      <c r="C24" s="221">
        <v>42958.189444444448</v>
      </c>
      <c r="D24" t="s">
        <v>2654</v>
      </c>
      <c r="E24" s="249" t="str">
        <f>HYPERLINK("https://www.instagram.com/p/BXpZ0fTlxID/")</f>
        <v>https://www.instagram.com/p/BXpZ0fTlxID/</v>
      </c>
      <c r="F24" t="s">
        <v>2655</v>
      </c>
      <c r="G24" t="s">
        <v>2478</v>
      </c>
      <c r="H24">
        <v>99</v>
      </c>
      <c r="I24" t="s">
        <v>2479</v>
      </c>
      <c r="J24">
        <v>2</v>
      </c>
      <c r="K24">
        <v>31</v>
      </c>
      <c r="L24">
        <v>33</v>
      </c>
      <c r="Q24">
        <v>0</v>
      </c>
      <c r="R24">
        <v>0</v>
      </c>
      <c r="S24">
        <v>33</v>
      </c>
      <c r="T24" t="s">
        <v>2656</v>
      </c>
      <c r="V24" t="s">
        <v>2271</v>
      </c>
      <c r="W24">
        <v>46.559166666666997</v>
      </c>
      <c r="X24">
        <v>8.5613888888888994</v>
      </c>
      <c r="Y24" t="s">
        <v>2551</v>
      </c>
      <c r="Z24" t="s">
        <v>2657</v>
      </c>
      <c r="AA24" t="s">
        <v>2658</v>
      </c>
      <c r="AB24" t="s">
        <v>2659</v>
      </c>
      <c r="AC24" t="s">
        <v>2660</v>
      </c>
      <c r="AD24" s="249" t="str">
        <f>HYPERLINK("https://scontent.cdninstagram.com/t51.2885-15/s320x320/e35/20766541_463821460671148_4407736786252464128_n.jpg")</f>
        <v>https://scontent.cdninstagram.com/t51.2885-15/s320x320/e35/20766541_463821460671148_4407736786252464128_n.jpg</v>
      </c>
      <c r="AE24" s="249" t="str">
        <f>HYPERLINK("https://scontent.cdninstagram.com/t51.2885-19/s150x150/20398571_105647836800806_6294539215287877632_a.jpg")</f>
        <v>https://scontent.cdninstagram.com/t51.2885-19/s150x150/20398571_105647836800806_6294539215287877632_a.jpg</v>
      </c>
    </row>
    <row r="25" spans="1:31" ht="15" x14ac:dyDescent="0.25">
      <c r="A25" t="s">
        <v>2474</v>
      </c>
      <c r="B25" t="s">
        <v>2661</v>
      </c>
      <c r="C25" s="221">
        <v>42958.192789351851</v>
      </c>
      <c r="D25" t="s">
        <v>2662</v>
      </c>
      <c r="E25" s="249" t="str">
        <f>HYPERLINK("https://www.instagram.com/p/BXpaX1TFkKL/")</f>
        <v>https://www.instagram.com/p/BXpaX1TFkKL/</v>
      </c>
      <c r="F25" t="s">
        <v>2663</v>
      </c>
      <c r="G25" t="s">
        <v>2478</v>
      </c>
      <c r="H25">
        <v>274</v>
      </c>
      <c r="I25" t="s">
        <v>2664</v>
      </c>
      <c r="J25">
        <v>0</v>
      </c>
      <c r="K25">
        <v>16</v>
      </c>
      <c r="L25">
        <v>16</v>
      </c>
      <c r="Q25">
        <v>0</v>
      </c>
      <c r="R25">
        <v>0</v>
      </c>
      <c r="S25">
        <v>16</v>
      </c>
      <c r="Y25" t="s">
        <v>2665</v>
      </c>
      <c r="Z25" t="s">
        <v>2666</v>
      </c>
      <c r="AA25" t="s">
        <v>2667</v>
      </c>
      <c r="AB25" t="s">
        <v>2668</v>
      </c>
      <c r="AC25" t="s">
        <v>2562</v>
      </c>
      <c r="AD25" s="249" t="str">
        <f>HYPERLINK("https://scontent.cdninstagram.com/t51.2885-15/s320x320/e35/20635413_996793047152554_7271545280426672128_n.jpg")</f>
        <v>https://scontent.cdninstagram.com/t51.2885-15/s320x320/e35/20635413_996793047152554_7271545280426672128_n.jpg</v>
      </c>
      <c r="AE25" s="249" t="str">
        <f>HYPERLINK("https://scontent.cdninstagram.com/t51.2885-19/s150x150/19379507_254812801667437_4062707666634407936_a.jpg")</f>
        <v>https://scontent.cdninstagram.com/t51.2885-19/s150x150/19379507_254812801667437_4062707666634407936_a.jpg</v>
      </c>
    </row>
    <row r="26" spans="1:31" ht="15" x14ac:dyDescent="0.25">
      <c r="A26" t="s">
        <v>2474</v>
      </c>
      <c r="B26" t="s">
        <v>2669</v>
      </c>
      <c r="C26" s="221">
        <v>42958.198645833334</v>
      </c>
      <c r="D26" t="s">
        <v>2670</v>
      </c>
      <c r="E26" s="249" t="str">
        <f>HYPERLINK("https://www.instagram.com/p/BXpbVkgF5_H/")</f>
        <v>https://www.instagram.com/p/BXpbVkgF5_H/</v>
      </c>
      <c r="F26" t="s">
        <v>2671</v>
      </c>
      <c r="G26" t="s">
        <v>2478</v>
      </c>
      <c r="H26">
        <v>1259</v>
      </c>
      <c r="I26" t="s">
        <v>2479</v>
      </c>
      <c r="J26">
        <v>15</v>
      </c>
      <c r="K26">
        <v>82</v>
      </c>
      <c r="L26">
        <v>97</v>
      </c>
      <c r="Q26">
        <v>0</v>
      </c>
      <c r="R26">
        <v>0</v>
      </c>
      <c r="S26">
        <v>97</v>
      </c>
      <c r="Y26" t="s">
        <v>2672</v>
      </c>
      <c r="Z26" t="s">
        <v>2673</v>
      </c>
      <c r="AA26" t="s">
        <v>2674</v>
      </c>
      <c r="AB26" t="s">
        <v>2675</v>
      </c>
      <c r="AC26" t="s">
        <v>2676</v>
      </c>
      <c r="AD26" s="249" t="str">
        <f>HYPERLINK("https://scontent.cdninstagram.com/t51.2885-15/s320x320/e35/20759547_886456864836357_2487464871080230912_n.jpg")</f>
        <v>https://scontent.cdninstagram.com/t51.2885-15/s320x320/e35/20759547_886456864836357_2487464871080230912_n.jpg</v>
      </c>
      <c r="AE26" s="249" t="str">
        <f>HYPERLINK("https://scontent.cdninstagram.com/t51.2885-19/s150x150/20766806_332159583878425_6592739138246541312_a.jpg")</f>
        <v>https://scontent.cdninstagram.com/t51.2885-19/s150x150/20766806_332159583878425_6592739138246541312_a.jpg</v>
      </c>
    </row>
    <row r="27" spans="1:31" ht="15" x14ac:dyDescent="0.25">
      <c r="A27" t="s">
        <v>2474</v>
      </c>
      <c r="B27" t="s">
        <v>2677</v>
      </c>
      <c r="C27" s="221">
        <v>42958.200972222221</v>
      </c>
      <c r="D27" t="s">
        <v>2678</v>
      </c>
      <c r="E27" s="249" t="str">
        <f>HYPERLINK("https://www.instagram.com/p/BXpbuIJFnFL/")</f>
        <v>https://www.instagram.com/p/BXpbuIJFnFL/</v>
      </c>
      <c r="F27" t="s">
        <v>2679</v>
      </c>
      <c r="G27" t="s">
        <v>2478</v>
      </c>
      <c r="H27">
        <v>26107</v>
      </c>
      <c r="I27" t="s">
        <v>2479</v>
      </c>
      <c r="J27">
        <v>19</v>
      </c>
      <c r="K27">
        <v>779</v>
      </c>
      <c r="L27">
        <v>798</v>
      </c>
      <c r="Q27">
        <v>0</v>
      </c>
      <c r="R27">
        <v>0</v>
      </c>
      <c r="S27">
        <v>798</v>
      </c>
      <c r="Y27" t="s">
        <v>2680</v>
      </c>
      <c r="Z27" t="s">
        <v>2681</v>
      </c>
      <c r="AA27" t="s">
        <v>2682</v>
      </c>
      <c r="AB27" t="s">
        <v>2683</v>
      </c>
      <c r="AC27" t="s">
        <v>2684</v>
      </c>
      <c r="AD27" s="249" t="str">
        <f>HYPERLINK("https://scontent.cdninstagram.com/t51.2885-15/s320x320/e35/c0.71.640.640/20635203_1614412671910808_8146399246396948480_n.jpg")</f>
        <v>https://scontent.cdninstagram.com/t51.2885-15/s320x320/e35/c0.71.640.640/20635203_1614412671910808_8146399246396948480_n.jpg</v>
      </c>
      <c r="AE27" s="249" t="str">
        <f>HYPERLINK("https://scontent.cdninstagram.com/t51.2885-19/s150x150/15624407_342184376168512_1256732560663248896_a.jpg")</f>
        <v>https://scontent.cdninstagram.com/t51.2885-19/s150x150/15624407_342184376168512_1256732560663248896_a.jpg</v>
      </c>
    </row>
    <row r="28" spans="1:31" ht="15" x14ac:dyDescent="0.25">
      <c r="A28" t="s">
        <v>2474</v>
      </c>
      <c r="B28" t="s">
        <v>2685</v>
      </c>
      <c r="C28" s="221">
        <v>42958.236817129633</v>
      </c>
      <c r="D28" t="s">
        <v>2686</v>
      </c>
      <c r="E28" s="249" t="str">
        <f>HYPERLINK("https://www.instagram.com/p/BXphoIaF4Xe/")</f>
        <v>https://www.instagram.com/p/BXphoIaF4Xe/</v>
      </c>
      <c r="F28" t="s">
        <v>2687</v>
      </c>
      <c r="G28" t="s">
        <v>2478</v>
      </c>
      <c r="H28">
        <v>219</v>
      </c>
      <c r="I28" t="s">
        <v>2479</v>
      </c>
      <c r="J28">
        <v>3</v>
      </c>
      <c r="K28">
        <v>42</v>
      </c>
      <c r="L28">
        <v>45</v>
      </c>
      <c r="Q28">
        <v>0</v>
      </c>
      <c r="R28">
        <v>0</v>
      </c>
      <c r="S28">
        <v>45</v>
      </c>
      <c r="Y28" t="s">
        <v>2520</v>
      </c>
      <c r="Z28" t="s">
        <v>2688</v>
      </c>
      <c r="AA28" t="s">
        <v>2689</v>
      </c>
      <c r="AB28" t="s">
        <v>2690</v>
      </c>
      <c r="AC28" t="s">
        <v>2691</v>
      </c>
      <c r="AD28" s="249" t="str">
        <f>HYPERLINK("https://scontent.cdninstagram.com/t51.2885-15/s320x320/e35/20759379_1860651594253323_8198814627845373952_n.jpg")</f>
        <v>https://scontent.cdninstagram.com/t51.2885-15/s320x320/e35/20759379_1860651594253323_8198814627845373952_n.jpg</v>
      </c>
      <c r="AE28" s="249" t="str">
        <f>HYPERLINK("https://scontent.cdninstagram.com/t51.2885-19/s150x150/12339026_997056470351354_891418646_a.jpg")</f>
        <v>https://scontent.cdninstagram.com/t51.2885-19/s150x150/12339026_997056470351354_891418646_a.jpg</v>
      </c>
    </row>
    <row r="29" spans="1:31" ht="15" x14ac:dyDescent="0.25">
      <c r="A29" t="s">
        <v>2474</v>
      </c>
      <c r="B29" t="s">
        <v>2692</v>
      </c>
      <c r="C29" s="221">
        <v>42958.240081018521</v>
      </c>
      <c r="D29" t="s">
        <v>2693</v>
      </c>
      <c r="E29" s="249" t="str">
        <f>HYPERLINK("https://www.instagram.com/p/BXpiKlRgWeS/")</f>
        <v>https://www.instagram.com/p/BXpiKlRgWeS/</v>
      </c>
      <c r="F29" t="s">
        <v>2694</v>
      </c>
      <c r="G29" t="s">
        <v>2478</v>
      </c>
      <c r="H29">
        <v>621</v>
      </c>
      <c r="I29" t="s">
        <v>2479</v>
      </c>
      <c r="J29">
        <v>5</v>
      </c>
      <c r="K29">
        <v>60</v>
      </c>
      <c r="L29">
        <v>65</v>
      </c>
      <c r="Q29">
        <v>0</v>
      </c>
      <c r="R29">
        <v>0</v>
      </c>
      <c r="S29">
        <v>65</v>
      </c>
      <c r="T29" t="s">
        <v>2695</v>
      </c>
      <c r="V29" t="s">
        <v>2288</v>
      </c>
      <c r="W29">
        <v>51.459983800000003</v>
      </c>
      <c r="X29">
        <v>-0.30223909999999998</v>
      </c>
      <c r="Y29" t="s">
        <v>2696</v>
      </c>
      <c r="Z29" t="s">
        <v>2616</v>
      </c>
      <c r="AA29" t="s">
        <v>2697</v>
      </c>
      <c r="AB29" t="s">
        <v>2698</v>
      </c>
      <c r="AC29" t="s">
        <v>2699</v>
      </c>
      <c r="AD29" s="249" t="str">
        <f>HYPERLINK("https://scontent.cdninstagram.com/t51.2885-15/s320x320/e35/c2.0.1075.1075/20759693_1956144434643004_2040419510699163648_n.jpg")</f>
        <v>https://scontent.cdninstagram.com/t51.2885-15/s320x320/e35/c2.0.1075.1075/20759693_1956144434643004_2040419510699163648_n.jpg</v>
      </c>
      <c r="AE29" s="249" t="str">
        <f>HYPERLINK("https://scontent.cdninstagram.com/t51.2885-19/1598561_933899699964355_1179003751_a.jpg")</f>
        <v>https://scontent.cdninstagram.com/t51.2885-19/1598561_933899699964355_1179003751_a.jpg</v>
      </c>
    </row>
    <row r="30" spans="1:31" ht="15" x14ac:dyDescent="0.25">
      <c r="A30" t="s">
        <v>2474</v>
      </c>
      <c r="B30" t="s">
        <v>2700</v>
      </c>
      <c r="C30" s="221">
        <v>42958.240185185183</v>
      </c>
      <c r="D30" t="s">
        <v>2701</v>
      </c>
      <c r="E30" s="249" t="str">
        <f>HYPERLINK("https://www.instagram.com/p/BXpiLvRhqQM/")</f>
        <v>https://www.instagram.com/p/BXpiLvRhqQM/</v>
      </c>
      <c r="F30" t="s">
        <v>2702</v>
      </c>
      <c r="G30" t="s">
        <v>2478</v>
      </c>
      <c r="H30">
        <v>840</v>
      </c>
      <c r="I30" t="s">
        <v>2479</v>
      </c>
      <c r="J30">
        <v>1</v>
      </c>
      <c r="K30">
        <v>34</v>
      </c>
      <c r="L30">
        <v>35</v>
      </c>
      <c r="Q30">
        <v>0</v>
      </c>
      <c r="R30">
        <v>0</v>
      </c>
      <c r="S30">
        <v>35</v>
      </c>
      <c r="Y30" t="s">
        <v>2703</v>
      </c>
      <c r="Z30" t="s">
        <v>2704</v>
      </c>
      <c r="AA30" t="s">
        <v>2705</v>
      </c>
      <c r="AB30" t="s">
        <v>2706</v>
      </c>
      <c r="AC30" t="s">
        <v>2707</v>
      </c>
      <c r="AD30" s="249" t="str">
        <f>HYPERLINK("https://scontent.cdninstagram.com/t51.2885-15/s320x320/e35/20589960_266279057210146_5727062203127824384_n.jpg")</f>
        <v>https://scontent.cdninstagram.com/t51.2885-15/s320x320/e35/20589960_266279057210146_5727062203127824384_n.jpg</v>
      </c>
      <c r="AE30" s="249" t="str">
        <f>HYPERLINK("https://scontent.cdninstagram.com/t51.2885-19/s150x150/14726415_1764726950434473_1846308506706116608_a.jpg")</f>
        <v>https://scontent.cdninstagram.com/t51.2885-19/s150x150/14726415_1764726950434473_1846308506706116608_a.jpg</v>
      </c>
    </row>
    <row r="31" spans="1:31" ht="15" x14ac:dyDescent="0.25">
      <c r="A31" t="s">
        <v>2474</v>
      </c>
      <c r="B31" t="s">
        <v>2708</v>
      </c>
      <c r="C31" s="221">
        <v>42958.24082175926</v>
      </c>
      <c r="D31" t="s">
        <v>2709</v>
      </c>
      <c r="E31" s="249" t="str">
        <f>HYPERLINK("https://www.instagram.com/p/BXpiSZ1lpWN/")</f>
        <v>https://www.instagram.com/p/BXpiSZ1lpWN/</v>
      </c>
      <c r="F31" t="s">
        <v>2710</v>
      </c>
      <c r="G31" t="s">
        <v>2478</v>
      </c>
      <c r="H31">
        <v>227</v>
      </c>
      <c r="I31" t="s">
        <v>2479</v>
      </c>
      <c r="J31">
        <v>0</v>
      </c>
      <c r="K31">
        <v>4</v>
      </c>
      <c r="L31">
        <v>4</v>
      </c>
      <c r="Q31">
        <v>0</v>
      </c>
      <c r="R31">
        <v>0</v>
      </c>
      <c r="S31">
        <v>4</v>
      </c>
      <c r="Y31" t="s">
        <v>2711</v>
      </c>
      <c r="Z31" t="s">
        <v>2712</v>
      </c>
      <c r="AA31" t="s">
        <v>2713</v>
      </c>
      <c r="AB31" t="s">
        <v>2714</v>
      </c>
      <c r="AC31" t="s">
        <v>2497</v>
      </c>
      <c r="AD31" s="249" t="str">
        <f>HYPERLINK("https://scontent.cdninstagram.com/t51.2885-15/s320x320/e35/20759117_501927570158827_4270384977666899968_n.jpg")</f>
        <v>https://scontent.cdninstagram.com/t51.2885-15/s320x320/e35/20759117_501927570158827_4270384977666899968_n.jpg</v>
      </c>
      <c r="AE31" s="249" t="str">
        <f>HYPERLINK("https://scontent.cdninstagram.com/t51.2885-19/s150x150/20766723_292587094483594_2301821270557196288_a.jpg")</f>
        <v>https://scontent.cdninstagram.com/t51.2885-19/s150x150/20766723_292587094483594_2301821270557196288_a.jpg</v>
      </c>
    </row>
    <row r="32" spans="1:31" ht="15" x14ac:dyDescent="0.25">
      <c r="A32" t="s">
        <v>2474</v>
      </c>
      <c r="B32" t="s">
        <v>2715</v>
      </c>
      <c r="C32" s="221">
        <v>42958.241006944445</v>
      </c>
      <c r="D32" t="s">
        <v>2716</v>
      </c>
      <c r="E32" s="249" t="str">
        <f>HYPERLINK("https://www.instagram.com/p/BXpiUXnAO-_/")</f>
        <v>https://www.instagram.com/p/BXpiUXnAO-_/</v>
      </c>
      <c r="F32" t="s">
        <v>2717</v>
      </c>
      <c r="G32" t="s">
        <v>2478</v>
      </c>
      <c r="H32">
        <v>106</v>
      </c>
      <c r="I32" t="s">
        <v>2479</v>
      </c>
      <c r="J32">
        <v>0</v>
      </c>
      <c r="K32">
        <v>16</v>
      </c>
      <c r="L32">
        <v>16</v>
      </c>
      <c r="Q32">
        <v>0</v>
      </c>
      <c r="R32">
        <v>0</v>
      </c>
      <c r="S32">
        <v>16</v>
      </c>
      <c r="Y32" t="s">
        <v>2718</v>
      </c>
      <c r="Z32" t="s">
        <v>2719</v>
      </c>
      <c r="AA32" t="s">
        <v>2720</v>
      </c>
      <c r="AB32" t="s">
        <v>2497</v>
      </c>
      <c r="AC32" t="s">
        <v>2721</v>
      </c>
      <c r="AD32" s="249" t="str">
        <f>HYPERLINK("https://scontent.cdninstagram.com/t51.2885-15/s320x320/e35/c0.135.1080.1080/20686621_346245779148360_756067368270036992_n.jpg")</f>
        <v>https://scontent.cdninstagram.com/t51.2885-15/s320x320/e35/c0.135.1080.1080/20686621_346245779148360_756067368270036992_n.jpg</v>
      </c>
      <c r="AE32" s="249" t="str">
        <f>HYPERLINK("https://scontent.cdninstagram.com/t51.2885-19/s150x150/20766825_338148956634903_8556968033648640000_a.jpg")</f>
        <v>https://scontent.cdninstagram.com/t51.2885-19/s150x150/20766825_338148956634903_8556968033648640000_a.jpg</v>
      </c>
    </row>
    <row r="33" spans="1:31" ht="15" x14ac:dyDescent="0.25">
      <c r="A33" t="s">
        <v>2474</v>
      </c>
      <c r="B33" t="s">
        <v>2588</v>
      </c>
      <c r="C33" s="221">
        <v>42958.247152777774</v>
      </c>
      <c r="D33" t="s">
        <v>2722</v>
      </c>
      <c r="E33" s="249" t="str">
        <f>HYPERLINK("https://www.instagram.com/p/BXpjVJ8AI8K/")</f>
        <v>https://www.instagram.com/p/BXpjVJ8AI8K/</v>
      </c>
      <c r="F33" t="s">
        <v>2723</v>
      </c>
      <c r="G33" t="s">
        <v>2478</v>
      </c>
      <c r="H33">
        <v>229</v>
      </c>
      <c r="I33" t="s">
        <v>2479</v>
      </c>
      <c r="J33">
        <v>8</v>
      </c>
      <c r="K33">
        <v>27</v>
      </c>
      <c r="L33">
        <v>35</v>
      </c>
      <c r="Q33">
        <v>0</v>
      </c>
      <c r="R33">
        <v>0</v>
      </c>
      <c r="S33">
        <v>35</v>
      </c>
      <c r="AD33" s="249" t="str">
        <f>HYPERLINK("https://scontent.cdninstagram.com/t51.2885-15/s320x320/e35/20687184_413137919083584_6224615408247242752_n.jpg")</f>
        <v>https://scontent.cdninstagram.com/t51.2885-15/s320x320/e35/20687184_413137919083584_6224615408247242752_n.jpg</v>
      </c>
      <c r="AE33" s="249" t="str">
        <f>HYPERLINK("https://scontent.cdninstagram.com/t51.2885-19/s150x150/20633561_108840983138666_5897549723056734208_a.jpg")</f>
        <v>https://scontent.cdninstagram.com/t51.2885-19/s150x150/20633561_108840983138666_5897549723056734208_a.jpg</v>
      </c>
    </row>
    <row r="34" spans="1:31" ht="15" x14ac:dyDescent="0.25">
      <c r="A34" t="s">
        <v>2474</v>
      </c>
      <c r="B34" t="s">
        <v>2724</v>
      </c>
      <c r="C34" s="221">
        <v>42958.250358796293</v>
      </c>
      <c r="D34" t="s">
        <v>2725</v>
      </c>
      <c r="E34" s="249" t="str">
        <f>HYPERLINK("https://www.instagram.com/p/BXpj28oFYIz/")</f>
        <v>https://www.instagram.com/p/BXpj28oFYIz/</v>
      </c>
      <c r="F34" t="s">
        <v>2726</v>
      </c>
      <c r="G34" t="s">
        <v>2478</v>
      </c>
      <c r="H34">
        <v>47</v>
      </c>
      <c r="I34" t="s">
        <v>2479</v>
      </c>
      <c r="J34">
        <v>1</v>
      </c>
      <c r="K34">
        <v>15</v>
      </c>
      <c r="L34">
        <v>16</v>
      </c>
      <c r="Q34">
        <v>0</v>
      </c>
      <c r="R34">
        <v>0</v>
      </c>
      <c r="S34">
        <v>16</v>
      </c>
      <c r="T34" t="s">
        <v>2727</v>
      </c>
      <c r="V34" t="s">
        <v>2161</v>
      </c>
      <c r="W34">
        <v>51.915877999999999</v>
      </c>
      <c r="X34">
        <v>8.8695660000000007</v>
      </c>
      <c r="Y34" t="s">
        <v>2728</v>
      </c>
      <c r="Z34" t="s">
        <v>2729</v>
      </c>
      <c r="AA34" t="s">
        <v>2730</v>
      </c>
      <c r="AB34" t="s">
        <v>2492</v>
      </c>
      <c r="AC34" t="s">
        <v>2497</v>
      </c>
      <c r="AD34" s="249" t="str">
        <f>HYPERLINK("https://scontent.cdninstagram.com/t51.2885-15/s320x320/e35/20688502_260619584455551_3367106943901499392_n.jpg")</f>
        <v>https://scontent.cdninstagram.com/t51.2885-15/s320x320/e35/20688502_260619584455551_3367106943901499392_n.jpg</v>
      </c>
      <c r="AE34" s="249" t="str">
        <f>HYPERLINK("https://scontent.cdninstagram.com/t51.2885-19/s150x150/15877413_1399310030114047_6469586865203707904_n.jpg")</f>
        <v>https://scontent.cdninstagram.com/t51.2885-19/s150x150/15877413_1399310030114047_6469586865203707904_n.jpg</v>
      </c>
    </row>
    <row r="35" spans="1:31" ht="15" x14ac:dyDescent="0.25">
      <c r="A35" t="s">
        <v>2474</v>
      </c>
      <c r="B35" t="s">
        <v>2731</v>
      </c>
      <c r="C35" s="221">
        <v>42958.260671296295</v>
      </c>
      <c r="D35" t="s">
        <v>2732</v>
      </c>
      <c r="E35" s="249" t="str">
        <f>HYPERLINK("https://www.instagram.com/p/BXpljzzgMPM/")</f>
        <v>https://www.instagram.com/p/BXpljzzgMPM/</v>
      </c>
      <c r="F35" t="s">
        <v>2733</v>
      </c>
      <c r="G35" t="s">
        <v>2478</v>
      </c>
      <c r="H35">
        <v>330</v>
      </c>
      <c r="I35" t="s">
        <v>2542</v>
      </c>
      <c r="J35">
        <v>0</v>
      </c>
      <c r="K35">
        <v>31</v>
      </c>
      <c r="L35">
        <v>31</v>
      </c>
      <c r="Q35">
        <v>0</v>
      </c>
      <c r="R35">
        <v>0</v>
      </c>
      <c r="S35">
        <v>31</v>
      </c>
      <c r="Y35" t="s">
        <v>2734</v>
      </c>
      <c r="Z35" t="s">
        <v>2735</v>
      </c>
      <c r="AA35" t="s">
        <v>2497</v>
      </c>
      <c r="AB35" t="s">
        <v>2736</v>
      </c>
      <c r="AC35" t="s">
        <v>2737</v>
      </c>
      <c r="AD35" s="249" t="str">
        <f>HYPERLINK("https://scontent.cdninstagram.com/t51.2885-15/s320x320/e35/20688200_948683341939302_2516679320232001536_n.jpg")</f>
        <v>https://scontent.cdninstagram.com/t51.2885-15/s320x320/e35/20688200_948683341939302_2516679320232001536_n.jpg</v>
      </c>
      <c r="AE35" s="249" t="str">
        <f>HYPERLINK("https://scontent.cdninstagram.com/t51.2885-19/s150x150/14032995_329005254099083_781655942_a.jpg")</f>
        <v>https://scontent.cdninstagram.com/t51.2885-19/s150x150/14032995_329005254099083_781655942_a.jpg</v>
      </c>
    </row>
    <row r="36" spans="1:31" ht="15" x14ac:dyDescent="0.25">
      <c r="A36" t="s">
        <v>2474</v>
      </c>
      <c r="B36" t="s">
        <v>2738</v>
      </c>
      <c r="C36" s="221">
        <v>42958.269606481481</v>
      </c>
      <c r="D36" t="s">
        <v>2739</v>
      </c>
      <c r="E36" s="249" t="str">
        <f>HYPERLINK("https://www.instagram.com/p/BXpnCBpgf-S/")</f>
        <v>https://www.instagram.com/p/BXpnCBpgf-S/</v>
      </c>
      <c r="F36" t="s">
        <v>2740</v>
      </c>
      <c r="G36" t="s">
        <v>2478</v>
      </c>
      <c r="H36">
        <v>127</v>
      </c>
      <c r="I36" t="s">
        <v>2479</v>
      </c>
      <c r="J36">
        <v>2</v>
      </c>
      <c r="K36">
        <v>29</v>
      </c>
      <c r="L36">
        <v>31</v>
      </c>
      <c r="Q36">
        <v>0</v>
      </c>
      <c r="R36">
        <v>0</v>
      </c>
      <c r="S36">
        <v>31</v>
      </c>
      <c r="Y36" t="s">
        <v>2741</v>
      </c>
      <c r="Z36" t="s">
        <v>2497</v>
      </c>
      <c r="AA36" t="s">
        <v>2742</v>
      </c>
      <c r="AB36" t="s">
        <v>2743</v>
      </c>
      <c r="AC36" t="s">
        <v>2744</v>
      </c>
      <c r="AD36" s="249" t="str">
        <f>HYPERLINK("https://scontent.cdninstagram.com/t51.2885-15/s320x320/e35/20759438_1465993287033629_4148181780727332864_n.jpg")</f>
        <v>https://scontent.cdninstagram.com/t51.2885-15/s320x320/e35/20759438_1465993287033629_4148181780727332864_n.jpg</v>
      </c>
      <c r="AE36" s="249" t="str">
        <f>HYPERLINK("https://scontent.cdninstagram.com/t51.2885-19/s150x150/11899579_897822316961809_437222074_a.jpg")</f>
        <v>https://scontent.cdninstagram.com/t51.2885-19/s150x150/11899579_897822316961809_437222074_a.jpg</v>
      </c>
    </row>
    <row r="37" spans="1:31" ht="15" x14ac:dyDescent="0.25">
      <c r="A37" t="s">
        <v>2474</v>
      </c>
      <c r="B37" t="s">
        <v>2745</v>
      </c>
      <c r="C37" s="221">
        <v>42958.27171296296</v>
      </c>
      <c r="D37" t="s">
        <v>2746</v>
      </c>
      <c r="E37" s="249" t="str">
        <f>HYPERLINK("https://www.instagram.com/p/BXpnYLGB65e/")</f>
        <v>https://www.instagram.com/p/BXpnYLGB65e/</v>
      </c>
      <c r="F37" t="s">
        <v>2747</v>
      </c>
      <c r="G37" t="s">
        <v>2478</v>
      </c>
      <c r="H37">
        <v>59</v>
      </c>
      <c r="I37" t="s">
        <v>2748</v>
      </c>
      <c r="J37">
        <v>0</v>
      </c>
      <c r="K37">
        <v>17</v>
      </c>
      <c r="L37">
        <v>17</v>
      </c>
      <c r="Q37">
        <v>0</v>
      </c>
      <c r="R37">
        <v>0</v>
      </c>
      <c r="S37">
        <v>17</v>
      </c>
      <c r="T37" t="s">
        <v>2749</v>
      </c>
      <c r="V37" t="s">
        <v>2182</v>
      </c>
      <c r="W37">
        <v>45.441216189999999</v>
      </c>
      <c r="X37">
        <v>12.334210474000001</v>
      </c>
      <c r="Y37" t="s">
        <v>2750</v>
      </c>
      <c r="Z37" t="s">
        <v>2751</v>
      </c>
      <c r="AA37" t="s">
        <v>2497</v>
      </c>
      <c r="AB37" t="s">
        <v>2752</v>
      </c>
      <c r="AC37" t="s">
        <v>2753</v>
      </c>
      <c r="AD37" s="249" t="str">
        <f>HYPERLINK("https://scontent.cdninstagram.com/t51.2885-15/s320x320/e35/c0.56.450.450/20688716_355997751498043_2870898471567622144_n.jpg")</f>
        <v>https://scontent.cdninstagram.com/t51.2885-15/s320x320/e35/c0.56.450.450/20688716_355997751498043_2870898471567622144_n.jpg</v>
      </c>
      <c r="AE37" s="249" t="str">
        <f>HYPERLINK("https://scontent.cdninstagram.com/t51.2885-19/s150x150/18722271_1646890612005803_9165722885568856064_a.jpg")</f>
        <v>https://scontent.cdninstagram.com/t51.2885-19/s150x150/18722271_1646890612005803_9165722885568856064_a.jpg</v>
      </c>
    </row>
    <row r="38" spans="1:31" ht="15" x14ac:dyDescent="0.25">
      <c r="A38" t="s">
        <v>2474</v>
      </c>
      <c r="B38" t="s">
        <v>2754</v>
      </c>
      <c r="C38" s="221">
        <v>42958.272372685184</v>
      </c>
      <c r="D38" t="s">
        <v>2755</v>
      </c>
      <c r="E38" s="249" t="str">
        <f>HYPERLINK("https://www.instagram.com/p/BXpnfJIAZfs/")</f>
        <v>https://www.instagram.com/p/BXpnfJIAZfs/</v>
      </c>
      <c r="F38" t="s">
        <v>2756</v>
      </c>
      <c r="G38" t="s">
        <v>2478</v>
      </c>
      <c r="H38">
        <v>1161</v>
      </c>
      <c r="I38" t="s">
        <v>2599</v>
      </c>
      <c r="J38">
        <v>0</v>
      </c>
      <c r="K38">
        <v>107</v>
      </c>
      <c r="L38">
        <v>107</v>
      </c>
      <c r="Q38">
        <v>0</v>
      </c>
      <c r="R38">
        <v>0</v>
      </c>
      <c r="S38">
        <v>107</v>
      </c>
      <c r="T38" t="s">
        <v>2757</v>
      </c>
      <c r="V38" t="s">
        <v>2648</v>
      </c>
      <c r="W38">
        <v>55.757975939147002</v>
      </c>
      <c r="X38">
        <v>37.604063765253997</v>
      </c>
      <c r="Y38" t="s">
        <v>2758</v>
      </c>
      <c r="Z38" t="s">
        <v>2759</v>
      </c>
      <c r="AA38" t="s">
        <v>2497</v>
      </c>
      <c r="AB38" t="s">
        <v>2760</v>
      </c>
      <c r="AC38" t="s">
        <v>2761</v>
      </c>
      <c r="AD38" s="249" t="str">
        <f>HYPERLINK("https://scontent.cdninstagram.com/t51.2885-15/s320x320/e35/c0.135.1080.1080/20687876_1817655355231174_7553211774024024064_n.jpg")</f>
        <v>https://scontent.cdninstagram.com/t51.2885-15/s320x320/e35/c0.135.1080.1080/20687876_1817655355231174_7553211774024024064_n.jpg</v>
      </c>
      <c r="AE38" s="249" t="str">
        <f>HYPERLINK("https://scontent.cdninstagram.com/t51.2885-19/s150x150/16908954_1682218745404803_4258970663991115776_a.jpg")</f>
        <v>https://scontent.cdninstagram.com/t51.2885-19/s150x150/16908954_1682218745404803_4258970663991115776_a.jpg</v>
      </c>
    </row>
    <row r="39" spans="1:31" ht="15" x14ac:dyDescent="0.25">
      <c r="A39" t="s">
        <v>2474</v>
      </c>
      <c r="B39" t="s">
        <v>2762</v>
      </c>
      <c r="C39" s="221">
        <v>42958.292870370373</v>
      </c>
      <c r="D39" t="s">
        <v>2763</v>
      </c>
      <c r="E39" s="249" t="str">
        <f>HYPERLINK("https://www.instagram.com/p/BXpq3VkgOpE/")</f>
        <v>https://www.instagram.com/p/BXpq3VkgOpE/</v>
      </c>
      <c r="F39" t="s">
        <v>2764</v>
      </c>
      <c r="G39" t="s">
        <v>2478</v>
      </c>
      <c r="H39">
        <v>352</v>
      </c>
      <c r="I39" t="s">
        <v>2479</v>
      </c>
      <c r="J39">
        <v>1</v>
      </c>
      <c r="K39">
        <v>68</v>
      </c>
      <c r="L39">
        <v>69</v>
      </c>
      <c r="Q39">
        <v>0</v>
      </c>
      <c r="R39">
        <v>0</v>
      </c>
      <c r="S39">
        <v>69</v>
      </c>
      <c r="T39" t="s">
        <v>2765</v>
      </c>
      <c r="V39" t="s">
        <v>2648</v>
      </c>
      <c r="W39">
        <v>55.635800000000003</v>
      </c>
      <c r="X39">
        <v>37.2072</v>
      </c>
      <c r="Y39" t="s">
        <v>2766</v>
      </c>
      <c r="Z39" t="s">
        <v>2497</v>
      </c>
      <c r="AA39" t="s">
        <v>2767</v>
      </c>
      <c r="AB39" t="s">
        <v>2768</v>
      </c>
      <c r="AC39" t="s">
        <v>2769</v>
      </c>
      <c r="AD39" s="249" t="str">
        <f>HYPERLINK("https://scontent.cdninstagram.com/t51.2885-15/s320x320/e35/c0.135.1080.1080/20686586_111736716165018_1208492531671629824_n.jpg")</f>
        <v>https://scontent.cdninstagram.com/t51.2885-15/s320x320/e35/c0.135.1080.1080/20686586_111736716165018_1208492531671629824_n.jpg</v>
      </c>
      <c r="AE39" s="249" t="str">
        <f>HYPERLINK("https://scontent.cdninstagram.com/t51.2885-19/s150x150/20837615_1968090080069514_5329722404774084608_a.jpg")</f>
        <v>https://scontent.cdninstagram.com/t51.2885-19/s150x150/20837615_1968090080069514_5329722404774084608_a.jpg</v>
      </c>
    </row>
    <row r="40" spans="1:31" ht="15" x14ac:dyDescent="0.25">
      <c r="A40" t="s">
        <v>2474</v>
      </c>
      <c r="B40" t="s">
        <v>2770</v>
      </c>
      <c r="C40" s="221">
        <v>42958.300451388888</v>
      </c>
      <c r="D40" t="s">
        <v>2771</v>
      </c>
      <c r="E40" s="249" t="str">
        <f>HYPERLINK("https://www.instagram.com/p/BXpsHRDFYYI/")</f>
        <v>https://www.instagram.com/p/BXpsHRDFYYI/</v>
      </c>
      <c r="F40" t="s">
        <v>2772</v>
      </c>
      <c r="G40" t="s">
        <v>2478</v>
      </c>
      <c r="H40">
        <v>690</v>
      </c>
      <c r="I40" t="s">
        <v>2479</v>
      </c>
      <c r="J40">
        <v>3</v>
      </c>
      <c r="K40">
        <v>77</v>
      </c>
      <c r="L40">
        <v>80</v>
      </c>
      <c r="Q40">
        <v>0</v>
      </c>
      <c r="R40">
        <v>0</v>
      </c>
      <c r="S40">
        <v>80</v>
      </c>
      <c r="T40" t="s">
        <v>2773</v>
      </c>
      <c r="V40" t="s">
        <v>2153</v>
      </c>
      <c r="W40">
        <v>60.205599999999997</v>
      </c>
      <c r="X40">
        <v>24.6556</v>
      </c>
      <c r="Y40" t="s">
        <v>2774</v>
      </c>
      <c r="Z40" t="s">
        <v>2775</v>
      </c>
      <c r="AA40" t="s">
        <v>2776</v>
      </c>
      <c r="AB40" t="s">
        <v>2777</v>
      </c>
      <c r="AC40" t="s">
        <v>2778</v>
      </c>
      <c r="AD40" s="249" t="str">
        <f>HYPERLINK("https://scontent.cdninstagram.com/t51.2885-15/s320x320/e35/c197.0.686.686/20688319_339685463132562_347793326210023424_n.jpg")</f>
        <v>https://scontent.cdninstagram.com/t51.2885-15/s320x320/e35/c197.0.686.686/20688319_339685463132562_347793326210023424_n.jpg</v>
      </c>
      <c r="AE40" s="249" t="str">
        <f>HYPERLINK("https://scontent.cdninstagram.com/t51.2885-19/s150x150/19622733_583327332054856_5436826910472536064_a.jpg")</f>
        <v>https://scontent.cdninstagram.com/t51.2885-19/s150x150/19622733_583327332054856_5436826910472536064_a.jpg</v>
      </c>
    </row>
    <row r="41" spans="1:31" ht="15" x14ac:dyDescent="0.25">
      <c r="A41" t="s">
        <v>2474</v>
      </c>
      <c r="B41" t="s">
        <v>2779</v>
      </c>
      <c r="C41" s="221">
        <v>42958.333969907406</v>
      </c>
      <c r="D41" t="s">
        <v>2780</v>
      </c>
      <c r="E41" s="249" t="str">
        <f>HYPERLINK("https://www.instagram.com/p/BXpxo3Sjgdl/")</f>
        <v>https://www.instagram.com/p/BXpxo3Sjgdl/</v>
      </c>
      <c r="F41" t="s">
        <v>2781</v>
      </c>
      <c r="G41" t="s">
        <v>2478</v>
      </c>
      <c r="H41">
        <v>497</v>
      </c>
      <c r="I41" t="s">
        <v>2542</v>
      </c>
      <c r="J41">
        <v>0</v>
      </c>
      <c r="K41">
        <v>12</v>
      </c>
      <c r="L41">
        <v>12</v>
      </c>
      <c r="Q41">
        <v>0</v>
      </c>
      <c r="R41">
        <v>0</v>
      </c>
      <c r="S41">
        <v>12</v>
      </c>
      <c r="Y41" t="s">
        <v>2741</v>
      </c>
      <c r="Z41" t="s">
        <v>2782</v>
      </c>
      <c r="AA41" t="s">
        <v>2492</v>
      </c>
      <c r="AB41" t="s">
        <v>2497</v>
      </c>
      <c r="AC41" t="s">
        <v>2660</v>
      </c>
      <c r="AD41" s="249" t="str">
        <f>HYPERLINK("https://scontent.cdninstagram.com/t51.2885-15/s320x320/e35/20759028_2310411489184568_4659239045925175296_n.jpg")</f>
        <v>https://scontent.cdninstagram.com/t51.2885-15/s320x320/e35/20759028_2310411489184568_4659239045925175296_n.jpg</v>
      </c>
      <c r="AE41" s="249" t="str">
        <f>HYPERLINK("https://scontent.cdninstagram.com/t51.2885-19/s150x150/20184360_1247578345364347_252728322511863808_a.jpg")</f>
        <v>https://scontent.cdninstagram.com/t51.2885-19/s150x150/20184360_1247578345364347_252728322511863808_a.jpg</v>
      </c>
    </row>
    <row r="42" spans="1:31" ht="15" x14ac:dyDescent="0.25">
      <c r="A42" t="s">
        <v>2474</v>
      </c>
      <c r="B42" t="s">
        <v>2783</v>
      </c>
      <c r="C42" s="221">
        <v>42958.341412037036</v>
      </c>
      <c r="D42" t="s">
        <v>2784</v>
      </c>
      <c r="E42" s="249" t="str">
        <f>HYPERLINK("https://www.instagram.com/p/BXpy3VKA22t/")</f>
        <v>https://www.instagram.com/p/BXpy3VKA22t/</v>
      </c>
      <c r="F42" t="s">
        <v>2785</v>
      </c>
      <c r="G42" t="s">
        <v>2478</v>
      </c>
      <c r="H42">
        <v>2652</v>
      </c>
      <c r="I42" t="s">
        <v>2786</v>
      </c>
      <c r="J42">
        <v>2</v>
      </c>
      <c r="K42">
        <v>89</v>
      </c>
      <c r="L42">
        <v>91</v>
      </c>
      <c r="Q42">
        <v>0</v>
      </c>
      <c r="R42">
        <v>0</v>
      </c>
      <c r="S42">
        <v>91</v>
      </c>
      <c r="Y42" t="s">
        <v>2787</v>
      </c>
      <c r="Z42" t="s">
        <v>2788</v>
      </c>
      <c r="AA42" t="s">
        <v>2789</v>
      </c>
      <c r="AB42" t="s">
        <v>2497</v>
      </c>
      <c r="AC42" t="s">
        <v>2529</v>
      </c>
      <c r="AD42" s="249" t="str">
        <f>HYPERLINK("https://scontent.cdninstagram.com/t51.2885-15/s320x320/e35/20686749_114307269188106_2370478350008320000_n.jpg")</f>
        <v>https://scontent.cdninstagram.com/t51.2885-15/s320x320/e35/20686749_114307269188106_2370478350008320000_n.jpg</v>
      </c>
      <c r="AE42" s="249" t="str">
        <f>HYPERLINK("https://scontent.cdninstagram.com/t51.2885-19/s150x150/19625062_215951792260929_7938700967334117376_a.jpg")</f>
        <v>https://scontent.cdninstagram.com/t51.2885-19/s150x150/19625062_215951792260929_7938700967334117376_a.jpg</v>
      </c>
    </row>
    <row r="43" spans="1:31" ht="15" x14ac:dyDescent="0.25">
      <c r="A43" t="s">
        <v>2474</v>
      </c>
      <c r="B43" t="s">
        <v>2790</v>
      </c>
      <c r="C43" s="221">
        <v>42958.343969907408</v>
      </c>
      <c r="D43" t="s">
        <v>2791</v>
      </c>
      <c r="E43" s="249" t="str">
        <f>HYPERLINK("https://www.instagram.com/p/BXpzSTXgk2C/")</f>
        <v>https://www.instagram.com/p/BXpzSTXgk2C/</v>
      </c>
      <c r="F43" t="s">
        <v>2792</v>
      </c>
      <c r="G43" t="s">
        <v>2478</v>
      </c>
      <c r="H43">
        <v>1672</v>
      </c>
      <c r="I43" t="s">
        <v>2479</v>
      </c>
      <c r="J43">
        <v>0</v>
      </c>
      <c r="K43">
        <v>166</v>
      </c>
      <c r="L43">
        <v>166</v>
      </c>
      <c r="Q43">
        <v>0</v>
      </c>
      <c r="R43">
        <v>0</v>
      </c>
      <c r="S43">
        <v>166</v>
      </c>
      <c r="T43" t="s">
        <v>2793</v>
      </c>
      <c r="V43" t="s">
        <v>2161</v>
      </c>
      <c r="W43">
        <v>51.411861399999999</v>
      </c>
      <c r="X43">
        <v>6.7886901000000002</v>
      </c>
      <c r="Y43" t="s">
        <v>2794</v>
      </c>
      <c r="Z43" t="s">
        <v>2795</v>
      </c>
      <c r="AA43" t="s">
        <v>2796</v>
      </c>
      <c r="AB43" t="s">
        <v>2497</v>
      </c>
      <c r="AC43" t="s">
        <v>2797</v>
      </c>
      <c r="AD43" s="249" t="str">
        <f>HYPERLINK("https://scontent.cdninstagram.com/t51.2885-15/s320x320/e35/c0.28.773.773/20687019_120375625273936_7027914536166359040_n.jpg")</f>
        <v>https://scontent.cdninstagram.com/t51.2885-15/s320x320/e35/c0.28.773.773/20687019_120375625273936_7027914536166359040_n.jpg</v>
      </c>
      <c r="AE43" s="249" t="str">
        <f>HYPERLINK("https://scontent.cdninstagram.com/t51.2885-19/s150x150/1971543_780132415432087_1954634827_a.jpg")</f>
        <v>https://scontent.cdninstagram.com/t51.2885-19/s150x150/1971543_780132415432087_1954634827_a.jpg</v>
      </c>
    </row>
    <row r="44" spans="1:31" ht="15" x14ac:dyDescent="0.25">
      <c r="A44" t="s">
        <v>2474</v>
      </c>
      <c r="B44" t="s">
        <v>2798</v>
      </c>
      <c r="C44" s="221">
        <v>42958.346238425926</v>
      </c>
      <c r="D44" t="s">
        <v>2799</v>
      </c>
      <c r="E44" s="249" t="str">
        <f>HYPERLINK("https://www.instagram.com/p/BXpzqSWF_A3/")</f>
        <v>https://www.instagram.com/p/BXpzqSWF_A3/</v>
      </c>
      <c r="F44" t="s">
        <v>2800</v>
      </c>
      <c r="G44" t="s">
        <v>2478</v>
      </c>
      <c r="H44">
        <v>501</v>
      </c>
      <c r="I44" t="s">
        <v>2582</v>
      </c>
      <c r="J44">
        <v>4</v>
      </c>
      <c r="K44">
        <v>182</v>
      </c>
      <c r="L44">
        <v>186</v>
      </c>
      <c r="Q44">
        <v>0</v>
      </c>
      <c r="R44">
        <v>0</v>
      </c>
      <c r="S44">
        <v>186</v>
      </c>
      <c r="T44" t="s">
        <v>2801</v>
      </c>
      <c r="V44" t="s">
        <v>2103</v>
      </c>
      <c r="W44">
        <v>47.8108</v>
      </c>
      <c r="X44">
        <v>13.353300000000001</v>
      </c>
      <c r="Y44" t="s">
        <v>2802</v>
      </c>
      <c r="Z44" t="s">
        <v>2803</v>
      </c>
      <c r="AA44" t="s">
        <v>2804</v>
      </c>
      <c r="AB44" t="s">
        <v>2805</v>
      </c>
      <c r="AC44" t="s">
        <v>2806</v>
      </c>
      <c r="AD44" s="249" t="str">
        <f>HYPERLINK("https://scontent.cdninstagram.com/t51.2885-15/s320x320/e35/20687823_1903760499882851_5736819222068068352_n.jpg")</f>
        <v>https://scontent.cdninstagram.com/t51.2885-15/s320x320/e35/20687823_1903760499882851_5736819222068068352_n.jpg</v>
      </c>
      <c r="AE44" s="249" t="str">
        <f>HYPERLINK("https://scontent.cdninstagram.com/t51.2885-19/s150x150/13129831_275021346174991_1710736196_a.jpg")</f>
        <v>https://scontent.cdninstagram.com/t51.2885-19/s150x150/13129831_275021346174991_1710736196_a.jpg</v>
      </c>
    </row>
    <row r="45" spans="1:31" ht="15" x14ac:dyDescent="0.25">
      <c r="A45" t="s">
        <v>2474</v>
      </c>
      <c r="B45" t="s">
        <v>2807</v>
      </c>
      <c r="C45" s="221">
        <v>42958.350497685184</v>
      </c>
      <c r="D45" t="s">
        <v>2808</v>
      </c>
      <c r="E45" s="249" t="str">
        <f>HYPERLINK("https://www.instagram.com/p/BXp0XJXDkiT/")</f>
        <v>https://www.instagram.com/p/BXp0XJXDkiT/</v>
      </c>
      <c r="F45" t="s">
        <v>2809</v>
      </c>
      <c r="G45" t="s">
        <v>2478</v>
      </c>
      <c r="H45">
        <v>457</v>
      </c>
      <c r="I45" t="s">
        <v>2479</v>
      </c>
      <c r="J45">
        <v>1</v>
      </c>
      <c r="K45">
        <v>14</v>
      </c>
      <c r="L45">
        <v>15</v>
      </c>
      <c r="Q45">
        <v>0</v>
      </c>
      <c r="R45">
        <v>0</v>
      </c>
      <c r="S45">
        <v>15</v>
      </c>
      <c r="Y45" t="s">
        <v>2810</v>
      </c>
      <c r="Z45" t="s">
        <v>2497</v>
      </c>
      <c r="AA45" t="s">
        <v>2811</v>
      </c>
      <c r="AB45" t="s">
        <v>2812</v>
      </c>
      <c r="AC45" t="s">
        <v>2813</v>
      </c>
      <c r="AD45" s="249" t="str">
        <f>HYPERLINK("https://scontent.cdninstagram.com/t51.2885-15/s320x320/e35/20688284_1365943910202027_6237609363649855488_n.jpg")</f>
        <v>https://scontent.cdninstagram.com/t51.2885-15/s320x320/e35/20688284_1365943910202027_6237609363649855488_n.jpg</v>
      </c>
      <c r="AE45" s="249" t="str">
        <f>HYPERLINK("https://scontent.cdninstagram.com/t51.2885-19/s150x150/18160777_1301354769971829_7153140737247281152_a.jpg")</f>
        <v>https://scontent.cdninstagram.com/t51.2885-19/s150x150/18160777_1301354769971829_7153140737247281152_a.jpg</v>
      </c>
    </row>
    <row r="46" spans="1:31" ht="15" x14ac:dyDescent="0.25">
      <c r="A46" t="s">
        <v>2474</v>
      </c>
      <c r="B46" t="s">
        <v>2814</v>
      </c>
      <c r="C46" s="221">
        <v>42958.358564814815</v>
      </c>
      <c r="D46" t="s">
        <v>2815</v>
      </c>
      <c r="E46" s="249" t="str">
        <f>HYPERLINK("https://www.instagram.com/p/BXp1sMYFgMb/")</f>
        <v>https://www.instagram.com/p/BXp1sMYFgMb/</v>
      </c>
      <c r="F46" t="s">
        <v>2816</v>
      </c>
      <c r="G46" t="s">
        <v>2478</v>
      </c>
      <c r="H46">
        <v>307</v>
      </c>
      <c r="I46" t="s">
        <v>2479</v>
      </c>
      <c r="J46">
        <v>0</v>
      </c>
      <c r="K46">
        <v>47</v>
      </c>
      <c r="L46">
        <v>47</v>
      </c>
      <c r="Q46">
        <v>0</v>
      </c>
      <c r="R46">
        <v>0</v>
      </c>
      <c r="S46">
        <v>47</v>
      </c>
      <c r="T46" t="s">
        <v>2817</v>
      </c>
      <c r="V46" t="s">
        <v>2182</v>
      </c>
      <c r="W46">
        <v>45.867317430718003</v>
      </c>
      <c r="X46">
        <v>8.7748100794934007</v>
      </c>
      <c r="Y46" t="s">
        <v>2818</v>
      </c>
      <c r="Z46" t="s">
        <v>2819</v>
      </c>
      <c r="AA46" t="s">
        <v>2820</v>
      </c>
      <c r="AB46" t="s">
        <v>2821</v>
      </c>
      <c r="AC46" t="s">
        <v>2497</v>
      </c>
      <c r="AD46" s="249" t="str">
        <f>HYPERLINK("https://scontent.cdninstagram.com/t51.2885-15/s320x320/e35/c0.115.924.924/20759678_123285554894424_7589749438768218112_n.jpg")</f>
        <v>https://scontent.cdninstagram.com/t51.2885-15/s320x320/e35/c0.115.924.924/20759678_123285554894424_7589749438768218112_n.jpg</v>
      </c>
      <c r="AE46" s="249" t="str">
        <f>HYPERLINK("https://scontent.cdninstagram.com/t51.2885-19/s150x150/19985154_238317020018764_3125844461788069888_a.jpg")</f>
        <v>https://scontent.cdninstagram.com/t51.2885-19/s150x150/19985154_238317020018764_3125844461788069888_a.jpg</v>
      </c>
    </row>
    <row r="47" spans="1:31" ht="15" x14ac:dyDescent="0.25">
      <c r="A47" t="s">
        <v>2474</v>
      </c>
      <c r="B47" t="s">
        <v>2822</v>
      </c>
      <c r="C47" s="221">
        <v>42958.361493055556</v>
      </c>
      <c r="D47" t="s">
        <v>2823</v>
      </c>
      <c r="E47" s="249" t="str">
        <f>HYPERLINK("https://www.instagram.com/p/BXp2LHbDTjt/")</f>
        <v>https://www.instagram.com/p/BXp2LHbDTjt/</v>
      </c>
      <c r="F47" t="s">
        <v>2824</v>
      </c>
      <c r="G47" t="s">
        <v>2478</v>
      </c>
      <c r="H47">
        <v>20</v>
      </c>
      <c r="I47" t="s">
        <v>2479</v>
      </c>
      <c r="J47">
        <v>0</v>
      </c>
      <c r="K47">
        <v>3</v>
      </c>
      <c r="L47">
        <v>3</v>
      </c>
      <c r="Q47">
        <v>0</v>
      </c>
      <c r="R47">
        <v>0</v>
      </c>
      <c r="S47">
        <v>3</v>
      </c>
      <c r="Y47" t="s">
        <v>2825</v>
      </c>
      <c r="Z47" t="s">
        <v>2822</v>
      </c>
      <c r="AA47" t="s">
        <v>2497</v>
      </c>
      <c r="AB47" t="s">
        <v>2826</v>
      </c>
      <c r="AC47" t="s">
        <v>2827</v>
      </c>
      <c r="AD47" s="249" t="str">
        <f>HYPERLINK("https://scontent.cdninstagram.com/t51.2885-15/s320x320/e35/20759493_1775440199139909_2848694117712527360_n.jpg")</f>
        <v>https://scontent.cdninstagram.com/t51.2885-15/s320x320/e35/20759493_1775440199139909_2848694117712527360_n.jpg</v>
      </c>
      <c r="AE47" s="249" t="str">
        <f>HYPERLINK("https://scontent.cdninstagram.com/t51.2885-19/s150x150/20225717_109265579737101_6087211278370078720_a.jpg")</f>
        <v>https://scontent.cdninstagram.com/t51.2885-19/s150x150/20225717_109265579737101_6087211278370078720_a.jpg</v>
      </c>
    </row>
    <row r="48" spans="1:31" ht="15" x14ac:dyDescent="0.25">
      <c r="A48" t="s">
        <v>2474</v>
      </c>
      <c r="B48" t="s">
        <v>2828</v>
      </c>
      <c r="C48" s="221">
        <v>42958.361956018518</v>
      </c>
      <c r="D48" t="s">
        <v>2829</v>
      </c>
      <c r="E48" s="249" t="str">
        <f>HYPERLINK("https://www.instagram.com/p/BXp2P9gB3SL/")</f>
        <v>https://www.instagram.com/p/BXp2P9gB3SL/</v>
      </c>
      <c r="F48" t="s">
        <v>2830</v>
      </c>
      <c r="G48" t="s">
        <v>2488</v>
      </c>
      <c r="H48">
        <v>233</v>
      </c>
      <c r="I48" t="s">
        <v>2479</v>
      </c>
      <c r="J48">
        <v>5</v>
      </c>
      <c r="K48">
        <v>17</v>
      </c>
      <c r="L48">
        <v>22</v>
      </c>
      <c r="Q48">
        <v>0</v>
      </c>
      <c r="R48">
        <v>0</v>
      </c>
      <c r="S48">
        <v>22</v>
      </c>
      <c r="Y48" t="s">
        <v>2831</v>
      </c>
      <c r="Z48" t="s">
        <v>2832</v>
      </c>
      <c r="AA48" t="s">
        <v>2833</v>
      </c>
      <c r="AB48" t="s">
        <v>2834</v>
      </c>
      <c r="AC48" t="s">
        <v>2730</v>
      </c>
      <c r="AD48" s="249" t="str">
        <f>HYPERLINK("https://scontent.cdninstagram.com/t51.2885-15/s320x320/e35/20766320_2002613833355635_7122389785020203008_n.jpg")</f>
        <v>https://scontent.cdninstagram.com/t51.2885-15/s320x320/e35/20766320_2002613833355635_7122389785020203008_n.jpg</v>
      </c>
      <c r="AE48" s="249" t="str">
        <f>HYPERLINK("https://scontent.cdninstagram.com/t51.2885-19/s150x150/17438485_193598057800243_3944914430445223936_a.jpg")</f>
        <v>https://scontent.cdninstagram.com/t51.2885-19/s150x150/17438485_193598057800243_3944914430445223936_a.jpg</v>
      </c>
    </row>
    <row r="49" spans="1:31" ht="15" x14ac:dyDescent="0.25">
      <c r="A49" t="s">
        <v>2474</v>
      </c>
      <c r="B49" t="s">
        <v>2588</v>
      </c>
      <c r="C49" s="221">
        <v>42958.370451388888</v>
      </c>
      <c r="D49" t="s">
        <v>2835</v>
      </c>
      <c r="E49" s="249" t="str">
        <f>HYPERLINK("https://www.instagram.com/p/BXp3pkVguKG/")</f>
        <v>https://www.instagram.com/p/BXp3pkVguKG/</v>
      </c>
      <c r="F49" t="s">
        <v>2836</v>
      </c>
      <c r="G49" t="s">
        <v>2478</v>
      </c>
      <c r="H49">
        <v>229</v>
      </c>
      <c r="I49" t="s">
        <v>2479</v>
      </c>
      <c r="J49">
        <v>3</v>
      </c>
      <c r="K49">
        <v>20</v>
      </c>
      <c r="L49">
        <v>23</v>
      </c>
      <c r="Q49">
        <v>0</v>
      </c>
      <c r="R49">
        <v>0</v>
      </c>
      <c r="S49">
        <v>23</v>
      </c>
      <c r="Y49" t="s">
        <v>2592</v>
      </c>
      <c r="Z49" t="s">
        <v>2837</v>
      </c>
      <c r="AA49" t="s">
        <v>2730</v>
      </c>
      <c r="AB49" t="s">
        <v>2497</v>
      </c>
      <c r="AC49" t="s">
        <v>2838</v>
      </c>
      <c r="AD49" s="249" t="str">
        <f>HYPERLINK("https://scontent.cdninstagram.com/t51.2885-15/s320x320/e35/c0.100.798.798/20688602_810904949071729_3392378114859335680_n.jpg")</f>
        <v>https://scontent.cdninstagram.com/t51.2885-15/s320x320/e35/c0.100.798.798/20688602_810904949071729_3392378114859335680_n.jpg</v>
      </c>
      <c r="AE49" s="249" t="str">
        <f>HYPERLINK("https://scontent.cdninstagram.com/t51.2885-19/s150x150/20633561_108840983138666_5897549723056734208_a.jpg")</f>
        <v>https://scontent.cdninstagram.com/t51.2885-19/s150x150/20633561_108840983138666_5897549723056734208_a.jpg</v>
      </c>
    </row>
    <row r="50" spans="1:31" ht="15" x14ac:dyDescent="0.25">
      <c r="A50" t="s">
        <v>2474</v>
      </c>
      <c r="B50" t="s">
        <v>2839</v>
      </c>
      <c r="C50" s="221">
        <v>42958.370787037034</v>
      </c>
      <c r="D50" t="s">
        <v>2840</v>
      </c>
      <c r="E50" s="249" t="str">
        <f>HYPERLINK("https://www.instagram.com/p/BXp3tK5lkLn/")</f>
        <v>https://www.instagram.com/p/BXp3tK5lkLn/</v>
      </c>
      <c r="F50" t="s">
        <v>2841</v>
      </c>
      <c r="G50" t="s">
        <v>2478</v>
      </c>
      <c r="H50">
        <v>180</v>
      </c>
      <c r="I50" t="s">
        <v>2542</v>
      </c>
      <c r="J50">
        <v>0</v>
      </c>
      <c r="K50">
        <v>12</v>
      </c>
      <c r="L50">
        <v>12</v>
      </c>
      <c r="Q50">
        <v>0</v>
      </c>
      <c r="R50">
        <v>0</v>
      </c>
      <c r="S50">
        <v>12</v>
      </c>
      <c r="T50" t="s">
        <v>2842</v>
      </c>
      <c r="V50" t="s">
        <v>2099</v>
      </c>
      <c r="W50">
        <v>-41.132534700000001</v>
      </c>
      <c r="X50">
        <v>-71.300017400000002</v>
      </c>
      <c r="Y50" t="s">
        <v>2843</v>
      </c>
      <c r="Z50" t="s">
        <v>2497</v>
      </c>
      <c r="AA50" t="s">
        <v>2844</v>
      </c>
      <c r="AB50" t="s">
        <v>2845</v>
      </c>
      <c r="AC50" t="s">
        <v>2846</v>
      </c>
      <c r="AD50" s="249" t="str">
        <f>HYPERLINK("https://scontent.cdninstagram.com/t51.2885-15/s320x320/e35/c0.63.500.500/20686800_195939447610585_3435497447617462272_n.jpg")</f>
        <v>https://scontent.cdninstagram.com/t51.2885-15/s320x320/e35/c0.63.500.500/20686800_195939447610585_3435497447617462272_n.jpg</v>
      </c>
      <c r="AE50" s="249" t="str">
        <f>HYPERLINK("https://scontent.cdninstagram.com/t51.2885-19/s150x150/18382394_241897372953839_1394436217264668672_a.jpg")</f>
        <v>https://scontent.cdninstagram.com/t51.2885-19/s150x150/18382394_241897372953839_1394436217264668672_a.jpg</v>
      </c>
    </row>
    <row r="51" spans="1:31" ht="15" x14ac:dyDescent="0.25">
      <c r="A51" t="s">
        <v>2474</v>
      </c>
      <c r="B51" t="s">
        <v>2847</v>
      </c>
      <c r="C51" s="221">
        <v>42958.377349537041</v>
      </c>
      <c r="D51" t="s">
        <v>2848</v>
      </c>
      <c r="E51" s="249" t="str">
        <f>HYPERLINK("https://www.instagram.com/p/BXp4yXKhOmz/")</f>
        <v>https://www.instagram.com/p/BXp4yXKhOmz/</v>
      </c>
      <c r="F51" t="s">
        <v>2849</v>
      </c>
      <c r="G51" t="s">
        <v>2478</v>
      </c>
      <c r="H51">
        <v>329</v>
      </c>
      <c r="I51" t="s">
        <v>2850</v>
      </c>
      <c r="J51">
        <v>0</v>
      </c>
      <c r="K51">
        <v>62</v>
      </c>
      <c r="L51">
        <v>62</v>
      </c>
      <c r="Q51">
        <v>0</v>
      </c>
      <c r="R51">
        <v>0</v>
      </c>
      <c r="S51">
        <v>62</v>
      </c>
      <c r="T51" t="s">
        <v>2851</v>
      </c>
      <c r="V51" t="s">
        <v>2103</v>
      </c>
      <c r="W51">
        <v>46.953099999999999</v>
      </c>
      <c r="X51">
        <v>13.9292</v>
      </c>
      <c r="Y51" t="s">
        <v>2852</v>
      </c>
      <c r="Z51" t="s">
        <v>2497</v>
      </c>
      <c r="AA51" t="s">
        <v>2853</v>
      </c>
      <c r="AB51" t="s">
        <v>2854</v>
      </c>
      <c r="AC51" t="s">
        <v>2855</v>
      </c>
      <c r="AD51" s="249" t="str">
        <f>HYPERLINK("https://scontent.cdninstagram.com/t51.2885-15/s320x320/e35/c0.93.747.747/20687382_675154389355660_9117146917120245760_n.jpg")</f>
        <v>https://scontent.cdninstagram.com/t51.2885-15/s320x320/e35/c0.93.747.747/20687382_675154389355660_9117146917120245760_n.jpg</v>
      </c>
      <c r="AE51" s="249" t="str">
        <f>HYPERLINK("https://scontent.cdninstagram.com/t51.2885-19/s150x150/16789148_290739271343383_4585453406155440128_a.jpg")</f>
        <v>https://scontent.cdninstagram.com/t51.2885-19/s150x150/16789148_290739271343383_4585453406155440128_a.jpg</v>
      </c>
    </row>
    <row r="52" spans="1:31" ht="15" x14ac:dyDescent="0.25">
      <c r="A52" t="s">
        <v>2474</v>
      </c>
      <c r="B52" t="s">
        <v>2856</v>
      </c>
      <c r="C52" s="221">
        <v>42958.38</v>
      </c>
      <c r="D52" t="s">
        <v>2857</v>
      </c>
      <c r="E52" s="249" t="str">
        <f>HYPERLINK("https://www.instagram.com/p/BXp5OSvlMvL/")</f>
        <v>https://www.instagram.com/p/BXp5OSvlMvL/</v>
      </c>
      <c r="F52" t="s">
        <v>2858</v>
      </c>
      <c r="G52" t="s">
        <v>2478</v>
      </c>
      <c r="H52">
        <v>306</v>
      </c>
      <c r="I52" t="s">
        <v>2599</v>
      </c>
      <c r="J52">
        <v>1</v>
      </c>
      <c r="K52">
        <v>16</v>
      </c>
      <c r="L52">
        <v>17</v>
      </c>
      <c r="Q52">
        <v>0</v>
      </c>
      <c r="R52">
        <v>0</v>
      </c>
      <c r="S52">
        <v>17</v>
      </c>
      <c r="Y52" t="s">
        <v>2859</v>
      </c>
      <c r="Z52" t="s">
        <v>2860</v>
      </c>
      <c r="AA52" t="s">
        <v>2861</v>
      </c>
      <c r="AB52" t="s">
        <v>2497</v>
      </c>
      <c r="AC52" t="s">
        <v>2862</v>
      </c>
      <c r="AD52" s="249" t="str">
        <f>HYPERLINK("https://scontent.cdninstagram.com/t51.2885-15/s320x320/e35/20766814_1929402393998365_5917797371416150016_n.jpg")</f>
        <v>https://scontent.cdninstagram.com/t51.2885-15/s320x320/e35/20766814_1929402393998365_5917797371416150016_n.jpg</v>
      </c>
      <c r="AE52" s="249" t="str">
        <f>HYPERLINK("https://scontent.cdninstagram.com/t51.2885-19/s150x150/20065705_1706576016312315_6418665848906448896_a.jpg")</f>
        <v>https://scontent.cdninstagram.com/t51.2885-19/s150x150/20065705_1706576016312315_6418665848906448896_a.jpg</v>
      </c>
    </row>
    <row r="53" spans="1:31" ht="15" x14ac:dyDescent="0.25">
      <c r="A53" t="s">
        <v>2474</v>
      </c>
      <c r="B53" t="s">
        <v>2863</v>
      </c>
      <c r="C53" s="221">
        <v>42958.3830787037</v>
      </c>
      <c r="D53" t="s">
        <v>2864</v>
      </c>
      <c r="E53" s="249" t="str">
        <f>HYPERLINK("https://www.instagram.com/p/BXp5uyPlm-a/")</f>
        <v>https://www.instagram.com/p/BXp5uyPlm-a/</v>
      </c>
      <c r="F53" t="s">
        <v>2865</v>
      </c>
      <c r="G53" t="s">
        <v>2478</v>
      </c>
      <c r="H53">
        <v>61</v>
      </c>
      <c r="I53" t="s">
        <v>2599</v>
      </c>
      <c r="J53">
        <v>0</v>
      </c>
      <c r="K53">
        <v>35</v>
      </c>
      <c r="L53">
        <v>35</v>
      </c>
      <c r="Q53">
        <v>0</v>
      </c>
      <c r="R53">
        <v>0</v>
      </c>
      <c r="S53">
        <v>35</v>
      </c>
      <c r="Y53" t="s">
        <v>2866</v>
      </c>
      <c r="Z53" t="s">
        <v>2867</v>
      </c>
      <c r="AA53" t="s">
        <v>2497</v>
      </c>
      <c r="AB53" t="s">
        <v>2868</v>
      </c>
      <c r="AC53" t="s">
        <v>2869</v>
      </c>
      <c r="AD53" s="249" t="str">
        <f>HYPERLINK("https://scontent.cdninstagram.com/t51.2885-15/s320x320/e35/20688092_216757578855195_7557982988768641024_n.jpg")</f>
        <v>https://scontent.cdninstagram.com/t51.2885-15/s320x320/e35/20688092_216757578855195_7557982988768641024_n.jpg</v>
      </c>
      <c r="AE53" s="249" t="str">
        <f>HYPERLINK("https://scontent.cdninstagram.com/t51.2885-19/s150x150/19955745_1435072766568917_8173761520967090176_a.jpg")</f>
        <v>https://scontent.cdninstagram.com/t51.2885-19/s150x150/19955745_1435072766568917_8173761520967090176_a.jpg</v>
      </c>
    </row>
    <row r="54" spans="1:31" ht="15" x14ac:dyDescent="0.25">
      <c r="A54" t="s">
        <v>2474</v>
      </c>
      <c r="B54" t="s">
        <v>2870</v>
      </c>
      <c r="C54" s="221">
        <v>42958.385405092595</v>
      </c>
      <c r="D54" t="s">
        <v>2871</v>
      </c>
      <c r="E54" s="249" t="str">
        <f>HYPERLINK("https://www.instagram.com/p/BXp6HRhHNMX/")</f>
        <v>https://www.instagram.com/p/BXp6HRhHNMX/</v>
      </c>
      <c r="F54" t="s">
        <v>2872</v>
      </c>
      <c r="G54" t="s">
        <v>2478</v>
      </c>
      <c r="H54">
        <v>115</v>
      </c>
      <c r="I54" t="s">
        <v>2479</v>
      </c>
      <c r="J54">
        <v>0</v>
      </c>
      <c r="K54">
        <v>10</v>
      </c>
      <c r="L54">
        <v>10</v>
      </c>
      <c r="Q54">
        <v>0</v>
      </c>
      <c r="R54">
        <v>0</v>
      </c>
      <c r="S54">
        <v>10</v>
      </c>
      <c r="Y54" t="s">
        <v>2497</v>
      </c>
      <c r="AD54" s="249" t="str">
        <f>HYPERLINK("https://scontent.cdninstagram.com/t51.2885-15/s320x320/e15/c46.0.988.988/20687074_280362969112177_6546564666401751040_n.jpg")</f>
        <v>https://scontent.cdninstagram.com/t51.2885-15/s320x320/e15/c46.0.988.988/20687074_280362969112177_6546564666401751040_n.jpg</v>
      </c>
      <c r="AE54" s="249" t="str">
        <f>HYPERLINK("https://scontent.cdninstagram.com/t51.2885-19/s150x150/18722364_130572980845865_2852989737843556352_a.jpg")</f>
        <v>https://scontent.cdninstagram.com/t51.2885-19/s150x150/18722364_130572980845865_2852989737843556352_a.jpg</v>
      </c>
    </row>
    <row r="55" spans="1:31" ht="15" x14ac:dyDescent="0.25">
      <c r="A55" t="s">
        <v>2474</v>
      </c>
      <c r="B55" t="s">
        <v>2873</v>
      </c>
      <c r="C55" s="221">
        <v>42958.389143518521</v>
      </c>
      <c r="D55" t="s">
        <v>2874</v>
      </c>
      <c r="E55" s="249" t="str">
        <f>HYPERLINK("https://www.instagram.com/p/BXp6uzqF80g/")</f>
        <v>https://www.instagram.com/p/BXp6uzqF80g/</v>
      </c>
      <c r="F55" t="s">
        <v>2875</v>
      </c>
      <c r="G55" t="s">
        <v>2478</v>
      </c>
      <c r="H55">
        <v>2482</v>
      </c>
      <c r="I55" t="s">
        <v>2542</v>
      </c>
      <c r="J55">
        <v>1</v>
      </c>
      <c r="K55">
        <v>107</v>
      </c>
      <c r="L55">
        <v>108</v>
      </c>
      <c r="Q55">
        <v>0</v>
      </c>
      <c r="R55">
        <v>0</v>
      </c>
      <c r="S55">
        <v>108</v>
      </c>
      <c r="Y55" t="s">
        <v>2876</v>
      </c>
      <c r="Z55" t="s">
        <v>2877</v>
      </c>
      <c r="AA55" t="s">
        <v>2878</v>
      </c>
      <c r="AB55" t="s">
        <v>2657</v>
      </c>
      <c r="AC55" t="s">
        <v>2879</v>
      </c>
      <c r="AD55" s="249" t="str">
        <f>HYPERLINK("https://scontent.cdninstagram.com/t51.2885-15/s320x320/e35/20837295_1434935586543151_8969739202820308992_n.jpg")</f>
        <v>https://scontent.cdninstagram.com/t51.2885-15/s320x320/e35/20837295_1434935586543151_8969739202820308992_n.jpg</v>
      </c>
      <c r="AE55" s="249" t="str">
        <f>HYPERLINK("https://scontent.cdninstagram.com/t51.2885-19/s150x150/14723181_1238199739572953_5424221452041715712_n.jpg")</f>
        <v>https://scontent.cdninstagram.com/t51.2885-19/s150x150/14723181_1238199739572953_5424221452041715712_n.jpg</v>
      </c>
    </row>
    <row r="56" spans="1:31" ht="15" x14ac:dyDescent="0.25">
      <c r="A56" t="s">
        <v>2474</v>
      </c>
      <c r="B56" t="s">
        <v>2880</v>
      </c>
      <c r="C56" s="221">
        <v>42958.413541666669</v>
      </c>
      <c r="D56" t="s">
        <v>2881</v>
      </c>
      <c r="E56" s="249" t="str">
        <f>HYPERLINK("https://www.instagram.com/p/BXp-wG7F80B/")</f>
        <v>https://www.instagram.com/p/BXp-wG7F80B/</v>
      </c>
      <c r="F56" t="s">
        <v>2882</v>
      </c>
      <c r="G56" t="s">
        <v>2478</v>
      </c>
      <c r="H56">
        <v>53</v>
      </c>
      <c r="I56" t="s">
        <v>2542</v>
      </c>
      <c r="J56">
        <v>0</v>
      </c>
      <c r="K56">
        <v>4</v>
      </c>
      <c r="L56">
        <v>4</v>
      </c>
      <c r="Q56">
        <v>0</v>
      </c>
      <c r="R56">
        <v>0</v>
      </c>
      <c r="S56">
        <v>4</v>
      </c>
      <c r="Y56" t="s">
        <v>2883</v>
      </c>
      <c r="Z56" t="s">
        <v>2884</v>
      </c>
      <c r="AA56" t="s">
        <v>2497</v>
      </c>
      <c r="AB56" t="s">
        <v>2885</v>
      </c>
      <c r="AC56" t="s">
        <v>2886</v>
      </c>
      <c r="AD56" s="249" t="str">
        <f>HYPERLINK("https://scontent.cdninstagram.com/t51.2885-15/e35/c0.28.320.320/20766098_1864507613867702_2076354771920355328_n.jpg")</f>
        <v>https://scontent.cdninstagram.com/t51.2885-15/e35/c0.28.320.320/20766098_1864507613867702_2076354771920355328_n.jpg</v>
      </c>
      <c r="AE56" s="249" t="str">
        <f>HYPERLINK("https://scontent.cdninstagram.com/t51.2885-19/s150x150/17125632_1638855869755744_1682457222350635008_a.jpg")</f>
        <v>https://scontent.cdninstagram.com/t51.2885-19/s150x150/17125632_1638855869755744_1682457222350635008_a.jpg</v>
      </c>
    </row>
    <row r="57" spans="1:31" ht="15" x14ac:dyDescent="0.25">
      <c r="A57" t="s">
        <v>2474</v>
      </c>
      <c r="B57" t="s">
        <v>2863</v>
      </c>
      <c r="C57" s="221">
        <v>42958.419212962966</v>
      </c>
      <c r="D57" t="s">
        <v>2887</v>
      </c>
      <c r="E57" s="249" t="str">
        <f>HYPERLINK("https://www.instagram.com/p/BXp_r8OFb4I/")</f>
        <v>https://www.instagram.com/p/BXp_r8OFb4I/</v>
      </c>
      <c r="F57" t="s">
        <v>2888</v>
      </c>
      <c r="G57" t="s">
        <v>2478</v>
      </c>
      <c r="H57">
        <v>61</v>
      </c>
      <c r="I57" t="s">
        <v>2542</v>
      </c>
      <c r="J57">
        <v>0</v>
      </c>
      <c r="K57">
        <v>17</v>
      </c>
      <c r="L57">
        <v>17</v>
      </c>
      <c r="Q57">
        <v>0</v>
      </c>
      <c r="R57">
        <v>0</v>
      </c>
      <c r="S57">
        <v>17</v>
      </c>
      <c r="Y57" t="s">
        <v>2889</v>
      </c>
      <c r="Z57" t="s">
        <v>2890</v>
      </c>
      <c r="AA57" t="s">
        <v>2497</v>
      </c>
      <c r="AB57" t="s">
        <v>2891</v>
      </c>
      <c r="AC57" t="s">
        <v>2892</v>
      </c>
      <c r="AD57" s="249" t="str">
        <f>HYPERLINK("https://scontent.cdninstagram.com/t51.2885-15/s320x320/e35/20766040_140960936497936_8666935409927782400_n.jpg")</f>
        <v>https://scontent.cdninstagram.com/t51.2885-15/s320x320/e35/20766040_140960936497936_8666935409927782400_n.jpg</v>
      </c>
      <c r="AE57" s="249" t="str">
        <f>HYPERLINK("https://scontent.cdninstagram.com/t51.2885-19/s150x150/19955745_1435072766568917_8173761520967090176_a.jpg")</f>
        <v>https://scontent.cdninstagram.com/t51.2885-19/s150x150/19955745_1435072766568917_8173761520967090176_a.jpg</v>
      </c>
    </row>
    <row r="58" spans="1:31" ht="15" x14ac:dyDescent="0.25">
      <c r="A58" t="s">
        <v>2474</v>
      </c>
      <c r="B58" t="s">
        <v>2893</v>
      </c>
      <c r="C58" s="221">
        <v>42958.419814814813</v>
      </c>
      <c r="D58" t="s">
        <v>2894</v>
      </c>
      <c r="E58" s="249" t="str">
        <f>HYPERLINK("https://www.instagram.com/p/BXp_yOhlc9B/")</f>
        <v>https://www.instagram.com/p/BXp_yOhlc9B/</v>
      </c>
      <c r="F58" t="s">
        <v>2895</v>
      </c>
      <c r="G58" t="s">
        <v>2478</v>
      </c>
      <c r="H58">
        <v>378</v>
      </c>
      <c r="I58" t="s">
        <v>2896</v>
      </c>
      <c r="J58">
        <v>3</v>
      </c>
      <c r="K58">
        <v>60</v>
      </c>
      <c r="L58">
        <v>63</v>
      </c>
      <c r="Q58">
        <v>0</v>
      </c>
      <c r="R58">
        <v>0</v>
      </c>
      <c r="S58">
        <v>63</v>
      </c>
      <c r="Y58" t="s">
        <v>2832</v>
      </c>
      <c r="Z58" t="s">
        <v>2897</v>
      </c>
      <c r="AA58" t="s">
        <v>2898</v>
      </c>
      <c r="AB58" t="s">
        <v>2899</v>
      </c>
      <c r="AC58" t="s">
        <v>2497</v>
      </c>
      <c r="AD58" s="249" t="str">
        <f>HYPERLINK("https://scontent.cdninstagram.com/t51.2885-15/s320x320/e35/c0.120.960.960/20766366_747301268788480_8005102957026607104_n.jpg")</f>
        <v>https://scontent.cdninstagram.com/t51.2885-15/s320x320/e35/c0.120.960.960/20766366_747301268788480_8005102957026607104_n.jpg</v>
      </c>
      <c r="AE58" s="249" t="str">
        <f>HYPERLINK("https://scontent.cdninstagram.com/t51.2885-19/s150x150/19429073_1950629931886296_372749186438791168_a.jpg")</f>
        <v>https://scontent.cdninstagram.com/t51.2885-19/s150x150/19429073_1950629931886296_372749186438791168_a.jpg</v>
      </c>
    </row>
    <row r="59" spans="1:31" ht="15" x14ac:dyDescent="0.25">
      <c r="A59" t="s">
        <v>2474</v>
      </c>
      <c r="B59" t="s">
        <v>2900</v>
      </c>
      <c r="C59" s="221">
        <v>42958.42019675926</v>
      </c>
      <c r="D59" t="s">
        <v>2901</v>
      </c>
      <c r="E59" s="249" t="str">
        <f>HYPERLINK("https://www.instagram.com/p/BXp_2TAj38m/")</f>
        <v>https://www.instagram.com/p/BXp_2TAj38m/</v>
      </c>
      <c r="F59" t="s">
        <v>2902</v>
      </c>
      <c r="G59" t="s">
        <v>2478</v>
      </c>
      <c r="H59">
        <v>180</v>
      </c>
      <c r="I59" t="s">
        <v>2903</v>
      </c>
      <c r="J59">
        <v>0</v>
      </c>
      <c r="K59">
        <v>14</v>
      </c>
      <c r="L59">
        <v>14</v>
      </c>
      <c r="Q59">
        <v>0</v>
      </c>
      <c r="R59">
        <v>0</v>
      </c>
      <c r="S59">
        <v>14</v>
      </c>
      <c r="Y59" t="s">
        <v>2497</v>
      </c>
      <c r="Z59" t="s">
        <v>2904</v>
      </c>
      <c r="AA59" t="s">
        <v>2513</v>
      </c>
      <c r="AB59" t="s">
        <v>2905</v>
      </c>
      <c r="AC59" t="s">
        <v>2906</v>
      </c>
      <c r="AD59" s="249" t="str">
        <f>HYPERLINK("https://scontent.cdninstagram.com/t51.2885-15/s320x320/e35/20759938_1922321531360185_3749999095041753088_n.jpg")</f>
        <v>https://scontent.cdninstagram.com/t51.2885-15/s320x320/e35/20759938_1922321531360185_3749999095041753088_n.jpg</v>
      </c>
      <c r="AE59" s="249" t="str">
        <f>HYPERLINK("https://scontent.cdninstagram.com/t51.2885-19/s150x150/19984332_1719191418385715_185324789395619840_a.jpg")</f>
        <v>https://scontent.cdninstagram.com/t51.2885-19/s150x150/19984332_1719191418385715_185324789395619840_a.jpg</v>
      </c>
    </row>
    <row r="60" spans="1:31" ht="15" x14ac:dyDescent="0.25">
      <c r="A60" t="s">
        <v>2474</v>
      </c>
      <c r="B60" t="s">
        <v>2907</v>
      </c>
      <c r="C60" s="221">
        <v>42958.42596064815</v>
      </c>
      <c r="D60" t="s">
        <v>2908</v>
      </c>
      <c r="E60" s="249" t="str">
        <f>HYPERLINK("https://www.instagram.com/p/BXqAzGcApwY/")</f>
        <v>https://www.instagram.com/p/BXqAzGcApwY/</v>
      </c>
      <c r="F60" t="s">
        <v>2909</v>
      </c>
      <c r="G60" t="s">
        <v>2478</v>
      </c>
      <c r="H60">
        <v>72</v>
      </c>
      <c r="I60" t="s">
        <v>2910</v>
      </c>
      <c r="J60">
        <v>1</v>
      </c>
      <c r="K60">
        <v>17</v>
      </c>
      <c r="L60">
        <v>18</v>
      </c>
      <c r="Q60">
        <v>0</v>
      </c>
      <c r="R60">
        <v>0</v>
      </c>
      <c r="S60">
        <v>18</v>
      </c>
      <c r="Y60" t="s">
        <v>2911</v>
      </c>
      <c r="Z60" t="s">
        <v>2912</v>
      </c>
      <c r="AA60" t="s">
        <v>2492</v>
      </c>
      <c r="AB60" t="s">
        <v>2497</v>
      </c>
      <c r="AC60" t="s">
        <v>2913</v>
      </c>
      <c r="AD60" s="249" t="str">
        <f>HYPERLINK("https://scontent.cdninstagram.com/t51.2885-15/s320x320/e35/20688304_135071970427449_8910195992431689728_n.jpg")</f>
        <v>https://scontent.cdninstagram.com/t51.2885-15/s320x320/e35/20688304_135071970427449_8910195992431689728_n.jpg</v>
      </c>
      <c r="AE60" s="249" t="str">
        <f>HYPERLINK("https://scontent.cdninstagram.com/t51.2885-19/s150x150/12357630_513986308780959_401409989_a.jpg")</f>
        <v>https://scontent.cdninstagram.com/t51.2885-19/s150x150/12357630_513986308780959_401409989_a.jpg</v>
      </c>
    </row>
    <row r="61" spans="1:31" ht="15" x14ac:dyDescent="0.25">
      <c r="A61" t="s">
        <v>2474</v>
      </c>
      <c r="B61" t="s">
        <v>2914</v>
      </c>
      <c r="C61" s="221">
        <v>42958.427546296298</v>
      </c>
      <c r="D61" t="s">
        <v>2915</v>
      </c>
      <c r="E61" s="249" t="str">
        <f>HYPERLINK("https://www.instagram.com/p/BXqBDzWh1IE/")</f>
        <v>https://www.instagram.com/p/BXqBDzWh1IE/</v>
      </c>
      <c r="F61" t="s">
        <v>2916</v>
      </c>
      <c r="G61" t="s">
        <v>2478</v>
      </c>
      <c r="H61">
        <v>2555</v>
      </c>
      <c r="I61" t="s">
        <v>2479</v>
      </c>
      <c r="J61">
        <v>0</v>
      </c>
      <c r="K61">
        <v>42</v>
      </c>
      <c r="L61">
        <v>42</v>
      </c>
      <c r="Q61">
        <v>0</v>
      </c>
      <c r="R61">
        <v>0</v>
      </c>
      <c r="S61">
        <v>42</v>
      </c>
      <c r="Y61" t="s">
        <v>2497</v>
      </c>
      <c r="AD61" s="249" t="str">
        <f>HYPERLINK("https://scontent.cdninstagram.com/t51.2885-15/s320x320/e35/20687793_462743514107117_1461267033671860224_n.jpg")</f>
        <v>https://scontent.cdninstagram.com/t51.2885-15/s320x320/e35/20687793_462743514107117_1461267033671860224_n.jpg</v>
      </c>
      <c r="AE61" s="249" t="str">
        <f>HYPERLINK("https://scontent.cdninstagram.com/t51.2885-19/s150x150/20394095_113240725994221_3554347808402178048_a.jpg")</f>
        <v>https://scontent.cdninstagram.com/t51.2885-19/s150x150/20394095_113240725994221_3554347808402178048_a.jpg</v>
      </c>
    </row>
    <row r="62" spans="1:31" ht="15" x14ac:dyDescent="0.25">
      <c r="A62" t="s">
        <v>2474</v>
      </c>
      <c r="B62" t="s">
        <v>2917</v>
      </c>
      <c r="C62" s="221">
        <v>42958.429849537039</v>
      </c>
      <c r="D62" t="s">
        <v>2918</v>
      </c>
      <c r="E62" s="249" t="str">
        <f>HYPERLINK("https://www.instagram.com/p/BXqBcIGlITS/")</f>
        <v>https://www.instagram.com/p/BXqBcIGlITS/</v>
      </c>
      <c r="F62" t="s">
        <v>2919</v>
      </c>
      <c r="G62" t="s">
        <v>2478</v>
      </c>
      <c r="H62">
        <v>5284</v>
      </c>
      <c r="I62" t="s">
        <v>2479</v>
      </c>
      <c r="J62">
        <v>2</v>
      </c>
      <c r="K62">
        <v>131</v>
      </c>
      <c r="L62">
        <v>133</v>
      </c>
      <c r="Q62">
        <v>0</v>
      </c>
      <c r="R62">
        <v>0</v>
      </c>
      <c r="S62">
        <v>133</v>
      </c>
      <c r="Y62" t="s">
        <v>2920</v>
      </c>
      <c r="Z62" t="s">
        <v>2921</v>
      </c>
      <c r="AA62" t="s">
        <v>2497</v>
      </c>
      <c r="AB62" t="s">
        <v>2922</v>
      </c>
      <c r="AC62" t="s">
        <v>2923</v>
      </c>
      <c r="AD62" s="249" t="str">
        <f>HYPERLINK("https://scontent.cdninstagram.com/t51.2885-15/s320x320/e35/c0.117.1080.1080/20687022_1716458548656213_2361471043379396608_n.jpg")</f>
        <v>https://scontent.cdninstagram.com/t51.2885-15/s320x320/e35/c0.117.1080.1080/20687022_1716458548656213_2361471043379396608_n.jpg</v>
      </c>
      <c r="AE62" s="249" t="str">
        <f>HYPERLINK("https://scontent.cdninstagram.com/t51.2885-19/s150x150/20482356_746992422172225_262181640019640320_a.jpg")</f>
        <v>https://scontent.cdninstagram.com/t51.2885-19/s150x150/20482356_746992422172225_262181640019640320_a.jpg</v>
      </c>
    </row>
    <row r="63" spans="1:31" ht="15" x14ac:dyDescent="0.25">
      <c r="A63" t="s">
        <v>2474</v>
      </c>
      <c r="B63" t="s">
        <v>2924</v>
      </c>
      <c r="C63" s="221">
        <v>42958.431643518517</v>
      </c>
      <c r="D63" t="s">
        <v>2925</v>
      </c>
      <c r="E63" s="249" t="str">
        <f>HYPERLINK("https://www.instagram.com/p/BXqBu-clwyW/")</f>
        <v>https://www.instagram.com/p/BXqBu-clwyW/</v>
      </c>
      <c r="F63" t="s">
        <v>2926</v>
      </c>
      <c r="G63" t="s">
        <v>2478</v>
      </c>
      <c r="H63">
        <v>232</v>
      </c>
      <c r="I63" t="s">
        <v>2927</v>
      </c>
      <c r="J63">
        <v>0</v>
      </c>
      <c r="K63">
        <v>45</v>
      </c>
      <c r="L63">
        <v>45</v>
      </c>
      <c r="Q63">
        <v>0</v>
      </c>
      <c r="R63">
        <v>0</v>
      </c>
      <c r="S63">
        <v>45</v>
      </c>
      <c r="T63" t="s">
        <v>2928</v>
      </c>
      <c r="V63" t="s">
        <v>2110</v>
      </c>
      <c r="W63">
        <v>51.033333333332997</v>
      </c>
      <c r="X63">
        <v>2.8666666666667</v>
      </c>
      <c r="Y63" t="s">
        <v>2929</v>
      </c>
      <c r="Z63" t="s">
        <v>2930</v>
      </c>
      <c r="AA63" t="s">
        <v>2931</v>
      </c>
      <c r="AB63" t="s">
        <v>2932</v>
      </c>
      <c r="AC63" t="s">
        <v>2497</v>
      </c>
      <c r="AD63" s="249" t="str">
        <f>HYPERLINK("https://scontent.cdninstagram.com/t51.2885-15/s320x320/e35/20759076_726212510905537_4072836496598499328_n.jpg")</f>
        <v>https://scontent.cdninstagram.com/t51.2885-15/s320x320/e35/20759076_726212510905537_4072836496598499328_n.jpg</v>
      </c>
      <c r="AE63" s="249" t="str">
        <f>HYPERLINK("https://scontent.cdninstagram.com/t51.2885-19/s150x150/18253021_1975853552636836_8547343157967192064_a.jpg")</f>
        <v>https://scontent.cdninstagram.com/t51.2885-19/s150x150/18253021_1975853552636836_8547343157967192064_a.jpg</v>
      </c>
    </row>
    <row r="64" spans="1:31" ht="15" x14ac:dyDescent="0.25">
      <c r="A64" t="s">
        <v>2474</v>
      </c>
      <c r="B64" t="s">
        <v>2933</v>
      </c>
      <c r="C64" s="221">
        <v>42958.4374537037</v>
      </c>
      <c r="D64" t="s">
        <v>2934</v>
      </c>
      <c r="E64" s="249" t="str">
        <f>HYPERLINK("https://www.instagram.com/p/BXqCsP_lB97/")</f>
        <v>https://www.instagram.com/p/BXqCsP_lB97/</v>
      </c>
      <c r="F64" t="s">
        <v>2935</v>
      </c>
      <c r="G64" t="s">
        <v>2478</v>
      </c>
      <c r="H64">
        <v>201</v>
      </c>
      <c r="I64" t="s">
        <v>2479</v>
      </c>
      <c r="J64">
        <v>2</v>
      </c>
      <c r="K64">
        <v>23</v>
      </c>
      <c r="L64">
        <v>25</v>
      </c>
      <c r="Q64">
        <v>0</v>
      </c>
      <c r="R64">
        <v>0</v>
      </c>
      <c r="S64">
        <v>25</v>
      </c>
      <c r="T64" t="s">
        <v>2936</v>
      </c>
      <c r="V64" t="s">
        <v>2288</v>
      </c>
      <c r="W64">
        <v>51.507114863623997</v>
      </c>
      <c r="X64">
        <v>-0.12731805236353</v>
      </c>
      <c r="Y64" t="s">
        <v>2937</v>
      </c>
      <c r="Z64" t="s">
        <v>2938</v>
      </c>
      <c r="AA64" t="s">
        <v>2939</v>
      </c>
      <c r="AB64" t="s">
        <v>2497</v>
      </c>
      <c r="AC64" t="s">
        <v>2940</v>
      </c>
      <c r="AD64" s="249" t="str">
        <f>HYPERLINK("https://scontent.cdninstagram.com/t51.2885-15/s320x320/e35/20687965_930268633793337_7381492685107888128_n.jpg")</f>
        <v>https://scontent.cdninstagram.com/t51.2885-15/s320x320/e35/20687965_930268633793337_7381492685107888128_n.jpg</v>
      </c>
      <c r="AE64" s="249" t="str">
        <f>HYPERLINK("https://scontent.cdninstagram.com/t51.2885-19/s150x150/19050665_809144562586476_2868502863363964928_a.jpg")</f>
        <v>https://scontent.cdninstagram.com/t51.2885-19/s150x150/19050665_809144562586476_2868502863363964928_a.jpg</v>
      </c>
    </row>
    <row r="65" spans="1:31" ht="15" x14ac:dyDescent="0.25">
      <c r="A65" t="s">
        <v>2474</v>
      </c>
      <c r="B65" t="s">
        <v>2941</v>
      </c>
      <c r="C65" s="221">
        <v>42958.43891203704</v>
      </c>
      <c r="D65" t="s">
        <v>2942</v>
      </c>
      <c r="E65" s="249" t="str">
        <f>HYPERLINK("https://www.instagram.com/p/BXqC7orDwvx/")</f>
        <v>https://www.instagram.com/p/BXqC7orDwvx/</v>
      </c>
      <c r="F65" t="s">
        <v>2943</v>
      </c>
      <c r="G65" t="s">
        <v>2478</v>
      </c>
      <c r="H65">
        <v>221</v>
      </c>
      <c r="I65" t="s">
        <v>2599</v>
      </c>
      <c r="J65">
        <v>2</v>
      </c>
      <c r="K65">
        <v>45</v>
      </c>
      <c r="L65">
        <v>47</v>
      </c>
      <c r="Q65">
        <v>0</v>
      </c>
      <c r="R65">
        <v>0</v>
      </c>
      <c r="S65">
        <v>47</v>
      </c>
      <c r="Y65" t="s">
        <v>2944</v>
      </c>
      <c r="Z65" t="s">
        <v>2741</v>
      </c>
      <c r="AA65" t="s">
        <v>2945</v>
      </c>
      <c r="AB65" t="s">
        <v>2497</v>
      </c>
      <c r="AC65" t="s">
        <v>2946</v>
      </c>
      <c r="AD65" s="249" t="str">
        <f>HYPERLINK("https://scontent.cdninstagram.com/t51.2885-15/s320x320/e35/c0.135.1080.1080/20766104_330468437396900_5424242201028722688_n.jpg")</f>
        <v>https://scontent.cdninstagram.com/t51.2885-15/s320x320/e35/c0.135.1080.1080/20766104_330468437396900_5424242201028722688_n.jpg</v>
      </c>
      <c r="AE65" s="249" t="str">
        <f>HYPERLINK("https://scontent.cdninstagram.com/t51.2885-19/s150x150/20686926_123784664915170_1777034476677758976_a.jpg")</f>
        <v>https://scontent.cdninstagram.com/t51.2885-19/s150x150/20686926_123784664915170_1777034476677758976_a.jpg</v>
      </c>
    </row>
    <row r="66" spans="1:31" ht="15" x14ac:dyDescent="0.25">
      <c r="A66" t="s">
        <v>2474</v>
      </c>
      <c r="B66" t="s">
        <v>2863</v>
      </c>
      <c r="C66" s="221">
        <v>42958.444768518515</v>
      </c>
      <c r="D66" t="s">
        <v>2947</v>
      </c>
      <c r="E66" s="249" t="str">
        <f>HYPERLINK("https://www.instagram.com/p/BXqD5YDF_hk/")</f>
        <v>https://www.instagram.com/p/BXqD5YDF_hk/</v>
      </c>
      <c r="F66" t="s">
        <v>2948</v>
      </c>
      <c r="G66" t="s">
        <v>2478</v>
      </c>
      <c r="H66">
        <v>61</v>
      </c>
      <c r="I66" t="s">
        <v>2599</v>
      </c>
      <c r="J66">
        <v>0</v>
      </c>
      <c r="K66">
        <v>20</v>
      </c>
      <c r="L66">
        <v>20</v>
      </c>
      <c r="Q66">
        <v>0</v>
      </c>
      <c r="R66">
        <v>0</v>
      </c>
      <c r="S66">
        <v>20</v>
      </c>
      <c r="Y66" t="s">
        <v>2949</v>
      </c>
      <c r="Z66" t="s">
        <v>2497</v>
      </c>
      <c r="AA66" t="s">
        <v>2950</v>
      </c>
      <c r="AB66" t="s">
        <v>2951</v>
      </c>
      <c r="AC66" t="s">
        <v>2952</v>
      </c>
      <c r="AD66" s="249" t="str">
        <f>HYPERLINK("https://scontent.cdninstagram.com/t51.2885-15/s320x320/e35/15876694_487493931615712_438741543625424896_n.jpg")</f>
        <v>https://scontent.cdninstagram.com/t51.2885-15/s320x320/e35/15876694_487493931615712_438741543625424896_n.jpg</v>
      </c>
      <c r="AE66" s="249" t="str">
        <f>HYPERLINK("https://scontent.cdninstagram.com/t51.2885-19/s150x150/19955745_1435072766568917_8173761520967090176_a.jpg")</f>
        <v>https://scontent.cdninstagram.com/t51.2885-19/s150x150/19955745_1435072766568917_8173761520967090176_a.jpg</v>
      </c>
    </row>
    <row r="67" spans="1:31" ht="15" x14ac:dyDescent="0.25">
      <c r="A67" t="s">
        <v>2474</v>
      </c>
      <c r="B67" t="s">
        <v>2953</v>
      </c>
      <c r="C67" s="221">
        <v>42958.456145833334</v>
      </c>
      <c r="D67" t="s">
        <v>2954</v>
      </c>
      <c r="E67" s="249" t="str">
        <f>HYPERLINK("https://www.instagram.com/p/BXqFxb0hO1d/")</f>
        <v>https://www.instagram.com/p/BXqFxb0hO1d/</v>
      </c>
      <c r="F67" t="s">
        <v>2955</v>
      </c>
      <c r="G67" t="s">
        <v>2631</v>
      </c>
      <c r="H67">
        <v>4513</v>
      </c>
      <c r="I67" t="s">
        <v>2903</v>
      </c>
      <c r="J67">
        <v>14</v>
      </c>
      <c r="K67">
        <v>97</v>
      </c>
      <c r="L67">
        <v>111</v>
      </c>
      <c r="Q67">
        <v>0</v>
      </c>
      <c r="R67">
        <v>0</v>
      </c>
      <c r="S67">
        <v>111</v>
      </c>
      <c r="T67" t="s">
        <v>2956</v>
      </c>
      <c r="U67" t="s">
        <v>106</v>
      </c>
      <c r="V67" t="s">
        <v>2299</v>
      </c>
      <c r="W67">
        <v>25.812999999999999</v>
      </c>
      <c r="X67">
        <v>-80.134100000000004</v>
      </c>
      <c r="Y67" t="s">
        <v>2957</v>
      </c>
      <c r="Z67" t="s">
        <v>2958</v>
      </c>
      <c r="AA67" t="s">
        <v>2497</v>
      </c>
      <c r="AB67" t="s">
        <v>2959</v>
      </c>
      <c r="AC67" t="s">
        <v>2960</v>
      </c>
      <c r="AD67" s="249" t="str">
        <f>HYPERLINK("https://scontent.cdninstagram.com/t51.2885-15/s320x320/e15/c157.0.405.405/20686979_605028463220791_1570124410013089792_n.jpg")</f>
        <v>https://scontent.cdninstagram.com/t51.2885-15/s320x320/e15/c157.0.405.405/20686979_605028463220791_1570124410013089792_n.jpg</v>
      </c>
      <c r="AE67" s="249" t="str">
        <f>HYPERLINK("https://scontent.cdninstagram.com/t51.2885-19/s150x150/20766480_2134624200097963_596099687832879104_a.jpg")</f>
        <v>https://scontent.cdninstagram.com/t51.2885-19/s150x150/20766480_2134624200097963_596099687832879104_a.jpg</v>
      </c>
    </row>
    <row r="68" spans="1:31" ht="15" x14ac:dyDescent="0.25">
      <c r="A68" t="s">
        <v>2474</v>
      </c>
      <c r="B68" t="s">
        <v>2961</v>
      </c>
      <c r="C68" s="221">
        <v>42958.458958333336</v>
      </c>
      <c r="D68" t="s">
        <v>2962</v>
      </c>
      <c r="E68" s="249" t="str">
        <f>HYPERLINK("https://www.instagram.com/p/BXqGPD6gUH9/")</f>
        <v>https://www.instagram.com/p/BXqGPD6gUH9/</v>
      </c>
      <c r="F68" t="s">
        <v>2963</v>
      </c>
      <c r="G68" t="s">
        <v>2478</v>
      </c>
      <c r="H68">
        <v>120</v>
      </c>
      <c r="I68" t="s">
        <v>2479</v>
      </c>
      <c r="J68">
        <v>1</v>
      </c>
      <c r="K68">
        <v>37</v>
      </c>
      <c r="L68">
        <v>38</v>
      </c>
      <c r="Q68">
        <v>0</v>
      </c>
      <c r="R68">
        <v>0</v>
      </c>
      <c r="S68">
        <v>38</v>
      </c>
      <c r="T68" t="s">
        <v>2964</v>
      </c>
      <c r="V68" t="s">
        <v>2230</v>
      </c>
      <c r="W68">
        <v>59.930279416772997</v>
      </c>
      <c r="X68">
        <v>5.8651931702692002</v>
      </c>
      <c r="Y68" t="s">
        <v>2965</v>
      </c>
      <c r="Z68" t="s">
        <v>2966</v>
      </c>
      <c r="AA68" t="s">
        <v>2967</v>
      </c>
      <c r="AB68" t="s">
        <v>2968</v>
      </c>
      <c r="AC68" t="s">
        <v>2969</v>
      </c>
      <c r="AD68" s="249" t="str">
        <f>HYPERLINK("https://scontent.cdninstagram.com/t51.2885-15/s320x320/e35/c0.135.1080.1080/20837176_1170547153046606_2388942543262842880_n.jpg")</f>
        <v>https://scontent.cdninstagram.com/t51.2885-15/s320x320/e35/c0.135.1080.1080/20837176_1170547153046606_2388942543262842880_n.jpg</v>
      </c>
      <c r="AE68" s="249" t="str">
        <f>HYPERLINK("https://scontent.cdninstagram.com/t51.2885-19/s150x150/20904877_1606071552801070_4723064862693916672_a.jpg")</f>
        <v>https://scontent.cdninstagram.com/t51.2885-19/s150x150/20904877_1606071552801070_4723064862693916672_a.jpg</v>
      </c>
    </row>
    <row r="69" spans="1:31" ht="15" x14ac:dyDescent="0.25">
      <c r="A69" t="s">
        <v>2474</v>
      </c>
      <c r="B69" t="s">
        <v>2970</v>
      </c>
      <c r="C69" s="221">
        <v>42958.470949074072</v>
      </c>
      <c r="D69" t="s">
        <v>2971</v>
      </c>
      <c r="E69" s="249" t="str">
        <f>HYPERLINK("https://www.instagram.com/p/BXqINk2l381/")</f>
        <v>https://www.instagram.com/p/BXqINk2l381/</v>
      </c>
      <c r="F69" t="s">
        <v>2972</v>
      </c>
      <c r="G69" t="s">
        <v>2478</v>
      </c>
      <c r="H69">
        <v>116</v>
      </c>
      <c r="I69" t="s">
        <v>2479</v>
      </c>
      <c r="J69">
        <v>1</v>
      </c>
      <c r="K69">
        <v>52</v>
      </c>
      <c r="L69">
        <v>53</v>
      </c>
      <c r="Q69">
        <v>0</v>
      </c>
      <c r="R69">
        <v>0</v>
      </c>
      <c r="S69">
        <v>53</v>
      </c>
      <c r="Y69" t="s">
        <v>2973</v>
      </c>
      <c r="Z69" t="s">
        <v>2497</v>
      </c>
      <c r="AA69" t="s">
        <v>2974</v>
      </c>
      <c r="AB69" t="s">
        <v>2975</v>
      </c>
      <c r="AC69" t="s">
        <v>2976</v>
      </c>
      <c r="AD69" s="249" t="str">
        <f>HYPERLINK("https://scontent.cdninstagram.com/t51.2885-15/s320x320/e35/20759326_1668767233196471_2737868297729998848_n.jpg")</f>
        <v>https://scontent.cdninstagram.com/t51.2885-15/s320x320/e35/20759326_1668767233196471_2737868297729998848_n.jpg</v>
      </c>
      <c r="AE69" s="249" t="str">
        <f>HYPERLINK("https://scontent.cdninstagram.com/t51.2885-19/s150x150/20066692_1913020525638586_3862392234489937920_a.jpg")</f>
        <v>https://scontent.cdninstagram.com/t51.2885-19/s150x150/20066692_1913020525638586_3862392234489937920_a.jpg</v>
      </c>
    </row>
    <row r="70" spans="1:31" ht="15" x14ac:dyDescent="0.25">
      <c r="A70" t="s">
        <v>2474</v>
      </c>
      <c r="B70" t="s">
        <v>2977</v>
      </c>
      <c r="C70" s="221">
        <v>42958.473379629628</v>
      </c>
      <c r="D70" t="s">
        <v>2978</v>
      </c>
      <c r="E70" s="249" t="str">
        <f>HYPERLINK("https://www.instagram.com/p/BXqInIqF_IH/")</f>
        <v>https://www.instagram.com/p/BXqInIqF_IH/</v>
      </c>
      <c r="F70" t="s">
        <v>2979</v>
      </c>
      <c r="G70" t="s">
        <v>2478</v>
      </c>
      <c r="H70">
        <v>298</v>
      </c>
      <c r="I70" t="s">
        <v>2519</v>
      </c>
      <c r="J70">
        <v>1</v>
      </c>
      <c r="K70">
        <v>18</v>
      </c>
      <c r="L70">
        <v>19</v>
      </c>
      <c r="Q70">
        <v>0</v>
      </c>
      <c r="R70">
        <v>0</v>
      </c>
      <c r="S70">
        <v>19</v>
      </c>
      <c r="T70" t="s">
        <v>2980</v>
      </c>
      <c r="V70" t="s">
        <v>2212</v>
      </c>
      <c r="W70">
        <v>25.433299999999999</v>
      </c>
      <c r="X70">
        <v>-100.983</v>
      </c>
      <c r="Y70" t="s">
        <v>2981</v>
      </c>
      <c r="Z70" t="s">
        <v>2497</v>
      </c>
      <c r="AA70" t="s">
        <v>2982</v>
      </c>
      <c r="AB70" t="s">
        <v>2983</v>
      </c>
      <c r="AC70" t="s">
        <v>2984</v>
      </c>
      <c r="AD70" s="249" t="str">
        <f>HYPERLINK("https://scontent.cdninstagram.com/t51.2885-15/s320x320/e35/20687897_1687316764635246_2660381989583978496_n.jpg")</f>
        <v>https://scontent.cdninstagram.com/t51.2885-15/s320x320/e35/20687897_1687316764635246_2660381989583978496_n.jpg</v>
      </c>
      <c r="AE70" s="249" t="str">
        <f>HYPERLINK("https://scontent.cdninstagram.com/t51.2885-19/s150x150/12530780_1699292563688391_252723251_a.jpg")</f>
        <v>https://scontent.cdninstagram.com/t51.2885-19/s150x150/12530780_1699292563688391_252723251_a.jpg</v>
      </c>
    </row>
    <row r="71" spans="1:31" ht="15" x14ac:dyDescent="0.25">
      <c r="A71" t="s">
        <v>2474</v>
      </c>
      <c r="B71" t="s">
        <v>2985</v>
      </c>
      <c r="C71" s="221">
        <v>42958.479953703703</v>
      </c>
      <c r="D71" t="s">
        <v>2986</v>
      </c>
      <c r="E71" s="249" t="str">
        <f>HYPERLINK("https://www.instagram.com/p/BXqJseHBor_/")</f>
        <v>https://www.instagram.com/p/BXqJseHBor_/</v>
      </c>
      <c r="F71" t="s">
        <v>2987</v>
      </c>
      <c r="G71" t="s">
        <v>2478</v>
      </c>
      <c r="H71">
        <v>194</v>
      </c>
      <c r="I71" t="s">
        <v>2479</v>
      </c>
      <c r="J71">
        <v>6</v>
      </c>
      <c r="K71">
        <v>73</v>
      </c>
      <c r="L71">
        <v>79</v>
      </c>
      <c r="Q71">
        <v>0</v>
      </c>
      <c r="R71">
        <v>0</v>
      </c>
      <c r="S71">
        <v>79</v>
      </c>
      <c r="T71" t="s">
        <v>2988</v>
      </c>
      <c r="V71" t="s">
        <v>2264</v>
      </c>
      <c r="W71">
        <v>40.633299999999998</v>
      </c>
      <c r="X71">
        <v>-3.1666699999999999</v>
      </c>
      <c r="Y71" t="s">
        <v>2497</v>
      </c>
      <c r="Z71" t="s">
        <v>2989</v>
      </c>
      <c r="AA71" t="s">
        <v>2990</v>
      </c>
      <c r="AB71" t="s">
        <v>2991</v>
      </c>
      <c r="AC71" t="s">
        <v>2992</v>
      </c>
      <c r="AD71" s="249" t="str">
        <f>HYPERLINK("https://scontent.cdninstagram.com/t51.2885-15/s320x320/e35/c0.135.1080.1080/20686904_110596712950214_75092701397123072_n.jpg")</f>
        <v>https://scontent.cdninstagram.com/t51.2885-15/s320x320/e35/c0.135.1080.1080/20686904_110596712950214_75092701397123072_n.jpg</v>
      </c>
      <c r="AE71" s="249" t="str">
        <f>HYPERLINK("https://scontent.cdninstagram.com/t51.2885-19/s150x150/19429549_1417810421646644_3602900858905296896_a.jpg")</f>
        <v>https://scontent.cdninstagram.com/t51.2885-19/s150x150/19429549_1417810421646644_3602900858905296896_a.jpg</v>
      </c>
    </row>
    <row r="72" spans="1:31" ht="15" x14ac:dyDescent="0.25">
      <c r="A72" t="s">
        <v>2474</v>
      </c>
      <c r="B72" t="s">
        <v>2993</v>
      </c>
      <c r="C72" s="221">
        <v>42958.480196759258</v>
      </c>
      <c r="D72" t="s">
        <v>2994</v>
      </c>
      <c r="E72" s="249" t="str">
        <f>HYPERLINK("https://www.instagram.com/p/BXqJvFDhOAL/")</f>
        <v>https://www.instagram.com/p/BXqJvFDhOAL/</v>
      </c>
      <c r="F72" t="s">
        <v>2995</v>
      </c>
      <c r="G72" t="s">
        <v>2478</v>
      </c>
      <c r="H72">
        <v>542</v>
      </c>
      <c r="I72" t="s">
        <v>2479</v>
      </c>
      <c r="J72">
        <v>2</v>
      </c>
      <c r="K72">
        <v>22</v>
      </c>
      <c r="L72">
        <v>24</v>
      </c>
      <c r="Q72">
        <v>0</v>
      </c>
      <c r="R72">
        <v>0</v>
      </c>
      <c r="S72">
        <v>24</v>
      </c>
      <c r="T72" t="s">
        <v>2996</v>
      </c>
      <c r="V72" t="s">
        <v>2125</v>
      </c>
      <c r="W72">
        <v>43.422222640000001</v>
      </c>
      <c r="X72">
        <v>-79.686468340000005</v>
      </c>
      <c r="Y72" t="s">
        <v>2997</v>
      </c>
      <c r="Z72" t="s">
        <v>2998</v>
      </c>
      <c r="AA72" t="s">
        <v>2497</v>
      </c>
      <c r="AB72" t="s">
        <v>2999</v>
      </c>
      <c r="AC72" t="s">
        <v>3000</v>
      </c>
      <c r="AD72" s="249" t="str">
        <f>HYPERLINK("https://scontent.cdninstagram.com/t51.2885-15/s320x320/e35/20766463_107654393284351_5422224438277963776_n.jpg")</f>
        <v>https://scontent.cdninstagram.com/t51.2885-15/s320x320/e35/20766463_107654393284351_5422224438277963776_n.jpg</v>
      </c>
      <c r="AE72" s="249" t="str">
        <f>HYPERLINK("https://scontent.cdninstagram.com/t51.2885-19/s150x150/19764789_140882583156845_4944601745427791872_a.jpg")</f>
        <v>https://scontent.cdninstagram.com/t51.2885-19/s150x150/19764789_140882583156845_4944601745427791872_a.jpg</v>
      </c>
    </row>
    <row r="73" spans="1:31" ht="15" x14ac:dyDescent="0.25">
      <c r="A73" t="s">
        <v>2474</v>
      </c>
      <c r="B73" t="s">
        <v>3001</v>
      </c>
      <c r="C73" s="221">
        <v>42958.485335648147</v>
      </c>
      <c r="D73" t="s">
        <v>3002</v>
      </c>
      <c r="E73" s="249" t="str">
        <f>HYPERLINK("https://www.instagram.com/p/BXqKlOEgdq8/")</f>
        <v>https://www.instagram.com/p/BXqKlOEgdq8/</v>
      </c>
      <c r="F73" t="s">
        <v>3003</v>
      </c>
      <c r="G73" t="s">
        <v>2478</v>
      </c>
      <c r="H73">
        <v>197</v>
      </c>
      <c r="I73" t="s">
        <v>2910</v>
      </c>
      <c r="J73">
        <v>0</v>
      </c>
      <c r="K73">
        <v>29</v>
      </c>
      <c r="L73">
        <v>29</v>
      </c>
      <c r="Q73">
        <v>0</v>
      </c>
      <c r="R73">
        <v>0</v>
      </c>
      <c r="S73">
        <v>29</v>
      </c>
      <c r="Y73" t="s">
        <v>2497</v>
      </c>
      <c r="Z73" t="s">
        <v>3004</v>
      </c>
      <c r="AA73" t="s">
        <v>3005</v>
      </c>
      <c r="AB73" t="s">
        <v>3006</v>
      </c>
      <c r="AC73" t="s">
        <v>3007</v>
      </c>
      <c r="AD73" s="249" t="str">
        <f>HYPERLINK("https://scontent.cdninstagram.com/t51.2885-15/s320x320/e35/20766083_110831366256999_6229874316528320512_n.jpg")</f>
        <v>https://scontent.cdninstagram.com/t51.2885-15/s320x320/e35/20766083_110831366256999_6229874316528320512_n.jpg</v>
      </c>
      <c r="AE73" s="249" t="str">
        <f>HYPERLINK("https://scontent.cdninstagram.com/t51.2885-19/s150x150/18444766_1912067969049122_6949567864466571264_a.jpg")</f>
        <v>https://scontent.cdninstagram.com/t51.2885-19/s150x150/18444766_1912067969049122_6949567864466571264_a.jpg</v>
      </c>
    </row>
    <row r="74" spans="1:31" ht="15" x14ac:dyDescent="0.25">
      <c r="A74" t="s">
        <v>2474</v>
      </c>
      <c r="B74" t="s">
        <v>3008</v>
      </c>
      <c r="C74" s="221">
        <v>42958.486354166664</v>
      </c>
      <c r="D74" t="s">
        <v>3009</v>
      </c>
      <c r="E74" s="249" t="str">
        <f>HYPERLINK("https://www.instagram.com/p/BXqKwFJgvkQ/")</f>
        <v>https://www.instagram.com/p/BXqKwFJgvkQ/</v>
      </c>
      <c r="F74" t="s">
        <v>3010</v>
      </c>
      <c r="G74" t="s">
        <v>2631</v>
      </c>
      <c r="H74">
        <v>272</v>
      </c>
      <c r="I74" t="s">
        <v>2479</v>
      </c>
      <c r="J74">
        <v>0</v>
      </c>
      <c r="K74">
        <v>0</v>
      </c>
      <c r="L74">
        <v>0</v>
      </c>
      <c r="Q74">
        <v>0</v>
      </c>
      <c r="R74">
        <v>0</v>
      </c>
      <c r="S74">
        <v>0</v>
      </c>
      <c r="Y74" t="s">
        <v>3011</v>
      </c>
      <c r="Z74" t="s">
        <v>3012</v>
      </c>
      <c r="AA74" t="s">
        <v>2497</v>
      </c>
      <c r="AB74" t="s">
        <v>3013</v>
      </c>
      <c r="AC74" t="s">
        <v>3014</v>
      </c>
      <c r="AD74" s="249" t="str">
        <f>HYPERLINK("https://scontent.cdninstagram.com/t51.2885-15/s320x320/e15/20688172_253313025181597_5249534463414632448_n.jpg")</f>
        <v>https://scontent.cdninstagram.com/t51.2885-15/s320x320/e15/20688172_253313025181597_5249534463414632448_n.jpg</v>
      </c>
      <c r="AE74" s="249" t="str">
        <f>HYPERLINK("https://scontent.cdninstagram.com/t51.2885-19/s150x150/20398579_119259902046530_4420021307547058176_a.jpg")</f>
        <v>https://scontent.cdninstagram.com/t51.2885-19/s150x150/20398579_119259902046530_4420021307547058176_a.jpg</v>
      </c>
    </row>
    <row r="75" spans="1:31" ht="15" x14ac:dyDescent="0.25">
      <c r="A75" t="s">
        <v>2474</v>
      </c>
      <c r="B75" t="s">
        <v>3015</v>
      </c>
      <c r="C75" s="221">
        <v>42958.500625000001</v>
      </c>
      <c r="D75" t="s">
        <v>3016</v>
      </c>
      <c r="E75" s="249" t="str">
        <f>HYPERLINK("https://www.instagram.com/p/BXqNGj1gXsf/")</f>
        <v>https://www.instagram.com/p/BXqNGj1gXsf/</v>
      </c>
      <c r="F75" t="s">
        <v>3017</v>
      </c>
      <c r="G75" t="s">
        <v>2488</v>
      </c>
      <c r="H75">
        <v>170</v>
      </c>
      <c r="I75" t="s">
        <v>2479</v>
      </c>
      <c r="J75">
        <v>0</v>
      </c>
      <c r="K75">
        <v>25</v>
      </c>
      <c r="L75">
        <v>25</v>
      </c>
      <c r="Q75">
        <v>0</v>
      </c>
      <c r="R75">
        <v>0</v>
      </c>
      <c r="S75">
        <v>25</v>
      </c>
      <c r="Y75" t="s">
        <v>3018</v>
      </c>
      <c r="Z75" t="s">
        <v>3019</v>
      </c>
      <c r="AA75" t="s">
        <v>2497</v>
      </c>
      <c r="AB75" t="s">
        <v>3020</v>
      </c>
      <c r="AC75" t="s">
        <v>3021</v>
      </c>
      <c r="AD75" s="249" t="str">
        <f>HYPERLINK("https://scontent.cdninstagram.com/t51.2885-15/s320x320/e35/20759662_344494392638898_1112685340444852224_n.jpg")</f>
        <v>https://scontent.cdninstagram.com/t51.2885-15/s320x320/e35/20759662_344494392638898_1112685340444852224_n.jpg</v>
      </c>
      <c r="AE75" s="249" t="str">
        <f>HYPERLINK("https://scontent.cdninstagram.com/t51.2885-19/s150x150/19761452_1876060406050696_4275948751316582400_a.jpg")</f>
        <v>https://scontent.cdninstagram.com/t51.2885-19/s150x150/19761452_1876060406050696_4275948751316582400_a.jpg</v>
      </c>
    </row>
    <row r="76" spans="1:31" ht="15" x14ac:dyDescent="0.25">
      <c r="A76" t="s">
        <v>2474</v>
      </c>
      <c r="B76" t="s">
        <v>3022</v>
      </c>
      <c r="C76" s="221">
        <v>42958.500798611109</v>
      </c>
      <c r="D76" t="s">
        <v>3023</v>
      </c>
      <c r="E76" s="249" t="str">
        <f>HYPERLINK("https://www.instagram.com/p/BXqNIYHgl9d/")</f>
        <v>https://www.instagram.com/p/BXqNIYHgl9d/</v>
      </c>
      <c r="F76" t="s">
        <v>3024</v>
      </c>
      <c r="G76" t="s">
        <v>2478</v>
      </c>
      <c r="H76">
        <v>279</v>
      </c>
      <c r="I76" t="s">
        <v>3025</v>
      </c>
      <c r="J76">
        <v>4</v>
      </c>
      <c r="K76">
        <v>22</v>
      </c>
      <c r="L76">
        <v>26</v>
      </c>
      <c r="Q76">
        <v>0</v>
      </c>
      <c r="R76">
        <v>0</v>
      </c>
      <c r="S76">
        <v>26</v>
      </c>
      <c r="Y76" t="s">
        <v>2497</v>
      </c>
      <c r="AD76" s="249" t="str">
        <f>HYPERLINK("https://scontent.cdninstagram.com/t51.2885-15/s320x320/e35/20759614_675034206028686_8722866325187198976_n.jpg")</f>
        <v>https://scontent.cdninstagram.com/t51.2885-15/s320x320/e35/20759614_675034206028686_8722866325187198976_n.jpg</v>
      </c>
      <c r="AE76" s="249" t="str">
        <f>HYPERLINK("https://scontent.cdninstagram.com/t51.2885-19/s150x150/20688629_344452692659412_132330716938633216_a.jpg")</f>
        <v>https://scontent.cdninstagram.com/t51.2885-19/s150x150/20688629_344452692659412_132330716938633216_a.jpg</v>
      </c>
    </row>
    <row r="77" spans="1:31" ht="15" x14ac:dyDescent="0.25">
      <c r="A77" t="s">
        <v>2474</v>
      </c>
      <c r="B77" t="s">
        <v>2588</v>
      </c>
      <c r="C77" s="221">
        <v>42958.506597222222</v>
      </c>
      <c r="D77" t="s">
        <v>3026</v>
      </c>
      <c r="E77" s="249" t="str">
        <f>HYPERLINK("https://www.instagram.com/p/BXqOFiUAxjm/")</f>
        <v>https://www.instagram.com/p/BXqOFiUAxjm/</v>
      </c>
      <c r="F77" t="s">
        <v>3027</v>
      </c>
      <c r="G77" t="s">
        <v>2478</v>
      </c>
      <c r="H77">
        <v>229</v>
      </c>
      <c r="I77" t="s">
        <v>2479</v>
      </c>
      <c r="J77">
        <v>5</v>
      </c>
      <c r="K77">
        <v>35</v>
      </c>
      <c r="L77">
        <v>40</v>
      </c>
      <c r="Q77">
        <v>0</v>
      </c>
      <c r="R77">
        <v>0</v>
      </c>
      <c r="S77">
        <v>40</v>
      </c>
      <c r="AD77" s="249" t="str">
        <f>HYPERLINK("https://scontent.cdninstagram.com/t51.2885-15/s320x320/e35/20686877_2394446934114635_3571197042413797376_n.jpg")</f>
        <v>https://scontent.cdninstagram.com/t51.2885-15/s320x320/e35/20686877_2394446934114635_3571197042413797376_n.jpg</v>
      </c>
      <c r="AE77" s="249" t="str">
        <f>HYPERLINK("https://scontent.cdninstagram.com/t51.2885-19/s150x150/20633561_108840983138666_5897549723056734208_a.jpg")</f>
        <v>https://scontent.cdninstagram.com/t51.2885-19/s150x150/20633561_108840983138666_5897549723056734208_a.jpg</v>
      </c>
    </row>
    <row r="78" spans="1:31" ht="15" x14ac:dyDescent="0.25">
      <c r="A78" t="s">
        <v>2474</v>
      </c>
      <c r="B78" t="s">
        <v>3028</v>
      </c>
      <c r="C78" s="221">
        <v>42958.509270833332</v>
      </c>
      <c r="D78" t="s">
        <v>3029</v>
      </c>
      <c r="E78" s="249" t="str">
        <f>HYPERLINK("https://www.instagram.com/p/BXqOhvbA8T-/")</f>
        <v>https://www.instagram.com/p/BXqOhvbA8T-/</v>
      </c>
      <c r="F78" t="s">
        <v>3030</v>
      </c>
      <c r="G78" t="s">
        <v>2478</v>
      </c>
      <c r="H78">
        <v>539</v>
      </c>
      <c r="I78" t="s">
        <v>2479</v>
      </c>
      <c r="J78">
        <v>3</v>
      </c>
      <c r="K78">
        <v>47</v>
      </c>
      <c r="L78">
        <v>50</v>
      </c>
      <c r="Q78">
        <v>0</v>
      </c>
      <c r="R78">
        <v>0</v>
      </c>
      <c r="S78">
        <v>50</v>
      </c>
      <c r="Y78" t="s">
        <v>3031</v>
      </c>
      <c r="Z78" t="s">
        <v>2497</v>
      </c>
      <c r="AA78" t="s">
        <v>3032</v>
      </c>
      <c r="AB78" t="s">
        <v>3033</v>
      </c>
      <c r="AC78" t="s">
        <v>3034</v>
      </c>
      <c r="AD78" s="249" t="str">
        <f>HYPERLINK("https://scontent.cdninstagram.com/t51.2885-15/s320x320/e35/20686592_210081096192959_6239336576158007296_n.jpg")</f>
        <v>https://scontent.cdninstagram.com/t51.2885-15/s320x320/e35/20686592_210081096192959_6239336576158007296_n.jpg</v>
      </c>
      <c r="AE78" s="249" t="str">
        <f>HYPERLINK("https://scontent.cdninstagram.com/t51.2885-19/s150x150/20346836_802902276553150_7296986282981326848_a.jpg")</f>
        <v>https://scontent.cdninstagram.com/t51.2885-19/s150x150/20346836_802902276553150_7296986282981326848_a.jpg</v>
      </c>
    </row>
    <row r="79" spans="1:31" ht="15" x14ac:dyDescent="0.25">
      <c r="A79" t="s">
        <v>2474</v>
      </c>
      <c r="B79" t="s">
        <v>3035</v>
      </c>
      <c r="C79" s="221">
        <v>42958.50986111111</v>
      </c>
      <c r="D79" t="s">
        <v>3036</v>
      </c>
      <c r="E79" s="249" t="str">
        <f>HYPERLINK("https://www.instagram.com/p/BXqOn5Tg0MD/")</f>
        <v>https://www.instagram.com/p/BXqOn5Tg0MD/</v>
      </c>
      <c r="F79" t="s">
        <v>3037</v>
      </c>
      <c r="G79" t="s">
        <v>2478</v>
      </c>
      <c r="H79">
        <v>443</v>
      </c>
      <c r="I79" t="s">
        <v>2479</v>
      </c>
      <c r="J79">
        <v>1</v>
      </c>
      <c r="K79">
        <v>14</v>
      </c>
      <c r="L79">
        <v>15</v>
      </c>
      <c r="Q79">
        <v>0</v>
      </c>
      <c r="R79">
        <v>0</v>
      </c>
      <c r="S79">
        <v>15</v>
      </c>
      <c r="T79" t="s">
        <v>3038</v>
      </c>
      <c r="U79" t="s">
        <v>112</v>
      </c>
      <c r="V79" t="s">
        <v>2299</v>
      </c>
      <c r="W79">
        <v>29.470505765077</v>
      </c>
      <c r="X79">
        <v>-95.082423484694004</v>
      </c>
      <c r="Y79" t="s">
        <v>2497</v>
      </c>
      <c r="Z79" t="s">
        <v>3039</v>
      </c>
      <c r="AA79" t="s">
        <v>3040</v>
      </c>
      <c r="AB79" t="s">
        <v>3041</v>
      </c>
      <c r="AC79" t="s">
        <v>3042</v>
      </c>
      <c r="AD79" s="249" t="str">
        <f>HYPERLINK("https://scontent.cdninstagram.com/t51.2885-15/s320x320/e35/20688371_220986605095285_1513021819085389824_n.jpg")</f>
        <v>https://scontent.cdninstagram.com/t51.2885-15/s320x320/e35/20688371_220986605095285_1513021819085389824_n.jpg</v>
      </c>
      <c r="AE79" s="249" t="str">
        <f>HYPERLINK("https://scontent.cdninstagram.com/t51.2885-19/10948239_990915117602634_454546239_a.jpg")</f>
        <v>https://scontent.cdninstagram.com/t51.2885-19/10948239_990915117602634_454546239_a.jpg</v>
      </c>
    </row>
    <row r="80" spans="1:31" ht="15" x14ac:dyDescent="0.25">
      <c r="A80" t="s">
        <v>2474</v>
      </c>
      <c r="B80" t="s">
        <v>3043</v>
      </c>
      <c r="C80" s="221">
        <v>42958.511064814818</v>
      </c>
      <c r="D80" t="s">
        <v>3044</v>
      </c>
      <c r="E80" s="249" t="str">
        <f>HYPERLINK("https://www.instagram.com/p/BXqO0q_DWxE/")</f>
        <v>https://www.instagram.com/p/BXqO0q_DWxE/</v>
      </c>
      <c r="F80" t="s">
        <v>3045</v>
      </c>
      <c r="G80" t="s">
        <v>2478</v>
      </c>
      <c r="H80">
        <v>404</v>
      </c>
      <c r="I80" t="s">
        <v>2479</v>
      </c>
      <c r="J80">
        <v>0</v>
      </c>
      <c r="K80">
        <v>44</v>
      </c>
      <c r="L80">
        <v>44</v>
      </c>
      <c r="Q80">
        <v>0</v>
      </c>
      <c r="R80">
        <v>0</v>
      </c>
      <c r="S80">
        <v>44</v>
      </c>
      <c r="Y80" t="s">
        <v>2497</v>
      </c>
      <c r="Z80" t="s">
        <v>2615</v>
      </c>
      <c r="AA80" t="s">
        <v>3046</v>
      </c>
      <c r="AB80" t="s">
        <v>2861</v>
      </c>
      <c r="AC80" t="s">
        <v>3047</v>
      </c>
      <c r="AD80" s="249" t="str">
        <f>HYPERLINK("https://scontent.cdninstagram.com/t51.2885-15/s320x320/e35/20688694_163662497528705_8557225285009801216_n.jpg")</f>
        <v>https://scontent.cdninstagram.com/t51.2885-15/s320x320/e35/20688694_163662497528705_8557225285009801216_n.jpg</v>
      </c>
      <c r="AE80" s="249" t="str">
        <f>HYPERLINK("https://scontent.cdninstagram.com/t51.2885-19/s150x150/20837350_189836241557489_983839040279150592_a.jpg")</f>
        <v>https://scontent.cdninstagram.com/t51.2885-19/s150x150/20837350_189836241557489_983839040279150592_a.jpg</v>
      </c>
    </row>
    <row r="81" spans="1:31" ht="15" x14ac:dyDescent="0.25">
      <c r="A81" t="s">
        <v>2474</v>
      </c>
      <c r="B81" t="s">
        <v>3048</v>
      </c>
      <c r="C81" s="221">
        <v>42958.513356481482</v>
      </c>
      <c r="D81" t="s">
        <v>3049</v>
      </c>
      <c r="E81" s="249" t="str">
        <f>HYPERLINK("https://www.instagram.com/p/BXqPM1vjMBf/")</f>
        <v>https://www.instagram.com/p/BXqPM1vjMBf/</v>
      </c>
      <c r="F81" t="s">
        <v>3050</v>
      </c>
      <c r="G81" t="s">
        <v>2478</v>
      </c>
      <c r="H81">
        <v>934</v>
      </c>
      <c r="I81" t="s">
        <v>2748</v>
      </c>
      <c r="J81">
        <v>4</v>
      </c>
      <c r="K81">
        <v>81</v>
      </c>
      <c r="L81">
        <v>85</v>
      </c>
      <c r="Q81">
        <v>0</v>
      </c>
      <c r="R81">
        <v>0</v>
      </c>
      <c r="S81">
        <v>85</v>
      </c>
      <c r="T81" t="s">
        <v>3051</v>
      </c>
      <c r="V81" t="s">
        <v>2648</v>
      </c>
      <c r="W81">
        <v>55.964142835372002</v>
      </c>
      <c r="X81">
        <v>37.409166405712</v>
      </c>
      <c r="Y81" t="s">
        <v>3052</v>
      </c>
      <c r="Z81" t="s">
        <v>3053</v>
      </c>
      <c r="AA81" t="s">
        <v>3054</v>
      </c>
      <c r="AB81" t="s">
        <v>2497</v>
      </c>
      <c r="AD81" s="249" t="str">
        <f>HYPERLINK("https://scontent.cdninstagram.com/t51.2885-15/s320x320/e35/c0.135.1080.1080/20759218_1892870380974987_3665140746115088384_n.jpg")</f>
        <v>https://scontent.cdninstagram.com/t51.2885-15/s320x320/e35/c0.135.1080.1080/20759218_1892870380974987_3665140746115088384_n.jpg</v>
      </c>
      <c r="AE81" s="249" t="str">
        <f>HYPERLINK("https://scontent.cdninstagram.com/t51.2885-19/s150x150/14063392_347341955654146_1322852788_a.jpg")</f>
        <v>https://scontent.cdninstagram.com/t51.2885-19/s150x150/14063392_347341955654146_1322852788_a.jpg</v>
      </c>
    </row>
    <row r="82" spans="1:31" ht="15" x14ac:dyDescent="0.25">
      <c r="A82" t="s">
        <v>2474</v>
      </c>
      <c r="B82" t="s">
        <v>3055</v>
      </c>
      <c r="C82" s="221">
        <v>42958.519641203704</v>
      </c>
      <c r="D82" t="s">
        <v>3056</v>
      </c>
      <c r="E82" s="249" t="str">
        <f>HYPERLINK("https://www.instagram.com/p/BXqQPG7nk4u/")</f>
        <v>https://www.instagram.com/p/BXqQPG7nk4u/</v>
      </c>
      <c r="F82" t="s">
        <v>3057</v>
      </c>
      <c r="G82" t="s">
        <v>2478</v>
      </c>
      <c r="H82">
        <v>145</v>
      </c>
      <c r="I82" t="s">
        <v>2479</v>
      </c>
      <c r="J82">
        <v>1</v>
      </c>
      <c r="K82">
        <v>22</v>
      </c>
      <c r="L82">
        <v>23</v>
      </c>
      <c r="Q82">
        <v>0</v>
      </c>
      <c r="R82">
        <v>0</v>
      </c>
      <c r="S82">
        <v>23</v>
      </c>
      <c r="Y82" t="s">
        <v>3058</v>
      </c>
      <c r="Z82" t="s">
        <v>3059</v>
      </c>
      <c r="AA82" t="s">
        <v>2497</v>
      </c>
      <c r="AB82" t="s">
        <v>3060</v>
      </c>
      <c r="AC82" t="s">
        <v>3061</v>
      </c>
      <c r="AD82" s="249" t="str">
        <f>HYPERLINK("https://scontent.cdninstagram.com/t51.2885-15/s320x320/e35/c110.0.745.745/20759773_778819692319654_6371158137608601600_n.jpg")</f>
        <v>https://scontent.cdninstagram.com/t51.2885-15/s320x320/e35/c110.0.745.745/20759773_778819692319654_6371158137608601600_n.jpg</v>
      </c>
      <c r="AE82" s="249" t="str">
        <f>HYPERLINK("https://scontent.cdninstagram.com/t51.2885-19/s150x150/12534162_1031877433501510_1281420640_a.jpg")</f>
        <v>https://scontent.cdninstagram.com/t51.2885-19/s150x150/12534162_1031877433501510_1281420640_a.jpg</v>
      </c>
    </row>
    <row r="83" spans="1:31" ht="15" x14ac:dyDescent="0.25">
      <c r="A83" t="s">
        <v>2474</v>
      </c>
      <c r="B83" t="s">
        <v>3062</v>
      </c>
      <c r="C83" s="221">
        <v>42958.522164351853</v>
      </c>
      <c r="D83" t="s">
        <v>3063</v>
      </c>
      <c r="E83" s="249" t="str">
        <f>HYPERLINK("https://www.instagram.com/p/BXqQpscDPmZ/")</f>
        <v>https://www.instagram.com/p/BXqQpscDPmZ/</v>
      </c>
      <c r="F83" t="s">
        <v>3064</v>
      </c>
      <c r="G83" t="s">
        <v>2478</v>
      </c>
      <c r="H83">
        <v>4</v>
      </c>
      <c r="I83" t="s">
        <v>2479</v>
      </c>
      <c r="J83">
        <v>0</v>
      </c>
      <c r="K83">
        <v>0</v>
      </c>
      <c r="L83">
        <v>0</v>
      </c>
      <c r="Q83">
        <v>0</v>
      </c>
      <c r="R83">
        <v>0</v>
      </c>
      <c r="S83">
        <v>0</v>
      </c>
      <c r="Y83" t="s">
        <v>2497</v>
      </c>
      <c r="AD83" s="249" t="str">
        <f>HYPERLINK("https://scontent.cdninstagram.com/t51.2885-15/s320x320/e35/c0.134.1080.1080/20837321_160263627867677_9119367161809207296_n.jpg")</f>
        <v>https://scontent.cdninstagram.com/t51.2885-15/s320x320/e35/c0.134.1080.1080/20837321_160263627867677_9119367161809207296_n.jpg</v>
      </c>
      <c r="AE83" s="249" t="str">
        <f>HYPERLINK("https://scontent-lht6-1.cdninstagram.com/t51.2885-19/11906329_960233084022564_1448528159_a.jpg")</f>
        <v>https://scontent-lht6-1.cdninstagram.com/t51.2885-19/11906329_960233084022564_1448528159_a.jpg</v>
      </c>
    </row>
    <row r="84" spans="1:31" ht="15" x14ac:dyDescent="0.25">
      <c r="A84" t="s">
        <v>2474</v>
      </c>
      <c r="B84" t="s">
        <v>3065</v>
      </c>
      <c r="C84" s="221">
        <v>42958.522592592592</v>
      </c>
      <c r="D84" t="s">
        <v>3066</v>
      </c>
      <c r="E84" s="249" t="str">
        <f>HYPERLINK("https://www.instagram.com/p/BXqQuSAD5ar/")</f>
        <v>https://www.instagram.com/p/BXqQuSAD5ar/</v>
      </c>
      <c r="F84" t="s">
        <v>3067</v>
      </c>
      <c r="G84" t="s">
        <v>2478</v>
      </c>
      <c r="H84">
        <v>145</v>
      </c>
      <c r="I84" t="s">
        <v>2479</v>
      </c>
      <c r="J84">
        <v>2</v>
      </c>
      <c r="K84">
        <v>31</v>
      </c>
      <c r="L84">
        <v>33</v>
      </c>
      <c r="Q84">
        <v>0</v>
      </c>
      <c r="R84">
        <v>0</v>
      </c>
      <c r="S84">
        <v>33</v>
      </c>
      <c r="Y84" t="s">
        <v>2497</v>
      </c>
      <c r="Z84" t="s">
        <v>3068</v>
      </c>
      <c r="AA84" t="s">
        <v>3069</v>
      </c>
      <c r="AB84" t="s">
        <v>2861</v>
      </c>
      <c r="AC84" t="s">
        <v>3070</v>
      </c>
      <c r="AD84" s="249" t="str">
        <f>HYPERLINK("https://scontent.cdninstagram.com/t51.2885-15/s320x320/e35/20766536_1381992478520830_3861627399598768128_n.jpg")</f>
        <v>https://scontent.cdninstagram.com/t51.2885-15/s320x320/e35/20766536_1381992478520830_3861627399598768128_n.jpg</v>
      </c>
      <c r="AE84" s="249" t="str">
        <f>HYPERLINK("https://scontent.cdninstagram.com/t51.2885-19/s150x150/19765279_1608513482524058_1389848805645484032_a.jpg")</f>
        <v>https://scontent.cdninstagram.com/t51.2885-19/s150x150/19765279_1608513482524058_1389848805645484032_a.jpg</v>
      </c>
    </row>
    <row r="85" spans="1:31" ht="15" x14ac:dyDescent="0.25">
      <c r="A85" t="s">
        <v>2474</v>
      </c>
      <c r="B85" t="s">
        <v>2644</v>
      </c>
      <c r="C85" s="221">
        <v>42958.524189814816</v>
      </c>
      <c r="D85" t="s">
        <v>3071</v>
      </c>
      <c r="E85" s="249" t="str">
        <f>HYPERLINK("https://www.instagram.com/p/BXqQ_AsAQ6v/")</f>
        <v>https://www.instagram.com/p/BXqQ_AsAQ6v/</v>
      </c>
      <c r="F85" t="s">
        <v>3072</v>
      </c>
      <c r="G85" t="s">
        <v>2478</v>
      </c>
      <c r="H85">
        <v>1758</v>
      </c>
      <c r="I85" t="s">
        <v>2479</v>
      </c>
      <c r="J85">
        <v>0</v>
      </c>
      <c r="K85">
        <v>17</v>
      </c>
      <c r="L85">
        <v>17</v>
      </c>
      <c r="Q85">
        <v>0</v>
      </c>
      <c r="R85">
        <v>0</v>
      </c>
      <c r="S85">
        <v>17</v>
      </c>
      <c r="T85" t="s">
        <v>3073</v>
      </c>
      <c r="V85" t="s">
        <v>2648</v>
      </c>
      <c r="W85">
        <v>55.756070000000001</v>
      </c>
      <c r="X85">
        <v>37.643619999999999</v>
      </c>
      <c r="Y85" t="s">
        <v>3074</v>
      </c>
      <c r="Z85" t="s">
        <v>2651</v>
      </c>
      <c r="AA85" t="s">
        <v>3075</v>
      </c>
      <c r="AB85" t="s">
        <v>3076</v>
      </c>
      <c r="AC85" t="s">
        <v>3077</v>
      </c>
      <c r="AD85" s="249" t="str">
        <f>HYPERLINK("https://scontent.cdninstagram.com/t51.2885-15/s320x320/e35/20687117_2001074360173780_2322054913028259840_n.jpg")</f>
        <v>https://scontent.cdninstagram.com/t51.2885-15/s320x320/e35/20687117_2001074360173780_2322054913028259840_n.jpg</v>
      </c>
      <c r="AE85" s="249" t="str">
        <f>HYPERLINK("https://scontent.cdninstagram.com/t51.2885-19/11372086_1598451257062069_1320225693_a.jpg")</f>
        <v>https://scontent.cdninstagram.com/t51.2885-19/11372086_1598451257062069_1320225693_a.jpg</v>
      </c>
    </row>
    <row r="86" spans="1:31" ht="15" x14ac:dyDescent="0.25">
      <c r="A86" t="s">
        <v>2474</v>
      </c>
      <c r="B86" t="s">
        <v>3078</v>
      </c>
      <c r="C86" s="221">
        <v>42958.524340277778</v>
      </c>
      <c r="D86" t="s">
        <v>3079</v>
      </c>
      <c r="E86" s="249" t="str">
        <f>HYPERLINK("https://www.instagram.com/p/BXqRAqvglVh/")</f>
        <v>https://www.instagram.com/p/BXqRAqvglVh/</v>
      </c>
      <c r="F86" t="s">
        <v>3080</v>
      </c>
      <c r="G86" t="s">
        <v>2631</v>
      </c>
      <c r="H86">
        <v>269</v>
      </c>
      <c r="I86" t="s">
        <v>2479</v>
      </c>
      <c r="J86">
        <v>0</v>
      </c>
      <c r="K86">
        <v>14</v>
      </c>
      <c r="L86">
        <v>14</v>
      </c>
      <c r="Q86">
        <v>0</v>
      </c>
      <c r="R86">
        <v>0</v>
      </c>
      <c r="S86">
        <v>14</v>
      </c>
      <c r="Y86" t="s">
        <v>3081</v>
      </c>
      <c r="Z86" t="s">
        <v>3082</v>
      </c>
      <c r="AA86" t="s">
        <v>2968</v>
      </c>
      <c r="AB86" t="s">
        <v>2497</v>
      </c>
      <c r="AC86" t="s">
        <v>3083</v>
      </c>
      <c r="AD86" s="249" t="str">
        <f>HYPERLINK("https://scontent.cdninstagram.com/t51.2885-15/s320x320/e15/20686947_1881324535460566_4284508329079734272_n.jpg")</f>
        <v>https://scontent.cdninstagram.com/t51.2885-15/s320x320/e15/20686947_1881324535460566_4284508329079734272_n.jpg</v>
      </c>
      <c r="AE86" s="249" t="str">
        <f>HYPERLINK("https://scontent.cdninstagram.com/t51.2885-19/s150x150/17883104_1299667926777296_3091876360012955648_n.jpg")</f>
        <v>https://scontent.cdninstagram.com/t51.2885-19/s150x150/17883104_1299667926777296_3091876360012955648_n.jpg</v>
      </c>
    </row>
    <row r="87" spans="1:31" ht="15" x14ac:dyDescent="0.25">
      <c r="A87" t="s">
        <v>2474</v>
      </c>
      <c r="B87" t="s">
        <v>3084</v>
      </c>
      <c r="C87" s="221">
        <v>42958.524861111109</v>
      </c>
      <c r="D87" t="s">
        <v>3085</v>
      </c>
      <c r="E87" s="249" t="str">
        <f>HYPERLINK("https://www.instagram.com/p/BXqRGMqlgi_/")</f>
        <v>https://www.instagram.com/p/BXqRGMqlgi_/</v>
      </c>
      <c r="F87" t="s">
        <v>3086</v>
      </c>
      <c r="G87" t="s">
        <v>2478</v>
      </c>
      <c r="H87">
        <v>106</v>
      </c>
      <c r="I87" t="s">
        <v>2479</v>
      </c>
      <c r="J87">
        <v>1</v>
      </c>
      <c r="K87">
        <v>50</v>
      </c>
      <c r="L87">
        <v>51</v>
      </c>
      <c r="Q87">
        <v>0</v>
      </c>
      <c r="R87">
        <v>0</v>
      </c>
      <c r="S87">
        <v>51</v>
      </c>
      <c r="T87" t="s">
        <v>3087</v>
      </c>
      <c r="V87" t="s">
        <v>2103</v>
      </c>
      <c r="W87">
        <v>47.393217715044997</v>
      </c>
      <c r="X87">
        <v>13.693168893412</v>
      </c>
      <c r="Y87" t="s">
        <v>3088</v>
      </c>
      <c r="Z87" t="s">
        <v>2497</v>
      </c>
      <c r="AA87" t="s">
        <v>3089</v>
      </c>
      <c r="AB87" t="s">
        <v>3090</v>
      </c>
      <c r="AC87" t="s">
        <v>3091</v>
      </c>
      <c r="AD87" s="249" t="str">
        <f>HYPERLINK("https://scontent.cdninstagram.com/t51.2885-15/s320x320/e35/c0.135.1080.1080/20837598_1883634555219006_5840910292812300288_n.jpg")</f>
        <v>https://scontent.cdninstagram.com/t51.2885-15/s320x320/e35/c0.135.1080.1080/20837598_1883634555219006_5840910292812300288_n.jpg</v>
      </c>
      <c r="AE87" s="249" t="str">
        <f>HYPERLINK("https://scontent.cdninstagram.com/t51.2885-19/s150x150/16583608_226711481125009_3760263813476122624_a.jpg")</f>
        <v>https://scontent.cdninstagram.com/t51.2885-19/s150x150/16583608_226711481125009_3760263813476122624_a.jpg</v>
      </c>
    </row>
    <row r="88" spans="1:31" ht="15" x14ac:dyDescent="0.25">
      <c r="A88" t="s">
        <v>2474</v>
      </c>
      <c r="B88" t="s">
        <v>3092</v>
      </c>
      <c r="C88" s="221">
        <v>42958.526423611111</v>
      </c>
      <c r="D88" t="s">
        <v>3093</v>
      </c>
      <c r="E88" s="249" t="str">
        <f>HYPERLINK("https://www.instagram.com/p/BXqRWn5BrBx/")</f>
        <v>https://www.instagram.com/p/BXqRWn5BrBx/</v>
      </c>
      <c r="F88" t="s">
        <v>3094</v>
      </c>
      <c r="G88" t="s">
        <v>2478</v>
      </c>
      <c r="H88">
        <v>2095</v>
      </c>
      <c r="I88" t="s">
        <v>2542</v>
      </c>
      <c r="J88">
        <v>0</v>
      </c>
      <c r="K88">
        <v>6</v>
      </c>
      <c r="L88">
        <v>6</v>
      </c>
      <c r="Q88">
        <v>0</v>
      </c>
      <c r="R88">
        <v>0</v>
      </c>
      <c r="S88">
        <v>6</v>
      </c>
      <c r="Y88" t="s">
        <v>3095</v>
      </c>
      <c r="Z88" t="s">
        <v>2497</v>
      </c>
      <c r="AD88" s="249" t="str">
        <f>HYPERLINK("https://scontent.cdninstagram.com/t51.2885-15/s320x320/e35/20759733_709919069203584_2480813534401789952_n.jpg")</f>
        <v>https://scontent.cdninstagram.com/t51.2885-15/s320x320/e35/20759733_709919069203584_2480813534401789952_n.jpg</v>
      </c>
      <c r="AE88" s="249" t="str">
        <f>HYPERLINK("https://scontent.cdninstagram.com/t51.2885-19/s150x150/20759880_141363059794145_2647355104667107328_a.jpg")</f>
        <v>https://scontent.cdninstagram.com/t51.2885-19/s150x150/20759880_141363059794145_2647355104667107328_a.jpg</v>
      </c>
    </row>
    <row r="89" spans="1:31" ht="15" x14ac:dyDescent="0.25">
      <c r="A89" t="s">
        <v>2474</v>
      </c>
      <c r="B89" t="s">
        <v>3096</v>
      </c>
      <c r="C89" s="221">
        <v>42958.530092592591</v>
      </c>
      <c r="D89" t="s">
        <v>3097</v>
      </c>
      <c r="E89" s="249" t="str">
        <f>HYPERLINK("https://www.instagram.com/p/BXqR9WgBCVY/")</f>
        <v>https://www.instagram.com/p/BXqR9WgBCVY/</v>
      </c>
      <c r="F89" t="s">
        <v>3098</v>
      </c>
      <c r="G89" t="s">
        <v>2478</v>
      </c>
      <c r="H89">
        <v>88</v>
      </c>
      <c r="I89" t="s">
        <v>2599</v>
      </c>
      <c r="J89">
        <v>1</v>
      </c>
      <c r="K89">
        <v>6</v>
      </c>
      <c r="L89">
        <v>7</v>
      </c>
      <c r="Q89">
        <v>0</v>
      </c>
      <c r="R89">
        <v>0</v>
      </c>
      <c r="S89">
        <v>7</v>
      </c>
      <c r="Y89" t="s">
        <v>3099</v>
      </c>
      <c r="Z89" t="s">
        <v>2898</v>
      </c>
      <c r="AA89" t="s">
        <v>2575</v>
      </c>
      <c r="AB89" t="s">
        <v>2497</v>
      </c>
      <c r="AD89" s="249" t="str">
        <f>HYPERLINK("https://scontent.cdninstagram.com/t51.2885-15/s320x320/e35/20759332_1534268273298803_2569700244824522752_n.jpg")</f>
        <v>https://scontent.cdninstagram.com/t51.2885-15/s320x320/e35/20759332_1534268273298803_2569700244824522752_n.jpg</v>
      </c>
      <c r="AE89" s="249" t="str">
        <f>HYPERLINK("https://scontent.cdninstagram.com/t51.2885-19/s150x150/20837665_222236534972334_6628265179278737408_a.jpg")</f>
        <v>https://scontent.cdninstagram.com/t51.2885-19/s150x150/20837665_222236534972334_6628265179278737408_a.jpg</v>
      </c>
    </row>
    <row r="90" spans="1:31" ht="15" x14ac:dyDescent="0.25">
      <c r="A90" t="s">
        <v>2474</v>
      </c>
      <c r="B90" t="s">
        <v>3100</v>
      </c>
      <c r="C90" s="221">
        <v>42958.542916666665</v>
      </c>
      <c r="D90" t="s">
        <v>3101</v>
      </c>
      <c r="E90" s="249" t="str">
        <f>HYPERLINK("https://www.instagram.com/p/BXqUEo1hV9N/")</f>
        <v>https://www.instagram.com/p/BXqUEo1hV9N/</v>
      </c>
      <c r="F90" t="s">
        <v>3102</v>
      </c>
      <c r="G90" t="s">
        <v>2488</v>
      </c>
      <c r="H90">
        <v>303</v>
      </c>
      <c r="I90" t="s">
        <v>2479</v>
      </c>
      <c r="J90">
        <v>0</v>
      </c>
      <c r="K90">
        <v>18</v>
      </c>
      <c r="L90">
        <v>18</v>
      </c>
      <c r="Q90">
        <v>0</v>
      </c>
      <c r="R90">
        <v>0</v>
      </c>
      <c r="S90">
        <v>18</v>
      </c>
      <c r="Y90" t="s">
        <v>3103</v>
      </c>
      <c r="Z90" t="s">
        <v>3104</v>
      </c>
      <c r="AA90" t="s">
        <v>2497</v>
      </c>
      <c r="AB90" t="s">
        <v>3105</v>
      </c>
      <c r="AC90" t="s">
        <v>3106</v>
      </c>
      <c r="AD90" s="249" t="str">
        <f>HYPERLINK("https://scontent.cdninstagram.com/t51.2885-15/s320x320/e35/20688099_1273154979480836_4151602327041605632_n.jpg")</f>
        <v>https://scontent.cdninstagram.com/t51.2885-15/s320x320/e35/20688099_1273154979480836_4151602327041605632_n.jpg</v>
      </c>
      <c r="AE90" s="249" t="str">
        <f>HYPERLINK("https://scontent.cdninstagram.com/t51.2885-19/s150x150/15056709_1017058621733645_4301311478092267520_a.jpg")</f>
        <v>https://scontent.cdninstagram.com/t51.2885-19/s150x150/15056709_1017058621733645_4301311478092267520_a.jpg</v>
      </c>
    </row>
    <row r="91" spans="1:31" ht="15" x14ac:dyDescent="0.25">
      <c r="A91" t="s">
        <v>2474</v>
      </c>
      <c r="B91" t="s">
        <v>3107</v>
      </c>
      <c r="C91" s="221">
        <v>42958.546238425923</v>
      </c>
      <c r="D91" t="s">
        <v>3108</v>
      </c>
      <c r="E91" s="249" t="str">
        <f>HYPERLINK("https://www.instagram.com/p/BXqUnlFA85a/")</f>
        <v>https://www.instagram.com/p/BXqUnlFA85a/</v>
      </c>
      <c r="F91" t="s">
        <v>3109</v>
      </c>
      <c r="G91" t="s">
        <v>2478</v>
      </c>
      <c r="H91">
        <v>691</v>
      </c>
      <c r="I91" t="s">
        <v>2479</v>
      </c>
      <c r="J91">
        <v>4</v>
      </c>
      <c r="K91">
        <v>79</v>
      </c>
      <c r="L91">
        <v>83</v>
      </c>
      <c r="Q91">
        <v>0</v>
      </c>
      <c r="R91">
        <v>0</v>
      </c>
      <c r="S91">
        <v>83</v>
      </c>
      <c r="Y91" t="s">
        <v>2734</v>
      </c>
      <c r="Z91" t="s">
        <v>2497</v>
      </c>
      <c r="AA91" t="s">
        <v>3110</v>
      </c>
      <c r="AB91" t="s">
        <v>3111</v>
      </c>
      <c r="AC91" t="s">
        <v>3112</v>
      </c>
      <c r="AD91" s="249" t="str">
        <f>HYPERLINK("https://scontent.cdninstagram.com/t51.2885-15/s320x320/e35/20766932_1072447789556444_7927679471367225344_n.jpg")</f>
        <v>https://scontent.cdninstagram.com/t51.2885-15/s320x320/e35/20766932_1072447789556444_7927679471367225344_n.jpg</v>
      </c>
      <c r="AE91" s="249" t="str">
        <f>HYPERLINK("https://scontent.cdninstagram.com/t51.2885-19/s150x150/20687223_1716140478692056_1498828159057920000_a.jpg")</f>
        <v>https://scontent.cdninstagram.com/t51.2885-19/s150x150/20687223_1716140478692056_1498828159057920000_a.jpg</v>
      </c>
    </row>
    <row r="92" spans="1:31" ht="15" x14ac:dyDescent="0.25">
      <c r="A92" t="s">
        <v>2474</v>
      </c>
      <c r="B92" t="s">
        <v>3113</v>
      </c>
      <c r="C92" s="221">
        <v>42958.5469212963</v>
      </c>
      <c r="D92" t="s">
        <v>3114</v>
      </c>
      <c r="E92" s="249" t="str">
        <f>HYPERLINK("https://www.instagram.com/p/BXqUuwTgPOO/")</f>
        <v>https://www.instagram.com/p/BXqUuwTgPOO/</v>
      </c>
      <c r="F92" t="s">
        <v>3115</v>
      </c>
      <c r="G92" t="s">
        <v>2478</v>
      </c>
      <c r="H92">
        <v>116</v>
      </c>
      <c r="I92" t="s">
        <v>2479</v>
      </c>
      <c r="J92">
        <v>2</v>
      </c>
      <c r="K92">
        <v>7</v>
      </c>
      <c r="L92">
        <v>9</v>
      </c>
      <c r="Q92">
        <v>0</v>
      </c>
      <c r="R92">
        <v>0</v>
      </c>
      <c r="S92">
        <v>9</v>
      </c>
      <c r="Y92" t="s">
        <v>3116</v>
      </c>
      <c r="Z92" t="s">
        <v>2497</v>
      </c>
      <c r="AA92" t="s">
        <v>3117</v>
      </c>
      <c r="AB92" t="s">
        <v>3118</v>
      </c>
      <c r="AC92" t="s">
        <v>3119</v>
      </c>
      <c r="AD92" s="249" t="str">
        <f>HYPERLINK("https://scontent.cdninstagram.com/t51.2885-15/s320x320/e35/20759066_1877491542503772_4895425271831724032_n.jpg")</f>
        <v>https://scontent.cdninstagram.com/t51.2885-15/s320x320/e35/20759066_1877491542503772_4895425271831724032_n.jpg</v>
      </c>
      <c r="AE92" s="249" t="str">
        <f>HYPERLINK("https://scontent.cdninstagram.com/t51.2885-19/s150x150/12599164_256515214696366_30313078_a.jpg")</f>
        <v>https://scontent.cdninstagram.com/t51.2885-19/s150x150/12599164_256515214696366_30313078_a.jpg</v>
      </c>
    </row>
    <row r="93" spans="1:31" ht="15" x14ac:dyDescent="0.25">
      <c r="A93" t="s">
        <v>2474</v>
      </c>
      <c r="B93" t="s">
        <v>3120</v>
      </c>
      <c r="C93" s="221">
        <v>42958.547777777778</v>
      </c>
      <c r="D93" t="s">
        <v>3121</v>
      </c>
      <c r="E93" s="249" t="str">
        <f>HYPERLINK("https://www.instagram.com/p/BXqU35wAmjU/")</f>
        <v>https://www.instagram.com/p/BXqU35wAmjU/</v>
      </c>
      <c r="F93" t="s">
        <v>3122</v>
      </c>
      <c r="G93" t="s">
        <v>2478</v>
      </c>
      <c r="H93">
        <v>3570</v>
      </c>
      <c r="I93" t="s">
        <v>2479</v>
      </c>
      <c r="J93">
        <v>3</v>
      </c>
      <c r="K93">
        <v>106</v>
      </c>
      <c r="L93">
        <v>109</v>
      </c>
      <c r="Q93">
        <v>0</v>
      </c>
      <c r="R93">
        <v>0</v>
      </c>
      <c r="S93">
        <v>109</v>
      </c>
      <c r="T93" t="s">
        <v>3123</v>
      </c>
      <c r="V93" t="s">
        <v>2288</v>
      </c>
      <c r="W93">
        <v>53.466700000000003</v>
      </c>
      <c r="X93">
        <v>-2.2332999999999998</v>
      </c>
      <c r="Y93" t="s">
        <v>2551</v>
      </c>
      <c r="Z93" t="s">
        <v>3124</v>
      </c>
      <c r="AA93" t="s">
        <v>3125</v>
      </c>
      <c r="AB93" t="s">
        <v>3126</v>
      </c>
      <c r="AC93" t="s">
        <v>2497</v>
      </c>
      <c r="AD93" s="249" t="str">
        <f>HYPERLINK("https://scontent.cdninstagram.com/t51.2885-15/s320x320/e35/20837452_601629110225479_7764463064782471168_n.jpg")</f>
        <v>https://scontent.cdninstagram.com/t51.2885-15/s320x320/e35/20837452_601629110225479_7764463064782471168_n.jpg</v>
      </c>
      <c r="AE93" s="249" t="str">
        <f>HYPERLINK("https://scontent.cdninstagram.com/t51.2885-19/s150x150/19955318_410278302699524_3857336297773334528_a.jpg")</f>
        <v>https://scontent.cdninstagram.com/t51.2885-19/s150x150/19955318_410278302699524_3857336297773334528_a.jpg</v>
      </c>
    </row>
    <row r="94" spans="1:31" ht="15" x14ac:dyDescent="0.25">
      <c r="A94" t="s">
        <v>2474</v>
      </c>
      <c r="B94" t="s">
        <v>3127</v>
      </c>
      <c r="C94" s="221">
        <v>42958.550034722219</v>
      </c>
      <c r="D94" t="s">
        <v>3128</v>
      </c>
      <c r="E94" s="249" t="str">
        <f>HYPERLINK("https://www.instagram.com/p/BXqVPrBDVou/")</f>
        <v>https://www.instagram.com/p/BXqVPrBDVou/</v>
      </c>
      <c r="F94" t="s">
        <v>3129</v>
      </c>
      <c r="G94" t="s">
        <v>2478</v>
      </c>
      <c r="H94">
        <v>43</v>
      </c>
      <c r="I94" t="s">
        <v>2479</v>
      </c>
      <c r="J94">
        <v>0</v>
      </c>
      <c r="K94">
        <v>8</v>
      </c>
      <c r="L94">
        <v>8</v>
      </c>
      <c r="Q94">
        <v>0</v>
      </c>
      <c r="R94">
        <v>0</v>
      </c>
      <c r="S94">
        <v>8</v>
      </c>
      <c r="Y94" t="s">
        <v>3130</v>
      </c>
      <c r="Z94" t="s">
        <v>3131</v>
      </c>
      <c r="AA94" t="s">
        <v>3132</v>
      </c>
      <c r="AB94" t="s">
        <v>2497</v>
      </c>
      <c r="AD94" s="249" t="str">
        <f>HYPERLINK("https://scontent.cdninstagram.com/t51.2885-15/s320x320/e35/20687283_252410431932793_3114875205508399104_n.jpg")</f>
        <v>https://scontent.cdninstagram.com/t51.2885-15/s320x320/e35/20687283_252410431932793_3114875205508399104_n.jpg</v>
      </c>
      <c r="AE94" s="249" t="str">
        <f>HYPERLINK("https://scontent.cdninstagram.com/t51.2885-19/s150x150/20635220_445197159197105_6256517652227817472_a.jpg")</f>
        <v>https://scontent.cdninstagram.com/t51.2885-19/s150x150/20635220_445197159197105_6256517652227817472_a.jpg</v>
      </c>
    </row>
    <row r="95" spans="1:31" ht="15" x14ac:dyDescent="0.25">
      <c r="A95" t="s">
        <v>2474</v>
      </c>
      <c r="B95" t="s">
        <v>3133</v>
      </c>
      <c r="C95" s="221">
        <v>42958.555706018517</v>
      </c>
      <c r="D95" t="s">
        <v>3134</v>
      </c>
      <c r="E95" s="249" t="str">
        <f>HYPERLINK("https://www.instagram.com/p/BXqWLctlXXZ/")</f>
        <v>https://www.instagram.com/p/BXqWLctlXXZ/</v>
      </c>
      <c r="F95" t="s">
        <v>3135</v>
      </c>
      <c r="G95" t="s">
        <v>2478</v>
      </c>
      <c r="H95">
        <v>317</v>
      </c>
      <c r="I95" t="s">
        <v>2479</v>
      </c>
      <c r="J95">
        <v>3</v>
      </c>
      <c r="K95">
        <v>67</v>
      </c>
      <c r="L95">
        <v>70</v>
      </c>
      <c r="Q95">
        <v>0</v>
      </c>
      <c r="R95">
        <v>0</v>
      </c>
      <c r="S95">
        <v>70</v>
      </c>
      <c r="Y95" t="s">
        <v>3136</v>
      </c>
      <c r="Z95" t="s">
        <v>2497</v>
      </c>
      <c r="AA95" t="s">
        <v>3137</v>
      </c>
      <c r="AB95" t="s">
        <v>3138</v>
      </c>
      <c r="AC95" t="s">
        <v>3139</v>
      </c>
      <c r="AD95" s="249" t="str">
        <f>HYPERLINK("https://scontent.cdninstagram.com/t51.2885-15/s320x320/e35/20759684_1254124874696007_1980806657415839744_n.jpg")</f>
        <v>https://scontent.cdninstagram.com/t51.2885-15/s320x320/e35/20759684_1254124874696007_1980806657415839744_n.jpg</v>
      </c>
      <c r="AE95" s="249" t="str">
        <f>HYPERLINK("https://scontent.cdninstagram.com/t51.2885-19/s150x150/20902057_457018761346753_438269883201880064_a.jpg")</f>
        <v>https://scontent.cdninstagram.com/t51.2885-19/s150x150/20902057_457018761346753_438269883201880064_a.jpg</v>
      </c>
    </row>
    <row r="96" spans="1:31" ht="15" x14ac:dyDescent="0.25">
      <c r="A96" t="s">
        <v>2474</v>
      </c>
      <c r="B96" t="s">
        <v>3140</v>
      </c>
      <c r="C96" s="221">
        <v>42958.559560185182</v>
      </c>
      <c r="D96" t="s">
        <v>3141</v>
      </c>
      <c r="E96" s="249" t="str">
        <f>HYPERLINK("https://www.instagram.com/p/BXqW0ImDMLl/")</f>
        <v>https://www.instagram.com/p/BXqW0ImDMLl/</v>
      </c>
      <c r="F96" t="s">
        <v>3142</v>
      </c>
      <c r="G96" t="s">
        <v>2478</v>
      </c>
      <c r="H96">
        <v>109</v>
      </c>
      <c r="I96" t="s">
        <v>2903</v>
      </c>
      <c r="J96">
        <v>0</v>
      </c>
      <c r="K96">
        <v>33</v>
      </c>
      <c r="L96">
        <v>33</v>
      </c>
      <c r="Q96">
        <v>0</v>
      </c>
      <c r="R96">
        <v>0</v>
      </c>
      <c r="S96">
        <v>33</v>
      </c>
      <c r="T96" t="s">
        <v>3143</v>
      </c>
      <c r="V96" t="s">
        <v>2161</v>
      </c>
      <c r="W96">
        <v>51.403485038856999</v>
      </c>
      <c r="X96">
        <v>7.0112909311163998</v>
      </c>
      <c r="Y96" t="s">
        <v>3144</v>
      </c>
      <c r="Z96" t="s">
        <v>2497</v>
      </c>
      <c r="AA96" t="s">
        <v>3145</v>
      </c>
      <c r="AB96" t="s">
        <v>3146</v>
      </c>
      <c r="AC96" t="s">
        <v>3147</v>
      </c>
      <c r="AD96" s="249" t="str">
        <f>HYPERLINK("https://scontent.cdninstagram.com/t51.2885-15/s320x320/e35/c0.68.1080.1080/20686831_162227674339852_2272331492526915584_n.jpg")</f>
        <v>https://scontent.cdninstagram.com/t51.2885-15/s320x320/e35/c0.68.1080.1080/20686831_162227674339852_2272331492526915584_n.jpg</v>
      </c>
      <c r="AE96" s="249" t="str">
        <f>HYPERLINK("https://scontent.cdninstagram.com/t51.2885-19/s150x150/15258671_595836923957393_878813762608431104_a.jpg")</f>
        <v>https://scontent.cdninstagram.com/t51.2885-19/s150x150/15258671_595836923957393_878813762608431104_a.jpg</v>
      </c>
    </row>
    <row r="97" spans="1:31" ht="15" x14ac:dyDescent="0.25">
      <c r="A97" t="s">
        <v>2474</v>
      </c>
      <c r="B97" t="s">
        <v>3148</v>
      </c>
      <c r="C97" s="221">
        <v>42958.560173611113</v>
      </c>
      <c r="D97" t="s">
        <v>3149</v>
      </c>
      <c r="E97" s="249" t="str">
        <f>HYPERLINK("https://www.instagram.com/p/BXqW6m0BuhW/")</f>
        <v>https://www.instagram.com/p/BXqW6m0BuhW/</v>
      </c>
      <c r="F97" t="s">
        <v>3150</v>
      </c>
      <c r="G97" t="s">
        <v>2478</v>
      </c>
      <c r="H97">
        <v>183</v>
      </c>
      <c r="I97" t="s">
        <v>2479</v>
      </c>
      <c r="J97">
        <v>0</v>
      </c>
      <c r="K97">
        <v>12</v>
      </c>
      <c r="L97">
        <v>12</v>
      </c>
      <c r="Q97">
        <v>0</v>
      </c>
      <c r="R97">
        <v>0</v>
      </c>
      <c r="S97">
        <v>12</v>
      </c>
      <c r="Y97" t="s">
        <v>3151</v>
      </c>
      <c r="Z97" t="s">
        <v>3152</v>
      </c>
      <c r="AA97" t="s">
        <v>3153</v>
      </c>
      <c r="AB97" t="s">
        <v>2497</v>
      </c>
      <c r="AD97" s="249" t="str">
        <f>HYPERLINK("https://scontent.cdninstagram.com/t51.2885-15/s320x320/e35/c0.95.1080.1080/20686912_1793661570925015_1619149679285501952_n.jpg")</f>
        <v>https://scontent.cdninstagram.com/t51.2885-15/s320x320/e35/c0.95.1080.1080/20686912_1793661570925015_1619149679285501952_n.jpg</v>
      </c>
      <c r="AE97" s="249" t="str">
        <f>HYPERLINK("https://scontent.cdninstagram.com/t51.2885-19/s150x150/20180599_528669354182359_2984809525472657408_a.jpg")</f>
        <v>https://scontent.cdninstagram.com/t51.2885-19/s150x150/20180599_528669354182359_2984809525472657408_a.jpg</v>
      </c>
    </row>
    <row r="98" spans="1:31" ht="15" x14ac:dyDescent="0.25">
      <c r="A98" t="s">
        <v>2474</v>
      </c>
      <c r="B98" t="s">
        <v>3154</v>
      </c>
      <c r="C98" s="221">
        <v>42958.560219907406</v>
      </c>
      <c r="D98" t="s">
        <v>3155</v>
      </c>
      <c r="E98" s="249" t="str">
        <f>HYPERLINK("https://www.instagram.com/p/BXqW7HADewH/")</f>
        <v>https://www.instagram.com/p/BXqW7HADewH/</v>
      </c>
      <c r="F98" t="s">
        <v>3156</v>
      </c>
      <c r="G98" t="s">
        <v>2478</v>
      </c>
      <c r="H98">
        <v>850</v>
      </c>
      <c r="I98" t="s">
        <v>2479</v>
      </c>
      <c r="J98">
        <v>3</v>
      </c>
      <c r="K98">
        <v>105</v>
      </c>
      <c r="L98">
        <v>108</v>
      </c>
      <c r="Q98">
        <v>0</v>
      </c>
      <c r="R98">
        <v>0</v>
      </c>
      <c r="S98">
        <v>108</v>
      </c>
      <c r="Y98" t="s">
        <v>2497</v>
      </c>
      <c r="Z98" t="s">
        <v>3157</v>
      </c>
      <c r="AA98" t="s">
        <v>3158</v>
      </c>
      <c r="AB98" t="s">
        <v>3159</v>
      </c>
      <c r="AC98" t="s">
        <v>3160</v>
      </c>
      <c r="AD98" s="249" t="str">
        <f>HYPERLINK("https://scontent.cdninstagram.com/t51.2885-15/s320x320/e35/20687869_1280062695437935_6403899502234697728_n.jpg")</f>
        <v>https://scontent.cdninstagram.com/t51.2885-15/s320x320/e35/20687869_1280062695437935_6403899502234697728_n.jpg</v>
      </c>
      <c r="AE98" s="249" t="str">
        <f>HYPERLINK("https://scontent.cdninstagram.com/t51.2885-19/s150x150/19985569_317129912066691_5696369542196887552_a.jpg")</f>
        <v>https://scontent.cdninstagram.com/t51.2885-19/s150x150/19985569_317129912066691_5696369542196887552_a.jpg</v>
      </c>
    </row>
    <row r="99" spans="1:31" ht="15" x14ac:dyDescent="0.25">
      <c r="A99" t="s">
        <v>2474</v>
      </c>
      <c r="B99" t="s">
        <v>3161</v>
      </c>
      <c r="C99" s="221">
        <v>42958.569652777776</v>
      </c>
      <c r="D99" t="s">
        <v>3162</v>
      </c>
      <c r="E99" s="249" t="str">
        <f>HYPERLINK("https://www.instagram.com/p/BXqYeklAxjw/")</f>
        <v>https://www.instagram.com/p/BXqYeklAxjw/</v>
      </c>
      <c r="F99" t="s">
        <v>3163</v>
      </c>
      <c r="G99" t="s">
        <v>2478</v>
      </c>
      <c r="H99">
        <v>28</v>
      </c>
      <c r="I99" t="s">
        <v>2479</v>
      </c>
      <c r="J99">
        <v>0</v>
      </c>
      <c r="K99">
        <v>19</v>
      </c>
      <c r="L99">
        <v>19</v>
      </c>
      <c r="Q99">
        <v>0</v>
      </c>
      <c r="R99">
        <v>0</v>
      </c>
      <c r="S99">
        <v>19</v>
      </c>
      <c r="Y99" t="s">
        <v>2696</v>
      </c>
      <c r="Z99" t="s">
        <v>3164</v>
      </c>
      <c r="AA99" t="s">
        <v>2767</v>
      </c>
      <c r="AB99" t="s">
        <v>3165</v>
      </c>
      <c r="AC99" t="s">
        <v>3166</v>
      </c>
      <c r="AD99" s="249" t="str">
        <f>HYPERLINK("https://scontent.cdninstagram.com/t51.2885-15/s320x320/e35/20766671_115976225726208_9129761794414346240_n.jpg")</f>
        <v>https://scontent.cdninstagram.com/t51.2885-15/s320x320/e35/20766671_115976225726208_9129761794414346240_n.jpg</v>
      </c>
      <c r="AE99" s="249" t="str">
        <f>HYPERLINK("https://scontent.cdninstagram.com/t51.2885-19/s150x150/20398204_924628341023945_1055593319431667712_a.jpg")</f>
        <v>https://scontent.cdninstagram.com/t51.2885-19/s150x150/20398204_924628341023945_1055593319431667712_a.jpg</v>
      </c>
    </row>
    <row r="100" spans="1:31" ht="15" x14ac:dyDescent="0.25">
      <c r="A100" t="s">
        <v>2474</v>
      </c>
      <c r="B100" t="s">
        <v>3167</v>
      </c>
      <c r="C100" s="221">
        <v>42958.577939814815</v>
      </c>
      <c r="D100" t="s">
        <v>3168</v>
      </c>
      <c r="E100" s="249" t="str">
        <f>HYPERLINK("https://www.instagram.com/p/BXqZ1-3BfSx/")</f>
        <v>https://www.instagram.com/p/BXqZ1-3BfSx/</v>
      </c>
      <c r="F100" t="s">
        <v>3169</v>
      </c>
      <c r="G100" t="s">
        <v>2478</v>
      </c>
      <c r="H100">
        <v>1481</v>
      </c>
      <c r="I100" t="s">
        <v>3170</v>
      </c>
      <c r="J100">
        <v>3</v>
      </c>
      <c r="K100">
        <v>37</v>
      </c>
      <c r="L100">
        <v>40</v>
      </c>
      <c r="Q100">
        <v>0</v>
      </c>
      <c r="R100">
        <v>0</v>
      </c>
      <c r="S100">
        <v>40</v>
      </c>
      <c r="Y100" t="s">
        <v>2497</v>
      </c>
      <c r="Z100" t="s">
        <v>3171</v>
      </c>
      <c r="AA100" t="s">
        <v>3172</v>
      </c>
      <c r="AB100" t="s">
        <v>3173</v>
      </c>
      <c r="AC100" t="s">
        <v>3174</v>
      </c>
      <c r="AD100" s="249" t="str">
        <f>HYPERLINK("https://scontent.cdninstagram.com/t51.2885-15/s320x320/e35/20686857_1297899693671553_8658556006042697728_n.jpg")</f>
        <v>https://scontent.cdninstagram.com/t51.2885-15/s320x320/e35/20686857_1297899693671553_8658556006042697728_n.jpg</v>
      </c>
      <c r="AE100" s="249" t="str">
        <f>HYPERLINK("https://scontent.cdninstagram.com/t51.2885-19/s150x150/19367097_233455457160697_401978938559037440_a.jpg")</f>
        <v>https://scontent.cdninstagram.com/t51.2885-19/s150x150/19367097_233455457160697_401978938559037440_a.jpg</v>
      </c>
    </row>
    <row r="101" spans="1:31" ht="15" x14ac:dyDescent="0.25">
      <c r="A101" t="s">
        <v>2474</v>
      </c>
      <c r="B101" t="s">
        <v>3175</v>
      </c>
      <c r="C101" s="221">
        <v>42958.580590277779</v>
      </c>
      <c r="D101" t="s">
        <v>3176</v>
      </c>
      <c r="E101" s="249" t="str">
        <f>HYPERLINK("https://www.instagram.com/p/BXqaR8iFNqb/")</f>
        <v>https://www.instagram.com/p/BXqaR8iFNqb/</v>
      </c>
      <c r="F101" t="s">
        <v>3177</v>
      </c>
      <c r="G101" t="s">
        <v>2478</v>
      </c>
      <c r="H101">
        <v>372</v>
      </c>
      <c r="I101" t="s">
        <v>2479</v>
      </c>
      <c r="J101">
        <v>1</v>
      </c>
      <c r="K101">
        <v>65</v>
      </c>
      <c r="L101">
        <v>66</v>
      </c>
      <c r="Q101">
        <v>0</v>
      </c>
      <c r="R101">
        <v>0</v>
      </c>
      <c r="S101">
        <v>66</v>
      </c>
      <c r="T101" t="s">
        <v>3178</v>
      </c>
      <c r="V101" t="s">
        <v>2287</v>
      </c>
      <c r="W101">
        <v>25.252199999999998</v>
      </c>
      <c r="X101">
        <v>55.28</v>
      </c>
      <c r="Y101" t="s">
        <v>2497</v>
      </c>
      <c r="Z101" t="s">
        <v>3179</v>
      </c>
      <c r="AA101" t="s">
        <v>3180</v>
      </c>
      <c r="AB101" t="s">
        <v>3181</v>
      </c>
      <c r="AC101" t="s">
        <v>3182</v>
      </c>
      <c r="AD101" s="249" t="str">
        <f>HYPERLINK("https://scontent.cdninstagram.com/t51.2885-15/s320x320/e35/c0.135.1080.1080/20688367_376437772759262_2564576512049152000_n.jpg")</f>
        <v>https://scontent.cdninstagram.com/t51.2885-15/s320x320/e35/c0.135.1080.1080/20688367_376437772759262_2564576512049152000_n.jpg</v>
      </c>
      <c r="AE101" s="249" t="str">
        <f>HYPERLINK("https://scontent.cdninstagram.com/t51.2885-19/s150x150/14714407_207688702997869_1449438788227956736_a.jpg")</f>
        <v>https://scontent.cdninstagram.com/t51.2885-19/s150x150/14714407_207688702997869_1449438788227956736_a.jpg</v>
      </c>
    </row>
    <row r="102" spans="1:31" ht="15" x14ac:dyDescent="0.25">
      <c r="A102" t="s">
        <v>2474</v>
      </c>
      <c r="B102" t="s">
        <v>3183</v>
      </c>
      <c r="C102" s="221">
        <v>42958.586527777778</v>
      </c>
      <c r="D102" t="s">
        <v>3184</v>
      </c>
      <c r="E102" s="249" t="str">
        <f>HYPERLINK("https://www.instagram.com/p/BXqbQh8A9fT/")</f>
        <v>https://www.instagram.com/p/BXqbQh8A9fT/</v>
      </c>
      <c r="F102" t="s">
        <v>3185</v>
      </c>
      <c r="G102" t="s">
        <v>2478</v>
      </c>
      <c r="H102">
        <v>153</v>
      </c>
      <c r="I102" t="s">
        <v>3186</v>
      </c>
      <c r="J102">
        <v>1</v>
      </c>
      <c r="K102">
        <v>9</v>
      </c>
      <c r="L102">
        <v>10</v>
      </c>
      <c r="Q102">
        <v>0</v>
      </c>
      <c r="R102">
        <v>0</v>
      </c>
      <c r="S102">
        <v>10</v>
      </c>
      <c r="Y102" t="s">
        <v>3187</v>
      </c>
      <c r="Z102" t="s">
        <v>2497</v>
      </c>
      <c r="AA102" t="s">
        <v>3188</v>
      </c>
      <c r="AB102" t="s">
        <v>3189</v>
      </c>
      <c r="AC102" t="s">
        <v>2665</v>
      </c>
      <c r="AD102" s="249" t="str">
        <f>HYPERLINK("https://scontent.cdninstagram.com/t51.2885-15/s320x320/e35/20759876_1951580421755466_8229970904726110208_n.jpg")</f>
        <v>https://scontent.cdninstagram.com/t51.2885-15/s320x320/e35/20759876_1951580421755466_8229970904726110208_n.jpg</v>
      </c>
      <c r="AE102" s="249" t="str">
        <f>HYPERLINK("https://scontent.cdninstagram.com/t51.2885-19/s150x150/19625085_755671444612195_5664315969338605568_a.jpg")</f>
        <v>https://scontent.cdninstagram.com/t51.2885-19/s150x150/19625085_755671444612195_5664315969338605568_a.jpg</v>
      </c>
    </row>
    <row r="103" spans="1:31" ht="15" x14ac:dyDescent="0.25">
      <c r="A103" t="s">
        <v>2474</v>
      </c>
      <c r="B103" t="s">
        <v>3190</v>
      </c>
      <c r="C103" s="221">
        <v>42958.589375000003</v>
      </c>
      <c r="D103" t="s">
        <v>3191</v>
      </c>
      <c r="E103" s="249" t="str">
        <f>HYPERLINK("https://www.instagram.com/p/BXqbuiZhS9t/")</f>
        <v>https://www.instagram.com/p/BXqbuiZhS9t/</v>
      </c>
      <c r="F103" t="s">
        <v>3192</v>
      </c>
      <c r="G103" t="s">
        <v>2478</v>
      </c>
      <c r="H103">
        <v>716</v>
      </c>
      <c r="I103" t="s">
        <v>2479</v>
      </c>
      <c r="J103">
        <v>1</v>
      </c>
      <c r="K103">
        <v>83</v>
      </c>
      <c r="L103">
        <v>84</v>
      </c>
      <c r="Q103">
        <v>0</v>
      </c>
      <c r="R103">
        <v>0</v>
      </c>
      <c r="S103">
        <v>84</v>
      </c>
      <c r="T103" t="s">
        <v>3193</v>
      </c>
      <c r="V103" t="s">
        <v>2153</v>
      </c>
      <c r="W103">
        <v>60.456944444443998</v>
      </c>
      <c r="X103">
        <v>26.225000000000001</v>
      </c>
      <c r="Y103" t="s">
        <v>3194</v>
      </c>
      <c r="Z103" t="s">
        <v>3195</v>
      </c>
      <c r="AA103" t="s">
        <v>3196</v>
      </c>
      <c r="AB103" t="s">
        <v>3197</v>
      </c>
      <c r="AC103" t="s">
        <v>3198</v>
      </c>
      <c r="AD103" s="249" t="str">
        <f>HYPERLINK("https://scontent.cdninstagram.com/t51.2885-15/s320x320/e35/20759432_107000253354036_4932688725919399936_n.jpg")</f>
        <v>https://scontent.cdninstagram.com/t51.2885-15/s320x320/e35/20759432_107000253354036_4932688725919399936_n.jpg</v>
      </c>
      <c r="AE103" s="249" t="str">
        <f>HYPERLINK("https://scontent.cdninstagram.com/t51.2885-19/s150x150/18300191_1492555294090540_5066321329049829376_a.jpg")</f>
        <v>https://scontent.cdninstagram.com/t51.2885-19/s150x150/18300191_1492555294090540_5066321329049829376_a.jpg</v>
      </c>
    </row>
    <row r="104" spans="1:31" ht="15" x14ac:dyDescent="0.25">
      <c r="A104" t="s">
        <v>2474</v>
      </c>
      <c r="B104" t="s">
        <v>3199</v>
      </c>
      <c r="C104" s="221">
        <v>42958.591307870367</v>
      </c>
      <c r="D104" t="s">
        <v>3200</v>
      </c>
      <c r="E104" s="249" t="str">
        <f>HYPERLINK("https://www.instagram.com/p/BXqcC7NlyAQ/")</f>
        <v>https://www.instagram.com/p/BXqcC7NlyAQ/</v>
      </c>
      <c r="F104" t="s">
        <v>3201</v>
      </c>
      <c r="G104" t="s">
        <v>2478</v>
      </c>
      <c r="H104">
        <v>303</v>
      </c>
      <c r="I104" t="s">
        <v>2542</v>
      </c>
      <c r="J104">
        <v>2</v>
      </c>
      <c r="K104">
        <v>55</v>
      </c>
      <c r="L104">
        <v>57</v>
      </c>
      <c r="Q104">
        <v>0</v>
      </c>
      <c r="R104">
        <v>0</v>
      </c>
      <c r="S104">
        <v>57</v>
      </c>
      <c r="Y104" t="s">
        <v>2497</v>
      </c>
      <c r="Z104" t="s">
        <v>3202</v>
      </c>
      <c r="AA104" t="s">
        <v>3203</v>
      </c>
      <c r="AB104" t="s">
        <v>3204</v>
      </c>
      <c r="AC104" t="s">
        <v>3205</v>
      </c>
      <c r="AD104" s="249" t="str">
        <f>HYPERLINK("https://scontent.cdninstagram.com/t51.2885-15/s320x320/e35/c0.135.1080.1080/20686796_341969892893516_1223908410542522368_n.jpg")</f>
        <v>https://scontent.cdninstagram.com/t51.2885-15/s320x320/e35/c0.135.1080.1080/20686796_341969892893516_1223908410542522368_n.jpg</v>
      </c>
      <c r="AE104" s="249" t="str">
        <f>HYPERLINK("https://scontent.cdninstagram.com/t51.2885-19/s150x150/20398605_132768073990728_451815200736149504_a.jpg")</f>
        <v>https://scontent.cdninstagram.com/t51.2885-19/s150x150/20398605_132768073990728_451815200736149504_a.jpg</v>
      </c>
    </row>
    <row r="105" spans="1:31" ht="15" x14ac:dyDescent="0.25">
      <c r="A105" t="s">
        <v>2474</v>
      </c>
      <c r="B105" t="s">
        <v>3206</v>
      </c>
      <c r="C105" s="221">
        <v>42958.5937037037</v>
      </c>
      <c r="D105" t="s">
        <v>3207</v>
      </c>
      <c r="E105" s="249" t="str">
        <f>HYPERLINK("https://www.instagram.com/p/BXqccQolQ8b/")</f>
        <v>https://www.instagram.com/p/BXqccQolQ8b/</v>
      </c>
      <c r="F105" t="s">
        <v>3208</v>
      </c>
      <c r="G105" t="s">
        <v>2478</v>
      </c>
      <c r="H105">
        <v>227</v>
      </c>
      <c r="I105" t="s">
        <v>2582</v>
      </c>
      <c r="J105">
        <v>1</v>
      </c>
      <c r="K105">
        <v>44</v>
      </c>
      <c r="L105">
        <v>45</v>
      </c>
      <c r="Q105">
        <v>0</v>
      </c>
      <c r="R105">
        <v>0</v>
      </c>
      <c r="S105">
        <v>45</v>
      </c>
      <c r="Y105" t="s">
        <v>3209</v>
      </c>
      <c r="Z105" t="s">
        <v>3210</v>
      </c>
      <c r="AA105" t="s">
        <v>3211</v>
      </c>
      <c r="AB105" t="s">
        <v>3212</v>
      </c>
      <c r="AC105" t="s">
        <v>3213</v>
      </c>
      <c r="AD105" s="249" t="str">
        <f>HYPERLINK("https://scontent.cdninstagram.com/t51.2885-15/s320x320/e35/c0.50.1080.1080/20766084_1949498861974497_8474352697032572928_n.jpg")</f>
        <v>https://scontent.cdninstagram.com/t51.2885-15/s320x320/e35/c0.50.1080.1080/20766084_1949498861974497_8474352697032572928_n.jpg</v>
      </c>
      <c r="AE105" s="249" t="str">
        <f>HYPERLINK("https://scontent.cdninstagram.com/t51.2885-19/s150x150/20214010_123762504909314_3215645463373938688_a.jpg")</f>
        <v>https://scontent.cdninstagram.com/t51.2885-19/s150x150/20214010_123762504909314_3215645463373938688_a.jpg</v>
      </c>
    </row>
    <row r="106" spans="1:31" ht="15" x14ac:dyDescent="0.25">
      <c r="A106" t="s">
        <v>2474</v>
      </c>
      <c r="B106" t="s">
        <v>3214</v>
      </c>
      <c r="C106" s="221">
        <v>42958.599826388891</v>
      </c>
      <c r="D106" t="s">
        <v>3215</v>
      </c>
      <c r="E106" s="249" t="str">
        <f>HYPERLINK("https://www.instagram.com/p/BXqdcxfAcpN/")</f>
        <v>https://www.instagram.com/p/BXqdcxfAcpN/</v>
      </c>
      <c r="F106" t="s">
        <v>3216</v>
      </c>
      <c r="G106" t="s">
        <v>2478</v>
      </c>
      <c r="H106">
        <v>125</v>
      </c>
      <c r="I106" t="s">
        <v>2510</v>
      </c>
      <c r="J106">
        <v>1</v>
      </c>
      <c r="K106">
        <v>13</v>
      </c>
      <c r="L106">
        <v>14</v>
      </c>
      <c r="Q106">
        <v>0</v>
      </c>
      <c r="R106">
        <v>0</v>
      </c>
      <c r="S106">
        <v>14</v>
      </c>
      <c r="T106" t="s">
        <v>3217</v>
      </c>
      <c r="V106" t="s">
        <v>2141</v>
      </c>
      <c r="W106">
        <v>57.466700000000003</v>
      </c>
      <c r="X106">
        <v>9.9833300000000005</v>
      </c>
      <c r="Y106" t="s">
        <v>3218</v>
      </c>
      <c r="Z106" t="s">
        <v>2492</v>
      </c>
      <c r="AA106" t="s">
        <v>2497</v>
      </c>
      <c r="AB106" t="s">
        <v>3219</v>
      </c>
      <c r="AC106" t="s">
        <v>3220</v>
      </c>
      <c r="AD106" s="249" t="str">
        <f>HYPERLINK("https://scontent.cdninstagram.com/t51.2885-15/s320x320/e35/20687023_866433863512147_6737054342949371904_n.jpg")</f>
        <v>https://scontent.cdninstagram.com/t51.2885-15/s320x320/e35/20687023_866433863512147_6737054342949371904_n.jpg</v>
      </c>
      <c r="AE106" s="249" t="str">
        <f>HYPERLINK("https://scontent.cdninstagram.com/t51.2885-19/s150x150/17437465_171152606734780_4976295765098889216_a.jpg")</f>
        <v>https://scontent.cdninstagram.com/t51.2885-19/s150x150/17437465_171152606734780_4976295765098889216_a.jpg</v>
      </c>
    </row>
    <row r="107" spans="1:31" ht="15" x14ac:dyDescent="0.25">
      <c r="A107" t="s">
        <v>2474</v>
      </c>
      <c r="B107" t="s">
        <v>3221</v>
      </c>
      <c r="C107" s="221">
        <v>42958.600543981483</v>
      </c>
      <c r="D107" t="s">
        <v>3222</v>
      </c>
      <c r="E107" s="249" t="str">
        <f>HYPERLINK("https://www.instagram.com/p/BXqdkWplLFo/")</f>
        <v>https://www.instagram.com/p/BXqdkWplLFo/</v>
      </c>
      <c r="F107" t="s">
        <v>3223</v>
      </c>
      <c r="G107" t="s">
        <v>2478</v>
      </c>
      <c r="H107">
        <v>235</v>
      </c>
      <c r="I107" t="s">
        <v>3170</v>
      </c>
      <c r="J107">
        <v>4</v>
      </c>
      <c r="K107">
        <v>30</v>
      </c>
      <c r="L107">
        <v>34</v>
      </c>
      <c r="Q107">
        <v>0</v>
      </c>
      <c r="R107">
        <v>0</v>
      </c>
      <c r="S107">
        <v>34</v>
      </c>
      <c r="Y107" t="s">
        <v>2497</v>
      </c>
      <c r="Z107" t="s">
        <v>3224</v>
      </c>
      <c r="AA107" t="s">
        <v>3225</v>
      </c>
      <c r="AD107" s="249" t="str">
        <f>HYPERLINK("https://scontent.cdninstagram.com/t51.2885-15/s320x320/e35/c0.135.1080.1080/20759926_864168067074677_8336890555032141824_n.jpg")</f>
        <v>https://scontent.cdninstagram.com/t51.2885-15/s320x320/e35/c0.135.1080.1080/20759926_864168067074677_8336890555032141824_n.jpg</v>
      </c>
      <c r="AE107" s="249" t="str">
        <f>HYPERLINK("https://scontent.cdninstagram.com/t51.2885-19/s150x150/16122868_1633247876978282_921078577263280128_n.jpg")</f>
        <v>https://scontent.cdninstagram.com/t51.2885-19/s150x150/16122868_1633247876978282_921078577263280128_n.jpg</v>
      </c>
    </row>
    <row r="108" spans="1:31" ht="15" x14ac:dyDescent="0.25">
      <c r="A108" t="s">
        <v>2474</v>
      </c>
      <c r="B108" t="s">
        <v>3226</v>
      </c>
      <c r="C108" s="221">
        <v>42958.602094907408</v>
      </c>
      <c r="D108" t="s">
        <v>3227</v>
      </c>
      <c r="E108" s="249" t="str">
        <f>HYPERLINK("https://www.instagram.com/p/BXqd0xfDtMU/")</f>
        <v>https://www.instagram.com/p/BXqd0xfDtMU/</v>
      </c>
      <c r="F108" t="s">
        <v>3228</v>
      </c>
      <c r="G108" t="s">
        <v>2478</v>
      </c>
      <c r="H108">
        <v>948</v>
      </c>
      <c r="I108" t="s">
        <v>2542</v>
      </c>
      <c r="J108">
        <v>7</v>
      </c>
      <c r="K108">
        <v>96</v>
      </c>
      <c r="L108">
        <v>103</v>
      </c>
      <c r="Q108">
        <v>0</v>
      </c>
      <c r="R108">
        <v>0</v>
      </c>
      <c r="S108">
        <v>103</v>
      </c>
      <c r="Y108" t="s">
        <v>2497</v>
      </c>
      <c r="Z108" t="s">
        <v>3229</v>
      </c>
      <c r="AA108" t="s">
        <v>3230</v>
      </c>
      <c r="AB108" t="s">
        <v>3231</v>
      </c>
      <c r="AC108" t="s">
        <v>3232</v>
      </c>
      <c r="AD108" s="249" t="str">
        <f>HYPERLINK("https://scontent.cdninstagram.com/t51.2885-15/s320x320/e35/20634855_130274640917090_8952706633834692608_n.jpg")</f>
        <v>https://scontent.cdninstagram.com/t51.2885-15/s320x320/e35/20634855_130274640917090_8952706633834692608_n.jpg</v>
      </c>
      <c r="AE108" s="249" t="str">
        <f>HYPERLINK("https://scontent.cdninstagram.com/t51.2885-19/s150x150/10950511_837811499661587_1073700019_a.jpg")</f>
        <v>https://scontent.cdninstagram.com/t51.2885-19/s150x150/10950511_837811499661587_1073700019_a.jpg</v>
      </c>
    </row>
    <row r="109" spans="1:31" ht="15" x14ac:dyDescent="0.25">
      <c r="A109" t="s">
        <v>2474</v>
      </c>
      <c r="B109" t="s">
        <v>3233</v>
      </c>
      <c r="C109" s="221">
        <v>42958.603125000001</v>
      </c>
      <c r="D109" t="s">
        <v>3234</v>
      </c>
      <c r="E109" s="249" t="str">
        <f>HYPERLINK("https://www.instagram.com/p/BXqd_kbg0Ei/")</f>
        <v>https://www.instagram.com/p/BXqd_kbg0Ei/</v>
      </c>
      <c r="F109" t="s">
        <v>3235</v>
      </c>
      <c r="G109" t="s">
        <v>2478</v>
      </c>
      <c r="H109">
        <v>4777</v>
      </c>
      <c r="I109" t="s">
        <v>2542</v>
      </c>
      <c r="J109">
        <v>3</v>
      </c>
      <c r="K109">
        <v>33</v>
      </c>
      <c r="L109">
        <v>36</v>
      </c>
      <c r="Q109">
        <v>0</v>
      </c>
      <c r="R109">
        <v>0</v>
      </c>
      <c r="S109">
        <v>36</v>
      </c>
      <c r="Y109" t="s">
        <v>3236</v>
      </c>
      <c r="Z109" t="s">
        <v>3237</v>
      </c>
      <c r="AA109" t="s">
        <v>3238</v>
      </c>
      <c r="AB109" t="s">
        <v>2736</v>
      </c>
      <c r="AC109" t="s">
        <v>3239</v>
      </c>
      <c r="AD109" s="249" t="str">
        <f>HYPERLINK("https://scontent.cdninstagram.com/t51.2885-15/s320x320/e35/c18.0.1044.1044/20687328_1951385348472166_2358217768861433856_n.jpg")</f>
        <v>https://scontent.cdninstagram.com/t51.2885-15/s320x320/e35/c18.0.1044.1044/20687328_1951385348472166_2358217768861433856_n.jpg</v>
      </c>
      <c r="AE109" s="249" t="str">
        <f>HYPERLINK("https://scontent.cdninstagram.com/t51.2885-19/s150x150/14128816_286091105095762_438868498_a.jpg")</f>
        <v>https://scontent.cdninstagram.com/t51.2885-19/s150x150/14128816_286091105095762_438868498_a.jpg</v>
      </c>
    </row>
    <row r="110" spans="1:31" ht="15" x14ac:dyDescent="0.25">
      <c r="A110" t="s">
        <v>2474</v>
      </c>
      <c r="B110" t="s">
        <v>3240</v>
      </c>
      <c r="C110" s="221">
        <v>42958.603217592594</v>
      </c>
      <c r="D110" t="s">
        <v>3241</v>
      </c>
      <c r="E110" s="249" t="str">
        <f>HYPERLINK("https://www.instagram.com/p/BXqeAhDj_YN/")</f>
        <v>https://www.instagram.com/p/BXqeAhDj_YN/</v>
      </c>
      <c r="F110" t="s">
        <v>3242</v>
      </c>
      <c r="G110" t="s">
        <v>2478</v>
      </c>
      <c r="H110">
        <v>998</v>
      </c>
      <c r="I110" t="s">
        <v>3170</v>
      </c>
      <c r="J110">
        <v>0</v>
      </c>
      <c r="K110">
        <v>45</v>
      </c>
      <c r="L110">
        <v>45</v>
      </c>
      <c r="Q110">
        <v>0</v>
      </c>
      <c r="R110">
        <v>0</v>
      </c>
      <c r="S110">
        <v>45</v>
      </c>
      <c r="T110" t="s">
        <v>3243</v>
      </c>
      <c r="U110" t="s">
        <v>122</v>
      </c>
      <c r="V110" t="s">
        <v>2299</v>
      </c>
      <c r="W110">
        <v>37.622700000000002</v>
      </c>
      <c r="X110">
        <v>-122.486</v>
      </c>
      <c r="Y110" t="s">
        <v>2668</v>
      </c>
      <c r="Z110" t="s">
        <v>3244</v>
      </c>
      <c r="AA110" t="s">
        <v>3245</v>
      </c>
      <c r="AB110" t="s">
        <v>3246</v>
      </c>
      <c r="AC110" t="s">
        <v>3247</v>
      </c>
      <c r="AD110" s="249" t="str">
        <f>HYPERLINK("https://scontent.cdninstagram.com/t51.2885-15/s320x320/e35/c136.0.808.808/20688658_337369000046640_3485619836220866560_n.jpg")</f>
        <v>https://scontent.cdninstagram.com/t51.2885-15/s320x320/e35/c136.0.808.808/20688658_337369000046640_3485619836220866560_n.jpg</v>
      </c>
      <c r="AE110" s="249" t="str">
        <f>HYPERLINK("https://scontent.cdninstagram.com/t51.2885-19/s150x150/18252917_1574333172611333_7327856811392892928_n.jpg")</f>
        <v>https://scontent.cdninstagram.com/t51.2885-19/s150x150/18252917_1574333172611333_7327856811392892928_n.jpg</v>
      </c>
    </row>
    <row r="111" spans="1:31" ht="15" x14ac:dyDescent="0.25">
      <c r="A111" t="s">
        <v>2474</v>
      </c>
      <c r="B111" t="s">
        <v>3248</v>
      </c>
      <c r="C111" s="221">
        <v>42958.618344907409</v>
      </c>
      <c r="D111" t="s">
        <v>3249</v>
      </c>
      <c r="E111" s="249" t="str">
        <f>HYPERLINK("https://www.instagram.com/p/BXqggHsnX3a/")</f>
        <v>https://www.instagram.com/p/BXqggHsnX3a/</v>
      </c>
      <c r="F111" t="s">
        <v>3250</v>
      </c>
      <c r="G111" t="s">
        <v>2478</v>
      </c>
      <c r="H111">
        <v>30650</v>
      </c>
      <c r="I111" t="s">
        <v>2479</v>
      </c>
      <c r="J111">
        <v>7</v>
      </c>
      <c r="K111">
        <v>603</v>
      </c>
      <c r="L111">
        <v>610</v>
      </c>
      <c r="Q111">
        <v>0</v>
      </c>
      <c r="R111">
        <v>0</v>
      </c>
      <c r="S111">
        <v>610</v>
      </c>
      <c r="AD111" s="249" t="str">
        <f>HYPERLINK("https://scontent.cdninstagram.com/t51.2885-15/s320x320/e35/c0.50.840.840/20686942_1428500017239631_7815634713896288256_n.jpg")</f>
        <v>https://scontent.cdninstagram.com/t51.2885-15/s320x320/e35/c0.50.840.840/20686942_1428500017239631_7815634713896288256_n.jpg</v>
      </c>
      <c r="AE111" s="249" t="str">
        <f>HYPERLINK("https://scontent.cdninstagram.com/t51.2885-19/s150x150/16229301_1876915245885793_5124596849776263168_n.jpg")</f>
        <v>https://scontent.cdninstagram.com/t51.2885-19/s150x150/16229301_1876915245885793_5124596849776263168_n.jpg</v>
      </c>
    </row>
    <row r="112" spans="1:31" ht="15" x14ac:dyDescent="0.25">
      <c r="A112" t="s">
        <v>2474</v>
      </c>
      <c r="B112" t="s">
        <v>3251</v>
      </c>
      <c r="C112" s="221">
        <v>42958.619479166664</v>
      </c>
      <c r="D112" t="s">
        <v>3252</v>
      </c>
      <c r="E112" s="249" t="str">
        <f>HYPERLINK("https://www.instagram.com/p/BXqgsF0HlN7/")</f>
        <v>https://www.instagram.com/p/BXqgsF0HlN7/</v>
      </c>
      <c r="F112" t="s">
        <v>3253</v>
      </c>
      <c r="G112" t="s">
        <v>2478</v>
      </c>
      <c r="H112">
        <v>292</v>
      </c>
      <c r="I112" t="s">
        <v>2542</v>
      </c>
      <c r="J112">
        <v>0</v>
      </c>
      <c r="K112">
        <v>32</v>
      </c>
      <c r="L112">
        <v>32</v>
      </c>
      <c r="Q112">
        <v>0</v>
      </c>
      <c r="R112">
        <v>0</v>
      </c>
      <c r="S112">
        <v>32</v>
      </c>
      <c r="Y112" t="s">
        <v>2497</v>
      </c>
      <c r="Z112" t="s">
        <v>3254</v>
      </c>
      <c r="AA112" t="s">
        <v>3255</v>
      </c>
      <c r="AB112" t="s">
        <v>3256</v>
      </c>
      <c r="AC112" t="s">
        <v>3257</v>
      </c>
      <c r="AD112" s="249" t="str">
        <f>HYPERLINK("https://scontent.cdninstagram.com/t51.2885-15/s320x320/e35/c2.0.1076.1076/20687846_1881708755429953_2600907185139482624_n.jpg")</f>
        <v>https://scontent.cdninstagram.com/t51.2885-15/s320x320/e35/c2.0.1076.1076/20687846_1881708755429953_2600907185139482624_n.jpg</v>
      </c>
      <c r="AE112" s="249" t="str">
        <f>HYPERLINK("https://scontent.cdninstagram.com/t51.2885-19/s150x150/19955028_1125861527558947_5582921378392178688_a.jpg")</f>
        <v>https://scontent.cdninstagram.com/t51.2885-19/s150x150/19955028_1125861527558947_5582921378392178688_a.jpg</v>
      </c>
    </row>
    <row r="113" spans="1:31" ht="15" x14ac:dyDescent="0.25">
      <c r="A113" t="s">
        <v>2474</v>
      </c>
      <c r="B113" t="s">
        <v>3258</v>
      </c>
      <c r="C113" s="221">
        <v>42958.630798611113</v>
      </c>
      <c r="D113" t="s">
        <v>3259</v>
      </c>
      <c r="E113" s="249" t="str">
        <f>HYPERLINK("https://www.instagram.com/p/BXqijaVgMmr/")</f>
        <v>https://www.instagram.com/p/BXqijaVgMmr/</v>
      </c>
      <c r="F113" t="s">
        <v>3260</v>
      </c>
      <c r="G113" t="s">
        <v>2478</v>
      </c>
      <c r="H113">
        <v>745</v>
      </c>
      <c r="I113" t="s">
        <v>3170</v>
      </c>
      <c r="J113">
        <v>0</v>
      </c>
      <c r="K113">
        <v>31</v>
      </c>
      <c r="L113">
        <v>31</v>
      </c>
      <c r="Q113">
        <v>0</v>
      </c>
      <c r="R113">
        <v>0</v>
      </c>
      <c r="S113">
        <v>31</v>
      </c>
      <c r="T113" t="s">
        <v>3261</v>
      </c>
      <c r="V113" t="s">
        <v>2212</v>
      </c>
      <c r="W113">
        <v>28.711179999999999</v>
      </c>
      <c r="X113">
        <v>-100.50705000000001</v>
      </c>
      <c r="Y113" t="s">
        <v>2730</v>
      </c>
      <c r="Z113" t="s">
        <v>2497</v>
      </c>
      <c r="AA113" t="s">
        <v>3262</v>
      </c>
      <c r="AD113" s="249" t="str">
        <f>HYPERLINK("https://scontent.cdninstagram.com/t51.2885-15/e35/c0.25.320.320/20688346_487221178277441_6321835510570418176_n.jpg")</f>
        <v>https://scontent.cdninstagram.com/t51.2885-15/e35/c0.25.320.320/20688346_487221178277441_6321835510570418176_n.jpg</v>
      </c>
      <c r="AE113" s="249" t="str">
        <f>HYPERLINK("https://scontent.cdninstagram.com/t51.2885-19/s150x150/15337217_1820523068209546_8053754482539888640_a.jpg")</f>
        <v>https://scontent.cdninstagram.com/t51.2885-19/s150x150/15337217_1820523068209546_8053754482539888640_a.jpg</v>
      </c>
    </row>
    <row r="114" spans="1:31" ht="15" x14ac:dyDescent="0.25">
      <c r="A114" t="s">
        <v>2474</v>
      </c>
      <c r="B114" t="s">
        <v>3263</v>
      </c>
      <c r="C114" s="221">
        <v>42958.639189814814</v>
      </c>
      <c r="D114" t="s">
        <v>3264</v>
      </c>
      <c r="E114" s="249" t="str">
        <f>HYPERLINK("https://www.instagram.com/p/BXqj77llXuK/")</f>
        <v>https://www.instagram.com/p/BXqj77llXuK/</v>
      </c>
      <c r="F114" t="s">
        <v>3265</v>
      </c>
      <c r="G114" t="s">
        <v>2488</v>
      </c>
      <c r="H114">
        <v>468</v>
      </c>
      <c r="I114" t="s">
        <v>2479</v>
      </c>
      <c r="J114">
        <v>0</v>
      </c>
      <c r="K114">
        <v>46</v>
      </c>
      <c r="L114">
        <v>46</v>
      </c>
      <c r="Q114">
        <v>0</v>
      </c>
      <c r="R114">
        <v>0</v>
      </c>
      <c r="S114">
        <v>46</v>
      </c>
      <c r="Y114" t="s">
        <v>2497</v>
      </c>
      <c r="Z114" t="s">
        <v>3266</v>
      </c>
      <c r="AA114" t="s">
        <v>3267</v>
      </c>
      <c r="AB114" t="s">
        <v>3268</v>
      </c>
      <c r="AC114" t="s">
        <v>3269</v>
      </c>
      <c r="AD114" s="249" t="str">
        <f>HYPERLINK("https://scontent.cdninstagram.com/t51.2885-15/s320x320/e35/20760025_700981943427032_8871918071363665920_n.jpg")</f>
        <v>https://scontent.cdninstagram.com/t51.2885-15/s320x320/e35/20760025_700981943427032_8871918071363665920_n.jpg</v>
      </c>
      <c r="AE114" s="249" t="str">
        <f>HYPERLINK("https://scontent.cdninstagram.com/t51.2885-19/s150x150/17934068_1876967155909712_272714690830794752_a.jpg")</f>
        <v>https://scontent.cdninstagram.com/t51.2885-19/s150x150/17934068_1876967155909712_272714690830794752_a.jpg</v>
      </c>
    </row>
    <row r="115" spans="1:31" ht="15" x14ac:dyDescent="0.25">
      <c r="A115" t="s">
        <v>2474</v>
      </c>
      <c r="B115" t="s">
        <v>3270</v>
      </c>
      <c r="C115" s="221">
        <v>42958.639907407407</v>
      </c>
      <c r="D115" t="s">
        <v>3271</v>
      </c>
      <c r="E115" s="249" t="str">
        <f>HYPERLINK("https://www.instagram.com/p/BXqkDiMlA8r/")</f>
        <v>https://www.instagram.com/p/BXqkDiMlA8r/</v>
      </c>
      <c r="F115" t="s">
        <v>3272</v>
      </c>
      <c r="G115" t="s">
        <v>2478</v>
      </c>
      <c r="H115">
        <v>612</v>
      </c>
      <c r="I115" t="s">
        <v>3273</v>
      </c>
      <c r="J115">
        <v>0</v>
      </c>
      <c r="K115">
        <v>44</v>
      </c>
      <c r="L115">
        <v>44</v>
      </c>
      <c r="Q115">
        <v>0</v>
      </c>
      <c r="R115">
        <v>0</v>
      </c>
      <c r="S115">
        <v>44</v>
      </c>
      <c r="T115" t="s">
        <v>3274</v>
      </c>
      <c r="V115" t="s">
        <v>2204</v>
      </c>
      <c r="W115">
        <v>3.1659299999999999</v>
      </c>
      <c r="X115">
        <v>101.75841</v>
      </c>
      <c r="Y115" t="s">
        <v>2497</v>
      </c>
      <c r="Z115" t="s">
        <v>3275</v>
      </c>
      <c r="AA115" t="s">
        <v>2513</v>
      </c>
      <c r="AB115" t="s">
        <v>3276</v>
      </c>
      <c r="AC115" t="s">
        <v>3277</v>
      </c>
      <c r="AD115" s="249" t="str">
        <f>HYPERLINK("https://scontent.cdninstagram.com/t51.2885-15/s320x320/e35/c0.135.1080.1080/20759135_858387687673021_2282086363983511552_n.jpg")</f>
        <v>https://scontent.cdninstagram.com/t51.2885-15/s320x320/e35/c0.135.1080.1080/20759135_858387687673021_2282086363983511552_n.jpg</v>
      </c>
      <c r="AE115" s="249" t="str">
        <f>HYPERLINK("https://scontent.cdninstagram.com/t51.2885-19/11809548_1464554523846226_249251238_a.jpg")</f>
        <v>https://scontent.cdninstagram.com/t51.2885-19/11809548_1464554523846226_249251238_a.jpg</v>
      </c>
    </row>
    <row r="116" spans="1:31" ht="15" x14ac:dyDescent="0.25">
      <c r="A116" t="s">
        <v>2474</v>
      </c>
      <c r="B116" t="s">
        <v>3278</v>
      </c>
      <c r="C116" s="221">
        <v>42958.642893518518</v>
      </c>
      <c r="D116" t="s">
        <v>3279</v>
      </c>
      <c r="E116" s="249" t="str">
        <f>HYPERLINK("https://www.instagram.com/p/BXqkjFKBpKJ/")</f>
        <v>https://www.instagram.com/p/BXqkjFKBpKJ/</v>
      </c>
      <c r="F116" t="s">
        <v>3280</v>
      </c>
      <c r="G116" t="s">
        <v>2478</v>
      </c>
      <c r="H116">
        <v>1517</v>
      </c>
      <c r="I116" t="s">
        <v>2479</v>
      </c>
      <c r="J116">
        <v>6</v>
      </c>
      <c r="K116">
        <v>53</v>
      </c>
      <c r="L116">
        <v>59</v>
      </c>
      <c r="Q116">
        <v>0</v>
      </c>
      <c r="R116">
        <v>0</v>
      </c>
      <c r="S116">
        <v>59</v>
      </c>
      <c r="AD116" s="249" t="str">
        <f>HYPERLINK("https://scontent.cdninstagram.com/t51.2885-15/s320x320/e35/20687099_1717691708534682_6722055174690439168_n.jpg")</f>
        <v>https://scontent.cdninstagram.com/t51.2885-15/s320x320/e35/20687099_1717691708534682_6722055174690439168_n.jpg</v>
      </c>
      <c r="AE116" s="249" t="str">
        <f>HYPERLINK("https://scontent.cdninstagram.com/t51.2885-19/s150x150/17268053_1655114808130887_8840864212273070080_a.jpg")</f>
        <v>https://scontent.cdninstagram.com/t51.2885-19/s150x150/17268053_1655114808130887_8840864212273070080_a.jpg</v>
      </c>
    </row>
    <row r="117" spans="1:31" ht="15" x14ac:dyDescent="0.25">
      <c r="A117" t="s">
        <v>2474</v>
      </c>
      <c r="B117" t="s">
        <v>3281</v>
      </c>
      <c r="C117" s="221">
        <v>42958.645509259259</v>
      </c>
      <c r="D117" t="s">
        <v>3282</v>
      </c>
      <c r="E117" s="249" t="str">
        <f>HYPERLINK("https://www.instagram.com/p/BXqk-p5DI6I/")</f>
        <v>https://www.instagram.com/p/BXqk-p5DI6I/</v>
      </c>
      <c r="F117" t="s">
        <v>3283</v>
      </c>
      <c r="G117" t="s">
        <v>2478</v>
      </c>
      <c r="H117">
        <v>134</v>
      </c>
      <c r="I117" t="s">
        <v>2479</v>
      </c>
      <c r="J117">
        <v>0</v>
      </c>
      <c r="K117">
        <v>16</v>
      </c>
      <c r="L117">
        <v>16</v>
      </c>
      <c r="Q117">
        <v>0</v>
      </c>
      <c r="R117">
        <v>0</v>
      </c>
      <c r="S117">
        <v>16</v>
      </c>
      <c r="T117" t="s">
        <v>3284</v>
      </c>
      <c r="V117" t="s">
        <v>2141</v>
      </c>
      <c r="W117">
        <v>55.588503171905003</v>
      </c>
      <c r="X117">
        <v>8.5378603366667001</v>
      </c>
      <c r="Y117" t="s">
        <v>3285</v>
      </c>
      <c r="Z117" t="s">
        <v>3286</v>
      </c>
      <c r="AA117" t="s">
        <v>3287</v>
      </c>
      <c r="AB117" t="s">
        <v>3288</v>
      </c>
      <c r="AC117" t="s">
        <v>3289</v>
      </c>
      <c r="AD117" s="249" t="str">
        <f>HYPERLINK("https://scontent.cdninstagram.com/t51.2885-15/s320x320/e35/20767025_645175269019519_9175777313814478848_n.jpg")</f>
        <v>https://scontent.cdninstagram.com/t51.2885-15/s320x320/e35/20767025_645175269019519_9175777313814478848_n.jpg</v>
      </c>
      <c r="AE117" s="249" t="str">
        <f>HYPERLINK("https://scontent.cdninstagram.com/t51.2885-19/s150x150/14719685_333922123630314_8236286795868798976_a.jpg")</f>
        <v>https://scontent.cdninstagram.com/t51.2885-19/s150x150/14719685_333922123630314_8236286795868798976_a.jpg</v>
      </c>
    </row>
    <row r="118" spans="1:31" ht="15" x14ac:dyDescent="0.25">
      <c r="A118" t="s">
        <v>2474</v>
      </c>
      <c r="B118" t="s">
        <v>3290</v>
      </c>
      <c r="C118" s="221">
        <v>42958.646840277775</v>
      </c>
      <c r="D118" t="s">
        <v>3291</v>
      </c>
      <c r="E118" s="249" t="str">
        <f>HYPERLINK("https://www.instagram.com/p/BXqlMnTHwE8/")</f>
        <v>https://www.instagram.com/p/BXqlMnTHwE8/</v>
      </c>
      <c r="F118" t="s">
        <v>3292</v>
      </c>
      <c r="G118" t="s">
        <v>2478</v>
      </c>
      <c r="H118">
        <v>1920</v>
      </c>
      <c r="I118" t="s">
        <v>2479</v>
      </c>
      <c r="J118">
        <v>11</v>
      </c>
      <c r="K118">
        <v>308</v>
      </c>
      <c r="L118">
        <v>319</v>
      </c>
      <c r="Q118">
        <v>0</v>
      </c>
      <c r="R118">
        <v>0</v>
      </c>
      <c r="S118">
        <v>319</v>
      </c>
      <c r="Y118" t="s">
        <v>2492</v>
      </c>
      <c r="Z118" t="s">
        <v>2547</v>
      </c>
      <c r="AA118" t="s">
        <v>3293</v>
      </c>
      <c r="AB118" t="s">
        <v>2513</v>
      </c>
      <c r="AC118" t="s">
        <v>3294</v>
      </c>
      <c r="AD118" s="249" t="str">
        <f>HYPERLINK("https://scontent.cdninstagram.com/t51.2885-15/s320x320/e35/c0.135.1080.1080/20759898_1736143513352506_7636643854506000384_n.jpg")</f>
        <v>https://scontent.cdninstagram.com/t51.2885-15/s320x320/e35/c0.135.1080.1080/20759898_1736143513352506_7636643854506000384_n.jpg</v>
      </c>
      <c r="AE118" s="249" t="str">
        <f>HYPERLINK("https://scontent.cdninstagram.com/t51.2885-19/s150x150/18380245_313241119112969_3297379408276357120_a.jpg")</f>
        <v>https://scontent.cdninstagram.com/t51.2885-19/s150x150/18380245_313241119112969_3297379408276357120_a.jpg</v>
      </c>
    </row>
    <row r="119" spans="1:31" ht="15" x14ac:dyDescent="0.25">
      <c r="A119" t="s">
        <v>2474</v>
      </c>
      <c r="B119" t="s">
        <v>2588</v>
      </c>
      <c r="C119" s="221">
        <v>42958.653287037036</v>
      </c>
      <c r="D119" t="s">
        <v>3295</v>
      </c>
      <c r="E119" s="249" t="str">
        <f>HYPERLINK("https://www.instagram.com/p/BXqmQlUAzZe/")</f>
        <v>https://www.instagram.com/p/BXqmQlUAzZe/</v>
      </c>
      <c r="F119" t="s">
        <v>3296</v>
      </c>
      <c r="G119" t="s">
        <v>2478</v>
      </c>
      <c r="H119">
        <v>230</v>
      </c>
      <c r="I119" t="s">
        <v>2479</v>
      </c>
      <c r="J119">
        <v>18</v>
      </c>
      <c r="K119">
        <v>47</v>
      </c>
      <c r="L119">
        <v>65</v>
      </c>
      <c r="Q119">
        <v>0</v>
      </c>
      <c r="R119">
        <v>0</v>
      </c>
      <c r="S119">
        <v>65</v>
      </c>
      <c r="AD119" s="249" t="str">
        <f>HYPERLINK("https://scontent.cdninstagram.com/t51.2885-15/s320x320/e35/20688116_1581271215281217_2491379647871188992_n.jpg")</f>
        <v>https://scontent.cdninstagram.com/t51.2885-15/s320x320/e35/20688116_1581271215281217_2491379647871188992_n.jpg</v>
      </c>
      <c r="AE119" s="249" t="str">
        <f>HYPERLINK("https://scontent.cdninstagram.com/t51.2885-19/s150x150/20633561_108840983138666_5897549723056734208_a.jpg")</f>
        <v>https://scontent.cdninstagram.com/t51.2885-19/s150x150/20633561_108840983138666_5897549723056734208_a.jpg</v>
      </c>
    </row>
    <row r="120" spans="1:31" ht="15" x14ac:dyDescent="0.25">
      <c r="A120" t="s">
        <v>2474</v>
      </c>
      <c r="B120" t="s">
        <v>3297</v>
      </c>
      <c r="C120" s="221">
        <v>42958.653553240743</v>
      </c>
      <c r="D120" t="s">
        <v>3298</v>
      </c>
      <c r="E120" s="249" t="str">
        <f>HYPERLINK("https://www.instagram.com/p/BXqmTfchGki/")</f>
        <v>https://www.instagram.com/p/BXqmTfchGki/</v>
      </c>
      <c r="F120" t="s">
        <v>3299</v>
      </c>
      <c r="G120" t="s">
        <v>2478</v>
      </c>
      <c r="H120">
        <v>2180</v>
      </c>
      <c r="I120" t="s">
        <v>2479</v>
      </c>
      <c r="J120">
        <v>28</v>
      </c>
      <c r="K120">
        <v>205</v>
      </c>
      <c r="L120">
        <v>233</v>
      </c>
      <c r="Q120">
        <v>0</v>
      </c>
      <c r="R120">
        <v>0</v>
      </c>
      <c r="S120">
        <v>233</v>
      </c>
      <c r="T120" t="s">
        <v>3300</v>
      </c>
      <c r="V120" t="s">
        <v>2222</v>
      </c>
      <c r="W120">
        <v>52.032514579882999</v>
      </c>
      <c r="X120">
        <v>5.0870574062529998</v>
      </c>
      <c r="AD120" s="249" t="str">
        <f>HYPERLINK("https://scontent.cdninstagram.com/t51.2885-15/s320x320/e35/20766815_577219846002038_5116452741379522560_n.jpg")</f>
        <v>https://scontent.cdninstagram.com/t51.2885-15/s320x320/e35/20766815_577219846002038_5116452741379522560_n.jpg</v>
      </c>
      <c r="AE120" s="249" t="str">
        <f>HYPERLINK("https://scontent.cdninstagram.com/t51.2885-19/s150x150/13714195_1072791769474773_2026520549_a.jpg")</f>
        <v>https://scontent.cdninstagram.com/t51.2885-19/s150x150/13714195_1072791769474773_2026520549_a.jpg</v>
      </c>
    </row>
    <row r="121" spans="1:31" ht="15" x14ac:dyDescent="0.25">
      <c r="A121" t="s">
        <v>2474</v>
      </c>
      <c r="B121" t="s">
        <v>3301</v>
      </c>
      <c r="C121" s="221">
        <v>42958.657372685186</v>
      </c>
      <c r="D121" t="s">
        <v>3302</v>
      </c>
      <c r="E121" s="249" t="str">
        <f>HYPERLINK("https://www.instagram.com/p/BXqm7w-jnOe/")</f>
        <v>https://www.instagram.com/p/BXqm7w-jnOe/</v>
      </c>
      <c r="F121" t="s">
        <v>3303</v>
      </c>
      <c r="G121" t="s">
        <v>2478</v>
      </c>
      <c r="H121">
        <v>578</v>
      </c>
      <c r="I121" t="s">
        <v>2896</v>
      </c>
      <c r="J121">
        <v>1</v>
      </c>
      <c r="K121">
        <v>101</v>
      </c>
      <c r="L121">
        <v>102</v>
      </c>
      <c r="Q121">
        <v>0</v>
      </c>
      <c r="R121">
        <v>0</v>
      </c>
      <c r="S121">
        <v>102</v>
      </c>
      <c r="Y121" t="s">
        <v>3304</v>
      </c>
      <c r="Z121" t="s">
        <v>2513</v>
      </c>
      <c r="AA121" t="s">
        <v>3305</v>
      </c>
      <c r="AB121" t="s">
        <v>3306</v>
      </c>
      <c r="AC121" t="s">
        <v>3307</v>
      </c>
      <c r="AD121" s="249" t="str">
        <f>HYPERLINK("https://scontent.cdninstagram.com/t51.2885-15/s320x320/e35/20836855_218999245294656_2087787730049171456_n.jpg")</f>
        <v>https://scontent.cdninstagram.com/t51.2885-15/s320x320/e35/20836855_218999245294656_2087787730049171456_n.jpg</v>
      </c>
      <c r="AE121" s="249" t="str">
        <f>HYPERLINK("https://scontent.cdninstagram.com/t51.2885-19/s150x150/19228478_370974479971900_5746578409966796800_a.jpg")</f>
        <v>https://scontent.cdninstagram.com/t51.2885-19/s150x150/19228478_370974479971900_5746578409966796800_a.jpg</v>
      </c>
    </row>
    <row r="122" spans="1:31" ht="15" x14ac:dyDescent="0.25">
      <c r="A122" t="s">
        <v>2474</v>
      </c>
      <c r="B122" t="s">
        <v>3308</v>
      </c>
      <c r="C122" s="221">
        <v>42958.65766203704</v>
      </c>
      <c r="D122" t="s">
        <v>3309</v>
      </c>
      <c r="E122" s="249" t="str">
        <f>HYPERLINK("https://www.instagram.com/p/BXqm-y6gWpL/")</f>
        <v>https://www.instagram.com/p/BXqm-y6gWpL/</v>
      </c>
      <c r="F122" t="s">
        <v>3310</v>
      </c>
      <c r="G122" t="s">
        <v>2478</v>
      </c>
      <c r="H122">
        <v>377</v>
      </c>
      <c r="I122" t="s">
        <v>3273</v>
      </c>
      <c r="J122">
        <v>3</v>
      </c>
      <c r="K122">
        <v>83</v>
      </c>
      <c r="L122">
        <v>86</v>
      </c>
      <c r="Q122">
        <v>0</v>
      </c>
      <c r="R122">
        <v>0</v>
      </c>
      <c r="S122">
        <v>86</v>
      </c>
      <c r="T122" t="s">
        <v>3311</v>
      </c>
      <c r="V122" t="s">
        <v>2110</v>
      </c>
      <c r="W122">
        <v>51.354778633184999</v>
      </c>
      <c r="X122">
        <v>3.2989454269409002</v>
      </c>
      <c r="Y122" t="s">
        <v>3312</v>
      </c>
      <c r="Z122" t="s">
        <v>3313</v>
      </c>
      <c r="AA122" t="s">
        <v>3314</v>
      </c>
      <c r="AB122" t="s">
        <v>3315</v>
      </c>
      <c r="AC122" t="s">
        <v>3316</v>
      </c>
      <c r="AD122" s="249" t="str">
        <f>HYPERLINK("https://scontent.cdninstagram.com/t51.2885-15/s320x320/e35/20766326_594569224264207_8870285352430993408_n.jpg")</f>
        <v>https://scontent.cdninstagram.com/t51.2885-15/s320x320/e35/20766326_594569224264207_8870285352430993408_n.jpg</v>
      </c>
      <c r="AE122" s="249" t="str">
        <f>HYPERLINK("https://scontent.cdninstagram.com/t51.2885-19/11356731_409884009202309_944510443_a.jpg")</f>
        <v>https://scontent.cdninstagram.com/t51.2885-19/11356731_409884009202309_944510443_a.jpg</v>
      </c>
    </row>
    <row r="123" spans="1:31" ht="15" x14ac:dyDescent="0.25">
      <c r="A123" t="s">
        <v>2474</v>
      </c>
      <c r="B123" t="s">
        <v>3317</v>
      </c>
      <c r="C123" s="221">
        <v>42958.66443287037</v>
      </c>
      <c r="D123" t="s">
        <v>3318</v>
      </c>
      <c r="E123" s="249" t="str">
        <f>HYPERLINK("https://www.instagram.com/p/BXqoGNBhKRM/")</f>
        <v>https://www.instagram.com/p/BXqoGNBhKRM/</v>
      </c>
      <c r="F123" t="s">
        <v>3319</v>
      </c>
      <c r="G123" t="s">
        <v>2478</v>
      </c>
      <c r="H123">
        <v>1081</v>
      </c>
      <c r="I123" t="s">
        <v>2910</v>
      </c>
      <c r="J123">
        <v>0</v>
      </c>
      <c r="K123">
        <v>51</v>
      </c>
      <c r="L123">
        <v>51</v>
      </c>
      <c r="Q123">
        <v>0</v>
      </c>
      <c r="R123">
        <v>0</v>
      </c>
      <c r="S123">
        <v>51</v>
      </c>
      <c r="T123" t="s">
        <v>3320</v>
      </c>
      <c r="V123" t="s">
        <v>2264</v>
      </c>
      <c r="W123">
        <v>41.398992482524001</v>
      </c>
      <c r="X123">
        <v>2.1786618232727002</v>
      </c>
      <c r="Y123" t="s">
        <v>2497</v>
      </c>
      <c r="Z123" t="s">
        <v>3321</v>
      </c>
      <c r="AA123" t="s">
        <v>3322</v>
      </c>
      <c r="AB123" t="s">
        <v>3323</v>
      </c>
      <c r="AC123" t="s">
        <v>3324</v>
      </c>
      <c r="AD123" s="249" t="str">
        <f>HYPERLINK("https://scontent.cdninstagram.com/t51.2885-15/s320x320/e35/c137.0.805.805/20688756_251977085311544_8427873780725972992_n.jpg")</f>
        <v>https://scontent.cdninstagram.com/t51.2885-15/s320x320/e35/c137.0.805.805/20688756_251977085311544_8427873780725972992_n.jpg</v>
      </c>
      <c r="AE123" s="249" t="str">
        <f>HYPERLINK("https://scontent.cdninstagram.com/t51.2885-19/11327879_1594067830872924_1025054669_a.jpg")</f>
        <v>https://scontent.cdninstagram.com/t51.2885-19/11327879_1594067830872924_1025054669_a.jpg</v>
      </c>
    </row>
    <row r="124" spans="1:31" ht="15" x14ac:dyDescent="0.25">
      <c r="A124" t="s">
        <v>2474</v>
      </c>
      <c r="B124" t="s">
        <v>3325</v>
      </c>
      <c r="C124" s="221">
        <v>42958.670567129629</v>
      </c>
      <c r="D124" t="s">
        <v>3326</v>
      </c>
      <c r="E124" s="249" t="str">
        <f>HYPERLINK("https://www.instagram.com/p/BXqpG7nnxaS/")</f>
        <v>https://www.instagram.com/p/BXqpG7nnxaS/</v>
      </c>
      <c r="F124" t="s">
        <v>3327</v>
      </c>
      <c r="G124" t="s">
        <v>2478</v>
      </c>
      <c r="H124">
        <v>501</v>
      </c>
      <c r="I124" t="s">
        <v>2479</v>
      </c>
      <c r="J124">
        <v>0</v>
      </c>
      <c r="K124">
        <v>19</v>
      </c>
      <c r="L124">
        <v>19</v>
      </c>
      <c r="Q124">
        <v>0</v>
      </c>
      <c r="R124">
        <v>0</v>
      </c>
      <c r="S124">
        <v>19</v>
      </c>
      <c r="Y124" t="s">
        <v>2497</v>
      </c>
      <c r="Z124" t="s">
        <v>3328</v>
      </c>
      <c r="AA124" t="s">
        <v>3329</v>
      </c>
      <c r="AB124" t="s">
        <v>3330</v>
      </c>
      <c r="AC124" t="s">
        <v>3174</v>
      </c>
      <c r="AD124" s="249" t="str">
        <f>HYPERLINK("https://scontent.cdninstagram.com/t51.2885-15/s320x320/e35/c0.135.1080.1080/20688655_1461341103931486_2156444912579510272_n.jpg")</f>
        <v>https://scontent.cdninstagram.com/t51.2885-15/s320x320/e35/c0.135.1080.1080/20688655_1461341103931486_2156444912579510272_n.jpg</v>
      </c>
      <c r="AE124" s="249" t="str">
        <f>HYPERLINK("https://scontent.cdninstagram.com/t51.2885-19/s150x150/18579996_435518950147493_6506330778572423168_a.jpg")</f>
        <v>https://scontent.cdninstagram.com/t51.2885-19/s150x150/18579996_435518950147493_6506330778572423168_a.jpg</v>
      </c>
    </row>
    <row r="125" spans="1:31" ht="15" x14ac:dyDescent="0.25">
      <c r="A125" t="s">
        <v>2474</v>
      </c>
      <c r="B125" t="s">
        <v>3331</v>
      </c>
      <c r="C125" s="221">
        <v>42958.674664351849</v>
      </c>
      <c r="D125" t="s">
        <v>3332</v>
      </c>
      <c r="E125" s="249" t="str">
        <f>HYPERLINK("https://www.instagram.com/p/BXqpyJCgHLT/")</f>
        <v>https://www.instagram.com/p/BXqpyJCgHLT/</v>
      </c>
      <c r="F125" t="s">
        <v>3333</v>
      </c>
      <c r="G125" t="s">
        <v>2478</v>
      </c>
      <c r="H125">
        <v>226</v>
      </c>
      <c r="I125" t="s">
        <v>2479</v>
      </c>
      <c r="J125">
        <v>0</v>
      </c>
      <c r="K125">
        <v>22</v>
      </c>
      <c r="L125">
        <v>22</v>
      </c>
      <c r="Q125">
        <v>0</v>
      </c>
      <c r="R125">
        <v>0</v>
      </c>
      <c r="S125">
        <v>22</v>
      </c>
      <c r="T125" t="s">
        <v>3334</v>
      </c>
      <c r="V125" t="s">
        <v>2160</v>
      </c>
      <c r="W125">
        <v>43.086545999999998</v>
      </c>
      <c r="X125">
        <v>42.704932999999997</v>
      </c>
      <c r="Y125" t="s">
        <v>2497</v>
      </c>
      <c r="Z125" t="s">
        <v>3335</v>
      </c>
      <c r="AA125" t="s">
        <v>3336</v>
      </c>
      <c r="AB125" t="s">
        <v>3337</v>
      </c>
      <c r="AC125" t="s">
        <v>3338</v>
      </c>
      <c r="AD125" s="249" t="str">
        <f>HYPERLINK("https://scontent.cdninstagram.com/t51.2885-15/s320x320/e35/20759766_1937727773168013_8981369866883694592_n.jpg")</f>
        <v>https://scontent.cdninstagram.com/t51.2885-15/s320x320/e35/20759766_1937727773168013_8981369866883694592_n.jpg</v>
      </c>
      <c r="AE125" s="249" t="str">
        <f>HYPERLINK("https://scontent.cdninstagram.com/t51.2885-19/s150x150/15276500_642076162627644_5846101804466569216_a.jpg")</f>
        <v>https://scontent.cdninstagram.com/t51.2885-19/s150x150/15276500_642076162627644_5846101804466569216_a.jpg</v>
      </c>
    </row>
    <row r="126" spans="1:31" ht="15" x14ac:dyDescent="0.25">
      <c r="A126" t="s">
        <v>2474</v>
      </c>
      <c r="B126" t="s">
        <v>3339</v>
      </c>
      <c r="C126" s="221">
        <v>42958.674942129626</v>
      </c>
      <c r="D126" t="s">
        <v>3340</v>
      </c>
      <c r="E126" s="249" t="str">
        <f>HYPERLINK("https://www.instagram.com/p/BXqp1CJlx1P/")</f>
        <v>https://www.instagram.com/p/BXqp1CJlx1P/</v>
      </c>
      <c r="F126" t="s">
        <v>3341</v>
      </c>
      <c r="G126" t="s">
        <v>2478</v>
      </c>
      <c r="H126">
        <v>992</v>
      </c>
      <c r="I126" t="s">
        <v>2479</v>
      </c>
      <c r="J126">
        <v>0</v>
      </c>
      <c r="K126">
        <v>42</v>
      </c>
      <c r="L126">
        <v>42</v>
      </c>
      <c r="Q126">
        <v>0</v>
      </c>
      <c r="R126">
        <v>0</v>
      </c>
      <c r="S126">
        <v>42</v>
      </c>
      <c r="Y126" t="s">
        <v>2497</v>
      </c>
      <c r="Z126" t="s">
        <v>3342</v>
      </c>
      <c r="AA126" t="s">
        <v>2666</v>
      </c>
      <c r="AB126" t="s">
        <v>3343</v>
      </c>
      <c r="AC126" t="s">
        <v>3344</v>
      </c>
      <c r="AD126" s="249" t="str">
        <f>HYPERLINK("https://scontent.cdninstagram.com/t51.2885-15/s320x320/e35/20759309_110415532981959_3607966884500078592_n.jpg")</f>
        <v>https://scontent.cdninstagram.com/t51.2885-15/s320x320/e35/20759309_110415532981959_3607966884500078592_n.jpg</v>
      </c>
      <c r="AE126" s="249" t="str">
        <f>HYPERLINK("https://scontent.cdninstagram.com/t51.2885-19/914418_1440522572901482_846341552_a.jpg")</f>
        <v>https://scontent.cdninstagram.com/t51.2885-19/914418_1440522572901482_846341552_a.jpg</v>
      </c>
    </row>
    <row r="127" spans="1:31" ht="15" x14ac:dyDescent="0.25">
      <c r="A127" t="s">
        <v>2474</v>
      </c>
      <c r="B127" t="s">
        <v>3345</v>
      </c>
      <c r="C127" s="221">
        <v>42958.676921296297</v>
      </c>
      <c r="D127" t="s">
        <v>3346</v>
      </c>
      <c r="E127" s="249" t="str">
        <f>HYPERLINK("https://www.instagram.com/p/BXqqJ6MF0Tc/")</f>
        <v>https://www.instagram.com/p/BXqqJ6MF0Tc/</v>
      </c>
      <c r="F127" t="s">
        <v>3347</v>
      </c>
      <c r="G127" t="s">
        <v>2478</v>
      </c>
      <c r="H127">
        <v>1011</v>
      </c>
      <c r="I127" t="s">
        <v>2599</v>
      </c>
      <c r="J127">
        <v>1</v>
      </c>
      <c r="K127">
        <v>40</v>
      </c>
      <c r="L127">
        <v>41</v>
      </c>
      <c r="Q127">
        <v>0</v>
      </c>
      <c r="R127">
        <v>0</v>
      </c>
      <c r="S127">
        <v>41</v>
      </c>
      <c r="Y127" t="s">
        <v>2696</v>
      </c>
      <c r="Z127" t="s">
        <v>3348</v>
      </c>
      <c r="AA127" t="s">
        <v>3349</v>
      </c>
      <c r="AB127" t="s">
        <v>3350</v>
      </c>
      <c r="AC127" t="s">
        <v>3351</v>
      </c>
      <c r="AD127" s="249" t="str">
        <f>HYPERLINK("https://scontent.cdninstagram.com/t51.2885-15/s320x320/e35/20688072_290128764727766_383338973767925760_n.jpg")</f>
        <v>https://scontent.cdninstagram.com/t51.2885-15/s320x320/e35/20688072_290128764727766_383338973767925760_n.jpg</v>
      </c>
      <c r="AE127" s="249" t="str">
        <f>HYPERLINK("https://scontent.cdninstagram.com/t51.2885-19/s150x150/16464860_121323488383981_5718217594155040768_a.jpg")</f>
        <v>https://scontent.cdninstagram.com/t51.2885-19/s150x150/16464860_121323488383981_5718217594155040768_a.jpg</v>
      </c>
    </row>
    <row r="128" spans="1:31" ht="15" x14ac:dyDescent="0.25">
      <c r="A128" t="s">
        <v>2474</v>
      </c>
      <c r="B128" t="s">
        <v>3352</v>
      </c>
      <c r="C128" s="221">
        <v>42958.684594907405</v>
      </c>
      <c r="D128" t="s">
        <v>3353</v>
      </c>
      <c r="E128" s="249" t="str">
        <f>HYPERLINK("https://www.instagram.com/p/BXqra4QFgcG/")</f>
        <v>https://www.instagram.com/p/BXqra4QFgcG/</v>
      </c>
      <c r="F128" t="s">
        <v>3354</v>
      </c>
      <c r="G128" t="s">
        <v>2631</v>
      </c>
      <c r="H128">
        <v>785</v>
      </c>
      <c r="I128" t="s">
        <v>2479</v>
      </c>
      <c r="J128">
        <v>0</v>
      </c>
      <c r="K128">
        <v>7</v>
      </c>
      <c r="L128">
        <v>7</v>
      </c>
      <c r="Q128">
        <v>0</v>
      </c>
      <c r="R128">
        <v>0</v>
      </c>
      <c r="S128">
        <v>7</v>
      </c>
      <c r="Y128" t="s">
        <v>2497</v>
      </c>
      <c r="Z128" t="s">
        <v>3355</v>
      </c>
      <c r="AA128" t="s">
        <v>2601</v>
      </c>
      <c r="AB128" t="s">
        <v>3356</v>
      </c>
      <c r="AC128" t="s">
        <v>3357</v>
      </c>
      <c r="AD128" s="249" t="str">
        <f>HYPERLINK("https://scontent.cdninstagram.com/t51.2885-15/s320x320/e15/c140.0.360.360/20766181_1260076154121857_9026498342393217024_n.jpg")</f>
        <v>https://scontent.cdninstagram.com/t51.2885-15/s320x320/e15/c140.0.360.360/20766181_1260076154121857_9026498342393217024_n.jpg</v>
      </c>
      <c r="AE128" s="249" t="str">
        <f>HYPERLINK("https://scontent.cdninstagram.com/t51.2885-19/s150x150/19429439_491467114528489_4631782608492036096_a.jpg")</f>
        <v>https://scontent.cdninstagram.com/t51.2885-19/s150x150/19429439_491467114528489_4631782608492036096_a.jpg</v>
      </c>
    </row>
    <row r="129" spans="1:31" ht="15" x14ac:dyDescent="0.25">
      <c r="A129" t="s">
        <v>2474</v>
      </c>
      <c r="B129" t="s">
        <v>3358</v>
      </c>
      <c r="C129" s="221">
        <v>42958.703275462962</v>
      </c>
      <c r="D129" t="s">
        <v>3359</v>
      </c>
      <c r="E129" s="249" t="str">
        <f>HYPERLINK("https://www.instagram.com/p/BXquf42gxis/")</f>
        <v>https://www.instagram.com/p/BXquf42gxis/</v>
      </c>
      <c r="F129" t="s">
        <v>3360</v>
      </c>
      <c r="G129" t="s">
        <v>2478</v>
      </c>
      <c r="H129">
        <v>262</v>
      </c>
      <c r="I129" t="s">
        <v>2479</v>
      </c>
      <c r="J129">
        <v>15</v>
      </c>
      <c r="K129">
        <v>85</v>
      </c>
      <c r="L129">
        <v>100</v>
      </c>
      <c r="Q129">
        <v>0</v>
      </c>
      <c r="R129">
        <v>0</v>
      </c>
      <c r="S129">
        <v>100</v>
      </c>
      <c r="Y129" t="s">
        <v>2497</v>
      </c>
      <c r="Z129" t="s">
        <v>3361</v>
      </c>
      <c r="AA129" t="s">
        <v>3362</v>
      </c>
      <c r="AB129" t="s">
        <v>3363</v>
      </c>
      <c r="AC129" t="s">
        <v>3364</v>
      </c>
      <c r="AD129" s="249" t="str">
        <f>HYPERLINK("https://scontent.cdninstagram.com/t51.2885-15/s320x320/e35/c0.117.937.937/20688667_164784120747931_8609467312988225536_n.jpg")</f>
        <v>https://scontent.cdninstagram.com/t51.2885-15/s320x320/e35/c0.117.937.937/20688667_164784120747931_8609467312988225536_n.jpg</v>
      </c>
      <c r="AE129" s="249" t="str">
        <f>HYPERLINK("https://scontent.cdninstagram.com/t51.2885-19/s150x150/20837521_125265221440710_6202974502561775616_a.jpg")</f>
        <v>https://scontent.cdninstagram.com/t51.2885-19/s150x150/20837521_125265221440710_6202974502561775616_a.jpg</v>
      </c>
    </row>
    <row r="130" spans="1:31" ht="15" x14ac:dyDescent="0.25">
      <c r="A130" t="s">
        <v>2474</v>
      </c>
      <c r="B130" t="s">
        <v>3365</v>
      </c>
      <c r="C130" s="221">
        <v>42958.705694444441</v>
      </c>
      <c r="D130" t="s">
        <v>3366</v>
      </c>
      <c r="E130" s="249" t="str">
        <f>HYPERLINK("https://www.instagram.com/p/BXqu5XmDeGa/")</f>
        <v>https://www.instagram.com/p/BXqu5XmDeGa/</v>
      </c>
      <c r="F130" t="s">
        <v>3367</v>
      </c>
      <c r="G130" t="s">
        <v>2478</v>
      </c>
      <c r="H130">
        <v>60510</v>
      </c>
      <c r="I130" t="s">
        <v>2479</v>
      </c>
      <c r="J130">
        <v>0</v>
      </c>
      <c r="K130">
        <v>372</v>
      </c>
      <c r="L130">
        <v>372</v>
      </c>
      <c r="Q130">
        <v>0</v>
      </c>
      <c r="R130">
        <v>0</v>
      </c>
      <c r="S130">
        <v>372</v>
      </c>
      <c r="Y130" t="s">
        <v>2497</v>
      </c>
      <c r="Z130" t="s">
        <v>3368</v>
      </c>
      <c r="AA130" t="s">
        <v>3369</v>
      </c>
      <c r="AB130" t="s">
        <v>3370</v>
      </c>
      <c r="AC130" t="s">
        <v>3371</v>
      </c>
      <c r="AD130" s="249" t="str">
        <f>HYPERLINK("https://scontent.cdninstagram.com/t51.2885-15/s320x320/e35/c0.135.1080.1080/20759157_124536998180446_8061568767513067520_n.jpg")</f>
        <v>https://scontent.cdninstagram.com/t51.2885-15/s320x320/e35/c0.135.1080.1080/20759157_124536998180446_8061568767513067520_n.jpg</v>
      </c>
      <c r="AE130" s="249" t="str">
        <f>HYPERLINK("https://scontent.cdninstagram.com/t51.2885-19/s150x150/20482551_340931749664160_1940886847659966464_a.jpg")</f>
        <v>https://scontent.cdninstagram.com/t51.2885-19/s150x150/20482551_340931749664160_1940886847659966464_a.jpg</v>
      </c>
    </row>
    <row r="131" spans="1:31" ht="15" x14ac:dyDescent="0.25">
      <c r="A131" t="s">
        <v>2474</v>
      </c>
      <c r="B131" t="s">
        <v>3055</v>
      </c>
      <c r="C131" s="221">
        <v>42958.720509259256</v>
      </c>
      <c r="D131" t="s">
        <v>3372</v>
      </c>
      <c r="E131" s="249" t="str">
        <f>HYPERLINK("https://www.instagram.com/p/BXqxVnpnwLF/")</f>
        <v>https://www.instagram.com/p/BXqxVnpnwLF/</v>
      </c>
      <c r="F131" t="s">
        <v>3373</v>
      </c>
      <c r="G131" t="s">
        <v>2478</v>
      </c>
      <c r="H131">
        <v>145</v>
      </c>
      <c r="I131" t="s">
        <v>2479</v>
      </c>
      <c r="J131">
        <v>1</v>
      </c>
      <c r="K131">
        <v>17</v>
      </c>
      <c r="L131">
        <v>18</v>
      </c>
      <c r="Q131">
        <v>0</v>
      </c>
      <c r="R131">
        <v>0</v>
      </c>
      <c r="S131">
        <v>18</v>
      </c>
      <c r="Y131" t="s">
        <v>3374</v>
      </c>
      <c r="Z131" t="s">
        <v>3375</v>
      </c>
      <c r="AA131" t="s">
        <v>3376</v>
      </c>
      <c r="AB131" t="s">
        <v>3377</v>
      </c>
      <c r="AC131" t="s">
        <v>3378</v>
      </c>
      <c r="AD131" s="249" t="str">
        <f>HYPERLINK("https://scontent.cdninstagram.com/t51.2885-15/s320x320/e35/20688717_123746211585952_673123436591054848_n.jpg")</f>
        <v>https://scontent.cdninstagram.com/t51.2885-15/s320x320/e35/20688717_123746211585952_673123436591054848_n.jpg</v>
      </c>
      <c r="AE131" s="249" t="str">
        <f>HYPERLINK("https://scontent.cdninstagram.com/t51.2885-19/s150x150/12534162_1031877433501510_1281420640_a.jpg")</f>
        <v>https://scontent.cdninstagram.com/t51.2885-19/s150x150/12534162_1031877433501510_1281420640_a.jpg</v>
      </c>
    </row>
    <row r="132" spans="1:31" ht="15" x14ac:dyDescent="0.25">
      <c r="A132" t="s">
        <v>2474</v>
      </c>
      <c r="B132" t="s">
        <v>3379</v>
      </c>
      <c r="C132" s="221">
        <v>42958.722430555557</v>
      </c>
      <c r="D132" t="s">
        <v>3380</v>
      </c>
      <c r="E132" s="249" t="str">
        <f>HYPERLINK("https://www.instagram.com/p/BXqxp8aADv4/")</f>
        <v>https://www.instagram.com/p/BXqxp8aADv4/</v>
      </c>
      <c r="F132" t="s">
        <v>3381</v>
      </c>
      <c r="G132" t="s">
        <v>2478</v>
      </c>
      <c r="H132">
        <v>6</v>
      </c>
      <c r="I132" t="s">
        <v>2542</v>
      </c>
      <c r="J132">
        <v>1</v>
      </c>
      <c r="K132">
        <v>14</v>
      </c>
      <c r="L132">
        <v>15</v>
      </c>
      <c r="Q132">
        <v>0</v>
      </c>
      <c r="R132">
        <v>0</v>
      </c>
      <c r="S132">
        <v>15</v>
      </c>
      <c r="T132" t="s">
        <v>3382</v>
      </c>
      <c r="U132" t="s">
        <v>190</v>
      </c>
      <c r="V132" t="s">
        <v>2299</v>
      </c>
      <c r="W132">
        <v>33.484059999999999</v>
      </c>
      <c r="X132">
        <v>-86.892669999999995</v>
      </c>
      <c r="Y132" t="s">
        <v>3383</v>
      </c>
      <c r="Z132" t="s">
        <v>3384</v>
      </c>
      <c r="AA132" t="s">
        <v>2497</v>
      </c>
      <c r="AB132" t="s">
        <v>3385</v>
      </c>
      <c r="AC132" t="s">
        <v>3386</v>
      </c>
      <c r="AD132" s="249" t="str">
        <f>HYPERLINK("https://scontent.cdninstagram.com/t51.2885-15/s320x320/e35/20635300_110601456309344_493865791012208640_n.jpg")</f>
        <v>https://scontent.cdninstagram.com/t51.2885-15/s320x320/e35/20635300_110601456309344_493865791012208640_n.jpg</v>
      </c>
      <c r="AE132" s="249" t="str">
        <f>HYPERLINK("https://scontent.cdninstagram.com/t51.2885-19/s150x150/20837131_1251072821671421_743664997367808000_a.jpg")</f>
        <v>https://scontent.cdninstagram.com/t51.2885-19/s150x150/20837131_1251072821671421_743664997367808000_a.jpg</v>
      </c>
    </row>
    <row r="133" spans="1:31" ht="15" x14ac:dyDescent="0.25">
      <c r="A133" t="s">
        <v>2474</v>
      </c>
      <c r="B133" t="s">
        <v>3387</v>
      </c>
      <c r="C133" s="221">
        <v>42958.730879629627</v>
      </c>
      <c r="D133" t="s">
        <v>3388</v>
      </c>
      <c r="E133" s="249" t="str">
        <f>HYPERLINK("https://www.instagram.com/p/BXqzC80B-LC/")</f>
        <v>https://www.instagram.com/p/BXqzC80B-LC/</v>
      </c>
      <c r="F133" t="s">
        <v>3389</v>
      </c>
      <c r="G133" t="s">
        <v>2631</v>
      </c>
      <c r="H133">
        <v>103</v>
      </c>
      <c r="I133" t="s">
        <v>3273</v>
      </c>
      <c r="J133">
        <v>0</v>
      </c>
      <c r="K133">
        <v>8</v>
      </c>
      <c r="L133">
        <v>8</v>
      </c>
      <c r="Q133">
        <v>0</v>
      </c>
      <c r="R133">
        <v>0</v>
      </c>
      <c r="S133">
        <v>8</v>
      </c>
      <c r="T133" t="s">
        <v>3390</v>
      </c>
      <c r="V133" t="s">
        <v>2288</v>
      </c>
      <c r="W133">
        <v>53.062911746499999</v>
      </c>
      <c r="X133">
        <v>-0.81012536313799999</v>
      </c>
      <c r="Y133" t="s">
        <v>3391</v>
      </c>
      <c r="Z133" t="s">
        <v>3392</v>
      </c>
      <c r="AA133" t="s">
        <v>2492</v>
      </c>
      <c r="AB133" t="s">
        <v>2497</v>
      </c>
      <c r="AD133" s="249" t="str">
        <f>HYPERLINK("https://scontent.cdninstagram.com/t51.2885-15/s320x320/e15/20688614_1537455133011318_7098238342101204992_n.jpg")</f>
        <v>https://scontent.cdninstagram.com/t51.2885-15/s320x320/e15/20688614_1537455133011318_7098238342101204992_n.jpg</v>
      </c>
      <c r="AE133" s="249" t="str">
        <f>HYPERLINK("https://scontent.cdninstagram.com/t51.2885-19/s150x150/16585606_623923284475652_2264394126675935232_a.jpg")</f>
        <v>https://scontent.cdninstagram.com/t51.2885-19/s150x150/16585606_623923284475652_2264394126675935232_a.jpg</v>
      </c>
    </row>
    <row r="134" spans="1:31" ht="15" x14ac:dyDescent="0.25">
      <c r="A134" t="s">
        <v>2474</v>
      </c>
      <c r="B134" t="s">
        <v>3393</v>
      </c>
      <c r="C134" s="221">
        <v>42958.733622685184</v>
      </c>
      <c r="D134" t="s">
        <v>3394</v>
      </c>
      <c r="E134" s="249" t="str">
        <f>HYPERLINK("https://www.instagram.com/p/BXqzf5uHLoP/")</f>
        <v>https://www.instagram.com/p/BXqzf5uHLoP/</v>
      </c>
      <c r="F134" t="s">
        <v>3395</v>
      </c>
      <c r="G134" t="s">
        <v>2478</v>
      </c>
      <c r="H134">
        <v>16370</v>
      </c>
      <c r="I134" t="s">
        <v>2479</v>
      </c>
      <c r="J134">
        <v>9</v>
      </c>
      <c r="K134">
        <v>610</v>
      </c>
      <c r="L134">
        <v>619</v>
      </c>
      <c r="Q134">
        <v>0</v>
      </c>
      <c r="R134">
        <v>0</v>
      </c>
      <c r="S134">
        <v>619</v>
      </c>
      <c r="AD134" s="249" t="str">
        <f>HYPERLINK("https://scontent.cdninstagram.com/t51.2885-15/s320x320/e35/20766937_420510451677556_4774977698608971776_n.jpg")</f>
        <v>https://scontent.cdninstagram.com/t51.2885-15/s320x320/e35/20766937_420510451677556_4774977698608971776_n.jpg</v>
      </c>
      <c r="AE134" s="249" t="str">
        <f>HYPERLINK("https://scontent.cdninstagram.com/t51.2885-19/s150x150/20902014_162558767643528_5272391669478588416_n.jpg")</f>
        <v>https://scontent.cdninstagram.com/t51.2885-19/s150x150/20902014_162558767643528_5272391669478588416_n.jpg</v>
      </c>
    </row>
    <row r="135" spans="1:31" ht="15" x14ac:dyDescent="0.25">
      <c r="A135" t="s">
        <v>2474</v>
      </c>
      <c r="B135" t="s">
        <v>3396</v>
      </c>
      <c r="C135" s="221">
        <v>42958.757604166669</v>
      </c>
      <c r="D135" t="s">
        <v>3397</v>
      </c>
      <c r="E135" s="249" t="str">
        <f>HYPERLINK("https://www.instagram.com/p/BXq3c0ljcSY/")</f>
        <v>https://www.instagram.com/p/BXq3c0ljcSY/</v>
      </c>
      <c r="F135" t="s">
        <v>3398</v>
      </c>
      <c r="G135" t="s">
        <v>2478</v>
      </c>
      <c r="H135">
        <v>466</v>
      </c>
      <c r="I135" t="s">
        <v>2542</v>
      </c>
      <c r="J135">
        <v>2</v>
      </c>
      <c r="K135">
        <v>36</v>
      </c>
      <c r="L135">
        <v>38</v>
      </c>
      <c r="Q135">
        <v>0</v>
      </c>
      <c r="R135">
        <v>0</v>
      </c>
      <c r="S135">
        <v>38</v>
      </c>
      <c r="Y135" t="s">
        <v>2497</v>
      </c>
      <c r="Z135" t="s">
        <v>3399</v>
      </c>
      <c r="AD135" s="249" t="str">
        <f>HYPERLINK("https://scontent.cdninstagram.com/t51.2885-15/s320x320/e35/c0.33.1080.1080/20687295_165238217379873_5512079328818495488_n.jpg")</f>
        <v>https://scontent.cdninstagram.com/t51.2885-15/s320x320/e35/c0.33.1080.1080/20687295_165238217379873_5512079328818495488_n.jpg</v>
      </c>
      <c r="AE135" s="249" t="str">
        <f>HYPERLINK("https://scontent.cdninstagram.com/t51.2885-19/s150x150/16908793_1310907835622652_6215387997429301248_a.jpg")</f>
        <v>https://scontent.cdninstagram.com/t51.2885-19/s150x150/16908793_1310907835622652_6215387997429301248_a.jpg</v>
      </c>
    </row>
    <row r="136" spans="1:31" ht="15" x14ac:dyDescent="0.25">
      <c r="A136" t="s">
        <v>2474</v>
      </c>
      <c r="B136" t="s">
        <v>2588</v>
      </c>
      <c r="C136" s="221">
        <v>42958.760289351849</v>
      </c>
      <c r="D136" t="s">
        <v>3400</v>
      </c>
      <c r="E136" s="249" t="str">
        <f>HYPERLINK("https://www.instagram.com/p/BXq35NFAqqV/")</f>
        <v>https://www.instagram.com/p/BXq35NFAqqV/</v>
      </c>
      <c r="F136" t="s">
        <v>3401</v>
      </c>
      <c r="G136" t="s">
        <v>2478</v>
      </c>
      <c r="H136">
        <v>230</v>
      </c>
      <c r="I136" t="s">
        <v>2479</v>
      </c>
      <c r="J136">
        <v>11</v>
      </c>
      <c r="K136">
        <v>48</v>
      </c>
      <c r="L136">
        <v>59</v>
      </c>
      <c r="Q136">
        <v>0</v>
      </c>
      <c r="R136">
        <v>0</v>
      </c>
      <c r="S136">
        <v>59</v>
      </c>
      <c r="AD136" s="249" t="str">
        <f>HYPERLINK("https://scontent.cdninstagram.com/t51.2885-15/s320x320/e35/20688341_159785187907860_2661385800750465024_n.jpg")</f>
        <v>https://scontent.cdninstagram.com/t51.2885-15/s320x320/e35/20688341_159785187907860_2661385800750465024_n.jpg</v>
      </c>
      <c r="AE136" s="249" t="str">
        <f>HYPERLINK("https://scontent.cdninstagram.com/t51.2885-19/s150x150/20633561_108840983138666_5897549723056734208_a.jpg")</f>
        <v>https://scontent.cdninstagram.com/t51.2885-19/s150x150/20633561_108840983138666_5897549723056734208_a.jpg</v>
      </c>
    </row>
    <row r="137" spans="1:31" ht="15" x14ac:dyDescent="0.25">
      <c r="A137" t="s">
        <v>2474</v>
      </c>
      <c r="B137" t="s">
        <v>3402</v>
      </c>
      <c r="C137" s="221">
        <v>42958.764097222222</v>
      </c>
      <c r="D137" t="s">
        <v>3403</v>
      </c>
      <c r="E137" s="249" t="str">
        <f>HYPERLINK("https://www.instagram.com/p/BXq4hXblA0E/")</f>
        <v>https://www.instagram.com/p/BXq4hXblA0E/</v>
      </c>
      <c r="F137" t="s">
        <v>3404</v>
      </c>
      <c r="G137" t="s">
        <v>2478</v>
      </c>
      <c r="H137">
        <v>68</v>
      </c>
      <c r="I137" t="s">
        <v>2519</v>
      </c>
      <c r="J137">
        <v>0</v>
      </c>
      <c r="K137">
        <v>4</v>
      </c>
      <c r="L137">
        <v>4</v>
      </c>
      <c r="Q137">
        <v>0</v>
      </c>
      <c r="R137">
        <v>0</v>
      </c>
      <c r="S137">
        <v>4</v>
      </c>
      <c r="Y137" t="s">
        <v>3405</v>
      </c>
      <c r="Z137" t="s">
        <v>2497</v>
      </c>
      <c r="AA137" t="s">
        <v>3406</v>
      </c>
      <c r="AB137" t="s">
        <v>3407</v>
      </c>
      <c r="AC137" t="s">
        <v>3408</v>
      </c>
      <c r="AD137" s="249" t="str">
        <f>HYPERLINK("https://scontent.cdninstagram.com/t51.2885-15/s320x320/e35/20687904_202297636970886_3567361009553244160_n.jpg")</f>
        <v>https://scontent.cdninstagram.com/t51.2885-15/s320x320/e35/20687904_202297636970886_3567361009553244160_n.jpg</v>
      </c>
      <c r="AE137" s="249" t="str">
        <f>HYPERLINK("https://scontent.cdninstagram.com/t51.2885-19/s150x150/11910435_848732308556890_334106001_a.jpg")</f>
        <v>https://scontent.cdninstagram.com/t51.2885-19/s150x150/11910435_848732308556890_334106001_a.jpg</v>
      </c>
    </row>
    <row r="138" spans="1:31" ht="15" x14ac:dyDescent="0.25">
      <c r="A138" t="s">
        <v>2474</v>
      </c>
      <c r="B138" t="s">
        <v>3409</v>
      </c>
      <c r="C138" s="221">
        <v>42958.768043981479</v>
      </c>
      <c r="D138" t="s">
        <v>3410</v>
      </c>
      <c r="E138" s="249" t="str">
        <f>HYPERLINK("https://www.instagram.com/p/BXq5LBoBtES/")</f>
        <v>https://www.instagram.com/p/BXq5LBoBtES/</v>
      </c>
      <c r="F138" t="s">
        <v>3411</v>
      </c>
      <c r="G138" t="s">
        <v>2478</v>
      </c>
      <c r="H138">
        <v>332</v>
      </c>
      <c r="I138" t="s">
        <v>2479</v>
      </c>
      <c r="J138">
        <v>0</v>
      </c>
      <c r="K138">
        <v>9</v>
      </c>
      <c r="L138">
        <v>9</v>
      </c>
      <c r="Q138">
        <v>0</v>
      </c>
      <c r="R138">
        <v>0</v>
      </c>
      <c r="S138">
        <v>9</v>
      </c>
      <c r="Y138" t="s">
        <v>3412</v>
      </c>
      <c r="Z138" t="s">
        <v>2497</v>
      </c>
      <c r="AA138" t="s">
        <v>3413</v>
      </c>
      <c r="AB138" t="s">
        <v>2492</v>
      </c>
      <c r="AC138" t="s">
        <v>3414</v>
      </c>
      <c r="AD138" s="249" t="str">
        <f>HYPERLINK("https://scontent.cdninstagram.com/t51.2885-15/s320x320/e35/20686908_1750469248587170_1104442327541219328_n.jpg")</f>
        <v>https://scontent.cdninstagram.com/t51.2885-15/s320x320/e35/20686908_1750469248587170_1104442327541219328_n.jpg</v>
      </c>
      <c r="AE138" s="249" t="str">
        <f>HYPERLINK("https://scontent.cdninstagram.com/t51.2885-19/s150x150/18950427_117784012147067_1805167813841649664_a.jpg")</f>
        <v>https://scontent.cdninstagram.com/t51.2885-19/s150x150/18950427_117784012147067_1805167813841649664_a.jpg</v>
      </c>
    </row>
    <row r="139" spans="1:31" ht="15" x14ac:dyDescent="0.25">
      <c r="A139" t="s">
        <v>2474</v>
      </c>
      <c r="B139" t="s">
        <v>3415</v>
      </c>
      <c r="C139" s="221">
        <v>42958.769618055558</v>
      </c>
      <c r="D139" t="s">
        <v>3416</v>
      </c>
      <c r="E139" s="249" t="str">
        <f>HYPERLINK("https://www.instagram.com/p/BXq5blclBy6/")</f>
        <v>https://www.instagram.com/p/BXq5blclBy6/</v>
      </c>
      <c r="F139" t="s">
        <v>3417</v>
      </c>
      <c r="G139" t="s">
        <v>2478</v>
      </c>
      <c r="H139">
        <v>240</v>
      </c>
      <c r="I139" t="s">
        <v>2479</v>
      </c>
      <c r="J139">
        <v>4</v>
      </c>
      <c r="K139">
        <v>44</v>
      </c>
      <c r="L139">
        <v>48</v>
      </c>
      <c r="Q139">
        <v>0</v>
      </c>
      <c r="R139">
        <v>0</v>
      </c>
      <c r="S139">
        <v>48</v>
      </c>
      <c r="Y139" t="s">
        <v>3418</v>
      </c>
      <c r="Z139" t="s">
        <v>2497</v>
      </c>
      <c r="AA139" t="s">
        <v>3419</v>
      </c>
      <c r="AB139" t="s">
        <v>3420</v>
      </c>
      <c r="AC139" t="s">
        <v>3421</v>
      </c>
      <c r="AD139" s="249" t="str">
        <f>HYPERLINK("https://scontent.cdninstagram.com/t51.2885-15/s320x320/e35/20688295_1968036910148326_2177611516436545536_n.jpg")</f>
        <v>https://scontent.cdninstagram.com/t51.2885-15/s320x320/e35/20688295_1968036910148326_2177611516436545536_n.jpg</v>
      </c>
      <c r="AE139" s="249" t="str">
        <f>HYPERLINK("https://scontent.cdninstagram.com/t51.2885-19/s150x150/19985942_261665957654637_6917754058157588480_a.jpg")</f>
        <v>https://scontent.cdninstagram.com/t51.2885-19/s150x150/19985942_261665957654637_6917754058157588480_a.jpg</v>
      </c>
    </row>
    <row r="140" spans="1:31" ht="15" x14ac:dyDescent="0.25">
      <c r="A140" t="s">
        <v>2474</v>
      </c>
      <c r="B140" t="s">
        <v>3422</v>
      </c>
      <c r="C140" s="221">
        <v>42958.771840277775</v>
      </c>
      <c r="D140" t="s">
        <v>3423</v>
      </c>
      <c r="E140" s="249" t="str">
        <f>HYPERLINK("https://www.instagram.com/p/BXq5y9eBjfP/")</f>
        <v>https://www.instagram.com/p/BXq5y9eBjfP/</v>
      </c>
      <c r="F140" t="s">
        <v>3424</v>
      </c>
      <c r="G140" t="s">
        <v>2478</v>
      </c>
      <c r="H140">
        <v>240</v>
      </c>
      <c r="I140" t="s">
        <v>2927</v>
      </c>
      <c r="J140">
        <v>2</v>
      </c>
      <c r="K140">
        <v>29</v>
      </c>
      <c r="L140">
        <v>31</v>
      </c>
      <c r="Q140">
        <v>0</v>
      </c>
      <c r="R140">
        <v>0</v>
      </c>
      <c r="S140">
        <v>31</v>
      </c>
      <c r="Y140" t="s">
        <v>3425</v>
      </c>
      <c r="Z140" t="s">
        <v>2497</v>
      </c>
      <c r="AA140" t="s">
        <v>2651</v>
      </c>
      <c r="AB140" t="s">
        <v>3426</v>
      </c>
      <c r="AC140" t="s">
        <v>3427</v>
      </c>
      <c r="AD140" s="249" t="str">
        <f>HYPERLINK("https://scontent.cdninstagram.com/t51.2885-15/s320x320/e35/c0.117.937.937/20635176_131434964133502_7892337555583008768_n.jpg")</f>
        <v>https://scontent.cdninstagram.com/t51.2885-15/s320x320/e35/c0.117.937.937/20635176_131434964133502_7892337555583008768_n.jpg</v>
      </c>
      <c r="AE140" s="249" t="str">
        <f>HYPERLINK("https://scontent.cdninstagram.com/t51.2885-19/s150x150/19933402_2035641930004924_6544276750208073728_a.jpg")</f>
        <v>https://scontent.cdninstagram.com/t51.2885-19/s150x150/19933402_2035641930004924_6544276750208073728_a.jpg</v>
      </c>
    </row>
    <row r="141" spans="1:31" ht="15" x14ac:dyDescent="0.25">
      <c r="A141" t="s">
        <v>2474</v>
      </c>
      <c r="B141" t="s">
        <v>3428</v>
      </c>
      <c r="C141" s="221">
        <v>42958.773819444446</v>
      </c>
      <c r="D141" t="s">
        <v>3429</v>
      </c>
      <c r="E141" s="249" t="str">
        <f>HYPERLINK("https://www.instagram.com/p/BXq6H3IgAmY/")</f>
        <v>https://www.instagram.com/p/BXq6H3IgAmY/</v>
      </c>
      <c r="F141" t="s">
        <v>3430</v>
      </c>
      <c r="G141" t="s">
        <v>2478</v>
      </c>
      <c r="H141">
        <v>93</v>
      </c>
      <c r="I141" t="s">
        <v>2927</v>
      </c>
      <c r="J141">
        <v>2</v>
      </c>
      <c r="K141">
        <v>9</v>
      </c>
      <c r="L141">
        <v>11</v>
      </c>
      <c r="Q141">
        <v>0</v>
      </c>
      <c r="R141">
        <v>0</v>
      </c>
      <c r="S141">
        <v>11</v>
      </c>
      <c r="Y141" t="s">
        <v>3431</v>
      </c>
      <c r="Z141" t="s">
        <v>2497</v>
      </c>
      <c r="AA141" t="s">
        <v>3432</v>
      </c>
      <c r="AB141" t="s">
        <v>3433</v>
      </c>
      <c r="AC141" t="s">
        <v>3428</v>
      </c>
      <c r="AD141" s="249" t="str">
        <f>HYPERLINK("https://scontent.cdninstagram.com/t51.2885-15/s320x320/e35/c0.135.1080.1080/20759962_254438888379669_2971307660122521600_n.jpg")</f>
        <v>https://scontent.cdninstagram.com/t51.2885-15/s320x320/e35/c0.135.1080.1080/20759962_254438888379669_2971307660122521600_n.jpg</v>
      </c>
      <c r="AE141" s="249" t="str">
        <f>HYPERLINK("https://scontent.cdninstagram.com/t51.2885-19/s150x150/20759780_523313898061906_8292074980775034880_a.jpg")</f>
        <v>https://scontent.cdninstagram.com/t51.2885-19/s150x150/20759780_523313898061906_8292074980775034880_a.jpg</v>
      </c>
    </row>
    <row r="142" spans="1:31" ht="15" x14ac:dyDescent="0.25">
      <c r="A142" t="s">
        <v>2474</v>
      </c>
      <c r="B142" t="s">
        <v>3434</v>
      </c>
      <c r="C142" s="221">
        <v>42958.789780092593</v>
      </c>
      <c r="D142" t="s">
        <v>3435</v>
      </c>
      <c r="E142" s="249" t="str">
        <f>HYPERLINK("https://www.instagram.com/p/BXq8wRmFvgg/")</f>
        <v>https://www.instagram.com/p/BXq8wRmFvgg/</v>
      </c>
      <c r="F142" t="s">
        <v>3436</v>
      </c>
      <c r="G142" t="s">
        <v>2478</v>
      </c>
      <c r="H142">
        <v>499</v>
      </c>
      <c r="I142" t="s">
        <v>2542</v>
      </c>
      <c r="J142">
        <v>1</v>
      </c>
      <c r="K142">
        <v>25</v>
      </c>
      <c r="L142">
        <v>26</v>
      </c>
      <c r="Q142">
        <v>0</v>
      </c>
      <c r="R142">
        <v>0</v>
      </c>
      <c r="S142">
        <v>26</v>
      </c>
      <c r="T142" t="s">
        <v>3437</v>
      </c>
      <c r="V142" t="s">
        <v>2125</v>
      </c>
      <c r="W142">
        <v>49.268250000000002</v>
      </c>
      <c r="X142">
        <v>-123.14427000000001</v>
      </c>
      <c r="Y142" t="s">
        <v>3438</v>
      </c>
      <c r="Z142" t="s">
        <v>3439</v>
      </c>
      <c r="AA142" t="s">
        <v>3440</v>
      </c>
      <c r="AB142" t="s">
        <v>2497</v>
      </c>
      <c r="AD142" s="249" t="str">
        <f>HYPERLINK("https://scontent.cdninstagram.com/t51.2885-15/s320x320/e35/c0.135.1080.1080/20759782_1870325719962852_3825864465350393856_n.jpg")</f>
        <v>https://scontent.cdninstagram.com/t51.2885-15/s320x320/e35/c0.135.1080.1080/20759782_1870325719962852_3825864465350393856_n.jpg</v>
      </c>
      <c r="AE142" s="249" t="str">
        <f>HYPERLINK("https://scontent.cdninstagram.com/t51.2885-19/s150x150/13355451_136168136789345_1541156761_a.jpg")</f>
        <v>https://scontent.cdninstagram.com/t51.2885-19/s150x150/13355451_136168136789345_1541156761_a.jpg</v>
      </c>
    </row>
    <row r="143" spans="1:31" ht="15" x14ac:dyDescent="0.25">
      <c r="A143" t="s">
        <v>2474</v>
      </c>
      <c r="B143" t="s">
        <v>3441</v>
      </c>
      <c r="C143" s="221">
        <v>42958.796157407407</v>
      </c>
      <c r="D143" t="s">
        <v>3442</v>
      </c>
      <c r="E143" s="249" t="str">
        <f>HYPERLINK("https://www.instagram.com/p/BXq9zbiB1VN/")</f>
        <v>https://www.instagram.com/p/BXq9zbiB1VN/</v>
      </c>
      <c r="F143" t="s">
        <v>3443</v>
      </c>
      <c r="G143" t="s">
        <v>2478</v>
      </c>
      <c r="H143">
        <v>209</v>
      </c>
      <c r="I143" t="s">
        <v>2903</v>
      </c>
      <c r="J143">
        <v>0</v>
      </c>
      <c r="K143">
        <v>32</v>
      </c>
      <c r="L143">
        <v>32</v>
      </c>
      <c r="Q143">
        <v>0</v>
      </c>
      <c r="R143">
        <v>0</v>
      </c>
      <c r="S143">
        <v>32</v>
      </c>
      <c r="Y143" t="s">
        <v>3444</v>
      </c>
      <c r="Z143" t="s">
        <v>3445</v>
      </c>
      <c r="AA143" t="s">
        <v>2734</v>
      </c>
      <c r="AB143" t="s">
        <v>3446</v>
      </c>
      <c r="AC143" t="s">
        <v>3447</v>
      </c>
      <c r="AD143" s="249" t="str">
        <f>HYPERLINK("https://scontent.cdninstagram.com/t51.2885-15/s320x320/e35/20687276_115216485764667_7336782054081691648_n.jpg")</f>
        <v>https://scontent.cdninstagram.com/t51.2885-15/s320x320/e35/20687276_115216485764667_7336782054081691648_n.jpg</v>
      </c>
      <c r="AE143" s="249" t="str">
        <f>HYPERLINK("https://scontent.cdninstagram.com/t51.2885-19/s150x150/19122352_989012301202037_2485010043867496448_a.jpg")</f>
        <v>https://scontent.cdninstagram.com/t51.2885-19/s150x150/19122352_989012301202037_2485010043867496448_a.jpg</v>
      </c>
    </row>
    <row r="144" spans="1:31" ht="15" x14ac:dyDescent="0.25">
      <c r="A144" t="s">
        <v>2474</v>
      </c>
      <c r="B144" t="s">
        <v>3448</v>
      </c>
      <c r="C144" s="221">
        <v>42958.805208333331</v>
      </c>
      <c r="D144" t="s">
        <v>3449</v>
      </c>
      <c r="E144" s="249" t="str">
        <f>HYPERLINK("https://www.instagram.com/p/BXq_S42hFoE/")</f>
        <v>https://www.instagram.com/p/BXq_S42hFoE/</v>
      </c>
      <c r="F144" t="s">
        <v>3450</v>
      </c>
      <c r="G144" t="s">
        <v>2488</v>
      </c>
      <c r="H144">
        <v>45</v>
      </c>
      <c r="I144" t="s">
        <v>2479</v>
      </c>
      <c r="J144">
        <v>0</v>
      </c>
      <c r="K144">
        <v>4</v>
      </c>
      <c r="L144">
        <v>4</v>
      </c>
      <c r="Q144">
        <v>0</v>
      </c>
      <c r="R144">
        <v>0</v>
      </c>
      <c r="S144">
        <v>4</v>
      </c>
      <c r="Y144" t="s">
        <v>3451</v>
      </c>
      <c r="Z144" t="s">
        <v>3452</v>
      </c>
      <c r="AA144" t="s">
        <v>3453</v>
      </c>
      <c r="AB144" t="s">
        <v>2497</v>
      </c>
      <c r="AD144" s="249" t="str">
        <f>HYPERLINK("https://scontent.cdninstagram.com/t51.2885-15/s320x320/e35/20687137_664336487095395_3378715901200171008_n.jpg")</f>
        <v>https://scontent.cdninstagram.com/t51.2885-15/s320x320/e35/20687137_664336487095395_3378715901200171008_n.jpg</v>
      </c>
      <c r="AE144" s="249" t="str">
        <f>HYPERLINK("https://scontent.cdninstagram.com/t51.2885-19/s150x150/18380409_123489161542812_8073687743588204544_a.jpg")</f>
        <v>https://scontent.cdninstagram.com/t51.2885-19/s150x150/18380409_123489161542812_8073687743588204544_a.jpg</v>
      </c>
    </row>
    <row r="145" spans="1:31" ht="15" x14ac:dyDescent="0.25">
      <c r="A145" t="s">
        <v>2474</v>
      </c>
      <c r="B145" t="s">
        <v>3454</v>
      </c>
      <c r="C145" s="221">
        <v>42958.815115740741</v>
      </c>
      <c r="D145" t="s">
        <v>3455</v>
      </c>
      <c r="E145" s="249" t="str">
        <f>HYPERLINK("https://www.instagram.com/p/BXrA7fJBWOg/")</f>
        <v>https://www.instagram.com/p/BXrA7fJBWOg/</v>
      </c>
      <c r="F145" t="s">
        <v>3456</v>
      </c>
      <c r="G145" t="s">
        <v>2478</v>
      </c>
      <c r="H145">
        <v>433</v>
      </c>
      <c r="I145" t="s">
        <v>2479</v>
      </c>
      <c r="J145">
        <v>6</v>
      </c>
      <c r="K145">
        <v>27</v>
      </c>
      <c r="L145">
        <v>33</v>
      </c>
      <c r="Q145">
        <v>0</v>
      </c>
      <c r="R145">
        <v>0</v>
      </c>
      <c r="S145">
        <v>33</v>
      </c>
      <c r="Y145" t="s">
        <v>3457</v>
      </c>
      <c r="Z145" t="s">
        <v>2497</v>
      </c>
      <c r="AD145" s="249" t="str">
        <f>HYPERLINK("https://scontent.cdninstagram.com/t51.2885-15/s320x320/e35/20688716_135213927080942_3931150207017811968_n.jpg")</f>
        <v>https://scontent.cdninstagram.com/t51.2885-15/s320x320/e35/20688716_135213927080942_3931150207017811968_n.jpg</v>
      </c>
      <c r="AE145" s="249" t="str">
        <f>HYPERLINK("https://scontent.cdninstagram.com/t51.2885-19/s150x150/19984358_1180975985339706_4057684882770362368_a.jpg")</f>
        <v>https://scontent.cdninstagram.com/t51.2885-19/s150x150/19984358_1180975985339706_4057684882770362368_a.jpg</v>
      </c>
    </row>
    <row r="146" spans="1:31" ht="15" x14ac:dyDescent="0.25">
      <c r="A146" t="s">
        <v>2474</v>
      </c>
      <c r="B146" t="s">
        <v>3454</v>
      </c>
      <c r="C146" s="221">
        <v>42958.816099537034</v>
      </c>
      <c r="D146" t="s">
        <v>3458</v>
      </c>
      <c r="E146" s="249" t="str">
        <f>HYPERLINK("https://www.instagram.com/p/BXrBFx_h3OP/")</f>
        <v>https://www.instagram.com/p/BXrBFx_h3OP/</v>
      </c>
      <c r="F146" t="s">
        <v>3456</v>
      </c>
      <c r="G146" t="s">
        <v>2478</v>
      </c>
      <c r="H146">
        <v>433</v>
      </c>
      <c r="I146" t="s">
        <v>2479</v>
      </c>
      <c r="J146">
        <v>6</v>
      </c>
      <c r="K146">
        <v>25</v>
      </c>
      <c r="L146">
        <v>31</v>
      </c>
      <c r="Q146">
        <v>0</v>
      </c>
      <c r="R146">
        <v>0</v>
      </c>
      <c r="S146">
        <v>31</v>
      </c>
      <c r="Y146" t="s">
        <v>3457</v>
      </c>
      <c r="Z146" t="s">
        <v>2497</v>
      </c>
      <c r="AD146" s="249" t="str">
        <f>HYPERLINK("https://scontent.cdninstagram.com/t51.2885-15/s320x320/e35/20635510_1638736042817994_2759143890677137408_n.jpg")</f>
        <v>https://scontent.cdninstagram.com/t51.2885-15/s320x320/e35/20635510_1638736042817994_2759143890677137408_n.jpg</v>
      </c>
      <c r="AE146" s="249" t="str">
        <f>HYPERLINK("https://scontent.cdninstagram.com/t51.2885-19/s150x150/19984358_1180975985339706_4057684882770362368_a.jpg")</f>
        <v>https://scontent.cdninstagram.com/t51.2885-19/s150x150/19984358_1180975985339706_4057684882770362368_a.jpg</v>
      </c>
    </row>
    <row r="147" spans="1:31" ht="15" x14ac:dyDescent="0.25">
      <c r="A147" t="s">
        <v>2474</v>
      </c>
      <c r="B147" t="s">
        <v>3459</v>
      </c>
      <c r="C147" s="221">
        <v>42958.819768518515</v>
      </c>
      <c r="D147" t="s">
        <v>3460</v>
      </c>
      <c r="E147" s="249" t="str">
        <f>HYPERLINK("https://www.instagram.com/p/BXrBshiDV2P/")</f>
        <v>https://www.instagram.com/p/BXrBshiDV2P/</v>
      </c>
      <c r="F147" t="s">
        <v>3461</v>
      </c>
      <c r="G147" t="s">
        <v>2478</v>
      </c>
      <c r="H147">
        <v>413</v>
      </c>
      <c r="I147" t="s">
        <v>2479</v>
      </c>
      <c r="J147">
        <v>3</v>
      </c>
      <c r="K147">
        <v>60</v>
      </c>
      <c r="L147">
        <v>63</v>
      </c>
      <c r="Q147">
        <v>0</v>
      </c>
      <c r="R147">
        <v>0</v>
      </c>
      <c r="S147">
        <v>63</v>
      </c>
      <c r="Y147" t="s">
        <v>3462</v>
      </c>
      <c r="Z147" t="s">
        <v>3463</v>
      </c>
      <c r="AA147" t="s">
        <v>3464</v>
      </c>
      <c r="AB147" t="s">
        <v>3465</v>
      </c>
      <c r="AC147" t="s">
        <v>3466</v>
      </c>
      <c r="AD147" s="249" t="str">
        <f>HYPERLINK("https://scontent.cdninstagram.com/t51.2885-15/s320x320/e35/20688075_1716746095004516_4294435682127970304_n.jpg")</f>
        <v>https://scontent.cdninstagram.com/t51.2885-15/s320x320/e35/20688075_1716746095004516_4294435682127970304_n.jpg</v>
      </c>
      <c r="AE147" s="249" t="str">
        <f>HYPERLINK("https://scontent.cdninstagram.com/t51.2885-19/s150x150/20633841_346607762411248_3248859888582918144_a.jpg")</f>
        <v>https://scontent.cdninstagram.com/t51.2885-19/s150x150/20633841_346607762411248_3248859888582918144_a.jpg</v>
      </c>
    </row>
    <row r="148" spans="1:31" ht="15" x14ac:dyDescent="0.25">
      <c r="A148" t="s">
        <v>2474</v>
      </c>
      <c r="B148" t="s">
        <v>3467</v>
      </c>
      <c r="C148" s="221">
        <v>42958.833067129628</v>
      </c>
      <c r="D148" t="s">
        <v>3468</v>
      </c>
      <c r="E148" s="249" t="str">
        <f>HYPERLINK("https://www.instagram.com/p/BXrD4zyDq-a/")</f>
        <v>https://www.instagram.com/p/BXrD4zyDq-a/</v>
      </c>
      <c r="F148" t="s">
        <v>3469</v>
      </c>
      <c r="G148" t="s">
        <v>2478</v>
      </c>
      <c r="H148">
        <v>645</v>
      </c>
      <c r="I148" t="s">
        <v>2479</v>
      </c>
      <c r="J148">
        <v>3</v>
      </c>
      <c r="K148">
        <v>99</v>
      </c>
      <c r="L148">
        <v>102</v>
      </c>
      <c r="Q148">
        <v>0</v>
      </c>
      <c r="R148">
        <v>0</v>
      </c>
      <c r="S148">
        <v>102</v>
      </c>
      <c r="Y148" t="s">
        <v>3470</v>
      </c>
      <c r="Z148" t="s">
        <v>2497</v>
      </c>
      <c r="AD148" s="249" t="str">
        <f>HYPERLINK("https://scontent.cdninstagram.com/t51.2885-15/s320x320/e35/20759794_888647321292157_5700032071263584256_n.jpg")</f>
        <v>https://scontent.cdninstagram.com/t51.2885-15/s320x320/e35/20759794_888647321292157_5700032071263584256_n.jpg</v>
      </c>
      <c r="AE148" s="249" t="str">
        <f>HYPERLINK("https://scontent.cdninstagram.com/t51.2885-19/s150x150/19120665_1917576298465612_5435629576669626368_a.jpg")</f>
        <v>https://scontent.cdninstagram.com/t51.2885-19/s150x150/19120665_1917576298465612_5435629576669626368_a.jpg</v>
      </c>
    </row>
    <row r="149" spans="1:31" ht="15" x14ac:dyDescent="0.25">
      <c r="A149" t="s">
        <v>2474</v>
      </c>
      <c r="B149" t="s">
        <v>3471</v>
      </c>
      <c r="C149" s="221">
        <v>42958.848749999997</v>
      </c>
      <c r="D149" t="s">
        <v>3472</v>
      </c>
      <c r="E149" s="249" t="str">
        <f>HYPERLINK("https://www.instagram.com/p/BXrGeHRj6zI/")</f>
        <v>https://www.instagram.com/p/BXrGeHRj6zI/</v>
      </c>
      <c r="F149" t="s">
        <v>3473</v>
      </c>
      <c r="G149" t="s">
        <v>2488</v>
      </c>
      <c r="H149">
        <v>180</v>
      </c>
      <c r="I149" t="s">
        <v>2479</v>
      </c>
      <c r="J149">
        <v>0</v>
      </c>
      <c r="K149">
        <v>27</v>
      </c>
      <c r="L149">
        <v>27</v>
      </c>
      <c r="Q149">
        <v>0</v>
      </c>
      <c r="R149">
        <v>0</v>
      </c>
      <c r="S149">
        <v>27</v>
      </c>
      <c r="T149" t="s">
        <v>3474</v>
      </c>
      <c r="V149" t="s">
        <v>2258</v>
      </c>
      <c r="W149">
        <v>1.2930600000000001</v>
      </c>
      <c r="X149">
        <v>103.85599999999999</v>
      </c>
      <c r="Y149" t="s">
        <v>3475</v>
      </c>
      <c r="Z149" t="s">
        <v>3476</v>
      </c>
      <c r="AA149" t="s">
        <v>3477</v>
      </c>
      <c r="AB149" t="s">
        <v>3478</v>
      </c>
      <c r="AC149" t="s">
        <v>3479</v>
      </c>
      <c r="AD149" s="249" t="str">
        <f>HYPERLINK("https://scontent.cdninstagram.com/t51.2885-15/s320x320/e35/20759291_841193836058511_5703508404908064768_n.jpg")</f>
        <v>https://scontent.cdninstagram.com/t51.2885-15/s320x320/e35/20759291_841193836058511_5703508404908064768_n.jpg</v>
      </c>
      <c r="AE149" s="249" t="str">
        <f>HYPERLINK("https://scontent.cdninstagram.com/t51.2885-19/s150x150/19986209_741127056067001_1270489010199855104_a.jpg")</f>
        <v>https://scontent.cdninstagram.com/t51.2885-19/s150x150/19986209_741127056067001_1270489010199855104_a.jpg</v>
      </c>
    </row>
    <row r="150" spans="1:31" ht="15" x14ac:dyDescent="0.25">
      <c r="A150" t="s">
        <v>2474</v>
      </c>
      <c r="B150" t="s">
        <v>3480</v>
      </c>
      <c r="C150" s="221">
        <v>42958.851597222223</v>
      </c>
      <c r="D150" t="s">
        <v>3481</v>
      </c>
      <c r="E150" s="249" t="str">
        <f>HYPERLINK("https://www.instagram.com/p/BXrG8L0h1nL/")</f>
        <v>https://www.instagram.com/p/BXrG8L0h1nL/</v>
      </c>
      <c r="F150" t="s">
        <v>3482</v>
      </c>
      <c r="G150" t="s">
        <v>2488</v>
      </c>
      <c r="H150">
        <v>1340</v>
      </c>
      <c r="I150" t="s">
        <v>2479</v>
      </c>
      <c r="J150">
        <v>0</v>
      </c>
      <c r="K150">
        <v>27</v>
      </c>
      <c r="L150">
        <v>27</v>
      </c>
      <c r="Q150">
        <v>0</v>
      </c>
      <c r="R150">
        <v>0</v>
      </c>
      <c r="S150">
        <v>27</v>
      </c>
      <c r="Y150" t="s">
        <v>2497</v>
      </c>
      <c r="AD150" s="249" t="str">
        <f>HYPERLINK("https://scontent.cdninstagram.com/t51.2885-15/s320x320/e35/20686746_171620910049451_1115742407971831808_n.jpg")</f>
        <v>https://scontent.cdninstagram.com/t51.2885-15/s320x320/e35/20686746_171620910049451_1115742407971831808_n.jpg</v>
      </c>
      <c r="AE150" s="249" t="str">
        <f>HYPERLINK("https://scontent.cdninstagram.com/t51.2885-19/s150x150/14607105_1208069775916502_6744454331082211328_a.jpg")</f>
        <v>https://scontent.cdninstagram.com/t51.2885-19/s150x150/14607105_1208069775916502_6744454331082211328_a.jpg</v>
      </c>
    </row>
    <row r="151" spans="1:31" ht="15" x14ac:dyDescent="0.25">
      <c r="A151" t="s">
        <v>2474</v>
      </c>
      <c r="B151" t="s">
        <v>3483</v>
      </c>
      <c r="C151" s="221">
        <v>42958.852187500001</v>
      </c>
      <c r="D151" t="s">
        <v>3484</v>
      </c>
      <c r="E151" s="249" t="str">
        <f>HYPERLINK("https://www.instagram.com/p/BXrHCaAAWe1/")</f>
        <v>https://www.instagram.com/p/BXrHCaAAWe1/</v>
      </c>
      <c r="F151" t="s">
        <v>3485</v>
      </c>
      <c r="G151" t="s">
        <v>2478</v>
      </c>
      <c r="H151">
        <v>473</v>
      </c>
      <c r="I151" t="s">
        <v>2786</v>
      </c>
      <c r="J151">
        <v>1</v>
      </c>
      <c r="K151">
        <v>25</v>
      </c>
      <c r="L151">
        <v>26</v>
      </c>
      <c r="Q151">
        <v>0</v>
      </c>
      <c r="R151">
        <v>0</v>
      </c>
      <c r="S151">
        <v>26</v>
      </c>
      <c r="T151" t="s">
        <v>3486</v>
      </c>
      <c r="U151" t="s">
        <v>1098</v>
      </c>
      <c r="V151" t="s">
        <v>2299</v>
      </c>
      <c r="W151">
        <v>43.15193</v>
      </c>
      <c r="X151">
        <v>-93.199839999999995</v>
      </c>
      <c r="Y151" t="s">
        <v>3487</v>
      </c>
      <c r="Z151" t="s">
        <v>3488</v>
      </c>
      <c r="AA151" t="s">
        <v>3489</v>
      </c>
      <c r="AB151" t="s">
        <v>2775</v>
      </c>
      <c r="AC151" t="s">
        <v>2497</v>
      </c>
      <c r="AD151" s="249" t="str">
        <f>HYPERLINK("https://scontent.cdninstagram.com/t51.2885-15/s320x320/e35/c135.0.809.809/20687810_338687929899549_3319638896626630656_n.jpg")</f>
        <v>https://scontent.cdninstagram.com/t51.2885-15/s320x320/e35/c135.0.809.809/20687810_338687929899549_3319638896626630656_n.jpg</v>
      </c>
      <c r="AE151" s="249" t="str">
        <f>HYPERLINK("https://scontent.cdninstagram.com/t51.2885-19/s150x150/16110333_1095795633862658_4822907459163127808_n.jpg")</f>
        <v>https://scontent.cdninstagram.com/t51.2885-19/s150x150/16110333_1095795633862658_4822907459163127808_n.jpg</v>
      </c>
    </row>
    <row r="152" spans="1:31" ht="15" x14ac:dyDescent="0.25">
      <c r="A152" t="s">
        <v>2474</v>
      </c>
      <c r="B152" t="s">
        <v>3015</v>
      </c>
      <c r="C152" s="221">
        <v>42958.858981481484</v>
      </c>
      <c r="D152" t="s">
        <v>3490</v>
      </c>
      <c r="E152" s="249" t="str">
        <f>HYPERLINK("https://www.instagram.com/p/BXrIKFxAmiU/")</f>
        <v>https://www.instagram.com/p/BXrIKFxAmiU/</v>
      </c>
      <c r="F152" t="s">
        <v>3491</v>
      </c>
      <c r="G152" t="s">
        <v>2478</v>
      </c>
      <c r="H152">
        <v>169</v>
      </c>
      <c r="I152" t="s">
        <v>2479</v>
      </c>
      <c r="J152">
        <v>0</v>
      </c>
      <c r="K152">
        <v>30</v>
      </c>
      <c r="L152">
        <v>30</v>
      </c>
      <c r="Q152">
        <v>0</v>
      </c>
      <c r="R152">
        <v>0</v>
      </c>
      <c r="S152">
        <v>30</v>
      </c>
      <c r="Y152" t="s">
        <v>2497</v>
      </c>
      <c r="Z152" t="s">
        <v>3165</v>
      </c>
      <c r="AA152" t="s">
        <v>3492</v>
      </c>
      <c r="AB152" t="s">
        <v>3493</v>
      </c>
      <c r="AC152" t="s">
        <v>3494</v>
      </c>
      <c r="AD152" s="249" t="str">
        <f>HYPERLINK("https://scontent.cdninstagram.com/t51.2885-15/s320x320/e35/20759608_886477668170826_7544992847296987136_n.jpg")</f>
        <v>https://scontent.cdninstagram.com/t51.2885-15/s320x320/e35/20759608_886477668170826_7544992847296987136_n.jpg</v>
      </c>
      <c r="AE152" s="249" t="str">
        <f>HYPERLINK("https://scontent.cdninstagram.com/t51.2885-19/s150x150/19761452_1876060406050696_4275948751316582400_a.jpg")</f>
        <v>https://scontent.cdninstagram.com/t51.2885-19/s150x150/19761452_1876060406050696_4275948751316582400_a.jpg</v>
      </c>
    </row>
    <row r="153" spans="1:31" ht="15" x14ac:dyDescent="0.25">
      <c r="A153" t="s">
        <v>2474</v>
      </c>
      <c r="B153" t="s">
        <v>3495</v>
      </c>
      <c r="C153" s="221">
        <v>42958.863888888889</v>
      </c>
      <c r="D153" t="s">
        <v>3496</v>
      </c>
      <c r="E153" s="249" t="str">
        <f>HYPERLINK("https://www.instagram.com/p/BXrI9zuly44/")</f>
        <v>https://www.instagram.com/p/BXrI9zuly44/</v>
      </c>
      <c r="F153" t="s">
        <v>3497</v>
      </c>
      <c r="G153" t="s">
        <v>2478</v>
      </c>
      <c r="H153">
        <v>387</v>
      </c>
      <c r="I153" t="s">
        <v>2479</v>
      </c>
      <c r="J153">
        <v>0</v>
      </c>
      <c r="K153">
        <v>37</v>
      </c>
      <c r="L153">
        <v>37</v>
      </c>
      <c r="Q153">
        <v>0</v>
      </c>
      <c r="R153">
        <v>0</v>
      </c>
      <c r="S153">
        <v>37</v>
      </c>
      <c r="T153" t="s">
        <v>3498</v>
      </c>
      <c r="U153" t="s">
        <v>102</v>
      </c>
      <c r="V153" t="s">
        <v>2299</v>
      </c>
      <c r="W153">
        <v>41.896090000000001</v>
      </c>
      <c r="X153">
        <v>-87.631600000000006</v>
      </c>
      <c r="Y153" t="s">
        <v>3499</v>
      </c>
      <c r="Z153" t="s">
        <v>3500</v>
      </c>
      <c r="AA153" t="s">
        <v>2497</v>
      </c>
      <c r="AD153" s="249" t="str">
        <f>HYPERLINK("https://scontent.cdninstagram.com/t51.2885-15/s320x320/e35/c0.135.1080.1080/20766392_1391896847546560_7337950250826465280_n.jpg")</f>
        <v>https://scontent.cdninstagram.com/t51.2885-15/s320x320/e35/c0.135.1080.1080/20766392_1391896847546560_7337950250826465280_n.jpg</v>
      </c>
      <c r="AE153" s="249" t="str">
        <f>HYPERLINK("https://scontent.cdninstagram.com/t51.2885-19/11820526_289358174567925_1410872679_a.jpg")</f>
        <v>https://scontent.cdninstagram.com/t51.2885-19/11820526_289358174567925_1410872679_a.jpg</v>
      </c>
    </row>
    <row r="154" spans="1:31" ht="15" x14ac:dyDescent="0.25">
      <c r="A154" t="s">
        <v>2474</v>
      </c>
      <c r="B154" t="s">
        <v>3501</v>
      </c>
      <c r="C154" s="221">
        <v>42958.867824074077</v>
      </c>
      <c r="D154" t="s">
        <v>3502</v>
      </c>
      <c r="E154" s="249" t="str">
        <f>HYPERLINK("https://www.instagram.com/p/BXrJnSZhLXl/")</f>
        <v>https://www.instagram.com/p/BXrJnSZhLXl/</v>
      </c>
      <c r="F154" t="s">
        <v>3503</v>
      </c>
      <c r="G154" t="s">
        <v>2631</v>
      </c>
      <c r="H154">
        <v>5891</v>
      </c>
      <c r="I154" t="s">
        <v>2479</v>
      </c>
      <c r="J154">
        <v>5</v>
      </c>
      <c r="K154">
        <v>157</v>
      </c>
      <c r="L154">
        <v>162</v>
      </c>
      <c r="Q154">
        <v>0</v>
      </c>
      <c r="R154">
        <v>0</v>
      </c>
      <c r="S154">
        <v>162</v>
      </c>
      <c r="Y154" t="s">
        <v>3501</v>
      </c>
      <c r="Z154" t="s">
        <v>3504</v>
      </c>
      <c r="AA154" t="s">
        <v>3505</v>
      </c>
      <c r="AB154" t="s">
        <v>3506</v>
      </c>
      <c r="AC154" t="s">
        <v>2497</v>
      </c>
      <c r="AD154" s="249" t="str">
        <f>HYPERLINK("https://scontent.cdninstagram.com/t51.2885-15/s320x320/e15/20760014_1812296815749466_6903388234366058496_n.jpg")</f>
        <v>https://scontent.cdninstagram.com/t51.2885-15/s320x320/e15/20760014_1812296815749466_6903388234366058496_n.jpg</v>
      </c>
      <c r="AE154" s="249" t="str">
        <f>HYPERLINK("https://scontent.cdninstagram.com/t51.2885-19/s150x150/20394133_1903575116569391_4351158121205334016_a.jpg")</f>
        <v>https://scontent.cdninstagram.com/t51.2885-19/s150x150/20394133_1903575116569391_4351158121205334016_a.jpg</v>
      </c>
    </row>
    <row r="155" spans="1:31" ht="15" x14ac:dyDescent="0.25">
      <c r="A155" t="s">
        <v>2474</v>
      </c>
      <c r="B155" t="s">
        <v>3507</v>
      </c>
      <c r="C155" s="221">
        <v>42958.872210648151</v>
      </c>
      <c r="D155" t="s">
        <v>3508</v>
      </c>
      <c r="E155" s="249" t="str">
        <f>HYPERLINK("https://www.instagram.com/p/BXrKVkwhXEM/")</f>
        <v>https://www.instagram.com/p/BXrKVkwhXEM/</v>
      </c>
      <c r="F155" t="s">
        <v>3509</v>
      </c>
      <c r="G155" t="s">
        <v>2478</v>
      </c>
      <c r="H155">
        <v>833</v>
      </c>
      <c r="I155" t="s">
        <v>2542</v>
      </c>
      <c r="J155">
        <v>4</v>
      </c>
      <c r="K155">
        <v>26</v>
      </c>
      <c r="L155">
        <v>30</v>
      </c>
      <c r="Q155">
        <v>0</v>
      </c>
      <c r="R155">
        <v>0</v>
      </c>
      <c r="S155">
        <v>30</v>
      </c>
      <c r="T155" t="s">
        <v>3510</v>
      </c>
      <c r="U155" t="s">
        <v>170</v>
      </c>
      <c r="V155" t="s">
        <v>2299</v>
      </c>
      <c r="W155">
        <v>30.267199999999999</v>
      </c>
      <c r="X155">
        <v>-97.763900000000007</v>
      </c>
      <c r="Y155" t="s">
        <v>3511</v>
      </c>
      <c r="Z155" t="s">
        <v>2968</v>
      </c>
      <c r="AA155" t="s">
        <v>3512</v>
      </c>
      <c r="AB155" t="s">
        <v>3513</v>
      </c>
      <c r="AC155" t="s">
        <v>3514</v>
      </c>
      <c r="AD155" s="249" t="str">
        <f>HYPERLINK("https://scontent.cdninstagram.com/t51.2885-15/s320x320/e35/20688526_162070544342447_4769755817240952832_n.jpg")</f>
        <v>https://scontent.cdninstagram.com/t51.2885-15/s320x320/e35/20688526_162070544342447_4769755817240952832_n.jpg</v>
      </c>
      <c r="AE155" s="249" t="str">
        <f>HYPERLINK("https://scontent.cdninstagram.com/t51.2885-19/s150x150/19424922_1705645632809552_7335540559425044480_a.jpg")</f>
        <v>https://scontent.cdninstagram.com/t51.2885-19/s150x150/19424922_1705645632809552_7335540559425044480_a.jpg</v>
      </c>
    </row>
    <row r="156" spans="1:31" ht="15" x14ac:dyDescent="0.25">
      <c r="A156" t="s">
        <v>2474</v>
      </c>
      <c r="B156" t="s">
        <v>3515</v>
      </c>
      <c r="C156" s="221">
        <v>42958.889340277776</v>
      </c>
      <c r="D156" t="s">
        <v>3516</v>
      </c>
      <c r="E156" s="249" t="str">
        <f>HYPERLINK("https://www.instagram.com/p/BXrNKPeBDLR/")</f>
        <v>https://www.instagram.com/p/BXrNKPeBDLR/</v>
      </c>
      <c r="F156" t="s">
        <v>3517</v>
      </c>
      <c r="G156" t="s">
        <v>2478</v>
      </c>
      <c r="H156">
        <v>2081</v>
      </c>
      <c r="I156" t="s">
        <v>2479</v>
      </c>
      <c r="J156">
        <v>2</v>
      </c>
      <c r="K156">
        <v>52</v>
      </c>
      <c r="L156">
        <v>54</v>
      </c>
      <c r="Q156">
        <v>0</v>
      </c>
      <c r="R156">
        <v>0</v>
      </c>
      <c r="S156">
        <v>54</v>
      </c>
      <c r="Y156" t="s">
        <v>3518</v>
      </c>
      <c r="Z156" t="s">
        <v>3519</v>
      </c>
      <c r="AA156" t="s">
        <v>3520</v>
      </c>
      <c r="AB156" t="s">
        <v>3521</v>
      </c>
      <c r="AC156" t="s">
        <v>3522</v>
      </c>
      <c r="AD156" s="249" t="str">
        <f>HYPERLINK("https://scontent.cdninstagram.com/t51.2885-15/s320x320/e35/20767003_774367442766985_3580138455654465536_n.jpg")</f>
        <v>https://scontent.cdninstagram.com/t51.2885-15/s320x320/e35/20767003_774367442766985_3580138455654465536_n.jpg</v>
      </c>
      <c r="AE156" s="249" t="str">
        <f>HYPERLINK("https://scontent.cdninstagram.com/t51.2885-19/10424368_1428932157370683_993660708_a.jpg")</f>
        <v>https://scontent.cdninstagram.com/t51.2885-19/10424368_1428932157370683_993660708_a.jpg</v>
      </c>
    </row>
    <row r="157" spans="1:31" ht="15" x14ac:dyDescent="0.25">
      <c r="A157" t="s">
        <v>2474</v>
      </c>
      <c r="B157" t="s">
        <v>3523</v>
      </c>
      <c r="C157" s="221">
        <v>42958.895601851851</v>
      </c>
      <c r="D157" t="s">
        <v>3524</v>
      </c>
      <c r="E157" s="249" t="str">
        <f>HYPERLINK("https://www.instagram.com/p/BXrOMRBFuyB/")</f>
        <v>https://www.instagram.com/p/BXrOMRBFuyB/</v>
      </c>
      <c r="F157" t="s">
        <v>3525</v>
      </c>
      <c r="G157" t="s">
        <v>2478</v>
      </c>
      <c r="H157">
        <v>791</v>
      </c>
      <c r="I157" t="s">
        <v>2479</v>
      </c>
      <c r="J157">
        <v>6</v>
      </c>
      <c r="K157">
        <v>71</v>
      </c>
      <c r="L157">
        <v>77</v>
      </c>
      <c r="Q157">
        <v>0</v>
      </c>
      <c r="R157">
        <v>0</v>
      </c>
      <c r="S157">
        <v>77</v>
      </c>
      <c r="Y157" t="s">
        <v>3526</v>
      </c>
      <c r="Z157" t="s">
        <v>3527</v>
      </c>
      <c r="AA157" t="s">
        <v>3528</v>
      </c>
      <c r="AB157" t="s">
        <v>3529</v>
      </c>
      <c r="AC157" t="s">
        <v>3530</v>
      </c>
      <c r="AD157" s="249" t="str">
        <f>HYPERLINK("https://scontent.cdninstagram.com/t51.2885-15/s320x320/e35/20688093_332989967141369_3558351624160149504_n.jpg")</f>
        <v>https://scontent.cdninstagram.com/t51.2885-15/s320x320/e35/20688093_332989967141369_3558351624160149504_n.jpg</v>
      </c>
      <c r="AE157" s="249" t="str">
        <f>HYPERLINK("https://scontent.cdninstagram.com/t51.2885-19/s150x150/13423548_1579884235642985_2055615186_a.jpg")</f>
        <v>https://scontent.cdninstagram.com/t51.2885-19/s150x150/13423548_1579884235642985_2055615186_a.jpg</v>
      </c>
    </row>
    <row r="158" spans="1:31" ht="15" x14ac:dyDescent="0.25">
      <c r="A158" t="s">
        <v>2474</v>
      </c>
      <c r="B158" t="s">
        <v>3531</v>
      </c>
      <c r="C158" s="221">
        <v>42958.92046296296</v>
      </c>
      <c r="D158" t="s">
        <v>3532</v>
      </c>
      <c r="E158" s="249" t="str">
        <f>HYPERLINK("https://www.instagram.com/p/BXrSSkHFizW/")</f>
        <v>https://www.instagram.com/p/BXrSSkHFizW/</v>
      </c>
      <c r="F158" t="s">
        <v>3533</v>
      </c>
      <c r="G158" t="s">
        <v>2478</v>
      </c>
      <c r="H158">
        <v>140</v>
      </c>
      <c r="I158" t="s">
        <v>2479</v>
      </c>
      <c r="J158">
        <v>1</v>
      </c>
      <c r="K158">
        <v>7</v>
      </c>
      <c r="L158">
        <v>8</v>
      </c>
      <c r="Q158">
        <v>0</v>
      </c>
      <c r="R158">
        <v>0</v>
      </c>
      <c r="S158">
        <v>8</v>
      </c>
      <c r="Y158" t="s">
        <v>2641</v>
      </c>
      <c r="Z158" t="s">
        <v>2497</v>
      </c>
      <c r="AA158" t="s">
        <v>3534</v>
      </c>
      <c r="AB158" t="s">
        <v>3535</v>
      </c>
      <c r="AC158" t="s">
        <v>3536</v>
      </c>
      <c r="AD158" s="249" t="str">
        <f>HYPERLINK("https://scontent.cdninstagram.com/t51.2885-15/s320x320/e35/20687293_834499990044348_2575989176457494528_n.jpg")</f>
        <v>https://scontent.cdninstagram.com/t51.2885-15/s320x320/e35/20687293_834499990044348_2575989176457494528_n.jpg</v>
      </c>
      <c r="AE158" s="249" t="str">
        <f>HYPERLINK("https://scontent.cdninstagram.com/t51.2885-19/s150x150/19535120_1604018272951378_4514728750922858496_a.jpg")</f>
        <v>https://scontent.cdninstagram.com/t51.2885-19/s150x150/19535120_1604018272951378_4514728750922858496_a.jpg</v>
      </c>
    </row>
    <row r="159" spans="1:31" ht="15" x14ac:dyDescent="0.25">
      <c r="A159" t="s">
        <v>2474</v>
      </c>
      <c r="B159" t="s">
        <v>3537</v>
      </c>
      <c r="C159" s="221">
        <v>42958.923657407409</v>
      </c>
      <c r="D159" t="s">
        <v>3538</v>
      </c>
      <c r="E159" s="249" t="str">
        <f>HYPERLINK("https://www.instagram.com/p/BXrS0JyluLX/")</f>
        <v>https://www.instagram.com/p/BXrS0JyluLX/</v>
      </c>
      <c r="F159" t="s">
        <v>3539</v>
      </c>
      <c r="G159" t="s">
        <v>2478</v>
      </c>
      <c r="H159">
        <v>116</v>
      </c>
      <c r="I159" t="s">
        <v>2479</v>
      </c>
      <c r="J159">
        <v>0</v>
      </c>
      <c r="K159">
        <v>11</v>
      </c>
      <c r="L159">
        <v>11</v>
      </c>
      <c r="Q159">
        <v>0</v>
      </c>
      <c r="R159">
        <v>0</v>
      </c>
      <c r="S159">
        <v>11</v>
      </c>
      <c r="Y159" t="s">
        <v>3540</v>
      </c>
      <c r="Z159" t="s">
        <v>3541</v>
      </c>
      <c r="AA159" t="s">
        <v>3542</v>
      </c>
      <c r="AB159" t="s">
        <v>2497</v>
      </c>
      <c r="AC159" t="s">
        <v>3543</v>
      </c>
      <c r="AD159" s="249" t="str">
        <f>HYPERLINK("https://scontent.cdninstagram.com/t51.2885-15/s320x320/e35/20766386_1905577176435017_4658323406142308352_n.jpg")</f>
        <v>https://scontent.cdninstagram.com/t51.2885-15/s320x320/e35/20766386_1905577176435017_4658323406142308352_n.jpg</v>
      </c>
      <c r="AE159" s="249" t="str">
        <f>HYPERLINK("https://scontent.cdninstagram.com/t51.2885-19/s150x150/20589892_105973906764635_1689095115781439488_a.jpg")</f>
        <v>https://scontent.cdninstagram.com/t51.2885-19/s150x150/20589892_105973906764635_1689095115781439488_a.jpg</v>
      </c>
    </row>
    <row r="160" spans="1:31" ht="15" x14ac:dyDescent="0.25">
      <c r="A160" t="s">
        <v>2474</v>
      </c>
      <c r="B160" t="s">
        <v>3544</v>
      </c>
      <c r="C160" s="221">
        <v>42958.957199074073</v>
      </c>
      <c r="D160" t="s">
        <v>3545</v>
      </c>
      <c r="E160" s="249" t="str">
        <f>HYPERLINK("https://www.instagram.com/p/BXrYV9fDrzZ/")</f>
        <v>https://www.instagram.com/p/BXrYV9fDrzZ/</v>
      </c>
      <c r="F160" t="s">
        <v>3546</v>
      </c>
      <c r="G160" t="s">
        <v>2478</v>
      </c>
      <c r="I160" t="s">
        <v>2519</v>
      </c>
      <c r="J160">
        <v>1</v>
      </c>
      <c r="K160">
        <v>15</v>
      </c>
      <c r="L160">
        <v>16</v>
      </c>
      <c r="Q160">
        <v>0</v>
      </c>
      <c r="R160">
        <v>0</v>
      </c>
      <c r="S160">
        <v>16</v>
      </c>
      <c r="T160" t="s">
        <v>3547</v>
      </c>
      <c r="U160" t="s">
        <v>1068</v>
      </c>
      <c r="V160" t="s">
        <v>2299</v>
      </c>
      <c r="W160">
        <v>31.7545</v>
      </c>
      <c r="X160">
        <v>-89.274100000000004</v>
      </c>
      <c r="Y160" t="s">
        <v>3548</v>
      </c>
      <c r="Z160" t="s">
        <v>3549</v>
      </c>
      <c r="AA160" t="s">
        <v>3550</v>
      </c>
      <c r="AB160" t="s">
        <v>3551</v>
      </c>
      <c r="AC160" t="s">
        <v>3552</v>
      </c>
      <c r="AD160" s="249" t="str">
        <f>HYPERLINK("https://scontent.cdninstagram.com/t51.2885-15/s320x320/e35/c192.0.696.696/20688146_103226367068589_3990507423847677952_n.jpg")</f>
        <v>https://scontent.cdninstagram.com/t51.2885-15/s320x320/e35/c192.0.696.696/20688146_103226367068589_3990507423847677952_n.jpg</v>
      </c>
      <c r="AE160" s="249" t="str">
        <f>HYPERLINK("https://scontent.cdninstagram.com/t51.2885-19/s150x150/17663711_436391070054442_7972892733826138112_a.jpg")</f>
        <v>https://scontent.cdninstagram.com/t51.2885-19/s150x150/17663711_436391070054442_7972892733826138112_a.jpg</v>
      </c>
    </row>
    <row r="161" spans="1:31" ht="15" x14ac:dyDescent="0.25">
      <c r="A161" t="s">
        <v>2474</v>
      </c>
      <c r="B161" t="s">
        <v>3553</v>
      </c>
      <c r="C161" s="221">
        <v>42958.95789351852</v>
      </c>
      <c r="D161" t="s">
        <v>3554</v>
      </c>
      <c r="E161" s="249" t="str">
        <f>HYPERLINK("https://www.instagram.com/p/BXrYdSTA-CT/")</f>
        <v>https://www.instagram.com/p/BXrYdSTA-CT/</v>
      </c>
      <c r="F161" t="s">
        <v>3555</v>
      </c>
      <c r="G161" t="s">
        <v>2488</v>
      </c>
      <c r="H161">
        <v>296</v>
      </c>
      <c r="I161" t="s">
        <v>2479</v>
      </c>
      <c r="J161">
        <v>1</v>
      </c>
      <c r="K161">
        <v>41</v>
      </c>
      <c r="L161">
        <v>42</v>
      </c>
      <c r="Q161">
        <v>0</v>
      </c>
      <c r="R161">
        <v>0</v>
      </c>
      <c r="S161">
        <v>42</v>
      </c>
      <c r="T161" t="s">
        <v>3556</v>
      </c>
      <c r="U161" t="s">
        <v>116</v>
      </c>
      <c r="V161" t="s">
        <v>2299</v>
      </c>
      <c r="W161">
        <v>33.048699900000003</v>
      </c>
      <c r="X161">
        <v>-96.831379999999996</v>
      </c>
      <c r="Y161" t="s">
        <v>3557</v>
      </c>
      <c r="Z161" t="s">
        <v>3558</v>
      </c>
      <c r="AA161" t="s">
        <v>2513</v>
      </c>
      <c r="AB161" t="s">
        <v>3559</v>
      </c>
      <c r="AC161" t="s">
        <v>3560</v>
      </c>
      <c r="AD161" s="249" t="str">
        <f>HYPERLINK("https://scontent.cdninstagram.com/t51.2885-15/s320x320/e35/20687109_108298676548398_8862950991398436864_n.jpg")</f>
        <v>https://scontent.cdninstagram.com/t51.2885-15/s320x320/e35/20687109_108298676548398_8862950991398436864_n.jpg</v>
      </c>
      <c r="AE161" s="249" t="str">
        <f>HYPERLINK("https://scontent.cdninstagram.com/t51.2885-19/s150x150/19985375_1963490657212847_2404368910443872256_a.jpg")</f>
        <v>https://scontent.cdninstagram.com/t51.2885-19/s150x150/19985375_1963490657212847_2404368910443872256_a.jpg</v>
      </c>
    </row>
    <row r="162" spans="1:31" ht="15" x14ac:dyDescent="0.25">
      <c r="A162" t="s">
        <v>2474</v>
      </c>
      <c r="B162" t="s">
        <v>3561</v>
      </c>
      <c r="C162" s="221">
        <v>42958.967256944445</v>
      </c>
      <c r="D162" t="s">
        <v>3562</v>
      </c>
      <c r="E162" s="249" t="str">
        <f>HYPERLINK("https://www.instagram.com/p/BXrZ__3h4oi/")</f>
        <v>https://www.instagram.com/p/BXrZ__3h4oi/</v>
      </c>
      <c r="F162" t="s">
        <v>3563</v>
      </c>
      <c r="G162" t="s">
        <v>2478</v>
      </c>
      <c r="H162">
        <v>25811</v>
      </c>
      <c r="I162" t="s">
        <v>2479</v>
      </c>
      <c r="J162">
        <v>3</v>
      </c>
      <c r="K162">
        <v>146</v>
      </c>
      <c r="L162">
        <v>149</v>
      </c>
      <c r="Q162">
        <v>0</v>
      </c>
      <c r="R162">
        <v>0</v>
      </c>
      <c r="S162">
        <v>149</v>
      </c>
      <c r="T162" t="s">
        <v>3564</v>
      </c>
      <c r="U162" t="s">
        <v>97</v>
      </c>
      <c r="V162" t="s">
        <v>2299</v>
      </c>
      <c r="W162">
        <v>34.137967242639</v>
      </c>
      <c r="X162">
        <v>-118.04491543124</v>
      </c>
      <c r="Y162" t="s">
        <v>2497</v>
      </c>
      <c r="AD162" s="249" t="str">
        <f>HYPERLINK("https://scontent.cdninstagram.com/t51.2885-15/s320x320/e35/c0.135.1080.1080/20687327_1872512813001057_6853569057568849920_n.jpg")</f>
        <v>https://scontent.cdninstagram.com/t51.2885-15/s320x320/e35/c0.135.1080.1080/20687327_1872512813001057_6853569057568849920_n.jpg</v>
      </c>
      <c r="AE162" s="249" t="str">
        <f>HYPERLINK("https://scontent.cdninstagram.com/t51.2885-19/s150x150/14099550_566607936875849_1242036779_a.jpg")</f>
        <v>https://scontent.cdninstagram.com/t51.2885-19/s150x150/14099550_566607936875849_1242036779_a.jpg</v>
      </c>
    </row>
    <row r="163" spans="1:31" ht="15" x14ac:dyDescent="0.25">
      <c r="A163" t="s">
        <v>2474</v>
      </c>
      <c r="B163" t="s">
        <v>3565</v>
      </c>
      <c r="C163" s="221">
        <v>42958.972696759258</v>
      </c>
      <c r="D163" t="s">
        <v>3566</v>
      </c>
      <c r="E163" s="249" t="str">
        <f>HYPERLINK("https://www.instagram.com/p/BXra5X5gdj-/")</f>
        <v>https://www.instagram.com/p/BXra5X5gdj-/</v>
      </c>
      <c r="F163" t="s">
        <v>3567</v>
      </c>
      <c r="G163" t="s">
        <v>2478</v>
      </c>
      <c r="H163">
        <v>57515</v>
      </c>
      <c r="I163" t="s">
        <v>2479</v>
      </c>
      <c r="J163">
        <v>1</v>
      </c>
      <c r="K163">
        <v>321</v>
      </c>
      <c r="L163">
        <v>322</v>
      </c>
      <c r="Q163">
        <v>0</v>
      </c>
      <c r="R163">
        <v>0</v>
      </c>
      <c r="S163">
        <v>322</v>
      </c>
      <c r="Y163" t="s">
        <v>3568</v>
      </c>
      <c r="Z163" t="s">
        <v>2734</v>
      </c>
      <c r="AA163" t="s">
        <v>3569</v>
      </c>
      <c r="AB163" t="s">
        <v>3570</v>
      </c>
      <c r="AC163" t="s">
        <v>3571</v>
      </c>
      <c r="AD163" s="249" t="str">
        <f>HYPERLINK("https://scontent.cdninstagram.com/t51.2885-15/s320x320/e35/20688089_385607541855370_6999391447900225536_n.jpg")</f>
        <v>https://scontent.cdninstagram.com/t51.2885-15/s320x320/e35/20688089_385607541855370_6999391447900225536_n.jpg</v>
      </c>
      <c r="AE163" s="249" t="str">
        <f>HYPERLINK("https://scontent.cdninstagram.com/t51.2885-19/s150x150/10268950_1639938246262719_2023719557_a.jpg")</f>
        <v>https://scontent.cdninstagram.com/t51.2885-19/s150x150/10268950_1639938246262719_2023719557_a.jpg</v>
      </c>
    </row>
    <row r="164" spans="1:31" ht="15" x14ac:dyDescent="0.25">
      <c r="A164" t="s">
        <v>2474</v>
      </c>
      <c r="B164" t="s">
        <v>3572</v>
      </c>
      <c r="C164" s="221">
        <v>42958.996377314812</v>
      </c>
      <c r="D164" t="s">
        <v>3573</v>
      </c>
      <c r="E164" s="249" t="str">
        <f>HYPERLINK("https://www.instagram.com/p/BXrezJqhM3D/")</f>
        <v>https://www.instagram.com/p/BXrezJqhM3D/</v>
      </c>
      <c r="F164" t="s">
        <v>3574</v>
      </c>
      <c r="G164" t="s">
        <v>2478</v>
      </c>
      <c r="H164">
        <v>200</v>
      </c>
      <c r="I164" t="s">
        <v>3575</v>
      </c>
      <c r="J164">
        <v>0</v>
      </c>
      <c r="K164">
        <v>16</v>
      </c>
      <c r="L164">
        <v>16</v>
      </c>
      <c r="Q164">
        <v>0</v>
      </c>
      <c r="R164">
        <v>0</v>
      </c>
      <c r="S164">
        <v>16</v>
      </c>
      <c r="Y164" t="s">
        <v>3576</v>
      </c>
      <c r="Z164" t="s">
        <v>2497</v>
      </c>
      <c r="AA164" t="s">
        <v>3577</v>
      </c>
      <c r="AB164" t="s">
        <v>3578</v>
      </c>
      <c r="AD164" s="249" t="str">
        <f>HYPERLINK("https://scontent.cdninstagram.com/t51.2885-15/s320x320/e35/20759765_1652745634797866_4726862824964358144_n.jpg")</f>
        <v>https://scontent.cdninstagram.com/t51.2885-15/s320x320/e35/20759765_1652745634797866_4726862824964358144_n.jpg</v>
      </c>
      <c r="AE164" s="249" t="str">
        <f>HYPERLINK("https://scontent.cdninstagram.com/t51.2885-19/11821179_935980679799979_759047347_a.jpg")</f>
        <v>https://scontent.cdninstagram.com/t51.2885-19/11821179_935980679799979_759047347_a.jpg</v>
      </c>
    </row>
    <row r="165" spans="1:31" ht="15" x14ac:dyDescent="0.25">
      <c r="A165" t="s">
        <v>2474</v>
      </c>
      <c r="B165" t="s">
        <v>3579</v>
      </c>
      <c r="C165" s="221">
        <v>42959.008379629631</v>
      </c>
      <c r="D165" t="s">
        <v>3580</v>
      </c>
      <c r="E165" s="249" t="str">
        <f>HYPERLINK("https://www.instagram.com/p/BXrgxuajCi0/")</f>
        <v>https://www.instagram.com/p/BXrgxuajCi0/</v>
      </c>
      <c r="F165" t="s">
        <v>3581</v>
      </c>
      <c r="G165" t="s">
        <v>2478</v>
      </c>
      <c r="H165">
        <v>385</v>
      </c>
      <c r="I165" t="s">
        <v>3575</v>
      </c>
      <c r="J165">
        <v>5</v>
      </c>
      <c r="K165">
        <v>63</v>
      </c>
      <c r="L165">
        <v>68</v>
      </c>
      <c r="Q165">
        <v>0</v>
      </c>
      <c r="R165">
        <v>0</v>
      </c>
      <c r="S165">
        <v>68</v>
      </c>
      <c r="T165" t="s">
        <v>3582</v>
      </c>
      <c r="U165" t="s">
        <v>97</v>
      </c>
      <c r="V165" t="s">
        <v>2299</v>
      </c>
      <c r="W165">
        <v>33.804099999999998</v>
      </c>
      <c r="X165">
        <v>-118.158</v>
      </c>
      <c r="Y165" t="s">
        <v>3583</v>
      </c>
      <c r="Z165" t="s">
        <v>2730</v>
      </c>
      <c r="AA165" t="s">
        <v>3584</v>
      </c>
      <c r="AB165" t="s">
        <v>3585</v>
      </c>
      <c r="AC165" t="s">
        <v>3586</v>
      </c>
      <c r="AD165" s="249" t="str">
        <f>HYPERLINK("https://scontent.cdninstagram.com/t51.2885-15/s320x320/e35/20688228_1080795412022490_3566787682958835712_n.jpg")</f>
        <v>https://scontent.cdninstagram.com/t51.2885-15/s320x320/e35/20688228_1080795412022490_3566787682958835712_n.jpg</v>
      </c>
      <c r="AE165" s="249" t="str">
        <f>HYPERLINK("https://scontent.cdninstagram.com/t51.2885-19/s150x150/19761149_1329549623829470_2008224311294296064_a.jpg")</f>
        <v>https://scontent.cdninstagram.com/t51.2885-19/s150x150/19761149_1329549623829470_2008224311294296064_a.jpg</v>
      </c>
    </row>
    <row r="166" spans="1:31" ht="15" x14ac:dyDescent="0.25">
      <c r="A166" t="s">
        <v>2474</v>
      </c>
      <c r="B166" t="s">
        <v>3587</v>
      </c>
      <c r="C166" s="221">
        <v>42959.013715277775</v>
      </c>
      <c r="D166" t="s">
        <v>3588</v>
      </c>
      <c r="E166" s="249" t="str">
        <f>HYPERLINK("https://www.instagram.com/p/BXrhqAbFaa5/")</f>
        <v>https://www.instagram.com/p/BXrhqAbFaa5/</v>
      </c>
      <c r="F166" t="s">
        <v>3589</v>
      </c>
      <c r="G166" t="s">
        <v>2478</v>
      </c>
      <c r="H166">
        <v>1285</v>
      </c>
      <c r="I166" t="s">
        <v>2542</v>
      </c>
      <c r="J166">
        <v>3</v>
      </c>
      <c r="K166">
        <v>70</v>
      </c>
      <c r="L166">
        <v>73</v>
      </c>
      <c r="Q166">
        <v>0</v>
      </c>
      <c r="R166">
        <v>0</v>
      </c>
      <c r="S166">
        <v>73</v>
      </c>
      <c r="Y166" t="s">
        <v>3590</v>
      </c>
      <c r="Z166" t="s">
        <v>3591</v>
      </c>
      <c r="AA166" t="s">
        <v>2497</v>
      </c>
      <c r="AD166" s="249" t="str">
        <f>HYPERLINK("https://scontent.cdninstagram.com/t51.2885-15/s320x320/e35/c160.0.639.639/20688265_173927133152331_2282836089179734016_n.jpg")</f>
        <v>https://scontent.cdninstagram.com/t51.2885-15/s320x320/e35/c160.0.639.639/20688265_173927133152331_2282836089179734016_n.jpg</v>
      </c>
      <c r="AE166" s="249" t="str">
        <f>HYPERLINK("https://scontent.cdninstagram.com/t51.2885-19/s150x150/17076071_394922474220197_9190660535136288768_a.jpg")</f>
        <v>https://scontent.cdninstagram.com/t51.2885-19/s150x150/17076071_394922474220197_9190660535136288768_a.jpg</v>
      </c>
    </row>
    <row r="167" spans="1:31" ht="15" x14ac:dyDescent="0.25">
      <c r="A167" t="s">
        <v>2474</v>
      </c>
      <c r="B167" t="s">
        <v>3592</v>
      </c>
      <c r="C167" s="221">
        <v>42959.019942129627</v>
      </c>
      <c r="D167" t="s">
        <v>3593</v>
      </c>
      <c r="E167" s="249" t="str">
        <f>HYPERLINK("https://www.instagram.com/p/BXriruyg1Q9/")</f>
        <v>https://www.instagram.com/p/BXriruyg1Q9/</v>
      </c>
      <c r="F167" t="s">
        <v>3594</v>
      </c>
      <c r="G167" t="s">
        <v>2478</v>
      </c>
      <c r="H167">
        <v>1560</v>
      </c>
      <c r="I167" t="s">
        <v>2479</v>
      </c>
      <c r="J167">
        <v>3</v>
      </c>
      <c r="K167">
        <v>85</v>
      </c>
      <c r="L167">
        <v>88</v>
      </c>
      <c r="Q167">
        <v>0</v>
      </c>
      <c r="R167">
        <v>0</v>
      </c>
      <c r="S167">
        <v>88</v>
      </c>
      <c r="T167" t="s">
        <v>3595</v>
      </c>
      <c r="U167" t="s">
        <v>97</v>
      </c>
      <c r="V167" t="s">
        <v>2299</v>
      </c>
      <c r="W167">
        <v>34.090259000000003</v>
      </c>
      <c r="X167">
        <v>-118.291927</v>
      </c>
      <c r="Y167" t="s">
        <v>3596</v>
      </c>
      <c r="Z167" t="s">
        <v>3597</v>
      </c>
      <c r="AA167" t="s">
        <v>3598</v>
      </c>
      <c r="AB167" t="s">
        <v>3599</v>
      </c>
      <c r="AC167" t="s">
        <v>3600</v>
      </c>
      <c r="AD167" s="249" t="str">
        <f>HYPERLINK("https://scontent.cdninstagram.com/t51.2885-15/s320x320/e35/c0.110.929.929/20759547_1526583897398904_4517741202329567232_n.jpg")</f>
        <v>https://scontent.cdninstagram.com/t51.2885-15/s320x320/e35/c0.110.929.929/20759547_1526583897398904_4517741202329567232_n.jpg</v>
      </c>
      <c r="AE167" s="249" t="str">
        <f>HYPERLINK("https://scontent.cdninstagram.com/t51.2885-19/s150x150/20589648_489579024730519_8844306203359051776_a.jpg")</f>
        <v>https://scontent.cdninstagram.com/t51.2885-19/s150x150/20589648_489579024730519_8844306203359051776_a.jpg</v>
      </c>
    </row>
    <row r="168" spans="1:31" ht="15" x14ac:dyDescent="0.25">
      <c r="A168" t="s">
        <v>2474</v>
      </c>
      <c r="B168" t="s">
        <v>3601</v>
      </c>
      <c r="C168" s="221">
        <v>42959.043900462966</v>
      </c>
      <c r="D168" t="s">
        <v>3602</v>
      </c>
      <c r="E168" s="249" t="str">
        <f>HYPERLINK("https://www.instagram.com/p/BXrmobOj8-_/")</f>
        <v>https://www.instagram.com/p/BXrmobOj8-_/</v>
      </c>
      <c r="F168" t="s">
        <v>3603</v>
      </c>
      <c r="G168" t="s">
        <v>2478</v>
      </c>
      <c r="H168">
        <v>672</v>
      </c>
      <c r="I168" t="s">
        <v>2542</v>
      </c>
      <c r="J168">
        <v>1</v>
      </c>
      <c r="K168">
        <v>18</v>
      </c>
      <c r="L168">
        <v>19</v>
      </c>
      <c r="Q168">
        <v>0</v>
      </c>
      <c r="R168">
        <v>0</v>
      </c>
      <c r="S168">
        <v>19</v>
      </c>
      <c r="Y168" t="s">
        <v>3604</v>
      </c>
      <c r="Z168" t="s">
        <v>2603</v>
      </c>
      <c r="AA168" t="s">
        <v>3605</v>
      </c>
      <c r="AB168" t="s">
        <v>3606</v>
      </c>
      <c r="AC168" t="s">
        <v>3607</v>
      </c>
      <c r="AD168" s="249" t="str">
        <f>HYPERLINK("https://scontent.cdninstagram.com/t51.2885-15/s320x320/e35/20759687_854274424748257_5652457860987092992_n.jpg")</f>
        <v>https://scontent.cdninstagram.com/t51.2885-15/s320x320/e35/20759687_854274424748257_5652457860987092992_n.jpg</v>
      </c>
      <c r="AE168" s="249" t="str">
        <f>HYPERLINK("https://scontent.cdninstagram.com/t51.2885-19/s150x150/15048246_1010636362391741_270322140643852288_a.jpg")</f>
        <v>https://scontent.cdninstagram.com/t51.2885-19/s150x150/15048246_1010636362391741_270322140643852288_a.jpg</v>
      </c>
    </row>
    <row r="169" spans="1:31" ht="15" x14ac:dyDescent="0.25">
      <c r="A169" t="s">
        <v>2474</v>
      </c>
      <c r="B169" t="s">
        <v>3270</v>
      </c>
      <c r="C169" s="221">
        <v>42959.044374999998</v>
      </c>
      <c r="D169" t="s">
        <v>3608</v>
      </c>
      <c r="E169" s="249" t="str">
        <f>HYPERLINK("https://www.instagram.com/p/BXrmtawlSR3/")</f>
        <v>https://www.instagram.com/p/BXrmtawlSR3/</v>
      </c>
      <c r="F169" t="s">
        <v>3609</v>
      </c>
      <c r="G169" t="s">
        <v>2488</v>
      </c>
      <c r="H169">
        <v>615</v>
      </c>
      <c r="I169" t="s">
        <v>2479</v>
      </c>
      <c r="J169">
        <v>2</v>
      </c>
      <c r="K169">
        <v>34</v>
      </c>
      <c r="L169">
        <v>36</v>
      </c>
      <c r="Q169">
        <v>0</v>
      </c>
      <c r="R169">
        <v>0</v>
      </c>
      <c r="S169">
        <v>36</v>
      </c>
      <c r="T169" t="s">
        <v>3610</v>
      </c>
      <c r="V169" t="s">
        <v>2204</v>
      </c>
      <c r="W169">
        <v>3.0541542000000002</v>
      </c>
      <c r="X169">
        <v>101.6929976</v>
      </c>
      <c r="Y169" t="s">
        <v>3611</v>
      </c>
      <c r="Z169" t="s">
        <v>3277</v>
      </c>
      <c r="AA169" t="s">
        <v>3612</v>
      </c>
      <c r="AB169" t="s">
        <v>3613</v>
      </c>
      <c r="AC169" t="s">
        <v>3614</v>
      </c>
      <c r="AD169" s="249" t="str">
        <f>HYPERLINK("https://scontent.cdninstagram.com/t51.2885-15/s320x320/e35/20766275_1578284248882555_7451327380167065600_n.jpg")</f>
        <v>https://scontent.cdninstagram.com/t51.2885-15/s320x320/e35/20766275_1578284248882555_7451327380167065600_n.jpg</v>
      </c>
      <c r="AE169" s="249" t="str">
        <f>HYPERLINK("https://scontent.cdninstagram.com/t51.2885-19/11809548_1464554523846226_249251238_a.jpg")</f>
        <v>https://scontent.cdninstagram.com/t51.2885-19/11809548_1464554523846226_249251238_a.jpg</v>
      </c>
    </row>
    <row r="170" spans="1:31" ht="15" x14ac:dyDescent="0.25">
      <c r="A170" t="s">
        <v>2474</v>
      </c>
      <c r="B170" t="s">
        <v>3615</v>
      </c>
      <c r="C170" s="221">
        <v>42959.052094907405</v>
      </c>
      <c r="D170" t="s">
        <v>3616</v>
      </c>
      <c r="E170" s="249" t="str">
        <f>HYPERLINK("https://www.instagram.com/p/BXrn-3fh44E/")</f>
        <v>https://www.instagram.com/p/BXrn-3fh44E/</v>
      </c>
      <c r="F170" t="s">
        <v>3617</v>
      </c>
      <c r="G170" t="s">
        <v>2478</v>
      </c>
      <c r="H170">
        <v>159</v>
      </c>
      <c r="I170" t="s">
        <v>2479</v>
      </c>
      <c r="J170">
        <v>0</v>
      </c>
      <c r="K170">
        <v>11</v>
      </c>
      <c r="L170">
        <v>11</v>
      </c>
      <c r="Q170">
        <v>0</v>
      </c>
      <c r="R170">
        <v>0</v>
      </c>
      <c r="S170">
        <v>11</v>
      </c>
      <c r="Y170" t="s">
        <v>3618</v>
      </c>
      <c r="Z170" t="s">
        <v>3619</v>
      </c>
      <c r="AA170" t="s">
        <v>3620</v>
      </c>
      <c r="AB170" t="s">
        <v>2497</v>
      </c>
      <c r="AC170" t="s">
        <v>3621</v>
      </c>
      <c r="AD170" s="249" t="str">
        <f>HYPERLINK("https://scontent.cdninstagram.com/t51.2885-15/s320x320/e35/c0.2.1080.1080/20687156_714553922084244_3542395322439303168_n.jpg")</f>
        <v>https://scontent.cdninstagram.com/t51.2885-15/s320x320/e35/c0.2.1080.1080/20687156_714553922084244_3542395322439303168_n.jpg</v>
      </c>
      <c r="AE170" s="249" t="str">
        <f>HYPERLINK("https://scontent.cdninstagram.com/t51.2885-19/11007890_2044765145664197_683412266_a.jpg")</f>
        <v>https://scontent.cdninstagram.com/t51.2885-19/11007890_2044765145664197_683412266_a.jpg</v>
      </c>
    </row>
    <row r="171" spans="1:31" ht="15" x14ac:dyDescent="0.25">
      <c r="A171" t="s">
        <v>2474</v>
      </c>
      <c r="B171" t="s">
        <v>3622</v>
      </c>
      <c r="C171" s="221">
        <v>42959.073599537034</v>
      </c>
      <c r="D171" t="s">
        <v>3623</v>
      </c>
      <c r="E171" s="249" t="str">
        <f>HYPERLINK("https://www.instagram.com/p/BXrrhkugIBO/")</f>
        <v>https://www.instagram.com/p/BXrrhkugIBO/</v>
      </c>
      <c r="F171" t="s">
        <v>3624</v>
      </c>
      <c r="G171" t="s">
        <v>2478</v>
      </c>
      <c r="H171">
        <v>220</v>
      </c>
      <c r="I171" t="s">
        <v>2479</v>
      </c>
      <c r="J171">
        <v>2</v>
      </c>
      <c r="K171">
        <v>14</v>
      </c>
      <c r="L171">
        <v>16</v>
      </c>
      <c r="Q171">
        <v>0</v>
      </c>
      <c r="R171">
        <v>0</v>
      </c>
      <c r="S171">
        <v>16</v>
      </c>
      <c r="T171" t="s">
        <v>3625</v>
      </c>
      <c r="V171" t="s">
        <v>2234</v>
      </c>
      <c r="W171">
        <v>8.8759165715619996</v>
      </c>
      <c r="X171">
        <v>-79.788805170323997</v>
      </c>
      <c r="Y171" t="s">
        <v>2777</v>
      </c>
      <c r="Z171" t="s">
        <v>3626</v>
      </c>
      <c r="AA171" t="s">
        <v>3627</v>
      </c>
      <c r="AB171" t="s">
        <v>2497</v>
      </c>
      <c r="AC171" t="s">
        <v>3628</v>
      </c>
      <c r="AD171" s="249" t="str">
        <f>HYPERLINK("https://scontent.cdninstagram.com/t51.2885-15/s320x320/e35/c0.128.1080.1080/20759282_1909812685944966_3448277668267556864_n.jpg")</f>
        <v>https://scontent.cdninstagram.com/t51.2885-15/s320x320/e35/c0.128.1080.1080/20759282_1909812685944966_3448277668267556864_n.jpg</v>
      </c>
      <c r="AE171" s="249" t="str">
        <f>HYPERLINK("https://scontent.cdninstagram.com/t51.2885-19/s150x150/19425165_1608617059157589_711738126044758016_a.jpg")</f>
        <v>https://scontent.cdninstagram.com/t51.2885-19/s150x150/19425165_1608617059157589_711738126044758016_a.jpg</v>
      </c>
    </row>
    <row r="172" spans="1:31" ht="15" x14ac:dyDescent="0.25">
      <c r="A172" t="s">
        <v>2474</v>
      </c>
      <c r="B172" t="s">
        <v>2644</v>
      </c>
      <c r="C172" s="221">
        <v>42959.07539351852</v>
      </c>
      <c r="D172" t="s">
        <v>3629</v>
      </c>
      <c r="E172" s="249" t="str">
        <f>HYPERLINK("https://www.instagram.com/p/BXrr0lDAU5S/")</f>
        <v>https://www.instagram.com/p/BXrr0lDAU5S/</v>
      </c>
      <c r="F172" t="s">
        <v>3630</v>
      </c>
      <c r="G172" t="s">
        <v>2478</v>
      </c>
      <c r="H172">
        <v>1751</v>
      </c>
      <c r="I172" t="s">
        <v>2479</v>
      </c>
      <c r="J172">
        <v>1</v>
      </c>
      <c r="K172">
        <v>37</v>
      </c>
      <c r="L172">
        <v>38</v>
      </c>
      <c r="Q172">
        <v>0</v>
      </c>
      <c r="R172">
        <v>0</v>
      </c>
      <c r="S172">
        <v>38</v>
      </c>
      <c r="T172" t="s">
        <v>3631</v>
      </c>
      <c r="V172" t="s">
        <v>2648</v>
      </c>
      <c r="W172">
        <v>59.93683</v>
      </c>
      <c r="X172">
        <v>30.318049999999999</v>
      </c>
      <c r="Y172" t="s">
        <v>3632</v>
      </c>
      <c r="Z172" t="s">
        <v>3633</v>
      </c>
      <c r="AA172" t="s">
        <v>3634</v>
      </c>
      <c r="AB172" t="s">
        <v>3635</v>
      </c>
      <c r="AC172" t="s">
        <v>3636</v>
      </c>
      <c r="AD172" s="249" t="str">
        <f>HYPERLINK("https://scontent.cdninstagram.com/t51.2885-15/s320x320/e35/20687266_255541394958527_3636283234515419136_n.jpg")</f>
        <v>https://scontent.cdninstagram.com/t51.2885-15/s320x320/e35/20687266_255541394958527_3636283234515419136_n.jpg</v>
      </c>
      <c r="AE172" s="249" t="str">
        <f>HYPERLINK("https://scontent.cdninstagram.com/t51.2885-19/11372086_1598451257062069_1320225693_a.jpg")</f>
        <v>https://scontent.cdninstagram.com/t51.2885-19/11372086_1598451257062069_1320225693_a.jpg</v>
      </c>
    </row>
    <row r="173" spans="1:31" ht="15" x14ac:dyDescent="0.25">
      <c r="A173" t="s">
        <v>2474</v>
      </c>
      <c r="B173" t="s">
        <v>3637</v>
      </c>
      <c r="C173" s="221">
        <v>42959.105821759258</v>
      </c>
      <c r="D173" t="s">
        <v>3638</v>
      </c>
      <c r="E173" s="249" t="str">
        <f>HYPERLINK("https://www.instagram.com/p/BXrw1a8BPR-/")</f>
        <v>https://www.instagram.com/p/BXrw1a8BPR-/</v>
      </c>
      <c r="F173" t="s">
        <v>3639</v>
      </c>
      <c r="G173" t="s">
        <v>2478</v>
      </c>
      <c r="H173">
        <v>398</v>
      </c>
      <c r="I173" t="s">
        <v>2479</v>
      </c>
      <c r="J173">
        <v>9</v>
      </c>
      <c r="K173">
        <v>52</v>
      </c>
      <c r="L173">
        <v>61</v>
      </c>
      <c r="Q173">
        <v>0</v>
      </c>
      <c r="R173">
        <v>0</v>
      </c>
      <c r="S173">
        <v>61</v>
      </c>
      <c r="T173" t="s">
        <v>3640</v>
      </c>
      <c r="V173" t="s">
        <v>2293</v>
      </c>
      <c r="W173">
        <v>16.446013548048999</v>
      </c>
      <c r="X173">
        <v>107.58124694766001</v>
      </c>
      <c r="Y173" t="s">
        <v>3641</v>
      </c>
      <c r="Z173" t="s">
        <v>3642</v>
      </c>
      <c r="AA173" t="s">
        <v>3643</v>
      </c>
      <c r="AB173" t="s">
        <v>2497</v>
      </c>
      <c r="AD173" s="249" t="str">
        <f>HYPERLINK("https://scontent.cdninstagram.com/t51.2885-15/s320x320/e35/c0.100.800.800/20759848_346366552487128_5919566644539031552_n.jpg")</f>
        <v>https://scontent.cdninstagram.com/t51.2885-15/s320x320/e35/c0.100.800.800/20759848_346366552487128_5919566644539031552_n.jpg</v>
      </c>
      <c r="AE173" s="249" t="str">
        <f>HYPERLINK("https://scontent.cdninstagram.com/t51.2885-19/s150x150/12224292_947848885308598_44615935_a.jpg")</f>
        <v>https://scontent.cdninstagram.com/t51.2885-19/s150x150/12224292_947848885308598_44615935_a.jpg</v>
      </c>
    </row>
    <row r="174" spans="1:31" ht="15" x14ac:dyDescent="0.25">
      <c r="A174" t="s">
        <v>2474</v>
      </c>
      <c r="B174" t="s">
        <v>3644</v>
      </c>
      <c r="C174" s="221">
        <v>42959.10900462963</v>
      </c>
      <c r="D174" t="s">
        <v>3645</v>
      </c>
      <c r="E174" s="249" t="str">
        <f>HYPERLINK("https://www.instagram.com/p/BXrxXEkF2-H/")</f>
        <v>https://www.instagram.com/p/BXrxXEkF2-H/</v>
      </c>
      <c r="F174" t="s">
        <v>3646</v>
      </c>
      <c r="G174" t="s">
        <v>2478</v>
      </c>
      <c r="H174">
        <v>567</v>
      </c>
      <c r="I174" t="s">
        <v>2479</v>
      </c>
      <c r="J174">
        <v>6</v>
      </c>
      <c r="K174">
        <v>38</v>
      </c>
      <c r="L174">
        <v>44</v>
      </c>
      <c r="Q174">
        <v>0</v>
      </c>
      <c r="R174">
        <v>0</v>
      </c>
      <c r="S174">
        <v>44</v>
      </c>
      <c r="T174" t="s">
        <v>3647</v>
      </c>
      <c r="V174" t="s">
        <v>2141</v>
      </c>
      <c r="W174">
        <v>55.426879900000003</v>
      </c>
      <c r="X174">
        <v>10.3903303</v>
      </c>
      <c r="Y174" t="s">
        <v>3648</v>
      </c>
      <c r="Z174" t="s">
        <v>2911</v>
      </c>
      <c r="AA174" t="s">
        <v>3649</v>
      </c>
      <c r="AB174" t="s">
        <v>3650</v>
      </c>
      <c r="AC174" t="s">
        <v>3651</v>
      </c>
      <c r="AD174" s="249" t="str">
        <f>HYPERLINK("https://scontent.cdninstagram.com/t51.2885-15/s320x320/e35/20687300_166808933879273_113283060966883328_n.jpg")</f>
        <v>https://scontent.cdninstagram.com/t51.2885-15/s320x320/e35/20687300_166808933879273_113283060966883328_n.jpg</v>
      </c>
      <c r="AE174" s="249" t="str">
        <f>HYPERLINK("https://scontent.cdninstagram.com/t51.2885-19/s150x150/14714495_1790450111234953_7147855754219749376_a.jpg")</f>
        <v>https://scontent.cdninstagram.com/t51.2885-19/s150x150/14714495_1790450111234953_7147855754219749376_a.jpg</v>
      </c>
    </row>
    <row r="175" spans="1:31" ht="15" x14ac:dyDescent="0.25">
      <c r="A175" t="s">
        <v>2474</v>
      </c>
      <c r="B175" t="s">
        <v>3652</v>
      </c>
      <c r="C175" s="221">
        <v>42959.115324074075</v>
      </c>
      <c r="D175" t="s">
        <v>3653</v>
      </c>
      <c r="E175" s="249" t="str">
        <f>HYPERLINK("https://www.instagram.com/p/BXryZt9FIFS/")</f>
        <v>https://www.instagram.com/p/BXryZt9FIFS/</v>
      </c>
      <c r="F175" t="s">
        <v>3654</v>
      </c>
      <c r="G175" t="s">
        <v>2478</v>
      </c>
      <c r="H175">
        <v>320</v>
      </c>
      <c r="I175" t="s">
        <v>2510</v>
      </c>
      <c r="J175">
        <v>2</v>
      </c>
      <c r="K175">
        <v>43</v>
      </c>
      <c r="L175">
        <v>45</v>
      </c>
      <c r="Q175">
        <v>0</v>
      </c>
      <c r="R175">
        <v>0</v>
      </c>
      <c r="S175">
        <v>45</v>
      </c>
      <c r="Y175" t="s">
        <v>3655</v>
      </c>
      <c r="Z175" t="s">
        <v>2696</v>
      </c>
      <c r="AA175" t="s">
        <v>2697</v>
      </c>
      <c r="AB175" t="s">
        <v>3174</v>
      </c>
      <c r="AC175" t="s">
        <v>3656</v>
      </c>
      <c r="AD175" s="249" t="str">
        <f>HYPERLINK("https://scontent.cdninstagram.com/t51.2885-15/s320x320/e35/20687870_1978429645767373_2099282402563063808_n.jpg")</f>
        <v>https://scontent.cdninstagram.com/t51.2885-15/s320x320/e35/20687870_1978429645767373_2099282402563063808_n.jpg</v>
      </c>
      <c r="AE175" s="249" t="str">
        <f>HYPERLINK("https://scontent.cdninstagram.com/t51.2885-19/s150x150/20479042_1632812930125555_6494197354227302400_a.jpg")</f>
        <v>https://scontent.cdninstagram.com/t51.2885-19/s150x150/20479042_1632812930125555_6494197354227302400_a.jpg</v>
      </c>
    </row>
    <row r="176" spans="1:31" ht="15" x14ac:dyDescent="0.25">
      <c r="A176" t="s">
        <v>2474</v>
      </c>
      <c r="B176" t="s">
        <v>3657</v>
      </c>
      <c r="C176" s="221">
        <v>42959.117546296293</v>
      </c>
      <c r="D176" t="s">
        <v>3658</v>
      </c>
      <c r="E176" s="249" t="str">
        <f>HYPERLINK("https://www.instagram.com/p/BXryxK6FIGN/")</f>
        <v>https://www.instagram.com/p/BXryxK6FIGN/</v>
      </c>
      <c r="F176" t="s">
        <v>3659</v>
      </c>
      <c r="G176" t="s">
        <v>2478</v>
      </c>
      <c r="H176">
        <v>178</v>
      </c>
      <c r="I176" t="s">
        <v>2479</v>
      </c>
      <c r="J176">
        <v>0</v>
      </c>
      <c r="K176">
        <v>9</v>
      </c>
      <c r="L176">
        <v>9</v>
      </c>
      <c r="Q176">
        <v>0</v>
      </c>
      <c r="R176">
        <v>0</v>
      </c>
      <c r="S176">
        <v>9</v>
      </c>
      <c r="Y176" t="s">
        <v>3660</v>
      </c>
      <c r="Z176" t="s">
        <v>3661</v>
      </c>
      <c r="AA176" t="s">
        <v>3662</v>
      </c>
      <c r="AB176" t="s">
        <v>3663</v>
      </c>
      <c r="AC176" t="s">
        <v>3664</v>
      </c>
      <c r="AD176" s="249" t="str">
        <f>HYPERLINK("https://scontent.cdninstagram.com/t51.2885-15/s320x320/e35/20688072_466801377033173_4244109097894412288_n.jpg")</f>
        <v>https://scontent.cdninstagram.com/t51.2885-15/s320x320/e35/20688072_466801377033173_4244109097894412288_n.jpg</v>
      </c>
      <c r="AE176" s="249" t="str">
        <f>HYPERLINK("https://scontent.cdninstagram.com/t51.2885-19/s150x150/20481733_299213470543021_962941576252751872_a.jpg")</f>
        <v>https://scontent.cdninstagram.com/t51.2885-19/s150x150/20481733_299213470543021_962941576252751872_a.jpg</v>
      </c>
    </row>
    <row r="177" spans="1:31" ht="15" x14ac:dyDescent="0.25">
      <c r="A177" t="s">
        <v>2474</v>
      </c>
      <c r="B177" t="s">
        <v>3665</v>
      </c>
      <c r="C177" s="221">
        <v>42959.119305555556</v>
      </c>
      <c r="D177" t="s">
        <v>3666</v>
      </c>
      <c r="E177" s="249" t="str">
        <f>HYPERLINK("https://www.instagram.com/p/BXrzDsUgvfr/")</f>
        <v>https://www.instagram.com/p/BXrzDsUgvfr/</v>
      </c>
      <c r="F177" t="s">
        <v>3667</v>
      </c>
      <c r="G177" t="s">
        <v>2478</v>
      </c>
      <c r="H177">
        <v>117</v>
      </c>
      <c r="I177" t="s">
        <v>2479</v>
      </c>
      <c r="J177">
        <v>1</v>
      </c>
      <c r="K177">
        <v>43</v>
      </c>
      <c r="L177">
        <v>44</v>
      </c>
      <c r="Q177">
        <v>0</v>
      </c>
      <c r="R177">
        <v>0</v>
      </c>
      <c r="S177">
        <v>44</v>
      </c>
      <c r="T177" t="s">
        <v>3668</v>
      </c>
      <c r="V177" t="s">
        <v>2260</v>
      </c>
      <c r="W177">
        <v>46.161438291818001</v>
      </c>
      <c r="X177">
        <v>15.232072579091</v>
      </c>
      <c r="Y177" t="s">
        <v>3669</v>
      </c>
      <c r="Z177" t="s">
        <v>3670</v>
      </c>
      <c r="AA177" t="s">
        <v>2497</v>
      </c>
      <c r="AB177" t="s">
        <v>3671</v>
      </c>
      <c r="AC177" t="s">
        <v>3672</v>
      </c>
      <c r="AD177" s="249" t="str">
        <f>HYPERLINK("https://scontent.cdninstagram.com/t51.2885-15/s320x320/e35/20766883_268539276976663_5353402402017902592_n.jpg")</f>
        <v>https://scontent.cdninstagram.com/t51.2885-15/s320x320/e35/20766883_268539276976663_5353402402017902592_n.jpg</v>
      </c>
      <c r="AE177" s="249" t="str">
        <f>HYPERLINK("https://scontent.cdninstagram.com/t51.2885-19/s150x150/20837660_2021233788104513_3267636454808879104_a.jpg")</f>
        <v>https://scontent.cdninstagram.com/t51.2885-19/s150x150/20837660_2021233788104513_3267636454808879104_a.jpg</v>
      </c>
    </row>
    <row r="178" spans="1:31" ht="15" x14ac:dyDescent="0.25">
      <c r="A178" t="s">
        <v>2474</v>
      </c>
      <c r="B178" t="s">
        <v>3673</v>
      </c>
      <c r="C178" s="221">
        <v>42959.126701388886</v>
      </c>
      <c r="D178" t="s">
        <v>3674</v>
      </c>
      <c r="E178" s="249" t="str">
        <f>HYPERLINK("https://www.instagram.com/p/BXr0RuOBNIx/")</f>
        <v>https://www.instagram.com/p/BXr0RuOBNIx/</v>
      </c>
      <c r="F178" t="s">
        <v>3675</v>
      </c>
      <c r="G178" t="s">
        <v>2478</v>
      </c>
      <c r="H178">
        <v>555</v>
      </c>
      <c r="I178" t="s">
        <v>2479</v>
      </c>
      <c r="J178">
        <v>6</v>
      </c>
      <c r="K178">
        <v>107</v>
      </c>
      <c r="L178">
        <v>113</v>
      </c>
      <c r="Q178">
        <v>0</v>
      </c>
      <c r="R178">
        <v>0</v>
      </c>
      <c r="S178">
        <v>113</v>
      </c>
      <c r="Y178" t="s">
        <v>3676</v>
      </c>
      <c r="Z178" t="s">
        <v>3677</v>
      </c>
      <c r="AA178" t="s">
        <v>2497</v>
      </c>
      <c r="AB178" t="s">
        <v>3678</v>
      </c>
      <c r="AD178" s="249" t="str">
        <f>HYPERLINK("https://scontent.cdninstagram.com/t51.2885-15/s320x320/e35/c0.8.1080.1080/20687199_342444709512941_9134574593032323072_n.jpg")</f>
        <v>https://scontent.cdninstagram.com/t51.2885-15/s320x320/e35/c0.8.1080.1080/20687199_342444709512941_9134574593032323072_n.jpg</v>
      </c>
      <c r="AE178" s="249" t="str">
        <f>HYPERLINK("https://scontent.cdninstagram.com/t51.2885-19/s150x150/10413835_791620470965023_1971979923_a.jpg")</f>
        <v>https://scontent.cdninstagram.com/t51.2885-19/s150x150/10413835_791620470965023_1971979923_a.jpg</v>
      </c>
    </row>
    <row r="179" spans="1:31" ht="15" x14ac:dyDescent="0.25">
      <c r="A179" t="s">
        <v>2474</v>
      </c>
      <c r="B179" t="s">
        <v>3679</v>
      </c>
      <c r="C179" s="221">
        <v>42959.127083333333</v>
      </c>
      <c r="D179" t="s">
        <v>3680</v>
      </c>
      <c r="E179" s="249" t="str">
        <f>HYPERLINK("https://www.instagram.com/p/BXr0VrBjNMJ/")</f>
        <v>https://www.instagram.com/p/BXr0VrBjNMJ/</v>
      </c>
      <c r="F179" t="s">
        <v>3681</v>
      </c>
      <c r="G179" t="s">
        <v>2478</v>
      </c>
      <c r="H179">
        <v>228</v>
      </c>
      <c r="I179" t="s">
        <v>2542</v>
      </c>
      <c r="J179">
        <v>2</v>
      </c>
      <c r="K179">
        <v>18</v>
      </c>
      <c r="L179">
        <v>20</v>
      </c>
      <c r="Q179">
        <v>0</v>
      </c>
      <c r="R179">
        <v>0</v>
      </c>
      <c r="S179">
        <v>20</v>
      </c>
      <c r="Y179" t="s">
        <v>3682</v>
      </c>
      <c r="Z179" t="s">
        <v>3683</v>
      </c>
      <c r="AA179" t="s">
        <v>3684</v>
      </c>
      <c r="AB179" t="s">
        <v>3685</v>
      </c>
      <c r="AC179" t="s">
        <v>3686</v>
      </c>
      <c r="AD179" s="249" t="str">
        <f>HYPERLINK("https://scontent.cdninstagram.com/t51.2885-15/s320x320/e35/c0.135.1080.1080/20688414_813384408841424_2858578267684732928_n.jpg")</f>
        <v>https://scontent.cdninstagram.com/t51.2885-15/s320x320/e35/c0.135.1080.1080/20688414_813384408841424_2858578267684732928_n.jpg</v>
      </c>
      <c r="AE179" s="249" t="str">
        <f>HYPERLINK("https://scontent.cdninstagram.com/t51.2885-19/s150x150/18444007_124322141455729_5810805608609218560_a.jpg")</f>
        <v>https://scontent.cdninstagram.com/t51.2885-19/s150x150/18444007_124322141455729_5810805608609218560_a.jpg</v>
      </c>
    </row>
    <row r="180" spans="1:31" ht="15" x14ac:dyDescent="0.25">
      <c r="A180" t="s">
        <v>2474</v>
      </c>
      <c r="B180" t="s">
        <v>3687</v>
      </c>
      <c r="C180" s="221">
        <v>42959.127592592595</v>
      </c>
      <c r="D180" t="s">
        <v>3688</v>
      </c>
      <c r="E180" s="249" t="str">
        <f>HYPERLINK("https://www.instagram.com/p/BXr0bB7Fce8/")</f>
        <v>https://www.instagram.com/p/BXr0bB7Fce8/</v>
      </c>
      <c r="F180" t="s">
        <v>3689</v>
      </c>
      <c r="G180" t="s">
        <v>2478</v>
      </c>
      <c r="H180">
        <v>186</v>
      </c>
      <c r="I180" t="s">
        <v>2927</v>
      </c>
      <c r="J180">
        <v>1</v>
      </c>
      <c r="K180">
        <v>39</v>
      </c>
      <c r="L180">
        <v>40</v>
      </c>
      <c r="Q180">
        <v>0</v>
      </c>
      <c r="R180">
        <v>0</v>
      </c>
      <c r="S180">
        <v>40</v>
      </c>
      <c r="Y180" t="s">
        <v>3690</v>
      </c>
      <c r="Z180" t="s">
        <v>3691</v>
      </c>
      <c r="AA180" t="s">
        <v>3692</v>
      </c>
      <c r="AB180" t="s">
        <v>3693</v>
      </c>
      <c r="AC180" t="s">
        <v>3694</v>
      </c>
      <c r="AD180" s="249" t="str">
        <f>HYPERLINK("https://scontent.cdninstagram.com/t51.2885-15/s320x320/e35/20687866_258623121295808_9040245669419286528_n.jpg")</f>
        <v>https://scontent.cdninstagram.com/t51.2885-15/s320x320/e35/20687866_258623121295808_9040245669419286528_n.jpg</v>
      </c>
      <c r="AE180" s="249" t="str">
        <f>HYPERLINK("https://scontent.cdninstagram.com/t51.2885-19/s150x150/18300099_1289810314405440_4410545346971697152_a.jpg")</f>
        <v>https://scontent.cdninstagram.com/t51.2885-19/s150x150/18300099_1289810314405440_4410545346971697152_a.jpg</v>
      </c>
    </row>
    <row r="181" spans="1:31" ht="15" x14ac:dyDescent="0.25">
      <c r="A181" t="s">
        <v>2474</v>
      </c>
      <c r="B181" t="s">
        <v>3695</v>
      </c>
      <c r="C181" s="221">
        <v>42959.128645833334</v>
      </c>
      <c r="D181" t="s">
        <v>3696</v>
      </c>
      <c r="E181" s="249" t="str">
        <f>HYPERLINK("https://www.instagram.com/p/BXr0mJXAl2Z/")</f>
        <v>https://www.instagram.com/p/BXr0mJXAl2Z/</v>
      </c>
      <c r="F181" t="s">
        <v>3697</v>
      </c>
      <c r="G181" t="s">
        <v>2478</v>
      </c>
      <c r="H181">
        <v>1585</v>
      </c>
      <c r="I181" t="s">
        <v>2479</v>
      </c>
      <c r="J181">
        <v>2</v>
      </c>
      <c r="K181">
        <v>46</v>
      </c>
      <c r="L181">
        <v>48</v>
      </c>
      <c r="Q181">
        <v>0</v>
      </c>
      <c r="R181">
        <v>0</v>
      </c>
      <c r="S181">
        <v>48</v>
      </c>
      <c r="T181" t="s">
        <v>3087</v>
      </c>
      <c r="V181" t="s">
        <v>2103</v>
      </c>
      <c r="W181">
        <v>47.393217715044997</v>
      </c>
      <c r="X181">
        <v>13.693168893412</v>
      </c>
      <c r="Y181" t="s">
        <v>3698</v>
      </c>
      <c r="Z181" t="s">
        <v>3699</v>
      </c>
      <c r="AA181" t="s">
        <v>3700</v>
      </c>
      <c r="AB181" t="s">
        <v>3701</v>
      </c>
      <c r="AC181" t="s">
        <v>3702</v>
      </c>
      <c r="AD181" s="249" t="str">
        <f>HYPERLINK("https://scontent.cdninstagram.com/t51.2885-15/s320x320/e35/c128.0.512.512/20759927_1792254784393706_7764995314309660672_n.jpg")</f>
        <v>https://scontent.cdninstagram.com/t51.2885-15/s320x320/e35/c128.0.512.512/20759927_1792254784393706_7764995314309660672_n.jpg</v>
      </c>
      <c r="AE181" s="249" t="str">
        <f>HYPERLINK("https://scontent.cdninstagram.com/t51.2885-19/s150x150/13744261_279373122436362_1384244689_a.jpg")</f>
        <v>https://scontent.cdninstagram.com/t51.2885-19/s150x150/13744261_279373122436362_1384244689_a.jpg</v>
      </c>
    </row>
    <row r="182" spans="1:31" ht="15" x14ac:dyDescent="0.25">
      <c r="A182" t="s">
        <v>2474</v>
      </c>
      <c r="B182" t="s">
        <v>3703</v>
      </c>
      <c r="C182" s="221">
        <v>42959.132962962962</v>
      </c>
      <c r="D182" t="s">
        <v>3704</v>
      </c>
      <c r="E182" s="249" t="str">
        <f>HYPERLINK("https://www.instagram.com/p/BXr1Tvtg8hO/")</f>
        <v>https://www.instagram.com/p/BXr1Tvtg8hO/</v>
      </c>
      <c r="F182" t="s">
        <v>3705</v>
      </c>
      <c r="G182" t="s">
        <v>2478</v>
      </c>
      <c r="H182">
        <v>171</v>
      </c>
      <c r="I182" t="s">
        <v>3273</v>
      </c>
      <c r="J182">
        <v>0</v>
      </c>
      <c r="K182">
        <v>5</v>
      </c>
      <c r="L182">
        <v>5</v>
      </c>
      <c r="Q182">
        <v>0</v>
      </c>
      <c r="R182">
        <v>0</v>
      </c>
      <c r="S182">
        <v>5</v>
      </c>
      <c r="Y182" t="s">
        <v>3706</v>
      </c>
      <c r="Z182" t="s">
        <v>3707</v>
      </c>
      <c r="AA182" t="s">
        <v>3708</v>
      </c>
      <c r="AB182" t="s">
        <v>3709</v>
      </c>
      <c r="AC182" t="s">
        <v>2497</v>
      </c>
      <c r="AD182" s="249" t="str">
        <f>HYPERLINK("https://scontent.cdninstagram.com/t51.2885-15/s320x320/e35/20688005_339961169759739_4629248573492428800_n.jpg")</f>
        <v>https://scontent.cdninstagram.com/t51.2885-15/s320x320/e35/20688005_339961169759739_4629248573492428800_n.jpg</v>
      </c>
      <c r="AE182" s="249" t="str">
        <f>HYPERLINK("https://scontent.cdninstagram.com/t51.2885-19/s150x150/20759503_340729756339790_184431590816874496_a.jpg")</f>
        <v>https://scontent.cdninstagram.com/t51.2885-19/s150x150/20759503_340729756339790_184431590816874496_a.jpg</v>
      </c>
    </row>
    <row r="183" spans="1:31" ht="15" x14ac:dyDescent="0.25">
      <c r="A183" t="s">
        <v>2474</v>
      </c>
      <c r="B183" t="s">
        <v>3710</v>
      </c>
      <c r="C183" s="221">
        <v>42959.134120370371</v>
      </c>
      <c r="D183" t="s">
        <v>3711</v>
      </c>
      <c r="E183" s="249" t="str">
        <f>HYPERLINK("https://www.instagram.com/p/BXr1f6FgnEf/")</f>
        <v>https://www.instagram.com/p/BXr1f6FgnEf/</v>
      </c>
      <c r="F183" t="s">
        <v>3712</v>
      </c>
      <c r="G183" t="s">
        <v>2478</v>
      </c>
      <c r="H183">
        <v>13534</v>
      </c>
      <c r="I183" t="s">
        <v>2479</v>
      </c>
      <c r="J183">
        <v>8</v>
      </c>
      <c r="K183">
        <v>229</v>
      </c>
      <c r="L183">
        <v>237</v>
      </c>
      <c r="Q183">
        <v>0</v>
      </c>
      <c r="R183">
        <v>0</v>
      </c>
      <c r="S183">
        <v>237</v>
      </c>
      <c r="AD183" s="249" t="str">
        <f>HYPERLINK("https://scontent.cdninstagram.com/t51.2885-15/s320x320/e35/20687808_803001023215008_6798762800970727424_n.jpg")</f>
        <v>https://scontent.cdninstagram.com/t51.2885-15/s320x320/e35/20687808_803001023215008_6798762800970727424_n.jpg</v>
      </c>
      <c r="AE183" s="249" t="str">
        <f>HYPERLINK("https://scontent.cdninstagram.com/t51.2885-19/s150x150/15625245_101041737067360_8349613132926156800_a.jpg")</f>
        <v>https://scontent.cdninstagram.com/t51.2885-19/s150x150/15625245_101041737067360_8349613132926156800_a.jpg</v>
      </c>
    </row>
    <row r="184" spans="1:31" ht="15" x14ac:dyDescent="0.25">
      <c r="A184" t="s">
        <v>2474</v>
      </c>
      <c r="B184" t="s">
        <v>3713</v>
      </c>
      <c r="C184" s="221">
        <v>42959.134918981479</v>
      </c>
      <c r="D184" t="s">
        <v>3714</v>
      </c>
      <c r="E184" s="249" t="str">
        <f>HYPERLINK("https://www.instagram.com/p/BXr1oWpA17k/")</f>
        <v>https://www.instagram.com/p/BXr1oWpA17k/</v>
      </c>
      <c r="F184" t="s">
        <v>3715</v>
      </c>
      <c r="G184" t="s">
        <v>2478</v>
      </c>
      <c r="H184">
        <v>137</v>
      </c>
      <c r="I184" t="s">
        <v>3025</v>
      </c>
      <c r="J184">
        <v>4</v>
      </c>
      <c r="K184">
        <v>50</v>
      </c>
      <c r="L184">
        <v>54</v>
      </c>
      <c r="Q184">
        <v>0</v>
      </c>
      <c r="R184">
        <v>0</v>
      </c>
      <c r="S184">
        <v>54</v>
      </c>
      <c r="Y184" t="s">
        <v>2492</v>
      </c>
      <c r="Z184" t="s">
        <v>3716</v>
      </c>
      <c r="AA184" t="s">
        <v>2497</v>
      </c>
      <c r="AB184" t="s">
        <v>3717</v>
      </c>
      <c r="AC184" t="s">
        <v>3718</v>
      </c>
      <c r="AD184" s="249" t="str">
        <f>HYPERLINK("https://scontent.cdninstagram.com/t51.2885-15/s320x320/e35/20688252_140839239837201_9026130396839936000_n.jpg")</f>
        <v>https://scontent.cdninstagram.com/t51.2885-15/s320x320/e35/20688252_140839239837201_9026130396839936000_n.jpg</v>
      </c>
      <c r="AE184" s="249" t="str">
        <f>HYPERLINK("https://scontent.cdninstagram.com/t51.2885-19/s150x150/14334820_148277315623238_1549921629_a.jpg")</f>
        <v>https://scontent.cdninstagram.com/t51.2885-19/s150x150/14334820_148277315623238_1549921629_a.jpg</v>
      </c>
    </row>
    <row r="185" spans="1:31" ht="15" x14ac:dyDescent="0.25">
      <c r="A185" t="s">
        <v>2474</v>
      </c>
      <c r="B185" t="s">
        <v>2644</v>
      </c>
      <c r="C185" s="221">
        <v>42959.135393518518</v>
      </c>
      <c r="D185" t="s">
        <v>3719</v>
      </c>
      <c r="E185" s="249" t="str">
        <f>HYPERLINK("https://www.instagram.com/p/BXr1tZLA8Qq/")</f>
        <v>https://www.instagram.com/p/BXr1tZLA8Qq/</v>
      </c>
      <c r="F185" t="s">
        <v>3720</v>
      </c>
      <c r="G185" t="s">
        <v>2478</v>
      </c>
      <c r="H185">
        <v>1758</v>
      </c>
      <c r="I185" t="s">
        <v>2479</v>
      </c>
      <c r="J185">
        <v>3</v>
      </c>
      <c r="K185">
        <v>79</v>
      </c>
      <c r="L185">
        <v>82</v>
      </c>
      <c r="Q185">
        <v>0</v>
      </c>
      <c r="R185">
        <v>0</v>
      </c>
      <c r="S185">
        <v>82</v>
      </c>
      <c r="T185" t="s">
        <v>3721</v>
      </c>
      <c r="V185" t="s">
        <v>2648</v>
      </c>
      <c r="W185">
        <v>59.95</v>
      </c>
      <c r="X185">
        <v>30.316700000000001</v>
      </c>
      <c r="Y185" t="s">
        <v>3077</v>
      </c>
      <c r="Z185" t="s">
        <v>3635</v>
      </c>
      <c r="AA185" t="s">
        <v>2032</v>
      </c>
      <c r="AB185" t="s">
        <v>3343</v>
      </c>
      <c r="AC185" t="s">
        <v>3722</v>
      </c>
      <c r="AD185" s="249" t="str">
        <f>HYPERLINK("https://scontent.cdninstagram.com/t51.2885-15/s320x320/e35/20688667_174353143127172_5734300769209810944_n.jpg")</f>
        <v>https://scontent.cdninstagram.com/t51.2885-15/s320x320/e35/20688667_174353143127172_5734300769209810944_n.jpg</v>
      </c>
      <c r="AE185" s="249" t="str">
        <f>HYPERLINK("https://scontent.cdninstagram.com/t51.2885-19/11372086_1598451257062069_1320225693_a.jpg")</f>
        <v>https://scontent.cdninstagram.com/t51.2885-19/11372086_1598451257062069_1320225693_a.jpg</v>
      </c>
    </row>
    <row r="186" spans="1:31" ht="15" x14ac:dyDescent="0.25">
      <c r="A186" t="s">
        <v>2474</v>
      </c>
      <c r="B186" t="s">
        <v>3015</v>
      </c>
      <c r="C186" s="221">
        <v>42959.137962962966</v>
      </c>
      <c r="D186" t="s">
        <v>3723</v>
      </c>
      <c r="E186" s="249" t="str">
        <f>HYPERLINK("https://www.instagram.com/p/BXr2IeLgpb7/")</f>
        <v>https://www.instagram.com/p/BXr2IeLgpb7/</v>
      </c>
      <c r="F186" t="s">
        <v>3724</v>
      </c>
      <c r="G186" t="s">
        <v>2478</v>
      </c>
      <c r="H186">
        <v>173</v>
      </c>
      <c r="I186" t="s">
        <v>2479</v>
      </c>
      <c r="J186">
        <v>0</v>
      </c>
      <c r="K186">
        <v>37</v>
      </c>
      <c r="L186">
        <v>37</v>
      </c>
      <c r="Q186">
        <v>0</v>
      </c>
      <c r="R186">
        <v>0</v>
      </c>
      <c r="S186">
        <v>37</v>
      </c>
      <c r="Y186" t="s">
        <v>3725</v>
      </c>
      <c r="Z186" t="s">
        <v>3571</v>
      </c>
      <c r="AA186" t="s">
        <v>3726</v>
      </c>
      <c r="AB186" t="s">
        <v>3727</v>
      </c>
      <c r="AC186" t="s">
        <v>3728</v>
      </c>
      <c r="AD186" s="249" t="str">
        <f>HYPERLINK("https://scontent.cdninstagram.com/t51.2885-15/s320x320/e35/20687373_1469911326429935_4837280657413505024_n.jpg")</f>
        <v>https://scontent.cdninstagram.com/t51.2885-15/s320x320/e35/20687373_1469911326429935_4837280657413505024_n.jpg</v>
      </c>
      <c r="AE186" s="249" t="str">
        <f>HYPERLINK("https://scontent.cdninstagram.com/t51.2885-19/s150x150/19761452_1876060406050696_4275948751316582400_a.jpg")</f>
        <v>https://scontent.cdninstagram.com/t51.2885-19/s150x150/19761452_1876060406050696_4275948751316582400_a.jpg</v>
      </c>
    </row>
    <row r="187" spans="1:31" ht="15" x14ac:dyDescent="0.25">
      <c r="A187" t="s">
        <v>2474</v>
      </c>
      <c r="B187" t="s">
        <v>2507</v>
      </c>
      <c r="C187" s="221">
        <v>42959.142905092594</v>
      </c>
      <c r="D187" t="s">
        <v>3729</v>
      </c>
      <c r="E187" s="249" t="str">
        <f>HYPERLINK("https://www.instagram.com/p/BXr28ohh8sg/")</f>
        <v>https://www.instagram.com/p/BXr28ohh8sg/</v>
      </c>
      <c r="F187" t="s">
        <v>3730</v>
      </c>
      <c r="G187" t="s">
        <v>2478</v>
      </c>
      <c r="H187">
        <v>260</v>
      </c>
      <c r="I187" t="s">
        <v>2910</v>
      </c>
      <c r="J187">
        <v>1</v>
      </c>
      <c r="K187">
        <v>46</v>
      </c>
      <c r="L187">
        <v>47</v>
      </c>
      <c r="Q187">
        <v>0</v>
      </c>
      <c r="R187">
        <v>0</v>
      </c>
      <c r="S187">
        <v>47</v>
      </c>
      <c r="Y187" t="s">
        <v>3731</v>
      </c>
      <c r="Z187" t="s">
        <v>2515</v>
      </c>
      <c r="AA187" t="s">
        <v>3446</v>
      </c>
      <c r="AB187" t="s">
        <v>3732</v>
      </c>
      <c r="AC187" t="s">
        <v>3733</v>
      </c>
      <c r="AD187" s="249" t="str">
        <f>HYPERLINK("https://scontent.cdninstagram.com/t51.2885-15/s320x320/e35/20837033_880340968785219_5668907577140838400_n.jpg")</f>
        <v>https://scontent.cdninstagram.com/t51.2885-15/s320x320/e35/20837033_880340968785219_5668907577140838400_n.jpg</v>
      </c>
      <c r="AE187" s="249" t="str">
        <f>HYPERLINK("https://scontent.cdninstagram.com/t51.2885-19/s150x150/20688656_891409331008012_775389051745206272_a.jpg")</f>
        <v>https://scontent.cdninstagram.com/t51.2885-19/s150x150/20688656_891409331008012_775389051745206272_a.jpg</v>
      </c>
    </row>
    <row r="188" spans="1:31" ht="15" x14ac:dyDescent="0.25">
      <c r="A188" t="s">
        <v>2474</v>
      </c>
      <c r="B188" t="s">
        <v>3734</v>
      </c>
      <c r="C188" s="221">
        <v>42959.143449074072</v>
      </c>
      <c r="D188" t="s">
        <v>3735</v>
      </c>
      <c r="E188" s="249" t="str">
        <f>HYPERLINK("https://www.instagram.com/p/BXr3CXNgfH6/")</f>
        <v>https://www.instagram.com/p/BXr3CXNgfH6/</v>
      </c>
      <c r="F188" t="s">
        <v>3736</v>
      </c>
      <c r="G188" t="s">
        <v>2478</v>
      </c>
      <c r="H188">
        <v>80</v>
      </c>
      <c r="I188" t="s">
        <v>2903</v>
      </c>
      <c r="J188">
        <v>0</v>
      </c>
      <c r="K188">
        <v>11</v>
      </c>
      <c r="L188">
        <v>11</v>
      </c>
      <c r="Q188">
        <v>0</v>
      </c>
      <c r="R188">
        <v>0</v>
      </c>
      <c r="S188">
        <v>11</v>
      </c>
      <c r="T188" t="s">
        <v>3737</v>
      </c>
      <c r="V188" t="s">
        <v>2222</v>
      </c>
      <c r="W188">
        <v>51.7</v>
      </c>
      <c r="X188">
        <v>5.3166666666667002</v>
      </c>
      <c r="Y188" t="s">
        <v>3738</v>
      </c>
      <c r="Z188" t="s">
        <v>2497</v>
      </c>
      <c r="AA188" t="s">
        <v>3145</v>
      </c>
      <c r="AB188" t="s">
        <v>3739</v>
      </c>
      <c r="AD188" s="249" t="str">
        <f>HYPERLINK("https://scontent.cdninstagram.com/t51.2885-15/s320x320/e35/20766664_120413911938586_4622611182572797952_n.jpg")</f>
        <v>https://scontent.cdninstagram.com/t51.2885-15/s320x320/e35/20766664_120413911938586_4622611182572797952_n.jpg</v>
      </c>
      <c r="AE188" s="249" t="str">
        <f>HYPERLINK("https://scontent.cdninstagram.com/t51.2885-19/s150x150/15253332_1263652620361474_4451405707320754176_a.jpg")</f>
        <v>https://scontent.cdninstagram.com/t51.2885-19/s150x150/15253332_1263652620361474_4451405707320754176_a.jpg</v>
      </c>
    </row>
    <row r="189" spans="1:31" ht="15" x14ac:dyDescent="0.25">
      <c r="A189" t="s">
        <v>2474</v>
      </c>
      <c r="B189" t="s">
        <v>2644</v>
      </c>
      <c r="C189" s="221">
        <v>42959.150104166663</v>
      </c>
      <c r="D189" t="s">
        <v>3740</v>
      </c>
      <c r="E189" s="249" t="str">
        <f>HYPERLINK("https://www.instagram.com/p/BXr4IhhAQ13/")</f>
        <v>https://www.instagram.com/p/BXr4IhhAQ13/</v>
      </c>
      <c r="F189" t="s">
        <v>3741</v>
      </c>
      <c r="G189" t="s">
        <v>2478</v>
      </c>
      <c r="H189">
        <v>1755</v>
      </c>
      <c r="I189" t="s">
        <v>2479</v>
      </c>
      <c r="J189">
        <v>0</v>
      </c>
      <c r="K189">
        <v>78</v>
      </c>
      <c r="L189">
        <v>78</v>
      </c>
      <c r="Q189">
        <v>0</v>
      </c>
      <c r="R189">
        <v>0</v>
      </c>
      <c r="S189">
        <v>78</v>
      </c>
      <c r="T189" t="s">
        <v>3631</v>
      </c>
      <c r="V189" t="s">
        <v>2648</v>
      </c>
      <c r="W189">
        <v>59.93683</v>
      </c>
      <c r="X189">
        <v>30.318049999999999</v>
      </c>
      <c r="Y189" t="s">
        <v>3077</v>
      </c>
      <c r="Z189" t="s">
        <v>3742</v>
      </c>
      <c r="AA189" t="s">
        <v>3634</v>
      </c>
      <c r="AB189" t="s">
        <v>3743</v>
      </c>
      <c r="AC189" t="s">
        <v>3635</v>
      </c>
      <c r="AD189" s="249" t="str">
        <f>HYPERLINK("https://scontent.cdninstagram.com/t51.2885-15/s320x320/e35/20837639_154126328497641_4413896314815774720_n.jpg")</f>
        <v>https://scontent.cdninstagram.com/t51.2885-15/s320x320/e35/20837639_154126328497641_4413896314815774720_n.jpg</v>
      </c>
      <c r="AE189" s="249" t="str">
        <f>HYPERLINK("https://scontent.cdninstagram.com/t51.2885-19/11372086_1598451257062069_1320225693_a.jpg")</f>
        <v>https://scontent.cdninstagram.com/t51.2885-19/11372086_1598451257062069_1320225693_a.jpg</v>
      </c>
    </row>
    <row r="190" spans="1:31" ht="15" x14ac:dyDescent="0.25">
      <c r="A190" t="s">
        <v>2474</v>
      </c>
      <c r="B190" t="s">
        <v>2588</v>
      </c>
      <c r="C190" s="221">
        <v>42959.150810185187</v>
      </c>
      <c r="D190" t="s">
        <v>3744</v>
      </c>
      <c r="E190" s="249" t="str">
        <f>HYPERLINK("https://www.instagram.com/p/BXr4P65gOij/")</f>
        <v>https://www.instagram.com/p/BXr4P65gOij/</v>
      </c>
      <c r="F190" t="s">
        <v>3745</v>
      </c>
      <c r="G190" t="s">
        <v>2478</v>
      </c>
      <c r="H190">
        <v>233</v>
      </c>
      <c r="I190" t="s">
        <v>2479</v>
      </c>
      <c r="J190">
        <v>12</v>
      </c>
      <c r="K190">
        <v>46</v>
      </c>
      <c r="L190">
        <v>58</v>
      </c>
      <c r="Q190">
        <v>0</v>
      </c>
      <c r="R190">
        <v>0</v>
      </c>
      <c r="S190">
        <v>58</v>
      </c>
      <c r="AD190" s="249" t="str">
        <f>HYPERLINK("https://scontent.cdninstagram.com/t51.2885-15/s320x320/e35/c39.0.560.560/20759962_479951262380435_5803229217579597824_n.jpg")</f>
        <v>https://scontent.cdninstagram.com/t51.2885-15/s320x320/e35/c39.0.560.560/20759962_479951262380435_5803229217579597824_n.jpg</v>
      </c>
      <c r="AE190" s="249" t="str">
        <f>HYPERLINK("https://scontent.cdninstagram.com/t51.2885-19/s150x150/20633561_108840983138666_5897549723056734208_a.jpg")</f>
        <v>https://scontent.cdninstagram.com/t51.2885-19/s150x150/20633561_108840983138666_5897549723056734208_a.jpg</v>
      </c>
    </row>
    <row r="191" spans="1:31" ht="15" x14ac:dyDescent="0.25">
      <c r="A191" t="s">
        <v>2474</v>
      </c>
      <c r="B191" t="s">
        <v>2485</v>
      </c>
      <c r="C191" s="221">
        <v>42959.170787037037</v>
      </c>
      <c r="D191" t="s">
        <v>3746</v>
      </c>
      <c r="E191" s="249" t="str">
        <f>HYPERLINK("https://www.instagram.com/p/BXr7imXB4BV/")</f>
        <v>https://www.instagram.com/p/BXr7imXB4BV/</v>
      </c>
      <c r="F191" t="s">
        <v>3747</v>
      </c>
      <c r="G191" t="s">
        <v>2488</v>
      </c>
      <c r="H191">
        <v>501</v>
      </c>
      <c r="I191" t="s">
        <v>2479</v>
      </c>
      <c r="J191">
        <v>0</v>
      </c>
      <c r="K191">
        <v>48</v>
      </c>
      <c r="L191">
        <v>48</v>
      </c>
      <c r="Q191">
        <v>0</v>
      </c>
      <c r="R191">
        <v>0</v>
      </c>
      <c r="S191">
        <v>48</v>
      </c>
      <c r="T191" t="s">
        <v>3748</v>
      </c>
      <c r="V191" t="s">
        <v>2102</v>
      </c>
      <c r="W191">
        <v>-33.609722220000002</v>
      </c>
      <c r="X191">
        <v>150.69999999999999</v>
      </c>
      <c r="Y191" t="s">
        <v>3749</v>
      </c>
      <c r="Z191" t="s">
        <v>3750</v>
      </c>
      <c r="AA191" t="s">
        <v>3751</v>
      </c>
      <c r="AB191" t="s">
        <v>3752</v>
      </c>
      <c r="AC191" t="s">
        <v>3753</v>
      </c>
      <c r="AD191" s="249" t="str">
        <f>HYPERLINK("https://scontent.cdninstagram.com/t51.2885-15/s320x320/e35/20759118_1923741571233530_5925726233231884288_n.jpg")</f>
        <v>https://scontent.cdninstagram.com/t51.2885-15/s320x320/e35/20759118_1923741571233530_5925726233231884288_n.jpg</v>
      </c>
      <c r="AE191" s="249" t="str">
        <f>HYPERLINK("https://scontent.cdninstagram.com/t51.2885-19/s150x150/18443233_377558215972041_2583214741673476096_a.jpg")</f>
        <v>https://scontent.cdninstagram.com/t51.2885-19/s150x150/18443233_377558215972041_2583214741673476096_a.jpg</v>
      </c>
    </row>
    <row r="192" spans="1:31" ht="15" x14ac:dyDescent="0.25">
      <c r="A192" t="s">
        <v>2474</v>
      </c>
      <c r="B192" t="s">
        <v>3754</v>
      </c>
      <c r="C192" s="221">
        <v>42959.176550925928</v>
      </c>
      <c r="D192" t="s">
        <v>3755</v>
      </c>
      <c r="E192" s="249" t="str">
        <f>HYPERLINK("https://www.instagram.com/p/BXr8fbgj85W/")</f>
        <v>https://www.instagram.com/p/BXr8fbgj85W/</v>
      </c>
      <c r="F192" t="s">
        <v>3756</v>
      </c>
      <c r="G192" t="s">
        <v>2478</v>
      </c>
      <c r="H192">
        <v>201992</v>
      </c>
      <c r="I192" t="s">
        <v>2479</v>
      </c>
      <c r="J192">
        <v>1</v>
      </c>
      <c r="K192">
        <v>158</v>
      </c>
      <c r="L192">
        <v>159</v>
      </c>
      <c r="Q192">
        <v>0</v>
      </c>
      <c r="R192">
        <v>0</v>
      </c>
      <c r="S192">
        <v>159</v>
      </c>
      <c r="Y192" t="s">
        <v>3757</v>
      </c>
      <c r="Z192" t="s">
        <v>3758</v>
      </c>
      <c r="AA192" t="s">
        <v>3754</v>
      </c>
      <c r="AB192" t="s">
        <v>3759</v>
      </c>
      <c r="AC192" t="s">
        <v>3760</v>
      </c>
      <c r="AD192" s="249" t="str">
        <f>HYPERLINK("https://scontent.cdninstagram.com/t51.2885-15/s320x320/e35/20687220_292077051200184_8724129844436140032_n.jpg")</f>
        <v>https://scontent.cdninstagram.com/t51.2885-15/s320x320/e35/20687220_292077051200184_8724129844436140032_n.jpg</v>
      </c>
      <c r="AE192" s="249" t="str">
        <f>HYPERLINK("https://scontent.cdninstagram.com/t51.2885-19/s150x150/12905002_1681254462136092_1137392787_a.jpg")</f>
        <v>https://scontent.cdninstagram.com/t51.2885-19/s150x150/12905002_1681254462136092_1137392787_a.jpg</v>
      </c>
    </row>
    <row r="193" spans="1:31" ht="15" x14ac:dyDescent="0.25">
      <c r="A193" t="s">
        <v>2474</v>
      </c>
      <c r="B193" t="s">
        <v>3761</v>
      </c>
      <c r="C193" s="221">
        <v>42959.181898148148</v>
      </c>
      <c r="D193" t="s">
        <v>3762</v>
      </c>
      <c r="E193" s="249" t="str">
        <f>HYPERLINK("https://www.instagram.com/p/BXr9X1SnFtG/")</f>
        <v>https://www.instagram.com/p/BXr9X1SnFtG/</v>
      </c>
      <c r="F193" t="s">
        <v>3763</v>
      </c>
      <c r="G193" t="s">
        <v>2478</v>
      </c>
      <c r="H193">
        <v>35705</v>
      </c>
      <c r="I193" t="s">
        <v>2479</v>
      </c>
      <c r="J193">
        <v>0</v>
      </c>
      <c r="K193">
        <v>37</v>
      </c>
      <c r="L193">
        <v>37</v>
      </c>
      <c r="Q193">
        <v>0</v>
      </c>
      <c r="R193">
        <v>0</v>
      </c>
      <c r="S193">
        <v>37</v>
      </c>
      <c r="Y193" t="s">
        <v>3757</v>
      </c>
      <c r="Z193" t="s">
        <v>3758</v>
      </c>
      <c r="AA193" t="s">
        <v>3759</v>
      </c>
      <c r="AB193" t="s">
        <v>3760</v>
      </c>
      <c r="AC193" t="s">
        <v>3764</v>
      </c>
      <c r="AD193" s="249" t="str">
        <f>HYPERLINK("https://scontent.cdninstagram.com/t51.2885-15/s320x320/e35/20688229_352556771845364_4051108836868620288_n.jpg")</f>
        <v>https://scontent.cdninstagram.com/t51.2885-15/s320x320/e35/20688229_352556771845364_4051108836868620288_n.jpg</v>
      </c>
      <c r="AE193" s="249" t="str">
        <f>HYPERLINK("https://scontent.cdninstagram.com/t51.2885-19/s150x150/19985865_1705783593058831_5928851088227696640_n.jpg")</f>
        <v>https://scontent.cdninstagram.com/t51.2885-19/s150x150/19985865_1705783593058831_5928851088227696640_n.jpg</v>
      </c>
    </row>
    <row r="194" spans="1:31" ht="15" x14ac:dyDescent="0.25">
      <c r="A194" t="s">
        <v>2474</v>
      </c>
      <c r="B194" t="s">
        <v>3765</v>
      </c>
      <c r="C194" s="221">
        <v>42959.191782407404</v>
      </c>
      <c r="D194" t="s">
        <v>3766</v>
      </c>
      <c r="E194" s="249" t="str">
        <f>HYPERLINK("https://www.instagram.com/p/BXr_AIchieM/")</f>
        <v>https://www.instagram.com/p/BXr_AIchieM/</v>
      </c>
      <c r="F194" t="s">
        <v>3767</v>
      </c>
      <c r="G194" t="s">
        <v>2478</v>
      </c>
      <c r="H194">
        <v>889</v>
      </c>
      <c r="I194" t="s">
        <v>2479</v>
      </c>
      <c r="J194">
        <v>4</v>
      </c>
      <c r="K194">
        <v>52</v>
      </c>
      <c r="L194">
        <v>56</v>
      </c>
      <c r="Q194">
        <v>0</v>
      </c>
      <c r="R194">
        <v>0</v>
      </c>
      <c r="S194">
        <v>56</v>
      </c>
      <c r="Y194" t="s">
        <v>3014</v>
      </c>
      <c r="Z194" t="s">
        <v>3768</v>
      </c>
      <c r="AA194" t="s">
        <v>2827</v>
      </c>
      <c r="AB194" t="s">
        <v>3769</v>
      </c>
      <c r="AC194" t="s">
        <v>3770</v>
      </c>
      <c r="AD194" s="249" t="str">
        <f>HYPERLINK("https://scontent.cdninstagram.com/t51.2885-15/s320x320/e35/c0.100.800.800/20766420_1761714260793465_7820548925282058240_n.jpg")</f>
        <v>https://scontent.cdninstagram.com/t51.2885-15/s320x320/e35/c0.100.800.800/20766420_1761714260793465_7820548925282058240_n.jpg</v>
      </c>
      <c r="AE194" s="249" t="str">
        <f>HYPERLINK("https://scontent.cdninstagram.com/t51.2885-19/s150x150/19425009_121991491733321_8206141893591957504_a.jpg")</f>
        <v>https://scontent.cdninstagram.com/t51.2885-19/s150x150/19425009_121991491733321_8206141893591957504_a.jpg</v>
      </c>
    </row>
    <row r="195" spans="1:31" ht="15" x14ac:dyDescent="0.25">
      <c r="A195" t="s">
        <v>2474</v>
      </c>
      <c r="B195" t="s">
        <v>3771</v>
      </c>
      <c r="C195" s="221">
        <v>42959.196018518516</v>
      </c>
      <c r="D195" t="s">
        <v>3772</v>
      </c>
      <c r="E195" s="249" t="str">
        <f>HYPERLINK("https://www.instagram.com/p/BXr_st4A3Bf/")</f>
        <v>https://www.instagram.com/p/BXr_st4A3Bf/</v>
      </c>
      <c r="F195" t="s">
        <v>3773</v>
      </c>
      <c r="G195" t="s">
        <v>2478</v>
      </c>
      <c r="H195">
        <v>634</v>
      </c>
      <c r="I195" t="s">
        <v>3186</v>
      </c>
      <c r="J195">
        <v>4</v>
      </c>
      <c r="K195">
        <v>53</v>
      </c>
      <c r="L195">
        <v>57</v>
      </c>
      <c r="Q195">
        <v>0</v>
      </c>
      <c r="R195">
        <v>0</v>
      </c>
      <c r="S195">
        <v>57</v>
      </c>
      <c r="Y195" t="s">
        <v>2730</v>
      </c>
      <c r="Z195" t="s">
        <v>3774</v>
      </c>
      <c r="AA195" t="s">
        <v>3006</v>
      </c>
      <c r="AB195" t="s">
        <v>3775</v>
      </c>
      <c r="AC195" t="s">
        <v>3776</v>
      </c>
      <c r="AD195" s="249" t="str">
        <f>HYPERLINK("https://scontent.cdninstagram.com/t51.2885-15/s320x320/e35/20687290_129793334304364_8329447539916931072_n.jpg")</f>
        <v>https://scontent.cdninstagram.com/t51.2885-15/s320x320/e35/20687290_129793334304364_8329447539916931072_n.jpg</v>
      </c>
      <c r="AE195" s="249" t="str">
        <f>HYPERLINK("https://scontent.cdninstagram.com/t51.2885-19/s150x150/20589392_118248495490569_2998209866385850368_a.jpg")</f>
        <v>https://scontent.cdninstagram.com/t51.2885-19/s150x150/20589392_118248495490569_2998209866385850368_a.jpg</v>
      </c>
    </row>
    <row r="196" spans="1:31" ht="15" x14ac:dyDescent="0.25">
      <c r="A196" t="s">
        <v>2474</v>
      </c>
      <c r="B196" t="s">
        <v>3777</v>
      </c>
      <c r="C196" s="221">
        <v>42959.198275462964</v>
      </c>
      <c r="D196" t="s">
        <v>3778</v>
      </c>
      <c r="E196" s="249" t="str">
        <f>HYPERLINK("https://www.instagram.com/p/BXsAEinHTk1/")</f>
        <v>https://www.instagram.com/p/BXsAEinHTk1/</v>
      </c>
      <c r="F196" t="s">
        <v>3779</v>
      </c>
      <c r="G196" t="s">
        <v>2478</v>
      </c>
      <c r="H196">
        <v>183</v>
      </c>
      <c r="I196" t="s">
        <v>2542</v>
      </c>
      <c r="J196">
        <v>0</v>
      </c>
      <c r="K196">
        <v>30</v>
      </c>
      <c r="L196">
        <v>30</v>
      </c>
      <c r="Q196">
        <v>0</v>
      </c>
      <c r="R196">
        <v>0</v>
      </c>
      <c r="S196">
        <v>30</v>
      </c>
      <c r="T196" t="s">
        <v>3780</v>
      </c>
      <c r="V196" t="s">
        <v>2273</v>
      </c>
      <c r="W196">
        <v>24.324149999999999</v>
      </c>
      <c r="X196">
        <v>120.69920999999999</v>
      </c>
      <c r="Y196" t="s">
        <v>3781</v>
      </c>
      <c r="Z196" t="s">
        <v>3782</v>
      </c>
      <c r="AA196" t="s">
        <v>3137</v>
      </c>
      <c r="AB196" t="s">
        <v>3783</v>
      </c>
      <c r="AC196" t="s">
        <v>3165</v>
      </c>
      <c r="AD196" s="249" t="str">
        <f>HYPERLINK("https://scontent.cdninstagram.com/t51.2885-15/s320x320/e35/20759118_117760818878109_4604660980939489280_n.jpg")</f>
        <v>https://scontent.cdninstagram.com/t51.2885-15/s320x320/e35/20759118_117760818878109_4604660980939489280_n.jpg</v>
      </c>
      <c r="AE196" s="249" t="str">
        <f>HYPERLINK("https://scontent.cdninstagram.com/t51.2885-19/s150x150/18512804_1842867552632361_1335613925726617600_a.jpg")</f>
        <v>https://scontent.cdninstagram.com/t51.2885-19/s150x150/18512804_1842867552632361_1335613925726617600_a.jpg</v>
      </c>
    </row>
    <row r="197" spans="1:31" ht="15" x14ac:dyDescent="0.25">
      <c r="A197" t="s">
        <v>2474</v>
      </c>
      <c r="B197" t="s">
        <v>3784</v>
      </c>
      <c r="C197" s="221">
        <v>42959.201527777775</v>
      </c>
      <c r="D197" t="s">
        <v>3785</v>
      </c>
      <c r="E197" s="249" t="str">
        <f>HYPERLINK("https://www.instagram.com/p/BXsAm6XFmbK/")</f>
        <v>https://www.instagram.com/p/BXsAm6XFmbK/</v>
      </c>
      <c r="F197" t="s">
        <v>3786</v>
      </c>
      <c r="G197" t="s">
        <v>2478</v>
      </c>
      <c r="H197">
        <v>370</v>
      </c>
      <c r="I197" t="s">
        <v>2479</v>
      </c>
      <c r="J197">
        <v>2</v>
      </c>
      <c r="K197">
        <v>70</v>
      </c>
      <c r="L197">
        <v>72</v>
      </c>
      <c r="Q197">
        <v>0</v>
      </c>
      <c r="R197">
        <v>0</v>
      </c>
      <c r="S197">
        <v>72</v>
      </c>
      <c r="Y197" t="s">
        <v>2513</v>
      </c>
      <c r="Z197" t="s">
        <v>2497</v>
      </c>
      <c r="AA197" t="s">
        <v>3787</v>
      </c>
      <c r="AD197" s="249" t="str">
        <f>HYPERLINK("https://scontent.cdninstagram.com/t51.2885-15/s320x320/e35/c0.135.1079.1079/20836964_495613340773300_4016423067533180928_n.jpg")</f>
        <v>https://scontent.cdninstagram.com/t51.2885-15/s320x320/e35/c0.135.1079.1079/20836964_495613340773300_4016423067533180928_n.jpg</v>
      </c>
      <c r="AE197" s="249" t="str">
        <f>HYPERLINK("https://scontent.cdninstagram.com/t51.2885-19/11910354_1455326308108771_194654723_a.jpg")</f>
        <v>https://scontent.cdninstagram.com/t51.2885-19/11910354_1455326308108771_194654723_a.jpg</v>
      </c>
    </row>
    <row r="198" spans="1:31" ht="15" x14ac:dyDescent="0.25">
      <c r="A198" t="s">
        <v>2474</v>
      </c>
      <c r="B198" t="s">
        <v>3788</v>
      </c>
      <c r="C198" s="221">
        <v>42959.206261574072</v>
      </c>
      <c r="D198" t="s">
        <v>3789</v>
      </c>
      <c r="E198" s="249" t="str">
        <f>HYPERLINK("https://www.instagram.com/p/BXsBY1LFZTz/")</f>
        <v>https://www.instagram.com/p/BXsBY1LFZTz/</v>
      </c>
      <c r="F198" t="s">
        <v>3790</v>
      </c>
      <c r="G198" t="s">
        <v>2478</v>
      </c>
      <c r="H198">
        <v>1742</v>
      </c>
      <c r="I198" t="s">
        <v>2479</v>
      </c>
      <c r="J198">
        <v>1</v>
      </c>
      <c r="K198">
        <v>25</v>
      </c>
      <c r="L198">
        <v>26</v>
      </c>
      <c r="Q198">
        <v>0</v>
      </c>
      <c r="R198">
        <v>0</v>
      </c>
      <c r="S198">
        <v>26</v>
      </c>
      <c r="Y198" t="s">
        <v>3791</v>
      </c>
      <c r="Z198" t="s">
        <v>2492</v>
      </c>
      <c r="AA198" t="s">
        <v>3792</v>
      </c>
      <c r="AB198" t="s">
        <v>2497</v>
      </c>
      <c r="AC198" t="s">
        <v>3793</v>
      </c>
      <c r="AD198" s="249" t="str">
        <f>HYPERLINK("https://scontent.cdninstagram.com/t51.2885-15/s320x320/e35/c180.0.720.720/20687941_198530380684858_2250108751916826624_n.jpg")</f>
        <v>https://scontent.cdninstagram.com/t51.2885-15/s320x320/e35/c180.0.720.720/20687941_198530380684858_2250108751916826624_n.jpg</v>
      </c>
      <c r="AE198" s="249" t="str">
        <f>HYPERLINK("https://scontent.cdninstagram.com/t51.2885-19/s150x150/14736240_1799580730323358_6178403488582598656_a.jpg")</f>
        <v>https://scontent.cdninstagram.com/t51.2885-19/s150x150/14736240_1799580730323358_6178403488582598656_a.jpg</v>
      </c>
    </row>
    <row r="199" spans="1:31" ht="15" x14ac:dyDescent="0.25">
      <c r="A199" t="s">
        <v>2474</v>
      </c>
      <c r="B199" t="s">
        <v>3794</v>
      </c>
      <c r="C199" s="221">
        <v>42959.21943287037</v>
      </c>
      <c r="D199" t="s">
        <v>3795</v>
      </c>
      <c r="E199" s="249" t="str">
        <f>HYPERLINK("https://www.instagram.com/p/BXsDjrmFC8N/")</f>
        <v>https://www.instagram.com/p/BXsDjrmFC8N/</v>
      </c>
      <c r="F199" t="s">
        <v>3796</v>
      </c>
      <c r="G199" t="s">
        <v>2478</v>
      </c>
      <c r="H199">
        <v>113</v>
      </c>
      <c r="I199" t="s">
        <v>2910</v>
      </c>
      <c r="J199">
        <v>1</v>
      </c>
      <c r="K199">
        <v>16</v>
      </c>
      <c r="L199">
        <v>17</v>
      </c>
      <c r="Q199">
        <v>0</v>
      </c>
      <c r="R199">
        <v>0</v>
      </c>
      <c r="S199">
        <v>17</v>
      </c>
      <c r="Y199" t="s">
        <v>3797</v>
      </c>
      <c r="Z199" t="s">
        <v>3174</v>
      </c>
      <c r="AA199" t="s">
        <v>3798</v>
      </c>
      <c r="AB199" t="s">
        <v>3153</v>
      </c>
      <c r="AC199" t="s">
        <v>3132</v>
      </c>
      <c r="AD199" s="249" t="str">
        <f>HYPERLINK("https://scontent.cdninstagram.com/t51.2885-15/s320x320/e35/20688034_584237618633349_6966663307478433792_n.jpg")</f>
        <v>https://scontent.cdninstagram.com/t51.2885-15/s320x320/e35/20688034_584237618633349_6966663307478433792_n.jpg</v>
      </c>
      <c r="AE199" s="249" t="str">
        <f>HYPERLINK("https://scontent.cdninstagram.com/t51.2885-19/s150x150/19932979_1681830065459181_12098871333224448_a.jpg")</f>
        <v>https://scontent.cdninstagram.com/t51.2885-19/s150x150/19932979_1681830065459181_12098871333224448_a.jpg</v>
      </c>
    </row>
    <row r="200" spans="1:31" ht="15" x14ac:dyDescent="0.25">
      <c r="A200" t="s">
        <v>2474</v>
      </c>
      <c r="B200" t="s">
        <v>3799</v>
      </c>
      <c r="C200" s="221">
        <v>42959.224722222221</v>
      </c>
      <c r="D200" t="s">
        <v>3800</v>
      </c>
      <c r="E200" s="249" t="str">
        <f>HYPERLINK("https://www.instagram.com/p/BXsEbhmF6gc/")</f>
        <v>https://www.instagram.com/p/BXsEbhmF6gc/</v>
      </c>
      <c r="F200" t="s">
        <v>3801</v>
      </c>
      <c r="G200" t="s">
        <v>2478</v>
      </c>
      <c r="H200">
        <v>494</v>
      </c>
      <c r="I200" t="s">
        <v>2479</v>
      </c>
      <c r="J200">
        <v>0</v>
      </c>
      <c r="K200">
        <v>44</v>
      </c>
      <c r="L200">
        <v>44</v>
      </c>
      <c r="Q200">
        <v>0</v>
      </c>
      <c r="R200">
        <v>0</v>
      </c>
      <c r="S200">
        <v>44</v>
      </c>
      <c r="T200" t="s">
        <v>3802</v>
      </c>
      <c r="V200" t="s">
        <v>2264</v>
      </c>
      <c r="W200">
        <v>28.1</v>
      </c>
      <c r="X200">
        <v>-15.4</v>
      </c>
      <c r="Y200" t="s">
        <v>3803</v>
      </c>
      <c r="Z200" t="s">
        <v>3804</v>
      </c>
      <c r="AA200" t="s">
        <v>3805</v>
      </c>
      <c r="AB200" t="s">
        <v>3806</v>
      </c>
      <c r="AC200" t="s">
        <v>2497</v>
      </c>
      <c r="AD200" s="249" t="str">
        <f>HYPERLINK("https://scontent.cdninstagram.com/t51.2885-15/s320x320/e35/c0.100.800.800/20766698_514273608912034_2112620968961638400_n.jpg")</f>
        <v>https://scontent.cdninstagram.com/t51.2885-15/s320x320/e35/c0.100.800.800/20766698_514273608912034_2112620968961638400_n.jpg</v>
      </c>
      <c r="AE200" s="249" t="str">
        <f>HYPERLINK("https://scontent.cdninstagram.com/t51.2885-19/s150x150/18380075_1566030253407690_7907272939282628608_a.jpg")</f>
        <v>https://scontent.cdninstagram.com/t51.2885-19/s150x150/18380075_1566030253407690_7907272939282628608_a.jpg</v>
      </c>
    </row>
    <row r="201" spans="1:31" ht="15" x14ac:dyDescent="0.25">
      <c r="A201" t="s">
        <v>2474</v>
      </c>
      <c r="B201" t="s">
        <v>3807</v>
      </c>
      <c r="C201" s="221">
        <v>42959.23537037037</v>
      </c>
      <c r="D201" t="s">
        <v>3808</v>
      </c>
      <c r="E201" s="249" t="str">
        <f>HYPERLINK("https://www.instagram.com/p/BXsGLzHhSeY/")</f>
        <v>https://www.instagram.com/p/BXsGLzHhSeY/</v>
      </c>
      <c r="F201" t="s">
        <v>3809</v>
      </c>
      <c r="G201" t="s">
        <v>2478</v>
      </c>
      <c r="H201">
        <v>20</v>
      </c>
      <c r="I201" t="s">
        <v>2479</v>
      </c>
      <c r="J201">
        <v>0</v>
      </c>
      <c r="K201">
        <v>6</v>
      </c>
      <c r="L201">
        <v>6</v>
      </c>
      <c r="Q201">
        <v>0</v>
      </c>
      <c r="R201">
        <v>0</v>
      </c>
      <c r="S201">
        <v>6</v>
      </c>
      <c r="Y201" t="s">
        <v>2497</v>
      </c>
      <c r="AD201" s="249" t="str">
        <f>HYPERLINK("https://scontent.cdninstagram.com/t51.2885-15/s320x320/e35/c184.0.711.711/20688278_170840423462812_640239874187722752_n.jpg")</f>
        <v>https://scontent.cdninstagram.com/t51.2885-15/s320x320/e35/c184.0.711.711/20688278_170840423462812_640239874187722752_n.jpg</v>
      </c>
      <c r="AE201" s="249" t="str">
        <f>HYPERLINK("https://scontent.cdninstagram.com/t51.2885-19/s150x150/20686785_1533946743293213_439448014206009344_a.jpg")</f>
        <v>https://scontent.cdninstagram.com/t51.2885-19/s150x150/20686785_1533946743293213_439448014206009344_a.jpg</v>
      </c>
    </row>
    <row r="202" spans="1:31" ht="15" x14ac:dyDescent="0.25">
      <c r="A202" t="s">
        <v>2474</v>
      </c>
      <c r="B202" t="s">
        <v>2636</v>
      </c>
      <c r="C202" s="221">
        <v>42959.242361111108</v>
      </c>
      <c r="D202" t="s">
        <v>3810</v>
      </c>
      <c r="E202" s="249" t="str">
        <f>HYPERLINK("https://www.instagram.com/p/BXsHVlWnQa_/")</f>
        <v>https://www.instagram.com/p/BXsHVlWnQa_/</v>
      </c>
      <c r="F202" t="s">
        <v>3811</v>
      </c>
      <c r="G202" t="s">
        <v>2478</v>
      </c>
      <c r="H202">
        <v>297</v>
      </c>
      <c r="I202" t="s">
        <v>2479</v>
      </c>
      <c r="J202">
        <v>0</v>
      </c>
      <c r="K202">
        <v>51</v>
      </c>
      <c r="L202">
        <v>51</v>
      </c>
      <c r="Q202">
        <v>0</v>
      </c>
      <c r="R202">
        <v>0</v>
      </c>
      <c r="S202">
        <v>51</v>
      </c>
      <c r="Y202" t="s">
        <v>3812</v>
      </c>
      <c r="Z202" t="s">
        <v>2643</v>
      </c>
      <c r="AA202" t="s">
        <v>3813</v>
      </c>
      <c r="AB202" t="s">
        <v>3814</v>
      </c>
      <c r="AC202" t="s">
        <v>3815</v>
      </c>
      <c r="AD202" s="249" t="str">
        <f>HYPERLINK("https://scontent.cdninstagram.com/t51.2885-15/s320x320/e35/20759647_512969959037605_3518363313970872320_n.jpg")</f>
        <v>https://scontent.cdninstagram.com/t51.2885-15/s320x320/e35/20759647_512969959037605_3518363313970872320_n.jpg</v>
      </c>
      <c r="AE202" s="249" t="str">
        <f>HYPERLINK("https://scontent.cdninstagram.com/t51.2885-19/s150x150/15802797_1331780626878656_4160680230047973376_a.jpg")</f>
        <v>https://scontent.cdninstagram.com/t51.2885-19/s150x150/15802797_1331780626878656_4160680230047973376_a.jpg</v>
      </c>
    </row>
    <row r="203" spans="1:31" ht="15" x14ac:dyDescent="0.25">
      <c r="A203" t="s">
        <v>2474</v>
      </c>
      <c r="B203" t="s">
        <v>3816</v>
      </c>
      <c r="C203" s="221">
        <v>42959.245752314811</v>
      </c>
      <c r="D203" t="s">
        <v>3817</v>
      </c>
      <c r="E203" s="249" t="str">
        <f>HYPERLINK("https://www.instagram.com/p/BXsH5QLhSKK/")</f>
        <v>https://www.instagram.com/p/BXsH5QLhSKK/</v>
      </c>
      <c r="F203" t="s">
        <v>3818</v>
      </c>
      <c r="G203" t="s">
        <v>2478</v>
      </c>
      <c r="H203">
        <v>2593</v>
      </c>
      <c r="I203" t="s">
        <v>2542</v>
      </c>
      <c r="J203">
        <v>1</v>
      </c>
      <c r="K203">
        <v>134</v>
      </c>
      <c r="L203">
        <v>135</v>
      </c>
      <c r="Q203">
        <v>0</v>
      </c>
      <c r="R203">
        <v>0</v>
      </c>
      <c r="S203">
        <v>135</v>
      </c>
      <c r="T203" t="s">
        <v>3819</v>
      </c>
      <c r="V203" t="s">
        <v>2110</v>
      </c>
      <c r="W203">
        <v>51.325417900658003</v>
      </c>
      <c r="X203">
        <v>3.2968976441800999</v>
      </c>
      <c r="Y203" t="s">
        <v>3820</v>
      </c>
      <c r="Z203" t="s">
        <v>3821</v>
      </c>
      <c r="AA203" t="s">
        <v>2741</v>
      </c>
      <c r="AB203" t="s">
        <v>3822</v>
      </c>
      <c r="AC203" t="s">
        <v>3823</v>
      </c>
      <c r="AD203" s="249" t="str">
        <f>HYPERLINK("https://scontent.cdninstagram.com/t51.2885-15/s320x320/e35/20837296_654478668094190_7845652248917966848_n.jpg")</f>
        <v>https://scontent.cdninstagram.com/t51.2885-15/s320x320/e35/20837296_654478668094190_7845652248917966848_n.jpg</v>
      </c>
      <c r="AE203" s="249" t="str">
        <f>HYPERLINK("https://scontent.cdninstagram.com/t51.2885-19/s150x150/19052089_139192536633292_8616870844469084160_a.jpg")</f>
        <v>https://scontent.cdninstagram.com/t51.2885-19/s150x150/19052089_139192536633292_8616870844469084160_a.jpg</v>
      </c>
    </row>
    <row r="204" spans="1:31" ht="15" x14ac:dyDescent="0.25">
      <c r="A204" t="s">
        <v>2474</v>
      </c>
      <c r="B204" t="s">
        <v>3824</v>
      </c>
      <c r="C204" s="221">
        <v>42959.250439814816</v>
      </c>
      <c r="D204" t="s">
        <v>3825</v>
      </c>
      <c r="E204" s="249" t="str">
        <f>HYPERLINK("https://www.instagram.com/p/BXsIqw0Flf8/")</f>
        <v>https://www.instagram.com/p/BXsIqw0Flf8/</v>
      </c>
      <c r="F204" t="s">
        <v>3826</v>
      </c>
      <c r="G204" t="s">
        <v>2488</v>
      </c>
      <c r="H204">
        <v>1042</v>
      </c>
      <c r="I204" t="s">
        <v>2479</v>
      </c>
      <c r="J204">
        <v>2</v>
      </c>
      <c r="K204">
        <v>74</v>
      </c>
      <c r="L204">
        <v>76</v>
      </c>
      <c r="Q204">
        <v>0</v>
      </c>
      <c r="R204">
        <v>0</v>
      </c>
      <c r="S204">
        <v>76</v>
      </c>
      <c r="T204" t="s">
        <v>3827</v>
      </c>
      <c r="V204" t="s">
        <v>2288</v>
      </c>
      <c r="W204">
        <v>51.588424510000003</v>
      </c>
      <c r="X204">
        <v>-5.9073029999999999E-2</v>
      </c>
      <c r="Y204" t="s">
        <v>3828</v>
      </c>
      <c r="Z204" t="s">
        <v>3213</v>
      </c>
      <c r="AA204" t="s">
        <v>3829</v>
      </c>
      <c r="AB204" t="s">
        <v>2734</v>
      </c>
      <c r="AC204" t="s">
        <v>3568</v>
      </c>
      <c r="AD204" s="249" t="str">
        <f>HYPERLINK("https://scontent.cdninstagram.com/t51.2885-15/s320x320/e15/20687898_1976866345927015_8995383769644924928_n.jpg")</f>
        <v>https://scontent.cdninstagram.com/t51.2885-15/s320x320/e15/20687898_1976866345927015_8995383769644924928_n.jpg</v>
      </c>
      <c r="AE204" s="249" t="str">
        <f>HYPERLINK("https://scontent.cdninstagram.com/t51.2885-19/s150x150/19228675_316947935407228_6855499933131210752_a.jpg")</f>
        <v>https://scontent.cdninstagram.com/t51.2885-19/s150x150/19228675_316947935407228_6855499933131210752_a.jpg</v>
      </c>
    </row>
    <row r="205" spans="1:31" ht="15" x14ac:dyDescent="0.25">
      <c r="A205" t="s">
        <v>2474</v>
      </c>
      <c r="B205" t="s">
        <v>3830</v>
      </c>
      <c r="C205" s="221">
        <v>42959.252210648148</v>
      </c>
      <c r="D205" t="s">
        <v>3831</v>
      </c>
      <c r="E205" s="249" t="str">
        <f>HYPERLINK("https://www.instagram.com/p/BXsI9diBEOm/")</f>
        <v>https://www.instagram.com/p/BXsI9diBEOm/</v>
      </c>
      <c r="F205" t="s">
        <v>3832</v>
      </c>
      <c r="G205" t="s">
        <v>2478</v>
      </c>
      <c r="H205">
        <v>269</v>
      </c>
      <c r="I205" t="s">
        <v>2910</v>
      </c>
      <c r="J205">
        <v>5</v>
      </c>
      <c r="K205">
        <v>56</v>
      </c>
      <c r="L205">
        <v>61</v>
      </c>
      <c r="Q205">
        <v>0</v>
      </c>
      <c r="R205">
        <v>0</v>
      </c>
      <c r="S205">
        <v>61</v>
      </c>
      <c r="T205" t="s">
        <v>3833</v>
      </c>
      <c r="V205" t="s">
        <v>2222</v>
      </c>
      <c r="W205">
        <v>52.376899999999999</v>
      </c>
      <c r="X205">
        <v>4.9431000000000003</v>
      </c>
      <c r="Y205" t="s">
        <v>3834</v>
      </c>
      <c r="Z205" t="s">
        <v>2767</v>
      </c>
      <c r="AA205" t="s">
        <v>3835</v>
      </c>
      <c r="AB205" t="s">
        <v>2497</v>
      </c>
      <c r="AC205" t="s">
        <v>3836</v>
      </c>
      <c r="AD205" s="249" t="str">
        <f>HYPERLINK("https://scontent.cdninstagram.com/t51.2885-15/s320x320/e35/20688578_1641846405834033_670916987337048064_n.jpg")</f>
        <v>https://scontent.cdninstagram.com/t51.2885-15/s320x320/e35/20688578_1641846405834033_670916987337048064_n.jpg</v>
      </c>
      <c r="AE205" s="249" t="str">
        <f>HYPERLINK("https://scontent.cdninstagram.com/t51.2885-19/11917925_974166275981467_990238625_a.jpg")</f>
        <v>https://scontent.cdninstagram.com/t51.2885-19/11917925_974166275981467_990238625_a.jpg</v>
      </c>
    </row>
    <row r="206" spans="1:31" ht="15" x14ac:dyDescent="0.25">
      <c r="A206" t="s">
        <v>2474</v>
      </c>
      <c r="B206" t="s">
        <v>3837</v>
      </c>
      <c r="C206" s="221">
        <v>42959.258460648147</v>
      </c>
      <c r="D206" t="s">
        <v>3838</v>
      </c>
      <c r="E206" s="249" t="str">
        <f>HYPERLINK("https://www.instagram.com/p/BXsJ_XjAunL/")</f>
        <v>https://www.instagram.com/p/BXsJ_XjAunL/</v>
      </c>
      <c r="F206" t="s">
        <v>3839</v>
      </c>
      <c r="G206" t="s">
        <v>2478</v>
      </c>
      <c r="H206">
        <v>239</v>
      </c>
      <c r="I206" t="s">
        <v>2479</v>
      </c>
      <c r="J206">
        <v>1</v>
      </c>
      <c r="K206">
        <v>18</v>
      </c>
      <c r="L206">
        <v>19</v>
      </c>
      <c r="Q206">
        <v>0</v>
      </c>
      <c r="R206">
        <v>0</v>
      </c>
      <c r="S206">
        <v>19</v>
      </c>
      <c r="Y206" t="s">
        <v>3840</v>
      </c>
      <c r="Z206" t="s">
        <v>3841</v>
      </c>
      <c r="AA206" t="s">
        <v>3842</v>
      </c>
      <c r="AB206" t="s">
        <v>3706</v>
      </c>
      <c r="AC206" t="s">
        <v>3843</v>
      </c>
      <c r="AD206" s="249" t="str">
        <f>HYPERLINK("https://scontent.cdninstagram.com/t51.2885-15/s320x320/e35/20837296_107898456593318_1256585784450875392_n.jpg")</f>
        <v>https://scontent.cdninstagram.com/t51.2885-15/s320x320/e35/20837296_107898456593318_1256585784450875392_n.jpg</v>
      </c>
      <c r="AE206" s="249" t="str">
        <f>HYPERLINK("https://scontent.cdninstagram.com/t51.2885-19/s150x150/20902447_116130289048085_8370949018624196608_a.jpg")</f>
        <v>https://scontent.cdninstagram.com/t51.2885-19/s150x150/20902447_116130289048085_8370949018624196608_a.jpg</v>
      </c>
    </row>
    <row r="207" spans="1:31" ht="15" x14ac:dyDescent="0.25">
      <c r="A207" t="s">
        <v>2474</v>
      </c>
      <c r="B207" t="s">
        <v>2588</v>
      </c>
      <c r="C207" s="221">
        <v>42959.263865740744</v>
      </c>
      <c r="D207" t="s">
        <v>3844</v>
      </c>
      <c r="E207" s="249" t="str">
        <f>HYPERLINK("https://www.instagram.com/p/BXsK4TxA-zp/")</f>
        <v>https://www.instagram.com/p/BXsK4TxA-zp/</v>
      </c>
      <c r="F207" t="s">
        <v>3845</v>
      </c>
      <c r="G207" t="s">
        <v>2478</v>
      </c>
      <c r="H207">
        <v>235</v>
      </c>
      <c r="I207" t="s">
        <v>2479</v>
      </c>
      <c r="J207">
        <v>20</v>
      </c>
      <c r="K207">
        <v>52</v>
      </c>
      <c r="L207">
        <v>72</v>
      </c>
      <c r="Q207">
        <v>0</v>
      </c>
      <c r="R207">
        <v>0</v>
      </c>
      <c r="S207">
        <v>72</v>
      </c>
      <c r="AD207" s="249" t="str">
        <f>HYPERLINK("https://scontent.cdninstagram.com/t51.2885-15/s320x320/e35/20838273_123297868305852_9064418290822021120_n.jpg")</f>
        <v>https://scontent.cdninstagram.com/t51.2885-15/s320x320/e35/20838273_123297868305852_9064418290822021120_n.jpg</v>
      </c>
      <c r="AE207" s="249" t="str">
        <f>HYPERLINK("https://scontent.cdninstagram.com/t51.2885-19/s150x150/20633561_108840983138666_5897549723056734208_a.jpg")</f>
        <v>https://scontent.cdninstagram.com/t51.2885-19/s150x150/20633561_108840983138666_5897549723056734208_a.jpg</v>
      </c>
    </row>
    <row r="208" spans="1:31" ht="15" x14ac:dyDescent="0.25">
      <c r="A208" t="s">
        <v>2474</v>
      </c>
      <c r="B208" t="s">
        <v>3846</v>
      </c>
      <c r="C208" s="221">
        <v>42959.265833333331</v>
      </c>
      <c r="D208" t="s">
        <v>3847</v>
      </c>
      <c r="E208" s="249" t="str">
        <f>HYPERLINK("https://www.instagram.com/p/BXsLNCxgTTS/")</f>
        <v>https://www.instagram.com/p/BXsLNCxgTTS/</v>
      </c>
      <c r="F208" t="s">
        <v>3848</v>
      </c>
      <c r="G208" t="s">
        <v>2478</v>
      </c>
      <c r="H208">
        <v>977</v>
      </c>
      <c r="I208" t="s">
        <v>2479</v>
      </c>
      <c r="J208">
        <v>6</v>
      </c>
      <c r="K208">
        <v>80</v>
      </c>
      <c r="L208">
        <v>86</v>
      </c>
      <c r="Q208">
        <v>0</v>
      </c>
      <c r="R208">
        <v>0</v>
      </c>
      <c r="S208">
        <v>86</v>
      </c>
      <c r="Y208" t="s">
        <v>3174</v>
      </c>
      <c r="Z208" t="s">
        <v>3849</v>
      </c>
      <c r="AA208" t="s">
        <v>3846</v>
      </c>
      <c r="AB208" t="s">
        <v>3850</v>
      </c>
      <c r="AC208" t="s">
        <v>3851</v>
      </c>
      <c r="AD208" s="249" t="str">
        <f>HYPERLINK("https://scontent.cdninstagram.com/t51.2885-15/s320x320/e35/c0.134.1080.1080/20766160_129596187656347_3621310780953067520_n.jpg")</f>
        <v>https://scontent.cdninstagram.com/t51.2885-15/s320x320/e35/c0.134.1080.1080/20766160_129596187656347_3621310780953067520_n.jpg</v>
      </c>
      <c r="AE208" s="249" t="str">
        <f>HYPERLINK("https://scontent.cdninstagram.com/t51.2885-19/11313229_1459878014310621_82799200_a.jpg")</f>
        <v>https://scontent.cdninstagram.com/t51.2885-19/11313229_1459878014310621_82799200_a.jpg</v>
      </c>
    </row>
    <row r="209" spans="1:31" ht="15" x14ac:dyDescent="0.25">
      <c r="A209" t="s">
        <v>2474</v>
      </c>
      <c r="B209" t="s">
        <v>3015</v>
      </c>
      <c r="C209" s="221">
        <v>42959.276689814818</v>
      </c>
      <c r="D209" t="s">
        <v>3852</v>
      </c>
      <c r="E209" s="249" t="str">
        <f>HYPERLINK("https://www.instagram.com/p/BXsM_pKg5A2/")</f>
        <v>https://www.instagram.com/p/BXsM_pKg5A2/</v>
      </c>
      <c r="F209" t="s">
        <v>3853</v>
      </c>
      <c r="G209" t="s">
        <v>2478</v>
      </c>
      <c r="H209">
        <v>173</v>
      </c>
      <c r="I209" t="s">
        <v>2479</v>
      </c>
      <c r="J209">
        <v>0</v>
      </c>
      <c r="K209">
        <v>34</v>
      </c>
      <c r="L209">
        <v>34</v>
      </c>
      <c r="Q209">
        <v>0</v>
      </c>
      <c r="R209">
        <v>0</v>
      </c>
      <c r="S209">
        <v>34</v>
      </c>
      <c r="Y209" t="s">
        <v>3727</v>
      </c>
      <c r="Z209" t="s">
        <v>3854</v>
      </c>
      <c r="AA209" t="s">
        <v>3855</v>
      </c>
      <c r="AB209" t="s">
        <v>3856</v>
      </c>
      <c r="AC209" t="s">
        <v>3165</v>
      </c>
      <c r="AD209" s="249" t="str">
        <f>HYPERLINK("https://scontent.cdninstagram.com/t51.2885-15/s320x320/e35/c0.0.518.518/20688346_109757509706406_1012158594340093952_n.jpg")</f>
        <v>https://scontent.cdninstagram.com/t51.2885-15/s320x320/e35/c0.0.518.518/20688346_109757509706406_1012158594340093952_n.jpg</v>
      </c>
      <c r="AE209" s="249" t="str">
        <f>HYPERLINK("https://scontent.cdninstagram.com/t51.2885-19/s150x150/19761452_1876060406050696_4275948751316582400_a.jpg")</f>
        <v>https://scontent.cdninstagram.com/t51.2885-19/s150x150/19761452_1876060406050696_4275948751316582400_a.jpg</v>
      </c>
    </row>
    <row r="210" spans="1:31" ht="15" x14ac:dyDescent="0.25">
      <c r="A210" t="s">
        <v>2474</v>
      </c>
      <c r="B210" t="s">
        <v>2738</v>
      </c>
      <c r="C210" s="221">
        <v>42959.280069444445</v>
      </c>
      <c r="D210" t="s">
        <v>3857</v>
      </c>
      <c r="E210" s="249" t="str">
        <f>HYPERLINK("https://www.instagram.com/p/BXsNjL5AekM/")</f>
        <v>https://www.instagram.com/p/BXsNjL5AekM/</v>
      </c>
      <c r="F210" t="s">
        <v>3858</v>
      </c>
      <c r="G210" t="s">
        <v>2478</v>
      </c>
      <c r="H210">
        <v>128</v>
      </c>
      <c r="I210" t="s">
        <v>2479</v>
      </c>
      <c r="J210">
        <v>0</v>
      </c>
      <c r="K210">
        <v>23</v>
      </c>
      <c r="L210">
        <v>23</v>
      </c>
      <c r="Q210">
        <v>0</v>
      </c>
      <c r="R210">
        <v>0</v>
      </c>
      <c r="S210">
        <v>23</v>
      </c>
      <c r="T210" t="s">
        <v>3859</v>
      </c>
      <c r="V210" t="s">
        <v>2110</v>
      </c>
      <c r="W210">
        <v>51.166690000000003</v>
      </c>
      <c r="X210">
        <v>5.5055100000000001</v>
      </c>
      <c r="Y210" t="s">
        <v>3860</v>
      </c>
      <c r="Z210" t="s">
        <v>2742</v>
      </c>
      <c r="AA210" t="s">
        <v>3861</v>
      </c>
      <c r="AB210" t="s">
        <v>3006</v>
      </c>
      <c r="AC210" t="s">
        <v>3862</v>
      </c>
      <c r="AD210" s="249" t="str">
        <f>HYPERLINK("https://scontent.cdninstagram.com/t51.2885-15/s320x320/e35/20688436_108053586578909_824551983309389824_n.jpg")</f>
        <v>https://scontent.cdninstagram.com/t51.2885-15/s320x320/e35/20688436_108053586578909_824551983309389824_n.jpg</v>
      </c>
      <c r="AE210" s="249" t="str">
        <f>HYPERLINK("https://scontent.cdninstagram.com/t51.2885-19/s150x150/11899579_897822316961809_437222074_a.jpg")</f>
        <v>https://scontent.cdninstagram.com/t51.2885-19/s150x150/11899579_897822316961809_437222074_a.jpg</v>
      </c>
    </row>
    <row r="211" spans="1:31" ht="15" x14ac:dyDescent="0.25">
      <c r="A211" t="s">
        <v>2474</v>
      </c>
      <c r="B211" t="s">
        <v>3863</v>
      </c>
      <c r="C211" s="221">
        <v>42959.282870370371</v>
      </c>
      <c r="D211" t="s">
        <v>3864</v>
      </c>
      <c r="E211" s="249" t="str">
        <f>HYPERLINK("https://www.instagram.com/p/BXsOAu1hW72/")</f>
        <v>https://www.instagram.com/p/BXsOAu1hW72/</v>
      </c>
      <c r="F211" t="s">
        <v>3865</v>
      </c>
      <c r="G211" t="s">
        <v>2478</v>
      </c>
      <c r="H211">
        <v>1208</v>
      </c>
      <c r="I211" t="s">
        <v>2479</v>
      </c>
      <c r="J211">
        <v>0</v>
      </c>
      <c r="K211">
        <v>121</v>
      </c>
      <c r="L211">
        <v>121</v>
      </c>
      <c r="Q211">
        <v>0</v>
      </c>
      <c r="R211">
        <v>0</v>
      </c>
      <c r="S211">
        <v>121</v>
      </c>
      <c r="T211" t="s">
        <v>3866</v>
      </c>
      <c r="V211" t="s">
        <v>2153</v>
      </c>
      <c r="W211">
        <v>62.819409999999998</v>
      </c>
      <c r="X211">
        <v>23.504840000000002</v>
      </c>
      <c r="Y211" t="s">
        <v>3867</v>
      </c>
      <c r="Z211" t="s">
        <v>2497</v>
      </c>
      <c r="AA211" t="s">
        <v>3868</v>
      </c>
      <c r="AB211" t="s">
        <v>3869</v>
      </c>
      <c r="AC211" t="s">
        <v>3870</v>
      </c>
      <c r="AD211" s="249" t="str">
        <f>HYPERLINK("https://scontent.cdninstagram.com/t51.2885-15/s320x320/e35/20766830_1272320646224089_9019111093133377536_n.jpg")</f>
        <v>https://scontent.cdninstagram.com/t51.2885-15/s320x320/e35/20766830_1272320646224089_9019111093133377536_n.jpg</v>
      </c>
      <c r="AE211" s="249" t="str">
        <f>HYPERLINK("https://scontent.cdninstagram.com/t51.2885-19/11849451_1010640938980786_974389163_a.jpg")</f>
        <v>https://scontent.cdninstagram.com/t51.2885-19/11849451_1010640938980786_974389163_a.jpg</v>
      </c>
    </row>
    <row r="212" spans="1:31" ht="15" x14ac:dyDescent="0.25">
      <c r="A212" t="s">
        <v>2474</v>
      </c>
      <c r="B212" t="s">
        <v>3871</v>
      </c>
      <c r="C212" s="221">
        <v>42959.28769675926</v>
      </c>
      <c r="D212" t="s">
        <v>3872</v>
      </c>
      <c r="E212" s="249" t="str">
        <f>HYPERLINK("https://www.instagram.com/p/BXsOzrolia4/")</f>
        <v>https://www.instagram.com/p/BXsOzrolia4/</v>
      </c>
      <c r="F212" t="s">
        <v>3873</v>
      </c>
      <c r="G212" t="s">
        <v>2631</v>
      </c>
      <c r="H212">
        <v>219</v>
      </c>
      <c r="I212" t="s">
        <v>2479</v>
      </c>
      <c r="J212">
        <v>0</v>
      </c>
      <c r="K212">
        <v>15</v>
      </c>
      <c r="L212">
        <v>15</v>
      </c>
      <c r="Q212">
        <v>0</v>
      </c>
      <c r="R212">
        <v>0</v>
      </c>
      <c r="S212">
        <v>15</v>
      </c>
      <c r="T212" t="s">
        <v>3874</v>
      </c>
      <c r="U212" t="s">
        <v>97</v>
      </c>
      <c r="V212" t="s">
        <v>2299</v>
      </c>
      <c r="W212">
        <v>33.699536999999999</v>
      </c>
      <c r="X212">
        <v>-118.011757</v>
      </c>
      <c r="Y212" t="s">
        <v>3875</v>
      </c>
      <c r="Z212" t="s">
        <v>3876</v>
      </c>
      <c r="AA212" t="s">
        <v>3877</v>
      </c>
      <c r="AB212" t="s">
        <v>3878</v>
      </c>
      <c r="AC212" t="s">
        <v>3879</v>
      </c>
      <c r="AD212" s="249" t="str">
        <f>HYPERLINK("https://scontent.cdninstagram.com/t51.2885-15/s320x320/e15/20688067_220311505163664_324098313760538624_n.jpg")</f>
        <v>https://scontent.cdninstagram.com/t51.2885-15/s320x320/e15/20688067_220311505163664_324098313760538624_n.jpg</v>
      </c>
      <c r="AE212" s="249" t="str">
        <f>HYPERLINK("https://scontent.cdninstagram.com/t51.2885-19/s150x150/20687970_483694305314896_4796007194225016832_a.jpg")</f>
        <v>https://scontent.cdninstagram.com/t51.2885-19/s150x150/20687970_483694305314896_4796007194225016832_a.jpg</v>
      </c>
    </row>
    <row r="213" spans="1:31" ht="15" x14ac:dyDescent="0.25">
      <c r="A213" t="s">
        <v>2474</v>
      </c>
      <c r="B213" t="s">
        <v>3880</v>
      </c>
      <c r="C213" s="221">
        <v>42959.289861111109</v>
      </c>
      <c r="D213" t="s">
        <v>3881</v>
      </c>
      <c r="E213" s="249" t="str">
        <f>HYPERLINK("https://www.instagram.com/p/BXsPKddhPxO/")</f>
        <v>https://www.instagram.com/p/BXsPKddhPxO/</v>
      </c>
      <c r="F213" t="s">
        <v>3882</v>
      </c>
      <c r="G213" t="s">
        <v>2631</v>
      </c>
      <c r="H213">
        <v>264</v>
      </c>
      <c r="I213" t="s">
        <v>2479</v>
      </c>
      <c r="J213">
        <v>1</v>
      </c>
      <c r="K213">
        <v>6</v>
      </c>
      <c r="L213">
        <v>7</v>
      </c>
      <c r="Q213">
        <v>0</v>
      </c>
      <c r="R213">
        <v>0</v>
      </c>
      <c r="S213">
        <v>7</v>
      </c>
      <c r="T213" t="s">
        <v>3883</v>
      </c>
      <c r="V213" t="s">
        <v>2181</v>
      </c>
      <c r="W213">
        <v>32.054789900000003</v>
      </c>
      <c r="X213">
        <v>34.767710000000001</v>
      </c>
      <c r="Y213" t="s">
        <v>3392</v>
      </c>
      <c r="Z213" t="s">
        <v>3884</v>
      </c>
      <c r="AA213" t="s">
        <v>3885</v>
      </c>
      <c r="AB213" t="s">
        <v>2861</v>
      </c>
      <c r="AC213" t="s">
        <v>3886</v>
      </c>
      <c r="AD213" s="249" t="str">
        <f>HYPERLINK("https://scontent.cdninstagram.com/t51.2885-15/s320x320/e15/20759536_126659431290247_6872763055961276416_n.jpg")</f>
        <v>https://scontent.cdninstagram.com/t51.2885-15/s320x320/e15/20759536_126659431290247_6872763055961276416_n.jpg</v>
      </c>
      <c r="AE213" s="249" t="str">
        <f>HYPERLINK("https://scontent.cdninstagram.com/t51.2885-19/s150x150/19985129_336154533506990_5246099855377432576_a.jpg")</f>
        <v>https://scontent.cdninstagram.com/t51.2885-19/s150x150/19985129_336154533506990_5246099855377432576_a.jpg</v>
      </c>
    </row>
    <row r="214" spans="1:31" ht="15" x14ac:dyDescent="0.25">
      <c r="A214" t="s">
        <v>2474</v>
      </c>
      <c r="B214" t="s">
        <v>3887</v>
      </c>
      <c r="C214" s="221">
        <v>42959.304826388892</v>
      </c>
      <c r="D214" t="s">
        <v>3888</v>
      </c>
      <c r="E214" s="249" t="str">
        <f>HYPERLINK("https://www.instagram.com/p/BXsRoYLldfl/")</f>
        <v>https://www.instagram.com/p/BXsRoYLldfl/</v>
      </c>
      <c r="F214" t="s">
        <v>3889</v>
      </c>
      <c r="G214" t="s">
        <v>2631</v>
      </c>
      <c r="H214">
        <v>1060</v>
      </c>
      <c r="I214" t="s">
        <v>2479</v>
      </c>
      <c r="J214">
        <v>2</v>
      </c>
      <c r="K214">
        <v>36</v>
      </c>
      <c r="L214">
        <v>38</v>
      </c>
      <c r="Q214">
        <v>0</v>
      </c>
      <c r="R214">
        <v>0</v>
      </c>
      <c r="S214">
        <v>38</v>
      </c>
      <c r="Y214" t="s">
        <v>3890</v>
      </c>
      <c r="Z214" t="s">
        <v>3891</v>
      </c>
      <c r="AA214" t="s">
        <v>3892</v>
      </c>
      <c r="AB214" t="s">
        <v>3893</v>
      </c>
      <c r="AC214" t="s">
        <v>3894</v>
      </c>
      <c r="AD214" s="249" t="str">
        <f>HYPERLINK("https://scontent.cdninstagram.com/t51.2885-15/s320x320/e15/20688000_337884103320467_6765636293742297088_n.jpg")</f>
        <v>https://scontent.cdninstagram.com/t51.2885-15/s320x320/e15/20688000_337884103320467_6765636293742297088_n.jpg</v>
      </c>
      <c r="AE214" s="249" t="str">
        <f>HYPERLINK("https://scontent.cdninstagram.com/t51.2885-19/s150x150/13113769_262375547443043_1227686299_a.jpg")</f>
        <v>https://scontent.cdninstagram.com/t51.2885-19/s150x150/13113769_262375547443043_1227686299_a.jpg</v>
      </c>
    </row>
    <row r="215" spans="1:31" ht="15" x14ac:dyDescent="0.25">
      <c r="A215" t="s">
        <v>2474</v>
      </c>
      <c r="B215" t="s">
        <v>3895</v>
      </c>
      <c r="C215" s="221">
        <v>42959.306527777779</v>
      </c>
      <c r="D215" t="s">
        <v>3896</v>
      </c>
      <c r="E215" s="249" t="str">
        <f>HYPERLINK("https://www.instagram.com/p/BXsR6QgFl2T/")</f>
        <v>https://www.instagram.com/p/BXsR6QgFl2T/</v>
      </c>
      <c r="F215" t="s">
        <v>3897</v>
      </c>
      <c r="G215" t="s">
        <v>2478</v>
      </c>
      <c r="H215">
        <v>393</v>
      </c>
      <c r="I215" t="s">
        <v>3898</v>
      </c>
      <c r="J215">
        <v>1</v>
      </c>
      <c r="K215">
        <v>88</v>
      </c>
      <c r="L215">
        <v>89</v>
      </c>
      <c r="Q215">
        <v>0</v>
      </c>
      <c r="R215">
        <v>0</v>
      </c>
      <c r="S215">
        <v>89</v>
      </c>
      <c r="Y215" t="s">
        <v>3899</v>
      </c>
      <c r="Z215" t="s">
        <v>3900</v>
      </c>
      <c r="AA215" t="s">
        <v>3901</v>
      </c>
      <c r="AB215" t="s">
        <v>3902</v>
      </c>
      <c r="AC215" t="s">
        <v>3903</v>
      </c>
      <c r="AD215" s="249" t="str">
        <f>HYPERLINK("https://scontent.cdninstagram.com/t51.2885-15/s320x320/e35/20759406_814354862071692_4203752751957540864_n.jpg")</f>
        <v>https://scontent.cdninstagram.com/t51.2885-15/s320x320/e35/20759406_814354862071692_4203752751957540864_n.jpg</v>
      </c>
      <c r="AE215" s="249" t="str">
        <f>HYPERLINK("https://scontent.cdninstagram.com/t51.2885-19/s150x150/20902130_1390331654386412_4188068892897181696_a.jpg")</f>
        <v>https://scontent.cdninstagram.com/t51.2885-19/s150x150/20902130_1390331654386412_4188068892897181696_a.jpg</v>
      </c>
    </row>
    <row r="216" spans="1:31" ht="15" x14ac:dyDescent="0.25">
      <c r="A216" t="s">
        <v>2474</v>
      </c>
      <c r="B216" t="s">
        <v>3904</v>
      </c>
      <c r="C216" s="221">
        <v>42959.335196759261</v>
      </c>
      <c r="D216" t="s">
        <v>3905</v>
      </c>
      <c r="E216" s="249" t="str">
        <f>HYPERLINK("https://www.instagram.com/p/BXsWotsB_5h/")</f>
        <v>https://www.instagram.com/p/BXsWotsB_5h/</v>
      </c>
      <c r="F216" t="s">
        <v>3906</v>
      </c>
      <c r="G216" t="s">
        <v>2478</v>
      </c>
      <c r="H216">
        <v>111</v>
      </c>
      <c r="I216" t="s">
        <v>2510</v>
      </c>
      <c r="J216">
        <v>0</v>
      </c>
      <c r="K216">
        <v>24</v>
      </c>
      <c r="L216">
        <v>24</v>
      </c>
      <c r="Q216">
        <v>0</v>
      </c>
      <c r="R216">
        <v>0</v>
      </c>
      <c r="S216">
        <v>24</v>
      </c>
      <c r="Y216" t="s">
        <v>2529</v>
      </c>
      <c r="Z216" t="s">
        <v>3907</v>
      </c>
      <c r="AA216" t="s">
        <v>2615</v>
      </c>
      <c r="AB216" t="s">
        <v>2497</v>
      </c>
      <c r="AC216" t="s">
        <v>3908</v>
      </c>
      <c r="AD216" s="249" t="str">
        <f>HYPERLINK("https://scontent.cdninstagram.com/t51.2885-15/s320x320/e35/c135.0.810.810/20759850_1813378495549538_2462392634417610752_n.jpg")</f>
        <v>https://scontent.cdninstagram.com/t51.2885-15/s320x320/e35/c135.0.810.810/20759850_1813378495549538_2462392634417610752_n.jpg</v>
      </c>
      <c r="AE216" s="249" t="str">
        <f>HYPERLINK("https://scontent.cdninstagram.com/t51.2885-19/s150x150/17881720_200225010483217_1092469135541010432_a.jpg")</f>
        <v>https://scontent.cdninstagram.com/t51.2885-19/s150x150/17881720_200225010483217_1092469135541010432_a.jpg</v>
      </c>
    </row>
    <row r="217" spans="1:31" ht="15" x14ac:dyDescent="0.25">
      <c r="A217" t="s">
        <v>2474</v>
      </c>
      <c r="B217" t="s">
        <v>2644</v>
      </c>
      <c r="C217" s="221">
        <v>42959.335381944446</v>
      </c>
      <c r="D217" t="s">
        <v>3909</v>
      </c>
      <c r="E217" s="249" t="str">
        <f>HYPERLINK("https://www.instagram.com/p/BXsWqqjgPDm/")</f>
        <v>https://www.instagram.com/p/BXsWqqjgPDm/</v>
      </c>
      <c r="F217" t="s">
        <v>3910</v>
      </c>
      <c r="G217" t="s">
        <v>2478</v>
      </c>
      <c r="H217">
        <v>1758</v>
      </c>
      <c r="I217" t="s">
        <v>2479</v>
      </c>
      <c r="J217">
        <v>4</v>
      </c>
      <c r="K217">
        <v>80</v>
      </c>
      <c r="L217">
        <v>84</v>
      </c>
      <c r="Q217">
        <v>0</v>
      </c>
      <c r="R217">
        <v>0</v>
      </c>
      <c r="S217">
        <v>84</v>
      </c>
      <c r="T217" t="s">
        <v>3911</v>
      </c>
      <c r="V217" t="s">
        <v>2648</v>
      </c>
      <c r="W217">
        <v>55.734259999999999</v>
      </c>
      <c r="X217">
        <v>37.627389999999998</v>
      </c>
      <c r="Y217" t="s">
        <v>3912</v>
      </c>
      <c r="Z217" t="s">
        <v>3077</v>
      </c>
      <c r="AA217" t="s">
        <v>3913</v>
      </c>
      <c r="AB217" t="s">
        <v>3914</v>
      </c>
      <c r="AC217" t="s">
        <v>3915</v>
      </c>
      <c r="AD217" s="249" t="str">
        <f>HYPERLINK("https://scontent.cdninstagram.com/t51.2885-15/s320x320/e35/c0.135.1080.1080/20686761_419612355100023_2546830810988675072_n.jpg")</f>
        <v>https://scontent.cdninstagram.com/t51.2885-15/s320x320/e35/c0.135.1080.1080/20686761_419612355100023_2546830810988675072_n.jpg</v>
      </c>
      <c r="AE217" s="249" t="str">
        <f>HYPERLINK("https://scontent.cdninstagram.com/t51.2885-19/11372086_1598451257062069_1320225693_a.jpg")</f>
        <v>https://scontent.cdninstagram.com/t51.2885-19/11372086_1598451257062069_1320225693_a.jpg</v>
      </c>
    </row>
    <row r="218" spans="1:31" ht="15" x14ac:dyDescent="0.25">
      <c r="A218" t="s">
        <v>2474</v>
      </c>
      <c r="B218" t="s">
        <v>3916</v>
      </c>
      <c r="C218" s="221">
        <v>42959.346585648149</v>
      </c>
      <c r="D218" t="s">
        <v>3917</v>
      </c>
      <c r="E218" s="249" t="str">
        <f>HYPERLINK("https://www.instagram.com/p/BXsYgwWl1b6/")</f>
        <v>https://www.instagram.com/p/BXsYgwWl1b6/</v>
      </c>
      <c r="F218" t="s">
        <v>3918</v>
      </c>
      <c r="G218" t="s">
        <v>2631</v>
      </c>
      <c r="H218">
        <v>534</v>
      </c>
      <c r="I218" t="s">
        <v>2479</v>
      </c>
      <c r="J218">
        <v>0</v>
      </c>
      <c r="K218">
        <v>41</v>
      </c>
      <c r="L218">
        <v>41</v>
      </c>
      <c r="Q218">
        <v>0</v>
      </c>
      <c r="R218">
        <v>0</v>
      </c>
      <c r="S218">
        <v>41</v>
      </c>
      <c r="T218" t="s">
        <v>3919</v>
      </c>
      <c r="V218" t="s">
        <v>2222</v>
      </c>
      <c r="W218">
        <v>52.369597200000001</v>
      </c>
      <c r="X218">
        <v>4.9063360999999999</v>
      </c>
      <c r="Y218" t="s">
        <v>3920</v>
      </c>
      <c r="Z218" t="s">
        <v>3921</v>
      </c>
      <c r="AA218" t="s">
        <v>2497</v>
      </c>
      <c r="AB218" t="s">
        <v>3922</v>
      </c>
      <c r="AC218" t="s">
        <v>3923</v>
      </c>
      <c r="AD218" s="249" t="str">
        <f>HYPERLINK("https://scontent.cdninstagram.com/t51.2885-15/s320x320/e15/c0.90.720.720/20837024_110773966276078_4501123333911216128_n.jpg")</f>
        <v>https://scontent.cdninstagram.com/t51.2885-15/s320x320/e15/c0.90.720.720/20837024_110773966276078_4501123333911216128_n.jpg</v>
      </c>
      <c r="AE218" s="249" t="str">
        <f>HYPERLINK("https://scontent.cdninstagram.com/t51.2885-19/s150x150/20766313_113024012675754_5849014264739659776_a.jpg")</f>
        <v>https://scontent.cdninstagram.com/t51.2885-19/s150x150/20766313_113024012675754_5849014264739659776_a.jpg</v>
      </c>
    </row>
    <row r="219" spans="1:31" ht="15" x14ac:dyDescent="0.25">
      <c r="A219" t="s">
        <v>2474</v>
      </c>
      <c r="B219" t="s">
        <v>3924</v>
      </c>
      <c r="C219" s="221">
        <v>42959.355902777781</v>
      </c>
      <c r="D219" t="s">
        <v>3925</v>
      </c>
      <c r="E219" s="249" t="str">
        <f>HYPERLINK("https://www.instagram.com/p/BXsaDC4gGxh/")</f>
        <v>https://www.instagram.com/p/BXsaDC4gGxh/</v>
      </c>
      <c r="F219" t="s">
        <v>3926</v>
      </c>
      <c r="G219" t="s">
        <v>2478</v>
      </c>
      <c r="H219">
        <v>69</v>
      </c>
      <c r="I219" t="s">
        <v>2519</v>
      </c>
      <c r="J219">
        <v>0</v>
      </c>
      <c r="K219">
        <v>37</v>
      </c>
      <c r="L219">
        <v>37</v>
      </c>
      <c r="Q219">
        <v>0</v>
      </c>
      <c r="R219">
        <v>0</v>
      </c>
      <c r="S219">
        <v>37</v>
      </c>
      <c r="Y219" t="s">
        <v>3927</v>
      </c>
      <c r="Z219" t="s">
        <v>3928</v>
      </c>
      <c r="AA219" t="s">
        <v>2775</v>
      </c>
      <c r="AB219" t="s">
        <v>3929</v>
      </c>
      <c r="AC219" t="s">
        <v>3930</v>
      </c>
      <c r="AD219" s="249" t="str">
        <f>HYPERLINK("https://scontent.cdninstagram.com/t51.2885-15/s320x320/e35/20837302_154273905128028_432294153469034496_n.jpg")</f>
        <v>https://scontent.cdninstagram.com/t51.2885-15/s320x320/e35/20837302_154273905128028_432294153469034496_n.jpg</v>
      </c>
      <c r="AE219" s="249" t="str">
        <f>HYPERLINK("https://scontent.cdninstagram.com/t51.2885-19/s150x150/13712215_1759915480893503_144642634_a.jpg")</f>
        <v>https://scontent.cdninstagram.com/t51.2885-19/s150x150/13712215_1759915480893503_144642634_a.jpg</v>
      </c>
    </row>
    <row r="220" spans="1:31" ht="15" x14ac:dyDescent="0.25">
      <c r="A220" t="s">
        <v>2474</v>
      </c>
      <c r="B220" t="s">
        <v>3931</v>
      </c>
      <c r="C220" s="221">
        <v>42959.36105324074</v>
      </c>
      <c r="D220" t="s">
        <v>3932</v>
      </c>
      <c r="E220" s="249" t="str">
        <f>HYPERLINK("https://www.instagram.com/p/BXsa5V1BOau/")</f>
        <v>https://www.instagram.com/p/BXsa5V1BOau/</v>
      </c>
      <c r="F220" t="s">
        <v>3933</v>
      </c>
      <c r="G220" t="s">
        <v>2478</v>
      </c>
      <c r="H220">
        <v>307</v>
      </c>
      <c r="I220" t="s">
        <v>3575</v>
      </c>
      <c r="J220">
        <v>0</v>
      </c>
      <c r="K220">
        <v>56</v>
      </c>
      <c r="L220">
        <v>56</v>
      </c>
      <c r="Q220">
        <v>0</v>
      </c>
      <c r="R220">
        <v>0</v>
      </c>
      <c r="S220">
        <v>56</v>
      </c>
      <c r="T220" t="s">
        <v>3934</v>
      </c>
      <c r="V220" t="s">
        <v>2177</v>
      </c>
      <c r="W220">
        <v>-8.6558333300000001</v>
      </c>
      <c r="X220">
        <v>115.13416667</v>
      </c>
      <c r="Y220" t="s">
        <v>3935</v>
      </c>
      <c r="Z220" t="s">
        <v>3936</v>
      </c>
      <c r="AA220" t="s">
        <v>3937</v>
      </c>
      <c r="AB220" t="s">
        <v>3938</v>
      </c>
      <c r="AC220" t="s">
        <v>3939</v>
      </c>
      <c r="AD220" s="249" t="str">
        <f>HYPERLINK("https://scontent.cdninstagram.com/t51.2885-15/s320x320/e35/20766986_1523172231077484_7826812142945828864_n.jpg")</f>
        <v>https://scontent.cdninstagram.com/t51.2885-15/s320x320/e35/20766986_1523172231077484_7826812142945828864_n.jpg</v>
      </c>
      <c r="AE220" s="249" t="str">
        <f>HYPERLINK("https://scontent.cdninstagram.com/t51.2885-19/s150x150/11849842_1154785807871102_897507050_a.jpg")</f>
        <v>https://scontent.cdninstagram.com/t51.2885-19/s150x150/11849842_1154785807871102_897507050_a.jpg</v>
      </c>
    </row>
    <row r="221" spans="1:31" ht="15" x14ac:dyDescent="0.25">
      <c r="A221" t="s">
        <v>2474</v>
      </c>
      <c r="B221" t="s">
        <v>3940</v>
      </c>
      <c r="C221" s="221">
        <v>42959.367476851854</v>
      </c>
      <c r="D221" t="s">
        <v>3941</v>
      </c>
      <c r="E221" s="249" t="str">
        <f>HYPERLINK("https://www.instagram.com/p/BXsb9IKgy45/")</f>
        <v>https://www.instagram.com/p/BXsb9IKgy45/</v>
      </c>
      <c r="F221" t="s">
        <v>3942</v>
      </c>
      <c r="G221" t="s">
        <v>2478</v>
      </c>
      <c r="H221">
        <v>654</v>
      </c>
      <c r="I221" t="s">
        <v>2479</v>
      </c>
      <c r="J221">
        <v>0</v>
      </c>
      <c r="K221">
        <v>109</v>
      </c>
      <c r="L221">
        <v>109</v>
      </c>
      <c r="Q221">
        <v>0</v>
      </c>
      <c r="R221">
        <v>0</v>
      </c>
      <c r="S221">
        <v>109</v>
      </c>
      <c r="T221" t="s">
        <v>3943</v>
      </c>
      <c r="V221" t="s">
        <v>2264</v>
      </c>
      <c r="W221">
        <v>43.333300000000001</v>
      </c>
      <c r="X221">
        <v>-8.15</v>
      </c>
      <c r="Y221" t="s">
        <v>3944</v>
      </c>
      <c r="Z221" t="s">
        <v>3945</v>
      </c>
      <c r="AA221" t="s">
        <v>3946</v>
      </c>
      <c r="AB221" t="s">
        <v>3947</v>
      </c>
      <c r="AC221" t="s">
        <v>3948</v>
      </c>
      <c r="AD221" s="249" t="str">
        <f>HYPERLINK("https://scontent.cdninstagram.com/t51.2885-15/s320x320/e35/c0.135.1080.1080/20688007_464970360550830_6446973265389813760_n.jpg")</f>
        <v>https://scontent.cdninstagram.com/t51.2885-15/s320x320/e35/c0.135.1080.1080/20688007_464970360550830_6446973265389813760_n.jpg</v>
      </c>
      <c r="AE221" s="249" t="str">
        <f>HYPERLINK("https://scontent.cdninstagram.com/t51.2885-19/s150x150/16110590_388221388197113_5757849138590908416_n.jpg")</f>
        <v>https://scontent.cdninstagram.com/t51.2885-19/s150x150/16110590_388221388197113_5757849138590908416_n.jpg</v>
      </c>
    </row>
    <row r="222" spans="1:31" ht="15" x14ac:dyDescent="0.25">
      <c r="A222" t="s">
        <v>2474</v>
      </c>
      <c r="B222" t="s">
        <v>3949</v>
      </c>
      <c r="C222" s="221">
        <v>42959.37945601852</v>
      </c>
      <c r="D222" t="s">
        <v>3950</v>
      </c>
      <c r="E222" s="249" t="str">
        <f>HYPERLINK("https://www.instagram.com/p/BXsd7eHA_Dd/")</f>
        <v>https://www.instagram.com/p/BXsd7eHA_Dd/</v>
      </c>
      <c r="F222" t="s">
        <v>3951</v>
      </c>
      <c r="G222" t="s">
        <v>2478</v>
      </c>
      <c r="H222">
        <v>777</v>
      </c>
      <c r="I222" t="s">
        <v>3575</v>
      </c>
      <c r="J222">
        <v>2</v>
      </c>
      <c r="K222">
        <v>28</v>
      </c>
      <c r="L222">
        <v>30</v>
      </c>
      <c r="Q222">
        <v>0</v>
      </c>
      <c r="R222">
        <v>0</v>
      </c>
      <c r="S222">
        <v>30</v>
      </c>
      <c r="Y222" t="s">
        <v>3952</v>
      </c>
      <c r="Z222" t="s">
        <v>3953</v>
      </c>
      <c r="AA222" t="s">
        <v>3954</v>
      </c>
      <c r="AB222" t="s">
        <v>3955</v>
      </c>
      <c r="AC222" t="s">
        <v>3956</v>
      </c>
      <c r="AD222" s="249" t="str">
        <f>HYPERLINK("https://scontent.cdninstagram.com/t51.2885-15/s320x320/e35/20688166_266479927184188_7268411247085748224_n.jpg")</f>
        <v>https://scontent.cdninstagram.com/t51.2885-15/s320x320/e35/20688166_266479927184188_7268411247085748224_n.jpg</v>
      </c>
      <c r="AE222" s="249" t="str">
        <f>HYPERLINK("https://scontent.cdninstagram.com/t51.2885-19/s150x150/18444234_1355653487844532_7547310561973764096_a.jpg")</f>
        <v>https://scontent.cdninstagram.com/t51.2885-19/s150x150/18444234_1355653487844532_7547310561973764096_a.jpg</v>
      </c>
    </row>
    <row r="223" spans="1:31" ht="15" x14ac:dyDescent="0.25">
      <c r="A223" t="s">
        <v>2474</v>
      </c>
      <c r="B223" t="s">
        <v>2588</v>
      </c>
      <c r="C223" s="221">
        <v>42959.380520833336</v>
      </c>
      <c r="D223" t="s">
        <v>3957</v>
      </c>
      <c r="E223" s="249" t="str">
        <f>HYPERLINK("https://www.instagram.com/p/BXseGs8gL60/")</f>
        <v>https://www.instagram.com/p/BXseGs8gL60/</v>
      </c>
      <c r="F223" t="s">
        <v>3958</v>
      </c>
      <c r="G223" t="s">
        <v>2478</v>
      </c>
      <c r="H223">
        <v>233</v>
      </c>
      <c r="I223" t="s">
        <v>2910</v>
      </c>
      <c r="J223">
        <v>15</v>
      </c>
      <c r="K223">
        <v>191</v>
      </c>
      <c r="L223">
        <v>206</v>
      </c>
      <c r="Q223">
        <v>0</v>
      </c>
      <c r="R223">
        <v>0</v>
      </c>
      <c r="S223">
        <v>206</v>
      </c>
      <c r="AD223" s="249" t="str">
        <f>HYPERLINK("https://scontent.cdninstagram.com/t51.2885-15/s320x320/e35/c35.0.569.569/20687873_1292631960860021_2208369310546526208_n.jpg")</f>
        <v>https://scontent.cdninstagram.com/t51.2885-15/s320x320/e35/c35.0.569.569/20687873_1292631960860021_2208369310546526208_n.jpg</v>
      </c>
      <c r="AE223" s="249" t="str">
        <f>HYPERLINK("https://scontent.cdninstagram.com/t51.2885-19/s150x150/20633561_108840983138666_5897549723056734208_a.jpg")</f>
        <v>https://scontent.cdninstagram.com/t51.2885-19/s150x150/20633561_108840983138666_5897549723056734208_a.jpg</v>
      </c>
    </row>
    <row r="224" spans="1:31" ht="15" x14ac:dyDescent="0.25">
      <c r="A224" t="s">
        <v>2474</v>
      </c>
      <c r="B224" t="s">
        <v>3959</v>
      </c>
      <c r="C224" s="221">
        <v>42959.388032407405</v>
      </c>
      <c r="D224" t="s">
        <v>3960</v>
      </c>
      <c r="E224" s="249" t="str">
        <f>HYPERLINK("https://www.instagram.com/p/BXsfV7XFmqI/")</f>
        <v>https://www.instagram.com/p/BXsfV7XFmqI/</v>
      </c>
      <c r="F224" t="s">
        <v>3961</v>
      </c>
      <c r="G224" t="s">
        <v>2478</v>
      </c>
      <c r="H224">
        <v>329</v>
      </c>
      <c r="I224" t="s">
        <v>2519</v>
      </c>
      <c r="J224">
        <v>1</v>
      </c>
      <c r="K224">
        <v>34</v>
      </c>
      <c r="L224">
        <v>35</v>
      </c>
      <c r="Q224">
        <v>0</v>
      </c>
      <c r="R224">
        <v>0</v>
      </c>
      <c r="S224">
        <v>35</v>
      </c>
      <c r="Y224" t="s">
        <v>3962</v>
      </c>
      <c r="Z224" t="s">
        <v>3963</v>
      </c>
      <c r="AA224" t="s">
        <v>3964</v>
      </c>
      <c r="AB224" t="s">
        <v>3034</v>
      </c>
      <c r="AC224" t="s">
        <v>3965</v>
      </c>
      <c r="AD224" s="249" t="str">
        <f>HYPERLINK("https://scontent.cdninstagram.com/t51.2885-15/s320x320/e35/20687291_1518190588238933_554700446527127552_n.jpg")</f>
        <v>https://scontent.cdninstagram.com/t51.2885-15/s320x320/e35/20687291_1518190588238933_554700446527127552_n.jpg</v>
      </c>
      <c r="AE224" s="249" t="str">
        <f>HYPERLINK("https://scontent.cdninstagram.com/t51.2885-19/s150x150/20836857_1956108011301567_323719025198628864_a.jpg")</f>
        <v>https://scontent.cdninstagram.com/t51.2885-19/s150x150/20836857_1956108011301567_323719025198628864_a.jpg</v>
      </c>
    </row>
    <row r="225" spans="1:31" ht="15" x14ac:dyDescent="0.25">
      <c r="A225" t="s">
        <v>2474</v>
      </c>
      <c r="B225" t="s">
        <v>3251</v>
      </c>
      <c r="C225" s="221">
        <v>42959.388518518521</v>
      </c>
      <c r="D225" t="s">
        <v>3966</v>
      </c>
      <c r="E225" s="249" t="str">
        <f>HYPERLINK("https://www.instagram.com/p/BXsfbBUHorr/")</f>
        <v>https://www.instagram.com/p/BXsfbBUHorr/</v>
      </c>
      <c r="F225" t="s">
        <v>3967</v>
      </c>
      <c r="G225" t="s">
        <v>2478</v>
      </c>
      <c r="H225">
        <v>294</v>
      </c>
      <c r="I225" t="s">
        <v>2542</v>
      </c>
      <c r="J225">
        <v>1</v>
      </c>
      <c r="K225">
        <v>22</v>
      </c>
      <c r="L225">
        <v>23</v>
      </c>
      <c r="Q225">
        <v>0</v>
      </c>
      <c r="R225">
        <v>0</v>
      </c>
      <c r="S225">
        <v>23</v>
      </c>
      <c r="Y225" t="s">
        <v>3968</v>
      </c>
      <c r="Z225" t="s">
        <v>3256</v>
      </c>
      <c r="AA225" t="s">
        <v>3969</v>
      </c>
      <c r="AB225" t="s">
        <v>3254</v>
      </c>
      <c r="AC225" t="s">
        <v>3970</v>
      </c>
      <c r="AD225" s="249" t="str">
        <f>HYPERLINK("https://scontent.cdninstagram.com/t51.2885-15/s320x320/e35/20759883_111442856192920_2132216469486829568_n.jpg")</f>
        <v>https://scontent.cdninstagram.com/t51.2885-15/s320x320/e35/20759883_111442856192920_2132216469486829568_n.jpg</v>
      </c>
      <c r="AE225" s="249" t="str">
        <f>HYPERLINK("https://scontent.cdninstagram.com/t51.2885-19/s150x150/19955028_1125861527558947_5582921378392178688_a.jpg")</f>
        <v>https://scontent.cdninstagram.com/t51.2885-19/s150x150/19955028_1125861527558947_5582921378392178688_a.jpg</v>
      </c>
    </row>
    <row r="226" spans="1:31" ht="15" x14ac:dyDescent="0.25">
      <c r="A226" t="s">
        <v>2474</v>
      </c>
      <c r="B226" t="s">
        <v>3971</v>
      </c>
      <c r="C226" s="221">
        <v>42959.392476851855</v>
      </c>
      <c r="D226" t="s">
        <v>3972</v>
      </c>
      <c r="E226" s="249" t="str">
        <f>HYPERLINK("https://www.instagram.com/p/BXsgEwFjKKz/")</f>
        <v>https://www.instagram.com/p/BXsgEwFjKKz/</v>
      </c>
      <c r="F226" t="s">
        <v>3973</v>
      </c>
      <c r="G226" t="s">
        <v>2488</v>
      </c>
      <c r="H226">
        <v>95</v>
      </c>
      <c r="I226" t="s">
        <v>2479</v>
      </c>
      <c r="J226">
        <v>2</v>
      </c>
      <c r="K226">
        <v>9</v>
      </c>
      <c r="L226">
        <v>11</v>
      </c>
      <c r="Q226">
        <v>0</v>
      </c>
      <c r="R226">
        <v>0</v>
      </c>
      <c r="S226">
        <v>11</v>
      </c>
      <c r="T226" t="s">
        <v>3974</v>
      </c>
      <c r="V226" t="s">
        <v>2288</v>
      </c>
      <c r="W226">
        <v>53.316361899889998</v>
      </c>
      <c r="X226">
        <v>-0.92782839197802003</v>
      </c>
      <c r="Y226" t="s">
        <v>3975</v>
      </c>
      <c r="Z226" t="s">
        <v>3976</v>
      </c>
      <c r="AA226" t="s">
        <v>3977</v>
      </c>
      <c r="AB226" t="s">
        <v>3978</v>
      </c>
      <c r="AC226" t="s">
        <v>2497</v>
      </c>
      <c r="AD226" s="249" t="str">
        <f>HYPERLINK("https://scontent.cdninstagram.com/t51.2885-15/s320x320/e15/20688687_1451234141631033_8538014811122827264_n.jpg")</f>
        <v>https://scontent.cdninstagram.com/t51.2885-15/s320x320/e15/20688687_1451234141631033_8538014811122827264_n.jpg</v>
      </c>
      <c r="AE226" s="249" t="str">
        <f>HYPERLINK("https://scontent.cdninstagram.com/t51.2885-19/11417276_120696951608184_1171047096_a.jpg")</f>
        <v>https://scontent.cdninstagram.com/t51.2885-19/11417276_120696951608184_1171047096_a.jpg</v>
      </c>
    </row>
    <row r="227" spans="1:31" ht="15" x14ac:dyDescent="0.25">
      <c r="A227" t="s">
        <v>2474</v>
      </c>
      <c r="B227" t="s">
        <v>3979</v>
      </c>
      <c r="C227" s="221">
        <v>42959.401053240741</v>
      </c>
      <c r="D227" t="s">
        <v>3980</v>
      </c>
      <c r="E227" s="249" t="str">
        <f>HYPERLINK("https://www.instagram.com/p/BXshfRQluVk/")</f>
        <v>https://www.instagram.com/p/BXshfRQluVk/</v>
      </c>
      <c r="F227" t="s">
        <v>3981</v>
      </c>
      <c r="G227" t="s">
        <v>2478</v>
      </c>
      <c r="H227">
        <v>355</v>
      </c>
      <c r="I227" t="s">
        <v>2542</v>
      </c>
      <c r="J227">
        <v>6</v>
      </c>
      <c r="K227">
        <v>47</v>
      </c>
      <c r="L227">
        <v>53</v>
      </c>
      <c r="Q227">
        <v>0</v>
      </c>
      <c r="R227">
        <v>0</v>
      </c>
      <c r="S227">
        <v>53</v>
      </c>
      <c r="Y227" t="s">
        <v>3982</v>
      </c>
      <c r="Z227" t="s">
        <v>3983</v>
      </c>
      <c r="AA227" t="s">
        <v>3984</v>
      </c>
      <c r="AB227" t="s">
        <v>3985</v>
      </c>
      <c r="AC227" t="s">
        <v>3986</v>
      </c>
      <c r="AD227" s="249" t="str">
        <f>HYPERLINK("https://scontent.cdninstagram.com/t51.2885-15/s320x320/e35/c0.135.1080.1080/20759055_115777789079019_965468331282792448_n.jpg")</f>
        <v>https://scontent.cdninstagram.com/t51.2885-15/s320x320/e35/c0.135.1080.1080/20759055_115777789079019_965468331282792448_n.jpg</v>
      </c>
      <c r="AE227" s="249" t="str">
        <f>HYPERLINK("https://scontent.cdninstagram.com/t51.2885-19/s150x150/14134823_534683170054722_866556683_a.jpg")</f>
        <v>https://scontent.cdninstagram.com/t51.2885-19/s150x150/14134823_534683170054722_866556683_a.jpg</v>
      </c>
    </row>
    <row r="228" spans="1:31" ht="15" x14ac:dyDescent="0.25">
      <c r="A228" t="s">
        <v>2474</v>
      </c>
      <c r="B228" t="s">
        <v>3987</v>
      </c>
      <c r="C228" s="221">
        <v>42959.40829861111</v>
      </c>
      <c r="D228" t="s">
        <v>3988</v>
      </c>
      <c r="E228" s="249" t="str">
        <f>HYPERLINK("https://www.instagram.com/p/BXsirs7FkLn/")</f>
        <v>https://www.instagram.com/p/BXsirs7FkLn/</v>
      </c>
      <c r="F228" t="s">
        <v>3989</v>
      </c>
      <c r="G228" t="s">
        <v>2478</v>
      </c>
      <c r="H228">
        <v>6110</v>
      </c>
      <c r="I228" t="s">
        <v>2479</v>
      </c>
      <c r="J228">
        <v>7</v>
      </c>
      <c r="K228">
        <v>84</v>
      </c>
      <c r="L228">
        <v>91</v>
      </c>
      <c r="Q228">
        <v>0</v>
      </c>
      <c r="R228">
        <v>0</v>
      </c>
      <c r="S228">
        <v>91</v>
      </c>
      <c r="Y228" t="s">
        <v>3990</v>
      </c>
      <c r="Z228" t="s">
        <v>3991</v>
      </c>
      <c r="AA228" t="s">
        <v>3992</v>
      </c>
      <c r="AB228" t="s">
        <v>2497</v>
      </c>
      <c r="AC228" t="s">
        <v>2937</v>
      </c>
      <c r="AD228" s="249" t="str">
        <f>HYPERLINK("https://scontent.cdninstagram.com/t51.2885-15/s320x320/e35/20766154_489798484719056_2150475582347935744_n.jpg")</f>
        <v>https://scontent.cdninstagram.com/t51.2885-15/s320x320/e35/20766154_489798484719056_2150475582347935744_n.jpg</v>
      </c>
      <c r="AE228" s="249" t="str">
        <f>HYPERLINK("https://scontent.cdninstagram.com/t51.2885-19/11235904_1580012458954910_2072570995_a.jpg")</f>
        <v>https://scontent.cdninstagram.com/t51.2885-19/11235904_1580012458954910_2072570995_a.jpg</v>
      </c>
    </row>
    <row r="229" spans="1:31" ht="15" x14ac:dyDescent="0.25">
      <c r="A229" t="s">
        <v>2474</v>
      </c>
      <c r="B229" t="s">
        <v>3993</v>
      </c>
      <c r="C229" s="221">
        <v>42959.416886574072</v>
      </c>
      <c r="D229" t="s">
        <v>3994</v>
      </c>
      <c r="E229" s="249" t="str">
        <f>HYPERLINK("https://www.instagram.com/p/BXskGNXgYx1/")</f>
        <v>https://www.instagram.com/p/BXskGNXgYx1/</v>
      </c>
      <c r="F229" t="s">
        <v>3995</v>
      </c>
      <c r="G229" t="s">
        <v>2478</v>
      </c>
      <c r="H229">
        <v>5001</v>
      </c>
      <c r="I229" t="s">
        <v>2479</v>
      </c>
      <c r="J229">
        <v>1</v>
      </c>
      <c r="K229">
        <v>528</v>
      </c>
      <c r="L229">
        <v>529</v>
      </c>
      <c r="Q229">
        <v>0</v>
      </c>
      <c r="R229">
        <v>0</v>
      </c>
      <c r="S229">
        <v>529</v>
      </c>
      <c r="Y229" t="s">
        <v>3996</v>
      </c>
      <c r="Z229" t="s">
        <v>3997</v>
      </c>
      <c r="AA229" t="s">
        <v>3998</v>
      </c>
      <c r="AB229" t="s">
        <v>3999</v>
      </c>
      <c r="AC229" t="s">
        <v>4000</v>
      </c>
      <c r="AD229" s="249" t="str">
        <f>HYPERLINK("https://scontent.cdninstagram.com/t51.2885-15/s320x320/e35/20766652_749906248515364_1622390863470526464_n.jpg")</f>
        <v>https://scontent.cdninstagram.com/t51.2885-15/s320x320/e35/20766652_749906248515364_1622390863470526464_n.jpg</v>
      </c>
      <c r="AE229" s="249" t="str">
        <f>HYPERLINK("https://scontent.cdninstagram.com/t51.2885-19/s150x150/20590168_732024603636467_1659654334738071552_a.jpg")</f>
        <v>https://scontent.cdninstagram.com/t51.2885-19/s150x150/20590168_732024603636467_1659654334738071552_a.jpg</v>
      </c>
    </row>
    <row r="230" spans="1:31" ht="15" x14ac:dyDescent="0.25">
      <c r="A230" t="s">
        <v>2474</v>
      </c>
      <c r="B230" t="s">
        <v>4001</v>
      </c>
      <c r="C230" s="221">
        <v>42959.423275462963</v>
      </c>
      <c r="D230" t="s">
        <v>4002</v>
      </c>
      <c r="E230" s="249" t="str">
        <f>HYPERLINK("https://www.instagram.com/p/BXslJomAJeF/")</f>
        <v>https://www.instagram.com/p/BXslJomAJeF/</v>
      </c>
      <c r="F230" t="s">
        <v>4003</v>
      </c>
      <c r="G230" t="s">
        <v>2478</v>
      </c>
      <c r="H230">
        <v>2291</v>
      </c>
      <c r="I230" t="s">
        <v>2479</v>
      </c>
      <c r="J230">
        <v>0</v>
      </c>
      <c r="K230">
        <v>16</v>
      </c>
      <c r="L230">
        <v>16</v>
      </c>
      <c r="Q230">
        <v>0</v>
      </c>
      <c r="R230">
        <v>0</v>
      </c>
      <c r="S230">
        <v>16</v>
      </c>
      <c r="Y230" t="s">
        <v>4004</v>
      </c>
      <c r="Z230" t="s">
        <v>3568</v>
      </c>
      <c r="AA230" t="s">
        <v>4005</v>
      </c>
      <c r="AB230" t="s">
        <v>2577</v>
      </c>
      <c r="AC230" t="s">
        <v>4006</v>
      </c>
      <c r="AD230" s="249" t="str">
        <f>HYPERLINK("https://scontent.cdninstagram.com/t51.2885-15/s320x320/e35/c0.135.1080.1080/20766587_106677693388056_5362698420643430400_n.jpg")</f>
        <v>https://scontent.cdninstagram.com/t51.2885-15/s320x320/e35/c0.135.1080.1080/20766587_106677693388056_5362698420643430400_n.jpg</v>
      </c>
      <c r="AE230" s="249" t="str">
        <f>HYPERLINK("https://scontent.cdninstagram.com/t51.2885-19/s150x150/19624942_147124915841378_2422592426616029184_a.jpg")</f>
        <v>https://scontent.cdninstagram.com/t51.2885-19/s150x150/19624942_147124915841378_2422592426616029184_a.jpg</v>
      </c>
    </row>
    <row r="231" spans="1:31" ht="15" x14ac:dyDescent="0.25">
      <c r="A231" t="s">
        <v>2474</v>
      </c>
      <c r="B231" t="s">
        <v>4007</v>
      </c>
      <c r="C231" s="221">
        <v>42959.42763888889</v>
      </c>
      <c r="D231" t="s">
        <v>4008</v>
      </c>
      <c r="E231" s="249" t="str">
        <f>HYPERLINK("https://www.instagram.com/p/BXsl3rhgog5/")</f>
        <v>https://www.instagram.com/p/BXsl3rhgog5/</v>
      </c>
      <c r="F231" t="s">
        <v>4009</v>
      </c>
      <c r="G231" t="s">
        <v>2631</v>
      </c>
      <c r="H231">
        <v>243</v>
      </c>
      <c r="I231" t="s">
        <v>2479</v>
      </c>
      <c r="J231">
        <v>0</v>
      </c>
      <c r="K231">
        <v>18</v>
      </c>
      <c r="L231">
        <v>18</v>
      </c>
      <c r="Q231">
        <v>0</v>
      </c>
      <c r="R231">
        <v>0</v>
      </c>
      <c r="S231">
        <v>18</v>
      </c>
      <c r="Y231" t="s">
        <v>4010</v>
      </c>
      <c r="Z231" t="s">
        <v>4011</v>
      </c>
      <c r="AA231" t="s">
        <v>2490</v>
      </c>
      <c r="AB231" t="s">
        <v>4012</v>
      </c>
      <c r="AC231" t="s">
        <v>2497</v>
      </c>
      <c r="AD231" s="249" t="str">
        <f>HYPERLINK("https://scontent.cdninstagram.com/t51.2885-15/s320x320/e15/20688181_1929606080647328_1316810275436888064_n.jpg")</f>
        <v>https://scontent.cdninstagram.com/t51.2885-15/s320x320/e15/20688181_1929606080647328_1316810275436888064_n.jpg</v>
      </c>
      <c r="AE231" s="249" t="str">
        <f>HYPERLINK("https://scontent.cdninstagram.com/t51.2885-19/s150x150/16123561_941615695975721_8099142391253958656_a.jpg")</f>
        <v>https://scontent.cdninstagram.com/t51.2885-19/s150x150/16123561_941615695975721_8099142391253958656_a.jpg</v>
      </c>
    </row>
    <row r="232" spans="1:31" ht="15" x14ac:dyDescent="0.25">
      <c r="A232" t="s">
        <v>2474</v>
      </c>
      <c r="B232" t="s">
        <v>3777</v>
      </c>
      <c r="C232" s="221">
        <v>42959.430844907409</v>
      </c>
      <c r="D232" t="s">
        <v>4013</v>
      </c>
      <c r="E232" s="249" t="str">
        <f>HYPERLINK("https://www.instagram.com/p/BXsmZe-nfi2/")</f>
        <v>https://www.instagram.com/p/BXsmZe-nfi2/</v>
      </c>
      <c r="F232" t="s">
        <v>4014</v>
      </c>
      <c r="G232" t="s">
        <v>2478</v>
      </c>
      <c r="H232">
        <v>185</v>
      </c>
      <c r="I232" t="s">
        <v>2542</v>
      </c>
      <c r="J232">
        <v>1</v>
      </c>
      <c r="K232">
        <v>31</v>
      </c>
      <c r="L232">
        <v>32</v>
      </c>
      <c r="Q232">
        <v>0</v>
      </c>
      <c r="R232">
        <v>0</v>
      </c>
      <c r="S232">
        <v>32</v>
      </c>
      <c r="T232" t="s">
        <v>4015</v>
      </c>
      <c r="V232" t="s">
        <v>2273</v>
      </c>
      <c r="W232">
        <v>24.168710835128</v>
      </c>
      <c r="X232">
        <v>120.63353061676</v>
      </c>
      <c r="Y232" t="s">
        <v>4016</v>
      </c>
      <c r="Z232" t="s">
        <v>3137</v>
      </c>
      <c r="AA232" t="s">
        <v>4017</v>
      </c>
      <c r="AB232" t="s">
        <v>3781</v>
      </c>
      <c r="AC232" t="s">
        <v>3777</v>
      </c>
      <c r="AD232" s="249" t="str">
        <f>HYPERLINK("https://scontent.cdninstagram.com/t51.2885-15/s320x320/e35/20687851_1025491247585317_7034402135806574592_n.jpg")</f>
        <v>https://scontent.cdninstagram.com/t51.2885-15/s320x320/e35/20687851_1025491247585317_7034402135806574592_n.jpg</v>
      </c>
      <c r="AE232" s="249" t="str">
        <f>HYPERLINK("https://scontent.cdninstagram.com/t51.2885-19/s150x150/18512804_1842867552632361_1335613925726617600_a.jpg")</f>
        <v>https://scontent.cdninstagram.com/t51.2885-19/s150x150/18512804_1842867552632361_1335613925726617600_a.jpg</v>
      </c>
    </row>
    <row r="233" spans="1:31" ht="15" x14ac:dyDescent="0.25">
      <c r="A233" t="s">
        <v>2474</v>
      </c>
      <c r="B233" t="s">
        <v>4018</v>
      </c>
      <c r="C233" s="221">
        <v>42959.441180555557</v>
      </c>
      <c r="D233" t="s">
        <v>4019</v>
      </c>
      <c r="E233" s="249" t="str">
        <f>HYPERLINK("https://www.instagram.com/p/BXsoGfcBfjG/")</f>
        <v>https://www.instagram.com/p/BXsoGfcBfjG/</v>
      </c>
      <c r="F233" t="s">
        <v>4020</v>
      </c>
      <c r="G233" t="s">
        <v>2478</v>
      </c>
      <c r="H233">
        <v>104</v>
      </c>
      <c r="I233" t="s">
        <v>2479</v>
      </c>
      <c r="J233">
        <v>2</v>
      </c>
      <c r="K233">
        <v>24</v>
      </c>
      <c r="L233">
        <v>26</v>
      </c>
      <c r="Q233">
        <v>0</v>
      </c>
      <c r="R233">
        <v>0</v>
      </c>
      <c r="S233">
        <v>26</v>
      </c>
      <c r="Y233" t="s">
        <v>3990</v>
      </c>
      <c r="Z233" t="s">
        <v>2497</v>
      </c>
      <c r="AD233" s="249" t="str">
        <f>HYPERLINK("https://scontent.cdninstagram.com/t51.2885-15/s320x320/e35/c0.130.1080.1080/20837016_134876760451972_7505427514076954624_n.jpg")</f>
        <v>https://scontent.cdninstagram.com/t51.2885-15/s320x320/e35/c0.130.1080.1080/20837016_134876760451972_7505427514076954624_n.jpg</v>
      </c>
      <c r="AE233" s="249" t="str">
        <f>HYPERLINK("https://scontent.cdninstagram.com/t51.2885-19/s150x150/19437095_814306875414496_5361182310072844288_a.jpg")</f>
        <v>https://scontent.cdninstagram.com/t51.2885-19/s150x150/19437095_814306875414496_5361182310072844288_a.jpg</v>
      </c>
    </row>
    <row r="234" spans="1:31" ht="15" x14ac:dyDescent="0.25">
      <c r="A234" t="s">
        <v>2474</v>
      </c>
      <c r="B234" t="s">
        <v>4021</v>
      </c>
      <c r="C234" s="221">
        <v>42959.445127314815</v>
      </c>
      <c r="D234" t="s">
        <v>4022</v>
      </c>
      <c r="E234" s="249" t="str">
        <f>HYPERLINK("https://www.instagram.com/p/BXsowHIgkTX/")</f>
        <v>https://www.instagram.com/p/BXsowHIgkTX/</v>
      </c>
      <c r="F234" t="s">
        <v>4023</v>
      </c>
      <c r="G234" t="s">
        <v>2478</v>
      </c>
      <c r="H234">
        <v>40</v>
      </c>
      <c r="I234" t="s">
        <v>2479</v>
      </c>
      <c r="J234">
        <v>1</v>
      </c>
      <c r="K234">
        <v>23</v>
      </c>
      <c r="L234">
        <v>24</v>
      </c>
      <c r="Q234">
        <v>0</v>
      </c>
      <c r="R234">
        <v>0</v>
      </c>
      <c r="S234">
        <v>24</v>
      </c>
      <c r="T234" t="s">
        <v>4024</v>
      </c>
      <c r="U234" t="s">
        <v>894</v>
      </c>
      <c r="V234" t="s">
        <v>2299</v>
      </c>
      <c r="W234">
        <v>37.3247</v>
      </c>
      <c r="X234">
        <v>-119.565</v>
      </c>
      <c r="Y234" t="s">
        <v>3738</v>
      </c>
      <c r="Z234" t="s">
        <v>4025</v>
      </c>
      <c r="AA234" t="s">
        <v>4026</v>
      </c>
      <c r="AB234" t="s">
        <v>4027</v>
      </c>
      <c r="AC234" t="s">
        <v>2497</v>
      </c>
      <c r="AD234" s="249" t="str">
        <f>HYPERLINK("https://scontent.cdninstagram.com/t51.2885-15/s320x320/e35/c0.135.1080.1080/20759331_250450422142154_2025868187270119424_n.jpg")</f>
        <v>https://scontent.cdninstagram.com/t51.2885-15/s320x320/e35/c0.135.1080.1080/20759331_250450422142154_2025868187270119424_n.jpg</v>
      </c>
      <c r="AE234" s="249" t="str">
        <f>HYPERLINK("https://scontent.cdninstagram.com/t51.2885-19/s150x150/20582685_458015777915043_7258875560695169024_a.jpg")</f>
        <v>https://scontent.cdninstagram.com/t51.2885-19/s150x150/20582685_458015777915043_7258875560695169024_a.jpg</v>
      </c>
    </row>
    <row r="235" spans="1:31" ht="15" x14ac:dyDescent="0.25">
      <c r="A235" t="s">
        <v>2474</v>
      </c>
      <c r="B235" t="s">
        <v>4028</v>
      </c>
      <c r="C235" s="221">
        <v>42959.46465277778</v>
      </c>
      <c r="D235" t="s">
        <v>4029</v>
      </c>
      <c r="E235" s="249" t="str">
        <f>HYPERLINK("https://www.instagram.com/p/BXsr-A6BXRl/")</f>
        <v>https://www.instagram.com/p/BXsr-A6BXRl/</v>
      </c>
      <c r="F235" t="s">
        <v>4030</v>
      </c>
      <c r="G235" t="s">
        <v>2631</v>
      </c>
      <c r="H235">
        <v>949</v>
      </c>
      <c r="I235" t="s">
        <v>3898</v>
      </c>
      <c r="J235">
        <v>11</v>
      </c>
      <c r="K235">
        <v>64</v>
      </c>
      <c r="L235">
        <v>75</v>
      </c>
      <c r="Q235">
        <v>0</v>
      </c>
      <c r="R235">
        <v>0</v>
      </c>
      <c r="S235">
        <v>75</v>
      </c>
      <c r="T235" t="s">
        <v>4031</v>
      </c>
      <c r="V235" t="s">
        <v>2258</v>
      </c>
      <c r="W235">
        <v>1.3686699600000001</v>
      </c>
      <c r="X235">
        <v>103.87241132333</v>
      </c>
      <c r="Y235" t="s">
        <v>4032</v>
      </c>
      <c r="Z235" t="s">
        <v>4033</v>
      </c>
      <c r="AA235" t="s">
        <v>4034</v>
      </c>
      <c r="AB235" t="s">
        <v>4035</v>
      </c>
      <c r="AC235" t="s">
        <v>4036</v>
      </c>
      <c r="AD235" s="249" t="str">
        <f>HYPERLINK("https://scontent.cdninstagram.com/t51.2885-15/s320x320/e15/c236.0.607.607/20759908_1863990143865025_2848210633244016640_n.jpg")</f>
        <v>https://scontent.cdninstagram.com/t51.2885-15/s320x320/e15/c236.0.607.607/20759908_1863990143865025_2848210633244016640_n.jpg</v>
      </c>
      <c r="AE235" s="249" t="str">
        <f>HYPERLINK("https://scontent.cdninstagram.com/t51.2885-19/s150x150/14033518_1833668033520367_864012960_a.jpg")</f>
        <v>https://scontent.cdninstagram.com/t51.2885-19/s150x150/14033518_1833668033520367_864012960_a.jpg</v>
      </c>
    </row>
    <row r="236" spans="1:31" ht="15" x14ac:dyDescent="0.25">
      <c r="A236" t="s">
        <v>2474</v>
      </c>
      <c r="B236" t="s">
        <v>4037</v>
      </c>
      <c r="C236" s="221">
        <v>42959.464942129627</v>
      </c>
      <c r="D236" t="s">
        <v>4038</v>
      </c>
      <c r="E236" s="249" t="str">
        <f>HYPERLINK("https://www.instagram.com/p/BXssBBWAmCq/")</f>
        <v>https://www.instagram.com/p/BXssBBWAmCq/</v>
      </c>
      <c r="F236" t="s">
        <v>4039</v>
      </c>
      <c r="G236" t="s">
        <v>2478</v>
      </c>
      <c r="H236">
        <v>492</v>
      </c>
      <c r="I236" t="s">
        <v>2542</v>
      </c>
      <c r="J236">
        <v>0</v>
      </c>
      <c r="K236">
        <v>26</v>
      </c>
      <c r="L236">
        <v>26</v>
      </c>
      <c r="Q236">
        <v>0</v>
      </c>
      <c r="R236">
        <v>0</v>
      </c>
      <c r="S236">
        <v>26</v>
      </c>
      <c r="Y236" t="s">
        <v>4040</v>
      </c>
      <c r="Z236" t="s">
        <v>2906</v>
      </c>
      <c r="AA236" t="s">
        <v>4041</v>
      </c>
      <c r="AB236" t="s">
        <v>4042</v>
      </c>
      <c r="AC236" t="s">
        <v>4043</v>
      </c>
      <c r="AD236" s="249" t="str">
        <f>HYPERLINK("https://scontent.cdninstagram.com/t51.2885-15/s320x320/e35/20759338_137103396893802_1672969119902728192_n.jpg")</f>
        <v>https://scontent.cdninstagram.com/t51.2885-15/s320x320/e35/20759338_137103396893802_1672969119902728192_n.jpg</v>
      </c>
      <c r="AE236" s="249" t="str">
        <f>HYPERLINK("https://scontent.cdninstagram.com/t51.2885-19/s150x150/18443439_448218638854772_6605429559720411136_a.jpg")</f>
        <v>https://scontent.cdninstagram.com/t51.2885-19/s150x150/18443439_448218638854772_6605429559720411136_a.jpg</v>
      </c>
    </row>
    <row r="237" spans="1:31" ht="15" x14ac:dyDescent="0.25">
      <c r="A237" t="s">
        <v>2474</v>
      </c>
      <c r="B237" t="s">
        <v>4044</v>
      </c>
      <c r="C237" s="221">
        <v>42959.46539351852</v>
      </c>
      <c r="D237" t="s">
        <v>4045</v>
      </c>
      <c r="E237" s="249" t="str">
        <f>HYPERLINK("https://www.instagram.com/p/BXssF4Zh51b/")</f>
        <v>https://www.instagram.com/p/BXssF4Zh51b/</v>
      </c>
      <c r="F237" t="s">
        <v>4046</v>
      </c>
      <c r="G237" t="s">
        <v>2478</v>
      </c>
      <c r="H237">
        <v>525</v>
      </c>
      <c r="I237" t="s">
        <v>2542</v>
      </c>
      <c r="J237">
        <v>4</v>
      </c>
      <c r="K237">
        <v>65</v>
      </c>
      <c r="L237">
        <v>69</v>
      </c>
      <c r="Q237">
        <v>0</v>
      </c>
      <c r="R237">
        <v>0</v>
      </c>
      <c r="S237">
        <v>69</v>
      </c>
      <c r="T237" t="s">
        <v>4047</v>
      </c>
      <c r="V237" t="s">
        <v>2194</v>
      </c>
      <c r="W237">
        <v>33.944699999999997</v>
      </c>
      <c r="X237">
        <v>35.7883</v>
      </c>
      <c r="Y237" t="s">
        <v>2497</v>
      </c>
      <c r="Z237" t="s">
        <v>4048</v>
      </c>
      <c r="AD237" s="249" t="str">
        <f>HYPERLINK("https://scontent.cdninstagram.com/t51.2885-15/s320x320/e35/c135.0.810.810/20688419_1755130884785285_626295043090546688_n.jpg")</f>
        <v>https://scontent.cdninstagram.com/t51.2885-15/s320x320/e35/c135.0.810.810/20688419_1755130884785285_626295043090546688_n.jpg</v>
      </c>
      <c r="AE237" s="249" t="str">
        <f>HYPERLINK("https://scontent.cdninstagram.com/t51.2885-19/s150x150/20633479_111494286181188_6973354707611811840_n.jpg")</f>
        <v>https://scontent.cdninstagram.com/t51.2885-19/s150x150/20633479_111494286181188_6973354707611811840_n.jpg</v>
      </c>
    </row>
    <row r="238" spans="1:31" ht="15" x14ac:dyDescent="0.25">
      <c r="A238" t="s">
        <v>2474</v>
      </c>
      <c r="B238" t="s">
        <v>4049</v>
      </c>
      <c r="C238" s="221">
        <v>42959.467175925929</v>
      </c>
      <c r="D238" t="s">
        <v>4050</v>
      </c>
      <c r="E238" s="249" t="str">
        <f>HYPERLINK("https://www.instagram.com/p/BXssYoiBSGb/")</f>
        <v>https://www.instagram.com/p/BXssYoiBSGb/</v>
      </c>
      <c r="F238" t="s">
        <v>4051</v>
      </c>
      <c r="G238" t="s">
        <v>2478</v>
      </c>
      <c r="H238">
        <v>188</v>
      </c>
      <c r="I238" t="s">
        <v>4052</v>
      </c>
      <c r="J238">
        <v>0</v>
      </c>
      <c r="K238">
        <v>12</v>
      </c>
      <c r="L238">
        <v>12</v>
      </c>
      <c r="Q238">
        <v>0</v>
      </c>
      <c r="R238">
        <v>0</v>
      </c>
      <c r="S238">
        <v>12</v>
      </c>
      <c r="T238" t="s">
        <v>4053</v>
      </c>
      <c r="V238" t="s">
        <v>2131</v>
      </c>
      <c r="W238">
        <v>31.783529999999999</v>
      </c>
      <c r="X238">
        <v>119.95071</v>
      </c>
      <c r="Y238" t="s">
        <v>4054</v>
      </c>
      <c r="Z238" t="s">
        <v>4055</v>
      </c>
      <c r="AA238" t="s">
        <v>4056</v>
      </c>
      <c r="AB238" t="s">
        <v>4057</v>
      </c>
      <c r="AC238" t="s">
        <v>4058</v>
      </c>
      <c r="AD238" s="249" t="str">
        <f>HYPERLINK("https://scontent.cdninstagram.com/t51.2885-15/s320x320/e35/20766217_339878266458154_8490647609680068608_n.jpg")</f>
        <v>https://scontent.cdninstagram.com/t51.2885-15/s320x320/e35/20766217_339878266458154_8490647609680068608_n.jpg</v>
      </c>
      <c r="AE238" s="249" t="str">
        <f>HYPERLINK("https://scontent.cdninstagram.com/t51.2885-19/s150x150/15876106_1713480255629766_835358159680831488_n.jpg")</f>
        <v>https://scontent.cdninstagram.com/t51.2885-19/s150x150/15876106_1713480255629766_835358159680831488_n.jpg</v>
      </c>
    </row>
    <row r="239" spans="1:31" ht="15" x14ac:dyDescent="0.25">
      <c r="A239" t="s">
        <v>2474</v>
      </c>
      <c r="B239" t="s">
        <v>4059</v>
      </c>
      <c r="C239" s="221">
        <v>42959.470937500002</v>
      </c>
      <c r="D239" t="s">
        <v>4060</v>
      </c>
      <c r="E239" s="249" t="str">
        <f>HYPERLINK("https://www.instagram.com/p/BXstAT5j1XY/")</f>
        <v>https://www.instagram.com/p/BXstAT5j1XY/</v>
      </c>
      <c r="F239" t="s">
        <v>4061</v>
      </c>
      <c r="G239" t="s">
        <v>2478</v>
      </c>
      <c r="H239">
        <v>1668</v>
      </c>
      <c r="I239" t="s">
        <v>4062</v>
      </c>
      <c r="J239">
        <v>28</v>
      </c>
      <c r="K239">
        <v>374</v>
      </c>
      <c r="L239">
        <v>402</v>
      </c>
      <c r="Q239">
        <v>0</v>
      </c>
      <c r="R239">
        <v>0</v>
      </c>
      <c r="S239">
        <v>402</v>
      </c>
      <c r="T239" t="s">
        <v>4063</v>
      </c>
      <c r="U239" t="s">
        <v>106</v>
      </c>
      <c r="V239" t="s">
        <v>2299</v>
      </c>
      <c r="W239">
        <v>25.802222220000001</v>
      </c>
      <c r="X239">
        <v>-80.19</v>
      </c>
      <c r="Y239" t="s">
        <v>4064</v>
      </c>
      <c r="Z239" t="s">
        <v>4065</v>
      </c>
      <c r="AA239" t="s">
        <v>4066</v>
      </c>
      <c r="AB239" t="s">
        <v>4067</v>
      </c>
      <c r="AC239" t="s">
        <v>3797</v>
      </c>
      <c r="AD239" s="249" t="str">
        <f>HYPERLINK("https://scontent.cdninstagram.com/t51.2885-15/s320x320/e35/20688559_117852305535935_2601566956540657664_n.jpg")</f>
        <v>https://scontent.cdninstagram.com/t51.2885-15/s320x320/e35/20688559_117852305535935_2601566956540657664_n.jpg</v>
      </c>
      <c r="AE239" s="249" t="str">
        <f>HYPERLINK("https://scontent.cdninstagram.com/t51.2885-19/s150x150/19955771_249037485592926_1409240157785161728_a.jpg")</f>
        <v>https://scontent.cdninstagram.com/t51.2885-19/s150x150/19955771_249037485592926_1409240157785161728_a.jpg</v>
      </c>
    </row>
    <row r="240" spans="1:31" ht="15" x14ac:dyDescent="0.25">
      <c r="A240" t="s">
        <v>2474</v>
      </c>
      <c r="B240" t="s">
        <v>4068</v>
      </c>
      <c r="C240" s="221">
        <v>42959.471712962964</v>
      </c>
      <c r="D240" t="s">
        <v>4069</v>
      </c>
      <c r="E240" s="249" t="str">
        <f>HYPERLINK("https://www.instagram.com/p/BXstIfuFJw2/")</f>
        <v>https://www.instagram.com/p/BXstIfuFJw2/</v>
      </c>
      <c r="F240" t="s">
        <v>4070</v>
      </c>
      <c r="G240" t="s">
        <v>2631</v>
      </c>
      <c r="H240">
        <v>560</v>
      </c>
      <c r="I240" t="s">
        <v>2542</v>
      </c>
      <c r="J240">
        <v>4</v>
      </c>
      <c r="K240">
        <v>59</v>
      </c>
      <c r="L240">
        <v>63</v>
      </c>
      <c r="Q240">
        <v>0</v>
      </c>
      <c r="R240">
        <v>0</v>
      </c>
      <c r="S240">
        <v>63</v>
      </c>
      <c r="Y240" t="s">
        <v>4071</v>
      </c>
      <c r="Z240" t="s">
        <v>4072</v>
      </c>
      <c r="AA240" t="s">
        <v>4073</v>
      </c>
      <c r="AB240" t="s">
        <v>4074</v>
      </c>
      <c r="AC240" t="s">
        <v>4075</v>
      </c>
      <c r="AD240" s="249" t="str">
        <f>HYPERLINK("https://scontent.cdninstagram.com/t51.2885-15/s320x320/e15/20687312_867176003447014_5859683483193966592_n.jpg")</f>
        <v>https://scontent.cdninstagram.com/t51.2885-15/s320x320/e15/20687312_867176003447014_5859683483193966592_n.jpg</v>
      </c>
      <c r="AE240" s="249" t="str">
        <f>HYPERLINK("https://scontent.cdninstagram.com/t51.2885-19/s150x150/19623613_485119318501760_4312973147524562944_a.jpg")</f>
        <v>https://scontent.cdninstagram.com/t51.2885-19/s150x150/19623613_485119318501760_4312973147524562944_a.jpg</v>
      </c>
    </row>
    <row r="241" spans="1:31" ht="15" x14ac:dyDescent="0.25">
      <c r="A241" t="s">
        <v>2474</v>
      </c>
      <c r="B241" t="s">
        <v>4076</v>
      </c>
      <c r="C241" s="221">
        <v>42959.48065972222</v>
      </c>
      <c r="D241" t="s">
        <v>4077</v>
      </c>
      <c r="E241" s="249" t="str">
        <f>HYPERLINK("https://www.instagram.com/p/BXsumyiFnQe/")</f>
        <v>https://www.instagram.com/p/BXsumyiFnQe/</v>
      </c>
      <c r="F241" t="s">
        <v>4078</v>
      </c>
      <c r="G241" t="s">
        <v>2478</v>
      </c>
      <c r="H241">
        <v>98</v>
      </c>
      <c r="I241" t="s">
        <v>2479</v>
      </c>
      <c r="J241">
        <v>2</v>
      </c>
      <c r="K241">
        <v>11</v>
      </c>
      <c r="L241">
        <v>13</v>
      </c>
      <c r="Q241">
        <v>0</v>
      </c>
      <c r="R241">
        <v>0</v>
      </c>
      <c r="S241">
        <v>13</v>
      </c>
      <c r="T241" t="s">
        <v>4079</v>
      </c>
      <c r="V241" t="s">
        <v>2288</v>
      </c>
      <c r="W241">
        <v>54.380899999999997</v>
      </c>
      <c r="X241">
        <v>-5.5486000000000004</v>
      </c>
      <c r="Y241" t="s">
        <v>4080</v>
      </c>
      <c r="Z241" t="s">
        <v>4081</v>
      </c>
      <c r="AA241" t="s">
        <v>2497</v>
      </c>
      <c r="AB241" t="s">
        <v>4082</v>
      </c>
      <c r="AD241" s="249" t="str">
        <f>HYPERLINK("https://scontent.cdninstagram.com/t51.2885-15/s320x320/e35/20688697_1451246634961519_4871457279850840064_n.jpg")</f>
        <v>https://scontent.cdninstagram.com/t51.2885-15/s320x320/e35/20688697_1451246634961519_4871457279850840064_n.jpg</v>
      </c>
      <c r="AE241" s="249" t="str">
        <f>HYPERLINK("https://scontent.cdninstagram.com/t51.2885-19/s150x150/20766331_834306490076897_419020960767672320_a.jpg")</f>
        <v>https://scontent.cdninstagram.com/t51.2885-19/s150x150/20766331_834306490076897_419020960767672320_a.jpg</v>
      </c>
    </row>
    <row r="242" spans="1:31" ht="15" x14ac:dyDescent="0.25">
      <c r="A242" t="s">
        <v>2474</v>
      </c>
      <c r="B242" t="s">
        <v>4083</v>
      </c>
      <c r="C242" s="221">
        <v>42959.491574074076</v>
      </c>
      <c r="D242" t="s">
        <v>4084</v>
      </c>
      <c r="E242" s="249" t="str">
        <f>HYPERLINK("https://www.instagram.com/p/BXswZ8PnM8g/")</f>
        <v>https://www.instagram.com/p/BXswZ8PnM8g/</v>
      </c>
      <c r="F242" t="s">
        <v>4085</v>
      </c>
      <c r="G242" t="s">
        <v>2478</v>
      </c>
      <c r="H242">
        <v>83033</v>
      </c>
      <c r="I242" t="s">
        <v>2479</v>
      </c>
      <c r="J242">
        <v>316</v>
      </c>
      <c r="K242">
        <v>14532</v>
      </c>
      <c r="L242">
        <v>14848</v>
      </c>
      <c r="Q242">
        <v>0</v>
      </c>
      <c r="R242">
        <v>0</v>
      </c>
      <c r="S242">
        <v>14848</v>
      </c>
      <c r="Y242" t="s">
        <v>4086</v>
      </c>
      <c r="Z242" t="s">
        <v>2497</v>
      </c>
      <c r="AD242" s="249" t="str">
        <f>HYPERLINK("https://scontent.cdninstagram.com/t51.2885-15/s320x320/e35/c0.120.1080.1080/20766760_341336186298079_5231522281108275200_n.jpg")</f>
        <v>https://scontent.cdninstagram.com/t51.2885-15/s320x320/e35/c0.120.1080.1080/20766760_341336186298079_5231522281108275200_n.jpg</v>
      </c>
      <c r="AE242" s="249" t="str">
        <f>HYPERLINK("https://scontent.cdninstagram.com/t51.2885-19/s150x150/20590169_479014342471076_6624097063841824768_n.jpg")</f>
        <v>https://scontent.cdninstagram.com/t51.2885-19/s150x150/20590169_479014342471076_6624097063841824768_n.jpg</v>
      </c>
    </row>
    <row r="243" spans="1:31" ht="15" x14ac:dyDescent="0.25">
      <c r="A243" t="s">
        <v>2474</v>
      </c>
      <c r="B243" t="s">
        <v>4087</v>
      </c>
      <c r="C243" s="221">
        <v>42959.496712962966</v>
      </c>
      <c r="D243" t="s">
        <v>4088</v>
      </c>
      <c r="E243" s="249" t="str">
        <f>HYPERLINK("https://www.instagram.com/p/BXsxQKljMa5/")</f>
        <v>https://www.instagram.com/p/BXsxQKljMa5/</v>
      </c>
      <c r="F243" t="s">
        <v>4089</v>
      </c>
      <c r="G243" t="s">
        <v>2478</v>
      </c>
      <c r="H243">
        <v>283</v>
      </c>
      <c r="I243" t="s">
        <v>2479</v>
      </c>
      <c r="J243">
        <v>0</v>
      </c>
      <c r="K243">
        <v>1</v>
      </c>
      <c r="L243">
        <v>1</v>
      </c>
      <c r="Q243">
        <v>0</v>
      </c>
      <c r="R243">
        <v>0</v>
      </c>
      <c r="S243">
        <v>1</v>
      </c>
      <c r="Y243" t="s">
        <v>4090</v>
      </c>
      <c r="Z243" t="s">
        <v>2497</v>
      </c>
      <c r="AD243" s="249" t="str">
        <f>HYPERLINK("https://scontent.cdninstagram.com/t51.2885-15/s320x320/e35/20759525_478836579157806_695536147899613184_n.jpg")</f>
        <v>https://scontent.cdninstagram.com/t51.2885-15/s320x320/e35/20759525_478836579157806_695536147899613184_n.jpg</v>
      </c>
      <c r="AE243" s="249" t="str">
        <f>HYPERLINK("https://scontent.cdninstagram.com/t51.2885-19/s150x150/12935084_1125286617492141_399490056_a.jpg")</f>
        <v>https://scontent.cdninstagram.com/t51.2885-19/s150x150/12935084_1125286617492141_399490056_a.jpg</v>
      </c>
    </row>
    <row r="244" spans="1:31" ht="15" x14ac:dyDescent="0.25">
      <c r="A244" t="s">
        <v>2474</v>
      </c>
      <c r="B244" t="s">
        <v>2588</v>
      </c>
      <c r="C244" s="221">
        <v>42959.497442129628</v>
      </c>
      <c r="D244" t="s">
        <v>4091</v>
      </c>
      <c r="E244" s="249" t="str">
        <f>HYPERLINK("https://www.instagram.com/p/BXsxX4nAORw/")</f>
        <v>https://www.instagram.com/p/BXsxX4nAORw/</v>
      </c>
      <c r="F244" t="s">
        <v>4092</v>
      </c>
      <c r="G244" t="s">
        <v>2478</v>
      </c>
      <c r="H244">
        <v>239</v>
      </c>
      <c r="I244" t="s">
        <v>2479</v>
      </c>
      <c r="J244">
        <v>12</v>
      </c>
      <c r="K244">
        <v>98</v>
      </c>
      <c r="L244">
        <v>110</v>
      </c>
      <c r="Q244">
        <v>0</v>
      </c>
      <c r="R244">
        <v>0</v>
      </c>
      <c r="S244">
        <v>110</v>
      </c>
      <c r="AD244" s="249" t="str">
        <f>HYPERLINK("https://scontent.cdninstagram.com/t51.2885-15/s320x320/e35/20688701_459269821125886_831815967007834112_n.jpg")</f>
        <v>https://scontent.cdninstagram.com/t51.2885-15/s320x320/e35/20688701_459269821125886_831815967007834112_n.jpg</v>
      </c>
      <c r="AE244" s="249" t="str">
        <f>HYPERLINK("https://scontent.cdninstagram.com/t51.2885-19/s150x150/20633561_108840983138666_5897549723056734208_a.jpg")</f>
        <v>https://scontent.cdninstagram.com/t51.2885-19/s150x150/20633561_108840983138666_5897549723056734208_a.jpg</v>
      </c>
    </row>
    <row r="245" spans="1:31" ht="15" x14ac:dyDescent="0.25">
      <c r="A245" t="s">
        <v>2474</v>
      </c>
      <c r="B245" t="s">
        <v>4093</v>
      </c>
      <c r="C245" s="221">
        <v>42959.499247685184</v>
      </c>
      <c r="D245" t="s">
        <v>4094</v>
      </c>
      <c r="E245" s="249" t="str">
        <f>HYPERLINK("https://www.instagram.com/p/BXsxq1rF4w_/")</f>
        <v>https://www.instagram.com/p/BXsxq1rF4w_/</v>
      </c>
      <c r="F245" t="s">
        <v>4095</v>
      </c>
      <c r="G245" t="s">
        <v>2478</v>
      </c>
      <c r="H245">
        <v>55300</v>
      </c>
      <c r="I245" t="s">
        <v>2479</v>
      </c>
      <c r="J245">
        <v>38</v>
      </c>
      <c r="K245">
        <v>1195</v>
      </c>
      <c r="L245">
        <v>1233</v>
      </c>
      <c r="Q245">
        <v>0</v>
      </c>
      <c r="R245">
        <v>0</v>
      </c>
      <c r="S245">
        <v>1233</v>
      </c>
      <c r="Y245" t="s">
        <v>4096</v>
      </c>
      <c r="Z245" t="s">
        <v>4097</v>
      </c>
      <c r="AA245" t="s">
        <v>4098</v>
      </c>
      <c r="AB245" t="s">
        <v>4099</v>
      </c>
      <c r="AC245" t="s">
        <v>4100</v>
      </c>
      <c r="AD245" s="249" t="str">
        <f>HYPERLINK("https://scontent.cdninstagram.com/t51.2885-15/s320x320/e35/c0.108.1080.1080/20687928_1161262993978959_6023318017729888256_n.jpg")</f>
        <v>https://scontent.cdninstagram.com/t51.2885-15/s320x320/e35/c0.108.1080.1080/20687928_1161262993978959_6023318017729888256_n.jpg</v>
      </c>
      <c r="AE245" s="249" t="str">
        <f>HYPERLINK("https://scontent.cdninstagram.com/t51.2885-19/s150x150/18251621_803194253171802_8008775428942594048_n.jpg")</f>
        <v>https://scontent.cdninstagram.com/t51.2885-19/s150x150/18251621_803194253171802_8008775428942594048_n.jpg</v>
      </c>
    </row>
    <row r="246" spans="1:31" ht="15" x14ac:dyDescent="0.25">
      <c r="A246" t="s">
        <v>2474</v>
      </c>
      <c r="B246" t="s">
        <v>4101</v>
      </c>
      <c r="C246" s="221">
        <v>42959.500960648147</v>
      </c>
      <c r="D246" t="s">
        <v>4102</v>
      </c>
      <c r="E246" s="249" t="str">
        <f>HYPERLINK("https://www.instagram.com/p/BXsx85Fgdp6/")</f>
        <v>https://www.instagram.com/p/BXsx85Fgdp6/</v>
      </c>
      <c r="F246" t="s">
        <v>4103</v>
      </c>
      <c r="G246" t="s">
        <v>2478</v>
      </c>
      <c r="H246">
        <v>101</v>
      </c>
      <c r="I246" t="s">
        <v>2479</v>
      </c>
      <c r="J246">
        <v>0</v>
      </c>
      <c r="K246">
        <v>17</v>
      </c>
      <c r="L246">
        <v>17</v>
      </c>
      <c r="Q246">
        <v>0</v>
      </c>
      <c r="R246">
        <v>0</v>
      </c>
      <c r="S246">
        <v>17</v>
      </c>
      <c r="Y246" t="s">
        <v>4104</v>
      </c>
      <c r="Z246" t="s">
        <v>4105</v>
      </c>
      <c r="AA246" t="s">
        <v>4106</v>
      </c>
      <c r="AB246" t="s">
        <v>2497</v>
      </c>
      <c r="AC246" t="s">
        <v>4107</v>
      </c>
      <c r="AD246" s="249" t="str">
        <f>HYPERLINK("https://scontent.cdninstagram.com/t51.2885-15/s320x320/e35/20766208_762066140656186_9028502052010983424_n.jpg")</f>
        <v>https://scontent.cdninstagram.com/t51.2885-15/s320x320/e35/20766208_762066140656186_9028502052010983424_n.jpg</v>
      </c>
      <c r="AE246" s="249" t="str">
        <f>HYPERLINK("https://scontent.cdninstagram.com/t51.2885-19/s150x150/20688434_452061405164637_6368249731784638464_a.jpg")</f>
        <v>https://scontent.cdninstagram.com/t51.2885-19/s150x150/20688434_452061405164637_6368249731784638464_a.jpg</v>
      </c>
    </row>
    <row r="247" spans="1:31" ht="15" x14ac:dyDescent="0.25">
      <c r="A247" t="s">
        <v>2474</v>
      </c>
      <c r="B247" t="s">
        <v>4108</v>
      </c>
      <c r="C247" s="221">
        <v>42959.50582175926</v>
      </c>
      <c r="D247" t="s">
        <v>4109</v>
      </c>
      <c r="E247" s="249" t="str">
        <f>HYPERLINK("https://www.instagram.com/p/BXsywMaFCtV/")</f>
        <v>https://www.instagram.com/p/BXsywMaFCtV/</v>
      </c>
      <c r="F247" t="s">
        <v>4110</v>
      </c>
      <c r="G247" t="s">
        <v>2478</v>
      </c>
      <c r="H247">
        <v>33377</v>
      </c>
      <c r="I247" t="s">
        <v>2542</v>
      </c>
      <c r="J247">
        <v>3</v>
      </c>
      <c r="K247">
        <v>233</v>
      </c>
      <c r="L247">
        <v>236</v>
      </c>
      <c r="Q247">
        <v>0</v>
      </c>
      <c r="R247">
        <v>0</v>
      </c>
      <c r="S247">
        <v>236</v>
      </c>
      <c r="T247" t="s">
        <v>4111</v>
      </c>
      <c r="V247" t="s">
        <v>2177</v>
      </c>
      <c r="W247">
        <v>-7.2917300866136001</v>
      </c>
      <c r="X247">
        <v>112.68584473528</v>
      </c>
      <c r="Y247" t="s">
        <v>4112</v>
      </c>
      <c r="Z247" t="s">
        <v>4113</v>
      </c>
      <c r="AA247" t="s">
        <v>2497</v>
      </c>
      <c r="AB247" t="s">
        <v>4114</v>
      </c>
      <c r="AC247" t="s">
        <v>4115</v>
      </c>
      <c r="AD247" s="249" t="str">
        <f>HYPERLINK("https://scontent.cdninstagram.com/t51.2885-15/s320x320/e35/c0.135.1080.1080/20759819_1952062591716583_7665702430704664576_n.jpg")</f>
        <v>https://scontent.cdninstagram.com/t51.2885-15/s320x320/e35/c0.135.1080.1080/20759819_1952062591716583_7665702430704664576_n.jpg</v>
      </c>
      <c r="AE247" s="249" t="str">
        <f>HYPERLINK("https://scontent.cdninstagram.com/t51.2885-19/s150x150/20347706_103078907053203_3718359071699501056_a.jpg")</f>
        <v>https://scontent.cdninstagram.com/t51.2885-19/s150x150/20347706_103078907053203_3718359071699501056_a.jpg</v>
      </c>
    </row>
    <row r="248" spans="1:31" ht="15" x14ac:dyDescent="0.25">
      <c r="A248" t="s">
        <v>2474</v>
      </c>
      <c r="B248" t="s">
        <v>4116</v>
      </c>
      <c r="C248" s="221">
        <v>42959.511736111112</v>
      </c>
      <c r="D248" t="s">
        <v>4117</v>
      </c>
      <c r="E248" s="249" t="str">
        <f>HYPERLINK("https://www.instagram.com/p/BXszuiWle9B/")</f>
        <v>https://www.instagram.com/p/BXszuiWle9B/</v>
      </c>
      <c r="F248" t="s">
        <v>4118</v>
      </c>
      <c r="G248" t="s">
        <v>2478</v>
      </c>
      <c r="H248">
        <v>364</v>
      </c>
      <c r="I248" t="s">
        <v>2479</v>
      </c>
      <c r="J248">
        <v>2</v>
      </c>
      <c r="K248">
        <v>27</v>
      </c>
      <c r="L248">
        <v>29</v>
      </c>
      <c r="Q248">
        <v>0</v>
      </c>
      <c r="R248">
        <v>0</v>
      </c>
      <c r="S248">
        <v>29</v>
      </c>
      <c r="Y248" t="s">
        <v>4119</v>
      </c>
      <c r="Z248" t="s">
        <v>4120</v>
      </c>
      <c r="AA248" t="s">
        <v>4121</v>
      </c>
      <c r="AB248" t="s">
        <v>4122</v>
      </c>
      <c r="AC248" t="s">
        <v>4123</v>
      </c>
      <c r="AD248" s="249" t="str">
        <f>HYPERLINK("https://scontent.cdninstagram.com/t51.2885-15/s320x320/e35/c0.135.1080.1080/20687863_1930007303884061_7758285531716255744_n.jpg")</f>
        <v>https://scontent.cdninstagram.com/t51.2885-15/s320x320/e35/c0.135.1080.1080/20687863_1930007303884061_7758285531716255744_n.jpg</v>
      </c>
      <c r="AE248" s="249" t="str">
        <f>HYPERLINK("https://scontent.cdninstagram.com/t51.2885-19/s150x150/20214259_819234004919886_7376733612235816960_a.jpg")</f>
        <v>https://scontent.cdninstagram.com/t51.2885-19/s150x150/20214259_819234004919886_7376733612235816960_a.jpg</v>
      </c>
    </row>
    <row r="249" spans="1:31" ht="15" x14ac:dyDescent="0.25">
      <c r="A249" t="s">
        <v>2474</v>
      </c>
      <c r="B249" t="s">
        <v>3015</v>
      </c>
      <c r="C249" s="221">
        <v>42959.512546296297</v>
      </c>
      <c r="D249" t="s">
        <v>4124</v>
      </c>
      <c r="E249" s="249" t="str">
        <f>HYPERLINK("https://www.instagram.com/p/BXsz3L7AOno/")</f>
        <v>https://www.instagram.com/p/BXsz3L7AOno/</v>
      </c>
      <c r="F249" t="s">
        <v>4125</v>
      </c>
      <c r="G249" t="s">
        <v>2488</v>
      </c>
      <c r="H249">
        <v>178</v>
      </c>
      <c r="I249" t="s">
        <v>2479</v>
      </c>
      <c r="J249">
        <v>0</v>
      </c>
      <c r="K249">
        <v>29</v>
      </c>
      <c r="L249">
        <v>29</v>
      </c>
      <c r="Q249">
        <v>0</v>
      </c>
      <c r="R249">
        <v>0</v>
      </c>
      <c r="S249">
        <v>29</v>
      </c>
      <c r="Y249" t="s">
        <v>4126</v>
      </c>
      <c r="Z249" t="s">
        <v>4127</v>
      </c>
      <c r="AA249" t="s">
        <v>3727</v>
      </c>
      <c r="AB249" t="s">
        <v>4128</v>
      </c>
      <c r="AC249" t="s">
        <v>4129</v>
      </c>
      <c r="AD249" s="249" t="str">
        <f>HYPERLINK("https://scontent.cdninstagram.com/t51.2885-15/s320x320/e35/20687238_109933063030341_8557488669584261120_n.jpg")</f>
        <v>https://scontent.cdninstagram.com/t51.2885-15/s320x320/e35/20687238_109933063030341_8557488669584261120_n.jpg</v>
      </c>
      <c r="AE249" s="249" t="str">
        <f>HYPERLINK("https://scontent.cdninstagram.com/t51.2885-19/s150x150/19761452_1876060406050696_4275948751316582400_a.jpg")</f>
        <v>https://scontent.cdninstagram.com/t51.2885-19/s150x150/19761452_1876060406050696_4275948751316582400_a.jpg</v>
      </c>
    </row>
    <row r="250" spans="1:31" ht="15" x14ac:dyDescent="0.25">
      <c r="A250" t="s">
        <v>2474</v>
      </c>
      <c r="B250" t="s">
        <v>3015</v>
      </c>
      <c r="C250" s="221">
        <v>42959.516527777778</v>
      </c>
      <c r="D250" t="s">
        <v>4130</v>
      </c>
      <c r="E250" s="249" t="str">
        <f>HYPERLINK("https://www.instagram.com/p/BXs0hJfAZsp/")</f>
        <v>https://www.instagram.com/p/BXs0hJfAZsp/</v>
      </c>
      <c r="F250" t="s">
        <v>4131</v>
      </c>
      <c r="G250" t="s">
        <v>2478</v>
      </c>
      <c r="H250">
        <v>178</v>
      </c>
      <c r="I250" t="s">
        <v>2479</v>
      </c>
      <c r="J250">
        <v>0</v>
      </c>
      <c r="K250">
        <v>28</v>
      </c>
      <c r="L250">
        <v>28</v>
      </c>
      <c r="Q250">
        <v>0</v>
      </c>
      <c r="R250">
        <v>0</v>
      </c>
      <c r="S250">
        <v>28</v>
      </c>
      <c r="Y250" t="s">
        <v>3728</v>
      </c>
      <c r="Z250" t="s">
        <v>3855</v>
      </c>
      <c r="AA250" t="s">
        <v>3856</v>
      </c>
      <c r="AB250" t="s">
        <v>4129</v>
      </c>
      <c r="AC250" t="s">
        <v>3021</v>
      </c>
      <c r="AD250" s="249" t="str">
        <f>HYPERLINK("https://scontent.cdninstagram.com/t51.2885-15/s320x320/e35/20767027_1411363432288152_8123720848411459584_n.jpg")</f>
        <v>https://scontent.cdninstagram.com/t51.2885-15/s320x320/e35/20767027_1411363432288152_8123720848411459584_n.jpg</v>
      </c>
      <c r="AE250" s="249" t="str">
        <f>HYPERLINK("https://scontent.cdninstagram.com/t51.2885-19/s150x150/19761452_1876060406050696_4275948751316582400_a.jpg")</f>
        <v>https://scontent.cdninstagram.com/t51.2885-19/s150x150/19761452_1876060406050696_4275948751316582400_a.jpg</v>
      </c>
    </row>
    <row r="251" spans="1:31" ht="15" x14ac:dyDescent="0.25">
      <c r="A251" t="s">
        <v>2474</v>
      </c>
      <c r="B251" t="s">
        <v>4132</v>
      </c>
      <c r="C251" s="221">
        <v>42959.527974537035</v>
      </c>
      <c r="D251" t="s">
        <v>4133</v>
      </c>
      <c r="E251" s="249" t="str">
        <f>HYPERLINK("https://www.instagram.com/p/BXs2ZzOFTy_/")</f>
        <v>https://www.instagram.com/p/BXs2ZzOFTy_/</v>
      </c>
      <c r="F251" t="s">
        <v>4134</v>
      </c>
      <c r="G251" t="s">
        <v>2478</v>
      </c>
      <c r="H251">
        <v>6881</v>
      </c>
      <c r="I251" t="s">
        <v>2479</v>
      </c>
      <c r="J251">
        <v>3</v>
      </c>
      <c r="K251">
        <v>18</v>
      </c>
      <c r="L251">
        <v>21</v>
      </c>
      <c r="Q251">
        <v>0</v>
      </c>
      <c r="R251">
        <v>0</v>
      </c>
      <c r="S251">
        <v>21</v>
      </c>
      <c r="Y251" t="s">
        <v>4135</v>
      </c>
      <c r="Z251" t="s">
        <v>4136</v>
      </c>
      <c r="AA251" t="s">
        <v>2592</v>
      </c>
      <c r="AB251" t="s">
        <v>4137</v>
      </c>
      <c r="AC251" t="s">
        <v>4138</v>
      </c>
      <c r="AD251" s="249" t="str">
        <f>HYPERLINK("https://scontent.cdninstagram.com/t51.2885-15/s320x320/e35/c39.0.640.640/20759688_118235798830414_5567828871903969280_n.jpg")</f>
        <v>https://scontent.cdninstagram.com/t51.2885-15/s320x320/e35/c39.0.640.640/20759688_118235798830414_5567828871903969280_n.jpg</v>
      </c>
      <c r="AE251" s="249" t="str">
        <f>HYPERLINK("https://scontent.cdninstagram.com/t51.2885-19/s150x150/15306012_1834743390099693_621234283125669888_a.jpg")</f>
        <v>https://scontent.cdninstagram.com/t51.2885-19/s150x150/15306012_1834743390099693_621234283125669888_a.jpg</v>
      </c>
    </row>
    <row r="252" spans="1:31" ht="15" x14ac:dyDescent="0.25">
      <c r="A252" t="s">
        <v>2474</v>
      </c>
      <c r="B252" t="s">
        <v>4139</v>
      </c>
      <c r="C252" s="221">
        <v>42959.530104166668</v>
      </c>
      <c r="D252" t="s">
        <v>4140</v>
      </c>
      <c r="E252" s="249" t="str">
        <f>HYPERLINK("https://www.instagram.com/p/BXs2wS9gOUV/")</f>
        <v>https://www.instagram.com/p/BXs2wS9gOUV/</v>
      </c>
      <c r="F252" t="s">
        <v>2872</v>
      </c>
      <c r="G252" t="s">
        <v>2478</v>
      </c>
      <c r="H252">
        <v>173</v>
      </c>
      <c r="I252" t="s">
        <v>2479</v>
      </c>
      <c r="J252">
        <v>0</v>
      </c>
      <c r="K252">
        <v>9</v>
      </c>
      <c r="L252">
        <v>9</v>
      </c>
      <c r="Q252">
        <v>0</v>
      </c>
      <c r="R252">
        <v>0</v>
      </c>
      <c r="S252">
        <v>9</v>
      </c>
      <c r="Y252" t="s">
        <v>2497</v>
      </c>
      <c r="AD252" s="249" t="str">
        <f>HYPERLINK("https://scontent.cdninstagram.com/t51.2885-15/s320x320/e35/20687295_1474101859334505_220616338098356224_n.jpg")</f>
        <v>https://scontent.cdninstagram.com/t51.2885-15/s320x320/e35/20687295_1474101859334505_220616338098356224_n.jpg</v>
      </c>
      <c r="AE252" s="249" t="str">
        <f>HYPERLINK("https://scontent.cdninstagram.com/t51.2885-19/s150x150/20905697_434293353637467_9180481149112156160_a.jpg")</f>
        <v>https://scontent.cdninstagram.com/t51.2885-19/s150x150/20905697_434293353637467_9180481149112156160_a.jpg</v>
      </c>
    </row>
    <row r="253" spans="1:31" ht="15" x14ac:dyDescent="0.25">
      <c r="A253" t="s">
        <v>2474</v>
      </c>
      <c r="B253" t="s">
        <v>4141</v>
      </c>
      <c r="C253" s="221">
        <v>42959.531168981484</v>
      </c>
      <c r="D253" t="s">
        <v>4142</v>
      </c>
      <c r="E253" s="249" t="str">
        <f>HYPERLINK("https://www.instagram.com/p/BXs27kiDjMv/")</f>
        <v>https://www.instagram.com/p/BXs27kiDjMv/</v>
      </c>
      <c r="F253" t="s">
        <v>4143</v>
      </c>
      <c r="G253" t="s">
        <v>2478</v>
      </c>
      <c r="H253">
        <v>146</v>
      </c>
      <c r="I253" t="s">
        <v>2927</v>
      </c>
      <c r="J253">
        <v>7</v>
      </c>
      <c r="K253">
        <v>21</v>
      </c>
      <c r="L253">
        <v>28</v>
      </c>
      <c r="Q253">
        <v>0</v>
      </c>
      <c r="R253">
        <v>0</v>
      </c>
      <c r="S253">
        <v>28</v>
      </c>
      <c r="T253" t="s">
        <v>4144</v>
      </c>
      <c r="U253" t="s">
        <v>162</v>
      </c>
      <c r="V253" t="s">
        <v>2299</v>
      </c>
      <c r="W253">
        <v>29.568398158072</v>
      </c>
      <c r="X253">
        <v>-97.945190417199001</v>
      </c>
      <c r="Y253" t="s">
        <v>4145</v>
      </c>
      <c r="Z253" t="s">
        <v>4146</v>
      </c>
      <c r="AA253" t="s">
        <v>2497</v>
      </c>
      <c r="AB253" t="s">
        <v>3392</v>
      </c>
      <c r="AC253" t="s">
        <v>4147</v>
      </c>
      <c r="AD253" s="249" t="str">
        <f>HYPERLINK("https://scontent.cdninstagram.com/t51.2885-15/s320x320/e35/20688170_448916998825848_4049148351801720832_n.jpg")</f>
        <v>https://scontent.cdninstagram.com/t51.2885-15/s320x320/e35/20688170_448916998825848_4049148351801720832_n.jpg</v>
      </c>
      <c r="AE253" s="249" t="str">
        <f>HYPERLINK("https://scontent.cdninstagram.com/t51.2885-19/s150x150/18723314_437601433278482_1833024035420635136_a.jpg")</f>
        <v>https://scontent.cdninstagram.com/t51.2885-19/s150x150/18723314_437601433278482_1833024035420635136_a.jpg</v>
      </c>
    </row>
    <row r="254" spans="1:31" ht="15" x14ac:dyDescent="0.25">
      <c r="A254" t="s">
        <v>2474</v>
      </c>
      <c r="B254" t="s">
        <v>4148</v>
      </c>
      <c r="C254" s="221">
        <v>42959.537662037037</v>
      </c>
      <c r="D254" t="s">
        <v>4149</v>
      </c>
      <c r="E254" s="249" t="str">
        <f>HYPERLINK("https://www.instagram.com/p/BXs3__Mgs0a/")</f>
        <v>https://www.instagram.com/p/BXs3__Mgs0a/</v>
      </c>
      <c r="F254" t="s">
        <v>4150</v>
      </c>
      <c r="G254" t="s">
        <v>2478</v>
      </c>
      <c r="H254">
        <v>157</v>
      </c>
      <c r="I254" t="s">
        <v>2479</v>
      </c>
      <c r="J254">
        <v>0</v>
      </c>
      <c r="K254">
        <v>9</v>
      </c>
      <c r="L254">
        <v>9</v>
      </c>
      <c r="Q254">
        <v>0</v>
      </c>
      <c r="R254">
        <v>0</v>
      </c>
      <c r="S254">
        <v>9</v>
      </c>
      <c r="Y254" t="s">
        <v>4151</v>
      </c>
      <c r="Z254" t="s">
        <v>4152</v>
      </c>
      <c r="AA254" t="s">
        <v>4153</v>
      </c>
      <c r="AB254" t="s">
        <v>3196</v>
      </c>
      <c r="AC254" t="s">
        <v>4154</v>
      </c>
      <c r="AD254" s="249" t="str">
        <f>HYPERLINK("https://scontent.cdninstagram.com/t51.2885-15/s320x320/e35/20766961_111403142864260_1352427554459353088_n.jpg")</f>
        <v>https://scontent.cdninstagram.com/t51.2885-15/s320x320/e35/20766961_111403142864260_1352427554459353088_n.jpg</v>
      </c>
      <c r="AE254" s="249" t="str">
        <f>HYPERLINK("https://scontent.cdninstagram.com/t51.2885-19/s150x150/20687812_777554912450628_2712738005994438656_a.jpg")</f>
        <v>https://scontent.cdninstagram.com/t51.2885-19/s150x150/20687812_777554912450628_2712738005994438656_a.jpg</v>
      </c>
    </row>
    <row r="255" spans="1:31" ht="15" x14ac:dyDescent="0.25">
      <c r="A255" t="s">
        <v>2474</v>
      </c>
      <c r="B255" t="s">
        <v>3301</v>
      </c>
      <c r="C255" s="221">
        <v>42959.541805555556</v>
      </c>
      <c r="D255" t="s">
        <v>4155</v>
      </c>
      <c r="E255" s="249" t="str">
        <f>HYPERLINK("https://www.instagram.com/p/BXs4rs0DRiO/")</f>
        <v>https://www.instagram.com/p/BXs4rs0DRiO/</v>
      </c>
      <c r="F255" t="s">
        <v>4156</v>
      </c>
      <c r="G255" t="s">
        <v>2478</v>
      </c>
      <c r="H255">
        <v>581</v>
      </c>
      <c r="I255" t="s">
        <v>2599</v>
      </c>
      <c r="J255">
        <v>10</v>
      </c>
      <c r="K255">
        <v>126</v>
      </c>
      <c r="L255">
        <v>136</v>
      </c>
      <c r="Q255">
        <v>0</v>
      </c>
      <c r="R255">
        <v>0</v>
      </c>
      <c r="S255">
        <v>136</v>
      </c>
      <c r="Y255" t="s">
        <v>4157</v>
      </c>
      <c r="Z255" t="s">
        <v>4158</v>
      </c>
      <c r="AA255" t="s">
        <v>4159</v>
      </c>
      <c r="AB255" t="s">
        <v>4160</v>
      </c>
      <c r="AC255" t="s">
        <v>4161</v>
      </c>
      <c r="AD255" s="249" t="str">
        <f>HYPERLINK("https://scontent.cdninstagram.com/t51.2885-15/s320x320/e35/20687949_261616947685066_3344132154517880832_n.jpg")</f>
        <v>https://scontent.cdninstagram.com/t51.2885-15/s320x320/e35/20687949_261616947685066_3344132154517880832_n.jpg</v>
      </c>
      <c r="AE255" s="249" t="str">
        <f>HYPERLINK("https://scontent.cdninstagram.com/t51.2885-19/s150x150/19228478_370974479971900_5746578409966796800_a.jpg")</f>
        <v>https://scontent.cdninstagram.com/t51.2885-19/s150x150/19228478_370974479971900_5746578409966796800_a.jpg</v>
      </c>
    </row>
    <row r="256" spans="1:31" ht="15" x14ac:dyDescent="0.25">
      <c r="A256" t="s">
        <v>2474</v>
      </c>
      <c r="B256" t="s">
        <v>4162</v>
      </c>
      <c r="C256" s="221">
        <v>42959.550254629627</v>
      </c>
      <c r="D256" t="s">
        <v>4163</v>
      </c>
      <c r="E256" s="249" t="str">
        <f>HYPERLINK("https://www.instagram.com/p/BXs6E1nlzd7/")</f>
        <v>https://www.instagram.com/p/BXs6E1nlzd7/</v>
      </c>
      <c r="F256" t="s">
        <v>4164</v>
      </c>
      <c r="G256" t="s">
        <v>2478</v>
      </c>
      <c r="H256">
        <v>85</v>
      </c>
      <c r="I256" t="s">
        <v>2599</v>
      </c>
      <c r="J256">
        <v>0</v>
      </c>
      <c r="K256">
        <v>23</v>
      </c>
      <c r="L256">
        <v>23</v>
      </c>
      <c r="Q256">
        <v>0</v>
      </c>
      <c r="R256">
        <v>0</v>
      </c>
      <c r="S256">
        <v>23</v>
      </c>
      <c r="Y256" t="s">
        <v>4165</v>
      </c>
      <c r="Z256" t="s">
        <v>3187</v>
      </c>
      <c r="AA256" t="s">
        <v>4166</v>
      </c>
      <c r="AB256" t="s">
        <v>4167</v>
      </c>
      <c r="AC256" t="s">
        <v>4168</v>
      </c>
      <c r="AD256" s="249" t="str">
        <f>HYPERLINK("https://scontent.cdninstagram.com/t51.2885-15/s320x320/e35/20688381_1914949148759364_6829434322072633344_n.jpg")</f>
        <v>https://scontent.cdninstagram.com/t51.2885-15/s320x320/e35/20688381_1914949148759364_6829434322072633344_n.jpg</v>
      </c>
      <c r="AE256" s="249" t="str">
        <f>HYPERLINK("https://scontent.cdninstagram.com/t51.2885-19/11116664_795152947247997_167123700_a.jpg")</f>
        <v>https://scontent.cdninstagram.com/t51.2885-19/11116664_795152947247997_167123700_a.jpg</v>
      </c>
    </row>
    <row r="257" spans="1:31" ht="15" x14ac:dyDescent="0.25">
      <c r="A257" t="s">
        <v>2474</v>
      </c>
      <c r="B257" t="s">
        <v>4169</v>
      </c>
      <c r="C257" s="221">
        <v>42959.561979166669</v>
      </c>
      <c r="D257" t="s">
        <v>4170</v>
      </c>
      <c r="E257" s="249" t="str">
        <f>HYPERLINK("https://www.instagram.com/p/BXs8AhZjeT0/")</f>
        <v>https://www.instagram.com/p/BXs8AhZjeT0/</v>
      </c>
      <c r="F257" t="s">
        <v>4171</v>
      </c>
      <c r="G257" t="s">
        <v>2478</v>
      </c>
      <c r="H257">
        <v>890</v>
      </c>
      <c r="I257" t="s">
        <v>2479</v>
      </c>
      <c r="J257">
        <v>2</v>
      </c>
      <c r="K257">
        <v>51</v>
      </c>
      <c r="L257">
        <v>53</v>
      </c>
      <c r="Q257">
        <v>0</v>
      </c>
      <c r="R257">
        <v>0</v>
      </c>
      <c r="S257">
        <v>53</v>
      </c>
      <c r="Y257" t="s">
        <v>4172</v>
      </c>
      <c r="Z257" t="s">
        <v>4173</v>
      </c>
      <c r="AA257" t="s">
        <v>4174</v>
      </c>
      <c r="AB257" t="s">
        <v>4175</v>
      </c>
      <c r="AC257" t="s">
        <v>4176</v>
      </c>
      <c r="AD257" s="249" t="str">
        <f>HYPERLINK("https://scontent.cdninstagram.com/t51.2885-15/s320x320/e35/20688169_1885205378466620_6221610009176834048_n.jpg")</f>
        <v>https://scontent.cdninstagram.com/t51.2885-15/s320x320/e35/20688169_1885205378466620_6221610009176834048_n.jpg</v>
      </c>
      <c r="AE257" s="249" t="str">
        <f>HYPERLINK("https://scontent.cdninstagram.com/t51.2885-19/s150x150/16230695_1720651414891606_2085795389209837568_a.jpg")</f>
        <v>https://scontent.cdninstagram.com/t51.2885-19/s150x150/16230695_1720651414891606_2085795389209837568_a.jpg</v>
      </c>
    </row>
    <row r="258" spans="1:31" ht="15" x14ac:dyDescent="0.25">
      <c r="A258" t="s">
        <v>2474</v>
      </c>
      <c r="B258" t="s">
        <v>4177</v>
      </c>
      <c r="C258" s="221">
        <v>42959.566493055558</v>
      </c>
      <c r="D258" t="s">
        <v>4178</v>
      </c>
      <c r="E258" s="249" t="str">
        <f>HYPERLINK("https://www.instagram.com/p/BXs8wFwFKRL/")</f>
        <v>https://www.instagram.com/p/BXs8wFwFKRL/</v>
      </c>
      <c r="F258" t="s">
        <v>4179</v>
      </c>
      <c r="G258" t="s">
        <v>2478</v>
      </c>
      <c r="H258">
        <v>318</v>
      </c>
      <c r="I258" t="s">
        <v>2903</v>
      </c>
      <c r="J258">
        <v>2</v>
      </c>
      <c r="K258">
        <v>25</v>
      </c>
      <c r="L258">
        <v>27</v>
      </c>
      <c r="Q258">
        <v>0</v>
      </c>
      <c r="R258">
        <v>0</v>
      </c>
      <c r="S258">
        <v>27</v>
      </c>
      <c r="Y258" t="s">
        <v>2497</v>
      </c>
      <c r="Z258" t="s">
        <v>4180</v>
      </c>
      <c r="AA258" t="s">
        <v>4181</v>
      </c>
      <c r="AB258" t="s">
        <v>4182</v>
      </c>
      <c r="AC258" t="s">
        <v>2492</v>
      </c>
      <c r="AD258" s="249" t="str">
        <f>HYPERLINK("https://scontent.cdninstagram.com/t51.2885-15/s320x320/e35/20688291_261230674372176_155763706318290944_n.jpg")</f>
        <v>https://scontent.cdninstagram.com/t51.2885-15/s320x320/e35/20688291_261230674372176_155763706318290944_n.jpg</v>
      </c>
      <c r="AE258" s="249" t="str">
        <f>HYPERLINK("https://scontent.cdninstagram.com/t51.2885-19/s150x150/20687301_198356174032293_5970088628309721088_a.jpg")</f>
        <v>https://scontent.cdninstagram.com/t51.2885-19/s150x150/20687301_198356174032293_5970088628309721088_a.jpg</v>
      </c>
    </row>
    <row r="259" spans="1:31" ht="15" x14ac:dyDescent="0.25">
      <c r="A259" t="s">
        <v>2474</v>
      </c>
      <c r="B259" t="s">
        <v>4183</v>
      </c>
      <c r="C259" s="221">
        <v>42959.572743055556</v>
      </c>
      <c r="D259" t="s">
        <v>4184</v>
      </c>
      <c r="E259" s="249" t="str">
        <f>HYPERLINK("https://www.instagram.com/p/BXs9yDthf4O/")</f>
        <v>https://www.instagram.com/p/BXs9yDthf4O/</v>
      </c>
      <c r="F259" t="s">
        <v>4185</v>
      </c>
      <c r="G259" t="s">
        <v>2478</v>
      </c>
      <c r="H259">
        <v>64642</v>
      </c>
      <c r="I259" t="s">
        <v>2479</v>
      </c>
      <c r="J259">
        <v>1</v>
      </c>
      <c r="K259">
        <v>206</v>
      </c>
      <c r="L259">
        <v>207</v>
      </c>
      <c r="Q259">
        <v>0</v>
      </c>
      <c r="R259">
        <v>0</v>
      </c>
      <c r="S259">
        <v>207</v>
      </c>
      <c r="Y259" t="s">
        <v>4186</v>
      </c>
      <c r="Z259" t="s">
        <v>4187</v>
      </c>
      <c r="AA259" t="s">
        <v>4188</v>
      </c>
      <c r="AB259" t="s">
        <v>2575</v>
      </c>
      <c r="AC259" t="s">
        <v>4189</v>
      </c>
      <c r="AD259" s="249" t="str">
        <f>HYPERLINK("https://scontent.cdninstagram.com/t51.2885-15/s320x320/e35/20688244_162637817636444_3991715353334906880_n.jpg")</f>
        <v>https://scontent.cdninstagram.com/t51.2885-15/s320x320/e35/20688244_162637817636444_3991715353334906880_n.jpg</v>
      </c>
      <c r="AE259" s="249" t="str">
        <f>HYPERLINK("https://scontent.cdninstagram.com/t51.2885-19/1389360_1021318631246861_258582910_a.jpg")</f>
        <v>https://scontent.cdninstagram.com/t51.2885-19/1389360_1021318631246861_258582910_a.jpg</v>
      </c>
    </row>
    <row r="260" spans="1:31" ht="15" x14ac:dyDescent="0.25">
      <c r="A260" t="s">
        <v>2474</v>
      </c>
      <c r="B260" t="s">
        <v>4190</v>
      </c>
      <c r="C260" s="221">
        <v>42959.572847222225</v>
      </c>
      <c r="D260" t="s">
        <v>4191</v>
      </c>
      <c r="E260" s="249" t="str">
        <f>HYPERLINK("https://www.instagram.com/p/BXs9zEMhKps/")</f>
        <v>https://www.instagram.com/p/BXs9zEMhKps/</v>
      </c>
      <c r="F260" t="s">
        <v>4192</v>
      </c>
      <c r="G260" t="s">
        <v>2631</v>
      </c>
      <c r="H260">
        <v>361</v>
      </c>
      <c r="I260" t="s">
        <v>2479</v>
      </c>
      <c r="J260">
        <v>0</v>
      </c>
      <c r="K260">
        <v>10</v>
      </c>
      <c r="L260">
        <v>10</v>
      </c>
      <c r="Q260">
        <v>0</v>
      </c>
      <c r="R260">
        <v>0</v>
      </c>
      <c r="S260">
        <v>10</v>
      </c>
      <c r="Y260" t="s">
        <v>4193</v>
      </c>
      <c r="Z260" t="s">
        <v>4194</v>
      </c>
      <c r="AA260" t="s">
        <v>2958</v>
      </c>
      <c r="AB260" t="s">
        <v>4195</v>
      </c>
      <c r="AC260" t="s">
        <v>4196</v>
      </c>
      <c r="AD260" s="249" t="str">
        <f>HYPERLINK("https://scontent.cdninstagram.com/t51.2885-15/s320x320/e15/20837095_282340875506041_1732581217271808_n.jpg")</f>
        <v>https://scontent.cdninstagram.com/t51.2885-15/s320x320/e15/20837095_282340875506041_1732581217271808_n.jpg</v>
      </c>
      <c r="AE260" s="249" t="str">
        <f>HYPERLINK("https://scontent.cdninstagram.com/t51.2885-19/s150x150/15624368_1776793859248571_1550873550548631552_a.jpg")</f>
        <v>https://scontent.cdninstagram.com/t51.2885-19/s150x150/15624368_1776793859248571_1550873550548631552_a.jpg</v>
      </c>
    </row>
    <row r="261" spans="1:31" ht="15" x14ac:dyDescent="0.25">
      <c r="A261" t="s">
        <v>2474</v>
      </c>
      <c r="B261" t="s">
        <v>4197</v>
      </c>
      <c r="C261" s="221">
        <v>42959.573437500003</v>
      </c>
      <c r="D261" t="s">
        <v>4198</v>
      </c>
      <c r="E261" s="249" t="str">
        <f>HYPERLINK("https://www.instagram.com/p/BXs95W8FjS_/")</f>
        <v>https://www.instagram.com/p/BXs95W8FjS_/</v>
      </c>
      <c r="F261" t="s">
        <v>4199</v>
      </c>
      <c r="G261" t="s">
        <v>2478</v>
      </c>
      <c r="H261">
        <v>463</v>
      </c>
      <c r="I261" t="s">
        <v>2479</v>
      </c>
      <c r="J261">
        <v>13</v>
      </c>
      <c r="K261">
        <v>62</v>
      </c>
      <c r="L261">
        <v>75</v>
      </c>
      <c r="Q261">
        <v>0</v>
      </c>
      <c r="R261">
        <v>0</v>
      </c>
      <c r="S261">
        <v>75</v>
      </c>
      <c r="T261" t="s">
        <v>4200</v>
      </c>
      <c r="V261" t="s">
        <v>2110</v>
      </c>
      <c r="W261">
        <v>50.783299999999997</v>
      </c>
      <c r="X261">
        <v>3.0333299999999999</v>
      </c>
      <c r="Y261" t="s">
        <v>4201</v>
      </c>
      <c r="Z261" t="s">
        <v>4026</v>
      </c>
      <c r="AA261" t="s">
        <v>4202</v>
      </c>
      <c r="AB261" t="s">
        <v>2497</v>
      </c>
      <c r="AD261" s="249" t="str">
        <f>HYPERLINK("https://scontent.cdninstagram.com/t51.2885-15/s320x320/e35/20759880_489684344715685_6023124276050132992_n.jpg")</f>
        <v>https://scontent.cdninstagram.com/t51.2885-15/s320x320/e35/20759880_489684344715685_6023124276050132992_n.jpg</v>
      </c>
      <c r="AE261" s="249" t="str">
        <f>HYPERLINK("https://scontent.cdninstagram.com/t51.2885-19/s150x150/20766880_1939404262946265_2874136722289983488_a.jpg")</f>
        <v>https://scontent.cdninstagram.com/t51.2885-19/s150x150/20766880_1939404262946265_2874136722289983488_a.jpg</v>
      </c>
    </row>
    <row r="262" spans="1:31" ht="15" x14ac:dyDescent="0.25">
      <c r="A262" t="s">
        <v>2474</v>
      </c>
      <c r="B262" t="s">
        <v>4203</v>
      </c>
      <c r="C262" s="221">
        <v>42959.58865740741</v>
      </c>
      <c r="D262" t="s">
        <v>4204</v>
      </c>
      <c r="E262" s="249" t="str">
        <f>HYPERLINK("https://www.instagram.com/p/BXtAZ2QBuB_/")</f>
        <v>https://www.instagram.com/p/BXtAZ2QBuB_/</v>
      </c>
      <c r="F262" t="s">
        <v>4205</v>
      </c>
      <c r="G262" t="s">
        <v>2478</v>
      </c>
      <c r="H262">
        <v>1360</v>
      </c>
      <c r="I262" t="s">
        <v>2896</v>
      </c>
      <c r="J262">
        <v>0</v>
      </c>
      <c r="K262">
        <v>125</v>
      </c>
      <c r="L262">
        <v>125</v>
      </c>
      <c r="Q262">
        <v>0</v>
      </c>
      <c r="R262">
        <v>0</v>
      </c>
      <c r="S262">
        <v>125</v>
      </c>
      <c r="Y262" t="s">
        <v>4206</v>
      </c>
      <c r="Z262" t="s">
        <v>4207</v>
      </c>
      <c r="AA262" t="s">
        <v>4208</v>
      </c>
      <c r="AB262" t="s">
        <v>4209</v>
      </c>
      <c r="AC262" t="s">
        <v>4210</v>
      </c>
      <c r="AD262" s="249" t="str">
        <f>HYPERLINK("https://scontent.cdninstagram.com/t51.2885-15/s320x320/e35/c0.135.1080.1080/20766589_841795382650206_4463421522576408576_n.jpg")</f>
        <v>https://scontent.cdninstagram.com/t51.2885-15/s320x320/e35/c0.135.1080.1080/20766589_841795382650206_4463421522576408576_n.jpg</v>
      </c>
      <c r="AE262" s="249" t="str">
        <f>HYPERLINK("https://scontent.cdninstagram.com/t51.2885-19/s150x150/13649256_175567579531589_1584990847_a.jpg")</f>
        <v>https://scontent.cdninstagram.com/t51.2885-19/s150x150/13649256_175567579531589_1584990847_a.jpg</v>
      </c>
    </row>
    <row r="263" spans="1:31" ht="15" x14ac:dyDescent="0.25">
      <c r="A263" t="s">
        <v>2474</v>
      </c>
      <c r="B263" t="s">
        <v>4211</v>
      </c>
      <c r="C263" s="221">
        <v>42959.590925925928</v>
      </c>
      <c r="D263" t="s">
        <v>4212</v>
      </c>
      <c r="E263" s="249" t="str">
        <f>HYPERLINK("https://www.instagram.com/p/BXtAx2yl4js/")</f>
        <v>https://www.instagram.com/p/BXtAx2yl4js/</v>
      </c>
      <c r="F263" t="s">
        <v>4213</v>
      </c>
      <c r="G263" t="s">
        <v>2478</v>
      </c>
      <c r="H263">
        <v>486</v>
      </c>
      <c r="I263" t="s">
        <v>3575</v>
      </c>
      <c r="J263">
        <v>1</v>
      </c>
      <c r="K263">
        <v>38</v>
      </c>
      <c r="L263">
        <v>39</v>
      </c>
      <c r="Q263">
        <v>0</v>
      </c>
      <c r="R263">
        <v>0</v>
      </c>
      <c r="S263">
        <v>39</v>
      </c>
      <c r="T263" t="s">
        <v>4214</v>
      </c>
      <c r="V263" t="s">
        <v>2264</v>
      </c>
      <c r="W263">
        <v>40.4</v>
      </c>
      <c r="X263">
        <v>-3.6833300000000002</v>
      </c>
      <c r="Y263" t="s">
        <v>4215</v>
      </c>
      <c r="Z263" t="s">
        <v>4216</v>
      </c>
      <c r="AA263" t="s">
        <v>4217</v>
      </c>
      <c r="AB263" t="s">
        <v>2497</v>
      </c>
      <c r="AC263" t="s">
        <v>4218</v>
      </c>
      <c r="AD263" s="249" t="str">
        <f>HYPERLINK("https://scontent.cdninstagram.com/t51.2885-15/s320x320/e35/c0.135.1080.1080/20766441_115746855711431_2963488246958391296_n.jpg")</f>
        <v>https://scontent.cdninstagram.com/t51.2885-15/s320x320/e35/c0.135.1080.1080/20766441_115746855711431_2963488246958391296_n.jpg</v>
      </c>
      <c r="AE263" s="249" t="str">
        <f>HYPERLINK("https://scontent.cdninstagram.com/t51.2885-19/s150x150/12519300_1673318256290247_1045521383_a.jpg")</f>
        <v>https://scontent.cdninstagram.com/t51.2885-19/s150x150/12519300_1673318256290247_1045521383_a.jpg</v>
      </c>
    </row>
    <row r="264" spans="1:31" ht="15" x14ac:dyDescent="0.25">
      <c r="A264" t="s">
        <v>2474</v>
      </c>
      <c r="B264" t="s">
        <v>4219</v>
      </c>
      <c r="C264" s="221">
        <v>42959.608298611114</v>
      </c>
      <c r="D264" t="s">
        <v>4220</v>
      </c>
      <c r="E264" s="249" t="str">
        <f>HYPERLINK("https://www.instagram.com/p/BXtDpCaAE9k/")</f>
        <v>https://www.instagram.com/p/BXtDpCaAE9k/</v>
      </c>
      <c r="F264" t="s">
        <v>4221</v>
      </c>
      <c r="G264" t="s">
        <v>2478</v>
      </c>
      <c r="H264">
        <v>1059</v>
      </c>
      <c r="I264" t="s">
        <v>2519</v>
      </c>
      <c r="J264">
        <v>0</v>
      </c>
      <c r="K264">
        <v>14</v>
      </c>
      <c r="L264">
        <v>14</v>
      </c>
      <c r="Q264">
        <v>0</v>
      </c>
      <c r="R264">
        <v>0</v>
      </c>
      <c r="S264">
        <v>14</v>
      </c>
      <c r="T264" t="s">
        <v>4222</v>
      </c>
      <c r="U264" t="s">
        <v>178</v>
      </c>
      <c r="V264" t="s">
        <v>2299</v>
      </c>
      <c r="W264">
        <v>29.957116748741001</v>
      </c>
      <c r="X264">
        <v>-90.064974700403994</v>
      </c>
      <c r="Y264" t="s">
        <v>4223</v>
      </c>
      <c r="Z264" t="s">
        <v>4224</v>
      </c>
      <c r="AA264" t="s">
        <v>4225</v>
      </c>
      <c r="AB264" t="s">
        <v>3110</v>
      </c>
      <c r="AC264" t="s">
        <v>4226</v>
      </c>
      <c r="AD264" s="249" t="str">
        <f>HYPERLINK("https://scontent.cdninstagram.com/t51.2885-15/s320x320/e35/c0.134.1080.1080/20759443_163357567572419_3701370818186444800_n.jpg")</f>
        <v>https://scontent.cdninstagram.com/t51.2885-15/s320x320/e35/c0.134.1080.1080/20759443_163357567572419_3701370818186444800_n.jpg</v>
      </c>
      <c r="AE264" s="249" t="str">
        <f>HYPERLINK("https://scontent.cdninstagram.com/t51.2885-19/s150x150/12543255_1010117449058622_175813860_a.jpg")</f>
        <v>https://scontent.cdninstagram.com/t51.2885-19/s150x150/12543255_1010117449058622_175813860_a.jpg</v>
      </c>
    </row>
    <row r="265" spans="1:31" ht="15" x14ac:dyDescent="0.25">
      <c r="A265" t="s">
        <v>2474</v>
      </c>
      <c r="B265" t="s">
        <v>3761</v>
      </c>
      <c r="C265" s="221">
        <v>42959.619571759256</v>
      </c>
      <c r="D265" t="s">
        <v>4227</v>
      </c>
      <c r="E265" s="249" t="str">
        <f>HYPERLINK("https://www.instagram.com/p/BXtFf6SHwB-/")</f>
        <v>https://www.instagram.com/p/BXtFf6SHwB-/</v>
      </c>
      <c r="F265" t="s">
        <v>4228</v>
      </c>
      <c r="G265" t="s">
        <v>2478</v>
      </c>
      <c r="H265">
        <v>35699</v>
      </c>
      <c r="I265" t="s">
        <v>2479</v>
      </c>
      <c r="J265">
        <v>2</v>
      </c>
      <c r="K265">
        <v>33</v>
      </c>
      <c r="L265">
        <v>35</v>
      </c>
      <c r="Q265">
        <v>0</v>
      </c>
      <c r="R265">
        <v>0</v>
      </c>
      <c r="S265">
        <v>35</v>
      </c>
      <c r="Y265" t="s">
        <v>4229</v>
      </c>
      <c r="Z265" t="s">
        <v>4230</v>
      </c>
      <c r="AA265" t="s">
        <v>4231</v>
      </c>
      <c r="AB265" t="s">
        <v>4232</v>
      </c>
      <c r="AC265" t="s">
        <v>4233</v>
      </c>
      <c r="AD265" s="249" t="str">
        <f>HYPERLINK("https://scontent.cdninstagram.com/t51.2885-15/s320x320/e35/20687837_1857973291130713_1385665863981465600_n.jpg")</f>
        <v>https://scontent.cdninstagram.com/t51.2885-15/s320x320/e35/20687837_1857973291130713_1385665863981465600_n.jpg</v>
      </c>
      <c r="AE265" s="249" t="str">
        <f>HYPERLINK("https://scontent.cdninstagram.com/t51.2885-19/s150x150/19985865_1705783593058831_5928851088227696640_n.jpg")</f>
        <v>https://scontent.cdninstagram.com/t51.2885-19/s150x150/19985865_1705783593058831_5928851088227696640_n.jpg</v>
      </c>
    </row>
    <row r="266" spans="1:31" ht="15" x14ac:dyDescent="0.25">
      <c r="A266" t="s">
        <v>2474</v>
      </c>
      <c r="B266" t="s">
        <v>4234</v>
      </c>
      <c r="C266" s="221">
        <v>42959.625787037039</v>
      </c>
      <c r="D266" t="s">
        <v>4235</v>
      </c>
      <c r="E266" s="249" t="str">
        <f>HYPERLINK("https://www.instagram.com/p/BXtGhbsgLF3/")</f>
        <v>https://www.instagram.com/p/BXtGhbsgLF3/</v>
      </c>
      <c r="F266" t="s">
        <v>4236</v>
      </c>
      <c r="G266" t="s">
        <v>2478</v>
      </c>
      <c r="H266">
        <v>225</v>
      </c>
      <c r="I266" t="s">
        <v>3273</v>
      </c>
      <c r="J266">
        <v>0</v>
      </c>
      <c r="K266">
        <v>22</v>
      </c>
      <c r="L266">
        <v>22</v>
      </c>
      <c r="Q266">
        <v>0</v>
      </c>
      <c r="R266">
        <v>0</v>
      </c>
      <c r="S266">
        <v>22</v>
      </c>
      <c r="Y266" t="s">
        <v>4237</v>
      </c>
      <c r="Z266" t="s">
        <v>4238</v>
      </c>
      <c r="AA266" t="s">
        <v>2497</v>
      </c>
      <c r="AB266" t="s">
        <v>4239</v>
      </c>
      <c r="AC266" t="s">
        <v>4240</v>
      </c>
      <c r="AD266" s="249" t="str">
        <f>HYPERLINK("https://scontent.cdninstagram.com/t51.2885-15/s320x320/e35/20759526_121111698537310_7525296024198316032_n.jpg")</f>
        <v>https://scontent.cdninstagram.com/t51.2885-15/s320x320/e35/20759526_121111698537310_7525296024198316032_n.jpg</v>
      </c>
      <c r="AE266" s="249" t="str">
        <f>HYPERLINK("https://scontent.cdninstagram.com/t51.2885-19/10948882_1546057842345999_1701428566_a.jpg")</f>
        <v>https://scontent.cdninstagram.com/t51.2885-19/10948882_1546057842345999_1701428566_a.jpg</v>
      </c>
    </row>
    <row r="267" spans="1:31" ht="15" x14ac:dyDescent="0.25">
      <c r="A267" t="s">
        <v>2474</v>
      </c>
      <c r="B267" t="s">
        <v>2588</v>
      </c>
      <c r="C267" s="221">
        <v>42959.632303240738</v>
      </c>
      <c r="D267" t="s">
        <v>4241</v>
      </c>
      <c r="E267" s="249" t="str">
        <f>HYPERLINK("https://www.instagram.com/p/BXtHmOkA4YG/")</f>
        <v>https://www.instagram.com/p/BXtHmOkA4YG/</v>
      </c>
      <c r="F267" t="s">
        <v>4242</v>
      </c>
      <c r="G267" t="s">
        <v>2478</v>
      </c>
      <c r="H267">
        <v>243</v>
      </c>
      <c r="I267" t="s">
        <v>2479</v>
      </c>
      <c r="J267">
        <v>9</v>
      </c>
      <c r="K267">
        <v>115</v>
      </c>
      <c r="L267">
        <v>124</v>
      </c>
      <c r="Q267">
        <v>0</v>
      </c>
      <c r="R267">
        <v>0</v>
      </c>
      <c r="S267">
        <v>124</v>
      </c>
      <c r="AD267" s="249" t="str">
        <f>HYPERLINK("https://scontent.cdninstagram.com/t51.2885-15/s320x320/e35/c34.0.571.571/20759657_326002821176777_4292409140464058368_n.jpg")</f>
        <v>https://scontent.cdninstagram.com/t51.2885-15/s320x320/e35/c34.0.571.571/20759657_326002821176777_4292409140464058368_n.jpg</v>
      </c>
      <c r="AE267" s="249" t="str">
        <f>HYPERLINK("https://scontent.cdninstagram.com/t51.2885-19/s150x150/20633561_108840983138666_5897549723056734208_a.jpg")</f>
        <v>https://scontent.cdninstagram.com/t51.2885-19/s150x150/20633561_108840983138666_5897549723056734208_a.jpg</v>
      </c>
    </row>
    <row r="268" spans="1:31" ht="15" x14ac:dyDescent="0.25">
      <c r="A268" t="s">
        <v>2474</v>
      </c>
      <c r="B268" t="s">
        <v>4243</v>
      </c>
      <c r="C268" s="221">
        <v>42959.6325</v>
      </c>
      <c r="D268" t="s">
        <v>4244</v>
      </c>
      <c r="E268" s="249" t="str">
        <f>HYPERLINK("https://www.instagram.com/p/BXtHoU-AMC3/")</f>
        <v>https://www.instagram.com/p/BXtHoU-AMC3/</v>
      </c>
      <c r="F268" t="s">
        <v>4245</v>
      </c>
      <c r="G268" t="s">
        <v>2478</v>
      </c>
      <c r="H268">
        <v>124</v>
      </c>
      <c r="I268" t="s">
        <v>2479</v>
      </c>
      <c r="J268">
        <v>3</v>
      </c>
      <c r="K268">
        <v>14</v>
      </c>
      <c r="L268">
        <v>17</v>
      </c>
      <c r="Q268">
        <v>0</v>
      </c>
      <c r="R268">
        <v>0</v>
      </c>
      <c r="S268">
        <v>17</v>
      </c>
      <c r="Y268" t="s">
        <v>4246</v>
      </c>
      <c r="Z268" t="s">
        <v>4247</v>
      </c>
      <c r="AA268" t="s">
        <v>4248</v>
      </c>
      <c r="AB268" t="s">
        <v>2696</v>
      </c>
      <c r="AC268" t="s">
        <v>4249</v>
      </c>
      <c r="AD268" s="249" t="str">
        <f>HYPERLINK("https://scontent.cdninstagram.com/t51.2885-15/s320x320/e35/c0.90.720.720/20766336_1388230677891821_3751731276827066368_n.jpg")</f>
        <v>https://scontent.cdninstagram.com/t51.2885-15/s320x320/e35/c0.90.720.720/20766336_1388230677891821_3751731276827066368_n.jpg</v>
      </c>
      <c r="AE268" s="249" t="str">
        <f>HYPERLINK("https://scontent.cdninstagram.com/t51.2885-19/s150x150/20766223_262997544194096_1461731139247931392_a.jpg")</f>
        <v>https://scontent.cdninstagram.com/t51.2885-19/s150x150/20766223_262997544194096_1461731139247931392_a.jpg</v>
      </c>
    </row>
    <row r="269" spans="1:31" ht="15" x14ac:dyDescent="0.25">
      <c r="A269" t="s">
        <v>2474</v>
      </c>
      <c r="B269" t="s">
        <v>4250</v>
      </c>
      <c r="C269" s="221">
        <v>42959.633761574078</v>
      </c>
      <c r="D269" t="s">
        <v>4251</v>
      </c>
      <c r="E269" s="249" t="str">
        <f>HYPERLINK("https://www.instagram.com/p/BXtH1kalZRH/")</f>
        <v>https://www.instagram.com/p/BXtH1kalZRH/</v>
      </c>
      <c r="F269" t="s">
        <v>4252</v>
      </c>
      <c r="G269" t="s">
        <v>2478</v>
      </c>
      <c r="H269">
        <v>811</v>
      </c>
      <c r="I269" t="s">
        <v>2479</v>
      </c>
      <c r="J269">
        <v>27</v>
      </c>
      <c r="K269">
        <v>190</v>
      </c>
      <c r="L269">
        <v>217</v>
      </c>
      <c r="Q269">
        <v>0</v>
      </c>
      <c r="R269">
        <v>0</v>
      </c>
      <c r="S269">
        <v>217</v>
      </c>
      <c r="Y269" t="s">
        <v>2497</v>
      </c>
      <c r="Z269" t="s">
        <v>4253</v>
      </c>
      <c r="AA269" t="s">
        <v>4180</v>
      </c>
      <c r="AB269" t="s">
        <v>4254</v>
      </c>
      <c r="AC269" t="s">
        <v>4255</v>
      </c>
      <c r="AD269" s="249" t="str">
        <f>HYPERLINK("https://scontent.cdninstagram.com/t51.2885-15/s320x320/e35/20688111_426972401037400_2748596344351358976_n.jpg")</f>
        <v>https://scontent.cdninstagram.com/t51.2885-15/s320x320/e35/20688111_426972401037400_2748596344351358976_n.jpg</v>
      </c>
      <c r="AE269" s="249" t="str">
        <f>HYPERLINK("https://scontent.cdninstagram.com/t51.2885-19/s150x150/17125517_387862484933165_1994195784169422848_a.jpg")</f>
        <v>https://scontent.cdninstagram.com/t51.2885-19/s150x150/17125517_387862484933165_1994195784169422848_a.jpg</v>
      </c>
    </row>
    <row r="270" spans="1:31" ht="15" x14ac:dyDescent="0.25">
      <c r="A270" t="s">
        <v>2474</v>
      </c>
      <c r="B270" t="s">
        <v>4256</v>
      </c>
      <c r="C270" s="221">
        <v>42959.642384259256</v>
      </c>
      <c r="D270" t="s">
        <v>4257</v>
      </c>
      <c r="E270" s="249" t="str">
        <f>HYPERLINK("https://www.instagram.com/p/BXtJQlXlYyF/")</f>
        <v>https://www.instagram.com/p/BXtJQlXlYyF/</v>
      </c>
      <c r="F270" t="s">
        <v>4258</v>
      </c>
      <c r="G270" t="s">
        <v>2631</v>
      </c>
      <c r="H270">
        <v>33</v>
      </c>
      <c r="I270" t="s">
        <v>2479</v>
      </c>
      <c r="J270">
        <v>0</v>
      </c>
      <c r="K270">
        <v>1</v>
      </c>
      <c r="L270">
        <v>1</v>
      </c>
      <c r="Q270">
        <v>0</v>
      </c>
      <c r="R270">
        <v>0</v>
      </c>
      <c r="S270">
        <v>1</v>
      </c>
      <c r="Y270" t="s">
        <v>4259</v>
      </c>
      <c r="Z270" t="s">
        <v>2497</v>
      </c>
      <c r="AD270" s="249" t="str">
        <f>HYPERLINK("https://scontent.cdninstagram.com/t51.2885-15/s320x320/e15/20687901_348013238965038_5728776079762522112_n.jpg")</f>
        <v>https://scontent.cdninstagram.com/t51.2885-15/s320x320/e15/20687901_348013238965038_5728776079762522112_n.jpg</v>
      </c>
      <c r="AE270" s="249" t="str">
        <f>HYPERLINK("https://scontent.cdninstagram.com/t51.2885-19/s150x150/20214114_114540235858884_4292981221517950976_a.jpg")</f>
        <v>https://scontent.cdninstagram.com/t51.2885-19/s150x150/20214114_114540235858884_4292981221517950976_a.jpg</v>
      </c>
    </row>
    <row r="271" spans="1:31" ht="15" x14ac:dyDescent="0.25">
      <c r="A271" t="s">
        <v>2474</v>
      </c>
      <c r="B271" t="s">
        <v>4260</v>
      </c>
      <c r="C271" s="221">
        <v>42959.64466435185</v>
      </c>
      <c r="D271" t="s">
        <v>4261</v>
      </c>
      <c r="E271" s="249" t="str">
        <f>HYPERLINK("https://www.instagram.com/p/BXtJoiKlFip/")</f>
        <v>https://www.instagram.com/p/BXtJoiKlFip/</v>
      </c>
      <c r="F271" t="s">
        <v>4262</v>
      </c>
      <c r="G271" t="s">
        <v>2478</v>
      </c>
      <c r="H271">
        <v>400</v>
      </c>
      <c r="I271" t="s">
        <v>3898</v>
      </c>
      <c r="J271">
        <v>0</v>
      </c>
      <c r="K271">
        <v>27</v>
      </c>
      <c r="L271">
        <v>27</v>
      </c>
      <c r="Q271">
        <v>0</v>
      </c>
      <c r="R271">
        <v>0</v>
      </c>
      <c r="S271">
        <v>27</v>
      </c>
      <c r="Y271" t="s">
        <v>4263</v>
      </c>
      <c r="Z271" t="s">
        <v>4264</v>
      </c>
      <c r="AA271" t="s">
        <v>2497</v>
      </c>
      <c r="AB271" t="s">
        <v>4265</v>
      </c>
      <c r="AC271" t="s">
        <v>4266</v>
      </c>
      <c r="AD271" s="249" t="str">
        <f>HYPERLINK("https://scontent.cdninstagram.com/t51.2885-15/s320x320/e35/20688651_249580688895286_4775453473611186176_n.jpg")</f>
        <v>https://scontent.cdninstagram.com/t51.2885-15/s320x320/e35/20688651_249580688895286_4775453473611186176_n.jpg</v>
      </c>
      <c r="AE271" s="249" t="str">
        <f>HYPERLINK("https://scontent.cdninstagram.com/t51.2885-19/s150x150/12070596_1015260441866916_2132808160_a.jpg")</f>
        <v>https://scontent.cdninstagram.com/t51.2885-19/s150x150/12070596_1015260441866916_2132808160_a.jpg</v>
      </c>
    </row>
    <row r="272" spans="1:31" ht="15" x14ac:dyDescent="0.25">
      <c r="A272" t="s">
        <v>2474</v>
      </c>
      <c r="B272" t="s">
        <v>4267</v>
      </c>
      <c r="C272" s="221">
        <v>42959.653738425928</v>
      </c>
      <c r="D272" t="s">
        <v>4268</v>
      </c>
      <c r="E272" s="249" t="str">
        <f>HYPERLINK("https://www.instagram.com/p/BXtLITEB0QK/")</f>
        <v>https://www.instagram.com/p/BXtLITEB0QK/</v>
      </c>
      <c r="F272" t="s">
        <v>4269</v>
      </c>
      <c r="G272" t="s">
        <v>2478</v>
      </c>
      <c r="H272">
        <v>596</v>
      </c>
      <c r="I272" t="s">
        <v>2479</v>
      </c>
      <c r="J272">
        <v>0</v>
      </c>
      <c r="K272">
        <v>38</v>
      </c>
      <c r="L272">
        <v>38</v>
      </c>
      <c r="Q272">
        <v>0</v>
      </c>
      <c r="R272">
        <v>0</v>
      </c>
      <c r="S272">
        <v>38</v>
      </c>
      <c r="Y272" t="s">
        <v>4270</v>
      </c>
      <c r="Z272" t="s">
        <v>4271</v>
      </c>
      <c r="AA272" t="s">
        <v>2497</v>
      </c>
      <c r="AB272" t="s">
        <v>4272</v>
      </c>
      <c r="AC272" t="s">
        <v>4273</v>
      </c>
      <c r="AD272" s="249" t="str">
        <f>HYPERLINK("https://scontent.cdninstagram.com/t51.2885-15/s320x320/e35/c0.133.1066.1066/20759785_1218738064938588_7729929307224539136_n.jpg")</f>
        <v>https://scontent.cdninstagram.com/t51.2885-15/s320x320/e35/c0.133.1066.1066/20759785_1218738064938588_7729929307224539136_n.jpg</v>
      </c>
      <c r="AE272" s="249" t="str">
        <f>HYPERLINK("https://scontent.cdninstagram.com/t51.2885-19/s150x150/20766413_1882474285413488_8374540788104691712_a.jpg")</f>
        <v>https://scontent.cdninstagram.com/t51.2885-19/s150x150/20766413_1882474285413488_8374540788104691712_a.jpg</v>
      </c>
    </row>
    <row r="273" spans="1:31" ht="15" x14ac:dyDescent="0.25">
      <c r="A273" t="s">
        <v>2474</v>
      </c>
      <c r="B273" t="s">
        <v>3523</v>
      </c>
      <c r="C273" s="221">
        <v>42959.65797453704</v>
      </c>
      <c r="D273" t="s">
        <v>4274</v>
      </c>
      <c r="E273" s="249" t="str">
        <f>HYPERLINK("https://www.instagram.com/p/BXtL08mFaIA/")</f>
        <v>https://www.instagram.com/p/BXtL08mFaIA/</v>
      </c>
      <c r="F273" t="s">
        <v>4275</v>
      </c>
      <c r="G273" t="s">
        <v>2478</v>
      </c>
      <c r="H273">
        <v>793</v>
      </c>
      <c r="I273" t="s">
        <v>2542</v>
      </c>
      <c r="J273">
        <v>0</v>
      </c>
      <c r="K273">
        <v>47</v>
      </c>
      <c r="L273">
        <v>47</v>
      </c>
      <c r="Q273">
        <v>0</v>
      </c>
      <c r="R273">
        <v>0</v>
      </c>
      <c r="S273">
        <v>47</v>
      </c>
      <c r="Y273" t="s">
        <v>4276</v>
      </c>
      <c r="Z273" t="s">
        <v>4277</v>
      </c>
      <c r="AA273" t="s">
        <v>4278</v>
      </c>
      <c r="AB273" t="s">
        <v>4279</v>
      </c>
      <c r="AC273" t="s">
        <v>4280</v>
      </c>
      <c r="AD273" s="249" t="str">
        <f>HYPERLINK("https://scontent.cdninstagram.com/t51.2885-15/s320x320/e35/20688675_119309788657747_1146081610274177024_n.jpg")</f>
        <v>https://scontent.cdninstagram.com/t51.2885-15/s320x320/e35/20688675_119309788657747_1146081610274177024_n.jpg</v>
      </c>
      <c r="AE273" s="249" t="str">
        <f>HYPERLINK("https://scontent.cdninstagram.com/t51.2885-19/s150x150/13423548_1579884235642985_2055615186_a.jpg")</f>
        <v>https://scontent.cdninstagram.com/t51.2885-19/s150x150/13423548_1579884235642985_2055615186_a.jpg</v>
      </c>
    </row>
    <row r="274" spans="1:31" ht="15" x14ac:dyDescent="0.25">
      <c r="A274" t="s">
        <v>2474</v>
      </c>
      <c r="B274" t="s">
        <v>4281</v>
      </c>
      <c r="C274" s="221">
        <v>42959.659525462965</v>
      </c>
      <c r="D274" t="s">
        <v>4282</v>
      </c>
      <c r="E274" s="249" t="str">
        <f>HYPERLINK("https://www.instagram.com/p/BXtMFVWlWSs/")</f>
        <v>https://www.instagram.com/p/BXtMFVWlWSs/</v>
      </c>
      <c r="F274" t="s">
        <v>4283</v>
      </c>
      <c r="G274" t="s">
        <v>2478</v>
      </c>
      <c r="H274">
        <v>350</v>
      </c>
      <c r="I274" t="s">
        <v>2542</v>
      </c>
      <c r="J274">
        <v>1</v>
      </c>
      <c r="K274">
        <v>278</v>
      </c>
      <c r="L274">
        <v>279</v>
      </c>
      <c r="Q274">
        <v>0</v>
      </c>
      <c r="R274">
        <v>0</v>
      </c>
      <c r="S274">
        <v>279</v>
      </c>
      <c r="Y274" t="s">
        <v>4284</v>
      </c>
      <c r="Z274" t="s">
        <v>4285</v>
      </c>
      <c r="AA274" t="s">
        <v>4286</v>
      </c>
      <c r="AB274" t="s">
        <v>4287</v>
      </c>
      <c r="AC274" t="s">
        <v>4288</v>
      </c>
      <c r="AD274" s="249" t="str">
        <f>HYPERLINK("https://scontent.cdninstagram.com/t51.2885-15/s320x320/e35/c98.0.436.436/20688088_268622980305134_2085911666859442176_n.jpg")</f>
        <v>https://scontent.cdninstagram.com/t51.2885-15/s320x320/e35/c98.0.436.436/20688088_268622980305134_2085911666859442176_n.jpg</v>
      </c>
      <c r="AE274" s="249" t="str">
        <f>HYPERLINK("https://scontent.cdninstagram.com/t51.2885-19/s150x150/20686842_868504323305500_6610336864798769152_a.jpg")</f>
        <v>https://scontent.cdninstagram.com/t51.2885-19/s150x150/20686842_868504323305500_6610336864798769152_a.jpg</v>
      </c>
    </row>
    <row r="275" spans="1:31" ht="15" x14ac:dyDescent="0.25">
      <c r="A275" t="s">
        <v>2474</v>
      </c>
      <c r="B275" t="s">
        <v>4289</v>
      </c>
      <c r="C275" s="221">
        <v>42959.673159722224</v>
      </c>
      <c r="D275" t="s">
        <v>4290</v>
      </c>
      <c r="E275" s="249" t="str">
        <f>HYPERLINK("https://www.instagram.com/p/BXtOVEMhT87/")</f>
        <v>https://www.instagram.com/p/BXtOVEMhT87/</v>
      </c>
      <c r="F275" t="s">
        <v>4291</v>
      </c>
      <c r="G275" t="s">
        <v>2478</v>
      </c>
      <c r="H275">
        <v>37</v>
      </c>
      <c r="I275" t="s">
        <v>4052</v>
      </c>
      <c r="J275">
        <v>1</v>
      </c>
      <c r="K275">
        <v>19</v>
      </c>
      <c r="L275">
        <v>20</v>
      </c>
      <c r="Q275">
        <v>0</v>
      </c>
      <c r="R275">
        <v>0</v>
      </c>
      <c r="S275">
        <v>20</v>
      </c>
      <c r="Y275" t="s">
        <v>4292</v>
      </c>
      <c r="Z275" t="s">
        <v>4293</v>
      </c>
      <c r="AA275" t="s">
        <v>4294</v>
      </c>
      <c r="AB275" t="s">
        <v>4295</v>
      </c>
      <c r="AC275" t="s">
        <v>4296</v>
      </c>
      <c r="AD275" s="249" t="str">
        <f>HYPERLINK("https://scontent.cdninstagram.com/t51.2885-15/s320x320/e35/c0.0.1080.1080/20687974_692358087621970_7196170442627874816_n.jpg")</f>
        <v>https://scontent.cdninstagram.com/t51.2885-15/s320x320/e35/c0.0.1080.1080/20687974_692358087621970_7196170442627874816_n.jpg</v>
      </c>
      <c r="AE275" s="249" t="str">
        <f>HYPERLINK("https://scontent.cdninstagram.com/t51.2885-19/10950475_1603647936521418_2105038765_a.jpg")</f>
        <v>https://scontent.cdninstagram.com/t51.2885-19/10950475_1603647936521418_2105038765_a.jpg</v>
      </c>
    </row>
    <row r="276" spans="1:31" ht="15" x14ac:dyDescent="0.25">
      <c r="A276" t="s">
        <v>2474</v>
      </c>
      <c r="B276" t="s">
        <v>4297</v>
      </c>
      <c r="C276" s="221">
        <v>42959.676724537036</v>
      </c>
      <c r="D276" t="s">
        <v>4298</v>
      </c>
      <c r="E276" s="249" t="str">
        <f>HYPERLINK("https://www.instagram.com/p/BXtO6rsjMbS/")</f>
        <v>https://www.instagram.com/p/BXtO6rsjMbS/</v>
      </c>
      <c r="F276" t="s">
        <v>4299</v>
      </c>
      <c r="G276" t="s">
        <v>2478</v>
      </c>
      <c r="H276">
        <v>1066</v>
      </c>
      <c r="I276" t="s">
        <v>2479</v>
      </c>
      <c r="J276">
        <v>1</v>
      </c>
      <c r="K276">
        <v>255</v>
      </c>
      <c r="L276">
        <v>256</v>
      </c>
      <c r="Q276">
        <v>0</v>
      </c>
      <c r="R276">
        <v>0</v>
      </c>
      <c r="S276">
        <v>256</v>
      </c>
      <c r="Y276" t="s">
        <v>4300</v>
      </c>
      <c r="Z276" t="s">
        <v>4301</v>
      </c>
      <c r="AA276" t="s">
        <v>4302</v>
      </c>
      <c r="AB276" t="s">
        <v>4303</v>
      </c>
      <c r="AC276" t="s">
        <v>4304</v>
      </c>
      <c r="AD276" s="249" t="str">
        <f>HYPERLINK("https://scontent.cdninstagram.com/t51.2885-15/s320x320/e35/20759456_122195471761099_2906714719245041664_n.jpg")</f>
        <v>https://scontent.cdninstagram.com/t51.2885-15/s320x320/e35/20759456_122195471761099_2906714719245041664_n.jpg</v>
      </c>
      <c r="AE276" s="249" t="str">
        <f>HYPERLINK("https://scontent.cdninstagram.com/t51.2885-19/s150x150/20760021_265138020642655_266657318064619520_a.jpg")</f>
        <v>https://scontent.cdninstagram.com/t51.2885-19/s150x150/20760021_265138020642655_266657318064619520_a.jpg</v>
      </c>
    </row>
    <row r="277" spans="1:31" ht="15" x14ac:dyDescent="0.25">
      <c r="A277" t="s">
        <v>2474</v>
      </c>
      <c r="B277" t="s">
        <v>2516</v>
      </c>
      <c r="C277" s="221">
        <v>42959.678159722222</v>
      </c>
      <c r="D277" t="s">
        <v>4305</v>
      </c>
      <c r="E277" s="249" t="str">
        <f>HYPERLINK("https://www.instagram.com/p/BXtPJySD5cT/")</f>
        <v>https://www.instagram.com/p/BXtPJySD5cT/</v>
      </c>
      <c r="F277" t="s">
        <v>4306</v>
      </c>
      <c r="G277" t="s">
        <v>2478</v>
      </c>
      <c r="H277">
        <v>694</v>
      </c>
      <c r="I277" t="s">
        <v>2479</v>
      </c>
      <c r="J277">
        <v>0</v>
      </c>
      <c r="K277">
        <v>20</v>
      </c>
      <c r="L277">
        <v>20</v>
      </c>
      <c r="Q277">
        <v>0</v>
      </c>
      <c r="R277">
        <v>0</v>
      </c>
      <c r="S277">
        <v>20</v>
      </c>
      <c r="Y277" t="s">
        <v>2524</v>
      </c>
      <c r="Z277" t="s">
        <v>4307</v>
      </c>
      <c r="AA277" t="s">
        <v>4308</v>
      </c>
      <c r="AB277" t="s">
        <v>4309</v>
      </c>
      <c r="AC277" t="s">
        <v>4310</v>
      </c>
      <c r="AD277" s="249" t="str">
        <f>HYPERLINK("https://scontent.cdninstagram.com/t51.2885-15/s320x320/e35/20688118_1605262986202479_117107428696260608_n.jpg")</f>
        <v>https://scontent.cdninstagram.com/t51.2885-15/s320x320/e35/20688118_1605262986202479_117107428696260608_n.jpg</v>
      </c>
      <c r="AE277" s="249" t="str">
        <f>HYPERLINK("https://scontent.cdninstagram.com/t51.2885-19/s150x150/19955124_1311741785589715_3896736407896457216_a.jpg")</f>
        <v>https://scontent.cdninstagram.com/t51.2885-19/s150x150/19955124_1311741785589715_3896736407896457216_a.jpg</v>
      </c>
    </row>
    <row r="278" spans="1:31" ht="15" x14ac:dyDescent="0.25">
      <c r="A278" t="s">
        <v>2474</v>
      </c>
      <c r="B278" t="s">
        <v>4311</v>
      </c>
      <c r="C278" s="221">
        <v>42959.681250000001</v>
      </c>
      <c r="D278" t="s">
        <v>4312</v>
      </c>
      <c r="E278" s="249" t="str">
        <f>HYPERLINK("https://www.instagram.com/p/BXtPqYYlRll/")</f>
        <v>https://www.instagram.com/p/BXtPqYYlRll/</v>
      </c>
      <c r="F278" t="s">
        <v>4313</v>
      </c>
      <c r="G278" t="s">
        <v>2478</v>
      </c>
      <c r="H278">
        <v>569</v>
      </c>
      <c r="I278" t="s">
        <v>2510</v>
      </c>
      <c r="J278">
        <v>7</v>
      </c>
      <c r="K278">
        <v>280</v>
      </c>
      <c r="L278">
        <v>287</v>
      </c>
      <c r="Q278">
        <v>0</v>
      </c>
      <c r="R278">
        <v>0</v>
      </c>
      <c r="S278">
        <v>287</v>
      </c>
      <c r="Y278" t="s">
        <v>2497</v>
      </c>
      <c r="AD278" s="249" t="str">
        <f>HYPERLINK("https://scontent.cdninstagram.com/t51.2885-15/s320x320/e35/c0.0.582.582/20688544_222223638305444_8860912398056292352_n.jpg")</f>
        <v>https://scontent.cdninstagram.com/t51.2885-15/s320x320/e35/c0.0.582.582/20688544_222223638305444_8860912398056292352_n.jpg</v>
      </c>
      <c r="AE278" s="249" t="str">
        <f>HYPERLINK("https://scontent.cdninstagram.com/t51.2885-19/s150x150/19932017_147520302485937_986261964474810368_a.jpg")</f>
        <v>https://scontent.cdninstagram.com/t51.2885-19/s150x150/19932017_147520302485937_986261964474810368_a.jpg</v>
      </c>
    </row>
    <row r="279" spans="1:31" ht="15" x14ac:dyDescent="0.25">
      <c r="A279" t="s">
        <v>2474</v>
      </c>
      <c r="B279" t="s">
        <v>4314</v>
      </c>
      <c r="C279" s="221">
        <v>42959.684583333335</v>
      </c>
      <c r="D279" t="s">
        <v>4315</v>
      </c>
      <c r="E279" s="249" t="str">
        <f>HYPERLINK("https://www.instagram.com/p/BXtQNioBxOB/")</f>
        <v>https://www.instagram.com/p/BXtQNioBxOB/</v>
      </c>
      <c r="F279" t="s">
        <v>4316</v>
      </c>
      <c r="G279" t="s">
        <v>2478</v>
      </c>
      <c r="H279">
        <v>111</v>
      </c>
      <c r="I279" t="s">
        <v>3273</v>
      </c>
      <c r="J279">
        <v>2</v>
      </c>
      <c r="K279">
        <v>12</v>
      </c>
      <c r="L279">
        <v>14</v>
      </c>
      <c r="Q279">
        <v>0</v>
      </c>
      <c r="R279">
        <v>0</v>
      </c>
      <c r="S279">
        <v>14</v>
      </c>
      <c r="Y279" t="s">
        <v>4317</v>
      </c>
      <c r="Z279" t="s">
        <v>4318</v>
      </c>
      <c r="AA279" t="s">
        <v>2741</v>
      </c>
      <c r="AB279" t="s">
        <v>4319</v>
      </c>
      <c r="AC279" t="s">
        <v>2497</v>
      </c>
      <c r="AD279" s="249" t="str">
        <f>HYPERLINK("https://scontent.cdninstagram.com/t51.2885-15/s320x320/e35/c0.135.1080.1080/20688783_210499066148838_3873913926643089408_n.jpg")</f>
        <v>https://scontent.cdninstagram.com/t51.2885-15/s320x320/e35/c0.135.1080.1080/20688783_210499066148838_3873913926643089408_n.jpg</v>
      </c>
      <c r="AE279" s="249" t="str">
        <f>HYPERLINK("https://scontent.cdninstagram.com/t51.2885-19/s150x150/20635076_491941904500619_7507451714983690240_a.jpg")</f>
        <v>https://scontent.cdninstagram.com/t51.2885-19/s150x150/20635076_491941904500619_7507451714983690240_a.jpg</v>
      </c>
    </row>
    <row r="280" spans="1:31" ht="15" x14ac:dyDescent="0.25">
      <c r="A280" t="s">
        <v>2474</v>
      </c>
      <c r="B280" t="s">
        <v>4320</v>
      </c>
      <c r="C280" s="221">
        <v>42959.685810185183</v>
      </c>
      <c r="D280" t="s">
        <v>4321</v>
      </c>
      <c r="E280" s="249" t="str">
        <f>HYPERLINK("https://www.instagram.com/p/BXtQai2gK-r/")</f>
        <v>https://www.instagram.com/p/BXtQai2gK-r/</v>
      </c>
      <c r="F280" t="s">
        <v>4322</v>
      </c>
      <c r="G280" t="s">
        <v>2478</v>
      </c>
      <c r="H280">
        <v>192</v>
      </c>
      <c r="I280" t="s">
        <v>2479</v>
      </c>
      <c r="J280">
        <v>0</v>
      </c>
      <c r="K280">
        <v>38</v>
      </c>
      <c r="L280">
        <v>38</v>
      </c>
      <c r="Q280">
        <v>0</v>
      </c>
      <c r="R280">
        <v>0</v>
      </c>
      <c r="S280">
        <v>38</v>
      </c>
      <c r="Y280" t="s">
        <v>4323</v>
      </c>
      <c r="Z280" t="s">
        <v>4324</v>
      </c>
      <c r="AA280" t="s">
        <v>4325</v>
      </c>
      <c r="AB280" t="s">
        <v>4326</v>
      </c>
      <c r="AC280" t="s">
        <v>4327</v>
      </c>
      <c r="AD280" s="249" t="str">
        <f>HYPERLINK("https://scontent.cdninstagram.com/t51.2885-15/s320x320/e35/20687814_124571884839163_3619891345801347072_n.jpg")</f>
        <v>https://scontent.cdninstagram.com/t51.2885-15/s320x320/e35/20687814_124571884839163_3619891345801347072_n.jpg</v>
      </c>
      <c r="AE280" s="249" t="str">
        <f>HYPERLINK("https://scontent.cdninstagram.com/t51.2885-19/s150x150/19986172_1407098086047638_1380290557791698944_a.jpg")</f>
        <v>https://scontent.cdninstagram.com/t51.2885-19/s150x150/19986172_1407098086047638_1380290557791698944_a.jpg</v>
      </c>
    </row>
    <row r="281" spans="1:31" ht="15" x14ac:dyDescent="0.25">
      <c r="A281" t="s">
        <v>2474</v>
      </c>
      <c r="B281" t="s">
        <v>4328</v>
      </c>
      <c r="C281" s="221">
        <v>42959.695127314815</v>
      </c>
      <c r="D281" t="s">
        <v>4329</v>
      </c>
      <c r="E281" s="249" t="str">
        <f>HYPERLINK("https://www.instagram.com/p/BXtR8ztg0st/")</f>
        <v>https://www.instagram.com/p/BXtR8ztg0st/</v>
      </c>
      <c r="F281" t="s">
        <v>4330</v>
      </c>
      <c r="G281" t="s">
        <v>2478</v>
      </c>
      <c r="H281">
        <v>300</v>
      </c>
      <c r="I281" t="s">
        <v>2479</v>
      </c>
      <c r="J281">
        <v>6</v>
      </c>
      <c r="K281">
        <v>83</v>
      </c>
      <c r="L281">
        <v>89</v>
      </c>
      <c r="Q281">
        <v>0</v>
      </c>
      <c r="R281">
        <v>0</v>
      </c>
      <c r="S281">
        <v>89</v>
      </c>
      <c r="Y281" t="s">
        <v>2491</v>
      </c>
      <c r="Z281" t="s">
        <v>4331</v>
      </c>
      <c r="AA281" t="s">
        <v>4332</v>
      </c>
      <c r="AB281" t="s">
        <v>4333</v>
      </c>
      <c r="AC281" t="s">
        <v>4334</v>
      </c>
      <c r="AD281" s="249" t="str">
        <f>HYPERLINK("https://scontent.cdninstagram.com/t51.2885-15/s320x320/e35/20760017_110461266306845_1077355781281546240_n.jpg")</f>
        <v>https://scontent.cdninstagram.com/t51.2885-15/s320x320/e35/20760017_110461266306845_1077355781281546240_n.jpg</v>
      </c>
      <c r="AE281" s="249" t="str">
        <f>HYPERLINK("https://scontent.cdninstagram.com/t51.2885-19/s150x150/19228699_1850592961858587_3724425695825231872_a.jpg")</f>
        <v>https://scontent.cdninstagram.com/t51.2885-19/s150x150/19228699_1850592961858587_3724425695825231872_a.jpg</v>
      </c>
    </row>
    <row r="282" spans="1:31" ht="15" x14ac:dyDescent="0.25">
      <c r="A282" t="s">
        <v>2474</v>
      </c>
      <c r="B282" t="s">
        <v>4335</v>
      </c>
      <c r="C282" s="221">
        <v>42959.704027777778</v>
      </c>
      <c r="D282" t="s">
        <v>4336</v>
      </c>
      <c r="E282" s="249" t="str">
        <f>HYPERLINK("https://www.instagram.com/p/BXtTatEA2cK/")</f>
        <v>https://www.instagram.com/p/BXtTatEA2cK/</v>
      </c>
      <c r="F282" t="s">
        <v>4337</v>
      </c>
      <c r="G282" t="s">
        <v>2478</v>
      </c>
      <c r="H282">
        <v>472</v>
      </c>
      <c r="I282" t="s">
        <v>2479</v>
      </c>
      <c r="J282">
        <v>1</v>
      </c>
      <c r="K282">
        <v>26</v>
      </c>
      <c r="L282">
        <v>27</v>
      </c>
      <c r="Q282">
        <v>0</v>
      </c>
      <c r="R282">
        <v>0</v>
      </c>
      <c r="S282">
        <v>27</v>
      </c>
      <c r="Y282" t="s">
        <v>4338</v>
      </c>
      <c r="Z282" t="s">
        <v>4339</v>
      </c>
      <c r="AA282" t="s">
        <v>2735</v>
      </c>
      <c r="AB282" t="s">
        <v>4340</v>
      </c>
      <c r="AC282" t="s">
        <v>2734</v>
      </c>
      <c r="AD282" s="249" t="str">
        <f>HYPERLINK("https://scontent.cdninstagram.com/t51.2885-15/s320x320/e35/20766441_496070394065763_6085989712361684992_n.jpg")</f>
        <v>https://scontent.cdninstagram.com/t51.2885-15/s320x320/e35/20766441_496070394065763_6085989712361684992_n.jpg</v>
      </c>
      <c r="AE282" s="249" t="str">
        <f>HYPERLINK("https://scontent.cdninstagram.com/t51.2885-19/s150x150/19933132_329818784126500_1597440036943429632_a.jpg")</f>
        <v>https://scontent.cdninstagram.com/t51.2885-19/s150x150/19933132_329818784126500_1597440036943429632_a.jpg</v>
      </c>
    </row>
    <row r="283" spans="1:31" ht="15" x14ac:dyDescent="0.25">
      <c r="A283" t="s">
        <v>2474</v>
      </c>
      <c r="B283" t="s">
        <v>4341</v>
      </c>
      <c r="C283" s="221">
        <v>42959.709247685183</v>
      </c>
      <c r="D283" t="s">
        <v>4342</v>
      </c>
      <c r="E283" s="249" t="str">
        <f>HYPERLINK("https://www.instagram.com/p/BXtURtVgwB3/")</f>
        <v>https://www.instagram.com/p/BXtURtVgwB3/</v>
      </c>
      <c r="F283" t="s">
        <v>4343</v>
      </c>
      <c r="G283" t="s">
        <v>2478</v>
      </c>
      <c r="H283">
        <v>390125</v>
      </c>
      <c r="I283" t="s">
        <v>2479</v>
      </c>
      <c r="J283">
        <v>17</v>
      </c>
      <c r="K283">
        <v>3513</v>
      </c>
      <c r="L283">
        <v>3530</v>
      </c>
      <c r="Q283">
        <v>0</v>
      </c>
      <c r="R283">
        <v>0</v>
      </c>
      <c r="S283">
        <v>3530</v>
      </c>
      <c r="AD283" s="249" t="str">
        <f>HYPERLINK("https://scontent.cdninstagram.com/t51.2885-15/s320x320/e35/20836944_1978641565746281_9038644389647220736_n.jpg")</f>
        <v>https://scontent.cdninstagram.com/t51.2885-15/s320x320/e35/20836944_1978641565746281_9038644389647220736_n.jpg</v>
      </c>
      <c r="AE283" s="249" t="str">
        <f>HYPERLINK("https://scontent.cdninstagram.com/t51.2885-19/s150x150/12357356_524081691094860_312972369_a.jpg")</f>
        <v>https://scontent.cdninstagram.com/t51.2885-19/s150x150/12357356_524081691094860_312972369_a.jpg</v>
      </c>
    </row>
    <row r="284" spans="1:31" ht="15" x14ac:dyDescent="0.25">
      <c r="A284" t="s">
        <v>2474</v>
      </c>
      <c r="B284" t="s">
        <v>4344</v>
      </c>
      <c r="C284" s="221">
        <v>42959.710289351853</v>
      </c>
      <c r="D284" t="s">
        <v>4345</v>
      </c>
      <c r="E284" s="249" t="str">
        <f>HYPERLINK("https://www.instagram.com/p/BXtUcrqgl3J/")</f>
        <v>https://www.instagram.com/p/BXtUcrqgl3J/</v>
      </c>
      <c r="F284" t="s">
        <v>4346</v>
      </c>
      <c r="G284" t="s">
        <v>2478</v>
      </c>
      <c r="H284">
        <v>189</v>
      </c>
      <c r="I284" t="s">
        <v>2542</v>
      </c>
      <c r="J284">
        <v>6</v>
      </c>
      <c r="K284">
        <v>17</v>
      </c>
      <c r="L284">
        <v>23</v>
      </c>
      <c r="Q284">
        <v>0</v>
      </c>
      <c r="R284">
        <v>0</v>
      </c>
      <c r="S284">
        <v>23</v>
      </c>
      <c r="Y284" t="s">
        <v>4347</v>
      </c>
      <c r="Z284" t="s">
        <v>2497</v>
      </c>
      <c r="AA284" t="s">
        <v>4348</v>
      </c>
      <c r="AB284" t="s">
        <v>4349</v>
      </c>
      <c r="AC284" t="s">
        <v>4350</v>
      </c>
      <c r="AD284" s="249" t="str">
        <f>HYPERLINK("https://scontent.cdninstagram.com/t51.2885-15/s320x320/e35/20759301_1718864185084467_5970622789097357312_n.jpg")</f>
        <v>https://scontent.cdninstagram.com/t51.2885-15/s320x320/e35/20759301_1718864185084467_5970622789097357312_n.jpg</v>
      </c>
      <c r="AE284" s="249" t="str">
        <f>HYPERLINK("https://scontent.cdninstagram.com/t51.2885-19/s150x150/17126212_265255733900391_2079788112942202880_a.jpg")</f>
        <v>https://scontent.cdninstagram.com/t51.2885-19/s150x150/17126212_265255733900391_2079788112942202880_a.jpg</v>
      </c>
    </row>
    <row r="285" spans="1:31" ht="15" x14ac:dyDescent="0.25">
      <c r="A285" t="s">
        <v>2474</v>
      </c>
      <c r="B285" t="s">
        <v>4351</v>
      </c>
      <c r="C285" s="221">
        <v>42959.710960648146</v>
      </c>
      <c r="D285" t="s">
        <v>4352</v>
      </c>
      <c r="E285" s="249" t="str">
        <f>HYPERLINK("https://www.instagram.com/p/BXtUjwQAagG/")</f>
        <v>https://www.instagram.com/p/BXtUjwQAagG/</v>
      </c>
      <c r="F285" t="s">
        <v>4353</v>
      </c>
      <c r="G285" t="s">
        <v>2478</v>
      </c>
      <c r="H285">
        <v>140</v>
      </c>
      <c r="I285" t="s">
        <v>2927</v>
      </c>
      <c r="J285">
        <v>1</v>
      </c>
      <c r="K285">
        <v>36</v>
      </c>
      <c r="L285">
        <v>37</v>
      </c>
      <c r="Q285">
        <v>0</v>
      </c>
      <c r="R285">
        <v>0</v>
      </c>
      <c r="S285">
        <v>37</v>
      </c>
      <c r="Y285" t="s">
        <v>4354</v>
      </c>
      <c r="Z285" t="s">
        <v>4355</v>
      </c>
      <c r="AA285" t="s">
        <v>4356</v>
      </c>
      <c r="AB285" t="s">
        <v>4357</v>
      </c>
      <c r="AC285" t="s">
        <v>2497</v>
      </c>
      <c r="AD285" s="249" t="str">
        <f>HYPERLINK("https://scontent.cdninstagram.com/t51.2885-15/s320x320/e35/20837373_2357640111128762_1355038778611204096_n.jpg")</f>
        <v>https://scontent.cdninstagram.com/t51.2885-15/s320x320/e35/20837373_2357640111128762_1355038778611204096_n.jpg</v>
      </c>
      <c r="AE285" s="249" t="str">
        <f>HYPERLINK("https://scontent.cdninstagram.com/t51.2885-19/s150x150/20759384_1763445797289590_3994240905774104576_a.jpg")</f>
        <v>https://scontent.cdninstagram.com/t51.2885-19/s150x150/20759384_1763445797289590_3994240905774104576_a.jpg</v>
      </c>
    </row>
    <row r="286" spans="1:31" ht="15" x14ac:dyDescent="0.25">
      <c r="A286" t="s">
        <v>2474</v>
      </c>
      <c r="B286" t="s">
        <v>4358</v>
      </c>
      <c r="C286" s="221">
        <v>42959.72016203704</v>
      </c>
      <c r="D286" t="s">
        <v>4359</v>
      </c>
      <c r="E286" s="249" t="str">
        <f>HYPERLINK("https://www.instagram.com/p/BXtWEyMlowm/")</f>
        <v>https://www.instagram.com/p/BXtWEyMlowm/</v>
      </c>
      <c r="F286" t="s">
        <v>4360</v>
      </c>
      <c r="G286" t="s">
        <v>2631</v>
      </c>
      <c r="H286">
        <v>200</v>
      </c>
      <c r="I286" t="s">
        <v>2479</v>
      </c>
      <c r="J286">
        <v>0</v>
      </c>
      <c r="K286">
        <v>13</v>
      </c>
      <c r="L286">
        <v>13</v>
      </c>
      <c r="Q286">
        <v>0</v>
      </c>
      <c r="R286">
        <v>0</v>
      </c>
      <c r="S286">
        <v>13</v>
      </c>
      <c r="Y286" t="s">
        <v>4361</v>
      </c>
      <c r="Z286" t="s">
        <v>4362</v>
      </c>
      <c r="AA286" t="s">
        <v>2497</v>
      </c>
      <c r="AB286" t="s">
        <v>4363</v>
      </c>
      <c r="AC286" t="s">
        <v>4364</v>
      </c>
      <c r="AD286" s="249" t="str">
        <f>HYPERLINK("https://scontent.cdninstagram.com/t51.2885-15/s320x320/e15/20688350_148835279031589_4538292053905244160_n.jpg")</f>
        <v>https://scontent.cdninstagram.com/t51.2885-15/s320x320/e15/20688350_148835279031589_4538292053905244160_n.jpg</v>
      </c>
      <c r="AE286" s="249" t="str">
        <f>HYPERLINK("https://scontent.cdninstagram.com/t51.2885-19/s150x150/17882287_420828641608614_760835168515653632_a.jpg")</f>
        <v>https://scontent.cdninstagram.com/t51.2885-19/s150x150/17882287_420828641608614_760835168515653632_a.jpg</v>
      </c>
    </row>
    <row r="287" spans="1:31" ht="15" x14ac:dyDescent="0.25">
      <c r="A287" t="s">
        <v>2474</v>
      </c>
      <c r="B287" t="s">
        <v>4365</v>
      </c>
      <c r="C287" s="221">
        <v>42959.734467592592</v>
      </c>
      <c r="D287" t="s">
        <v>4366</v>
      </c>
      <c r="E287" s="249" t="str">
        <f>HYPERLINK("https://www.instagram.com/p/BXtYbxmlDyM/")</f>
        <v>https://www.instagram.com/p/BXtYbxmlDyM/</v>
      </c>
      <c r="F287" t="s">
        <v>4367</v>
      </c>
      <c r="G287" t="s">
        <v>2478</v>
      </c>
      <c r="H287">
        <v>808</v>
      </c>
      <c r="I287" t="s">
        <v>3170</v>
      </c>
      <c r="J287">
        <v>11</v>
      </c>
      <c r="K287">
        <v>102</v>
      </c>
      <c r="L287">
        <v>113</v>
      </c>
      <c r="Q287">
        <v>0</v>
      </c>
      <c r="R287">
        <v>0</v>
      </c>
      <c r="S287">
        <v>113</v>
      </c>
      <c r="Y287" t="s">
        <v>2513</v>
      </c>
      <c r="Z287" t="s">
        <v>4368</v>
      </c>
      <c r="AA287" t="s">
        <v>2497</v>
      </c>
      <c r="AB287" t="s">
        <v>4369</v>
      </c>
      <c r="AC287" t="s">
        <v>4370</v>
      </c>
      <c r="AD287" s="249" t="str">
        <f>HYPERLINK("https://scontent.cdninstagram.com/t51.2885-15/s320x320/e35/20836940_591954007641444_2520487156632256512_n.jpg")</f>
        <v>https://scontent.cdninstagram.com/t51.2885-15/s320x320/e35/20836940_591954007641444_2520487156632256512_n.jpg</v>
      </c>
      <c r="AE287" s="249" t="str">
        <f>HYPERLINK("https://scontent.cdninstagram.com/t51.2885-19/s150x150/20687905_210102449518741_1041297529376866304_a.jpg")</f>
        <v>https://scontent.cdninstagram.com/t51.2885-19/s150x150/20687905_210102449518741_1041297529376866304_a.jpg</v>
      </c>
    </row>
    <row r="288" spans="1:31" ht="15" x14ac:dyDescent="0.25">
      <c r="A288" t="s">
        <v>2474</v>
      </c>
      <c r="B288" t="s">
        <v>4371</v>
      </c>
      <c r="C288" s="221">
        <v>42959.747974537036</v>
      </c>
      <c r="D288" t="s">
        <v>4372</v>
      </c>
      <c r="E288" s="249" t="str">
        <f>HYPERLINK("https://www.instagram.com/p/BXtaqLgDhC9/")</f>
        <v>https://www.instagram.com/p/BXtaqLgDhC9/</v>
      </c>
      <c r="F288" t="s">
        <v>4373</v>
      </c>
      <c r="G288" t="s">
        <v>2488</v>
      </c>
      <c r="H288">
        <v>251</v>
      </c>
      <c r="I288" t="s">
        <v>2479</v>
      </c>
      <c r="J288">
        <v>1</v>
      </c>
      <c r="K288">
        <v>29</v>
      </c>
      <c r="L288">
        <v>30</v>
      </c>
      <c r="Q288">
        <v>0</v>
      </c>
      <c r="R288">
        <v>0</v>
      </c>
      <c r="S288">
        <v>30</v>
      </c>
      <c r="Y288" t="s">
        <v>2769</v>
      </c>
      <c r="Z288" t="s">
        <v>2497</v>
      </c>
      <c r="AA288" t="s">
        <v>4374</v>
      </c>
      <c r="AB288" t="s">
        <v>4375</v>
      </c>
      <c r="AC288" t="s">
        <v>4376</v>
      </c>
      <c r="AD288" s="249" t="str">
        <f>HYPERLINK("https://scontent.cdninstagram.com/t51.2885-15/s320x320/e35/20759111_1457039047714337_7657410558253072384_n.jpg")</f>
        <v>https://scontent.cdninstagram.com/t51.2885-15/s320x320/e35/20759111_1457039047714337_7657410558253072384_n.jpg</v>
      </c>
      <c r="AE288" s="249" t="str">
        <f>HYPERLINK("https://scontent.cdninstagram.com/t51.2885-19/s150x150/20688355_1907506302908930_9101795411219185664_a.jpg")</f>
        <v>https://scontent.cdninstagram.com/t51.2885-19/s150x150/20688355_1907506302908930_9101795411219185664_a.jpg</v>
      </c>
    </row>
    <row r="289" spans="1:31" ht="15" x14ac:dyDescent="0.25">
      <c r="A289" t="s">
        <v>2474</v>
      </c>
      <c r="B289" t="s">
        <v>3993</v>
      </c>
      <c r="C289" s="221">
        <v>42959.749293981484</v>
      </c>
      <c r="D289" t="s">
        <v>4377</v>
      </c>
      <c r="E289" s="249" t="str">
        <f>HYPERLINK("https://www.instagram.com/p/BXta4B6A_q4/")</f>
        <v>https://www.instagram.com/p/BXta4B6A_q4/</v>
      </c>
      <c r="F289" t="s">
        <v>4378</v>
      </c>
      <c r="G289" t="s">
        <v>2478</v>
      </c>
      <c r="H289">
        <v>5000</v>
      </c>
      <c r="I289" t="s">
        <v>2582</v>
      </c>
      <c r="J289">
        <v>3</v>
      </c>
      <c r="K289">
        <v>601</v>
      </c>
      <c r="L289">
        <v>604</v>
      </c>
      <c r="Q289">
        <v>0</v>
      </c>
      <c r="R289">
        <v>0</v>
      </c>
      <c r="S289">
        <v>604</v>
      </c>
      <c r="Y289" t="s">
        <v>4379</v>
      </c>
      <c r="Z289" t="s">
        <v>4380</v>
      </c>
      <c r="AA289" t="s">
        <v>4381</v>
      </c>
      <c r="AB289" t="s">
        <v>2837</v>
      </c>
      <c r="AC289" t="s">
        <v>2497</v>
      </c>
      <c r="AD289" s="249" t="str">
        <f>HYPERLINK("https://scontent.cdninstagram.com/t51.2885-15/s320x320/e35/20759512_1677645275640546_1974038467562176512_n.jpg")</f>
        <v>https://scontent.cdninstagram.com/t51.2885-15/s320x320/e35/20759512_1677645275640546_1974038467562176512_n.jpg</v>
      </c>
      <c r="AE289" s="249" t="str">
        <f>HYPERLINK("https://scontent.cdninstagram.com/t51.2885-19/s150x150/20590168_732024603636467_1659654334738071552_a.jpg")</f>
        <v>https://scontent.cdninstagram.com/t51.2885-19/s150x150/20590168_732024603636467_1659654334738071552_a.jpg</v>
      </c>
    </row>
    <row r="290" spans="1:31" ht="15" x14ac:dyDescent="0.25">
      <c r="A290" t="s">
        <v>2474</v>
      </c>
      <c r="B290" t="s">
        <v>2588</v>
      </c>
      <c r="C290" s="221">
        <v>42959.750555555554</v>
      </c>
      <c r="D290" t="s">
        <v>4382</v>
      </c>
      <c r="E290" s="249" t="str">
        <f>HYPERLINK("https://www.instagram.com/p/BXtbFZEAczk/")</f>
        <v>https://www.instagram.com/p/BXtbFZEAczk/</v>
      </c>
      <c r="F290" t="s">
        <v>4383</v>
      </c>
      <c r="G290" t="s">
        <v>2478</v>
      </c>
      <c r="H290">
        <v>247</v>
      </c>
      <c r="I290" t="s">
        <v>2479</v>
      </c>
      <c r="J290">
        <v>8</v>
      </c>
      <c r="K290">
        <v>84</v>
      </c>
      <c r="L290">
        <v>92</v>
      </c>
      <c r="Q290">
        <v>0</v>
      </c>
      <c r="R290">
        <v>0</v>
      </c>
      <c r="S290">
        <v>92</v>
      </c>
      <c r="AD290" s="249" t="str">
        <f>HYPERLINK("https://scontent.cdninstagram.com/t51.2885-15/s320x320/e35/20688471_1589908357720580_8996867414557720576_n.jpg")</f>
        <v>https://scontent.cdninstagram.com/t51.2885-15/s320x320/e35/20688471_1589908357720580_8996867414557720576_n.jpg</v>
      </c>
      <c r="AE290" s="249" t="str">
        <f>HYPERLINK("https://scontent.cdninstagram.com/t51.2885-19/s150x150/20633561_108840983138666_5897549723056734208_a.jpg")</f>
        <v>https://scontent.cdninstagram.com/t51.2885-19/s150x150/20633561_108840983138666_5897549723056734208_a.jpg</v>
      </c>
    </row>
    <row r="291" spans="1:31" ht="15" x14ac:dyDescent="0.25">
      <c r="A291" t="s">
        <v>2474</v>
      </c>
      <c r="B291" t="s">
        <v>4384</v>
      </c>
      <c r="C291" s="221">
        <v>42959.754513888889</v>
      </c>
      <c r="D291" t="s">
        <v>4385</v>
      </c>
      <c r="E291" s="249" t="str">
        <f>HYPERLINK("https://www.instagram.com/p/BXtbvKLDhcs/")</f>
        <v>https://www.instagram.com/p/BXtbvKLDhcs/</v>
      </c>
      <c r="F291" t="s">
        <v>4386</v>
      </c>
      <c r="G291" t="s">
        <v>2478</v>
      </c>
      <c r="I291" t="s">
        <v>2479</v>
      </c>
      <c r="J291">
        <v>5</v>
      </c>
      <c r="K291">
        <v>14</v>
      </c>
      <c r="L291">
        <v>19</v>
      </c>
      <c r="Q291">
        <v>0</v>
      </c>
      <c r="R291">
        <v>0</v>
      </c>
      <c r="S291">
        <v>19</v>
      </c>
      <c r="Y291" t="s">
        <v>4387</v>
      </c>
      <c r="Z291" t="s">
        <v>4388</v>
      </c>
      <c r="AA291" t="s">
        <v>4389</v>
      </c>
      <c r="AB291" t="s">
        <v>4390</v>
      </c>
      <c r="AC291" t="s">
        <v>4391</v>
      </c>
      <c r="AD291" s="249" t="str">
        <f>HYPERLINK("https://scontent.cdninstagram.com/t51.2885-15/s320x320/e35/c32.0.578.578/20766605_1808087169204800_5812521508173512704_n.jpg")</f>
        <v>https://scontent.cdninstagram.com/t51.2885-15/s320x320/e35/c32.0.578.578/20766605_1808087169204800_5812521508173512704_n.jpg</v>
      </c>
      <c r="AE291" s="249" t="str">
        <f>HYPERLINK("https://scontent.cdninstagram.com/t51.2885-19/s150x150/20394039_308117132987349_4749744435032489984_a.jpg")</f>
        <v>https://scontent.cdninstagram.com/t51.2885-19/s150x150/20394039_308117132987349_4749744435032489984_a.jpg</v>
      </c>
    </row>
    <row r="292" spans="1:31" ht="15" x14ac:dyDescent="0.25">
      <c r="A292" t="s">
        <v>2474</v>
      </c>
      <c r="B292" t="s">
        <v>4392</v>
      </c>
      <c r="C292" s="221">
        <v>42959.755381944444</v>
      </c>
      <c r="D292" t="s">
        <v>4393</v>
      </c>
      <c r="E292" s="249" t="str">
        <f>HYPERLINK("https://www.instagram.com/p/BXtb4WSAJp4/")</f>
        <v>https://www.instagram.com/p/BXtb4WSAJp4/</v>
      </c>
      <c r="F292" t="s">
        <v>4394</v>
      </c>
      <c r="G292" t="s">
        <v>2478</v>
      </c>
      <c r="H292">
        <v>312</v>
      </c>
      <c r="I292" t="s">
        <v>2510</v>
      </c>
      <c r="J292">
        <v>1</v>
      </c>
      <c r="K292">
        <v>39</v>
      </c>
      <c r="L292">
        <v>40</v>
      </c>
      <c r="Q292">
        <v>0</v>
      </c>
      <c r="R292">
        <v>0</v>
      </c>
      <c r="S292">
        <v>40</v>
      </c>
      <c r="Y292" t="s">
        <v>4395</v>
      </c>
      <c r="Z292" t="s">
        <v>4396</v>
      </c>
      <c r="AA292" t="s">
        <v>2497</v>
      </c>
      <c r="AB292" t="s">
        <v>4397</v>
      </c>
      <c r="AC292" t="s">
        <v>4398</v>
      </c>
      <c r="AD292" s="249" t="str">
        <f>HYPERLINK("https://scontent.cdninstagram.com/t51.2885-15/s320x320/e35/c214.0.651.651/20688682_130866764195078_8775148060138274816_n.jpg")</f>
        <v>https://scontent.cdninstagram.com/t51.2885-15/s320x320/e35/c214.0.651.651/20688682_130866764195078_8775148060138274816_n.jpg</v>
      </c>
      <c r="AE292" s="249" t="str">
        <f>HYPERLINK("https://scontent.cdninstagram.com/t51.2885-19/s150x150/18949720_173575556509695_2490921868781944832_a.jpg")</f>
        <v>https://scontent.cdninstagram.com/t51.2885-19/s150x150/18949720_173575556509695_2490921868781944832_a.jpg</v>
      </c>
    </row>
    <row r="293" spans="1:31" ht="15" x14ac:dyDescent="0.25">
      <c r="A293" t="s">
        <v>2474</v>
      </c>
      <c r="B293" t="s">
        <v>4399</v>
      </c>
      <c r="C293" s="221">
        <v>42959.768645833334</v>
      </c>
      <c r="D293" t="s">
        <v>4400</v>
      </c>
      <c r="E293" s="249" t="str">
        <f>HYPERLINK("https://www.instagram.com/p/BXteEIuFmSG/")</f>
        <v>https://www.instagram.com/p/BXteEIuFmSG/</v>
      </c>
      <c r="F293" t="s">
        <v>4401</v>
      </c>
      <c r="G293" t="s">
        <v>2478</v>
      </c>
      <c r="H293">
        <v>178</v>
      </c>
      <c r="I293" t="s">
        <v>2479</v>
      </c>
      <c r="J293">
        <v>6</v>
      </c>
      <c r="K293">
        <v>40</v>
      </c>
      <c r="L293">
        <v>46</v>
      </c>
      <c r="Q293">
        <v>0</v>
      </c>
      <c r="R293">
        <v>0</v>
      </c>
      <c r="S293">
        <v>46</v>
      </c>
      <c r="Y293" t="s">
        <v>2513</v>
      </c>
      <c r="Z293" t="s">
        <v>3982</v>
      </c>
      <c r="AA293" t="s">
        <v>4369</v>
      </c>
      <c r="AB293" t="s">
        <v>2497</v>
      </c>
      <c r="AC293" t="s">
        <v>3070</v>
      </c>
      <c r="AD293" s="249" t="str">
        <f>HYPERLINK("https://scontent.cdninstagram.com/t51.2885-15/s320x320/e35/20688702_260601567764400_5447219752076312576_n.jpg")</f>
        <v>https://scontent.cdninstagram.com/t51.2885-15/s320x320/e35/20688702_260601567764400_5447219752076312576_n.jpg</v>
      </c>
      <c r="AE293" s="249" t="str">
        <f>HYPERLINK("https://scontent.cdninstagram.com/t51.2885-19/11910027_500856623423737_1947984829_a.jpg")</f>
        <v>https://scontent.cdninstagram.com/t51.2885-19/11910027_500856623423737_1947984829_a.jpg</v>
      </c>
    </row>
    <row r="294" spans="1:31" ht="15" x14ac:dyDescent="0.25">
      <c r="A294" t="s">
        <v>2474</v>
      </c>
      <c r="B294" t="s">
        <v>4402</v>
      </c>
      <c r="C294" s="221">
        <v>42959.77</v>
      </c>
      <c r="D294" t="s">
        <v>4403</v>
      </c>
      <c r="E294" s="249" t="str">
        <f>HYPERLINK("https://www.instagram.com/p/BXteSefAHtF/")</f>
        <v>https://www.instagram.com/p/BXteSefAHtF/</v>
      </c>
      <c r="F294" t="s">
        <v>4404</v>
      </c>
      <c r="G294" t="s">
        <v>2478</v>
      </c>
      <c r="H294">
        <v>578</v>
      </c>
      <c r="I294" t="s">
        <v>2479</v>
      </c>
      <c r="J294">
        <v>0</v>
      </c>
      <c r="K294">
        <v>29</v>
      </c>
      <c r="L294">
        <v>29</v>
      </c>
      <c r="Q294">
        <v>0</v>
      </c>
      <c r="R294">
        <v>0</v>
      </c>
      <c r="S294">
        <v>29</v>
      </c>
      <c r="Y294" t="s">
        <v>4405</v>
      </c>
      <c r="Z294" t="s">
        <v>4406</v>
      </c>
      <c r="AA294" t="s">
        <v>2497</v>
      </c>
      <c r="AB294" t="s">
        <v>4407</v>
      </c>
      <c r="AC294" t="s">
        <v>4408</v>
      </c>
      <c r="AD294" s="249" t="str">
        <f>HYPERLINK("https://scontent.cdninstagram.com/t51.2885-15/s320x320/e35/c0.135.1080.1080/20766857_114620339200123_5065231648602193920_n.jpg")</f>
        <v>https://scontent.cdninstagram.com/t51.2885-15/s320x320/e35/c0.135.1080.1080/20766857_114620339200123_5065231648602193920_n.jpg</v>
      </c>
      <c r="AE294" s="249" t="str">
        <f>HYPERLINK("https://scontent.cdninstagram.com/t51.2885-19/s150x150/16583987_1843903805847722_100600250175062016_a.jpg")</f>
        <v>https://scontent.cdninstagram.com/t51.2885-19/s150x150/16583987_1843903805847722_100600250175062016_a.jpg</v>
      </c>
    </row>
    <row r="295" spans="1:31" ht="15" x14ac:dyDescent="0.25">
      <c r="A295" t="s">
        <v>2474</v>
      </c>
      <c r="B295" t="s">
        <v>4409</v>
      </c>
      <c r="C295" s="221">
        <v>42959.778032407405</v>
      </c>
      <c r="D295" t="s">
        <v>4410</v>
      </c>
      <c r="E295" s="249" t="str">
        <f>HYPERLINK("https://www.instagram.com/p/BXtfnJcnDwg/")</f>
        <v>https://www.instagram.com/p/BXtfnJcnDwg/</v>
      </c>
      <c r="F295" t="s">
        <v>4411</v>
      </c>
      <c r="G295" t="s">
        <v>2478</v>
      </c>
      <c r="H295">
        <v>191</v>
      </c>
      <c r="I295" t="s">
        <v>2479</v>
      </c>
      <c r="J295">
        <v>0</v>
      </c>
      <c r="K295">
        <v>22</v>
      </c>
      <c r="L295">
        <v>22</v>
      </c>
      <c r="Q295">
        <v>0</v>
      </c>
      <c r="R295">
        <v>0</v>
      </c>
      <c r="S295">
        <v>22</v>
      </c>
      <c r="Y295" t="s">
        <v>4412</v>
      </c>
      <c r="Z295" t="s">
        <v>4413</v>
      </c>
      <c r="AA295" t="s">
        <v>4414</v>
      </c>
      <c r="AB295" t="s">
        <v>4415</v>
      </c>
      <c r="AC295" t="s">
        <v>2497</v>
      </c>
      <c r="AD295" s="249" t="str">
        <f>HYPERLINK("https://scontent.cdninstagram.com/t51.2885-15/s320x320/e35/20766840_110453289642576_1298642009724026880_n.jpg")</f>
        <v>https://scontent.cdninstagram.com/t51.2885-15/s320x320/e35/20766840_110453289642576_1298642009724026880_n.jpg</v>
      </c>
      <c r="AE295" s="249" t="str">
        <f>HYPERLINK("https://scontent.cdninstagram.com/t51.2885-19/s150x150/19535362_1470269353030279_5095720629299052544_a.jpg")</f>
        <v>https://scontent.cdninstagram.com/t51.2885-19/s150x150/19535362_1470269353030279_5095720629299052544_a.jpg</v>
      </c>
    </row>
    <row r="296" spans="1:31" ht="15" x14ac:dyDescent="0.25">
      <c r="A296" t="s">
        <v>2474</v>
      </c>
      <c r="B296" t="s">
        <v>4416</v>
      </c>
      <c r="C296" s="221">
        <v>42959.78334490741</v>
      </c>
      <c r="D296" t="s">
        <v>4417</v>
      </c>
      <c r="E296" s="249" t="str">
        <f>HYPERLINK("https://www.instagram.com/p/BXtgfKpD2Be/")</f>
        <v>https://www.instagram.com/p/BXtgfKpD2Be/</v>
      </c>
      <c r="F296" t="s">
        <v>4418</v>
      </c>
      <c r="G296" t="s">
        <v>2478</v>
      </c>
      <c r="H296">
        <v>78</v>
      </c>
      <c r="I296" t="s">
        <v>2479</v>
      </c>
      <c r="J296">
        <v>0</v>
      </c>
      <c r="K296">
        <v>13</v>
      </c>
      <c r="L296">
        <v>13</v>
      </c>
      <c r="Q296">
        <v>0</v>
      </c>
      <c r="R296">
        <v>0</v>
      </c>
      <c r="S296">
        <v>13</v>
      </c>
      <c r="Y296" t="s">
        <v>4419</v>
      </c>
      <c r="Z296" t="s">
        <v>2497</v>
      </c>
      <c r="AA296" t="s">
        <v>4420</v>
      </c>
      <c r="AB296" t="s">
        <v>4421</v>
      </c>
      <c r="AC296" t="s">
        <v>4422</v>
      </c>
      <c r="AD296" s="249" t="str">
        <f>HYPERLINK("https://scontent.cdninstagram.com/t51.2885-15/s320x320/e35/19227212_109504283090959_6518117710725906432_n.jpg")</f>
        <v>https://scontent.cdninstagram.com/t51.2885-15/s320x320/e35/19227212_109504283090959_6518117710725906432_n.jpg</v>
      </c>
      <c r="AE296" s="249" t="str">
        <f>HYPERLINK("https://scontent.cdninstagram.com/t51.2885-19/s150x150/14478351_1758768344390758_5146305036124422144_a.jpg")</f>
        <v>https://scontent.cdninstagram.com/t51.2885-19/s150x150/14478351_1758768344390758_5146305036124422144_a.jpg</v>
      </c>
    </row>
    <row r="297" spans="1:31" ht="15" x14ac:dyDescent="0.25">
      <c r="A297" t="s">
        <v>2474</v>
      </c>
      <c r="B297" t="s">
        <v>4423</v>
      </c>
      <c r="C297" s="221">
        <v>42959.787106481483</v>
      </c>
      <c r="D297" t="s">
        <v>4424</v>
      </c>
      <c r="E297" s="249" t="str">
        <f>HYPERLINK("https://www.instagram.com/p/BXthG4zhzZP/")</f>
        <v>https://www.instagram.com/p/BXthG4zhzZP/</v>
      </c>
      <c r="F297" t="s">
        <v>4425</v>
      </c>
      <c r="G297" t="s">
        <v>2478</v>
      </c>
      <c r="H297">
        <v>18</v>
      </c>
      <c r="I297" t="s">
        <v>3575</v>
      </c>
      <c r="J297">
        <v>1</v>
      </c>
      <c r="K297">
        <v>0</v>
      </c>
      <c r="L297">
        <v>1</v>
      </c>
      <c r="Q297">
        <v>0</v>
      </c>
      <c r="R297">
        <v>0</v>
      </c>
      <c r="S297">
        <v>1</v>
      </c>
      <c r="Y297" t="s">
        <v>4423</v>
      </c>
      <c r="Z297" t="s">
        <v>4426</v>
      </c>
      <c r="AA297" t="s">
        <v>4427</v>
      </c>
      <c r="AB297" t="s">
        <v>4428</v>
      </c>
      <c r="AC297" t="s">
        <v>2497</v>
      </c>
      <c r="AD297" s="249" t="str">
        <f>HYPERLINK("https://scontent.cdninstagram.com/t51.2885-15/s320x320/e35/c0.86.1080.1080/20687303_1920293318228346_4250705132573949952_n.jpg")</f>
        <v>https://scontent.cdninstagram.com/t51.2885-15/s320x320/e35/c0.86.1080.1080/20687303_1920293318228346_4250705132573949952_n.jpg</v>
      </c>
      <c r="AE297" s="249" t="str">
        <f>HYPERLINK("https://scontent.cdninstagram.com/t51.2885-19/s150x150/20759449_110775566294362_5738764533015511040_a.jpg")</f>
        <v>https://scontent.cdninstagram.com/t51.2885-19/s150x150/20759449_110775566294362_5738764533015511040_a.jpg</v>
      </c>
    </row>
    <row r="298" spans="1:31" ht="15" x14ac:dyDescent="0.25">
      <c r="A298" t="s">
        <v>2474</v>
      </c>
      <c r="B298" t="s">
        <v>4429</v>
      </c>
      <c r="C298" s="221">
        <v>42959.802662037036</v>
      </c>
      <c r="D298" t="s">
        <v>4430</v>
      </c>
      <c r="E298" s="249" t="str">
        <f>HYPERLINK("https://www.instagram.com/p/BXtjq-PBJg5/")</f>
        <v>https://www.instagram.com/p/BXtjq-PBJg5/</v>
      </c>
      <c r="F298" t="s">
        <v>4431</v>
      </c>
      <c r="G298" t="s">
        <v>2478</v>
      </c>
      <c r="H298">
        <v>154</v>
      </c>
      <c r="I298" t="s">
        <v>2582</v>
      </c>
      <c r="J298">
        <v>0</v>
      </c>
      <c r="K298">
        <v>8</v>
      </c>
      <c r="L298">
        <v>8</v>
      </c>
      <c r="Q298">
        <v>0</v>
      </c>
      <c r="R298">
        <v>0</v>
      </c>
      <c r="S298">
        <v>8</v>
      </c>
      <c r="Y298" t="s">
        <v>4432</v>
      </c>
      <c r="Z298" t="s">
        <v>4433</v>
      </c>
      <c r="AA298" t="s">
        <v>2497</v>
      </c>
      <c r="AB298" t="s">
        <v>4434</v>
      </c>
      <c r="AC298" t="s">
        <v>2696</v>
      </c>
      <c r="AD298" s="249" t="str">
        <f>HYPERLINK("https://scontent.cdninstagram.com/t51.2885-15/s320x320/e35/20766220_482935075408025_2025354208533807104_n.jpg")</f>
        <v>https://scontent.cdninstagram.com/t51.2885-15/s320x320/e35/20766220_482935075408025_2025354208533807104_n.jpg</v>
      </c>
      <c r="AE298" s="249" t="str">
        <f>HYPERLINK("https://scontent.cdninstagram.com/t51.2885-19/s150x150/20759778_1136240569809928_3099070035096764416_a.jpg")</f>
        <v>https://scontent.cdninstagram.com/t51.2885-19/s150x150/20759778_1136240569809928_3099070035096764416_a.jpg</v>
      </c>
    </row>
    <row r="299" spans="1:31" ht="15" x14ac:dyDescent="0.25">
      <c r="A299" t="s">
        <v>2474</v>
      </c>
      <c r="B299" t="s">
        <v>4435</v>
      </c>
      <c r="C299" s="221">
        <v>42959.822199074071</v>
      </c>
      <c r="D299" t="s">
        <v>4436</v>
      </c>
      <c r="E299" s="249" t="str">
        <f>HYPERLINK("https://www.instagram.com/p/BXtm4-CAoyR/")</f>
        <v>https://www.instagram.com/p/BXtm4-CAoyR/</v>
      </c>
      <c r="F299" t="s">
        <v>4437</v>
      </c>
      <c r="G299" t="s">
        <v>2478</v>
      </c>
      <c r="H299">
        <v>393</v>
      </c>
      <c r="I299" t="s">
        <v>2479</v>
      </c>
      <c r="J299">
        <v>0</v>
      </c>
      <c r="K299">
        <v>32</v>
      </c>
      <c r="L299">
        <v>32</v>
      </c>
      <c r="Q299">
        <v>0</v>
      </c>
      <c r="R299">
        <v>0</v>
      </c>
      <c r="S299">
        <v>32</v>
      </c>
      <c r="Y299" t="s">
        <v>4438</v>
      </c>
      <c r="Z299" t="s">
        <v>4439</v>
      </c>
      <c r="AA299" t="s">
        <v>4440</v>
      </c>
      <c r="AB299" t="s">
        <v>2497</v>
      </c>
      <c r="AC299" t="s">
        <v>4441</v>
      </c>
      <c r="AD299" s="249" t="str">
        <f>HYPERLINK("https://scontent.cdninstagram.com/t51.2885-15/s320x320/e35/c0.117.937.937/20688402_499920533676223_6641584242230820864_n.jpg")</f>
        <v>https://scontent.cdninstagram.com/t51.2885-15/s320x320/e35/c0.117.937.937/20688402_499920533676223_6641584242230820864_n.jpg</v>
      </c>
      <c r="AE299" s="249" t="str">
        <f>HYPERLINK("https://scontent.cdninstagram.com/t51.2885-19/s150x150/20180544_770038836500988_6369130595217309696_a.jpg")</f>
        <v>https://scontent.cdninstagram.com/t51.2885-19/s150x150/20180544_770038836500988_6369130595217309696_a.jpg</v>
      </c>
    </row>
    <row r="300" spans="1:31" ht="15" x14ac:dyDescent="0.25">
      <c r="A300" t="s">
        <v>2474</v>
      </c>
      <c r="B300" t="s">
        <v>4442</v>
      </c>
      <c r="C300" s="221">
        <v>42959.829826388886</v>
      </c>
      <c r="D300" t="s">
        <v>4443</v>
      </c>
      <c r="E300" s="249" t="str">
        <f>HYPERLINK("https://www.instagram.com/p/BXtoJggDe_G/")</f>
        <v>https://www.instagram.com/p/BXtoJggDe_G/</v>
      </c>
      <c r="F300" t="s">
        <v>4444</v>
      </c>
      <c r="G300" t="s">
        <v>2631</v>
      </c>
      <c r="H300">
        <v>740</v>
      </c>
      <c r="I300" t="s">
        <v>2479</v>
      </c>
      <c r="J300">
        <v>4</v>
      </c>
      <c r="K300">
        <v>65</v>
      </c>
      <c r="L300">
        <v>69</v>
      </c>
      <c r="Q300">
        <v>0</v>
      </c>
      <c r="R300">
        <v>0</v>
      </c>
      <c r="S300">
        <v>69</v>
      </c>
      <c r="T300" t="s">
        <v>4445</v>
      </c>
      <c r="U300" t="s">
        <v>106</v>
      </c>
      <c r="V300" t="s">
        <v>2299</v>
      </c>
      <c r="W300">
        <v>26.1358</v>
      </c>
      <c r="X300">
        <v>-80.141800000000003</v>
      </c>
      <c r="Y300" t="s">
        <v>4446</v>
      </c>
      <c r="Z300" t="s">
        <v>4447</v>
      </c>
      <c r="AA300" t="s">
        <v>4448</v>
      </c>
      <c r="AB300" t="s">
        <v>2497</v>
      </c>
      <c r="AC300" t="s">
        <v>4449</v>
      </c>
      <c r="AD300" s="249" t="str">
        <f>HYPERLINK("https://scontent.cdninstagram.com/t51.2885-15/s320x320/e15/c157.0.405.405/20760015_1903708976545141_3617794482637897728_n.jpg")</f>
        <v>https://scontent.cdninstagram.com/t51.2885-15/s320x320/e15/c157.0.405.405/20760015_1903708976545141_3617794482637897728_n.jpg</v>
      </c>
      <c r="AE300" s="249" t="str">
        <f>HYPERLINK("https://scontent.cdninstagram.com/t51.2885-19/s150x150/14716534_103094366830128_7676197793177796608_a.jpg")</f>
        <v>https://scontent.cdninstagram.com/t51.2885-19/s150x150/14716534_103094366830128_7676197793177796608_a.jpg</v>
      </c>
    </row>
    <row r="301" spans="1:31" ht="15" x14ac:dyDescent="0.25">
      <c r="A301" t="s">
        <v>2474</v>
      </c>
      <c r="B301" t="s">
        <v>4450</v>
      </c>
      <c r="C301" s="221">
        <v>42959.833078703705</v>
      </c>
      <c r="D301" t="s">
        <v>4451</v>
      </c>
      <c r="E301" s="249" t="str">
        <f>HYPERLINK("https://www.instagram.com/p/BXtoryUHefq/")</f>
        <v>https://www.instagram.com/p/BXtoryUHefq/</v>
      </c>
      <c r="F301" t="s">
        <v>4452</v>
      </c>
      <c r="G301" t="s">
        <v>2478</v>
      </c>
      <c r="H301">
        <v>5758</v>
      </c>
      <c r="I301" t="s">
        <v>2910</v>
      </c>
      <c r="J301">
        <v>8</v>
      </c>
      <c r="K301">
        <v>78</v>
      </c>
      <c r="L301">
        <v>86</v>
      </c>
      <c r="Q301">
        <v>0</v>
      </c>
      <c r="R301">
        <v>0</v>
      </c>
      <c r="S301">
        <v>86</v>
      </c>
      <c r="AD301" s="249" t="str">
        <f>HYPERLINK("https://scontent.cdninstagram.com/t51.2885-15/s320x320/e35/c0.11.1080.1080/20766663_118309932154575_6148496471659380736_n.jpg")</f>
        <v>https://scontent.cdninstagram.com/t51.2885-15/s320x320/e35/c0.11.1080.1080/20766663_118309932154575_6148496471659380736_n.jpg</v>
      </c>
      <c r="AE301" s="249" t="str">
        <f>HYPERLINK("https://scontent.cdninstagram.com/t51.2885-19/s150x150/19932891_883844935101686_5198394141792272384_a.jpg")</f>
        <v>https://scontent.cdninstagram.com/t51.2885-19/s150x150/19932891_883844935101686_5198394141792272384_a.jpg</v>
      </c>
    </row>
    <row r="302" spans="1:31" ht="15" x14ac:dyDescent="0.25">
      <c r="A302" t="s">
        <v>2474</v>
      </c>
      <c r="B302" t="s">
        <v>4453</v>
      </c>
      <c r="C302" s="221">
        <v>42959.858518518522</v>
      </c>
      <c r="D302" t="s">
        <v>4454</v>
      </c>
      <c r="E302" s="249" t="str">
        <f>HYPERLINK("https://www.instagram.com/p/BXts4C7gdLD/")</f>
        <v>https://www.instagram.com/p/BXts4C7gdLD/</v>
      </c>
      <c r="F302" t="s">
        <v>4455</v>
      </c>
      <c r="G302" t="s">
        <v>2478</v>
      </c>
      <c r="H302">
        <v>164</v>
      </c>
      <c r="I302" t="s">
        <v>2479</v>
      </c>
      <c r="J302">
        <v>4</v>
      </c>
      <c r="K302">
        <v>42</v>
      </c>
      <c r="L302">
        <v>46</v>
      </c>
      <c r="Q302">
        <v>0</v>
      </c>
      <c r="R302">
        <v>0</v>
      </c>
      <c r="S302">
        <v>46</v>
      </c>
      <c r="Y302" t="s">
        <v>2497</v>
      </c>
      <c r="Z302" t="s">
        <v>4456</v>
      </c>
      <c r="AA302" t="s">
        <v>4457</v>
      </c>
      <c r="AD302" s="249" t="str">
        <f>HYPERLINK("https://scontent.cdninstagram.com/t51.2885-15/s320x320/e35/c110.0.860.860/20759666_837734823074086_6208972961261551616_n.jpg")</f>
        <v>https://scontent.cdninstagram.com/t51.2885-15/s320x320/e35/c110.0.860.860/20759666_837734823074086_6208972961261551616_n.jpg</v>
      </c>
      <c r="AE302" s="249" t="str">
        <f>HYPERLINK("https://scontent.cdninstagram.com/t51.2885-19/s150x150/17881112_210056396148643_2440919588938973184_n.jpg")</f>
        <v>https://scontent.cdninstagram.com/t51.2885-19/s150x150/17881112_210056396148643_2440919588938973184_n.jpg</v>
      </c>
    </row>
    <row r="303" spans="1:31" ht="15" x14ac:dyDescent="0.25">
      <c r="A303" t="s">
        <v>2474</v>
      </c>
      <c r="B303" t="s">
        <v>4458</v>
      </c>
      <c r="C303" s="221">
        <v>42959.871365740742</v>
      </c>
      <c r="D303" t="s">
        <v>4459</v>
      </c>
      <c r="E303" s="249" t="str">
        <f>HYPERLINK("https://www.instagram.com/p/BXtu_kzAIhs/")</f>
        <v>https://www.instagram.com/p/BXtu_kzAIhs/</v>
      </c>
      <c r="F303" t="s">
        <v>4460</v>
      </c>
      <c r="G303" t="s">
        <v>2478</v>
      </c>
      <c r="H303">
        <v>289</v>
      </c>
      <c r="I303" t="s">
        <v>2479</v>
      </c>
      <c r="J303">
        <v>0</v>
      </c>
      <c r="K303">
        <v>47</v>
      </c>
      <c r="L303">
        <v>47</v>
      </c>
      <c r="Q303">
        <v>0</v>
      </c>
      <c r="R303">
        <v>0</v>
      </c>
      <c r="S303">
        <v>47</v>
      </c>
      <c r="Y303" t="s">
        <v>4461</v>
      </c>
      <c r="Z303" t="s">
        <v>2497</v>
      </c>
      <c r="AA303" t="s">
        <v>4462</v>
      </c>
      <c r="AB303" t="s">
        <v>4463</v>
      </c>
      <c r="AC303" t="s">
        <v>4464</v>
      </c>
      <c r="AD303" s="249" t="str">
        <f>HYPERLINK("https://scontent.cdninstagram.com/t51.2885-15/s320x320/e15/20759388_1441749829244996_899577210770292736_n.jpg")</f>
        <v>https://scontent.cdninstagram.com/t51.2885-15/s320x320/e15/20759388_1441749829244996_899577210770292736_n.jpg</v>
      </c>
      <c r="AE303" s="249" t="str">
        <f>HYPERLINK("https://scontent.cdninstagram.com/t51.2885-19/s150x150/20759354_454475268249302_8859091383462395904_a.jpg")</f>
        <v>https://scontent.cdninstagram.com/t51.2885-19/s150x150/20759354_454475268249302_8859091383462395904_a.jpg</v>
      </c>
    </row>
    <row r="304" spans="1:31" ht="15" x14ac:dyDescent="0.25">
      <c r="A304" t="s">
        <v>2474</v>
      </c>
      <c r="B304" t="s">
        <v>4465</v>
      </c>
      <c r="C304" s="221">
        <v>42959.918715277781</v>
      </c>
      <c r="D304" t="s">
        <v>4466</v>
      </c>
      <c r="E304" s="249" t="str">
        <f>HYPERLINK("https://www.instagram.com/p/BXt2y-OF5M2/")</f>
        <v>https://www.instagram.com/p/BXt2y-OF5M2/</v>
      </c>
      <c r="F304" t="s">
        <v>4467</v>
      </c>
      <c r="G304" t="s">
        <v>2478</v>
      </c>
      <c r="H304">
        <v>247</v>
      </c>
      <c r="I304" t="s">
        <v>2479</v>
      </c>
      <c r="J304">
        <v>0</v>
      </c>
      <c r="K304">
        <v>41</v>
      </c>
      <c r="L304">
        <v>41</v>
      </c>
      <c r="Q304">
        <v>0</v>
      </c>
      <c r="R304">
        <v>0</v>
      </c>
      <c r="S304">
        <v>41</v>
      </c>
      <c r="Y304" t="s">
        <v>2497</v>
      </c>
      <c r="Z304" t="s">
        <v>4468</v>
      </c>
      <c r="AD304" s="249" t="str">
        <f>HYPERLINK("https://scontent.cdninstagram.com/t51.2885-15/s320x320/e35/20688576_1903744233210705_8496642580866400256_n.jpg")</f>
        <v>https://scontent.cdninstagram.com/t51.2885-15/s320x320/e35/20688576_1903744233210705_8496642580866400256_n.jpg</v>
      </c>
      <c r="AE304" s="249" t="str">
        <f>HYPERLINK("https://scontent.cdninstagram.com/t51.2885-19/s150x150/15801883_241196109639072_1223527756181012480_a.jpg")</f>
        <v>https://scontent.cdninstagram.com/t51.2885-19/s150x150/15801883_241196109639072_1223527756181012480_a.jpg</v>
      </c>
    </row>
    <row r="305" spans="1:31" ht="15" x14ac:dyDescent="0.25">
      <c r="A305" t="s">
        <v>2474</v>
      </c>
      <c r="B305" t="s">
        <v>4469</v>
      </c>
      <c r="C305" s="221">
        <v>42959.918749999997</v>
      </c>
      <c r="D305" t="s">
        <v>4470</v>
      </c>
      <c r="E305" s="249" t="str">
        <f>HYPERLINK("https://www.instagram.com/p/BXt2zT4AIeR/")</f>
        <v>https://www.instagram.com/p/BXt2zT4AIeR/</v>
      </c>
      <c r="F305" t="s">
        <v>4471</v>
      </c>
      <c r="G305" t="s">
        <v>2478</v>
      </c>
      <c r="H305">
        <v>164</v>
      </c>
      <c r="I305" t="s">
        <v>2542</v>
      </c>
      <c r="J305">
        <v>1</v>
      </c>
      <c r="K305">
        <v>21</v>
      </c>
      <c r="L305">
        <v>22</v>
      </c>
      <c r="Q305">
        <v>0</v>
      </c>
      <c r="R305">
        <v>0</v>
      </c>
      <c r="S305">
        <v>22</v>
      </c>
      <c r="T305" t="s">
        <v>4472</v>
      </c>
      <c r="U305" t="s">
        <v>1212</v>
      </c>
      <c r="V305" t="s">
        <v>2299</v>
      </c>
      <c r="W305">
        <v>40.60944029294</v>
      </c>
      <c r="X305">
        <v>-82.263135910033995</v>
      </c>
      <c r="Y305" t="s">
        <v>4473</v>
      </c>
      <c r="Z305" t="s">
        <v>2497</v>
      </c>
      <c r="AA305" t="s">
        <v>4474</v>
      </c>
      <c r="AB305" t="s">
        <v>4475</v>
      </c>
      <c r="AC305" t="s">
        <v>4476</v>
      </c>
      <c r="AD305" s="249" t="str">
        <f>HYPERLINK("https://scontent.cdninstagram.com/t51.2885-15/s320x320/e35/20688704_1915918588670905_7512008688169648128_n.jpg")</f>
        <v>https://scontent.cdninstagram.com/t51.2885-15/s320x320/e35/20688704_1915918588670905_7512008688169648128_n.jpg</v>
      </c>
      <c r="AE305" s="249" t="str">
        <f>HYPERLINK("https://scontent.cdninstagram.com/t51.2885-19/s150x150/20346872_255431461611488_7985099017996468224_a.jpg")</f>
        <v>https://scontent.cdninstagram.com/t51.2885-19/s150x150/20346872_255431461611488_7985099017996468224_a.jpg</v>
      </c>
    </row>
    <row r="306" spans="1:31" ht="15" x14ac:dyDescent="0.25">
      <c r="A306" t="s">
        <v>2474</v>
      </c>
      <c r="B306" t="s">
        <v>4477</v>
      </c>
      <c r="C306" s="221">
        <v>42959.933483796296</v>
      </c>
      <c r="D306" t="s">
        <v>4478</v>
      </c>
      <c r="E306" s="249" t="str">
        <f>HYPERLINK("https://www.instagram.com/p/BXt5OqxgFQU/")</f>
        <v>https://www.instagram.com/p/BXt5OqxgFQU/</v>
      </c>
      <c r="F306" t="s">
        <v>4479</v>
      </c>
      <c r="G306" t="s">
        <v>2478</v>
      </c>
      <c r="H306">
        <v>893</v>
      </c>
      <c r="I306" t="s">
        <v>3186</v>
      </c>
      <c r="J306">
        <v>4</v>
      </c>
      <c r="K306">
        <v>75</v>
      </c>
      <c r="L306">
        <v>79</v>
      </c>
      <c r="Q306">
        <v>0</v>
      </c>
      <c r="R306">
        <v>0</v>
      </c>
      <c r="S306">
        <v>79</v>
      </c>
      <c r="T306" t="s">
        <v>4480</v>
      </c>
      <c r="U306" t="s">
        <v>2020</v>
      </c>
      <c r="V306" t="s">
        <v>2299</v>
      </c>
      <c r="W306">
        <v>47</v>
      </c>
      <c r="X306">
        <v>-110</v>
      </c>
      <c r="Y306" t="s">
        <v>4481</v>
      </c>
      <c r="Z306" t="s">
        <v>4482</v>
      </c>
      <c r="AA306" t="s">
        <v>4483</v>
      </c>
      <c r="AB306" t="s">
        <v>4484</v>
      </c>
      <c r="AC306" t="s">
        <v>4485</v>
      </c>
      <c r="AD306" s="249" t="str">
        <f>HYPERLINK("https://scontent.cdninstagram.com/t51.2885-15/s320x320/e35/c135.0.810.810/20838754_134656337140794_5840052291490545664_n.jpg")</f>
        <v>https://scontent.cdninstagram.com/t51.2885-15/s320x320/e35/c135.0.810.810/20838754_134656337140794_5840052291490545664_n.jpg</v>
      </c>
      <c r="AE306" s="249" t="str">
        <f>HYPERLINK("https://scontent.cdninstagram.com/t51.2885-19/s150x150/20969233_1944094239199108_2719827193113870336_a.jpg")</f>
        <v>https://scontent.cdninstagram.com/t51.2885-19/s150x150/20969233_1944094239199108_2719827193113870336_a.jpg</v>
      </c>
    </row>
    <row r="307" spans="1:31" ht="15" x14ac:dyDescent="0.25">
      <c r="A307" t="s">
        <v>2474</v>
      </c>
      <c r="B307" t="s">
        <v>4486</v>
      </c>
      <c r="C307" s="221">
        <v>42959.938831018517</v>
      </c>
      <c r="D307" t="s">
        <v>4487</v>
      </c>
      <c r="E307" s="249" t="str">
        <f>HYPERLINK("https://www.instagram.com/p/BXt6HHQFjtq/")</f>
        <v>https://www.instagram.com/p/BXt6HHQFjtq/</v>
      </c>
      <c r="F307" t="s">
        <v>4488</v>
      </c>
      <c r="G307" t="s">
        <v>2478</v>
      </c>
      <c r="H307">
        <v>95</v>
      </c>
      <c r="I307" t="s">
        <v>3186</v>
      </c>
      <c r="J307">
        <v>0</v>
      </c>
      <c r="K307">
        <v>22</v>
      </c>
      <c r="L307">
        <v>22</v>
      </c>
      <c r="Q307">
        <v>0</v>
      </c>
      <c r="R307">
        <v>0</v>
      </c>
      <c r="S307">
        <v>22</v>
      </c>
      <c r="Y307" t="s">
        <v>4489</v>
      </c>
      <c r="Z307" t="s">
        <v>2497</v>
      </c>
      <c r="AA307" t="s">
        <v>4490</v>
      </c>
      <c r="AD307" s="249" t="str">
        <f>HYPERLINK("https://scontent.cdninstagram.com/t51.2885-15/s320x320/e35/20766645_335394353565857_4779632597049278464_n.jpg")</f>
        <v>https://scontent.cdninstagram.com/t51.2885-15/s320x320/e35/20766645_335394353565857_4779632597049278464_n.jpg</v>
      </c>
      <c r="AE307" s="249" t="str">
        <f>HYPERLINK("https://scontent.cdninstagram.com/t51.2885-19/s150x150/20225643_673148086228100_3784687162184695808_a.jpg")</f>
        <v>https://scontent.cdninstagram.com/t51.2885-19/s150x150/20225643_673148086228100_3784687162184695808_a.jpg</v>
      </c>
    </row>
    <row r="308" spans="1:31" ht="15" x14ac:dyDescent="0.25">
      <c r="A308" t="s">
        <v>2474</v>
      </c>
      <c r="B308" t="s">
        <v>4491</v>
      </c>
      <c r="C308" s="221">
        <v>42959.957256944443</v>
      </c>
      <c r="D308" t="s">
        <v>4492</v>
      </c>
      <c r="E308" s="249" t="str">
        <f>HYPERLINK("https://www.instagram.com/p/BXt9Je5g0lW/")</f>
        <v>https://www.instagram.com/p/BXt9Je5g0lW/</v>
      </c>
      <c r="F308" t="s">
        <v>4493</v>
      </c>
      <c r="G308" t="s">
        <v>2631</v>
      </c>
      <c r="H308">
        <v>248</v>
      </c>
      <c r="I308" t="s">
        <v>2599</v>
      </c>
      <c r="J308">
        <v>2</v>
      </c>
      <c r="K308">
        <v>50</v>
      </c>
      <c r="L308">
        <v>52</v>
      </c>
      <c r="Q308">
        <v>0</v>
      </c>
      <c r="R308">
        <v>0</v>
      </c>
      <c r="S308">
        <v>52</v>
      </c>
      <c r="Y308" t="s">
        <v>4494</v>
      </c>
      <c r="Z308" t="s">
        <v>4495</v>
      </c>
      <c r="AA308" t="s">
        <v>2497</v>
      </c>
      <c r="AD308" s="249" t="str">
        <f>HYPERLINK("https://scontent.cdninstagram.com/t51.2885-15/s320x320/e15/20838199_1718022978491949_7412618072583831552_n.jpg")</f>
        <v>https://scontent.cdninstagram.com/t51.2885-15/s320x320/e15/20838199_1718022978491949_7412618072583831552_n.jpg</v>
      </c>
      <c r="AE308" s="249" t="str">
        <f>HYPERLINK("https://scontent.cdninstagram.com/t51.2885-19/s150x150/12798084_625349770952477_1078431948_a.jpg")</f>
        <v>https://scontent.cdninstagram.com/t51.2885-19/s150x150/12798084_625349770952477_1078431948_a.jpg</v>
      </c>
    </row>
    <row r="309" spans="1:31" ht="15" x14ac:dyDescent="0.25">
      <c r="A309" t="s">
        <v>2474</v>
      </c>
      <c r="B309" t="s">
        <v>4496</v>
      </c>
      <c r="C309" s="221">
        <v>42959.967557870368</v>
      </c>
      <c r="D309" t="s">
        <v>4497</v>
      </c>
      <c r="E309" s="249" t="str">
        <f>HYPERLINK("https://www.instagram.com/p/BXt-2EQj2Fn/")</f>
        <v>https://www.instagram.com/p/BXt-2EQj2Fn/</v>
      </c>
      <c r="F309" t="s">
        <v>4498</v>
      </c>
      <c r="G309" t="s">
        <v>2478</v>
      </c>
      <c r="H309">
        <v>35</v>
      </c>
      <c r="I309" t="s">
        <v>2622</v>
      </c>
      <c r="J309">
        <v>0</v>
      </c>
      <c r="K309">
        <v>6</v>
      </c>
      <c r="L309">
        <v>6</v>
      </c>
      <c r="Q309">
        <v>0</v>
      </c>
      <c r="R309">
        <v>0</v>
      </c>
      <c r="S309">
        <v>6</v>
      </c>
      <c r="Y309" t="s">
        <v>2497</v>
      </c>
      <c r="Z309" t="s">
        <v>4499</v>
      </c>
      <c r="AA309" t="s">
        <v>4500</v>
      </c>
      <c r="AB309" t="s">
        <v>4501</v>
      </c>
      <c r="AC309" t="s">
        <v>4502</v>
      </c>
      <c r="AD309" s="249" t="str">
        <f>HYPERLINK("https://scontent.cdninstagram.com/t51.2885-15/s320x320/e35/20759109_1094589350675679_6244631669538553856_n.jpg")</f>
        <v>https://scontent.cdninstagram.com/t51.2885-15/s320x320/e35/20759109_1094589350675679_6244631669538553856_n.jpg</v>
      </c>
      <c r="AE309" s="249" t="str">
        <f>HYPERLINK("https://scontent.cdninstagram.com/t51.2885-19/s150x150/15875867_1496493943724268_2909033078166913024_a.jpg")</f>
        <v>https://scontent.cdninstagram.com/t51.2885-19/s150x150/15875867_1496493943724268_2909033078166913024_a.jpg</v>
      </c>
    </row>
    <row r="310" spans="1:31" ht="15" x14ac:dyDescent="0.25">
      <c r="A310" t="s">
        <v>2474</v>
      </c>
      <c r="B310" t="s">
        <v>4503</v>
      </c>
      <c r="C310" s="221">
        <v>42959.971805555557</v>
      </c>
      <c r="D310" t="s">
        <v>4504</v>
      </c>
      <c r="E310" s="249" t="str">
        <f>HYPERLINK("https://www.instagram.com/p/BXt_i1zgOMa/")</f>
        <v>https://www.instagram.com/p/BXt_i1zgOMa/</v>
      </c>
      <c r="F310" t="s">
        <v>4505</v>
      </c>
      <c r="G310" t="s">
        <v>2478</v>
      </c>
      <c r="H310">
        <v>126</v>
      </c>
      <c r="I310" t="s">
        <v>2479</v>
      </c>
      <c r="J310">
        <v>1</v>
      </c>
      <c r="K310">
        <v>11</v>
      </c>
      <c r="L310">
        <v>12</v>
      </c>
      <c r="Q310">
        <v>0</v>
      </c>
      <c r="R310">
        <v>0</v>
      </c>
      <c r="S310">
        <v>12</v>
      </c>
      <c r="Y310" t="s">
        <v>4506</v>
      </c>
      <c r="Z310" t="s">
        <v>4370</v>
      </c>
      <c r="AA310" t="s">
        <v>4507</v>
      </c>
      <c r="AB310" t="s">
        <v>2497</v>
      </c>
      <c r="AC310" t="s">
        <v>4508</v>
      </c>
      <c r="AD310" s="249" t="str">
        <f>HYPERLINK("https://scontent.cdninstagram.com/t51.2885-15/s320x320/e35/c0.135.1080.1080/20837095_118166085504621_1745947877051465728_n.jpg")</f>
        <v>https://scontent.cdninstagram.com/t51.2885-15/s320x320/e35/c0.135.1080.1080/20837095_118166085504621_1745947877051465728_n.jpg</v>
      </c>
      <c r="AE310" s="249" t="str">
        <f>HYPERLINK("https://scontent.cdninstagram.com/t51.2885-19/11887255_720316648112561_1604988450_a.jpg")</f>
        <v>https://scontent.cdninstagram.com/t51.2885-19/11887255_720316648112561_1604988450_a.jpg</v>
      </c>
    </row>
    <row r="311" spans="1:31" ht="15" x14ac:dyDescent="0.25">
      <c r="A311" t="s">
        <v>2474</v>
      </c>
      <c r="B311" t="s">
        <v>4509</v>
      </c>
      <c r="C311" s="221">
        <v>42959.975891203707</v>
      </c>
      <c r="D311" t="s">
        <v>4510</v>
      </c>
      <c r="E311" s="249" t="str">
        <f>HYPERLINK("https://www.instagram.com/p/BXuAN9QhBaY/")</f>
        <v>https://www.instagram.com/p/BXuAN9QhBaY/</v>
      </c>
      <c r="F311" t="s">
        <v>4511</v>
      </c>
      <c r="G311" t="s">
        <v>2478</v>
      </c>
      <c r="H311">
        <v>561</v>
      </c>
      <c r="I311" t="s">
        <v>2479</v>
      </c>
      <c r="J311">
        <v>0</v>
      </c>
      <c r="K311">
        <v>20</v>
      </c>
      <c r="L311">
        <v>20</v>
      </c>
      <c r="Q311">
        <v>0</v>
      </c>
      <c r="R311">
        <v>0</v>
      </c>
      <c r="S311">
        <v>20</v>
      </c>
      <c r="Y311" t="s">
        <v>4512</v>
      </c>
      <c r="Z311" t="s">
        <v>2497</v>
      </c>
      <c r="AA311" t="s">
        <v>4513</v>
      </c>
      <c r="AB311" t="s">
        <v>4514</v>
      </c>
      <c r="AC311" t="s">
        <v>2513</v>
      </c>
      <c r="AD311" s="249" t="str">
        <f>HYPERLINK("https://scontent.cdninstagram.com/t51.2885-15/s320x320/e35/c236.0.607.607/20837798_351084258668361_7282609760426262528_n.jpg")</f>
        <v>https://scontent.cdninstagram.com/t51.2885-15/s320x320/e35/c236.0.607.607/20837798_351084258668361_7282609760426262528_n.jpg</v>
      </c>
      <c r="AE311" s="249" t="str">
        <f>HYPERLINK("https://scontent.cdninstagram.com/t51.2885-19/s150x150/20582995_149619395617998_7268531261356900352_a.jpg")</f>
        <v>https://scontent.cdninstagram.com/t51.2885-19/s150x150/20582995_149619395617998_7268531261356900352_a.jpg</v>
      </c>
    </row>
    <row r="312" spans="1:31" ht="15" x14ac:dyDescent="0.25">
      <c r="A312" t="s">
        <v>2474</v>
      </c>
      <c r="B312" t="s">
        <v>4515</v>
      </c>
      <c r="C312" s="221">
        <v>42959.98028935185</v>
      </c>
      <c r="D312" t="s">
        <v>4516</v>
      </c>
      <c r="E312" s="249" t="str">
        <f>HYPERLINK("https://www.instagram.com/p/BXuA8W3AvnV/")</f>
        <v>https://www.instagram.com/p/BXuA8W3AvnV/</v>
      </c>
      <c r="F312" t="s">
        <v>4517</v>
      </c>
      <c r="G312" t="s">
        <v>2478</v>
      </c>
      <c r="H312">
        <v>423</v>
      </c>
      <c r="I312" t="s">
        <v>2479</v>
      </c>
      <c r="J312">
        <v>0</v>
      </c>
      <c r="K312">
        <v>39</v>
      </c>
      <c r="L312">
        <v>39</v>
      </c>
      <c r="Q312">
        <v>0</v>
      </c>
      <c r="R312">
        <v>0</v>
      </c>
      <c r="S312">
        <v>39</v>
      </c>
      <c r="Y312" t="s">
        <v>4462</v>
      </c>
      <c r="Z312" t="s">
        <v>2497</v>
      </c>
      <c r="AA312" t="s">
        <v>4518</v>
      </c>
      <c r="AB312" t="s">
        <v>2826</v>
      </c>
      <c r="AC312" t="s">
        <v>4519</v>
      </c>
      <c r="AD312" s="249" t="str">
        <f>HYPERLINK("https://scontent.cdninstagram.com/t51.2885-15/s320x320/e35/20766950_356363101464622_3341757364020707328_n.jpg")</f>
        <v>https://scontent.cdninstagram.com/t51.2885-15/s320x320/e35/20766950_356363101464622_3341757364020707328_n.jpg</v>
      </c>
      <c r="AE312" s="249" t="str">
        <f>HYPERLINK("https://scontent.cdninstagram.com/t51.2885-19/s150x150/17881868_809860519177858_460591541203763200_a.jpg")</f>
        <v>https://scontent.cdninstagram.com/t51.2885-19/s150x150/17881868_809860519177858_460591541203763200_a.jpg</v>
      </c>
    </row>
    <row r="313" spans="1:31" ht="15" x14ac:dyDescent="0.25">
      <c r="A313" t="s">
        <v>2474</v>
      </c>
      <c r="B313" t="s">
        <v>4520</v>
      </c>
      <c r="C313" s="221">
        <v>42959.982615740744</v>
      </c>
      <c r="D313" t="s">
        <v>4521</v>
      </c>
      <c r="E313" s="249" t="str">
        <f>HYPERLINK("https://www.instagram.com/p/BXuBU6Lgb1I/")</f>
        <v>https://www.instagram.com/p/BXuBU6Lgb1I/</v>
      </c>
      <c r="F313" t="s">
        <v>4522</v>
      </c>
      <c r="G313" t="s">
        <v>2478</v>
      </c>
      <c r="H313">
        <v>91</v>
      </c>
      <c r="I313" t="s">
        <v>4523</v>
      </c>
      <c r="J313">
        <v>0</v>
      </c>
      <c r="K313">
        <v>17</v>
      </c>
      <c r="L313">
        <v>17</v>
      </c>
      <c r="Q313">
        <v>0</v>
      </c>
      <c r="R313">
        <v>0</v>
      </c>
      <c r="S313">
        <v>17</v>
      </c>
      <c r="Y313" t="s">
        <v>2497</v>
      </c>
      <c r="Z313" t="s">
        <v>4524</v>
      </c>
      <c r="AA313" t="s">
        <v>4525</v>
      </c>
      <c r="AB313" t="s">
        <v>4526</v>
      </c>
      <c r="AC313" t="s">
        <v>2577</v>
      </c>
      <c r="AD313" s="249" t="str">
        <f>HYPERLINK("https://scontent.cdninstagram.com/t51.2885-15/s320x320/e35/20688588_125316144758446_2589711429464489984_n.jpg")</f>
        <v>https://scontent.cdninstagram.com/t51.2885-15/s320x320/e35/20688588_125316144758446_2589711429464489984_n.jpg</v>
      </c>
      <c r="AE313" s="249" t="str">
        <f>HYPERLINK("https://scontent.cdninstagram.com/t51.2885-19/s150x150/20478951_1907843419428469_3879217472519274496_a.jpg")</f>
        <v>https://scontent.cdninstagram.com/t51.2885-19/s150x150/20478951_1907843419428469_3879217472519274496_a.jpg</v>
      </c>
    </row>
    <row r="314" spans="1:31" ht="15" x14ac:dyDescent="0.25">
      <c r="A314" t="s">
        <v>2474</v>
      </c>
      <c r="B314" t="s">
        <v>4527</v>
      </c>
      <c r="C314" s="221">
        <v>42959.989479166667</v>
      </c>
      <c r="D314" t="s">
        <v>4528</v>
      </c>
      <c r="E314" s="249" t="str">
        <f>HYPERLINK("https://www.instagram.com/p/BXuCdT8lEfG/")</f>
        <v>https://www.instagram.com/p/BXuCdT8lEfG/</v>
      </c>
      <c r="F314" t="s">
        <v>4529</v>
      </c>
      <c r="G314" t="s">
        <v>2478</v>
      </c>
      <c r="H314">
        <v>425</v>
      </c>
      <c r="I314" t="s">
        <v>2479</v>
      </c>
      <c r="J314">
        <v>5</v>
      </c>
      <c r="K314">
        <v>61</v>
      </c>
      <c r="L314">
        <v>66</v>
      </c>
      <c r="Q314">
        <v>0</v>
      </c>
      <c r="R314">
        <v>0</v>
      </c>
      <c r="S314">
        <v>66</v>
      </c>
      <c r="Y314" t="s">
        <v>4530</v>
      </c>
      <c r="Z314" t="s">
        <v>4531</v>
      </c>
      <c r="AA314" t="s">
        <v>2741</v>
      </c>
      <c r="AB314" t="s">
        <v>2575</v>
      </c>
      <c r="AC314" t="s">
        <v>3174</v>
      </c>
      <c r="AD314" s="249" t="str">
        <f>HYPERLINK("https://scontent.cdninstagram.com/t51.2885-15/s320x320/e35/c0.99.1080.1080/20688098_136507863617629_2745614112334544896_n.jpg")</f>
        <v>https://scontent.cdninstagram.com/t51.2885-15/s320x320/e35/c0.99.1080.1080/20688098_136507863617629_2745614112334544896_n.jpg</v>
      </c>
      <c r="AE314" s="249" t="str">
        <f>HYPERLINK("https://scontent.cdninstagram.com/t51.2885-19/s150x150/19955419_113835965911931_8074450538369908736_a.jpg")</f>
        <v>https://scontent.cdninstagram.com/t51.2885-19/s150x150/19955419_113835965911931_8074450538369908736_a.jpg</v>
      </c>
    </row>
    <row r="315" spans="1:31" ht="15" x14ac:dyDescent="0.25">
      <c r="A315" t="s">
        <v>2474</v>
      </c>
      <c r="B315" t="s">
        <v>4532</v>
      </c>
      <c r="C315" s="221">
        <v>42959.991608796299</v>
      </c>
      <c r="D315" t="s">
        <v>4533</v>
      </c>
      <c r="E315" s="249" t="str">
        <f>HYPERLINK("https://www.instagram.com/p/BXuCzxxFJmK/")</f>
        <v>https://www.instagram.com/p/BXuCzxxFJmK/</v>
      </c>
      <c r="F315" t="s">
        <v>4534</v>
      </c>
      <c r="G315" t="s">
        <v>2478</v>
      </c>
      <c r="H315">
        <v>13416</v>
      </c>
      <c r="I315" t="s">
        <v>2479</v>
      </c>
      <c r="J315">
        <v>58</v>
      </c>
      <c r="K315">
        <v>4250</v>
      </c>
      <c r="L315">
        <v>4308</v>
      </c>
      <c r="Q315">
        <v>0</v>
      </c>
      <c r="R315">
        <v>0</v>
      </c>
      <c r="S315">
        <v>4308</v>
      </c>
      <c r="AD315" s="249" t="str">
        <f>HYPERLINK("https://scontent.cdninstagram.com/t51.2885-15/s320x320/e35/20759856_2014574605456524_1384769328213131264_n.jpg")</f>
        <v>https://scontent.cdninstagram.com/t51.2885-15/s320x320/e35/20759856_2014574605456524_1384769328213131264_n.jpg</v>
      </c>
      <c r="AE315" s="249" t="str">
        <f>HYPERLINK("https://scontent.cdninstagram.com/t51.2885-19/s150x150/20067107_316195015491609_2119457770917855232_a.jpg")</f>
        <v>https://scontent.cdninstagram.com/t51.2885-19/s150x150/20067107_316195015491609_2119457770917855232_a.jpg</v>
      </c>
    </row>
    <row r="316" spans="1:31" ht="15" x14ac:dyDescent="0.25">
      <c r="A316" t="s">
        <v>2474</v>
      </c>
      <c r="B316" t="s">
        <v>4535</v>
      </c>
      <c r="C316" s="221">
        <v>42959.996111111112</v>
      </c>
      <c r="D316" t="s">
        <v>4536</v>
      </c>
      <c r="E316" s="249" t="str">
        <f>HYPERLINK("https://www.instagram.com/p/BXuDjSgFs4M/")</f>
        <v>https://www.instagram.com/p/BXuDjSgFs4M/</v>
      </c>
      <c r="F316" t="s">
        <v>4537</v>
      </c>
      <c r="G316" t="s">
        <v>2478</v>
      </c>
      <c r="H316">
        <v>170</v>
      </c>
      <c r="I316" t="s">
        <v>2479</v>
      </c>
      <c r="J316">
        <v>4</v>
      </c>
      <c r="K316">
        <v>39</v>
      </c>
      <c r="L316">
        <v>43</v>
      </c>
      <c r="Q316">
        <v>0</v>
      </c>
      <c r="R316">
        <v>0</v>
      </c>
      <c r="S316">
        <v>43</v>
      </c>
      <c r="Y316" t="s">
        <v>4538</v>
      </c>
      <c r="Z316" t="s">
        <v>4539</v>
      </c>
      <c r="AA316" t="s">
        <v>4540</v>
      </c>
      <c r="AB316" t="s">
        <v>4541</v>
      </c>
      <c r="AC316" t="s">
        <v>4542</v>
      </c>
      <c r="AD316" s="249" t="str">
        <f>HYPERLINK("https://scontent.cdninstagram.com/t51.2885-15/s320x320/e35/20759083_361604717607295_7902036059888812032_n.jpg")</f>
        <v>https://scontent.cdninstagram.com/t51.2885-15/s320x320/e35/20759083_361604717607295_7902036059888812032_n.jpg</v>
      </c>
      <c r="AE316" s="249" t="str">
        <f>HYPERLINK("https://scontent.cdninstagram.com/t51.2885-19/s150x150/20399028_1624608414236560_533007696291430400_a.jpg")</f>
        <v>https://scontent.cdninstagram.com/t51.2885-19/s150x150/20399028_1624608414236560_533007696291430400_a.jpg</v>
      </c>
    </row>
    <row r="317" spans="1:31" ht="15" x14ac:dyDescent="0.25">
      <c r="A317" t="s">
        <v>2474</v>
      </c>
      <c r="B317" t="s">
        <v>4543</v>
      </c>
      <c r="C317" s="221">
        <v>42959.999988425923</v>
      </c>
      <c r="D317" t="s">
        <v>4544</v>
      </c>
      <c r="E317" s="249" t="str">
        <f>HYPERLINK("https://www.instagram.com/p/BXuEMJwgkuj/")</f>
        <v>https://www.instagram.com/p/BXuEMJwgkuj/</v>
      </c>
      <c r="F317" t="s">
        <v>4545</v>
      </c>
      <c r="G317" t="s">
        <v>2478</v>
      </c>
      <c r="H317">
        <v>48333</v>
      </c>
      <c r="I317" t="s">
        <v>2479</v>
      </c>
      <c r="J317">
        <v>29</v>
      </c>
      <c r="K317">
        <v>1612</v>
      </c>
      <c r="L317">
        <v>1641</v>
      </c>
      <c r="Q317">
        <v>0</v>
      </c>
      <c r="R317">
        <v>0</v>
      </c>
      <c r="S317">
        <v>1641</v>
      </c>
      <c r="Y317" t="s">
        <v>4546</v>
      </c>
      <c r="Z317" t="s">
        <v>4547</v>
      </c>
      <c r="AA317" t="s">
        <v>4548</v>
      </c>
      <c r="AB317" t="s">
        <v>4549</v>
      </c>
      <c r="AC317" t="s">
        <v>4550</v>
      </c>
      <c r="AD317" s="249" t="str">
        <f>HYPERLINK("https://scontent.cdninstagram.com/t51.2885-15/s320x320/e35/c0.68.640.640/20837387_127083591246365_3600935696619012096_n.jpg")</f>
        <v>https://scontent.cdninstagram.com/t51.2885-15/s320x320/e35/c0.68.640.640/20837387_127083591246365_3600935696619012096_n.jpg</v>
      </c>
      <c r="AE317" s="249" t="str">
        <f>HYPERLINK("https://scontent.cdninstagram.com/t51.2885-19/s150x150/19761795_1388053727930717_4754212395021238272_n.jpg")</f>
        <v>https://scontent.cdninstagram.com/t51.2885-19/s150x150/19761795_1388053727930717_4754212395021238272_n.jpg</v>
      </c>
    </row>
    <row r="318" spans="1:31" ht="15" x14ac:dyDescent="0.25">
      <c r="A318" t="s">
        <v>2474</v>
      </c>
      <c r="B318" t="s">
        <v>4551</v>
      </c>
      <c r="C318" s="221">
        <v>42960.003981481481</v>
      </c>
      <c r="D318" t="s">
        <v>4552</v>
      </c>
      <c r="E318" s="249" t="str">
        <f>HYPERLINK("https://www.instagram.com/p/BXuE2NAhwPX/")</f>
        <v>https://www.instagram.com/p/BXuE2NAhwPX/</v>
      </c>
      <c r="F318" t="s">
        <v>4553</v>
      </c>
      <c r="G318" t="s">
        <v>2478</v>
      </c>
      <c r="H318">
        <v>105</v>
      </c>
      <c r="I318" t="s">
        <v>2479</v>
      </c>
      <c r="J318">
        <v>0</v>
      </c>
      <c r="K318">
        <v>9</v>
      </c>
      <c r="L318">
        <v>9</v>
      </c>
      <c r="Q318">
        <v>0</v>
      </c>
      <c r="R318">
        <v>0</v>
      </c>
      <c r="S318">
        <v>9</v>
      </c>
      <c r="Y318" t="s">
        <v>4554</v>
      </c>
      <c r="Z318" t="s">
        <v>4555</v>
      </c>
      <c r="AA318" t="s">
        <v>4556</v>
      </c>
      <c r="AB318" t="s">
        <v>4557</v>
      </c>
      <c r="AC318" t="s">
        <v>4558</v>
      </c>
      <c r="AD318" s="249" t="str">
        <f>HYPERLINK("https://scontent.cdninstagram.com/t51.2885-15/s150x150/e35/c109.0.281.281/20688558_1494206943980779_7121120338716393472_n.jpg")</f>
        <v>https://scontent.cdninstagram.com/t51.2885-15/s150x150/e35/c109.0.281.281/20688558_1494206943980779_7121120338716393472_n.jpg</v>
      </c>
      <c r="AE318" s="249" t="str">
        <f>HYPERLINK("https://scontent.cdninstagram.com/t51.2885-19/s150x150/20902328_262347900937520_8003644974543405056_a.jpg")</f>
        <v>https://scontent.cdninstagram.com/t51.2885-19/s150x150/20902328_262347900937520_8003644974543405056_a.jpg</v>
      </c>
    </row>
    <row r="319" spans="1:31" ht="15" x14ac:dyDescent="0.25">
      <c r="A319" t="s">
        <v>2474</v>
      </c>
      <c r="B319" t="s">
        <v>3761</v>
      </c>
      <c r="C319" s="221">
        <v>42960.00708333333</v>
      </c>
      <c r="D319" t="s">
        <v>4559</v>
      </c>
      <c r="E319" s="249" t="str">
        <f>HYPERLINK("https://www.instagram.com/p/BXuFW86nbDp/")</f>
        <v>https://www.instagram.com/p/BXuFW86nbDp/</v>
      </c>
      <c r="F319" t="s">
        <v>3763</v>
      </c>
      <c r="G319" t="s">
        <v>2478</v>
      </c>
      <c r="H319">
        <v>35696</v>
      </c>
      <c r="I319" t="s">
        <v>2479</v>
      </c>
      <c r="J319">
        <v>1</v>
      </c>
      <c r="K319">
        <v>33</v>
      </c>
      <c r="L319">
        <v>34</v>
      </c>
      <c r="Q319">
        <v>0</v>
      </c>
      <c r="R319">
        <v>0</v>
      </c>
      <c r="S319">
        <v>34</v>
      </c>
      <c r="Y319" t="s">
        <v>4560</v>
      </c>
      <c r="Z319" t="s">
        <v>4561</v>
      </c>
      <c r="AA319" t="s">
        <v>4562</v>
      </c>
      <c r="AB319" t="s">
        <v>4563</v>
      </c>
      <c r="AC319" t="s">
        <v>4564</v>
      </c>
      <c r="AD319" s="249" t="str">
        <f>HYPERLINK("https://scontent.cdninstagram.com/t51.2885-15/s320x320/e35/20766441_1872057569487852_2679642942221582336_n.jpg")</f>
        <v>https://scontent.cdninstagram.com/t51.2885-15/s320x320/e35/20766441_1872057569487852_2679642942221582336_n.jpg</v>
      </c>
      <c r="AE319" s="249" t="str">
        <f>HYPERLINK("https://scontent.cdninstagram.com/t51.2885-19/s150x150/19985865_1705783593058831_5928851088227696640_n.jpg")</f>
        <v>https://scontent.cdninstagram.com/t51.2885-19/s150x150/19985865_1705783593058831_5928851088227696640_n.jpg</v>
      </c>
    </row>
    <row r="320" spans="1:31" ht="15" x14ac:dyDescent="0.25">
      <c r="A320" t="s">
        <v>2474</v>
      </c>
      <c r="B320" t="s">
        <v>4477</v>
      </c>
      <c r="C320" s="221">
        <v>42960.032349537039</v>
      </c>
      <c r="D320" t="s">
        <v>4565</v>
      </c>
      <c r="E320" s="249" t="str">
        <f>HYPERLINK("https://www.instagram.com/p/BXuJhavAuwp/")</f>
        <v>https://www.instagram.com/p/BXuJhavAuwp/</v>
      </c>
      <c r="F320" t="s">
        <v>4566</v>
      </c>
      <c r="G320" t="s">
        <v>2478</v>
      </c>
      <c r="H320">
        <v>895</v>
      </c>
      <c r="I320" t="s">
        <v>4567</v>
      </c>
      <c r="J320">
        <v>3</v>
      </c>
      <c r="K320">
        <v>94</v>
      </c>
      <c r="L320">
        <v>97</v>
      </c>
      <c r="Q320">
        <v>0</v>
      </c>
      <c r="R320">
        <v>0</v>
      </c>
      <c r="S320">
        <v>97</v>
      </c>
      <c r="T320" t="s">
        <v>4568</v>
      </c>
      <c r="U320" t="s">
        <v>2020</v>
      </c>
      <c r="V320" t="s">
        <v>2299</v>
      </c>
      <c r="W320">
        <v>47.692100000000003</v>
      </c>
      <c r="X320">
        <v>-114.639</v>
      </c>
      <c r="Y320" t="s">
        <v>4569</v>
      </c>
      <c r="Z320" t="s">
        <v>4570</v>
      </c>
      <c r="AA320" t="s">
        <v>4571</v>
      </c>
      <c r="AB320" t="s">
        <v>4572</v>
      </c>
      <c r="AC320" t="s">
        <v>4482</v>
      </c>
      <c r="AD320" s="249" t="str">
        <f>HYPERLINK("https://scontent.cdninstagram.com/t51.2885-15/s320x320/e35/c135.0.810.810/20766921_143309866256927_2973147684241670144_n.jpg")</f>
        <v>https://scontent.cdninstagram.com/t51.2885-15/s320x320/e35/c135.0.810.810/20766921_143309866256927_2973147684241670144_n.jpg</v>
      </c>
      <c r="AE320" s="249" t="str">
        <f>HYPERLINK("https://scontent.cdninstagram.com/t51.2885-19/s150x150/20969233_1944094239199108_2719827193113870336_a.jpg")</f>
        <v>https://scontent.cdninstagram.com/t51.2885-19/s150x150/20969233_1944094239199108_2719827193113870336_a.jpg</v>
      </c>
    </row>
    <row r="321" spans="1:31" ht="15" x14ac:dyDescent="0.25">
      <c r="A321" t="s">
        <v>2474</v>
      </c>
      <c r="B321" t="s">
        <v>4573</v>
      </c>
      <c r="C321" s="221">
        <v>42960.040925925925</v>
      </c>
      <c r="D321" t="s">
        <v>4574</v>
      </c>
      <c r="E321" s="249" t="str">
        <f>HYPERLINK("https://www.instagram.com/p/BXuK76XlxnE/")</f>
        <v>https://www.instagram.com/p/BXuK76XlxnE/</v>
      </c>
      <c r="F321" t="s">
        <v>4575</v>
      </c>
      <c r="G321" t="s">
        <v>2478</v>
      </c>
      <c r="H321">
        <v>5</v>
      </c>
      <c r="I321" t="s">
        <v>2479</v>
      </c>
      <c r="J321">
        <v>1</v>
      </c>
      <c r="K321">
        <v>9</v>
      </c>
      <c r="L321">
        <v>10</v>
      </c>
      <c r="Q321">
        <v>0</v>
      </c>
      <c r="R321">
        <v>0</v>
      </c>
      <c r="S321">
        <v>10</v>
      </c>
      <c r="Y321" t="s">
        <v>3145</v>
      </c>
      <c r="Z321" t="s">
        <v>2497</v>
      </c>
      <c r="AA321" t="s">
        <v>4576</v>
      </c>
      <c r="AB321" t="s">
        <v>4577</v>
      </c>
      <c r="AC321" t="s">
        <v>4578</v>
      </c>
      <c r="AD321" s="249" t="str">
        <f>HYPERLINK("https://scontent.cdninstagram.com/t51.2885-15/s320x320/e35/20759935_1724925444475095_7411324587348066304_n.jpg")</f>
        <v>https://scontent.cdninstagram.com/t51.2885-15/s320x320/e35/20759935_1724925444475095_7411324587348066304_n.jpg</v>
      </c>
      <c r="AE321" s="249" t="str">
        <f>HYPERLINK("https://scontent.cdninstagram.com/t51.2885-19/s150x150/20635277_1952535711637874_342289398634643456_a.jpg")</f>
        <v>https://scontent.cdninstagram.com/t51.2885-19/s150x150/20635277_1952535711637874_342289398634643456_a.jpg</v>
      </c>
    </row>
    <row r="322" spans="1:31" ht="15" x14ac:dyDescent="0.25">
      <c r="A322" t="s">
        <v>2474</v>
      </c>
      <c r="B322" t="s">
        <v>4579</v>
      </c>
      <c r="C322" s="221">
        <v>42960.077094907407</v>
      </c>
      <c r="D322" t="s">
        <v>4580</v>
      </c>
      <c r="E322" s="249" t="str">
        <f>HYPERLINK("https://www.instagram.com/p/BXuQ5a1hGiv/")</f>
        <v>https://www.instagram.com/p/BXuQ5a1hGiv/</v>
      </c>
      <c r="F322" t="s">
        <v>4581</v>
      </c>
      <c r="G322" t="s">
        <v>2478</v>
      </c>
      <c r="H322">
        <v>8</v>
      </c>
      <c r="I322" t="s">
        <v>2479</v>
      </c>
      <c r="J322">
        <v>0</v>
      </c>
      <c r="K322">
        <v>10</v>
      </c>
      <c r="L322">
        <v>10</v>
      </c>
      <c r="Q322">
        <v>0</v>
      </c>
      <c r="R322">
        <v>0</v>
      </c>
      <c r="S322">
        <v>10</v>
      </c>
      <c r="Y322" t="s">
        <v>4582</v>
      </c>
      <c r="Z322" t="s">
        <v>4583</v>
      </c>
      <c r="AA322" t="s">
        <v>4584</v>
      </c>
      <c r="AB322" t="s">
        <v>4585</v>
      </c>
      <c r="AC322" t="s">
        <v>2551</v>
      </c>
      <c r="AD322" s="249" t="str">
        <f>HYPERLINK("https://scontent.cdninstagram.com/t51.2885-15/s320x320/e35/20688742_1960348530917614_5838678206898503680_n.jpg")</f>
        <v>https://scontent.cdninstagram.com/t51.2885-15/s320x320/e35/20688742_1960348530917614_5838678206898503680_n.jpg</v>
      </c>
      <c r="AE322" s="249" t="str">
        <f>HYPERLINK("https://scontent.cdninstagram.com/t51.2885-19/s150x150/20633985_174172653126653_802241505107378176_a.jpg")</f>
        <v>https://scontent.cdninstagram.com/t51.2885-19/s150x150/20633985_174172653126653_802241505107378176_a.jpg</v>
      </c>
    </row>
    <row r="323" spans="1:31" ht="15" x14ac:dyDescent="0.25">
      <c r="A323" t="s">
        <v>2474</v>
      </c>
      <c r="B323" t="s">
        <v>4586</v>
      </c>
      <c r="C323" s="221">
        <v>42960.090787037036</v>
      </c>
      <c r="D323" t="s">
        <v>4587</v>
      </c>
      <c r="E323" s="249" t="str">
        <f>HYPERLINK("https://www.instagram.com/p/BXuTJ0Pgbi3/")</f>
        <v>https://www.instagram.com/p/BXuTJ0Pgbi3/</v>
      </c>
      <c r="F323" t="s">
        <v>4588</v>
      </c>
      <c r="G323" t="s">
        <v>2478</v>
      </c>
      <c r="H323">
        <v>1210</v>
      </c>
      <c r="I323" t="s">
        <v>2479</v>
      </c>
      <c r="J323">
        <v>1</v>
      </c>
      <c r="K323">
        <v>55</v>
      </c>
      <c r="L323">
        <v>56</v>
      </c>
      <c r="Q323">
        <v>0</v>
      </c>
      <c r="R323">
        <v>0</v>
      </c>
      <c r="S323">
        <v>56</v>
      </c>
      <c r="Y323" t="s">
        <v>4589</v>
      </c>
      <c r="Z323" t="s">
        <v>3571</v>
      </c>
      <c r="AA323" t="s">
        <v>4590</v>
      </c>
      <c r="AB323" t="s">
        <v>4462</v>
      </c>
      <c r="AC323" t="s">
        <v>4591</v>
      </c>
      <c r="AD323" s="249" t="str">
        <f>HYPERLINK("https://scontent.cdninstagram.com/t51.2885-15/s320x320/e35/c0.135.1080.1080/20688508_1809539545737920_3147344561265704960_n.jpg")</f>
        <v>https://scontent.cdninstagram.com/t51.2885-15/s320x320/e35/c0.135.1080.1080/20688508_1809539545737920_3147344561265704960_n.jpg</v>
      </c>
      <c r="AE323" s="249" t="str">
        <f>HYPERLINK("https://scontent.cdninstagram.com/t51.2885-19/s150x150/13712685_582569475248277_1688922723_a.jpg")</f>
        <v>https://scontent.cdninstagram.com/t51.2885-19/s150x150/13712685_582569475248277_1688922723_a.jpg</v>
      </c>
    </row>
    <row r="324" spans="1:31" ht="15" x14ac:dyDescent="0.25">
      <c r="A324" t="s">
        <v>2474</v>
      </c>
      <c r="B324" t="s">
        <v>4592</v>
      </c>
      <c r="C324" s="221">
        <v>42960.120879629627</v>
      </c>
      <c r="D324" t="s">
        <v>4593</v>
      </c>
      <c r="E324" s="249" t="str">
        <f>HYPERLINK("https://www.instagram.com/p/BXuYHNDhMG9/")</f>
        <v>https://www.instagram.com/p/BXuYHNDhMG9/</v>
      </c>
      <c r="F324" t="s">
        <v>4594</v>
      </c>
      <c r="G324" t="s">
        <v>2631</v>
      </c>
      <c r="H324">
        <v>491</v>
      </c>
      <c r="I324" t="s">
        <v>2479</v>
      </c>
      <c r="J324">
        <v>5</v>
      </c>
      <c r="K324">
        <v>25</v>
      </c>
      <c r="L324">
        <v>30</v>
      </c>
      <c r="Q324">
        <v>0</v>
      </c>
      <c r="R324">
        <v>0</v>
      </c>
      <c r="S324">
        <v>30</v>
      </c>
      <c r="Y324" t="s">
        <v>2497</v>
      </c>
      <c r="Z324" t="s">
        <v>4595</v>
      </c>
      <c r="AA324" t="s">
        <v>4596</v>
      </c>
      <c r="AB324" t="s">
        <v>4151</v>
      </c>
      <c r="AC324" t="s">
        <v>4597</v>
      </c>
      <c r="AD324" s="249" t="str">
        <f>HYPERLINK("https://scontent.cdninstagram.com/t51.2885-15/s320x320/e15/20759115_1409737382450292_7909083624480178176_n.jpg")</f>
        <v>https://scontent.cdninstagram.com/t51.2885-15/s320x320/e15/20759115_1409737382450292_7909083624480178176_n.jpg</v>
      </c>
      <c r="AE324" s="249" t="str">
        <f>HYPERLINK("https://scontent.cdninstagram.com/t51.2885-19/s150x150/12965194_1094534083902441_1669740962_a.jpg")</f>
        <v>https://scontent.cdninstagram.com/t51.2885-19/s150x150/12965194_1094534083902441_1669740962_a.jpg</v>
      </c>
    </row>
    <row r="325" spans="1:31" ht="15" x14ac:dyDescent="0.25">
      <c r="A325" t="s">
        <v>2474</v>
      </c>
      <c r="B325" t="s">
        <v>2588</v>
      </c>
      <c r="C325" s="221">
        <v>42960.121354166666</v>
      </c>
      <c r="D325" t="s">
        <v>4598</v>
      </c>
      <c r="E325" s="249" t="str">
        <f>HYPERLINK("https://www.instagram.com/p/BXuYMNeAFSp/")</f>
        <v>https://www.instagram.com/p/BXuYMNeAFSp/</v>
      </c>
      <c r="F325" t="s">
        <v>4599</v>
      </c>
      <c r="G325" t="s">
        <v>2478</v>
      </c>
      <c r="H325">
        <v>247</v>
      </c>
      <c r="I325" t="s">
        <v>2479</v>
      </c>
      <c r="J325">
        <v>15</v>
      </c>
      <c r="K325">
        <v>55</v>
      </c>
      <c r="L325">
        <v>70</v>
      </c>
      <c r="Q325">
        <v>0</v>
      </c>
      <c r="R325">
        <v>0</v>
      </c>
      <c r="S325">
        <v>70</v>
      </c>
      <c r="AD325" s="249" t="str">
        <f>HYPERLINK("https://scontent.cdninstagram.com/t51.2885-15/s320x320/e35/20759657_166710520545825_274227885118586880_n.jpg")</f>
        <v>https://scontent.cdninstagram.com/t51.2885-15/s320x320/e35/20759657_166710520545825_274227885118586880_n.jpg</v>
      </c>
      <c r="AE325" s="249" t="str">
        <f>HYPERLINK("https://scontent.cdninstagram.com/t51.2885-19/s150x150/20633561_108840983138666_5897549723056734208_a.jpg")</f>
        <v>https://scontent.cdninstagram.com/t51.2885-19/s150x150/20633561_108840983138666_5897549723056734208_a.jpg</v>
      </c>
    </row>
    <row r="326" spans="1:31" ht="15" x14ac:dyDescent="0.25">
      <c r="A326" t="s">
        <v>2474</v>
      </c>
      <c r="B326" t="s">
        <v>4049</v>
      </c>
      <c r="C326" s="221">
        <v>42960.122511574074</v>
      </c>
      <c r="D326" t="s">
        <v>4600</v>
      </c>
      <c r="E326" s="249" t="str">
        <f>HYPERLINK("https://www.instagram.com/p/BXuYYUQgQGv/")</f>
        <v>https://www.instagram.com/p/BXuYYUQgQGv/</v>
      </c>
      <c r="F326" t="s">
        <v>4601</v>
      </c>
      <c r="G326" t="s">
        <v>2478</v>
      </c>
      <c r="H326">
        <v>189</v>
      </c>
      <c r="I326" t="s">
        <v>2542</v>
      </c>
      <c r="J326">
        <v>0</v>
      </c>
      <c r="K326">
        <v>21</v>
      </c>
      <c r="L326">
        <v>21</v>
      </c>
      <c r="Q326">
        <v>0</v>
      </c>
      <c r="R326">
        <v>0</v>
      </c>
      <c r="S326">
        <v>21</v>
      </c>
      <c r="T326" t="s">
        <v>4602</v>
      </c>
      <c r="V326" t="s">
        <v>2131</v>
      </c>
      <c r="W326">
        <v>31.233691463197001</v>
      </c>
      <c r="X326">
        <v>121.48896772067</v>
      </c>
      <c r="Y326" t="s">
        <v>2497</v>
      </c>
      <c r="Z326" t="s">
        <v>4603</v>
      </c>
      <c r="AA326" t="s">
        <v>4604</v>
      </c>
      <c r="AB326" t="s">
        <v>4605</v>
      </c>
      <c r="AC326" t="s">
        <v>4606</v>
      </c>
      <c r="AD326" s="249" t="str">
        <f>HYPERLINK("https://scontent.cdninstagram.com/t51.2885-15/s320x320/e35/c135.0.809.809/20688477_108970413130778_8809593869650886656_n.jpg")</f>
        <v>https://scontent.cdninstagram.com/t51.2885-15/s320x320/e35/c135.0.809.809/20688477_108970413130778_8809593869650886656_n.jpg</v>
      </c>
      <c r="AE326" s="249" t="str">
        <f>HYPERLINK("https://scontent.cdninstagram.com/t51.2885-19/s150x150/15876106_1713480255629766_835358159680831488_n.jpg")</f>
        <v>https://scontent.cdninstagram.com/t51.2885-19/s150x150/15876106_1713480255629766_835358159680831488_n.jpg</v>
      </c>
    </row>
    <row r="327" spans="1:31" ht="15" x14ac:dyDescent="0.25">
      <c r="A327" t="s">
        <v>2474</v>
      </c>
      <c r="B327" t="s">
        <v>4607</v>
      </c>
      <c r="C327" s="221">
        <v>42960.133090277777</v>
      </c>
      <c r="D327" t="s">
        <v>4608</v>
      </c>
      <c r="E327" s="249" t="str">
        <f>HYPERLINK("https://www.instagram.com/p/BXuaH76HEHS/")</f>
        <v>https://www.instagram.com/p/BXuaH76HEHS/</v>
      </c>
      <c r="F327" t="s">
        <v>4609</v>
      </c>
      <c r="G327" t="s">
        <v>2478</v>
      </c>
      <c r="H327">
        <v>645</v>
      </c>
      <c r="I327" t="s">
        <v>3273</v>
      </c>
      <c r="J327">
        <v>2</v>
      </c>
      <c r="K327">
        <v>92</v>
      </c>
      <c r="L327">
        <v>94</v>
      </c>
      <c r="Q327">
        <v>0</v>
      </c>
      <c r="R327">
        <v>0</v>
      </c>
      <c r="S327">
        <v>94</v>
      </c>
      <c r="T327" t="s">
        <v>4610</v>
      </c>
      <c r="V327" t="s">
        <v>2110</v>
      </c>
      <c r="W327">
        <v>51.329760542941997</v>
      </c>
      <c r="X327">
        <v>3.1797439575194999</v>
      </c>
      <c r="Y327" t="s">
        <v>4611</v>
      </c>
      <c r="Z327" t="s">
        <v>4612</v>
      </c>
      <c r="AA327" t="s">
        <v>2497</v>
      </c>
      <c r="AD327" s="249" t="str">
        <f>HYPERLINK("https://scontent.cdninstagram.com/t51.2885-15/s320x320/e35/c1.0.960.960/20759877_162622054296722_9087515211895668736_n.jpg")</f>
        <v>https://scontent.cdninstagram.com/t51.2885-15/s320x320/e35/c1.0.960.960/20759877_162622054296722_9087515211895668736_n.jpg</v>
      </c>
      <c r="AE327" s="249" t="str">
        <f>HYPERLINK("https://scontent.cdninstagram.com/t51.2885-19/s150x150/19367747_403275536739323_7383492314506723328_a.jpg")</f>
        <v>https://scontent.cdninstagram.com/t51.2885-19/s150x150/19367747_403275536739323_7383492314506723328_a.jpg</v>
      </c>
    </row>
    <row r="328" spans="1:31" ht="15" x14ac:dyDescent="0.25">
      <c r="A328" t="s">
        <v>2474</v>
      </c>
      <c r="B328" t="s">
        <v>3015</v>
      </c>
      <c r="C328" s="221">
        <v>42960.142476851855</v>
      </c>
      <c r="D328" t="s">
        <v>4613</v>
      </c>
      <c r="E328" s="249" t="str">
        <f>HYPERLINK("https://www.instagram.com/p/BXubq4rg340/")</f>
        <v>https://www.instagram.com/p/BXubq4rg340/</v>
      </c>
      <c r="F328" t="s">
        <v>4614</v>
      </c>
      <c r="G328" t="s">
        <v>2478</v>
      </c>
      <c r="H328">
        <v>177</v>
      </c>
      <c r="I328" t="s">
        <v>2479</v>
      </c>
      <c r="J328">
        <v>0</v>
      </c>
      <c r="K328">
        <v>28</v>
      </c>
      <c r="L328">
        <v>28</v>
      </c>
      <c r="Q328">
        <v>0</v>
      </c>
      <c r="R328">
        <v>0</v>
      </c>
      <c r="S328">
        <v>28</v>
      </c>
      <c r="Y328" t="s">
        <v>4615</v>
      </c>
      <c r="Z328" t="s">
        <v>3494</v>
      </c>
      <c r="AA328" t="s">
        <v>3726</v>
      </c>
      <c r="AB328" t="s">
        <v>3018</v>
      </c>
      <c r="AC328" t="s">
        <v>3492</v>
      </c>
      <c r="AD328" s="249" t="str">
        <f>HYPERLINK("https://scontent.cdninstagram.com/t51.2885-15/s320x320/e35/20759144_161630881068644_6220770703847718912_n.jpg")</f>
        <v>https://scontent.cdninstagram.com/t51.2885-15/s320x320/e35/20759144_161630881068644_6220770703847718912_n.jpg</v>
      </c>
      <c r="AE328" s="249" t="str">
        <f>HYPERLINK("https://scontent.cdninstagram.com/t51.2885-19/s150x150/19761452_1876060406050696_4275948751316582400_a.jpg")</f>
        <v>https://scontent.cdninstagram.com/t51.2885-19/s150x150/19761452_1876060406050696_4275948751316582400_a.jpg</v>
      </c>
    </row>
    <row r="329" spans="1:31" ht="15" x14ac:dyDescent="0.25">
      <c r="A329" t="s">
        <v>2474</v>
      </c>
      <c r="B329" t="s">
        <v>4616</v>
      </c>
      <c r="C329" s="221">
        <v>42960.14949074074</v>
      </c>
      <c r="D329" t="s">
        <v>4617</v>
      </c>
      <c r="E329" s="249" t="str">
        <f>HYPERLINK("https://www.instagram.com/p/BXuc05mBLyr/")</f>
        <v>https://www.instagram.com/p/BXuc05mBLyr/</v>
      </c>
      <c r="F329" t="s">
        <v>4618</v>
      </c>
      <c r="G329" t="s">
        <v>2478</v>
      </c>
      <c r="H329">
        <v>105</v>
      </c>
      <c r="I329" t="s">
        <v>2479</v>
      </c>
      <c r="J329">
        <v>1</v>
      </c>
      <c r="K329">
        <v>26</v>
      </c>
      <c r="L329">
        <v>27</v>
      </c>
      <c r="Q329">
        <v>0</v>
      </c>
      <c r="R329">
        <v>0</v>
      </c>
      <c r="S329">
        <v>27</v>
      </c>
      <c r="T329" t="s">
        <v>4619</v>
      </c>
      <c r="V329" t="s">
        <v>2230</v>
      </c>
      <c r="W329">
        <v>68.449238888888999</v>
      </c>
      <c r="X329">
        <v>18.086930555555998</v>
      </c>
      <c r="Y329" t="s">
        <v>4620</v>
      </c>
      <c r="Z329" t="s">
        <v>4621</v>
      </c>
      <c r="AA329" t="s">
        <v>2866</v>
      </c>
      <c r="AB329" t="s">
        <v>4622</v>
      </c>
      <c r="AC329" t="s">
        <v>4623</v>
      </c>
      <c r="AD329" s="249" t="str">
        <f>HYPERLINK("https://scontent.cdninstagram.com/t51.2885-15/s320x320/e35/c135.0.810.810/20688677_1578645675500132_2380092106019438592_n.jpg")</f>
        <v>https://scontent.cdninstagram.com/t51.2885-15/s320x320/e35/c135.0.810.810/20688677_1578645675500132_2380092106019438592_n.jpg</v>
      </c>
      <c r="AE329" s="249" t="str">
        <f>HYPERLINK("https://scontent.cdninstagram.com/t51.2885-19/s150x150/17494353_1347957098574282_2527511313651859456_a.jpg")</f>
        <v>https://scontent.cdninstagram.com/t51.2885-19/s150x150/17494353_1347957098574282_2527511313651859456_a.jpg</v>
      </c>
    </row>
    <row r="330" spans="1:31" ht="15" x14ac:dyDescent="0.25">
      <c r="A330" t="s">
        <v>2474</v>
      </c>
      <c r="B330" t="s">
        <v>4624</v>
      </c>
      <c r="C330" s="221">
        <v>42960.161944444444</v>
      </c>
      <c r="D330" t="s">
        <v>4625</v>
      </c>
      <c r="E330" s="249" t="str">
        <f>HYPERLINK("https://www.instagram.com/p/BXue4ToAoaB/")</f>
        <v>https://www.instagram.com/p/BXue4ToAoaB/</v>
      </c>
      <c r="F330" t="s">
        <v>4626</v>
      </c>
      <c r="G330" t="s">
        <v>2478</v>
      </c>
      <c r="H330">
        <v>383</v>
      </c>
      <c r="I330" t="s">
        <v>2582</v>
      </c>
      <c r="J330">
        <v>5</v>
      </c>
      <c r="K330">
        <v>49</v>
      </c>
      <c r="L330">
        <v>54</v>
      </c>
      <c r="Q330">
        <v>0</v>
      </c>
      <c r="R330">
        <v>0</v>
      </c>
      <c r="S330">
        <v>54</v>
      </c>
      <c r="Y330" t="s">
        <v>4627</v>
      </c>
      <c r="Z330" t="s">
        <v>4628</v>
      </c>
      <c r="AA330" t="s">
        <v>2497</v>
      </c>
      <c r="AB330" t="s">
        <v>2734</v>
      </c>
      <c r="AC330" t="s">
        <v>4629</v>
      </c>
      <c r="AD330" s="249" t="str">
        <f>HYPERLINK("https://scontent.cdninstagram.com/t51.2885-15/s320x320/e35/20688335_131322127479143_4798801396868579328_n.jpg")</f>
        <v>https://scontent.cdninstagram.com/t51.2885-15/s320x320/e35/20688335_131322127479143_4798801396868579328_n.jpg</v>
      </c>
      <c r="AE330" s="249" t="str">
        <f>HYPERLINK("https://scontent.cdninstagram.com/t51.2885-19/11379143_1647172765518536_1560420486_a.jpg")</f>
        <v>https://scontent.cdninstagram.com/t51.2885-19/11379143_1647172765518536_1560420486_a.jpg</v>
      </c>
    </row>
    <row r="331" spans="1:31" ht="15" x14ac:dyDescent="0.25">
      <c r="A331" t="s">
        <v>2474</v>
      </c>
      <c r="B331" t="s">
        <v>4630</v>
      </c>
      <c r="C331" s="221">
        <v>42960.167627314811</v>
      </c>
      <c r="D331" t="s">
        <v>4631</v>
      </c>
      <c r="E331" s="249" t="str">
        <f>HYPERLINK("https://www.instagram.com/p/BXuf0KfAhxj/")</f>
        <v>https://www.instagram.com/p/BXuf0KfAhxj/</v>
      </c>
      <c r="F331" t="s">
        <v>4632</v>
      </c>
      <c r="G331" t="s">
        <v>2478</v>
      </c>
      <c r="H331">
        <v>655</v>
      </c>
      <c r="I331" t="s">
        <v>2542</v>
      </c>
      <c r="J331">
        <v>1</v>
      </c>
      <c r="K331">
        <v>58</v>
      </c>
      <c r="L331">
        <v>59</v>
      </c>
      <c r="Q331">
        <v>0</v>
      </c>
      <c r="R331">
        <v>0</v>
      </c>
      <c r="S331">
        <v>59</v>
      </c>
      <c r="Y331" t="s">
        <v>4633</v>
      </c>
      <c r="Z331" t="s">
        <v>4634</v>
      </c>
      <c r="AA331" t="s">
        <v>4635</v>
      </c>
      <c r="AB331" t="s">
        <v>4636</v>
      </c>
      <c r="AC331" t="s">
        <v>3213</v>
      </c>
      <c r="AD331" s="249" t="str">
        <f>HYPERLINK("https://scontent.cdninstagram.com/t51.2885-15/s320x320/e35/20766200_154297035147689_4471735771807612928_n.jpg")</f>
        <v>https://scontent.cdninstagram.com/t51.2885-15/s320x320/e35/20766200_154297035147689_4471735771807612928_n.jpg</v>
      </c>
      <c r="AE331" s="249" t="str">
        <f>HYPERLINK("https://scontent.cdninstagram.com/t51.2885-19/s150x150/14709642_207334123032517_2064992242665259008_a.jpg")</f>
        <v>https://scontent.cdninstagram.com/t51.2885-19/s150x150/14709642_207334123032517_2064992242665259008_a.jpg</v>
      </c>
    </row>
    <row r="332" spans="1:31" ht="15" x14ac:dyDescent="0.25">
      <c r="A332" t="s">
        <v>2474</v>
      </c>
      <c r="B332" t="s">
        <v>4637</v>
      </c>
      <c r="C332" s="221">
        <v>42960.175393518519</v>
      </c>
      <c r="D332" t="s">
        <v>4638</v>
      </c>
      <c r="E332" s="249" t="str">
        <f>HYPERLINK("https://www.instagram.com/p/BXuhGHYBbML/")</f>
        <v>https://www.instagram.com/p/BXuhGHYBbML/</v>
      </c>
      <c r="F332" t="s">
        <v>4639</v>
      </c>
      <c r="G332" t="s">
        <v>2478</v>
      </c>
      <c r="H332">
        <v>205</v>
      </c>
      <c r="I332" t="s">
        <v>2479</v>
      </c>
      <c r="J332">
        <v>0</v>
      </c>
      <c r="K332">
        <v>30</v>
      </c>
      <c r="L332">
        <v>30</v>
      </c>
      <c r="Q332">
        <v>0</v>
      </c>
      <c r="R332">
        <v>0</v>
      </c>
      <c r="S332">
        <v>30</v>
      </c>
      <c r="Y332" t="s">
        <v>3145</v>
      </c>
      <c r="Z332" t="s">
        <v>3254</v>
      </c>
      <c r="AA332" t="s">
        <v>4640</v>
      </c>
      <c r="AB332" t="s">
        <v>3969</v>
      </c>
      <c r="AC332" t="s">
        <v>2497</v>
      </c>
      <c r="AD332" s="249" t="str">
        <f>HYPERLINK("https://scontent.cdninstagram.com/t51.2885-15/s320x320/e35/20759684_509797109364577_3333358710092201984_n.jpg")</f>
        <v>https://scontent.cdninstagram.com/t51.2885-15/s320x320/e35/20759684_509797109364577_3333358710092201984_n.jpg</v>
      </c>
      <c r="AE332" s="249" t="str">
        <f>HYPERLINK("https://scontent.cdninstagram.com/t51.2885-19/s150x150/19120509_119697301952362_7042451943901364224_a.jpg")</f>
        <v>https://scontent.cdninstagram.com/t51.2885-19/s150x150/19120509_119697301952362_7042451943901364224_a.jpg</v>
      </c>
    </row>
    <row r="333" spans="1:31" ht="15" x14ac:dyDescent="0.25">
      <c r="A333" t="s">
        <v>2474</v>
      </c>
      <c r="B333" t="s">
        <v>4641</v>
      </c>
      <c r="C333" s="221">
        <v>42960.178935185184</v>
      </c>
      <c r="D333" t="s">
        <v>4642</v>
      </c>
      <c r="E333" s="249" t="str">
        <f>HYPERLINK("https://www.instagram.com/p/BXuhrfChbBx/")</f>
        <v>https://www.instagram.com/p/BXuhrfChbBx/</v>
      </c>
      <c r="F333" t="s">
        <v>4643</v>
      </c>
      <c r="G333" t="s">
        <v>2478</v>
      </c>
      <c r="H333">
        <v>1589</v>
      </c>
      <c r="I333" t="s">
        <v>2479</v>
      </c>
      <c r="J333">
        <v>17</v>
      </c>
      <c r="K333">
        <v>116</v>
      </c>
      <c r="L333">
        <v>133</v>
      </c>
      <c r="Q333">
        <v>0</v>
      </c>
      <c r="R333">
        <v>0</v>
      </c>
      <c r="S333">
        <v>133</v>
      </c>
      <c r="T333" t="s">
        <v>4644</v>
      </c>
      <c r="V333" t="s">
        <v>2110</v>
      </c>
      <c r="W333">
        <v>51.042650000000002</v>
      </c>
      <c r="X333">
        <v>5.2391500000000004</v>
      </c>
      <c r="Y333" t="s">
        <v>4645</v>
      </c>
      <c r="Z333" t="s">
        <v>4646</v>
      </c>
      <c r="AA333" t="s">
        <v>4647</v>
      </c>
      <c r="AB333" t="s">
        <v>4648</v>
      </c>
      <c r="AC333" t="s">
        <v>4649</v>
      </c>
      <c r="AD333" s="249" t="str">
        <f>HYPERLINK("https://scontent.cdninstagram.com/t51.2885-15/s320x320/e35/20766388_1662928443740483_5294407255226056704_n.jpg")</f>
        <v>https://scontent.cdninstagram.com/t51.2885-15/s320x320/e35/20766388_1662928443740483_5294407255226056704_n.jpg</v>
      </c>
      <c r="AE333" s="249" t="str">
        <f>HYPERLINK("https://scontent.cdninstagram.com/t51.2885-19/s150x150/19761784_1900660600200386_6822224433487282176_a.jpg")</f>
        <v>https://scontent.cdninstagram.com/t51.2885-19/s150x150/19761784_1900660600200386_6822224433487282176_a.jpg</v>
      </c>
    </row>
    <row r="334" spans="1:31" ht="15" x14ac:dyDescent="0.25">
      <c r="A334" t="s">
        <v>2474</v>
      </c>
      <c r="B334" t="s">
        <v>4650</v>
      </c>
      <c r="C334" s="221">
        <v>42960.179618055554</v>
      </c>
      <c r="D334" t="s">
        <v>4651</v>
      </c>
      <c r="E334" s="249" t="str">
        <f>HYPERLINK("https://www.instagram.com/p/BXuhyq-A73a/")</f>
        <v>https://www.instagram.com/p/BXuhyq-A73a/</v>
      </c>
      <c r="F334" t="s">
        <v>4652</v>
      </c>
      <c r="G334" t="s">
        <v>2478</v>
      </c>
      <c r="H334">
        <v>50305</v>
      </c>
      <c r="I334" t="s">
        <v>2479</v>
      </c>
      <c r="J334">
        <v>21</v>
      </c>
      <c r="K334">
        <v>1199</v>
      </c>
      <c r="L334">
        <v>1220</v>
      </c>
      <c r="Q334">
        <v>0</v>
      </c>
      <c r="R334">
        <v>0</v>
      </c>
      <c r="S334">
        <v>1220</v>
      </c>
      <c r="Y334" t="s">
        <v>4653</v>
      </c>
      <c r="Z334" t="s">
        <v>4654</v>
      </c>
      <c r="AA334" t="s">
        <v>4549</v>
      </c>
      <c r="AB334" t="s">
        <v>4655</v>
      </c>
      <c r="AC334" t="s">
        <v>4656</v>
      </c>
      <c r="AD334" s="249" t="str">
        <f>HYPERLINK("https://scontent.cdninstagram.com/t51.2885-15/s320x320/e35/20688327_1924306161175430_6095943346314805248_n.jpg")</f>
        <v>https://scontent.cdninstagram.com/t51.2885-15/s320x320/e35/20688327_1924306161175430_6095943346314805248_n.jpg</v>
      </c>
      <c r="AE334" s="249" t="str">
        <f>HYPERLINK("https://scontent.cdninstagram.com/t51.2885-19/s150x150/19761953_352834771801381_7484399315541032960_a.jpg")</f>
        <v>https://scontent.cdninstagram.com/t51.2885-19/s150x150/19761953_352834771801381_7484399315541032960_a.jpg</v>
      </c>
    </row>
    <row r="335" spans="1:31" ht="15" x14ac:dyDescent="0.25">
      <c r="A335" t="s">
        <v>2474</v>
      </c>
      <c r="B335" t="s">
        <v>4657</v>
      </c>
      <c r="C335" s="221">
        <v>42960.180914351855</v>
      </c>
      <c r="D335" t="s">
        <v>4658</v>
      </c>
      <c r="E335" s="249" t="str">
        <f>HYPERLINK("https://www.instagram.com/p/BXuiAYahAWD/")</f>
        <v>https://www.instagram.com/p/BXuiAYahAWD/</v>
      </c>
      <c r="F335" t="s">
        <v>4659</v>
      </c>
      <c r="G335" t="s">
        <v>2478</v>
      </c>
      <c r="H335">
        <v>1508</v>
      </c>
      <c r="I335" t="s">
        <v>3898</v>
      </c>
      <c r="J335">
        <v>0</v>
      </c>
      <c r="K335">
        <v>18</v>
      </c>
      <c r="L335">
        <v>18</v>
      </c>
      <c r="Q335">
        <v>0</v>
      </c>
      <c r="R335">
        <v>0</v>
      </c>
      <c r="S335">
        <v>18</v>
      </c>
      <c r="Y335" t="s">
        <v>2497</v>
      </c>
      <c r="Z335" t="s">
        <v>4660</v>
      </c>
      <c r="AA335" t="s">
        <v>4661</v>
      </c>
      <c r="AD335" s="249" t="str">
        <f>HYPERLINK("https://scontent.cdninstagram.com/t51.2885-15/s320x320/e35/20766474_270892646736778_7553029190669303808_n.jpg")</f>
        <v>https://scontent.cdninstagram.com/t51.2885-15/s320x320/e35/20766474_270892646736778_7553029190669303808_n.jpg</v>
      </c>
      <c r="AE335" s="249" t="str">
        <f>HYPERLINK("https://scontent.cdninstagram.com/t51.2885-19/s150x150/20479278_264289944055544_8472480868680597504_a.jpg")</f>
        <v>https://scontent.cdninstagram.com/t51.2885-19/s150x150/20479278_264289944055544_8472480868680597504_a.jpg</v>
      </c>
    </row>
    <row r="336" spans="1:31" ht="15" x14ac:dyDescent="0.25">
      <c r="A336" t="s">
        <v>2474</v>
      </c>
      <c r="B336" t="s">
        <v>3251</v>
      </c>
      <c r="C336" s="221">
        <v>42960.185902777775</v>
      </c>
      <c r="D336" t="s">
        <v>4662</v>
      </c>
      <c r="E336" s="249" t="str">
        <f>HYPERLINK("https://www.instagram.com/p/BXui05gH2Rl/")</f>
        <v>https://www.instagram.com/p/BXui05gH2Rl/</v>
      </c>
      <c r="F336" t="s">
        <v>4663</v>
      </c>
      <c r="G336" t="s">
        <v>2478</v>
      </c>
      <c r="H336">
        <v>294</v>
      </c>
      <c r="I336" t="s">
        <v>2542</v>
      </c>
      <c r="J336">
        <v>0</v>
      </c>
      <c r="K336">
        <v>32</v>
      </c>
      <c r="L336">
        <v>32</v>
      </c>
      <c r="Q336">
        <v>0</v>
      </c>
      <c r="R336">
        <v>0</v>
      </c>
      <c r="S336">
        <v>32</v>
      </c>
      <c r="Y336" t="s">
        <v>3256</v>
      </c>
      <c r="Z336" t="s">
        <v>3257</v>
      </c>
      <c r="AA336" t="s">
        <v>2778</v>
      </c>
      <c r="AB336" t="s">
        <v>3968</v>
      </c>
      <c r="AC336" t="s">
        <v>3254</v>
      </c>
      <c r="AD336" s="249" t="str">
        <f>HYPERLINK("https://scontent.cdninstagram.com/t51.2885-15/s320x320/e35/20766714_325516591205087_3697020329848209408_n.jpg")</f>
        <v>https://scontent.cdninstagram.com/t51.2885-15/s320x320/e35/20766714_325516591205087_3697020329848209408_n.jpg</v>
      </c>
      <c r="AE336" s="249" t="str">
        <f>HYPERLINK("https://scontent.cdninstagram.com/t51.2885-19/s150x150/20986614_891746094322067_1272495017625124864_a.jpg")</f>
        <v>https://scontent.cdninstagram.com/t51.2885-19/s150x150/20986614_891746094322067_1272495017625124864_a.jpg</v>
      </c>
    </row>
    <row r="337" spans="1:31" ht="15" x14ac:dyDescent="0.25">
      <c r="A337" t="s">
        <v>2474</v>
      </c>
      <c r="B337" t="s">
        <v>2636</v>
      </c>
      <c r="C337" s="221">
        <v>42960.186793981484</v>
      </c>
      <c r="D337" t="s">
        <v>4664</v>
      </c>
      <c r="E337" s="249" t="str">
        <f>HYPERLINK("https://www.instagram.com/p/BXui-XyHC0b/")</f>
        <v>https://www.instagram.com/p/BXui-XyHC0b/</v>
      </c>
      <c r="F337" t="s">
        <v>4665</v>
      </c>
      <c r="G337" t="s">
        <v>2478</v>
      </c>
      <c r="H337">
        <v>297</v>
      </c>
      <c r="I337" t="s">
        <v>2479</v>
      </c>
      <c r="J337">
        <v>4</v>
      </c>
      <c r="K337">
        <v>57</v>
      </c>
      <c r="L337">
        <v>61</v>
      </c>
      <c r="Q337">
        <v>0</v>
      </c>
      <c r="R337">
        <v>0</v>
      </c>
      <c r="S337">
        <v>61</v>
      </c>
      <c r="Y337" t="s">
        <v>3145</v>
      </c>
      <c r="Z337" t="s">
        <v>4462</v>
      </c>
      <c r="AA337" t="s">
        <v>4666</v>
      </c>
      <c r="AB337" t="s">
        <v>2643</v>
      </c>
      <c r="AC337" t="s">
        <v>3813</v>
      </c>
      <c r="AD337" s="249" t="str">
        <f>HYPERLINK("https://scontent.cdninstagram.com/t51.2885-15/s320x320/e35/20688606_320242715102824_3415445439313346560_n.jpg")</f>
        <v>https://scontent.cdninstagram.com/t51.2885-15/s320x320/e35/20688606_320242715102824_3415445439313346560_n.jpg</v>
      </c>
      <c r="AE337" s="249" t="str">
        <f>HYPERLINK("https://scontent.cdninstagram.com/t51.2885-19/s150x150/15802797_1331780626878656_4160680230047973376_a.jpg")</f>
        <v>https://scontent.cdninstagram.com/t51.2885-19/s150x150/15802797_1331780626878656_4160680230047973376_a.jpg</v>
      </c>
    </row>
    <row r="338" spans="1:31" ht="15" x14ac:dyDescent="0.25">
      <c r="A338" t="s">
        <v>2474</v>
      </c>
      <c r="B338" t="s">
        <v>4667</v>
      </c>
      <c r="C338" s="221">
        <v>42960.188287037039</v>
      </c>
      <c r="D338" t="s">
        <v>4668</v>
      </c>
      <c r="E338" s="249" t="str">
        <f>HYPERLINK("https://www.instagram.com/p/BXujOIkAzU5/")</f>
        <v>https://www.instagram.com/p/BXujOIkAzU5/</v>
      </c>
      <c r="F338" t="s">
        <v>4669</v>
      </c>
      <c r="G338" t="s">
        <v>2478</v>
      </c>
      <c r="H338">
        <v>79</v>
      </c>
      <c r="I338" t="s">
        <v>2479</v>
      </c>
      <c r="J338">
        <v>0</v>
      </c>
      <c r="K338">
        <v>30</v>
      </c>
      <c r="L338">
        <v>30</v>
      </c>
      <c r="Q338">
        <v>0</v>
      </c>
      <c r="R338">
        <v>0</v>
      </c>
      <c r="S338">
        <v>30</v>
      </c>
      <c r="Y338" t="s">
        <v>4670</v>
      </c>
      <c r="Z338" t="s">
        <v>4671</v>
      </c>
      <c r="AA338" t="s">
        <v>4672</v>
      </c>
      <c r="AB338" t="s">
        <v>4673</v>
      </c>
      <c r="AC338" t="s">
        <v>2820</v>
      </c>
      <c r="AD338" s="249" t="str">
        <f>HYPERLINK("https://scontent.cdninstagram.com/t51.2885-15/s320x320/e35/c420.0.1080.1080/20766393_1792364497722245_8290857709733937152_n.jpg")</f>
        <v>https://scontent.cdninstagram.com/t51.2885-15/s320x320/e35/c420.0.1080.1080/20766393_1792364497722245_8290857709733937152_n.jpg</v>
      </c>
      <c r="AE338" s="249" t="str">
        <f>HYPERLINK("https://scontent.cdninstagram.com/t51.2885-19/14730759_1094490840646764_3600323388901425152_a.jpg")</f>
        <v>https://scontent.cdninstagram.com/t51.2885-19/14730759_1094490840646764_3600323388901425152_a.jpg</v>
      </c>
    </row>
    <row r="339" spans="1:31" ht="15" x14ac:dyDescent="0.25">
      <c r="A339" t="s">
        <v>2474</v>
      </c>
      <c r="B339" t="s">
        <v>4674</v>
      </c>
      <c r="C339" s="221">
        <v>42960.193391203706</v>
      </c>
      <c r="D339" t="s">
        <v>4675</v>
      </c>
      <c r="E339" s="249" t="str">
        <f>HYPERLINK("https://www.instagram.com/p/BXukD5EAYST/")</f>
        <v>https://www.instagram.com/p/BXukD5EAYST/</v>
      </c>
      <c r="F339" t="s">
        <v>4676</v>
      </c>
      <c r="G339" t="s">
        <v>2478</v>
      </c>
      <c r="H339">
        <v>162</v>
      </c>
      <c r="I339" t="s">
        <v>2479</v>
      </c>
      <c r="J339">
        <v>1</v>
      </c>
      <c r="K339">
        <v>59</v>
      </c>
      <c r="L339">
        <v>60</v>
      </c>
      <c r="Q339">
        <v>0</v>
      </c>
      <c r="R339">
        <v>0</v>
      </c>
      <c r="S339">
        <v>60</v>
      </c>
      <c r="Y339" t="s">
        <v>3145</v>
      </c>
      <c r="Z339" t="s">
        <v>4462</v>
      </c>
      <c r="AA339" t="s">
        <v>4677</v>
      </c>
      <c r="AB339" t="s">
        <v>4678</v>
      </c>
      <c r="AC339" t="s">
        <v>4679</v>
      </c>
      <c r="AD339" s="249" t="str">
        <f>HYPERLINK("https://scontent.cdninstagram.com/t51.2885-15/s320x320/e35/20766991_278466889300831_7069500634319290368_n.jpg")</f>
        <v>https://scontent.cdninstagram.com/t51.2885-15/s320x320/e35/20766991_278466889300831_7069500634319290368_n.jpg</v>
      </c>
      <c r="AE339" s="249" t="str">
        <f>HYPERLINK("https://scontent.cdninstagram.com/t51.2885-19/s150x150/20589634_285910035210989_9215501792752697344_a.jpg")</f>
        <v>https://scontent.cdninstagram.com/t51.2885-19/s150x150/20589634_285910035210989_9215501792752697344_a.jpg</v>
      </c>
    </row>
    <row r="340" spans="1:31" ht="15" x14ac:dyDescent="0.25">
      <c r="A340" t="s">
        <v>2474</v>
      </c>
      <c r="B340" t="s">
        <v>4680</v>
      </c>
      <c r="C340" s="221">
        <v>42960.194085648145</v>
      </c>
      <c r="D340" t="s">
        <v>4681</v>
      </c>
      <c r="E340" s="249" t="str">
        <f>HYPERLINK("https://www.instagram.com/p/BXukLRXD7Cb/")</f>
        <v>https://www.instagram.com/p/BXukLRXD7Cb/</v>
      </c>
      <c r="F340" t="s">
        <v>4682</v>
      </c>
      <c r="G340" t="s">
        <v>2478</v>
      </c>
      <c r="H340">
        <v>6</v>
      </c>
      <c r="I340" t="s">
        <v>2582</v>
      </c>
      <c r="J340">
        <v>0</v>
      </c>
      <c r="K340">
        <v>3</v>
      </c>
      <c r="L340">
        <v>3</v>
      </c>
      <c r="Q340">
        <v>0</v>
      </c>
      <c r="R340">
        <v>0</v>
      </c>
      <c r="S340">
        <v>3</v>
      </c>
      <c r="Y340" t="s">
        <v>2497</v>
      </c>
      <c r="Z340" t="s">
        <v>4683</v>
      </c>
      <c r="AA340" t="s">
        <v>4684</v>
      </c>
      <c r="AD340" s="249" t="str">
        <f>HYPERLINK("https://scontent.cdninstagram.com/t51.2885-15/s320x320/e35/20759925_163711854203894_998053913150095360_n.jpg")</f>
        <v>https://scontent.cdninstagram.com/t51.2885-15/s320x320/e35/20759925_163711854203894_998053913150095360_n.jpg</v>
      </c>
      <c r="AE340" s="249" t="str">
        <f>HYPERLINK("https://scontent.cdninstagram.com/t51.2885-19/s150x150/20394350_1516326901762631_5707266033140629504_a.jpg")</f>
        <v>https://scontent.cdninstagram.com/t51.2885-19/s150x150/20394350_1516326901762631_5707266033140629504_a.jpg</v>
      </c>
    </row>
    <row r="341" spans="1:31" ht="15" x14ac:dyDescent="0.25">
      <c r="A341" t="s">
        <v>2474</v>
      </c>
      <c r="B341" t="s">
        <v>4685</v>
      </c>
      <c r="C341" s="221">
        <v>42960.20103009259</v>
      </c>
      <c r="D341" t="s">
        <v>4686</v>
      </c>
      <c r="E341" s="249" t="str">
        <f>HYPERLINK("https://www.instagram.com/p/BXulUeoDgDg/")</f>
        <v>https://www.instagram.com/p/BXulUeoDgDg/</v>
      </c>
      <c r="F341" t="s">
        <v>4687</v>
      </c>
      <c r="G341" t="s">
        <v>2478</v>
      </c>
      <c r="H341">
        <v>329</v>
      </c>
      <c r="I341" t="s">
        <v>2599</v>
      </c>
      <c r="J341">
        <v>0</v>
      </c>
      <c r="K341">
        <v>23</v>
      </c>
      <c r="L341">
        <v>23</v>
      </c>
      <c r="Q341">
        <v>0</v>
      </c>
      <c r="R341">
        <v>0</v>
      </c>
      <c r="S341">
        <v>23</v>
      </c>
      <c r="Y341" t="s">
        <v>4688</v>
      </c>
      <c r="Z341" t="s">
        <v>4689</v>
      </c>
      <c r="AA341" t="s">
        <v>4690</v>
      </c>
      <c r="AB341" t="s">
        <v>4691</v>
      </c>
      <c r="AC341" t="s">
        <v>4692</v>
      </c>
      <c r="AD341" s="249" t="str">
        <f>HYPERLINK("https://scontent.cdninstagram.com/t51.2885-15/s320x320/e35/c0.135.1080.1080/20838591_115522615723048_8315858774493495296_n.jpg")</f>
        <v>https://scontent.cdninstagram.com/t51.2885-15/s320x320/e35/c0.135.1080.1080/20838591_115522615723048_8315858774493495296_n.jpg</v>
      </c>
      <c r="AE341" s="249" t="str">
        <f>HYPERLINK("https://scontent.cdninstagram.com/t51.2885-19/s150x150/14498866_1223064704423042_5122473061462835200_a.jpg")</f>
        <v>https://scontent.cdninstagram.com/t51.2885-19/s150x150/14498866_1223064704423042_5122473061462835200_a.jpg</v>
      </c>
    </row>
    <row r="342" spans="1:31" ht="15" x14ac:dyDescent="0.25">
      <c r="A342" t="s">
        <v>2474</v>
      </c>
      <c r="B342" t="s">
        <v>2507</v>
      </c>
      <c r="C342" s="221">
        <v>42960.201562499999</v>
      </c>
      <c r="D342" t="s">
        <v>4693</v>
      </c>
      <c r="E342" s="249" t="str">
        <f>HYPERLINK("https://www.instagram.com/p/BXulaEqlonD/")</f>
        <v>https://www.instagram.com/p/BXulaEqlonD/</v>
      </c>
      <c r="F342" t="s">
        <v>4694</v>
      </c>
      <c r="G342" t="s">
        <v>2478</v>
      </c>
      <c r="H342">
        <v>271</v>
      </c>
      <c r="I342" t="s">
        <v>2927</v>
      </c>
      <c r="J342">
        <v>3</v>
      </c>
      <c r="K342">
        <v>83</v>
      </c>
      <c r="L342">
        <v>86</v>
      </c>
      <c r="Q342">
        <v>0</v>
      </c>
      <c r="R342">
        <v>0</v>
      </c>
      <c r="S342">
        <v>86</v>
      </c>
      <c r="Y342" t="s">
        <v>3731</v>
      </c>
      <c r="Z342" t="s">
        <v>2515</v>
      </c>
      <c r="AA342" t="s">
        <v>3733</v>
      </c>
      <c r="AB342" t="s">
        <v>2609</v>
      </c>
      <c r="AC342" t="s">
        <v>2512</v>
      </c>
      <c r="AD342" s="249" t="str">
        <f>HYPERLINK("https://scontent.cdninstagram.com/t51.2885-15/s320x320/e35/20766105_1966800390231429_116466314633019392_n.jpg")</f>
        <v>https://scontent.cdninstagram.com/t51.2885-15/s320x320/e35/20766105_1966800390231429_116466314633019392_n.jpg</v>
      </c>
      <c r="AE342" s="249" t="str">
        <f>HYPERLINK("https://scontent.cdninstagram.com/t51.2885-19/s150x150/20688656_891409331008012_775389051745206272_a.jpg")</f>
        <v>https://scontent.cdninstagram.com/t51.2885-19/s150x150/20688656_891409331008012_775389051745206272_a.jpg</v>
      </c>
    </row>
    <row r="343" spans="1:31" ht="15" x14ac:dyDescent="0.25">
      <c r="A343" t="s">
        <v>2474</v>
      </c>
      <c r="B343" t="s">
        <v>4695</v>
      </c>
      <c r="C343" s="221">
        <v>42960.205995370372</v>
      </c>
      <c r="D343" t="s">
        <v>4696</v>
      </c>
      <c r="E343" s="249" t="str">
        <f>HYPERLINK("https://www.instagram.com/p/BXumI24ld95/")</f>
        <v>https://www.instagram.com/p/BXumI24ld95/</v>
      </c>
      <c r="F343" t="s">
        <v>4697</v>
      </c>
      <c r="G343" t="s">
        <v>2478</v>
      </c>
      <c r="H343">
        <v>1021</v>
      </c>
      <c r="I343" t="s">
        <v>2479</v>
      </c>
      <c r="J343">
        <v>7</v>
      </c>
      <c r="K343">
        <v>154</v>
      </c>
      <c r="L343">
        <v>161</v>
      </c>
      <c r="Q343">
        <v>0</v>
      </c>
      <c r="R343">
        <v>0</v>
      </c>
      <c r="S343">
        <v>161</v>
      </c>
      <c r="T343" t="s">
        <v>4698</v>
      </c>
      <c r="V343" t="s">
        <v>2161</v>
      </c>
      <c r="W343">
        <v>51.676381572879002</v>
      </c>
      <c r="X343">
        <v>7.633805475101</v>
      </c>
      <c r="Y343" t="s">
        <v>4699</v>
      </c>
      <c r="Z343" t="s">
        <v>4700</v>
      </c>
      <c r="AA343" t="s">
        <v>4701</v>
      </c>
      <c r="AB343" t="s">
        <v>4702</v>
      </c>
      <c r="AC343" t="s">
        <v>4703</v>
      </c>
      <c r="AD343" s="249" t="str">
        <f>HYPERLINK("https://scontent.cdninstagram.com/t51.2885-15/s320x320/e35/c0.135.1080.1080/20759568_124605094835671_2838204089588776960_n.jpg")</f>
        <v>https://scontent.cdninstagram.com/t51.2885-15/s320x320/e35/c0.135.1080.1080/20759568_124605094835671_2838204089588776960_n.jpg</v>
      </c>
      <c r="AE343" s="249" t="str">
        <f>HYPERLINK("https://scontent.cdninstagram.com/t51.2885-19/s150x150/20688232_361907454227068_8461771908893900800_a.jpg")</f>
        <v>https://scontent.cdninstagram.com/t51.2885-19/s150x150/20688232_361907454227068_8461771908893900800_a.jpg</v>
      </c>
    </row>
    <row r="344" spans="1:31" ht="15" x14ac:dyDescent="0.25">
      <c r="A344" t="s">
        <v>2474</v>
      </c>
      <c r="B344" t="s">
        <v>4704</v>
      </c>
      <c r="C344" s="221">
        <v>42960.208067129628</v>
      </c>
      <c r="D344" t="s">
        <v>4705</v>
      </c>
      <c r="E344" s="249" t="str">
        <f>HYPERLINK("https://www.instagram.com/p/BXumesUAgvG/")</f>
        <v>https://www.instagram.com/p/BXumesUAgvG/</v>
      </c>
      <c r="F344" t="s">
        <v>4706</v>
      </c>
      <c r="G344" t="s">
        <v>2478</v>
      </c>
      <c r="H344">
        <v>463</v>
      </c>
      <c r="I344" t="s">
        <v>2910</v>
      </c>
      <c r="J344">
        <v>0</v>
      </c>
      <c r="K344">
        <v>36</v>
      </c>
      <c r="L344">
        <v>36</v>
      </c>
      <c r="Q344">
        <v>0</v>
      </c>
      <c r="R344">
        <v>0</v>
      </c>
      <c r="S344">
        <v>36</v>
      </c>
      <c r="Y344" t="s">
        <v>4707</v>
      </c>
      <c r="Z344" t="s">
        <v>3194</v>
      </c>
      <c r="AA344" t="s">
        <v>4708</v>
      </c>
      <c r="AB344" t="s">
        <v>4709</v>
      </c>
      <c r="AC344" t="s">
        <v>4710</v>
      </c>
      <c r="AD344" s="249" t="str">
        <f>HYPERLINK("https://scontent.cdninstagram.com/t51.2885-15/s320x320/e35/c0.135.1080.1080/20688591_266599850503513_8036620462131773440_n.jpg")</f>
        <v>https://scontent.cdninstagram.com/t51.2885-15/s320x320/e35/c0.135.1080.1080/20688591_266599850503513_8036620462131773440_n.jpg</v>
      </c>
      <c r="AE344" s="249" t="str">
        <f>HYPERLINK("https://scontent.cdninstagram.com/t51.2885-19/s150x150/19429159_143563596213697_7002228651756355584_a.jpg")</f>
        <v>https://scontent.cdninstagram.com/t51.2885-19/s150x150/19429159_143563596213697_7002228651756355584_a.jpg</v>
      </c>
    </row>
    <row r="345" spans="1:31" ht="15" x14ac:dyDescent="0.25">
      <c r="A345" t="s">
        <v>2474</v>
      </c>
      <c r="B345" t="s">
        <v>4711</v>
      </c>
      <c r="C345" s="221">
        <v>42960.212731481479</v>
      </c>
      <c r="D345" t="s">
        <v>4712</v>
      </c>
      <c r="E345" s="249" t="str">
        <f>HYPERLINK("https://www.instagram.com/p/BXunP7lD6Jy/")</f>
        <v>https://www.instagram.com/p/BXunP7lD6Jy/</v>
      </c>
      <c r="F345" t="s">
        <v>4713</v>
      </c>
      <c r="G345" t="s">
        <v>2478</v>
      </c>
      <c r="H345">
        <v>30</v>
      </c>
      <c r="I345" t="s">
        <v>2542</v>
      </c>
      <c r="J345">
        <v>0</v>
      </c>
      <c r="K345">
        <v>20</v>
      </c>
      <c r="L345">
        <v>20</v>
      </c>
      <c r="Q345">
        <v>0</v>
      </c>
      <c r="R345">
        <v>0</v>
      </c>
      <c r="S345">
        <v>20</v>
      </c>
      <c r="T345" t="s">
        <v>4714</v>
      </c>
      <c r="V345" t="s">
        <v>2182</v>
      </c>
      <c r="W345">
        <v>44.529584230365003</v>
      </c>
      <c r="X345">
        <v>11.293083523864</v>
      </c>
      <c r="Y345" t="s">
        <v>4715</v>
      </c>
      <c r="Z345" t="s">
        <v>4716</v>
      </c>
      <c r="AA345" t="s">
        <v>4717</v>
      </c>
      <c r="AB345" t="s">
        <v>3685</v>
      </c>
      <c r="AC345" t="s">
        <v>2603</v>
      </c>
      <c r="AD345" s="249" t="str">
        <f>HYPERLINK("https://scontent.cdninstagram.com/t51.2885-15/s320x320/e35/20688156_122315865077981_5302791954805817344_n.jpg")</f>
        <v>https://scontent.cdninstagram.com/t51.2885-15/s320x320/e35/20688156_122315865077981_5302791954805817344_n.jpg</v>
      </c>
      <c r="AE345" s="249" t="str">
        <f>HYPERLINK("https://scontent.cdninstagram.com/t51.2885-19/s150x150/20766199_1829338003759849_7052398929245110272_a.jpg")</f>
        <v>https://scontent.cdninstagram.com/t51.2885-19/s150x150/20766199_1829338003759849_7052398929245110272_a.jpg</v>
      </c>
    </row>
    <row r="346" spans="1:31" ht="15" x14ac:dyDescent="0.25">
      <c r="A346" t="s">
        <v>2474</v>
      </c>
      <c r="B346" t="s">
        <v>4718</v>
      </c>
      <c r="C346" s="221">
        <v>42960.214687500003</v>
      </c>
      <c r="D346" t="s">
        <v>4719</v>
      </c>
      <c r="E346" s="249" t="str">
        <f>HYPERLINK("https://www.instagram.com/p/BXunklKjigd/")</f>
        <v>https://www.instagram.com/p/BXunklKjigd/</v>
      </c>
      <c r="F346" t="s">
        <v>4720</v>
      </c>
      <c r="G346" t="s">
        <v>2478</v>
      </c>
      <c r="H346">
        <v>139</v>
      </c>
      <c r="I346" t="s">
        <v>2599</v>
      </c>
      <c r="J346">
        <v>10</v>
      </c>
      <c r="K346">
        <v>50</v>
      </c>
      <c r="L346">
        <v>60</v>
      </c>
      <c r="Q346">
        <v>0</v>
      </c>
      <c r="R346">
        <v>0</v>
      </c>
      <c r="S346">
        <v>60</v>
      </c>
      <c r="Y346" t="s">
        <v>4721</v>
      </c>
      <c r="Z346" t="s">
        <v>4722</v>
      </c>
      <c r="AA346" t="s">
        <v>4723</v>
      </c>
      <c r="AB346" t="s">
        <v>4724</v>
      </c>
      <c r="AC346" t="s">
        <v>4725</v>
      </c>
      <c r="AD346" s="249" t="str">
        <f>HYPERLINK("https://scontent.cdninstagram.com/t51.2885-15/s320x320/e35/c0.135.1080.1080/20837500_406633426398201_1492063409473060864_n.jpg")</f>
        <v>https://scontent.cdninstagram.com/t51.2885-15/s320x320/e35/c0.135.1080.1080/20837500_406633426398201_1492063409473060864_n.jpg</v>
      </c>
      <c r="AE346" s="249" t="str">
        <f>HYPERLINK("https://scontent.cdninstagram.com/t51.2885-19/s150x150/12256656_992849557404948_1319856629_a.jpg")</f>
        <v>https://scontent.cdninstagram.com/t51.2885-19/s150x150/12256656_992849557404948_1319856629_a.jpg</v>
      </c>
    </row>
    <row r="347" spans="1:31" ht="15" x14ac:dyDescent="0.25">
      <c r="A347" t="s">
        <v>2474</v>
      </c>
      <c r="B347" t="s">
        <v>4726</v>
      </c>
      <c r="C347" s="221">
        <v>42960.220752314817</v>
      </c>
      <c r="D347" t="s">
        <v>4727</v>
      </c>
      <c r="E347" s="249" t="str">
        <f>HYPERLINK("https://www.instagram.com/p/BXuokddgc9J/")</f>
        <v>https://www.instagram.com/p/BXuokddgc9J/</v>
      </c>
      <c r="F347" t="s">
        <v>4728</v>
      </c>
      <c r="G347" t="s">
        <v>2478</v>
      </c>
      <c r="H347">
        <v>20</v>
      </c>
      <c r="I347" t="s">
        <v>2479</v>
      </c>
      <c r="J347">
        <v>1</v>
      </c>
      <c r="K347">
        <v>8</v>
      </c>
      <c r="L347">
        <v>9</v>
      </c>
      <c r="Q347">
        <v>0</v>
      </c>
      <c r="R347">
        <v>0</v>
      </c>
      <c r="S347">
        <v>9</v>
      </c>
      <c r="T347" t="s">
        <v>4729</v>
      </c>
      <c r="V347" t="s">
        <v>2161</v>
      </c>
      <c r="W347">
        <v>51.755899999999997</v>
      </c>
      <c r="X347">
        <v>8.6783400000000004</v>
      </c>
      <c r="Y347" t="s">
        <v>2497</v>
      </c>
      <c r="Z347" t="s">
        <v>4589</v>
      </c>
      <c r="AA347" t="s">
        <v>4730</v>
      </c>
      <c r="AD347" s="249" t="str">
        <f>HYPERLINK("https://scontent.cdninstagram.com/t51.2885-15/s320x320/e35/20759827_2088433684717590_6157276514388803584_n.jpg")</f>
        <v>https://scontent.cdninstagram.com/t51.2885-15/s320x320/e35/20759827_2088433684717590_6157276514388803584_n.jpg</v>
      </c>
      <c r="AE347" s="249" t="str">
        <f>HYPERLINK("https://scontent.cdninstagram.com/t51.2885-19/10725211_1497922453791258_790860002_a.jpg")</f>
        <v>https://scontent.cdninstagram.com/t51.2885-19/10725211_1497922453791258_790860002_a.jpg</v>
      </c>
    </row>
    <row r="348" spans="1:31" ht="15" x14ac:dyDescent="0.25">
      <c r="A348" t="s">
        <v>2474</v>
      </c>
      <c r="B348" t="s">
        <v>2724</v>
      </c>
      <c r="C348" s="221">
        <v>42960.227719907409</v>
      </c>
      <c r="D348" t="s">
        <v>4731</v>
      </c>
      <c r="E348" s="249" t="str">
        <f>HYPERLINK("https://www.instagram.com/p/BXupuBrliy3/")</f>
        <v>https://www.instagram.com/p/BXupuBrliy3/</v>
      </c>
      <c r="F348" t="s">
        <v>4732</v>
      </c>
      <c r="G348" t="s">
        <v>2478</v>
      </c>
      <c r="H348">
        <v>48</v>
      </c>
      <c r="I348" t="s">
        <v>2479</v>
      </c>
      <c r="J348">
        <v>0</v>
      </c>
      <c r="K348">
        <v>14</v>
      </c>
      <c r="L348">
        <v>14</v>
      </c>
      <c r="Q348">
        <v>0</v>
      </c>
      <c r="R348">
        <v>0</v>
      </c>
      <c r="S348">
        <v>14</v>
      </c>
      <c r="T348" t="s">
        <v>2727</v>
      </c>
      <c r="V348" t="s">
        <v>2161</v>
      </c>
      <c r="W348">
        <v>51.915877999999999</v>
      </c>
      <c r="X348">
        <v>8.8695660000000007</v>
      </c>
      <c r="Y348" t="s">
        <v>4733</v>
      </c>
      <c r="Z348" t="s">
        <v>4734</v>
      </c>
      <c r="AA348" t="s">
        <v>4735</v>
      </c>
      <c r="AB348" t="s">
        <v>4736</v>
      </c>
      <c r="AC348" t="s">
        <v>4737</v>
      </c>
      <c r="AD348" s="249" t="str">
        <f>HYPERLINK("https://scontent.cdninstagram.com/t51.2885-15/s320x320/e35/20759654_2002899413266966_5769160815433220096_n.jpg")</f>
        <v>https://scontent.cdninstagram.com/t51.2885-15/s320x320/e35/20759654_2002899413266966_5769160815433220096_n.jpg</v>
      </c>
      <c r="AE348" s="249" t="str">
        <f>HYPERLINK("https://scontent.cdninstagram.com/t51.2885-19/s150x150/15877413_1399310030114047_6469586865203707904_n.jpg")</f>
        <v>https://scontent.cdninstagram.com/t51.2885-19/s150x150/15877413_1399310030114047_6469586865203707904_n.jpg</v>
      </c>
    </row>
    <row r="349" spans="1:31" ht="15" x14ac:dyDescent="0.25">
      <c r="A349" t="s">
        <v>2474</v>
      </c>
      <c r="B349" t="s">
        <v>4738</v>
      </c>
      <c r="C349" s="221">
        <v>42960.238483796296</v>
      </c>
      <c r="D349" t="s">
        <v>4739</v>
      </c>
      <c r="E349" s="249" t="str">
        <f>HYPERLINK("https://www.instagram.com/p/BXurfgunda8/")</f>
        <v>https://www.instagram.com/p/BXurfgunda8/</v>
      </c>
      <c r="F349" t="s">
        <v>4740</v>
      </c>
      <c r="G349" t="s">
        <v>2478</v>
      </c>
      <c r="H349">
        <v>223</v>
      </c>
      <c r="I349" t="s">
        <v>2479</v>
      </c>
      <c r="J349">
        <v>0</v>
      </c>
      <c r="K349">
        <v>18</v>
      </c>
      <c r="L349">
        <v>18</v>
      </c>
      <c r="Q349">
        <v>0</v>
      </c>
      <c r="R349">
        <v>0</v>
      </c>
      <c r="S349">
        <v>18</v>
      </c>
      <c r="Y349" t="s">
        <v>4741</v>
      </c>
      <c r="Z349" t="s">
        <v>2497</v>
      </c>
      <c r="AA349" t="s">
        <v>4742</v>
      </c>
      <c r="AB349" t="s">
        <v>4743</v>
      </c>
      <c r="AD349" s="249" t="str">
        <f>HYPERLINK("https://scontent.cdninstagram.com/t51.2885-15/s320x320/e35/20759351_140473199882453_659633841962483712_n.jpg")</f>
        <v>https://scontent.cdninstagram.com/t51.2885-15/s320x320/e35/20759351_140473199882453_659633841962483712_n.jpg</v>
      </c>
      <c r="AE349" s="249" t="str">
        <f>HYPERLINK("https://scontent.cdninstagram.com/t51.2885-19/s150x150/15056723_1568870389795697_2464671960676696064_a.jpg")</f>
        <v>https://scontent.cdninstagram.com/t51.2885-19/s150x150/15056723_1568870389795697_2464671960676696064_a.jpg</v>
      </c>
    </row>
    <row r="350" spans="1:31" ht="15" x14ac:dyDescent="0.25">
      <c r="A350" t="s">
        <v>2474</v>
      </c>
      <c r="B350" t="s">
        <v>4744</v>
      </c>
      <c r="C350" s="221">
        <v>42960.240810185183</v>
      </c>
      <c r="D350" t="s">
        <v>4745</v>
      </c>
      <c r="E350" s="249" t="str">
        <f>HYPERLINK("https://www.instagram.com/p/BXur4D9h4BE/")</f>
        <v>https://www.instagram.com/p/BXur4D9h4BE/</v>
      </c>
      <c r="F350" t="s">
        <v>4746</v>
      </c>
      <c r="G350" t="s">
        <v>2478</v>
      </c>
      <c r="H350">
        <v>228</v>
      </c>
      <c r="I350" t="s">
        <v>2542</v>
      </c>
      <c r="J350">
        <v>0</v>
      </c>
      <c r="K350">
        <v>37</v>
      </c>
      <c r="L350">
        <v>37</v>
      </c>
      <c r="Q350">
        <v>0</v>
      </c>
      <c r="R350">
        <v>0</v>
      </c>
      <c r="S350">
        <v>37</v>
      </c>
      <c r="Y350" t="s">
        <v>4747</v>
      </c>
      <c r="Z350" t="s">
        <v>4748</v>
      </c>
      <c r="AA350" t="s">
        <v>4749</v>
      </c>
      <c r="AB350" t="s">
        <v>4750</v>
      </c>
      <c r="AC350" t="s">
        <v>4715</v>
      </c>
      <c r="AD350" s="249" t="str">
        <f>HYPERLINK("https://scontent.cdninstagram.com/t51.2885-15/s320x320/e35/c0.74.1080.1080/20766045_214628595734676_5944596172046860288_n.jpg")</f>
        <v>https://scontent.cdninstagram.com/t51.2885-15/s320x320/e35/c0.74.1080.1080/20766045_214628595734676_5944596172046860288_n.jpg</v>
      </c>
      <c r="AE350" s="249" t="str">
        <f>HYPERLINK("https://scontent.cdninstagram.com/t51.2885-19/s150x150/20838865_737083769816426_4377609605010685952_a.jpg")</f>
        <v>https://scontent.cdninstagram.com/t51.2885-19/s150x150/20838865_737083769816426_4377609605010685952_a.jpg</v>
      </c>
    </row>
    <row r="351" spans="1:31" ht="15" x14ac:dyDescent="0.25">
      <c r="A351" t="s">
        <v>2474</v>
      </c>
      <c r="B351" t="s">
        <v>4132</v>
      </c>
      <c r="C351" s="221">
        <v>42960.242928240739</v>
      </c>
      <c r="D351" t="s">
        <v>4751</v>
      </c>
      <c r="E351" s="249" t="str">
        <f>HYPERLINK("https://www.instagram.com/p/BXusOYMl0jr/")</f>
        <v>https://www.instagram.com/p/BXusOYMl0jr/</v>
      </c>
      <c r="F351" t="s">
        <v>4752</v>
      </c>
      <c r="G351" t="s">
        <v>2478</v>
      </c>
      <c r="H351">
        <v>6878</v>
      </c>
      <c r="I351" t="s">
        <v>2479</v>
      </c>
      <c r="J351">
        <v>1</v>
      </c>
      <c r="K351">
        <v>22</v>
      </c>
      <c r="L351">
        <v>23</v>
      </c>
      <c r="Q351">
        <v>0</v>
      </c>
      <c r="R351">
        <v>0</v>
      </c>
      <c r="S351">
        <v>23</v>
      </c>
      <c r="Y351" t="s">
        <v>4753</v>
      </c>
      <c r="Z351" t="s">
        <v>2938</v>
      </c>
      <c r="AA351" t="s">
        <v>4754</v>
      </c>
      <c r="AB351" t="s">
        <v>4755</v>
      </c>
      <c r="AC351" t="s">
        <v>4756</v>
      </c>
      <c r="AD351" s="249" t="str">
        <f>HYPERLINK("https://scontent.cdninstagram.com/t51.2885-15/s320x320/e35/20766427_1437323209684113_9171980584199651328_n.jpg")</f>
        <v>https://scontent.cdninstagram.com/t51.2885-15/s320x320/e35/20766427_1437323209684113_9171980584199651328_n.jpg</v>
      </c>
      <c r="AE351" s="249" t="str">
        <f>HYPERLINK("https://scontent.cdninstagram.com/t51.2885-19/s150x150/15306012_1834743390099693_621234283125669888_a.jpg")</f>
        <v>https://scontent.cdninstagram.com/t51.2885-19/s150x150/15306012_1834743390099693_621234283125669888_a.jpg</v>
      </c>
    </row>
    <row r="352" spans="1:31" ht="15" x14ac:dyDescent="0.25">
      <c r="A352" t="s">
        <v>2474</v>
      </c>
      <c r="B352" t="s">
        <v>4757</v>
      </c>
      <c r="C352" s="221">
        <v>42960.24355324074</v>
      </c>
      <c r="D352" t="s">
        <v>4758</v>
      </c>
      <c r="E352" s="249" t="str">
        <f>HYPERLINK("https://www.instagram.com/p/BXusVAGl7Gl/")</f>
        <v>https://www.instagram.com/p/BXusVAGl7Gl/</v>
      </c>
      <c r="F352" t="s">
        <v>4759</v>
      </c>
      <c r="G352" t="s">
        <v>2631</v>
      </c>
      <c r="H352">
        <v>523</v>
      </c>
      <c r="I352" t="s">
        <v>2542</v>
      </c>
      <c r="J352">
        <v>5</v>
      </c>
      <c r="K352">
        <v>20</v>
      </c>
      <c r="L352">
        <v>25</v>
      </c>
      <c r="Q352">
        <v>0</v>
      </c>
      <c r="R352">
        <v>0</v>
      </c>
      <c r="S352">
        <v>25</v>
      </c>
      <c r="Y352" t="s">
        <v>2497</v>
      </c>
      <c r="Z352" t="s">
        <v>4760</v>
      </c>
      <c r="AA352" t="s">
        <v>2861</v>
      </c>
      <c r="AB352" t="s">
        <v>4761</v>
      </c>
      <c r="AC352" t="s">
        <v>4762</v>
      </c>
      <c r="AD352" s="249" t="str">
        <f>HYPERLINK("https://scontent.cdninstagram.com/t51.2885-15/s320x320/e15/c157.0.405.405/20837155_336185696809781_1339193510384893952_n.jpg")</f>
        <v>https://scontent.cdninstagram.com/t51.2885-15/s320x320/e15/c157.0.405.405/20837155_336185696809781_1339193510384893952_n.jpg</v>
      </c>
      <c r="AE352" s="249" t="str">
        <f>HYPERLINK("https://scontent.cdninstagram.com/t51.2885-19/s150x150/20393829_157069788183896_5758925212582150144_a.jpg")</f>
        <v>https://scontent.cdninstagram.com/t51.2885-19/s150x150/20393829_157069788183896_5758925212582150144_a.jpg</v>
      </c>
    </row>
    <row r="353" spans="1:31" ht="15" x14ac:dyDescent="0.25">
      <c r="A353" t="s">
        <v>2474</v>
      </c>
      <c r="B353" t="s">
        <v>4763</v>
      </c>
      <c r="C353" s="221">
        <v>42960.244201388887</v>
      </c>
      <c r="D353" t="s">
        <v>4764</v>
      </c>
      <c r="E353" s="249" t="str">
        <f>HYPERLINK("https://www.instagram.com/p/BXusbzyAClA/")</f>
        <v>https://www.instagram.com/p/BXusbzyAClA/</v>
      </c>
      <c r="F353" t="s">
        <v>4765</v>
      </c>
      <c r="G353" t="s">
        <v>2478</v>
      </c>
      <c r="H353">
        <v>185</v>
      </c>
      <c r="I353" t="s">
        <v>3186</v>
      </c>
      <c r="J353">
        <v>2</v>
      </c>
      <c r="K353">
        <v>45</v>
      </c>
      <c r="L353">
        <v>47</v>
      </c>
      <c r="Q353">
        <v>0</v>
      </c>
      <c r="R353">
        <v>0</v>
      </c>
      <c r="S353">
        <v>47</v>
      </c>
      <c r="T353" t="s">
        <v>4766</v>
      </c>
      <c r="V353" t="s">
        <v>2238</v>
      </c>
      <c r="W353">
        <v>14.587549789417</v>
      </c>
      <c r="X353">
        <v>121.06109619141</v>
      </c>
      <c r="Y353" t="s">
        <v>4121</v>
      </c>
      <c r="Z353" t="s">
        <v>2861</v>
      </c>
      <c r="AA353" t="s">
        <v>2492</v>
      </c>
      <c r="AB353" t="s">
        <v>4369</v>
      </c>
      <c r="AC353" t="s">
        <v>2497</v>
      </c>
      <c r="AD353" s="249" t="str">
        <f>HYPERLINK("https://scontent.cdninstagram.com/t51.2885-15/s320x320/e35/20766353_293881081080048_1376291556692066304_n.jpg")</f>
        <v>https://scontent.cdninstagram.com/t51.2885-15/s320x320/e35/20766353_293881081080048_1376291556692066304_n.jpg</v>
      </c>
      <c r="AE353" s="249" t="str">
        <f>HYPERLINK("https://scontent.cdninstagram.com/t51.2885-19/s150x150/20582868_1404575712962013_5284645559066427392_a.jpg")</f>
        <v>https://scontent.cdninstagram.com/t51.2885-19/s150x150/20582868_1404575712962013_5284645559066427392_a.jpg</v>
      </c>
    </row>
    <row r="354" spans="1:31" ht="15" x14ac:dyDescent="0.25">
      <c r="A354" t="s">
        <v>2474</v>
      </c>
      <c r="B354" t="s">
        <v>2588</v>
      </c>
      <c r="C354" s="221">
        <v>42960.250173611108</v>
      </c>
      <c r="D354" t="s">
        <v>4767</v>
      </c>
      <c r="E354" s="249" t="str">
        <f>HYPERLINK("https://www.instagram.com/p/BXutawlAJ2X/")</f>
        <v>https://www.instagram.com/p/BXutawlAJ2X/</v>
      </c>
      <c r="F354" t="s">
        <v>4768</v>
      </c>
      <c r="G354" t="s">
        <v>2478</v>
      </c>
      <c r="H354">
        <v>252</v>
      </c>
      <c r="I354" t="s">
        <v>2479</v>
      </c>
      <c r="J354">
        <v>14</v>
      </c>
      <c r="K354">
        <v>201</v>
      </c>
      <c r="L354">
        <v>215</v>
      </c>
      <c r="Q354">
        <v>0</v>
      </c>
      <c r="R354">
        <v>0</v>
      </c>
      <c r="S354">
        <v>215</v>
      </c>
      <c r="AD354" s="249" t="str">
        <f>HYPERLINK("https://scontent.cdninstagram.com/t51.2885-15/s320x320/e35/c38.0.564.564/20759104_1422429524490706_7688778018675752960_n.jpg")</f>
        <v>https://scontent.cdninstagram.com/t51.2885-15/s320x320/e35/c38.0.564.564/20759104_1422429524490706_7688778018675752960_n.jpg</v>
      </c>
      <c r="AE354" s="249" t="str">
        <f>HYPERLINK("https://scontent.cdninstagram.com/t51.2885-19/s150x150/20633561_108840983138666_5897549723056734208_a.jpg")</f>
        <v>https://scontent.cdninstagram.com/t51.2885-19/s150x150/20633561_108840983138666_5897549723056734208_a.jpg</v>
      </c>
    </row>
    <row r="355" spans="1:31" ht="15" x14ac:dyDescent="0.25">
      <c r="A355" t="s">
        <v>2474</v>
      </c>
      <c r="B355" t="s">
        <v>4049</v>
      </c>
      <c r="C355" s="221">
        <v>42960.250659722224</v>
      </c>
      <c r="D355" t="s">
        <v>4769</v>
      </c>
      <c r="E355" s="249" t="str">
        <f>HYPERLINK("https://www.instagram.com/p/BXutf7LgAfV/")</f>
        <v>https://www.instagram.com/p/BXutf7LgAfV/</v>
      </c>
      <c r="F355" t="s">
        <v>4770</v>
      </c>
      <c r="G355" t="s">
        <v>2478</v>
      </c>
      <c r="H355">
        <v>189</v>
      </c>
      <c r="I355" t="s">
        <v>2542</v>
      </c>
      <c r="J355">
        <v>2</v>
      </c>
      <c r="K355">
        <v>31</v>
      </c>
      <c r="L355">
        <v>33</v>
      </c>
      <c r="Q355">
        <v>0</v>
      </c>
      <c r="R355">
        <v>0</v>
      </c>
      <c r="S355">
        <v>33</v>
      </c>
      <c r="T355" t="s">
        <v>4771</v>
      </c>
      <c r="V355" t="s">
        <v>2131</v>
      </c>
      <c r="W355">
        <v>31.221502858571</v>
      </c>
      <c r="X355">
        <v>121.47120468214</v>
      </c>
      <c r="Y355" t="s">
        <v>4606</v>
      </c>
      <c r="Z355" t="s">
        <v>4772</v>
      </c>
      <c r="AA355" t="s">
        <v>3197</v>
      </c>
      <c r="AB355" t="s">
        <v>4605</v>
      </c>
      <c r="AC355" t="s">
        <v>4773</v>
      </c>
      <c r="AD355" s="249" t="str">
        <f>HYPERLINK("https://scontent.cdninstagram.com/t51.2885-15/s320x320/e35/20759934_938635979657949_6467045966846361600_n.jpg")</f>
        <v>https://scontent.cdninstagram.com/t51.2885-15/s320x320/e35/20759934_938635979657949_6467045966846361600_n.jpg</v>
      </c>
      <c r="AE355" s="249" t="str">
        <f>HYPERLINK("https://scontent.cdninstagram.com/t51.2885-19/s150x150/15876106_1713480255629766_835358159680831488_n.jpg")</f>
        <v>https://scontent.cdninstagram.com/t51.2885-19/s150x150/15876106_1713480255629766_835358159680831488_n.jpg</v>
      </c>
    </row>
    <row r="356" spans="1:31" ht="15" x14ac:dyDescent="0.25">
      <c r="A356" t="s">
        <v>2474</v>
      </c>
      <c r="B356" t="s">
        <v>4774</v>
      </c>
      <c r="C356" s="221">
        <v>42960.256620370368</v>
      </c>
      <c r="D356" t="s">
        <v>4775</v>
      </c>
      <c r="E356" s="249" t="str">
        <f>HYPERLINK("https://www.instagram.com/p/BXuueyIlnor/")</f>
        <v>https://www.instagram.com/p/BXuueyIlnor/</v>
      </c>
      <c r="F356" t="s">
        <v>4776</v>
      </c>
      <c r="G356" t="s">
        <v>2478</v>
      </c>
      <c r="H356">
        <v>1521</v>
      </c>
      <c r="I356" t="s">
        <v>2479</v>
      </c>
      <c r="J356">
        <v>1</v>
      </c>
      <c r="K356">
        <v>64</v>
      </c>
      <c r="L356">
        <v>65</v>
      </c>
      <c r="Q356">
        <v>0</v>
      </c>
      <c r="R356">
        <v>0</v>
      </c>
      <c r="S356">
        <v>65</v>
      </c>
      <c r="T356" t="s">
        <v>4777</v>
      </c>
      <c r="V356" t="s">
        <v>2243</v>
      </c>
      <c r="W356">
        <v>44.269011513332998</v>
      </c>
      <c r="X356">
        <v>28.621125183333</v>
      </c>
      <c r="Y356" t="s">
        <v>4778</v>
      </c>
      <c r="Z356" t="s">
        <v>4779</v>
      </c>
      <c r="AA356" t="s">
        <v>2769</v>
      </c>
      <c r="AB356" t="s">
        <v>4780</v>
      </c>
      <c r="AC356" t="s">
        <v>4781</v>
      </c>
      <c r="AD356" s="249" t="str">
        <f>HYPERLINK("https://scontent.cdninstagram.com/t51.2885-15/s320x320/e35/c135.0.810.810/20836993_2370901883134194_4077921106516770816_n.jpg")</f>
        <v>https://scontent.cdninstagram.com/t51.2885-15/s320x320/e35/c135.0.810.810/20836993_2370901883134194_4077921106516770816_n.jpg</v>
      </c>
      <c r="AE356" s="249" t="str">
        <f>HYPERLINK("https://scontent.cdninstagram.com/t51.2885-19/s150x150/20583008_1915539162049064_9010584333215334400_n.jpg")</f>
        <v>https://scontent.cdninstagram.com/t51.2885-19/s150x150/20583008_1915539162049064_9010584333215334400_n.jpg</v>
      </c>
    </row>
    <row r="357" spans="1:31" ht="15" x14ac:dyDescent="0.25">
      <c r="A357" t="s">
        <v>2474</v>
      </c>
      <c r="B357" t="s">
        <v>4782</v>
      </c>
      <c r="C357" s="221">
        <v>42960.257951388892</v>
      </c>
      <c r="D357" t="s">
        <v>4783</v>
      </c>
      <c r="E357" s="249" t="str">
        <f>HYPERLINK("https://www.instagram.com/p/BXuus0Gg9Jf/")</f>
        <v>https://www.instagram.com/p/BXuus0Gg9Jf/</v>
      </c>
      <c r="F357" t="s">
        <v>4784</v>
      </c>
      <c r="G357" t="s">
        <v>2478</v>
      </c>
      <c r="H357">
        <v>321</v>
      </c>
      <c r="I357" t="s">
        <v>2479</v>
      </c>
      <c r="J357">
        <v>8</v>
      </c>
      <c r="K357">
        <v>81</v>
      </c>
      <c r="L357">
        <v>89</v>
      </c>
      <c r="Q357">
        <v>0</v>
      </c>
      <c r="R357">
        <v>0</v>
      </c>
      <c r="S357">
        <v>89</v>
      </c>
      <c r="Y357" t="s">
        <v>2497</v>
      </c>
      <c r="Z357" t="s">
        <v>2551</v>
      </c>
      <c r="AA357" t="s">
        <v>4513</v>
      </c>
      <c r="AB357" t="s">
        <v>4785</v>
      </c>
      <c r="AD357" s="249" t="str">
        <f>HYPERLINK("https://scontent.cdninstagram.com/t51.2885-15/s320x320/e35/20688373_161948824362047_5098297760000507904_n.jpg")</f>
        <v>https://scontent.cdninstagram.com/t51.2885-15/s320x320/e35/20688373_161948824362047_5098297760000507904_n.jpg</v>
      </c>
      <c r="AE357" s="249" t="str">
        <f>HYPERLINK("https://scontent.cdninstagram.com/t51.2885-19/s150x150/20347451_323726188075370_3738026616006115328_a.jpg")</f>
        <v>https://scontent.cdninstagram.com/t51.2885-19/s150x150/20347451_323726188075370_3738026616006115328_a.jpg</v>
      </c>
    </row>
    <row r="358" spans="1:31" ht="15" x14ac:dyDescent="0.25">
      <c r="A358" t="s">
        <v>2474</v>
      </c>
      <c r="B358" t="s">
        <v>4786</v>
      </c>
      <c r="C358" s="221">
        <v>42960.261076388888</v>
      </c>
      <c r="D358" t="s">
        <v>4787</v>
      </c>
      <c r="E358" s="249" t="str">
        <f>HYPERLINK("https://www.instagram.com/p/BXuvNu9jkPw/")</f>
        <v>https://www.instagram.com/p/BXuvNu9jkPw/</v>
      </c>
      <c r="F358" t="s">
        <v>4788</v>
      </c>
      <c r="G358" t="s">
        <v>2478</v>
      </c>
      <c r="H358">
        <v>80</v>
      </c>
      <c r="I358" t="s">
        <v>2510</v>
      </c>
      <c r="J358">
        <v>0</v>
      </c>
      <c r="K358">
        <v>24</v>
      </c>
      <c r="L358">
        <v>24</v>
      </c>
      <c r="Q358">
        <v>0</v>
      </c>
      <c r="R358">
        <v>0</v>
      </c>
      <c r="S358">
        <v>24</v>
      </c>
      <c r="T358" t="s">
        <v>4789</v>
      </c>
      <c r="V358" t="s">
        <v>2110</v>
      </c>
      <c r="W358">
        <v>51.221238761591003</v>
      </c>
      <c r="X358">
        <v>4.3996381759643999</v>
      </c>
      <c r="Y358" t="s">
        <v>4790</v>
      </c>
      <c r="Z358" t="s">
        <v>2497</v>
      </c>
      <c r="AA358" t="s">
        <v>4791</v>
      </c>
      <c r="AB358" t="s">
        <v>4792</v>
      </c>
      <c r="AD358" s="249" t="str">
        <f>HYPERLINK("https://scontent.cdninstagram.com/t51.2885-15/s320x320/e35/20766062_309422772858602_3417020829022552064_n.jpg")</f>
        <v>https://scontent.cdninstagram.com/t51.2885-15/s320x320/e35/20766062_309422772858602_3417020829022552064_n.jpg</v>
      </c>
      <c r="AE358" s="249" t="str">
        <f>HYPERLINK("https://scontent.cdninstagram.com/t51.2885-19/14269246_235206406881515_507408556_a.jpg")</f>
        <v>https://scontent.cdninstagram.com/t51.2885-19/14269246_235206406881515_507408556_a.jpg</v>
      </c>
    </row>
    <row r="359" spans="1:31" ht="15" x14ac:dyDescent="0.25">
      <c r="A359" t="s">
        <v>2474</v>
      </c>
      <c r="B359" t="s">
        <v>4793</v>
      </c>
      <c r="C359" s="221">
        <v>42960.300462962965</v>
      </c>
      <c r="D359" t="s">
        <v>4794</v>
      </c>
      <c r="E359" s="249" t="str">
        <f>HYPERLINK("https://www.instagram.com/p/BXu1tMhFMgj/")</f>
        <v>https://www.instagram.com/p/BXu1tMhFMgj/</v>
      </c>
      <c r="F359" t="s">
        <v>4795</v>
      </c>
      <c r="G359" t="s">
        <v>2478</v>
      </c>
      <c r="I359" t="s">
        <v>2542</v>
      </c>
      <c r="J359">
        <v>1</v>
      </c>
      <c r="K359">
        <v>21</v>
      </c>
      <c r="L359">
        <v>22</v>
      </c>
      <c r="Q359">
        <v>0</v>
      </c>
      <c r="R359">
        <v>0</v>
      </c>
      <c r="S359">
        <v>22</v>
      </c>
      <c r="Y359" t="s">
        <v>4796</v>
      </c>
      <c r="Z359" t="s">
        <v>4797</v>
      </c>
      <c r="AA359" t="s">
        <v>4779</v>
      </c>
      <c r="AB359" t="s">
        <v>2827</v>
      </c>
      <c r="AC359" t="s">
        <v>4798</v>
      </c>
      <c r="AD359" s="249" t="str">
        <f>HYPERLINK("https://scontent.cdninstagram.com/t51.2885-15/s320x320/e35/20766634_1410174005744424_8171989550604746752_n.jpg")</f>
        <v>https://scontent.cdninstagram.com/t51.2885-15/s320x320/e35/20766634_1410174005744424_8171989550604746752_n.jpg</v>
      </c>
      <c r="AE359" s="249" t="str">
        <f>HYPERLINK("https://scontent.cdninstagram.com/t51.2885-19/s150x150/18382071_1973945309503548_6605182556151218176_a.jpg")</f>
        <v>https://scontent.cdninstagram.com/t51.2885-19/s150x150/18382071_1973945309503548_6605182556151218176_a.jpg</v>
      </c>
    </row>
    <row r="360" spans="1:31" ht="15" x14ac:dyDescent="0.25">
      <c r="A360" t="s">
        <v>2474</v>
      </c>
      <c r="B360" t="s">
        <v>3754</v>
      </c>
      <c r="C360" s="221">
        <v>42960.300474537034</v>
      </c>
      <c r="D360" t="s">
        <v>4799</v>
      </c>
      <c r="E360" s="249" t="str">
        <f>HYPERLINK("https://www.instagram.com/p/BXu1tXpD-HO/")</f>
        <v>https://www.instagram.com/p/BXu1tXpD-HO/</v>
      </c>
      <c r="F360" t="s">
        <v>4800</v>
      </c>
      <c r="G360" t="s">
        <v>2478</v>
      </c>
      <c r="H360">
        <v>201940</v>
      </c>
      <c r="I360" t="s">
        <v>2479</v>
      </c>
      <c r="J360">
        <v>1</v>
      </c>
      <c r="K360">
        <v>108</v>
      </c>
      <c r="L360">
        <v>109</v>
      </c>
      <c r="Q360">
        <v>0</v>
      </c>
      <c r="R360">
        <v>0</v>
      </c>
      <c r="S360">
        <v>109</v>
      </c>
      <c r="Y360" t="s">
        <v>4801</v>
      </c>
      <c r="Z360" t="s">
        <v>4802</v>
      </c>
      <c r="AA360" t="s">
        <v>4231</v>
      </c>
      <c r="AB360" t="s">
        <v>3764</v>
      </c>
      <c r="AC360" t="s">
        <v>4803</v>
      </c>
      <c r="AD360" s="249" t="str">
        <f>HYPERLINK("https://scontent.cdninstagram.com/t51.2885-15/s320x320/e35/20766547_457480924637612_1927410052033937408_n.jpg")</f>
        <v>https://scontent.cdninstagram.com/t51.2885-15/s320x320/e35/20766547_457480924637612_1927410052033937408_n.jpg</v>
      </c>
      <c r="AE360" s="249" t="str">
        <f>HYPERLINK("https://scontent.cdninstagram.com/t51.2885-19/s150x150/12905002_1681254462136092_1137392787_a.jpg")</f>
        <v>https://scontent.cdninstagram.com/t51.2885-19/s150x150/12905002_1681254462136092_1137392787_a.jpg</v>
      </c>
    </row>
    <row r="361" spans="1:31" ht="15" x14ac:dyDescent="0.25">
      <c r="A361" t="s">
        <v>2474</v>
      </c>
      <c r="B361" t="s">
        <v>4804</v>
      </c>
      <c r="C361" s="221">
        <v>42960.306481481479</v>
      </c>
      <c r="D361" t="s">
        <v>4805</v>
      </c>
      <c r="E361" s="249" t="str">
        <f>HYPERLINK("https://www.instagram.com/p/BXu2ssCB0j8/")</f>
        <v>https://www.instagram.com/p/BXu2ssCB0j8/</v>
      </c>
      <c r="F361" t="s">
        <v>4806</v>
      </c>
      <c r="G361" t="s">
        <v>2478</v>
      </c>
      <c r="H361">
        <v>196</v>
      </c>
      <c r="I361" t="s">
        <v>2542</v>
      </c>
      <c r="J361">
        <v>0</v>
      </c>
      <c r="K361">
        <v>4</v>
      </c>
      <c r="L361">
        <v>4</v>
      </c>
      <c r="Q361">
        <v>0</v>
      </c>
      <c r="R361">
        <v>0</v>
      </c>
      <c r="S361">
        <v>4</v>
      </c>
      <c r="T361" t="s">
        <v>4807</v>
      </c>
      <c r="V361" t="s">
        <v>2288</v>
      </c>
      <c r="W361">
        <v>52.4754</v>
      </c>
      <c r="X361">
        <v>-1.9001600000000001</v>
      </c>
      <c r="Y361" t="s">
        <v>2497</v>
      </c>
      <c r="Z361" t="s">
        <v>4808</v>
      </c>
      <c r="AA361" t="s">
        <v>4809</v>
      </c>
      <c r="AB361" t="s">
        <v>4810</v>
      </c>
      <c r="AC361" t="s">
        <v>2667</v>
      </c>
      <c r="AD361" s="249" t="str">
        <f>HYPERLINK("https://scontent.cdninstagram.com/t51.2885-15/s320x320/e35/20766501_532142593844386_5818188545721892864_n.jpg")</f>
        <v>https://scontent.cdninstagram.com/t51.2885-15/s320x320/e35/20766501_532142593844386_5818188545721892864_n.jpg</v>
      </c>
      <c r="AE361" s="249" t="str">
        <f>HYPERLINK("https://scontent.cdninstagram.com/t51.2885-19/s150x150/20905795_269575533537543_476044047555756032_a.jpg")</f>
        <v>https://scontent.cdninstagram.com/t51.2885-19/s150x150/20905795_269575533537543_476044047555756032_a.jpg</v>
      </c>
    </row>
    <row r="362" spans="1:31" ht="15" x14ac:dyDescent="0.25">
      <c r="A362" t="s">
        <v>2474</v>
      </c>
      <c r="B362" t="s">
        <v>4811</v>
      </c>
      <c r="C362" s="221">
        <v>42960.307303240741</v>
      </c>
      <c r="D362" t="s">
        <v>4812</v>
      </c>
      <c r="E362" s="249" t="str">
        <f>HYPERLINK("https://www.instagram.com/p/BXu21TgAdg3/")</f>
        <v>https://www.instagram.com/p/BXu21TgAdg3/</v>
      </c>
      <c r="F362" t="s">
        <v>4813</v>
      </c>
      <c r="G362" t="s">
        <v>2631</v>
      </c>
      <c r="H362">
        <v>929</v>
      </c>
      <c r="I362" t="s">
        <v>2479</v>
      </c>
      <c r="J362">
        <v>6</v>
      </c>
      <c r="K362">
        <v>91</v>
      </c>
      <c r="L362">
        <v>97</v>
      </c>
      <c r="Q362">
        <v>0</v>
      </c>
      <c r="R362">
        <v>0</v>
      </c>
      <c r="S362">
        <v>97</v>
      </c>
      <c r="Y362" t="s">
        <v>4814</v>
      </c>
      <c r="Z362" t="s">
        <v>4815</v>
      </c>
      <c r="AA362" t="s">
        <v>4816</v>
      </c>
      <c r="AB362" t="s">
        <v>4817</v>
      </c>
      <c r="AC362" t="s">
        <v>4818</v>
      </c>
      <c r="AD362" s="249" t="str">
        <f>HYPERLINK("https://scontent.cdninstagram.com/t51.2885-15/s320x320/e15/20759998_270765496742306_6405763032709857280_n.jpg")</f>
        <v>https://scontent.cdninstagram.com/t51.2885-15/s320x320/e15/20759998_270765496742306_6405763032709857280_n.jpg</v>
      </c>
      <c r="AE362" s="249" t="str">
        <f>HYPERLINK("https://scontent.cdninstagram.com/t51.2885-19/s150x150/16124251_1913091765603634_8004330562992996352_a.jpg")</f>
        <v>https://scontent.cdninstagram.com/t51.2885-19/s150x150/16124251_1913091765603634_8004330562992996352_a.jpg</v>
      </c>
    </row>
    <row r="363" spans="1:31" ht="15" x14ac:dyDescent="0.25">
      <c r="A363" t="s">
        <v>2474</v>
      </c>
      <c r="B363" t="s">
        <v>4819</v>
      </c>
      <c r="C363" s="221">
        <v>42960.309247685182</v>
      </c>
      <c r="D363" t="s">
        <v>4820</v>
      </c>
      <c r="E363" s="249" t="str">
        <f>HYPERLINK("https://www.instagram.com/p/BXu3J4UFvW1/")</f>
        <v>https://www.instagram.com/p/BXu3J4UFvW1/</v>
      </c>
      <c r="F363" t="s">
        <v>4821</v>
      </c>
      <c r="G363" t="s">
        <v>2478</v>
      </c>
      <c r="H363">
        <v>3679</v>
      </c>
      <c r="I363" t="s">
        <v>2479</v>
      </c>
      <c r="J363">
        <v>16</v>
      </c>
      <c r="K363">
        <v>138</v>
      </c>
      <c r="L363">
        <v>154</v>
      </c>
      <c r="Q363">
        <v>0</v>
      </c>
      <c r="R363">
        <v>0</v>
      </c>
      <c r="S363">
        <v>154</v>
      </c>
      <c r="AD363" s="249" t="str">
        <f>HYPERLINK("https://scontent.cdninstagram.com/t51.2885-15/s320x320/e35/20838258_1850351911661382_3668014001926701056_n.jpg")</f>
        <v>https://scontent.cdninstagram.com/t51.2885-15/s320x320/e35/20838258_1850351911661382_3668014001926701056_n.jpg</v>
      </c>
      <c r="AE363" s="249" t="str">
        <f>HYPERLINK("https://scontent.cdninstagram.com/t51.2885-19/s150x150/18513709_1332463363497851_7844082532860559360_a.jpg")</f>
        <v>https://scontent.cdninstagram.com/t51.2885-19/s150x150/18513709_1332463363497851_7844082532860559360_a.jpg</v>
      </c>
    </row>
    <row r="364" spans="1:31" ht="15" x14ac:dyDescent="0.25">
      <c r="A364" t="s">
        <v>2474</v>
      </c>
      <c r="B364" t="s">
        <v>4822</v>
      </c>
      <c r="C364" s="221">
        <v>42960.312071759261</v>
      </c>
      <c r="D364" t="s">
        <v>4823</v>
      </c>
      <c r="E364" s="249" t="str">
        <f>HYPERLINK("https://www.instagram.com/p/BXu3np8nNwL/")</f>
        <v>https://www.instagram.com/p/BXu3np8nNwL/</v>
      </c>
      <c r="F364" t="s">
        <v>4824</v>
      </c>
      <c r="G364" t="s">
        <v>2478</v>
      </c>
      <c r="H364">
        <v>205</v>
      </c>
      <c r="I364" t="s">
        <v>2479</v>
      </c>
      <c r="J364">
        <v>1</v>
      </c>
      <c r="K364">
        <v>19</v>
      </c>
      <c r="L364">
        <v>20</v>
      </c>
      <c r="Q364">
        <v>0</v>
      </c>
      <c r="R364">
        <v>0</v>
      </c>
      <c r="S364">
        <v>20</v>
      </c>
      <c r="Y364" t="s">
        <v>2497</v>
      </c>
      <c r="Z364" t="s">
        <v>4825</v>
      </c>
      <c r="AA364" t="s">
        <v>4826</v>
      </c>
      <c r="AB364" t="s">
        <v>4827</v>
      </c>
      <c r="AC364" t="s">
        <v>2827</v>
      </c>
      <c r="AD364" s="249" t="str">
        <f>HYPERLINK("https://scontent.cdninstagram.com/t51.2885-15/s320x320/e35/c106.0.449.449/20759122_1700470950028416_7676001414388121600_n.jpg")</f>
        <v>https://scontent.cdninstagram.com/t51.2885-15/s320x320/e35/c106.0.449.449/20759122_1700470950028416_7676001414388121600_n.jpg</v>
      </c>
      <c r="AE364" s="249" t="str">
        <f>HYPERLINK("https://scontent.cdninstagram.com/t51.2885-19/s150x150/14350757_652526181596118_390187156_a.jpg")</f>
        <v>https://scontent.cdninstagram.com/t51.2885-19/s150x150/14350757_652526181596118_390187156_a.jpg</v>
      </c>
    </row>
    <row r="365" spans="1:31" ht="15" x14ac:dyDescent="0.25">
      <c r="A365" t="s">
        <v>2474</v>
      </c>
      <c r="B365" t="s">
        <v>4828</v>
      </c>
      <c r="C365" s="221">
        <v>42960.313113425924</v>
      </c>
      <c r="D365" t="s">
        <v>4829</v>
      </c>
      <c r="E365" s="249" t="str">
        <f>HYPERLINK("https://www.instagram.com/p/BXu3ykVjNb4/")</f>
        <v>https://www.instagram.com/p/BXu3ykVjNb4/</v>
      </c>
      <c r="F365" t="s">
        <v>4830</v>
      </c>
      <c r="G365" t="s">
        <v>2478</v>
      </c>
      <c r="H365">
        <v>537</v>
      </c>
      <c r="I365" t="s">
        <v>2479</v>
      </c>
      <c r="J365">
        <v>0</v>
      </c>
      <c r="K365">
        <v>30</v>
      </c>
      <c r="L365">
        <v>30</v>
      </c>
      <c r="Q365">
        <v>0</v>
      </c>
      <c r="R365">
        <v>0</v>
      </c>
      <c r="S365">
        <v>30</v>
      </c>
      <c r="Y365" t="s">
        <v>4831</v>
      </c>
      <c r="Z365" t="s">
        <v>4832</v>
      </c>
      <c r="AA365" t="s">
        <v>4833</v>
      </c>
      <c r="AB365" t="s">
        <v>4271</v>
      </c>
      <c r="AC365" t="s">
        <v>4834</v>
      </c>
      <c r="AD365" s="249" t="str">
        <f>HYPERLINK("https://scontent.cdninstagram.com/t51.2885-15/s320x320/e35/20759833_1900997023559666_726788876860915712_n.jpg")</f>
        <v>https://scontent.cdninstagram.com/t51.2885-15/s320x320/e35/20759833_1900997023559666_726788876860915712_n.jpg</v>
      </c>
      <c r="AE365" s="249" t="str">
        <f>HYPERLINK("https://scontent.cdninstagram.com/t51.2885-19/s150x150/19424865_1936680709949826_3625280778138550272_a.jpg")</f>
        <v>https://scontent.cdninstagram.com/t51.2885-19/s150x150/19424865_1936680709949826_3625280778138550272_a.jpg</v>
      </c>
    </row>
    <row r="366" spans="1:31" ht="15" x14ac:dyDescent="0.25">
      <c r="A366" t="s">
        <v>2474</v>
      </c>
      <c r="B366" t="s">
        <v>4835</v>
      </c>
      <c r="C366" s="221">
        <v>42960.314583333333</v>
      </c>
      <c r="D366" t="s">
        <v>4836</v>
      </c>
      <c r="E366" s="249" t="str">
        <f>HYPERLINK("https://www.instagram.com/p/BXu4CE5j79b/")</f>
        <v>https://www.instagram.com/p/BXu4CE5j79b/</v>
      </c>
      <c r="F366" t="s">
        <v>4837</v>
      </c>
      <c r="G366" t="s">
        <v>2478</v>
      </c>
      <c r="H366">
        <v>36683</v>
      </c>
      <c r="I366" t="s">
        <v>2479</v>
      </c>
      <c r="J366">
        <v>1</v>
      </c>
      <c r="K366">
        <v>289</v>
      </c>
      <c r="L366">
        <v>290</v>
      </c>
      <c r="Q366">
        <v>0</v>
      </c>
      <c r="R366">
        <v>0</v>
      </c>
      <c r="S366">
        <v>290</v>
      </c>
      <c r="Y366" t="s">
        <v>4838</v>
      </c>
      <c r="Z366" t="s">
        <v>4839</v>
      </c>
      <c r="AA366" t="s">
        <v>2497</v>
      </c>
      <c r="AB366" t="s">
        <v>4840</v>
      </c>
      <c r="AC366" t="s">
        <v>4841</v>
      </c>
      <c r="AD366" s="249" t="str">
        <f>HYPERLINK("https://scontent.cdninstagram.com/t51.2885-15/s320x320/e35/20688401_1502076903164326_5374444464708255744_n.jpg")</f>
        <v>https://scontent.cdninstagram.com/t51.2885-15/s320x320/e35/20688401_1502076903164326_5374444464708255744_n.jpg</v>
      </c>
      <c r="AE366" s="249" t="str">
        <f>HYPERLINK("https://scontent.cdninstagram.com/t51.2885-19/s150x150/18160471_251093215298980_8909284149399912448_a.jpg")</f>
        <v>https://scontent.cdninstagram.com/t51.2885-19/s150x150/18160471_251093215298980_8909284149399912448_a.jpg</v>
      </c>
    </row>
    <row r="367" spans="1:31" ht="15" x14ac:dyDescent="0.25">
      <c r="A367" t="s">
        <v>2474</v>
      </c>
      <c r="B367" t="s">
        <v>3251</v>
      </c>
      <c r="C367" s="221">
        <v>42960.320115740738</v>
      </c>
      <c r="D367" t="s">
        <v>4842</v>
      </c>
      <c r="E367" s="249" t="str">
        <f>HYPERLINK("https://www.instagram.com/p/BXu48fAH26p/")</f>
        <v>https://www.instagram.com/p/BXu48fAH26p/</v>
      </c>
      <c r="F367" t="s">
        <v>4843</v>
      </c>
      <c r="G367" t="s">
        <v>2478</v>
      </c>
      <c r="H367">
        <v>295</v>
      </c>
      <c r="I367" t="s">
        <v>2639</v>
      </c>
      <c r="J367">
        <v>0</v>
      </c>
      <c r="K367">
        <v>17</v>
      </c>
      <c r="L367">
        <v>17</v>
      </c>
      <c r="Q367">
        <v>0</v>
      </c>
      <c r="R367">
        <v>0</v>
      </c>
      <c r="S367">
        <v>17</v>
      </c>
      <c r="Y367" t="s">
        <v>3254</v>
      </c>
      <c r="Z367" t="s">
        <v>4844</v>
      </c>
      <c r="AA367" t="s">
        <v>3256</v>
      </c>
      <c r="AB367" t="s">
        <v>4845</v>
      </c>
      <c r="AC367" t="s">
        <v>3257</v>
      </c>
      <c r="AD367" s="249" t="str">
        <f>HYPERLINK("https://scontent.cdninstagram.com/t51.2885-15/s320x320/e35/c0.96.1080.1080/20759298_490947007931175_784683214944862208_n.jpg")</f>
        <v>https://scontent.cdninstagram.com/t51.2885-15/s320x320/e35/c0.96.1080.1080/20759298_490947007931175_784683214944862208_n.jpg</v>
      </c>
      <c r="AE367" s="249" t="str">
        <f>HYPERLINK("https://scontent.cdninstagram.com/t51.2885-19/s150x150/20986614_891746094322067_1272495017625124864_a.jpg")</f>
        <v>https://scontent.cdninstagram.com/t51.2885-19/s150x150/20986614_891746094322067_1272495017625124864_a.jpg</v>
      </c>
    </row>
    <row r="368" spans="1:31" ht="15" x14ac:dyDescent="0.25">
      <c r="A368" t="s">
        <v>2474</v>
      </c>
      <c r="B368" t="s">
        <v>4846</v>
      </c>
      <c r="C368" s="221">
        <v>42960.328530092593</v>
      </c>
      <c r="D368" t="s">
        <v>4847</v>
      </c>
      <c r="E368" s="249" t="str">
        <f>HYPERLINK("https://www.instagram.com/p/BXu6VL5FeIK/")</f>
        <v>https://www.instagram.com/p/BXu6VL5FeIK/</v>
      </c>
      <c r="F368" t="s">
        <v>4848</v>
      </c>
      <c r="G368" t="s">
        <v>2478</v>
      </c>
      <c r="H368">
        <v>137</v>
      </c>
      <c r="I368" t="s">
        <v>2479</v>
      </c>
      <c r="J368">
        <v>1</v>
      </c>
      <c r="K368">
        <v>15</v>
      </c>
      <c r="L368">
        <v>16</v>
      </c>
      <c r="Q368">
        <v>0</v>
      </c>
      <c r="R368">
        <v>0</v>
      </c>
      <c r="S368">
        <v>16</v>
      </c>
      <c r="T368" t="s">
        <v>4849</v>
      </c>
      <c r="V368" t="s">
        <v>2222</v>
      </c>
      <c r="W368">
        <v>51.740840608302001</v>
      </c>
      <c r="X368">
        <v>5.3318414278377997</v>
      </c>
      <c r="Y368" t="s">
        <v>4850</v>
      </c>
      <c r="Z368" t="s">
        <v>4851</v>
      </c>
      <c r="AA368" t="s">
        <v>4852</v>
      </c>
      <c r="AB368" t="s">
        <v>3061</v>
      </c>
      <c r="AC368" t="s">
        <v>4853</v>
      </c>
      <c r="AD368" s="249" t="str">
        <f>HYPERLINK("https://scontent.cdninstagram.com/t51.2885-15/s320x320/e35/c157.0.405.405/20759407_308303602911514_6195455079978369024_n.jpg")</f>
        <v>https://scontent.cdninstagram.com/t51.2885-15/s320x320/e35/c157.0.405.405/20759407_308303602911514_6195455079978369024_n.jpg</v>
      </c>
      <c r="AE368" s="249" t="str">
        <f>HYPERLINK("https://scontent.cdninstagram.com/t51.2885-19/s150x150/19955180_1961852574094051_6655897942299246592_a.jpg")</f>
        <v>https://scontent.cdninstagram.com/t51.2885-19/s150x150/19955180_1961852574094051_6655897942299246592_a.jpg</v>
      </c>
    </row>
    <row r="369" spans="1:31" ht="15" x14ac:dyDescent="0.25">
      <c r="A369" t="s">
        <v>2474</v>
      </c>
      <c r="B369" t="s">
        <v>3454</v>
      </c>
      <c r="C369" s="221">
        <v>42960.330752314818</v>
      </c>
      <c r="D369" t="s">
        <v>4854</v>
      </c>
      <c r="E369" s="249" t="str">
        <f>HYPERLINK("https://www.instagram.com/p/BXu6so4h5N9/")</f>
        <v>https://www.instagram.com/p/BXu6so4h5N9/</v>
      </c>
      <c r="F369" t="s">
        <v>4855</v>
      </c>
      <c r="G369" t="s">
        <v>2478</v>
      </c>
      <c r="H369">
        <v>436</v>
      </c>
      <c r="I369" t="s">
        <v>2479</v>
      </c>
      <c r="J369">
        <v>3</v>
      </c>
      <c r="K369">
        <v>79</v>
      </c>
      <c r="L369">
        <v>82</v>
      </c>
      <c r="Q369">
        <v>0</v>
      </c>
      <c r="R369">
        <v>0</v>
      </c>
      <c r="S369">
        <v>82</v>
      </c>
      <c r="Y369" t="s">
        <v>4856</v>
      </c>
      <c r="Z369" t="s">
        <v>2497</v>
      </c>
      <c r="AA369" t="s">
        <v>4857</v>
      </c>
      <c r="AD369" s="249" t="str">
        <f>HYPERLINK("https://scontent.cdninstagram.com/t51.2885-15/s320x320/e35/c0.135.1080.1080/20838261_122260758416857_4023838878325538816_n.jpg")</f>
        <v>https://scontent.cdninstagram.com/t51.2885-15/s320x320/e35/c0.135.1080.1080/20838261_122260758416857_4023838878325538816_n.jpg</v>
      </c>
      <c r="AE369" s="249" t="str">
        <f>HYPERLINK("https://scontent.cdninstagram.com/t51.2885-19/s150x150/19984358_1180975985339706_4057684882770362368_a.jpg")</f>
        <v>https://scontent.cdninstagram.com/t51.2885-19/s150x150/19984358_1180975985339706_4057684882770362368_a.jpg</v>
      </c>
    </row>
    <row r="370" spans="1:31" ht="15" x14ac:dyDescent="0.25">
      <c r="A370" t="s">
        <v>2474</v>
      </c>
      <c r="B370" t="s">
        <v>4858</v>
      </c>
      <c r="C370" s="221">
        <v>42960.349664351852</v>
      </c>
      <c r="D370" t="s">
        <v>4859</v>
      </c>
      <c r="E370" s="249" t="str">
        <f>HYPERLINK("https://www.instagram.com/p/BXu90J2lV8c/")</f>
        <v>https://www.instagram.com/p/BXu90J2lV8c/</v>
      </c>
      <c r="F370" t="s">
        <v>4860</v>
      </c>
      <c r="G370" t="s">
        <v>2478</v>
      </c>
      <c r="H370">
        <v>98</v>
      </c>
      <c r="I370" t="s">
        <v>2479</v>
      </c>
      <c r="J370">
        <v>2</v>
      </c>
      <c r="K370">
        <v>27</v>
      </c>
      <c r="L370">
        <v>29</v>
      </c>
      <c r="Q370">
        <v>0</v>
      </c>
      <c r="R370">
        <v>0</v>
      </c>
      <c r="S370">
        <v>29</v>
      </c>
      <c r="T370" t="s">
        <v>4861</v>
      </c>
      <c r="V370" t="s">
        <v>2161</v>
      </c>
      <c r="W370">
        <v>52.357019999999999</v>
      </c>
      <c r="X370">
        <v>9.7294</v>
      </c>
      <c r="Y370" t="s">
        <v>4196</v>
      </c>
      <c r="Z370" t="s">
        <v>4862</v>
      </c>
      <c r="AA370" t="s">
        <v>2899</v>
      </c>
      <c r="AB370" t="s">
        <v>4863</v>
      </c>
      <c r="AC370" t="s">
        <v>4864</v>
      </c>
      <c r="AD370" s="249" t="str">
        <f>HYPERLINK("https://scontent.cdninstagram.com/t51.2885-15/s320x320/e35/20837377_382083922207827_2759470918076989440_n.jpg")</f>
        <v>https://scontent.cdninstagram.com/t51.2885-15/s320x320/e35/20837377_382083922207827_2759470918076989440_n.jpg</v>
      </c>
      <c r="AE370" s="249" t="str">
        <f>HYPERLINK("https://scontent.cdninstagram.com/t51.2885-19/s150x150/19955800_1220567808088774_9002280099847864320_a.jpg")</f>
        <v>https://scontent.cdninstagram.com/t51.2885-19/s150x150/19955800_1220567808088774_9002280099847864320_a.jpg</v>
      </c>
    </row>
    <row r="371" spans="1:31" ht="15" x14ac:dyDescent="0.25">
      <c r="A371" t="s">
        <v>2474</v>
      </c>
      <c r="B371" t="s">
        <v>4865</v>
      </c>
      <c r="C371" s="221">
        <v>42960.35324074074</v>
      </c>
      <c r="D371" t="s">
        <v>4866</v>
      </c>
      <c r="E371" s="249" t="str">
        <f>HYPERLINK("https://www.instagram.com/p/BXu-ZymhCR2/")</f>
        <v>https://www.instagram.com/p/BXu-ZymhCR2/</v>
      </c>
      <c r="F371" t="s">
        <v>4867</v>
      </c>
      <c r="G371" t="s">
        <v>2478</v>
      </c>
      <c r="H371">
        <v>1239</v>
      </c>
      <c r="I371" t="s">
        <v>2479</v>
      </c>
      <c r="J371">
        <v>6</v>
      </c>
      <c r="K371">
        <v>71</v>
      </c>
      <c r="L371">
        <v>77</v>
      </c>
      <c r="Q371">
        <v>0</v>
      </c>
      <c r="R371">
        <v>0</v>
      </c>
      <c r="S371">
        <v>77</v>
      </c>
      <c r="Y371" t="s">
        <v>2750</v>
      </c>
      <c r="Z371" t="s">
        <v>4868</v>
      </c>
      <c r="AA371" t="s">
        <v>4869</v>
      </c>
      <c r="AB371" t="s">
        <v>4870</v>
      </c>
      <c r="AC371" t="s">
        <v>4871</v>
      </c>
      <c r="AD371" s="249" t="str">
        <f>HYPERLINK("https://scontent.cdninstagram.com/t51.2885-15/s320x320/e35/20759521_479525939079289_8749154797803798528_n.jpg")</f>
        <v>https://scontent.cdninstagram.com/t51.2885-15/s320x320/e35/20759521_479525939079289_8749154797803798528_n.jpg</v>
      </c>
      <c r="AE371" s="249" t="str">
        <f>HYPERLINK("https://scontent.cdninstagram.com/t51.2885-19/11142986_444228699078371_690591591_a.jpg")</f>
        <v>https://scontent.cdninstagram.com/t51.2885-19/11142986_444228699078371_690591591_a.jpg</v>
      </c>
    </row>
    <row r="372" spans="1:31" ht="15" x14ac:dyDescent="0.25">
      <c r="A372" t="s">
        <v>2474</v>
      </c>
      <c r="B372" t="s">
        <v>4872</v>
      </c>
      <c r="C372" s="221">
        <v>42960.353541666664</v>
      </c>
      <c r="D372" t="s">
        <v>4873</v>
      </c>
      <c r="E372" s="249" t="str">
        <f>HYPERLINK("https://www.instagram.com/p/BXu-dChg89X/")</f>
        <v>https://www.instagram.com/p/BXu-dChg89X/</v>
      </c>
      <c r="F372" t="s">
        <v>4874</v>
      </c>
      <c r="G372" t="s">
        <v>2478</v>
      </c>
      <c r="H372">
        <v>205</v>
      </c>
      <c r="I372" t="s">
        <v>2896</v>
      </c>
      <c r="J372">
        <v>5</v>
      </c>
      <c r="K372">
        <v>43</v>
      </c>
      <c r="L372">
        <v>48</v>
      </c>
      <c r="Q372">
        <v>0</v>
      </c>
      <c r="R372">
        <v>0</v>
      </c>
      <c r="S372">
        <v>48</v>
      </c>
      <c r="T372" t="s">
        <v>4875</v>
      </c>
      <c r="V372" t="s">
        <v>2264</v>
      </c>
      <c r="W372">
        <v>43.301110999999999</v>
      </c>
      <c r="X372">
        <v>-2.9105560000000001</v>
      </c>
      <c r="Y372" t="s">
        <v>4876</v>
      </c>
      <c r="Z372" t="s">
        <v>4877</v>
      </c>
      <c r="AA372" t="s">
        <v>4878</v>
      </c>
      <c r="AB372" t="s">
        <v>2497</v>
      </c>
      <c r="AC372" t="s">
        <v>4879</v>
      </c>
      <c r="AD372" s="249" t="str">
        <f>HYPERLINK("https://scontent.cdninstagram.com/t51.2885-15/s320x320/e35/20837811_469759220047081_5647907124093648896_n.jpg")</f>
        <v>https://scontent.cdninstagram.com/t51.2885-15/s320x320/e35/20837811_469759220047081_5647907124093648896_n.jpg</v>
      </c>
      <c r="AE372" s="249" t="str">
        <f>HYPERLINK("https://scontent.cdninstagram.com/t51.2885-19/s150x150/14515831_366882887043556_495166367238979584_a.jpg")</f>
        <v>https://scontent.cdninstagram.com/t51.2885-19/s150x150/14515831_366882887043556_495166367238979584_a.jpg</v>
      </c>
    </row>
    <row r="373" spans="1:31" ht="15" x14ac:dyDescent="0.25">
      <c r="A373" t="s">
        <v>2474</v>
      </c>
      <c r="B373" t="s">
        <v>3754</v>
      </c>
      <c r="C373" s="221">
        <v>42960.364791666667</v>
      </c>
      <c r="D373" t="s">
        <v>4880</v>
      </c>
      <c r="E373" s="249" t="str">
        <f>HYPERLINK("https://www.instagram.com/p/BXvATmwD-Bh/")</f>
        <v>https://www.instagram.com/p/BXvATmwD-Bh/</v>
      </c>
      <c r="F373" t="s">
        <v>3756</v>
      </c>
      <c r="G373" t="s">
        <v>2478</v>
      </c>
      <c r="H373">
        <v>201936</v>
      </c>
      <c r="I373" t="s">
        <v>2479</v>
      </c>
      <c r="J373">
        <v>1</v>
      </c>
      <c r="K373">
        <v>292</v>
      </c>
      <c r="L373">
        <v>293</v>
      </c>
      <c r="Q373">
        <v>0</v>
      </c>
      <c r="R373">
        <v>0</v>
      </c>
      <c r="S373">
        <v>293</v>
      </c>
      <c r="Y373" t="s">
        <v>4801</v>
      </c>
      <c r="Z373" t="s">
        <v>4802</v>
      </c>
      <c r="AA373" t="s">
        <v>3764</v>
      </c>
      <c r="AB373" t="s">
        <v>4803</v>
      </c>
      <c r="AC373" t="s">
        <v>3758</v>
      </c>
      <c r="AD373" s="249" t="str">
        <f>HYPERLINK("https://scontent.cdninstagram.com/t51.2885-15/s320x320/e35/c0.135.1080.1080/20766271_260521461126927_7213855601829347328_n.jpg")</f>
        <v>https://scontent.cdninstagram.com/t51.2885-15/s320x320/e35/c0.135.1080.1080/20766271_260521461126927_7213855601829347328_n.jpg</v>
      </c>
      <c r="AE373" s="249" t="str">
        <f>HYPERLINK("https://scontent.cdninstagram.com/t51.2885-19/s150x150/12905002_1681254462136092_1137392787_a.jpg")</f>
        <v>https://scontent.cdninstagram.com/t51.2885-19/s150x150/12905002_1681254462136092_1137392787_a.jpg</v>
      </c>
    </row>
    <row r="374" spans="1:31" ht="15" x14ac:dyDescent="0.25">
      <c r="A374" t="s">
        <v>2474</v>
      </c>
      <c r="B374" t="s">
        <v>4881</v>
      </c>
      <c r="C374" s="221">
        <v>42960.374907407408</v>
      </c>
      <c r="D374" t="s">
        <v>4882</v>
      </c>
      <c r="E374" s="249" t="str">
        <f>HYPERLINK("https://www.instagram.com/p/BXvB-XdFSSC/")</f>
        <v>https://www.instagram.com/p/BXvB-XdFSSC/</v>
      </c>
      <c r="F374" t="s">
        <v>4883</v>
      </c>
      <c r="G374" t="s">
        <v>2478</v>
      </c>
      <c r="H374">
        <v>50561</v>
      </c>
      <c r="I374" t="s">
        <v>2479</v>
      </c>
      <c r="J374">
        <v>20</v>
      </c>
      <c r="K374">
        <v>1092</v>
      </c>
      <c r="L374">
        <v>1112</v>
      </c>
      <c r="Q374">
        <v>0</v>
      </c>
      <c r="R374">
        <v>0</v>
      </c>
      <c r="S374">
        <v>1112</v>
      </c>
      <c r="Y374" t="s">
        <v>4884</v>
      </c>
      <c r="Z374" t="s">
        <v>4885</v>
      </c>
      <c r="AA374" t="s">
        <v>4886</v>
      </c>
      <c r="AB374" t="s">
        <v>4887</v>
      </c>
      <c r="AC374" t="s">
        <v>4888</v>
      </c>
      <c r="AD374" s="249" t="str">
        <f>HYPERLINK("https://scontent.cdninstagram.com/t51.2885-15/s320x320/e35/c0.90.1080.1080/20688644_111102452897865_7505452970348118016_n.jpg")</f>
        <v>https://scontent.cdninstagram.com/t51.2885-15/s320x320/e35/c0.90.1080.1080/20688644_111102452897865_7505452970348118016_n.jpg</v>
      </c>
      <c r="AE374" s="249" t="str">
        <f>HYPERLINK("https://scontent.cdninstagram.com/t51.2885-19/s150x150/17333929_1765882303741559_4510635522535718912_n.jpg")</f>
        <v>https://scontent.cdninstagram.com/t51.2885-19/s150x150/17333929_1765882303741559_4510635522535718912_n.jpg</v>
      </c>
    </row>
    <row r="375" spans="1:31" ht="15" x14ac:dyDescent="0.25">
      <c r="A375" t="s">
        <v>2474</v>
      </c>
      <c r="B375" t="s">
        <v>4889</v>
      </c>
      <c r="C375" s="221">
        <v>42960.374907407408</v>
      </c>
      <c r="D375" t="s">
        <v>4890</v>
      </c>
      <c r="E375" s="249" t="str">
        <f>HYPERLINK("https://www.instagram.com/p/BXvB-Z2ge6w/")</f>
        <v>https://www.instagram.com/p/BXvB-Z2ge6w/</v>
      </c>
      <c r="F375" t="s">
        <v>4891</v>
      </c>
      <c r="G375" t="s">
        <v>2478</v>
      </c>
      <c r="H375">
        <v>60511</v>
      </c>
      <c r="I375" t="s">
        <v>2479</v>
      </c>
      <c r="J375">
        <v>32</v>
      </c>
      <c r="K375">
        <v>1259</v>
      </c>
      <c r="L375">
        <v>1291</v>
      </c>
      <c r="Q375">
        <v>0</v>
      </c>
      <c r="R375">
        <v>0</v>
      </c>
      <c r="S375">
        <v>1291</v>
      </c>
      <c r="Y375" t="s">
        <v>4884</v>
      </c>
      <c r="Z375" t="s">
        <v>4892</v>
      </c>
      <c r="AA375" t="s">
        <v>4893</v>
      </c>
      <c r="AB375" t="s">
        <v>4894</v>
      </c>
      <c r="AC375" t="s">
        <v>4895</v>
      </c>
      <c r="AD375" s="249" t="str">
        <f>HYPERLINK("https://scontent.cdninstagram.com/t51.2885-15/s320x320/e35/c0.135.1080.1080/20688521_831786410321618_5836761852620570624_n.jpg")</f>
        <v>https://scontent.cdninstagram.com/t51.2885-15/s320x320/e35/c0.135.1080.1080/20688521_831786410321618_5836761852620570624_n.jpg</v>
      </c>
      <c r="AE375" s="249" t="str">
        <f>HYPERLINK("https://scontent.cdninstagram.com/t51.2885-19/s150x150/18161358_1440804125941868_3504733114997932032_a.jpg")</f>
        <v>https://scontent.cdninstagram.com/t51.2885-19/s150x150/18161358_1440804125941868_3504733114997932032_a.jpg</v>
      </c>
    </row>
    <row r="376" spans="1:31" ht="15" x14ac:dyDescent="0.25">
      <c r="A376" t="s">
        <v>2474</v>
      </c>
      <c r="B376" t="s">
        <v>3754</v>
      </c>
      <c r="C376" s="221">
        <v>42960.375138888892</v>
      </c>
      <c r="D376" t="s">
        <v>4896</v>
      </c>
      <c r="E376" s="249" t="str">
        <f>HYPERLINK("https://www.instagram.com/p/BXvCAyvD0PP/")</f>
        <v>https://www.instagram.com/p/BXvCAyvD0PP/</v>
      </c>
      <c r="F376" t="s">
        <v>3756</v>
      </c>
      <c r="G376" t="s">
        <v>2478</v>
      </c>
      <c r="H376">
        <v>201931</v>
      </c>
      <c r="I376" t="s">
        <v>2479</v>
      </c>
      <c r="J376">
        <v>0</v>
      </c>
      <c r="K376">
        <v>131</v>
      </c>
      <c r="L376">
        <v>131</v>
      </c>
      <c r="Q376">
        <v>0</v>
      </c>
      <c r="R376">
        <v>0</v>
      </c>
      <c r="S376">
        <v>131</v>
      </c>
      <c r="Y376" t="s">
        <v>4801</v>
      </c>
      <c r="Z376" t="s">
        <v>4802</v>
      </c>
      <c r="AA376" t="s">
        <v>3764</v>
      </c>
      <c r="AB376" t="s">
        <v>4803</v>
      </c>
      <c r="AC376" t="s">
        <v>3758</v>
      </c>
      <c r="AD376" s="249" t="str">
        <f>HYPERLINK("https://scontent.cdninstagram.com/t51.2885-15/s320x320/e35/20759290_1705953066378570_4141503819546624_n.jpg")</f>
        <v>https://scontent.cdninstagram.com/t51.2885-15/s320x320/e35/20759290_1705953066378570_4141503819546624_n.jpg</v>
      </c>
      <c r="AE376" s="249" t="str">
        <f>HYPERLINK("https://scontent.cdninstagram.com/t51.2885-19/s150x150/12905002_1681254462136092_1137392787_a.jpg")</f>
        <v>https://scontent.cdninstagram.com/t51.2885-19/s150x150/12905002_1681254462136092_1137392787_a.jpg</v>
      </c>
    </row>
    <row r="377" spans="1:31" ht="15" x14ac:dyDescent="0.25">
      <c r="A377" t="s">
        <v>2474</v>
      </c>
      <c r="B377" t="s">
        <v>2588</v>
      </c>
      <c r="C377" s="221">
        <v>42960.378032407411</v>
      </c>
      <c r="D377" t="s">
        <v>4897</v>
      </c>
      <c r="E377" s="249" t="str">
        <f>HYPERLINK("https://www.instagram.com/p/BXvCfXGh2rW/")</f>
        <v>https://www.instagram.com/p/BXvCfXGh2rW/</v>
      </c>
      <c r="F377" t="s">
        <v>4898</v>
      </c>
      <c r="G377" t="s">
        <v>2478</v>
      </c>
      <c r="H377">
        <v>252</v>
      </c>
      <c r="I377" t="s">
        <v>2479</v>
      </c>
      <c r="J377">
        <v>13</v>
      </c>
      <c r="K377">
        <v>150</v>
      </c>
      <c r="L377">
        <v>163</v>
      </c>
      <c r="Q377">
        <v>0</v>
      </c>
      <c r="R377">
        <v>0</v>
      </c>
      <c r="S377">
        <v>163</v>
      </c>
      <c r="AD377" s="249" t="str">
        <f>HYPERLINK("https://scontent.cdninstagram.com/t51.2885-15/s320x320/e35/20759137_1364502803605576_434263348729610240_n.jpg")</f>
        <v>https://scontent.cdninstagram.com/t51.2885-15/s320x320/e35/20759137_1364502803605576_434263348729610240_n.jpg</v>
      </c>
      <c r="AE377" s="249" t="str">
        <f>HYPERLINK("https://scontent.cdninstagram.com/t51.2885-19/s150x150/20633561_108840983138666_5897549723056734208_a.jpg")</f>
        <v>https://scontent.cdninstagram.com/t51.2885-19/s150x150/20633561_108840983138666_5897549723056734208_a.jpg</v>
      </c>
    </row>
    <row r="378" spans="1:31" ht="15" x14ac:dyDescent="0.25">
      <c r="A378" t="s">
        <v>2474</v>
      </c>
      <c r="B378" t="s">
        <v>4899</v>
      </c>
      <c r="C378" s="221">
        <v>42960.392164351855</v>
      </c>
      <c r="D378" t="s">
        <v>4900</v>
      </c>
      <c r="E378" s="249" t="str">
        <f>HYPERLINK("https://www.instagram.com/p/BXvE0auh9re/")</f>
        <v>https://www.instagram.com/p/BXvE0auh9re/</v>
      </c>
      <c r="F378" t="s">
        <v>4901</v>
      </c>
      <c r="G378" t="s">
        <v>2631</v>
      </c>
      <c r="H378">
        <v>270</v>
      </c>
      <c r="I378" t="s">
        <v>2479</v>
      </c>
      <c r="J378">
        <v>2</v>
      </c>
      <c r="K378">
        <v>9</v>
      </c>
      <c r="L378">
        <v>11</v>
      </c>
      <c r="Q378">
        <v>0</v>
      </c>
      <c r="R378">
        <v>0</v>
      </c>
      <c r="S378">
        <v>11</v>
      </c>
      <c r="Y378" t="s">
        <v>2734</v>
      </c>
      <c r="Z378" t="s">
        <v>2497</v>
      </c>
      <c r="AA378" t="s">
        <v>4902</v>
      </c>
      <c r="AB378" t="s">
        <v>3445</v>
      </c>
      <c r="AD378" s="249" t="str">
        <f>HYPERLINK("https://scontent.cdninstagram.com/t51.2885-15/s320x320/e15/20766891_485932395099329_2059857574903152640_n.jpg")</f>
        <v>https://scontent.cdninstagram.com/t51.2885-15/s320x320/e15/20766891_485932395099329_2059857574903152640_n.jpg</v>
      </c>
      <c r="AE378" s="249" t="str">
        <f>HYPERLINK("https://scontent.cdninstagram.com/t51.2885-19/s150x150/15306101_295796714148880_4871942971932540928_a.jpg")</f>
        <v>https://scontent.cdninstagram.com/t51.2885-19/s150x150/15306101_295796714148880_4871942971932540928_a.jpg</v>
      </c>
    </row>
    <row r="379" spans="1:31" ht="15" x14ac:dyDescent="0.25">
      <c r="A379" t="s">
        <v>2474</v>
      </c>
      <c r="B379" t="s">
        <v>4903</v>
      </c>
      <c r="C379" s="221">
        <v>42960.401458333334</v>
      </c>
      <c r="D379" t="s">
        <v>4904</v>
      </c>
      <c r="E379" s="249" t="str">
        <f>HYPERLINK("https://www.instagram.com/p/BXvGWVigYx6/")</f>
        <v>https://www.instagram.com/p/BXvGWVigYx6/</v>
      </c>
      <c r="F379" t="s">
        <v>4905</v>
      </c>
      <c r="G379" t="s">
        <v>2478</v>
      </c>
      <c r="H379">
        <v>785</v>
      </c>
      <c r="I379" t="s">
        <v>2542</v>
      </c>
      <c r="J379">
        <v>1</v>
      </c>
      <c r="K379">
        <v>85</v>
      </c>
      <c r="L379">
        <v>86</v>
      </c>
      <c r="Q379">
        <v>0</v>
      </c>
      <c r="R379">
        <v>0</v>
      </c>
      <c r="S379">
        <v>86</v>
      </c>
      <c r="T379" t="s">
        <v>4906</v>
      </c>
      <c r="V379" t="s">
        <v>2110</v>
      </c>
      <c r="W379">
        <v>51.05</v>
      </c>
      <c r="X379">
        <v>3.7332999999999998</v>
      </c>
      <c r="Y379" t="s">
        <v>4907</v>
      </c>
      <c r="Z379" t="s">
        <v>4908</v>
      </c>
      <c r="AA379" t="s">
        <v>4909</v>
      </c>
      <c r="AB379" t="s">
        <v>4910</v>
      </c>
      <c r="AC379" t="s">
        <v>4911</v>
      </c>
      <c r="AD379" s="249" t="str">
        <f>HYPERLINK("https://scontent.cdninstagram.com/t51.2885-15/s320x320/e35/20759601_112764452722876_2888501897541451776_n.jpg")</f>
        <v>https://scontent.cdninstagram.com/t51.2885-15/s320x320/e35/20759601_112764452722876_2888501897541451776_n.jpg</v>
      </c>
      <c r="AE379" s="249" t="str">
        <f>HYPERLINK("https://scontent.cdninstagram.com/t51.2885-19/s150x150/20225483_291236574674486_7449377293215989760_a.jpg")</f>
        <v>https://scontent.cdninstagram.com/t51.2885-19/s150x150/20225483_291236574674486_7449377293215989760_a.jpg</v>
      </c>
    </row>
    <row r="380" spans="1:31" ht="15" x14ac:dyDescent="0.25">
      <c r="A380" t="s">
        <v>2474</v>
      </c>
      <c r="B380" t="s">
        <v>4912</v>
      </c>
      <c r="C380" s="221">
        <v>42960.404409722221</v>
      </c>
      <c r="D380" t="s">
        <v>4913</v>
      </c>
      <c r="E380" s="249" t="str">
        <f>HYPERLINK("https://www.instagram.com/p/BXvG1dOhTHH/")</f>
        <v>https://www.instagram.com/p/BXvG1dOhTHH/</v>
      </c>
      <c r="F380" t="s">
        <v>4914</v>
      </c>
      <c r="G380" t="s">
        <v>2478</v>
      </c>
      <c r="H380">
        <v>133</v>
      </c>
      <c r="I380" t="s">
        <v>2479</v>
      </c>
      <c r="J380">
        <v>0</v>
      </c>
      <c r="K380">
        <v>8</v>
      </c>
      <c r="L380">
        <v>8</v>
      </c>
      <c r="Q380">
        <v>0</v>
      </c>
      <c r="R380">
        <v>0</v>
      </c>
      <c r="S380">
        <v>8</v>
      </c>
      <c r="Y380" t="s">
        <v>4915</v>
      </c>
      <c r="Z380" t="s">
        <v>4916</v>
      </c>
      <c r="AA380" t="s">
        <v>2497</v>
      </c>
      <c r="AD380" s="249" t="str">
        <f>HYPERLINK("https://scontent.cdninstagram.com/t51.2885-15/s320x320/e35/20838248_1392546717531974_2077009934821621760_n.jpg")</f>
        <v>https://scontent.cdninstagram.com/t51.2885-15/s320x320/e35/20838248_1392546717531974_2077009934821621760_n.jpg</v>
      </c>
      <c r="AE380" s="249" t="str">
        <f>HYPERLINK("https://scontent.cdninstagram.com/t51.2885-19/11355208_458925037600587_364040275_a.jpg")</f>
        <v>https://scontent.cdninstagram.com/t51.2885-19/11355208_458925037600587_364040275_a.jpg</v>
      </c>
    </row>
    <row r="381" spans="1:31" ht="15" x14ac:dyDescent="0.25">
      <c r="A381" t="s">
        <v>2474</v>
      </c>
      <c r="B381" t="s">
        <v>3015</v>
      </c>
      <c r="C381" s="221">
        <v>42960.407627314817</v>
      </c>
      <c r="D381" t="s">
        <v>4917</v>
      </c>
      <c r="E381" s="249" t="str">
        <f>HYPERLINK("https://www.instagram.com/p/BXvHXeXAL8z/")</f>
        <v>https://www.instagram.com/p/BXvHXeXAL8z/</v>
      </c>
      <c r="F381" t="s">
        <v>4918</v>
      </c>
      <c r="G381" t="s">
        <v>2478</v>
      </c>
      <c r="H381">
        <v>175</v>
      </c>
      <c r="I381" t="s">
        <v>2479</v>
      </c>
      <c r="J381">
        <v>0</v>
      </c>
      <c r="K381">
        <v>18</v>
      </c>
      <c r="L381">
        <v>18</v>
      </c>
      <c r="Q381">
        <v>0</v>
      </c>
      <c r="R381">
        <v>0</v>
      </c>
      <c r="S381">
        <v>18</v>
      </c>
      <c r="Y381" t="s">
        <v>3571</v>
      </c>
      <c r="Z381" t="s">
        <v>4919</v>
      </c>
      <c r="AA381" t="s">
        <v>4615</v>
      </c>
      <c r="AB381" t="s">
        <v>3493</v>
      </c>
      <c r="AC381" t="s">
        <v>3018</v>
      </c>
      <c r="AD381" s="249" t="str">
        <f>HYPERLINK("https://scontent.cdninstagram.com/t51.2885-15/s320x320/e35/c0.63.540.540/20688410_530223290652221_4651583124986134528_n.jpg")</f>
        <v>https://scontent.cdninstagram.com/t51.2885-15/s320x320/e35/c0.63.540.540/20688410_530223290652221_4651583124986134528_n.jpg</v>
      </c>
      <c r="AE381" s="249" t="str">
        <f>HYPERLINK("https://scontent.cdninstagram.com/t51.2885-19/s150x150/19761452_1876060406050696_4275948751316582400_a.jpg")</f>
        <v>https://scontent.cdninstagram.com/t51.2885-19/s150x150/19761452_1876060406050696_4275948751316582400_a.jpg</v>
      </c>
    </row>
    <row r="382" spans="1:31" ht="15" x14ac:dyDescent="0.25">
      <c r="A382" t="s">
        <v>2474</v>
      </c>
      <c r="B382" t="s">
        <v>3846</v>
      </c>
      <c r="C382" s="221">
        <v>42960.409733796296</v>
      </c>
      <c r="D382" t="s">
        <v>4920</v>
      </c>
      <c r="E382" s="249" t="str">
        <f>HYPERLINK("https://www.instagram.com/p/BXvHttFAZB8/")</f>
        <v>https://www.instagram.com/p/BXvHttFAZB8/</v>
      </c>
      <c r="F382" t="s">
        <v>4921</v>
      </c>
      <c r="G382" t="s">
        <v>2478</v>
      </c>
      <c r="H382">
        <v>977</v>
      </c>
      <c r="I382" t="s">
        <v>2479</v>
      </c>
      <c r="J382">
        <v>3</v>
      </c>
      <c r="K382">
        <v>79</v>
      </c>
      <c r="L382">
        <v>82</v>
      </c>
      <c r="Q382">
        <v>0</v>
      </c>
      <c r="R382">
        <v>0</v>
      </c>
      <c r="S382">
        <v>82</v>
      </c>
      <c r="Y382" t="s">
        <v>3849</v>
      </c>
      <c r="Z382" t="s">
        <v>4922</v>
      </c>
      <c r="AA382" t="s">
        <v>4923</v>
      </c>
      <c r="AB382" t="s">
        <v>3850</v>
      </c>
      <c r="AC382" t="s">
        <v>4924</v>
      </c>
      <c r="AD382" s="249" t="str">
        <f>HYPERLINK("https://scontent.cdninstagram.com/t51.2885-15/s320x320/e35/20759934_110982629576988_3725422665108815872_n.jpg")</f>
        <v>https://scontent.cdninstagram.com/t51.2885-15/s320x320/e35/20759934_110982629576988_3725422665108815872_n.jpg</v>
      </c>
      <c r="AE382" s="249" t="str">
        <f>HYPERLINK("https://scontent.cdninstagram.com/t51.2885-19/11313229_1459878014310621_82799200_a.jpg")</f>
        <v>https://scontent.cdninstagram.com/t51.2885-19/11313229_1459878014310621_82799200_a.jpg</v>
      </c>
    </row>
    <row r="383" spans="1:31" ht="15" x14ac:dyDescent="0.25">
      <c r="A383" t="s">
        <v>2474</v>
      </c>
      <c r="B383" t="s">
        <v>4925</v>
      </c>
      <c r="C383" s="221">
        <v>42960.415243055555</v>
      </c>
      <c r="D383" t="s">
        <v>4926</v>
      </c>
      <c r="E383" s="249" t="str">
        <f>HYPERLINK("https://www.instagram.com/p/BXvInwSnWg0/")</f>
        <v>https://www.instagram.com/p/BXvInwSnWg0/</v>
      </c>
      <c r="F383" t="s">
        <v>4927</v>
      </c>
      <c r="G383" t="s">
        <v>2478</v>
      </c>
      <c r="I383" t="s">
        <v>2479</v>
      </c>
      <c r="J383">
        <v>0</v>
      </c>
      <c r="K383">
        <v>15</v>
      </c>
      <c r="L383">
        <v>15</v>
      </c>
      <c r="Q383">
        <v>0</v>
      </c>
      <c r="R383">
        <v>0</v>
      </c>
      <c r="S383">
        <v>15</v>
      </c>
      <c r="Y383" t="s">
        <v>4928</v>
      </c>
      <c r="Z383" t="s">
        <v>4929</v>
      </c>
      <c r="AA383" t="s">
        <v>4930</v>
      </c>
      <c r="AB383" t="s">
        <v>2497</v>
      </c>
      <c r="AC383" t="s">
        <v>4931</v>
      </c>
      <c r="AD383" s="249" t="str">
        <f>HYPERLINK("https://scontent.cdninstagram.com/t51.2885-15/s320x320/e35/20688436_501447213528373_7359688145463410688_n.jpg")</f>
        <v>https://scontent.cdninstagram.com/t51.2885-15/s320x320/e35/20688436_501447213528373_7359688145463410688_n.jpg</v>
      </c>
      <c r="AE383" s="249" t="str">
        <f>HYPERLINK("https://scontent.cdninstagram.com/t51.2885-19/s150x150/12798111_451945158263321_630184070_a.jpg")</f>
        <v>https://scontent.cdninstagram.com/t51.2885-19/s150x150/12798111_451945158263321_630184070_a.jpg</v>
      </c>
    </row>
    <row r="384" spans="1:31" ht="15" x14ac:dyDescent="0.25">
      <c r="A384" t="s">
        <v>2474</v>
      </c>
      <c r="B384" t="s">
        <v>4932</v>
      </c>
      <c r="C384" s="221">
        <v>42960.415543981479</v>
      </c>
      <c r="D384" t="s">
        <v>4933</v>
      </c>
      <c r="E384" s="249" t="str">
        <f>HYPERLINK("https://www.instagram.com/p/BXvIq-3DhMi/")</f>
        <v>https://www.instagram.com/p/BXvIq-3DhMi/</v>
      </c>
      <c r="F384" t="s">
        <v>4934</v>
      </c>
      <c r="G384" t="s">
        <v>2478</v>
      </c>
      <c r="H384">
        <v>199</v>
      </c>
      <c r="I384" t="s">
        <v>4935</v>
      </c>
      <c r="J384">
        <v>1</v>
      </c>
      <c r="K384">
        <v>37</v>
      </c>
      <c r="L384">
        <v>38</v>
      </c>
      <c r="Q384">
        <v>0</v>
      </c>
      <c r="R384">
        <v>0</v>
      </c>
      <c r="S384">
        <v>38</v>
      </c>
      <c r="T384" t="s">
        <v>4936</v>
      </c>
      <c r="V384" t="s">
        <v>2161</v>
      </c>
      <c r="W384">
        <v>48.894107570617003</v>
      </c>
      <c r="X384">
        <v>11.583000803260999</v>
      </c>
      <c r="Y384" t="s">
        <v>4937</v>
      </c>
      <c r="Z384" t="s">
        <v>4938</v>
      </c>
      <c r="AA384" t="s">
        <v>4218</v>
      </c>
      <c r="AB384" t="s">
        <v>4939</v>
      </c>
      <c r="AC384" t="s">
        <v>4940</v>
      </c>
      <c r="AD384" s="249" t="str">
        <f>HYPERLINK("https://scontent.cdninstagram.com/t51.2885-15/s320x320/e35/c123.0.833.833/20766416_285987731879548_5069858238913052672_n.jpg")</f>
        <v>https://scontent.cdninstagram.com/t51.2885-15/s320x320/e35/c123.0.833.833/20766416_285987731879548_5069858238913052672_n.jpg</v>
      </c>
      <c r="AE384" s="249" t="str">
        <f>HYPERLINK("https://scontent.cdninstagram.com/t51.2885-19/s150x150/18380261_1803886189938861_3991979618377662464_a.jpg")</f>
        <v>https://scontent.cdninstagram.com/t51.2885-19/s150x150/18380261_1803886189938861_3991979618377662464_a.jpg</v>
      </c>
    </row>
    <row r="385" spans="1:31" ht="15" x14ac:dyDescent="0.25">
      <c r="A385" t="s">
        <v>2474</v>
      </c>
      <c r="B385" t="s">
        <v>4941</v>
      </c>
      <c r="C385" s="221">
        <v>42960.415949074071</v>
      </c>
      <c r="D385" t="s">
        <v>4942</v>
      </c>
      <c r="E385" s="249" t="str">
        <f>HYPERLINK("https://www.instagram.com/p/BXvIvL_Byq3/")</f>
        <v>https://www.instagram.com/p/BXvIvL_Byq3/</v>
      </c>
      <c r="F385" t="s">
        <v>4943</v>
      </c>
      <c r="G385" t="s">
        <v>2478</v>
      </c>
      <c r="H385">
        <v>40973</v>
      </c>
      <c r="I385" t="s">
        <v>2479</v>
      </c>
      <c r="J385">
        <v>19</v>
      </c>
      <c r="K385">
        <v>640</v>
      </c>
      <c r="L385">
        <v>659</v>
      </c>
      <c r="Q385">
        <v>0</v>
      </c>
      <c r="R385">
        <v>0</v>
      </c>
      <c r="S385">
        <v>659</v>
      </c>
      <c r="Y385" t="s">
        <v>4944</v>
      </c>
      <c r="Z385" t="s">
        <v>4945</v>
      </c>
      <c r="AA385" t="s">
        <v>4946</v>
      </c>
      <c r="AB385" t="s">
        <v>4947</v>
      </c>
      <c r="AC385" t="s">
        <v>4948</v>
      </c>
      <c r="AD385" s="249" t="str">
        <f>HYPERLINK("https://scontent.cdninstagram.com/t51.2885-15/s320x320/e35/c0.135.1080.1080/20759828_832920643541354_2712420105400090624_n.jpg")</f>
        <v>https://scontent.cdninstagram.com/t51.2885-15/s320x320/e35/c0.135.1080.1080/20759828_832920643541354_2712420105400090624_n.jpg</v>
      </c>
      <c r="AE385" s="249" t="str">
        <f>HYPERLINK("https://scontent.cdninstagram.com/t51.2885-19/14624229_1857850484502104_5357040355281731584_a.jpg")</f>
        <v>https://scontent.cdninstagram.com/t51.2885-19/14624229_1857850484502104_5357040355281731584_a.jpg</v>
      </c>
    </row>
    <row r="386" spans="1:31" ht="15" x14ac:dyDescent="0.25">
      <c r="A386" t="s">
        <v>2474</v>
      </c>
      <c r="B386" t="s">
        <v>3993</v>
      </c>
      <c r="C386" s="221">
        <v>42960.420277777775</v>
      </c>
      <c r="D386" t="s">
        <v>4949</v>
      </c>
      <c r="E386" s="249" t="str">
        <f>HYPERLINK("https://www.instagram.com/p/BXvJc0TASRJ/")</f>
        <v>https://www.instagram.com/p/BXvJc0TASRJ/</v>
      </c>
      <c r="F386" t="s">
        <v>4950</v>
      </c>
      <c r="G386" t="s">
        <v>2478</v>
      </c>
      <c r="H386">
        <v>5010</v>
      </c>
      <c r="I386" t="s">
        <v>2479</v>
      </c>
      <c r="J386">
        <v>9</v>
      </c>
      <c r="K386">
        <v>49</v>
      </c>
      <c r="L386">
        <v>58</v>
      </c>
      <c r="Q386">
        <v>0</v>
      </c>
      <c r="R386">
        <v>0</v>
      </c>
      <c r="S386">
        <v>58</v>
      </c>
      <c r="Y386" t="s">
        <v>3996</v>
      </c>
      <c r="Z386" t="s">
        <v>2837</v>
      </c>
      <c r="AA386" t="s">
        <v>3997</v>
      </c>
      <c r="AB386" t="s">
        <v>3998</v>
      </c>
      <c r="AC386" t="s">
        <v>4000</v>
      </c>
      <c r="AD386" s="249" t="str">
        <f>HYPERLINK("https://scontent.cdninstagram.com/t51.2885-15/s320x320/e35/20838944_124757724824293_6952957886448271360_n.jpg")</f>
        <v>https://scontent.cdninstagram.com/t51.2885-15/s320x320/e35/20838944_124757724824293_6952957886448271360_n.jpg</v>
      </c>
      <c r="AE386" s="249" t="str">
        <f>HYPERLINK("https://scontent.cdninstagram.com/t51.2885-19/s150x150/20590168_732024603636467_1659654334738071552_a.jpg")</f>
        <v>https://scontent.cdninstagram.com/t51.2885-19/s150x150/20590168_732024603636467_1659654334738071552_a.jpg</v>
      </c>
    </row>
    <row r="387" spans="1:31" ht="15" x14ac:dyDescent="0.25">
      <c r="A387" t="s">
        <v>2474</v>
      </c>
      <c r="B387" t="s">
        <v>4951</v>
      </c>
      <c r="C387" s="221">
        <v>42960.423032407409</v>
      </c>
      <c r="D387" t="s">
        <v>4952</v>
      </c>
      <c r="E387" s="249" t="str">
        <f>HYPERLINK("https://www.instagram.com/p/BXvJ571hzC5/")</f>
        <v>https://www.instagram.com/p/BXvJ571hzC5/</v>
      </c>
      <c r="F387" t="s">
        <v>4953</v>
      </c>
      <c r="G387" t="s">
        <v>2478</v>
      </c>
      <c r="H387">
        <v>441</v>
      </c>
      <c r="I387" t="s">
        <v>2479</v>
      </c>
      <c r="J387">
        <v>0</v>
      </c>
      <c r="K387">
        <v>22</v>
      </c>
      <c r="L387">
        <v>22</v>
      </c>
      <c r="Q387">
        <v>0</v>
      </c>
      <c r="R387">
        <v>0</v>
      </c>
      <c r="S387">
        <v>22</v>
      </c>
      <c r="T387" t="s">
        <v>4954</v>
      </c>
      <c r="U387" t="s">
        <v>194</v>
      </c>
      <c r="V387" t="s">
        <v>2299</v>
      </c>
      <c r="W387">
        <v>35.338799999999999</v>
      </c>
      <c r="X387">
        <v>-97.4876</v>
      </c>
      <c r="Y387" t="s">
        <v>4955</v>
      </c>
      <c r="Z387" t="s">
        <v>4956</v>
      </c>
      <c r="AA387" t="s">
        <v>4957</v>
      </c>
      <c r="AB387" t="s">
        <v>4958</v>
      </c>
      <c r="AC387" t="s">
        <v>2497</v>
      </c>
      <c r="AD387" s="249" t="str">
        <f>HYPERLINK("https://scontent.cdninstagram.com/t51.2885-15/s320x320/e35/20759304_1997869643781244_6967050567499644928_n.jpg")</f>
        <v>https://scontent.cdninstagram.com/t51.2885-15/s320x320/e35/20759304_1997869643781244_6967050567499644928_n.jpg</v>
      </c>
      <c r="AE387" s="249" t="str">
        <f>HYPERLINK("https://scontent.cdninstagram.com/t51.2885-19/s150x150/13298004_1707703606144912_1272877055_a.jpg")</f>
        <v>https://scontent.cdninstagram.com/t51.2885-19/s150x150/13298004_1707703606144912_1272877055_a.jpg</v>
      </c>
    </row>
    <row r="388" spans="1:31" ht="15" x14ac:dyDescent="0.25">
      <c r="A388" t="s">
        <v>2474</v>
      </c>
      <c r="B388" t="s">
        <v>3846</v>
      </c>
      <c r="C388" s="221">
        <v>42960.423877314817</v>
      </c>
      <c r="D388" t="s">
        <v>4959</v>
      </c>
      <c r="E388" s="249" t="str">
        <f>HYPERLINK("https://www.instagram.com/p/BXvKC3EgoTa/")</f>
        <v>https://www.instagram.com/p/BXvKC3EgoTa/</v>
      </c>
      <c r="F388" t="s">
        <v>4960</v>
      </c>
      <c r="G388" t="s">
        <v>2478</v>
      </c>
      <c r="H388">
        <v>977</v>
      </c>
      <c r="I388" t="s">
        <v>2479</v>
      </c>
      <c r="J388">
        <v>0</v>
      </c>
      <c r="K388">
        <v>41</v>
      </c>
      <c r="L388">
        <v>41</v>
      </c>
      <c r="Q388">
        <v>0</v>
      </c>
      <c r="R388">
        <v>0</v>
      </c>
      <c r="S388">
        <v>41</v>
      </c>
      <c r="Y388" t="s">
        <v>3849</v>
      </c>
      <c r="Z388" t="s">
        <v>4922</v>
      </c>
      <c r="AA388" t="s">
        <v>4923</v>
      </c>
      <c r="AB388" t="s">
        <v>3850</v>
      </c>
      <c r="AC388" t="s">
        <v>4924</v>
      </c>
      <c r="AD388" s="249" t="str">
        <f>HYPERLINK("https://scontent.cdninstagram.com/t51.2885-15/s320x320/e35/c135.0.810.810/20838192_147336209184084_4181744802661924864_n.jpg")</f>
        <v>https://scontent.cdninstagram.com/t51.2885-15/s320x320/e35/c135.0.810.810/20838192_147336209184084_4181744802661924864_n.jpg</v>
      </c>
      <c r="AE388" s="249" t="str">
        <f>HYPERLINK("https://scontent.cdninstagram.com/t51.2885-19/11313229_1459878014310621_82799200_a.jpg")</f>
        <v>https://scontent.cdninstagram.com/t51.2885-19/11313229_1459878014310621_82799200_a.jpg</v>
      </c>
    </row>
    <row r="389" spans="1:31" ht="15" x14ac:dyDescent="0.25">
      <c r="A389" t="s">
        <v>2474</v>
      </c>
      <c r="B389" t="s">
        <v>4049</v>
      </c>
      <c r="C389" s="221">
        <v>42960.428564814814</v>
      </c>
      <c r="D389" t="s">
        <v>4961</v>
      </c>
      <c r="E389" s="249" t="str">
        <f>HYPERLINK("https://www.instagram.com/p/BXvK0UygSk5/")</f>
        <v>https://www.instagram.com/p/BXvK0UygSk5/</v>
      </c>
      <c r="F389" t="s">
        <v>4962</v>
      </c>
      <c r="G389" t="s">
        <v>2478</v>
      </c>
      <c r="H389">
        <v>189</v>
      </c>
      <c r="I389" t="s">
        <v>4963</v>
      </c>
      <c r="J389">
        <v>1</v>
      </c>
      <c r="K389">
        <v>15</v>
      </c>
      <c r="L389">
        <v>16</v>
      </c>
      <c r="Q389">
        <v>0</v>
      </c>
      <c r="R389">
        <v>0</v>
      </c>
      <c r="S389">
        <v>16</v>
      </c>
      <c r="T389" t="s">
        <v>4964</v>
      </c>
      <c r="V389" t="s">
        <v>2131</v>
      </c>
      <c r="W389">
        <v>31.228807244999999</v>
      </c>
      <c r="X389">
        <v>121.486874445</v>
      </c>
      <c r="Y389" t="s">
        <v>4965</v>
      </c>
      <c r="Z389" t="s">
        <v>4606</v>
      </c>
      <c r="AA389" t="s">
        <v>4603</v>
      </c>
      <c r="AB389" t="s">
        <v>4966</v>
      </c>
      <c r="AC389" t="s">
        <v>4967</v>
      </c>
      <c r="AD389" s="249" t="str">
        <f>HYPERLINK("https://scontent.cdninstagram.com/t51.2885-15/s320x320/e35/20766713_982635721878025_5904001116122644480_n.jpg")</f>
        <v>https://scontent.cdninstagram.com/t51.2885-15/s320x320/e35/20766713_982635721878025_5904001116122644480_n.jpg</v>
      </c>
      <c r="AE389" s="249" t="str">
        <f>HYPERLINK("https://scontent.cdninstagram.com/t51.2885-19/s150x150/15876106_1713480255629766_835358159680831488_n.jpg")</f>
        <v>https://scontent.cdninstagram.com/t51.2885-19/s150x150/15876106_1713480255629766_835358159680831488_n.jpg</v>
      </c>
    </row>
    <row r="390" spans="1:31" ht="15" x14ac:dyDescent="0.25">
      <c r="A390" t="s">
        <v>2474</v>
      </c>
      <c r="B390" t="s">
        <v>4968</v>
      </c>
      <c r="C390" s="221">
        <v>42960.428599537037</v>
      </c>
      <c r="D390" t="s">
        <v>4969</v>
      </c>
      <c r="E390" s="249" t="str">
        <f>HYPERLINK("https://www.instagram.com/p/BXvK0sfBPNQ/")</f>
        <v>https://www.instagram.com/p/BXvK0sfBPNQ/</v>
      </c>
      <c r="F390" t="s">
        <v>4970</v>
      </c>
      <c r="G390" t="s">
        <v>2478</v>
      </c>
      <c r="H390">
        <v>16</v>
      </c>
      <c r="I390" t="s">
        <v>2479</v>
      </c>
      <c r="J390">
        <v>0</v>
      </c>
      <c r="K390">
        <v>10</v>
      </c>
      <c r="L390">
        <v>10</v>
      </c>
      <c r="Q390">
        <v>0</v>
      </c>
      <c r="R390">
        <v>0</v>
      </c>
      <c r="S390">
        <v>10</v>
      </c>
      <c r="Y390" t="s">
        <v>4971</v>
      </c>
      <c r="Z390" t="s">
        <v>4972</v>
      </c>
      <c r="AA390" t="s">
        <v>4973</v>
      </c>
      <c r="AB390" t="s">
        <v>4974</v>
      </c>
      <c r="AC390" t="s">
        <v>4975</v>
      </c>
      <c r="AD390" s="249" t="str">
        <f>HYPERLINK("https://scontent.cdninstagram.com/t51.2885-15/s320x320/e35/c178.0.724.724/20759551_1783742514988842_412860160894042112_n.jpg")</f>
        <v>https://scontent.cdninstagram.com/t51.2885-15/s320x320/e35/c178.0.724.724/20759551_1783742514988842_412860160894042112_n.jpg</v>
      </c>
      <c r="AE390" s="249" t="str">
        <f>HYPERLINK("https://scontent.cdninstagram.com/t51.2885-19/s150x150/20687026_260352377796861_2021476578914992128_a.jpg")</f>
        <v>https://scontent.cdninstagram.com/t51.2885-19/s150x150/20687026_260352377796861_2021476578914992128_a.jpg</v>
      </c>
    </row>
    <row r="391" spans="1:31" ht="15" x14ac:dyDescent="0.25">
      <c r="A391" t="s">
        <v>2474</v>
      </c>
      <c r="B391" t="s">
        <v>4976</v>
      </c>
      <c r="C391" s="221">
        <v>42960.43482638889</v>
      </c>
      <c r="D391" t="s">
        <v>4977</v>
      </c>
      <c r="E391" s="249" t="str">
        <f>HYPERLINK("https://www.instagram.com/p/BXvL2UMDkUS/")</f>
        <v>https://www.instagram.com/p/BXvL2UMDkUS/</v>
      </c>
      <c r="F391" t="s">
        <v>4978</v>
      </c>
      <c r="G391" t="s">
        <v>2478</v>
      </c>
      <c r="H391">
        <v>202</v>
      </c>
      <c r="I391" t="s">
        <v>3898</v>
      </c>
      <c r="J391">
        <v>0</v>
      </c>
      <c r="K391">
        <v>16</v>
      </c>
      <c r="L391">
        <v>16</v>
      </c>
      <c r="Q391">
        <v>0</v>
      </c>
      <c r="R391">
        <v>0</v>
      </c>
      <c r="S391">
        <v>16</v>
      </c>
      <c r="Y391" t="s">
        <v>4979</v>
      </c>
      <c r="Z391" t="s">
        <v>4980</v>
      </c>
      <c r="AA391" t="s">
        <v>4791</v>
      </c>
      <c r="AB391" t="s">
        <v>4981</v>
      </c>
      <c r="AC391" t="s">
        <v>2827</v>
      </c>
      <c r="AD391" s="249" t="str">
        <f>HYPERLINK("https://scontent.cdninstagram.com/t51.2885-15/s320x320/e35/20838531_164662394104347_991527521365262336_n.jpg")</f>
        <v>https://scontent.cdninstagram.com/t51.2885-15/s320x320/e35/20838531_164662394104347_991527521365262336_n.jpg</v>
      </c>
      <c r="AE391" s="249" t="str">
        <f>HYPERLINK("https://scontent.cdninstagram.com/t51.2885-19/s150x150/19120335_469112540091107_6139020949170683904_a.jpg")</f>
        <v>https://scontent.cdninstagram.com/t51.2885-19/s150x150/19120335_469112540091107_6139020949170683904_a.jpg</v>
      </c>
    </row>
    <row r="392" spans="1:31" ht="15" x14ac:dyDescent="0.25">
      <c r="A392" t="s">
        <v>2474</v>
      </c>
      <c r="B392" t="s">
        <v>4982</v>
      </c>
      <c r="C392" s="221">
        <v>42960.435196759259</v>
      </c>
      <c r="D392" t="s">
        <v>4983</v>
      </c>
      <c r="E392" s="249" t="str">
        <f>HYPERLINK("https://www.instagram.com/p/BXvL6KkjnKj/")</f>
        <v>https://www.instagram.com/p/BXvL6KkjnKj/</v>
      </c>
      <c r="F392" t="s">
        <v>4984</v>
      </c>
      <c r="G392" t="s">
        <v>2478</v>
      </c>
      <c r="H392">
        <v>200</v>
      </c>
      <c r="I392" t="s">
        <v>2479</v>
      </c>
      <c r="J392">
        <v>2</v>
      </c>
      <c r="K392">
        <v>59</v>
      </c>
      <c r="L392">
        <v>61</v>
      </c>
      <c r="Q392">
        <v>0</v>
      </c>
      <c r="R392">
        <v>0</v>
      </c>
      <c r="S392">
        <v>61</v>
      </c>
      <c r="T392" t="s">
        <v>4985</v>
      </c>
      <c r="U392" t="s">
        <v>2020</v>
      </c>
      <c r="V392" t="s">
        <v>2299</v>
      </c>
      <c r="W392">
        <v>40</v>
      </c>
      <c r="X392">
        <v>-100</v>
      </c>
      <c r="Y392" t="s">
        <v>4986</v>
      </c>
      <c r="Z392" t="s">
        <v>4987</v>
      </c>
      <c r="AA392" t="s">
        <v>4988</v>
      </c>
      <c r="AB392" t="s">
        <v>3937</v>
      </c>
      <c r="AC392" t="s">
        <v>4989</v>
      </c>
      <c r="AD392" s="249" t="str">
        <f>HYPERLINK("https://scontent.cdninstagram.com/t51.2885-15/s320x320/e35/c234.0.611.611/20766182_109168239796872_5247856557131038720_n.jpg")</f>
        <v>https://scontent.cdninstagram.com/t51.2885-15/s320x320/e35/c234.0.611.611/20766182_109168239796872_5247856557131038720_n.jpg</v>
      </c>
      <c r="AE392" s="249" t="str">
        <f>HYPERLINK("https://scontent.cdninstagram.com/t51.2885-19/s150x150/20837251_299121970554939_1401977110389587968_a.jpg")</f>
        <v>https://scontent.cdninstagram.com/t51.2885-19/s150x150/20837251_299121970554939_1401977110389587968_a.jpg</v>
      </c>
    </row>
    <row r="393" spans="1:31" ht="15" x14ac:dyDescent="0.25">
      <c r="A393" t="s">
        <v>2474</v>
      </c>
      <c r="B393" t="s">
        <v>4990</v>
      </c>
      <c r="C393" s="221">
        <v>42960.439699074072</v>
      </c>
      <c r="D393" t="s">
        <v>4991</v>
      </c>
      <c r="E393" s="249" t="str">
        <f>HYPERLINK("https://www.instagram.com/p/BXvMpqBFsAJ/")</f>
        <v>https://www.instagram.com/p/BXvMpqBFsAJ/</v>
      </c>
      <c r="F393" t="s">
        <v>4992</v>
      </c>
      <c r="G393" t="s">
        <v>2478</v>
      </c>
      <c r="H393">
        <v>297</v>
      </c>
      <c r="I393" t="s">
        <v>2582</v>
      </c>
      <c r="J393">
        <v>0</v>
      </c>
      <c r="K393">
        <v>38</v>
      </c>
      <c r="L393">
        <v>38</v>
      </c>
      <c r="Q393">
        <v>0</v>
      </c>
      <c r="R393">
        <v>0</v>
      </c>
      <c r="S393">
        <v>38</v>
      </c>
      <c r="Y393" t="s">
        <v>4993</v>
      </c>
      <c r="Z393" t="s">
        <v>4218</v>
      </c>
      <c r="AA393" t="s">
        <v>4994</v>
      </c>
      <c r="AB393" t="s">
        <v>4817</v>
      </c>
      <c r="AC393" t="s">
        <v>4995</v>
      </c>
      <c r="AD393" s="249" t="str">
        <f>HYPERLINK("https://scontent.cdninstagram.com/t51.2885-15/s320x320/e35/c237.0.605.605/20759505_111895319460732_8262864246769975296_n.jpg")</f>
        <v>https://scontent.cdninstagram.com/t51.2885-15/s320x320/e35/c237.0.605.605/20759505_111895319460732_8262864246769975296_n.jpg</v>
      </c>
      <c r="AE393" s="249" t="str">
        <f>HYPERLINK("https://scontent.cdninstagram.com/t51.2885-19/s150x150/18251831_459768434414625_7947764207322136576_a.jpg")</f>
        <v>https://scontent.cdninstagram.com/t51.2885-19/s150x150/18251831_459768434414625_7947764207322136576_a.jpg</v>
      </c>
    </row>
    <row r="394" spans="1:31" ht="15" x14ac:dyDescent="0.25">
      <c r="A394" t="s">
        <v>2474</v>
      </c>
      <c r="B394" t="s">
        <v>4996</v>
      </c>
      <c r="C394" s="221">
        <v>42960.440868055557</v>
      </c>
      <c r="D394" t="s">
        <v>4997</v>
      </c>
      <c r="E394" s="249" t="str">
        <f>HYPERLINK("https://www.instagram.com/p/BXvM2FzhuYH/")</f>
        <v>https://www.instagram.com/p/BXvM2FzhuYH/</v>
      </c>
      <c r="F394" t="s">
        <v>4998</v>
      </c>
      <c r="G394" t="s">
        <v>2488</v>
      </c>
      <c r="H394">
        <v>646</v>
      </c>
      <c r="I394" t="s">
        <v>2479</v>
      </c>
      <c r="J394">
        <v>36</v>
      </c>
      <c r="K394">
        <v>201</v>
      </c>
      <c r="L394">
        <v>237</v>
      </c>
      <c r="Q394">
        <v>0</v>
      </c>
      <c r="R394">
        <v>0</v>
      </c>
      <c r="S394">
        <v>237</v>
      </c>
      <c r="T394" t="s">
        <v>4999</v>
      </c>
      <c r="V394" t="s">
        <v>2264</v>
      </c>
      <c r="W394">
        <v>36.833300000000001</v>
      </c>
      <c r="X394">
        <v>-2.4500000000000002</v>
      </c>
      <c r="Y394" t="s">
        <v>2497</v>
      </c>
      <c r="Z394" t="s">
        <v>5000</v>
      </c>
      <c r="AA394" t="s">
        <v>5001</v>
      </c>
      <c r="AD394" s="249" t="str">
        <f>HYPERLINK("https://scontent.cdninstagram.com/t51.2885-15/s320x320/e35/20688391_266630953837786_8673491574425911296_n.jpg")</f>
        <v>https://scontent.cdninstagram.com/t51.2885-15/s320x320/e35/20688391_266630953837786_8673491574425911296_n.jpg</v>
      </c>
      <c r="AE394" s="249" t="str">
        <f>HYPERLINK("https://scontent.cdninstagram.com/t51.2885-19/s150x150/16230265_1342159009230931_2867702835510771712_a.jpg")</f>
        <v>https://scontent.cdninstagram.com/t51.2885-19/s150x150/16230265_1342159009230931_2867702835510771712_a.jpg</v>
      </c>
    </row>
    <row r="395" spans="1:31" ht="15" x14ac:dyDescent="0.25">
      <c r="A395" t="s">
        <v>2474</v>
      </c>
      <c r="B395" t="s">
        <v>4616</v>
      </c>
      <c r="C395" s="221">
        <v>42960.447870370372</v>
      </c>
      <c r="D395" t="s">
        <v>5002</v>
      </c>
      <c r="E395" s="249" t="str">
        <f>HYPERLINK("https://www.instagram.com/p/BXvN_4aB991/")</f>
        <v>https://www.instagram.com/p/BXvN_4aB991/</v>
      </c>
      <c r="F395" t="s">
        <v>5003</v>
      </c>
      <c r="G395" t="s">
        <v>2478</v>
      </c>
      <c r="H395">
        <v>106</v>
      </c>
      <c r="I395" t="s">
        <v>2479</v>
      </c>
      <c r="J395">
        <v>0</v>
      </c>
      <c r="K395">
        <v>31</v>
      </c>
      <c r="L395">
        <v>31</v>
      </c>
      <c r="Q395">
        <v>0</v>
      </c>
      <c r="R395">
        <v>0</v>
      </c>
      <c r="S395">
        <v>31</v>
      </c>
      <c r="T395" t="s">
        <v>5004</v>
      </c>
      <c r="W395">
        <v>56</v>
      </c>
      <c r="X395">
        <v>-109</v>
      </c>
      <c r="Y395" t="s">
        <v>4622</v>
      </c>
      <c r="Z395" t="s">
        <v>2866</v>
      </c>
      <c r="AA395" t="s">
        <v>5005</v>
      </c>
      <c r="AB395" t="s">
        <v>5006</v>
      </c>
      <c r="AC395" t="s">
        <v>5007</v>
      </c>
      <c r="AD395" s="249" t="str">
        <f>HYPERLINK("https://scontent.cdninstagram.com/t51.2885-15/s320x320/e35/c0.135.1080.1080/20688647_881007802050275_2641270652132130816_n.jpg")</f>
        <v>https://scontent.cdninstagram.com/t51.2885-15/s320x320/e35/c0.135.1080.1080/20688647_881007802050275_2641270652132130816_n.jpg</v>
      </c>
      <c r="AE395" s="249" t="str">
        <f>HYPERLINK("https://scontent.cdninstagram.com/t51.2885-19/s150x150/17494353_1347957098574282_2527511313651859456_a.jpg")</f>
        <v>https://scontent.cdninstagram.com/t51.2885-19/s150x150/17494353_1347957098574282_2527511313651859456_a.jpg</v>
      </c>
    </row>
    <row r="396" spans="1:31" ht="15" x14ac:dyDescent="0.25">
      <c r="A396" t="s">
        <v>2474</v>
      </c>
      <c r="B396" t="s">
        <v>2941</v>
      </c>
      <c r="C396" s="221">
        <v>42960.447951388887</v>
      </c>
      <c r="D396" t="s">
        <v>5008</v>
      </c>
      <c r="E396" s="249" t="str">
        <f>HYPERLINK("https://www.instagram.com/p/BXvOAzAjJnO/")</f>
        <v>https://www.instagram.com/p/BXvOAzAjJnO/</v>
      </c>
      <c r="F396" t="s">
        <v>5009</v>
      </c>
      <c r="G396" t="s">
        <v>2478</v>
      </c>
      <c r="H396">
        <v>218</v>
      </c>
      <c r="I396" t="s">
        <v>2542</v>
      </c>
      <c r="J396">
        <v>1</v>
      </c>
      <c r="K396">
        <v>20</v>
      </c>
      <c r="L396">
        <v>21</v>
      </c>
      <c r="Q396">
        <v>0</v>
      </c>
      <c r="R396">
        <v>0</v>
      </c>
      <c r="S396">
        <v>21</v>
      </c>
      <c r="Y396" t="s">
        <v>3655</v>
      </c>
      <c r="Z396" t="s">
        <v>5010</v>
      </c>
      <c r="AA396" t="s">
        <v>5011</v>
      </c>
      <c r="AB396" t="s">
        <v>5012</v>
      </c>
      <c r="AC396" t="s">
        <v>5013</v>
      </c>
      <c r="AD396" s="249" t="str">
        <f>HYPERLINK("https://scontent.cdninstagram.com/t51.2885-15/s320x320/e35/c0.135.1080.1080/20836872_498120893858141_189611424455065600_n.jpg")</f>
        <v>https://scontent.cdninstagram.com/t51.2885-15/s320x320/e35/c0.135.1080.1080/20836872_498120893858141_189611424455065600_n.jpg</v>
      </c>
      <c r="AE396" s="249" t="str">
        <f>HYPERLINK("https://scontent.cdninstagram.com/t51.2885-19/s150x150/20686926_123784664915170_1777034476677758976_a.jpg")</f>
        <v>https://scontent.cdninstagram.com/t51.2885-19/s150x150/20686926_123784664915170_1777034476677758976_a.jpg</v>
      </c>
    </row>
    <row r="397" spans="1:31" ht="15" x14ac:dyDescent="0.25">
      <c r="A397" t="s">
        <v>2474</v>
      </c>
      <c r="B397" t="s">
        <v>3015</v>
      </c>
      <c r="C397" s="221">
        <v>42960.458935185183</v>
      </c>
      <c r="D397" t="s">
        <v>5014</v>
      </c>
      <c r="E397" s="249" t="str">
        <f>HYPERLINK("https://www.instagram.com/p/BXvP0miA_CQ/")</f>
        <v>https://www.instagram.com/p/BXvP0miA_CQ/</v>
      </c>
      <c r="F397" t="s">
        <v>5015</v>
      </c>
      <c r="G397" t="s">
        <v>2478</v>
      </c>
      <c r="H397">
        <v>177</v>
      </c>
      <c r="I397" t="s">
        <v>2479</v>
      </c>
      <c r="J397">
        <v>0</v>
      </c>
      <c r="K397">
        <v>40</v>
      </c>
      <c r="L397">
        <v>40</v>
      </c>
      <c r="Q397">
        <v>0</v>
      </c>
      <c r="R397">
        <v>0</v>
      </c>
      <c r="S397">
        <v>40</v>
      </c>
      <c r="Y397" t="s">
        <v>4126</v>
      </c>
      <c r="Z397" t="s">
        <v>3020</v>
      </c>
      <c r="AA397" t="s">
        <v>3727</v>
      </c>
      <c r="AB397" t="s">
        <v>3019</v>
      </c>
      <c r="AC397" t="s">
        <v>3492</v>
      </c>
      <c r="AD397" s="249" t="str">
        <f>HYPERLINK("https://scontent.cdninstagram.com/t51.2885-15/s320x320/e35/20759792_1362735530489090_241985913519865856_n.jpg")</f>
        <v>https://scontent.cdninstagram.com/t51.2885-15/s320x320/e35/20759792_1362735530489090_241985913519865856_n.jpg</v>
      </c>
      <c r="AE397" s="249" t="str">
        <f>HYPERLINK("https://scontent.cdninstagram.com/t51.2885-19/s150x150/19761452_1876060406050696_4275948751316582400_a.jpg")</f>
        <v>https://scontent.cdninstagram.com/t51.2885-19/s150x150/19761452_1876060406050696_4275948751316582400_a.jpg</v>
      </c>
    </row>
    <row r="398" spans="1:31" ht="15" x14ac:dyDescent="0.25">
      <c r="A398" t="s">
        <v>2474</v>
      </c>
      <c r="B398" t="s">
        <v>5016</v>
      </c>
      <c r="C398" s="221">
        <v>42960.463854166665</v>
      </c>
      <c r="D398" t="s">
        <v>5017</v>
      </c>
      <c r="E398" s="249" t="str">
        <f>HYPERLINK("https://www.instagram.com/p/BXvQogoDga8/")</f>
        <v>https://www.instagram.com/p/BXvQogoDga8/</v>
      </c>
      <c r="F398" t="s">
        <v>5018</v>
      </c>
      <c r="G398" t="s">
        <v>2488</v>
      </c>
      <c r="H398">
        <v>68</v>
      </c>
      <c r="I398" t="s">
        <v>2479</v>
      </c>
      <c r="J398">
        <v>0</v>
      </c>
      <c r="K398">
        <v>10</v>
      </c>
      <c r="L398">
        <v>10</v>
      </c>
      <c r="Q398">
        <v>0</v>
      </c>
      <c r="R398">
        <v>0</v>
      </c>
      <c r="S398">
        <v>10</v>
      </c>
      <c r="Y398" t="s">
        <v>5019</v>
      </c>
      <c r="Z398" t="s">
        <v>5020</v>
      </c>
      <c r="AA398" t="s">
        <v>5021</v>
      </c>
      <c r="AB398" t="s">
        <v>5022</v>
      </c>
      <c r="AC398" t="s">
        <v>5023</v>
      </c>
      <c r="AD398" s="249" t="str">
        <f>HYPERLINK("https://scontent.cdninstagram.com/t51.2885-15/s320x320/e15/20838527_1542870875775633_6785764627910230016_n.jpg")</f>
        <v>https://scontent.cdninstagram.com/t51.2885-15/s320x320/e15/20838527_1542870875775633_6785764627910230016_n.jpg</v>
      </c>
      <c r="AE398" s="249" t="str">
        <f>HYPERLINK("https://scontent.cdninstagram.com/t51.2885-19/11850275_734689513320044_833988579_a.jpg")</f>
        <v>https://scontent.cdninstagram.com/t51.2885-19/11850275_734689513320044_833988579_a.jpg</v>
      </c>
    </row>
    <row r="399" spans="1:31" ht="15" x14ac:dyDescent="0.25">
      <c r="A399" t="s">
        <v>2474</v>
      </c>
      <c r="B399" t="s">
        <v>5024</v>
      </c>
      <c r="C399" s="221">
        <v>42960.464259259257</v>
      </c>
      <c r="D399" t="s">
        <v>5025</v>
      </c>
      <c r="E399" s="249" t="str">
        <f>HYPERLINK("https://www.instagram.com/p/BXvQswPgyLB/")</f>
        <v>https://www.instagram.com/p/BXvQswPgyLB/</v>
      </c>
      <c r="F399" t="s">
        <v>5026</v>
      </c>
      <c r="G399" t="s">
        <v>2478</v>
      </c>
      <c r="H399">
        <v>51</v>
      </c>
      <c r="I399" t="s">
        <v>2479</v>
      </c>
      <c r="J399">
        <v>2</v>
      </c>
      <c r="K399">
        <v>41</v>
      </c>
      <c r="L399">
        <v>43</v>
      </c>
      <c r="Q399">
        <v>0</v>
      </c>
      <c r="R399">
        <v>0</v>
      </c>
      <c r="S399">
        <v>43</v>
      </c>
      <c r="Y399" t="s">
        <v>5027</v>
      </c>
      <c r="Z399" t="s">
        <v>5028</v>
      </c>
      <c r="AA399" t="s">
        <v>5029</v>
      </c>
      <c r="AB399" t="s">
        <v>4374</v>
      </c>
      <c r="AC399" t="s">
        <v>5030</v>
      </c>
      <c r="AD399" s="249" t="str">
        <f>HYPERLINK("https://scontent.cdninstagram.com/t51.2885-15/s320x320/e35/20759397_108852723143761_8341656315168292864_n.jpg")</f>
        <v>https://scontent.cdninstagram.com/t51.2885-15/s320x320/e35/20759397_108852723143761_8341656315168292864_n.jpg</v>
      </c>
      <c r="AE399" s="249" t="str">
        <f>HYPERLINK("https://scontent.cdninstagram.com/t51.2885-19/10932401_149489572054521_218726755_a.jpg")</f>
        <v>https://scontent.cdninstagram.com/t51.2885-19/10932401_149489572054521_218726755_a.jpg</v>
      </c>
    </row>
    <row r="400" spans="1:31" ht="15" x14ac:dyDescent="0.25">
      <c r="A400" t="s">
        <v>2474</v>
      </c>
      <c r="B400" t="s">
        <v>5031</v>
      </c>
      <c r="C400" s="221">
        <v>42960.465856481482</v>
      </c>
      <c r="D400" t="s">
        <v>5032</v>
      </c>
      <c r="E400" s="249" t="str">
        <f>HYPERLINK("https://www.instagram.com/p/BXvQ9nogWmL/")</f>
        <v>https://www.instagram.com/p/BXvQ9nogWmL/</v>
      </c>
      <c r="F400" t="s">
        <v>5033</v>
      </c>
      <c r="G400" t="s">
        <v>2631</v>
      </c>
      <c r="I400" t="s">
        <v>4062</v>
      </c>
      <c r="J400">
        <v>3</v>
      </c>
      <c r="K400">
        <v>86</v>
      </c>
      <c r="L400">
        <v>89</v>
      </c>
      <c r="Q400">
        <v>0</v>
      </c>
      <c r="R400">
        <v>0</v>
      </c>
      <c r="S400">
        <v>89</v>
      </c>
      <c r="Y400" t="s">
        <v>4240</v>
      </c>
      <c r="Z400" t="s">
        <v>2491</v>
      </c>
      <c r="AA400" t="s">
        <v>5034</v>
      </c>
      <c r="AB400" t="s">
        <v>2513</v>
      </c>
      <c r="AC400" t="s">
        <v>5035</v>
      </c>
      <c r="AD400" s="249" t="str">
        <f>HYPERLINK("https://scontent.cdninstagram.com/t51.2885-15/s320x320/e15/20766536_835258799981982_9117556979122831360_n.jpg")</f>
        <v>https://scontent.cdninstagram.com/t51.2885-15/s320x320/e15/20766536_835258799981982_9117556979122831360_n.jpg</v>
      </c>
      <c r="AE400" s="249" t="str">
        <f>HYPERLINK("https://scontent.cdninstagram.com/t51.2885-19/s150x150/19984399_1623054597705124_6291328856083136512_a.jpg")</f>
        <v>https://scontent.cdninstagram.com/t51.2885-19/s150x150/19984399_1623054597705124_6291328856083136512_a.jpg</v>
      </c>
    </row>
    <row r="401" spans="1:31" ht="15" x14ac:dyDescent="0.25">
      <c r="A401" t="s">
        <v>2474</v>
      </c>
      <c r="B401" t="s">
        <v>5036</v>
      </c>
      <c r="C401" s="221">
        <v>42960.469386574077</v>
      </c>
      <c r="D401" t="s">
        <v>5037</v>
      </c>
      <c r="E401" s="249" t="str">
        <f>HYPERLINK("https://www.instagram.com/p/BXvRi2EFqBH/")</f>
        <v>https://www.instagram.com/p/BXvRi2EFqBH/</v>
      </c>
      <c r="F401" t="s">
        <v>5038</v>
      </c>
      <c r="G401" t="s">
        <v>2478</v>
      </c>
      <c r="H401">
        <v>1172</v>
      </c>
      <c r="I401" t="s">
        <v>2479</v>
      </c>
      <c r="J401">
        <v>12</v>
      </c>
      <c r="K401">
        <v>106</v>
      </c>
      <c r="L401">
        <v>118</v>
      </c>
      <c r="Q401">
        <v>0</v>
      </c>
      <c r="R401">
        <v>0</v>
      </c>
      <c r="S401">
        <v>118</v>
      </c>
      <c r="T401" t="s">
        <v>5039</v>
      </c>
      <c r="U401" t="s">
        <v>2020</v>
      </c>
      <c r="V401" t="s">
        <v>2299</v>
      </c>
      <c r="W401">
        <v>35.112777777778</v>
      </c>
      <c r="X401">
        <v>-75.975833333333</v>
      </c>
      <c r="Y401" t="s">
        <v>5040</v>
      </c>
      <c r="Z401" t="s">
        <v>5041</v>
      </c>
      <c r="AA401" t="s">
        <v>2696</v>
      </c>
      <c r="AB401" t="s">
        <v>5042</v>
      </c>
      <c r="AC401" t="s">
        <v>5043</v>
      </c>
      <c r="AD401" s="249" t="str">
        <f>HYPERLINK("https://scontent.cdninstagram.com/t51.2885-15/s320x320/e35/20837627_1755094484518878_406776438503505920_n.jpg")</f>
        <v>https://scontent.cdninstagram.com/t51.2885-15/s320x320/e35/20837627_1755094484518878_406776438503505920_n.jpg</v>
      </c>
      <c r="AE401" s="249" t="str">
        <f>HYPERLINK("https://scontent.cdninstagram.com/t51.2885-19/s150x150/14726338_1208058229262665_5883879851470880768_a.jpg")</f>
        <v>https://scontent.cdninstagram.com/t51.2885-19/s150x150/14726338_1208058229262665_5883879851470880768_a.jpg</v>
      </c>
    </row>
    <row r="402" spans="1:31" ht="15" x14ac:dyDescent="0.25">
      <c r="A402" t="s">
        <v>2474</v>
      </c>
      <c r="B402" t="s">
        <v>5044</v>
      </c>
      <c r="C402" s="221">
        <v>42960.473414351851</v>
      </c>
      <c r="D402" t="s">
        <v>5045</v>
      </c>
      <c r="E402" s="249" t="str">
        <f>HYPERLINK("https://www.instagram.com/p/BXvSNVSFWNn/")</f>
        <v>https://www.instagram.com/p/BXvSNVSFWNn/</v>
      </c>
      <c r="F402" t="s">
        <v>5046</v>
      </c>
      <c r="G402" t="s">
        <v>2478</v>
      </c>
      <c r="H402">
        <v>293</v>
      </c>
      <c r="I402" t="s">
        <v>2479</v>
      </c>
      <c r="J402">
        <v>2</v>
      </c>
      <c r="K402">
        <v>41</v>
      </c>
      <c r="L402">
        <v>43</v>
      </c>
      <c r="Q402">
        <v>0</v>
      </c>
      <c r="R402">
        <v>0</v>
      </c>
      <c r="S402">
        <v>43</v>
      </c>
      <c r="Y402" t="s">
        <v>5047</v>
      </c>
      <c r="Z402" t="s">
        <v>5048</v>
      </c>
      <c r="AA402" t="s">
        <v>2497</v>
      </c>
      <c r="AD402" s="249" t="str">
        <f>HYPERLINK("https://scontent.cdninstagram.com/t51.2885-15/s320x320/e35/20838566_1976898325919255_6503209174866853888_n.jpg")</f>
        <v>https://scontent.cdninstagram.com/t51.2885-15/s320x320/e35/20838566_1976898325919255_6503209174866853888_n.jpg</v>
      </c>
      <c r="AE402" s="249" t="str">
        <f>HYPERLINK("https://scontent.cdninstagram.com/t51.2885-19/s150x150/20481834_453709081680434_713118936555585536_a.jpg")</f>
        <v>https://scontent.cdninstagram.com/t51.2885-19/s150x150/20481834_453709081680434_713118936555585536_a.jpg</v>
      </c>
    </row>
    <row r="403" spans="1:31" ht="15" x14ac:dyDescent="0.25">
      <c r="A403" t="s">
        <v>2474</v>
      </c>
      <c r="B403" t="s">
        <v>3015</v>
      </c>
      <c r="C403" s="221">
        <v>42960.476145833331</v>
      </c>
      <c r="D403" t="s">
        <v>5049</v>
      </c>
      <c r="E403" s="249" t="str">
        <f>HYPERLINK("https://www.instagram.com/p/BXvSqIlALcd/")</f>
        <v>https://www.instagram.com/p/BXvSqIlALcd/</v>
      </c>
      <c r="F403" t="s">
        <v>5050</v>
      </c>
      <c r="G403" t="s">
        <v>2488</v>
      </c>
      <c r="H403">
        <v>177</v>
      </c>
      <c r="I403" t="s">
        <v>2479</v>
      </c>
      <c r="J403">
        <v>0</v>
      </c>
      <c r="K403">
        <v>21</v>
      </c>
      <c r="L403">
        <v>21</v>
      </c>
      <c r="Q403">
        <v>0</v>
      </c>
      <c r="R403">
        <v>0</v>
      </c>
      <c r="S403">
        <v>21</v>
      </c>
      <c r="Y403" t="s">
        <v>4126</v>
      </c>
      <c r="Z403" t="s">
        <v>3020</v>
      </c>
      <c r="AA403" t="s">
        <v>3727</v>
      </c>
      <c r="AB403" t="s">
        <v>3019</v>
      </c>
      <c r="AC403" t="s">
        <v>3492</v>
      </c>
      <c r="AD403" s="249" t="str">
        <f>HYPERLINK("https://scontent.cdninstagram.com/t51.2885-15/s320x320/e35/20766383_143668059555090_3555708282242859008_n.jpg")</f>
        <v>https://scontent.cdninstagram.com/t51.2885-15/s320x320/e35/20766383_143668059555090_3555708282242859008_n.jpg</v>
      </c>
      <c r="AE403" s="249" t="str">
        <f>HYPERLINK("https://scontent.cdninstagram.com/t51.2885-19/s150x150/19761452_1876060406050696_4275948751316582400_a.jpg")</f>
        <v>https://scontent.cdninstagram.com/t51.2885-19/s150x150/19761452_1876060406050696_4275948751316582400_a.jpg</v>
      </c>
    </row>
    <row r="404" spans="1:31" ht="15" x14ac:dyDescent="0.25">
      <c r="A404" t="s">
        <v>2474</v>
      </c>
      <c r="B404" t="s">
        <v>5051</v>
      </c>
      <c r="C404" s="221">
        <v>42960.480358796296</v>
      </c>
      <c r="D404" t="s">
        <v>5052</v>
      </c>
      <c r="E404" s="249" t="str">
        <f>HYPERLINK("https://www.instagram.com/p/BXvTWg8AKzL/")</f>
        <v>https://www.instagram.com/p/BXvTWg8AKzL/</v>
      </c>
      <c r="F404" t="s">
        <v>5053</v>
      </c>
      <c r="G404" t="s">
        <v>2478</v>
      </c>
      <c r="H404">
        <v>957</v>
      </c>
      <c r="I404" t="s">
        <v>2479</v>
      </c>
      <c r="J404">
        <v>1</v>
      </c>
      <c r="K404">
        <v>87</v>
      </c>
      <c r="L404">
        <v>88</v>
      </c>
      <c r="Q404">
        <v>0</v>
      </c>
      <c r="R404">
        <v>0</v>
      </c>
      <c r="S404">
        <v>88</v>
      </c>
      <c r="Y404" t="s">
        <v>5054</v>
      </c>
      <c r="Z404" t="s">
        <v>5055</v>
      </c>
      <c r="AA404" t="s">
        <v>5056</v>
      </c>
      <c r="AB404" t="s">
        <v>2497</v>
      </c>
      <c r="AC404" t="s">
        <v>5057</v>
      </c>
      <c r="AD404" s="249" t="str">
        <f>HYPERLINK("https://scontent.cdninstagram.com/t51.2885-15/s320x320/e35/20759268_271718106648720_5192615718562037760_n.jpg")</f>
        <v>https://scontent.cdninstagram.com/t51.2885-15/s320x320/e35/20759268_271718106648720_5192615718562037760_n.jpg</v>
      </c>
      <c r="AE404" s="249" t="str">
        <f>HYPERLINK("https://scontent.cdninstagram.com/t51.2885-19/s150x150/20837603_1622726564457558_954863159380803584_a.jpg")</f>
        <v>https://scontent.cdninstagram.com/t51.2885-19/s150x150/20837603_1622726564457558_954863159380803584_a.jpg</v>
      </c>
    </row>
    <row r="405" spans="1:31" ht="15" x14ac:dyDescent="0.25">
      <c r="A405" t="s">
        <v>2474</v>
      </c>
      <c r="B405" t="s">
        <v>5058</v>
      </c>
      <c r="C405" s="221">
        <v>42960.481493055559</v>
      </c>
      <c r="D405" t="s">
        <v>5059</v>
      </c>
      <c r="E405" s="249" t="str">
        <f>HYPERLINK("https://www.instagram.com/p/BXvTigXlCXh/")</f>
        <v>https://www.instagram.com/p/BXvTigXlCXh/</v>
      </c>
      <c r="F405" t="s">
        <v>5060</v>
      </c>
      <c r="G405" t="s">
        <v>2478</v>
      </c>
      <c r="H405">
        <v>222</v>
      </c>
      <c r="I405" t="s">
        <v>2479</v>
      </c>
      <c r="J405">
        <v>2</v>
      </c>
      <c r="K405">
        <v>23</v>
      </c>
      <c r="L405">
        <v>25</v>
      </c>
      <c r="Q405">
        <v>0</v>
      </c>
      <c r="R405">
        <v>0</v>
      </c>
      <c r="S405">
        <v>25</v>
      </c>
      <c r="Y405" t="s">
        <v>2641</v>
      </c>
      <c r="Z405" t="s">
        <v>2737</v>
      </c>
      <c r="AA405" t="s">
        <v>5061</v>
      </c>
      <c r="AB405" t="s">
        <v>3815</v>
      </c>
      <c r="AC405" t="s">
        <v>5062</v>
      </c>
      <c r="AD405" s="249" t="str">
        <f>HYPERLINK("https://scontent.cdninstagram.com/t51.2885-15/s320x320/e35/c0.135.1080.1080/20688775_1636881053010764_3759394271577243648_n.jpg")</f>
        <v>https://scontent.cdninstagram.com/t51.2885-15/s320x320/e35/c0.135.1080.1080/20688775_1636881053010764_3759394271577243648_n.jpg</v>
      </c>
      <c r="AE405" s="249" t="str">
        <f>HYPERLINK("https://scontent.cdninstagram.com/t51.2885-19/s150x150/20181000_1733874930238624_1911104509342384128_a.jpg")</f>
        <v>https://scontent.cdninstagram.com/t51.2885-19/s150x150/20181000_1733874930238624_1911104509342384128_a.jpg</v>
      </c>
    </row>
    <row r="406" spans="1:31" ht="15" x14ac:dyDescent="0.25">
      <c r="A406" t="s">
        <v>2474</v>
      </c>
      <c r="B406" t="s">
        <v>5063</v>
      </c>
      <c r="C406" s="221">
        <v>42960.481817129628</v>
      </c>
      <c r="D406" t="s">
        <v>5064</v>
      </c>
      <c r="E406" s="249" t="str">
        <f>HYPERLINK("https://www.instagram.com/p/BXvTl6ZhDKn/")</f>
        <v>https://www.instagram.com/p/BXvTl6ZhDKn/</v>
      </c>
      <c r="F406" t="s">
        <v>5065</v>
      </c>
      <c r="G406" t="s">
        <v>2478</v>
      </c>
      <c r="H406">
        <v>476</v>
      </c>
      <c r="I406" t="s">
        <v>2479</v>
      </c>
      <c r="J406">
        <v>8</v>
      </c>
      <c r="K406">
        <v>113</v>
      </c>
      <c r="L406">
        <v>121</v>
      </c>
      <c r="Q406">
        <v>0</v>
      </c>
      <c r="R406">
        <v>0</v>
      </c>
      <c r="S406">
        <v>121</v>
      </c>
      <c r="T406" t="s">
        <v>5066</v>
      </c>
      <c r="V406" t="s">
        <v>2154</v>
      </c>
      <c r="W406">
        <v>48.856699999999996</v>
      </c>
      <c r="X406">
        <v>2.3508</v>
      </c>
      <c r="Y406" t="s">
        <v>5067</v>
      </c>
      <c r="Z406" t="s">
        <v>5068</v>
      </c>
      <c r="AA406" t="s">
        <v>5069</v>
      </c>
      <c r="AB406" t="s">
        <v>5070</v>
      </c>
      <c r="AC406" t="s">
        <v>5071</v>
      </c>
      <c r="AD406" s="249" t="str">
        <f>HYPERLINK("https://scontent.cdninstagram.com/t51.2885-15/s320x320/e35/20688509_125983711357166_4458877361277894656_n.jpg")</f>
        <v>https://scontent.cdninstagram.com/t51.2885-15/s320x320/e35/20688509_125983711357166_4458877361277894656_n.jpg</v>
      </c>
      <c r="AE406" s="249" t="str">
        <f>HYPERLINK("https://scontent.cdninstagram.com/t51.2885-19/s150x150/19051858_836793113161603_7761281146851164160_a.jpg")</f>
        <v>https://scontent.cdninstagram.com/t51.2885-19/s150x150/19051858_836793113161603_7761281146851164160_a.jpg</v>
      </c>
    </row>
    <row r="407" spans="1:31" ht="15" x14ac:dyDescent="0.25">
      <c r="A407" t="s">
        <v>2474</v>
      </c>
      <c r="B407" t="s">
        <v>5072</v>
      </c>
      <c r="C407" s="221">
        <v>42960.483206018522</v>
      </c>
      <c r="D407" t="s">
        <v>5073</v>
      </c>
      <c r="E407" s="249" t="str">
        <f>HYPERLINK("https://www.instagram.com/p/BXvT0k7FnLA/")</f>
        <v>https://www.instagram.com/p/BXvT0k7FnLA/</v>
      </c>
      <c r="F407" t="s">
        <v>5074</v>
      </c>
      <c r="G407" t="s">
        <v>2478</v>
      </c>
      <c r="H407">
        <v>353</v>
      </c>
      <c r="I407" t="s">
        <v>2479</v>
      </c>
      <c r="J407">
        <v>0</v>
      </c>
      <c r="K407">
        <v>31</v>
      </c>
      <c r="L407">
        <v>31</v>
      </c>
      <c r="Q407">
        <v>0</v>
      </c>
      <c r="R407">
        <v>0</v>
      </c>
      <c r="S407">
        <v>31</v>
      </c>
      <c r="Y407" t="s">
        <v>5075</v>
      </c>
      <c r="Z407" t="s">
        <v>5076</v>
      </c>
      <c r="AA407" t="s">
        <v>5077</v>
      </c>
      <c r="AB407" t="s">
        <v>5078</v>
      </c>
      <c r="AC407" t="s">
        <v>5079</v>
      </c>
      <c r="AD407" s="249" t="str">
        <f>HYPERLINK("https://scontent.cdninstagram.com/t51.2885-15/s320x320/e35/c0.135.1080.1080/20759981_660803200776405_2512018073830031360_n.jpg")</f>
        <v>https://scontent.cdninstagram.com/t51.2885-15/s320x320/e35/c0.135.1080.1080/20759981_660803200776405_2512018073830031360_n.jpg</v>
      </c>
      <c r="AE407" s="249" t="str">
        <f>HYPERLINK("https://scontent.cdninstagram.com/t51.2885-19/s150x150/20686456_467617126949845_8137235783347077120_a.jpg")</f>
        <v>https://scontent.cdninstagram.com/t51.2885-19/s150x150/20686456_467617126949845_8137235783347077120_a.jpg</v>
      </c>
    </row>
    <row r="408" spans="1:31" ht="15" x14ac:dyDescent="0.25">
      <c r="A408" t="s">
        <v>2474</v>
      </c>
      <c r="B408" t="s">
        <v>5080</v>
      </c>
      <c r="C408" s="221">
        <v>42960.485312500001</v>
      </c>
      <c r="D408" t="s">
        <v>5081</v>
      </c>
      <c r="E408" s="249" t="str">
        <f>HYPERLINK("https://www.instagram.com/p/BXvUKvCFJcM/")</f>
        <v>https://www.instagram.com/p/BXvUKvCFJcM/</v>
      </c>
      <c r="F408" t="s">
        <v>5082</v>
      </c>
      <c r="G408" t="s">
        <v>2478</v>
      </c>
      <c r="H408">
        <v>73</v>
      </c>
      <c r="I408" t="s">
        <v>2479</v>
      </c>
      <c r="J408">
        <v>0</v>
      </c>
      <c r="K408">
        <v>33</v>
      </c>
      <c r="L408">
        <v>33</v>
      </c>
      <c r="Q408">
        <v>0</v>
      </c>
      <c r="R408">
        <v>0</v>
      </c>
      <c r="S408">
        <v>33</v>
      </c>
      <c r="T408" t="s">
        <v>2936</v>
      </c>
      <c r="V408" t="s">
        <v>2288</v>
      </c>
      <c r="W408">
        <v>51.507114863623997</v>
      </c>
      <c r="X408">
        <v>-0.12731805236353</v>
      </c>
      <c r="Y408" t="s">
        <v>2497</v>
      </c>
      <c r="Z408" t="s">
        <v>3153</v>
      </c>
      <c r="AA408" t="s">
        <v>5083</v>
      </c>
      <c r="AB408" t="s">
        <v>5084</v>
      </c>
      <c r="AC408" t="s">
        <v>3132</v>
      </c>
      <c r="AD408" s="249" t="str">
        <f>HYPERLINK("https://scontent.cdninstagram.com/t51.2885-15/s320x320/e35/c98.0.443.443/20837029_162009557693768_6041027331827433472_n.jpg")</f>
        <v>https://scontent.cdninstagram.com/t51.2885-15/s320x320/e35/c98.0.443.443/20837029_162009557693768_6041027331827433472_n.jpg</v>
      </c>
      <c r="AE408" s="249" t="str">
        <f>HYPERLINK("https://scontent.cdninstagram.com/t51.2885-19/s150x150/20394335_1991738107724750_5416006068662697984_a.jpg")</f>
        <v>https://scontent.cdninstagram.com/t51.2885-19/s150x150/20394335_1991738107724750_5416006068662697984_a.jpg</v>
      </c>
    </row>
    <row r="409" spans="1:31" ht="15" x14ac:dyDescent="0.25">
      <c r="A409" t="s">
        <v>2474</v>
      </c>
      <c r="B409" t="s">
        <v>5085</v>
      </c>
      <c r="C409" s="221">
        <v>42960.486666666664</v>
      </c>
      <c r="D409" t="s">
        <v>5086</v>
      </c>
      <c r="E409" s="249" t="str">
        <f>HYPERLINK("https://www.instagram.com/p/BXvUZAjAep5/")</f>
        <v>https://www.instagram.com/p/BXvUZAjAep5/</v>
      </c>
      <c r="F409" t="s">
        <v>5087</v>
      </c>
      <c r="G409" t="s">
        <v>2478</v>
      </c>
      <c r="H409">
        <v>424</v>
      </c>
      <c r="I409" t="s">
        <v>2599</v>
      </c>
      <c r="J409">
        <v>4</v>
      </c>
      <c r="K409">
        <v>63</v>
      </c>
      <c r="L409">
        <v>67</v>
      </c>
      <c r="Q409">
        <v>0</v>
      </c>
      <c r="R409">
        <v>0</v>
      </c>
      <c r="S409">
        <v>67</v>
      </c>
      <c r="Y409" t="s">
        <v>5088</v>
      </c>
      <c r="Z409" t="s">
        <v>5089</v>
      </c>
      <c r="AA409" t="s">
        <v>5090</v>
      </c>
      <c r="AB409" t="s">
        <v>5091</v>
      </c>
      <c r="AC409" t="s">
        <v>5092</v>
      </c>
      <c r="AD409" s="249" t="str">
        <f>HYPERLINK("https://scontent.cdninstagram.com/t51.2885-15/s320x320/e35/20759144_1390345361055806_8489975997054058496_n.jpg")</f>
        <v>https://scontent.cdninstagram.com/t51.2885-15/s320x320/e35/20759144_1390345361055806_8489975997054058496_n.jpg</v>
      </c>
      <c r="AE409" s="249" t="str">
        <f>HYPERLINK("https://scontent.cdninstagram.com/t51.2885-19/s150x150/20582605_339721629800013_6713177962620911616_a.jpg")</f>
        <v>https://scontent.cdninstagram.com/t51.2885-19/s150x150/20582605_339721629800013_6713177962620911616_a.jpg</v>
      </c>
    </row>
    <row r="410" spans="1:31" ht="15" x14ac:dyDescent="0.25">
      <c r="A410" t="s">
        <v>2474</v>
      </c>
      <c r="B410" t="s">
        <v>5093</v>
      </c>
      <c r="C410" s="221">
        <v>42960.491574074076</v>
      </c>
      <c r="D410" t="s">
        <v>5094</v>
      </c>
      <c r="E410" s="249" t="str">
        <f>HYPERLINK("https://www.instagram.com/p/BXvVMy7gWIK/")</f>
        <v>https://www.instagram.com/p/BXvVMy7gWIK/</v>
      </c>
      <c r="F410" t="s">
        <v>5095</v>
      </c>
      <c r="G410" t="s">
        <v>2478</v>
      </c>
      <c r="H410">
        <v>88</v>
      </c>
      <c r="I410" t="s">
        <v>2479</v>
      </c>
      <c r="J410">
        <v>2</v>
      </c>
      <c r="K410">
        <v>7</v>
      </c>
      <c r="L410">
        <v>9</v>
      </c>
      <c r="Q410">
        <v>0</v>
      </c>
      <c r="R410">
        <v>0</v>
      </c>
      <c r="S410">
        <v>9</v>
      </c>
      <c r="T410" t="s">
        <v>5096</v>
      </c>
      <c r="V410" t="s">
        <v>2180</v>
      </c>
      <c r="W410">
        <v>53.356511410000003</v>
      </c>
      <c r="X410">
        <v>-6.3408268400000001</v>
      </c>
      <c r="Y410" t="s">
        <v>5097</v>
      </c>
      <c r="Z410" t="s">
        <v>2497</v>
      </c>
      <c r="AA410" t="s">
        <v>2493</v>
      </c>
      <c r="AB410" t="s">
        <v>5098</v>
      </c>
      <c r="AC410" t="s">
        <v>5099</v>
      </c>
      <c r="AD410" s="249" t="str">
        <f>HYPERLINK("https://scontent.cdninstagram.com/t51.2885-15/s320x320/e15/20766655_639943152865727_3271647834004258816_n.jpg")</f>
        <v>https://scontent.cdninstagram.com/t51.2885-15/s320x320/e15/20766655_639943152865727_3271647834004258816_n.jpg</v>
      </c>
      <c r="AE410" s="249" t="str">
        <f>HYPERLINK("https://scontent.cdninstagram.com/t51.2885-19/s150x150/13744174_101962736914315_909782557_a.jpg")</f>
        <v>https://scontent.cdninstagram.com/t51.2885-19/s150x150/13744174_101962736914315_909782557_a.jpg</v>
      </c>
    </row>
    <row r="411" spans="1:31" ht="15" x14ac:dyDescent="0.25">
      <c r="A411" t="s">
        <v>2474</v>
      </c>
      <c r="B411" t="s">
        <v>5100</v>
      </c>
      <c r="C411" s="221">
        <v>42960.496168981481</v>
      </c>
      <c r="D411" t="s">
        <v>5101</v>
      </c>
      <c r="E411" s="249" t="str">
        <f>HYPERLINK("https://www.instagram.com/p/BXvV9QXgklz/")</f>
        <v>https://www.instagram.com/p/BXvV9QXgklz/</v>
      </c>
      <c r="F411" t="s">
        <v>5102</v>
      </c>
      <c r="G411" t="s">
        <v>2631</v>
      </c>
      <c r="H411">
        <v>136</v>
      </c>
      <c r="I411" t="s">
        <v>2542</v>
      </c>
      <c r="J411">
        <v>2</v>
      </c>
      <c r="K411">
        <v>44</v>
      </c>
      <c r="L411">
        <v>46</v>
      </c>
      <c r="Q411">
        <v>0</v>
      </c>
      <c r="R411">
        <v>0</v>
      </c>
      <c r="S411">
        <v>46</v>
      </c>
      <c r="T411" t="s">
        <v>5103</v>
      </c>
      <c r="V411" t="s">
        <v>2153</v>
      </c>
      <c r="W411">
        <v>61.833333333333002</v>
      </c>
      <c r="X411">
        <v>29.45</v>
      </c>
      <c r="Y411" t="s">
        <v>5104</v>
      </c>
      <c r="Z411" t="s">
        <v>5105</v>
      </c>
      <c r="AA411" t="s">
        <v>5106</v>
      </c>
      <c r="AB411" t="s">
        <v>5107</v>
      </c>
      <c r="AC411" t="s">
        <v>5108</v>
      </c>
      <c r="AD411" s="249" t="str">
        <f>HYPERLINK("https://scontent.cdninstagram.com/t51.2885-15/s320x320/e15/c0.90.720.720/20759666_162320300992873_41669858605137920_n.jpg")</f>
        <v>https://scontent.cdninstagram.com/t51.2885-15/s320x320/e15/c0.90.720.720/20759666_162320300992873_41669858605137920_n.jpg</v>
      </c>
      <c r="AE411" s="249" t="str">
        <f>HYPERLINK("https://scontent.cdninstagram.com/t51.2885-19/s150x150/18161277_418868441810620_1224070485428404224_a.jpg")</f>
        <v>https://scontent.cdninstagram.com/t51.2885-19/s150x150/18161277_418868441810620_1224070485428404224_a.jpg</v>
      </c>
    </row>
    <row r="412" spans="1:31" ht="15" x14ac:dyDescent="0.25">
      <c r="A412" t="s">
        <v>2474</v>
      </c>
      <c r="B412" t="s">
        <v>5109</v>
      </c>
      <c r="C412" s="221">
        <v>42960.502511574072</v>
      </c>
      <c r="D412" t="s">
        <v>5110</v>
      </c>
      <c r="E412" s="249" t="str">
        <f>HYPERLINK("https://www.instagram.com/p/BXvXAHvBbZf/")</f>
        <v>https://www.instagram.com/p/BXvXAHvBbZf/</v>
      </c>
      <c r="F412" t="s">
        <v>5111</v>
      </c>
      <c r="G412" t="s">
        <v>2478</v>
      </c>
      <c r="H412">
        <v>41</v>
      </c>
      <c r="I412" t="s">
        <v>2519</v>
      </c>
      <c r="J412">
        <v>0</v>
      </c>
      <c r="K412">
        <v>2</v>
      </c>
      <c r="L412">
        <v>2</v>
      </c>
      <c r="Q412">
        <v>0</v>
      </c>
      <c r="R412">
        <v>0</v>
      </c>
      <c r="S412">
        <v>2</v>
      </c>
      <c r="Y412" t="s">
        <v>3535</v>
      </c>
      <c r="Z412" t="s">
        <v>5112</v>
      </c>
      <c r="AA412" t="s">
        <v>5113</v>
      </c>
      <c r="AB412" t="s">
        <v>3262</v>
      </c>
      <c r="AC412" t="s">
        <v>4839</v>
      </c>
      <c r="AD412" s="249" t="str">
        <f>HYPERLINK("https://scontent.cdninstagram.com/t51.2885-15/s320x320/e35/c0.56.450.450/20686954_108623529834495_2040705100254543872_n.jpg")</f>
        <v>https://scontent.cdninstagram.com/t51.2885-15/s320x320/e35/c0.56.450.450/20686954_108623529834495_2040705100254543872_n.jpg</v>
      </c>
      <c r="AE412" s="249" t="str">
        <f>HYPERLINK("https://scontent.cdninstagram.com/t51.2885-19/s150x150/20633779_1060675237368910_5122915185396285440_a.jpg")</f>
        <v>https://scontent.cdninstagram.com/t51.2885-19/s150x150/20633779_1060675237368910_5122915185396285440_a.jpg</v>
      </c>
    </row>
    <row r="413" spans="1:31" ht="15" x14ac:dyDescent="0.25">
      <c r="A413" t="s">
        <v>2474</v>
      </c>
      <c r="B413" t="s">
        <v>5114</v>
      </c>
      <c r="C413" s="221">
        <v>42960.503240740742</v>
      </c>
      <c r="D413" t="s">
        <v>5115</v>
      </c>
      <c r="E413" s="249" t="str">
        <f>HYPERLINK("https://www.instagram.com/p/BXvXH5XhDjp/")</f>
        <v>https://www.instagram.com/p/BXvXH5XhDjp/</v>
      </c>
      <c r="F413" t="s">
        <v>5116</v>
      </c>
      <c r="G413" t="s">
        <v>2478</v>
      </c>
      <c r="H413">
        <v>163</v>
      </c>
      <c r="I413" t="s">
        <v>2542</v>
      </c>
      <c r="J413">
        <v>0</v>
      </c>
      <c r="K413">
        <v>12</v>
      </c>
      <c r="L413">
        <v>12</v>
      </c>
      <c r="Q413">
        <v>0</v>
      </c>
      <c r="R413">
        <v>0</v>
      </c>
      <c r="S413">
        <v>12</v>
      </c>
      <c r="Y413" t="s">
        <v>2543</v>
      </c>
      <c r="Z413" t="s">
        <v>5117</v>
      </c>
      <c r="AA413" t="s">
        <v>5118</v>
      </c>
      <c r="AB413" t="s">
        <v>5119</v>
      </c>
      <c r="AC413" t="s">
        <v>5120</v>
      </c>
      <c r="AD413" s="249" t="str">
        <f>HYPERLINK("https://scontent.cdninstagram.com/t51.2885-15/s320x320/e35/c0.18.1024.1024/20688474_1569401483081603_3068159829777317888_n.jpg")</f>
        <v>https://scontent.cdninstagram.com/t51.2885-15/s320x320/e35/c0.18.1024.1024/20688474_1569401483081603_3068159829777317888_n.jpg</v>
      </c>
      <c r="AE413" s="249" t="str">
        <f>HYPERLINK("https://scontent.cdninstagram.com/t51.2885-19/s150x150/19984875_123329871624291_3737418465816870912_a.jpg")</f>
        <v>https://scontent.cdninstagram.com/t51.2885-19/s150x150/19984875_123329871624291_3737418465816870912_a.jpg</v>
      </c>
    </row>
    <row r="414" spans="1:31" ht="15" x14ac:dyDescent="0.25">
      <c r="A414" t="s">
        <v>2474</v>
      </c>
      <c r="B414" t="s">
        <v>2588</v>
      </c>
      <c r="C414" s="221">
        <v>42960.506388888891</v>
      </c>
      <c r="D414" t="s">
        <v>5121</v>
      </c>
      <c r="E414" s="249" t="str">
        <f>HYPERLINK("https://www.instagram.com/p/BXvXpEkB_TW/")</f>
        <v>https://www.instagram.com/p/BXvXpEkB_TW/</v>
      </c>
      <c r="F414" t="s">
        <v>5122</v>
      </c>
      <c r="G414" t="s">
        <v>2478</v>
      </c>
      <c r="H414">
        <v>253</v>
      </c>
      <c r="I414" t="s">
        <v>2479</v>
      </c>
      <c r="J414">
        <v>13</v>
      </c>
      <c r="K414">
        <v>207</v>
      </c>
      <c r="L414">
        <v>220</v>
      </c>
      <c r="Q414">
        <v>0</v>
      </c>
      <c r="R414">
        <v>0</v>
      </c>
      <c r="S414">
        <v>220</v>
      </c>
      <c r="AD414" s="249" t="str">
        <f>HYPERLINK("https://scontent.cdninstagram.com/t51.2885-15/s320x320/e35/c36.0.567.567/20837586_198097297393466_3141185006932590592_n.jpg")</f>
        <v>https://scontent.cdninstagram.com/t51.2885-15/s320x320/e35/c36.0.567.567/20837586_198097297393466_3141185006932590592_n.jpg</v>
      </c>
      <c r="AE414" s="249" t="str">
        <f>HYPERLINK("https://scontent.cdninstagram.com/t51.2885-19/s150x150/20633561_108840983138666_5897549723056734208_a.jpg")</f>
        <v>https://scontent.cdninstagram.com/t51.2885-19/s150x150/20633561_108840983138666_5897549723056734208_a.jpg</v>
      </c>
    </row>
    <row r="415" spans="1:31" ht="15" x14ac:dyDescent="0.25">
      <c r="A415" t="s">
        <v>2474</v>
      </c>
      <c r="B415" t="s">
        <v>5123</v>
      </c>
      <c r="C415" s="221">
        <v>42960.508287037039</v>
      </c>
      <c r="D415" t="s">
        <v>5124</v>
      </c>
      <c r="E415" s="249" t="str">
        <f>HYPERLINK("https://www.instagram.com/p/BXvX9FTFzFb/")</f>
        <v>https://www.instagram.com/p/BXvX9FTFzFb/</v>
      </c>
      <c r="F415" t="s">
        <v>5125</v>
      </c>
      <c r="G415" t="s">
        <v>2478</v>
      </c>
      <c r="H415">
        <v>296</v>
      </c>
      <c r="I415" t="s">
        <v>3186</v>
      </c>
      <c r="J415">
        <v>5</v>
      </c>
      <c r="K415">
        <v>38</v>
      </c>
      <c r="L415">
        <v>43</v>
      </c>
      <c r="Q415">
        <v>0</v>
      </c>
      <c r="R415">
        <v>0</v>
      </c>
      <c r="S415">
        <v>43</v>
      </c>
      <c r="Y415" t="s">
        <v>5126</v>
      </c>
      <c r="Z415" t="s">
        <v>5127</v>
      </c>
      <c r="AA415" t="s">
        <v>5128</v>
      </c>
      <c r="AB415" t="s">
        <v>5129</v>
      </c>
      <c r="AC415" t="s">
        <v>5130</v>
      </c>
      <c r="AD415" s="249" t="str">
        <f>HYPERLINK("https://scontent.cdninstagram.com/t51.2885-15/s320x320/e35/c135.0.810.810/20759507_1459198467499280_3386635232483475456_n.jpg")</f>
        <v>https://scontent.cdninstagram.com/t51.2885-15/s320x320/e35/c135.0.810.810/20759507_1459198467499280_3386635232483475456_n.jpg</v>
      </c>
      <c r="AE415" s="249" t="str">
        <f>HYPERLINK("https://scontent.cdninstagram.com/t51.2885-19/s150x150/13298031_1143479505702979_561223840_a.jpg")</f>
        <v>https://scontent.cdninstagram.com/t51.2885-19/s150x150/13298031_1143479505702979_561223840_a.jpg</v>
      </c>
    </row>
    <row r="416" spans="1:31" ht="15" x14ac:dyDescent="0.25">
      <c r="A416" t="s">
        <v>2474</v>
      </c>
      <c r="B416" t="s">
        <v>5131</v>
      </c>
      <c r="C416" s="221">
        <v>42960.510266203702</v>
      </c>
      <c r="D416" t="s">
        <v>5132</v>
      </c>
      <c r="E416" s="249" t="str">
        <f>HYPERLINK("https://www.instagram.com/p/BXvYR6EhW-d/")</f>
        <v>https://www.instagram.com/p/BXvYR6EhW-d/</v>
      </c>
      <c r="F416" t="s">
        <v>5133</v>
      </c>
      <c r="G416" t="s">
        <v>2488</v>
      </c>
      <c r="H416">
        <v>1341</v>
      </c>
      <c r="I416" t="s">
        <v>2479</v>
      </c>
      <c r="J416">
        <v>2</v>
      </c>
      <c r="K416">
        <v>55</v>
      </c>
      <c r="L416">
        <v>57</v>
      </c>
      <c r="Q416">
        <v>0</v>
      </c>
      <c r="R416">
        <v>0</v>
      </c>
      <c r="S416">
        <v>57</v>
      </c>
      <c r="T416" t="s">
        <v>5134</v>
      </c>
      <c r="V416" t="s">
        <v>2293</v>
      </c>
      <c r="W416">
        <v>21.033300000000001</v>
      </c>
      <c r="X416">
        <v>105.85</v>
      </c>
      <c r="Y416" t="s">
        <v>2497</v>
      </c>
      <c r="AD416" s="249" t="str">
        <f>HYPERLINK("https://scontent.cdninstagram.com/t51.2885-15/s320x320/e35/20837018_117094872279272_6982921592644829184_n.jpg")</f>
        <v>https://scontent.cdninstagram.com/t51.2885-15/s320x320/e35/20837018_117094872279272_6982921592644829184_n.jpg</v>
      </c>
      <c r="AE416" s="249" t="str">
        <f>HYPERLINK("https://scontent.cdninstagram.com/t51.2885-19/s150x150/18645579_434810433553064_1677499296787726336_a.jpg")</f>
        <v>https://scontent.cdninstagram.com/t51.2885-19/s150x150/18645579_434810433553064_1677499296787726336_a.jpg</v>
      </c>
    </row>
    <row r="417" spans="1:31" ht="15" x14ac:dyDescent="0.25">
      <c r="A417" t="s">
        <v>2474</v>
      </c>
      <c r="B417" t="s">
        <v>5135</v>
      </c>
      <c r="C417" s="221">
        <v>42960.521122685182</v>
      </c>
      <c r="D417" t="s">
        <v>5136</v>
      </c>
      <c r="E417" s="249" t="str">
        <f>HYPERLINK("https://www.instagram.com/p/BXvaEckA13J/")</f>
        <v>https://www.instagram.com/p/BXvaEckA13J/</v>
      </c>
      <c r="F417" t="s">
        <v>5137</v>
      </c>
      <c r="G417" t="s">
        <v>2478</v>
      </c>
      <c r="H417">
        <v>2329</v>
      </c>
      <c r="I417" t="s">
        <v>2479</v>
      </c>
      <c r="J417">
        <v>15</v>
      </c>
      <c r="K417">
        <v>101</v>
      </c>
      <c r="L417">
        <v>116</v>
      </c>
      <c r="Q417">
        <v>0</v>
      </c>
      <c r="R417">
        <v>0</v>
      </c>
      <c r="S417">
        <v>116</v>
      </c>
      <c r="T417" t="s">
        <v>5138</v>
      </c>
      <c r="V417" t="s">
        <v>2222</v>
      </c>
      <c r="W417">
        <v>52.376374202657999</v>
      </c>
      <c r="X417">
        <v>6.9804304887540001</v>
      </c>
      <c r="Y417" t="s">
        <v>5139</v>
      </c>
      <c r="Z417" t="s">
        <v>5140</v>
      </c>
      <c r="AA417" t="s">
        <v>5141</v>
      </c>
      <c r="AB417" t="s">
        <v>5142</v>
      </c>
      <c r="AC417" t="s">
        <v>5143</v>
      </c>
      <c r="AD417" s="249" t="str">
        <f>HYPERLINK("https://scontent.cdninstagram.com/t51.2885-15/s320x320/e35/c166.0.667.667/20766036_1911808665699571_3831796279042637824_n.jpg")</f>
        <v>https://scontent.cdninstagram.com/t51.2885-15/s320x320/e35/c166.0.667.667/20766036_1911808665699571_3831796279042637824_n.jpg</v>
      </c>
      <c r="AE417" s="249" t="str">
        <f>HYPERLINK("https://scontent.cdninstagram.com/t51.2885-19/11850234_855855154504262_1812941052_a.jpg")</f>
        <v>https://scontent.cdninstagram.com/t51.2885-19/11850234_855855154504262_1812941052_a.jpg</v>
      </c>
    </row>
    <row r="418" spans="1:31" ht="15" x14ac:dyDescent="0.25">
      <c r="A418" t="s">
        <v>2474</v>
      </c>
      <c r="B418" t="s">
        <v>5144</v>
      </c>
      <c r="C418" s="221">
        <v>42960.524953703702</v>
      </c>
      <c r="D418" t="s">
        <v>5145</v>
      </c>
      <c r="E418" s="249" t="str">
        <f>HYPERLINK("https://www.instagram.com/p/BXvas6MgjkK/")</f>
        <v>https://www.instagram.com/p/BXvas6MgjkK/</v>
      </c>
      <c r="F418" t="s">
        <v>5146</v>
      </c>
      <c r="G418" t="s">
        <v>2478</v>
      </c>
      <c r="H418">
        <v>761</v>
      </c>
      <c r="I418" t="s">
        <v>2542</v>
      </c>
      <c r="J418">
        <v>0</v>
      </c>
      <c r="K418">
        <v>97</v>
      </c>
      <c r="L418">
        <v>97</v>
      </c>
      <c r="Q418">
        <v>0</v>
      </c>
      <c r="R418">
        <v>0</v>
      </c>
      <c r="S418">
        <v>97</v>
      </c>
      <c r="Y418" t="s">
        <v>4513</v>
      </c>
      <c r="Z418" t="s">
        <v>2513</v>
      </c>
      <c r="AA418" t="s">
        <v>5147</v>
      </c>
      <c r="AB418" t="s">
        <v>2497</v>
      </c>
      <c r="AC418" t="s">
        <v>5148</v>
      </c>
      <c r="AD418" s="249" t="str">
        <f>HYPERLINK("https://scontent.cdninstagram.com/t51.2885-15/s320x320/e35/c0.115.1080.1080/20766450_1427815190659752_835613516961415168_n.jpg")</f>
        <v>https://scontent.cdninstagram.com/t51.2885-15/s320x320/e35/c0.115.1080.1080/20766450_1427815190659752_835613516961415168_n.jpg</v>
      </c>
      <c r="AE418" s="249" t="str">
        <f>HYPERLINK("https://scontent.cdninstagram.com/t51.2885-19/s150x150/18888719_1561987610479182_1083691545237913600_a.jpg")</f>
        <v>https://scontent.cdninstagram.com/t51.2885-19/s150x150/18888719_1561987610479182_1083691545237913600_a.jpg</v>
      </c>
    </row>
    <row r="419" spans="1:31" ht="15" x14ac:dyDescent="0.25">
      <c r="A419" t="s">
        <v>2474</v>
      </c>
      <c r="B419" t="s">
        <v>5149</v>
      </c>
      <c r="C419" s="221">
        <v>42960.531122685185</v>
      </c>
      <c r="D419" t="s">
        <v>5150</v>
      </c>
      <c r="E419" s="249" t="str">
        <f>HYPERLINK("https://www.instagram.com/p/BXvbt7PDMpO/")</f>
        <v>https://www.instagram.com/p/BXvbt7PDMpO/</v>
      </c>
      <c r="F419" t="s">
        <v>5151</v>
      </c>
      <c r="G419" t="s">
        <v>2631</v>
      </c>
      <c r="H419">
        <v>63104</v>
      </c>
      <c r="I419" t="s">
        <v>2479</v>
      </c>
      <c r="J419">
        <v>1</v>
      </c>
      <c r="K419">
        <v>162</v>
      </c>
      <c r="L419">
        <v>163</v>
      </c>
      <c r="Q419">
        <v>0</v>
      </c>
      <c r="R419">
        <v>0</v>
      </c>
      <c r="S419">
        <v>163</v>
      </c>
      <c r="Y419" t="s">
        <v>5152</v>
      </c>
      <c r="Z419" t="s">
        <v>5153</v>
      </c>
      <c r="AA419" t="s">
        <v>5154</v>
      </c>
      <c r="AB419" t="s">
        <v>5155</v>
      </c>
      <c r="AC419" t="s">
        <v>5156</v>
      </c>
      <c r="AD419" s="249" t="str">
        <f>HYPERLINK("https://scontent.cdninstagram.com/t51.2885-15/s320x320/e15/20688722_264521604048238_2874592907946360832_n.jpg")</f>
        <v>https://scontent.cdninstagram.com/t51.2885-15/s320x320/e15/20688722_264521604048238_2874592907946360832_n.jpg</v>
      </c>
      <c r="AE419" s="249" t="str">
        <f>HYPERLINK("https://scontent.cdninstagram.com/t51.2885-19/s150x150/14128779_278010482584432_2056131760_a.jpg")</f>
        <v>https://scontent.cdninstagram.com/t51.2885-19/s150x150/14128779_278010482584432_2056131760_a.jpg</v>
      </c>
    </row>
    <row r="420" spans="1:31" ht="15" x14ac:dyDescent="0.25">
      <c r="A420" t="s">
        <v>2474</v>
      </c>
      <c r="B420" t="s">
        <v>5157</v>
      </c>
      <c r="C420" s="221">
        <v>42960.531770833331</v>
      </c>
      <c r="D420" t="s">
        <v>5158</v>
      </c>
      <c r="E420" s="249" t="str">
        <f>HYPERLINK("https://www.instagram.com/p/BXvb0xJFKLl/")</f>
        <v>https://www.instagram.com/p/BXvb0xJFKLl/</v>
      </c>
      <c r="F420" t="s">
        <v>5159</v>
      </c>
      <c r="G420" t="s">
        <v>2478</v>
      </c>
      <c r="H420">
        <v>465</v>
      </c>
      <c r="I420" t="s">
        <v>2479</v>
      </c>
      <c r="J420">
        <v>1</v>
      </c>
      <c r="K420">
        <v>58</v>
      </c>
      <c r="L420">
        <v>59</v>
      </c>
      <c r="Q420">
        <v>0</v>
      </c>
      <c r="R420">
        <v>0</v>
      </c>
      <c r="S420">
        <v>59</v>
      </c>
      <c r="Y420" t="s">
        <v>5160</v>
      </c>
      <c r="Z420" t="s">
        <v>5161</v>
      </c>
      <c r="AA420" t="s">
        <v>5162</v>
      </c>
      <c r="AB420" t="s">
        <v>5163</v>
      </c>
      <c r="AC420" t="s">
        <v>5164</v>
      </c>
      <c r="AD420" s="249" t="str">
        <f>HYPERLINK("https://scontent.cdninstagram.com/t51.2885-15/s320x320/e35/20759168_1284775721631668_786675925151383552_n.jpg")</f>
        <v>https://scontent.cdninstagram.com/t51.2885-15/s320x320/e35/20759168_1284775721631668_786675925151383552_n.jpg</v>
      </c>
      <c r="AE420" s="249" t="str">
        <f>HYPERLINK("https://scontent.cdninstagram.com/t51.2885-19/s150x150/18380374_1083143231785899_7596330466832023552_a.jpg")</f>
        <v>https://scontent.cdninstagram.com/t51.2885-19/s150x150/18380374_1083143231785899_7596330466832023552_a.jpg</v>
      </c>
    </row>
    <row r="421" spans="1:31" ht="15" x14ac:dyDescent="0.25">
      <c r="A421" t="s">
        <v>2474</v>
      </c>
      <c r="B421" t="s">
        <v>5165</v>
      </c>
      <c r="C421" s="221">
        <v>42960.532962962963</v>
      </c>
      <c r="D421" t="s">
        <v>5166</v>
      </c>
      <c r="E421" s="249" t="str">
        <f>HYPERLINK("https://www.instagram.com/p/BXvcBSWF8rq/")</f>
        <v>https://www.instagram.com/p/BXvcBSWF8rq/</v>
      </c>
      <c r="F421" t="s">
        <v>5167</v>
      </c>
      <c r="G421" t="s">
        <v>2478</v>
      </c>
      <c r="H421">
        <v>193</v>
      </c>
      <c r="I421" t="s">
        <v>2479</v>
      </c>
      <c r="J421">
        <v>7</v>
      </c>
      <c r="K421">
        <v>47</v>
      </c>
      <c r="L421">
        <v>54</v>
      </c>
      <c r="Q421">
        <v>0</v>
      </c>
      <c r="R421">
        <v>0</v>
      </c>
      <c r="S421">
        <v>54</v>
      </c>
      <c r="Y421" t="s">
        <v>5168</v>
      </c>
      <c r="Z421" t="s">
        <v>5169</v>
      </c>
      <c r="AA421" t="s">
        <v>5170</v>
      </c>
      <c r="AB421" t="s">
        <v>3446</v>
      </c>
      <c r="AC421" t="s">
        <v>5171</v>
      </c>
      <c r="AD421" s="249" t="str">
        <f>HYPERLINK("https://scontent.cdninstagram.com/t51.2885-15/s320x320/e35/20837163_564908880300252_233935306561159168_n.jpg")</f>
        <v>https://scontent.cdninstagram.com/t51.2885-15/s320x320/e35/20837163_564908880300252_233935306561159168_n.jpg</v>
      </c>
      <c r="AE421" s="249" t="str">
        <f>HYPERLINK("https://scontent.cdninstagram.com/t51.2885-19/s150x150/20687286_247934042393701_8001972746206576640_a.jpg")</f>
        <v>https://scontent.cdninstagram.com/t51.2885-19/s150x150/20687286_247934042393701_8001972746206576640_a.jpg</v>
      </c>
    </row>
    <row r="422" spans="1:31" ht="15" x14ac:dyDescent="0.25">
      <c r="A422" t="s">
        <v>2474</v>
      </c>
      <c r="B422" t="s">
        <v>5149</v>
      </c>
      <c r="C422" s="221">
        <v>42960.538877314815</v>
      </c>
      <c r="D422" t="s">
        <v>5172</v>
      </c>
      <c r="E422" s="249" t="str">
        <f>HYPERLINK("https://www.instagram.com/p/BXvc_yDDZoO/")</f>
        <v>https://www.instagram.com/p/BXvc_yDDZoO/</v>
      </c>
      <c r="F422" t="s">
        <v>5173</v>
      </c>
      <c r="G422" t="s">
        <v>2478</v>
      </c>
      <c r="H422">
        <v>63102</v>
      </c>
      <c r="I422" t="s">
        <v>2479</v>
      </c>
      <c r="J422">
        <v>0</v>
      </c>
      <c r="K422">
        <v>43</v>
      </c>
      <c r="L422">
        <v>43</v>
      </c>
      <c r="Q422">
        <v>0</v>
      </c>
      <c r="R422">
        <v>0</v>
      </c>
      <c r="S422">
        <v>43</v>
      </c>
      <c r="Y422" t="s">
        <v>5153</v>
      </c>
      <c r="Z422" t="s">
        <v>5174</v>
      </c>
      <c r="AA422" t="s">
        <v>2497</v>
      </c>
      <c r="AB422" t="s">
        <v>5175</v>
      </c>
      <c r="AD422" s="249" t="str">
        <f>HYPERLINK("https://scontent.cdninstagram.com/t51.2885-15/s320x320/e35/c135.0.809.809/20759769_1973032219639505_8089471988919173120_n.jpg")</f>
        <v>https://scontent.cdninstagram.com/t51.2885-15/s320x320/e35/c135.0.809.809/20759769_1973032219639505_8089471988919173120_n.jpg</v>
      </c>
      <c r="AE422" s="249" t="str">
        <f>HYPERLINK("https://scontent.cdninstagram.com/t51.2885-19/s150x150/14128779_278010482584432_2056131760_a.jpg")</f>
        <v>https://scontent.cdninstagram.com/t51.2885-19/s150x150/14128779_278010482584432_2056131760_a.jpg</v>
      </c>
    </row>
    <row r="423" spans="1:31" ht="15" x14ac:dyDescent="0.25">
      <c r="A423" t="s">
        <v>2474</v>
      </c>
      <c r="B423" t="s">
        <v>5176</v>
      </c>
      <c r="C423" s="221">
        <v>42960.538969907408</v>
      </c>
      <c r="D423" t="s">
        <v>5177</v>
      </c>
      <c r="E423" s="249" t="str">
        <f>HYPERLINK("https://www.instagram.com/p/BXvdApIAFYG/")</f>
        <v>https://www.instagram.com/p/BXvdApIAFYG/</v>
      </c>
      <c r="F423" t="s">
        <v>5178</v>
      </c>
      <c r="G423" t="s">
        <v>2478</v>
      </c>
      <c r="H423">
        <v>645</v>
      </c>
      <c r="I423" t="s">
        <v>2479</v>
      </c>
      <c r="J423">
        <v>0</v>
      </c>
      <c r="K423">
        <v>8</v>
      </c>
      <c r="L423">
        <v>8</v>
      </c>
      <c r="Q423">
        <v>0</v>
      </c>
      <c r="R423">
        <v>0</v>
      </c>
      <c r="S423">
        <v>8</v>
      </c>
      <c r="T423" t="s">
        <v>5179</v>
      </c>
      <c r="V423" t="s">
        <v>2182</v>
      </c>
      <c r="W423">
        <v>45.578440000000001</v>
      </c>
      <c r="X423">
        <v>12.52896</v>
      </c>
      <c r="Y423" t="s">
        <v>5180</v>
      </c>
      <c r="Z423" t="s">
        <v>2497</v>
      </c>
      <c r="AD423" s="249" t="str">
        <f>HYPERLINK("https://scontent.cdninstagram.com/t51.2885-15/s320x320/e35/c32.0.576.576/20759343_1970257686579415_7643607276393070592_n.jpg")</f>
        <v>https://scontent.cdninstagram.com/t51.2885-15/s320x320/e35/c32.0.576.576/20759343_1970257686579415_7643607276393070592_n.jpg</v>
      </c>
      <c r="AE423" s="249" t="str">
        <f>HYPERLINK("https://scontent.cdninstagram.com/t51.2885-19/s150x150/16123564_371681389874079_4799928233078292480_a.jpg")</f>
        <v>https://scontent.cdninstagram.com/t51.2885-19/s150x150/16123564_371681389874079_4799928233078292480_a.jpg</v>
      </c>
    </row>
    <row r="424" spans="1:31" ht="15" x14ac:dyDescent="0.25">
      <c r="A424" t="s">
        <v>2474</v>
      </c>
      <c r="B424" t="s">
        <v>5149</v>
      </c>
      <c r="C424" s="221">
        <v>42960.539513888885</v>
      </c>
      <c r="D424" t="s">
        <v>5181</v>
      </c>
      <c r="E424" s="249" t="str">
        <f>HYPERLINK("https://www.instagram.com/p/BXvdGdBjt1x/")</f>
        <v>https://www.instagram.com/p/BXvdGdBjt1x/</v>
      </c>
      <c r="F424" t="s">
        <v>5173</v>
      </c>
      <c r="G424" t="s">
        <v>2478</v>
      </c>
      <c r="H424">
        <v>63102</v>
      </c>
      <c r="I424" t="s">
        <v>2479</v>
      </c>
      <c r="J424">
        <v>0</v>
      </c>
      <c r="K424">
        <v>48</v>
      </c>
      <c r="L424">
        <v>48</v>
      </c>
      <c r="Q424">
        <v>0</v>
      </c>
      <c r="R424">
        <v>0</v>
      </c>
      <c r="S424">
        <v>48</v>
      </c>
      <c r="Y424" t="s">
        <v>5153</v>
      </c>
      <c r="Z424" t="s">
        <v>5174</v>
      </c>
      <c r="AA424" t="s">
        <v>2497</v>
      </c>
      <c r="AB424" t="s">
        <v>5175</v>
      </c>
      <c r="AD424" s="249" t="str">
        <f>HYPERLINK("https://scontent.cdninstagram.com/t51.2885-15/s320x320/e35/20759748_2016152768669767_5148027043132211200_n.jpg")</f>
        <v>https://scontent.cdninstagram.com/t51.2885-15/s320x320/e35/20759748_2016152768669767_5148027043132211200_n.jpg</v>
      </c>
      <c r="AE424" s="249" t="str">
        <f>HYPERLINK("https://scontent.cdninstagram.com/t51.2885-19/s150x150/14128779_278010482584432_2056131760_a.jpg")</f>
        <v>https://scontent.cdninstagram.com/t51.2885-19/s150x150/14128779_278010482584432_2056131760_a.jpg</v>
      </c>
    </row>
    <row r="425" spans="1:31" ht="15" x14ac:dyDescent="0.25">
      <c r="A425" t="s">
        <v>2474</v>
      </c>
      <c r="B425" t="s">
        <v>5182</v>
      </c>
      <c r="C425" s="221">
        <v>42960.540682870371</v>
      </c>
      <c r="D425" t="s">
        <v>5183</v>
      </c>
      <c r="E425" s="249" t="str">
        <f>HYPERLINK("https://www.instagram.com/p/BXvdSy-D2Dw/")</f>
        <v>https://www.instagram.com/p/BXvdSy-D2Dw/</v>
      </c>
      <c r="F425" t="s">
        <v>5184</v>
      </c>
      <c r="G425" t="s">
        <v>2478</v>
      </c>
      <c r="H425">
        <v>242</v>
      </c>
      <c r="I425" t="s">
        <v>2910</v>
      </c>
      <c r="J425">
        <v>3</v>
      </c>
      <c r="K425">
        <v>43</v>
      </c>
      <c r="L425">
        <v>46</v>
      </c>
      <c r="Q425">
        <v>0</v>
      </c>
      <c r="R425">
        <v>0</v>
      </c>
      <c r="S425">
        <v>46</v>
      </c>
      <c r="T425" t="s">
        <v>5185</v>
      </c>
      <c r="V425" t="s">
        <v>2182</v>
      </c>
      <c r="W425">
        <v>42.365555555556</v>
      </c>
      <c r="X425">
        <v>10.901666666666999</v>
      </c>
      <c r="Y425" t="s">
        <v>2497</v>
      </c>
      <c r="Z425" t="s">
        <v>5186</v>
      </c>
      <c r="AA425" t="s">
        <v>5187</v>
      </c>
      <c r="AB425" t="s">
        <v>5188</v>
      </c>
      <c r="AC425" t="s">
        <v>2529</v>
      </c>
      <c r="AD425" s="249" t="str">
        <f>HYPERLINK("https://scontent.cdninstagram.com/t51.2885-15/s320x320/e35/c0.9.899.899/20766289_1478471815575499_5056334958855979008_n.jpg")</f>
        <v>https://scontent.cdninstagram.com/t51.2885-15/s320x320/e35/c0.9.899.899/20766289_1478471815575499_5056334958855979008_n.jpg</v>
      </c>
      <c r="AE425" s="249" t="str">
        <f>HYPERLINK("https://scontent.cdninstagram.com/t51.2885-19/s150x150/20766758_857263507769576_5055449216340459520_a.jpg")</f>
        <v>https://scontent.cdninstagram.com/t51.2885-19/s150x150/20766758_857263507769576_5055449216340459520_a.jpg</v>
      </c>
    </row>
    <row r="426" spans="1:31" ht="15" x14ac:dyDescent="0.25">
      <c r="A426" t="s">
        <v>2474</v>
      </c>
      <c r="B426" t="s">
        <v>4132</v>
      </c>
      <c r="C426" s="221">
        <v>42960.542256944442</v>
      </c>
      <c r="D426" t="s">
        <v>5189</v>
      </c>
      <c r="E426" s="249" t="str">
        <f>HYPERLINK("https://www.instagram.com/p/BXvdjYwl0rT/")</f>
        <v>https://www.instagram.com/p/BXvdjYwl0rT/</v>
      </c>
      <c r="F426" t="s">
        <v>5190</v>
      </c>
      <c r="G426" t="s">
        <v>2478</v>
      </c>
      <c r="H426">
        <v>6878</v>
      </c>
      <c r="I426" t="s">
        <v>2479</v>
      </c>
      <c r="J426">
        <v>1</v>
      </c>
      <c r="K426">
        <v>33</v>
      </c>
      <c r="L426">
        <v>34</v>
      </c>
      <c r="Q426">
        <v>0</v>
      </c>
      <c r="R426">
        <v>0</v>
      </c>
      <c r="S426">
        <v>34</v>
      </c>
      <c r="Y426" t="s">
        <v>5191</v>
      </c>
      <c r="Z426" t="s">
        <v>4138</v>
      </c>
      <c r="AA426" t="s">
        <v>2588</v>
      </c>
      <c r="AB426" t="s">
        <v>5192</v>
      </c>
      <c r="AC426" t="s">
        <v>4753</v>
      </c>
      <c r="AD426" s="249" t="str">
        <f>HYPERLINK("https://scontent.cdninstagram.com/t51.2885-15/s320x320/e35/c34.0.571.571/20837539_123207261654543_7768386839529914368_n.jpg")</f>
        <v>https://scontent.cdninstagram.com/t51.2885-15/s320x320/e35/c34.0.571.571/20837539_123207261654543_7768386839529914368_n.jpg</v>
      </c>
      <c r="AE426" s="249" t="str">
        <f>HYPERLINK("https://scontent.cdninstagram.com/t51.2885-19/s150x150/15306012_1834743390099693_621234283125669888_a.jpg")</f>
        <v>https://scontent.cdninstagram.com/t51.2885-19/s150x150/15306012_1834743390099693_621234283125669888_a.jpg</v>
      </c>
    </row>
    <row r="427" spans="1:31" ht="15" x14ac:dyDescent="0.25">
      <c r="A427" t="s">
        <v>2474</v>
      </c>
      <c r="B427" t="s">
        <v>3761</v>
      </c>
      <c r="C427" s="221">
        <v>42960.544224537036</v>
      </c>
      <c r="D427" t="s">
        <v>5193</v>
      </c>
      <c r="E427" s="249" t="str">
        <f>HYPERLINK("https://www.instagram.com/p/BXvd4HhnbpA/")</f>
        <v>https://www.instagram.com/p/BXvd4HhnbpA/</v>
      </c>
      <c r="F427" t="s">
        <v>5194</v>
      </c>
      <c r="G427" t="s">
        <v>2478</v>
      </c>
      <c r="H427">
        <v>35693</v>
      </c>
      <c r="I427" t="s">
        <v>2479</v>
      </c>
      <c r="J427">
        <v>0</v>
      </c>
      <c r="K427">
        <v>17</v>
      </c>
      <c r="L427">
        <v>17</v>
      </c>
      <c r="Q427">
        <v>0</v>
      </c>
      <c r="R427">
        <v>0</v>
      </c>
      <c r="S427">
        <v>17</v>
      </c>
      <c r="Y427" t="s">
        <v>5195</v>
      </c>
      <c r="Z427" t="s">
        <v>5196</v>
      </c>
      <c r="AA427" t="s">
        <v>5197</v>
      </c>
      <c r="AB427" t="s">
        <v>4801</v>
      </c>
      <c r="AC427" t="s">
        <v>4231</v>
      </c>
      <c r="AD427" s="249" t="str">
        <f>HYPERLINK("https://scontent.cdninstagram.com/t51.2885-15/s320x320/e35/20837813_305866273213864_2783249738223321088_n.jpg")</f>
        <v>https://scontent.cdninstagram.com/t51.2885-15/s320x320/e35/20837813_305866273213864_2783249738223321088_n.jpg</v>
      </c>
      <c r="AE427" s="249" t="str">
        <f>HYPERLINK("https://scontent.cdninstagram.com/t51.2885-19/s150x150/19985865_1705783593058831_5928851088227696640_n.jpg")</f>
        <v>https://scontent.cdninstagram.com/t51.2885-19/s150x150/19985865_1705783593058831_5928851088227696640_n.jpg</v>
      </c>
    </row>
    <row r="428" spans="1:31" ht="15" x14ac:dyDescent="0.25">
      <c r="A428" t="s">
        <v>2474</v>
      </c>
      <c r="B428" t="s">
        <v>5198</v>
      </c>
      <c r="C428" s="221">
        <v>42960.545185185183</v>
      </c>
      <c r="D428" t="s">
        <v>5199</v>
      </c>
      <c r="E428" s="249" t="str">
        <f>HYPERLINK("https://www.instagram.com/p/BXveCMdhQ3t/")</f>
        <v>https://www.instagram.com/p/BXveCMdhQ3t/</v>
      </c>
      <c r="F428" t="s">
        <v>5200</v>
      </c>
      <c r="G428" t="s">
        <v>2478</v>
      </c>
      <c r="H428">
        <v>3389</v>
      </c>
      <c r="I428" t="s">
        <v>2479</v>
      </c>
      <c r="J428">
        <v>0</v>
      </c>
      <c r="K428">
        <v>26</v>
      </c>
      <c r="L428">
        <v>26</v>
      </c>
      <c r="Q428">
        <v>0</v>
      </c>
      <c r="R428">
        <v>0</v>
      </c>
      <c r="S428">
        <v>26</v>
      </c>
      <c r="Y428" t="s">
        <v>5201</v>
      </c>
      <c r="Z428" t="s">
        <v>5202</v>
      </c>
      <c r="AA428" t="s">
        <v>3446</v>
      </c>
      <c r="AB428" t="s">
        <v>5203</v>
      </c>
      <c r="AC428" t="s">
        <v>5204</v>
      </c>
      <c r="AD428" s="249" t="str">
        <f>HYPERLINK("https://scontent.cdninstagram.com/t51.2885-15/s320x320/e35/20766509_160973151126113_6195997220815241216_n.jpg")</f>
        <v>https://scontent.cdninstagram.com/t51.2885-15/s320x320/e35/20766509_160973151126113_6195997220815241216_n.jpg</v>
      </c>
      <c r="AE428" s="249" t="str">
        <f>HYPERLINK("https://scontent.cdninstagram.com/t51.2885-19/s150x150/20766831_164923790731434_4033528122681851904_a.jpg")</f>
        <v>https://scontent.cdninstagram.com/t51.2885-19/s150x150/20766831_164923790731434_4033528122681851904_a.jpg</v>
      </c>
    </row>
    <row r="429" spans="1:31" ht="15" x14ac:dyDescent="0.25">
      <c r="A429" t="s">
        <v>2474</v>
      </c>
      <c r="B429" t="s">
        <v>5149</v>
      </c>
      <c r="C429" s="221">
        <v>42960.55395833333</v>
      </c>
      <c r="D429" t="s">
        <v>5205</v>
      </c>
      <c r="E429" s="249" t="str">
        <f>HYPERLINK("https://www.instagram.com/p/BXvfe1ajIvc/")</f>
        <v>https://www.instagram.com/p/BXvfe1ajIvc/</v>
      </c>
      <c r="F429" t="s">
        <v>5206</v>
      </c>
      <c r="G429" t="s">
        <v>2478</v>
      </c>
      <c r="H429">
        <v>63102</v>
      </c>
      <c r="I429" t="s">
        <v>2479</v>
      </c>
      <c r="J429">
        <v>1</v>
      </c>
      <c r="K429">
        <v>87</v>
      </c>
      <c r="L429">
        <v>88</v>
      </c>
      <c r="Q429">
        <v>0</v>
      </c>
      <c r="R429">
        <v>0</v>
      </c>
      <c r="S429">
        <v>88</v>
      </c>
      <c r="Y429" t="s">
        <v>5207</v>
      </c>
      <c r="Z429" t="s">
        <v>5153</v>
      </c>
      <c r="AA429" t="s">
        <v>2497</v>
      </c>
      <c r="AD429" s="249" t="str">
        <f>HYPERLINK("https://scontent.cdninstagram.com/t51.2885-15/s320x320/e35/c135.0.809.809/20635250_512374225775217_7899165531381432320_n.jpg")</f>
        <v>https://scontent.cdninstagram.com/t51.2885-15/s320x320/e35/c135.0.809.809/20635250_512374225775217_7899165531381432320_n.jpg</v>
      </c>
      <c r="AE429" s="249" t="str">
        <f>HYPERLINK("https://scontent.cdninstagram.com/t51.2885-19/s150x150/14128779_278010482584432_2056131760_a.jpg")</f>
        <v>https://scontent.cdninstagram.com/t51.2885-19/s150x150/14128779_278010482584432_2056131760_a.jpg</v>
      </c>
    </row>
    <row r="430" spans="1:31" ht="15" x14ac:dyDescent="0.25">
      <c r="A430" t="s">
        <v>2474</v>
      </c>
      <c r="B430" t="s">
        <v>4616</v>
      </c>
      <c r="C430" s="221">
        <v>42960.554942129631</v>
      </c>
      <c r="D430" t="s">
        <v>5208</v>
      </c>
      <c r="E430" s="249" t="str">
        <f>HYPERLINK("https://www.instagram.com/p/BXvfpHOBReO/")</f>
        <v>https://www.instagram.com/p/BXvfpHOBReO/</v>
      </c>
      <c r="F430" t="s">
        <v>5209</v>
      </c>
      <c r="G430" t="s">
        <v>2478</v>
      </c>
      <c r="H430">
        <v>106</v>
      </c>
      <c r="I430" t="s">
        <v>2479</v>
      </c>
      <c r="J430">
        <v>0</v>
      </c>
      <c r="K430">
        <v>17</v>
      </c>
      <c r="L430">
        <v>17</v>
      </c>
      <c r="Q430">
        <v>0</v>
      </c>
      <c r="R430">
        <v>0</v>
      </c>
      <c r="S430">
        <v>17</v>
      </c>
      <c r="Y430" t="s">
        <v>4621</v>
      </c>
      <c r="Z430" t="s">
        <v>5210</v>
      </c>
      <c r="AA430" t="s">
        <v>5211</v>
      </c>
      <c r="AB430" t="s">
        <v>2944</v>
      </c>
      <c r="AC430" t="s">
        <v>3569</v>
      </c>
      <c r="AD430" s="249" t="str">
        <f>HYPERLINK("https://scontent.cdninstagram.com/t51.2885-15/s320x320/e35/c2.0.1075.1075/20837325_163828987498791_5122354069393899520_n.jpg")</f>
        <v>https://scontent.cdninstagram.com/t51.2885-15/s320x320/e35/c2.0.1075.1075/20837325_163828987498791_5122354069393899520_n.jpg</v>
      </c>
      <c r="AE430" s="249" t="str">
        <f>HYPERLINK("https://scontent.cdninstagram.com/t51.2885-19/s150x150/17494353_1347957098574282_2527511313651859456_a.jpg")</f>
        <v>https://scontent.cdninstagram.com/t51.2885-19/s150x150/17494353_1347957098574282_2527511313651859456_a.jpg</v>
      </c>
    </row>
    <row r="431" spans="1:31" ht="15" x14ac:dyDescent="0.25">
      <c r="A431" t="s">
        <v>2474</v>
      </c>
      <c r="B431" t="s">
        <v>3824</v>
      </c>
      <c r="C431" s="221">
        <v>42960.555254629631</v>
      </c>
      <c r="D431" t="s">
        <v>5212</v>
      </c>
      <c r="E431" s="249" t="str">
        <f>HYPERLINK("https://www.instagram.com/p/BXvfse9FWEx/")</f>
        <v>https://www.instagram.com/p/BXvfse9FWEx/</v>
      </c>
      <c r="F431" t="s">
        <v>5213</v>
      </c>
      <c r="G431" t="s">
        <v>2478</v>
      </c>
      <c r="H431">
        <v>1041</v>
      </c>
      <c r="I431" t="s">
        <v>2479</v>
      </c>
      <c r="J431">
        <v>0</v>
      </c>
      <c r="K431">
        <v>54</v>
      </c>
      <c r="L431">
        <v>54</v>
      </c>
      <c r="Q431">
        <v>0</v>
      </c>
      <c r="R431">
        <v>0</v>
      </c>
      <c r="S431">
        <v>54</v>
      </c>
      <c r="Y431" t="s">
        <v>3568</v>
      </c>
      <c r="Z431" t="s">
        <v>5214</v>
      </c>
      <c r="AA431" t="s">
        <v>3213</v>
      </c>
      <c r="AB431" t="s">
        <v>3446</v>
      </c>
      <c r="AC431" t="s">
        <v>3829</v>
      </c>
      <c r="AD431" s="249" t="str">
        <f>HYPERLINK("https://scontent.cdninstagram.com/t51.2885-15/s320x320/e35/c31.0.578.578/20766505_126694634629001_6655090119080411136_n.jpg")</f>
        <v>https://scontent.cdninstagram.com/t51.2885-15/s320x320/e35/c31.0.578.578/20766505_126694634629001_6655090119080411136_n.jpg</v>
      </c>
      <c r="AE431" s="249" t="str">
        <f>HYPERLINK("https://scontent.cdninstagram.com/t51.2885-19/s150x150/19228675_316947935407228_6855499933131210752_a.jpg")</f>
        <v>https://scontent.cdninstagram.com/t51.2885-19/s150x150/19228675_316947935407228_6855499933131210752_a.jpg</v>
      </c>
    </row>
    <row r="432" spans="1:31" ht="15" x14ac:dyDescent="0.25">
      <c r="A432" t="s">
        <v>2474</v>
      </c>
      <c r="B432" t="s">
        <v>5215</v>
      </c>
      <c r="C432" s="221">
        <v>42960.555925925924</v>
      </c>
      <c r="D432" t="s">
        <v>5216</v>
      </c>
      <c r="E432" s="249" t="str">
        <f>HYPERLINK("https://www.instagram.com/p/BXvfzlKHPco/")</f>
        <v>https://www.instagram.com/p/BXvfzlKHPco/</v>
      </c>
      <c r="F432" t="s">
        <v>5217</v>
      </c>
      <c r="G432" t="s">
        <v>2478</v>
      </c>
      <c r="H432">
        <v>19146</v>
      </c>
      <c r="I432" t="s">
        <v>2479</v>
      </c>
      <c r="J432">
        <v>3</v>
      </c>
      <c r="K432">
        <v>73</v>
      </c>
      <c r="L432">
        <v>76</v>
      </c>
      <c r="Q432">
        <v>0</v>
      </c>
      <c r="R432">
        <v>0</v>
      </c>
      <c r="S432">
        <v>76</v>
      </c>
      <c r="T432" t="s">
        <v>5218</v>
      </c>
      <c r="U432" t="s">
        <v>106</v>
      </c>
      <c r="V432" t="s">
        <v>2299</v>
      </c>
      <c r="W432">
        <v>25.799620000000001</v>
      </c>
      <c r="X432">
        <v>-80.201350000000005</v>
      </c>
      <c r="Y432" t="s">
        <v>5219</v>
      </c>
      <c r="Z432" t="s">
        <v>5153</v>
      </c>
      <c r="AA432" t="s">
        <v>5220</v>
      </c>
      <c r="AB432" t="s">
        <v>5221</v>
      </c>
      <c r="AC432" t="s">
        <v>2497</v>
      </c>
      <c r="AD432" s="249" t="str">
        <f>HYPERLINK("https://scontent.cdninstagram.com/t51.2885-15/s320x320/e35/20688495_338754886563328_6765320639415844864_n.jpg")</f>
        <v>https://scontent.cdninstagram.com/t51.2885-15/s320x320/e35/20688495_338754886563328_6765320639415844864_n.jpg</v>
      </c>
      <c r="AE432" s="249" t="str">
        <f>HYPERLINK("https://scontent.cdninstagram.com/t51.2885-19/s150x150/11906341_145547955788568_785331606_a.jpg")</f>
        <v>https://scontent.cdninstagram.com/t51.2885-19/s150x150/11906341_145547955788568_785331606_a.jpg</v>
      </c>
    </row>
    <row r="433" spans="1:31" ht="15" x14ac:dyDescent="0.25">
      <c r="A433" t="s">
        <v>2474</v>
      </c>
      <c r="B433" t="s">
        <v>5149</v>
      </c>
      <c r="C433" s="221">
        <v>42960.571655092594</v>
      </c>
      <c r="D433" t="s">
        <v>5222</v>
      </c>
      <c r="E433" s="249" t="str">
        <f>HYPERLINK("https://www.instagram.com/p/BXviZZvjFz4/")</f>
        <v>https://www.instagram.com/p/BXviZZvjFz4/</v>
      </c>
      <c r="F433" t="s">
        <v>5173</v>
      </c>
      <c r="G433" t="s">
        <v>2478</v>
      </c>
      <c r="H433">
        <v>63105</v>
      </c>
      <c r="I433" t="s">
        <v>2479</v>
      </c>
      <c r="J433">
        <v>0</v>
      </c>
      <c r="K433">
        <v>53</v>
      </c>
      <c r="L433">
        <v>53</v>
      </c>
      <c r="Q433">
        <v>0</v>
      </c>
      <c r="R433">
        <v>0</v>
      </c>
      <c r="S433">
        <v>53</v>
      </c>
      <c r="Y433" t="s">
        <v>5153</v>
      </c>
      <c r="Z433" t="s">
        <v>5174</v>
      </c>
      <c r="AA433" t="s">
        <v>2497</v>
      </c>
      <c r="AB433" t="s">
        <v>5175</v>
      </c>
      <c r="AD433" s="249" t="str">
        <f>HYPERLINK("https://scontent.cdninstagram.com/t51.2885-15/s320x320/e35/20759115_495740527468436_2703799208388853760_n.jpg")</f>
        <v>https://scontent.cdninstagram.com/t51.2885-15/s320x320/e35/20759115_495740527468436_2703799208388853760_n.jpg</v>
      </c>
      <c r="AE433" s="249" t="str">
        <f>HYPERLINK("https://scontent.cdninstagram.com/t51.2885-19/s150x150/14128779_278010482584432_2056131760_a.jpg")</f>
        <v>https://scontent.cdninstagram.com/t51.2885-19/s150x150/14128779_278010482584432_2056131760_a.jpg</v>
      </c>
    </row>
    <row r="434" spans="1:31" ht="15" x14ac:dyDescent="0.25">
      <c r="A434" t="s">
        <v>2474</v>
      </c>
      <c r="B434" t="s">
        <v>5149</v>
      </c>
      <c r="C434" s="221">
        <v>42960.577291666668</v>
      </c>
      <c r="D434" t="s">
        <v>5223</v>
      </c>
      <c r="E434" s="249" t="str">
        <f>HYPERLINK("https://www.instagram.com/p/BXvjU7vDJFF/")</f>
        <v>https://www.instagram.com/p/BXvjU7vDJFF/</v>
      </c>
      <c r="F434" t="s">
        <v>5224</v>
      </c>
      <c r="G434" t="s">
        <v>2631</v>
      </c>
      <c r="H434">
        <v>63105</v>
      </c>
      <c r="I434" t="s">
        <v>2542</v>
      </c>
      <c r="J434">
        <v>3</v>
      </c>
      <c r="K434">
        <v>92</v>
      </c>
      <c r="L434">
        <v>95</v>
      </c>
      <c r="Q434">
        <v>0</v>
      </c>
      <c r="R434">
        <v>0</v>
      </c>
      <c r="S434">
        <v>95</v>
      </c>
      <c r="T434" t="s">
        <v>5218</v>
      </c>
      <c r="U434" t="s">
        <v>106</v>
      </c>
      <c r="V434" t="s">
        <v>2299</v>
      </c>
      <c r="W434">
        <v>25.799620000000001</v>
      </c>
      <c r="X434">
        <v>-80.201350000000005</v>
      </c>
      <c r="Y434" t="s">
        <v>5207</v>
      </c>
      <c r="Z434" t="s">
        <v>5221</v>
      </c>
      <c r="AA434" t="s">
        <v>2497</v>
      </c>
      <c r="AB434" t="s">
        <v>5153</v>
      </c>
      <c r="AD434" s="249" t="str">
        <f>HYPERLINK("https://scontent.cdninstagram.com/t51.2885-15/s320x320/e15/20766053_153274418584753_5688998596632903680_n.jpg")</f>
        <v>https://scontent.cdninstagram.com/t51.2885-15/s320x320/e15/20766053_153274418584753_5688998596632903680_n.jpg</v>
      </c>
      <c r="AE434" s="249" t="str">
        <f>HYPERLINK("https://scontent.cdninstagram.com/t51.2885-19/s150x150/14128779_278010482584432_2056131760_a.jpg")</f>
        <v>https://scontent.cdninstagram.com/t51.2885-19/s150x150/14128779_278010482584432_2056131760_a.jpg</v>
      </c>
    </row>
    <row r="435" spans="1:31" ht="15" x14ac:dyDescent="0.25">
      <c r="A435" t="s">
        <v>2474</v>
      </c>
      <c r="B435" t="s">
        <v>5225</v>
      </c>
      <c r="C435" s="221">
        <v>42960.579456018517</v>
      </c>
      <c r="D435" t="s">
        <v>5226</v>
      </c>
      <c r="E435" s="249" t="str">
        <f>HYPERLINK("https://www.instagram.com/p/BXvjrqlgAxM/")</f>
        <v>https://www.instagram.com/p/BXvjrqlgAxM/</v>
      </c>
      <c r="F435" t="s">
        <v>5227</v>
      </c>
      <c r="G435" t="s">
        <v>2478</v>
      </c>
      <c r="H435">
        <v>49</v>
      </c>
      <c r="I435" t="s">
        <v>2479</v>
      </c>
      <c r="J435">
        <v>0</v>
      </c>
      <c r="K435">
        <v>14</v>
      </c>
      <c r="L435">
        <v>14</v>
      </c>
      <c r="Q435">
        <v>0</v>
      </c>
      <c r="R435">
        <v>0</v>
      </c>
      <c r="S435">
        <v>14</v>
      </c>
      <c r="T435" t="s">
        <v>5228</v>
      </c>
      <c r="V435" t="s">
        <v>2154</v>
      </c>
      <c r="W435">
        <v>47.498634698221998</v>
      </c>
      <c r="X435">
        <v>-0.50784128552246999</v>
      </c>
      <c r="Y435" t="s">
        <v>5229</v>
      </c>
      <c r="Z435" t="s">
        <v>3804</v>
      </c>
      <c r="AA435" t="s">
        <v>5230</v>
      </c>
      <c r="AB435" t="s">
        <v>5231</v>
      </c>
      <c r="AC435" t="s">
        <v>5232</v>
      </c>
      <c r="AD435" s="249" t="str">
        <f>HYPERLINK("https://scontent.cdninstagram.com/t51.2885-15/s320x320/e35/20766716_1971267723160361_6900572737274642432_n.jpg")</f>
        <v>https://scontent.cdninstagram.com/t51.2885-15/s320x320/e35/20766716_1971267723160361_6900572737274642432_n.jpg</v>
      </c>
      <c r="AE435" s="249" t="str">
        <f>HYPERLINK("https://scontent.cdninstagram.com/t51.2885-19/s150x150/18949503_1122155304550657_4049188449616396288_a.jpg")</f>
        <v>https://scontent.cdninstagram.com/t51.2885-19/s150x150/18949503_1122155304550657_4049188449616396288_a.jpg</v>
      </c>
    </row>
    <row r="436" spans="1:31" ht="15" x14ac:dyDescent="0.25">
      <c r="A436" t="s">
        <v>2474</v>
      </c>
      <c r="B436" t="s">
        <v>3301</v>
      </c>
      <c r="C436" s="221">
        <v>42960.581377314818</v>
      </c>
      <c r="D436" t="s">
        <v>5233</v>
      </c>
      <c r="E436" s="249" t="str">
        <f>HYPERLINK("https://www.instagram.com/p/BXvkAAXjzIN/")</f>
        <v>https://www.instagram.com/p/BXvkAAXjzIN/</v>
      </c>
      <c r="F436" t="s">
        <v>5234</v>
      </c>
      <c r="G436" t="s">
        <v>2478</v>
      </c>
      <c r="H436">
        <v>581</v>
      </c>
      <c r="I436" t="s">
        <v>2479</v>
      </c>
      <c r="J436">
        <v>18</v>
      </c>
      <c r="K436">
        <v>226</v>
      </c>
      <c r="L436">
        <v>244</v>
      </c>
      <c r="Q436">
        <v>0</v>
      </c>
      <c r="R436">
        <v>0</v>
      </c>
      <c r="S436">
        <v>244</v>
      </c>
      <c r="Y436" t="s">
        <v>4159</v>
      </c>
      <c r="Z436" t="s">
        <v>5235</v>
      </c>
      <c r="AA436" t="s">
        <v>4157</v>
      </c>
      <c r="AB436" t="s">
        <v>2513</v>
      </c>
      <c r="AC436" t="s">
        <v>5236</v>
      </c>
      <c r="AD436" s="249" t="str">
        <f>HYPERLINK("https://scontent.cdninstagram.com/t51.2885-15/s320x320/e35/20837547_333788733739960_8565626228155875328_n.jpg")</f>
        <v>https://scontent.cdninstagram.com/t51.2885-15/s320x320/e35/20837547_333788733739960_8565626228155875328_n.jpg</v>
      </c>
      <c r="AE436" s="249" t="str">
        <f>HYPERLINK("https://scontent.cdninstagram.com/t51.2885-19/s150x150/19228478_370974479971900_5746578409966796800_a.jpg")</f>
        <v>https://scontent.cdninstagram.com/t51.2885-19/s150x150/19228478_370974479971900_5746578409966796800_a.jpg</v>
      </c>
    </row>
    <row r="437" spans="1:31" ht="15" x14ac:dyDescent="0.25">
      <c r="A437" t="s">
        <v>2474</v>
      </c>
      <c r="B437" t="s">
        <v>4101</v>
      </c>
      <c r="C437" s="221">
        <v>42960.584351851852</v>
      </c>
      <c r="D437" t="s">
        <v>5237</v>
      </c>
      <c r="E437" s="249" t="str">
        <f>HYPERLINK("https://www.instagram.com/p/BXvkfX6gSCu/")</f>
        <v>https://www.instagram.com/p/BXvkfX6gSCu/</v>
      </c>
      <c r="F437" t="s">
        <v>5238</v>
      </c>
      <c r="G437" t="s">
        <v>2478</v>
      </c>
      <c r="H437">
        <v>165</v>
      </c>
      <c r="I437" t="s">
        <v>2542</v>
      </c>
      <c r="J437">
        <v>0</v>
      </c>
      <c r="K437">
        <v>25</v>
      </c>
      <c r="L437">
        <v>25</v>
      </c>
      <c r="Q437">
        <v>0</v>
      </c>
      <c r="R437">
        <v>0</v>
      </c>
      <c r="S437">
        <v>25</v>
      </c>
      <c r="Y437" t="s">
        <v>3686</v>
      </c>
      <c r="Z437" t="s">
        <v>4106</v>
      </c>
      <c r="AA437" t="s">
        <v>5239</v>
      </c>
      <c r="AB437" t="s">
        <v>3006</v>
      </c>
      <c r="AC437" t="s">
        <v>2513</v>
      </c>
      <c r="AD437" s="249" t="str">
        <f>HYPERLINK("https://scontent.cdninstagram.com/t51.2885-15/s320x320/e35/c0.76.1080.1080/20766749_1871855233142056_2290399011191914496_n.jpg")</f>
        <v>https://scontent.cdninstagram.com/t51.2885-15/s320x320/e35/c0.76.1080.1080/20766749_1871855233142056_2290399011191914496_n.jpg</v>
      </c>
      <c r="AE437" s="249" t="str">
        <f>HYPERLINK("https://scontent.cdninstagram.com/t51.2885-19/s150x150/20688434_452061405164637_6368249731784638464_a.jpg")</f>
        <v>https://scontent.cdninstagram.com/t51.2885-19/s150x150/20688434_452061405164637_6368249731784638464_a.jpg</v>
      </c>
    </row>
    <row r="438" spans="1:31" ht="15" x14ac:dyDescent="0.25">
      <c r="A438" t="s">
        <v>2474</v>
      </c>
      <c r="B438" t="s">
        <v>5240</v>
      </c>
      <c r="C438" s="221">
        <v>42960.584675925929</v>
      </c>
      <c r="D438" t="s">
        <v>5241</v>
      </c>
      <c r="E438" s="249" t="str">
        <f>HYPERLINK("https://www.instagram.com/p/BXvkiwchVci/")</f>
        <v>https://www.instagram.com/p/BXvkiwchVci/</v>
      </c>
      <c r="F438" t="s">
        <v>5242</v>
      </c>
      <c r="G438" t="s">
        <v>2478</v>
      </c>
      <c r="H438">
        <v>1475</v>
      </c>
      <c r="I438" t="s">
        <v>2479</v>
      </c>
      <c r="J438">
        <v>10</v>
      </c>
      <c r="K438">
        <v>347</v>
      </c>
      <c r="L438">
        <v>357</v>
      </c>
      <c r="Q438">
        <v>0</v>
      </c>
      <c r="R438">
        <v>0</v>
      </c>
      <c r="S438">
        <v>357</v>
      </c>
      <c r="Y438" t="s">
        <v>5243</v>
      </c>
      <c r="Z438" t="s">
        <v>5244</v>
      </c>
      <c r="AA438" t="s">
        <v>3535</v>
      </c>
      <c r="AB438" t="s">
        <v>2492</v>
      </c>
      <c r="AC438" t="s">
        <v>2497</v>
      </c>
      <c r="AD438" s="249" t="str">
        <f>HYPERLINK("https://scontent.cdninstagram.com/t51.2885-15/s320x320/e35/c0.135.1080.1080/20836948_1767445996879036_3521238889064824832_n.jpg")</f>
        <v>https://scontent.cdninstagram.com/t51.2885-15/s320x320/e35/c0.135.1080.1080/20836948_1767445996879036_3521238889064824832_n.jpg</v>
      </c>
      <c r="AE438" s="249" t="str">
        <f>HYPERLINK("https://scontent.cdninstagram.com/t51.2885-19/s150x150/18444668_1167694523374588_7002577407395758080_a.jpg")</f>
        <v>https://scontent.cdninstagram.com/t51.2885-19/s150x150/18444668_1167694523374588_7002577407395758080_a.jpg</v>
      </c>
    </row>
    <row r="439" spans="1:31" ht="15" x14ac:dyDescent="0.25">
      <c r="A439" t="s">
        <v>2474</v>
      </c>
      <c r="B439" t="s">
        <v>5245</v>
      </c>
      <c r="C439" s="221">
        <v>42960.587372685186</v>
      </c>
      <c r="D439" t="s">
        <v>5246</v>
      </c>
      <c r="E439" s="249" t="str">
        <f>HYPERLINK("https://www.instagram.com/p/BXvk_PBjLsv/")</f>
        <v>https://www.instagram.com/p/BXvk_PBjLsv/</v>
      </c>
      <c r="F439" t="s">
        <v>5247</v>
      </c>
      <c r="G439" t="s">
        <v>2478</v>
      </c>
      <c r="H439">
        <v>328</v>
      </c>
      <c r="I439" t="s">
        <v>3273</v>
      </c>
      <c r="J439">
        <v>1</v>
      </c>
      <c r="K439">
        <v>62</v>
      </c>
      <c r="L439">
        <v>63</v>
      </c>
      <c r="Q439">
        <v>0</v>
      </c>
      <c r="R439">
        <v>0</v>
      </c>
      <c r="S439">
        <v>63</v>
      </c>
      <c r="Y439" t="s">
        <v>5248</v>
      </c>
      <c r="Z439" t="s">
        <v>3813</v>
      </c>
      <c r="AA439" t="s">
        <v>4987</v>
      </c>
      <c r="AB439" t="s">
        <v>5249</v>
      </c>
      <c r="AC439" t="s">
        <v>5250</v>
      </c>
      <c r="AD439" s="249" t="str">
        <f>HYPERLINK("https://scontent.cdninstagram.com/t51.2885-15/s320x320/e35/20766833_1708074206167829_4690271679287394304_n.jpg")</f>
        <v>https://scontent.cdninstagram.com/t51.2885-15/s320x320/e35/20766833_1708074206167829_4690271679287394304_n.jpg</v>
      </c>
      <c r="AE439" s="249" t="str">
        <f>HYPERLINK("https://scontent.cdninstagram.com/t51.2885-19/s150x150/13183303_1708188786135425_102029035_a.jpg")</f>
        <v>https://scontent.cdninstagram.com/t51.2885-19/s150x150/13183303_1708188786135425_102029035_a.jpg</v>
      </c>
    </row>
    <row r="440" spans="1:31" ht="15" x14ac:dyDescent="0.25">
      <c r="A440" t="s">
        <v>2474</v>
      </c>
      <c r="B440" t="s">
        <v>5251</v>
      </c>
      <c r="C440" s="221">
        <v>42960.590208333335</v>
      </c>
      <c r="D440" t="s">
        <v>5252</v>
      </c>
      <c r="E440" s="249" t="str">
        <f>HYPERLINK("https://www.instagram.com/p/BXvldG6jK3w/")</f>
        <v>https://www.instagram.com/p/BXvldG6jK3w/</v>
      </c>
      <c r="F440" t="s">
        <v>5253</v>
      </c>
      <c r="G440" t="s">
        <v>2478</v>
      </c>
      <c r="H440">
        <v>413</v>
      </c>
      <c r="I440" t="s">
        <v>2903</v>
      </c>
      <c r="J440">
        <v>2</v>
      </c>
      <c r="K440">
        <v>35</v>
      </c>
      <c r="L440">
        <v>37</v>
      </c>
      <c r="Q440">
        <v>0</v>
      </c>
      <c r="R440">
        <v>0</v>
      </c>
      <c r="S440">
        <v>37</v>
      </c>
      <c r="T440" t="s">
        <v>5254</v>
      </c>
      <c r="V440" t="s">
        <v>2110</v>
      </c>
      <c r="W440">
        <v>51.158458762948001</v>
      </c>
      <c r="X440">
        <v>4.1565725602277004</v>
      </c>
      <c r="Y440" t="s">
        <v>5255</v>
      </c>
      <c r="Z440" t="s">
        <v>5256</v>
      </c>
      <c r="AA440" t="s">
        <v>5257</v>
      </c>
      <c r="AB440" t="s">
        <v>5258</v>
      </c>
      <c r="AC440" t="s">
        <v>5259</v>
      </c>
      <c r="AD440" s="249" t="str">
        <f>HYPERLINK("https://scontent.cdninstagram.com/t51.2885-15/s320x320/e35/c0.0.642.642/20837318_1984198281825438_6361061601503608832_n.jpg")</f>
        <v>https://scontent.cdninstagram.com/t51.2885-15/s320x320/e35/c0.0.642.642/20837318_1984198281825438_6361061601503608832_n.jpg</v>
      </c>
      <c r="AE440" s="249" t="str">
        <f>HYPERLINK("https://scontent.cdninstagram.com/t51.2885-19/s150x150/16908014_1328109893917679_7028138896667967488_a.jpg")</f>
        <v>https://scontent.cdninstagram.com/t51.2885-19/s150x150/16908014_1328109893917679_7028138896667967488_a.jpg</v>
      </c>
    </row>
    <row r="441" spans="1:31" ht="15" x14ac:dyDescent="0.25">
      <c r="A441" t="s">
        <v>2474</v>
      </c>
      <c r="B441" t="s">
        <v>5149</v>
      </c>
      <c r="C441" s="221">
        <v>42960.591377314813</v>
      </c>
      <c r="D441" t="s">
        <v>5260</v>
      </c>
      <c r="E441" s="249" t="str">
        <f>HYPERLINK("https://www.instagram.com/p/BXvlpbwD7gj/")</f>
        <v>https://www.instagram.com/p/BXvlpbwD7gj/</v>
      </c>
      <c r="F441" t="s">
        <v>5151</v>
      </c>
      <c r="G441" t="s">
        <v>2631</v>
      </c>
      <c r="H441">
        <v>63105</v>
      </c>
      <c r="I441" t="s">
        <v>2479</v>
      </c>
      <c r="J441">
        <v>1</v>
      </c>
      <c r="K441">
        <v>79</v>
      </c>
      <c r="L441">
        <v>80</v>
      </c>
      <c r="Q441">
        <v>0</v>
      </c>
      <c r="R441">
        <v>0</v>
      </c>
      <c r="S441">
        <v>80</v>
      </c>
      <c r="T441" t="s">
        <v>5218</v>
      </c>
      <c r="U441" t="s">
        <v>106</v>
      </c>
      <c r="V441" t="s">
        <v>2299</v>
      </c>
      <c r="W441">
        <v>25.799620000000001</v>
      </c>
      <c r="X441">
        <v>-80.201350000000005</v>
      </c>
      <c r="Y441" t="s">
        <v>5152</v>
      </c>
      <c r="Z441" t="s">
        <v>5153</v>
      </c>
      <c r="AA441" t="s">
        <v>5154</v>
      </c>
      <c r="AB441" t="s">
        <v>5155</v>
      </c>
      <c r="AC441" t="s">
        <v>5156</v>
      </c>
      <c r="AD441" s="249" t="str">
        <f>HYPERLINK("https://scontent.cdninstagram.com/t51.2885-15/s320x320/e15/c157.0.406.406/20759572_278124616002486_4843492082066653184_n.jpg")</f>
        <v>https://scontent.cdninstagram.com/t51.2885-15/s320x320/e15/c157.0.406.406/20759572_278124616002486_4843492082066653184_n.jpg</v>
      </c>
      <c r="AE441" s="249" t="str">
        <f>HYPERLINK("https://scontent.cdninstagram.com/t51.2885-19/s150x150/14128779_278010482584432_2056131760_a.jpg")</f>
        <v>https://scontent.cdninstagram.com/t51.2885-19/s150x150/14128779_278010482584432_2056131760_a.jpg</v>
      </c>
    </row>
    <row r="442" spans="1:31" ht="15" x14ac:dyDescent="0.25">
      <c r="A442" t="s">
        <v>2474</v>
      </c>
      <c r="B442" t="s">
        <v>5261</v>
      </c>
      <c r="C442" s="221">
        <v>42960.591423611113</v>
      </c>
      <c r="D442" t="s">
        <v>5262</v>
      </c>
      <c r="E442" s="249" t="str">
        <f>HYPERLINK("https://www.instagram.com/p/BXvlp9ZFJGh/")</f>
        <v>https://www.instagram.com/p/BXvlp9ZFJGh/</v>
      </c>
      <c r="F442" t="s">
        <v>5263</v>
      </c>
      <c r="G442" t="s">
        <v>2478</v>
      </c>
      <c r="H442">
        <v>437</v>
      </c>
      <c r="I442" t="s">
        <v>2479</v>
      </c>
      <c r="J442">
        <v>0</v>
      </c>
      <c r="K442">
        <v>63</v>
      </c>
      <c r="L442">
        <v>63</v>
      </c>
      <c r="Q442">
        <v>0</v>
      </c>
      <c r="R442">
        <v>0</v>
      </c>
      <c r="S442">
        <v>63</v>
      </c>
      <c r="T442" t="s">
        <v>5264</v>
      </c>
      <c r="V442" t="s">
        <v>2243</v>
      </c>
      <c r="W442">
        <v>44.173299999999998</v>
      </c>
      <c r="X442">
        <v>28.638300000000001</v>
      </c>
      <c r="Y442" t="s">
        <v>5265</v>
      </c>
      <c r="Z442" t="s">
        <v>5266</v>
      </c>
      <c r="AA442" t="s">
        <v>5267</v>
      </c>
      <c r="AB442" t="s">
        <v>5268</v>
      </c>
      <c r="AC442" t="s">
        <v>5269</v>
      </c>
      <c r="AD442" s="249" t="str">
        <f>HYPERLINK("https://scontent.cdninstagram.com/t51.2885-15/s320x320/e35/20838769_1933517640249252_8561157911684841472_n.jpg")</f>
        <v>https://scontent.cdninstagram.com/t51.2885-15/s320x320/e35/20838769_1933517640249252_8561157911684841472_n.jpg</v>
      </c>
      <c r="AE442" s="249" t="str">
        <f>HYPERLINK("https://scontent.cdninstagram.com/t51.2885-19/s150x150/16788798_1401910399882033_8612748569218121728_a.jpg")</f>
        <v>https://scontent.cdninstagram.com/t51.2885-19/s150x150/16788798_1401910399882033_8612748569218121728_a.jpg</v>
      </c>
    </row>
    <row r="443" spans="1:31" ht="15" x14ac:dyDescent="0.25">
      <c r="A443" t="s">
        <v>2474</v>
      </c>
      <c r="B443" t="s">
        <v>5270</v>
      </c>
      <c r="C443" s="221">
        <v>42960.59171296296</v>
      </c>
      <c r="D443" t="s">
        <v>5271</v>
      </c>
      <c r="E443" s="249" t="str">
        <f>HYPERLINK("https://www.instagram.com/p/BXvltBODZx5/")</f>
        <v>https://www.instagram.com/p/BXvltBODZx5/</v>
      </c>
      <c r="F443" t="s">
        <v>5272</v>
      </c>
      <c r="G443" t="s">
        <v>2631</v>
      </c>
      <c r="H443">
        <v>946</v>
      </c>
      <c r="I443" t="s">
        <v>3170</v>
      </c>
      <c r="J443">
        <v>0</v>
      </c>
      <c r="K443">
        <v>26</v>
      </c>
      <c r="L443">
        <v>26</v>
      </c>
      <c r="Q443">
        <v>0</v>
      </c>
      <c r="R443">
        <v>0</v>
      </c>
      <c r="S443">
        <v>26</v>
      </c>
      <c r="T443" t="s">
        <v>5273</v>
      </c>
      <c r="V443" t="s">
        <v>2174</v>
      </c>
      <c r="W443">
        <v>47.533333333332997</v>
      </c>
      <c r="X443">
        <v>19.05</v>
      </c>
      <c r="Y443" t="s">
        <v>5274</v>
      </c>
      <c r="Z443" t="s">
        <v>2497</v>
      </c>
      <c r="AD443" s="249" t="str">
        <f>HYPERLINK("https://scontent.cdninstagram.com/t51.2885-15/s320x320/e15/20838194_1096088763859422_1377677937775476736_n.jpg")</f>
        <v>https://scontent.cdninstagram.com/t51.2885-15/s320x320/e15/20838194_1096088763859422_1377677937775476736_n.jpg</v>
      </c>
      <c r="AE443" s="249" t="str">
        <f>HYPERLINK("https://scontent.cdninstagram.com/t51.2885-19/s150x150/19984478_101079887207117_6914530762511351808_a.jpg")</f>
        <v>https://scontent.cdninstagram.com/t51.2885-19/s150x150/19984478_101079887207117_6914530762511351808_a.jpg</v>
      </c>
    </row>
    <row r="444" spans="1:31" ht="15" x14ac:dyDescent="0.25">
      <c r="A444" t="s">
        <v>2474</v>
      </c>
      <c r="B444" t="s">
        <v>5275</v>
      </c>
      <c r="C444" s="221">
        <v>42960.595243055555</v>
      </c>
      <c r="D444" t="s">
        <v>5276</v>
      </c>
      <c r="E444" s="249" t="str">
        <f>HYPERLINK("https://www.instagram.com/p/BXvmSQ3Blr6/")</f>
        <v>https://www.instagram.com/p/BXvmSQ3Blr6/</v>
      </c>
      <c r="F444" t="s">
        <v>5277</v>
      </c>
      <c r="G444" t="s">
        <v>2478</v>
      </c>
      <c r="H444">
        <v>288</v>
      </c>
      <c r="I444" t="s">
        <v>2479</v>
      </c>
      <c r="J444">
        <v>1</v>
      </c>
      <c r="K444">
        <v>23</v>
      </c>
      <c r="L444">
        <v>24</v>
      </c>
      <c r="Q444">
        <v>0</v>
      </c>
      <c r="R444">
        <v>0</v>
      </c>
      <c r="S444">
        <v>24</v>
      </c>
      <c r="Y444" t="s">
        <v>5278</v>
      </c>
      <c r="Z444" t="s">
        <v>5279</v>
      </c>
      <c r="AA444" t="s">
        <v>5280</v>
      </c>
      <c r="AB444" t="s">
        <v>5281</v>
      </c>
      <c r="AC444" t="s">
        <v>2728</v>
      </c>
      <c r="AD444" s="249" t="str">
        <f>HYPERLINK("https://scontent.cdninstagram.com/t51.2885-15/s320x320/e35/20766294_110462962976528_3477498641474650112_n.jpg")</f>
        <v>https://scontent.cdninstagram.com/t51.2885-15/s320x320/e35/20766294_110462962976528_3477498641474650112_n.jpg</v>
      </c>
      <c r="AE444" s="249" t="str">
        <f>HYPERLINK("https://scontent.cdninstagram.com/t51.2885-19/s150x150/18013697_427125890977264_7000566800060514304_a.jpg")</f>
        <v>https://scontent.cdninstagram.com/t51.2885-19/s150x150/18013697_427125890977264_7000566800060514304_a.jpg</v>
      </c>
    </row>
    <row r="445" spans="1:31" ht="15" x14ac:dyDescent="0.25">
      <c r="A445" t="s">
        <v>2474</v>
      </c>
      <c r="B445" t="s">
        <v>3248</v>
      </c>
      <c r="C445" s="221">
        <v>42960.595590277779</v>
      </c>
      <c r="D445" t="s">
        <v>5282</v>
      </c>
      <c r="E445" s="249" t="str">
        <f>HYPERLINK("https://www.instagram.com/p/BXvmV44nv9R/")</f>
        <v>https://www.instagram.com/p/BXvmV44nv9R/</v>
      </c>
      <c r="F445" t="s">
        <v>5283</v>
      </c>
      <c r="G445" t="s">
        <v>2478</v>
      </c>
      <c r="H445">
        <v>30877</v>
      </c>
      <c r="I445" t="s">
        <v>2479</v>
      </c>
      <c r="J445">
        <v>4</v>
      </c>
      <c r="K445">
        <v>406</v>
      </c>
      <c r="L445">
        <v>410</v>
      </c>
      <c r="Q445">
        <v>0</v>
      </c>
      <c r="R445">
        <v>0</v>
      </c>
      <c r="S445">
        <v>410</v>
      </c>
      <c r="Y445" t="s">
        <v>5284</v>
      </c>
      <c r="Z445" t="s">
        <v>5285</v>
      </c>
      <c r="AA445" t="s">
        <v>5286</v>
      </c>
      <c r="AB445" t="s">
        <v>5287</v>
      </c>
      <c r="AC445" t="s">
        <v>5288</v>
      </c>
      <c r="AD445" s="249" t="str">
        <f>HYPERLINK("https://scontent.cdninstagram.com/t51.2885-15/s320x320/e35/20837084_300737763723889_7208815723995463680_n.jpg")</f>
        <v>https://scontent.cdninstagram.com/t51.2885-15/s320x320/e35/20837084_300737763723889_7208815723995463680_n.jpg</v>
      </c>
      <c r="AE445" s="249" t="str">
        <f>HYPERLINK("https://scontent.cdninstagram.com/t51.2885-19/s150x150/16229301_1876915245885793_5124596849776263168_n.jpg")</f>
        <v>https://scontent.cdninstagram.com/t51.2885-19/s150x150/16229301_1876915245885793_5124596849776263168_n.jpg</v>
      </c>
    </row>
    <row r="446" spans="1:31" ht="15" x14ac:dyDescent="0.25">
      <c r="A446" t="s">
        <v>2474</v>
      </c>
      <c r="B446" t="s">
        <v>5289</v>
      </c>
      <c r="C446" s="221">
        <v>42960.59611111111</v>
      </c>
      <c r="D446" t="s">
        <v>5290</v>
      </c>
      <c r="E446" s="249" t="str">
        <f>HYPERLINK("https://www.instagram.com/p/BXvmbYoFnF_/")</f>
        <v>https://www.instagram.com/p/BXvmbYoFnF_/</v>
      </c>
      <c r="F446" t="s">
        <v>5291</v>
      </c>
      <c r="G446" t="s">
        <v>2478</v>
      </c>
      <c r="H446">
        <v>3249</v>
      </c>
      <c r="I446" t="s">
        <v>2479</v>
      </c>
      <c r="J446">
        <v>1</v>
      </c>
      <c r="K446">
        <v>10</v>
      </c>
      <c r="L446">
        <v>11</v>
      </c>
      <c r="Q446">
        <v>0</v>
      </c>
      <c r="R446">
        <v>0</v>
      </c>
      <c r="S446">
        <v>11</v>
      </c>
      <c r="Y446" t="s">
        <v>3153</v>
      </c>
      <c r="Z446" t="s">
        <v>4081</v>
      </c>
      <c r="AA446" t="s">
        <v>4240</v>
      </c>
      <c r="AB446" t="s">
        <v>2497</v>
      </c>
      <c r="AC446" t="s">
        <v>5292</v>
      </c>
      <c r="AD446" s="249" t="str">
        <f>HYPERLINK("https://scontent.cdninstagram.com/t51.2885-15/s320x320/e35/20766190_726132894244593_6453217456348463104_n.jpg")</f>
        <v>https://scontent.cdninstagram.com/t51.2885-15/s320x320/e35/20766190_726132894244593_6453217456348463104_n.jpg</v>
      </c>
      <c r="AE446" s="249" t="str">
        <f>HYPERLINK("https://scontent.cdninstagram.com/t51.2885-19/s150x150/13643720_665513323623700_1205710017_a.jpg")</f>
        <v>https://scontent.cdninstagram.com/t51.2885-19/s150x150/13643720_665513323623700_1205710017_a.jpg</v>
      </c>
    </row>
    <row r="447" spans="1:31" ht="15" x14ac:dyDescent="0.25">
      <c r="A447" t="s">
        <v>2474</v>
      </c>
      <c r="B447" t="s">
        <v>5293</v>
      </c>
      <c r="C447" s="221">
        <v>42960.603587962964</v>
      </c>
      <c r="D447" t="s">
        <v>5294</v>
      </c>
      <c r="E447" s="249" t="str">
        <f>HYPERLINK("https://www.instagram.com/p/BXvnqRnAKab/")</f>
        <v>https://www.instagram.com/p/BXvnqRnAKab/</v>
      </c>
      <c r="F447" t="s">
        <v>5151</v>
      </c>
      <c r="G447" t="s">
        <v>2631</v>
      </c>
      <c r="H447">
        <v>1421</v>
      </c>
      <c r="I447" t="s">
        <v>2479</v>
      </c>
      <c r="J447">
        <v>1</v>
      </c>
      <c r="K447">
        <v>46</v>
      </c>
      <c r="L447">
        <v>47</v>
      </c>
      <c r="Q447">
        <v>0</v>
      </c>
      <c r="R447">
        <v>0</v>
      </c>
      <c r="S447">
        <v>47</v>
      </c>
      <c r="T447" t="s">
        <v>5295</v>
      </c>
      <c r="U447" t="s">
        <v>106</v>
      </c>
      <c r="V447" t="s">
        <v>2299</v>
      </c>
      <c r="W447">
        <v>25.800599999999999</v>
      </c>
      <c r="X447">
        <v>-80.198999999999998</v>
      </c>
      <c r="Y447" t="s">
        <v>5152</v>
      </c>
      <c r="Z447" t="s">
        <v>5153</v>
      </c>
      <c r="AA447" t="s">
        <v>5154</v>
      </c>
      <c r="AB447" t="s">
        <v>5155</v>
      </c>
      <c r="AC447" t="s">
        <v>5156</v>
      </c>
      <c r="AD447" s="249" t="str">
        <f>HYPERLINK("https://scontent.cdninstagram.com/t51.2885-15/s150x150/e35/c105.0.270.270/20766174_1755331654766067_8676913173007171584_n.jpg")</f>
        <v>https://scontent.cdninstagram.com/t51.2885-15/s150x150/e35/c105.0.270.270/20766174_1755331654766067_8676913173007171584_n.jpg</v>
      </c>
      <c r="AE447" s="249" t="str">
        <f>HYPERLINK("https://scontent.cdninstagram.com/t51.2885-19/10808695_300082193518414_305613738_a.jpg")</f>
        <v>https://scontent.cdninstagram.com/t51.2885-19/10808695_300082193518414_305613738_a.jpg</v>
      </c>
    </row>
    <row r="448" spans="1:31" ht="15" x14ac:dyDescent="0.25">
      <c r="A448" t="s">
        <v>2474</v>
      </c>
      <c r="B448" t="s">
        <v>5149</v>
      </c>
      <c r="C448" s="221">
        <v>42960.604641203703</v>
      </c>
      <c r="D448" t="s">
        <v>5296</v>
      </c>
      <c r="E448" s="249" t="str">
        <f>HYPERLINK("https://www.instagram.com/p/BXvn1U-DXHe/")</f>
        <v>https://www.instagram.com/p/BXvn1U-DXHe/</v>
      </c>
      <c r="F448" t="s">
        <v>5297</v>
      </c>
      <c r="G448" t="s">
        <v>2478</v>
      </c>
      <c r="H448">
        <v>63106</v>
      </c>
      <c r="I448" t="s">
        <v>2479</v>
      </c>
      <c r="J448">
        <v>1</v>
      </c>
      <c r="K448">
        <v>67</v>
      </c>
      <c r="L448">
        <v>68</v>
      </c>
      <c r="Q448">
        <v>0</v>
      </c>
      <c r="R448">
        <v>0</v>
      </c>
      <c r="S448">
        <v>68</v>
      </c>
      <c r="Y448" t="s">
        <v>5153</v>
      </c>
      <c r="Z448" t="s">
        <v>2497</v>
      </c>
      <c r="AD448" s="249" t="str">
        <f>HYPERLINK("https://scontent.cdninstagram.com/t51.2885-15/s320x320/e35/c55.0.969.969/20688633_115355582426862_230154979426435072_n.jpg")</f>
        <v>https://scontent.cdninstagram.com/t51.2885-15/s320x320/e35/c55.0.969.969/20688633_115355582426862_230154979426435072_n.jpg</v>
      </c>
      <c r="AE448" s="249" t="str">
        <f>HYPERLINK("https://scontent.cdninstagram.com/t51.2885-19/s150x150/14128779_278010482584432_2056131760_a.jpg")</f>
        <v>https://scontent.cdninstagram.com/t51.2885-19/s150x150/14128779_278010482584432_2056131760_a.jpg</v>
      </c>
    </row>
    <row r="449" spans="1:31" ht="15" x14ac:dyDescent="0.25">
      <c r="A449" t="s">
        <v>2474</v>
      </c>
      <c r="B449" t="s">
        <v>5149</v>
      </c>
      <c r="C449" s="221">
        <v>42960.606527777774</v>
      </c>
      <c r="D449" t="s">
        <v>5298</v>
      </c>
      <c r="E449" s="249" t="str">
        <f>HYPERLINK("https://www.instagram.com/p/BXvoJNXDb8F/")</f>
        <v>https://www.instagram.com/p/BXvoJNXDb8F/</v>
      </c>
      <c r="F449" t="s">
        <v>5297</v>
      </c>
      <c r="G449" t="s">
        <v>2631</v>
      </c>
      <c r="H449">
        <v>63106</v>
      </c>
      <c r="I449" t="s">
        <v>2542</v>
      </c>
      <c r="J449">
        <v>2</v>
      </c>
      <c r="K449">
        <v>50</v>
      </c>
      <c r="L449">
        <v>52</v>
      </c>
      <c r="Q449">
        <v>0</v>
      </c>
      <c r="R449">
        <v>0</v>
      </c>
      <c r="S449">
        <v>52</v>
      </c>
      <c r="Y449" t="s">
        <v>5153</v>
      </c>
      <c r="Z449" t="s">
        <v>2497</v>
      </c>
      <c r="AD449" s="249" t="str">
        <f>HYPERLINK("https://scontent.cdninstagram.com/t51.2885-15/s320x320/e15/c0.90.720.720/20759746_217712685425569_8167497418540056576_n.jpg")</f>
        <v>https://scontent.cdninstagram.com/t51.2885-15/s320x320/e15/c0.90.720.720/20759746_217712685425569_8167497418540056576_n.jpg</v>
      </c>
      <c r="AE449" s="249" t="str">
        <f>HYPERLINK("https://scontent.cdninstagram.com/t51.2885-19/s150x150/14128779_278010482584432_2056131760_a.jpg")</f>
        <v>https://scontent.cdninstagram.com/t51.2885-19/s150x150/14128779_278010482584432_2056131760_a.jpg</v>
      </c>
    </row>
    <row r="450" spans="1:31" ht="15" x14ac:dyDescent="0.25">
      <c r="A450" t="s">
        <v>2474</v>
      </c>
      <c r="B450" t="s">
        <v>5149</v>
      </c>
      <c r="C450" s="221">
        <v>42960.614606481482</v>
      </c>
      <c r="D450" t="s">
        <v>5299</v>
      </c>
      <c r="E450" s="249" t="str">
        <f>HYPERLINK("https://www.instagram.com/p/BXvpefaj7IK/")</f>
        <v>https://www.instagram.com/p/BXvpefaj7IK/</v>
      </c>
      <c r="F450" t="s">
        <v>5300</v>
      </c>
      <c r="G450" t="s">
        <v>2478</v>
      </c>
      <c r="H450">
        <v>63106</v>
      </c>
      <c r="I450" t="s">
        <v>2479</v>
      </c>
      <c r="J450">
        <v>1</v>
      </c>
      <c r="K450">
        <v>119</v>
      </c>
      <c r="L450">
        <v>120</v>
      </c>
      <c r="Q450">
        <v>0</v>
      </c>
      <c r="R450">
        <v>0</v>
      </c>
      <c r="S450">
        <v>120</v>
      </c>
      <c r="Y450" t="s">
        <v>5153</v>
      </c>
      <c r="Z450" t="s">
        <v>2497</v>
      </c>
      <c r="AD450" s="249" t="str">
        <f>HYPERLINK("https://scontent.cdninstagram.com/t51.2885-15/s320x320/e35/20688717_2315993245292342_9078235587160309760_n.jpg")</f>
        <v>https://scontent.cdninstagram.com/t51.2885-15/s320x320/e35/20688717_2315993245292342_9078235587160309760_n.jpg</v>
      </c>
      <c r="AE450" s="249" t="str">
        <f>HYPERLINK("https://scontent.cdninstagram.com/t51.2885-19/s150x150/14128779_278010482584432_2056131760_a.jpg")</f>
        <v>https://scontent.cdninstagram.com/t51.2885-19/s150x150/14128779_278010482584432_2056131760_a.jpg</v>
      </c>
    </row>
    <row r="451" spans="1:31" ht="15" x14ac:dyDescent="0.25">
      <c r="A451" t="s">
        <v>2474</v>
      </c>
      <c r="B451" t="s">
        <v>5301</v>
      </c>
      <c r="C451" s="221">
        <v>42960.615393518521</v>
      </c>
      <c r="D451" t="s">
        <v>5302</v>
      </c>
      <c r="E451" s="249" t="str">
        <f>HYPERLINK("https://www.instagram.com/p/BXvpmschvpq/")</f>
        <v>https://www.instagram.com/p/BXvpmschvpq/</v>
      </c>
      <c r="F451" t="s">
        <v>5303</v>
      </c>
      <c r="G451" t="s">
        <v>2488</v>
      </c>
      <c r="H451">
        <v>555</v>
      </c>
      <c r="I451" t="s">
        <v>2479</v>
      </c>
      <c r="J451">
        <v>0</v>
      </c>
      <c r="K451">
        <v>55</v>
      </c>
      <c r="L451">
        <v>55</v>
      </c>
      <c r="Q451">
        <v>0</v>
      </c>
      <c r="R451">
        <v>0</v>
      </c>
      <c r="S451">
        <v>55</v>
      </c>
      <c r="T451" t="s">
        <v>5304</v>
      </c>
      <c r="V451" t="s">
        <v>2176</v>
      </c>
      <c r="W451">
        <v>8.7354950000000002</v>
      </c>
      <c r="X451">
        <v>76.704143000000002</v>
      </c>
      <c r="Y451" t="s">
        <v>5305</v>
      </c>
      <c r="Z451" t="s">
        <v>2769</v>
      </c>
      <c r="AA451" t="s">
        <v>2497</v>
      </c>
      <c r="AB451" t="s">
        <v>5306</v>
      </c>
      <c r="AC451" t="s">
        <v>5307</v>
      </c>
      <c r="AD451" s="249" t="str">
        <f>HYPERLINK("https://scontent.cdninstagram.com/t51.2885-15/s320x320/e35/20766238_1752347878395691_3942962406463897600_n.jpg")</f>
        <v>https://scontent.cdninstagram.com/t51.2885-15/s320x320/e35/20766238_1752347878395691_3942962406463897600_n.jpg</v>
      </c>
      <c r="AE451" s="249" t="str">
        <f>HYPERLINK("https://scontent.cdninstagram.com/t51.2885-19/s150x150/20633272_108638476503147_2834239181939539968_a.jpg")</f>
        <v>https://scontent.cdninstagram.com/t51.2885-19/s150x150/20633272_108638476503147_2834239181939539968_a.jpg</v>
      </c>
    </row>
    <row r="452" spans="1:31" ht="15" x14ac:dyDescent="0.25">
      <c r="A452" t="s">
        <v>2474</v>
      </c>
      <c r="B452" t="s">
        <v>5308</v>
      </c>
      <c r="C452" s="221">
        <v>42960.618113425924</v>
      </c>
      <c r="D452" t="s">
        <v>5309</v>
      </c>
      <c r="E452" s="249" t="str">
        <f>HYPERLINK("https://www.instagram.com/p/BXvqDbjDX5R/")</f>
        <v>https://www.instagram.com/p/BXvqDbjDX5R/</v>
      </c>
      <c r="F452" t="s">
        <v>5310</v>
      </c>
      <c r="G452" t="s">
        <v>2478</v>
      </c>
      <c r="H452">
        <v>182</v>
      </c>
      <c r="I452" t="s">
        <v>2479</v>
      </c>
      <c r="J452">
        <v>0</v>
      </c>
      <c r="K452">
        <v>11</v>
      </c>
      <c r="L452">
        <v>11</v>
      </c>
      <c r="Q452">
        <v>0</v>
      </c>
      <c r="R452">
        <v>0</v>
      </c>
      <c r="S452">
        <v>11</v>
      </c>
      <c r="Y452" t="s">
        <v>5311</v>
      </c>
      <c r="Z452" t="s">
        <v>5312</v>
      </c>
      <c r="AA452" t="s">
        <v>3753</v>
      </c>
      <c r="AB452" t="s">
        <v>5313</v>
      </c>
      <c r="AC452" t="s">
        <v>5314</v>
      </c>
      <c r="AD452" s="249" t="str">
        <f>HYPERLINK("https://scontent.cdninstagram.com/t51.2885-15/s320x320/e35/20688783_334335246994382_5374441329382129664_n.jpg")</f>
        <v>https://scontent.cdninstagram.com/t51.2885-15/s320x320/e35/20688783_334335246994382_5374441329382129664_n.jpg</v>
      </c>
      <c r="AE452" s="249" t="str">
        <f>HYPERLINK("https://scontent.cdninstagram.com/t51.2885-19/s150x150/13167334_183223705406749_1004833998_a.jpg")</f>
        <v>https://scontent.cdninstagram.com/t51.2885-19/s150x150/13167334_183223705406749_1004833998_a.jpg</v>
      </c>
    </row>
    <row r="453" spans="1:31" ht="15" x14ac:dyDescent="0.25">
      <c r="A453" t="s">
        <v>2474</v>
      </c>
      <c r="B453" t="s">
        <v>3133</v>
      </c>
      <c r="C453" s="221">
        <v>42960.621261574073</v>
      </c>
      <c r="D453" t="s">
        <v>5315</v>
      </c>
      <c r="E453" s="249" t="str">
        <f>HYPERLINK("https://www.instagram.com/p/BXvqkmsFAAG/")</f>
        <v>https://www.instagram.com/p/BXvqkmsFAAG/</v>
      </c>
      <c r="F453" t="s">
        <v>5316</v>
      </c>
      <c r="G453" t="s">
        <v>2478</v>
      </c>
      <c r="H453">
        <v>311</v>
      </c>
      <c r="I453" t="s">
        <v>2479</v>
      </c>
      <c r="J453">
        <v>9</v>
      </c>
      <c r="K453">
        <v>57</v>
      </c>
      <c r="L453">
        <v>66</v>
      </c>
      <c r="Q453">
        <v>0</v>
      </c>
      <c r="R453">
        <v>0</v>
      </c>
      <c r="S453">
        <v>66</v>
      </c>
      <c r="Y453" t="s">
        <v>5317</v>
      </c>
      <c r="Z453" t="s">
        <v>3136</v>
      </c>
      <c r="AA453" t="s">
        <v>5318</v>
      </c>
      <c r="AB453" t="s">
        <v>5319</v>
      </c>
      <c r="AC453" t="s">
        <v>5320</v>
      </c>
      <c r="AD453" s="249" t="str">
        <f>HYPERLINK("https://scontent.cdninstagram.com/t51.2885-15/s320x320/e35/20760023_268835710285647_6962948714818174976_n.jpg")</f>
        <v>https://scontent.cdninstagram.com/t51.2885-15/s320x320/e35/20760023_268835710285647_6962948714818174976_n.jpg</v>
      </c>
      <c r="AE453" s="249" t="str">
        <f>HYPERLINK("https://scontent.cdninstagram.com/t51.2885-19/s150x150/20902057_457018761346753_438269883201880064_a.jpg")</f>
        <v>https://scontent.cdninstagram.com/t51.2885-19/s150x150/20902057_457018761346753_438269883201880064_a.jpg</v>
      </c>
    </row>
    <row r="454" spans="1:31" ht="15" x14ac:dyDescent="0.25">
      <c r="A454" t="s">
        <v>2474</v>
      </c>
      <c r="B454" t="s">
        <v>5321</v>
      </c>
      <c r="C454" s="221">
        <v>42960.624374999999</v>
      </c>
      <c r="D454" t="s">
        <v>5322</v>
      </c>
      <c r="E454" s="249" t="str">
        <f>HYPERLINK("https://www.instagram.com/p/BXvrFbfBa7u/")</f>
        <v>https://www.instagram.com/p/BXvrFbfBa7u/</v>
      </c>
      <c r="F454" t="s">
        <v>5323</v>
      </c>
      <c r="G454" t="s">
        <v>2488</v>
      </c>
      <c r="H454">
        <v>361</v>
      </c>
      <c r="I454" t="s">
        <v>2479</v>
      </c>
      <c r="J454">
        <v>0</v>
      </c>
      <c r="K454">
        <v>18</v>
      </c>
      <c r="L454">
        <v>18</v>
      </c>
      <c r="Q454">
        <v>0</v>
      </c>
      <c r="R454">
        <v>0</v>
      </c>
      <c r="S454">
        <v>18</v>
      </c>
      <c r="T454" t="s">
        <v>5324</v>
      </c>
      <c r="V454" t="s">
        <v>2161</v>
      </c>
      <c r="W454">
        <v>48.0167</v>
      </c>
      <c r="X454">
        <v>10.033300000000001</v>
      </c>
      <c r="Y454" t="s">
        <v>5325</v>
      </c>
      <c r="Z454" t="s">
        <v>5326</v>
      </c>
      <c r="AA454" t="s">
        <v>5327</v>
      </c>
      <c r="AB454" t="s">
        <v>5328</v>
      </c>
      <c r="AC454" t="s">
        <v>2497</v>
      </c>
      <c r="AD454" s="249" t="str">
        <f>HYPERLINK("https://scontent.cdninstagram.com/t51.2885-15/s320x320/e35/20759737_256182011543547_6482197756768157696_n.jpg")</f>
        <v>https://scontent.cdninstagram.com/t51.2885-15/s320x320/e35/20759737_256182011543547_6482197756768157696_n.jpg</v>
      </c>
      <c r="AE454" s="249" t="str">
        <f>HYPERLINK("https://scontent.cdninstagram.com/t51.2885-19/s150x150/14701175_949294935170788_3337794487891001344_a.jpg")</f>
        <v>https://scontent.cdninstagram.com/t51.2885-19/s150x150/14701175_949294935170788_3337794487891001344_a.jpg</v>
      </c>
    </row>
    <row r="455" spans="1:31" ht="15" x14ac:dyDescent="0.25">
      <c r="A455" t="s">
        <v>2474</v>
      </c>
      <c r="B455" t="s">
        <v>2588</v>
      </c>
      <c r="C455" s="221">
        <v>42960.626030092593</v>
      </c>
      <c r="D455" t="s">
        <v>5329</v>
      </c>
      <c r="E455" s="249" t="str">
        <f>HYPERLINK("https://www.instagram.com/p/BXvrW5mhmEo/")</f>
        <v>https://www.instagram.com/p/BXvrW5mhmEo/</v>
      </c>
      <c r="F455" t="s">
        <v>5330</v>
      </c>
      <c r="G455" t="s">
        <v>2478</v>
      </c>
      <c r="H455">
        <v>253</v>
      </c>
      <c r="I455" t="s">
        <v>2479</v>
      </c>
      <c r="J455">
        <v>23</v>
      </c>
      <c r="K455">
        <v>154</v>
      </c>
      <c r="L455">
        <v>177</v>
      </c>
      <c r="Q455">
        <v>0</v>
      </c>
      <c r="R455">
        <v>0</v>
      </c>
      <c r="S455">
        <v>177</v>
      </c>
      <c r="AD455" s="249" t="str">
        <f>HYPERLINK("https://scontent.cdninstagram.com/t51.2885-15/s320x320/e35/20759618_220370775156720_5272351691922997248_n.jpg")</f>
        <v>https://scontent.cdninstagram.com/t51.2885-15/s320x320/e35/20759618_220370775156720_5272351691922997248_n.jpg</v>
      </c>
      <c r="AE455" s="249" t="str">
        <f>HYPERLINK("https://scontent.cdninstagram.com/t51.2885-19/s150x150/20633561_108840983138666_5897549723056734208_a.jpg")</f>
        <v>https://scontent.cdninstagram.com/t51.2885-19/s150x150/20633561_108840983138666_5897549723056734208_a.jpg</v>
      </c>
    </row>
    <row r="456" spans="1:31" ht="15" x14ac:dyDescent="0.25">
      <c r="A456" t="s">
        <v>2474</v>
      </c>
      <c r="B456" t="s">
        <v>5331</v>
      </c>
      <c r="C456" s="221">
        <v>42960.626111111109</v>
      </c>
      <c r="D456" t="s">
        <v>5332</v>
      </c>
      <c r="E456" s="249" t="str">
        <f>HYPERLINK("https://www.instagram.com/p/BXvrXwHgdNo/")</f>
        <v>https://www.instagram.com/p/BXvrXwHgdNo/</v>
      </c>
      <c r="F456" t="s">
        <v>5333</v>
      </c>
      <c r="G456" t="s">
        <v>2478</v>
      </c>
      <c r="H456">
        <v>1969</v>
      </c>
      <c r="I456" t="s">
        <v>2479</v>
      </c>
      <c r="J456">
        <v>13</v>
      </c>
      <c r="K456">
        <v>22</v>
      </c>
      <c r="L456">
        <v>35</v>
      </c>
      <c r="Q456">
        <v>0</v>
      </c>
      <c r="R456">
        <v>0</v>
      </c>
      <c r="S456">
        <v>35</v>
      </c>
      <c r="Y456" t="s">
        <v>5334</v>
      </c>
      <c r="Z456" t="s">
        <v>2492</v>
      </c>
      <c r="AA456" t="s">
        <v>5335</v>
      </c>
      <c r="AB456" t="s">
        <v>5336</v>
      </c>
      <c r="AC456" t="s">
        <v>5337</v>
      </c>
      <c r="AD456" s="249" t="str">
        <f>HYPERLINK("https://scontent.cdninstagram.com/t51.2885-15/s320x320/e35/20759123_215492528980214_1616044692808400896_n.jpg")</f>
        <v>https://scontent.cdninstagram.com/t51.2885-15/s320x320/e35/20759123_215492528980214_1616044692808400896_n.jpg</v>
      </c>
      <c r="AE456" s="249" t="str">
        <f>HYPERLINK("https://scontent.cdninstagram.com/t51.2885-19/s150x150/17495338_1012563755543854_2772471723952439296_a.jpg")</f>
        <v>https://scontent.cdninstagram.com/t51.2885-19/s150x150/17495338_1012563755543854_2772471723952439296_a.jpg</v>
      </c>
    </row>
    <row r="457" spans="1:31" ht="15" x14ac:dyDescent="0.25">
      <c r="A457" t="s">
        <v>2474</v>
      </c>
      <c r="B457" t="s">
        <v>5149</v>
      </c>
      <c r="C457" s="221">
        <v>42960.628229166665</v>
      </c>
      <c r="D457" t="s">
        <v>5338</v>
      </c>
      <c r="E457" s="249" t="str">
        <f>HYPERLINK("https://www.instagram.com/p/BXvruIADGR-/")</f>
        <v>https://www.instagram.com/p/BXvruIADGR-/</v>
      </c>
      <c r="F457" t="s">
        <v>5339</v>
      </c>
      <c r="G457" t="s">
        <v>2631</v>
      </c>
      <c r="H457">
        <v>63112</v>
      </c>
      <c r="I457" t="s">
        <v>2479</v>
      </c>
      <c r="J457">
        <v>1</v>
      </c>
      <c r="K457">
        <v>55</v>
      </c>
      <c r="L457">
        <v>56</v>
      </c>
      <c r="Q457">
        <v>0</v>
      </c>
      <c r="R457">
        <v>0</v>
      </c>
      <c r="S457">
        <v>56</v>
      </c>
      <c r="Y457" t="s">
        <v>2497</v>
      </c>
      <c r="Z457" t="s">
        <v>5153</v>
      </c>
      <c r="AD457" s="249" t="str">
        <f>HYPERLINK("https://scontent.cdninstagram.com/t51.2885-15/s320x320/e15/c0.89.720.720/20759030_339388046515862_2950651487358812160_n.jpg")</f>
        <v>https://scontent.cdninstagram.com/t51.2885-15/s320x320/e15/c0.89.720.720/20759030_339388046515862_2950651487358812160_n.jpg</v>
      </c>
      <c r="AE457" s="249" t="str">
        <f>HYPERLINK("https://scontent.cdninstagram.com/t51.2885-19/s150x150/14128779_278010482584432_2056131760_a.jpg")</f>
        <v>https://scontent.cdninstagram.com/t51.2885-19/s150x150/14128779_278010482584432_2056131760_a.jpg</v>
      </c>
    </row>
    <row r="458" spans="1:31" ht="15" x14ac:dyDescent="0.25">
      <c r="A458" t="s">
        <v>2474</v>
      </c>
      <c r="B458" t="s">
        <v>5340</v>
      </c>
      <c r="C458" s="221">
        <v>42960.632013888891</v>
      </c>
      <c r="D458" t="s">
        <v>5341</v>
      </c>
      <c r="E458" s="249" t="str">
        <f>HYPERLINK("https://www.instagram.com/p/BXvsV_Kh3CI/")</f>
        <v>https://www.instagram.com/p/BXvsV_Kh3CI/</v>
      </c>
      <c r="F458" t="s">
        <v>5342</v>
      </c>
      <c r="G458" t="s">
        <v>2488</v>
      </c>
      <c r="H458">
        <v>96</v>
      </c>
      <c r="I458" t="s">
        <v>2479</v>
      </c>
      <c r="J458">
        <v>0</v>
      </c>
      <c r="K458">
        <v>8</v>
      </c>
      <c r="L458">
        <v>8</v>
      </c>
      <c r="Q458">
        <v>0</v>
      </c>
      <c r="R458">
        <v>0</v>
      </c>
      <c r="S458">
        <v>8</v>
      </c>
      <c r="Y458" t="s">
        <v>5343</v>
      </c>
      <c r="Z458" t="s">
        <v>5344</v>
      </c>
      <c r="AA458" t="s">
        <v>5345</v>
      </c>
      <c r="AB458" t="s">
        <v>2497</v>
      </c>
      <c r="AC458" t="s">
        <v>2930</v>
      </c>
      <c r="AD458" s="249" t="str">
        <f>HYPERLINK("https://scontent.cdninstagram.com/t51.2885-15/s320x320/e35/20766136_797578183746800_2445025405875257344_n.jpg")</f>
        <v>https://scontent.cdninstagram.com/t51.2885-15/s320x320/e35/20766136_797578183746800_2445025405875257344_n.jpg</v>
      </c>
      <c r="AE458" s="249" t="str">
        <f>HYPERLINK("https://scontent.cdninstagram.com/t51.2885-19/s150x150/14722976_1419896481371360_662058741843099648_a.jpg")</f>
        <v>https://scontent.cdninstagram.com/t51.2885-19/s150x150/14722976_1419896481371360_662058741843099648_a.jpg</v>
      </c>
    </row>
    <row r="459" spans="1:31" ht="15" x14ac:dyDescent="0.25">
      <c r="A459" t="s">
        <v>2474</v>
      </c>
      <c r="B459" t="s">
        <v>5346</v>
      </c>
      <c r="C459" s="221">
        <v>42960.632106481484</v>
      </c>
      <c r="D459" t="s">
        <v>5347</v>
      </c>
      <c r="E459" s="249" t="str">
        <f>HYPERLINK("https://www.instagram.com/p/BXvsXDunAm9/")</f>
        <v>https://www.instagram.com/p/BXvsXDunAm9/</v>
      </c>
      <c r="F459" t="s">
        <v>5348</v>
      </c>
      <c r="G459" t="s">
        <v>2478</v>
      </c>
      <c r="H459">
        <v>156</v>
      </c>
      <c r="I459" t="s">
        <v>2542</v>
      </c>
      <c r="J459">
        <v>0</v>
      </c>
      <c r="K459">
        <v>15</v>
      </c>
      <c r="L459">
        <v>15</v>
      </c>
      <c r="Q459">
        <v>0</v>
      </c>
      <c r="R459">
        <v>0</v>
      </c>
      <c r="S459">
        <v>15</v>
      </c>
      <c r="Y459" t="s">
        <v>5349</v>
      </c>
      <c r="Z459" t="s">
        <v>5350</v>
      </c>
      <c r="AA459" t="s">
        <v>5351</v>
      </c>
      <c r="AB459" t="s">
        <v>5352</v>
      </c>
      <c r="AC459" t="s">
        <v>5353</v>
      </c>
      <c r="AD459" s="249" t="str">
        <f>HYPERLINK("https://scontent.cdninstagram.com/t51.2885-15/s320x320/e35/c135.0.809.809/20688730_298317563969392_3088083916775489536_n.jpg")</f>
        <v>https://scontent.cdninstagram.com/t51.2885-15/s320x320/e35/c135.0.809.809/20688730_298317563969392_3088083916775489536_n.jpg</v>
      </c>
      <c r="AE459" s="249" t="str">
        <f>HYPERLINK("https://scontent.cdninstagram.com/t51.2885-19/s150x150/19436379_297858967343524_2239767278121910272_a.jpg")</f>
        <v>https://scontent.cdninstagram.com/t51.2885-19/s150x150/19436379_297858967343524_2239767278121910272_a.jpg</v>
      </c>
    </row>
    <row r="460" spans="1:31" ht="15" x14ac:dyDescent="0.25">
      <c r="A460" t="s">
        <v>2474</v>
      </c>
      <c r="B460" t="s">
        <v>5354</v>
      </c>
      <c r="C460" s="221">
        <v>42960.633310185185</v>
      </c>
      <c r="D460" t="s">
        <v>5355</v>
      </c>
      <c r="E460" s="249" t="str">
        <f>HYPERLINK("https://www.instagram.com/p/BXvsjuPj_O5/")</f>
        <v>https://www.instagram.com/p/BXvsjuPj_O5/</v>
      </c>
      <c r="F460" t="s">
        <v>5356</v>
      </c>
      <c r="G460" t="s">
        <v>2478</v>
      </c>
      <c r="H460">
        <v>1199</v>
      </c>
      <c r="I460" t="s">
        <v>3025</v>
      </c>
      <c r="J460">
        <v>1</v>
      </c>
      <c r="K460">
        <v>105</v>
      </c>
      <c r="L460">
        <v>106</v>
      </c>
      <c r="Q460">
        <v>0</v>
      </c>
      <c r="R460">
        <v>0</v>
      </c>
      <c r="S460">
        <v>106</v>
      </c>
      <c r="Y460" t="s">
        <v>5357</v>
      </c>
      <c r="Z460" t="s">
        <v>2497</v>
      </c>
      <c r="AA460" t="s">
        <v>5358</v>
      </c>
      <c r="AD460" s="249" t="str">
        <f>HYPERLINK("https://scontent.cdninstagram.com/t51.2885-15/s320x320/e35/c0.135.1080.1080/20759192_161939114371754_7002557324128681984_n.jpg")</f>
        <v>https://scontent.cdninstagram.com/t51.2885-15/s320x320/e35/c0.135.1080.1080/20759192_161939114371754_7002557324128681984_n.jpg</v>
      </c>
      <c r="AE460" s="249" t="str">
        <f>HYPERLINK("https://scontent.cdninstagram.com/t51.2885-19/s150x150/19986061_1247410872052764_7590850011252916224_a.jpg")</f>
        <v>https://scontent.cdninstagram.com/t51.2885-19/s150x150/19986061_1247410872052764_7590850011252916224_a.jpg</v>
      </c>
    </row>
    <row r="461" spans="1:31" ht="15" x14ac:dyDescent="0.25">
      <c r="A461" t="s">
        <v>2474</v>
      </c>
      <c r="B461" t="s">
        <v>3993</v>
      </c>
      <c r="C461" s="221">
        <v>42960.633981481478</v>
      </c>
      <c r="D461" t="s">
        <v>5359</v>
      </c>
      <c r="E461" s="249" t="str">
        <f>HYPERLINK("https://www.instagram.com/p/BXvsq1agufW/")</f>
        <v>https://www.instagram.com/p/BXvsq1agufW/</v>
      </c>
      <c r="F461" t="s">
        <v>5360</v>
      </c>
      <c r="G461" t="s">
        <v>2478</v>
      </c>
      <c r="H461">
        <v>5009</v>
      </c>
      <c r="I461" t="s">
        <v>2582</v>
      </c>
      <c r="J461">
        <v>8</v>
      </c>
      <c r="K461">
        <v>704</v>
      </c>
      <c r="L461">
        <v>712</v>
      </c>
      <c r="Q461">
        <v>0</v>
      </c>
      <c r="R461">
        <v>0</v>
      </c>
      <c r="S461">
        <v>712</v>
      </c>
      <c r="Y461" t="s">
        <v>3996</v>
      </c>
      <c r="Z461" t="s">
        <v>4350</v>
      </c>
      <c r="AA461" t="s">
        <v>2837</v>
      </c>
      <c r="AB461" t="s">
        <v>4379</v>
      </c>
      <c r="AC461" t="s">
        <v>5361</v>
      </c>
      <c r="AD461" s="249" t="str">
        <f>HYPERLINK("https://scontent.cdninstagram.com/t51.2885-15/s320x320/e35/c0.135.1080.1080/20759823_141736439748271_5334479768249171968_n.jpg")</f>
        <v>https://scontent.cdninstagram.com/t51.2885-15/s320x320/e35/c0.135.1080.1080/20759823_141736439748271_5334479768249171968_n.jpg</v>
      </c>
      <c r="AE461" s="249" t="str">
        <f>HYPERLINK("https://scontent.cdninstagram.com/t51.2885-19/s150x150/20590168_732024603636467_1659654334738071552_a.jpg")</f>
        <v>https://scontent.cdninstagram.com/t51.2885-19/s150x150/20590168_732024603636467_1659654334738071552_a.jpg</v>
      </c>
    </row>
    <row r="462" spans="1:31" ht="15" x14ac:dyDescent="0.25">
      <c r="A462" t="s">
        <v>2474</v>
      </c>
      <c r="B462" t="s">
        <v>5362</v>
      </c>
      <c r="C462" s="221">
        <v>42960.646354166667</v>
      </c>
      <c r="D462" t="s">
        <v>5363</v>
      </c>
      <c r="E462" s="249" t="str">
        <f>HYPERLINK("https://www.instagram.com/p/BXvutN1ALA6/")</f>
        <v>https://www.instagram.com/p/BXvutN1ALA6/</v>
      </c>
      <c r="F462" t="s">
        <v>5364</v>
      </c>
      <c r="G462" t="s">
        <v>2631</v>
      </c>
      <c r="H462">
        <v>204</v>
      </c>
      <c r="I462" t="s">
        <v>2479</v>
      </c>
      <c r="J462">
        <v>0</v>
      </c>
      <c r="K462">
        <v>21</v>
      </c>
      <c r="L462">
        <v>21</v>
      </c>
      <c r="Q462">
        <v>0</v>
      </c>
      <c r="R462">
        <v>0</v>
      </c>
      <c r="S462">
        <v>21</v>
      </c>
      <c r="T462" t="s">
        <v>5365</v>
      </c>
      <c r="U462" t="s">
        <v>560</v>
      </c>
      <c r="V462" t="s">
        <v>2299</v>
      </c>
      <c r="W462">
        <v>35.066342485421998</v>
      </c>
      <c r="X462">
        <v>-106.00709812133</v>
      </c>
      <c r="Y462" t="s">
        <v>5366</v>
      </c>
      <c r="Z462" t="s">
        <v>5367</v>
      </c>
      <c r="AA462" t="s">
        <v>5368</v>
      </c>
      <c r="AB462" t="s">
        <v>2833</v>
      </c>
      <c r="AC462" t="s">
        <v>5369</v>
      </c>
      <c r="AD462" s="249" t="str">
        <f>HYPERLINK("https://scontent.cdninstagram.com/t51.2885-15/s320x320/e15/20837810_1823499721294046_4676475411108986880_n.jpg")</f>
        <v>https://scontent.cdninstagram.com/t51.2885-15/s320x320/e15/20837810_1823499721294046_4676475411108986880_n.jpg</v>
      </c>
      <c r="AE462" s="249" t="str">
        <f>HYPERLINK("https://scontent.cdninstagram.com/t51.2885-19/s150x150/15625548_726929070792158_1734280645636521984_a.jpg")</f>
        <v>https://scontent.cdninstagram.com/t51.2885-19/s150x150/15625548_726929070792158_1734280645636521984_a.jpg</v>
      </c>
    </row>
    <row r="463" spans="1:31" ht="15" x14ac:dyDescent="0.25">
      <c r="A463" t="s">
        <v>2474</v>
      </c>
      <c r="B463" t="s">
        <v>5370</v>
      </c>
      <c r="C463" s="221">
        <v>42960.646840277775</v>
      </c>
      <c r="D463" t="s">
        <v>5371</v>
      </c>
      <c r="E463" s="249" t="str">
        <f>HYPERLINK("https://www.instagram.com/p/BXvuybZDY-U/")</f>
        <v>https://www.instagram.com/p/BXvuybZDY-U/</v>
      </c>
      <c r="F463" t="s">
        <v>5372</v>
      </c>
      <c r="G463" t="s">
        <v>2478</v>
      </c>
      <c r="H463">
        <v>2220</v>
      </c>
      <c r="I463" t="s">
        <v>2479</v>
      </c>
      <c r="J463">
        <v>2</v>
      </c>
      <c r="K463">
        <v>52</v>
      </c>
      <c r="L463">
        <v>54</v>
      </c>
      <c r="Q463">
        <v>0</v>
      </c>
      <c r="R463">
        <v>0</v>
      </c>
      <c r="S463">
        <v>54</v>
      </c>
      <c r="Y463" t="s">
        <v>5373</v>
      </c>
      <c r="Z463" t="s">
        <v>5374</v>
      </c>
      <c r="AA463" t="s">
        <v>5375</v>
      </c>
      <c r="AB463" t="s">
        <v>5376</v>
      </c>
      <c r="AC463" t="s">
        <v>5377</v>
      </c>
      <c r="AD463" s="249" t="str">
        <f>HYPERLINK("https://scontent.cdninstagram.com/t51.2885-15/s320x320/e35/20766751_1831821196833869_6947452142101725184_n.jpg")</f>
        <v>https://scontent.cdninstagram.com/t51.2885-15/s320x320/e35/20766751_1831821196833869_6947452142101725184_n.jpg</v>
      </c>
      <c r="AE463" s="249" t="str">
        <f>HYPERLINK("https://scontent.cdninstagram.com/t51.2885-19/s150x150/20766478_1882395302023798_5036673857000308736_a.jpg")</f>
        <v>https://scontent.cdninstagram.com/t51.2885-19/s150x150/20766478_1882395302023798_5036673857000308736_a.jpg</v>
      </c>
    </row>
    <row r="464" spans="1:31" ht="15" x14ac:dyDescent="0.25">
      <c r="A464" t="s">
        <v>2474</v>
      </c>
      <c r="B464" t="s">
        <v>5378</v>
      </c>
      <c r="C464" s="221">
        <v>42960.650312500002</v>
      </c>
      <c r="D464" t="s">
        <v>5379</v>
      </c>
      <c r="E464" s="249" t="str">
        <f>HYPERLINK("https://www.instagram.com/p/BXvvXEzDe6L/")</f>
        <v>https://www.instagram.com/p/BXvvXEzDe6L/</v>
      </c>
      <c r="F464" t="s">
        <v>5380</v>
      </c>
      <c r="G464" t="s">
        <v>2478</v>
      </c>
      <c r="H464">
        <v>155</v>
      </c>
      <c r="I464" t="s">
        <v>2479</v>
      </c>
      <c r="J464">
        <v>6</v>
      </c>
      <c r="K464">
        <v>48</v>
      </c>
      <c r="L464">
        <v>54</v>
      </c>
      <c r="Q464">
        <v>0</v>
      </c>
      <c r="R464">
        <v>0</v>
      </c>
      <c r="S464">
        <v>54</v>
      </c>
      <c r="Y464" t="s">
        <v>5381</v>
      </c>
      <c r="Z464" t="s">
        <v>5382</v>
      </c>
      <c r="AA464" t="s">
        <v>5383</v>
      </c>
      <c r="AB464" t="s">
        <v>5384</v>
      </c>
      <c r="AC464" t="s">
        <v>5385</v>
      </c>
      <c r="AD464" s="249" t="str">
        <f>HYPERLINK("https://scontent.cdninstagram.com/t51.2885-15/s320x320/e35/20688645_339920603122275_8882195975347634176_n.jpg")</f>
        <v>https://scontent.cdninstagram.com/t51.2885-15/s320x320/e35/20688645_339920603122275_8882195975347634176_n.jpg</v>
      </c>
      <c r="AE464" s="249" t="str">
        <f>HYPERLINK("https://scontent.cdninstagram.com/t51.2885-19/s150x150/19228640_1466477903411115_3170619178021289984_a.jpg")</f>
        <v>https://scontent.cdninstagram.com/t51.2885-19/s150x150/19228640_1466477903411115_3170619178021289984_a.jpg</v>
      </c>
    </row>
    <row r="465" spans="1:31" ht="15" x14ac:dyDescent="0.25">
      <c r="A465" t="s">
        <v>2474</v>
      </c>
      <c r="B465" t="s">
        <v>5386</v>
      </c>
      <c r="C465" s="221">
        <v>42960.651944444442</v>
      </c>
      <c r="D465" t="s">
        <v>5387</v>
      </c>
      <c r="E465" s="249" t="str">
        <f>HYPERLINK("https://www.instagram.com/p/BXvvoMyhmuQ/")</f>
        <v>https://www.instagram.com/p/BXvvoMyhmuQ/</v>
      </c>
      <c r="F465" t="s">
        <v>5388</v>
      </c>
      <c r="G465" t="s">
        <v>2478</v>
      </c>
      <c r="H465">
        <v>320</v>
      </c>
      <c r="I465" t="s">
        <v>5389</v>
      </c>
      <c r="J465">
        <v>2</v>
      </c>
      <c r="K465">
        <v>40</v>
      </c>
      <c r="L465">
        <v>42</v>
      </c>
      <c r="Q465">
        <v>0</v>
      </c>
      <c r="R465">
        <v>0</v>
      </c>
      <c r="S465">
        <v>42</v>
      </c>
      <c r="T465" t="s">
        <v>5390</v>
      </c>
      <c r="V465" t="s">
        <v>2239</v>
      </c>
      <c r="W465">
        <v>52.396361351297998</v>
      </c>
      <c r="X465">
        <v>16.965504213045001</v>
      </c>
      <c r="Y465" t="s">
        <v>5391</v>
      </c>
      <c r="Z465" t="s">
        <v>5392</v>
      </c>
      <c r="AA465" t="s">
        <v>5393</v>
      </c>
      <c r="AB465" t="s">
        <v>5394</v>
      </c>
      <c r="AC465" t="s">
        <v>5395</v>
      </c>
      <c r="AD465" s="249" t="str">
        <f>HYPERLINK("https://scontent.cdninstagram.com/t51.2885-15/s320x320/e35/20759731_381525992249934_4532386946319646720_n.jpg")</f>
        <v>https://scontent.cdninstagram.com/t51.2885-15/s320x320/e35/20759731_381525992249934_4532386946319646720_n.jpg</v>
      </c>
      <c r="AE465" s="249" t="str">
        <f>HYPERLINK("https://scontent.cdninstagram.com/t51.2885-19/s150x150/19367023_713859652134243_9128565547238162432_a.jpg")</f>
        <v>https://scontent.cdninstagram.com/t51.2885-19/s150x150/19367023_713859652134243_9128565547238162432_a.jpg</v>
      </c>
    </row>
    <row r="466" spans="1:31" ht="15" x14ac:dyDescent="0.25">
      <c r="A466" t="s">
        <v>2474</v>
      </c>
      <c r="B466" t="s">
        <v>5396</v>
      </c>
      <c r="C466" s="221">
        <v>42960.653194444443</v>
      </c>
      <c r="D466" t="s">
        <v>5397</v>
      </c>
      <c r="E466" s="249" t="str">
        <f>HYPERLINK("https://www.instagram.com/p/BXvv1ahFENK/")</f>
        <v>https://www.instagram.com/p/BXvv1ahFENK/</v>
      </c>
      <c r="F466" t="s">
        <v>5398</v>
      </c>
      <c r="G466" t="s">
        <v>2631</v>
      </c>
      <c r="H466">
        <v>1137</v>
      </c>
      <c r="I466" t="s">
        <v>2479</v>
      </c>
      <c r="J466">
        <v>4</v>
      </c>
      <c r="K466">
        <v>59</v>
      </c>
      <c r="L466">
        <v>63</v>
      </c>
      <c r="Q466">
        <v>0</v>
      </c>
      <c r="R466">
        <v>0</v>
      </c>
      <c r="S466">
        <v>63</v>
      </c>
      <c r="Y466" t="s">
        <v>4988</v>
      </c>
      <c r="Z466" t="s">
        <v>3535</v>
      </c>
      <c r="AA466" t="s">
        <v>5168</v>
      </c>
      <c r="AB466" t="s">
        <v>5399</v>
      </c>
      <c r="AC466" t="s">
        <v>2833</v>
      </c>
      <c r="AD466" s="249" t="str">
        <f>HYPERLINK("https://scontent.cdninstagram.com/t51.2885-15/s320x320/e15/20837799_2027710544183902_3418845112086560768_n.jpg")</f>
        <v>https://scontent.cdninstagram.com/t51.2885-15/s320x320/e15/20837799_2027710544183902_3418845112086560768_n.jpg</v>
      </c>
      <c r="AE466" s="249" t="str">
        <f>HYPERLINK("https://scontent.cdninstagram.com/t51.2885-19/s150x150/20399052_114214059228404_4282320197861244928_a.jpg")</f>
        <v>https://scontent.cdninstagram.com/t51.2885-19/s150x150/20399052_114214059228404_4282320197861244928_a.jpg</v>
      </c>
    </row>
    <row r="467" spans="1:31" ht="15" x14ac:dyDescent="0.25">
      <c r="A467" t="s">
        <v>2474</v>
      </c>
      <c r="B467" t="s">
        <v>5400</v>
      </c>
      <c r="C467" s="221">
        <v>42960.653495370374</v>
      </c>
      <c r="D467" t="s">
        <v>5401</v>
      </c>
      <c r="E467" s="249" t="str">
        <f>HYPERLINK("https://www.instagram.com/p/BXvv4h6lUvf/")</f>
        <v>https://www.instagram.com/p/BXvv4h6lUvf/</v>
      </c>
      <c r="F467" t="s">
        <v>5402</v>
      </c>
      <c r="G467" t="s">
        <v>2488</v>
      </c>
      <c r="H467">
        <v>226</v>
      </c>
      <c r="I467" t="s">
        <v>2479</v>
      </c>
      <c r="J467">
        <v>1</v>
      </c>
      <c r="K467">
        <v>72</v>
      </c>
      <c r="L467">
        <v>73</v>
      </c>
      <c r="Q467">
        <v>0</v>
      </c>
      <c r="R467">
        <v>0</v>
      </c>
      <c r="S467">
        <v>73</v>
      </c>
      <c r="T467" t="s">
        <v>5403</v>
      </c>
      <c r="V467" t="s">
        <v>2222</v>
      </c>
      <c r="W467">
        <v>52.490065000000001</v>
      </c>
      <c r="X467">
        <v>5.3857600000000003</v>
      </c>
      <c r="Y467" t="s">
        <v>5404</v>
      </c>
      <c r="Z467" t="s">
        <v>5405</v>
      </c>
      <c r="AA467" t="s">
        <v>5406</v>
      </c>
      <c r="AB467" t="s">
        <v>5407</v>
      </c>
      <c r="AC467" t="s">
        <v>5408</v>
      </c>
      <c r="AD467" s="249" t="str">
        <f>HYPERLINK("https://scontent.cdninstagram.com/t51.2885-15/s320x320/e35/20766813_1889525304705903_3042655656843673600_n.jpg")</f>
        <v>https://scontent.cdninstagram.com/t51.2885-15/s320x320/e35/20766813_1889525304705903_3042655656843673600_n.jpg</v>
      </c>
      <c r="AE467" s="249" t="str">
        <f>HYPERLINK("https://scontent.cdninstagram.com/t51.2885-19/s150x150/14052797_146786365761467_889363154_a.jpg")</f>
        <v>https://scontent.cdninstagram.com/t51.2885-19/s150x150/14052797_146786365761467_889363154_a.jpg</v>
      </c>
    </row>
    <row r="468" spans="1:31" ht="15" x14ac:dyDescent="0.25">
      <c r="A468" t="s">
        <v>2474</v>
      </c>
      <c r="B468" t="s">
        <v>5409</v>
      </c>
      <c r="C468" s="221">
        <v>42960.655844907407</v>
      </c>
      <c r="D468" t="s">
        <v>5410</v>
      </c>
      <c r="E468" s="249" t="str">
        <f>HYPERLINK("https://www.instagram.com/p/BXvwRTtBeWd/")</f>
        <v>https://www.instagram.com/p/BXvwRTtBeWd/</v>
      </c>
      <c r="F468" t="s">
        <v>5411</v>
      </c>
      <c r="G468" t="s">
        <v>2478</v>
      </c>
      <c r="H468">
        <v>642</v>
      </c>
      <c r="I468" t="s">
        <v>2479</v>
      </c>
      <c r="J468">
        <v>0</v>
      </c>
      <c r="K468">
        <v>41</v>
      </c>
      <c r="L468">
        <v>41</v>
      </c>
      <c r="Q468">
        <v>0</v>
      </c>
      <c r="R468">
        <v>0</v>
      </c>
      <c r="S468">
        <v>41</v>
      </c>
      <c r="T468" t="s">
        <v>5412</v>
      </c>
      <c r="V468" t="s">
        <v>2239</v>
      </c>
      <c r="W468">
        <v>54.446438199578999</v>
      </c>
      <c r="X468">
        <v>18.571593761443999</v>
      </c>
      <c r="Y468" t="s">
        <v>5413</v>
      </c>
      <c r="Z468" t="s">
        <v>5414</v>
      </c>
      <c r="AA468" t="s">
        <v>5415</v>
      </c>
      <c r="AB468" t="s">
        <v>5416</v>
      </c>
      <c r="AC468" t="s">
        <v>5417</v>
      </c>
      <c r="AD468" s="249" t="str">
        <f>HYPERLINK("https://scontent.cdninstagram.com/t51.2885-15/s320x320/e35/20837445_1693857530922992_7901641592912478208_n.jpg")</f>
        <v>https://scontent.cdninstagram.com/t51.2885-15/s320x320/e35/20837445_1693857530922992_7901641592912478208_n.jpg</v>
      </c>
      <c r="AE468" s="249" t="str">
        <f>HYPERLINK("https://scontent.cdninstagram.com/t51.2885-19/s150x150/20482666_330708970704858_7693193017422774272_a.jpg")</f>
        <v>https://scontent.cdninstagram.com/t51.2885-19/s150x150/20482666_330708970704858_7693193017422774272_a.jpg</v>
      </c>
    </row>
    <row r="469" spans="1:31" ht="15" x14ac:dyDescent="0.25">
      <c r="A469" t="s">
        <v>2474</v>
      </c>
      <c r="B469" t="s">
        <v>5418</v>
      </c>
      <c r="C469" s="221">
        <v>42960.657673611109</v>
      </c>
      <c r="D469" t="s">
        <v>5419</v>
      </c>
      <c r="E469" s="249" t="str">
        <f>HYPERLINK("https://www.instagram.com/p/BXvwkm2A4A_/")</f>
        <v>https://www.instagram.com/p/BXvwkm2A4A_/</v>
      </c>
      <c r="F469" t="s">
        <v>5420</v>
      </c>
      <c r="G469" t="s">
        <v>2478</v>
      </c>
      <c r="H469">
        <v>318</v>
      </c>
      <c r="I469" t="s">
        <v>2927</v>
      </c>
      <c r="J469">
        <v>0</v>
      </c>
      <c r="K469">
        <v>30</v>
      </c>
      <c r="L469">
        <v>30</v>
      </c>
      <c r="Q469">
        <v>0</v>
      </c>
      <c r="R469">
        <v>0</v>
      </c>
      <c r="S469">
        <v>30</v>
      </c>
      <c r="Y469" t="s">
        <v>5421</v>
      </c>
      <c r="Z469" t="s">
        <v>5422</v>
      </c>
      <c r="AA469" t="s">
        <v>5423</v>
      </c>
      <c r="AB469" t="s">
        <v>5424</v>
      </c>
      <c r="AC469" t="s">
        <v>5425</v>
      </c>
      <c r="AD469" s="249" t="str">
        <f>HYPERLINK("https://scontent.cdninstagram.com/t51.2885-15/s320x320/e35/20837672_1059346674201886_4267394452068237312_n.jpg")</f>
        <v>https://scontent.cdninstagram.com/t51.2885-15/s320x320/e35/20837672_1059346674201886_4267394452068237312_n.jpg</v>
      </c>
      <c r="AE469" s="249" t="str">
        <f>HYPERLINK("https://scontent.cdninstagram.com/t51.2885-19/s150x150/1515520_1258922497456908_1803796593_a.jpg")</f>
        <v>https://scontent.cdninstagram.com/t51.2885-19/s150x150/1515520_1258922497456908_1803796593_a.jpg</v>
      </c>
    </row>
    <row r="470" spans="1:31" ht="15" x14ac:dyDescent="0.25">
      <c r="A470" t="s">
        <v>2474</v>
      </c>
      <c r="B470" t="s">
        <v>5426</v>
      </c>
      <c r="C470" s="221">
        <v>42960.661932870367</v>
      </c>
      <c r="D470" t="s">
        <v>5427</v>
      </c>
      <c r="E470" s="249" t="str">
        <f>HYPERLINK("https://www.instagram.com/p/BXvxRh9DH5Y/")</f>
        <v>https://www.instagram.com/p/BXvxRh9DH5Y/</v>
      </c>
      <c r="F470" t="s">
        <v>5428</v>
      </c>
      <c r="G470" t="s">
        <v>2478</v>
      </c>
      <c r="H470">
        <v>76</v>
      </c>
      <c r="I470" t="s">
        <v>2479</v>
      </c>
      <c r="J470">
        <v>0</v>
      </c>
      <c r="K470">
        <v>21</v>
      </c>
      <c r="L470">
        <v>21</v>
      </c>
      <c r="Q470">
        <v>0</v>
      </c>
      <c r="R470">
        <v>0</v>
      </c>
      <c r="S470">
        <v>21</v>
      </c>
      <c r="Y470" t="s">
        <v>5429</v>
      </c>
      <c r="Z470" t="s">
        <v>2497</v>
      </c>
      <c r="AA470" t="s">
        <v>2529</v>
      </c>
      <c r="AB470" t="s">
        <v>3936</v>
      </c>
      <c r="AD470" s="249" t="str">
        <f>HYPERLINK("https://scontent.cdninstagram.com/t51.2885-15/s320x320/e35/20837825_1434166820006213_537766678969188352_n.jpg")</f>
        <v>https://scontent.cdninstagram.com/t51.2885-15/s320x320/e35/20837825_1434166820006213_537766678969188352_n.jpg</v>
      </c>
      <c r="AE470" s="249" t="str">
        <f>HYPERLINK("https://scontent.cdninstagram.com/t51.2885-19/s150x150/18646291_968690709939195_618068870753681408_a.jpg")</f>
        <v>https://scontent.cdninstagram.com/t51.2885-19/s150x150/18646291_968690709939195_618068870753681408_a.jpg</v>
      </c>
    </row>
    <row r="471" spans="1:31" ht="15" x14ac:dyDescent="0.25">
      <c r="A471" t="s">
        <v>2474</v>
      </c>
      <c r="B471" t="s">
        <v>5430</v>
      </c>
      <c r="C471" s="221">
        <v>42960.664120370369</v>
      </c>
      <c r="D471" t="s">
        <v>5431</v>
      </c>
      <c r="E471" s="249" t="str">
        <f>HYPERLINK("https://www.instagram.com/p/BXvxoqMBUvp/")</f>
        <v>https://www.instagram.com/p/BXvxoqMBUvp/</v>
      </c>
      <c r="F471" t="s">
        <v>5432</v>
      </c>
      <c r="G471" t="s">
        <v>2478</v>
      </c>
      <c r="H471">
        <v>307</v>
      </c>
      <c r="I471" t="s">
        <v>2479</v>
      </c>
      <c r="J471">
        <v>1</v>
      </c>
      <c r="K471">
        <v>24</v>
      </c>
      <c r="L471">
        <v>25</v>
      </c>
      <c r="Q471">
        <v>0</v>
      </c>
      <c r="R471">
        <v>0</v>
      </c>
      <c r="S471">
        <v>25</v>
      </c>
      <c r="Y471" t="s">
        <v>5433</v>
      </c>
      <c r="Z471" t="s">
        <v>2497</v>
      </c>
      <c r="AA471" t="s">
        <v>4853</v>
      </c>
      <c r="AB471" t="s">
        <v>5434</v>
      </c>
      <c r="AC471" t="s">
        <v>5435</v>
      </c>
      <c r="AD471" s="249" t="str">
        <f>HYPERLINK("https://scontent.cdninstagram.com/t51.2885-15/s320x320/e35/20837102_323025334808044_3604071916098289664_n.jpg")</f>
        <v>https://scontent.cdninstagram.com/t51.2885-15/s320x320/e35/20837102_323025334808044_3604071916098289664_n.jpg</v>
      </c>
      <c r="AE471" s="249" t="str">
        <f>HYPERLINK("https://scontent.cdninstagram.com/t51.2885-19/s150x150/14145485_1270343192996680_839379279_a.jpg")</f>
        <v>https://scontent.cdninstagram.com/t51.2885-19/s150x150/14145485_1270343192996680_839379279_a.jpg</v>
      </c>
    </row>
    <row r="472" spans="1:31" ht="15" x14ac:dyDescent="0.25">
      <c r="A472" t="s">
        <v>2474</v>
      </c>
      <c r="B472" t="s">
        <v>5436</v>
      </c>
      <c r="C472" s="221">
        <v>42960.666701388887</v>
      </c>
      <c r="D472" t="s">
        <v>5437</v>
      </c>
      <c r="E472" s="249" t="str">
        <f>HYPERLINK("https://www.instagram.com/p/BXvyD49j937/")</f>
        <v>https://www.instagram.com/p/BXvyD49j937/</v>
      </c>
      <c r="F472" t="s">
        <v>5438</v>
      </c>
      <c r="G472" t="s">
        <v>2478</v>
      </c>
      <c r="H472">
        <v>8076</v>
      </c>
      <c r="I472" t="s">
        <v>2479</v>
      </c>
      <c r="J472">
        <v>19</v>
      </c>
      <c r="K472">
        <v>208</v>
      </c>
      <c r="L472">
        <v>227</v>
      </c>
      <c r="Q472">
        <v>0</v>
      </c>
      <c r="R472">
        <v>0</v>
      </c>
      <c r="S472">
        <v>227</v>
      </c>
      <c r="T472" t="s">
        <v>5439</v>
      </c>
      <c r="V472" t="s">
        <v>2264</v>
      </c>
      <c r="W472">
        <v>40.418332999999997</v>
      </c>
      <c r="X472">
        <v>-3.7141670000000002</v>
      </c>
      <c r="Y472" t="s">
        <v>5440</v>
      </c>
      <c r="Z472" t="s">
        <v>5441</v>
      </c>
      <c r="AA472" t="s">
        <v>5442</v>
      </c>
      <c r="AB472" t="s">
        <v>3174</v>
      </c>
      <c r="AC472" t="s">
        <v>5443</v>
      </c>
      <c r="AD472" s="249" t="str">
        <f>HYPERLINK("https://scontent.cdninstagram.com/t51.2885-15/s320x320/e35/20766495_423441481390506_4282872925792501760_n.jpg")</f>
        <v>https://scontent.cdninstagram.com/t51.2885-15/s320x320/e35/20766495_423441481390506_4282872925792501760_n.jpg</v>
      </c>
      <c r="AE472" s="249" t="str">
        <f>HYPERLINK("https://scontent.cdninstagram.com/t51.2885-19/s150x150/20767018_503897766623051_2269405782279716864_a.jpg")</f>
        <v>https://scontent.cdninstagram.com/t51.2885-19/s150x150/20767018_503897766623051_2269405782279716864_a.jpg</v>
      </c>
    </row>
    <row r="473" spans="1:31" ht="15" x14ac:dyDescent="0.25">
      <c r="A473" t="s">
        <v>2474</v>
      </c>
      <c r="B473" t="s">
        <v>5444</v>
      </c>
      <c r="C473" s="221">
        <v>42960.672025462962</v>
      </c>
      <c r="D473" t="s">
        <v>5445</v>
      </c>
      <c r="E473" s="249" t="str">
        <f>HYPERLINK("https://www.instagram.com/p/BXvy7-bBer5/")</f>
        <v>https://www.instagram.com/p/BXvy7-bBer5/</v>
      </c>
      <c r="F473" t="s">
        <v>5446</v>
      </c>
      <c r="G473" t="s">
        <v>2478</v>
      </c>
      <c r="H473">
        <v>184</v>
      </c>
      <c r="I473" t="s">
        <v>5447</v>
      </c>
      <c r="J473">
        <v>0</v>
      </c>
      <c r="K473">
        <v>65</v>
      </c>
      <c r="L473">
        <v>65</v>
      </c>
      <c r="Q473">
        <v>0</v>
      </c>
      <c r="R473">
        <v>0</v>
      </c>
      <c r="S473">
        <v>65</v>
      </c>
      <c r="T473" t="s">
        <v>5448</v>
      </c>
      <c r="V473" t="s">
        <v>2161</v>
      </c>
      <c r="W473">
        <v>51.316699999999997</v>
      </c>
      <c r="X473">
        <v>9.5</v>
      </c>
      <c r="Y473" t="s">
        <v>5449</v>
      </c>
      <c r="Z473" t="s">
        <v>5450</v>
      </c>
      <c r="AA473" t="s">
        <v>5451</v>
      </c>
      <c r="AB473" t="s">
        <v>5452</v>
      </c>
      <c r="AC473" t="s">
        <v>5453</v>
      </c>
      <c r="AD473" s="249" t="str">
        <f>HYPERLINK("https://scontent.cdninstagram.com/t51.2885-15/s320x320/e35/c0.117.937.937/20759828_1349625371753423_8709432702572429312_n.jpg")</f>
        <v>https://scontent.cdninstagram.com/t51.2885-15/s320x320/e35/c0.117.937.937/20759828_1349625371753423_8709432702572429312_n.jpg</v>
      </c>
      <c r="AE473" s="249" t="str">
        <f>HYPERLINK("https://scontent.cdninstagram.com/t51.2885-19/11357484_458402317675906_1283915623_a.jpg")</f>
        <v>https://scontent.cdninstagram.com/t51.2885-19/11357484_458402317675906_1283915623_a.jpg</v>
      </c>
    </row>
    <row r="474" spans="1:31" ht="15" x14ac:dyDescent="0.25">
      <c r="A474" t="s">
        <v>2474</v>
      </c>
      <c r="B474" t="s">
        <v>3154</v>
      </c>
      <c r="C474" s="221">
        <v>42960.674768518518</v>
      </c>
      <c r="D474" t="s">
        <v>5454</v>
      </c>
      <c r="E474" s="249" t="str">
        <f>HYPERLINK("https://www.instagram.com/p/BXvzY_Hj0A_/")</f>
        <v>https://www.instagram.com/p/BXvzY_Hj0A_/</v>
      </c>
      <c r="F474" t="s">
        <v>5455</v>
      </c>
      <c r="G474" t="s">
        <v>2488</v>
      </c>
      <c r="H474">
        <v>861</v>
      </c>
      <c r="I474" t="s">
        <v>2479</v>
      </c>
      <c r="J474">
        <v>0</v>
      </c>
      <c r="K474">
        <v>90</v>
      </c>
      <c r="L474">
        <v>90</v>
      </c>
      <c r="Q474">
        <v>0</v>
      </c>
      <c r="R474">
        <v>0</v>
      </c>
      <c r="S474">
        <v>90</v>
      </c>
      <c r="Y474" t="s">
        <v>5456</v>
      </c>
      <c r="Z474" t="s">
        <v>4370</v>
      </c>
      <c r="AA474" t="s">
        <v>5457</v>
      </c>
      <c r="AB474" t="s">
        <v>3157</v>
      </c>
      <c r="AC474" t="s">
        <v>3982</v>
      </c>
      <c r="AD474" s="249" t="str">
        <f>HYPERLINK("https://scontent.cdninstagram.com/t51.2885-15/s320x320/e35/20759534_866658756823252_2303026111962939392_n.jpg")</f>
        <v>https://scontent.cdninstagram.com/t51.2885-15/s320x320/e35/20759534_866658756823252_2303026111962939392_n.jpg</v>
      </c>
      <c r="AE474" s="249" t="str">
        <f>HYPERLINK("https://scontent.cdninstagram.com/t51.2885-19/s150x150/19985569_317129912066691_5696369542196887552_a.jpg")</f>
        <v>https://scontent.cdninstagram.com/t51.2885-19/s150x150/19985569_317129912066691_5696369542196887552_a.jpg</v>
      </c>
    </row>
    <row r="475" spans="1:31" ht="15" x14ac:dyDescent="0.25">
      <c r="A475" t="s">
        <v>2474</v>
      </c>
      <c r="B475" t="s">
        <v>2893</v>
      </c>
      <c r="C475" s="221">
        <v>42960.674803240741</v>
      </c>
      <c r="D475" t="s">
        <v>5458</v>
      </c>
      <c r="E475" s="249" t="str">
        <f>HYPERLINK("https://www.instagram.com/p/BXvzZUyFzm1/")</f>
        <v>https://www.instagram.com/p/BXvzZUyFzm1/</v>
      </c>
      <c r="F475" t="s">
        <v>5459</v>
      </c>
      <c r="G475" t="s">
        <v>2478</v>
      </c>
      <c r="H475">
        <v>372</v>
      </c>
      <c r="I475" t="s">
        <v>2896</v>
      </c>
      <c r="J475">
        <v>6</v>
      </c>
      <c r="K475">
        <v>67</v>
      </c>
      <c r="L475">
        <v>73</v>
      </c>
      <c r="Q475">
        <v>0</v>
      </c>
      <c r="R475">
        <v>0</v>
      </c>
      <c r="S475">
        <v>73</v>
      </c>
      <c r="AD475" s="249" t="str">
        <f>HYPERLINK("https://scontent.cdninstagram.com/t51.2885-15/s320x320/e35/c101.0.877.877/20837657_1072402522896280_704769906679218176_n.jpg")</f>
        <v>https://scontent.cdninstagram.com/t51.2885-15/s320x320/e35/c101.0.877.877/20837657_1072402522896280_704769906679218176_n.jpg</v>
      </c>
      <c r="AE475" s="249" t="str">
        <f>HYPERLINK("https://scontent.cdninstagram.com/t51.2885-19/s150x150/19429073_1950629931886296_372749186438791168_a.jpg")</f>
        <v>https://scontent.cdninstagram.com/t51.2885-19/s150x150/19429073_1950629931886296_372749186438791168_a.jpg</v>
      </c>
    </row>
    <row r="476" spans="1:31" ht="15" x14ac:dyDescent="0.25">
      <c r="A476" t="s">
        <v>2474</v>
      </c>
      <c r="B476" t="s">
        <v>3754</v>
      </c>
      <c r="C476" s="221">
        <v>42960.675324074073</v>
      </c>
      <c r="D476" t="s">
        <v>5460</v>
      </c>
      <c r="E476" s="249" t="str">
        <f>HYPERLINK("https://www.instagram.com/p/BXvzewSjeXC/")</f>
        <v>https://www.instagram.com/p/BXvzewSjeXC/</v>
      </c>
      <c r="F476" t="s">
        <v>3756</v>
      </c>
      <c r="G476" t="s">
        <v>2478</v>
      </c>
      <c r="H476">
        <v>201918</v>
      </c>
      <c r="I476" t="s">
        <v>2479</v>
      </c>
      <c r="J476">
        <v>1</v>
      </c>
      <c r="K476">
        <v>206</v>
      </c>
      <c r="L476">
        <v>207</v>
      </c>
      <c r="Q476">
        <v>0</v>
      </c>
      <c r="R476">
        <v>0</v>
      </c>
      <c r="S476">
        <v>207</v>
      </c>
      <c r="Y476" t="s">
        <v>4231</v>
      </c>
      <c r="Z476" t="s">
        <v>4801</v>
      </c>
      <c r="AA476" t="s">
        <v>4564</v>
      </c>
      <c r="AB476" t="s">
        <v>3760</v>
      </c>
      <c r="AC476" t="s">
        <v>3758</v>
      </c>
      <c r="AD476" s="249" t="str">
        <f>HYPERLINK("https://scontent.cdninstagram.com/t51.2885-15/s320x320/e35/20759057_1950157398604953_3206905174861807616_n.jpg")</f>
        <v>https://scontent.cdninstagram.com/t51.2885-15/s320x320/e35/20759057_1950157398604953_3206905174861807616_n.jpg</v>
      </c>
      <c r="AE476" s="249" t="str">
        <f>HYPERLINK("https://scontent.cdninstagram.com/t51.2885-19/s150x150/12905002_1681254462136092_1137392787_a.jpg")</f>
        <v>https://scontent.cdninstagram.com/t51.2885-19/s150x150/12905002_1681254462136092_1137392787_a.jpg</v>
      </c>
    </row>
    <row r="477" spans="1:31" ht="15" x14ac:dyDescent="0.25">
      <c r="A477" t="s">
        <v>2474</v>
      </c>
      <c r="B477" t="s">
        <v>4912</v>
      </c>
      <c r="C477" s="221">
        <v>42960.678217592591</v>
      </c>
      <c r="D477" t="s">
        <v>5461</v>
      </c>
      <c r="E477" s="249" t="str">
        <f>HYPERLINK("https://www.instagram.com/p/BXvz9RfB7sq/")</f>
        <v>https://www.instagram.com/p/BXvz9RfB7sq/</v>
      </c>
      <c r="F477" t="s">
        <v>5462</v>
      </c>
      <c r="G477" t="s">
        <v>2488</v>
      </c>
      <c r="H477">
        <v>133</v>
      </c>
      <c r="I477" t="s">
        <v>2479</v>
      </c>
      <c r="J477">
        <v>0</v>
      </c>
      <c r="K477">
        <v>9</v>
      </c>
      <c r="L477">
        <v>9</v>
      </c>
      <c r="Q477">
        <v>0</v>
      </c>
      <c r="R477">
        <v>0</v>
      </c>
      <c r="S477">
        <v>9</v>
      </c>
      <c r="Y477" t="s">
        <v>4916</v>
      </c>
      <c r="Z477" t="s">
        <v>2497</v>
      </c>
      <c r="AD477" s="249" t="str">
        <f>HYPERLINK("https://scontent.cdninstagram.com/t51.2885-15/s320x320/e35/20766765_804698163041658_616440721666211840_n.jpg")</f>
        <v>https://scontent.cdninstagram.com/t51.2885-15/s320x320/e35/20766765_804698163041658_616440721666211840_n.jpg</v>
      </c>
      <c r="AE477" s="249" t="str">
        <f>HYPERLINK("https://scontent.cdninstagram.com/t51.2885-19/11355208_458925037600587_364040275_a.jpg")</f>
        <v>https://scontent.cdninstagram.com/t51.2885-19/11355208_458925037600587_364040275_a.jpg</v>
      </c>
    </row>
    <row r="478" spans="1:31" ht="15" x14ac:dyDescent="0.25">
      <c r="A478" t="s">
        <v>2474</v>
      </c>
      <c r="B478" t="s">
        <v>5463</v>
      </c>
      <c r="C478" s="221">
        <v>42960.699594907404</v>
      </c>
      <c r="D478" t="s">
        <v>5464</v>
      </c>
      <c r="E478" s="249" t="str">
        <f>HYPERLINK("https://www.instagram.com/p/BXv3ex3F_xo/")</f>
        <v>https://www.instagram.com/p/BXv3ex3F_xo/</v>
      </c>
      <c r="F478" t="s">
        <v>5465</v>
      </c>
      <c r="G478" t="s">
        <v>2478</v>
      </c>
      <c r="H478">
        <v>513</v>
      </c>
      <c r="I478" t="s">
        <v>2599</v>
      </c>
      <c r="J478">
        <v>0</v>
      </c>
      <c r="K478">
        <v>17</v>
      </c>
      <c r="L478">
        <v>17</v>
      </c>
      <c r="Q478">
        <v>0</v>
      </c>
      <c r="R478">
        <v>0</v>
      </c>
      <c r="S478">
        <v>17</v>
      </c>
      <c r="Y478" t="s">
        <v>5466</v>
      </c>
      <c r="Z478" t="s">
        <v>3174</v>
      </c>
      <c r="AA478" t="s">
        <v>4253</v>
      </c>
      <c r="AB478" t="s">
        <v>5467</v>
      </c>
      <c r="AC478" t="s">
        <v>3627</v>
      </c>
      <c r="AD478" s="249" t="str">
        <f>HYPERLINK("https://scontent.cdninstagram.com/t51.2885-15/s320x320/e35/20688737_1096442070489812_4532957013033877504_n.jpg")</f>
        <v>https://scontent.cdninstagram.com/t51.2885-15/s320x320/e35/20688737_1096442070489812_4532957013033877504_n.jpg</v>
      </c>
      <c r="AE478" s="249" t="str">
        <f>HYPERLINK("https://scontent.cdninstagram.com/t51.2885-19/s150x150/18253309_1888513271436714_2586640459128373248_a.jpg")</f>
        <v>https://scontent.cdninstagram.com/t51.2885-19/s150x150/18253309_1888513271436714_2586640459128373248_a.jpg</v>
      </c>
    </row>
    <row r="479" spans="1:31" ht="15" x14ac:dyDescent="0.25">
      <c r="A479" t="s">
        <v>2474</v>
      </c>
      <c r="B479" t="s">
        <v>5468</v>
      </c>
      <c r="C479" s="221">
        <v>42960.700856481482</v>
      </c>
      <c r="D479" t="s">
        <v>5469</v>
      </c>
      <c r="E479" s="249" t="str">
        <f>HYPERLINK("https://www.instagram.com/p/BXv3sCpjARG/")</f>
        <v>https://www.instagram.com/p/BXv3sCpjARG/</v>
      </c>
      <c r="F479" t="s">
        <v>5470</v>
      </c>
      <c r="G479" t="s">
        <v>2631</v>
      </c>
      <c r="H479">
        <v>11739</v>
      </c>
      <c r="I479" t="s">
        <v>2510</v>
      </c>
      <c r="J479">
        <v>20</v>
      </c>
      <c r="K479">
        <v>142</v>
      </c>
      <c r="L479">
        <v>162</v>
      </c>
      <c r="Q479">
        <v>0</v>
      </c>
      <c r="R479">
        <v>0</v>
      </c>
      <c r="S479">
        <v>162</v>
      </c>
      <c r="Y479" t="s">
        <v>5471</v>
      </c>
      <c r="Z479" t="s">
        <v>5472</v>
      </c>
      <c r="AA479" t="s">
        <v>3902</v>
      </c>
      <c r="AB479" t="s">
        <v>5473</v>
      </c>
      <c r="AC479" t="s">
        <v>5474</v>
      </c>
      <c r="AD479" s="249" t="str">
        <f>HYPERLINK("https://scontent.cdninstagram.com/t51.2885-15/s320x320/e15/20759217_745220608997463_2207888952814206976_n.jpg")</f>
        <v>https://scontent.cdninstagram.com/t51.2885-15/s320x320/e15/20759217_745220608997463_2207888952814206976_n.jpg</v>
      </c>
      <c r="AE479" s="249" t="str">
        <f>HYPERLINK("https://scontent.cdninstagram.com/t51.2885-19/s150x150/19428980_118492585335564_810698819699212288_a.jpg")</f>
        <v>https://scontent.cdninstagram.com/t51.2885-19/s150x150/19428980_118492585335564_810698819699212288_a.jpg</v>
      </c>
    </row>
    <row r="480" spans="1:31" ht="15" x14ac:dyDescent="0.25">
      <c r="A480" t="s">
        <v>2474</v>
      </c>
      <c r="B480" t="s">
        <v>5149</v>
      </c>
      <c r="C480" s="221">
        <v>42960.703576388885</v>
      </c>
      <c r="D480" t="s">
        <v>5475</v>
      </c>
      <c r="E480" s="249" t="str">
        <f>HYPERLINK("https://www.instagram.com/p/BXv4IzZj74v/")</f>
        <v>https://www.instagram.com/p/BXv4IzZj74v/</v>
      </c>
      <c r="F480" t="s">
        <v>5476</v>
      </c>
      <c r="G480" t="s">
        <v>2631</v>
      </c>
      <c r="H480">
        <v>63124</v>
      </c>
      <c r="I480" t="s">
        <v>2479</v>
      </c>
      <c r="J480">
        <v>3</v>
      </c>
      <c r="K480">
        <v>71</v>
      </c>
      <c r="L480">
        <v>74</v>
      </c>
      <c r="Q480">
        <v>0</v>
      </c>
      <c r="R480">
        <v>0</v>
      </c>
      <c r="S480">
        <v>74</v>
      </c>
      <c r="Y480" t="s">
        <v>2497</v>
      </c>
      <c r="Z480" t="s">
        <v>5153</v>
      </c>
      <c r="AA480" t="s">
        <v>5221</v>
      </c>
      <c r="AD480" s="249" t="str">
        <f>HYPERLINK("https://scontent.cdninstagram.com/t51.2885-15/s320x320/e15/c0.90.720.720/20836899_167583537122859_7800441657928712192_n.jpg")</f>
        <v>https://scontent.cdninstagram.com/t51.2885-15/s320x320/e15/c0.90.720.720/20836899_167583537122859_7800441657928712192_n.jpg</v>
      </c>
      <c r="AE480" s="249" t="str">
        <f>HYPERLINK("https://scontent.cdninstagram.com/t51.2885-19/s150x150/14128779_278010482584432_2056131760_a.jpg")</f>
        <v>https://scontent.cdninstagram.com/t51.2885-19/s150x150/14128779_278010482584432_2056131760_a.jpg</v>
      </c>
    </row>
    <row r="481" spans="1:31" ht="15" x14ac:dyDescent="0.25">
      <c r="A481" t="s">
        <v>2474</v>
      </c>
      <c r="B481" t="s">
        <v>5477</v>
      </c>
      <c r="C481" s="221">
        <v>42960.708101851851</v>
      </c>
      <c r="D481" t="s">
        <v>5478</v>
      </c>
      <c r="E481" s="249" t="str">
        <f>HYPERLINK("https://www.instagram.com/p/BXv44i-lUDg/")</f>
        <v>https://www.instagram.com/p/BXv44i-lUDg/</v>
      </c>
      <c r="F481" t="s">
        <v>5479</v>
      </c>
      <c r="G481" t="s">
        <v>2478</v>
      </c>
      <c r="H481">
        <v>166</v>
      </c>
      <c r="I481" t="s">
        <v>2479</v>
      </c>
      <c r="J481">
        <v>0</v>
      </c>
      <c r="K481">
        <v>28</v>
      </c>
      <c r="L481">
        <v>28</v>
      </c>
      <c r="Q481">
        <v>0</v>
      </c>
      <c r="R481">
        <v>0</v>
      </c>
      <c r="S481">
        <v>28</v>
      </c>
      <c r="Y481" t="s">
        <v>5480</v>
      </c>
      <c r="Z481" t="s">
        <v>5481</v>
      </c>
      <c r="AA481" t="s">
        <v>5482</v>
      </c>
      <c r="AB481" t="s">
        <v>5483</v>
      </c>
      <c r="AC481" t="s">
        <v>5484</v>
      </c>
      <c r="AD481" s="249" t="str">
        <f>HYPERLINK("https://scontent.cdninstagram.com/t51.2885-15/s320x320/e35/20759550_1500150230031795_3213607737615187968_n.jpg")</f>
        <v>https://scontent.cdninstagram.com/t51.2885-15/s320x320/e35/20759550_1500150230031795_3213607737615187968_n.jpg</v>
      </c>
      <c r="AE481" s="249" t="str">
        <f>HYPERLINK("https://scontent.cdninstagram.com/t51.2885-19/s150x150/13704301_1099942500079498_1376248976_a.jpg")</f>
        <v>https://scontent.cdninstagram.com/t51.2885-19/s150x150/13704301_1099942500079498_1376248976_a.jpg</v>
      </c>
    </row>
    <row r="482" spans="1:31" ht="15" x14ac:dyDescent="0.25">
      <c r="A482" t="s">
        <v>2474</v>
      </c>
      <c r="B482" t="s">
        <v>3754</v>
      </c>
      <c r="C482" s="221">
        <v>42960.708124999997</v>
      </c>
      <c r="D482" t="s">
        <v>5485</v>
      </c>
      <c r="E482" s="249" t="str">
        <f>HYPERLINK("https://www.instagram.com/p/BXv44vgjDKj/")</f>
        <v>https://www.instagram.com/p/BXv44vgjDKj/</v>
      </c>
      <c r="F482" t="s">
        <v>4800</v>
      </c>
      <c r="G482" t="s">
        <v>2478</v>
      </c>
      <c r="H482">
        <v>201917</v>
      </c>
      <c r="I482" t="s">
        <v>2479</v>
      </c>
      <c r="J482">
        <v>0</v>
      </c>
      <c r="K482">
        <v>152</v>
      </c>
      <c r="L482">
        <v>152</v>
      </c>
      <c r="Q482">
        <v>0</v>
      </c>
      <c r="R482">
        <v>0</v>
      </c>
      <c r="S482">
        <v>152</v>
      </c>
      <c r="Y482" t="s">
        <v>4231</v>
      </c>
      <c r="Z482" t="s">
        <v>4801</v>
      </c>
      <c r="AA482" t="s">
        <v>4564</v>
      </c>
      <c r="AB482" t="s">
        <v>3760</v>
      </c>
      <c r="AC482" t="s">
        <v>3758</v>
      </c>
      <c r="AD482" s="249" t="str">
        <f>HYPERLINK("https://scontent.cdninstagram.com/t51.2885-15/s320x320/e35/20766953_719216368286899_8520716074423943168_n.jpg")</f>
        <v>https://scontent.cdninstagram.com/t51.2885-15/s320x320/e35/20766953_719216368286899_8520716074423943168_n.jpg</v>
      </c>
      <c r="AE482" s="249" t="str">
        <f>HYPERLINK("https://scontent.cdninstagram.com/t51.2885-19/s150x150/12905002_1681254462136092_1137392787_a.jpg")</f>
        <v>https://scontent.cdninstagram.com/t51.2885-19/s150x150/12905002_1681254462136092_1137392787_a.jpg</v>
      </c>
    </row>
    <row r="483" spans="1:31" ht="15" x14ac:dyDescent="0.25">
      <c r="A483" t="s">
        <v>2474</v>
      </c>
      <c r="B483" t="s">
        <v>5486</v>
      </c>
      <c r="C483" s="221">
        <v>42960.712210648147</v>
      </c>
      <c r="D483" t="s">
        <v>5487</v>
      </c>
      <c r="E483" s="249" t="str">
        <f>HYPERLINK("https://www.instagram.com/p/BXv5jzCDUue/")</f>
        <v>https://www.instagram.com/p/BXv5jzCDUue/</v>
      </c>
      <c r="G483" t="s">
        <v>2478</v>
      </c>
      <c r="H483">
        <v>31868</v>
      </c>
      <c r="I483" t="s">
        <v>2479</v>
      </c>
      <c r="J483">
        <v>6</v>
      </c>
      <c r="K483">
        <v>741</v>
      </c>
      <c r="L483">
        <v>747</v>
      </c>
      <c r="Q483">
        <v>0</v>
      </c>
      <c r="R483">
        <v>0</v>
      </c>
      <c r="S483">
        <v>747</v>
      </c>
      <c r="AD483" s="249" t="str">
        <f>HYPERLINK("https://scontent.cdninstagram.com/t51.2885-15/s320x320/e35/c0.93.903.903/20759546_502465713433728_8800164049909186560_n.jpg")</f>
        <v>https://scontent.cdninstagram.com/t51.2885-15/s320x320/e35/c0.93.903.903/20759546_502465713433728_8800164049909186560_n.jpg</v>
      </c>
      <c r="AE483" s="249" t="str">
        <f>HYPERLINK("https://scontent.cdninstagram.com/t51.2885-19/18096331_1858853611040874_8999714561263140864_n.jpg")</f>
        <v>https://scontent.cdninstagram.com/t51.2885-19/18096331_1858853611040874_8999714561263140864_n.jpg</v>
      </c>
    </row>
    <row r="484" spans="1:31" ht="15" x14ac:dyDescent="0.25">
      <c r="A484" t="s">
        <v>2474</v>
      </c>
      <c r="B484" t="s">
        <v>2644</v>
      </c>
      <c r="C484" s="221">
        <v>42960.721435185187</v>
      </c>
      <c r="D484" t="s">
        <v>5488</v>
      </c>
      <c r="E484" s="249" t="str">
        <f>HYPERLINK("https://www.instagram.com/p/BXv7FLtAxXB/")</f>
        <v>https://www.instagram.com/p/BXv7FLtAxXB/</v>
      </c>
      <c r="F484" t="s">
        <v>5489</v>
      </c>
      <c r="G484" t="s">
        <v>2478</v>
      </c>
      <c r="H484">
        <v>1748</v>
      </c>
      <c r="I484" t="s">
        <v>2479</v>
      </c>
      <c r="J484">
        <v>1</v>
      </c>
      <c r="K484">
        <v>71</v>
      </c>
      <c r="L484">
        <v>72</v>
      </c>
      <c r="Q484">
        <v>0</v>
      </c>
      <c r="R484">
        <v>0</v>
      </c>
      <c r="S484">
        <v>72</v>
      </c>
      <c r="T484" t="s">
        <v>5490</v>
      </c>
      <c r="V484" t="s">
        <v>2648</v>
      </c>
      <c r="W484">
        <v>59.940277777778</v>
      </c>
      <c r="X484">
        <v>30.313888888889</v>
      </c>
      <c r="Y484" t="s">
        <v>3633</v>
      </c>
      <c r="Z484" t="s">
        <v>5491</v>
      </c>
      <c r="AA484" t="s">
        <v>5492</v>
      </c>
      <c r="AB484" t="s">
        <v>5493</v>
      </c>
      <c r="AC484" t="s">
        <v>5494</v>
      </c>
      <c r="AD484" s="249" t="str">
        <f>HYPERLINK("https://scontent.cdninstagram.com/t51.2885-15/s320x320/e35/20766233_111116622895483_974226907765669888_n.jpg")</f>
        <v>https://scontent.cdninstagram.com/t51.2885-15/s320x320/e35/20766233_111116622895483_974226907765669888_n.jpg</v>
      </c>
      <c r="AE484" s="249" t="str">
        <f>HYPERLINK("https://scontent.cdninstagram.com/t51.2885-19/11372086_1598451257062069_1320225693_a.jpg")</f>
        <v>https://scontent.cdninstagram.com/t51.2885-19/11372086_1598451257062069_1320225693_a.jpg</v>
      </c>
    </row>
    <row r="485" spans="1:31" ht="15" x14ac:dyDescent="0.25">
      <c r="A485" t="s">
        <v>2474</v>
      </c>
      <c r="B485" t="s">
        <v>5495</v>
      </c>
      <c r="C485" s="221">
        <v>42960.724907407406</v>
      </c>
      <c r="D485" t="s">
        <v>5496</v>
      </c>
      <c r="E485" s="249" t="str">
        <f>HYPERLINK("https://www.instagram.com/p/BXv7pttjS8r/")</f>
        <v>https://www.instagram.com/p/BXv7pttjS8r/</v>
      </c>
      <c r="F485" t="s">
        <v>5497</v>
      </c>
      <c r="G485" t="s">
        <v>2478</v>
      </c>
      <c r="H485">
        <v>322</v>
      </c>
      <c r="I485" t="s">
        <v>2542</v>
      </c>
      <c r="J485">
        <v>0</v>
      </c>
      <c r="K485">
        <v>34</v>
      </c>
      <c r="L485">
        <v>34</v>
      </c>
      <c r="Q485">
        <v>0</v>
      </c>
      <c r="R485">
        <v>0</v>
      </c>
      <c r="S485">
        <v>34</v>
      </c>
      <c r="T485" t="s">
        <v>5498</v>
      </c>
      <c r="V485" t="s">
        <v>2174</v>
      </c>
      <c r="W485">
        <v>47.553047718641999</v>
      </c>
      <c r="X485">
        <v>19.054233735844999</v>
      </c>
      <c r="Y485" t="s">
        <v>5499</v>
      </c>
      <c r="Z485" t="s">
        <v>2753</v>
      </c>
      <c r="AA485" t="s">
        <v>5500</v>
      </c>
      <c r="AB485" t="s">
        <v>5501</v>
      </c>
      <c r="AC485" t="s">
        <v>2899</v>
      </c>
      <c r="AD485" s="249" t="str">
        <f>HYPERLINK("https://scontent.cdninstagram.com/t51.2885-15/s320x320/e35/c135.0.810.810/20766576_695575107314530_377879460449353728_n.jpg")</f>
        <v>https://scontent.cdninstagram.com/t51.2885-15/s320x320/e35/c135.0.810.810/20766576_695575107314530_377879460449353728_n.jpg</v>
      </c>
      <c r="AE485" s="249" t="str">
        <f>HYPERLINK("https://scontent.cdninstagram.com/t51.2885-19/s150x150/13285438_1618098281850493_1552109347_a.jpg")</f>
        <v>https://scontent.cdninstagram.com/t51.2885-19/s150x150/13285438_1618098281850493_1552109347_a.jpg</v>
      </c>
    </row>
    <row r="486" spans="1:31" ht="15" x14ac:dyDescent="0.25">
      <c r="A486" t="s">
        <v>2474</v>
      </c>
      <c r="B486" t="s">
        <v>5502</v>
      </c>
      <c r="C486" s="221">
        <v>42960.734155092592</v>
      </c>
      <c r="D486" t="s">
        <v>5503</v>
      </c>
      <c r="E486" s="249" t="str">
        <f>HYPERLINK("https://www.instagram.com/p/BXv9LTXBpB1/")</f>
        <v>https://www.instagram.com/p/BXv9LTXBpB1/</v>
      </c>
      <c r="F486" t="s">
        <v>5504</v>
      </c>
      <c r="G486" t="s">
        <v>2478</v>
      </c>
      <c r="H486">
        <v>269</v>
      </c>
      <c r="I486" t="s">
        <v>2479</v>
      </c>
      <c r="J486">
        <v>5</v>
      </c>
      <c r="K486">
        <v>89</v>
      </c>
      <c r="L486">
        <v>94</v>
      </c>
      <c r="Q486">
        <v>0</v>
      </c>
      <c r="R486">
        <v>0</v>
      </c>
      <c r="S486">
        <v>94</v>
      </c>
      <c r="T486" t="s">
        <v>5505</v>
      </c>
      <c r="U486" t="s">
        <v>114</v>
      </c>
      <c r="V486" t="s">
        <v>2299</v>
      </c>
      <c r="W486">
        <v>34.259752534466003</v>
      </c>
      <c r="X486">
        <v>-84.069555401802006</v>
      </c>
      <c r="Y486" t="s">
        <v>5506</v>
      </c>
      <c r="Z486" t="s">
        <v>5507</v>
      </c>
      <c r="AA486" t="s">
        <v>3962</v>
      </c>
      <c r="AB486" t="s">
        <v>5508</v>
      </c>
      <c r="AC486" t="s">
        <v>5229</v>
      </c>
      <c r="AD486" s="249" t="str">
        <f>HYPERLINK("https://scontent.cdninstagram.com/t51.2885-15/s320x320/e35/20766272_307544856375415_340785799303790592_n.jpg")</f>
        <v>https://scontent.cdninstagram.com/t51.2885-15/s320x320/e35/20766272_307544856375415_340785799303790592_n.jpg</v>
      </c>
      <c r="AE486" s="249" t="str">
        <f>HYPERLINK("https://scontent.cdninstagram.com/t51.2885-19/s150x150/17077162_135317646990283_4611277047346495488_a.jpg")</f>
        <v>https://scontent.cdninstagram.com/t51.2885-19/s150x150/17077162_135317646990283_4611277047346495488_a.jpg</v>
      </c>
    </row>
    <row r="487" spans="1:31" ht="15" x14ac:dyDescent="0.25">
      <c r="A487" t="s">
        <v>2474</v>
      </c>
      <c r="B487" t="s">
        <v>5509</v>
      </c>
      <c r="C487" s="221">
        <v>42960.742222222223</v>
      </c>
      <c r="D487" t="s">
        <v>5510</v>
      </c>
      <c r="E487" s="249" t="str">
        <f>HYPERLINK("https://www.instagram.com/p/BXv-gWPFX_Y/")</f>
        <v>https://www.instagram.com/p/BXv-gWPFX_Y/</v>
      </c>
      <c r="F487" t="s">
        <v>5511</v>
      </c>
      <c r="G487" t="s">
        <v>2478</v>
      </c>
      <c r="H487">
        <v>272</v>
      </c>
      <c r="I487" t="s">
        <v>2479</v>
      </c>
      <c r="J487">
        <v>4</v>
      </c>
      <c r="K487">
        <v>70</v>
      </c>
      <c r="L487">
        <v>74</v>
      </c>
      <c r="Q487">
        <v>0</v>
      </c>
      <c r="R487">
        <v>0</v>
      </c>
      <c r="S487">
        <v>74</v>
      </c>
      <c r="T487" t="s">
        <v>5512</v>
      </c>
      <c r="U487" t="s">
        <v>156</v>
      </c>
      <c r="V487" t="s">
        <v>2299</v>
      </c>
      <c r="W487">
        <v>38.94</v>
      </c>
      <c r="X487">
        <v>-119.977</v>
      </c>
      <c r="Y487" t="s">
        <v>5513</v>
      </c>
      <c r="Z487" t="s">
        <v>5278</v>
      </c>
      <c r="AA487" t="s">
        <v>2632</v>
      </c>
      <c r="AB487" t="s">
        <v>3570</v>
      </c>
      <c r="AC487" t="s">
        <v>3246</v>
      </c>
      <c r="AD487" s="249" t="str">
        <f>HYPERLINK("https://scontent.cdninstagram.com/t51.2885-15/s320x320/e35/20766543_1594064400658036_4490338383268151296_n.jpg")</f>
        <v>https://scontent.cdninstagram.com/t51.2885-15/s320x320/e35/20766543_1594064400658036_4490338383268151296_n.jpg</v>
      </c>
      <c r="AE487" s="249" t="str">
        <f>HYPERLINK("https://scontent.cdninstagram.com/t51.2885-19/s150x150/20836985_534005473610430_5531225167742631936_a.jpg")</f>
        <v>https://scontent.cdninstagram.com/t51.2885-19/s150x150/20836985_534005473610430_5531225167742631936_a.jpg</v>
      </c>
    </row>
    <row r="488" spans="1:31" ht="15" x14ac:dyDescent="0.25">
      <c r="A488" t="s">
        <v>2474</v>
      </c>
      <c r="B488" t="s">
        <v>2588</v>
      </c>
      <c r="C488" s="221">
        <v>42960.751863425925</v>
      </c>
      <c r="D488" t="s">
        <v>5514</v>
      </c>
      <c r="E488" s="249" t="str">
        <f>HYPERLINK("https://www.instagram.com/p/BXwAGGNh1rL/")</f>
        <v>https://www.instagram.com/p/BXwAGGNh1rL/</v>
      </c>
      <c r="F488" t="s">
        <v>5515</v>
      </c>
      <c r="G488" t="s">
        <v>2478</v>
      </c>
      <c r="H488">
        <v>263</v>
      </c>
      <c r="I488" t="s">
        <v>2479</v>
      </c>
      <c r="J488">
        <v>10</v>
      </c>
      <c r="K488">
        <v>130</v>
      </c>
      <c r="L488">
        <v>140</v>
      </c>
      <c r="Q488">
        <v>0</v>
      </c>
      <c r="R488">
        <v>0</v>
      </c>
      <c r="S488">
        <v>140</v>
      </c>
      <c r="AD488" s="249" t="str">
        <f>HYPERLINK("https://scontent.cdninstagram.com/t51.2885-15/s320x320/e35/c36.0.568.568/20760002_151027855477951_2896688573359063040_n.jpg")</f>
        <v>https://scontent.cdninstagram.com/t51.2885-15/s320x320/e35/c36.0.568.568/20760002_151027855477951_2896688573359063040_n.jpg</v>
      </c>
      <c r="AE488" s="249" t="str">
        <f>HYPERLINK("https://scontent.cdninstagram.com/t51.2885-19/s150x150/20633561_108840983138666_5897549723056734208_a.jpg")</f>
        <v>https://scontent.cdninstagram.com/t51.2885-19/s150x150/20633561_108840983138666_5897549723056734208_a.jpg</v>
      </c>
    </row>
    <row r="489" spans="1:31" ht="15" x14ac:dyDescent="0.25">
      <c r="A489" t="s">
        <v>2474</v>
      </c>
      <c r="B489" t="s">
        <v>5516</v>
      </c>
      <c r="C489" s="221">
        <v>42960.755115740743</v>
      </c>
      <c r="D489" t="s">
        <v>5517</v>
      </c>
      <c r="E489" s="249" t="str">
        <f>HYPERLINK("https://www.instagram.com/p/BXwAoVRFUvL/")</f>
        <v>https://www.instagram.com/p/BXwAoVRFUvL/</v>
      </c>
      <c r="F489" t="s">
        <v>5518</v>
      </c>
      <c r="G489" t="s">
        <v>2478</v>
      </c>
      <c r="H489">
        <v>170</v>
      </c>
      <c r="I489" t="s">
        <v>4062</v>
      </c>
      <c r="J489">
        <v>4</v>
      </c>
      <c r="K489">
        <v>32</v>
      </c>
      <c r="L489">
        <v>36</v>
      </c>
      <c r="Q489">
        <v>0</v>
      </c>
      <c r="R489">
        <v>0</v>
      </c>
      <c r="S489">
        <v>36</v>
      </c>
      <c r="Y489" t="s">
        <v>5519</v>
      </c>
      <c r="Z489" t="s">
        <v>5188</v>
      </c>
      <c r="AA489" t="s">
        <v>5520</v>
      </c>
      <c r="AB489" t="s">
        <v>5521</v>
      </c>
      <c r="AC489" t="s">
        <v>4514</v>
      </c>
      <c r="AD489" s="249" t="str">
        <f>HYPERLINK("https://scontent.cdninstagram.com/t51.2885-15/s320x320/e35/c135.0.810.810/20767016_1070823936385664_8978904358087294976_n.jpg")</f>
        <v>https://scontent.cdninstagram.com/t51.2885-15/s320x320/e35/c135.0.810.810/20767016_1070823936385664_8978904358087294976_n.jpg</v>
      </c>
      <c r="AE489" s="249" t="str">
        <f>HYPERLINK("https://scontent.cdninstagram.com/t51.2885-19/s150x150/14515773_753257451503495_5406165396644429824_a.jpg")</f>
        <v>https://scontent.cdninstagram.com/t51.2885-19/s150x150/14515773_753257451503495_5406165396644429824_a.jpg</v>
      </c>
    </row>
    <row r="490" spans="1:31" ht="15" x14ac:dyDescent="0.25">
      <c r="A490" t="s">
        <v>2474</v>
      </c>
      <c r="B490" t="s">
        <v>5522</v>
      </c>
      <c r="C490" s="221">
        <v>42960.760752314818</v>
      </c>
      <c r="D490" t="s">
        <v>5523</v>
      </c>
      <c r="E490" s="249" t="str">
        <f>HYPERLINK("https://www.instagram.com/p/BXwBj3eH_IT/")</f>
        <v>https://www.instagram.com/p/BXwBj3eH_IT/</v>
      </c>
      <c r="F490" t="s">
        <v>5524</v>
      </c>
      <c r="G490" t="s">
        <v>2478</v>
      </c>
      <c r="H490">
        <v>1282</v>
      </c>
      <c r="I490" t="s">
        <v>3575</v>
      </c>
      <c r="J490">
        <v>2</v>
      </c>
      <c r="K490">
        <v>12</v>
      </c>
      <c r="L490">
        <v>14</v>
      </c>
      <c r="Q490">
        <v>0</v>
      </c>
      <c r="R490">
        <v>0</v>
      </c>
      <c r="S490">
        <v>14</v>
      </c>
      <c r="Y490" t="s">
        <v>5525</v>
      </c>
      <c r="Z490" t="s">
        <v>2899</v>
      </c>
      <c r="AA490" t="s">
        <v>4993</v>
      </c>
      <c r="AB490" t="s">
        <v>2673</v>
      </c>
      <c r="AC490" t="s">
        <v>2730</v>
      </c>
      <c r="AD490" s="249" t="str">
        <f>HYPERLINK("https://scontent.cdninstagram.com/t51.2885-15/s320x320/e35/20688704_1649389158435814_7027078997523562496_n.jpg")</f>
        <v>https://scontent.cdninstagram.com/t51.2885-15/s320x320/e35/20688704_1649389158435814_7027078997523562496_n.jpg</v>
      </c>
      <c r="AE490" s="249" t="str">
        <f>HYPERLINK("https://scontent.cdninstagram.com/t51.2885-19/s150x150/20905399_1635601246498135_8002433914025017344_a.jpg")</f>
        <v>https://scontent.cdninstagram.com/t51.2885-19/s150x150/20905399_1635601246498135_8002433914025017344_a.jpg</v>
      </c>
    </row>
    <row r="491" spans="1:31" ht="15" x14ac:dyDescent="0.25">
      <c r="A491" t="s">
        <v>2474</v>
      </c>
      <c r="B491" t="s">
        <v>5149</v>
      </c>
      <c r="C491" s="221">
        <v>42960.769872685189</v>
      </c>
      <c r="D491" t="s">
        <v>5526</v>
      </c>
      <c r="E491" s="249" t="str">
        <f>HYPERLINK("https://www.instagram.com/p/BXwDD9BDOtL/")</f>
        <v>https://www.instagram.com/p/BXwDD9BDOtL/</v>
      </c>
      <c r="F491" t="s">
        <v>5527</v>
      </c>
      <c r="G491" t="s">
        <v>2631</v>
      </c>
      <c r="H491">
        <v>63137</v>
      </c>
      <c r="I491" t="s">
        <v>2479</v>
      </c>
      <c r="J491">
        <v>0</v>
      </c>
      <c r="K491">
        <v>19</v>
      </c>
      <c r="L491">
        <v>19</v>
      </c>
      <c r="Q491">
        <v>0</v>
      </c>
      <c r="R491">
        <v>0</v>
      </c>
      <c r="S491">
        <v>19</v>
      </c>
      <c r="Y491" t="s">
        <v>2497</v>
      </c>
      <c r="Z491" t="s">
        <v>5153</v>
      </c>
      <c r="AA491" t="s">
        <v>5174</v>
      </c>
      <c r="AD491" s="249" t="str">
        <f>HYPERLINK("https://scontent.cdninstagram.com/t51.2885-15/s320x320/e15/c0.89.720.720/20759935_108417793185447_8588726224426106880_n.jpg")</f>
        <v>https://scontent.cdninstagram.com/t51.2885-15/s320x320/e15/c0.89.720.720/20759935_108417793185447_8588726224426106880_n.jpg</v>
      </c>
      <c r="AE491" s="249" t="str">
        <f>HYPERLINK("https://scontent.cdninstagram.com/t51.2885-19/s150x150/14128779_278010482584432_2056131760_a.jpg")</f>
        <v>https://scontent.cdninstagram.com/t51.2885-19/s150x150/14128779_278010482584432_2056131760_a.jpg</v>
      </c>
    </row>
    <row r="492" spans="1:31" ht="15" x14ac:dyDescent="0.25">
      <c r="A492" t="s">
        <v>2474</v>
      </c>
      <c r="B492" t="s">
        <v>5149</v>
      </c>
      <c r="C492" s="221">
        <v>42960.771226851852</v>
      </c>
      <c r="D492" t="s">
        <v>5528</v>
      </c>
      <c r="E492" s="249" t="str">
        <f>HYPERLINK("https://www.instagram.com/p/BXwDSQlj2FK/")</f>
        <v>https://www.instagram.com/p/BXwDSQlj2FK/</v>
      </c>
      <c r="F492" t="s">
        <v>5529</v>
      </c>
      <c r="G492" t="s">
        <v>2631</v>
      </c>
      <c r="H492">
        <v>63137</v>
      </c>
      <c r="I492" t="s">
        <v>2479</v>
      </c>
      <c r="J492">
        <v>0</v>
      </c>
      <c r="K492">
        <v>27</v>
      </c>
      <c r="L492">
        <v>27</v>
      </c>
      <c r="Q492">
        <v>0</v>
      </c>
      <c r="R492">
        <v>0</v>
      </c>
      <c r="S492">
        <v>27</v>
      </c>
      <c r="Y492" t="s">
        <v>2497</v>
      </c>
      <c r="Z492" t="s">
        <v>5153</v>
      </c>
      <c r="AD492" s="249" t="str">
        <f>HYPERLINK("https://scontent.cdninstagram.com/t51.2885-15/s320x320/e15/c0.89.720.720/20766601_1470475419918118_6138214388672233472_n.jpg")</f>
        <v>https://scontent.cdninstagram.com/t51.2885-15/s320x320/e15/c0.89.720.720/20766601_1470475419918118_6138214388672233472_n.jpg</v>
      </c>
      <c r="AE492" s="249" t="str">
        <f>HYPERLINK("https://scontent.cdninstagram.com/t51.2885-19/s150x150/14128779_278010482584432_2056131760_a.jpg")</f>
        <v>https://scontent.cdninstagram.com/t51.2885-19/s150x150/14128779_278010482584432_2056131760_a.jpg</v>
      </c>
    </row>
    <row r="493" spans="1:31" ht="15" x14ac:dyDescent="0.25">
      <c r="A493" t="s">
        <v>2474</v>
      </c>
      <c r="B493" t="s">
        <v>5530</v>
      </c>
      <c r="C493" s="221">
        <v>42960.773425925923</v>
      </c>
      <c r="D493" t="s">
        <v>5531</v>
      </c>
      <c r="E493" s="249" t="str">
        <f>HYPERLINK("https://www.instagram.com/p/BXwDpfAA_uv/")</f>
        <v>https://www.instagram.com/p/BXwDpfAA_uv/</v>
      </c>
      <c r="F493" t="s">
        <v>5532</v>
      </c>
      <c r="G493" t="s">
        <v>2478</v>
      </c>
      <c r="H493">
        <v>571</v>
      </c>
      <c r="I493" t="s">
        <v>3186</v>
      </c>
      <c r="J493">
        <v>0</v>
      </c>
      <c r="K493">
        <v>18</v>
      </c>
      <c r="L493">
        <v>18</v>
      </c>
      <c r="Q493">
        <v>0</v>
      </c>
      <c r="R493">
        <v>0</v>
      </c>
      <c r="S493">
        <v>18</v>
      </c>
      <c r="Y493" t="s">
        <v>5533</v>
      </c>
      <c r="Z493" t="s">
        <v>2497</v>
      </c>
      <c r="AA493" t="s">
        <v>3174</v>
      </c>
      <c r="AD493" s="249" t="str">
        <f>HYPERLINK("https://scontent.cdninstagram.com/t51.2885-15/s320x320/e35/c236.0.608.608/20766137_1928712800720380_327074468398628864_n.jpg")</f>
        <v>https://scontent.cdninstagram.com/t51.2885-15/s320x320/e35/c236.0.608.608/20766137_1928712800720380_327074468398628864_n.jpg</v>
      </c>
      <c r="AE493" s="249" t="str">
        <f>HYPERLINK("https://scontent.cdninstagram.com/t51.2885-19/s150x150/17932135_1252531084866111_2218668246985342976_a.jpg")</f>
        <v>https://scontent.cdninstagram.com/t51.2885-19/s150x150/17932135_1252531084866111_2218668246985342976_a.jpg</v>
      </c>
    </row>
    <row r="494" spans="1:31" ht="15" x14ac:dyDescent="0.25">
      <c r="A494" t="s">
        <v>2474</v>
      </c>
      <c r="B494" t="s">
        <v>5149</v>
      </c>
      <c r="C494" s="221">
        <v>42960.777800925927</v>
      </c>
      <c r="D494" t="s">
        <v>5534</v>
      </c>
      <c r="E494" s="249" t="str">
        <f>HYPERLINK("https://www.instagram.com/p/BXwEXlvDfNr/")</f>
        <v>https://www.instagram.com/p/BXwEXlvDfNr/</v>
      </c>
      <c r="F494" t="s">
        <v>5535</v>
      </c>
      <c r="G494" t="s">
        <v>2478</v>
      </c>
      <c r="H494">
        <v>63137</v>
      </c>
      <c r="I494" t="s">
        <v>2479</v>
      </c>
      <c r="J494">
        <v>0</v>
      </c>
      <c r="K494">
        <v>47</v>
      </c>
      <c r="L494">
        <v>47</v>
      </c>
      <c r="Q494">
        <v>0</v>
      </c>
      <c r="R494">
        <v>0</v>
      </c>
      <c r="S494">
        <v>47</v>
      </c>
      <c r="Y494" t="s">
        <v>2497</v>
      </c>
      <c r="Z494" t="s">
        <v>5153</v>
      </c>
      <c r="AD494" s="249" t="str">
        <f>HYPERLINK("https://scontent.cdninstagram.com/t51.2885-15/s320x320/e35/20766587_1736381363333362_5293197161075310592_n.jpg")</f>
        <v>https://scontent.cdninstagram.com/t51.2885-15/s320x320/e35/20766587_1736381363333362_5293197161075310592_n.jpg</v>
      </c>
      <c r="AE494" s="249" t="str">
        <f>HYPERLINK("https://scontent.cdninstagram.com/t51.2885-19/s150x150/14128779_278010482584432_2056131760_a.jpg")</f>
        <v>https://scontent.cdninstagram.com/t51.2885-19/s150x150/14128779_278010482584432_2056131760_a.jpg</v>
      </c>
    </row>
    <row r="495" spans="1:31" ht="15" x14ac:dyDescent="0.25">
      <c r="A495" t="s">
        <v>2474</v>
      </c>
      <c r="B495" t="s">
        <v>5149</v>
      </c>
      <c r="C495" s="221">
        <v>42960.781006944446</v>
      </c>
      <c r="D495" t="s">
        <v>5536</v>
      </c>
      <c r="E495" s="249" t="str">
        <f>HYPERLINK("https://www.instagram.com/p/BXwE5YijmP6/")</f>
        <v>https://www.instagram.com/p/BXwE5YijmP6/</v>
      </c>
      <c r="F495" t="s">
        <v>5537</v>
      </c>
      <c r="G495" t="s">
        <v>2631</v>
      </c>
      <c r="H495">
        <v>63137</v>
      </c>
      <c r="I495" t="s">
        <v>2479</v>
      </c>
      <c r="J495">
        <v>1</v>
      </c>
      <c r="K495">
        <v>79</v>
      </c>
      <c r="L495">
        <v>80</v>
      </c>
      <c r="Q495">
        <v>0</v>
      </c>
      <c r="R495">
        <v>0</v>
      </c>
      <c r="S495">
        <v>80</v>
      </c>
      <c r="Y495" t="s">
        <v>2497</v>
      </c>
      <c r="Z495" t="s">
        <v>5153</v>
      </c>
      <c r="AD495" s="249" t="str">
        <f>HYPERLINK("https://scontent.cdninstagram.com/t51.2885-15/s320x320/e15/c236.0.607.607/20759713_1755606711404369_5807814181067423744_n.jpg")</f>
        <v>https://scontent.cdninstagram.com/t51.2885-15/s320x320/e15/c236.0.607.607/20759713_1755606711404369_5807814181067423744_n.jpg</v>
      </c>
      <c r="AE495" s="249" t="str">
        <f>HYPERLINK("https://scontent.cdninstagram.com/t51.2885-19/s150x150/14128779_278010482584432_2056131760_a.jpg")</f>
        <v>https://scontent.cdninstagram.com/t51.2885-19/s150x150/14128779_278010482584432_2056131760_a.jpg</v>
      </c>
    </row>
    <row r="496" spans="1:31" ht="15" x14ac:dyDescent="0.25">
      <c r="A496" t="s">
        <v>2474</v>
      </c>
      <c r="B496" t="s">
        <v>5149</v>
      </c>
      <c r="C496" s="221">
        <v>42960.783217592594</v>
      </c>
      <c r="D496" t="s">
        <v>5538</v>
      </c>
      <c r="E496" s="249" t="str">
        <f>HYPERLINK("https://www.instagram.com/p/BXwFQx2Dtnz/")</f>
        <v>https://www.instagram.com/p/BXwFQx2Dtnz/</v>
      </c>
      <c r="F496" t="s">
        <v>5539</v>
      </c>
      <c r="G496" t="s">
        <v>2631</v>
      </c>
      <c r="H496">
        <v>63137</v>
      </c>
      <c r="I496" t="s">
        <v>2479</v>
      </c>
      <c r="J496">
        <v>0</v>
      </c>
      <c r="K496">
        <v>66</v>
      </c>
      <c r="L496">
        <v>66</v>
      </c>
      <c r="Q496">
        <v>0</v>
      </c>
      <c r="R496">
        <v>0</v>
      </c>
      <c r="S496">
        <v>66</v>
      </c>
      <c r="Y496" t="s">
        <v>2497</v>
      </c>
      <c r="Z496" t="s">
        <v>5153</v>
      </c>
      <c r="AD496" s="249" t="str">
        <f>HYPERLINK("https://scontent.cdninstagram.com/t51.2885-15/s320x320/e15/c0.90.720.720/20837148_1396170610451828_1363293980632023040_n.jpg")</f>
        <v>https://scontent.cdninstagram.com/t51.2885-15/s320x320/e15/c0.90.720.720/20837148_1396170610451828_1363293980632023040_n.jpg</v>
      </c>
      <c r="AE496" s="249" t="str">
        <f>HYPERLINK("https://scontent.cdninstagram.com/t51.2885-19/s150x150/14128779_278010482584432_2056131760_a.jpg")</f>
        <v>https://scontent.cdninstagram.com/t51.2885-19/s150x150/14128779_278010482584432_2056131760_a.jpg</v>
      </c>
    </row>
    <row r="497" spans="1:31" ht="15" x14ac:dyDescent="0.25">
      <c r="A497" t="s">
        <v>2474</v>
      </c>
      <c r="B497" t="s">
        <v>5215</v>
      </c>
      <c r="C497" s="221">
        <v>42960.786215277774</v>
      </c>
      <c r="D497" t="s">
        <v>5540</v>
      </c>
      <c r="E497" s="249" t="str">
        <f>HYPERLINK("https://www.instagram.com/p/BXwFwUyn0P-/")</f>
        <v>https://www.instagram.com/p/BXwFwUyn0P-/</v>
      </c>
      <c r="F497" t="s">
        <v>5541</v>
      </c>
      <c r="G497" t="s">
        <v>2631</v>
      </c>
      <c r="H497">
        <v>19144</v>
      </c>
      <c r="I497" t="s">
        <v>2479</v>
      </c>
      <c r="J497">
        <v>0</v>
      </c>
      <c r="K497">
        <v>7</v>
      </c>
      <c r="L497">
        <v>7</v>
      </c>
      <c r="Q497">
        <v>0</v>
      </c>
      <c r="R497">
        <v>0</v>
      </c>
      <c r="S497">
        <v>7</v>
      </c>
      <c r="Y497" t="s">
        <v>2497</v>
      </c>
      <c r="Z497" t="s">
        <v>5153</v>
      </c>
      <c r="AD497" s="249" t="str">
        <f>HYPERLINK("https://scontent.cdninstagram.com/t51.2885-15/s320x320/e15/c0.75.612.612/20766557_138434506760285_4942112163339698176_n.jpg")</f>
        <v>https://scontent.cdninstagram.com/t51.2885-15/s320x320/e15/c0.75.612.612/20766557_138434506760285_4942112163339698176_n.jpg</v>
      </c>
      <c r="AE497" s="249" t="str">
        <f>HYPERLINK("https://scontent.cdninstagram.com/t51.2885-19/s150x150/11906341_145547955788568_785331606_a.jpg")</f>
        <v>https://scontent.cdninstagram.com/t51.2885-19/s150x150/11906341_145547955788568_785331606_a.jpg</v>
      </c>
    </row>
    <row r="498" spans="1:31" ht="15" x14ac:dyDescent="0.25">
      <c r="A498" t="s">
        <v>2474</v>
      </c>
      <c r="B498" t="s">
        <v>5542</v>
      </c>
      <c r="C498" s="221">
        <v>42960.804652777777</v>
      </c>
      <c r="D498" t="s">
        <v>5543</v>
      </c>
      <c r="E498" s="249" t="str">
        <f>HYPERLINK("https://www.instagram.com/p/BXwIy3PF58t/")</f>
        <v>https://www.instagram.com/p/BXwIy3PF58t/</v>
      </c>
      <c r="F498" t="s">
        <v>5544</v>
      </c>
      <c r="G498" t="s">
        <v>2631</v>
      </c>
      <c r="H498">
        <v>273</v>
      </c>
      <c r="I498" t="s">
        <v>2542</v>
      </c>
      <c r="J498">
        <v>1</v>
      </c>
      <c r="K498">
        <v>13</v>
      </c>
      <c r="L498">
        <v>14</v>
      </c>
      <c r="Q498">
        <v>0</v>
      </c>
      <c r="R498">
        <v>0</v>
      </c>
      <c r="S498">
        <v>14</v>
      </c>
      <c r="Y498" t="s">
        <v>5545</v>
      </c>
      <c r="Z498" t="s">
        <v>5546</v>
      </c>
      <c r="AA498" t="s">
        <v>5547</v>
      </c>
      <c r="AB498" t="s">
        <v>2497</v>
      </c>
      <c r="AC498" t="s">
        <v>2734</v>
      </c>
      <c r="AD498" s="249" t="str">
        <f>HYPERLINK("https://scontent.cdninstagram.com/t51.2885-15/s320x320/e15/20759617_1569230939799651_2526106124906659840_n.jpg")</f>
        <v>https://scontent.cdninstagram.com/t51.2885-15/s320x320/e15/20759617_1569230939799651_2526106124906659840_n.jpg</v>
      </c>
      <c r="AE498" s="249" t="str">
        <f>HYPERLINK("https://scontent.cdninstagram.com/t51.2885-19/s150x150/20398129_327510517694074_429709184452263936_a.jpg")</f>
        <v>https://scontent.cdninstagram.com/t51.2885-19/s150x150/20398129_327510517694074_429709184452263936_a.jpg</v>
      </c>
    </row>
    <row r="499" spans="1:31" ht="15" x14ac:dyDescent="0.25">
      <c r="A499" t="s">
        <v>2474</v>
      </c>
      <c r="B499" t="s">
        <v>5548</v>
      </c>
      <c r="C499" s="221">
        <v>42960.807546296295</v>
      </c>
      <c r="D499" t="s">
        <v>5549</v>
      </c>
      <c r="E499" s="249" t="str">
        <f>HYPERLINK("https://www.instagram.com/p/BXwJRUDgeVS/")</f>
        <v>https://www.instagram.com/p/BXwJRUDgeVS/</v>
      </c>
      <c r="F499" t="s">
        <v>5550</v>
      </c>
      <c r="G499" t="s">
        <v>2478</v>
      </c>
      <c r="H499">
        <v>820</v>
      </c>
      <c r="I499" t="s">
        <v>2479</v>
      </c>
      <c r="J499">
        <v>2</v>
      </c>
      <c r="K499">
        <v>65</v>
      </c>
      <c r="L499">
        <v>67</v>
      </c>
      <c r="Q499">
        <v>0</v>
      </c>
      <c r="R499">
        <v>0</v>
      </c>
      <c r="S499">
        <v>67</v>
      </c>
      <c r="Y499" t="s">
        <v>5551</v>
      </c>
      <c r="Z499" t="s">
        <v>5552</v>
      </c>
      <c r="AA499" t="s">
        <v>5553</v>
      </c>
      <c r="AB499" t="s">
        <v>5554</v>
      </c>
      <c r="AC499" t="s">
        <v>5555</v>
      </c>
      <c r="AD499" s="249" t="str">
        <f>HYPERLINK("https://scontent.cdninstagram.com/t51.2885-15/s320x320/e35/20837240_339313233184695_6598682157508460544_n.jpg")</f>
        <v>https://scontent.cdninstagram.com/t51.2885-15/s320x320/e35/20837240_339313233184695_6598682157508460544_n.jpg</v>
      </c>
      <c r="AE499" s="249" t="str">
        <f>HYPERLINK("https://scontent.cdninstagram.com/t51.2885-19/s150x150/13108909_1000696516646693_1898242059_a.jpg")</f>
        <v>https://scontent.cdninstagram.com/t51.2885-19/s150x150/13108909_1000696516646693_1898242059_a.jpg</v>
      </c>
    </row>
    <row r="500" spans="1:31" ht="15" x14ac:dyDescent="0.25">
      <c r="A500" t="s">
        <v>2474</v>
      </c>
      <c r="B500" t="s">
        <v>5556</v>
      </c>
      <c r="C500" s="221">
        <v>42960.817719907405</v>
      </c>
      <c r="D500" t="s">
        <v>5557</v>
      </c>
      <c r="E500" s="249" t="str">
        <f>HYPERLINK("https://www.instagram.com/p/BXwK8ogjxEN/")</f>
        <v>https://www.instagram.com/p/BXwK8ogjxEN/</v>
      </c>
      <c r="F500" t="s">
        <v>5558</v>
      </c>
      <c r="G500" t="s">
        <v>2478</v>
      </c>
      <c r="H500">
        <v>2642</v>
      </c>
      <c r="I500" t="s">
        <v>2479</v>
      </c>
      <c r="J500">
        <v>2</v>
      </c>
      <c r="K500">
        <v>108</v>
      </c>
      <c r="L500">
        <v>110</v>
      </c>
      <c r="Q500">
        <v>0</v>
      </c>
      <c r="R500">
        <v>0</v>
      </c>
      <c r="S500">
        <v>110</v>
      </c>
      <c r="Y500" t="s">
        <v>3982</v>
      </c>
      <c r="Z500" t="s">
        <v>5164</v>
      </c>
      <c r="AA500" t="s">
        <v>5559</v>
      </c>
      <c r="AB500" t="s">
        <v>5560</v>
      </c>
      <c r="AC500" t="s">
        <v>4908</v>
      </c>
      <c r="AD500" s="249" t="str">
        <f>HYPERLINK("https://scontent.cdninstagram.com/t51.2885-15/s320x320/e35/20688785_123668588270642_3120688752981180416_n.jpg")</f>
        <v>https://scontent.cdninstagram.com/t51.2885-15/s320x320/e35/20688785_123668588270642_3120688752981180416_n.jpg</v>
      </c>
      <c r="AE500" s="249" t="str">
        <f>HYPERLINK("https://scontent.cdninstagram.com/t51.2885-19/s150x150/20582947_796922193812435_946176884377387008_a.jpg")</f>
        <v>https://scontent.cdninstagram.com/t51.2885-19/s150x150/20582947_796922193812435_946176884377387008_a.jpg</v>
      </c>
    </row>
    <row r="501" spans="1:31" ht="15" x14ac:dyDescent="0.25">
      <c r="A501" t="s">
        <v>2474</v>
      </c>
      <c r="B501" t="s">
        <v>5561</v>
      </c>
      <c r="C501" s="221">
        <v>42960.826319444444</v>
      </c>
      <c r="D501" t="s">
        <v>5562</v>
      </c>
      <c r="E501" s="249" t="str">
        <f>HYPERLINK("https://www.instagram.com/p/BXwMXXwglzQ/")</f>
        <v>https://www.instagram.com/p/BXwMXXwglzQ/</v>
      </c>
      <c r="F501" t="s">
        <v>5563</v>
      </c>
      <c r="G501" t="s">
        <v>2478</v>
      </c>
      <c r="H501">
        <v>132</v>
      </c>
      <c r="I501" t="s">
        <v>3898</v>
      </c>
      <c r="J501">
        <v>1</v>
      </c>
      <c r="K501">
        <v>25</v>
      </c>
      <c r="L501">
        <v>26</v>
      </c>
      <c r="Q501">
        <v>0</v>
      </c>
      <c r="R501">
        <v>0</v>
      </c>
      <c r="S501">
        <v>26</v>
      </c>
      <c r="Y501" t="s">
        <v>5564</v>
      </c>
      <c r="Z501" t="s">
        <v>5565</v>
      </c>
      <c r="AA501" t="s">
        <v>5566</v>
      </c>
      <c r="AB501" t="s">
        <v>2730</v>
      </c>
      <c r="AC501" t="s">
        <v>5567</v>
      </c>
      <c r="AD501" s="249" t="str">
        <f>HYPERLINK("https://scontent.cdninstagram.com/t51.2885-15/s320x320/e35/20837605_463595577361077_3065637837866008576_n.jpg")</f>
        <v>https://scontent.cdninstagram.com/t51.2885-15/s320x320/e35/20837605_463595577361077_3065637837866008576_n.jpg</v>
      </c>
      <c r="AE501" s="249" t="str">
        <f>HYPERLINK("https://scontent.cdninstagram.com/t51.2885-19/s150x150/20839016_128389997782659_4657615994963886080_a.jpg")</f>
        <v>https://scontent.cdninstagram.com/t51.2885-19/s150x150/20839016_128389997782659_4657615994963886080_a.jpg</v>
      </c>
    </row>
    <row r="502" spans="1:31" ht="15" x14ac:dyDescent="0.25">
      <c r="A502" t="s">
        <v>2474</v>
      </c>
      <c r="B502" t="s">
        <v>5568</v>
      </c>
      <c r="C502" s="221">
        <v>42960.827650462961</v>
      </c>
      <c r="D502" t="s">
        <v>5569</v>
      </c>
      <c r="E502" s="249" t="str">
        <f>HYPERLINK("https://www.instagram.com/p/BXwMlb2AIo6/")</f>
        <v>https://www.instagram.com/p/BXwMlb2AIo6/</v>
      </c>
      <c r="F502" t="s">
        <v>5570</v>
      </c>
      <c r="G502" t="s">
        <v>2631</v>
      </c>
      <c r="I502" t="s">
        <v>2479</v>
      </c>
      <c r="J502">
        <v>0</v>
      </c>
      <c r="K502">
        <v>107</v>
      </c>
      <c r="L502">
        <v>107</v>
      </c>
      <c r="Q502">
        <v>0</v>
      </c>
      <c r="R502">
        <v>0</v>
      </c>
      <c r="S502">
        <v>107</v>
      </c>
      <c r="T502" t="s">
        <v>5218</v>
      </c>
      <c r="U502" t="s">
        <v>106</v>
      </c>
      <c r="V502" t="s">
        <v>2299</v>
      </c>
      <c r="W502">
        <v>25.799620000000001</v>
      </c>
      <c r="X502">
        <v>-80.201350000000005</v>
      </c>
      <c r="Y502" t="s">
        <v>5571</v>
      </c>
      <c r="Z502" t="s">
        <v>2497</v>
      </c>
      <c r="AA502" t="s">
        <v>5153</v>
      </c>
      <c r="AB502" t="s">
        <v>5572</v>
      </c>
      <c r="AC502" t="s">
        <v>5573</v>
      </c>
      <c r="AD502" s="249" t="str">
        <f>HYPERLINK("https://scontent.cdninstagram.com/t51.2885-15/s320x320/e15/c0.90.720.720/20838304_2028429903837682_5380857001205039104_n.jpg")</f>
        <v>https://scontent.cdninstagram.com/t51.2885-15/s320x320/e15/c0.90.720.720/20838304_2028429903837682_5380857001205039104_n.jpg</v>
      </c>
      <c r="AE502" s="249" t="str">
        <f>HYPERLINK("https://scontent.cdninstagram.com/t51.2885-19/s150x150/20687825_108305289890196_2381059238165217280_a.jpg")</f>
        <v>https://scontent.cdninstagram.com/t51.2885-19/s150x150/20687825_108305289890196_2381059238165217280_a.jpg</v>
      </c>
    </row>
    <row r="503" spans="1:31" ht="15" x14ac:dyDescent="0.25">
      <c r="A503" t="s">
        <v>2474</v>
      </c>
      <c r="B503" t="s">
        <v>5568</v>
      </c>
      <c r="C503" s="221">
        <v>42960.839224537034</v>
      </c>
      <c r="D503" t="s">
        <v>5574</v>
      </c>
      <c r="E503" s="249" t="str">
        <f>HYPERLINK("https://www.instagram.com/p/BXwOfacgIuO/")</f>
        <v>https://www.instagram.com/p/BXwOfacgIuO/</v>
      </c>
      <c r="F503" t="s">
        <v>5575</v>
      </c>
      <c r="G503" t="s">
        <v>2631</v>
      </c>
      <c r="I503" t="s">
        <v>2479</v>
      </c>
      <c r="J503">
        <v>1</v>
      </c>
      <c r="K503">
        <v>96</v>
      </c>
      <c r="L503">
        <v>97</v>
      </c>
      <c r="Q503">
        <v>0</v>
      </c>
      <c r="R503">
        <v>0</v>
      </c>
      <c r="S503">
        <v>97</v>
      </c>
      <c r="T503" t="s">
        <v>5218</v>
      </c>
      <c r="U503" t="s">
        <v>106</v>
      </c>
      <c r="V503" t="s">
        <v>2299</v>
      </c>
      <c r="W503">
        <v>25.799620000000001</v>
      </c>
      <c r="X503">
        <v>-80.201350000000005</v>
      </c>
      <c r="Y503" t="s">
        <v>5576</v>
      </c>
      <c r="Z503" t="s">
        <v>2497</v>
      </c>
      <c r="AA503" t="s">
        <v>5577</v>
      </c>
      <c r="AB503" t="s">
        <v>5573</v>
      </c>
      <c r="AC503" t="s">
        <v>5174</v>
      </c>
      <c r="AD503" s="249" t="str">
        <f>HYPERLINK("https://scontent.cdninstagram.com/t51.2885-15/s320x320/e15/20759597_212946702569633_3328252698351894528_n.jpg")</f>
        <v>https://scontent.cdninstagram.com/t51.2885-15/s320x320/e15/20759597_212946702569633_3328252698351894528_n.jpg</v>
      </c>
      <c r="AE503" s="249" t="str">
        <f>HYPERLINK("https://scontent.cdninstagram.com/t51.2885-19/s150x150/20687825_108305289890196_2381059238165217280_a.jpg")</f>
        <v>https://scontent.cdninstagram.com/t51.2885-19/s150x150/20687825_108305289890196_2381059238165217280_a.jpg</v>
      </c>
    </row>
    <row r="504" spans="1:31" ht="15" x14ac:dyDescent="0.25">
      <c r="A504" t="s">
        <v>2474</v>
      </c>
      <c r="B504" t="s">
        <v>5578</v>
      </c>
      <c r="C504" s="221">
        <v>42960.854583333334</v>
      </c>
      <c r="D504" t="s">
        <v>5579</v>
      </c>
      <c r="E504" s="249" t="str">
        <f>HYPERLINK("https://www.instagram.com/p/BXwRBY4lolE/")</f>
        <v>https://www.instagram.com/p/BXwRBY4lolE/</v>
      </c>
      <c r="F504" t="s">
        <v>5580</v>
      </c>
      <c r="G504" t="s">
        <v>2478</v>
      </c>
      <c r="H504">
        <v>669</v>
      </c>
      <c r="I504" t="s">
        <v>3575</v>
      </c>
      <c r="J504">
        <v>3</v>
      </c>
      <c r="K504">
        <v>77</v>
      </c>
      <c r="L504">
        <v>80</v>
      </c>
      <c r="Q504">
        <v>0</v>
      </c>
      <c r="R504">
        <v>0</v>
      </c>
      <c r="S504">
        <v>80</v>
      </c>
      <c r="Y504" t="s">
        <v>5581</v>
      </c>
      <c r="Z504" t="s">
        <v>3445</v>
      </c>
      <c r="AA504" t="s">
        <v>5582</v>
      </c>
      <c r="AB504" t="s">
        <v>5583</v>
      </c>
      <c r="AC504" t="s">
        <v>2899</v>
      </c>
      <c r="AD504" s="249" t="str">
        <f>HYPERLINK("https://scontent.cdninstagram.com/t51.2885-15/s320x320/e35/20766561_487700081587152_2606759816814657536_n.jpg")</f>
        <v>https://scontent.cdninstagram.com/t51.2885-15/s320x320/e35/20766561_487700081587152_2606759816814657536_n.jpg</v>
      </c>
      <c r="AE504" s="249" t="str">
        <f>HYPERLINK("https://scontent.cdninstagram.com/t51.2885-19/s150x150/20759416_262640824225329_3921132672541261824_a.jpg")</f>
        <v>https://scontent.cdninstagram.com/t51.2885-19/s150x150/20759416_262640824225329_3921132672541261824_a.jpg</v>
      </c>
    </row>
    <row r="505" spans="1:31" ht="15" x14ac:dyDescent="0.25">
      <c r="A505" t="s">
        <v>2474</v>
      </c>
      <c r="B505" t="s">
        <v>4616</v>
      </c>
      <c r="C505" s="221">
        <v>42960.857986111114</v>
      </c>
      <c r="D505" t="s">
        <v>5584</v>
      </c>
      <c r="E505" s="249" t="str">
        <f>HYPERLINK("https://www.instagram.com/p/BXwRlXhBM1_/")</f>
        <v>https://www.instagram.com/p/BXwRlXhBM1_/</v>
      </c>
      <c r="F505" t="s">
        <v>5585</v>
      </c>
      <c r="G505" t="s">
        <v>2478</v>
      </c>
      <c r="H505">
        <v>106</v>
      </c>
      <c r="I505" t="s">
        <v>2479</v>
      </c>
      <c r="J505">
        <v>0</v>
      </c>
      <c r="K505">
        <v>20</v>
      </c>
      <c r="L505">
        <v>20</v>
      </c>
      <c r="Q505">
        <v>0</v>
      </c>
      <c r="R505">
        <v>0</v>
      </c>
      <c r="S505">
        <v>20</v>
      </c>
      <c r="T505" t="s">
        <v>5004</v>
      </c>
      <c r="W505">
        <v>56</v>
      </c>
      <c r="X505">
        <v>-109</v>
      </c>
      <c r="Y505" t="s">
        <v>2866</v>
      </c>
      <c r="Z505" t="s">
        <v>5586</v>
      </c>
      <c r="AA505" t="s">
        <v>5587</v>
      </c>
      <c r="AB505" t="s">
        <v>5006</v>
      </c>
      <c r="AC505" t="s">
        <v>2673</v>
      </c>
      <c r="AD505" s="249" t="str">
        <f>HYPERLINK("https://scontent.cdninstagram.com/t51.2885-15/s320x320/e35/20688343_1279785448814798_8264273790612013056_n.jpg")</f>
        <v>https://scontent.cdninstagram.com/t51.2885-15/s320x320/e35/20688343_1279785448814798_8264273790612013056_n.jpg</v>
      </c>
      <c r="AE505" s="249" t="str">
        <f>HYPERLINK("https://scontent.cdninstagram.com/t51.2885-19/s150x150/17494353_1347957098574282_2527511313651859456_a.jpg")</f>
        <v>https://scontent.cdninstagram.com/t51.2885-19/s150x150/17494353_1347957098574282_2527511313651859456_a.jpg</v>
      </c>
    </row>
    <row r="506" spans="1:31" ht="15" x14ac:dyDescent="0.25">
      <c r="A506" t="s">
        <v>2474</v>
      </c>
      <c r="B506" t="s">
        <v>5588</v>
      </c>
      <c r="C506" s="221">
        <v>42960.881909722222</v>
      </c>
      <c r="D506" t="s">
        <v>5589</v>
      </c>
      <c r="E506" s="249" t="str">
        <f>HYPERLINK("https://www.instagram.com/p/BXwVhnlBGzo/")</f>
        <v>https://www.instagram.com/p/BXwVhnlBGzo/</v>
      </c>
      <c r="F506" t="s">
        <v>5590</v>
      </c>
      <c r="G506" t="s">
        <v>2478</v>
      </c>
      <c r="H506">
        <v>1542</v>
      </c>
      <c r="I506" t="s">
        <v>2479</v>
      </c>
      <c r="J506">
        <v>2</v>
      </c>
      <c r="K506">
        <v>378</v>
      </c>
      <c r="L506">
        <v>380</v>
      </c>
      <c r="Q506">
        <v>0</v>
      </c>
      <c r="R506">
        <v>0</v>
      </c>
      <c r="S506">
        <v>380</v>
      </c>
      <c r="Y506" t="s">
        <v>5377</v>
      </c>
      <c r="Z506" t="s">
        <v>5591</v>
      </c>
      <c r="AA506" t="s">
        <v>5592</v>
      </c>
      <c r="AB506" t="s">
        <v>5593</v>
      </c>
      <c r="AC506" t="s">
        <v>5594</v>
      </c>
      <c r="AD506" s="249" t="str">
        <f>HYPERLINK("https://scontent.cdninstagram.com/t51.2885-15/s320x320/e35/20838530_1343718639076436_924567499456905216_n.jpg")</f>
        <v>https://scontent.cdninstagram.com/t51.2885-15/s320x320/e35/20838530_1343718639076436_924567499456905216_n.jpg</v>
      </c>
      <c r="AE506" s="249" t="str">
        <f>HYPERLINK("https://scontent.cdninstagram.com/t51.2885-19/s150x150/20905175_111721866164003_4371731572898922496_n.jpg")</f>
        <v>https://scontent.cdninstagram.com/t51.2885-19/s150x150/20905175_111721866164003_4371731572898922496_n.jpg</v>
      </c>
    </row>
    <row r="507" spans="1:31" ht="15" x14ac:dyDescent="0.25">
      <c r="A507" t="s">
        <v>2474</v>
      </c>
      <c r="B507" t="s">
        <v>5595</v>
      </c>
      <c r="C507" s="221">
        <v>42960.897789351853</v>
      </c>
      <c r="D507" t="s">
        <v>5596</v>
      </c>
      <c r="E507" s="249" t="str">
        <f>HYPERLINK("https://www.instagram.com/p/BXwYJGXB171/")</f>
        <v>https://www.instagram.com/p/BXwYJGXB171/</v>
      </c>
      <c r="F507" t="s">
        <v>5597</v>
      </c>
      <c r="G507" t="s">
        <v>2478</v>
      </c>
      <c r="H507">
        <v>260</v>
      </c>
      <c r="I507" t="s">
        <v>2479</v>
      </c>
      <c r="J507">
        <v>10</v>
      </c>
      <c r="K507">
        <v>22</v>
      </c>
      <c r="L507">
        <v>32</v>
      </c>
      <c r="Q507">
        <v>0</v>
      </c>
      <c r="R507">
        <v>0</v>
      </c>
      <c r="S507">
        <v>32</v>
      </c>
      <c r="Y507" t="s">
        <v>5598</v>
      </c>
      <c r="Z507" t="s">
        <v>5599</v>
      </c>
      <c r="AA507" t="s">
        <v>5600</v>
      </c>
      <c r="AB507" t="s">
        <v>4154</v>
      </c>
      <c r="AC507" t="s">
        <v>5601</v>
      </c>
      <c r="AD507" s="249" t="str">
        <f>HYPERLINK("https://scontent.cdninstagram.com/t51.2885-15/s320x320/e35/c0.135.1080.1080/20759910_476507832706231_818187297043251200_n.jpg")</f>
        <v>https://scontent.cdninstagram.com/t51.2885-15/s320x320/e35/c0.135.1080.1080/20759910_476507832706231_818187297043251200_n.jpg</v>
      </c>
      <c r="AE507" s="249" t="str">
        <f>HYPERLINK("https://scontent.cdninstagram.com/t51.2885-19/s150x150/17125839_236974286773841_9108284909234946048_a.jpg")</f>
        <v>https://scontent.cdninstagram.com/t51.2885-19/s150x150/17125839_236974286773841_9108284909234946048_a.jpg</v>
      </c>
    </row>
    <row r="508" spans="1:31" ht="15" x14ac:dyDescent="0.25">
      <c r="A508" t="s">
        <v>2474</v>
      </c>
      <c r="B508" t="s">
        <v>4535</v>
      </c>
      <c r="C508" s="221">
        <v>42960.89947916667</v>
      </c>
      <c r="D508" t="s">
        <v>5602</v>
      </c>
      <c r="E508" s="249" t="str">
        <f>HYPERLINK("https://www.instagram.com/p/BXwYa-gFrWh/")</f>
        <v>https://www.instagram.com/p/BXwYa-gFrWh/</v>
      </c>
      <c r="F508" t="s">
        <v>5603</v>
      </c>
      <c r="G508" t="s">
        <v>2478</v>
      </c>
      <c r="H508">
        <v>169</v>
      </c>
      <c r="I508" t="s">
        <v>2479</v>
      </c>
      <c r="J508">
        <v>2</v>
      </c>
      <c r="K508">
        <v>35</v>
      </c>
      <c r="L508">
        <v>37</v>
      </c>
      <c r="Q508">
        <v>0</v>
      </c>
      <c r="R508">
        <v>0</v>
      </c>
      <c r="S508">
        <v>37</v>
      </c>
      <c r="Y508" t="s">
        <v>5604</v>
      </c>
      <c r="Z508" t="s">
        <v>5605</v>
      </c>
      <c r="AA508" t="s">
        <v>5606</v>
      </c>
      <c r="AB508" t="s">
        <v>5607</v>
      </c>
      <c r="AC508" t="s">
        <v>5608</v>
      </c>
      <c r="AD508" s="249" t="str">
        <f>HYPERLINK("https://scontent.cdninstagram.com/t51.2885-15/s320x320/e35/20766407_123902181573112_1339493797318361088_n.jpg")</f>
        <v>https://scontent.cdninstagram.com/t51.2885-15/s320x320/e35/20766407_123902181573112_1339493797318361088_n.jpg</v>
      </c>
      <c r="AE508" s="249" t="str">
        <f>HYPERLINK("https://scontent.cdninstagram.com/t51.2885-19/s150x150/20399028_1624608414236560_533007696291430400_a.jpg")</f>
        <v>https://scontent.cdninstagram.com/t51.2885-19/s150x150/20399028_1624608414236560_533007696291430400_a.jpg</v>
      </c>
    </row>
    <row r="509" spans="1:31" ht="15" x14ac:dyDescent="0.25">
      <c r="A509" t="s">
        <v>2474</v>
      </c>
      <c r="B509" t="s">
        <v>5609</v>
      </c>
      <c r="C509" s="221">
        <v>42960.904444444444</v>
      </c>
      <c r="D509" t="s">
        <v>5610</v>
      </c>
      <c r="E509" s="249" t="str">
        <f>HYPERLINK("https://www.instagram.com/p/BXwZPVHFL-q/")</f>
        <v>https://www.instagram.com/p/BXwZPVHFL-q/</v>
      </c>
      <c r="F509" t="s">
        <v>5611</v>
      </c>
      <c r="G509" t="s">
        <v>2478</v>
      </c>
      <c r="H509">
        <v>1346</v>
      </c>
      <c r="I509" t="s">
        <v>2479</v>
      </c>
      <c r="J509">
        <v>0</v>
      </c>
      <c r="K509">
        <v>163</v>
      </c>
      <c r="L509">
        <v>163</v>
      </c>
      <c r="Q509">
        <v>0</v>
      </c>
      <c r="R509">
        <v>0</v>
      </c>
      <c r="S509">
        <v>163</v>
      </c>
      <c r="T509" t="s">
        <v>5612</v>
      </c>
      <c r="U509" t="s">
        <v>300</v>
      </c>
      <c r="V509" t="s">
        <v>2299</v>
      </c>
      <c r="W509">
        <v>35.740009999999998</v>
      </c>
      <c r="X509">
        <v>-84.040999999999997</v>
      </c>
      <c r="Y509" t="s">
        <v>5613</v>
      </c>
      <c r="Z509" t="s">
        <v>2906</v>
      </c>
      <c r="AA509" t="s">
        <v>2497</v>
      </c>
      <c r="AB509" t="s">
        <v>5614</v>
      </c>
      <c r="AD509" s="249" t="str">
        <f>HYPERLINK("https://scontent.cdninstagram.com/t51.2885-15/s320x320/e35/c6.0.1067.1067/20759347_1738588696182034_1100611444346454016_n.jpg")</f>
        <v>https://scontent.cdninstagram.com/t51.2885-15/s320x320/e35/c6.0.1067.1067/20759347_1738588696182034_1100611444346454016_n.jpg</v>
      </c>
      <c r="AE509" s="249" t="str">
        <f>HYPERLINK("https://scontent.cdninstagram.com/t51.2885-19/s150x150/20902476_679137575630914_5819411589199036416_a.jpg")</f>
        <v>https://scontent.cdninstagram.com/t51.2885-19/s150x150/20902476_679137575630914_5819411589199036416_a.jpg</v>
      </c>
    </row>
    <row r="510" spans="1:31" ht="15" x14ac:dyDescent="0.25">
      <c r="A510" t="s">
        <v>2474</v>
      </c>
      <c r="B510" t="s">
        <v>5615</v>
      </c>
      <c r="C510" s="221">
        <v>42960.917696759258</v>
      </c>
      <c r="D510" t="s">
        <v>5616</v>
      </c>
      <c r="E510" s="249" t="str">
        <f>HYPERLINK("https://www.instagram.com/p/BXwbbCJlbLf/")</f>
        <v>https://www.instagram.com/p/BXwbbCJlbLf/</v>
      </c>
      <c r="F510" t="s">
        <v>5617</v>
      </c>
      <c r="G510" t="s">
        <v>2478</v>
      </c>
      <c r="H510">
        <v>1114</v>
      </c>
      <c r="I510" t="s">
        <v>2542</v>
      </c>
      <c r="J510">
        <v>2</v>
      </c>
      <c r="K510">
        <v>82</v>
      </c>
      <c r="L510">
        <v>84</v>
      </c>
      <c r="Q510">
        <v>0</v>
      </c>
      <c r="R510">
        <v>0</v>
      </c>
      <c r="S510">
        <v>84</v>
      </c>
      <c r="T510" t="s">
        <v>5618</v>
      </c>
      <c r="V510" t="s">
        <v>2177</v>
      </c>
      <c r="W510">
        <v>8.836716E-2</v>
      </c>
      <c r="X510">
        <v>101.22538701000001</v>
      </c>
      <c r="Y510" t="s">
        <v>2497</v>
      </c>
      <c r="Z510" t="s">
        <v>5619</v>
      </c>
      <c r="AD510" s="249" t="str">
        <f>HYPERLINK("https://scontent.cdninstagram.com/t51.2885-15/s320x320/e35/c0.135.1080.1080/20766915_124879974818054_4291288188359540736_n.jpg")</f>
        <v>https://scontent.cdninstagram.com/t51.2885-15/s320x320/e35/c0.135.1080.1080/20766915_124879974818054_4291288188359540736_n.jpg</v>
      </c>
      <c r="AE510" s="249" t="str">
        <f>HYPERLINK("https://scontent.cdninstagram.com/t51.2885-19/s150x150/21041602_347682972333539_4569500579063136256_a.jpg")</f>
        <v>https://scontent.cdninstagram.com/t51.2885-19/s150x150/21041602_347682972333539_4569500579063136256_a.jpg</v>
      </c>
    </row>
    <row r="511" spans="1:31" ht="15" x14ac:dyDescent="0.25">
      <c r="A511" t="s">
        <v>2474</v>
      </c>
      <c r="B511" t="s">
        <v>5149</v>
      </c>
      <c r="C511" s="221">
        <v>42960.918958333335</v>
      </c>
      <c r="D511" t="s">
        <v>5620</v>
      </c>
      <c r="E511" s="249" t="str">
        <f>HYPERLINK("https://www.instagram.com/p/BXwboXaDWgX/")</f>
        <v>https://www.instagram.com/p/BXwboXaDWgX/</v>
      </c>
      <c r="F511" t="s">
        <v>5621</v>
      </c>
      <c r="G511" t="s">
        <v>2631</v>
      </c>
      <c r="H511">
        <v>63197</v>
      </c>
      <c r="I511" t="s">
        <v>2479</v>
      </c>
      <c r="J511">
        <v>2</v>
      </c>
      <c r="K511">
        <v>162</v>
      </c>
      <c r="L511">
        <v>164</v>
      </c>
      <c r="Q511">
        <v>0</v>
      </c>
      <c r="R511">
        <v>0</v>
      </c>
      <c r="S511">
        <v>164</v>
      </c>
      <c r="Y511" t="s">
        <v>5153</v>
      </c>
      <c r="Z511" t="s">
        <v>5622</v>
      </c>
      <c r="AA511" t="s">
        <v>2497</v>
      </c>
      <c r="AD511" s="249" t="str">
        <f>HYPERLINK("https://scontent.cdninstagram.com/t51.2885-15/s320x320/e15/c236.0.607.607/20766599_1901237460140825_4237557941328150528_n.jpg")</f>
        <v>https://scontent.cdninstagram.com/t51.2885-15/s320x320/e15/c236.0.607.607/20766599_1901237460140825_4237557941328150528_n.jpg</v>
      </c>
      <c r="AE511" s="249" t="str">
        <f>HYPERLINK("https://scontent.cdninstagram.com/t51.2885-19/s150x150/14128779_278010482584432_2056131760_a.jpg")</f>
        <v>https://scontent.cdninstagram.com/t51.2885-19/s150x150/14128779_278010482584432_2056131760_a.jpg</v>
      </c>
    </row>
    <row r="512" spans="1:31" ht="15" x14ac:dyDescent="0.25">
      <c r="A512" t="s">
        <v>2474</v>
      </c>
      <c r="B512" t="s">
        <v>4141</v>
      </c>
      <c r="C512" s="221">
        <v>42960.924641203703</v>
      </c>
      <c r="D512" t="s">
        <v>5623</v>
      </c>
      <c r="E512" s="249" t="str">
        <f>HYPERLINK("https://www.instagram.com/p/BXwckYWjbJV/")</f>
        <v>https://www.instagram.com/p/BXwckYWjbJV/</v>
      </c>
      <c r="F512" t="s">
        <v>5624</v>
      </c>
      <c r="G512" t="s">
        <v>2478</v>
      </c>
      <c r="H512">
        <v>150</v>
      </c>
      <c r="I512" t="s">
        <v>2927</v>
      </c>
      <c r="J512">
        <v>0</v>
      </c>
      <c r="K512">
        <v>16</v>
      </c>
      <c r="L512">
        <v>16</v>
      </c>
      <c r="Q512">
        <v>0</v>
      </c>
      <c r="R512">
        <v>0</v>
      </c>
      <c r="S512">
        <v>16</v>
      </c>
      <c r="T512" t="s">
        <v>4144</v>
      </c>
      <c r="U512" t="s">
        <v>162</v>
      </c>
      <c r="V512" t="s">
        <v>2299</v>
      </c>
      <c r="W512">
        <v>29.568398158072</v>
      </c>
      <c r="X512">
        <v>-97.945190417199001</v>
      </c>
      <c r="Y512" t="s">
        <v>5625</v>
      </c>
      <c r="Z512" t="s">
        <v>2497</v>
      </c>
      <c r="AD512" s="249" t="str">
        <f>HYPERLINK("https://scontent.cdninstagram.com/t51.2885-15/s320x320/e35/20759206_1636327143108736_5057689329548132352_n.jpg")</f>
        <v>https://scontent.cdninstagram.com/t51.2885-15/s320x320/e35/20759206_1636327143108736_5057689329548132352_n.jpg</v>
      </c>
      <c r="AE512" s="249" t="str">
        <f>HYPERLINK("https://scontent.cdninstagram.com/t51.2885-19/s150x150/18723314_437601433278482_1833024035420635136_a.jpg")</f>
        <v>https://scontent.cdninstagram.com/t51.2885-19/s150x150/18723314_437601433278482_1833024035420635136_a.jpg</v>
      </c>
    </row>
    <row r="513" spans="1:31" ht="15" x14ac:dyDescent="0.25">
      <c r="A513" t="s">
        <v>2474</v>
      </c>
      <c r="B513" t="s">
        <v>5626</v>
      </c>
      <c r="C513" s="221">
        <v>42960.928159722222</v>
      </c>
      <c r="D513" t="s">
        <v>5627</v>
      </c>
      <c r="E513" s="249" t="str">
        <f>HYPERLINK("https://www.instagram.com/p/BXwdJdRlicM/")</f>
        <v>https://www.instagram.com/p/BXwdJdRlicM/</v>
      </c>
      <c r="F513" t="s">
        <v>5628</v>
      </c>
      <c r="G513" t="s">
        <v>2631</v>
      </c>
      <c r="H513">
        <v>1220</v>
      </c>
      <c r="I513" t="s">
        <v>2479</v>
      </c>
      <c r="J513">
        <v>1</v>
      </c>
      <c r="K513">
        <v>82</v>
      </c>
      <c r="L513">
        <v>83</v>
      </c>
      <c r="Q513">
        <v>0</v>
      </c>
      <c r="R513">
        <v>0</v>
      </c>
      <c r="S513">
        <v>83</v>
      </c>
      <c r="Y513" t="s">
        <v>5153</v>
      </c>
      <c r="Z513" t="s">
        <v>5622</v>
      </c>
      <c r="AA513" t="s">
        <v>5629</v>
      </c>
      <c r="AB513" t="s">
        <v>2497</v>
      </c>
      <c r="AD513" s="249" t="str">
        <f>HYPERLINK("https://scontent.cdninstagram.com/t51.2885-15/s320x320/e15/c140.0.360.360/20837073_157092688179173_3330800185189072896_n.jpg")</f>
        <v>https://scontent.cdninstagram.com/t51.2885-15/s320x320/e15/c140.0.360.360/20837073_157092688179173_3330800185189072896_n.jpg</v>
      </c>
      <c r="AE513" s="249" t="str">
        <f>HYPERLINK("https://scontent.cdninstagram.com/t51.2885-19/s150x150/17932524_662250630630546_1526817498853277696_a.jpg")</f>
        <v>https://scontent.cdninstagram.com/t51.2885-19/s150x150/17932524_662250630630546_1526817498853277696_a.jpg</v>
      </c>
    </row>
    <row r="514" spans="1:31" ht="15" x14ac:dyDescent="0.25">
      <c r="A514" t="s">
        <v>2474</v>
      </c>
      <c r="B514" t="s">
        <v>5630</v>
      </c>
      <c r="C514" s="221">
        <v>42960.932280092595</v>
      </c>
      <c r="D514" t="s">
        <v>5631</v>
      </c>
      <c r="E514" s="249" t="str">
        <f>HYPERLINK("https://www.instagram.com/p/BXwd02bBTeR/")</f>
        <v>https://www.instagram.com/p/BXwd02bBTeR/</v>
      </c>
      <c r="F514" t="s">
        <v>5632</v>
      </c>
      <c r="G514" t="s">
        <v>2478</v>
      </c>
      <c r="H514">
        <v>29</v>
      </c>
      <c r="I514" t="s">
        <v>2510</v>
      </c>
      <c r="J514">
        <v>0</v>
      </c>
      <c r="K514">
        <v>10</v>
      </c>
      <c r="L514">
        <v>10</v>
      </c>
      <c r="Q514">
        <v>0</v>
      </c>
      <c r="R514">
        <v>0</v>
      </c>
      <c r="S514">
        <v>10</v>
      </c>
      <c r="T514" t="s">
        <v>5633</v>
      </c>
      <c r="V514" t="s">
        <v>2138</v>
      </c>
      <c r="W514">
        <v>19.899999999999999</v>
      </c>
      <c r="X514">
        <v>-75.150000000000006</v>
      </c>
      <c r="Y514" t="s">
        <v>2497</v>
      </c>
      <c r="AD514" s="249" t="str">
        <f>HYPERLINK("https://scontent.cdninstagram.com/t51.2885-15/s320x320/e35/20766607_468823990154086_8627426963549585408_n.jpg")</f>
        <v>https://scontent.cdninstagram.com/t51.2885-15/s320x320/e35/20766607_468823990154086_8627426963549585408_n.jpg</v>
      </c>
      <c r="AE514" s="249" t="str">
        <f>HYPERLINK("https://scontent.cdninstagram.com/t51.2885-19/s150x150/20759181_331782443948959_3280561265532993536_a.jpg")</f>
        <v>https://scontent.cdninstagram.com/t51.2885-19/s150x150/20759181_331782443948959_3280561265532993536_a.jpg</v>
      </c>
    </row>
    <row r="515" spans="1:31" ht="15" x14ac:dyDescent="0.25">
      <c r="A515" t="s">
        <v>2474</v>
      </c>
      <c r="B515" t="s">
        <v>5634</v>
      </c>
      <c r="C515" s="221">
        <v>42960.934247685182</v>
      </c>
      <c r="D515" t="s">
        <v>5635</v>
      </c>
      <c r="E515" s="249" t="str">
        <f>HYPERLINK("https://www.instagram.com/p/BXweJppjwDU/")</f>
        <v>https://www.instagram.com/p/BXweJppjwDU/</v>
      </c>
      <c r="F515" t="s">
        <v>5636</v>
      </c>
      <c r="G515" t="s">
        <v>2478</v>
      </c>
      <c r="H515">
        <v>249</v>
      </c>
      <c r="I515" t="s">
        <v>4052</v>
      </c>
      <c r="J515">
        <v>3</v>
      </c>
      <c r="K515">
        <v>35</v>
      </c>
      <c r="L515">
        <v>38</v>
      </c>
      <c r="Q515">
        <v>0</v>
      </c>
      <c r="R515">
        <v>0</v>
      </c>
      <c r="S515">
        <v>38</v>
      </c>
      <c r="Y515" t="s">
        <v>5637</v>
      </c>
      <c r="Z515" t="s">
        <v>5638</v>
      </c>
      <c r="AA515" t="s">
        <v>2513</v>
      </c>
      <c r="AB515" t="s">
        <v>5639</v>
      </c>
      <c r="AC515" t="s">
        <v>5640</v>
      </c>
      <c r="AD515" s="249" t="str">
        <f>HYPERLINK("https://scontent.cdninstagram.com/t51.2885-15/s320x320/e35/20836959_123419428291318_9003588935296745472_n.jpg")</f>
        <v>https://scontent.cdninstagram.com/t51.2885-15/s320x320/e35/20836959_123419428291318_9003588935296745472_n.jpg</v>
      </c>
      <c r="AE515" s="249" t="str">
        <f>HYPERLINK("https://scontent.cdninstagram.com/t51.2885-19/s150x150/16789041_1750706868579105_3700397015956455424_a.jpg")</f>
        <v>https://scontent.cdninstagram.com/t51.2885-19/s150x150/16789041_1750706868579105_3700397015956455424_a.jpg</v>
      </c>
    </row>
    <row r="516" spans="1:31" ht="15" x14ac:dyDescent="0.25">
      <c r="A516" t="s">
        <v>2474</v>
      </c>
      <c r="B516" t="s">
        <v>5641</v>
      </c>
      <c r="C516" s="221">
        <v>42960.941041666665</v>
      </c>
      <c r="D516" t="s">
        <v>5642</v>
      </c>
      <c r="E516" s="249" t="str">
        <f>HYPERLINK("https://www.instagram.com/p/BXwfRRbHS8p/")</f>
        <v>https://www.instagram.com/p/BXwfRRbHS8p/</v>
      </c>
      <c r="F516" t="s">
        <v>5643</v>
      </c>
      <c r="G516" t="s">
        <v>2478</v>
      </c>
      <c r="H516">
        <v>135</v>
      </c>
      <c r="I516" t="s">
        <v>2479</v>
      </c>
      <c r="J516">
        <v>1</v>
      </c>
      <c r="K516">
        <v>26</v>
      </c>
      <c r="L516">
        <v>27</v>
      </c>
      <c r="Q516">
        <v>0</v>
      </c>
      <c r="R516">
        <v>0</v>
      </c>
      <c r="S516">
        <v>27</v>
      </c>
      <c r="Y516" t="s">
        <v>5644</v>
      </c>
      <c r="Z516" t="s">
        <v>3936</v>
      </c>
      <c r="AA516" t="s">
        <v>5645</v>
      </c>
      <c r="AB516" t="s">
        <v>5641</v>
      </c>
      <c r="AC516" t="s">
        <v>2497</v>
      </c>
      <c r="AD516" s="249" t="str">
        <f>HYPERLINK("https://scontent.cdninstagram.com/t51.2885-15/s320x320/e35/c135.0.810.810/20759717_1194946343982167_6143672012205195264_n.jpg")</f>
        <v>https://scontent.cdninstagram.com/t51.2885-15/s320x320/e35/c135.0.810.810/20759717_1194946343982167_6143672012205195264_n.jpg</v>
      </c>
      <c r="AE516" s="249" t="str">
        <f>HYPERLINK("https://scontent.cdninstagram.com/t51.2885-19/s150x150/17266082_1117061101737732_6579627449200410624_a.jpg")</f>
        <v>https://scontent.cdninstagram.com/t51.2885-19/s150x150/17266082_1117061101737732_6579627449200410624_a.jpg</v>
      </c>
    </row>
    <row r="517" spans="1:31" ht="15" x14ac:dyDescent="0.25">
      <c r="A517" t="s">
        <v>2474</v>
      </c>
      <c r="B517" t="s">
        <v>5486</v>
      </c>
      <c r="C517" s="221">
        <v>42960.94263888889</v>
      </c>
      <c r="D517" t="s">
        <v>5646</v>
      </c>
      <c r="E517" s="249" t="str">
        <f>HYPERLINK("https://www.instagram.com/p/BXwfiL2jj69/")</f>
        <v>https://www.instagram.com/p/BXwfiL2jj69/</v>
      </c>
      <c r="G517" t="s">
        <v>2478</v>
      </c>
      <c r="H517">
        <v>31891</v>
      </c>
      <c r="I517" t="s">
        <v>2479</v>
      </c>
      <c r="J517">
        <v>3</v>
      </c>
      <c r="K517">
        <v>671</v>
      </c>
      <c r="L517">
        <v>674</v>
      </c>
      <c r="Q517">
        <v>0</v>
      </c>
      <c r="R517">
        <v>0</v>
      </c>
      <c r="S517">
        <v>674</v>
      </c>
      <c r="Y517" t="s">
        <v>5647</v>
      </c>
      <c r="Z517" t="s">
        <v>5648</v>
      </c>
      <c r="AA517" t="s">
        <v>5649</v>
      </c>
      <c r="AB517" t="s">
        <v>5650</v>
      </c>
      <c r="AC517" t="s">
        <v>5651</v>
      </c>
      <c r="AD517" s="249" t="str">
        <f>HYPERLINK("https://scontent.cdninstagram.com/t51.2885-15/s320x320/e35/c0.52.843.843/20759196_1920264628240881_9066263576276107264_n.jpg")</f>
        <v>https://scontent.cdninstagram.com/t51.2885-15/s320x320/e35/c0.52.843.843/20759196_1920264628240881_9066263576276107264_n.jpg</v>
      </c>
      <c r="AE517" s="249" t="str">
        <f>HYPERLINK("https://scontent.cdninstagram.com/t51.2885-19/18096331_1858853611040874_8999714561263140864_n.jpg")</f>
        <v>https://scontent.cdninstagram.com/t51.2885-19/18096331_1858853611040874_8999714561263140864_n.jpg</v>
      </c>
    </row>
    <row r="518" spans="1:31" ht="15" x14ac:dyDescent="0.25">
      <c r="A518" t="s">
        <v>2474</v>
      </c>
      <c r="B518" t="s">
        <v>5652</v>
      </c>
      <c r="C518" s="221">
        <v>42960.94290509259</v>
      </c>
      <c r="D518" t="s">
        <v>5653</v>
      </c>
      <c r="E518" s="249" t="str">
        <f>HYPERLINK("https://www.instagram.com/p/BXwfk8tjLe_/")</f>
        <v>https://www.instagram.com/p/BXwfk8tjLe_/</v>
      </c>
      <c r="F518" t="s">
        <v>5654</v>
      </c>
      <c r="G518" t="s">
        <v>2478</v>
      </c>
      <c r="H518">
        <v>208</v>
      </c>
      <c r="I518" t="s">
        <v>2599</v>
      </c>
      <c r="J518">
        <v>1</v>
      </c>
      <c r="K518">
        <v>15</v>
      </c>
      <c r="L518">
        <v>16</v>
      </c>
      <c r="Q518">
        <v>0</v>
      </c>
      <c r="R518">
        <v>0</v>
      </c>
      <c r="S518">
        <v>16</v>
      </c>
      <c r="Y518" t="s">
        <v>5655</v>
      </c>
      <c r="Z518" t="s">
        <v>5656</v>
      </c>
      <c r="AA518" t="s">
        <v>2497</v>
      </c>
      <c r="AD518" s="249" t="str">
        <f>HYPERLINK("https://scontent.cdninstagram.com/t51.2885-15/s320x320/e35/c0.39.1080.1080/20766160_248155275704861_5610485525015166976_n.jpg")</f>
        <v>https://scontent.cdninstagram.com/t51.2885-15/s320x320/e35/c0.39.1080.1080/20766160_248155275704861_5610485525015166976_n.jpg</v>
      </c>
      <c r="AE518" s="249" t="str">
        <f>HYPERLINK("https://scontent.cdninstagram.com/t51.2885-19/s150x150/19535114_1927536774183552_8692149831482736640_a.jpg")</f>
        <v>https://scontent.cdninstagram.com/t51.2885-19/s150x150/19535114_1927536774183552_8692149831482736640_a.jpg</v>
      </c>
    </row>
    <row r="519" spans="1:31" ht="15" x14ac:dyDescent="0.25">
      <c r="A519" t="s">
        <v>2474</v>
      </c>
      <c r="B519" t="s">
        <v>5657</v>
      </c>
      <c r="C519" s="221">
        <v>42960.949189814812</v>
      </c>
      <c r="D519" t="s">
        <v>5658</v>
      </c>
      <c r="E519" s="249" t="str">
        <f>HYPERLINK("https://www.instagram.com/p/BXwgnOuA6Nl/")</f>
        <v>https://www.instagram.com/p/BXwgnOuA6Nl/</v>
      </c>
      <c r="F519" t="s">
        <v>5659</v>
      </c>
      <c r="G519" t="s">
        <v>2478</v>
      </c>
      <c r="H519">
        <v>66</v>
      </c>
      <c r="I519" t="s">
        <v>2582</v>
      </c>
      <c r="J519">
        <v>2</v>
      </c>
      <c r="K519">
        <v>33</v>
      </c>
      <c r="L519">
        <v>35</v>
      </c>
      <c r="Q519">
        <v>0</v>
      </c>
      <c r="R519">
        <v>0</v>
      </c>
      <c r="S519">
        <v>35</v>
      </c>
      <c r="Y519" t="s">
        <v>4295</v>
      </c>
      <c r="Z519" t="s">
        <v>2551</v>
      </c>
      <c r="AA519" t="s">
        <v>5660</v>
      </c>
      <c r="AB519" t="s">
        <v>5661</v>
      </c>
      <c r="AC519" t="s">
        <v>5662</v>
      </c>
      <c r="AD519" s="249" t="str">
        <f>HYPERLINK("https://scontent.cdninstagram.com/t51.2885-15/s320x320/e35/c0.135.1080.1080/20837006_307278739680931_2703248215624384512_n.jpg")</f>
        <v>https://scontent.cdninstagram.com/t51.2885-15/s320x320/e35/c0.135.1080.1080/20837006_307278739680931_2703248215624384512_n.jpg</v>
      </c>
      <c r="AE519" s="249" t="str">
        <f>HYPERLINK("https://scontent.cdninstagram.com/t51.2885-19/s150x150/18722414_1929874740617287_7467972564577419264_a.jpg")</f>
        <v>https://scontent.cdninstagram.com/t51.2885-19/s150x150/18722414_1929874740617287_7467972564577419264_a.jpg</v>
      </c>
    </row>
    <row r="520" spans="1:31" ht="15" x14ac:dyDescent="0.25">
      <c r="A520" t="s">
        <v>2474</v>
      </c>
      <c r="B520" t="s">
        <v>5663</v>
      </c>
      <c r="C520" s="221">
        <v>42960.950613425928</v>
      </c>
      <c r="D520" t="s">
        <v>5664</v>
      </c>
      <c r="E520" s="249" t="str">
        <f>HYPERLINK("https://www.instagram.com/p/BXwg2OAlQlP/")</f>
        <v>https://www.instagram.com/p/BXwg2OAlQlP/</v>
      </c>
      <c r="F520" t="s">
        <v>5665</v>
      </c>
      <c r="G520" t="s">
        <v>2488</v>
      </c>
      <c r="H520">
        <v>288</v>
      </c>
      <c r="I520" t="s">
        <v>2479</v>
      </c>
      <c r="J520">
        <v>3</v>
      </c>
      <c r="K520">
        <v>62</v>
      </c>
      <c r="L520">
        <v>65</v>
      </c>
      <c r="Q520">
        <v>0</v>
      </c>
      <c r="R520">
        <v>0</v>
      </c>
      <c r="S520">
        <v>65</v>
      </c>
      <c r="Y520" t="s">
        <v>2937</v>
      </c>
      <c r="Z520" t="s">
        <v>4182</v>
      </c>
      <c r="AA520" t="s">
        <v>4370</v>
      </c>
      <c r="AB520" t="s">
        <v>4240</v>
      </c>
      <c r="AC520" t="s">
        <v>5666</v>
      </c>
      <c r="AD520" s="249" t="str">
        <f>HYPERLINK("https://scontent.cdninstagram.com/t51.2885-15/s320x320/e35/20759333_867371440098660_7400163036792619008_n.jpg")</f>
        <v>https://scontent.cdninstagram.com/t51.2885-15/s320x320/e35/20759333_867371440098660_7400163036792619008_n.jpg</v>
      </c>
      <c r="AE520" s="249" t="str">
        <f>HYPERLINK("https://scontent.cdninstagram.com/t51.2885-19/s150x150/14596823_391977171135124_3075530448923787264_a.jpg")</f>
        <v>https://scontent.cdninstagram.com/t51.2885-19/s150x150/14596823_391977171135124_3075530448923787264_a.jpg</v>
      </c>
    </row>
    <row r="521" spans="1:31" ht="15" x14ac:dyDescent="0.25">
      <c r="A521" t="s">
        <v>2474</v>
      </c>
      <c r="B521" t="s">
        <v>5667</v>
      </c>
      <c r="C521" s="221">
        <v>42960.956319444442</v>
      </c>
      <c r="D521" t="s">
        <v>5668</v>
      </c>
      <c r="E521" s="249" t="str">
        <f>HYPERLINK("https://www.instagram.com/p/BXwhydjhMb4/")</f>
        <v>https://www.instagram.com/p/BXwhydjhMb4/</v>
      </c>
      <c r="F521" t="s">
        <v>5669</v>
      </c>
      <c r="G521" t="s">
        <v>2478</v>
      </c>
      <c r="H521">
        <v>597</v>
      </c>
      <c r="I521" t="s">
        <v>5670</v>
      </c>
      <c r="J521">
        <v>1</v>
      </c>
      <c r="K521">
        <v>58</v>
      </c>
      <c r="L521">
        <v>59</v>
      </c>
      <c r="Q521">
        <v>0</v>
      </c>
      <c r="R521">
        <v>0</v>
      </c>
      <c r="S521">
        <v>59</v>
      </c>
      <c r="Y521" t="s">
        <v>5671</v>
      </c>
      <c r="Z521" t="s">
        <v>5672</v>
      </c>
      <c r="AA521" t="s">
        <v>5673</v>
      </c>
      <c r="AB521" t="s">
        <v>5674</v>
      </c>
      <c r="AC521" t="s">
        <v>2497</v>
      </c>
      <c r="AD521" s="249" t="str">
        <f>HYPERLINK("https://scontent.cdninstagram.com/t51.2885-15/s320x320/e35/c0.112.900.900/20766958_1154149688062937_5877130778516652032_n.jpg")</f>
        <v>https://scontent.cdninstagram.com/t51.2885-15/s320x320/e35/c0.112.900.900/20766958_1154149688062937_5877130778516652032_n.jpg</v>
      </c>
      <c r="AE521" s="249" t="str">
        <f>HYPERLINK("https://scontent.cdninstagram.com/t51.2885-19/s150x150/19624187_1879466818937151_7206770628072833024_a.jpg")</f>
        <v>https://scontent.cdninstagram.com/t51.2885-19/s150x150/19624187_1879466818937151_7206770628072833024_a.jpg</v>
      </c>
    </row>
    <row r="522" spans="1:31" ht="15" x14ac:dyDescent="0.25">
      <c r="A522" t="s">
        <v>2474</v>
      </c>
      <c r="B522" t="s">
        <v>4341</v>
      </c>
      <c r="C522" s="221">
        <v>42960.95952546296</v>
      </c>
      <c r="D522" t="s">
        <v>5675</v>
      </c>
      <c r="E522" s="249" t="str">
        <f>HYPERLINK("https://www.instagram.com/p/BXwiUMJgstV/")</f>
        <v>https://www.instagram.com/p/BXwiUMJgstV/</v>
      </c>
      <c r="F522" t="s">
        <v>5676</v>
      </c>
      <c r="G522" t="s">
        <v>2478</v>
      </c>
      <c r="H522">
        <v>389998</v>
      </c>
      <c r="I522" t="s">
        <v>2479</v>
      </c>
      <c r="J522">
        <v>13</v>
      </c>
      <c r="K522">
        <v>4364</v>
      </c>
      <c r="L522">
        <v>4377</v>
      </c>
      <c r="Q522">
        <v>0</v>
      </c>
      <c r="R522">
        <v>0</v>
      </c>
      <c r="S522">
        <v>4377</v>
      </c>
      <c r="AD522" s="249" t="str">
        <f>HYPERLINK("https://scontent.cdninstagram.com/t51.2885-15/s320x320/e35/20759030_1944964532442244_4866396738929295360_n.jpg")</f>
        <v>https://scontent.cdninstagram.com/t51.2885-15/s320x320/e35/20759030_1944964532442244_4866396738929295360_n.jpg</v>
      </c>
      <c r="AE522" s="249" t="str">
        <f>HYPERLINK("https://scontent.cdninstagram.com/t51.2885-19/s150x150/12357356_524081691094860_312972369_a.jpg")</f>
        <v>https://scontent.cdninstagram.com/t51.2885-19/s150x150/12357356_524081691094860_312972369_a.jpg</v>
      </c>
    </row>
    <row r="523" spans="1:31" ht="15" x14ac:dyDescent="0.25">
      <c r="A523" t="s">
        <v>2474</v>
      </c>
      <c r="B523" t="s">
        <v>5677</v>
      </c>
      <c r="C523" s="221">
        <v>42960.960729166669</v>
      </c>
      <c r="D523" t="s">
        <v>5678</v>
      </c>
      <c r="E523" s="249" t="str">
        <f>HYPERLINK("https://www.instagram.com/p/BXwig-VhauV/")</f>
        <v>https://www.instagram.com/p/BXwig-VhauV/</v>
      </c>
      <c r="F523" t="s">
        <v>5679</v>
      </c>
      <c r="G523" t="s">
        <v>2478</v>
      </c>
      <c r="H523">
        <v>374</v>
      </c>
      <c r="I523" t="s">
        <v>2479</v>
      </c>
      <c r="J523">
        <v>0</v>
      </c>
      <c r="K523">
        <v>11</v>
      </c>
      <c r="L523">
        <v>11</v>
      </c>
      <c r="Q523">
        <v>0</v>
      </c>
      <c r="R523">
        <v>0</v>
      </c>
      <c r="S523">
        <v>11</v>
      </c>
      <c r="Y523" t="s">
        <v>5680</v>
      </c>
      <c r="Z523" t="s">
        <v>5681</v>
      </c>
      <c r="AA523" t="s">
        <v>5682</v>
      </c>
      <c r="AB523" t="s">
        <v>2668</v>
      </c>
      <c r="AC523" t="s">
        <v>2752</v>
      </c>
      <c r="AD523" s="249" t="str">
        <f>HYPERLINK("https://scontent.cdninstagram.com/t51.2885-15/s320x320/e35/c169.0.372.372/20766705_505240229820753_7799586173457793024_n.jpg")</f>
        <v>https://scontent.cdninstagram.com/t51.2885-15/s320x320/e35/c169.0.372.372/20766705_505240229820753_7799586173457793024_n.jpg</v>
      </c>
      <c r="AE523" s="249" t="str">
        <f>HYPERLINK("https://scontent.cdninstagram.com/t51.2885-19/s150x150/12224286_1112604538764795_1605122153_a.jpg")</f>
        <v>https://scontent.cdninstagram.com/t51.2885-19/s150x150/12224286_1112604538764795_1605122153_a.jpg</v>
      </c>
    </row>
    <row r="524" spans="1:31" ht="15" x14ac:dyDescent="0.25">
      <c r="A524" t="s">
        <v>2474</v>
      </c>
      <c r="B524" t="s">
        <v>5683</v>
      </c>
      <c r="C524" s="221">
        <v>42960.962939814817</v>
      </c>
      <c r="D524" t="s">
        <v>5684</v>
      </c>
      <c r="E524" s="249" t="str">
        <f>HYPERLINK("https://www.instagram.com/p/BXwi4PUlwV4/")</f>
        <v>https://www.instagram.com/p/BXwi4PUlwV4/</v>
      </c>
      <c r="F524" t="s">
        <v>5685</v>
      </c>
      <c r="G524" t="s">
        <v>2478</v>
      </c>
      <c r="H524">
        <v>378</v>
      </c>
      <c r="I524" t="s">
        <v>3575</v>
      </c>
      <c r="J524">
        <v>2</v>
      </c>
      <c r="K524">
        <v>22</v>
      </c>
      <c r="L524">
        <v>24</v>
      </c>
      <c r="Q524">
        <v>0</v>
      </c>
      <c r="R524">
        <v>0</v>
      </c>
      <c r="S524">
        <v>24</v>
      </c>
      <c r="Y524" t="s">
        <v>5686</v>
      </c>
      <c r="Z524" t="s">
        <v>4180</v>
      </c>
      <c r="AA524" t="s">
        <v>5687</v>
      </c>
      <c r="AB524" t="s">
        <v>3986</v>
      </c>
      <c r="AC524" t="s">
        <v>5688</v>
      </c>
      <c r="AD524" s="249" t="str">
        <f>HYPERLINK("https://scontent.cdninstagram.com/t51.2885-15/s320x320/e35/20688368_453652168361119_3157623727970058240_n.jpg")</f>
        <v>https://scontent.cdninstagram.com/t51.2885-15/s320x320/e35/20688368_453652168361119_3157623727970058240_n.jpg</v>
      </c>
      <c r="AE524" s="249" t="str">
        <f>HYPERLINK("https://scontent.cdninstagram.com/t51.2885-19/s150x150/21041668_1585441648186865_2985547211875549184_a.jpg")</f>
        <v>https://scontent.cdninstagram.com/t51.2885-19/s150x150/21041668_1585441648186865_2985547211875549184_a.jpg</v>
      </c>
    </row>
    <row r="525" spans="1:31" ht="15" x14ac:dyDescent="0.25">
      <c r="A525" t="s">
        <v>2474</v>
      </c>
      <c r="B525" t="s">
        <v>3754</v>
      </c>
      <c r="C525" s="221">
        <v>42960.971145833333</v>
      </c>
      <c r="D525" t="s">
        <v>5689</v>
      </c>
      <c r="E525" s="249" t="str">
        <f>HYPERLINK("https://www.instagram.com/p/BXwkO1ejybD/")</f>
        <v>https://www.instagram.com/p/BXwkO1ejybD/</v>
      </c>
      <c r="F525" t="s">
        <v>5690</v>
      </c>
      <c r="G525" t="s">
        <v>2478</v>
      </c>
      <c r="H525">
        <v>201893</v>
      </c>
      <c r="I525" t="s">
        <v>2479</v>
      </c>
      <c r="J525">
        <v>1</v>
      </c>
      <c r="K525">
        <v>409</v>
      </c>
      <c r="L525">
        <v>410</v>
      </c>
      <c r="Q525">
        <v>0</v>
      </c>
      <c r="R525">
        <v>0</v>
      </c>
      <c r="S525">
        <v>410</v>
      </c>
      <c r="Y525" t="s">
        <v>3754</v>
      </c>
      <c r="Z525" t="s">
        <v>4801</v>
      </c>
      <c r="AA525" t="s">
        <v>4561</v>
      </c>
      <c r="AB525" t="s">
        <v>4803</v>
      </c>
      <c r="AC525" t="s">
        <v>3760</v>
      </c>
      <c r="AD525" s="249" t="str">
        <f>HYPERLINK("https://scontent.cdninstagram.com/t51.2885-15/s320x320/e35/20759198_519698341707861_1434498705834115072_n.jpg")</f>
        <v>https://scontent.cdninstagram.com/t51.2885-15/s320x320/e35/20759198_519698341707861_1434498705834115072_n.jpg</v>
      </c>
      <c r="AE525" s="249" t="str">
        <f>HYPERLINK("https://scontent.cdninstagram.com/t51.2885-19/s150x150/12905002_1681254462136092_1137392787_a.jpg")</f>
        <v>https://scontent.cdninstagram.com/t51.2885-19/s150x150/12905002_1681254462136092_1137392787_a.jpg</v>
      </c>
    </row>
    <row r="526" spans="1:31" ht="15" x14ac:dyDescent="0.25">
      <c r="A526" t="s">
        <v>2474</v>
      </c>
      <c r="B526" t="s">
        <v>5691</v>
      </c>
      <c r="C526" s="221">
        <v>42960.972916666666</v>
      </c>
      <c r="D526" t="s">
        <v>5692</v>
      </c>
      <c r="E526" s="249" t="str">
        <f>HYPERLINK("https://www.instagram.com/p/BXwkhhrnFKA/")</f>
        <v>https://www.instagram.com/p/BXwkhhrnFKA/</v>
      </c>
      <c r="F526" t="s">
        <v>5693</v>
      </c>
      <c r="G526" t="s">
        <v>2478</v>
      </c>
      <c r="H526">
        <v>750</v>
      </c>
      <c r="I526" t="s">
        <v>2479</v>
      </c>
      <c r="J526">
        <v>0</v>
      </c>
      <c r="K526">
        <v>23</v>
      </c>
      <c r="L526">
        <v>23</v>
      </c>
      <c r="Q526">
        <v>0</v>
      </c>
      <c r="R526">
        <v>0</v>
      </c>
      <c r="S526">
        <v>23</v>
      </c>
      <c r="Y526" t="s">
        <v>5694</v>
      </c>
      <c r="Z526" t="s">
        <v>5695</v>
      </c>
      <c r="AA526" t="s">
        <v>5696</v>
      </c>
      <c r="AB526" t="s">
        <v>5697</v>
      </c>
      <c r="AC526" t="s">
        <v>5698</v>
      </c>
      <c r="AD526" s="249" t="str">
        <f>HYPERLINK("https://scontent.cdninstagram.com/t51.2885-15/s320x320/e35/20766552_379172452498262_6234218495559598080_n.jpg")</f>
        <v>https://scontent.cdninstagram.com/t51.2885-15/s320x320/e35/20766552_379172452498262_6234218495559598080_n.jpg</v>
      </c>
      <c r="AE526" s="249" t="str">
        <f>HYPERLINK("https://scontent.cdninstagram.com/t51.2885-19/s150x150/16583510_667248743445104_714641665670774784_a.jpg")</f>
        <v>https://scontent.cdninstagram.com/t51.2885-19/s150x150/16583510_667248743445104_714641665670774784_a.jpg</v>
      </c>
    </row>
    <row r="527" spans="1:31" ht="15" x14ac:dyDescent="0.25">
      <c r="A527" t="s">
        <v>2474</v>
      </c>
      <c r="B527" t="s">
        <v>5699</v>
      </c>
      <c r="C527" s="221">
        <v>42960.979166666664</v>
      </c>
      <c r="D527" t="s">
        <v>5700</v>
      </c>
      <c r="E527" s="249" t="str">
        <f>HYPERLINK("https://www.instagram.com/p/BXwljc4Fh4D/")</f>
        <v>https://www.instagram.com/p/BXwljc4Fh4D/</v>
      </c>
      <c r="F527" t="s">
        <v>5701</v>
      </c>
      <c r="G527" t="s">
        <v>2478</v>
      </c>
      <c r="H527">
        <v>90</v>
      </c>
      <c r="I527" t="s">
        <v>2542</v>
      </c>
      <c r="J527">
        <v>3</v>
      </c>
      <c r="K527">
        <v>28</v>
      </c>
      <c r="L527">
        <v>31</v>
      </c>
      <c r="Q527">
        <v>0</v>
      </c>
      <c r="R527">
        <v>0</v>
      </c>
      <c r="S527">
        <v>31</v>
      </c>
      <c r="Y527" t="s">
        <v>5702</v>
      </c>
      <c r="Z527" t="s">
        <v>5703</v>
      </c>
      <c r="AA527" t="s">
        <v>5704</v>
      </c>
      <c r="AB527" t="s">
        <v>5705</v>
      </c>
      <c r="AC527" t="s">
        <v>5706</v>
      </c>
      <c r="AD527" s="249" t="str">
        <f>HYPERLINK("https://scontent.cdninstagram.com/t51.2885-15/s320x320/e35/20759051_160298827866356_5615120520577024000_n.jpg")</f>
        <v>https://scontent.cdninstagram.com/t51.2885-15/s320x320/e35/20759051_160298827866356_5615120520577024000_n.jpg</v>
      </c>
      <c r="AE527" s="249" t="str">
        <f>HYPERLINK("https://scontent.cdninstagram.com/t51.2885-19/s150x150/18252635_446319085720165_2717160400675143680_a.jpg")</f>
        <v>https://scontent.cdninstagram.com/t51.2885-19/s150x150/18252635_446319085720165_2717160400675143680_a.jpg</v>
      </c>
    </row>
    <row r="528" spans="1:31" ht="15" x14ac:dyDescent="0.25">
      <c r="A528" t="s">
        <v>2474</v>
      </c>
      <c r="B528" t="s">
        <v>5149</v>
      </c>
      <c r="C528" s="221">
        <v>42960.993078703701</v>
      </c>
      <c r="D528" t="s">
        <v>5707</v>
      </c>
      <c r="E528" s="249" t="str">
        <f>HYPERLINK("https://www.instagram.com/p/BXwn2F-DAxF/")</f>
        <v>https://www.instagram.com/p/BXwn2F-DAxF/</v>
      </c>
      <c r="F528" t="s">
        <v>5708</v>
      </c>
      <c r="G528" t="s">
        <v>2631</v>
      </c>
      <c r="H528">
        <v>63220</v>
      </c>
      <c r="I528" t="s">
        <v>2479</v>
      </c>
      <c r="J528">
        <v>2</v>
      </c>
      <c r="K528">
        <v>124</v>
      </c>
      <c r="L528">
        <v>126</v>
      </c>
      <c r="Q528">
        <v>0</v>
      </c>
      <c r="R528">
        <v>0</v>
      </c>
      <c r="S528">
        <v>126</v>
      </c>
      <c r="T528" t="s">
        <v>5709</v>
      </c>
      <c r="U528" t="s">
        <v>106</v>
      </c>
      <c r="V528" t="s">
        <v>2299</v>
      </c>
      <c r="W528">
        <v>25.799454482830999</v>
      </c>
      <c r="X528">
        <v>-80.197916849104999</v>
      </c>
      <c r="Y528" t="s">
        <v>5622</v>
      </c>
      <c r="Z528" t="s">
        <v>5221</v>
      </c>
      <c r="AA528" t="s">
        <v>2497</v>
      </c>
      <c r="AD528" s="249" t="str">
        <f>HYPERLINK("https://scontent.cdninstagram.com/t51.2885-15/s320x320/e15/c236.0.607.607/20766626_461863264206674_4301761070973845504_n.jpg")</f>
        <v>https://scontent.cdninstagram.com/t51.2885-15/s320x320/e15/c236.0.607.607/20766626_461863264206674_4301761070973845504_n.jpg</v>
      </c>
      <c r="AE528" s="249" t="str">
        <f>HYPERLINK("https://scontent.cdninstagram.com/t51.2885-19/s150x150/14128779_278010482584432_2056131760_a.jpg")</f>
        <v>https://scontent.cdninstagram.com/t51.2885-19/s150x150/14128779_278010482584432_2056131760_a.jpg</v>
      </c>
    </row>
    <row r="529" spans="1:31" ht="15" x14ac:dyDescent="0.25">
      <c r="A529" t="s">
        <v>2474</v>
      </c>
      <c r="B529" t="s">
        <v>5710</v>
      </c>
      <c r="C529" s="221">
        <v>42960.994050925925</v>
      </c>
      <c r="D529" t="s">
        <v>5711</v>
      </c>
      <c r="E529" s="249" t="str">
        <f>HYPERLINK("https://www.instagram.com/p/BXwoAWdlPYH/")</f>
        <v>https://www.instagram.com/p/BXwoAWdlPYH/</v>
      </c>
      <c r="F529" t="s">
        <v>5712</v>
      </c>
      <c r="G529" t="s">
        <v>2478</v>
      </c>
      <c r="H529">
        <v>1197</v>
      </c>
      <c r="I529" t="s">
        <v>2479</v>
      </c>
      <c r="J529">
        <v>1</v>
      </c>
      <c r="K529">
        <v>23</v>
      </c>
      <c r="L529">
        <v>24</v>
      </c>
      <c r="Q529">
        <v>0</v>
      </c>
      <c r="R529">
        <v>0</v>
      </c>
      <c r="S529">
        <v>24</v>
      </c>
      <c r="Y529" t="s">
        <v>5713</v>
      </c>
      <c r="Z529" t="s">
        <v>5714</v>
      </c>
      <c r="AA529" t="s">
        <v>5715</v>
      </c>
      <c r="AB529" t="s">
        <v>5716</v>
      </c>
      <c r="AC529" t="s">
        <v>5717</v>
      </c>
      <c r="AD529" s="249" t="str">
        <f>HYPERLINK("https://scontent.cdninstagram.com/t51.2885-15/s320x320/e35/20759068_1415789245173543_7032129823229083648_n.jpg")</f>
        <v>https://scontent.cdninstagram.com/t51.2885-15/s320x320/e35/20759068_1415789245173543_7032129823229083648_n.jpg</v>
      </c>
      <c r="AE529" s="249" t="str">
        <f>HYPERLINK("https://scontent.cdninstagram.com/t51.2885-19/s150x150/18161962_1414206711970606_5979381554558795776_a.jpg")</f>
        <v>https://scontent.cdninstagram.com/t51.2885-19/s150x150/18161962_1414206711970606_5979381554558795776_a.jpg</v>
      </c>
    </row>
    <row r="530" spans="1:31" ht="15" x14ac:dyDescent="0.25">
      <c r="A530" t="s">
        <v>2474</v>
      </c>
      <c r="B530" t="s">
        <v>5718</v>
      </c>
      <c r="C530" s="221">
        <v>42961.015914351854</v>
      </c>
      <c r="D530" t="s">
        <v>5719</v>
      </c>
      <c r="E530" s="249" t="str">
        <f>HYPERLINK("https://www.instagram.com/p/BXwrm7njQ-c/")</f>
        <v>https://www.instagram.com/p/BXwrm7njQ-c/</v>
      </c>
      <c r="F530" t="s">
        <v>5720</v>
      </c>
      <c r="G530" t="s">
        <v>2488</v>
      </c>
      <c r="H530">
        <v>284</v>
      </c>
      <c r="I530" t="s">
        <v>2479</v>
      </c>
      <c r="J530">
        <v>5</v>
      </c>
      <c r="K530">
        <v>41</v>
      </c>
      <c r="L530">
        <v>46</v>
      </c>
      <c r="Q530">
        <v>0</v>
      </c>
      <c r="R530">
        <v>0</v>
      </c>
      <c r="S530">
        <v>46</v>
      </c>
      <c r="Y530" t="s">
        <v>5721</v>
      </c>
      <c r="Z530" t="s">
        <v>3225</v>
      </c>
      <c r="AA530" t="s">
        <v>5722</v>
      </c>
      <c r="AB530" t="s">
        <v>2827</v>
      </c>
      <c r="AC530" t="s">
        <v>2734</v>
      </c>
      <c r="AD530" s="249" t="str">
        <f>HYPERLINK("https://scontent.cdninstagram.com/t51.2885-15/s320x320/e35/20766502_117136435558234_5582745447941799936_n.jpg")</f>
        <v>https://scontent.cdninstagram.com/t51.2885-15/s320x320/e35/20766502_117136435558234_5582745447941799936_n.jpg</v>
      </c>
      <c r="AE530" s="249" t="str">
        <f>HYPERLINK("https://scontent.cdninstagram.com/t51.2885-19/s150x150/20225602_164771757401240_4850167380367638528_a.jpg")</f>
        <v>https://scontent.cdninstagram.com/t51.2885-19/s150x150/20225602_164771757401240_4850167380367638528_a.jpg</v>
      </c>
    </row>
    <row r="531" spans="1:31" ht="15" x14ac:dyDescent="0.25">
      <c r="A531" t="s">
        <v>2474</v>
      </c>
      <c r="B531" t="s">
        <v>5149</v>
      </c>
      <c r="C531" s="221">
        <v>42961.025370370371</v>
      </c>
      <c r="D531" t="s">
        <v>5723</v>
      </c>
      <c r="E531" s="249" t="str">
        <f>HYPERLINK("https://www.instagram.com/p/BXwtKt-DSK4/")</f>
        <v>https://www.instagram.com/p/BXwtKt-DSK4/</v>
      </c>
      <c r="F531" t="s">
        <v>5724</v>
      </c>
      <c r="G531" t="s">
        <v>2631</v>
      </c>
      <c r="H531">
        <v>63238</v>
      </c>
      <c r="I531" t="s">
        <v>2479</v>
      </c>
      <c r="J531">
        <v>8</v>
      </c>
      <c r="K531">
        <v>99</v>
      </c>
      <c r="L531">
        <v>107</v>
      </c>
      <c r="Q531">
        <v>0</v>
      </c>
      <c r="R531">
        <v>0</v>
      </c>
      <c r="S531">
        <v>107</v>
      </c>
      <c r="Y531" t="s">
        <v>5153</v>
      </c>
      <c r="Z531" t="s">
        <v>5221</v>
      </c>
      <c r="AA531" t="s">
        <v>2497</v>
      </c>
      <c r="AD531" s="249" t="str">
        <f>HYPERLINK("https://scontent.cdninstagram.com/t51.2885-15/s320x320/e15/c236.0.607.607/20759358_642773969259737_1780677339089207296_n.jpg")</f>
        <v>https://scontent.cdninstagram.com/t51.2885-15/s320x320/e15/c236.0.607.607/20759358_642773969259737_1780677339089207296_n.jpg</v>
      </c>
      <c r="AE531" s="249" t="str">
        <f>HYPERLINK("https://scontent.cdninstagram.com/t51.2885-19/s150x150/14128779_278010482584432_2056131760_a.jpg")</f>
        <v>https://scontent.cdninstagram.com/t51.2885-19/s150x150/14128779_278010482584432_2056131760_a.jpg</v>
      </c>
    </row>
    <row r="532" spans="1:31" ht="15" x14ac:dyDescent="0.25">
      <c r="A532" t="s">
        <v>2474</v>
      </c>
      <c r="B532" t="s">
        <v>4132</v>
      </c>
      <c r="C532" s="221">
        <v>42961.030428240738</v>
      </c>
      <c r="D532" t="s">
        <v>5725</v>
      </c>
      <c r="E532" s="249" t="str">
        <f>HYPERLINK("https://www.instagram.com/p/BXwuADVFJCT/")</f>
        <v>https://www.instagram.com/p/BXwuADVFJCT/</v>
      </c>
      <c r="F532" t="s">
        <v>5726</v>
      </c>
      <c r="G532" t="s">
        <v>2478</v>
      </c>
      <c r="H532">
        <v>6880</v>
      </c>
      <c r="I532" t="s">
        <v>2479</v>
      </c>
      <c r="J532">
        <v>1</v>
      </c>
      <c r="K532">
        <v>22</v>
      </c>
      <c r="L532">
        <v>23</v>
      </c>
      <c r="Q532">
        <v>0</v>
      </c>
      <c r="R532">
        <v>0</v>
      </c>
      <c r="S532">
        <v>23</v>
      </c>
      <c r="Y532" t="s">
        <v>4136</v>
      </c>
      <c r="Z532" t="s">
        <v>5727</v>
      </c>
      <c r="AA532" t="s">
        <v>4137</v>
      </c>
      <c r="AB532" t="s">
        <v>5728</v>
      </c>
      <c r="AC532" t="s">
        <v>3757</v>
      </c>
      <c r="AD532" s="249" t="str">
        <f>HYPERLINK("https://scontent.cdninstagram.com/t51.2885-15/s320x320/e35/20838922_1330226230409329_1351550457713000448_n.jpg")</f>
        <v>https://scontent.cdninstagram.com/t51.2885-15/s320x320/e35/20838922_1330226230409329_1351550457713000448_n.jpg</v>
      </c>
      <c r="AE532" s="249" t="str">
        <f>HYPERLINK("https://scontent.cdninstagram.com/t51.2885-19/s150x150/15306012_1834743390099693_621234283125669888_a.jpg")</f>
        <v>https://scontent.cdninstagram.com/t51.2885-19/s150x150/15306012_1834743390099693_621234283125669888_a.jpg</v>
      </c>
    </row>
    <row r="533" spans="1:31" ht="15" x14ac:dyDescent="0.25">
      <c r="A533" t="s">
        <v>2474</v>
      </c>
      <c r="B533" t="s">
        <v>5149</v>
      </c>
      <c r="C533" s="221">
        <v>42961.038784722223</v>
      </c>
      <c r="D533" t="s">
        <v>5729</v>
      </c>
      <c r="E533" s="249" t="str">
        <f>HYPERLINK("https://www.instagram.com/p/BXwvYODDUhv/")</f>
        <v>https://www.instagram.com/p/BXwvYODDUhv/</v>
      </c>
      <c r="F533" t="s">
        <v>5730</v>
      </c>
      <c r="G533" t="s">
        <v>2478</v>
      </c>
      <c r="H533">
        <v>63244</v>
      </c>
      <c r="I533" t="s">
        <v>2479</v>
      </c>
      <c r="J533">
        <v>1</v>
      </c>
      <c r="K533">
        <v>137</v>
      </c>
      <c r="L533">
        <v>138</v>
      </c>
      <c r="Q533">
        <v>0</v>
      </c>
      <c r="R533">
        <v>0</v>
      </c>
      <c r="S533">
        <v>138</v>
      </c>
      <c r="Y533" t="s">
        <v>5153</v>
      </c>
      <c r="Z533" t="s">
        <v>2497</v>
      </c>
      <c r="AD533" s="249" t="str">
        <f>HYPERLINK("https://scontent.cdninstagram.com/t51.2885-15/s320x320/e35/c0.134.1080.1080/20766456_641584339384886_3043609242662600704_n.jpg")</f>
        <v>https://scontent.cdninstagram.com/t51.2885-15/s320x320/e35/c0.134.1080.1080/20766456_641584339384886_3043609242662600704_n.jpg</v>
      </c>
      <c r="AE533" s="249" t="str">
        <f>HYPERLINK("https://scontent.cdninstagram.com/t51.2885-19/s150x150/14128779_278010482584432_2056131760_a.jpg")</f>
        <v>https://scontent.cdninstagram.com/t51.2885-19/s150x150/14128779_278010482584432_2056131760_a.jpg</v>
      </c>
    </row>
    <row r="534" spans="1:31" ht="15" x14ac:dyDescent="0.25">
      <c r="A534" t="s">
        <v>2474</v>
      </c>
      <c r="B534" t="s">
        <v>4982</v>
      </c>
      <c r="C534" s="221">
        <v>42961.039629629631</v>
      </c>
      <c r="D534" t="s">
        <v>5731</v>
      </c>
      <c r="E534" s="249" t="str">
        <f>HYPERLINK("https://www.instagram.com/p/BXwvhDYDgmQ/")</f>
        <v>https://www.instagram.com/p/BXwvhDYDgmQ/</v>
      </c>
      <c r="F534" t="s">
        <v>5732</v>
      </c>
      <c r="G534" t="s">
        <v>2478</v>
      </c>
      <c r="H534">
        <v>220</v>
      </c>
      <c r="I534" t="s">
        <v>2479</v>
      </c>
      <c r="J534">
        <v>1</v>
      </c>
      <c r="K534">
        <v>90</v>
      </c>
      <c r="L534">
        <v>91</v>
      </c>
      <c r="Q534">
        <v>0</v>
      </c>
      <c r="R534">
        <v>0</v>
      </c>
      <c r="S534">
        <v>91</v>
      </c>
      <c r="T534" t="s">
        <v>5733</v>
      </c>
      <c r="V534" t="s">
        <v>2271</v>
      </c>
      <c r="W534">
        <v>46.979615684815997</v>
      </c>
      <c r="X534">
        <v>8.2548995849213007</v>
      </c>
      <c r="Y534" t="s">
        <v>2789</v>
      </c>
      <c r="Z534" t="s">
        <v>4987</v>
      </c>
      <c r="AA534" t="s">
        <v>4295</v>
      </c>
      <c r="AB534" t="s">
        <v>5734</v>
      </c>
      <c r="AC534" t="s">
        <v>4989</v>
      </c>
      <c r="AD534" s="249" t="str">
        <f>HYPERLINK("https://scontent.cdninstagram.com/t51.2885-15/s320x320/e35/20837088_2026382874045870_4454260275729661952_n.jpg")</f>
        <v>https://scontent.cdninstagram.com/t51.2885-15/s320x320/e35/20837088_2026382874045870_4454260275729661952_n.jpg</v>
      </c>
      <c r="AE534" s="249" t="str">
        <f>HYPERLINK("https://scontent.cdninstagram.com/t51.2885-19/s150x150/20837251_299121970554939_1401977110389587968_a.jpg")</f>
        <v>https://scontent.cdninstagram.com/t51.2885-19/s150x150/20837251_299121970554939_1401977110389587968_a.jpg</v>
      </c>
    </row>
    <row r="535" spans="1:31" ht="15" x14ac:dyDescent="0.25">
      <c r="A535" t="s">
        <v>2474</v>
      </c>
      <c r="B535" t="s">
        <v>2548</v>
      </c>
      <c r="C535" s="221">
        <v>42961.040034722224</v>
      </c>
      <c r="D535" t="s">
        <v>5735</v>
      </c>
      <c r="E535" s="249" t="str">
        <f>HYPERLINK("https://www.instagram.com/p/BXwvlavngny/")</f>
        <v>https://www.instagram.com/p/BXwvlavngny/</v>
      </c>
      <c r="F535" t="s">
        <v>5736</v>
      </c>
      <c r="G535" t="s">
        <v>2478</v>
      </c>
      <c r="H535">
        <v>519</v>
      </c>
      <c r="I535" t="s">
        <v>2519</v>
      </c>
      <c r="J535">
        <v>1</v>
      </c>
      <c r="K535">
        <v>47</v>
      </c>
      <c r="L535">
        <v>48</v>
      </c>
      <c r="Q535">
        <v>0</v>
      </c>
      <c r="R535">
        <v>0</v>
      </c>
      <c r="S535">
        <v>48</v>
      </c>
      <c r="T535" t="s">
        <v>5737</v>
      </c>
      <c r="V535" t="s">
        <v>2222</v>
      </c>
      <c r="W535">
        <v>52.26305</v>
      </c>
      <c r="X535">
        <v>6.1649200000000004</v>
      </c>
      <c r="Y535" t="s">
        <v>4760</v>
      </c>
      <c r="Z535" t="s">
        <v>5738</v>
      </c>
      <c r="AA535" t="s">
        <v>2553</v>
      </c>
      <c r="AB535" t="s">
        <v>3982</v>
      </c>
      <c r="AC535" t="s">
        <v>5739</v>
      </c>
      <c r="AD535" s="249" t="str">
        <f>HYPERLINK("https://scontent.cdninstagram.com/t51.2885-15/s320x320/e35/20766862_501737670176887_7005253253625544704_n.jpg")</f>
        <v>https://scontent.cdninstagram.com/t51.2885-15/s320x320/e35/20766862_501737670176887_7005253253625544704_n.jpg</v>
      </c>
      <c r="AE535" s="249" t="str">
        <f>HYPERLINK("https://scontent.cdninstagram.com/t51.2885-19/s150x150/20902268_463519954020811_6603510379353997312_a.jpg")</f>
        <v>https://scontent.cdninstagram.com/t51.2885-19/s150x150/20902268_463519954020811_6603510379353997312_a.jpg</v>
      </c>
    </row>
    <row r="536" spans="1:31" ht="15" x14ac:dyDescent="0.25">
      <c r="A536" t="s">
        <v>2474</v>
      </c>
      <c r="B536" t="s">
        <v>5149</v>
      </c>
      <c r="C536" s="221">
        <v>42961.041250000002</v>
      </c>
      <c r="D536" t="s">
        <v>5740</v>
      </c>
      <c r="E536" s="249" t="str">
        <f>HYPERLINK("https://www.instagram.com/p/BXwvyLlDgfO/")</f>
        <v>https://www.instagram.com/p/BXwvyLlDgfO/</v>
      </c>
      <c r="F536" t="s">
        <v>5741</v>
      </c>
      <c r="G536" t="s">
        <v>2631</v>
      </c>
      <c r="H536">
        <v>63244</v>
      </c>
      <c r="I536" t="s">
        <v>2479</v>
      </c>
      <c r="J536">
        <v>0</v>
      </c>
      <c r="K536">
        <v>210</v>
      </c>
      <c r="L536">
        <v>210</v>
      </c>
      <c r="Q536">
        <v>0</v>
      </c>
      <c r="R536">
        <v>0</v>
      </c>
      <c r="S536">
        <v>210</v>
      </c>
      <c r="Y536" t="s">
        <v>5153</v>
      </c>
      <c r="Z536" t="s">
        <v>2497</v>
      </c>
      <c r="AD536" s="249" t="str">
        <f>HYPERLINK("https://scontent.cdninstagram.com/t51.2885-15/s320x320/e15/c0.89.720.720/20766987_285799781828425_5858050691246850048_n.jpg")</f>
        <v>https://scontent.cdninstagram.com/t51.2885-15/s320x320/e15/c0.89.720.720/20766987_285799781828425_5858050691246850048_n.jpg</v>
      </c>
      <c r="AE536" s="249" t="str">
        <f>HYPERLINK("https://scontent.cdninstagram.com/t51.2885-19/s150x150/14128779_278010482584432_2056131760_a.jpg")</f>
        <v>https://scontent.cdninstagram.com/t51.2885-19/s150x150/14128779_278010482584432_2056131760_a.jpg</v>
      </c>
    </row>
    <row r="537" spans="1:31" ht="15" x14ac:dyDescent="0.25">
      <c r="A537" t="s">
        <v>2474</v>
      </c>
      <c r="B537" t="s">
        <v>5742</v>
      </c>
      <c r="C537" s="221">
        <v>42961.042037037034</v>
      </c>
      <c r="D537" t="s">
        <v>5743</v>
      </c>
      <c r="E537" s="249" t="str">
        <f>HYPERLINK("https://www.instagram.com/p/BXwv6d7gDHB/")</f>
        <v>https://www.instagram.com/p/BXwv6d7gDHB/</v>
      </c>
      <c r="F537" t="s">
        <v>5744</v>
      </c>
      <c r="G537" t="s">
        <v>2478</v>
      </c>
      <c r="H537">
        <v>141</v>
      </c>
      <c r="I537" t="s">
        <v>2786</v>
      </c>
      <c r="J537">
        <v>0</v>
      </c>
      <c r="K537">
        <v>29</v>
      </c>
      <c r="L537">
        <v>29</v>
      </c>
      <c r="Q537">
        <v>0</v>
      </c>
      <c r="R537">
        <v>0</v>
      </c>
      <c r="S537">
        <v>29</v>
      </c>
      <c r="Y537" t="s">
        <v>5745</v>
      </c>
      <c r="Z537" t="s">
        <v>4827</v>
      </c>
      <c r="AA537" t="s">
        <v>2497</v>
      </c>
      <c r="AB537" t="s">
        <v>5746</v>
      </c>
      <c r="AD537" s="249" t="str">
        <f>HYPERLINK("https://scontent.cdninstagram.com/t51.2885-15/s320x320/e35/20766103_117537315570607_2203163762939133952_n.jpg")</f>
        <v>https://scontent.cdninstagram.com/t51.2885-15/s320x320/e35/20766103_117537315570607_2203163762939133952_n.jpg</v>
      </c>
      <c r="AE537" s="249" t="str">
        <f>HYPERLINK("https://scontent.cdninstagram.com/t51.2885-19/s150x150/13116536_1106524249388742_15028693_a.jpg")</f>
        <v>https://scontent.cdninstagram.com/t51.2885-19/s150x150/13116536_1106524249388742_15028693_a.jpg</v>
      </c>
    </row>
    <row r="538" spans="1:31" ht="15" x14ac:dyDescent="0.25">
      <c r="A538" t="s">
        <v>2474</v>
      </c>
      <c r="B538" t="s">
        <v>5149</v>
      </c>
      <c r="C538" s="221">
        <v>42961.0471875</v>
      </c>
      <c r="D538" t="s">
        <v>5747</v>
      </c>
      <c r="E538" s="249" t="str">
        <f>HYPERLINK("https://www.instagram.com/p/BXwwwyMDKyR/")</f>
        <v>https://www.instagram.com/p/BXwwwyMDKyR/</v>
      </c>
      <c r="F538" t="s">
        <v>5748</v>
      </c>
      <c r="G538" t="s">
        <v>2631</v>
      </c>
      <c r="H538">
        <v>63244</v>
      </c>
      <c r="I538" t="s">
        <v>2479</v>
      </c>
      <c r="J538">
        <v>0</v>
      </c>
      <c r="K538">
        <v>89</v>
      </c>
      <c r="L538">
        <v>89</v>
      </c>
      <c r="Q538">
        <v>0</v>
      </c>
      <c r="R538">
        <v>0</v>
      </c>
      <c r="S538">
        <v>89</v>
      </c>
      <c r="Y538" t="s">
        <v>5153</v>
      </c>
      <c r="Z538" t="s">
        <v>2497</v>
      </c>
      <c r="AA538" t="s">
        <v>5749</v>
      </c>
      <c r="AD538" s="249" t="str">
        <f>HYPERLINK("https://scontent.cdninstagram.com/t51.2885-15/s320x320/e15/c156.0.407.407/20759343_305420913201363_2515580324000301056_n.jpg")</f>
        <v>https://scontent.cdninstagram.com/t51.2885-15/s320x320/e15/c156.0.407.407/20759343_305420913201363_2515580324000301056_n.jpg</v>
      </c>
      <c r="AE538" s="249" t="str">
        <f>HYPERLINK("https://scontent.cdninstagram.com/t51.2885-19/s150x150/14128779_278010482584432_2056131760_a.jpg")</f>
        <v>https://scontent.cdninstagram.com/t51.2885-19/s150x150/14128779_278010482584432_2056131760_a.jpg</v>
      </c>
    </row>
    <row r="539" spans="1:31" ht="15" x14ac:dyDescent="0.25">
      <c r="A539" t="s">
        <v>2474</v>
      </c>
      <c r="B539" t="s">
        <v>5149</v>
      </c>
      <c r="C539" s="221">
        <v>42961.047962962963</v>
      </c>
      <c r="D539" t="s">
        <v>5750</v>
      </c>
      <c r="E539" s="249" t="str">
        <f>HYPERLINK("https://www.instagram.com/p/BXww47XDOVg/")</f>
        <v>https://www.instagram.com/p/BXww47XDOVg/</v>
      </c>
      <c r="F539" t="s">
        <v>5751</v>
      </c>
      <c r="G539" t="s">
        <v>2631</v>
      </c>
      <c r="H539">
        <v>63244</v>
      </c>
      <c r="I539" t="s">
        <v>2479</v>
      </c>
      <c r="J539">
        <v>2</v>
      </c>
      <c r="K539">
        <v>132</v>
      </c>
      <c r="L539">
        <v>134</v>
      </c>
      <c r="Q539">
        <v>0</v>
      </c>
      <c r="R539">
        <v>0</v>
      </c>
      <c r="S539">
        <v>134</v>
      </c>
      <c r="Y539" t="s">
        <v>5153</v>
      </c>
      <c r="Z539" t="s">
        <v>2497</v>
      </c>
      <c r="AD539" s="249" t="str">
        <f>HYPERLINK("https://scontent.cdninstagram.com/t51.2885-15/s320x320/e15/c156.0.407.407/20759067_662416113957204_6213682706434228224_n.jpg")</f>
        <v>https://scontent.cdninstagram.com/t51.2885-15/s320x320/e15/c156.0.407.407/20759067_662416113957204_6213682706434228224_n.jpg</v>
      </c>
      <c r="AE539" s="249" t="str">
        <f>HYPERLINK("https://scontent.cdninstagram.com/t51.2885-19/s150x150/14128779_278010482584432_2056131760_a.jpg")</f>
        <v>https://scontent.cdninstagram.com/t51.2885-19/s150x150/14128779_278010482584432_2056131760_a.jpg</v>
      </c>
    </row>
    <row r="540" spans="1:31" ht="15" x14ac:dyDescent="0.25">
      <c r="A540" t="s">
        <v>2474</v>
      </c>
      <c r="B540" t="s">
        <v>5752</v>
      </c>
      <c r="C540" s="221">
        <v>42961.054606481484</v>
      </c>
      <c r="D540" t="s">
        <v>5753</v>
      </c>
      <c r="E540" s="249" t="str">
        <f>HYPERLINK("https://www.instagram.com/p/BXwx_DQgiRU/")</f>
        <v>https://www.instagram.com/p/BXwx_DQgiRU/</v>
      </c>
      <c r="F540" t="s">
        <v>5754</v>
      </c>
      <c r="G540" t="s">
        <v>2478</v>
      </c>
      <c r="H540">
        <v>1080</v>
      </c>
      <c r="I540" t="s">
        <v>2479</v>
      </c>
      <c r="J540">
        <v>0</v>
      </c>
      <c r="K540">
        <v>58</v>
      </c>
      <c r="L540">
        <v>58</v>
      </c>
      <c r="Q540">
        <v>0</v>
      </c>
      <c r="R540">
        <v>0</v>
      </c>
      <c r="S540">
        <v>58</v>
      </c>
      <c r="Y540" t="s">
        <v>5755</v>
      </c>
      <c r="Z540" t="s">
        <v>2497</v>
      </c>
      <c r="AA540" t="s">
        <v>5756</v>
      </c>
      <c r="AB540" t="s">
        <v>5757</v>
      </c>
      <c r="AD540" s="249" t="str">
        <f>HYPERLINK("https://scontent.cdninstagram.com/t51.2885-15/s320x320/e35/20766313_327391147686438_5358784614515081216_n.jpg")</f>
        <v>https://scontent.cdninstagram.com/t51.2885-15/s320x320/e35/20766313_327391147686438_5358784614515081216_n.jpg</v>
      </c>
      <c r="AE540" s="249" t="str">
        <f>HYPERLINK("https://scontent.cdninstagram.com/t51.2885-19/s150x150/20589974_1803577426323380_6250201202739380224_a.jpg")</f>
        <v>https://scontent.cdninstagram.com/t51.2885-19/s150x150/20589974_1803577426323380_6250201202739380224_a.jpg</v>
      </c>
    </row>
    <row r="541" spans="1:31" ht="15" x14ac:dyDescent="0.25">
      <c r="A541" t="s">
        <v>2474</v>
      </c>
      <c r="B541" t="s">
        <v>5758</v>
      </c>
      <c r="C541" s="221">
        <v>42961.058993055558</v>
      </c>
      <c r="D541" t="s">
        <v>5759</v>
      </c>
      <c r="E541" s="249" t="str">
        <f>HYPERLINK("https://www.instagram.com/p/BXwytXGj5ku/")</f>
        <v>https://www.instagram.com/p/BXwytXGj5ku/</v>
      </c>
      <c r="F541" t="s">
        <v>5760</v>
      </c>
      <c r="G541" t="s">
        <v>2478</v>
      </c>
      <c r="H541">
        <v>255</v>
      </c>
      <c r="I541" t="s">
        <v>2896</v>
      </c>
      <c r="J541">
        <v>0</v>
      </c>
      <c r="K541">
        <v>105</v>
      </c>
      <c r="L541">
        <v>105</v>
      </c>
      <c r="Q541">
        <v>0</v>
      </c>
      <c r="R541">
        <v>0</v>
      </c>
      <c r="S541">
        <v>105</v>
      </c>
      <c r="T541" t="s">
        <v>5761</v>
      </c>
      <c r="V541" t="s">
        <v>2161</v>
      </c>
      <c r="W541">
        <v>48.471177719663999</v>
      </c>
      <c r="X541">
        <v>8.2902765061206001</v>
      </c>
      <c r="Y541" t="s">
        <v>5762</v>
      </c>
      <c r="Z541" t="s">
        <v>5763</v>
      </c>
      <c r="AA541" t="s">
        <v>4884</v>
      </c>
      <c r="AB541" t="s">
        <v>5764</v>
      </c>
      <c r="AC541" t="s">
        <v>5765</v>
      </c>
      <c r="AD541" s="249" t="str">
        <f>HYPERLINK("https://scontent.cdninstagram.com/t51.2885-15/s320x320/e35/20759968_114355875893733_1998304934000328704_n.jpg")</f>
        <v>https://scontent.cdninstagram.com/t51.2885-15/s320x320/e35/20759968_114355875893733_1998304934000328704_n.jpg</v>
      </c>
      <c r="AE541" s="249" t="str">
        <f>HYPERLINK("https://scontent.cdninstagram.com/t51.2885-19/s150x150/20687992_643649339175616_6952278585830801408_a.jpg")</f>
        <v>https://scontent.cdninstagram.com/t51.2885-19/s150x150/20687992_643649339175616_6952278585830801408_a.jpg</v>
      </c>
    </row>
    <row r="542" spans="1:31" ht="15" x14ac:dyDescent="0.25">
      <c r="A542" t="s">
        <v>2474</v>
      </c>
      <c r="B542" t="s">
        <v>5766</v>
      </c>
      <c r="C542" s="221">
        <v>42961.059513888889</v>
      </c>
      <c r="D542" t="s">
        <v>5767</v>
      </c>
      <c r="E542" s="249" t="str">
        <f>HYPERLINK("https://www.instagram.com/p/BXwyyxGgG_4/")</f>
        <v>https://www.instagram.com/p/BXwyyxGgG_4/</v>
      </c>
      <c r="F542" t="s">
        <v>5768</v>
      </c>
      <c r="G542" t="s">
        <v>2478</v>
      </c>
      <c r="H542">
        <v>137</v>
      </c>
      <c r="I542" t="s">
        <v>2479</v>
      </c>
      <c r="J542">
        <v>1</v>
      </c>
      <c r="K542">
        <v>35</v>
      </c>
      <c r="L542">
        <v>36</v>
      </c>
      <c r="Q542">
        <v>0</v>
      </c>
      <c r="R542">
        <v>0</v>
      </c>
      <c r="S542">
        <v>36</v>
      </c>
      <c r="Y542" t="s">
        <v>5769</v>
      </c>
      <c r="Z542" t="s">
        <v>5770</v>
      </c>
      <c r="AA542" t="s">
        <v>5771</v>
      </c>
      <c r="AB542" t="s">
        <v>2641</v>
      </c>
      <c r="AC542" t="s">
        <v>5772</v>
      </c>
      <c r="AD542" s="249" t="str">
        <f>HYPERLINK("https://scontent.cdninstagram.com/t51.2885-15/s320x320/e35/20836923_1945053345711751_4823258156127748096_n.jpg")</f>
        <v>https://scontent.cdninstagram.com/t51.2885-15/s320x320/e35/20836923_1945053345711751_4823258156127748096_n.jpg</v>
      </c>
      <c r="AE542" s="249" t="str">
        <f>HYPERLINK("https://scontent.cdninstagram.com/t51.2885-19/s150x150/18879663_1692879440726703_2212180471251468288_a.jpg")</f>
        <v>https://scontent.cdninstagram.com/t51.2885-19/s150x150/18879663_1692879440726703_2212180471251468288_a.jpg</v>
      </c>
    </row>
    <row r="543" spans="1:31" ht="15" x14ac:dyDescent="0.25">
      <c r="A543" t="s">
        <v>2474</v>
      </c>
      <c r="B543" t="s">
        <v>5773</v>
      </c>
      <c r="C543" s="221">
        <v>42961.059965277775</v>
      </c>
      <c r="D543" t="s">
        <v>5774</v>
      </c>
      <c r="E543" s="249" t="str">
        <f>HYPERLINK("https://www.instagram.com/p/BXwy3oTltQl/")</f>
        <v>https://www.instagram.com/p/BXwy3oTltQl/</v>
      </c>
      <c r="F543" t="s">
        <v>5775</v>
      </c>
      <c r="G543" t="s">
        <v>2478</v>
      </c>
      <c r="H543">
        <v>835</v>
      </c>
      <c r="I543" t="s">
        <v>2479</v>
      </c>
      <c r="J543">
        <v>2</v>
      </c>
      <c r="K543">
        <v>58</v>
      </c>
      <c r="L543">
        <v>60</v>
      </c>
      <c r="Q543">
        <v>0</v>
      </c>
      <c r="R543">
        <v>0</v>
      </c>
      <c r="S543">
        <v>60</v>
      </c>
      <c r="Y543" t="s">
        <v>4519</v>
      </c>
      <c r="Z543" t="s">
        <v>5776</v>
      </c>
      <c r="AA543" t="s">
        <v>5777</v>
      </c>
      <c r="AB543" t="s">
        <v>2968</v>
      </c>
      <c r="AC543" t="s">
        <v>5778</v>
      </c>
      <c r="AD543" s="249" t="str">
        <f>HYPERLINK("https://scontent.cdninstagram.com/t51.2885-15/s320x320/e35/c33.0.625.625/20836958_103243940402541_371359670029254656_n.jpg")</f>
        <v>https://scontent.cdninstagram.com/t51.2885-15/s320x320/e35/c33.0.625.625/20836958_103243940402541_371359670029254656_n.jpg</v>
      </c>
      <c r="AE543" s="249" t="str">
        <f>HYPERLINK("https://scontent.cdninstagram.com/t51.2885-19/10838625_357924367702733_1358700153_a.jpg")</f>
        <v>https://scontent.cdninstagram.com/t51.2885-19/10838625_357924367702733_1358700153_a.jpg</v>
      </c>
    </row>
    <row r="544" spans="1:31" ht="15" x14ac:dyDescent="0.25">
      <c r="A544" t="s">
        <v>2474</v>
      </c>
      <c r="B544" t="s">
        <v>5773</v>
      </c>
      <c r="C544" s="221">
        <v>42961.062337962961</v>
      </c>
      <c r="D544" t="s">
        <v>5779</v>
      </c>
      <c r="E544" s="249" t="str">
        <f>HYPERLINK("https://www.instagram.com/p/BXwzQp0lE9e/")</f>
        <v>https://www.instagram.com/p/BXwzQp0lE9e/</v>
      </c>
      <c r="F544" t="s">
        <v>5780</v>
      </c>
      <c r="G544" t="s">
        <v>2478</v>
      </c>
      <c r="H544">
        <v>835</v>
      </c>
      <c r="I544" t="s">
        <v>2479</v>
      </c>
      <c r="J544">
        <v>0</v>
      </c>
      <c r="K544">
        <v>51</v>
      </c>
      <c r="L544">
        <v>51</v>
      </c>
      <c r="Q544">
        <v>0</v>
      </c>
      <c r="R544">
        <v>0</v>
      </c>
      <c r="S544">
        <v>51</v>
      </c>
      <c r="Y544" t="s">
        <v>4519</v>
      </c>
      <c r="Z544" t="s">
        <v>5776</v>
      </c>
      <c r="AA544" t="s">
        <v>5777</v>
      </c>
      <c r="AB544" t="s">
        <v>5781</v>
      </c>
      <c r="AC544" t="s">
        <v>2968</v>
      </c>
      <c r="AD544" s="249" t="str">
        <f>HYPERLINK("https://scontent.cdninstagram.com/t51.2885-15/s320x320/e35/20836902_1646617118746359_3998549488116432896_n.jpg")</f>
        <v>https://scontent.cdninstagram.com/t51.2885-15/s320x320/e35/20836902_1646617118746359_3998549488116432896_n.jpg</v>
      </c>
      <c r="AE544" s="249" t="str">
        <f>HYPERLINK("https://scontent.cdninstagram.com/t51.2885-19/10838625_357924367702733_1358700153_a.jpg")</f>
        <v>https://scontent.cdninstagram.com/t51.2885-19/10838625_357924367702733_1358700153_a.jpg</v>
      </c>
    </row>
    <row r="545" spans="1:31" ht="15" x14ac:dyDescent="0.25">
      <c r="A545" t="s">
        <v>2474</v>
      </c>
      <c r="B545" t="s">
        <v>5782</v>
      </c>
      <c r="C545" s="221">
        <v>42961.067395833335</v>
      </c>
      <c r="D545" t="s">
        <v>5783</v>
      </c>
      <c r="E545" s="249" t="str">
        <f>HYPERLINK("https://www.instagram.com/p/BXw0F7lhkIr/")</f>
        <v>https://www.instagram.com/p/BXw0F7lhkIr/</v>
      </c>
      <c r="F545" t="s">
        <v>5784</v>
      </c>
      <c r="G545" t="s">
        <v>2478</v>
      </c>
      <c r="H545">
        <v>285</v>
      </c>
      <c r="I545" t="s">
        <v>2599</v>
      </c>
      <c r="J545">
        <v>0</v>
      </c>
      <c r="K545">
        <v>16</v>
      </c>
      <c r="L545">
        <v>16</v>
      </c>
      <c r="Q545">
        <v>0</v>
      </c>
      <c r="R545">
        <v>0</v>
      </c>
      <c r="S545">
        <v>16</v>
      </c>
      <c r="Y545" t="s">
        <v>2497</v>
      </c>
      <c r="AD545" s="249" t="str">
        <f>HYPERLINK("https://scontent.cdninstagram.com/t51.2885-15/s320x320/e35/c159.0.762.762/20759066_1862530200438642_7826268962726871040_n.jpg")</f>
        <v>https://scontent.cdninstagram.com/t51.2885-15/s320x320/e35/c159.0.762.762/20759066_1862530200438642_7826268962726871040_n.jpg</v>
      </c>
      <c r="AE545" s="249" t="str">
        <f>HYPERLINK("https://scontent.cdninstagram.com/t51.2885-19/s150x150/19624844_1247618962014051_1616792717197574144_a.jpg")</f>
        <v>https://scontent.cdninstagram.com/t51.2885-19/s150x150/19624844_1247618962014051_1616792717197574144_a.jpg</v>
      </c>
    </row>
    <row r="546" spans="1:31" ht="15" x14ac:dyDescent="0.25">
      <c r="A546" t="s">
        <v>2474</v>
      </c>
      <c r="B546" t="s">
        <v>2516</v>
      </c>
      <c r="C546" s="221">
        <v>42961.067685185182</v>
      </c>
      <c r="D546" t="s">
        <v>5785</v>
      </c>
      <c r="E546" s="249" t="str">
        <f>HYPERLINK("https://www.instagram.com/p/BXw0JASDEQ2/")</f>
        <v>https://www.instagram.com/p/BXw0JASDEQ2/</v>
      </c>
      <c r="F546" t="s">
        <v>5786</v>
      </c>
      <c r="G546" t="s">
        <v>2478</v>
      </c>
      <c r="H546">
        <v>702</v>
      </c>
      <c r="I546" t="s">
        <v>2479</v>
      </c>
      <c r="J546">
        <v>1</v>
      </c>
      <c r="K546">
        <v>29</v>
      </c>
      <c r="L546">
        <v>30</v>
      </c>
      <c r="Q546">
        <v>0</v>
      </c>
      <c r="R546">
        <v>0</v>
      </c>
      <c r="S546">
        <v>30</v>
      </c>
      <c r="Y546" t="s">
        <v>2778</v>
      </c>
      <c r="Z546" t="s">
        <v>5787</v>
      </c>
      <c r="AA546" t="s">
        <v>2696</v>
      </c>
      <c r="AB546" t="s">
        <v>5788</v>
      </c>
      <c r="AC546" t="s">
        <v>2524</v>
      </c>
      <c r="AD546" s="249" t="str">
        <f>HYPERLINK("https://scontent.cdninstagram.com/t51.2885-15/s150x150/e35/c104.0.291.291/20766682_137460183522375_4193875920609607680_n.jpg")</f>
        <v>https://scontent.cdninstagram.com/t51.2885-15/s150x150/e35/c104.0.291.291/20766682_137460183522375_4193875920609607680_n.jpg</v>
      </c>
      <c r="AE546" s="249" t="str">
        <f>HYPERLINK("https://scontent.cdninstagram.com/t51.2885-19/s150x150/19955124_1311741785589715_3896736407896457216_a.jpg")</f>
        <v>https://scontent.cdninstagram.com/t51.2885-19/s150x150/19955124_1311741785589715_3896736407896457216_a.jpg</v>
      </c>
    </row>
    <row r="547" spans="1:31" ht="15" x14ac:dyDescent="0.25">
      <c r="A547" t="s">
        <v>2474</v>
      </c>
      <c r="B547" t="s">
        <v>2507</v>
      </c>
      <c r="C547" s="221">
        <v>42961.067858796298</v>
      </c>
      <c r="D547" t="s">
        <v>5789</v>
      </c>
      <c r="E547" s="249" t="str">
        <f>HYPERLINK("https://www.instagram.com/p/BXw0KxPBbxE/")</f>
        <v>https://www.instagram.com/p/BXw0KxPBbxE/</v>
      </c>
      <c r="F547" t="s">
        <v>5790</v>
      </c>
      <c r="G547" t="s">
        <v>2478</v>
      </c>
      <c r="H547">
        <v>261</v>
      </c>
      <c r="I547" t="s">
        <v>2479</v>
      </c>
      <c r="J547">
        <v>2</v>
      </c>
      <c r="K547">
        <v>48</v>
      </c>
      <c r="L547">
        <v>50</v>
      </c>
      <c r="Q547">
        <v>0</v>
      </c>
      <c r="R547">
        <v>0</v>
      </c>
      <c r="S547">
        <v>50</v>
      </c>
      <c r="Y547" t="s">
        <v>2511</v>
      </c>
      <c r="Z547" t="s">
        <v>2512</v>
      </c>
      <c r="AA547" t="s">
        <v>5791</v>
      </c>
      <c r="AB547" t="s">
        <v>3731</v>
      </c>
      <c r="AC547" t="s">
        <v>5792</v>
      </c>
      <c r="AD547" s="249" t="str">
        <f>HYPERLINK("https://scontent.cdninstagram.com/t51.2885-15/s320x320/e35/20759897_111086566258339_9168176634744799232_n.jpg")</f>
        <v>https://scontent.cdninstagram.com/t51.2885-15/s320x320/e35/20759897_111086566258339_9168176634744799232_n.jpg</v>
      </c>
      <c r="AE547" s="249" t="str">
        <f>HYPERLINK("https://scontent.cdninstagram.com/t51.2885-19/s150x150/20688656_891409331008012_775389051745206272_a.jpg")</f>
        <v>https://scontent.cdninstagram.com/t51.2885-19/s150x150/20688656_891409331008012_775389051745206272_a.jpg</v>
      </c>
    </row>
    <row r="548" spans="1:31" ht="15" x14ac:dyDescent="0.25">
      <c r="A548" t="s">
        <v>2474</v>
      </c>
      <c r="B548" t="s">
        <v>2644</v>
      </c>
      <c r="C548" s="221">
        <v>42961.069872685184</v>
      </c>
      <c r="D548" t="s">
        <v>5793</v>
      </c>
      <c r="E548" s="249" t="str">
        <f>HYPERLINK("https://www.instagram.com/p/BXw0gH0A13t/")</f>
        <v>https://www.instagram.com/p/BXw0gH0A13t/</v>
      </c>
      <c r="F548" t="s">
        <v>5794</v>
      </c>
      <c r="G548" t="s">
        <v>2478</v>
      </c>
      <c r="H548">
        <v>1741</v>
      </c>
      <c r="I548" t="s">
        <v>2479</v>
      </c>
      <c r="J548">
        <v>0</v>
      </c>
      <c r="K548">
        <v>87</v>
      </c>
      <c r="L548">
        <v>87</v>
      </c>
      <c r="Q548">
        <v>0</v>
      </c>
      <c r="R548">
        <v>0</v>
      </c>
      <c r="S548">
        <v>87</v>
      </c>
      <c r="T548" t="s">
        <v>5795</v>
      </c>
      <c r="W548">
        <v>50.426172350000002</v>
      </c>
      <c r="X548">
        <v>30.603291800000001</v>
      </c>
      <c r="Y548" t="s">
        <v>5796</v>
      </c>
      <c r="Z548" t="s">
        <v>3635</v>
      </c>
      <c r="AA548" t="s">
        <v>3915</v>
      </c>
      <c r="AB548" t="s">
        <v>4878</v>
      </c>
      <c r="AC548" t="s">
        <v>5797</v>
      </c>
      <c r="AD548" s="249" t="str">
        <f>HYPERLINK("https://scontent.cdninstagram.com/t51.2885-15/s320x320/e35/20766767_110540712946880_8439826867984269312_n.jpg")</f>
        <v>https://scontent.cdninstagram.com/t51.2885-15/s320x320/e35/20766767_110540712946880_8439826867984269312_n.jpg</v>
      </c>
      <c r="AE548" s="249" t="str">
        <f>HYPERLINK("https://scontent.cdninstagram.com/t51.2885-19/11372086_1598451257062069_1320225693_a.jpg")</f>
        <v>https://scontent.cdninstagram.com/t51.2885-19/11372086_1598451257062069_1320225693_a.jpg</v>
      </c>
    </row>
    <row r="549" spans="1:31" ht="15" x14ac:dyDescent="0.25">
      <c r="A549" t="s">
        <v>2474</v>
      </c>
      <c r="B549" t="s">
        <v>5798</v>
      </c>
      <c r="C549" s="221">
        <v>42961.075300925928</v>
      </c>
      <c r="D549" t="s">
        <v>5799</v>
      </c>
      <c r="E549" s="249" t="str">
        <f>HYPERLINK("https://www.instagram.com/p/BXw1ZXbjxH3/")</f>
        <v>https://www.instagram.com/p/BXw1ZXbjxH3/</v>
      </c>
      <c r="F549" t="s">
        <v>5800</v>
      </c>
      <c r="G549" t="s">
        <v>2478</v>
      </c>
      <c r="H549">
        <v>85</v>
      </c>
      <c r="I549" t="s">
        <v>2479</v>
      </c>
      <c r="J549">
        <v>2</v>
      </c>
      <c r="K549">
        <v>16</v>
      </c>
      <c r="L549">
        <v>18</v>
      </c>
      <c r="Q549">
        <v>0</v>
      </c>
      <c r="R549">
        <v>0</v>
      </c>
      <c r="S549">
        <v>18</v>
      </c>
      <c r="T549" t="s">
        <v>5801</v>
      </c>
      <c r="V549" t="s">
        <v>2193</v>
      </c>
      <c r="W549">
        <v>56.954581896386003</v>
      </c>
      <c r="X549">
        <v>24.128175534602999</v>
      </c>
      <c r="Y549" t="s">
        <v>5802</v>
      </c>
      <c r="Z549" t="s">
        <v>2904</v>
      </c>
      <c r="AA549" t="s">
        <v>2497</v>
      </c>
      <c r="AB549" t="s">
        <v>5803</v>
      </c>
      <c r="AC549" t="s">
        <v>5804</v>
      </c>
      <c r="AD549" s="249" t="str">
        <f>HYPERLINK("https://scontent.cdninstagram.com/t51.2885-15/s320x320/e35/20838292_139838053283399_106127477948022784_n.jpg")</f>
        <v>https://scontent.cdninstagram.com/t51.2885-15/s320x320/e35/20838292_139838053283399_106127477948022784_n.jpg</v>
      </c>
      <c r="AE549" s="249" t="str">
        <f>HYPERLINK("https://scontent.cdninstagram.com/t51.2885-19/s150x150/13392626_853566914770975_1769035689_a.jpg")</f>
        <v>https://scontent.cdninstagram.com/t51.2885-19/s150x150/13392626_853566914770975_1769035689_a.jpg</v>
      </c>
    </row>
    <row r="550" spans="1:31" ht="15" x14ac:dyDescent="0.25">
      <c r="A550" t="s">
        <v>2474</v>
      </c>
      <c r="B550" t="s">
        <v>5805</v>
      </c>
      <c r="C550" s="221">
        <v>42961.078101851854</v>
      </c>
      <c r="D550" t="s">
        <v>5806</v>
      </c>
      <c r="E550" s="249" t="str">
        <f>HYPERLINK("https://www.instagram.com/p/BXw122xldXd/")</f>
        <v>https://www.instagram.com/p/BXw122xldXd/</v>
      </c>
      <c r="F550" t="s">
        <v>5807</v>
      </c>
      <c r="G550" t="s">
        <v>2478</v>
      </c>
      <c r="H550">
        <v>828</v>
      </c>
      <c r="I550" t="s">
        <v>3898</v>
      </c>
      <c r="J550">
        <v>1</v>
      </c>
      <c r="K550">
        <v>5</v>
      </c>
      <c r="L550">
        <v>6</v>
      </c>
      <c r="Q550">
        <v>0</v>
      </c>
      <c r="R550">
        <v>0</v>
      </c>
      <c r="S550">
        <v>6</v>
      </c>
      <c r="Y550" t="s">
        <v>2497</v>
      </c>
      <c r="Z550" t="s">
        <v>5808</v>
      </c>
      <c r="AA550" t="s">
        <v>5809</v>
      </c>
      <c r="AB550" t="s">
        <v>5810</v>
      </c>
      <c r="AC550" t="s">
        <v>5811</v>
      </c>
      <c r="AD550" s="249" t="str">
        <f>HYPERLINK("https://scontent.cdninstagram.com/t51.2885-15/s320x320/e35/20837309_1251550558288563_4441645699083272192_n.jpg")</f>
        <v>https://scontent.cdninstagram.com/t51.2885-15/s320x320/e35/20837309_1251550558288563_4441645699083272192_n.jpg</v>
      </c>
      <c r="AE550" s="249" t="str">
        <f>HYPERLINK("https://scontent.cdninstagram.com/t51.2885-19/s150x150/20398586_107168813303134_181501203350290432_a.jpg")</f>
        <v>https://scontent.cdninstagram.com/t51.2885-19/s150x150/20398586_107168813303134_181501203350290432_a.jpg</v>
      </c>
    </row>
    <row r="551" spans="1:31" ht="15" x14ac:dyDescent="0.25">
      <c r="A551" t="s">
        <v>2474</v>
      </c>
      <c r="B551" t="s">
        <v>5812</v>
      </c>
      <c r="C551" s="221">
        <v>42961.079074074078</v>
      </c>
      <c r="D551" t="s">
        <v>5813</v>
      </c>
      <c r="E551" s="249" t="str">
        <f>HYPERLINK("https://www.instagram.com/p/BXw2BGUBZBj/")</f>
        <v>https://www.instagram.com/p/BXw2BGUBZBj/</v>
      </c>
      <c r="F551" t="s">
        <v>5814</v>
      </c>
      <c r="G551" t="s">
        <v>2488</v>
      </c>
      <c r="H551">
        <v>127</v>
      </c>
      <c r="I551" t="s">
        <v>2479</v>
      </c>
      <c r="J551">
        <v>2</v>
      </c>
      <c r="K551">
        <v>49</v>
      </c>
      <c r="L551">
        <v>51</v>
      </c>
      <c r="Q551">
        <v>0</v>
      </c>
      <c r="R551">
        <v>0</v>
      </c>
      <c r="S551">
        <v>51</v>
      </c>
      <c r="Y551" t="s">
        <v>5815</v>
      </c>
      <c r="Z551" t="s">
        <v>5816</v>
      </c>
      <c r="AA551" t="s">
        <v>5817</v>
      </c>
      <c r="AB551" t="s">
        <v>5818</v>
      </c>
      <c r="AC551" t="s">
        <v>5819</v>
      </c>
      <c r="AD551" s="249" t="str">
        <f>HYPERLINK("https://scontent.cdninstagram.com/t51.2885-15/s320x320/e35/c0.0.1079.1079/20759949_320843815047606_4376904294071271424_n.jpg")</f>
        <v>https://scontent.cdninstagram.com/t51.2885-15/s320x320/e35/c0.0.1079.1079/20759949_320843815047606_4376904294071271424_n.jpg</v>
      </c>
      <c r="AE551" s="249" t="str">
        <f>HYPERLINK("https://scontent.cdninstagram.com/t51.2885-19/s150x150/20688107_695741393949287_5560649799708966912_a.jpg")</f>
        <v>https://scontent.cdninstagram.com/t51.2885-19/s150x150/20688107_695741393949287_5560649799708966912_a.jpg</v>
      </c>
    </row>
    <row r="552" spans="1:31" ht="15" x14ac:dyDescent="0.25">
      <c r="A552" t="s">
        <v>2474</v>
      </c>
      <c r="B552" t="s">
        <v>2507</v>
      </c>
      <c r="C552" s="221">
        <v>42961.082881944443</v>
      </c>
      <c r="D552" t="s">
        <v>5820</v>
      </c>
      <c r="E552" s="249" t="str">
        <f>HYPERLINK("https://www.instagram.com/p/BXw2pRvB5Rc/")</f>
        <v>https://www.instagram.com/p/BXw2pRvB5Rc/</v>
      </c>
      <c r="F552" t="s">
        <v>5821</v>
      </c>
      <c r="G552" t="s">
        <v>2631</v>
      </c>
      <c r="H552">
        <v>260</v>
      </c>
      <c r="I552" t="s">
        <v>2927</v>
      </c>
      <c r="J552">
        <v>3</v>
      </c>
      <c r="K552">
        <v>37</v>
      </c>
      <c r="L552">
        <v>40</v>
      </c>
      <c r="Q552">
        <v>0</v>
      </c>
      <c r="R552">
        <v>0</v>
      </c>
      <c r="S552">
        <v>40</v>
      </c>
      <c r="Y552" t="s">
        <v>2511</v>
      </c>
      <c r="Z552" t="s">
        <v>5822</v>
      </c>
      <c r="AA552" t="s">
        <v>4180</v>
      </c>
      <c r="AB552" t="s">
        <v>2512</v>
      </c>
      <c r="AC552" t="s">
        <v>5823</v>
      </c>
      <c r="AD552" s="249" t="str">
        <f>HYPERLINK("https://scontent.cdninstagram.com/t51.2885-15/s320x320/e15/20766568_110888646261332_6476786767990095872_n.jpg")</f>
        <v>https://scontent.cdninstagram.com/t51.2885-15/s320x320/e15/20766568_110888646261332_6476786767990095872_n.jpg</v>
      </c>
      <c r="AE552" s="249" t="str">
        <f>HYPERLINK("https://scontent.cdninstagram.com/t51.2885-19/s150x150/20688656_891409331008012_775389051745206272_a.jpg")</f>
        <v>https://scontent.cdninstagram.com/t51.2885-19/s150x150/20688656_891409331008012_775389051745206272_a.jpg</v>
      </c>
    </row>
    <row r="553" spans="1:31" ht="15" x14ac:dyDescent="0.25">
      <c r="A553" t="s">
        <v>2474</v>
      </c>
      <c r="B553" t="s">
        <v>5824</v>
      </c>
      <c r="C553" s="221">
        <v>42961.083414351851</v>
      </c>
      <c r="D553" t="s">
        <v>5825</v>
      </c>
      <c r="E553" s="249" t="str">
        <f>HYPERLINK("https://www.instagram.com/p/BXw2u22n3-h/")</f>
        <v>https://www.instagram.com/p/BXw2u22n3-h/</v>
      </c>
      <c r="F553" t="s">
        <v>5826</v>
      </c>
      <c r="G553" t="s">
        <v>2478</v>
      </c>
      <c r="H553">
        <v>59</v>
      </c>
      <c r="I553" t="s">
        <v>2599</v>
      </c>
      <c r="J553">
        <v>2</v>
      </c>
      <c r="K553">
        <v>35</v>
      </c>
      <c r="L553">
        <v>37</v>
      </c>
      <c r="Q553">
        <v>0</v>
      </c>
      <c r="R553">
        <v>0</v>
      </c>
      <c r="S553">
        <v>37</v>
      </c>
      <c r="Y553" t="s">
        <v>5827</v>
      </c>
      <c r="Z553" t="s">
        <v>2734</v>
      </c>
      <c r="AA553" t="s">
        <v>5828</v>
      </c>
      <c r="AB553" t="s">
        <v>5829</v>
      </c>
      <c r="AC553" t="s">
        <v>5830</v>
      </c>
      <c r="AD553" s="249" t="str">
        <f>HYPERLINK("https://scontent.cdninstagram.com/t51.2885-15/s320x320/e35/20759202_1380218278736383_6662698812559065088_n.jpg")</f>
        <v>https://scontent.cdninstagram.com/t51.2885-15/s320x320/e35/20759202_1380218278736383_6662698812559065088_n.jpg</v>
      </c>
      <c r="AE553" s="249" t="str">
        <f>HYPERLINK("https://scontent.cdninstagram.com/t51.2885-19/s150x150/16110725_1279293188807009_22770211501375488_a.jpg")</f>
        <v>https://scontent.cdninstagram.com/t51.2885-19/s150x150/16110725_1279293188807009_22770211501375488_a.jpg</v>
      </c>
    </row>
    <row r="554" spans="1:31" ht="15" x14ac:dyDescent="0.25">
      <c r="A554" t="s">
        <v>2474</v>
      </c>
      <c r="B554" t="s">
        <v>5824</v>
      </c>
      <c r="C554" s="221">
        <v>42961.085729166669</v>
      </c>
      <c r="D554" t="s">
        <v>5831</v>
      </c>
      <c r="E554" s="249" t="str">
        <f>HYPERLINK("https://www.instagram.com/p/BXw3HUsnQ_v/")</f>
        <v>https://www.instagram.com/p/BXw3HUsnQ_v/</v>
      </c>
      <c r="F554" t="s">
        <v>5832</v>
      </c>
      <c r="G554" t="s">
        <v>2478</v>
      </c>
      <c r="H554">
        <v>59</v>
      </c>
      <c r="I554" t="s">
        <v>2479</v>
      </c>
      <c r="J554">
        <v>1</v>
      </c>
      <c r="K554">
        <v>54</v>
      </c>
      <c r="L554">
        <v>55</v>
      </c>
      <c r="Q554">
        <v>0</v>
      </c>
      <c r="R554">
        <v>0</v>
      </c>
      <c r="S554">
        <v>55</v>
      </c>
      <c r="Y554" t="s">
        <v>5827</v>
      </c>
      <c r="Z554" t="s">
        <v>2734</v>
      </c>
      <c r="AA554" t="s">
        <v>5828</v>
      </c>
      <c r="AB554" t="s">
        <v>5829</v>
      </c>
      <c r="AC554" t="s">
        <v>5830</v>
      </c>
      <c r="AD554" s="249" t="str">
        <f>HYPERLINK("https://scontent.cdninstagram.com/t51.2885-15/s320x320/e35/20766260_1701861063456348_3357425400421548032_n.jpg")</f>
        <v>https://scontent.cdninstagram.com/t51.2885-15/s320x320/e35/20766260_1701861063456348_3357425400421548032_n.jpg</v>
      </c>
      <c r="AE554" s="249" t="str">
        <f>HYPERLINK("https://scontent.cdninstagram.com/t51.2885-19/s150x150/16110725_1279293188807009_22770211501375488_a.jpg")</f>
        <v>https://scontent.cdninstagram.com/t51.2885-19/s150x150/16110725_1279293188807009_22770211501375488_a.jpg</v>
      </c>
    </row>
    <row r="555" spans="1:31" ht="15" x14ac:dyDescent="0.25">
      <c r="A555" t="s">
        <v>2474</v>
      </c>
      <c r="B555" t="s">
        <v>5833</v>
      </c>
      <c r="C555" s="221">
        <v>42961.088750000003</v>
      </c>
      <c r="D555" t="s">
        <v>5834</v>
      </c>
      <c r="E555" s="249" t="str">
        <f>HYPERLINK("https://www.instagram.com/p/BXw3nMVFNP2/")</f>
        <v>https://www.instagram.com/p/BXw3nMVFNP2/</v>
      </c>
      <c r="F555" t="s">
        <v>5835</v>
      </c>
      <c r="G555" t="s">
        <v>2478</v>
      </c>
      <c r="H555">
        <v>212</v>
      </c>
      <c r="I555" t="s">
        <v>2479</v>
      </c>
      <c r="J555">
        <v>0</v>
      </c>
      <c r="K555">
        <v>13</v>
      </c>
      <c r="L555">
        <v>13</v>
      </c>
      <c r="Q555">
        <v>0</v>
      </c>
      <c r="R555">
        <v>0</v>
      </c>
      <c r="S555">
        <v>13</v>
      </c>
      <c r="Y555" t="s">
        <v>5836</v>
      </c>
      <c r="Z555" t="s">
        <v>5837</v>
      </c>
      <c r="AA555" t="s">
        <v>2827</v>
      </c>
      <c r="AB555" t="s">
        <v>2497</v>
      </c>
      <c r="AC555" t="s">
        <v>5838</v>
      </c>
      <c r="AD555" s="249" t="str">
        <f>HYPERLINK("https://scontent.cdninstagram.com/t51.2885-15/s320x320/e35/20766543_161775777720409_4522231229860282368_n.jpg")</f>
        <v>https://scontent.cdninstagram.com/t51.2885-15/s320x320/e35/20766543_161775777720409_4522231229860282368_n.jpg</v>
      </c>
      <c r="AE555" s="249" t="str">
        <f>HYPERLINK("https://scontent.cdninstagram.com/t51.2885-19/s150x150/19955624_1916540728605078_7881951130660372480_a.jpg")</f>
        <v>https://scontent.cdninstagram.com/t51.2885-19/s150x150/19955624_1916540728605078_7881951130660372480_a.jpg</v>
      </c>
    </row>
    <row r="556" spans="1:31" ht="15" x14ac:dyDescent="0.25">
      <c r="A556" t="s">
        <v>2474</v>
      </c>
      <c r="B556" t="s">
        <v>3471</v>
      </c>
      <c r="C556" s="221">
        <v>42961.090069444443</v>
      </c>
      <c r="D556" t="s">
        <v>5839</v>
      </c>
      <c r="E556" s="249" t="str">
        <f>HYPERLINK("https://www.instagram.com/p/BXw31GVDlug/")</f>
        <v>https://www.instagram.com/p/BXw31GVDlug/</v>
      </c>
      <c r="F556" t="s">
        <v>5840</v>
      </c>
      <c r="G556" t="s">
        <v>2478</v>
      </c>
      <c r="H556">
        <v>176</v>
      </c>
      <c r="I556" t="s">
        <v>2479</v>
      </c>
      <c r="J556">
        <v>1</v>
      </c>
      <c r="K556">
        <v>20</v>
      </c>
      <c r="L556">
        <v>21</v>
      </c>
      <c r="Q556">
        <v>0</v>
      </c>
      <c r="R556">
        <v>0</v>
      </c>
      <c r="S556">
        <v>21</v>
      </c>
      <c r="T556" t="s">
        <v>3474</v>
      </c>
      <c r="V556" t="s">
        <v>2258</v>
      </c>
      <c r="W556">
        <v>1.2930600000000001</v>
      </c>
      <c r="X556">
        <v>103.85599999999999</v>
      </c>
      <c r="Y556" t="s">
        <v>5841</v>
      </c>
      <c r="Z556" t="s">
        <v>5842</v>
      </c>
      <c r="AA556" t="s">
        <v>5843</v>
      </c>
      <c r="AB556" t="s">
        <v>5703</v>
      </c>
      <c r="AC556" t="s">
        <v>5705</v>
      </c>
      <c r="AD556" s="249" t="str">
        <f>HYPERLINK("https://scontent.cdninstagram.com/t51.2885-15/s320x320/e35/20759463_1458884610874320_2862902178765340672_n.jpg")</f>
        <v>https://scontent.cdninstagram.com/t51.2885-15/s320x320/e35/20759463_1458884610874320_2862902178765340672_n.jpg</v>
      </c>
      <c r="AE556" s="249" t="str">
        <f>HYPERLINK("https://scontent.cdninstagram.com/t51.2885-19/s150x150/19986209_741127056067001_1270489010199855104_a.jpg")</f>
        <v>https://scontent.cdninstagram.com/t51.2885-19/s150x150/19986209_741127056067001_1270489010199855104_a.jpg</v>
      </c>
    </row>
    <row r="557" spans="1:31" ht="15" x14ac:dyDescent="0.25">
      <c r="A557" t="s">
        <v>2474</v>
      </c>
      <c r="B557" t="s">
        <v>5844</v>
      </c>
      <c r="C557" s="221">
        <v>42961.096782407411</v>
      </c>
      <c r="D557" t="s">
        <v>5845</v>
      </c>
      <c r="E557" s="249" t="str">
        <f>HYPERLINK("https://www.instagram.com/p/BXw477IguxQ/")</f>
        <v>https://www.instagram.com/p/BXw477IguxQ/</v>
      </c>
      <c r="F557" t="s">
        <v>5846</v>
      </c>
      <c r="G557" t="s">
        <v>2478</v>
      </c>
      <c r="H557">
        <v>3768</v>
      </c>
      <c r="I557" t="s">
        <v>2479</v>
      </c>
      <c r="J557">
        <v>1</v>
      </c>
      <c r="K557">
        <v>40</v>
      </c>
      <c r="L557">
        <v>41</v>
      </c>
      <c r="Q557">
        <v>0</v>
      </c>
      <c r="R557">
        <v>0</v>
      </c>
      <c r="S557">
        <v>41</v>
      </c>
      <c r="Y557" t="s">
        <v>5847</v>
      </c>
      <c r="Z557" t="s">
        <v>5848</v>
      </c>
      <c r="AA557" t="s">
        <v>5849</v>
      </c>
      <c r="AB557" t="s">
        <v>4154</v>
      </c>
      <c r="AC557" t="s">
        <v>5850</v>
      </c>
      <c r="AD557" s="249" t="str">
        <f>HYPERLINK("https://scontent.cdninstagram.com/t51.2885-15/s320x320/e35/c0.93.744.744/20759498_156392761581515_1769624867818176512_n.jpg")</f>
        <v>https://scontent.cdninstagram.com/t51.2885-15/s320x320/e35/c0.93.744.744/20759498_156392761581515_1769624867818176512_n.jpg</v>
      </c>
      <c r="AE557" s="249" t="str">
        <f>HYPERLINK("https://scontent.cdninstagram.com/t51.2885-19/s150x150/20688216_143585379564351_5387967328153501696_n.jpg")</f>
        <v>https://scontent.cdninstagram.com/t51.2885-19/s150x150/20688216_143585379564351_5387967328153501696_n.jpg</v>
      </c>
    </row>
    <row r="558" spans="1:31" ht="15" x14ac:dyDescent="0.25">
      <c r="A558" t="s">
        <v>2474</v>
      </c>
      <c r="B558" t="s">
        <v>5851</v>
      </c>
      <c r="C558" s="221">
        <v>42961.100613425922</v>
      </c>
      <c r="D558" t="s">
        <v>5852</v>
      </c>
      <c r="E558" s="249" t="str">
        <f>HYPERLINK("https://www.instagram.com/p/BXw5kOkjuQF/")</f>
        <v>https://www.instagram.com/p/BXw5kOkjuQF/</v>
      </c>
      <c r="F558" t="s">
        <v>5853</v>
      </c>
      <c r="G558" t="s">
        <v>2478</v>
      </c>
      <c r="H558">
        <v>495</v>
      </c>
      <c r="I558" t="s">
        <v>2910</v>
      </c>
      <c r="J558">
        <v>2</v>
      </c>
      <c r="K558">
        <v>64</v>
      </c>
      <c r="L558">
        <v>66</v>
      </c>
      <c r="Q558">
        <v>0</v>
      </c>
      <c r="R558">
        <v>0</v>
      </c>
      <c r="S558">
        <v>66</v>
      </c>
      <c r="Y558" t="s">
        <v>5827</v>
      </c>
      <c r="Z558" t="s">
        <v>2734</v>
      </c>
      <c r="AA558" t="s">
        <v>5828</v>
      </c>
      <c r="AB558" t="s">
        <v>5829</v>
      </c>
      <c r="AC558" t="s">
        <v>5830</v>
      </c>
      <c r="AD558" s="249" t="str">
        <f>HYPERLINK("https://scontent.cdninstagram.com/t51.2885-15/s320x320/e35/c0.135.1080.1080/20836870_1281123108680784_4622895024076488704_n.jpg")</f>
        <v>https://scontent.cdninstagram.com/t51.2885-15/s320x320/e35/c0.135.1080.1080/20836870_1281123108680784_4622895024076488704_n.jpg</v>
      </c>
      <c r="AE558" s="249" t="str">
        <f>HYPERLINK("https://scontent.cdninstagram.com/t51.2885-19/s150x150/14240835_1611318152495015_307424759_a.jpg")</f>
        <v>https://scontent.cdninstagram.com/t51.2885-19/s150x150/14240835_1611318152495015_307424759_a.jpg</v>
      </c>
    </row>
    <row r="559" spans="1:31" ht="15" x14ac:dyDescent="0.25">
      <c r="A559" t="s">
        <v>2474</v>
      </c>
      <c r="B559" t="s">
        <v>5854</v>
      </c>
      <c r="C559" s="221">
        <v>42961.104131944441</v>
      </c>
      <c r="D559" t="s">
        <v>5855</v>
      </c>
      <c r="E559" s="249" t="str">
        <f>HYPERLINK("https://www.instagram.com/p/BXw6JWrg3nS/")</f>
        <v>https://www.instagram.com/p/BXw6JWrg3nS/</v>
      </c>
      <c r="F559" t="s">
        <v>5856</v>
      </c>
      <c r="G559" t="s">
        <v>2478</v>
      </c>
      <c r="H559">
        <v>3</v>
      </c>
      <c r="I559" t="s">
        <v>2479</v>
      </c>
      <c r="J559">
        <v>1</v>
      </c>
      <c r="K559">
        <v>12</v>
      </c>
      <c r="L559">
        <v>13</v>
      </c>
      <c r="Q559">
        <v>0</v>
      </c>
      <c r="R559">
        <v>0</v>
      </c>
      <c r="S559">
        <v>13</v>
      </c>
      <c r="Y559" t="s">
        <v>5857</v>
      </c>
      <c r="Z559" t="s">
        <v>5858</v>
      </c>
      <c r="AA559" t="s">
        <v>5859</v>
      </c>
      <c r="AB559" t="s">
        <v>5860</v>
      </c>
      <c r="AC559" t="s">
        <v>5861</v>
      </c>
      <c r="AD559" s="249" t="str">
        <f>HYPERLINK("https://scontent.cdninstagram.com/t51.2885-15/s320x320/e35/20759159_104594646933366_996191868733620224_n.jpg")</f>
        <v>https://scontent.cdninstagram.com/t51.2885-15/s320x320/e35/20759159_104594646933366_996191868733620224_n.jpg</v>
      </c>
      <c r="AE559" s="249" t="str">
        <f>HYPERLINK("https://scontent.cdninstagram.com/t51.2885-19/s150x150/20759261_468593946832159_1607965154949988352_a.jpg")</f>
        <v>https://scontent.cdninstagram.com/t51.2885-19/s150x150/20759261_468593946832159_1607965154949988352_a.jpg</v>
      </c>
    </row>
    <row r="560" spans="1:31" ht="15" x14ac:dyDescent="0.25">
      <c r="A560" t="s">
        <v>2474</v>
      </c>
      <c r="B560" t="s">
        <v>3644</v>
      </c>
      <c r="C560" s="221">
        <v>42961.105474537035</v>
      </c>
      <c r="D560" t="s">
        <v>5862</v>
      </c>
      <c r="E560" s="249" t="str">
        <f>HYPERLINK("https://www.instagram.com/p/BXw6XlOlGW4/")</f>
        <v>https://www.instagram.com/p/BXw6XlOlGW4/</v>
      </c>
      <c r="F560" t="s">
        <v>5863</v>
      </c>
      <c r="G560" t="s">
        <v>2631</v>
      </c>
      <c r="H560">
        <v>566</v>
      </c>
      <c r="I560" t="s">
        <v>2479</v>
      </c>
      <c r="J560">
        <v>2</v>
      </c>
      <c r="K560">
        <v>42</v>
      </c>
      <c r="L560">
        <v>44</v>
      </c>
      <c r="Q560">
        <v>0</v>
      </c>
      <c r="R560">
        <v>0</v>
      </c>
      <c r="S560">
        <v>44</v>
      </c>
      <c r="T560" t="s">
        <v>5864</v>
      </c>
      <c r="V560" t="s">
        <v>2141</v>
      </c>
      <c r="W560">
        <v>55.391785028820003</v>
      </c>
      <c r="X560">
        <v>10.381952565774</v>
      </c>
      <c r="Y560" t="s">
        <v>2911</v>
      </c>
      <c r="Z560" t="s">
        <v>3648</v>
      </c>
      <c r="AA560" t="s">
        <v>5865</v>
      </c>
      <c r="AB560" t="s">
        <v>5866</v>
      </c>
      <c r="AC560" t="s">
        <v>5867</v>
      </c>
      <c r="AD560" s="249" t="str">
        <f>HYPERLINK("https://scontent.cdninstagram.com/t51.2885-15/s320x320/e15/20766172_1022917237843983_8727557790979063808_n.jpg")</f>
        <v>https://scontent.cdninstagram.com/t51.2885-15/s320x320/e15/20766172_1022917237843983_8727557790979063808_n.jpg</v>
      </c>
      <c r="AE560" s="249" t="str">
        <f>HYPERLINK("https://scontent.cdninstagram.com/t51.2885-19/s150x150/14714495_1790450111234953_7147855754219749376_a.jpg")</f>
        <v>https://scontent.cdninstagram.com/t51.2885-19/s150x150/14714495_1790450111234953_7147855754219749376_a.jpg</v>
      </c>
    </row>
    <row r="561" spans="1:31" ht="15" x14ac:dyDescent="0.25">
      <c r="A561" t="s">
        <v>2474</v>
      </c>
      <c r="B561" t="s">
        <v>5868</v>
      </c>
      <c r="C561" s="221">
        <v>42961.106261574074</v>
      </c>
      <c r="D561" t="s">
        <v>5869</v>
      </c>
      <c r="E561" s="249" t="str">
        <f>HYPERLINK("https://www.instagram.com/p/BXw6f6nlLWQ/")</f>
        <v>https://www.instagram.com/p/BXw6f6nlLWQ/</v>
      </c>
      <c r="F561" t="s">
        <v>5870</v>
      </c>
      <c r="G561" t="s">
        <v>2478</v>
      </c>
      <c r="H561">
        <v>705</v>
      </c>
      <c r="I561" t="s">
        <v>2479</v>
      </c>
      <c r="J561">
        <v>0</v>
      </c>
      <c r="K561">
        <v>47</v>
      </c>
      <c r="L561">
        <v>47</v>
      </c>
      <c r="Q561">
        <v>0</v>
      </c>
      <c r="R561">
        <v>0</v>
      </c>
      <c r="S561">
        <v>47</v>
      </c>
      <c r="Y561" t="s">
        <v>5871</v>
      </c>
      <c r="Z561" t="s">
        <v>5872</v>
      </c>
      <c r="AA561" t="s">
        <v>5873</v>
      </c>
      <c r="AB561" t="s">
        <v>5874</v>
      </c>
      <c r="AC561" t="s">
        <v>5875</v>
      </c>
      <c r="AD561" s="249" t="str">
        <f>HYPERLINK("https://scontent.cdninstagram.com/t51.2885-15/s320x320/e35/20766332_843235725831525_216852142860795904_n.jpg")</f>
        <v>https://scontent.cdninstagram.com/t51.2885-15/s320x320/e35/20766332_843235725831525_216852142860795904_n.jpg</v>
      </c>
      <c r="AE561" s="249" t="str">
        <f>HYPERLINK("https://scontent.cdninstagram.com/t51.2885-19/s150x150/20582679_159923577888910_178878490160922624_a.jpg")</f>
        <v>https://scontent.cdninstagram.com/t51.2885-19/s150x150/20582679_159923577888910_178878490160922624_a.jpg</v>
      </c>
    </row>
    <row r="562" spans="1:31" ht="15" x14ac:dyDescent="0.25">
      <c r="A562" t="s">
        <v>2474</v>
      </c>
      <c r="B562" t="s">
        <v>5876</v>
      </c>
      <c r="C562" s="221">
        <v>42961.123645833337</v>
      </c>
      <c r="D562" t="s">
        <v>5877</v>
      </c>
      <c r="E562" s="249" t="str">
        <f>HYPERLINK("https://www.instagram.com/p/BXw9XLnjxFV/")</f>
        <v>https://www.instagram.com/p/BXw9XLnjxFV/</v>
      </c>
      <c r="F562" t="s">
        <v>5878</v>
      </c>
      <c r="G562" t="s">
        <v>2478</v>
      </c>
      <c r="H562">
        <v>814</v>
      </c>
      <c r="I562" t="s">
        <v>2479</v>
      </c>
      <c r="J562">
        <v>0</v>
      </c>
      <c r="K562">
        <v>51</v>
      </c>
      <c r="L562">
        <v>51</v>
      </c>
      <c r="Q562">
        <v>0</v>
      </c>
      <c r="R562">
        <v>0</v>
      </c>
      <c r="S562">
        <v>51</v>
      </c>
      <c r="T562" t="s">
        <v>5879</v>
      </c>
      <c r="V562" t="s">
        <v>2180</v>
      </c>
      <c r="W562">
        <v>53.347799999999999</v>
      </c>
      <c r="X562">
        <v>-6.2596999999999996</v>
      </c>
      <c r="Y562" t="s">
        <v>5880</v>
      </c>
      <c r="Z562" t="s">
        <v>5881</v>
      </c>
      <c r="AA562" t="s">
        <v>5882</v>
      </c>
      <c r="AB562" t="s">
        <v>5883</v>
      </c>
      <c r="AC562" t="s">
        <v>5884</v>
      </c>
      <c r="AD562" s="249" t="str">
        <f>HYPERLINK("https://scontent.cdninstagram.com/t51.2885-15/s320x320/e35/c1.0.1078.1078/20766289_135492390390762_3784680028244017152_n.jpg")</f>
        <v>https://scontent.cdninstagram.com/t51.2885-15/s320x320/e35/c1.0.1078.1078/20766289_135492390390762_3784680028244017152_n.jpg</v>
      </c>
      <c r="AE562" s="249" t="str">
        <f>HYPERLINK("https://scontent.cdninstagram.com/t51.2885-19/s150x150/18161135_111635326070562_6461956323226419200_a.jpg")</f>
        <v>https://scontent.cdninstagram.com/t51.2885-19/s150x150/18161135_111635326070562_6461956323226419200_a.jpg</v>
      </c>
    </row>
    <row r="563" spans="1:31" ht="15" x14ac:dyDescent="0.25">
      <c r="A563" t="s">
        <v>2474</v>
      </c>
      <c r="B563" t="s">
        <v>5885</v>
      </c>
      <c r="C563" s="221">
        <v>42961.124548611115</v>
      </c>
      <c r="D563" t="s">
        <v>5886</v>
      </c>
      <c r="E563" s="249" t="str">
        <f>HYPERLINK("https://www.instagram.com/p/BXw9gvnBOm5/")</f>
        <v>https://www.instagram.com/p/BXw9gvnBOm5/</v>
      </c>
      <c r="F563" t="s">
        <v>5887</v>
      </c>
      <c r="G563" t="s">
        <v>2478</v>
      </c>
      <c r="H563">
        <v>63</v>
      </c>
      <c r="I563" t="s">
        <v>3186</v>
      </c>
      <c r="J563">
        <v>0</v>
      </c>
      <c r="K563">
        <v>36</v>
      </c>
      <c r="L563">
        <v>36</v>
      </c>
      <c r="Q563">
        <v>0</v>
      </c>
      <c r="R563">
        <v>0</v>
      </c>
      <c r="S563">
        <v>36</v>
      </c>
      <c r="T563" t="s">
        <v>5888</v>
      </c>
      <c r="V563" t="s">
        <v>2230</v>
      </c>
      <c r="W563">
        <v>65.101342071925004</v>
      </c>
      <c r="X563">
        <v>13.343382472230999</v>
      </c>
      <c r="Y563" t="s">
        <v>5889</v>
      </c>
      <c r="Z563" t="s">
        <v>5890</v>
      </c>
      <c r="AA563" t="s">
        <v>5891</v>
      </c>
      <c r="AB563" t="s">
        <v>5892</v>
      </c>
      <c r="AC563" t="s">
        <v>5893</v>
      </c>
      <c r="AD563" s="249" t="str">
        <f>HYPERLINK("https://scontent.cdninstagram.com/t51.2885-15/s320x320/e35/20766635_1464330170288984_6816664289084964864_n.jpg")</f>
        <v>https://scontent.cdninstagram.com/t51.2885-15/s320x320/e35/20766635_1464330170288984_6816664289084964864_n.jpg</v>
      </c>
      <c r="AE563" s="249" t="str">
        <f>HYPERLINK("https://scontent.cdninstagram.com/t51.2885-19/s150x150/20482383_287373128401761_6733523914191798272_a.jpg")</f>
        <v>https://scontent.cdninstagram.com/t51.2885-19/s150x150/20482383_287373128401761_6733523914191798272_a.jpg</v>
      </c>
    </row>
    <row r="564" spans="1:31" ht="15" x14ac:dyDescent="0.25">
      <c r="A564" t="s">
        <v>2474</v>
      </c>
      <c r="B564" t="s">
        <v>2588</v>
      </c>
      <c r="C564" s="221">
        <v>42961.127592592595</v>
      </c>
      <c r="D564" t="s">
        <v>5894</v>
      </c>
      <c r="E564" s="249" t="str">
        <f>HYPERLINK("https://www.instagram.com/p/BXw-A0_Apff/")</f>
        <v>https://www.instagram.com/p/BXw-A0_Apff/</v>
      </c>
      <c r="F564" t="s">
        <v>5895</v>
      </c>
      <c r="G564" t="s">
        <v>2478</v>
      </c>
      <c r="H564">
        <v>270</v>
      </c>
      <c r="I564" t="s">
        <v>2479</v>
      </c>
      <c r="J564">
        <v>14</v>
      </c>
      <c r="K564">
        <v>52</v>
      </c>
      <c r="L564">
        <v>66</v>
      </c>
      <c r="Q564">
        <v>0</v>
      </c>
      <c r="R564">
        <v>0</v>
      </c>
      <c r="S564">
        <v>66</v>
      </c>
      <c r="AD564" s="249" t="str">
        <f>HYPERLINK("https://scontent.cdninstagram.com/t51.2885-15/s320x320/e35/20836962_1902566176675171_5800393078875357184_n.jpg")</f>
        <v>https://scontent.cdninstagram.com/t51.2885-15/s320x320/e35/20836962_1902566176675171_5800393078875357184_n.jpg</v>
      </c>
      <c r="AE564" s="249" t="str">
        <f>HYPERLINK("https://scontent.cdninstagram.com/t51.2885-19/s150x150/20633561_108840983138666_5897549723056734208_a.jpg")</f>
        <v>https://scontent.cdninstagram.com/t51.2885-19/s150x150/20633561_108840983138666_5897549723056734208_a.jpg</v>
      </c>
    </row>
    <row r="565" spans="1:31" ht="15" x14ac:dyDescent="0.25">
      <c r="A565" t="s">
        <v>2474</v>
      </c>
      <c r="B565" t="s">
        <v>5868</v>
      </c>
      <c r="C565" s="221">
        <v>42961.129270833335</v>
      </c>
      <c r="D565" t="s">
        <v>5896</v>
      </c>
      <c r="E565" s="249" t="str">
        <f>HYPERLINK("https://www.instagram.com/p/BXw-ShQlca8/")</f>
        <v>https://www.instagram.com/p/BXw-ShQlca8/</v>
      </c>
      <c r="F565" t="s">
        <v>5897</v>
      </c>
      <c r="G565" t="s">
        <v>2478</v>
      </c>
      <c r="H565">
        <v>710</v>
      </c>
      <c r="I565" t="s">
        <v>2479</v>
      </c>
      <c r="J565">
        <v>0</v>
      </c>
      <c r="K565">
        <v>56</v>
      </c>
      <c r="L565">
        <v>56</v>
      </c>
      <c r="Q565">
        <v>0</v>
      </c>
      <c r="R565">
        <v>0</v>
      </c>
      <c r="S565">
        <v>56</v>
      </c>
      <c r="Y565" t="s">
        <v>5871</v>
      </c>
      <c r="Z565" t="s">
        <v>5872</v>
      </c>
      <c r="AA565" t="s">
        <v>5873</v>
      </c>
      <c r="AB565" t="s">
        <v>5874</v>
      </c>
      <c r="AC565" t="s">
        <v>5875</v>
      </c>
      <c r="AD565" s="249" t="str">
        <f>HYPERLINK("https://scontent.cdninstagram.com/t51.2885-15/s320x320/e35/c0.135.1080.1080/20837450_875275552640289_5431895270109478912_n.jpg")</f>
        <v>https://scontent.cdninstagram.com/t51.2885-15/s320x320/e35/c0.135.1080.1080/20837450_875275552640289_5431895270109478912_n.jpg</v>
      </c>
      <c r="AE565" s="249" t="str">
        <f>HYPERLINK("https://scontent.cdninstagram.com/t51.2885-19/s150x150/20582679_159923577888910_178878490160922624_a.jpg")</f>
        <v>https://scontent.cdninstagram.com/t51.2885-19/s150x150/20582679_159923577888910_178878490160922624_a.jpg</v>
      </c>
    </row>
    <row r="566" spans="1:31" ht="15" x14ac:dyDescent="0.25">
      <c r="A566" t="s">
        <v>2474</v>
      </c>
      <c r="B566" t="s">
        <v>5898</v>
      </c>
      <c r="C566" s="221">
        <v>42961.132581018515</v>
      </c>
      <c r="D566" t="s">
        <v>5899</v>
      </c>
      <c r="E566" s="249" t="str">
        <f>HYPERLINK("https://www.instagram.com/p/BXw-1Y0F428/")</f>
        <v>https://www.instagram.com/p/BXw-1Y0F428/</v>
      </c>
      <c r="F566" t="s">
        <v>5900</v>
      </c>
      <c r="G566" t="s">
        <v>2478</v>
      </c>
      <c r="H566">
        <v>22</v>
      </c>
      <c r="I566" t="s">
        <v>2479</v>
      </c>
      <c r="J566">
        <v>0</v>
      </c>
      <c r="K566">
        <v>9</v>
      </c>
      <c r="L566">
        <v>9</v>
      </c>
      <c r="Q566">
        <v>0</v>
      </c>
      <c r="R566">
        <v>0</v>
      </c>
      <c r="S566">
        <v>9</v>
      </c>
      <c r="Y566" t="s">
        <v>5901</v>
      </c>
      <c r="Z566" t="s">
        <v>5902</v>
      </c>
      <c r="AA566" t="s">
        <v>5903</v>
      </c>
      <c r="AB566" t="s">
        <v>2497</v>
      </c>
      <c r="AD566" s="249" t="str">
        <f>HYPERLINK("https://scontent.cdninstagram.com/t51.2885-15/s320x320/e35/c98.0.804.804/20759883_1020241238115533_1103330437817696256_n.jpg")</f>
        <v>https://scontent.cdninstagram.com/t51.2885-15/s320x320/e35/c98.0.804.804/20759883_1020241238115533_1103330437817696256_n.jpg</v>
      </c>
      <c r="AE566" s="249" t="str">
        <f>HYPERLINK("https://scontent.cdninstagram.com/t51.2885-19/s150x150/17267523_1744450505867126_7463795214960820224_a.jpg")</f>
        <v>https://scontent.cdninstagram.com/t51.2885-19/s150x150/17267523_1744450505867126_7463795214960820224_a.jpg</v>
      </c>
    </row>
    <row r="567" spans="1:31" ht="15" x14ac:dyDescent="0.25">
      <c r="A567" t="s">
        <v>2474</v>
      </c>
      <c r="B567" t="s">
        <v>5904</v>
      </c>
      <c r="C567" s="221">
        <v>42961.135034722225</v>
      </c>
      <c r="D567" t="s">
        <v>5905</v>
      </c>
      <c r="E567" s="249" t="str">
        <f>HYPERLINK("https://www.instagram.com/p/BXw_PSHBG6I/")</f>
        <v>https://www.instagram.com/p/BXw_PSHBG6I/</v>
      </c>
      <c r="F567" t="s">
        <v>5906</v>
      </c>
      <c r="G567" t="s">
        <v>2478</v>
      </c>
      <c r="H567">
        <v>167</v>
      </c>
      <c r="I567" t="s">
        <v>3273</v>
      </c>
      <c r="J567">
        <v>4</v>
      </c>
      <c r="K567">
        <v>29</v>
      </c>
      <c r="L567">
        <v>33</v>
      </c>
      <c r="Q567">
        <v>0</v>
      </c>
      <c r="R567">
        <v>0</v>
      </c>
      <c r="S567">
        <v>33</v>
      </c>
      <c r="Y567" t="s">
        <v>5808</v>
      </c>
      <c r="Z567" t="s">
        <v>2497</v>
      </c>
      <c r="AA567" t="s">
        <v>5907</v>
      </c>
      <c r="AB567" t="s">
        <v>5908</v>
      </c>
      <c r="AC567" t="s">
        <v>5909</v>
      </c>
      <c r="AD567" s="249" t="str">
        <f>HYPERLINK("https://scontent.cdninstagram.com/t51.2885-15/s320x320/e35/c74.0.602.602/20759531_334973810281910_6755819652066050048_n.jpg")</f>
        <v>https://scontent.cdninstagram.com/t51.2885-15/s320x320/e35/c74.0.602.602/20759531_334973810281910_6755819652066050048_n.jpg</v>
      </c>
      <c r="AE567" s="249" t="str">
        <f>HYPERLINK("https://scontent.cdninstagram.com/t51.2885-19/s150x150/10005595_927309983982343_1471777471_a.jpg")</f>
        <v>https://scontent.cdninstagram.com/t51.2885-19/s150x150/10005595_927309983982343_1471777471_a.jpg</v>
      </c>
    </row>
    <row r="568" spans="1:31" ht="15" x14ac:dyDescent="0.25">
      <c r="A568" t="s">
        <v>2474</v>
      </c>
      <c r="B568" t="s">
        <v>5910</v>
      </c>
      <c r="C568" s="221">
        <v>42961.136805555558</v>
      </c>
      <c r="D568" t="s">
        <v>5911</v>
      </c>
      <c r="E568" s="249" t="str">
        <f>HYPERLINK("https://www.instagram.com/p/BXw_h8DhubR/")</f>
        <v>https://www.instagram.com/p/BXw_h8DhubR/</v>
      </c>
      <c r="F568" t="s">
        <v>5912</v>
      </c>
      <c r="G568" t="s">
        <v>2478</v>
      </c>
      <c r="H568">
        <v>744</v>
      </c>
      <c r="I568" t="s">
        <v>2479</v>
      </c>
      <c r="J568">
        <v>0</v>
      </c>
      <c r="K568">
        <v>31</v>
      </c>
      <c r="L568">
        <v>31</v>
      </c>
      <c r="Q568">
        <v>0</v>
      </c>
      <c r="R568">
        <v>0</v>
      </c>
      <c r="S568">
        <v>31</v>
      </c>
      <c r="Y568" t="s">
        <v>5913</v>
      </c>
      <c r="Z568" t="s">
        <v>5914</v>
      </c>
      <c r="AA568" t="s">
        <v>5915</v>
      </c>
      <c r="AB568" t="s">
        <v>2497</v>
      </c>
      <c r="AC568" t="s">
        <v>3655</v>
      </c>
      <c r="AD568" s="249" t="str">
        <f>HYPERLINK("https://scontent.cdninstagram.com/t51.2885-15/e35/20837422_257516964767420_6434045860505452544_n.jpg")</f>
        <v>https://scontent.cdninstagram.com/t51.2885-15/e35/20837422_257516964767420_6434045860505452544_n.jpg</v>
      </c>
      <c r="AE568" s="249" t="str">
        <f>HYPERLINK("https://scontent.cdninstagram.com/t51.2885-19/s150x150/18011504_255735681559781_2075410278547193856_a.jpg")</f>
        <v>https://scontent.cdninstagram.com/t51.2885-19/s150x150/18011504_255735681559781_2075410278547193856_a.jpg</v>
      </c>
    </row>
    <row r="569" spans="1:31" ht="15" x14ac:dyDescent="0.25">
      <c r="A569" t="s">
        <v>2474</v>
      </c>
      <c r="B569" t="s">
        <v>5916</v>
      </c>
      <c r="C569" s="221">
        <v>42961.137048611112</v>
      </c>
      <c r="D569" t="s">
        <v>5917</v>
      </c>
      <c r="E569" s="249" t="str">
        <f>HYPERLINK("https://www.instagram.com/p/BXw_knhHcTG/")</f>
        <v>https://www.instagram.com/p/BXw_knhHcTG/</v>
      </c>
      <c r="F569" t="s">
        <v>5918</v>
      </c>
      <c r="G569" t="s">
        <v>2478</v>
      </c>
      <c r="H569">
        <v>369</v>
      </c>
      <c r="I569" t="s">
        <v>2479</v>
      </c>
      <c r="J569">
        <v>0</v>
      </c>
      <c r="K569">
        <v>7</v>
      </c>
      <c r="L569">
        <v>7</v>
      </c>
      <c r="Q569">
        <v>0</v>
      </c>
      <c r="R569">
        <v>0</v>
      </c>
      <c r="S569">
        <v>7</v>
      </c>
      <c r="T569" t="s">
        <v>5919</v>
      </c>
      <c r="V569" t="s">
        <v>2110</v>
      </c>
      <c r="W569">
        <v>51.030180000000001</v>
      </c>
      <c r="X569">
        <v>4.4660900000000003</v>
      </c>
      <c r="Y569" t="s">
        <v>2497</v>
      </c>
      <c r="AD569" s="249" t="str">
        <f>HYPERLINK("https://scontent.cdninstagram.com/t51.2885-15/s320x320/e35/20838217_254555521720334_6958852063342100480_n.jpg")</f>
        <v>https://scontent.cdninstagram.com/t51.2885-15/s320x320/e35/20838217_254555521720334_6958852063342100480_n.jpg</v>
      </c>
      <c r="AE569" s="249" t="str">
        <f>HYPERLINK("https://scontent.cdninstagram.com/t51.2885-19/s150x150/18812926_138955100005273_2975198960622239744_a.jpg")</f>
        <v>https://scontent.cdninstagram.com/t51.2885-19/s150x150/18812926_138955100005273_2975198960622239744_a.jpg</v>
      </c>
    </row>
    <row r="570" spans="1:31" ht="15" x14ac:dyDescent="0.25">
      <c r="A570" t="s">
        <v>2474</v>
      </c>
      <c r="B570" t="s">
        <v>5920</v>
      </c>
      <c r="C570" s="221">
        <v>42961.144618055558</v>
      </c>
      <c r="D570" t="s">
        <v>5921</v>
      </c>
      <c r="E570" s="249" t="str">
        <f>HYPERLINK("https://www.instagram.com/p/BXxA0VugfKL/")</f>
        <v>https://www.instagram.com/p/BXxA0VugfKL/</v>
      </c>
      <c r="F570" t="s">
        <v>5922</v>
      </c>
      <c r="G570" t="s">
        <v>2478</v>
      </c>
      <c r="H570">
        <v>34</v>
      </c>
      <c r="I570" t="s">
        <v>2479</v>
      </c>
      <c r="J570">
        <v>7</v>
      </c>
      <c r="K570">
        <v>43</v>
      </c>
      <c r="L570">
        <v>50</v>
      </c>
      <c r="Q570">
        <v>0</v>
      </c>
      <c r="R570">
        <v>0</v>
      </c>
      <c r="S570">
        <v>50</v>
      </c>
      <c r="T570" t="s">
        <v>5923</v>
      </c>
      <c r="V570" t="s">
        <v>2270</v>
      </c>
      <c r="W570">
        <v>57.706573499999998</v>
      </c>
      <c r="X570">
        <v>11.969223299999999</v>
      </c>
      <c r="Y570" t="s">
        <v>4519</v>
      </c>
      <c r="Z570" t="s">
        <v>2968</v>
      </c>
      <c r="AA570" t="s">
        <v>5778</v>
      </c>
      <c r="AB570" t="s">
        <v>2673</v>
      </c>
      <c r="AC570" t="s">
        <v>5924</v>
      </c>
      <c r="AD570" s="249" t="str">
        <f>HYPERLINK("https://scontent.cdninstagram.com/t51.2885-15/s320x320/e35/c0.0.383.383/20759754_1345447662220056_2371363989444624384_n.jpg")</f>
        <v>https://scontent.cdninstagram.com/t51.2885-15/s320x320/e35/c0.0.383.383/20759754_1345447662220056_2371363989444624384_n.jpg</v>
      </c>
      <c r="AE570" s="249" t="str">
        <f>HYPERLINK("https://scontent.cdninstagram.com/t51.2885-19/s150x150/20065313_312266842554112_1367471824169861120_a.jpg")</f>
        <v>https://scontent.cdninstagram.com/t51.2885-19/s150x150/20065313_312266842554112_1367471824169861120_a.jpg</v>
      </c>
    </row>
    <row r="571" spans="1:31" ht="15" x14ac:dyDescent="0.25">
      <c r="A571" t="s">
        <v>2474</v>
      </c>
      <c r="B571" t="s">
        <v>2644</v>
      </c>
      <c r="C571" s="221">
        <v>42961.154039351852</v>
      </c>
      <c r="D571" t="s">
        <v>5925</v>
      </c>
      <c r="E571" s="249" t="str">
        <f>HYPERLINK("https://www.instagram.com/p/BXxCXzpAZb-/")</f>
        <v>https://www.instagram.com/p/BXxCXzpAZb-/</v>
      </c>
      <c r="F571" t="s">
        <v>5926</v>
      </c>
      <c r="G571" t="s">
        <v>2478</v>
      </c>
      <c r="H571">
        <v>1739</v>
      </c>
      <c r="I571" t="s">
        <v>2479</v>
      </c>
      <c r="J571">
        <v>0</v>
      </c>
      <c r="K571">
        <v>97</v>
      </c>
      <c r="L571">
        <v>97</v>
      </c>
      <c r="Q571">
        <v>0</v>
      </c>
      <c r="R571">
        <v>0</v>
      </c>
      <c r="S571">
        <v>97</v>
      </c>
      <c r="T571" t="s">
        <v>5927</v>
      </c>
      <c r="V571" t="s">
        <v>2648</v>
      </c>
      <c r="W571">
        <v>55.752499999999998</v>
      </c>
      <c r="X571">
        <v>37.623055555556</v>
      </c>
      <c r="Y571" t="s">
        <v>5796</v>
      </c>
      <c r="Z571" t="s">
        <v>3635</v>
      </c>
      <c r="AA571" t="s">
        <v>3915</v>
      </c>
      <c r="AB571" t="s">
        <v>5928</v>
      </c>
      <c r="AC571" t="s">
        <v>2650</v>
      </c>
      <c r="AD571" s="249" t="str">
        <f>HYPERLINK("https://scontent.cdninstagram.com/t51.2885-15/s320x320/e35/20838607_445390295847584_6011352694109765632_n.jpg")</f>
        <v>https://scontent.cdninstagram.com/t51.2885-15/s320x320/e35/20838607_445390295847584_6011352694109765632_n.jpg</v>
      </c>
      <c r="AE571" s="249" t="str">
        <f>HYPERLINK("https://scontent.cdninstagram.com/t51.2885-19/11372086_1598451257062069_1320225693_a.jpg")</f>
        <v>https://scontent.cdninstagram.com/t51.2885-19/11372086_1598451257062069_1320225693_a.jpg</v>
      </c>
    </row>
    <row r="572" spans="1:31" ht="15" x14ac:dyDescent="0.25">
      <c r="A572" t="s">
        <v>2474</v>
      </c>
      <c r="B572" t="s">
        <v>5929</v>
      </c>
      <c r="C572" s="221">
        <v>42961.154976851853</v>
      </c>
      <c r="D572" t="s">
        <v>5930</v>
      </c>
      <c r="E572" s="249" t="str">
        <f>HYPERLINK("https://www.instagram.com/p/BXxChm6FBKb/")</f>
        <v>https://www.instagram.com/p/BXxChm6FBKb/</v>
      </c>
      <c r="F572" t="s">
        <v>5931</v>
      </c>
      <c r="G572" t="s">
        <v>2478</v>
      </c>
      <c r="H572">
        <v>4298</v>
      </c>
      <c r="I572" t="s">
        <v>3575</v>
      </c>
      <c r="J572">
        <v>2</v>
      </c>
      <c r="K572">
        <v>69</v>
      </c>
      <c r="L572">
        <v>71</v>
      </c>
      <c r="Q572">
        <v>0</v>
      </c>
      <c r="R572">
        <v>0</v>
      </c>
      <c r="S572">
        <v>71</v>
      </c>
      <c r="Y572" t="s">
        <v>5932</v>
      </c>
      <c r="Z572" t="s">
        <v>5933</v>
      </c>
      <c r="AA572" t="s">
        <v>2497</v>
      </c>
      <c r="AB572" t="s">
        <v>2696</v>
      </c>
      <c r="AC572" t="s">
        <v>5934</v>
      </c>
      <c r="AD572" s="249" t="str">
        <f>HYPERLINK("https://scontent.cdninstagram.com/t51.2885-15/s320x320/e35/c0.86.1080.1080/20836938_517185445289188_9065062067764985856_n.jpg")</f>
        <v>https://scontent.cdninstagram.com/t51.2885-15/s320x320/e35/c0.86.1080.1080/20836938_517185445289188_9065062067764985856_n.jpg</v>
      </c>
      <c r="AE572" s="249" t="str">
        <f>HYPERLINK("https://scontent.cdninstagram.com/t51.2885-19/10724114_766973143366198_1758721066_a.jpg")</f>
        <v>https://scontent.cdninstagram.com/t51.2885-19/10724114_766973143366198_1758721066_a.jpg</v>
      </c>
    </row>
    <row r="573" spans="1:31" ht="15" x14ac:dyDescent="0.25">
      <c r="A573" t="s">
        <v>2474</v>
      </c>
      <c r="B573" t="s">
        <v>5935</v>
      </c>
      <c r="C573" s="221">
        <v>42961.156643518516</v>
      </c>
      <c r="D573" t="s">
        <v>5936</v>
      </c>
      <c r="E573" s="249" t="str">
        <f>HYPERLINK("https://www.instagram.com/p/BXxCzPPgr0q/")</f>
        <v>https://www.instagram.com/p/BXxCzPPgr0q/</v>
      </c>
      <c r="F573" t="s">
        <v>5937</v>
      </c>
      <c r="G573" t="s">
        <v>2478</v>
      </c>
      <c r="I573" t="s">
        <v>2542</v>
      </c>
      <c r="J573">
        <v>0</v>
      </c>
      <c r="K573">
        <v>11</v>
      </c>
      <c r="L573">
        <v>11</v>
      </c>
      <c r="Q573">
        <v>0</v>
      </c>
      <c r="R573">
        <v>0</v>
      </c>
      <c r="S573">
        <v>11</v>
      </c>
      <c r="Y573" t="s">
        <v>2929</v>
      </c>
      <c r="Z573" t="s">
        <v>5938</v>
      </c>
      <c r="AA573" t="s">
        <v>5939</v>
      </c>
      <c r="AB573" t="s">
        <v>5940</v>
      </c>
      <c r="AC573" t="s">
        <v>2730</v>
      </c>
      <c r="AD573" s="249" t="str">
        <f>HYPERLINK("https://scontent.cdninstagram.com/t51.2885-15/s320x320/e35/20838171_300355330433918_6438049641903685632_n.jpg")</f>
        <v>https://scontent.cdninstagram.com/t51.2885-15/s320x320/e35/20838171_300355330433918_6438049641903685632_n.jpg</v>
      </c>
      <c r="AE573" s="249" t="str">
        <f>HYPERLINK("https://scontent.cdninstagram.com/t51.2885-19/s150x150/20766561_664318253762913_7470463443745636352_a.jpg")</f>
        <v>https://scontent.cdninstagram.com/t51.2885-19/s150x150/20766561_664318253762913_7470463443745636352_a.jpg</v>
      </c>
    </row>
    <row r="574" spans="1:31" ht="15" x14ac:dyDescent="0.25">
      <c r="A574" t="s">
        <v>2474</v>
      </c>
      <c r="B574" t="s">
        <v>3251</v>
      </c>
      <c r="C574" s="221">
        <v>42961.157361111109</v>
      </c>
      <c r="D574" t="s">
        <v>5941</v>
      </c>
      <c r="E574" s="249" t="str">
        <f>HYPERLINK("https://www.instagram.com/p/BXxC6xwHGp3/")</f>
        <v>https://www.instagram.com/p/BXxC6xwHGp3/</v>
      </c>
      <c r="F574" t="s">
        <v>5942</v>
      </c>
      <c r="G574" t="s">
        <v>2478</v>
      </c>
      <c r="H574">
        <v>293</v>
      </c>
      <c r="I574" t="s">
        <v>2542</v>
      </c>
      <c r="J574">
        <v>0</v>
      </c>
      <c r="K574">
        <v>27</v>
      </c>
      <c r="L574">
        <v>27</v>
      </c>
      <c r="Q574">
        <v>0</v>
      </c>
      <c r="R574">
        <v>0</v>
      </c>
      <c r="S574">
        <v>27</v>
      </c>
      <c r="Y574" t="s">
        <v>2778</v>
      </c>
      <c r="Z574" t="s">
        <v>5943</v>
      </c>
      <c r="AA574" t="s">
        <v>3257</v>
      </c>
      <c r="AB574" t="s">
        <v>2497</v>
      </c>
      <c r="AC574" t="s">
        <v>3969</v>
      </c>
      <c r="AD574" s="249" t="str">
        <f>HYPERLINK("https://scontent.cdninstagram.com/t51.2885-15/s320x320/e35/c0.135.1080.1080/20837766_1408618399245299_1315430877970300928_n.jpg")</f>
        <v>https://scontent.cdninstagram.com/t51.2885-15/s320x320/e35/c0.135.1080.1080/20837766_1408618399245299_1315430877970300928_n.jpg</v>
      </c>
      <c r="AE574" s="249" t="str">
        <f>HYPERLINK("https://scontent.cdninstagram.com/t51.2885-19/s150x150/20986614_891746094322067_1272495017625124864_a.jpg")</f>
        <v>https://scontent.cdninstagram.com/t51.2885-19/s150x150/20986614_891746094322067_1272495017625124864_a.jpg</v>
      </c>
    </row>
    <row r="575" spans="1:31" ht="15" x14ac:dyDescent="0.25">
      <c r="A575" t="s">
        <v>2474</v>
      </c>
      <c r="B575" t="s">
        <v>5944</v>
      </c>
      <c r="C575" s="221">
        <v>42961.184224537035</v>
      </c>
      <c r="D575" t="s">
        <v>5945</v>
      </c>
      <c r="E575" s="249" t="str">
        <f>HYPERLINK("https://www.instagram.com/p/BXxHWLlDNuw/")</f>
        <v>https://www.instagram.com/p/BXxHWLlDNuw/</v>
      </c>
      <c r="F575" t="s">
        <v>5946</v>
      </c>
      <c r="G575" t="s">
        <v>2478</v>
      </c>
      <c r="H575">
        <v>112</v>
      </c>
      <c r="I575" t="s">
        <v>2519</v>
      </c>
      <c r="J575">
        <v>2</v>
      </c>
      <c r="K575">
        <v>10</v>
      </c>
      <c r="L575">
        <v>12</v>
      </c>
      <c r="Q575">
        <v>0</v>
      </c>
      <c r="R575">
        <v>0</v>
      </c>
      <c r="S575">
        <v>12</v>
      </c>
      <c r="Y575" t="s">
        <v>2734</v>
      </c>
      <c r="Z575" t="s">
        <v>3316</v>
      </c>
      <c r="AA575" t="s">
        <v>2547</v>
      </c>
      <c r="AB575" t="s">
        <v>2767</v>
      </c>
      <c r="AC575" t="s">
        <v>2497</v>
      </c>
      <c r="AD575" s="249" t="str">
        <f>HYPERLINK("https://scontent.cdninstagram.com/t51.2885-15/s320x320/e35/20759956_358854524535310_6385482922987618304_n.jpg")</f>
        <v>https://scontent.cdninstagram.com/t51.2885-15/s320x320/e35/20759956_358854524535310_6385482922987618304_n.jpg</v>
      </c>
      <c r="AE575" s="249" t="str">
        <f>HYPERLINK("https://scontent.cdninstagram.com/t51.2885-19/s150x150/15802915_1200615713341079_5687537410104098816_a.jpg")</f>
        <v>https://scontent.cdninstagram.com/t51.2885-19/s150x150/15802915_1200615713341079_5687537410104098816_a.jpg</v>
      </c>
    </row>
    <row r="576" spans="1:31" ht="15" x14ac:dyDescent="0.25">
      <c r="A576" t="s">
        <v>2474</v>
      </c>
      <c r="B576" t="s">
        <v>5947</v>
      </c>
      <c r="C576" s="221">
        <v>42961.186631944445</v>
      </c>
      <c r="D576" t="s">
        <v>5948</v>
      </c>
      <c r="E576" s="249" t="str">
        <f>HYPERLINK("https://www.instagram.com/p/BXxHvf5FgZc/")</f>
        <v>https://www.instagram.com/p/BXxHvf5FgZc/</v>
      </c>
      <c r="F576" t="s">
        <v>5949</v>
      </c>
      <c r="G576" t="s">
        <v>2478</v>
      </c>
      <c r="H576">
        <v>76</v>
      </c>
      <c r="I576" t="s">
        <v>2479</v>
      </c>
      <c r="J576">
        <v>0</v>
      </c>
      <c r="K576">
        <v>13</v>
      </c>
      <c r="L576">
        <v>13</v>
      </c>
      <c r="Q576">
        <v>0</v>
      </c>
      <c r="R576">
        <v>0</v>
      </c>
      <c r="S576">
        <v>13</v>
      </c>
      <c r="Y576" t="s">
        <v>5950</v>
      </c>
      <c r="Z576" t="s">
        <v>5951</v>
      </c>
      <c r="AA576" t="s">
        <v>5952</v>
      </c>
      <c r="AB576" t="s">
        <v>5953</v>
      </c>
      <c r="AC576" t="s">
        <v>2721</v>
      </c>
      <c r="AD576" s="249" t="str">
        <f>HYPERLINK("https://scontent.cdninstagram.com/t51.2885-15/s320x320/e35/20759218_108501769867365_6388978038524084224_n.jpg")</f>
        <v>https://scontent.cdninstagram.com/t51.2885-15/s320x320/e35/20759218_108501769867365_6388978038524084224_n.jpg</v>
      </c>
      <c r="AE576" s="249" t="str">
        <f>HYPERLINK("https://scontent.cdninstagram.com/t51.2885-19/s150x150/20225608_166121913932667_7043117565047996416_n.jpg")</f>
        <v>https://scontent.cdninstagram.com/t51.2885-19/s150x150/20225608_166121913932667_7043117565047996416_n.jpg</v>
      </c>
    </row>
    <row r="577" spans="1:31" ht="15" x14ac:dyDescent="0.25">
      <c r="A577" t="s">
        <v>2474</v>
      </c>
      <c r="B577" t="s">
        <v>5463</v>
      </c>
      <c r="C577" s="221">
        <v>42961.191666666666</v>
      </c>
      <c r="D577" t="s">
        <v>5954</v>
      </c>
      <c r="E577" s="249" t="str">
        <f>HYPERLINK("https://www.instagram.com/p/BXxIkqplLsJ/")</f>
        <v>https://www.instagram.com/p/BXxIkqplLsJ/</v>
      </c>
      <c r="F577" t="s">
        <v>5955</v>
      </c>
      <c r="G577" t="s">
        <v>2478</v>
      </c>
      <c r="H577">
        <v>516</v>
      </c>
      <c r="I577" t="s">
        <v>2599</v>
      </c>
      <c r="J577">
        <v>1</v>
      </c>
      <c r="K577">
        <v>64</v>
      </c>
      <c r="L577">
        <v>65</v>
      </c>
      <c r="Q577">
        <v>0</v>
      </c>
      <c r="R577">
        <v>0</v>
      </c>
      <c r="S577">
        <v>65</v>
      </c>
      <c r="Y577" t="s">
        <v>5956</v>
      </c>
      <c r="Z577" t="s">
        <v>5466</v>
      </c>
      <c r="AA577" t="s">
        <v>4240</v>
      </c>
      <c r="AB577" t="s">
        <v>2497</v>
      </c>
      <c r="AC577" t="s">
        <v>5957</v>
      </c>
      <c r="AD577" s="249" t="str">
        <f>HYPERLINK("https://scontent.cdninstagram.com/t51.2885-15/s320x320/e35/20759640_1650496228317980_3786883522560524288_n.jpg")</f>
        <v>https://scontent.cdninstagram.com/t51.2885-15/s320x320/e35/20759640_1650496228317980_3786883522560524288_n.jpg</v>
      </c>
      <c r="AE577" s="249" t="str">
        <f>HYPERLINK("https://scontent.cdninstagram.com/t51.2885-19/s150x150/18253309_1888513271436714_2586640459128373248_a.jpg")</f>
        <v>https://scontent.cdninstagram.com/t51.2885-19/s150x150/18253309_1888513271436714_2586640459128373248_a.jpg</v>
      </c>
    </row>
    <row r="578" spans="1:31" ht="15" x14ac:dyDescent="0.25">
      <c r="A578" t="s">
        <v>2474</v>
      </c>
      <c r="B578" t="s">
        <v>5958</v>
      </c>
      <c r="C578" s="221">
        <v>42961.192164351851</v>
      </c>
      <c r="D578" t="s">
        <v>5959</v>
      </c>
      <c r="E578" s="249" t="str">
        <f>HYPERLINK("https://www.instagram.com/p/BXxIp11BLVN/")</f>
        <v>https://www.instagram.com/p/BXxIp11BLVN/</v>
      </c>
      <c r="F578" t="s">
        <v>5960</v>
      </c>
      <c r="G578" t="s">
        <v>2478</v>
      </c>
      <c r="H578">
        <v>16</v>
      </c>
      <c r="I578" t="s">
        <v>2786</v>
      </c>
      <c r="J578">
        <v>0</v>
      </c>
      <c r="K578">
        <v>3</v>
      </c>
      <c r="L578">
        <v>3</v>
      </c>
      <c r="Q578">
        <v>0</v>
      </c>
      <c r="R578">
        <v>0</v>
      </c>
      <c r="S578">
        <v>3</v>
      </c>
      <c r="Y578" t="s">
        <v>5769</v>
      </c>
      <c r="Z578" t="s">
        <v>2497</v>
      </c>
      <c r="AA578" t="s">
        <v>5961</v>
      </c>
      <c r="AD578" s="249" t="str">
        <f>HYPERLINK("https://scontent.cdninstagram.com/t51.2885-15/s320x320/e35/20759696_1310395919086140_1111089725734649856_n.jpg")</f>
        <v>https://scontent.cdninstagram.com/t51.2885-15/s320x320/e35/20759696_1310395919086140_1111089725734649856_n.jpg</v>
      </c>
      <c r="AE578" s="249" t="str">
        <f>HYPERLINK("https://scontent.cdninstagram.com/t51.2885-19/s150x150/20589699_293226314479149_1896630916231462912_a.jpg")</f>
        <v>https://scontent.cdninstagram.com/t51.2885-19/s150x150/20589699_293226314479149_1896630916231462912_a.jpg</v>
      </c>
    </row>
    <row r="579" spans="1:31" ht="15" x14ac:dyDescent="0.25">
      <c r="A579" t="s">
        <v>2474</v>
      </c>
      <c r="B579" t="s">
        <v>4811</v>
      </c>
      <c r="C579" s="221">
        <v>42961.200277777774</v>
      </c>
      <c r="D579" t="s">
        <v>5962</v>
      </c>
      <c r="E579" s="249" t="str">
        <f>HYPERLINK("https://www.instagram.com/p/BXxJ_Yag_kL/")</f>
        <v>https://www.instagram.com/p/BXxJ_Yag_kL/</v>
      </c>
      <c r="F579" t="s">
        <v>5963</v>
      </c>
      <c r="G579" t="s">
        <v>2478</v>
      </c>
      <c r="H579">
        <v>929</v>
      </c>
      <c r="I579" t="s">
        <v>2479</v>
      </c>
      <c r="J579">
        <v>2</v>
      </c>
      <c r="K579">
        <v>87</v>
      </c>
      <c r="L579">
        <v>89</v>
      </c>
      <c r="Q579">
        <v>0</v>
      </c>
      <c r="R579">
        <v>0</v>
      </c>
      <c r="S579">
        <v>89</v>
      </c>
      <c r="Y579" t="s">
        <v>5964</v>
      </c>
      <c r="Z579" t="s">
        <v>3246</v>
      </c>
      <c r="AA579" t="s">
        <v>3262</v>
      </c>
      <c r="AB579" t="s">
        <v>2906</v>
      </c>
      <c r="AC579" t="s">
        <v>4814</v>
      </c>
      <c r="AD579" s="249" t="str">
        <f>HYPERLINK("https://scontent.cdninstagram.com/t51.2885-15/s320x320/e35/20902199_1406752852735377_6477949046269935616_n.jpg")</f>
        <v>https://scontent.cdninstagram.com/t51.2885-15/s320x320/e35/20902199_1406752852735377_6477949046269935616_n.jpg</v>
      </c>
      <c r="AE579" s="249" t="str">
        <f>HYPERLINK("https://scontent.cdninstagram.com/t51.2885-19/s150x150/16124251_1913091765603634_8004330562992996352_a.jpg")</f>
        <v>https://scontent.cdninstagram.com/t51.2885-19/s150x150/16124251_1913091765603634_8004330562992996352_a.jpg</v>
      </c>
    </row>
    <row r="580" spans="1:31" ht="15" x14ac:dyDescent="0.25">
      <c r="A580" t="s">
        <v>2474</v>
      </c>
      <c r="B580" t="s">
        <v>5965</v>
      </c>
      <c r="C580" s="221">
        <v>42961.203831018516</v>
      </c>
      <c r="D580" t="s">
        <v>5966</v>
      </c>
      <c r="E580" s="249" t="str">
        <f>HYPERLINK("https://www.instagram.com/p/BXxKk8EASn0/")</f>
        <v>https://www.instagram.com/p/BXxKk8EASn0/</v>
      </c>
      <c r="F580" t="s">
        <v>5967</v>
      </c>
      <c r="G580" t="s">
        <v>2478</v>
      </c>
      <c r="H580">
        <v>73</v>
      </c>
      <c r="I580" t="s">
        <v>2542</v>
      </c>
      <c r="J580">
        <v>0</v>
      </c>
      <c r="K580">
        <v>4</v>
      </c>
      <c r="L580">
        <v>4</v>
      </c>
      <c r="Q580">
        <v>0</v>
      </c>
      <c r="R580">
        <v>0</v>
      </c>
      <c r="S580">
        <v>4</v>
      </c>
      <c r="T580" t="s">
        <v>5968</v>
      </c>
      <c r="V580" t="s">
        <v>2110</v>
      </c>
      <c r="W580">
        <v>51.215994080000002</v>
      </c>
      <c r="X580">
        <v>2.87750342</v>
      </c>
      <c r="Y580" t="s">
        <v>5969</v>
      </c>
      <c r="Z580" t="s">
        <v>5970</v>
      </c>
      <c r="AA580" t="s">
        <v>5971</v>
      </c>
      <c r="AB580" t="s">
        <v>3738</v>
      </c>
      <c r="AC580" t="s">
        <v>2497</v>
      </c>
      <c r="AD580" s="249" t="str">
        <f>HYPERLINK("https://scontent.cdninstagram.com/t51.2885-15/s320x320/e35/c0.60.480.480/20759519_265337373981595_610320775521501184_n.jpg")</f>
        <v>https://scontent.cdninstagram.com/t51.2885-15/s320x320/e35/c0.60.480.480/20759519_265337373981595_610320775521501184_n.jpg</v>
      </c>
      <c r="AE580" s="249" t="str">
        <f>HYPERLINK("https://scontent.cdninstagram.com/t51.2885-19/s150x150/18382416_306673766423147_6389707620323688448_a.jpg")</f>
        <v>https://scontent.cdninstagram.com/t51.2885-19/s150x150/18382416_306673766423147_6389707620323688448_a.jpg</v>
      </c>
    </row>
    <row r="581" spans="1:31" ht="15" x14ac:dyDescent="0.25">
      <c r="A581" t="s">
        <v>2474</v>
      </c>
      <c r="B581" t="s">
        <v>5972</v>
      </c>
      <c r="C581" s="221">
        <v>42961.21166666667</v>
      </c>
      <c r="D581" t="s">
        <v>5973</v>
      </c>
      <c r="E581" s="249" t="str">
        <f>HYPERLINK("https://www.instagram.com/p/BXxL3iGFv7M/")</f>
        <v>https://www.instagram.com/p/BXxL3iGFv7M/</v>
      </c>
      <c r="F581" t="s">
        <v>5974</v>
      </c>
      <c r="G581" t="s">
        <v>2478</v>
      </c>
      <c r="H581">
        <v>1051</v>
      </c>
      <c r="I581" t="s">
        <v>2542</v>
      </c>
      <c r="J581">
        <v>15</v>
      </c>
      <c r="K581">
        <v>46</v>
      </c>
      <c r="L581">
        <v>61</v>
      </c>
      <c r="Q581">
        <v>0</v>
      </c>
      <c r="R581">
        <v>0</v>
      </c>
      <c r="S581">
        <v>61</v>
      </c>
      <c r="Y581" t="s">
        <v>2497</v>
      </c>
      <c r="Z581" t="s">
        <v>5975</v>
      </c>
      <c r="AA581" t="s">
        <v>4734</v>
      </c>
      <c r="AB581" t="s">
        <v>5976</v>
      </c>
      <c r="AD581" s="249" t="str">
        <f>HYPERLINK("https://scontent.cdninstagram.com/t51.2885-15/s320x320/e35/c0.68.855.855/20686861_312997919174667_2270713857519386624_n.jpg")</f>
        <v>https://scontent.cdninstagram.com/t51.2885-15/s320x320/e35/c0.68.855.855/20686861_312997919174667_2270713857519386624_n.jpg</v>
      </c>
      <c r="AE581" s="249" t="str">
        <f>HYPERLINK("https://scontent.cdninstagram.com/t51.2885-19/s150x150/17333885_107311266473997_5437075524654465024_a.jpg")</f>
        <v>https://scontent.cdninstagram.com/t51.2885-19/s150x150/17333885_107311266473997_5437075524654465024_a.jpg</v>
      </c>
    </row>
    <row r="582" spans="1:31" ht="15" x14ac:dyDescent="0.25">
      <c r="A582" t="s">
        <v>2474</v>
      </c>
      <c r="B582" t="s">
        <v>5977</v>
      </c>
      <c r="C582" s="221">
        <v>42961.221550925926</v>
      </c>
      <c r="D582" t="s">
        <v>5978</v>
      </c>
      <c r="E582" s="249" t="str">
        <f>HYPERLINK("https://www.instagram.com/p/BXxNf1bl4J3/")</f>
        <v>https://www.instagram.com/p/BXxNf1bl4J3/</v>
      </c>
      <c r="F582" t="s">
        <v>5979</v>
      </c>
      <c r="G582" t="s">
        <v>2478</v>
      </c>
      <c r="H582">
        <v>635</v>
      </c>
      <c r="I582" t="s">
        <v>2479</v>
      </c>
      <c r="J582">
        <v>20</v>
      </c>
      <c r="K582">
        <v>85</v>
      </c>
      <c r="L582">
        <v>105</v>
      </c>
      <c r="Q582">
        <v>0</v>
      </c>
      <c r="R582">
        <v>0</v>
      </c>
      <c r="S582">
        <v>105</v>
      </c>
      <c r="Y582" t="s">
        <v>5980</v>
      </c>
      <c r="Z582" t="s">
        <v>2497</v>
      </c>
      <c r="AA582" t="s">
        <v>5981</v>
      </c>
      <c r="AB582" t="s">
        <v>5982</v>
      </c>
      <c r="AC582" t="s">
        <v>5983</v>
      </c>
      <c r="AD582" s="249" t="str">
        <f>HYPERLINK("https://scontent.cdninstagram.com/t51.2885-15/s320x320/e35/20766940_111100582923987_5036677546377216000_n.jpg")</f>
        <v>https://scontent.cdninstagram.com/t51.2885-15/s320x320/e35/20766940_111100582923987_5036677546377216000_n.jpg</v>
      </c>
      <c r="AE582" s="249" t="str">
        <f>HYPERLINK("https://scontent.cdninstagram.com/t51.2885-19/s150x150/16110986_213965102343560_4465755618258452480_n.jpg")</f>
        <v>https://scontent.cdninstagram.com/t51.2885-19/s150x150/16110986_213965102343560_4465755618258452480_n.jpg</v>
      </c>
    </row>
    <row r="583" spans="1:31" ht="15" x14ac:dyDescent="0.25">
      <c r="A583" t="s">
        <v>2474</v>
      </c>
      <c r="B583" t="s">
        <v>5984</v>
      </c>
      <c r="C583" s="221">
        <v>42961.22388888889</v>
      </c>
      <c r="D583" t="s">
        <v>5985</v>
      </c>
      <c r="E583" s="249" t="str">
        <f>HYPERLINK("https://www.instagram.com/p/BXxN4aCBOLy/")</f>
        <v>https://www.instagram.com/p/BXxN4aCBOLy/</v>
      </c>
      <c r="F583" t="s">
        <v>5986</v>
      </c>
      <c r="G583" t="s">
        <v>2478</v>
      </c>
      <c r="H583">
        <v>111</v>
      </c>
      <c r="I583" t="s">
        <v>2479</v>
      </c>
      <c r="J583">
        <v>1</v>
      </c>
      <c r="K583">
        <v>22</v>
      </c>
      <c r="L583">
        <v>23</v>
      </c>
      <c r="Q583">
        <v>0</v>
      </c>
      <c r="R583">
        <v>0</v>
      </c>
      <c r="S583">
        <v>23</v>
      </c>
      <c r="Y583" t="s">
        <v>5987</v>
      </c>
      <c r="Z583" t="s">
        <v>5988</v>
      </c>
      <c r="AA583" t="s">
        <v>5989</v>
      </c>
      <c r="AB583" t="s">
        <v>2497</v>
      </c>
      <c r="AC583" t="s">
        <v>5990</v>
      </c>
      <c r="AD583" s="249" t="str">
        <f>HYPERLINK("https://scontent.cdninstagram.com/t51.2885-15/s320x320/e35/c0.135.1080.1080/20759315_521906764819335_5281192160547307520_n.jpg")</f>
        <v>https://scontent.cdninstagram.com/t51.2885-15/s320x320/e35/c0.135.1080.1080/20759315_521906764819335_5281192160547307520_n.jpg</v>
      </c>
      <c r="AE583" s="249" t="str">
        <f>HYPERLINK("https://scontent.cdninstagram.com/t51.2885-19/11881835_874470065972213_712023436_a.jpg")</f>
        <v>https://scontent.cdninstagram.com/t51.2885-19/11881835_874470065972213_712023436_a.jpg</v>
      </c>
    </row>
    <row r="584" spans="1:31" ht="15" x14ac:dyDescent="0.25">
      <c r="A584" t="s">
        <v>2474</v>
      </c>
      <c r="B584" t="s">
        <v>5991</v>
      </c>
      <c r="C584" s="221">
        <v>42961.224305555559</v>
      </c>
      <c r="D584" t="s">
        <v>5992</v>
      </c>
      <c r="E584" s="249" t="str">
        <f>HYPERLINK("https://www.instagram.com/p/BXxN8zvBLyV/")</f>
        <v>https://www.instagram.com/p/BXxN8zvBLyV/</v>
      </c>
      <c r="F584" t="s">
        <v>5993</v>
      </c>
      <c r="G584" t="s">
        <v>2631</v>
      </c>
      <c r="H584">
        <v>348</v>
      </c>
      <c r="I584" t="s">
        <v>4062</v>
      </c>
      <c r="J584">
        <v>0</v>
      </c>
      <c r="K584">
        <v>40</v>
      </c>
      <c r="L584">
        <v>40</v>
      </c>
      <c r="Q584">
        <v>0</v>
      </c>
      <c r="R584">
        <v>0</v>
      </c>
      <c r="S584">
        <v>40</v>
      </c>
      <c r="T584" t="s">
        <v>5994</v>
      </c>
      <c r="V584" t="s">
        <v>2264</v>
      </c>
      <c r="W584">
        <v>41.383299999999998</v>
      </c>
      <c r="X584">
        <v>2.1833300000000002</v>
      </c>
      <c r="Y584" t="s">
        <v>5995</v>
      </c>
      <c r="Z584" t="s">
        <v>2493</v>
      </c>
      <c r="AA584" t="s">
        <v>5996</v>
      </c>
      <c r="AB584" t="s">
        <v>3323</v>
      </c>
      <c r="AC584" t="s">
        <v>5997</v>
      </c>
      <c r="AD584" s="249" t="str">
        <f>HYPERLINK("https://scontent.cdninstagram.com/t51.2885-15/s320x320/e15/20759730_1136358223131372_1216258317874102272_n.jpg")</f>
        <v>https://scontent.cdninstagram.com/t51.2885-15/s320x320/e15/20759730_1136358223131372_1216258317874102272_n.jpg</v>
      </c>
      <c r="AE584" s="249" t="str">
        <f>HYPERLINK("https://scontent.cdninstagram.com/t51.2885-19/11326120_813115278807317_883154144_a.jpg")</f>
        <v>https://scontent.cdninstagram.com/t51.2885-19/11326120_813115278807317_883154144_a.jpg</v>
      </c>
    </row>
    <row r="585" spans="1:31" ht="15" x14ac:dyDescent="0.25">
      <c r="A585" t="s">
        <v>2474</v>
      </c>
      <c r="B585" t="s">
        <v>2644</v>
      </c>
      <c r="C585" s="221">
        <v>42961.229837962965</v>
      </c>
      <c r="D585" t="s">
        <v>5998</v>
      </c>
      <c r="E585" s="249" t="str">
        <f>HYPERLINK("https://www.instagram.com/p/BXxO3M7gLV9/")</f>
        <v>https://www.instagram.com/p/BXxO3M7gLV9/</v>
      </c>
      <c r="F585" t="s">
        <v>5999</v>
      </c>
      <c r="G585" t="s">
        <v>2478</v>
      </c>
      <c r="H585">
        <v>1745</v>
      </c>
      <c r="I585" t="s">
        <v>2479</v>
      </c>
      <c r="J585">
        <v>0</v>
      </c>
      <c r="K585">
        <v>94</v>
      </c>
      <c r="L585">
        <v>94</v>
      </c>
      <c r="Q585">
        <v>0</v>
      </c>
      <c r="R585">
        <v>0</v>
      </c>
      <c r="S585">
        <v>94</v>
      </c>
      <c r="T585" t="s">
        <v>6000</v>
      </c>
      <c r="V585" t="s">
        <v>2648</v>
      </c>
      <c r="W585">
        <v>55.740286032721002</v>
      </c>
      <c r="X585">
        <v>37.628441546147002</v>
      </c>
      <c r="Y585" t="s">
        <v>6001</v>
      </c>
      <c r="Z585" t="s">
        <v>3635</v>
      </c>
      <c r="AA585" t="s">
        <v>3077</v>
      </c>
      <c r="AB585" t="s">
        <v>5492</v>
      </c>
      <c r="AC585" t="s">
        <v>5494</v>
      </c>
      <c r="AD585" s="249" t="str">
        <f>HYPERLINK("https://scontent.cdninstagram.com/t51.2885-15/s320x320/e35/20766237_1952208201668595_8251690060420743168_n.jpg")</f>
        <v>https://scontent.cdninstagram.com/t51.2885-15/s320x320/e35/20766237_1952208201668595_8251690060420743168_n.jpg</v>
      </c>
      <c r="AE585" s="249" t="str">
        <f>HYPERLINK("https://scontent.cdninstagram.com/t51.2885-19/11372086_1598451257062069_1320225693_a.jpg")</f>
        <v>https://scontent.cdninstagram.com/t51.2885-19/11372086_1598451257062069_1320225693_a.jpg</v>
      </c>
    </row>
    <row r="586" spans="1:31" ht="15" x14ac:dyDescent="0.25">
      <c r="A586" t="s">
        <v>2474</v>
      </c>
      <c r="B586" t="s">
        <v>6002</v>
      </c>
      <c r="C586" s="221">
        <v>42961.231400462966</v>
      </c>
      <c r="D586" t="s">
        <v>6003</v>
      </c>
      <c r="E586" s="249" t="str">
        <f>HYPERLINK("https://www.instagram.com/p/BXxPHoCjhO_/")</f>
        <v>https://www.instagram.com/p/BXxPHoCjhO_/</v>
      </c>
      <c r="F586" t="s">
        <v>6004</v>
      </c>
      <c r="G586" t="s">
        <v>2478</v>
      </c>
      <c r="H586">
        <v>649</v>
      </c>
      <c r="I586" t="s">
        <v>3898</v>
      </c>
      <c r="J586">
        <v>0</v>
      </c>
      <c r="K586">
        <v>48</v>
      </c>
      <c r="L586">
        <v>48</v>
      </c>
      <c r="Q586">
        <v>0</v>
      </c>
      <c r="R586">
        <v>0</v>
      </c>
      <c r="S586">
        <v>48</v>
      </c>
      <c r="T586" t="s">
        <v>6005</v>
      </c>
      <c r="V586" t="s">
        <v>2258</v>
      </c>
      <c r="W586">
        <v>1.2870222222222001</v>
      </c>
      <c r="X586">
        <v>103.85468888889</v>
      </c>
      <c r="Y586" t="s">
        <v>6006</v>
      </c>
      <c r="Z586" t="s">
        <v>2497</v>
      </c>
      <c r="AD586" s="249" t="str">
        <f>HYPERLINK("https://scontent.cdninstagram.com/t51.2885-15/s320x320/e35/c36.0.584.584/20902267_260323821130552_5466612478605524992_n.jpg")</f>
        <v>https://scontent.cdninstagram.com/t51.2885-15/s320x320/e35/c36.0.584.584/20902267_260323821130552_5466612478605524992_n.jpg</v>
      </c>
      <c r="AE586" s="249" t="str">
        <f>HYPERLINK("https://scontent.cdninstagram.com/t51.2885-19/s150x150/20968702_1285074454937231_3950033936972775424_a.jpg")</f>
        <v>https://scontent.cdninstagram.com/t51.2885-19/s150x150/20968702_1285074454937231_3950033936972775424_a.jpg</v>
      </c>
    </row>
    <row r="587" spans="1:31" ht="15" x14ac:dyDescent="0.25">
      <c r="A587" t="s">
        <v>2474</v>
      </c>
      <c r="B587" t="s">
        <v>6007</v>
      </c>
      <c r="C587" s="221">
        <v>42961.231921296298</v>
      </c>
      <c r="D587" t="s">
        <v>6008</v>
      </c>
      <c r="E587" s="249" t="str">
        <f>HYPERLINK("https://www.instagram.com/p/BXxPNKHDXsJ/")</f>
        <v>https://www.instagram.com/p/BXxPNKHDXsJ/</v>
      </c>
      <c r="F587" t="s">
        <v>6009</v>
      </c>
      <c r="G587" t="s">
        <v>2478</v>
      </c>
      <c r="H587">
        <v>269</v>
      </c>
      <c r="I587" t="s">
        <v>2542</v>
      </c>
      <c r="J587">
        <v>1</v>
      </c>
      <c r="K587">
        <v>27</v>
      </c>
      <c r="L587">
        <v>28</v>
      </c>
      <c r="Q587">
        <v>0</v>
      </c>
      <c r="R587">
        <v>0</v>
      </c>
      <c r="S587">
        <v>28</v>
      </c>
      <c r="Y587" t="s">
        <v>3246</v>
      </c>
      <c r="Z587" t="s">
        <v>6010</v>
      </c>
      <c r="AA587" t="s">
        <v>6011</v>
      </c>
      <c r="AB587" t="s">
        <v>6007</v>
      </c>
      <c r="AC587" t="s">
        <v>6012</v>
      </c>
      <c r="AD587" s="249" t="str">
        <f>HYPERLINK("https://scontent.cdninstagram.com/t51.2885-15/s320x320/e35/20766828_1514210228622715_6264256173977894912_n.jpg")</f>
        <v>https://scontent.cdninstagram.com/t51.2885-15/s320x320/e35/20766828_1514210228622715_6264256173977894912_n.jpg</v>
      </c>
      <c r="AE587" s="249" t="str">
        <f>HYPERLINK("https://scontent.cdninstagram.com/t51.2885-19/s150x150/20759940_820317361481773_6834587660057575424_a.jpg")</f>
        <v>https://scontent.cdninstagram.com/t51.2885-19/s150x150/20759940_820317361481773_6834587660057575424_a.jpg</v>
      </c>
    </row>
    <row r="588" spans="1:31" ht="15" x14ac:dyDescent="0.25">
      <c r="A588" t="s">
        <v>2474</v>
      </c>
      <c r="B588" t="s">
        <v>4211</v>
      </c>
      <c r="C588" s="221">
        <v>42961.25136574074</v>
      </c>
      <c r="D588" t="s">
        <v>6013</v>
      </c>
      <c r="E588" s="249" t="str">
        <f>HYPERLINK("https://www.instagram.com/p/BXxSaOVlemp/")</f>
        <v>https://www.instagram.com/p/BXxSaOVlemp/</v>
      </c>
      <c r="F588" t="s">
        <v>6014</v>
      </c>
      <c r="G588" t="s">
        <v>2478</v>
      </c>
      <c r="H588">
        <v>487</v>
      </c>
      <c r="I588" t="s">
        <v>2510</v>
      </c>
      <c r="J588">
        <v>0</v>
      </c>
      <c r="K588">
        <v>15</v>
      </c>
      <c r="L588">
        <v>15</v>
      </c>
      <c r="Q588">
        <v>0</v>
      </c>
      <c r="R588">
        <v>0</v>
      </c>
      <c r="S588">
        <v>15</v>
      </c>
      <c r="T588" t="s">
        <v>6015</v>
      </c>
      <c r="V588" t="s">
        <v>2264</v>
      </c>
      <c r="W588">
        <v>40.463827029455999</v>
      </c>
      <c r="X588">
        <v>-3.6554990231989</v>
      </c>
      <c r="Y588" t="s">
        <v>6016</v>
      </c>
      <c r="Z588" t="s">
        <v>6017</v>
      </c>
      <c r="AA588" t="s">
        <v>2497</v>
      </c>
      <c r="AB588" t="s">
        <v>6018</v>
      </c>
      <c r="AC588" t="s">
        <v>6019</v>
      </c>
      <c r="AD588" s="249" t="str">
        <f>HYPERLINK("https://scontent.cdninstagram.com/t51.2885-15/s320x320/e35/c107.0.866.866/20759352_861464010686365_3167378079735611392_n.jpg")</f>
        <v>https://scontent.cdninstagram.com/t51.2885-15/s320x320/e35/c107.0.866.866/20759352_861464010686365_3167378079735611392_n.jpg</v>
      </c>
      <c r="AE588" s="249" t="str">
        <f>HYPERLINK("https://scontent.cdninstagram.com/t51.2885-19/s150x150/12519300_1673318256290247_1045521383_a.jpg")</f>
        <v>https://scontent.cdninstagram.com/t51.2885-19/s150x150/12519300_1673318256290247_1045521383_a.jpg</v>
      </c>
    </row>
    <row r="589" spans="1:31" ht="15" x14ac:dyDescent="0.25">
      <c r="A589" t="s">
        <v>2474</v>
      </c>
      <c r="B589" t="s">
        <v>6020</v>
      </c>
      <c r="C589" s="221">
        <v>42961.252465277779</v>
      </c>
      <c r="D589" t="s">
        <v>6021</v>
      </c>
      <c r="E589" s="249" t="str">
        <f>HYPERLINK("https://www.instagram.com/p/BXxSl3lgHNr/")</f>
        <v>https://www.instagram.com/p/BXxSl3lgHNr/</v>
      </c>
      <c r="F589" t="s">
        <v>6022</v>
      </c>
      <c r="G589" t="s">
        <v>2478</v>
      </c>
      <c r="H589">
        <v>31276</v>
      </c>
      <c r="I589" t="s">
        <v>2479</v>
      </c>
      <c r="J589">
        <v>40</v>
      </c>
      <c r="K589">
        <v>949</v>
      </c>
      <c r="L589">
        <v>989</v>
      </c>
      <c r="Q589">
        <v>0</v>
      </c>
      <c r="R589">
        <v>0</v>
      </c>
      <c r="S589">
        <v>989</v>
      </c>
      <c r="Y589" t="s">
        <v>6023</v>
      </c>
      <c r="Z589" t="s">
        <v>6024</v>
      </c>
      <c r="AA589" t="s">
        <v>6025</v>
      </c>
      <c r="AB589" t="s">
        <v>6026</v>
      </c>
      <c r="AC589" t="s">
        <v>6027</v>
      </c>
      <c r="AD589" s="249" t="str">
        <f>HYPERLINK("https://scontent.cdninstagram.com/t51.2885-15/s320x320/e35/20759392_110345576311234_5120164572375810048_n.jpg")</f>
        <v>https://scontent.cdninstagram.com/t51.2885-15/s320x320/e35/20759392_110345576311234_5120164572375810048_n.jpg</v>
      </c>
      <c r="AE589" s="249" t="str">
        <f>HYPERLINK("https://scontent.cdninstagram.com/t51.2885-19/s150x150/18094683_212156559284851_4534393421896351744_a.jpg")</f>
        <v>https://scontent.cdninstagram.com/t51.2885-19/s150x150/18094683_212156559284851_4534393421896351744_a.jpg</v>
      </c>
    </row>
    <row r="590" spans="1:31" ht="15" x14ac:dyDescent="0.25">
      <c r="A590" t="s">
        <v>2474</v>
      </c>
      <c r="B590" t="s">
        <v>6028</v>
      </c>
      <c r="C590" s="221">
        <v>42961.256793981483</v>
      </c>
      <c r="D590" t="s">
        <v>6029</v>
      </c>
      <c r="E590" s="249" t="str">
        <f>HYPERLINK("https://www.instagram.com/p/BXxTTeXgsig/")</f>
        <v>https://www.instagram.com/p/BXxTTeXgsig/</v>
      </c>
      <c r="F590" t="s">
        <v>6030</v>
      </c>
      <c r="G590" t="s">
        <v>2478</v>
      </c>
      <c r="H590">
        <v>170</v>
      </c>
      <c r="I590" t="s">
        <v>4523</v>
      </c>
      <c r="J590">
        <v>1</v>
      </c>
      <c r="K590">
        <v>61</v>
      </c>
      <c r="L590">
        <v>62</v>
      </c>
      <c r="Q590">
        <v>0</v>
      </c>
      <c r="R590">
        <v>0</v>
      </c>
      <c r="S590">
        <v>62</v>
      </c>
      <c r="Y590" t="s">
        <v>6031</v>
      </c>
      <c r="Z590" t="s">
        <v>3392</v>
      </c>
      <c r="AA590" t="s">
        <v>4253</v>
      </c>
      <c r="AB590" t="s">
        <v>4620</v>
      </c>
      <c r="AC590" t="s">
        <v>6032</v>
      </c>
      <c r="AD590" s="249" t="str">
        <f>HYPERLINK("https://scontent.cdninstagram.com/t51.2885-15/s320x320/e35/c0.29.775.775/20836857_715781498611338_2043330373244420096_n.jpg")</f>
        <v>https://scontent.cdninstagram.com/t51.2885-15/s320x320/e35/c0.29.775.775/20836857_715781498611338_2043330373244420096_n.jpg</v>
      </c>
      <c r="AE590" s="249" t="str">
        <f>HYPERLINK("https://scontent.cdninstagram.com/t51.2885-19/s150x150/20688543_759236757612955_4449099417256984576_a.jpg")</f>
        <v>https://scontent.cdninstagram.com/t51.2885-19/s150x150/20688543_759236757612955_4449099417256984576_a.jpg</v>
      </c>
    </row>
    <row r="591" spans="1:31" ht="15" x14ac:dyDescent="0.25">
      <c r="A591" t="s">
        <v>2474</v>
      </c>
      <c r="B591" t="s">
        <v>6033</v>
      </c>
      <c r="C591" s="221">
        <v>42961.264756944445</v>
      </c>
      <c r="D591" t="s">
        <v>6034</v>
      </c>
      <c r="E591" s="249" t="str">
        <f>HYPERLINK("https://www.instagram.com/p/BXxUneSBu6U/")</f>
        <v>https://www.instagram.com/p/BXxUneSBu6U/</v>
      </c>
      <c r="F591" t="s">
        <v>6035</v>
      </c>
      <c r="G591" t="s">
        <v>2478</v>
      </c>
      <c r="H591">
        <v>284</v>
      </c>
      <c r="I591" t="s">
        <v>2927</v>
      </c>
      <c r="J591">
        <v>2</v>
      </c>
      <c r="K591">
        <v>38</v>
      </c>
      <c r="L591">
        <v>40</v>
      </c>
      <c r="Q591">
        <v>0</v>
      </c>
      <c r="R591">
        <v>0</v>
      </c>
      <c r="S591">
        <v>40</v>
      </c>
      <c r="T591" t="s">
        <v>6036</v>
      </c>
      <c r="V591" t="s">
        <v>2184</v>
      </c>
      <c r="W591">
        <v>35.095264090000001</v>
      </c>
      <c r="X591">
        <v>136.92338985487001</v>
      </c>
      <c r="Y591" t="s">
        <v>2906</v>
      </c>
      <c r="Z591" t="s">
        <v>2497</v>
      </c>
      <c r="AA591" t="s">
        <v>6037</v>
      </c>
      <c r="AB591" t="s">
        <v>6038</v>
      </c>
      <c r="AC591" t="s">
        <v>6039</v>
      </c>
      <c r="AD591" s="249" t="str">
        <f>HYPERLINK("https://scontent.cdninstagram.com/t51.2885-15/s320x320/e35/c0.135.1080.1080/20839025_111297272870834_984417688338038784_n.jpg")</f>
        <v>https://scontent.cdninstagram.com/t51.2885-15/s320x320/e35/c0.135.1080.1080/20839025_111297272870834_984417688338038784_n.jpg</v>
      </c>
      <c r="AE591" s="249" t="str">
        <f>HYPERLINK("https://scontent.cdninstagram.com/t51.2885-19/s150x150/19955245_927805110691886_4292633977707036672_a.jpg")</f>
        <v>https://scontent.cdninstagram.com/t51.2885-19/s150x150/19955245_927805110691886_4292633977707036672_a.jpg</v>
      </c>
    </row>
    <row r="592" spans="1:31" ht="15" x14ac:dyDescent="0.25">
      <c r="A592" t="s">
        <v>2474</v>
      </c>
      <c r="B592" t="s">
        <v>6040</v>
      </c>
      <c r="C592" s="221">
        <v>42961.278923611113</v>
      </c>
      <c r="D592" t="s">
        <v>6041</v>
      </c>
      <c r="E592" s="249" t="str">
        <f>HYPERLINK("https://www.instagram.com/p/BXxW88-nIvQ/")</f>
        <v>https://www.instagram.com/p/BXxW88-nIvQ/</v>
      </c>
      <c r="F592" t="s">
        <v>6042</v>
      </c>
      <c r="G592" t="s">
        <v>2478</v>
      </c>
      <c r="H592">
        <v>889</v>
      </c>
      <c r="I592" t="s">
        <v>4062</v>
      </c>
      <c r="J592">
        <v>2</v>
      </c>
      <c r="K592">
        <v>52</v>
      </c>
      <c r="L592">
        <v>54</v>
      </c>
      <c r="Q592">
        <v>0</v>
      </c>
      <c r="R592">
        <v>0</v>
      </c>
      <c r="S592">
        <v>54</v>
      </c>
      <c r="Y592" t="s">
        <v>6043</v>
      </c>
      <c r="Z592" t="s">
        <v>6044</v>
      </c>
      <c r="AA592" t="s">
        <v>6045</v>
      </c>
      <c r="AB592" t="s">
        <v>6046</v>
      </c>
      <c r="AC592" t="s">
        <v>2513</v>
      </c>
      <c r="AD592" s="249" t="str">
        <f>HYPERLINK("https://scontent.cdninstagram.com/t51.2885-15/s320x320/e35/20759335_1990067257942549_1707906664516026368_n.jpg")</f>
        <v>https://scontent.cdninstagram.com/t51.2885-15/s320x320/e35/20759335_1990067257942549_1707906664516026368_n.jpg</v>
      </c>
      <c r="AE592" s="249" t="str">
        <f>HYPERLINK("https://scontent.cdninstagram.com/t51.2885-19/s150x150/14712233_691268307715317_1482227775451430912_a.jpg")</f>
        <v>https://scontent.cdninstagram.com/t51.2885-19/s150x150/14712233_691268307715317_1482227775451430912_a.jpg</v>
      </c>
    </row>
    <row r="593" spans="1:31" ht="15" x14ac:dyDescent="0.25">
      <c r="A593" t="s">
        <v>2474</v>
      </c>
      <c r="B593" t="s">
        <v>2685</v>
      </c>
      <c r="C593" s="221">
        <v>42961.291631944441</v>
      </c>
      <c r="D593" t="s">
        <v>6047</v>
      </c>
      <c r="E593" s="249" t="str">
        <f>HYPERLINK("https://www.instagram.com/p/BXxZC5UFf5T/")</f>
        <v>https://www.instagram.com/p/BXxZC5UFf5T/</v>
      </c>
      <c r="F593" t="s">
        <v>6048</v>
      </c>
      <c r="G593" t="s">
        <v>2478</v>
      </c>
      <c r="H593">
        <v>218</v>
      </c>
      <c r="I593" t="s">
        <v>2479</v>
      </c>
      <c r="J593">
        <v>6</v>
      </c>
      <c r="K593">
        <v>43</v>
      </c>
      <c r="L593">
        <v>49</v>
      </c>
      <c r="Q593">
        <v>0</v>
      </c>
      <c r="R593">
        <v>0</v>
      </c>
      <c r="S593">
        <v>49</v>
      </c>
      <c r="Y593" t="s">
        <v>6049</v>
      </c>
      <c r="Z593" t="s">
        <v>6050</v>
      </c>
      <c r="AA593" t="s">
        <v>6051</v>
      </c>
      <c r="AB593" t="s">
        <v>2688</v>
      </c>
      <c r="AC593" t="s">
        <v>6052</v>
      </c>
      <c r="AD593" s="249" t="str">
        <f>HYPERLINK("https://scontent.cdninstagram.com/t51.2885-15/s320x320/e35/20766503_587410011595940_2223116810901782528_n.jpg")</f>
        <v>https://scontent.cdninstagram.com/t51.2885-15/s320x320/e35/20766503_587410011595940_2223116810901782528_n.jpg</v>
      </c>
      <c r="AE593" s="249" t="str">
        <f>HYPERLINK("https://scontent.cdninstagram.com/t51.2885-19/s150x150/12339026_997056470351354_891418646_a.jpg")</f>
        <v>https://scontent.cdninstagram.com/t51.2885-19/s150x150/12339026_997056470351354_891418646_a.jpg</v>
      </c>
    </row>
    <row r="594" spans="1:31" ht="15" x14ac:dyDescent="0.25">
      <c r="A594" t="s">
        <v>2474</v>
      </c>
      <c r="B594" t="s">
        <v>6053</v>
      </c>
      <c r="C594" s="221">
        <v>42961.291643518518</v>
      </c>
      <c r="D594" t="s">
        <v>6054</v>
      </c>
      <c r="E594" s="249" t="str">
        <f>HYPERLINK("https://www.instagram.com/p/BXxZDDXB2sf/")</f>
        <v>https://www.instagram.com/p/BXxZDDXB2sf/</v>
      </c>
      <c r="F594" t="s">
        <v>6055</v>
      </c>
      <c r="G594" t="s">
        <v>2478</v>
      </c>
      <c r="H594">
        <v>255</v>
      </c>
      <c r="I594" t="s">
        <v>2479</v>
      </c>
      <c r="J594">
        <v>0</v>
      </c>
      <c r="K594">
        <v>35</v>
      </c>
      <c r="L594">
        <v>35</v>
      </c>
      <c r="Q594">
        <v>0</v>
      </c>
      <c r="R594">
        <v>0</v>
      </c>
      <c r="S594">
        <v>35</v>
      </c>
      <c r="Y594" t="s">
        <v>4154</v>
      </c>
      <c r="Z594" t="s">
        <v>6056</v>
      </c>
      <c r="AA594" t="s">
        <v>6057</v>
      </c>
      <c r="AB594" t="s">
        <v>2497</v>
      </c>
      <c r="AC594" t="s">
        <v>2036</v>
      </c>
      <c r="AD594" s="249" t="str">
        <f>HYPERLINK("https://scontent.cdninstagram.com/t51.2885-15/s320x320/e35/20766402_119191442065592_7980118015574278144_n.jpg")</f>
        <v>https://scontent.cdninstagram.com/t51.2885-15/s320x320/e35/20766402_119191442065592_7980118015574278144_n.jpg</v>
      </c>
      <c r="AE594" s="249" t="str">
        <f>HYPERLINK("https://scontent.cdninstagram.com/t51.2885-19/s150x150/17333499_483625492027068_8806331923593953280_a.jpg")</f>
        <v>https://scontent.cdninstagram.com/t51.2885-19/s150x150/17333499_483625492027068_8806331923593953280_a.jpg</v>
      </c>
    </row>
    <row r="595" spans="1:31" ht="15" x14ac:dyDescent="0.25">
      <c r="A595" t="s">
        <v>2474</v>
      </c>
      <c r="B595" t="s">
        <v>6058</v>
      </c>
      <c r="C595" s="221">
        <v>42961.294224537036</v>
      </c>
      <c r="D595" t="s">
        <v>6059</v>
      </c>
      <c r="E595" s="249" t="str">
        <f>HYPERLINK("https://www.instagram.com/p/BXxZeOQnLKz/")</f>
        <v>https://www.instagram.com/p/BXxZeOQnLKz/</v>
      </c>
      <c r="F595" t="s">
        <v>6060</v>
      </c>
      <c r="G595" t="s">
        <v>2488</v>
      </c>
      <c r="H595">
        <v>1796</v>
      </c>
      <c r="I595" t="s">
        <v>2479</v>
      </c>
      <c r="J595">
        <v>6</v>
      </c>
      <c r="K595">
        <v>184</v>
      </c>
      <c r="L595">
        <v>190</v>
      </c>
      <c r="Q595">
        <v>0</v>
      </c>
      <c r="R595">
        <v>0</v>
      </c>
      <c r="S595">
        <v>190</v>
      </c>
      <c r="Y595" t="s">
        <v>2497</v>
      </c>
      <c r="Z595" t="s">
        <v>6061</v>
      </c>
      <c r="AD595" s="249" t="str">
        <f>HYPERLINK("https://scontent.cdninstagram.com/t51.2885-15/s320x320/e35/20838705_202241366980159_2110514485071446016_n.jpg")</f>
        <v>https://scontent.cdninstagram.com/t51.2885-15/s320x320/e35/20838705_202241366980159_2110514485071446016_n.jpg</v>
      </c>
      <c r="AE595" s="249" t="str">
        <f>HYPERLINK("https://scontent.cdninstagram.com/t51.2885-19/s150x150/20394471_133487033919125_8289851261457530880_a.jpg")</f>
        <v>https://scontent.cdninstagram.com/t51.2885-19/s150x150/20394471_133487033919125_8289851261457530880_a.jpg</v>
      </c>
    </row>
    <row r="596" spans="1:31" ht="15" x14ac:dyDescent="0.25">
      <c r="A596" t="s">
        <v>2474</v>
      </c>
      <c r="B596" t="s">
        <v>6062</v>
      </c>
      <c r="C596" s="221">
        <v>42961.296689814815</v>
      </c>
      <c r="D596" t="s">
        <v>6063</v>
      </c>
      <c r="E596" s="249" t="str">
        <f>HYPERLINK("https://www.instagram.com/p/BXxZ4O7gh-A/")</f>
        <v>https://www.instagram.com/p/BXxZ4O7gh-A/</v>
      </c>
      <c r="F596" t="s">
        <v>6064</v>
      </c>
      <c r="G596" t="s">
        <v>2478</v>
      </c>
      <c r="H596">
        <v>516</v>
      </c>
      <c r="I596" t="s">
        <v>2479</v>
      </c>
      <c r="J596">
        <v>0</v>
      </c>
      <c r="K596">
        <v>68</v>
      </c>
      <c r="L596">
        <v>68</v>
      </c>
      <c r="Q596">
        <v>0</v>
      </c>
      <c r="R596">
        <v>0</v>
      </c>
      <c r="S596">
        <v>68</v>
      </c>
      <c r="T596" t="s">
        <v>6065</v>
      </c>
      <c r="V596" t="s">
        <v>2140</v>
      </c>
      <c r="W596">
        <v>50.062959900000003</v>
      </c>
      <c r="X596">
        <v>14.42299</v>
      </c>
      <c r="Y596" t="s">
        <v>6066</v>
      </c>
      <c r="Z596" t="s">
        <v>3174</v>
      </c>
      <c r="AA596" t="s">
        <v>5492</v>
      </c>
      <c r="AB596" t="s">
        <v>6067</v>
      </c>
      <c r="AC596" t="s">
        <v>6068</v>
      </c>
      <c r="AD596" s="249" t="str">
        <f>HYPERLINK("https://scontent.cdninstagram.com/t51.2885-15/s320x320/e35/20766658_1239157616188301_4165555262742069248_n.jpg")</f>
        <v>https://scontent.cdninstagram.com/t51.2885-15/s320x320/e35/20766658_1239157616188301_4165555262742069248_n.jpg</v>
      </c>
      <c r="AE596" s="249" t="str">
        <f>HYPERLINK("https://scontent.cdninstagram.com/t51.2885-19/s150x150/13714153_890079894468719_1165827208_a.jpg")</f>
        <v>https://scontent.cdninstagram.com/t51.2885-19/s150x150/13714153_890079894468719_1165827208_a.jpg</v>
      </c>
    </row>
    <row r="597" spans="1:31" ht="15" x14ac:dyDescent="0.25">
      <c r="A597" t="s">
        <v>2474</v>
      </c>
      <c r="B597" t="s">
        <v>6069</v>
      </c>
      <c r="C597" s="221">
        <v>42961.31759259259</v>
      </c>
      <c r="D597" t="s">
        <v>6070</v>
      </c>
      <c r="E597" s="249" t="str">
        <f>HYPERLINK("https://www.instagram.com/p/BXxdUzDlses/")</f>
        <v>https://www.instagram.com/p/BXxdUzDlses/</v>
      </c>
      <c r="F597" t="s">
        <v>6071</v>
      </c>
      <c r="G597" t="s">
        <v>2478</v>
      </c>
      <c r="H597">
        <v>254</v>
      </c>
      <c r="I597" t="s">
        <v>2479</v>
      </c>
      <c r="J597">
        <v>0</v>
      </c>
      <c r="K597">
        <v>17</v>
      </c>
      <c r="L597">
        <v>17</v>
      </c>
      <c r="Q597">
        <v>0</v>
      </c>
      <c r="R597">
        <v>0</v>
      </c>
      <c r="S597">
        <v>17</v>
      </c>
      <c r="Y597" t="s">
        <v>6072</v>
      </c>
      <c r="Z597" t="s">
        <v>6073</v>
      </c>
      <c r="AA597" t="s">
        <v>6074</v>
      </c>
      <c r="AB597" t="s">
        <v>2497</v>
      </c>
      <c r="AC597" t="s">
        <v>6075</v>
      </c>
      <c r="AD597" s="249" t="str">
        <f>HYPERLINK("https://scontent.cdninstagram.com/t51.2885-15/s320x320/e35/20902309_136692386930996_3242301963148197888_n.jpg")</f>
        <v>https://scontent.cdninstagram.com/t51.2885-15/s320x320/e35/20902309_136692386930996_3242301963148197888_n.jpg</v>
      </c>
      <c r="AE597" s="249" t="str">
        <f>HYPERLINK("https://scontent.cdninstagram.com/t51.2885-19/s150x150/20394146_111139466214545_5368501956547444736_a.jpg")</f>
        <v>https://scontent.cdninstagram.com/t51.2885-19/s150x150/20394146_111139466214545_5368501956547444736_a.jpg</v>
      </c>
    </row>
    <row r="598" spans="1:31" ht="15" x14ac:dyDescent="0.25">
      <c r="A598" t="s">
        <v>2474</v>
      </c>
      <c r="B598" t="s">
        <v>3015</v>
      </c>
      <c r="C598" s="221">
        <v>42961.329212962963</v>
      </c>
      <c r="D598" t="s">
        <v>6076</v>
      </c>
      <c r="E598" s="249" t="str">
        <f>HYPERLINK("https://www.instagram.com/p/BXxfPSigiJ1/")</f>
        <v>https://www.instagram.com/p/BXxfPSigiJ1/</v>
      </c>
      <c r="F598" t="s">
        <v>6077</v>
      </c>
      <c r="G598" t="s">
        <v>2478</v>
      </c>
      <c r="H598">
        <v>176</v>
      </c>
      <c r="I598" t="s">
        <v>2479</v>
      </c>
      <c r="J598">
        <v>0</v>
      </c>
      <c r="K598">
        <v>47</v>
      </c>
      <c r="L598">
        <v>47</v>
      </c>
      <c r="Q598">
        <v>0</v>
      </c>
      <c r="R598">
        <v>0</v>
      </c>
      <c r="S598">
        <v>47</v>
      </c>
      <c r="Y598" t="s">
        <v>3571</v>
      </c>
      <c r="Z598" t="s">
        <v>3855</v>
      </c>
      <c r="AA598" t="s">
        <v>3019</v>
      </c>
      <c r="AB598" t="s">
        <v>3856</v>
      </c>
      <c r="AC598" t="s">
        <v>3020</v>
      </c>
      <c r="AD598" s="249" t="str">
        <f>HYPERLINK("https://scontent.cdninstagram.com/t51.2885-15/s320x320/e35/20759961_110442516307376_3935597065832235008_n.jpg")</f>
        <v>https://scontent.cdninstagram.com/t51.2885-15/s320x320/e35/20759961_110442516307376_3935597065832235008_n.jpg</v>
      </c>
      <c r="AE598" s="249" t="str">
        <f>HYPERLINK("https://scontent.cdninstagram.com/t51.2885-19/s150x150/19761452_1876060406050696_4275948751316582400_a.jpg")</f>
        <v>https://scontent.cdninstagram.com/t51.2885-19/s150x150/19761452_1876060406050696_4275948751316582400_a.jpg</v>
      </c>
    </row>
    <row r="599" spans="1:31" ht="15" x14ac:dyDescent="0.25">
      <c r="A599" t="s">
        <v>2474</v>
      </c>
      <c r="B599" t="s">
        <v>6078</v>
      </c>
      <c r="C599" s="221">
        <v>42961.331585648149</v>
      </c>
      <c r="D599" t="s">
        <v>6079</v>
      </c>
      <c r="E599" s="249" t="str">
        <f>HYPERLINK("https://www.instagram.com/p/BXxfoXnFuIn/")</f>
        <v>https://www.instagram.com/p/BXxfoXnFuIn/</v>
      </c>
      <c r="F599" t="s">
        <v>6080</v>
      </c>
      <c r="G599" t="s">
        <v>2478</v>
      </c>
      <c r="H599">
        <v>206</v>
      </c>
      <c r="I599" t="s">
        <v>2479</v>
      </c>
      <c r="J599">
        <v>3</v>
      </c>
      <c r="K599">
        <v>22</v>
      </c>
      <c r="L599">
        <v>25</v>
      </c>
      <c r="Q599">
        <v>0</v>
      </c>
      <c r="R599">
        <v>0</v>
      </c>
      <c r="S599">
        <v>25</v>
      </c>
      <c r="Y599" t="s">
        <v>3706</v>
      </c>
      <c r="Z599" t="s">
        <v>3277</v>
      </c>
      <c r="AA599" t="s">
        <v>6081</v>
      </c>
      <c r="AB599" t="s">
        <v>6082</v>
      </c>
      <c r="AC599" t="s">
        <v>6083</v>
      </c>
      <c r="AD599" s="249" t="str">
        <f>HYPERLINK("https://scontent.cdninstagram.com/t51.2885-15/s320x320/e35/20837153_292955374444720_304461972391329792_n.jpg")</f>
        <v>https://scontent.cdninstagram.com/t51.2885-15/s320x320/e35/20837153_292955374444720_304461972391329792_n.jpg</v>
      </c>
      <c r="AE599" s="249" t="str">
        <f>HYPERLINK("https://scontent.cdninstagram.com/t51.2885-19/s150x150/14280379_679546568875374_542410728_a.jpg")</f>
        <v>https://scontent.cdninstagram.com/t51.2885-19/s150x150/14280379_679546568875374_542410728_a.jpg</v>
      </c>
    </row>
    <row r="600" spans="1:31" ht="15" x14ac:dyDescent="0.25">
      <c r="A600" t="s">
        <v>2474</v>
      </c>
      <c r="B600" t="s">
        <v>6084</v>
      </c>
      <c r="C600" s="221">
        <v>42961.336122685185</v>
      </c>
      <c r="D600" t="s">
        <v>6085</v>
      </c>
      <c r="E600" s="249" t="str">
        <f>HYPERLINK("https://www.instagram.com/p/BXxgYMtDEj7/")</f>
        <v>https://www.instagram.com/p/BXxgYMtDEj7/</v>
      </c>
      <c r="F600" t="s">
        <v>6086</v>
      </c>
      <c r="G600" t="s">
        <v>2631</v>
      </c>
      <c r="H600">
        <v>812</v>
      </c>
      <c r="I600" t="s">
        <v>2542</v>
      </c>
      <c r="J600">
        <v>1</v>
      </c>
      <c r="K600">
        <v>22</v>
      </c>
      <c r="L600">
        <v>23</v>
      </c>
      <c r="Q600">
        <v>0</v>
      </c>
      <c r="R600">
        <v>0</v>
      </c>
      <c r="S600">
        <v>23</v>
      </c>
      <c r="Y600" t="s">
        <v>6087</v>
      </c>
      <c r="Z600" t="s">
        <v>6088</v>
      </c>
      <c r="AA600" t="s">
        <v>6089</v>
      </c>
      <c r="AB600" t="s">
        <v>6090</v>
      </c>
      <c r="AC600" t="s">
        <v>2497</v>
      </c>
      <c r="AD600" s="249" t="str">
        <f>HYPERLINK("https://scontent.cdninstagram.com/t51.2885-15/s320x320/e15/20766122_1923683791239112_4516934212334387200_n.jpg")</f>
        <v>https://scontent.cdninstagram.com/t51.2885-15/s320x320/e15/20766122_1923683791239112_4516934212334387200_n.jpg</v>
      </c>
      <c r="AE600" s="249" t="str">
        <f>HYPERLINK("https://scontent.cdninstagram.com/t51.2885-19/s150x150/18888475_1437248429647910_4534763368904392704_a.jpg")</f>
        <v>https://scontent.cdninstagram.com/t51.2885-19/s150x150/18888475_1437248429647910_4534763368904392704_a.jpg</v>
      </c>
    </row>
    <row r="601" spans="1:31" ht="15" x14ac:dyDescent="0.25">
      <c r="A601" t="s">
        <v>2474</v>
      </c>
      <c r="B601" t="s">
        <v>3993</v>
      </c>
      <c r="C601" s="221">
        <v>42961.339618055557</v>
      </c>
      <c r="D601" t="s">
        <v>6091</v>
      </c>
      <c r="E601" s="249" t="str">
        <f>HYPERLINK("https://www.instagram.com/p/BXxg8_Sg6Ss/")</f>
        <v>https://www.instagram.com/p/BXxg8_Sg6Ss/</v>
      </c>
      <c r="F601" t="s">
        <v>6092</v>
      </c>
      <c r="G601" t="s">
        <v>2478</v>
      </c>
      <c r="H601">
        <v>5003</v>
      </c>
      <c r="I601" t="s">
        <v>2479</v>
      </c>
      <c r="J601">
        <v>5</v>
      </c>
      <c r="K601">
        <v>45</v>
      </c>
      <c r="L601">
        <v>50</v>
      </c>
      <c r="Q601">
        <v>0</v>
      </c>
      <c r="R601">
        <v>0</v>
      </c>
      <c r="S601">
        <v>50</v>
      </c>
      <c r="Y601" t="s">
        <v>3997</v>
      </c>
      <c r="Z601" t="s">
        <v>4380</v>
      </c>
      <c r="AA601" t="s">
        <v>6093</v>
      </c>
      <c r="AB601" t="s">
        <v>3996</v>
      </c>
      <c r="AC601" t="s">
        <v>6094</v>
      </c>
      <c r="AD601" s="249" t="str">
        <f>HYPERLINK("https://scontent.cdninstagram.com/t51.2885-15/s320x320/e35/20759336_302513026878960_2798663181847756800_n.jpg")</f>
        <v>https://scontent.cdninstagram.com/t51.2885-15/s320x320/e35/20759336_302513026878960_2798663181847756800_n.jpg</v>
      </c>
      <c r="AE601" s="249" t="str">
        <f>HYPERLINK("https://scontent.cdninstagram.com/t51.2885-19/s150x150/20590168_732024603636467_1659654334738071552_a.jpg")</f>
        <v>https://scontent.cdninstagram.com/t51.2885-19/s150x150/20590168_732024603636467_1659654334738071552_a.jpg</v>
      </c>
    </row>
    <row r="602" spans="1:31" ht="15" x14ac:dyDescent="0.25">
      <c r="A602" t="s">
        <v>2474</v>
      </c>
      <c r="B602" t="s">
        <v>6095</v>
      </c>
      <c r="C602" s="221">
        <v>42961.345127314817</v>
      </c>
      <c r="D602" t="s">
        <v>6096</v>
      </c>
      <c r="E602" s="249" t="str">
        <f>HYPERLINK("https://www.instagram.com/p/BXxh3I_l5O8/")</f>
        <v>https://www.instagram.com/p/BXxh3I_l5O8/</v>
      </c>
      <c r="F602" t="s">
        <v>6097</v>
      </c>
      <c r="G602" t="s">
        <v>2478</v>
      </c>
      <c r="H602">
        <v>3191</v>
      </c>
      <c r="I602" t="s">
        <v>2479</v>
      </c>
      <c r="J602">
        <v>0</v>
      </c>
      <c r="K602">
        <v>146</v>
      </c>
      <c r="L602">
        <v>146</v>
      </c>
      <c r="Q602">
        <v>0</v>
      </c>
      <c r="R602">
        <v>0</v>
      </c>
      <c r="S602">
        <v>146</v>
      </c>
      <c r="T602" t="s">
        <v>6098</v>
      </c>
      <c r="U602" t="s">
        <v>126</v>
      </c>
      <c r="V602" t="s">
        <v>2299</v>
      </c>
      <c r="W602">
        <v>34.139400000000002</v>
      </c>
      <c r="X602">
        <v>-117.461</v>
      </c>
      <c r="Y602" t="s">
        <v>6099</v>
      </c>
      <c r="Z602" t="s">
        <v>6100</v>
      </c>
      <c r="AA602" t="s">
        <v>6101</v>
      </c>
      <c r="AB602" t="s">
        <v>6102</v>
      </c>
      <c r="AC602" t="s">
        <v>6103</v>
      </c>
      <c r="AD602" s="249" t="str">
        <f>HYPERLINK("https://scontent.cdninstagram.com/t51.2885-15/s320x320/e35/20759544_111732432821782_4961638897143513088_n.jpg")</f>
        <v>https://scontent.cdninstagram.com/t51.2885-15/s320x320/e35/20759544_111732432821782_4961638897143513088_n.jpg</v>
      </c>
      <c r="AE602" s="249" t="str">
        <f>HYPERLINK("https://scontent.cdninstagram.com/t51.2885-19/s150x150/18380724_1883674111855633_4701415830930325504_a.jpg")</f>
        <v>https://scontent.cdninstagram.com/t51.2885-19/s150x150/18380724_1883674111855633_4701415830930325504_a.jpg</v>
      </c>
    </row>
    <row r="603" spans="1:31" ht="15" x14ac:dyDescent="0.25">
      <c r="A603" t="s">
        <v>2474</v>
      </c>
      <c r="B603" t="s">
        <v>6104</v>
      </c>
      <c r="C603" s="221">
        <v>42961.349872685183</v>
      </c>
      <c r="D603" t="s">
        <v>6105</v>
      </c>
      <c r="E603" s="249" t="str">
        <f>HYPERLINK("https://www.instagram.com/p/BXxipKml2qG/")</f>
        <v>https://www.instagram.com/p/BXxipKml2qG/</v>
      </c>
      <c r="F603" t="s">
        <v>6106</v>
      </c>
      <c r="G603" t="s">
        <v>2478</v>
      </c>
      <c r="H603">
        <v>14</v>
      </c>
      <c r="I603" t="s">
        <v>2786</v>
      </c>
      <c r="J603">
        <v>0</v>
      </c>
      <c r="K603">
        <v>0</v>
      </c>
      <c r="L603">
        <v>0</v>
      </c>
      <c r="Q603">
        <v>0</v>
      </c>
      <c r="R603">
        <v>0</v>
      </c>
      <c r="S603">
        <v>0</v>
      </c>
      <c r="Y603" t="s">
        <v>6107</v>
      </c>
      <c r="Z603" t="s">
        <v>2497</v>
      </c>
      <c r="AA603" t="s">
        <v>2492</v>
      </c>
      <c r="AD603" s="249" t="str">
        <f>HYPERLINK("https://scontent.cdninstagram.com/t51.2885-15/s320x320/e35/20838183_1939622829625538_7365534575205810176_n.jpg")</f>
        <v>https://scontent.cdninstagram.com/t51.2885-15/s320x320/e35/20838183_1939622829625538_7365534575205810176_n.jpg</v>
      </c>
      <c r="AE603" s="249" t="str">
        <f>HYPERLINK("https://scontent.cdninstagram.com/t51.2885-19/s150x150/13534202_1130002673726923_61789399_a.jpg")</f>
        <v>https://scontent.cdninstagram.com/t51.2885-19/s150x150/13534202_1130002673726923_61789399_a.jpg</v>
      </c>
    </row>
    <row r="604" spans="1:31" ht="15" x14ac:dyDescent="0.25">
      <c r="A604" t="s">
        <v>2474</v>
      </c>
      <c r="B604" t="s">
        <v>6108</v>
      </c>
      <c r="C604" s="221">
        <v>42961.352731481478</v>
      </c>
      <c r="D604" t="s">
        <v>6109</v>
      </c>
      <c r="E604" s="249" t="str">
        <f>HYPERLINK("https://www.instagram.com/p/BXxjHX3j7jw/")</f>
        <v>https://www.instagram.com/p/BXxjHX3j7jw/</v>
      </c>
      <c r="F604" t="s">
        <v>6110</v>
      </c>
      <c r="G604" t="s">
        <v>2478</v>
      </c>
      <c r="H604">
        <v>2721</v>
      </c>
      <c r="I604" t="s">
        <v>2479</v>
      </c>
      <c r="J604">
        <v>0</v>
      </c>
      <c r="K604">
        <v>26</v>
      </c>
      <c r="L604">
        <v>26</v>
      </c>
      <c r="Q604">
        <v>0</v>
      </c>
      <c r="R604">
        <v>0</v>
      </c>
      <c r="S604">
        <v>26</v>
      </c>
      <c r="Y604" t="s">
        <v>6111</v>
      </c>
      <c r="Z604" t="s">
        <v>2497</v>
      </c>
      <c r="AD604" s="249" t="str">
        <f>HYPERLINK("https://scontent.cdninstagram.com/t51.2885-15/s320x320/e35/c0.8.657.657/20766126_389298121473501_2811876674503704576_n.jpg")</f>
        <v>https://scontent.cdninstagram.com/t51.2885-15/s320x320/e35/c0.8.657.657/20766126_389298121473501_2811876674503704576_n.jpg</v>
      </c>
      <c r="AE604" s="249" t="str">
        <f>HYPERLINK("https://scontent.cdninstagram.com/t51.2885-19/s150x150/16110360_100663137114880_3477325824875560960_n.jpg")</f>
        <v>https://scontent.cdninstagram.com/t51.2885-19/s150x150/16110360_100663137114880_3477325824875560960_n.jpg</v>
      </c>
    </row>
    <row r="605" spans="1:31" ht="15" x14ac:dyDescent="0.25">
      <c r="A605" t="s">
        <v>2474</v>
      </c>
      <c r="B605" t="s">
        <v>6112</v>
      </c>
      <c r="C605" s="221">
        <v>42961.356168981481</v>
      </c>
      <c r="D605" t="s">
        <v>6113</v>
      </c>
      <c r="E605" s="249" t="str">
        <f>HYPERLINK("https://www.instagram.com/p/BXxjrp4F164/")</f>
        <v>https://www.instagram.com/p/BXxjrp4F164/</v>
      </c>
      <c r="F605" t="s">
        <v>6114</v>
      </c>
      <c r="G605" t="s">
        <v>2478</v>
      </c>
      <c r="H605">
        <v>262</v>
      </c>
      <c r="I605" t="s">
        <v>2479</v>
      </c>
      <c r="J605">
        <v>0</v>
      </c>
      <c r="K605">
        <v>36</v>
      </c>
      <c r="L605">
        <v>36</v>
      </c>
      <c r="Q605">
        <v>0</v>
      </c>
      <c r="R605">
        <v>0</v>
      </c>
      <c r="S605">
        <v>36</v>
      </c>
      <c r="Y605" t="s">
        <v>3213</v>
      </c>
      <c r="Z605" t="s">
        <v>6115</v>
      </c>
      <c r="AA605" t="s">
        <v>6116</v>
      </c>
      <c r="AB605" t="s">
        <v>6117</v>
      </c>
      <c r="AC605" t="s">
        <v>4370</v>
      </c>
      <c r="AD605" s="249" t="str">
        <f>HYPERLINK("https://scontent.cdninstagram.com/t51.2885-15/s320x320/e35/20759869_355301358235204_1005546715526201344_n.jpg")</f>
        <v>https://scontent.cdninstagram.com/t51.2885-15/s320x320/e35/20759869_355301358235204_1005546715526201344_n.jpg</v>
      </c>
      <c r="AE605" s="249" t="str">
        <f>HYPERLINK("https://scontent.cdninstagram.com/t51.2885-19/s150x150/18646667_110432082879546_2543650709828534272_a.jpg")</f>
        <v>https://scontent.cdninstagram.com/t51.2885-19/s150x150/18646667_110432082879546_2543650709828534272_a.jpg</v>
      </c>
    </row>
    <row r="606" spans="1:31" ht="15" x14ac:dyDescent="0.25">
      <c r="A606" t="s">
        <v>2474</v>
      </c>
      <c r="B606" t="s">
        <v>5261</v>
      </c>
      <c r="C606" s="221">
        <v>42961.37835648148</v>
      </c>
      <c r="D606" t="s">
        <v>6118</v>
      </c>
      <c r="E606" s="249" t="str">
        <f>HYPERLINK("https://www.instagram.com/p/BXxnVm7F6Mm/")</f>
        <v>https://www.instagram.com/p/BXxnVm7F6Mm/</v>
      </c>
      <c r="F606" t="s">
        <v>6119</v>
      </c>
      <c r="G606" t="s">
        <v>2478</v>
      </c>
      <c r="H606">
        <v>468</v>
      </c>
      <c r="I606" t="s">
        <v>2479</v>
      </c>
      <c r="J606">
        <v>1</v>
      </c>
      <c r="K606">
        <v>162</v>
      </c>
      <c r="L606">
        <v>163</v>
      </c>
      <c r="Q606">
        <v>0</v>
      </c>
      <c r="R606">
        <v>0</v>
      </c>
      <c r="S606">
        <v>163</v>
      </c>
      <c r="T606" t="s">
        <v>5264</v>
      </c>
      <c r="V606" t="s">
        <v>2243</v>
      </c>
      <c r="W606">
        <v>44.173299999999998</v>
      </c>
      <c r="X606">
        <v>28.638300000000001</v>
      </c>
      <c r="Y606" t="s">
        <v>6120</v>
      </c>
      <c r="Z606" t="s">
        <v>6121</v>
      </c>
      <c r="AA606" t="s">
        <v>4622</v>
      </c>
      <c r="AB606" t="s">
        <v>6122</v>
      </c>
      <c r="AC606" t="s">
        <v>6123</v>
      </c>
      <c r="AD606" s="249" t="str">
        <f>HYPERLINK("https://scontent.cdninstagram.com/t51.2885-15/s320x320/e35/20766235_384557998625471_9210103937984626688_n.jpg")</f>
        <v>https://scontent.cdninstagram.com/t51.2885-15/s320x320/e35/20766235_384557998625471_9210103937984626688_n.jpg</v>
      </c>
      <c r="AE606" s="249" t="str">
        <f>HYPERLINK("https://scontent.cdninstagram.com/t51.2885-19/s150x150/16788798_1401910399882033_8612748569218121728_a.jpg")</f>
        <v>https://scontent.cdninstagram.com/t51.2885-19/s150x150/16788798_1401910399882033_8612748569218121728_a.jpg</v>
      </c>
    </row>
    <row r="607" spans="1:31" ht="15" x14ac:dyDescent="0.25">
      <c r="A607" t="s">
        <v>2474</v>
      </c>
      <c r="B607" t="s">
        <v>6124</v>
      </c>
      <c r="C607" s="221">
        <v>42961.379062499997</v>
      </c>
      <c r="D607" t="s">
        <v>6125</v>
      </c>
      <c r="E607" s="249" t="str">
        <f>HYPERLINK("https://www.instagram.com/p/BXxndGklJ0n/")</f>
        <v>https://www.instagram.com/p/BXxndGklJ0n/</v>
      </c>
      <c r="F607" t="s">
        <v>6126</v>
      </c>
      <c r="G607" t="s">
        <v>2478</v>
      </c>
      <c r="H607">
        <v>1533</v>
      </c>
      <c r="I607" t="s">
        <v>2479</v>
      </c>
      <c r="J607">
        <v>35</v>
      </c>
      <c r="K607">
        <v>199</v>
      </c>
      <c r="L607">
        <v>234</v>
      </c>
      <c r="Q607">
        <v>0</v>
      </c>
      <c r="R607">
        <v>0</v>
      </c>
      <c r="S607">
        <v>234</v>
      </c>
      <c r="T607" t="s">
        <v>6127</v>
      </c>
      <c r="U607" t="s">
        <v>2020</v>
      </c>
      <c r="V607" t="s">
        <v>2299</v>
      </c>
      <c r="W607">
        <v>44.910829999999997</v>
      </c>
      <c r="X607">
        <v>-116.10306</v>
      </c>
      <c r="Y607" t="s">
        <v>6128</v>
      </c>
      <c r="Z607" t="s">
        <v>6129</v>
      </c>
      <c r="AA607" t="s">
        <v>2497</v>
      </c>
      <c r="AB607" t="s">
        <v>6130</v>
      </c>
      <c r="AC607" t="s">
        <v>5989</v>
      </c>
      <c r="AD607" s="249" t="str">
        <f>HYPERLINK("https://scontent.cdninstagram.com/t51.2885-15/s320x320/e35/20766341_345654685871587_3907918625834532864_n.jpg")</f>
        <v>https://scontent.cdninstagram.com/t51.2885-15/s320x320/e35/20766341_345654685871587_3907918625834532864_n.jpg</v>
      </c>
      <c r="AE607" s="249" t="str">
        <f>HYPERLINK("https://scontent.cdninstagram.com/t51.2885-19/s150x150/19379542_333730457056746_4751759668047511552_a.jpg")</f>
        <v>https://scontent.cdninstagram.com/t51.2885-19/s150x150/19379542_333730457056746_4751759668047511552_a.jpg</v>
      </c>
    </row>
    <row r="608" spans="1:31" ht="15" x14ac:dyDescent="0.25">
      <c r="A608" t="s">
        <v>2474</v>
      </c>
      <c r="B608" t="s">
        <v>2588</v>
      </c>
      <c r="C608" s="221">
        <v>42961.384050925924</v>
      </c>
      <c r="D608" t="s">
        <v>6131</v>
      </c>
      <c r="E608" s="249" t="str">
        <f>HYPERLINK("https://www.instagram.com/p/BXxoRqZAg51/")</f>
        <v>https://www.instagram.com/p/BXxoRqZAg51/</v>
      </c>
      <c r="F608" t="s">
        <v>6132</v>
      </c>
      <c r="G608" t="s">
        <v>2478</v>
      </c>
      <c r="H608">
        <v>269</v>
      </c>
      <c r="I608" t="s">
        <v>2479</v>
      </c>
      <c r="J608">
        <v>13</v>
      </c>
      <c r="K608">
        <v>31</v>
      </c>
      <c r="L608">
        <v>44</v>
      </c>
      <c r="Q608">
        <v>0</v>
      </c>
      <c r="R608">
        <v>0</v>
      </c>
      <c r="S608">
        <v>44</v>
      </c>
      <c r="AD608" s="249" t="str">
        <f>HYPERLINK("https://scontent.cdninstagram.com/t51.2885-15/s320x320/e35/c33.0.574.574/20838922_458567201209120_8944985322018570240_n.jpg")</f>
        <v>https://scontent.cdninstagram.com/t51.2885-15/s320x320/e35/c33.0.574.574/20838922_458567201209120_8944985322018570240_n.jpg</v>
      </c>
      <c r="AE608" s="249" t="str">
        <f>HYPERLINK("https://scontent.cdninstagram.com/t51.2885-19/s150x150/20633561_108840983138666_5897549723056734208_a.jpg")</f>
        <v>https://scontent.cdninstagram.com/t51.2885-19/s150x150/20633561_108840983138666_5897549723056734208_a.jpg</v>
      </c>
    </row>
    <row r="609" spans="1:31" ht="15" x14ac:dyDescent="0.25">
      <c r="A609" t="s">
        <v>2474</v>
      </c>
      <c r="B609" t="s">
        <v>6133</v>
      </c>
      <c r="C609" s="221">
        <v>42961.405810185184</v>
      </c>
      <c r="D609" t="s">
        <v>6134</v>
      </c>
      <c r="E609" s="249" t="str">
        <f>HYPERLINK("https://www.instagram.com/p/BXxr3NJHX4Z/")</f>
        <v>https://www.instagram.com/p/BXxr3NJHX4Z/</v>
      </c>
      <c r="F609" t="s">
        <v>6135</v>
      </c>
      <c r="G609" t="s">
        <v>2478</v>
      </c>
      <c r="H609">
        <v>572</v>
      </c>
      <c r="I609" t="s">
        <v>2896</v>
      </c>
      <c r="J609">
        <v>0</v>
      </c>
      <c r="K609">
        <v>51</v>
      </c>
      <c r="L609">
        <v>51</v>
      </c>
      <c r="Q609">
        <v>0</v>
      </c>
      <c r="R609">
        <v>0</v>
      </c>
      <c r="S609">
        <v>51</v>
      </c>
      <c r="Y609" t="s">
        <v>6136</v>
      </c>
      <c r="Z609" t="s">
        <v>6137</v>
      </c>
      <c r="AA609" t="s">
        <v>6138</v>
      </c>
      <c r="AB609" t="s">
        <v>6139</v>
      </c>
      <c r="AC609" t="s">
        <v>2866</v>
      </c>
      <c r="AD609" s="249" t="str">
        <f>HYPERLINK("https://scontent.cdninstagram.com/t51.2885-15/s320x320/e35/c0.135.1080.1080/20837792_110384856334828_2850787197009788928_n.jpg")</f>
        <v>https://scontent.cdninstagram.com/t51.2885-15/s320x320/e35/c0.135.1080.1080/20837792_110384856334828_2850787197009788928_n.jpg</v>
      </c>
      <c r="AE609" s="249" t="str">
        <f>HYPERLINK("https://scontent.cdninstagram.com/t51.2885-19/s150x150/15534852_1803395129981017_3028456752661135360_a.jpg")</f>
        <v>https://scontent.cdninstagram.com/t51.2885-19/s150x150/15534852_1803395129981017_3028456752661135360_a.jpg</v>
      </c>
    </row>
    <row r="610" spans="1:31" ht="15" x14ac:dyDescent="0.25">
      <c r="A610" t="s">
        <v>2474</v>
      </c>
      <c r="B610" t="s">
        <v>6140</v>
      </c>
      <c r="C610" s="221">
        <v>42961.409236111111</v>
      </c>
      <c r="D610" t="s">
        <v>6141</v>
      </c>
      <c r="E610" s="249" t="str">
        <f>HYPERLINK("https://www.instagram.com/p/BXxsbVjliSL/")</f>
        <v>https://www.instagram.com/p/BXxsbVjliSL/</v>
      </c>
      <c r="F610" t="s">
        <v>6142</v>
      </c>
      <c r="G610" t="s">
        <v>2478</v>
      </c>
      <c r="H610">
        <v>175</v>
      </c>
      <c r="I610" t="s">
        <v>2542</v>
      </c>
      <c r="J610">
        <v>1</v>
      </c>
      <c r="K610">
        <v>19</v>
      </c>
      <c r="L610">
        <v>20</v>
      </c>
      <c r="Q610">
        <v>0</v>
      </c>
      <c r="R610">
        <v>0</v>
      </c>
      <c r="S610">
        <v>20</v>
      </c>
      <c r="Y610" t="s">
        <v>5162</v>
      </c>
      <c r="Z610" t="s">
        <v>3262</v>
      </c>
      <c r="AA610" t="s">
        <v>2497</v>
      </c>
      <c r="AB610" t="s">
        <v>6045</v>
      </c>
      <c r="AC610" t="s">
        <v>6143</v>
      </c>
      <c r="AD610" s="249" t="str">
        <f>HYPERLINK("https://scontent.cdninstagram.com/t51.2885-15/s320x320/e35/20836902_281123025628574_2865289587876429824_n.jpg")</f>
        <v>https://scontent.cdninstagram.com/t51.2885-15/s320x320/e35/20836902_281123025628574_2865289587876429824_n.jpg</v>
      </c>
      <c r="AE610" s="249" t="str">
        <f>HYPERLINK("https://scontent.cdninstagram.com/t51.2885-19/s150x150/20482499_158697381369321_1823736855837802496_a.jpg")</f>
        <v>https://scontent.cdninstagram.com/t51.2885-19/s150x150/20482499_158697381369321_1823736855837802496_a.jpg</v>
      </c>
    </row>
    <row r="611" spans="1:31" ht="15" x14ac:dyDescent="0.25">
      <c r="A611" t="s">
        <v>2474</v>
      </c>
      <c r="B611" t="s">
        <v>2907</v>
      </c>
      <c r="C611" s="221">
        <v>42961.426666666666</v>
      </c>
      <c r="D611" t="s">
        <v>6144</v>
      </c>
      <c r="E611" s="249" t="str">
        <f>HYPERLINK("https://www.instagram.com/p/BXxvTGLANhj/")</f>
        <v>https://www.instagram.com/p/BXxvTGLANhj/</v>
      </c>
      <c r="F611" t="s">
        <v>6145</v>
      </c>
      <c r="G611" t="s">
        <v>2631</v>
      </c>
      <c r="H611">
        <v>75</v>
      </c>
      <c r="I611" t="s">
        <v>2479</v>
      </c>
      <c r="J611">
        <v>2</v>
      </c>
      <c r="K611">
        <v>30</v>
      </c>
      <c r="L611">
        <v>32</v>
      </c>
      <c r="Q611">
        <v>0</v>
      </c>
      <c r="R611">
        <v>0</v>
      </c>
      <c r="S611">
        <v>32</v>
      </c>
      <c r="Y611" t="s">
        <v>2827</v>
      </c>
      <c r="Z611" t="s">
        <v>6146</v>
      </c>
      <c r="AA611" t="s">
        <v>6147</v>
      </c>
      <c r="AB611" t="s">
        <v>2497</v>
      </c>
      <c r="AC611" t="s">
        <v>4760</v>
      </c>
      <c r="AD611" s="249" t="str">
        <f>HYPERLINK("https://scontent.cdninstagram.com/t51.2885-15/s320x320/e15/c0.90.720.720/20836955_103053860421957_4610744355437674496_n.jpg")</f>
        <v>https://scontent.cdninstagram.com/t51.2885-15/s320x320/e15/c0.90.720.720/20836955_103053860421957_4610744355437674496_n.jpg</v>
      </c>
      <c r="AE611" s="249" t="str">
        <f>HYPERLINK("https://scontent.cdninstagram.com/t51.2885-19/s150x150/12357630_513986308780959_401409989_a.jpg")</f>
        <v>https://scontent.cdninstagram.com/t51.2885-19/s150x150/12357630_513986308780959_401409989_a.jpg</v>
      </c>
    </row>
    <row r="612" spans="1:31" ht="15" x14ac:dyDescent="0.25">
      <c r="A612" t="s">
        <v>2474</v>
      </c>
      <c r="B612" t="s">
        <v>6148</v>
      </c>
      <c r="C612" s="221">
        <v>42961.427488425928</v>
      </c>
      <c r="D612" t="s">
        <v>6149</v>
      </c>
      <c r="E612" s="249" t="str">
        <f>HYPERLINK("https://www.instagram.com/p/BXxvbyelSDN/")</f>
        <v>https://www.instagram.com/p/BXxvbyelSDN/</v>
      </c>
      <c r="F612" t="s">
        <v>6150</v>
      </c>
      <c r="G612" t="s">
        <v>2478</v>
      </c>
      <c r="H612">
        <v>547</v>
      </c>
      <c r="I612" t="s">
        <v>2479</v>
      </c>
      <c r="J612">
        <v>1</v>
      </c>
      <c r="K612">
        <v>11</v>
      </c>
      <c r="L612">
        <v>12</v>
      </c>
      <c r="Q612">
        <v>0</v>
      </c>
      <c r="R612">
        <v>0</v>
      </c>
      <c r="S612">
        <v>12</v>
      </c>
      <c r="Y612" t="s">
        <v>6151</v>
      </c>
      <c r="Z612" t="s">
        <v>6152</v>
      </c>
      <c r="AA612" t="s">
        <v>4833</v>
      </c>
      <c r="AB612" t="s">
        <v>6153</v>
      </c>
      <c r="AC612" t="s">
        <v>2497</v>
      </c>
      <c r="AD612" s="249" t="str">
        <f>HYPERLINK("https://scontent.cdninstagram.com/t51.2885-15/s320x320/e35/20838242_509771766031601_7536884159495536640_n.jpg")</f>
        <v>https://scontent.cdninstagram.com/t51.2885-15/s320x320/e35/20838242_509771766031601_7536884159495536640_n.jpg</v>
      </c>
      <c r="AE612" s="249" t="str">
        <f>HYPERLINK("https://scontent.cdninstagram.com/t51.2885-19/s150x150/20766528_111183732888081_5633058043466874880_a.jpg")</f>
        <v>https://scontent.cdninstagram.com/t51.2885-19/s150x150/20766528_111183732888081_5633058043466874880_a.jpg</v>
      </c>
    </row>
    <row r="613" spans="1:31" ht="15" x14ac:dyDescent="0.25">
      <c r="A613" t="s">
        <v>2474</v>
      </c>
      <c r="B613" t="s">
        <v>6154</v>
      </c>
      <c r="C613" s="221">
        <v>42961.430300925924</v>
      </c>
      <c r="D613" t="s">
        <v>6155</v>
      </c>
      <c r="E613" s="249" t="str">
        <f>HYPERLINK("https://www.instagram.com/p/BXxv5cLgpau/")</f>
        <v>https://www.instagram.com/p/BXxv5cLgpau/</v>
      </c>
      <c r="F613" t="s">
        <v>6156</v>
      </c>
      <c r="G613" t="s">
        <v>2478</v>
      </c>
      <c r="H613">
        <v>68</v>
      </c>
      <c r="I613" t="s">
        <v>2479</v>
      </c>
      <c r="J613">
        <v>0</v>
      </c>
      <c r="K613">
        <v>12</v>
      </c>
      <c r="L613">
        <v>12</v>
      </c>
      <c r="Q613">
        <v>0</v>
      </c>
      <c r="R613">
        <v>0</v>
      </c>
      <c r="S613">
        <v>12</v>
      </c>
      <c r="T613" t="s">
        <v>6157</v>
      </c>
      <c r="V613" t="s">
        <v>2270</v>
      </c>
      <c r="W613">
        <v>59.35</v>
      </c>
      <c r="X613">
        <v>18.066700000000001</v>
      </c>
      <c r="Y613" t="s">
        <v>3671</v>
      </c>
      <c r="Z613" t="s">
        <v>6158</v>
      </c>
      <c r="AA613" t="s">
        <v>6159</v>
      </c>
      <c r="AB613" t="s">
        <v>2497</v>
      </c>
      <c r="AC613" t="s">
        <v>6160</v>
      </c>
      <c r="AD613" s="249" t="str">
        <f>HYPERLINK("https://scontent.cdninstagram.com/t51.2885-15/s320x320/e35/20837345_274715143014628_1928950579493601280_n.jpg")</f>
        <v>https://scontent.cdninstagram.com/t51.2885-15/s320x320/e35/20837345_274715143014628_1928950579493601280_n.jpg</v>
      </c>
      <c r="AE613" s="249" t="str">
        <f>HYPERLINK("https://scontent.cdninstagram.com/t51.2885-19/s150x150/20759467_356706904765019_6823666911138545664_a.jpg")</f>
        <v>https://scontent.cdninstagram.com/t51.2885-19/s150x150/20759467_356706904765019_6823666911138545664_a.jpg</v>
      </c>
    </row>
    <row r="614" spans="1:31" ht="15" x14ac:dyDescent="0.25">
      <c r="A614" t="s">
        <v>2474</v>
      </c>
      <c r="B614" t="s">
        <v>6161</v>
      </c>
      <c r="C614" s="221">
        <v>42961.433622685188</v>
      </c>
      <c r="D614" t="s">
        <v>6162</v>
      </c>
      <c r="E614" s="249" t="str">
        <f>HYPERLINK("https://www.instagram.com/p/BXxwcfLhrFW/")</f>
        <v>https://www.instagram.com/p/BXxwcfLhrFW/</v>
      </c>
      <c r="F614" t="s">
        <v>6163</v>
      </c>
      <c r="G614" t="s">
        <v>2478</v>
      </c>
      <c r="H614">
        <v>853</v>
      </c>
      <c r="I614" t="s">
        <v>2542</v>
      </c>
      <c r="J614">
        <v>4</v>
      </c>
      <c r="K614">
        <v>42</v>
      </c>
      <c r="L614">
        <v>46</v>
      </c>
      <c r="Q614">
        <v>0</v>
      </c>
      <c r="R614">
        <v>0</v>
      </c>
      <c r="S614">
        <v>46</v>
      </c>
      <c r="Y614" t="s">
        <v>2497</v>
      </c>
      <c r="Z614" t="s">
        <v>5552</v>
      </c>
      <c r="AA614" t="s">
        <v>5645</v>
      </c>
      <c r="AB614" t="s">
        <v>6164</v>
      </c>
      <c r="AC614" t="s">
        <v>6165</v>
      </c>
      <c r="AD614" s="249" t="str">
        <f>HYPERLINK("https://scontent.cdninstagram.com/t51.2885-15/s320x320/e35/20759675_266180373880629_3660392767143542784_n.jpg")</f>
        <v>https://scontent.cdninstagram.com/t51.2885-15/s320x320/e35/20759675_266180373880629_3660392767143542784_n.jpg</v>
      </c>
      <c r="AE614" s="249" t="str">
        <f>HYPERLINK("https://scontent.cdninstagram.com/t51.2885-19/s150x150/21042350_490817294630065_1816777956551294976_a.jpg")</f>
        <v>https://scontent.cdninstagram.com/t51.2885-19/s150x150/21042350_490817294630065_1816777956551294976_a.jpg</v>
      </c>
    </row>
    <row r="615" spans="1:31" ht="15" x14ac:dyDescent="0.25">
      <c r="A615" t="s">
        <v>2474</v>
      </c>
      <c r="B615" t="s">
        <v>6166</v>
      </c>
      <c r="C615" s="221">
        <v>42961.437106481484</v>
      </c>
      <c r="D615" t="s">
        <v>6167</v>
      </c>
      <c r="E615" s="249" t="str">
        <f>HYPERLINK("https://www.instagram.com/p/BXxxBSODjo4/")</f>
        <v>https://www.instagram.com/p/BXxxBSODjo4/</v>
      </c>
      <c r="F615" t="s">
        <v>6168</v>
      </c>
      <c r="G615" t="s">
        <v>2478</v>
      </c>
      <c r="H615">
        <v>215</v>
      </c>
      <c r="I615" t="s">
        <v>2542</v>
      </c>
      <c r="J615">
        <v>1</v>
      </c>
      <c r="K615">
        <v>31</v>
      </c>
      <c r="L615">
        <v>32</v>
      </c>
      <c r="Q615">
        <v>0</v>
      </c>
      <c r="R615">
        <v>0</v>
      </c>
      <c r="S615">
        <v>32</v>
      </c>
      <c r="Y615" t="s">
        <v>6169</v>
      </c>
      <c r="Z615" t="s">
        <v>6170</v>
      </c>
      <c r="AA615" t="s">
        <v>6171</v>
      </c>
      <c r="AB615" t="s">
        <v>2497</v>
      </c>
      <c r="AC615" t="s">
        <v>6172</v>
      </c>
      <c r="AD615" s="249" t="str">
        <f>HYPERLINK("https://scontent.cdninstagram.com/t51.2885-15/s320x320/e35/20838235_1505959839497437_8295762223083552768_n.jpg")</f>
        <v>https://scontent.cdninstagram.com/t51.2885-15/s320x320/e35/20838235_1505959839497437_8295762223083552768_n.jpg</v>
      </c>
      <c r="AE615" s="249" t="str">
        <f>HYPERLINK("https://scontent.cdninstagram.com/t51.2885-19/s150x150/20065401_104382190228479_3280473553710874624_a.jpg")</f>
        <v>https://scontent.cdninstagram.com/t51.2885-19/s150x150/20065401_104382190228479_3280473553710874624_a.jpg</v>
      </c>
    </row>
    <row r="616" spans="1:31" ht="15" x14ac:dyDescent="0.25">
      <c r="A616" t="s">
        <v>2474</v>
      </c>
      <c r="B616" t="s">
        <v>6173</v>
      </c>
      <c r="C616" s="221">
        <v>42961.437199074076</v>
      </c>
      <c r="D616" t="s">
        <v>6174</v>
      </c>
      <c r="E616" s="249" t="str">
        <f>HYPERLINK("https://www.instagram.com/p/BXxxCMoBgHC/")</f>
        <v>https://www.instagram.com/p/BXxxCMoBgHC/</v>
      </c>
      <c r="F616" t="s">
        <v>6175</v>
      </c>
      <c r="G616" t="s">
        <v>2478</v>
      </c>
      <c r="H616">
        <v>1402</v>
      </c>
      <c r="I616" t="s">
        <v>2479</v>
      </c>
      <c r="J616">
        <v>0</v>
      </c>
      <c r="K616">
        <v>79</v>
      </c>
      <c r="L616">
        <v>79</v>
      </c>
      <c r="Q616">
        <v>0</v>
      </c>
      <c r="R616">
        <v>0</v>
      </c>
      <c r="S616">
        <v>79</v>
      </c>
      <c r="Y616" t="s">
        <v>2497</v>
      </c>
      <c r="Z616" t="s">
        <v>6176</v>
      </c>
      <c r="AD616" s="249" t="str">
        <f>HYPERLINK("https://scontent.cdninstagram.com/t51.2885-15/s320x320/e35/c169.0.742.742/20759885_775617449282073_558243231905611776_n.jpg")</f>
        <v>https://scontent.cdninstagram.com/t51.2885-15/s320x320/e35/c169.0.742.742/20759885_775617449282073_558243231905611776_n.jpg</v>
      </c>
      <c r="AE616" s="249" t="str">
        <f>HYPERLINK("https://scontent.cdninstagram.com/t51.2885-19/s150x150/20766888_510783582594188_2422723710881366016_a.jpg")</f>
        <v>https://scontent.cdninstagram.com/t51.2885-19/s150x150/20766888_510783582594188_2422723710881366016_a.jpg</v>
      </c>
    </row>
    <row r="617" spans="1:31" ht="15" x14ac:dyDescent="0.25">
      <c r="A617" t="s">
        <v>2474</v>
      </c>
      <c r="B617" t="s">
        <v>6177</v>
      </c>
      <c r="C617" s="221">
        <v>42961.440972222219</v>
      </c>
      <c r="D617" t="s">
        <v>6178</v>
      </c>
      <c r="E617" s="249" t="str">
        <f>HYPERLINK("https://www.instagram.com/p/BXxxqBUhbLu/")</f>
        <v>https://www.instagram.com/p/BXxxqBUhbLu/</v>
      </c>
      <c r="F617" t="s">
        <v>6179</v>
      </c>
      <c r="G617" t="s">
        <v>2478</v>
      </c>
      <c r="H617">
        <v>197</v>
      </c>
      <c r="I617" t="s">
        <v>2479</v>
      </c>
      <c r="J617">
        <v>2</v>
      </c>
      <c r="K617">
        <v>30</v>
      </c>
      <c r="L617">
        <v>32</v>
      </c>
      <c r="Q617">
        <v>0</v>
      </c>
      <c r="R617">
        <v>0</v>
      </c>
      <c r="S617">
        <v>32</v>
      </c>
      <c r="T617" t="s">
        <v>6180</v>
      </c>
      <c r="V617" t="s">
        <v>2110</v>
      </c>
      <c r="W617">
        <v>51.164444444444001</v>
      </c>
      <c r="X617">
        <v>4.1391666666667</v>
      </c>
      <c r="Y617" t="s">
        <v>6181</v>
      </c>
      <c r="Z617" t="s">
        <v>6182</v>
      </c>
      <c r="AA617" t="s">
        <v>4979</v>
      </c>
      <c r="AB617" t="s">
        <v>5704</v>
      </c>
      <c r="AC617" t="s">
        <v>2497</v>
      </c>
      <c r="AD617" s="249" t="str">
        <f>HYPERLINK("https://scontent.cdninstagram.com/t51.2885-15/s320x320/e35/20838477_761885037329858_5736036228055171072_n.jpg")</f>
        <v>https://scontent.cdninstagram.com/t51.2885-15/s320x320/e35/20838477_761885037329858_5736036228055171072_n.jpg</v>
      </c>
      <c r="AE617" s="249" t="str">
        <f>HYPERLINK("https://scontent.cdninstagram.com/t51.2885-19/s150x150/18646667_1777571492555747_9126242747320107008_a.jpg")</f>
        <v>https://scontent.cdninstagram.com/t51.2885-19/s150x150/18646667_1777571492555747_9126242747320107008_a.jpg</v>
      </c>
    </row>
    <row r="618" spans="1:31" ht="15" x14ac:dyDescent="0.25">
      <c r="A618" t="s">
        <v>2474</v>
      </c>
      <c r="B618" t="s">
        <v>3895</v>
      </c>
      <c r="C618" s="221">
        <v>42961.4452662037</v>
      </c>
      <c r="D618" t="s">
        <v>6183</v>
      </c>
      <c r="E618" s="249" t="str">
        <f>HYPERLINK("https://www.instagram.com/p/BXxyXS3FunB/")</f>
        <v>https://www.instagram.com/p/BXxyXS3FunB/</v>
      </c>
      <c r="F618" t="s">
        <v>6184</v>
      </c>
      <c r="G618" t="s">
        <v>2478</v>
      </c>
      <c r="H618">
        <v>391</v>
      </c>
      <c r="I618" t="s">
        <v>2479</v>
      </c>
      <c r="J618">
        <v>3</v>
      </c>
      <c r="K618">
        <v>58</v>
      </c>
      <c r="L618">
        <v>61</v>
      </c>
      <c r="Q618">
        <v>0</v>
      </c>
      <c r="R618">
        <v>0</v>
      </c>
      <c r="S618">
        <v>61</v>
      </c>
      <c r="Y618" t="s">
        <v>3349</v>
      </c>
      <c r="Z618" t="s">
        <v>6185</v>
      </c>
      <c r="AA618" t="s">
        <v>6186</v>
      </c>
      <c r="AB618" t="s">
        <v>6187</v>
      </c>
      <c r="AC618" t="s">
        <v>2497</v>
      </c>
      <c r="AD618" s="249" t="str">
        <f>HYPERLINK("https://scontent.cdninstagram.com/t51.2885-15/s320x320/e35/20837357_510022322679503_7368913799639728128_n.jpg")</f>
        <v>https://scontent.cdninstagram.com/t51.2885-15/s320x320/e35/20837357_510022322679503_7368913799639728128_n.jpg</v>
      </c>
      <c r="AE618" s="249" t="str">
        <f>HYPERLINK("https://scontent.cdninstagram.com/t51.2885-19/s150x150/20902130_1390331654386412_4188068892897181696_a.jpg")</f>
        <v>https://scontent.cdninstagram.com/t51.2885-19/s150x150/20902130_1390331654386412_4188068892897181696_a.jpg</v>
      </c>
    </row>
    <row r="619" spans="1:31" ht="15" x14ac:dyDescent="0.25">
      <c r="A619" t="s">
        <v>2474</v>
      </c>
      <c r="B619" t="s">
        <v>6188</v>
      </c>
      <c r="C619" s="221">
        <v>42961.457777777781</v>
      </c>
      <c r="D619" t="s">
        <v>6189</v>
      </c>
      <c r="E619" s="249" t="str">
        <f>HYPERLINK("https://www.instagram.com/p/BXx0bOQg_Wb/")</f>
        <v>https://www.instagram.com/p/BXx0bOQg_Wb/</v>
      </c>
      <c r="F619" t="s">
        <v>6190</v>
      </c>
      <c r="G619" t="s">
        <v>2478</v>
      </c>
      <c r="H619">
        <v>108</v>
      </c>
      <c r="I619" t="s">
        <v>2542</v>
      </c>
      <c r="J619">
        <v>0</v>
      </c>
      <c r="K619">
        <v>9</v>
      </c>
      <c r="L619">
        <v>9</v>
      </c>
      <c r="Q619">
        <v>0</v>
      </c>
      <c r="R619">
        <v>0</v>
      </c>
      <c r="S619">
        <v>9</v>
      </c>
      <c r="Y619" t="s">
        <v>6191</v>
      </c>
      <c r="Z619" t="s">
        <v>6192</v>
      </c>
      <c r="AA619" t="s">
        <v>2497</v>
      </c>
      <c r="AB619" t="s">
        <v>5441</v>
      </c>
      <c r="AD619" s="249" t="str">
        <f>HYPERLINK("https://scontent.cdninstagram.com/t51.2885-15/s320x320/e35/c0.117.937.937/20759687_1580646158622177_1348907498047799296_n.jpg")</f>
        <v>https://scontent.cdninstagram.com/t51.2885-15/s320x320/e35/c0.117.937.937/20759687_1580646158622177_1348907498047799296_n.jpg</v>
      </c>
      <c r="AE619" s="249" t="str">
        <f>HYPERLINK("https://scontent.cdninstagram.com/t51.2885-19/s150x150/19122185_680672912120695_2842338214654509056_a.jpg")</f>
        <v>https://scontent.cdninstagram.com/t51.2885-19/s150x150/19122185_680672912120695_2842338214654509056_a.jpg</v>
      </c>
    </row>
    <row r="620" spans="1:31" ht="15" x14ac:dyDescent="0.25">
      <c r="A620" t="s">
        <v>2474</v>
      </c>
      <c r="B620" t="s">
        <v>6193</v>
      </c>
      <c r="C620" s="221">
        <v>42961.461631944447</v>
      </c>
      <c r="D620" t="s">
        <v>6194</v>
      </c>
      <c r="E620" s="249" t="str">
        <f>HYPERLINK("https://www.instagram.com/p/BXx1D27DnqU/")</f>
        <v>https://www.instagram.com/p/BXx1D27DnqU/</v>
      </c>
      <c r="F620" t="s">
        <v>6195</v>
      </c>
      <c r="G620" t="s">
        <v>2478</v>
      </c>
      <c r="H620">
        <v>1648</v>
      </c>
      <c r="I620" t="s">
        <v>2479</v>
      </c>
      <c r="J620">
        <v>8</v>
      </c>
      <c r="K620">
        <v>46</v>
      </c>
      <c r="L620">
        <v>54</v>
      </c>
      <c r="Q620">
        <v>0</v>
      </c>
      <c r="R620">
        <v>0</v>
      </c>
      <c r="S620">
        <v>54</v>
      </c>
      <c r="T620" t="s">
        <v>6196</v>
      </c>
      <c r="V620" t="s">
        <v>2177</v>
      </c>
      <c r="W620">
        <v>-8.2419444444443997</v>
      </c>
      <c r="X620">
        <v>115.375</v>
      </c>
      <c r="Y620" t="s">
        <v>2730</v>
      </c>
      <c r="Z620" t="s">
        <v>5307</v>
      </c>
      <c r="AA620" t="s">
        <v>2497</v>
      </c>
      <c r="AB620" t="s">
        <v>6197</v>
      </c>
      <c r="AC620" t="s">
        <v>6198</v>
      </c>
      <c r="AD620" s="249" t="str">
        <f>HYPERLINK("https://scontent.cdninstagram.com/t51.2885-15/s320x320/e35/c180.0.720.720/20837214_353991111699881_8368677556450230272_n.jpg")</f>
        <v>https://scontent.cdninstagram.com/t51.2885-15/s320x320/e35/c180.0.720.720/20837214_353991111699881_8368677556450230272_n.jpg</v>
      </c>
      <c r="AE620" s="249" t="str">
        <f>HYPERLINK("https://scontent.cdninstagram.com/t51.2885-19/s150x150/14134611_1595835577377573_1301193513_a.jpg")</f>
        <v>https://scontent.cdninstagram.com/t51.2885-19/s150x150/14134611_1595835577377573_1301193513_a.jpg</v>
      </c>
    </row>
    <row r="621" spans="1:31" ht="15" x14ac:dyDescent="0.25">
      <c r="A621" t="s">
        <v>2474</v>
      </c>
      <c r="B621" t="s">
        <v>6199</v>
      </c>
      <c r="C621" s="221">
        <v>42961.463240740741</v>
      </c>
      <c r="D621" t="s">
        <v>6200</v>
      </c>
      <c r="E621" s="249" t="str">
        <f>HYPERLINK("https://www.instagram.com/p/BXx1U5kAwGg/")</f>
        <v>https://www.instagram.com/p/BXx1U5kAwGg/</v>
      </c>
      <c r="F621" t="s">
        <v>6201</v>
      </c>
      <c r="G621" t="s">
        <v>2478</v>
      </c>
      <c r="H621">
        <v>1042</v>
      </c>
      <c r="I621" t="s">
        <v>2479</v>
      </c>
      <c r="J621">
        <v>0</v>
      </c>
      <c r="K621">
        <v>18</v>
      </c>
      <c r="L621">
        <v>18</v>
      </c>
      <c r="Q621">
        <v>0</v>
      </c>
      <c r="R621">
        <v>0</v>
      </c>
      <c r="S621">
        <v>18</v>
      </c>
      <c r="Y621" t="s">
        <v>2497</v>
      </c>
      <c r="Z621" t="s">
        <v>6202</v>
      </c>
      <c r="AD621" s="249" t="str">
        <f>HYPERLINK("https://scontent.cdninstagram.com/t51.2885-15/s320x320/e15/20759535_1066602560142175_2974110955211849728_n.jpg")</f>
        <v>https://scontent.cdninstagram.com/t51.2885-15/s320x320/e15/20759535_1066602560142175_2974110955211849728_n.jpg</v>
      </c>
      <c r="AE621" s="249" t="str">
        <f>HYPERLINK("https://scontent.cdninstagram.com/t51.2885-19/s150x150/11875274_754517201347173_965619281_a.jpg")</f>
        <v>https://scontent.cdninstagram.com/t51.2885-19/s150x150/11875274_754517201347173_965619281_a.jpg</v>
      </c>
    </row>
    <row r="622" spans="1:31" ht="15" x14ac:dyDescent="0.25">
      <c r="A622" t="s">
        <v>2474</v>
      </c>
      <c r="B622" t="s">
        <v>6203</v>
      </c>
      <c r="C622" s="221">
        <v>42961.464386574073</v>
      </c>
      <c r="D622" t="s">
        <v>6204</v>
      </c>
      <c r="E622" s="249" t="str">
        <f>HYPERLINK("https://www.instagram.com/p/BXx1g_Fg-Ac/")</f>
        <v>https://www.instagram.com/p/BXx1g_Fg-Ac/</v>
      </c>
      <c r="F622" t="s">
        <v>6205</v>
      </c>
      <c r="G622" t="s">
        <v>2488</v>
      </c>
      <c r="H622">
        <v>4371</v>
      </c>
      <c r="I622" t="s">
        <v>2479</v>
      </c>
      <c r="J622">
        <v>2</v>
      </c>
      <c r="K622">
        <v>282</v>
      </c>
      <c r="L622">
        <v>284</v>
      </c>
      <c r="Q622">
        <v>0</v>
      </c>
      <c r="R622">
        <v>0</v>
      </c>
      <c r="S622">
        <v>284</v>
      </c>
      <c r="T622" t="s">
        <v>6206</v>
      </c>
      <c r="V622" t="s">
        <v>2204</v>
      </c>
      <c r="W622">
        <v>1.37853</v>
      </c>
      <c r="X622">
        <v>103.76409</v>
      </c>
      <c r="Y622" t="s">
        <v>6207</v>
      </c>
      <c r="Z622" t="s">
        <v>2492</v>
      </c>
      <c r="AA622" t="s">
        <v>6208</v>
      </c>
      <c r="AB622" t="s">
        <v>4993</v>
      </c>
      <c r="AC622" t="s">
        <v>2728</v>
      </c>
      <c r="AD622" s="249" t="str">
        <f>HYPERLINK("https://scontent.cdninstagram.com/t51.2885-15/s320x320/e35/20766419_1073485389421656_7997128401053810688_n.jpg")</f>
        <v>https://scontent.cdninstagram.com/t51.2885-15/s320x320/e35/20766419_1073485389421656_7997128401053810688_n.jpg</v>
      </c>
      <c r="AE622" s="249" t="str">
        <f>HYPERLINK("https://scontent.cdninstagram.com/t51.2885-19/s150x150/12080578_857052974390386_95522079_a.jpg")</f>
        <v>https://scontent.cdninstagram.com/t51.2885-19/s150x150/12080578_857052974390386_95522079_a.jpg</v>
      </c>
    </row>
    <row r="623" spans="1:31" ht="15" x14ac:dyDescent="0.25">
      <c r="A623" t="s">
        <v>2474</v>
      </c>
      <c r="B623" t="s">
        <v>4811</v>
      </c>
      <c r="C623" s="221">
        <v>42961.466782407406</v>
      </c>
      <c r="D623" t="s">
        <v>6209</v>
      </c>
      <c r="E623" s="249" t="str">
        <f>HYPERLINK("https://www.instagram.com/p/BXx16NvgZ5N/")</f>
        <v>https://www.instagram.com/p/BXx16NvgZ5N/</v>
      </c>
      <c r="F623" t="s">
        <v>6210</v>
      </c>
      <c r="G623" t="s">
        <v>2478</v>
      </c>
      <c r="H623">
        <v>929</v>
      </c>
      <c r="I623" t="s">
        <v>2479</v>
      </c>
      <c r="J623">
        <v>8</v>
      </c>
      <c r="K623">
        <v>143</v>
      </c>
      <c r="L623">
        <v>151</v>
      </c>
      <c r="Q623">
        <v>0</v>
      </c>
      <c r="R623">
        <v>0</v>
      </c>
      <c r="S623">
        <v>151</v>
      </c>
      <c r="Y623" t="s">
        <v>3006</v>
      </c>
      <c r="Z623" t="s">
        <v>6211</v>
      </c>
      <c r="AA623" t="s">
        <v>6212</v>
      </c>
      <c r="AB623" t="s">
        <v>6213</v>
      </c>
      <c r="AC623" t="s">
        <v>2497</v>
      </c>
      <c r="AD623" s="249" t="str">
        <f>HYPERLINK("https://scontent.cdninstagram.com/t51.2885-15/s320x320/e35/20837605_110631296290286_4682723201250230272_n.jpg")</f>
        <v>https://scontent.cdninstagram.com/t51.2885-15/s320x320/e35/20837605_110631296290286_4682723201250230272_n.jpg</v>
      </c>
      <c r="AE623" s="249" t="str">
        <f>HYPERLINK("https://scontent.cdninstagram.com/t51.2885-19/s150x150/16124251_1913091765603634_8004330562992996352_a.jpg")</f>
        <v>https://scontent.cdninstagram.com/t51.2885-19/s150x150/16124251_1913091765603634_8004330562992996352_a.jpg</v>
      </c>
    </row>
    <row r="624" spans="1:31" ht="15" x14ac:dyDescent="0.25">
      <c r="A624" t="s">
        <v>2474</v>
      </c>
      <c r="B624" t="s">
        <v>6214</v>
      </c>
      <c r="C624" s="221">
        <v>42961.47115740741</v>
      </c>
      <c r="D624" t="s">
        <v>6215</v>
      </c>
      <c r="E624" s="249" t="str">
        <f>HYPERLINK("https://www.instagram.com/p/BXx2oaGhXpo/")</f>
        <v>https://www.instagram.com/p/BXx2oaGhXpo/</v>
      </c>
      <c r="F624" t="s">
        <v>6216</v>
      </c>
      <c r="G624" t="s">
        <v>2478</v>
      </c>
      <c r="H624">
        <v>697</v>
      </c>
      <c r="I624" t="s">
        <v>2599</v>
      </c>
      <c r="J624">
        <v>4</v>
      </c>
      <c r="K624">
        <v>67</v>
      </c>
      <c r="L624">
        <v>71</v>
      </c>
      <c r="Q624">
        <v>0</v>
      </c>
      <c r="R624">
        <v>0</v>
      </c>
      <c r="S624">
        <v>71</v>
      </c>
      <c r="Y624" t="s">
        <v>6217</v>
      </c>
      <c r="Z624" t="s">
        <v>6218</v>
      </c>
      <c r="AA624" t="s">
        <v>6219</v>
      </c>
      <c r="AB624" t="s">
        <v>2497</v>
      </c>
      <c r="AC624" t="s">
        <v>6220</v>
      </c>
      <c r="AD624" s="249" t="str">
        <f>HYPERLINK("https://scontent.cdninstagram.com/t51.2885-15/s320x320/e35/20766221_471126743257488_7621649904632332288_n.jpg")</f>
        <v>https://scontent.cdninstagram.com/t51.2885-15/s320x320/e35/20766221_471126743257488_7621649904632332288_n.jpg</v>
      </c>
      <c r="AE624" s="249" t="str">
        <f>HYPERLINK("https://scontent.cdninstagram.com/t51.2885-19/s150x150/14677268_207720599652741_5362466372150362112_a.jpg")</f>
        <v>https://scontent.cdninstagram.com/t51.2885-19/s150x150/14677268_207720599652741_5362466372150362112_a.jpg</v>
      </c>
    </row>
    <row r="625" spans="1:31" ht="15" x14ac:dyDescent="0.25">
      <c r="A625" t="s">
        <v>2474</v>
      </c>
      <c r="B625" t="s">
        <v>2644</v>
      </c>
      <c r="C625" s="221">
        <v>42961.473553240743</v>
      </c>
      <c r="D625" t="s">
        <v>6221</v>
      </c>
      <c r="E625" s="249" t="str">
        <f>HYPERLINK("https://www.instagram.com/p/BXx3BnvAFB5/")</f>
        <v>https://www.instagram.com/p/BXx3BnvAFB5/</v>
      </c>
      <c r="F625" t="s">
        <v>6222</v>
      </c>
      <c r="G625" t="s">
        <v>2478</v>
      </c>
      <c r="H625">
        <v>1754</v>
      </c>
      <c r="I625" t="s">
        <v>2479</v>
      </c>
      <c r="J625">
        <v>2</v>
      </c>
      <c r="K625">
        <v>75</v>
      </c>
      <c r="L625">
        <v>77</v>
      </c>
      <c r="Q625">
        <v>0</v>
      </c>
      <c r="R625">
        <v>0</v>
      </c>
      <c r="S625">
        <v>77</v>
      </c>
      <c r="T625" t="s">
        <v>6223</v>
      </c>
      <c r="V625" t="s">
        <v>2648</v>
      </c>
      <c r="W625">
        <v>55.739269777501001</v>
      </c>
      <c r="X625">
        <v>37.595918293613003</v>
      </c>
      <c r="Y625" t="s">
        <v>5902</v>
      </c>
      <c r="Z625" t="s">
        <v>2844</v>
      </c>
      <c r="AA625" t="s">
        <v>3633</v>
      </c>
      <c r="AB625" t="s">
        <v>2497</v>
      </c>
      <c r="AC625" t="s">
        <v>3621</v>
      </c>
      <c r="AD625" s="249" t="str">
        <f>HYPERLINK("https://scontent.cdninstagram.com/t51.2885-15/s320x320/e35/20837278_1242550369224302_2241345158912147456_n.jpg")</f>
        <v>https://scontent.cdninstagram.com/t51.2885-15/s320x320/e35/20837278_1242550369224302_2241345158912147456_n.jpg</v>
      </c>
      <c r="AE625" s="249" t="str">
        <f>HYPERLINK("https://scontent.cdninstagram.com/t51.2885-19/11372086_1598451257062069_1320225693_a.jpg")</f>
        <v>https://scontent.cdninstagram.com/t51.2885-19/11372086_1598451257062069_1320225693_a.jpg</v>
      </c>
    </row>
    <row r="626" spans="1:31" ht="15" x14ac:dyDescent="0.25">
      <c r="A626" t="s">
        <v>2474</v>
      </c>
      <c r="B626" t="s">
        <v>6224</v>
      </c>
      <c r="C626" s="221">
        <v>42961.478483796294</v>
      </c>
      <c r="D626" t="s">
        <v>6225</v>
      </c>
      <c r="E626" s="249" t="str">
        <f>HYPERLINK("https://www.instagram.com/p/BXx31pyArm2/")</f>
        <v>https://www.instagram.com/p/BXx31pyArm2/</v>
      </c>
      <c r="F626" t="s">
        <v>6226</v>
      </c>
      <c r="G626" t="s">
        <v>2478</v>
      </c>
      <c r="H626">
        <v>115</v>
      </c>
      <c r="I626" t="s">
        <v>2542</v>
      </c>
      <c r="J626">
        <v>1</v>
      </c>
      <c r="K626">
        <v>17</v>
      </c>
      <c r="L626">
        <v>18</v>
      </c>
      <c r="Q626">
        <v>0</v>
      </c>
      <c r="R626">
        <v>0</v>
      </c>
      <c r="S626">
        <v>18</v>
      </c>
      <c r="Y626" t="s">
        <v>6227</v>
      </c>
      <c r="Z626" t="s">
        <v>6228</v>
      </c>
      <c r="AA626" t="s">
        <v>6229</v>
      </c>
      <c r="AB626" t="s">
        <v>6230</v>
      </c>
      <c r="AC626" t="s">
        <v>6231</v>
      </c>
      <c r="AD626" s="249" t="str">
        <f>HYPERLINK("https://scontent.cdninstagram.com/t51.2885-15/s320x320/e35/20766815_1392299214198705_1613688770102558720_n.jpg")</f>
        <v>https://scontent.cdninstagram.com/t51.2885-15/s320x320/e35/20766815_1392299214198705_1613688770102558720_n.jpg</v>
      </c>
      <c r="AE626" s="249" t="str">
        <f>HYPERLINK("https://scontent.cdninstagram.com/t51.2885-19/s150x150/18722175_301366250309630_4574136626891980800_a.jpg")</f>
        <v>https://scontent.cdninstagram.com/t51.2885-19/s150x150/18722175_301366250309630_4574136626891980800_a.jpg</v>
      </c>
    </row>
    <row r="627" spans="1:31" ht="15" x14ac:dyDescent="0.25">
      <c r="A627" t="s">
        <v>2474</v>
      </c>
      <c r="B627" t="s">
        <v>6232</v>
      </c>
      <c r="C627" s="221">
        <v>42961.483599537038</v>
      </c>
      <c r="D627" t="s">
        <v>6233</v>
      </c>
      <c r="E627" s="249" t="str">
        <f>HYPERLINK("https://www.instagram.com/p/BXx4rouFQKP/")</f>
        <v>https://www.instagram.com/p/BXx4rouFQKP/</v>
      </c>
      <c r="F627" t="s">
        <v>6234</v>
      </c>
      <c r="G627" t="s">
        <v>2488</v>
      </c>
      <c r="H627">
        <v>464</v>
      </c>
      <c r="I627" t="s">
        <v>2479</v>
      </c>
      <c r="J627">
        <v>1</v>
      </c>
      <c r="K627">
        <v>57</v>
      </c>
      <c r="L627">
        <v>58</v>
      </c>
      <c r="Q627">
        <v>0</v>
      </c>
      <c r="R627">
        <v>0</v>
      </c>
      <c r="S627">
        <v>58</v>
      </c>
      <c r="Y627" t="s">
        <v>6235</v>
      </c>
      <c r="Z627" t="s">
        <v>6236</v>
      </c>
      <c r="AA627" t="s">
        <v>6237</v>
      </c>
      <c r="AB627" t="s">
        <v>6238</v>
      </c>
      <c r="AC627" t="s">
        <v>6239</v>
      </c>
      <c r="AD627" s="249" t="str">
        <f>HYPERLINK("https://scontent.cdninstagram.com/t51.2885-15/s320x320/e35/20837233_114751169186181_3831986318460583936_n.jpg")</f>
        <v>https://scontent.cdninstagram.com/t51.2885-15/s320x320/e35/20837233_114751169186181_3831986318460583936_n.jpg</v>
      </c>
      <c r="AE627" s="249" t="str">
        <f>HYPERLINK("https://scontent.cdninstagram.com/t51.2885-19/s150x150/18011277_119058778642964_881316710634749952_a.jpg")</f>
        <v>https://scontent.cdninstagram.com/t51.2885-19/s150x150/18011277_119058778642964_881316710634749952_a.jpg</v>
      </c>
    </row>
    <row r="628" spans="1:31" ht="15" x14ac:dyDescent="0.25">
      <c r="A628" t="s">
        <v>2474</v>
      </c>
      <c r="B628" t="s">
        <v>3754</v>
      </c>
      <c r="C628" s="221">
        <v>42961.483969907407</v>
      </c>
      <c r="D628" t="s">
        <v>6240</v>
      </c>
      <c r="E628" s="249" t="str">
        <f>HYPERLINK("https://www.instagram.com/p/BXx4vizD_Q6/")</f>
        <v>https://www.instagram.com/p/BXx4vizD_Q6/</v>
      </c>
      <c r="F628" t="s">
        <v>6241</v>
      </c>
      <c r="G628" t="s">
        <v>2478</v>
      </c>
      <c r="H628">
        <v>201872</v>
      </c>
      <c r="I628" t="s">
        <v>2479</v>
      </c>
      <c r="J628">
        <v>0</v>
      </c>
      <c r="K628">
        <v>444</v>
      </c>
      <c r="L628">
        <v>444</v>
      </c>
      <c r="Q628">
        <v>0</v>
      </c>
      <c r="R628">
        <v>0</v>
      </c>
      <c r="S628">
        <v>444</v>
      </c>
      <c r="Y628" t="s">
        <v>4561</v>
      </c>
      <c r="Z628" t="s">
        <v>3757</v>
      </c>
      <c r="AA628" t="s">
        <v>4231</v>
      </c>
      <c r="AB628" t="s">
        <v>6242</v>
      </c>
      <c r="AC628" t="s">
        <v>6243</v>
      </c>
      <c r="AD628" s="249" t="str">
        <f>HYPERLINK("https://scontent.cdninstagram.com/t51.2885-15/s320x320/e35/20902348_1905256709712988_8515309247469191168_n.jpg")</f>
        <v>https://scontent.cdninstagram.com/t51.2885-15/s320x320/e35/20902348_1905256709712988_8515309247469191168_n.jpg</v>
      </c>
      <c r="AE628" s="249" t="str">
        <f>HYPERLINK("https://scontent.cdninstagram.com/t51.2885-19/s150x150/12905002_1681254462136092_1137392787_a.jpg")</f>
        <v>https://scontent.cdninstagram.com/t51.2885-19/s150x150/12905002_1681254462136092_1137392787_a.jpg</v>
      </c>
    </row>
    <row r="629" spans="1:31" ht="15" x14ac:dyDescent="0.25">
      <c r="A629" t="s">
        <v>2474</v>
      </c>
      <c r="B629" t="s">
        <v>6244</v>
      </c>
      <c r="C629" s="221">
        <v>42961.484074074076</v>
      </c>
      <c r="D629" t="s">
        <v>6245</v>
      </c>
      <c r="E629" s="249" t="str">
        <f>HYPERLINK("https://www.instagram.com/p/BXx4wqAh8_O/")</f>
        <v>https://www.instagram.com/p/BXx4wqAh8_O/</v>
      </c>
      <c r="F629" t="s">
        <v>6246</v>
      </c>
      <c r="G629" t="s">
        <v>2478</v>
      </c>
      <c r="H629">
        <v>185</v>
      </c>
      <c r="I629" t="s">
        <v>2479</v>
      </c>
      <c r="J629">
        <v>3</v>
      </c>
      <c r="K629">
        <v>21</v>
      </c>
      <c r="L629">
        <v>24</v>
      </c>
      <c r="Q629">
        <v>0</v>
      </c>
      <c r="R629">
        <v>0</v>
      </c>
      <c r="S629">
        <v>24</v>
      </c>
      <c r="Y629" t="s">
        <v>2492</v>
      </c>
      <c r="Z629" t="s">
        <v>6247</v>
      </c>
      <c r="AA629" t="s">
        <v>6248</v>
      </c>
      <c r="AB629" t="s">
        <v>2497</v>
      </c>
      <c r="AC629" t="s">
        <v>6249</v>
      </c>
      <c r="AD629" s="249" t="str">
        <f>HYPERLINK("https://scontent.cdninstagram.com/t51.2885-15/s320x320/e35/20766402_2034306299920197_5998917247664390144_n.jpg")</f>
        <v>https://scontent.cdninstagram.com/t51.2885-15/s320x320/e35/20766402_2034306299920197_5998917247664390144_n.jpg</v>
      </c>
      <c r="AE629" s="249" t="str">
        <f>HYPERLINK("https://scontent.cdninstagram.com/t51.2885-19/s150x150/15802747_1880090168886241_3327373449826926592_a.jpg")</f>
        <v>https://scontent.cdninstagram.com/t51.2885-19/s150x150/15802747_1880090168886241_3327373449826926592_a.jpg</v>
      </c>
    </row>
    <row r="630" spans="1:31" ht="15" x14ac:dyDescent="0.25">
      <c r="A630" t="s">
        <v>2474</v>
      </c>
      <c r="B630" t="s">
        <v>5149</v>
      </c>
      <c r="C630" s="221">
        <v>42961.484293981484</v>
      </c>
      <c r="D630" t="s">
        <v>6250</v>
      </c>
      <c r="E630" s="249" t="str">
        <f>HYPERLINK("https://www.instagram.com/p/BXx4y6EDqP0/")</f>
        <v>https://www.instagram.com/p/BXx4y6EDqP0/</v>
      </c>
      <c r="F630" t="s">
        <v>6251</v>
      </c>
      <c r="G630" t="s">
        <v>2631</v>
      </c>
      <c r="H630">
        <v>63336</v>
      </c>
      <c r="I630" t="s">
        <v>2479</v>
      </c>
      <c r="J630">
        <v>9</v>
      </c>
      <c r="K630">
        <v>149</v>
      </c>
      <c r="L630">
        <v>158</v>
      </c>
      <c r="Q630">
        <v>0</v>
      </c>
      <c r="R630">
        <v>0</v>
      </c>
      <c r="S630">
        <v>158</v>
      </c>
      <c r="T630" t="s">
        <v>5218</v>
      </c>
      <c r="U630" t="s">
        <v>106</v>
      </c>
      <c r="V630" t="s">
        <v>2299</v>
      </c>
      <c r="W630">
        <v>25.799620000000001</v>
      </c>
      <c r="X630">
        <v>-80.201350000000005</v>
      </c>
      <c r="Y630" t="s">
        <v>5153</v>
      </c>
      <c r="Z630" t="s">
        <v>5221</v>
      </c>
      <c r="AA630" t="s">
        <v>6252</v>
      </c>
      <c r="AB630" t="s">
        <v>2497</v>
      </c>
      <c r="AC630" t="s">
        <v>4831</v>
      </c>
      <c r="AD630" s="249" t="str">
        <f>HYPERLINK("https://scontent.cdninstagram.com/t51.2885-15/s320x320/e15/20759914_726089517577846_2997984707020324864_n.jpg")</f>
        <v>https://scontent.cdninstagram.com/t51.2885-15/s320x320/e15/20759914_726089517577846_2997984707020324864_n.jpg</v>
      </c>
      <c r="AE630" s="249" t="str">
        <f>HYPERLINK("https://scontent.cdninstagram.com/t51.2885-19/s150x150/14128779_278010482584432_2056131760_a.jpg")</f>
        <v>https://scontent.cdninstagram.com/t51.2885-19/s150x150/14128779_278010482584432_2056131760_a.jpg</v>
      </c>
    </row>
    <row r="631" spans="1:31" ht="15" x14ac:dyDescent="0.25">
      <c r="A631" t="s">
        <v>2474</v>
      </c>
      <c r="B631" t="s">
        <v>5215</v>
      </c>
      <c r="C631" s="221">
        <v>42961.484988425924</v>
      </c>
      <c r="D631" t="s">
        <v>6253</v>
      </c>
      <c r="E631" s="249" t="str">
        <f>HYPERLINK("https://www.instagram.com/p/BXx46SvnixZ/")</f>
        <v>https://www.instagram.com/p/BXx46SvnixZ/</v>
      </c>
      <c r="F631" t="s">
        <v>6254</v>
      </c>
      <c r="G631" t="s">
        <v>2631</v>
      </c>
      <c r="H631">
        <v>19143</v>
      </c>
      <c r="I631" t="s">
        <v>2479</v>
      </c>
      <c r="J631">
        <v>0</v>
      </c>
      <c r="K631">
        <v>11</v>
      </c>
      <c r="L631">
        <v>11</v>
      </c>
      <c r="Q631">
        <v>0</v>
      </c>
      <c r="R631">
        <v>0</v>
      </c>
      <c r="S631">
        <v>11</v>
      </c>
      <c r="T631" t="s">
        <v>5218</v>
      </c>
      <c r="U631" t="s">
        <v>106</v>
      </c>
      <c r="V631" t="s">
        <v>2299</v>
      </c>
      <c r="W631">
        <v>25.799620000000001</v>
      </c>
      <c r="X631">
        <v>-80.201350000000005</v>
      </c>
      <c r="Y631" t="s">
        <v>5219</v>
      </c>
      <c r="Z631" t="s">
        <v>5153</v>
      </c>
      <c r="AA631" t="s">
        <v>5221</v>
      </c>
      <c r="AB631" t="s">
        <v>6252</v>
      </c>
      <c r="AC631" t="s">
        <v>2497</v>
      </c>
      <c r="AD631" s="249" t="str">
        <f>HYPERLINK("https://scontent.cdninstagram.com/t51.2885-15/s320x320/e15/20759335_708080349391430_7998082983305150464_n.jpg")</f>
        <v>https://scontent.cdninstagram.com/t51.2885-15/s320x320/e15/20759335_708080349391430_7998082983305150464_n.jpg</v>
      </c>
      <c r="AE631" s="249" t="str">
        <f>HYPERLINK("https://scontent.cdninstagram.com/t51.2885-19/s150x150/11906341_145547955788568_785331606_a.jpg")</f>
        <v>https://scontent.cdninstagram.com/t51.2885-19/s150x150/11906341_145547955788568_785331606_a.jpg</v>
      </c>
    </row>
    <row r="632" spans="1:31" ht="15" x14ac:dyDescent="0.25">
      <c r="A632" t="s">
        <v>2474</v>
      </c>
      <c r="B632" t="s">
        <v>3754</v>
      </c>
      <c r="C632" s="221">
        <v>42961.486273148148</v>
      </c>
      <c r="D632" t="s">
        <v>6255</v>
      </c>
      <c r="E632" s="249" t="str">
        <f>HYPERLINK("https://www.instagram.com/p/BXx5H2SDUbL/")</f>
        <v>https://www.instagram.com/p/BXx5H2SDUbL/</v>
      </c>
      <c r="F632" t="s">
        <v>6256</v>
      </c>
      <c r="G632" t="s">
        <v>2478</v>
      </c>
      <c r="H632">
        <v>201872</v>
      </c>
      <c r="I632" t="s">
        <v>2479</v>
      </c>
      <c r="J632">
        <v>2</v>
      </c>
      <c r="K632">
        <v>299</v>
      </c>
      <c r="L632">
        <v>301</v>
      </c>
      <c r="Q632">
        <v>0</v>
      </c>
      <c r="R632">
        <v>0</v>
      </c>
      <c r="S632">
        <v>301</v>
      </c>
      <c r="Y632" t="s">
        <v>4561</v>
      </c>
      <c r="Z632" t="s">
        <v>3757</v>
      </c>
      <c r="AA632" t="s">
        <v>4231</v>
      </c>
      <c r="AB632" t="s">
        <v>6242</v>
      </c>
      <c r="AC632" t="s">
        <v>6243</v>
      </c>
      <c r="AD632" s="249" t="str">
        <f>HYPERLINK("https://scontent.cdninstagram.com/t51.2885-15/s320x320/e35/c0.135.1080.1080/20766338_110349999651720_7783224108996624384_n.jpg")</f>
        <v>https://scontent.cdninstagram.com/t51.2885-15/s320x320/e35/c0.135.1080.1080/20766338_110349999651720_7783224108996624384_n.jpg</v>
      </c>
      <c r="AE632" s="249" t="str">
        <f>HYPERLINK("https://scontent.cdninstagram.com/t51.2885-19/s150x150/12905002_1681254462136092_1137392787_a.jpg")</f>
        <v>https://scontent.cdninstagram.com/t51.2885-19/s150x150/12905002_1681254462136092_1137392787_a.jpg</v>
      </c>
    </row>
    <row r="633" spans="1:31" ht="15" x14ac:dyDescent="0.25">
      <c r="A633" t="s">
        <v>2474</v>
      </c>
      <c r="B633" t="s">
        <v>3015</v>
      </c>
      <c r="C633" s="221">
        <v>42961.491782407407</v>
      </c>
      <c r="D633" t="s">
        <v>6257</v>
      </c>
      <c r="E633" s="249" t="str">
        <f>HYPERLINK("https://www.instagram.com/p/BXx6B25A_WQ/")</f>
        <v>https://www.instagram.com/p/BXx6B25A_WQ/</v>
      </c>
      <c r="F633" t="s">
        <v>6258</v>
      </c>
      <c r="G633" t="s">
        <v>2488</v>
      </c>
      <c r="H633">
        <v>177</v>
      </c>
      <c r="I633" t="s">
        <v>2479</v>
      </c>
      <c r="J633">
        <v>3</v>
      </c>
      <c r="K633">
        <v>26</v>
      </c>
      <c r="L633">
        <v>29</v>
      </c>
      <c r="Q633">
        <v>0</v>
      </c>
      <c r="R633">
        <v>0</v>
      </c>
      <c r="S633">
        <v>29</v>
      </c>
      <c r="Y633" t="s">
        <v>3571</v>
      </c>
      <c r="Z633" t="s">
        <v>4127</v>
      </c>
      <c r="AA633" t="s">
        <v>3728</v>
      </c>
      <c r="AB633" t="s">
        <v>6259</v>
      </c>
      <c r="AC633" t="s">
        <v>3494</v>
      </c>
      <c r="AD633" s="249" t="str">
        <f>HYPERLINK("https://scontent.cdninstagram.com/t51.2885-15/s320x320/e35/20766660_265066063990027_452271437932134400_n.jpg")</f>
        <v>https://scontent.cdninstagram.com/t51.2885-15/s320x320/e35/20766660_265066063990027_452271437932134400_n.jpg</v>
      </c>
      <c r="AE633" s="249" t="str">
        <f>HYPERLINK("https://scontent.cdninstagram.com/t51.2885-19/s150x150/19761452_1876060406050696_4275948751316582400_a.jpg")</f>
        <v>https://scontent.cdninstagram.com/t51.2885-19/s150x150/19761452_1876060406050696_4275948751316582400_a.jpg</v>
      </c>
    </row>
    <row r="634" spans="1:31" ht="15" x14ac:dyDescent="0.25">
      <c r="A634" t="s">
        <v>2474</v>
      </c>
      <c r="B634" t="s">
        <v>6260</v>
      </c>
      <c r="C634" s="221">
        <v>42961.498298611114</v>
      </c>
      <c r="D634" t="s">
        <v>6261</v>
      </c>
      <c r="E634" s="249" t="str">
        <f>HYPERLINK("https://www.instagram.com/p/BXx7GoKBMd3/")</f>
        <v>https://www.instagram.com/p/BXx7GoKBMd3/</v>
      </c>
      <c r="F634" t="s">
        <v>6262</v>
      </c>
      <c r="G634" t="s">
        <v>2478</v>
      </c>
      <c r="H634">
        <v>731</v>
      </c>
      <c r="I634" t="s">
        <v>2479</v>
      </c>
      <c r="J634">
        <v>1</v>
      </c>
      <c r="K634">
        <v>37</v>
      </c>
      <c r="L634">
        <v>38</v>
      </c>
      <c r="Q634">
        <v>0</v>
      </c>
      <c r="R634">
        <v>0</v>
      </c>
      <c r="S634">
        <v>38</v>
      </c>
      <c r="Y634" t="s">
        <v>3399</v>
      </c>
      <c r="Z634" t="s">
        <v>6263</v>
      </c>
      <c r="AA634" t="s">
        <v>2657</v>
      </c>
      <c r="AB634" t="s">
        <v>6264</v>
      </c>
      <c r="AC634" t="s">
        <v>6265</v>
      </c>
      <c r="AD634" s="249" t="str">
        <f>HYPERLINK("https://scontent.cdninstagram.com/t51.2885-15/s320x320/e35/20759719_1448954861865228_2036955529380626432_n.jpg")</f>
        <v>https://scontent.cdninstagram.com/t51.2885-15/s320x320/e35/20759719_1448954861865228_2036955529380626432_n.jpg</v>
      </c>
      <c r="AE634" s="249" t="str">
        <f>HYPERLINK("https://scontent.cdninstagram.com/t51.2885-19/s150x150/20180716_328101890948546_8277557755091353600_a.jpg")</f>
        <v>https://scontent.cdninstagram.com/t51.2885-19/s150x150/20180716_328101890948546_8277557755091353600_a.jpg</v>
      </c>
    </row>
    <row r="635" spans="1:31" ht="15" x14ac:dyDescent="0.25">
      <c r="A635" t="s">
        <v>2474</v>
      </c>
      <c r="B635" t="s">
        <v>6266</v>
      </c>
      <c r="C635" s="221">
        <v>42961.498518518521</v>
      </c>
      <c r="D635" t="s">
        <v>6267</v>
      </c>
      <c r="E635" s="249" t="str">
        <f>HYPERLINK("https://www.instagram.com/p/BXx7I7ajwAF/")</f>
        <v>https://www.instagram.com/p/BXx7I7ajwAF/</v>
      </c>
      <c r="F635" t="s">
        <v>6268</v>
      </c>
      <c r="G635" t="s">
        <v>2478</v>
      </c>
      <c r="H635">
        <v>1433</v>
      </c>
      <c r="I635" t="s">
        <v>3273</v>
      </c>
      <c r="J635">
        <v>0</v>
      </c>
      <c r="K635">
        <v>76</v>
      </c>
      <c r="L635">
        <v>76</v>
      </c>
      <c r="Q635">
        <v>0</v>
      </c>
      <c r="R635">
        <v>0</v>
      </c>
      <c r="S635">
        <v>76</v>
      </c>
      <c r="Y635" t="s">
        <v>6269</v>
      </c>
      <c r="Z635" t="s">
        <v>6270</v>
      </c>
      <c r="AA635" t="s">
        <v>2497</v>
      </c>
      <c r="AB635" t="s">
        <v>6271</v>
      </c>
      <c r="AC635" t="s">
        <v>6272</v>
      </c>
      <c r="AD635" s="249" t="str">
        <f>HYPERLINK("https://scontent.cdninstagram.com/t51.2885-15/s320x320/e35/20902218_123816091515749_7591821747603636224_n.jpg")</f>
        <v>https://scontent.cdninstagram.com/t51.2885-15/s320x320/e35/20902218_123816091515749_7591821747603636224_n.jpg</v>
      </c>
      <c r="AE635" s="249" t="str">
        <f>HYPERLINK("https://scontent.cdninstagram.com/t51.2885-19/s150x150/17818674_1867471623465784_4514586849498365952_a.jpg")</f>
        <v>https://scontent.cdninstagram.com/t51.2885-19/s150x150/17818674_1867471623465784_4514586849498365952_a.jpg</v>
      </c>
    </row>
    <row r="636" spans="1:31" ht="15" x14ac:dyDescent="0.25">
      <c r="A636" t="s">
        <v>2474</v>
      </c>
      <c r="B636" t="s">
        <v>6273</v>
      </c>
      <c r="C636" s="221">
        <v>42961.500358796293</v>
      </c>
      <c r="D636" t="s">
        <v>6274</v>
      </c>
      <c r="E636" s="249" t="str">
        <f>HYPERLINK("https://www.instagram.com/p/BXx7cT7Btbi/")</f>
        <v>https://www.instagram.com/p/BXx7cT7Btbi/</v>
      </c>
      <c r="F636" t="s">
        <v>6275</v>
      </c>
      <c r="G636" t="s">
        <v>2478</v>
      </c>
      <c r="H636">
        <v>3119</v>
      </c>
      <c r="I636" t="s">
        <v>2479</v>
      </c>
      <c r="J636">
        <v>13</v>
      </c>
      <c r="K636">
        <v>498</v>
      </c>
      <c r="L636">
        <v>511</v>
      </c>
      <c r="Q636">
        <v>0</v>
      </c>
      <c r="R636">
        <v>0</v>
      </c>
      <c r="S636">
        <v>511</v>
      </c>
      <c r="Y636" t="s">
        <v>6276</v>
      </c>
      <c r="Z636" t="s">
        <v>4098</v>
      </c>
      <c r="AA636" t="s">
        <v>2497</v>
      </c>
      <c r="AB636" t="s">
        <v>6027</v>
      </c>
      <c r="AC636" t="s">
        <v>6277</v>
      </c>
      <c r="AD636" s="249" t="str">
        <f>HYPERLINK("https://scontent.cdninstagram.com/t51.2885-15/s320x320/e35/20838368_1423931581023667_2268634943024267264_n.jpg")</f>
        <v>https://scontent.cdninstagram.com/t51.2885-15/s320x320/e35/20838368_1423931581023667_2268634943024267264_n.jpg</v>
      </c>
      <c r="AE636" s="249" t="str">
        <f>HYPERLINK("https://scontent.cdninstagram.com/t51.2885-19/s150x150/19624532_764948100351962_5081400727297851392_a.jpg")</f>
        <v>https://scontent.cdninstagram.com/t51.2885-19/s150x150/19624532_764948100351962_5081400727297851392_a.jpg</v>
      </c>
    </row>
    <row r="637" spans="1:31" ht="15" x14ac:dyDescent="0.25">
      <c r="A637" t="s">
        <v>2474</v>
      </c>
      <c r="B637" t="s">
        <v>6278</v>
      </c>
      <c r="C637" s="221">
        <v>42961.504386574074</v>
      </c>
      <c r="D637" t="s">
        <v>6279</v>
      </c>
      <c r="E637" s="249" t="str">
        <f>HYPERLINK("https://www.instagram.com/p/BXx8G4_AAw2/")</f>
        <v>https://www.instagram.com/p/BXx8G4_AAw2/</v>
      </c>
      <c r="F637" t="s">
        <v>6280</v>
      </c>
      <c r="G637" t="s">
        <v>2478</v>
      </c>
      <c r="H637">
        <v>319</v>
      </c>
      <c r="I637" t="s">
        <v>2479</v>
      </c>
      <c r="J637">
        <v>0</v>
      </c>
      <c r="K637">
        <v>13</v>
      </c>
      <c r="L637">
        <v>13</v>
      </c>
      <c r="Q637">
        <v>0</v>
      </c>
      <c r="R637">
        <v>0</v>
      </c>
      <c r="S637">
        <v>13</v>
      </c>
      <c r="Y637" t="s">
        <v>6281</v>
      </c>
      <c r="Z637" t="s">
        <v>3843</v>
      </c>
      <c r="AA637" t="s">
        <v>6282</v>
      </c>
      <c r="AB637" t="s">
        <v>6283</v>
      </c>
      <c r="AC637" t="s">
        <v>2497</v>
      </c>
      <c r="AD637" s="249" t="str">
        <f>HYPERLINK("https://scontent.cdninstagram.com/t51.2885-15/s320x320/e35/20759554_116441969013949_7176182996272152576_n.jpg")</f>
        <v>https://scontent.cdninstagram.com/t51.2885-15/s320x320/e35/20759554_116441969013949_7176182996272152576_n.jpg</v>
      </c>
      <c r="AE637" s="249" t="str">
        <f>HYPERLINK("https://scontent.cdninstagram.com/t51.2885-19/s150x150/13249686_1715064842067682_1138511642_a.jpg")</f>
        <v>https://scontent.cdninstagram.com/t51.2885-19/s150x150/13249686_1715064842067682_1138511642_a.jpg</v>
      </c>
    </row>
    <row r="638" spans="1:31" ht="15" x14ac:dyDescent="0.25">
      <c r="A638" t="s">
        <v>2474</v>
      </c>
      <c r="B638" t="s">
        <v>6284</v>
      </c>
      <c r="C638" s="221">
        <v>42961.505266203705</v>
      </c>
      <c r="D638" t="s">
        <v>6285</v>
      </c>
      <c r="E638" s="249" t="str">
        <f>HYPERLINK("https://www.instagram.com/p/BXx8QEHAPxu/")</f>
        <v>https://www.instagram.com/p/BXx8QEHAPxu/</v>
      </c>
      <c r="F638" t="s">
        <v>6286</v>
      </c>
      <c r="G638" t="s">
        <v>2488</v>
      </c>
      <c r="H638">
        <v>2257</v>
      </c>
      <c r="I638" t="s">
        <v>2479</v>
      </c>
      <c r="J638">
        <v>4</v>
      </c>
      <c r="K638">
        <v>63</v>
      </c>
      <c r="L638">
        <v>67</v>
      </c>
      <c r="Q638">
        <v>0</v>
      </c>
      <c r="R638">
        <v>0</v>
      </c>
      <c r="S638">
        <v>67</v>
      </c>
      <c r="T638" t="s">
        <v>6287</v>
      </c>
      <c r="V638" t="s">
        <v>2144</v>
      </c>
      <c r="W638">
        <v>18.408754049999999</v>
      </c>
      <c r="X638">
        <v>-70.109685830000004</v>
      </c>
      <c r="Y638" t="s">
        <v>6288</v>
      </c>
      <c r="Z638" t="s">
        <v>2497</v>
      </c>
      <c r="AA638" t="s">
        <v>6284</v>
      </c>
      <c r="AD638" s="249" t="str">
        <f>HYPERLINK("https://scontent.cdninstagram.com/t51.2885-15/s320x320/e35/20766094_1658859974138964_917934807231496192_n.jpg")</f>
        <v>https://scontent.cdninstagram.com/t51.2885-15/s320x320/e35/20766094_1658859974138964_917934807231496192_n.jpg</v>
      </c>
      <c r="AE638" s="249" t="str">
        <f>HYPERLINK("https://scontent.cdninstagram.com/t51.2885-19/s150x150/17596409_1493114097366463_4601258933049360384_a.jpg")</f>
        <v>https://scontent.cdninstagram.com/t51.2885-19/s150x150/17596409_1493114097366463_4601258933049360384_a.jpg</v>
      </c>
    </row>
    <row r="639" spans="1:31" ht="15" x14ac:dyDescent="0.25">
      <c r="A639" t="s">
        <v>2474</v>
      </c>
      <c r="B639" t="s">
        <v>2588</v>
      </c>
      <c r="C639" s="221">
        <v>42961.505810185183</v>
      </c>
      <c r="D639" t="s">
        <v>6289</v>
      </c>
      <c r="E639" s="249" t="str">
        <f>HYPERLINK("https://www.instagram.com/p/BXx8V0iAz0Q/")</f>
        <v>https://www.instagram.com/p/BXx8V0iAz0Q/</v>
      </c>
      <c r="F639" t="s">
        <v>6290</v>
      </c>
      <c r="G639" t="s">
        <v>2478</v>
      </c>
      <c r="H639">
        <v>268</v>
      </c>
      <c r="I639" t="s">
        <v>2479</v>
      </c>
      <c r="J639">
        <v>17</v>
      </c>
      <c r="K639">
        <v>36</v>
      </c>
      <c r="L639">
        <v>53</v>
      </c>
      <c r="Q639">
        <v>0</v>
      </c>
      <c r="R639">
        <v>0</v>
      </c>
      <c r="S639">
        <v>53</v>
      </c>
      <c r="AD639" s="249" t="str">
        <f>HYPERLINK("https://scontent.cdninstagram.com/t51.2885-15/s320x320/e35/c32.0.576.576/20837434_527534927591571_1194266268547416064_n.jpg")</f>
        <v>https://scontent.cdninstagram.com/t51.2885-15/s320x320/e35/c32.0.576.576/20837434_527534927591571_1194266268547416064_n.jpg</v>
      </c>
      <c r="AE639" s="249" t="str">
        <f>HYPERLINK("https://scontent.cdninstagram.com/t51.2885-19/s150x150/20633561_108840983138666_5897549723056734208_a.jpg")</f>
        <v>https://scontent.cdninstagram.com/t51.2885-19/s150x150/20633561_108840983138666_5897549723056734208_a.jpg</v>
      </c>
    </row>
    <row r="640" spans="1:31" ht="15" x14ac:dyDescent="0.25">
      <c r="A640" t="s">
        <v>2474</v>
      </c>
      <c r="B640" t="s">
        <v>4616</v>
      </c>
      <c r="C640" s="221">
        <v>42961.507291666669</v>
      </c>
      <c r="D640" t="s">
        <v>6291</v>
      </c>
      <c r="E640" s="249" t="str">
        <f>HYPERLINK("https://www.instagram.com/p/BXx8ldJhgwN/")</f>
        <v>https://www.instagram.com/p/BXx8ldJhgwN/</v>
      </c>
      <c r="F640" t="s">
        <v>6292</v>
      </c>
      <c r="G640" t="s">
        <v>2478</v>
      </c>
      <c r="H640">
        <v>109</v>
      </c>
      <c r="I640" t="s">
        <v>2479</v>
      </c>
      <c r="J640">
        <v>0</v>
      </c>
      <c r="K640">
        <v>31</v>
      </c>
      <c r="L640">
        <v>31</v>
      </c>
      <c r="Q640">
        <v>0</v>
      </c>
      <c r="R640">
        <v>0</v>
      </c>
      <c r="S640">
        <v>31</v>
      </c>
      <c r="T640" t="s">
        <v>6293</v>
      </c>
      <c r="V640" t="s">
        <v>2276</v>
      </c>
      <c r="W640">
        <v>8.0458658304972008</v>
      </c>
      <c r="X640">
        <v>98.797860145569004</v>
      </c>
      <c r="Y640" t="s">
        <v>2497</v>
      </c>
      <c r="Z640" t="s">
        <v>5586</v>
      </c>
      <c r="AA640" t="s">
        <v>6294</v>
      </c>
      <c r="AB640" t="s">
        <v>5006</v>
      </c>
      <c r="AC640" t="s">
        <v>5587</v>
      </c>
      <c r="AD640" s="249" t="str">
        <f>HYPERLINK("https://scontent.cdninstagram.com/t51.2885-15/s320x320/e35/c200.0.679.679/20759856_1449370408476961_5675584687918022656_n.jpg")</f>
        <v>https://scontent.cdninstagram.com/t51.2885-15/s320x320/e35/c200.0.679.679/20759856_1449370408476961_5675584687918022656_n.jpg</v>
      </c>
      <c r="AE640" s="249" t="str">
        <f>HYPERLINK("https://scontent.cdninstagram.com/t51.2885-19/s150x150/17494353_1347957098574282_2527511313651859456_a.jpg")</f>
        <v>https://scontent.cdninstagram.com/t51.2885-19/s150x150/17494353_1347957098574282_2527511313651859456_a.jpg</v>
      </c>
    </row>
    <row r="641" spans="1:31" ht="15" x14ac:dyDescent="0.25">
      <c r="A641" t="s">
        <v>2474</v>
      </c>
      <c r="B641" t="s">
        <v>6295</v>
      </c>
      <c r="C641" s="221">
        <v>42961.512430555558</v>
      </c>
      <c r="D641" t="s">
        <v>6296</v>
      </c>
      <c r="E641" s="249" t="str">
        <f>HYPERLINK("https://www.instagram.com/p/BXx9bqJhAuh/")</f>
        <v>https://www.instagram.com/p/BXx9bqJhAuh/</v>
      </c>
      <c r="F641" t="s">
        <v>6297</v>
      </c>
      <c r="G641" t="s">
        <v>2478</v>
      </c>
      <c r="H641">
        <v>60</v>
      </c>
      <c r="I641" t="s">
        <v>2479</v>
      </c>
      <c r="J641">
        <v>1</v>
      </c>
      <c r="K641">
        <v>10</v>
      </c>
      <c r="L641">
        <v>11</v>
      </c>
      <c r="Q641">
        <v>0</v>
      </c>
      <c r="R641">
        <v>0</v>
      </c>
      <c r="S641">
        <v>11</v>
      </c>
      <c r="Y641" t="s">
        <v>2497</v>
      </c>
      <c r="Z641" t="s">
        <v>6298</v>
      </c>
      <c r="AA641" t="s">
        <v>6299</v>
      </c>
      <c r="AB641" t="s">
        <v>6300</v>
      </c>
      <c r="AC641" t="s">
        <v>6301</v>
      </c>
      <c r="AD641" s="249" t="str">
        <f>HYPERLINK("https://scontent.cdninstagram.com/t51.2885-15/s320x320/e35/c0.78.625.625/20759979_263254180833589_7005454232325193728_n.jpg")</f>
        <v>https://scontent.cdninstagram.com/t51.2885-15/s320x320/e35/c0.78.625.625/20759979_263254180833589_7005454232325193728_n.jpg</v>
      </c>
      <c r="AE641" s="249" t="str">
        <f>HYPERLINK("https://scontent.cdninstagram.com/t51.2885-19/s150x150/18809485_210054562847039_2611623570924634112_a.jpg")</f>
        <v>https://scontent.cdninstagram.com/t51.2885-19/s150x150/18809485_210054562847039_2611623570924634112_a.jpg</v>
      </c>
    </row>
    <row r="642" spans="1:31" ht="15" x14ac:dyDescent="0.25">
      <c r="A642" t="s">
        <v>2474</v>
      </c>
      <c r="B642" t="s">
        <v>2628</v>
      </c>
      <c r="C642" s="221">
        <v>42961.512523148151</v>
      </c>
      <c r="D642" t="s">
        <v>6302</v>
      </c>
      <c r="E642" s="249" t="str">
        <f>HYPERLINK("https://www.instagram.com/p/BXx9cs0gM9O/")</f>
        <v>https://www.instagram.com/p/BXx9cs0gM9O/</v>
      </c>
      <c r="F642" t="s">
        <v>6303</v>
      </c>
      <c r="G642" t="s">
        <v>2631</v>
      </c>
      <c r="H642">
        <v>179</v>
      </c>
      <c r="I642" t="s">
        <v>2479</v>
      </c>
      <c r="J642">
        <v>1</v>
      </c>
      <c r="K642">
        <v>35</v>
      </c>
      <c r="L642">
        <v>36</v>
      </c>
      <c r="Q642">
        <v>0</v>
      </c>
      <c r="R642">
        <v>0</v>
      </c>
      <c r="S642">
        <v>36</v>
      </c>
      <c r="Y642" t="s">
        <v>6304</v>
      </c>
      <c r="Z642" t="s">
        <v>2634</v>
      </c>
      <c r="AA642" t="s">
        <v>5084</v>
      </c>
      <c r="AB642" t="s">
        <v>2497</v>
      </c>
      <c r="AC642" t="s">
        <v>6305</v>
      </c>
      <c r="AD642" s="249" t="str">
        <f>HYPERLINK("https://scontent.cdninstagram.com/t51.2885-15/s320x320/e15/20759836_154991311745547_472056810371547136_n.jpg")</f>
        <v>https://scontent.cdninstagram.com/t51.2885-15/s320x320/e15/20759836_154991311745547_472056810371547136_n.jpg</v>
      </c>
      <c r="AE642" s="249" t="str">
        <f>HYPERLINK("https://scontent.cdninstagram.com/t51.2885-19/s150x150/13739472_923311071148595_1681273203_a.jpg")</f>
        <v>https://scontent.cdninstagram.com/t51.2885-19/s150x150/13739472_923311071148595_1681273203_a.jpg</v>
      </c>
    </row>
    <row r="643" spans="1:31" ht="15" x14ac:dyDescent="0.25">
      <c r="A643" t="s">
        <v>2474</v>
      </c>
      <c r="B643" t="s">
        <v>6306</v>
      </c>
      <c r="C643" s="221">
        <v>42961.515729166669</v>
      </c>
      <c r="D643" t="s">
        <v>6307</v>
      </c>
      <c r="E643" s="249" t="str">
        <f>HYPERLINK("https://www.instagram.com/p/BXx9-enBa1h/")</f>
        <v>https://www.instagram.com/p/BXx9-enBa1h/</v>
      </c>
      <c r="F643" t="s">
        <v>6308</v>
      </c>
      <c r="G643" t="s">
        <v>2478</v>
      </c>
      <c r="H643">
        <v>38</v>
      </c>
      <c r="I643" t="s">
        <v>2479</v>
      </c>
      <c r="J643">
        <v>0</v>
      </c>
      <c r="K643">
        <v>7</v>
      </c>
      <c r="L643">
        <v>7</v>
      </c>
      <c r="Q643">
        <v>0</v>
      </c>
      <c r="R643">
        <v>0</v>
      </c>
      <c r="S643">
        <v>7</v>
      </c>
      <c r="Y643" t="s">
        <v>6309</v>
      </c>
      <c r="Z643" t="s">
        <v>2497</v>
      </c>
      <c r="AA643" t="s">
        <v>6310</v>
      </c>
      <c r="AB643" t="s">
        <v>2753</v>
      </c>
      <c r="AC643" t="s">
        <v>6311</v>
      </c>
      <c r="AD643" s="249" t="str">
        <f>HYPERLINK("https://scontent.cdninstagram.com/t51.2885-15/s320x320/e35/20766043_743775392460953_4938406285168082944_n.jpg")</f>
        <v>https://scontent.cdninstagram.com/t51.2885-15/s320x320/e35/20766043_743775392460953_4938406285168082944_n.jpg</v>
      </c>
      <c r="AE643" s="249" t="str">
        <f>HYPERLINK("https://scontent.cdninstagram.com/t51.2885-19/s150x150/20902552_139074903361627_3652131723967201280_a.jpg")</f>
        <v>https://scontent.cdninstagram.com/t51.2885-19/s150x150/20902552_139074903361627_3652131723967201280_a.jpg</v>
      </c>
    </row>
    <row r="644" spans="1:31" ht="15" x14ac:dyDescent="0.25">
      <c r="A644" t="s">
        <v>2474</v>
      </c>
      <c r="B644" t="s">
        <v>6312</v>
      </c>
      <c r="C644" s="221">
        <v>42961.522499999999</v>
      </c>
      <c r="D644" t="s">
        <v>6313</v>
      </c>
      <c r="E644" s="249" t="str">
        <f>HYPERLINK("https://www.instagram.com/p/BXx_F0chpM5/")</f>
        <v>https://www.instagram.com/p/BXx_F0chpM5/</v>
      </c>
      <c r="F644" t="s">
        <v>6314</v>
      </c>
      <c r="G644" t="s">
        <v>2631</v>
      </c>
      <c r="H644">
        <v>59</v>
      </c>
      <c r="I644" t="s">
        <v>2479</v>
      </c>
      <c r="J644">
        <v>3</v>
      </c>
      <c r="K644">
        <v>20</v>
      </c>
      <c r="L644">
        <v>23</v>
      </c>
      <c r="Q644">
        <v>0</v>
      </c>
      <c r="R644">
        <v>0</v>
      </c>
      <c r="S644">
        <v>23</v>
      </c>
      <c r="Y644" t="s">
        <v>6315</v>
      </c>
      <c r="Z644" t="s">
        <v>6316</v>
      </c>
      <c r="AA644" t="s">
        <v>3902</v>
      </c>
      <c r="AB644" t="s">
        <v>6317</v>
      </c>
      <c r="AC644" t="s">
        <v>6318</v>
      </c>
      <c r="AD644" s="249" t="str">
        <f>HYPERLINK("https://scontent.cdninstagram.com/t51.2885-15/s320x320/e35/20759820_1614139405325117_8966587160681512960_n.jpg")</f>
        <v>https://scontent.cdninstagram.com/t51.2885-15/s320x320/e35/20759820_1614139405325117_8966587160681512960_n.jpg</v>
      </c>
      <c r="AE644" s="249" t="str">
        <f>HYPERLINK("https://scontent.cdninstagram.com/t51.2885-19/s150x150/16583685_1809557262640848_2708820201251536896_a.jpg")</f>
        <v>https://scontent.cdninstagram.com/t51.2885-19/s150x150/16583685_1809557262640848_2708820201251536896_a.jpg</v>
      </c>
    </row>
    <row r="645" spans="1:31" ht="15" x14ac:dyDescent="0.25">
      <c r="A645" t="s">
        <v>2474</v>
      </c>
      <c r="B645" t="s">
        <v>6319</v>
      </c>
      <c r="C645" s="221">
        <v>42961.52553240741</v>
      </c>
      <c r="D645" t="s">
        <v>6320</v>
      </c>
      <c r="E645" s="249" t="str">
        <f>HYPERLINK("https://www.instagram.com/p/BXx_l1LlcWk/")</f>
        <v>https://www.instagram.com/p/BXx_l1LlcWk/</v>
      </c>
      <c r="F645" t="s">
        <v>6321</v>
      </c>
      <c r="G645" t="s">
        <v>2478</v>
      </c>
      <c r="H645">
        <v>107</v>
      </c>
      <c r="I645" t="s">
        <v>2479</v>
      </c>
      <c r="J645">
        <v>0</v>
      </c>
      <c r="K645">
        <v>19</v>
      </c>
      <c r="L645">
        <v>19</v>
      </c>
      <c r="Q645">
        <v>0</v>
      </c>
      <c r="R645">
        <v>0</v>
      </c>
      <c r="S645">
        <v>19</v>
      </c>
      <c r="T645" t="s">
        <v>6322</v>
      </c>
      <c r="U645" t="s">
        <v>270</v>
      </c>
      <c r="V645" t="s">
        <v>2299</v>
      </c>
      <c r="W645">
        <v>26.6084</v>
      </c>
      <c r="X645">
        <v>-81.639200000000002</v>
      </c>
      <c r="Y645" t="s">
        <v>2497</v>
      </c>
      <c r="Z645" t="s">
        <v>6323</v>
      </c>
      <c r="AA645" t="s">
        <v>6324</v>
      </c>
      <c r="AB645" t="s">
        <v>6325</v>
      </c>
      <c r="AC645" t="s">
        <v>6326</v>
      </c>
      <c r="AD645" s="249" t="str">
        <f>HYPERLINK("https://scontent.cdninstagram.com/t51.2885-15/s320x320/e35/20759973_1899065940343197_3361855646302470144_n.jpg")</f>
        <v>https://scontent.cdninstagram.com/t51.2885-15/s320x320/e35/20759973_1899065940343197_3361855646302470144_n.jpg</v>
      </c>
      <c r="AE645" s="249" t="str">
        <f>HYPERLINK("https://scontent.cdninstagram.com/t51.2885-19/s150x150/19933255_277460662720721_137395720331198464_a.jpg")</f>
        <v>https://scontent.cdninstagram.com/t51.2885-19/s150x150/19933255_277460662720721_137395720331198464_a.jpg</v>
      </c>
    </row>
    <row r="646" spans="1:31" ht="15" x14ac:dyDescent="0.25">
      <c r="A646" t="s">
        <v>2474</v>
      </c>
      <c r="B646" t="s">
        <v>6327</v>
      </c>
      <c r="C646" s="221">
        <v>42961.534710648149</v>
      </c>
      <c r="D646" t="s">
        <v>6328</v>
      </c>
      <c r="E646" s="249" t="str">
        <f>HYPERLINK("https://www.instagram.com/p/BXyBGtqhfD7/")</f>
        <v>https://www.instagram.com/p/BXyBGtqhfD7/</v>
      </c>
      <c r="F646" t="s">
        <v>6329</v>
      </c>
      <c r="G646" t="s">
        <v>2478</v>
      </c>
      <c r="H646">
        <v>824</v>
      </c>
      <c r="I646" t="s">
        <v>2479</v>
      </c>
      <c r="J646">
        <v>0</v>
      </c>
      <c r="K646">
        <v>14</v>
      </c>
      <c r="L646">
        <v>14</v>
      </c>
      <c r="Q646">
        <v>0</v>
      </c>
      <c r="R646">
        <v>0</v>
      </c>
      <c r="S646">
        <v>14</v>
      </c>
      <c r="Y646" t="s">
        <v>6330</v>
      </c>
      <c r="Z646" t="s">
        <v>6331</v>
      </c>
      <c r="AA646" t="s">
        <v>6332</v>
      </c>
      <c r="AB646" t="s">
        <v>3768</v>
      </c>
      <c r="AC646" t="s">
        <v>6333</v>
      </c>
      <c r="AD646" s="249" t="str">
        <f>HYPERLINK("https://scontent.cdninstagram.com/t51.2885-15/s320x320/e35/20837368_136360383632532_4677315455172476928_n.jpg")</f>
        <v>https://scontent.cdninstagram.com/t51.2885-15/s320x320/e35/20837368_136360383632532_4677315455172476928_n.jpg</v>
      </c>
      <c r="AE646" s="249" t="str">
        <f>HYPERLINK("https://scontent.cdninstagram.com/t51.2885-19/s150x150/20969047_1590756160998815_6715613509725454336_a.jpg")</f>
        <v>https://scontent.cdninstagram.com/t51.2885-19/s150x150/20969047_1590756160998815_6715613509725454336_a.jpg</v>
      </c>
    </row>
    <row r="647" spans="1:31" ht="15" x14ac:dyDescent="0.25">
      <c r="A647" t="s">
        <v>2474</v>
      </c>
      <c r="B647" t="s">
        <v>6334</v>
      </c>
      <c r="C647" s="221">
        <v>42961.5393287037</v>
      </c>
      <c r="D647" t="s">
        <v>6335</v>
      </c>
      <c r="E647" s="249" t="str">
        <f>HYPERLINK("https://www.instagram.com/p/BXyB3WpjGsk/")</f>
        <v>https://www.instagram.com/p/BXyB3WpjGsk/</v>
      </c>
      <c r="F647" t="s">
        <v>6336</v>
      </c>
      <c r="G647" t="s">
        <v>2478</v>
      </c>
      <c r="H647">
        <v>1005</v>
      </c>
      <c r="I647" t="s">
        <v>2910</v>
      </c>
      <c r="J647">
        <v>2</v>
      </c>
      <c r="K647">
        <v>105</v>
      </c>
      <c r="L647">
        <v>107</v>
      </c>
      <c r="Q647">
        <v>0</v>
      </c>
      <c r="R647">
        <v>0</v>
      </c>
      <c r="S647">
        <v>107</v>
      </c>
      <c r="Y647" t="s">
        <v>6337</v>
      </c>
      <c r="Z647" t="s">
        <v>6338</v>
      </c>
      <c r="AA647" t="s">
        <v>5770</v>
      </c>
      <c r="AB647" t="s">
        <v>6339</v>
      </c>
      <c r="AC647" t="s">
        <v>2730</v>
      </c>
      <c r="AD647" s="249" t="str">
        <f>HYPERLINK("https://scontent.cdninstagram.com/t51.2885-15/s320x320/e35/c0.135.1080.1080/20766039_279232455891368_541605937350180864_n.jpg")</f>
        <v>https://scontent.cdninstagram.com/t51.2885-15/s320x320/e35/c0.135.1080.1080/20766039_279232455891368_541605937350180864_n.jpg</v>
      </c>
      <c r="AE647" s="249" t="str">
        <f>HYPERLINK("https://scontent.cdninstagram.com/t51.2885-19/s150x150/19762088_1007249639410292_1256091137362362368_a.jpg")</f>
        <v>https://scontent.cdninstagram.com/t51.2885-19/s150x150/19762088_1007249639410292_1256091137362362368_a.jpg</v>
      </c>
    </row>
    <row r="648" spans="1:31" ht="15" x14ac:dyDescent="0.25">
      <c r="A648" t="s">
        <v>2474</v>
      </c>
      <c r="B648" t="s">
        <v>3107</v>
      </c>
      <c r="C648" s="221">
        <v>42961.544282407405</v>
      </c>
      <c r="D648" t="s">
        <v>6340</v>
      </c>
      <c r="E648" s="249" t="str">
        <f>HYPERLINK("https://www.instagram.com/p/BXyCrm8AR-o/")</f>
        <v>https://www.instagram.com/p/BXyCrm8AR-o/</v>
      </c>
      <c r="F648" t="s">
        <v>6341</v>
      </c>
      <c r="G648" t="s">
        <v>2478</v>
      </c>
      <c r="H648">
        <v>698</v>
      </c>
      <c r="I648" t="s">
        <v>2542</v>
      </c>
      <c r="J648">
        <v>2</v>
      </c>
      <c r="K648">
        <v>25</v>
      </c>
      <c r="L648">
        <v>27</v>
      </c>
      <c r="Q648">
        <v>0</v>
      </c>
      <c r="R648">
        <v>0</v>
      </c>
      <c r="S648">
        <v>27</v>
      </c>
      <c r="Y648" t="s">
        <v>6342</v>
      </c>
      <c r="Z648" t="s">
        <v>6343</v>
      </c>
      <c r="AA648" t="s">
        <v>6344</v>
      </c>
      <c r="AB648" t="s">
        <v>6345</v>
      </c>
      <c r="AC648" t="s">
        <v>2899</v>
      </c>
      <c r="AD648" s="249" t="str">
        <f>HYPERLINK("https://scontent.cdninstagram.com/t51.2885-15/s320x320/e35/c0.44.1080.1080/20688367_117378028917715_7537572561148706816_n.jpg")</f>
        <v>https://scontent.cdninstagram.com/t51.2885-15/s320x320/e35/c0.44.1080.1080/20688367_117378028917715_7537572561148706816_n.jpg</v>
      </c>
      <c r="AE648" s="249" t="str">
        <f>HYPERLINK("https://scontent.cdninstagram.com/t51.2885-19/s150x150/20687223_1716140478692056_1498828159057920000_a.jpg")</f>
        <v>https://scontent.cdninstagram.com/t51.2885-19/s150x150/20687223_1716140478692056_1498828159057920000_a.jpg</v>
      </c>
    </row>
    <row r="649" spans="1:31" ht="15" x14ac:dyDescent="0.25">
      <c r="A649" t="s">
        <v>2474</v>
      </c>
      <c r="B649" t="s">
        <v>6346</v>
      </c>
      <c r="C649" s="221">
        <v>42961.546203703707</v>
      </c>
      <c r="D649" t="s">
        <v>6347</v>
      </c>
      <c r="E649" s="249" t="str">
        <f>HYPERLINK("https://www.instagram.com/p/BXyC_0rBCSQ/")</f>
        <v>https://www.instagram.com/p/BXyC_0rBCSQ/</v>
      </c>
      <c r="F649" t="s">
        <v>6348</v>
      </c>
      <c r="G649" t="s">
        <v>2478</v>
      </c>
      <c r="H649">
        <v>179</v>
      </c>
      <c r="I649" t="s">
        <v>2479</v>
      </c>
      <c r="J649">
        <v>0</v>
      </c>
      <c r="K649">
        <v>6</v>
      </c>
      <c r="L649">
        <v>6</v>
      </c>
      <c r="Q649">
        <v>0</v>
      </c>
      <c r="R649">
        <v>0</v>
      </c>
      <c r="S649">
        <v>6</v>
      </c>
      <c r="Y649" t="s">
        <v>6349</v>
      </c>
      <c r="Z649" t="s">
        <v>6350</v>
      </c>
      <c r="AA649" t="s">
        <v>6351</v>
      </c>
      <c r="AB649" t="s">
        <v>6352</v>
      </c>
      <c r="AC649" t="s">
        <v>6353</v>
      </c>
      <c r="AD649" s="249" t="str">
        <f>HYPERLINK("https://scontent.cdninstagram.com/t51.2885-15/s320x320/e35/c0.114.1080.1080/20837501_1423521561059794_3962214176461422592_n.jpg")</f>
        <v>https://scontent.cdninstagram.com/t51.2885-15/s320x320/e35/c0.114.1080.1080/20837501_1423521561059794_3962214176461422592_n.jpg</v>
      </c>
      <c r="AE649" s="249" t="str">
        <f>HYPERLINK("https://scontent.cdninstagram.com/t51.2885-19/s150x150/15057408_1182992491790828_1220408033671118848_a.jpg")</f>
        <v>https://scontent.cdninstagram.com/t51.2885-19/s150x150/15057408_1182992491790828_1220408033671118848_a.jpg</v>
      </c>
    </row>
    <row r="650" spans="1:31" ht="15" x14ac:dyDescent="0.25">
      <c r="A650" t="s">
        <v>2474</v>
      </c>
      <c r="B650" t="s">
        <v>4132</v>
      </c>
      <c r="C650" s="221">
        <v>42961.552025462966</v>
      </c>
      <c r="D650" t="s">
        <v>6354</v>
      </c>
      <c r="E650" s="249" t="str">
        <f>HYPERLINK("https://www.instagram.com/p/BXyD9T8lVJD/")</f>
        <v>https://www.instagram.com/p/BXyD9T8lVJD/</v>
      </c>
      <c r="F650" t="s">
        <v>6355</v>
      </c>
      <c r="G650" t="s">
        <v>2478</v>
      </c>
      <c r="H650">
        <v>6878</v>
      </c>
      <c r="I650" t="s">
        <v>2479</v>
      </c>
      <c r="J650">
        <v>5</v>
      </c>
      <c r="K650">
        <v>24</v>
      </c>
      <c r="L650">
        <v>29</v>
      </c>
      <c r="Q650">
        <v>0</v>
      </c>
      <c r="R650">
        <v>0</v>
      </c>
      <c r="S650">
        <v>29</v>
      </c>
      <c r="AD650" s="249" t="str">
        <f>HYPERLINK("https://scontent.cdninstagram.com/t51.2885-15/s320x320/e35/c36.0.568.568/20837366_156988838211087_8395953167170273280_n.jpg")</f>
        <v>https://scontent.cdninstagram.com/t51.2885-15/s320x320/e35/c36.0.568.568/20837366_156988838211087_8395953167170273280_n.jpg</v>
      </c>
      <c r="AE650" s="249" t="str">
        <f>HYPERLINK("https://scontent.cdninstagram.com/t51.2885-19/s150x150/15306012_1834743390099693_621234283125669888_a.jpg")</f>
        <v>https://scontent.cdninstagram.com/t51.2885-19/s150x150/15306012_1834743390099693_621234283125669888_a.jpg</v>
      </c>
    </row>
    <row r="651" spans="1:31" ht="15" x14ac:dyDescent="0.25">
      <c r="A651" t="s">
        <v>2474</v>
      </c>
      <c r="B651" t="s">
        <v>6356</v>
      </c>
      <c r="C651" s="221">
        <v>42961.559884259259</v>
      </c>
      <c r="D651" t="s">
        <v>6357</v>
      </c>
      <c r="E651" s="249" t="str">
        <f>HYPERLINK("https://www.instagram.com/p/BXyFQJpl1JZ/")</f>
        <v>https://www.instagram.com/p/BXyFQJpl1JZ/</v>
      </c>
      <c r="F651" t="s">
        <v>6358</v>
      </c>
      <c r="G651" t="s">
        <v>2478</v>
      </c>
      <c r="I651" t="s">
        <v>2542</v>
      </c>
      <c r="J651">
        <v>0</v>
      </c>
      <c r="K651">
        <v>1</v>
      </c>
      <c r="L651">
        <v>1</v>
      </c>
      <c r="Q651">
        <v>0</v>
      </c>
      <c r="R651">
        <v>0</v>
      </c>
      <c r="S651">
        <v>1</v>
      </c>
      <c r="Y651" t="s">
        <v>3014</v>
      </c>
      <c r="Z651" t="s">
        <v>6359</v>
      </c>
      <c r="AA651" t="s">
        <v>6360</v>
      </c>
      <c r="AB651" t="s">
        <v>2497</v>
      </c>
      <c r="AD651" s="249" t="str">
        <f>HYPERLINK("https://scontent.cdninstagram.com/t51.2885-15/s320x320/e35/20837086_602344203487256_3814914957330350080_n.jpg")</f>
        <v>https://scontent.cdninstagram.com/t51.2885-15/s320x320/e35/20837086_602344203487256_3814914957330350080_n.jpg</v>
      </c>
      <c r="AE651" s="249" t="str">
        <f>HYPERLINK("https://scontent.cdninstagram.com/t51.2885-19/s150x150/20837819_433639897036699_6490455136337395712_a.jpg")</f>
        <v>https://scontent.cdninstagram.com/t51.2885-19/s150x150/20837819_433639897036699_6490455136337395712_a.jpg</v>
      </c>
    </row>
    <row r="652" spans="1:31" ht="15" x14ac:dyDescent="0.25">
      <c r="A652" t="s">
        <v>2474</v>
      </c>
      <c r="B652" t="s">
        <v>6361</v>
      </c>
      <c r="C652" s="221">
        <v>42961.565798611111</v>
      </c>
      <c r="D652" t="s">
        <v>6362</v>
      </c>
      <c r="E652" s="249" t="str">
        <f>HYPERLINK("https://www.instagram.com/p/BXyGOkuAlbc/")</f>
        <v>https://www.instagram.com/p/BXyGOkuAlbc/</v>
      </c>
      <c r="F652" t="s">
        <v>6363</v>
      </c>
      <c r="G652" t="s">
        <v>2478</v>
      </c>
      <c r="H652">
        <v>862</v>
      </c>
      <c r="I652" t="s">
        <v>2479</v>
      </c>
      <c r="J652">
        <v>2</v>
      </c>
      <c r="K652">
        <v>20</v>
      </c>
      <c r="L652">
        <v>22</v>
      </c>
      <c r="Q652">
        <v>0</v>
      </c>
      <c r="R652">
        <v>0</v>
      </c>
      <c r="S652">
        <v>22</v>
      </c>
      <c r="T652" t="s">
        <v>6364</v>
      </c>
      <c r="U652" t="s">
        <v>472</v>
      </c>
      <c r="V652" t="s">
        <v>2299</v>
      </c>
      <c r="W652">
        <v>47.023348315888001</v>
      </c>
      <c r="X652">
        <v>-122.93046712875</v>
      </c>
      <c r="Y652" t="s">
        <v>6365</v>
      </c>
      <c r="Z652" t="s">
        <v>6366</v>
      </c>
      <c r="AA652" t="s">
        <v>6367</v>
      </c>
      <c r="AB652" t="s">
        <v>2497</v>
      </c>
      <c r="AC652" t="s">
        <v>6368</v>
      </c>
      <c r="AD652" s="249" t="str">
        <f>HYPERLINK("https://scontent.cdninstagram.com/t51.2885-15/s320x320/e35/20838428_110778326262389_7161331802521468928_n.jpg")</f>
        <v>https://scontent.cdninstagram.com/t51.2885-15/s320x320/e35/20838428_110778326262389_7161331802521468928_n.jpg</v>
      </c>
      <c r="AE652" s="249" t="str">
        <f>HYPERLINK("https://scontent.cdninstagram.com/t51.2885-19/s150x150/19121713_199465320578155_8766789491139543040_a.jpg")</f>
        <v>https://scontent.cdninstagram.com/t51.2885-19/s150x150/19121713_199465320578155_8766789491139543040_a.jpg</v>
      </c>
    </row>
    <row r="653" spans="1:31" ht="15" x14ac:dyDescent="0.25">
      <c r="A653" t="s">
        <v>2474</v>
      </c>
      <c r="B653" t="s">
        <v>6369</v>
      </c>
      <c r="C653" s="221">
        <v>42961.566145833334</v>
      </c>
      <c r="D653" t="s">
        <v>6370</v>
      </c>
      <c r="E653" s="249" t="str">
        <f>HYPERLINK("https://www.instagram.com/p/BXyGSL5FXmy/")</f>
        <v>https://www.instagram.com/p/BXyGSL5FXmy/</v>
      </c>
      <c r="F653" t="s">
        <v>6371</v>
      </c>
      <c r="G653" t="s">
        <v>2478</v>
      </c>
      <c r="H653">
        <v>1212</v>
      </c>
      <c r="I653" t="s">
        <v>2479</v>
      </c>
      <c r="J653">
        <v>7</v>
      </c>
      <c r="K653">
        <v>107</v>
      </c>
      <c r="L653">
        <v>114</v>
      </c>
      <c r="Q653">
        <v>0</v>
      </c>
      <c r="R653">
        <v>0</v>
      </c>
      <c r="S653">
        <v>114</v>
      </c>
      <c r="Y653" t="s">
        <v>6372</v>
      </c>
      <c r="Z653" t="s">
        <v>6373</v>
      </c>
      <c r="AA653" t="s">
        <v>6374</v>
      </c>
      <c r="AB653" t="s">
        <v>6375</v>
      </c>
      <c r="AC653" t="s">
        <v>6376</v>
      </c>
      <c r="AD653" s="249" t="str">
        <f>HYPERLINK("https://scontent.cdninstagram.com/t51.2885-15/s320x320/e35/c0.117.937.937/20836905_198768750661655_3372661105414373376_n.jpg")</f>
        <v>https://scontent.cdninstagram.com/t51.2885-15/s320x320/e35/c0.117.937.937/20836905_198768750661655_3372661105414373376_n.jpg</v>
      </c>
      <c r="AE653" s="249" t="str">
        <f>HYPERLINK("https://scontent.cdninstagram.com/t51.2885-19/s150x150/20838493_303382223516696_5453800921874038784_a.jpg")</f>
        <v>https://scontent.cdninstagram.com/t51.2885-19/s150x150/20838493_303382223516696_5453800921874038784_a.jpg</v>
      </c>
    </row>
    <row r="654" spans="1:31" ht="15" x14ac:dyDescent="0.25">
      <c r="A654" t="s">
        <v>2474</v>
      </c>
      <c r="B654" t="s">
        <v>6377</v>
      </c>
      <c r="C654" s="221">
        <v>42961.567916666667</v>
      </c>
      <c r="D654" t="s">
        <v>6378</v>
      </c>
      <c r="E654" s="249" t="str">
        <f>HYPERLINK("https://www.instagram.com/p/BXyGk3dAnbD/")</f>
        <v>https://www.instagram.com/p/BXyGk3dAnbD/</v>
      </c>
      <c r="F654" t="s">
        <v>6379</v>
      </c>
      <c r="G654" t="s">
        <v>2478</v>
      </c>
      <c r="H654">
        <v>1510</v>
      </c>
      <c r="I654" t="s">
        <v>3575</v>
      </c>
      <c r="J654">
        <v>8</v>
      </c>
      <c r="K654">
        <v>296</v>
      </c>
      <c r="L654">
        <v>304</v>
      </c>
      <c r="Q654">
        <v>0</v>
      </c>
      <c r="R654">
        <v>0</v>
      </c>
      <c r="S654">
        <v>304</v>
      </c>
      <c r="T654" t="s">
        <v>6380</v>
      </c>
      <c r="V654" t="s">
        <v>2161</v>
      </c>
      <c r="W654">
        <v>50.116700000000002</v>
      </c>
      <c r="X654">
        <v>8.6833299999999998</v>
      </c>
      <c r="Y654" t="s">
        <v>6381</v>
      </c>
      <c r="Z654" t="s">
        <v>6382</v>
      </c>
      <c r="AA654" t="s">
        <v>6213</v>
      </c>
      <c r="AB654" t="s">
        <v>4733</v>
      </c>
      <c r="AC654" t="s">
        <v>6383</v>
      </c>
      <c r="AD654" s="249" t="str">
        <f>HYPERLINK("https://scontent.cdninstagram.com/t51.2885-15/s320x320/e35/20759902_1959508540961425_671961282865266688_n.jpg")</f>
        <v>https://scontent.cdninstagram.com/t51.2885-15/s320x320/e35/20759902_1959508540961425_671961282865266688_n.jpg</v>
      </c>
      <c r="AE654" s="249" t="str">
        <f>HYPERLINK("https://scontent.cdninstagram.com/t51.2885-19/10946454_719247041522693_1382264538_a.jpg")</f>
        <v>https://scontent.cdninstagram.com/t51.2885-19/10946454_719247041522693_1382264538_a.jpg</v>
      </c>
    </row>
    <row r="655" spans="1:31" ht="15" x14ac:dyDescent="0.25">
      <c r="A655" t="s">
        <v>2474</v>
      </c>
      <c r="B655" t="s">
        <v>6384</v>
      </c>
      <c r="C655" s="221">
        <v>42961.571817129632</v>
      </c>
      <c r="D655" t="s">
        <v>6385</v>
      </c>
      <c r="E655" s="249" t="str">
        <f>HYPERLINK("https://www.instagram.com/p/BXyHODngkYX/")</f>
        <v>https://www.instagram.com/p/BXyHODngkYX/</v>
      </c>
      <c r="F655" t="s">
        <v>6386</v>
      </c>
      <c r="G655" t="s">
        <v>2478</v>
      </c>
      <c r="H655">
        <v>17</v>
      </c>
      <c r="I655" t="s">
        <v>2910</v>
      </c>
      <c r="J655">
        <v>0</v>
      </c>
      <c r="K655">
        <v>9</v>
      </c>
      <c r="L655">
        <v>9</v>
      </c>
      <c r="Q655">
        <v>0</v>
      </c>
      <c r="R655">
        <v>0</v>
      </c>
      <c r="S655">
        <v>9</v>
      </c>
      <c r="Y655" t="s">
        <v>6387</v>
      </c>
      <c r="Z655" t="s">
        <v>6384</v>
      </c>
      <c r="AA655" t="s">
        <v>2497</v>
      </c>
      <c r="AB655" t="s">
        <v>6388</v>
      </c>
      <c r="AD655" s="249" t="str">
        <f>HYPERLINK("https://scontent.cdninstagram.com/t51.2885-15/s320x320/e35/20837274_262870320894657_8944633778945392640_n.jpg")</f>
        <v>https://scontent.cdninstagram.com/t51.2885-15/s320x320/e35/20837274_262870320894657_8944633778945392640_n.jpg</v>
      </c>
      <c r="AE655" s="249" t="str">
        <f>HYPERLINK("https://scontent.cdninstagram.com/t51.2885-19/s150x150/13259053_274549089560064_701245249_a.jpg")</f>
        <v>https://scontent.cdninstagram.com/t51.2885-19/s150x150/13259053_274549089560064_701245249_a.jpg</v>
      </c>
    </row>
    <row r="656" spans="1:31" ht="15" x14ac:dyDescent="0.25">
      <c r="A656" t="s">
        <v>2474</v>
      </c>
      <c r="B656" t="s">
        <v>2700</v>
      </c>
      <c r="C656" s="221">
        <v>42961.574999999997</v>
      </c>
      <c r="D656" t="s">
        <v>6389</v>
      </c>
      <c r="E656" s="249" t="str">
        <f>HYPERLINK("https://www.instagram.com/p/BXyHvolhAa4/")</f>
        <v>https://www.instagram.com/p/BXyHvolhAa4/</v>
      </c>
      <c r="F656" t="s">
        <v>6390</v>
      </c>
      <c r="G656" t="s">
        <v>2478</v>
      </c>
      <c r="H656">
        <v>844</v>
      </c>
      <c r="I656" t="s">
        <v>2479</v>
      </c>
      <c r="J656">
        <v>3</v>
      </c>
      <c r="K656">
        <v>33</v>
      </c>
      <c r="L656">
        <v>36</v>
      </c>
      <c r="Q656">
        <v>0</v>
      </c>
      <c r="R656">
        <v>0</v>
      </c>
      <c r="S656">
        <v>36</v>
      </c>
      <c r="Y656" t="s">
        <v>6391</v>
      </c>
      <c r="Z656" t="s">
        <v>2707</v>
      </c>
      <c r="AA656" t="s">
        <v>6392</v>
      </c>
      <c r="AB656" t="s">
        <v>6393</v>
      </c>
      <c r="AC656" t="s">
        <v>4802</v>
      </c>
      <c r="AD656" s="249" t="str">
        <f>HYPERLINK("https://scontent.cdninstagram.com/t51.2885-15/s320x320/e35/20759369_260207507805062_2534632365133660160_n.jpg")</f>
        <v>https://scontent.cdninstagram.com/t51.2885-15/s320x320/e35/20759369_260207507805062_2534632365133660160_n.jpg</v>
      </c>
      <c r="AE656" s="249" t="str">
        <f>HYPERLINK("https://scontent.cdninstagram.com/t51.2885-19/s150x150/14726415_1764726950434473_1846308506706116608_a.jpg")</f>
        <v>https://scontent.cdninstagram.com/t51.2885-19/s150x150/14726415_1764726950434473_1846308506706116608_a.jpg</v>
      </c>
    </row>
    <row r="657" spans="1:31" ht="15" x14ac:dyDescent="0.25">
      <c r="A657" t="s">
        <v>2474</v>
      </c>
      <c r="B657" t="s">
        <v>6394</v>
      </c>
      <c r="C657" s="221">
        <v>42961.57540509259</v>
      </c>
      <c r="D657" t="s">
        <v>6395</v>
      </c>
      <c r="E657" s="249" t="str">
        <f>HYPERLINK("https://www.instagram.com/p/BXyHz3lDah8/")</f>
        <v>https://www.instagram.com/p/BXyHz3lDah8/</v>
      </c>
      <c r="F657" t="s">
        <v>6396</v>
      </c>
      <c r="G657" t="s">
        <v>2478</v>
      </c>
      <c r="H657">
        <v>386</v>
      </c>
      <c r="I657" t="s">
        <v>5670</v>
      </c>
      <c r="J657">
        <v>0</v>
      </c>
      <c r="K657">
        <v>2</v>
      </c>
      <c r="L657">
        <v>2</v>
      </c>
      <c r="Q657">
        <v>0</v>
      </c>
      <c r="R657">
        <v>0</v>
      </c>
      <c r="S657">
        <v>2</v>
      </c>
      <c r="Y657" t="s">
        <v>6397</v>
      </c>
      <c r="Z657" t="s">
        <v>2497</v>
      </c>
      <c r="AA657" t="s">
        <v>5706</v>
      </c>
      <c r="AD657" s="249" t="str">
        <f>HYPERLINK("https://scontent.cdninstagram.com/t51.2885-15/s150x150/e35/c70.0.269.269/20837800_109506356426278_657596726089089024_n.jpg")</f>
        <v>https://scontent.cdninstagram.com/t51.2885-15/s150x150/e35/c70.0.269.269/20837800_109506356426278_657596726089089024_n.jpg</v>
      </c>
      <c r="AE657" s="249" t="str">
        <f>HYPERLINK("https://scontent.cdninstagram.com/t51.2885-19/s150x150/20482015_376881126061639_4828039210642440192_a.jpg")</f>
        <v>https://scontent.cdninstagram.com/t51.2885-19/s150x150/20482015_376881126061639_4828039210642440192_a.jpg</v>
      </c>
    </row>
    <row r="658" spans="1:31" ht="15" x14ac:dyDescent="0.25">
      <c r="A658" t="s">
        <v>2474</v>
      </c>
      <c r="B658" t="s">
        <v>6398</v>
      </c>
      <c r="C658" s="221">
        <v>42961.584791666668</v>
      </c>
      <c r="D658" t="s">
        <v>6399</v>
      </c>
      <c r="E658" s="249" t="str">
        <f>HYPERLINK("https://www.instagram.com/p/BXyJW02nfY7/")</f>
        <v>https://www.instagram.com/p/BXyJW02nfY7/</v>
      </c>
      <c r="F658" t="s">
        <v>6400</v>
      </c>
      <c r="G658" t="s">
        <v>2478</v>
      </c>
      <c r="H658">
        <v>755</v>
      </c>
      <c r="I658" t="s">
        <v>2599</v>
      </c>
      <c r="J658">
        <v>15</v>
      </c>
      <c r="K658">
        <v>92</v>
      </c>
      <c r="L658">
        <v>107</v>
      </c>
      <c r="Q658">
        <v>0</v>
      </c>
      <c r="R658">
        <v>0</v>
      </c>
      <c r="S658">
        <v>107</v>
      </c>
      <c r="Y658" t="s">
        <v>6401</v>
      </c>
      <c r="Z658" t="s">
        <v>6402</v>
      </c>
      <c r="AA658" t="s">
        <v>6403</v>
      </c>
      <c r="AB658" t="s">
        <v>3174</v>
      </c>
      <c r="AC658" t="s">
        <v>6404</v>
      </c>
      <c r="AD658" s="249" t="str">
        <f>HYPERLINK("https://scontent.cdninstagram.com/t51.2885-15/s320x320/e35/c0.117.937.937/20759727_1716338268669012_6143088472178556928_n.jpg")</f>
        <v>https://scontent.cdninstagram.com/t51.2885-15/s320x320/e35/c0.117.937.937/20759727_1716338268669012_6143088472178556928_n.jpg</v>
      </c>
      <c r="AE658" s="249" t="str">
        <f>HYPERLINK("https://scontent.cdninstagram.com/t51.2885-19/s150x150/12328389_209338352760083_61291058_a.jpg")</f>
        <v>https://scontent.cdninstagram.com/t51.2885-19/s150x150/12328389_209338352760083_61291058_a.jpg</v>
      </c>
    </row>
    <row r="659" spans="1:31" ht="15" x14ac:dyDescent="0.25">
      <c r="A659" t="s">
        <v>2474</v>
      </c>
      <c r="B659" t="s">
        <v>6405</v>
      </c>
      <c r="C659" s="221">
        <v>42961.586886574078</v>
      </c>
      <c r="D659" t="s">
        <v>6406</v>
      </c>
      <c r="E659" s="249" t="str">
        <f>HYPERLINK("https://www.instagram.com/p/BXyJs9PgHRm/")</f>
        <v>https://www.instagram.com/p/BXyJs9PgHRm/</v>
      </c>
      <c r="F659" t="s">
        <v>6407</v>
      </c>
      <c r="G659" t="s">
        <v>2478</v>
      </c>
      <c r="I659" t="s">
        <v>2479</v>
      </c>
      <c r="J659">
        <v>1</v>
      </c>
      <c r="K659">
        <v>59</v>
      </c>
      <c r="L659">
        <v>60</v>
      </c>
      <c r="Q659">
        <v>0</v>
      </c>
      <c r="R659">
        <v>0</v>
      </c>
      <c r="S659">
        <v>60</v>
      </c>
      <c r="Y659" t="s">
        <v>6408</v>
      </c>
      <c r="Z659" t="s">
        <v>6409</v>
      </c>
      <c r="AA659" t="s">
        <v>6410</v>
      </c>
      <c r="AB659" t="s">
        <v>2497</v>
      </c>
      <c r="AC659" t="s">
        <v>6411</v>
      </c>
      <c r="AD659" s="249" t="str">
        <f>HYPERLINK("https://scontent.cdninstagram.com/t51.2885-15/s320x320/e35/c236.0.607.607/20837340_1625717434105798_6125746214576062464_n.jpg")</f>
        <v>https://scontent.cdninstagram.com/t51.2885-15/s320x320/e35/c236.0.607.607/20837340_1625717434105798_6125746214576062464_n.jpg</v>
      </c>
      <c r="AE659" s="249" t="str">
        <f>HYPERLINK("https://scontent.cdninstagram.com/t51.2885-19/s150x150/20181341_1235974203181025_5079612225606385664_a.jpg")</f>
        <v>https://scontent.cdninstagram.com/t51.2885-19/s150x150/20181341_1235974203181025_5079612225606385664_a.jpg</v>
      </c>
    </row>
    <row r="660" spans="1:31" ht="15" x14ac:dyDescent="0.25">
      <c r="A660" t="s">
        <v>2474</v>
      </c>
      <c r="B660" t="s">
        <v>3290</v>
      </c>
      <c r="C660" s="221">
        <v>42961.591932870368</v>
      </c>
      <c r="D660" t="s">
        <v>6412</v>
      </c>
      <c r="E660" s="249" t="str">
        <f>HYPERLINK("https://www.instagram.com/p/BXyKiM8H68K/")</f>
        <v>https://www.instagram.com/p/BXyKiM8H68K/</v>
      </c>
      <c r="F660" t="s">
        <v>6413</v>
      </c>
      <c r="G660" t="s">
        <v>2478</v>
      </c>
      <c r="H660">
        <v>1921</v>
      </c>
      <c r="I660" t="s">
        <v>2479</v>
      </c>
      <c r="J660">
        <v>6</v>
      </c>
      <c r="K660">
        <v>287</v>
      </c>
      <c r="L660">
        <v>293</v>
      </c>
      <c r="Q660">
        <v>0</v>
      </c>
      <c r="R660">
        <v>0</v>
      </c>
      <c r="S660">
        <v>293</v>
      </c>
      <c r="Y660" t="s">
        <v>6414</v>
      </c>
      <c r="Z660" t="s">
        <v>6415</v>
      </c>
      <c r="AA660" t="s">
        <v>6416</v>
      </c>
      <c r="AB660" t="s">
        <v>6417</v>
      </c>
      <c r="AC660" t="s">
        <v>2497</v>
      </c>
      <c r="AD660" s="249" t="str">
        <f>HYPERLINK("https://scontent.cdninstagram.com/t51.2885-15/s320x320/e35/c0.135.1080.1080/20759610_2015601675325873_5423821831104626688_n.jpg")</f>
        <v>https://scontent.cdninstagram.com/t51.2885-15/s320x320/e35/c0.135.1080.1080/20759610_2015601675325873_5423821831104626688_n.jpg</v>
      </c>
      <c r="AE660" s="249" t="str">
        <f>HYPERLINK("https://scontent.cdninstagram.com/t51.2885-19/s150x150/18380245_313241119112969_3297379408276357120_a.jpg")</f>
        <v>https://scontent.cdninstagram.com/t51.2885-19/s150x150/18380245_313241119112969_3297379408276357120_a.jpg</v>
      </c>
    </row>
    <row r="661" spans="1:31" ht="15" x14ac:dyDescent="0.25">
      <c r="A661" t="s">
        <v>2474</v>
      </c>
      <c r="B661" t="s">
        <v>6418</v>
      </c>
      <c r="C661" s="221">
        <v>42961.595127314817</v>
      </c>
      <c r="D661" t="s">
        <v>6419</v>
      </c>
      <c r="E661" s="249" t="str">
        <f>HYPERLINK("https://www.instagram.com/p/BXyLD6RjrNq/")</f>
        <v>https://www.instagram.com/p/BXyLD6RjrNq/</v>
      </c>
      <c r="F661" t="s">
        <v>6420</v>
      </c>
      <c r="G661" t="s">
        <v>2478</v>
      </c>
      <c r="H661">
        <v>65</v>
      </c>
      <c r="I661" t="s">
        <v>2479</v>
      </c>
      <c r="J661">
        <v>0</v>
      </c>
      <c r="K661">
        <v>16</v>
      </c>
      <c r="L661">
        <v>16</v>
      </c>
      <c r="Q661">
        <v>0</v>
      </c>
      <c r="R661">
        <v>0</v>
      </c>
      <c r="S661">
        <v>16</v>
      </c>
      <c r="T661" t="s">
        <v>6421</v>
      </c>
      <c r="V661" t="s">
        <v>2146</v>
      </c>
      <c r="W661">
        <v>30.0105772</v>
      </c>
      <c r="X661">
        <v>31.307220099999999</v>
      </c>
      <c r="Y661" t="s">
        <v>6422</v>
      </c>
      <c r="Z661" t="s">
        <v>6423</v>
      </c>
      <c r="AA661" t="s">
        <v>6424</v>
      </c>
      <c r="AB661" t="s">
        <v>6425</v>
      </c>
      <c r="AC661" t="s">
        <v>6426</v>
      </c>
      <c r="AD661" s="249" t="str">
        <f>HYPERLINK("https://scontent.cdninstagram.com/t51.2885-15/s320x320/e35/c147.0.706.706/20902098_161405767746652_1353539757715488768_n.jpg")</f>
        <v>https://scontent.cdninstagram.com/t51.2885-15/s320x320/e35/c147.0.706.706/20902098_161405767746652_1353539757715488768_n.jpg</v>
      </c>
      <c r="AE661" s="249" t="str">
        <f>HYPERLINK("https://scontent.cdninstagram.com/t51.2885-19/s150x150/17077222_273468516422211_4617649009287233536_a.jpg")</f>
        <v>https://scontent.cdninstagram.com/t51.2885-19/s150x150/17077222_273468516422211_4617649009287233536_a.jpg</v>
      </c>
    </row>
    <row r="662" spans="1:31" ht="15" x14ac:dyDescent="0.25">
      <c r="A662" t="s">
        <v>2474</v>
      </c>
      <c r="B662" t="s">
        <v>4616</v>
      </c>
      <c r="C662" s="221">
        <v>42961.595370370371</v>
      </c>
      <c r="D662" t="s">
        <v>6427</v>
      </c>
      <c r="E662" s="249" t="str">
        <f>HYPERLINK("https://www.instagram.com/p/BXyLGZVBQuz/")</f>
        <v>https://www.instagram.com/p/BXyLGZVBQuz/</v>
      </c>
      <c r="F662" t="s">
        <v>6428</v>
      </c>
      <c r="G662" t="s">
        <v>2478</v>
      </c>
      <c r="H662">
        <v>114</v>
      </c>
      <c r="I662" t="s">
        <v>2479</v>
      </c>
      <c r="J662">
        <v>2</v>
      </c>
      <c r="K662">
        <v>25</v>
      </c>
      <c r="L662">
        <v>27</v>
      </c>
      <c r="Q662">
        <v>0</v>
      </c>
      <c r="R662">
        <v>0</v>
      </c>
      <c r="S662">
        <v>27</v>
      </c>
      <c r="Y662" t="s">
        <v>2575</v>
      </c>
      <c r="Z662" t="s">
        <v>5210</v>
      </c>
      <c r="AA662" t="s">
        <v>3174</v>
      </c>
      <c r="AB662" t="s">
        <v>5211</v>
      </c>
      <c r="AC662" t="s">
        <v>6429</v>
      </c>
      <c r="AD662" s="249" t="str">
        <f>HYPERLINK("https://scontent.cdninstagram.com/t51.2885-15/s320x320/e35/c135.0.810.810/20766553_120153968634105_4085512285118791680_n.jpg")</f>
        <v>https://scontent.cdninstagram.com/t51.2885-15/s320x320/e35/c135.0.810.810/20766553_120153968634105_4085512285118791680_n.jpg</v>
      </c>
      <c r="AE662" s="249" t="str">
        <f>HYPERLINK("https://scontent.cdninstagram.com/t51.2885-19/s150x150/17494353_1347957098574282_2527511313651859456_a.jpg")</f>
        <v>https://scontent.cdninstagram.com/t51.2885-19/s150x150/17494353_1347957098574282_2527511313651859456_a.jpg</v>
      </c>
    </row>
    <row r="663" spans="1:31" ht="15" x14ac:dyDescent="0.25">
      <c r="A663" t="s">
        <v>2474</v>
      </c>
      <c r="B663" t="s">
        <v>6430</v>
      </c>
      <c r="C663" s="221">
        <v>42961.596018518518</v>
      </c>
      <c r="D663" t="s">
        <v>6431</v>
      </c>
      <c r="E663" s="249" t="str">
        <f>HYPERLINK("https://www.instagram.com/p/BXyLNT7Dg-8/")</f>
        <v>https://www.instagram.com/p/BXyLNT7Dg-8/</v>
      </c>
      <c r="F663" t="s">
        <v>6432</v>
      </c>
      <c r="G663" t="s">
        <v>2478</v>
      </c>
      <c r="H663">
        <v>542</v>
      </c>
      <c r="I663" t="s">
        <v>2479</v>
      </c>
      <c r="J663">
        <v>0</v>
      </c>
      <c r="K663">
        <v>36</v>
      </c>
      <c r="L663">
        <v>36</v>
      </c>
      <c r="Q663">
        <v>0</v>
      </c>
      <c r="R663">
        <v>0</v>
      </c>
      <c r="S663">
        <v>36</v>
      </c>
      <c r="T663" t="s">
        <v>6433</v>
      </c>
      <c r="V663" t="s">
        <v>2161</v>
      </c>
      <c r="W663">
        <v>50.111550000000001</v>
      </c>
      <c r="X663">
        <v>8.7322199999999999</v>
      </c>
      <c r="Y663" t="s">
        <v>6434</v>
      </c>
      <c r="Z663" t="s">
        <v>6435</v>
      </c>
      <c r="AA663" t="s">
        <v>6436</v>
      </c>
      <c r="AB663" t="s">
        <v>6437</v>
      </c>
      <c r="AC663" t="s">
        <v>2497</v>
      </c>
      <c r="AD663" s="249" t="str">
        <f>HYPERLINK("https://scontent.cdninstagram.com/t51.2885-15/s320x320/e35/c135.0.810.810/20766699_142238726367637_1073884979554942976_n.jpg")</f>
        <v>https://scontent.cdninstagram.com/t51.2885-15/s320x320/e35/c135.0.810.810/20766699_142238726367637_1073884979554942976_n.jpg</v>
      </c>
      <c r="AE663" s="249" t="str">
        <f>HYPERLINK("https://scontent.cdninstagram.com/t51.2885-19/s150x150/13398358_595469227288185_1591718638_a.jpg")</f>
        <v>https://scontent.cdninstagram.com/t51.2885-19/s150x150/13398358_595469227288185_1591718638_a.jpg</v>
      </c>
    </row>
    <row r="664" spans="1:31" ht="15" x14ac:dyDescent="0.25">
      <c r="A664" t="s">
        <v>2474</v>
      </c>
      <c r="B664" t="s">
        <v>6438</v>
      </c>
      <c r="C664" s="221">
        <v>42961.598761574074</v>
      </c>
      <c r="D664" t="s">
        <v>6439</v>
      </c>
      <c r="E664" s="249" t="str">
        <f>HYPERLINK("https://www.instagram.com/p/BXyLqN0lR5-/")</f>
        <v>https://www.instagram.com/p/BXyLqN0lR5-/</v>
      </c>
      <c r="F664" t="s">
        <v>6440</v>
      </c>
      <c r="G664" t="s">
        <v>2631</v>
      </c>
      <c r="H664">
        <v>7613</v>
      </c>
      <c r="I664" t="s">
        <v>2479</v>
      </c>
      <c r="J664">
        <v>0</v>
      </c>
      <c r="K664">
        <v>79</v>
      </c>
      <c r="L664">
        <v>79</v>
      </c>
      <c r="Q664">
        <v>0</v>
      </c>
      <c r="R664">
        <v>0</v>
      </c>
      <c r="S664">
        <v>79</v>
      </c>
      <c r="Y664" t="s">
        <v>5932</v>
      </c>
      <c r="Z664" t="s">
        <v>6441</v>
      </c>
      <c r="AA664" t="s">
        <v>4026</v>
      </c>
      <c r="AB664" t="s">
        <v>6442</v>
      </c>
      <c r="AC664" t="s">
        <v>3269</v>
      </c>
      <c r="AD664" s="249" t="str">
        <f>HYPERLINK("https://scontent.cdninstagram.com/t51.2885-15/s320x320/e15/20838315_808314529349473_5459094735354331136_n.jpg")</f>
        <v>https://scontent.cdninstagram.com/t51.2885-15/s320x320/e15/20838315_808314529349473_5459094735354331136_n.jpg</v>
      </c>
      <c r="AE664" s="249" t="str">
        <f>HYPERLINK("https://scontent.cdninstagram.com/t51.2885-19/s150x150/14134740_172087006533075_650183539_a.jpg")</f>
        <v>https://scontent.cdninstagram.com/t51.2885-19/s150x150/14134740_172087006533075_650183539_a.jpg</v>
      </c>
    </row>
    <row r="665" spans="1:31" ht="15" x14ac:dyDescent="0.25">
      <c r="A665" t="s">
        <v>2474</v>
      </c>
      <c r="B665" t="s">
        <v>6443</v>
      </c>
      <c r="C665" s="221">
        <v>42961.606192129628</v>
      </c>
      <c r="D665" t="s">
        <v>6444</v>
      </c>
      <c r="E665" s="249" t="str">
        <f>HYPERLINK("https://www.instagram.com/p/BXyM4jDAipd/")</f>
        <v>https://www.instagram.com/p/BXyM4jDAipd/</v>
      </c>
      <c r="F665" t="s">
        <v>6445</v>
      </c>
      <c r="G665" t="s">
        <v>2478</v>
      </c>
      <c r="H665">
        <v>58437</v>
      </c>
      <c r="I665" t="s">
        <v>2479</v>
      </c>
      <c r="J665">
        <v>34</v>
      </c>
      <c r="K665">
        <v>1435</v>
      </c>
      <c r="L665">
        <v>1469</v>
      </c>
      <c r="Q665">
        <v>0</v>
      </c>
      <c r="R665">
        <v>0</v>
      </c>
      <c r="S665">
        <v>1469</v>
      </c>
      <c r="Y665" t="s">
        <v>6446</v>
      </c>
      <c r="Z665" t="s">
        <v>2680</v>
      </c>
      <c r="AA665" t="s">
        <v>6447</v>
      </c>
      <c r="AB665" t="s">
        <v>6448</v>
      </c>
      <c r="AC665" t="s">
        <v>6449</v>
      </c>
      <c r="AD665" s="249" t="str">
        <f>HYPERLINK("https://scontent.cdninstagram.com/t51.2885-15/s320x320/e35/20766279_1057831067687410_3201006531201990656_n.jpg")</f>
        <v>https://scontent.cdninstagram.com/t51.2885-15/s320x320/e35/20766279_1057831067687410_3201006531201990656_n.jpg</v>
      </c>
      <c r="AE665" s="249" t="str">
        <f>HYPERLINK("https://scontent.cdninstagram.com/t51.2885-19/s150x150/18011200_1823639797956189_2351181908055949312_a.jpg")</f>
        <v>https://scontent.cdninstagram.com/t51.2885-19/s150x150/18011200_1823639797956189_2351181908055949312_a.jpg</v>
      </c>
    </row>
    <row r="666" spans="1:31" ht="15" x14ac:dyDescent="0.25">
      <c r="A666" t="s">
        <v>2474</v>
      </c>
      <c r="B666" t="s">
        <v>6450</v>
      </c>
      <c r="C666" s="221">
        <v>42961.611724537041</v>
      </c>
      <c r="D666" t="s">
        <v>6451</v>
      </c>
      <c r="E666" s="249" t="str">
        <f>HYPERLINK("https://www.instagram.com/p/BXyNy95Fd8A/")</f>
        <v>https://www.instagram.com/p/BXyNy95Fd8A/</v>
      </c>
      <c r="F666" t="s">
        <v>6452</v>
      </c>
      <c r="G666" t="s">
        <v>2488</v>
      </c>
      <c r="H666">
        <v>579</v>
      </c>
      <c r="I666" t="s">
        <v>2479</v>
      </c>
      <c r="J666">
        <v>7</v>
      </c>
      <c r="K666">
        <v>163</v>
      </c>
      <c r="L666">
        <v>170</v>
      </c>
      <c r="Q666">
        <v>0</v>
      </c>
      <c r="R666">
        <v>0</v>
      </c>
      <c r="S666">
        <v>170</v>
      </c>
      <c r="Y666" t="s">
        <v>6453</v>
      </c>
      <c r="Z666" t="s">
        <v>2497</v>
      </c>
      <c r="AA666" t="s">
        <v>5836</v>
      </c>
      <c r="AD666" s="249" t="str">
        <f>HYPERLINK("https://scontent.cdninstagram.com/t51.2885-15/s320x320/e35/20759545_394692834279838_672015760230449152_n.jpg")</f>
        <v>https://scontent.cdninstagram.com/t51.2885-15/s320x320/e35/20759545_394692834279838_672015760230449152_n.jpg</v>
      </c>
      <c r="AE666" s="249" t="str">
        <f>HYPERLINK("https://scontent.cdninstagram.com/t51.2885-19/s150x150/20214190_1907321536207785_2313996484934107136_a.jpg")</f>
        <v>https://scontent.cdninstagram.com/t51.2885-19/s150x150/20214190_1907321536207785_2313996484934107136_a.jpg</v>
      </c>
    </row>
    <row r="667" spans="1:31" ht="15" x14ac:dyDescent="0.25">
      <c r="A667" t="s">
        <v>2474</v>
      </c>
      <c r="B667" t="s">
        <v>2588</v>
      </c>
      <c r="C667" s="221">
        <v>42961.614571759259</v>
      </c>
      <c r="D667" t="s">
        <v>6454</v>
      </c>
      <c r="E667" s="249" t="str">
        <f>HYPERLINK("https://www.instagram.com/p/BXyOQ4PAJcU/")</f>
        <v>https://www.instagram.com/p/BXyOQ4PAJcU/</v>
      </c>
      <c r="F667" t="s">
        <v>6455</v>
      </c>
      <c r="G667" t="s">
        <v>2478</v>
      </c>
      <c r="H667">
        <v>270</v>
      </c>
      <c r="I667" t="s">
        <v>2479</v>
      </c>
      <c r="J667">
        <v>15</v>
      </c>
      <c r="K667">
        <v>39</v>
      </c>
      <c r="L667">
        <v>54</v>
      </c>
      <c r="Q667">
        <v>0</v>
      </c>
      <c r="R667">
        <v>0</v>
      </c>
      <c r="S667">
        <v>54</v>
      </c>
      <c r="AD667" s="249" t="str">
        <f>HYPERLINK("https://scontent.cdninstagram.com/t51.2885-15/s320x320/e35/c35.0.569.569/20759646_700676220126985_194393900603932672_n.jpg")</f>
        <v>https://scontent.cdninstagram.com/t51.2885-15/s320x320/e35/c35.0.569.569/20759646_700676220126985_194393900603932672_n.jpg</v>
      </c>
      <c r="AE667" s="249" t="str">
        <f>HYPERLINK("https://scontent.cdninstagram.com/t51.2885-19/s150x150/20633561_108840983138666_5897549723056734208_a.jpg")</f>
        <v>https://scontent.cdninstagram.com/t51.2885-19/s150x150/20633561_108840983138666_5897549723056734208_a.jpg</v>
      </c>
    </row>
    <row r="668" spans="1:31" ht="15" x14ac:dyDescent="0.25">
      <c r="A668" t="s">
        <v>2474</v>
      </c>
      <c r="B668" t="s">
        <v>6456</v>
      </c>
      <c r="C668" s="221">
        <v>42961.617754629631</v>
      </c>
      <c r="D668" t="s">
        <v>6457</v>
      </c>
      <c r="E668" s="249" t="str">
        <f>HYPERLINK("https://www.instagram.com/p/BXyOyhbBKXR/")</f>
        <v>https://www.instagram.com/p/BXyOyhbBKXR/</v>
      </c>
      <c r="F668" t="s">
        <v>6458</v>
      </c>
      <c r="G668" t="s">
        <v>2478</v>
      </c>
      <c r="H668">
        <v>335</v>
      </c>
      <c r="I668" t="s">
        <v>2479</v>
      </c>
      <c r="J668">
        <v>8</v>
      </c>
      <c r="K668">
        <v>59</v>
      </c>
      <c r="L668">
        <v>67</v>
      </c>
      <c r="Q668">
        <v>0</v>
      </c>
      <c r="R668">
        <v>0</v>
      </c>
      <c r="S668">
        <v>67</v>
      </c>
      <c r="T668" t="s">
        <v>6459</v>
      </c>
      <c r="U668" t="s">
        <v>97</v>
      </c>
      <c r="V668" t="s">
        <v>2299</v>
      </c>
      <c r="W668">
        <v>34.052199999999999</v>
      </c>
      <c r="X668">
        <v>-118.24299999999999</v>
      </c>
      <c r="Y668" t="s">
        <v>6460</v>
      </c>
      <c r="Z668" t="s">
        <v>5989</v>
      </c>
      <c r="AA668" t="s">
        <v>3535</v>
      </c>
      <c r="AB668" t="s">
        <v>6164</v>
      </c>
      <c r="AC668" t="s">
        <v>3277</v>
      </c>
      <c r="AD668" s="249" t="str">
        <f>HYPERLINK("https://scontent.cdninstagram.com/t51.2885-15/s320x320/e35/20759833_155423391702746_4655709570650341376_n.jpg")</f>
        <v>https://scontent.cdninstagram.com/t51.2885-15/s320x320/e35/20759833_155423391702746_4655709570650341376_n.jpg</v>
      </c>
      <c r="AE668" s="249" t="str">
        <f>HYPERLINK("https://scontent.cdninstagram.com/t51.2885-19/s150x150/13741242_280159175681122_141800895_a.jpg")</f>
        <v>https://scontent.cdninstagram.com/t51.2885-19/s150x150/13741242_280159175681122_141800895_a.jpg</v>
      </c>
    </row>
    <row r="669" spans="1:31" ht="15" x14ac:dyDescent="0.25">
      <c r="A669" t="s">
        <v>2474</v>
      </c>
      <c r="B669" t="s">
        <v>3940</v>
      </c>
      <c r="C669" s="221">
        <v>42961.61855324074</v>
      </c>
      <c r="D669" t="s">
        <v>6461</v>
      </c>
      <c r="E669" s="249" t="str">
        <f>HYPERLINK("https://www.instagram.com/p/BXyO67yAT60/")</f>
        <v>https://www.instagram.com/p/BXyO67yAT60/</v>
      </c>
      <c r="F669" t="s">
        <v>6462</v>
      </c>
      <c r="G669" t="s">
        <v>2478</v>
      </c>
      <c r="H669">
        <v>651</v>
      </c>
      <c r="I669" t="s">
        <v>2927</v>
      </c>
      <c r="J669">
        <v>0</v>
      </c>
      <c r="K669">
        <v>85</v>
      </c>
      <c r="L669">
        <v>85</v>
      </c>
      <c r="Q669">
        <v>0</v>
      </c>
      <c r="R669">
        <v>0</v>
      </c>
      <c r="S669">
        <v>85</v>
      </c>
      <c r="T669" t="s">
        <v>6463</v>
      </c>
      <c r="V669" t="s">
        <v>2264</v>
      </c>
      <c r="W669">
        <v>43.206666666666997</v>
      </c>
      <c r="X669">
        <v>-8.31</v>
      </c>
      <c r="Y669" t="s">
        <v>6464</v>
      </c>
      <c r="Z669" t="s">
        <v>3945</v>
      </c>
      <c r="AA669" t="s">
        <v>3946</v>
      </c>
      <c r="AB669" t="s">
        <v>6465</v>
      </c>
      <c r="AC669" t="s">
        <v>6466</v>
      </c>
      <c r="AD669" s="249" t="str">
        <f>HYPERLINK("https://scontent.cdninstagram.com/t51.2885-15/s320x320/e35/c0.135.1080.1080/20837719_1444052949035028_6879652694605168640_n.jpg")</f>
        <v>https://scontent.cdninstagram.com/t51.2885-15/s320x320/e35/c0.135.1080.1080/20837719_1444052949035028_6879652694605168640_n.jpg</v>
      </c>
      <c r="AE669" s="249" t="str">
        <f>HYPERLINK("https://scontent.cdninstagram.com/t51.2885-19/s150x150/16110590_388221388197113_5757849138590908416_n.jpg")</f>
        <v>https://scontent.cdninstagram.com/t51.2885-19/s150x150/16110590_388221388197113_5757849138590908416_n.jpg</v>
      </c>
    </row>
    <row r="670" spans="1:31" ht="15" x14ac:dyDescent="0.25">
      <c r="A670" t="s">
        <v>2474</v>
      </c>
      <c r="B670" t="s">
        <v>6467</v>
      </c>
      <c r="C670" s="221">
        <v>42961.620578703703</v>
      </c>
      <c r="D670" t="s">
        <v>6468</v>
      </c>
      <c r="E670" s="249" t="str">
        <f>HYPERLINK("https://www.instagram.com/p/BXyPQPzjulx/")</f>
        <v>https://www.instagram.com/p/BXyPQPzjulx/</v>
      </c>
      <c r="F670" t="s">
        <v>6469</v>
      </c>
      <c r="G670" t="s">
        <v>2478</v>
      </c>
      <c r="H670">
        <v>101</v>
      </c>
      <c r="I670" t="s">
        <v>2479</v>
      </c>
      <c r="J670">
        <v>0</v>
      </c>
      <c r="K670">
        <v>7</v>
      </c>
      <c r="L670">
        <v>7</v>
      </c>
      <c r="Q670">
        <v>0</v>
      </c>
      <c r="R670">
        <v>0</v>
      </c>
      <c r="S670">
        <v>7</v>
      </c>
      <c r="Y670" t="s">
        <v>2497</v>
      </c>
      <c r="Z670" t="s">
        <v>6470</v>
      </c>
      <c r="AA670" t="s">
        <v>6471</v>
      </c>
      <c r="AB670" t="s">
        <v>6472</v>
      </c>
      <c r="AC670" t="s">
        <v>6473</v>
      </c>
      <c r="AD670" s="249" t="str">
        <f>HYPERLINK("https://scontent.cdninstagram.com/t51.2885-15/s320x320/e35/c0.100.800.800/20766577_1709430736019474_5328371143638253568_n.jpg")</f>
        <v>https://scontent.cdninstagram.com/t51.2885-15/s320x320/e35/c0.100.800.800/20766577_1709430736019474_5328371143638253568_n.jpg</v>
      </c>
      <c r="AE670" s="249" t="str">
        <f>HYPERLINK("https://scontent.cdninstagram.com/t51.2885-19/s150x150/20688381_161119381122184_15942334487199744_a.jpg")</f>
        <v>https://scontent.cdninstagram.com/t51.2885-19/s150x150/20688381_161119381122184_15942334487199744_a.jpg</v>
      </c>
    </row>
    <row r="671" spans="1:31" ht="15" x14ac:dyDescent="0.25">
      <c r="A671" t="s">
        <v>2474</v>
      </c>
      <c r="B671" t="s">
        <v>3940</v>
      </c>
      <c r="C671" s="221">
        <v>42961.621030092596</v>
      </c>
      <c r="D671" t="s">
        <v>6474</v>
      </c>
      <c r="E671" s="249" t="str">
        <f>HYPERLINK("https://www.instagram.com/p/BXyPVEEAKp4/")</f>
        <v>https://www.instagram.com/p/BXyPVEEAKp4/</v>
      </c>
      <c r="F671" t="s">
        <v>6475</v>
      </c>
      <c r="G671" t="s">
        <v>2478</v>
      </c>
      <c r="H671">
        <v>651</v>
      </c>
      <c r="I671" t="s">
        <v>2927</v>
      </c>
      <c r="J671">
        <v>0</v>
      </c>
      <c r="K671">
        <v>87</v>
      </c>
      <c r="L671">
        <v>87</v>
      </c>
      <c r="Q671">
        <v>0</v>
      </c>
      <c r="R671">
        <v>0</v>
      </c>
      <c r="S671">
        <v>87</v>
      </c>
      <c r="T671" t="s">
        <v>6476</v>
      </c>
      <c r="V671" t="s">
        <v>2264</v>
      </c>
      <c r="W671">
        <v>43.187143399999997</v>
      </c>
      <c r="X671">
        <v>-8.2822165999999999</v>
      </c>
      <c r="Y671" t="s">
        <v>6477</v>
      </c>
      <c r="Z671" t="s">
        <v>3946</v>
      </c>
      <c r="AA671" t="s">
        <v>6478</v>
      </c>
      <c r="AB671" t="s">
        <v>6466</v>
      </c>
      <c r="AC671" t="s">
        <v>2497</v>
      </c>
      <c r="AD671" s="249" t="str">
        <f>HYPERLINK("https://scontent.cdninstagram.com/t51.2885-15/s320x320/e35/c0.135.1080.1080/20759937_1935459226675336_7127266716089843712_n.jpg")</f>
        <v>https://scontent.cdninstagram.com/t51.2885-15/s320x320/e35/c0.135.1080.1080/20759937_1935459226675336_7127266716089843712_n.jpg</v>
      </c>
      <c r="AE671" s="249" t="str">
        <f>HYPERLINK("https://scontent.cdninstagram.com/t51.2885-19/s150x150/16110590_388221388197113_5757849138590908416_n.jpg")</f>
        <v>https://scontent.cdninstagram.com/t51.2885-19/s150x150/16110590_388221388197113_5757849138590908416_n.jpg</v>
      </c>
    </row>
    <row r="672" spans="1:31" ht="15" x14ac:dyDescent="0.25">
      <c r="A672" t="s">
        <v>2474</v>
      </c>
      <c r="B672" t="s">
        <v>6479</v>
      </c>
      <c r="C672" s="221">
        <v>42961.624652777777</v>
      </c>
      <c r="D672" t="s">
        <v>6480</v>
      </c>
      <c r="E672" s="249" t="str">
        <f>HYPERLINK("https://www.instagram.com/p/BXyP7QwFnAr/")</f>
        <v>https://www.instagram.com/p/BXyP7QwFnAr/</v>
      </c>
      <c r="F672" t="s">
        <v>6481</v>
      </c>
      <c r="G672" t="s">
        <v>2478</v>
      </c>
      <c r="H672">
        <v>64769</v>
      </c>
      <c r="I672" t="s">
        <v>2479</v>
      </c>
      <c r="J672">
        <v>12</v>
      </c>
      <c r="K672">
        <v>2255</v>
      </c>
      <c r="L672">
        <v>2267</v>
      </c>
      <c r="Q672">
        <v>0</v>
      </c>
      <c r="R672">
        <v>0</v>
      </c>
      <c r="S672">
        <v>2267</v>
      </c>
      <c r="T672" t="s">
        <v>6482</v>
      </c>
      <c r="U672" t="s">
        <v>112</v>
      </c>
      <c r="V672" t="s">
        <v>2299</v>
      </c>
      <c r="W672">
        <v>29.762899999999998</v>
      </c>
      <c r="X672">
        <v>-95.383200000000002</v>
      </c>
      <c r="AD672" s="249" t="str">
        <f>HYPERLINK("https://scontent.cdninstagram.com/t51.2885-15/s320x320/e35/20838928_697369273790395_6691082709525069824_n.jpg")</f>
        <v>https://scontent.cdninstagram.com/t51.2885-15/s320x320/e35/20838928_697369273790395_6691082709525069824_n.jpg</v>
      </c>
      <c r="AE672" s="249" t="str">
        <f>HYPERLINK("https://scontent.cdninstagram.com/t51.2885-19/s150x150/17439144_1895752470643302_743998926780104704_n.jpg")</f>
        <v>https://scontent.cdninstagram.com/t51.2885-19/s150x150/17439144_1895752470643302_743998926780104704_n.jpg</v>
      </c>
    </row>
    <row r="673" spans="1:31" ht="15" x14ac:dyDescent="0.25">
      <c r="A673" t="s">
        <v>2474</v>
      </c>
      <c r="B673" t="s">
        <v>3644</v>
      </c>
      <c r="C673" s="221">
        <v>42961.630671296298</v>
      </c>
      <c r="D673" t="s">
        <v>6483</v>
      </c>
      <c r="E673" s="249" t="str">
        <f>HYPERLINK("https://www.instagram.com/p/BXyQ6s6ldEE/")</f>
        <v>https://www.instagram.com/p/BXyQ6s6ldEE/</v>
      </c>
      <c r="F673" t="s">
        <v>6484</v>
      </c>
      <c r="G673" t="s">
        <v>2631</v>
      </c>
      <c r="H673">
        <v>568</v>
      </c>
      <c r="I673" t="s">
        <v>2479</v>
      </c>
      <c r="J673">
        <v>5</v>
      </c>
      <c r="K673">
        <v>30</v>
      </c>
      <c r="L673">
        <v>35</v>
      </c>
      <c r="Q673">
        <v>0</v>
      </c>
      <c r="R673">
        <v>0</v>
      </c>
      <c r="S673">
        <v>35</v>
      </c>
      <c r="T673" t="s">
        <v>3647</v>
      </c>
      <c r="V673" t="s">
        <v>2141</v>
      </c>
      <c r="W673">
        <v>55.426879900000003</v>
      </c>
      <c r="X673">
        <v>10.3903303</v>
      </c>
      <c r="Y673" t="s">
        <v>6485</v>
      </c>
      <c r="Z673" t="s">
        <v>5865</v>
      </c>
      <c r="AA673" t="s">
        <v>6486</v>
      </c>
      <c r="AB673" t="s">
        <v>5867</v>
      </c>
      <c r="AC673" t="s">
        <v>6487</v>
      </c>
      <c r="AD673" s="249" t="str">
        <f>HYPERLINK("https://scontent.cdninstagram.com/t51.2885-15/s320x320/e15/20837249_108494999867287_9207575890169430016_n.jpg")</f>
        <v>https://scontent.cdninstagram.com/t51.2885-15/s320x320/e15/20837249_108494999867287_9207575890169430016_n.jpg</v>
      </c>
      <c r="AE673" s="249" t="str">
        <f>HYPERLINK("https://scontent.cdninstagram.com/t51.2885-19/s150x150/14714495_1790450111234953_7147855754219749376_a.jpg")</f>
        <v>https://scontent.cdninstagram.com/t51.2885-19/s150x150/14714495_1790450111234953_7147855754219749376_a.jpg</v>
      </c>
    </row>
    <row r="674" spans="1:31" ht="15" x14ac:dyDescent="0.25">
      <c r="A674" t="s">
        <v>2474</v>
      </c>
      <c r="B674" t="s">
        <v>5225</v>
      </c>
      <c r="C674" s="221">
        <v>42961.631111111114</v>
      </c>
      <c r="D674" t="s">
        <v>6488</v>
      </c>
      <c r="E674" s="249" t="str">
        <f>HYPERLINK("https://www.instagram.com/p/BXyQ_YXgx9V/")</f>
        <v>https://www.instagram.com/p/BXyQ_YXgx9V/</v>
      </c>
      <c r="F674" t="s">
        <v>6489</v>
      </c>
      <c r="G674" t="s">
        <v>2478</v>
      </c>
      <c r="H674">
        <v>50</v>
      </c>
      <c r="I674" t="s">
        <v>2479</v>
      </c>
      <c r="J674">
        <v>0</v>
      </c>
      <c r="K674">
        <v>15</v>
      </c>
      <c r="L674">
        <v>15</v>
      </c>
      <c r="Q674">
        <v>0</v>
      </c>
      <c r="R674">
        <v>0</v>
      </c>
      <c r="S674">
        <v>15</v>
      </c>
      <c r="T674" t="s">
        <v>5228</v>
      </c>
      <c r="V674" t="s">
        <v>2154</v>
      </c>
      <c r="W674">
        <v>47.498634698221998</v>
      </c>
      <c r="X674">
        <v>-0.50784128552246999</v>
      </c>
      <c r="Y674" t="s">
        <v>6490</v>
      </c>
      <c r="Z674" t="s">
        <v>3804</v>
      </c>
      <c r="AA674" t="s">
        <v>2513</v>
      </c>
      <c r="AB674" t="s">
        <v>5232</v>
      </c>
      <c r="AC674" t="s">
        <v>5231</v>
      </c>
      <c r="AD674" s="249" t="str">
        <f>HYPERLINK("https://scontent.cdninstagram.com/t51.2885-15/s320x320/e35/20766038_1657715324261057_2843392586176004096_n.jpg")</f>
        <v>https://scontent.cdninstagram.com/t51.2885-15/s320x320/e35/20766038_1657715324261057_2843392586176004096_n.jpg</v>
      </c>
      <c r="AE674" s="249" t="str">
        <f>HYPERLINK("https://scontent.cdninstagram.com/t51.2885-19/s150x150/18949503_1122155304550657_4049188449616396288_a.jpg")</f>
        <v>https://scontent.cdninstagram.com/t51.2885-19/s150x150/18949503_1122155304550657_4049188449616396288_a.jpg</v>
      </c>
    </row>
    <row r="675" spans="1:31" ht="15" x14ac:dyDescent="0.25">
      <c r="A675" t="s">
        <v>2474</v>
      </c>
      <c r="B675" t="s">
        <v>3993</v>
      </c>
      <c r="C675" s="221">
        <v>42961.631504629629</v>
      </c>
      <c r="D675" t="s">
        <v>6491</v>
      </c>
      <c r="E675" s="249" t="str">
        <f>HYPERLINK("https://www.instagram.com/p/BXyRDfJAdpx/")</f>
        <v>https://www.instagram.com/p/BXyRDfJAdpx/</v>
      </c>
      <c r="F675" t="s">
        <v>6492</v>
      </c>
      <c r="G675" t="s">
        <v>2478</v>
      </c>
      <c r="H675">
        <v>4997</v>
      </c>
      <c r="I675" t="s">
        <v>2582</v>
      </c>
      <c r="J675">
        <v>7</v>
      </c>
      <c r="K675">
        <v>1613</v>
      </c>
      <c r="L675">
        <v>1620</v>
      </c>
      <c r="Q675">
        <v>0</v>
      </c>
      <c r="R675">
        <v>0</v>
      </c>
      <c r="S675">
        <v>1620</v>
      </c>
      <c r="Y675" t="s">
        <v>2837</v>
      </c>
      <c r="Z675" t="s">
        <v>4350</v>
      </c>
      <c r="AA675" t="s">
        <v>3997</v>
      </c>
      <c r="AB675" t="s">
        <v>6493</v>
      </c>
      <c r="AC675" t="s">
        <v>3996</v>
      </c>
      <c r="AD675" s="249" t="str">
        <f>HYPERLINK("https://scontent.cdninstagram.com/t51.2885-15/s320x320/e35/c0.123.1080.1080/20838134_2003643893200808_491193711468740608_n.jpg")</f>
        <v>https://scontent.cdninstagram.com/t51.2885-15/s320x320/e35/c0.123.1080.1080/20838134_2003643893200808_491193711468740608_n.jpg</v>
      </c>
      <c r="AE675" s="249" t="str">
        <f>HYPERLINK("https://scontent.cdninstagram.com/t51.2885-19/s150x150/20590168_732024603636467_1659654334738071552_a.jpg")</f>
        <v>https://scontent.cdninstagram.com/t51.2885-19/s150x150/20590168_732024603636467_1659654334738071552_a.jpg</v>
      </c>
    </row>
    <row r="676" spans="1:31" ht="15" x14ac:dyDescent="0.25">
      <c r="A676" t="s">
        <v>2474</v>
      </c>
      <c r="B676" t="s">
        <v>6494</v>
      </c>
      <c r="C676" s="221">
        <v>42961.637129629627</v>
      </c>
      <c r="D676" t="s">
        <v>6495</v>
      </c>
      <c r="E676" s="249" t="str">
        <f>HYPERLINK("https://www.instagram.com/p/BXyR-18hR84/")</f>
        <v>https://www.instagram.com/p/BXyR-18hR84/</v>
      </c>
      <c r="F676" t="s">
        <v>6496</v>
      </c>
      <c r="G676" t="s">
        <v>2478</v>
      </c>
      <c r="H676">
        <v>245</v>
      </c>
      <c r="I676" t="s">
        <v>2542</v>
      </c>
      <c r="J676">
        <v>1</v>
      </c>
      <c r="K676">
        <v>38</v>
      </c>
      <c r="L676">
        <v>39</v>
      </c>
      <c r="Q676">
        <v>0</v>
      </c>
      <c r="R676">
        <v>0</v>
      </c>
      <c r="S676">
        <v>39</v>
      </c>
      <c r="Y676" t="s">
        <v>6497</v>
      </c>
      <c r="Z676" t="s">
        <v>6498</v>
      </c>
      <c r="AA676" t="s">
        <v>3683</v>
      </c>
      <c r="AB676" t="s">
        <v>6499</v>
      </c>
      <c r="AC676" t="s">
        <v>6500</v>
      </c>
      <c r="AD676" s="249" t="str">
        <f>HYPERLINK("https://scontent.cdninstagram.com/t51.2885-15/s320x320/e35/c90.0.540.540/20760016_122223655019273_3060362204982280192_n.jpg")</f>
        <v>https://scontent.cdninstagram.com/t51.2885-15/s320x320/e35/c90.0.540.540/20760016_122223655019273_3060362204982280192_n.jpg</v>
      </c>
      <c r="AE676" s="249" t="str">
        <f>HYPERLINK("https://scontent.cdninstagram.com/t51.2885-19/s150x150/20686640_1897705230550335_11901878363226112_a.jpg")</f>
        <v>https://scontent.cdninstagram.com/t51.2885-19/s150x150/20686640_1897705230550335_11901878363226112_a.jpg</v>
      </c>
    </row>
    <row r="677" spans="1:31" ht="15" x14ac:dyDescent="0.25">
      <c r="A677" t="s">
        <v>2474</v>
      </c>
      <c r="B677" t="s">
        <v>6501</v>
      </c>
      <c r="C677" s="221">
        <v>42961.639861111114</v>
      </c>
      <c r="D677" t="s">
        <v>6502</v>
      </c>
      <c r="E677" s="249" t="str">
        <f>HYPERLINK("https://www.instagram.com/p/BXySbnMl0j9/")</f>
        <v>https://www.instagram.com/p/BXySbnMl0j9/</v>
      </c>
      <c r="F677" t="s">
        <v>6503</v>
      </c>
      <c r="G677" t="s">
        <v>2478</v>
      </c>
      <c r="H677">
        <v>16072</v>
      </c>
      <c r="I677" t="s">
        <v>2479</v>
      </c>
      <c r="J677">
        <v>56</v>
      </c>
      <c r="K677">
        <v>1659</v>
      </c>
      <c r="L677">
        <v>1715</v>
      </c>
      <c r="Q677">
        <v>0</v>
      </c>
      <c r="R677">
        <v>0</v>
      </c>
      <c r="S677">
        <v>1715</v>
      </c>
      <c r="T677" t="s">
        <v>6504</v>
      </c>
      <c r="V677" t="s">
        <v>2222</v>
      </c>
      <c r="W677">
        <v>50.85</v>
      </c>
      <c r="X677">
        <v>5.6833299999999998</v>
      </c>
      <c r="Y677" t="s">
        <v>6505</v>
      </c>
      <c r="Z677" t="s">
        <v>6506</v>
      </c>
      <c r="AA677" t="s">
        <v>6507</v>
      </c>
      <c r="AB677" t="s">
        <v>6508</v>
      </c>
      <c r="AC677" t="s">
        <v>6509</v>
      </c>
      <c r="AD677" s="249" t="str">
        <f>HYPERLINK("https://scontent.cdninstagram.com/t51.2885-15/s320x320/e35/20837428_477251225968141_1316911834233569280_n.jpg")</f>
        <v>https://scontent.cdninstagram.com/t51.2885-15/s320x320/e35/20837428_477251225968141_1316911834233569280_n.jpg</v>
      </c>
      <c r="AE677" s="249" t="str">
        <f>HYPERLINK("https://scontent.cdninstagram.com/t51.2885-19/s150x150/18252277_1042415079226763_7006032283383627776_a.jpg")</f>
        <v>https://scontent.cdninstagram.com/t51.2885-19/s150x150/18252277_1042415079226763_7006032283383627776_a.jpg</v>
      </c>
    </row>
    <row r="678" spans="1:31" ht="15" x14ac:dyDescent="0.25">
      <c r="A678" t="s">
        <v>2474</v>
      </c>
      <c r="B678" t="s">
        <v>6510</v>
      </c>
      <c r="C678" s="221">
        <v>42961.641516203701</v>
      </c>
      <c r="D678" t="s">
        <v>6511</v>
      </c>
      <c r="E678" s="249" t="str">
        <f>HYPERLINK("https://www.instagram.com/p/BXyStHJhVCW/")</f>
        <v>https://www.instagram.com/p/BXyStHJhVCW/</v>
      </c>
      <c r="F678" t="s">
        <v>6512</v>
      </c>
      <c r="G678" t="s">
        <v>2478</v>
      </c>
      <c r="H678">
        <v>6496</v>
      </c>
      <c r="I678" t="s">
        <v>2479</v>
      </c>
      <c r="J678">
        <v>1</v>
      </c>
      <c r="K678">
        <v>126</v>
      </c>
      <c r="L678">
        <v>127</v>
      </c>
      <c r="Q678">
        <v>0</v>
      </c>
      <c r="R678">
        <v>0</v>
      </c>
      <c r="S678">
        <v>127</v>
      </c>
      <c r="Y678" t="s">
        <v>6505</v>
      </c>
      <c r="Z678" t="s">
        <v>6506</v>
      </c>
      <c r="AA678" t="s">
        <v>6507</v>
      </c>
      <c r="AB678" t="s">
        <v>6508</v>
      </c>
      <c r="AC678" t="s">
        <v>6509</v>
      </c>
      <c r="AD678" s="249" t="str">
        <f>HYPERLINK("https://scontent.cdninstagram.com/t51.2885-15/s320x320/e35/20836894_466413263738674_4733429988873732096_n.jpg")</f>
        <v>https://scontent.cdninstagram.com/t51.2885-15/s320x320/e35/20836894_466413263738674_4733429988873732096_n.jpg</v>
      </c>
      <c r="AE678" s="249" t="str">
        <f>HYPERLINK("https://scontent.cdninstagram.com/t51.2885-19/s150x150/20839104_776032465891336_5525944518337101824_a.jpg")</f>
        <v>https://scontent.cdninstagram.com/t51.2885-19/s150x150/20839104_776032465891336_5525944518337101824_a.jpg</v>
      </c>
    </row>
    <row r="679" spans="1:31" ht="15" x14ac:dyDescent="0.25">
      <c r="A679" t="s">
        <v>2474</v>
      </c>
      <c r="B679" t="s">
        <v>6513</v>
      </c>
      <c r="C679" s="221">
        <v>42961.644675925927</v>
      </c>
      <c r="D679" t="s">
        <v>6514</v>
      </c>
      <c r="E679" s="249" t="str">
        <f>HYPERLINK("https://www.instagram.com/p/BXyTOcOlBxJ/")</f>
        <v>https://www.instagram.com/p/BXyTOcOlBxJ/</v>
      </c>
      <c r="F679" t="s">
        <v>6515</v>
      </c>
      <c r="G679" t="s">
        <v>2478</v>
      </c>
      <c r="H679">
        <v>165</v>
      </c>
      <c r="I679" t="s">
        <v>3575</v>
      </c>
      <c r="J679">
        <v>0</v>
      </c>
      <c r="K679">
        <v>22</v>
      </c>
      <c r="L679">
        <v>22</v>
      </c>
      <c r="Q679">
        <v>0</v>
      </c>
      <c r="R679">
        <v>0</v>
      </c>
      <c r="S679">
        <v>22</v>
      </c>
      <c r="Y679" t="s">
        <v>2735</v>
      </c>
      <c r="Z679" t="s">
        <v>2497</v>
      </c>
      <c r="AA679" t="s">
        <v>4180</v>
      </c>
      <c r="AD679" s="249" t="str">
        <f>HYPERLINK("https://scontent.cdninstagram.com/t51.2885-15/s320x320/e35/20766367_123542308279474_5187805303650910208_n.jpg")</f>
        <v>https://scontent.cdninstagram.com/t51.2885-15/s320x320/e35/20766367_123542308279474_5187805303650910208_n.jpg</v>
      </c>
      <c r="AE679" s="249" t="str">
        <f>HYPERLINK("https://scontent.cdninstagram.com/t51.2885-19/s150x150/17437523_266652210460809_1166357377784479744_a.jpg")</f>
        <v>https://scontent.cdninstagram.com/t51.2885-19/s150x150/17437523_266652210460809_1166357377784479744_a.jpg</v>
      </c>
    </row>
    <row r="680" spans="1:31" ht="15" x14ac:dyDescent="0.25">
      <c r="A680" t="s">
        <v>2474</v>
      </c>
      <c r="B680" t="s">
        <v>6516</v>
      </c>
      <c r="C680" s="221">
        <v>42961.646689814814</v>
      </c>
      <c r="D680" t="s">
        <v>6517</v>
      </c>
      <c r="E680" s="249" t="str">
        <f>HYPERLINK("https://www.instagram.com/p/BXyTjvRA6W1/")</f>
        <v>https://www.instagram.com/p/BXyTjvRA6W1/</v>
      </c>
      <c r="F680" t="s">
        <v>6518</v>
      </c>
      <c r="G680" t="s">
        <v>2478</v>
      </c>
      <c r="H680">
        <v>759</v>
      </c>
      <c r="I680" t="s">
        <v>2479</v>
      </c>
      <c r="J680">
        <v>2</v>
      </c>
      <c r="K680">
        <v>85</v>
      </c>
      <c r="L680">
        <v>87</v>
      </c>
      <c r="Q680">
        <v>0</v>
      </c>
      <c r="R680">
        <v>0</v>
      </c>
      <c r="S680">
        <v>87</v>
      </c>
      <c r="Y680" t="s">
        <v>6372</v>
      </c>
      <c r="Z680" t="s">
        <v>6373</v>
      </c>
      <c r="AA680" t="s">
        <v>6374</v>
      </c>
      <c r="AB680" t="s">
        <v>6375</v>
      </c>
      <c r="AC680" t="s">
        <v>2497</v>
      </c>
      <c r="AD680" s="249" t="str">
        <f>HYPERLINK("https://scontent.cdninstagram.com/t51.2885-15/s320x320/e35/c0.5.760.760/20837704_1736054170024387_7475303614190190592_n.jpg")</f>
        <v>https://scontent.cdninstagram.com/t51.2885-15/s320x320/e35/c0.5.760.760/20837704_1736054170024387_7475303614190190592_n.jpg</v>
      </c>
      <c r="AE680" s="249" t="str">
        <f>HYPERLINK("https://scontent.cdninstagram.com/t51.2885-19/s150x150/20759588_1449158908472389_8979055772864348160_a.jpg")</f>
        <v>https://scontent.cdninstagram.com/t51.2885-19/s150x150/20759588_1449158908472389_8979055772864348160_a.jpg</v>
      </c>
    </row>
    <row r="681" spans="1:31" ht="15" x14ac:dyDescent="0.25">
      <c r="A681" t="s">
        <v>2474</v>
      </c>
      <c r="B681" t="s">
        <v>6519</v>
      </c>
      <c r="C681" s="221">
        <v>42961.64980324074</v>
      </c>
      <c r="D681" t="s">
        <v>6520</v>
      </c>
      <c r="E681" s="249" t="str">
        <f>HYPERLINK("https://www.instagram.com/p/BXyUEePBMIv/")</f>
        <v>https://www.instagram.com/p/BXyUEePBMIv/</v>
      </c>
      <c r="F681" t="s">
        <v>6521</v>
      </c>
      <c r="G681" t="s">
        <v>2631</v>
      </c>
      <c r="H681">
        <v>59</v>
      </c>
      <c r="I681" t="s">
        <v>2479</v>
      </c>
      <c r="J681">
        <v>0</v>
      </c>
      <c r="K681">
        <v>16</v>
      </c>
      <c r="L681">
        <v>16</v>
      </c>
      <c r="Q681">
        <v>0</v>
      </c>
      <c r="R681">
        <v>0</v>
      </c>
      <c r="S681">
        <v>16</v>
      </c>
      <c r="T681" t="s">
        <v>6522</v>
      </c>
      <c r="U681" t="s">
        <v>892</v>
      </c>
      <c r="V681" t="s">
        <v>2299</v>
      </c>
      <c r="W681">
        <v>44.212899999999998</v>
      </c>
      <c r="X681">
        <v>-88.436199999999999</v>
      </c>
      <c r="Y681" t="s">
        <v>4196</v>
      </c>
      <c r="Z681" t="s">
        <v>2899</v>
      </c>
      <c r="AA681" t="s">
        <v>6523</v>
      </c>
      <c r="AB681" t="s">
        <v>6524</v>
      </c>
      <c r="AC681" t="s">
        <v>6525</v>
      </c>
      <c r="AD681" s="249" t="str">
        <f>HYPERLINK("https://scontent.cdninstagram.com/t51.2885-15/s320x320/e15/20837228_1936518543229459_4789226819549134848_n.jpg")</f>
        <v>https://scontent.cdninstagram.com/t51.2885-15/s320x320/e15/20837228_1936518543229459_4789226819549134848_n.jpg</v>
      </c>
      <c r="AE681" s="249" t="str">
        <f>HYPERLINK("https://scontent.cdninstagram.com/t51.2885-19/s150x150/20904919_1453553778094862_6470444488568340480_a.jpg")</f>
        <v>https://scontent.cdninstagram.com/t51.2885-19/s150x150/20904919_1453553778094862_6470444488568340480_a.jpg</v>
      </c>
    </row>
    <row r="682" spans="1:31" ht="15" x14ac:dyDescent="0.25">
      <c r="A682" t="s">
        <v>2474</v>
      </c>
      <c r="B682" t="s">
        <v>3301</v>
      </c>
      <c r="C682" s="221">
        <v>42961.652777777781</v>
      </c>
      <c r="D682" t="s">
        <v>6526</v>
      </c>
      <c r="E682" s="249" t="str">
        <f>HYPERLINK("https://www.instagram.com/p/BXyUj2CDMUe/")</f>
        <v>https://www.instagram.com/p/BXyUj2CDMUe/</v>
      </c>
      <c r="F682" t="s">
        <v>6527</v>
      </c>
      <c r="G682" t="s">
        <v>2478</v>
      </c>
      <c r="H682">
        <v>584</v>
      </c>
      <c r="I682" t="s">
        <v>2479</v>
      </c>
      <c r="J682">
        <v>4</v>
      </c>
      <c r="K682">
        <v>159</v>
      </c>
      <c r="L682">
        <v>163</v>
      </c>
      <c r="Q682">
        <v>0</v>
      </c>
      <c r="R682">
        <v>0</v>
      </c>
      <c r="S682">
        <v>163</v>
      </c>
      <c r="Y682" t="s">
        <v>6528</v>
      </c>
      <c r="Z682" t="s">
        <v>3305</v>
      </c>
      <c r="AA682" t="s">
        <v>4161</v>
      </c>
      <c r="AB682" t="s">
        <v>2513</v>
      </c>
      <c r="AC682" t="s">
        <v>5236</v>
      </c>
      <c r="AD682" s="249" t="str">
        <f>HYPERLINK("https://scontent.cdninstagram.com/t51.2885-15/s320x320/e35/c0.135.1080.1080/20766536_1559059824156826_5951023006489772032_n.jpg")</f>
        <v>https://scontent.cdninstagram.com/t51.2885-15/s320x320/e35/c0.135.1080.1080/20766536_1559059824156826_5951023006489772032_n.jpg</v>
      </c>
      <c r="AE682" s="249" t="str">
        <f>HYPERLINK("https://scontent.cdninstagram.com/t51.2885-19/s150x150/19228478_370974479971900_5746578409966796800_a.jpg")</f>
        <v>https://scontent.cdninstagram.com/t51.2885-19/s150x150/19228478_370974479971900_5746578409966796800_a.jpg</v>
      </c>
    </row>
    <row r="683" spans="1:31" ht="15" x14ac:dyDescent="0.25">
      <c r="A683" t="s">
        <v>2474</v>
      </c>
      <c r="B683" t="s">
        <v>6529</v>
      </c>
      <c r="C683" s="221">
        <v>42961.653680555559</v>
      </c>
      <c r="D683" t="s">
        <v>6530</v>
      </c>
      <c r="E683" s="249" t="str">
        <f>HYPERLINK("https://www.instagram.com/p/BXyUtYTjSC3/")</f>
        <v>https://www.instagram.com/p/BXyUtYTjSC3/</v>
      </c>
      <c r="F683" t="s">
        <v>6531</v>
      </c>
      <c r="G683" t="s">
        <v>2478</v>
      </c>
      <c r="H683">
        <v>2233</v>
      </c>
      <c r="I683" t="s">
        <v>2542</v>
      </c>
      <c r="J683">
        <v>0</v>
      </c>
      <c r="K683">
        <v>57</v>
      </c>
      <c r="L683">
        <v>57</v>
      </c>
      <c r="Q683">
        <v>0</v>
      </c>
      <c r="R683">
        <v>0</v>
      </c>
      <c r="S683">
        <v>57</v>
      </c>
      <c r="Y683" t="s">
        <v>6532</v>
      </c>
      <c r="Z683" t="s">
        <v>6533</v>
      </c>
      <c r="AA683" t="s">
        <v>6534</v>
      </c>
      <c r="AB683" t="s">
        <v>6535</v>
      </c>
      <c r="AC683" t="s">
        <v>2497</v>
      </c>
      <c r="AD683" s="249" t="str">
        <f>HYPERLINK("https://scontent.cdninstagram.com/t51.2885-15/s320x320/e35/c135.0.810.810/20759843_110118896361136_6914549076251901952_n.jpg")</f>
        <v>https://scontent.cdninstagram.com/t51.2885-15/s320x320/e35/c135.0.810.810/20759843_110118896361136_6914549076251901952_n.jpg</v>
      </c>
      <c r="AE683" s="249" t="str">
        <f>HYPERLINK("https://scontent.cdninstagram.com/t51.2885-19/s150x150/20225746_123166418303180_1439482628834066432_a.jpg")</f>
        <v>https://scontent.cdninstagram.com/t51.2885-19/s150x150/20225746_123166418303180_1439482628834066432_a.jpg</v>
      </c>
    </row>
    <row r="684" spans="1:31" ht="15" x14ac:dyDescent="0.25">
      <c r="A684" t="s">
        <v>2474</v>
      </c>
      <c r="B684" t="s">
        <v>6536</v>
      </c>
      <c r="C684" s="221">
        <v>42961.654108796298</v>
      </c>
      <c r="D684" t="s">
        <v>6537</v>
      </c>
      <c r="E684" s="249" t="str">
        <f>HYPERLINK("https://www.instagram.com/p/BXyUx9MjuKp/")</f>
        <v>https://www.instagram.com/p/BXyUx9MjuKp/</v>
      </c>
      <c r="F684" t="s">
        <v>6538</v>
      </c>
      <c r="G684" t="s">
        <v>2478</v>
      </c>
      <c r="H684">
        <v>3088</v>
      </c>
      <c r="I684" t="s">
        <v>2479</v>
      </c>
      <c r="J684">
        <v>36</v>
      </c>
      <c r="K684">
        <v>157</v>
      </c>
      <c r="L684">
        <v>193</v>
      </c>
      <c r="Q684">
        <v>0</v>
      </c>
      <c r="R684">
        <v>0</v>
      </c>
      <c r="S684">
        <v>193</v>
      </c>
      <c r="T684" t="s">
        <v>2936</v>
      </c>
      <c r="V684" t="s">
        <v>2288</v>
      </c>
      <c r="W684">
        <v>51.507114863623997</v>
      </c>
      <c r="X684">
        <v>-0.12731805236353</v>
      </c>
      <c r="Y684" t="s">
        <v>5836</v>
      </c>
      <c r="AD684" s="249" t="str">
        <f>HYPERLINK("https://scontent.cdninstagram.com/t51.2885-15/s320x320/e35/c25.0.533.533/20837539_212250422638460_3224112935563427840_n.jpg")</f>
        <v>https://scontent.cdninstagram.com/t51.2885-15/s320x320/e35/c25.0.533.533/20837539_212250422638460_3224112935563427840_n.jpg</v>
      </c>
      <c r="AE684" s="249" t="str">
        <f>HYPERLINK("https://scontent.cdninstagram.com/t51.2885-19/s150x150/20905244_105844296812427_3456766263106207744_a.jpg")</f>
        <v>https://scontent.cdninstagram.com/t51.2885-19/s150x150/20905244_105844296812427_3456766263106207744_a.jpg</v>
      </c>
    </row>
    <row r="685" spans="1:31" ht="15" x14ac:dyDescent="0.25">
      <c r="A685" t="s">
        <v>2474</v>
      </c>
      <c r="B685" t="s">
        <v>6539</v>
      </c>
      <c r="C685" s="221">
        <v>42961.655856481484</v>
      </c>
      <c r="D685" t="s">
        <v>6540</v>
      </c>
      <c r="E685" s="249" t="str">
        <f>HYPERLINK("https://www.instagram.com/p/BXyVEYygFoQ/")</f>
        <v>https://www.instagram.com/p/BXyVEYygFoQ/</v>
      </c>
      <c r="F685" t="s">
        <v>6541</v>
      </c>
      <c r="G685" t="s">
        <v>2478</v>
      </c>
      <c r="H685">
        <v>211</v>
      </c>
      <c r="I685" t="s">
        <v>2479</v>
      </c>
      <c r="J685">
        <v>1</v>
      </c>
      <c r="K685">
        <v>62</v>
      </c>
      <c r="L685">
        <v>63</v>
      </c>
      <c r="Q685">
        <v>0</v>
      </c>
      <c r="R685">
        <v>0</v>
      </c>
      <c r="S685">
        <v>63</v>
      </c>
      <c r="Y685" t="s">
        <v>3137</v>
      </c>
      <c r="Z685" t="s">
        <v>6542</v>
      </c>
      <c r="AA685" t="s">
        <v>2497</v>
      </c>
      <c r="AB685" t="s">
        <v>6543</v>
      </c>
      <c r="AC685" t="s">
        <v>5047</v>
      </c>
      <c r="AD685" s="249" t="str">
        <f>HYPERLINK("https://scontent.cdninstagram.com/t51.2885-15/s320x320/e35/c0.0.735.735/20766520_513895592290707_5268099566925774848_n.jpg")</f>
        <v>https://scontent.cdninstagram.com/t51.2885-15/s320x320/e35/c0.0.735.735/20766520_513895592290707_5268099566925774848_n.jpg</v>
      </c>
      <c r="AE685" s="249" t="str">
        <f>HYPERLINK("https://scontent.cdninstagram.com/t51.2885-19/s150x150/12918421_1691706537752115_1918876384_a.jpg")</f>
        <v>https://scontent.cdninstagram.com/t51.2885-19/s150x150/12918421_1691706537752115_1918876384_a.jpg</v>
      </c>
    </row>
    <row r="686" spans="1:31" ht="15" x14ac:dyDescent="0.25">
      <c r="A686" t="s">
        <v>2474</v>
      </c>
      <c r="B686" t="s">
        <v>6544</v>
      </c>
      <c r="C686" s="221">
        <v>42961.658807870372</v>
      </c>
      <c r="D686" t="s">
        <v>6545</v>
      </c>
      <c r="E686" s="249" t="str">
        <f>HYPERLINK("https://www.instagram.com/p/BXyVjdWHcIj/")</f>
        <v>https://www.instagram.com/p/BXyVjdWHcIj/</v>
      </c>
      <c r="F686" t="s">
        <v>6546</v>
      </c>
      <c r="G686" t="s">
        <v>2488</v>
      </c>
      <c r="H686">
        <v>1361</v>
      </c>
      <c r="I686" t="s">
        <v>2479</v>
      </c>
      <c r="J686">
        <v>0</v>
      </c>
      <c r="K686">
        <v>17</v>
      </c>
      <c r="L686">
        <v>17</v>
      </c>
      <c r="Q686">
        <v>0</v>
      </c>
      <c r="R686">
        <v>0</v>
      </c>
      <c r="S686">
        <v>17</v>
      </c>
      <c r="Y686" t="s">
        <v>6547</v>
      </c>
      <c r="Z686" t="s">
        <v>2497</v>
      </c>
      <c r="AA686" t="s">
        <v>5521</v>
      </c>
      <c r="AB686" t="s">
        <v>2562</v>
      </c>
      <c r="AD686" s="249" t="str">
        <f>HYPERLINK("https://scontent.cdninstagram.com/t51.2885-15/e35/c0.40.320.320/20838351_1425624460877804_1294085259876368384_n.jpg")</f>
        <v>https://scontent.cdninstagram.com/t51.2885-15/e35/c0.40.320.320/20838351_1425624460877804_1294085259876368384_n.jpg</v>
      </c>
      <c r="AE686" s="249" t="str">
        <f>HYPERLINK("https://scontent.cdninstagram.com/t51.2885-19/s150x150/20687059_1356525491123990_5440763123445268480_a.jpg")</f>
        <v>https://scontent.cdninstagram.com/t51.2885-19/s150x150/20687059_1356525491123990_5440763123445268480_a.jpg</v>
      </c>
    </row>
    <row r="687" spans="1:31" ht="15" x14ac:dyDescent="0.25">
      <c r="A687" t="s">
        <v>2474</v>
      </c>
      <c r="B687" t="s">
        <v>3415</v>
      </c>
      <c r="C687" s="221">
        <v>42961.659143518518</v>
      </c>
      <c r="D687" t="s">
        <v>6548</v>
      </c>
      <c r="E687" s="249" t="str">
        <f>HYPERLINK("https://www.instagram.com/p/BXyVnFnlJPx/")</f>
        <v>https://www.instagram.com/p/BXyVnFnlJPx/</v>
      </c>
      <c r="F687" t="s">
        <v>6549</v>
      </c>
      <c r="G687" t="s">
        <v>2478</v>
      </c>
      <c r="H687">
        <v>241</v>
      </c>
      <c r="I687" t="s">
        <v>2479</v>
      </c>
      <c r="J687">
        <v>1</v>
      </c>
      <c r="K687">
        <v>37</v>
      </c>
      <c r="L687">
        <v>38</v>
      </c>
      <c r="Q687">
        <v>0</v>
      </c>
      <c r="R687">
        <v>0</v>
      </c>
      <c r="S687">
        <v>38</v>
      </c>
      <c r="Y687" t="s">
        <v>6550</v>
      </c>
      <c r="Z687" t="s">
        <v>3415</v>
      </c>
      <c r="AA687" t="s">
        <v>6551</v>
      </c>
      <c r="AB687" t="s">
        <v>2497</v>
      </c>
      <c r="AC687" t="s">
        <v>6552</v>
      </c>
      <c r="AD687" s="249" t="str">
        <f>HYPERLINK("https://scontent.cdninstagram.com/t51.2885-15/s320x320/e35/c180.0.720.720/20837692_131565700791879_4627973341867671552_n.jpg")</f>
        <v>https://scontent.cdninstagram.com/t51.2885-15/s320x320/e35/c180.0.720.720/20837692_131565700791879_4627973341867671552_n.jpg</v>
      </c>
      <c r="AE687" s="249" t="str">
        <f>HYPERLINK("https://scontent.cdninstagram.com/t51.2885-19/s150x150/19985942_261665957654637_6917754058157588480_a.jpg")</f>
        <v>https://scontent.cdninstagram.com/t51.2885-19/s150x150/19985942_261665957654637_6917754058157588480_a.jpg</v>
      </c>
    </row>
    <row r="688" spans="1:31" ht="15" x14ac:dyDescent="0.25">
      <c r="A688" t="s">
        <v>2474</v>
      </c>
      <c r="B688" t="s">
        <v>6553</v>
      </c>
      <c r="C688" s="221">
        <v>42961.659270833334</v>
      </c>
      <c r="D688" t="s">
        <v>6554</v>
      </c>
      <c r="E688" s="249" t="str">
        <f>HYPERLINK("https://www.instagram.com/p/BXyVobPgCVc/")</f>
        <v>https://www.instagram.com/p/BXyVobPgCVc/</v>
      </c>
      <c r="F688" t="s">
        <v>6555</v>
      </c>
      <c r="G688" t="s">
        <v>2478</v>
      </c>
      <c r="H688">
        <v>318</v>
      </c>
      <c r="I688" t="s">
        <v>2479</v>
      </c>
      <c r="J688">
        <v>0</v>
      </c>
      <c r="K688">
        <v>23</v>
      </c>
      <c r="L688">
        <v>23</v>
      </c>
      <c r="Q688">
        <v>0</v>
      </c>
      <c r="R688">
        <v>0</v>
      </c>
      <c r="S688">
        <v>23</v>
      </c>
      <c r="Y688" t="s">
        <v>3902</v>
      </c>
      <c r="Z688" t="s">
        <v>4370</v>
      </c>
      <c r="AA688" t="s">
        <v>2497</v>
      </c>
      <c r="AB688" t="s">
        <v>4202</v>
      </c>
      <c r="AC688" t="s">
        <v>6556</v>
      </c>
      <c r="AD688" s="249" t="str">
        <f>HYPERLINK("https://scontent.cdninstagram.com/t51.2885-15/s320x320/e35/20766660_702825973240234_2184720988686516224_n.jpg")</f>
        <v>https://scontent.cdninstagram.com/t51.2885-15/s320x320/e35/20766660_702825973240234_2184720988686516224_n.jpg</v>
      </c>
      <c r="AE688" s="249" t="str">
        <f>HYPERLINK("https://scontent.cdninstagram.com/t51.2885-19/s150x150/19764455_312017275913975_2508265062687309824_a.jpg")</f>
        <v>https://scontent.cdninstagram.com/t51.2885-19/s150x150/19764455_312017275913975_2508265062687309824_a.jpg</v>
      </c>
    </row>
    <row r="689" spans="1:31" ht="15" x14ac:dyDescent="0.25">
      <c r="A689" t="s">
        <v>2474</v>
      </c>
      <c r="B689" t="s">
        <v>6557</v>
      </c>
      <c r="C689" s="221">
        <v>42961.661678240744</v>
      </c>
      <c r="D689" t="s">
        <v>6558</v>
      </c>
      <c r="E689" s="249" t="str">
        <f>HYPERLINK("https://www.instagram.com/p/BXyWBzJgQKF/")</f>
        <v>https://www.instagram.com/p/BXyWBzJgQKF/</v>
      </c>
      <c r="F689" t="s">
        <v>6559</v>
      </c>
      <c r="G689" t="s">
        <v>2478</v>
      </c>
      <c r="H689">
        <v>1040</v>
      </c>
      <c r="I689" t="s">
        <v>2748</v>
      </c>
      <c r="J689">
        <v>0</v>
      </c>
      <c r="K689">
        <v>0</v>
      </c>
      <c r="L689">
        <v>0</v>
      </c>
      <c r="Q689">
        <v>0</v>
      </c>
      <c r="R689">
        <v>0</v>
      </c>
      <c r="S689">
        <v>0</v>
      </c>
      <c r="Y689" t="s">
        <v>6560</v>
      </c>
      <c r="Z689" t="s">
        <v>6561</v>
      </c>
      <c r="AA689" t="s">
        <v>2497</v>
      </c>
      <c r="AB689" t="s">
        <v>3671</v>
      </c>
      <c r="AC689" t="s">
        <v>4749</v>
      </c>
      <c r="AD689" s="249" t="str">
        <f>HYPERLINK("https://scontent.cdninstagram.com/t51.2885-15/s320x320/e35/20837315_850482628434823_1554815196654993408_n.jpg")</f>
        <v>https://scontent.cdninstagram.com/t51.2885-15/s320x320/e35/20837315_850482628434823_1554815196654993408_n.jpg</v>
      </c>
      <c r="AE689" s="249" t="str">
        <f>HYPERLINK("https://scontent.cdninstagram.com/t51.2885-19/s150x150/10546977_1671128363171964_417123478_a.jpg")</f>
        <v>https://scontent.cdninstagram.com/t51.2885-19/s150x150/10546977_1671128363171964_417123478_a.jpg</v>
      </c>
    </row>
    <row r="690" spans="1:31" ht="15" x14ac:dyDescent="0.25">
      <c r="A690" t="s">
        <v>2474</v>
      </c>
      <c r="B690" t="s">
        <v>6562</v>
      </c>
      <c r="C690" s="221">
        <v>42961.662662037037</v>
      </c>
      <c r="D690" t="s">
        <v>6563</v>
      </c>
      <c r="E690" s="249" t="str">
        <f>HYPERLINK("https://www.instagram.com/p/BXyWMF7Af6t/")</f>
        <v>https://www.instagram.com/p/BXyWMF7Af6t/</v>
      </c>
      <c r="F690" t="s">
        <v>6564</v>
      </c>
      <c r="G690" t="s">
        <v>2488</v>
      </c>
      <c r="H690">
        <v>79</v>
      </c>
      <c r="I690" t="s">
        <v>2479</v>
      </c>
      <c r="J690">
        <v>3</v>
      </c>
      <c r="K690">
        <v>19</v>
      </c>
      <c r="L690">
        <v>22</v>
      </c>
      <c r="Q690">
        <v>0</v>
      </c>
      <c r="R690">
        <v>0</v>
      </c>
      <c r="S690">
        <v>22</v>
      </c>
      <c r="T690" t="s">
        <v>6565</v>
      </c>
      <c r="V690" t="s">
        <v>2161</v>
      </c>
      <c r="W690">
        <v>51.520199626</v>
      </c>
      <c r="X690">
        <v>9.9731266860000005</v>
      </c>
      <c r="Y690" t="s">
        <v>2497</v>
      </c>
      <c r="Z690" t="s">
        <v>6566</v>
      </c>
      <c r="AA690" t="s">
        <v>6567</v>
      </c>
      <c r="AB690" t="s">
        <v>6568</v>
      </c>
      <c r="AC690" t="s">
        <v>6569</v>
      </c>
      <c r="AD690" s="249" t="str">
        <f>HYPERLINK("https://scontent.cdninstagram.com/t51.2885-15/s320x320/e15/20766300_1734629763497005_9036070875308228608_n.jpg")</f>
        <v>https://scontent.cdninstagram.com/t51.2885-15/s320x320/e15/20766300_1734629763497005_9036070875308228608_n.jpg</v>
      </c>
      <c r="AE690" s="249" t="str">
        <f>HYPERLINK("https://scontent.cdninstagram.com/t51.2885-19/s150x150/17662213_1757256761253816_5168330208238895104_a.jpg")</f>
        <v>https://scontent.cdninstagram.com/t51.2885-19/s150x150/17662213_1757256761253816_5168330208238895104_a.jpg</v>
      </c>
    </row>
    <row r="691" spans="1:31" ht="15" x14ac:dyDescent="0.25">
      <c r="A691" t="s">
        <v>2474</v>
      </c>
      <c r="B691" t="s">
        <v>6570</v>
      </c>
      <c r="C691" s="221">
        <v>42961.665150462963</v>
      </c>
      <c r="D691" t="s">
        <v>6571</v>
      </c>
      <c r="E691" s="249" t="str">
        <f>HYPERLINK("https://www.instagram.com/p/BXyWmbjFn4_/")</f>
        <v>https://www.instagram.com/p/BXyWmbjFn4_/</v>
      </c>
      <c r="F691" t="s">
        <v>6572</v>
      </c>
      <c r="G691" t="s">
        <v>2478</v>
      </c>
      <c r="H691">
        <v>11645</v>
      </c>
      <c r="I691" t="s">
        <v>2479</v>
      </c>
      <c r="J691">
        <v>8</v>
      </c>
      <c r="K691">
        <v>400</v>
      </c>
      <c r="L691">
        <v>408</v>
      </c>
      <c r="Q691">
        <v>0</v>
      </c>
      <c r="R691">
        <v>0</v>
      </c>
      <c r="S691">
        <v>408</v>
      </c>
      <c r="AD691" s="249" t="str">
        <f>HYPERLINK("https://scontent.cdninstagram.com/t51.2885-15/s320x320/e35/c0.132.1080.1080/20759805_110691636303518_2074638584593252352_n.jpg")</f>
        <v>https://scontent.cdninstagram.com/t51.2885-15/s320x320/e35/c0.132.1080.1080/20759805_110691636303518_2074638584593252352_n.jpg</v>
      </c>
      <c r="AE691" s="249" t="str">
        <f>HYPERLINK("https://scontent.cdninstagram.com/t51.2885-19/s150x150/19533662_1780960548861477_8530692398689288192_a.jpg")</f>
        <v>https://scontent.cdninstagram.com/t51.2885-19/s150x150/19533662_1780960548861477_8530692398689288192_a.jpg</v>
      </c>
    </row>
    <row r="692" spans="1:31" ht="15" x14ac:dyDescent="0.25">
      <c r="A692" t="s">
        <v>2474</v>
      </c>
      <c r="B692" t="s">
        <v>6573</v>
      </c>
      <c r="C692" s="221">
        <v>42961.670787037037</v>
      </c>
      <c r="D692" t="s">
        <v>6574</v>
      </c>
      <c r="E692" s="249" t="str">
        <f>HYPERLINK("https://www.instagram.com/p/BXyXh4GlyE-/")</f>
        <v>https://www.instagram.com/p/BXyXh4GlyE-/</v>
      </c>
      <c r="F692" t="s">
        <v>6575</v>
      </c>
      <c r="G692" t="s">
        <v>2478</v>
      </c>
      <c r="H692">
        <v>250</v>
      </c>
      <c r="I692" t="s">
        <v>2479</v>
      </c>
      <c r="J692">
        <v>2</v>
      </c>
      <c r="K692">
        <v>28</v>
      </c>
      <c r="L692">
        <v>30</v>
      </c>
      <c r="Q692">
        <v>0</v>
      </c>
      <c r="R692">
        <v>0</v>
      </c>
      <c r="S692">
        <v>30</v>
      </c>
      <c r="T692" t="s">
        <v>6576</v>
      </c>
      <c r="V692" t="s">
        <v>2150</v>
      </c>
      <c r="W692">
        <v>59.44014</v>
      </c>
      <c r="X692">
        <v>24.746980000000001</v>
      </c>
      <c r="Y692" t="s">
        <v>6577</v>
      </c>
      <c r="Z692" t="s">
        <v>2497</v>
      </c>
      <c r="AA692" t="s">
        <v>6578</v>
      </c>
      <c r="AB692" t="s">
        <v>4462</v>
      </c>
      <c r="AC692" t="s">
        <v>6579</v>
      </c>
      <c r="AD692" s="249" t="str">
        <f>HYPERLINK("https://scontent.cdninstagram.com/t51.2885-15/s320x320/e35/20837819_205449096655756_7224871050482286592_n.jpg")</f>
        <v>https://scontent.cdninstagram.com/t51.2885-15/s320x320/e35/20837819_205449096655756_7224871050482286592_n.jpg</v>
      </c>
      <c r="AE692" s="249" t="str">
        <f>HYPERLINK("https://scontent.cdninstagram.com/t51.2885-19/s150x150/12276966_929239217156765_1659333282_a.jpg")</f>
        <v>https://scontent.cdninstagram.com/t51.2885-19/s150x150/12276966_929239217156765_1659333282_a.jpg</v>
      </c>
    </row>
    <row r="693" spans="1:31" ht="15" x14ac:dyDescent="0.25">
      <c r="A693" t="s">
        <v>2474</v>
      </c>
      <c r="B693" t="s">
        <v>5149</v>
      </c>
      <c r="C693" s="221">
        <v>42961.675706018519</v>
      </c>
      <c r="D693" t="s">
        <v>6580</v>
      </c>
      <c r="E693" s="249" t="str">
        <f>HYPERLINK("https://www.instagram.com/p/BXyYVtpjjSr/")</f>
        <v>https://www.instagram.com/p/BXyYVtpjjSr/</v>
      </c>
      <c r="F693" t="s">
        <v>6581</v>
      </c>
      <c r="G693" t="s">
        <v>2631</v>
      </c>
      <c r="H693">
        <v>63430</v>
      </c>
      <c r="I693" t="s">
        <v>2479</v>
      </c>
      <c r="J693">
        <v>6</v>
      </c>
      <c r="K693">
        <v>84</v>
      </c>
      <c r="L693">
        <v>90</v>
      </c>
      <c r="Q693">
        <v>0</v>
      </c>
      <c r="R693">
        <v>0</v>
      </c>
      <c r="S693">
        <v>90</v>
      </c>
      <c r="T693" t="s">
        <v>5218</v>
      </c>
      <c r="U693" t="s">
        <v>106</v>
      </c>
      <c r="V693" t="s">
        <v>2299</v>
      </c>
      <c r="W693">
        <v>25.799620000000001</v>
      </c>
      <c r="X693">
        <v>-80.201350000000005</v>
      </c>
      <c r="Y693" t="s">
        <v>5220</v>
      </c>
      <c r="Z693" t="s">
        <v>2497</v>
      </c>
      <c r="AA693" t="s">
        <v>5622</v>
      </c>
      <c r="AB693" t="s">
        <v>5221</v>
      </c>
      <c r="AC693" t="s">
        <v>5153</v>
      </c>
      <c r="AD693" s="249" t="str">
        <f>HYPERLINK("https://scontent.cdninstagram.com/t51.2885-15/s320x320/e15/c134.0.344.344/20838719_661493790727364_2242705911925702656_n.jpg")</f>
        <v>https://scontent.cdninstagram.com/t51.2885-15/s320x320/e15/c134.0.344.344/20838719_661493790727364_2242705911925702656_n.jpg</v>
      </c>
      <c r="AE693" s="249" t="str">
        <f>HYPERLINK("https://scontent.cdninstagram.com/t51.2885-19/s150x150/14128779_278010482584432_2056131760_a.jpg")</f>
        <v>https://scontent.cdninstagram.com/t51.2885-19/s150x150/14128779_278010482584432_2056131760_a.jpg</v>
      </c>
    </row>
    <row r="694" spans="1:31" ht="15" x14ac:dyDescent="0.25">
      <c r="A694" t="s">
        <v>2474</v>
      </c>
      <c r="B694" t="s">
        <v>6582</v>
      </c>
      <c r="C694" s="221">
        <v>42961.677453703705</v>
      </c>
      <c r="D694" t="s">
        <v>6583</v>
      </c>
      <c r="E694" s="249" t="str">
        <f>HYPERLINK("https://www.instagram.com/p/BXyYoF7giM7/")</f>
        <v>https://www.instagram.com/p/BXyYoF7giM7/</v>
      </c>
      <c r="F694" t="s">
        <v>6584</v>
      </c>
      <c r="G694" t="s">
        <v>2478</v>
      </c>
      <c r="H694">
        <v>468</v>
      </c>
      <c r="I694" t="s">
        <v>2479</v>
      </c>
      <c r="J694">
        <v>4</v>
      </c>
      <c r="K694">
        <v>97</v>
      </c>
      <c r="L694">
        <v>101</v>
      </c>
      <c r="Q694">
        <v>0</v>
      </c>
      <c r="R694">
        <v>0</v>
      </c>
      <c r="S694">
        <v>101</v>
      </c>
      <c r="Y694" t="s">
        <v>2497</v>
      </c>
      <c r="Z694" t="s">
        <v>6585</v>
      </c>
      <c r="AA694" t="s">
        <v>6586</v>
      </c>
      <c r="AD694" s="249" t="str">
        <f>HYPERLINK("https://scontent.cdninstagram.com/t51.2885-15/s320x320/e35/c0.112.900.900/20759919_111088669577063_6792506837506719744_n.jpg")</f>
        <v>https://scontent.cdninstagram.com/t51.2885-15/s320x320/e35/c0.112.900.900/20759919_111088669577063_6792506837506719744_n.jpg</v>
      </c>
      <c r="AE694" s="249" t="str">
        <f>HYPERLINK("https://scontent.cdninstagram.com/t51.2885-19/s150x150/13398610_154919898255454_2052239078_a.jpg")</f>
        <v>https://scontent.cdninstagram.com/t51.2885-19/s150x150/13398610_154919898255454_2052239078_a.jpg</v>
      </c>
    </row>
    <row r="695" spans="1:31" ht="15" x14ac:dyDescent="0.25">
      <c r="A695" t="s">
        <v>2474</v>
      </c>
      <c r="B695" t="s">
        <v>6587</v>
      </c>
      <c r="C695" s="221">
        <v>42961.681759259256</v>
      </c>
      <c r="D695" t="s">
        <v>6588</v>
      </c>
      <c r="E695" s="249" t="str">
        <f>HYPERLINK("https://www.instagram.com/p/BXyZVjcBOHZ/")</f>
        <v>https://www.instagram.com/p/BXyZVjcBOHZ/</v>
      </c>
      <c r="F695" t="s">
        <v>6589</v>
      </c>
      <c r="G695" t="s">
        <v>2631</v>
      </c>
      <c r="H695">
        <v>48325</v>
      </c>
      <c r="I695" t="s">
        <v>2479</v>
      </c>
      <c r="J695">
        <v>1</v>
      </c>
      <c r="K695">
        <v>50</v>
      </c>
      <c r="L695">
        <v>51</v>
      </c>
      <c r="Q695">
        <v>0</v>
      </c>
      <c r="R695">
        <v>0</v>
      </c>
      <c r="S695">
        <v>51</v>
      </c>
      <c r="Y695" t="s">
        <v>6590</v>
      </c>
      <c r="Z695" t="s">
        <v>5220</v>
      </c>
      <c r="AA695" t="s">
        <v>2497</v>
      </c>
      <c r="AB695" t="s">
        <v>5622</v>
      </c>
      <c r="AC695" t="s">
        <v>5221</v>
      </c>
      <c r="AD695" s="249" t="str">
        <f>HYPERLINK("https://scontent.cdninstagram.com/t51.2885-15/s320x320/e15/c134.0.344.344/20766341_1116720171763167_4641482250964172800_n.jpg")</f>
        <v>https://scontent.cdninstagram.com/t51.2885-15/s320x320/e15/c134.0.344.344/20766341_1116720171763167_4641482250964172800_n.jpg</v>
      </c>
      <c r="AE695" s="249" t="str">
        <f>HYPERLINK("https://scontent.cdninstagram.com/t51.2885-19/s150x150/20398873_158748474699728_8402456022534324224_a.jpg")</f>
        <v>https://scontent.cdninstagram.com/t51.2885-19/s150x150/20398873_158748474699728_8402456022534324224_a.jpg</v>
      </c>
    </row>
    <row r="696" spans="1:31" ht="15" x14ac:dyDescent="0.25">
      <c r="A696" t="s">
        <v>2474</v>
      </c>
      <c r="B696" t="s">
        <v>6591</v>
      </c>
      <c r="C696" s="221">
        <v>42961.685300925928</v>
      </c>
      <c r="D696" t="s">
        <v>6592</v>
      </c>
      <c r="E696" s="249" t="str">
        <f>HYPERLINK("https://www.instagram.com/p/BXyZ68flteF/")</f>
        <v>https://www.instagram.com/p/BXyZ68flteF/</v>
      </c>
      <c r="F696" t="s">
        <v>6593</v>
      </c>
      <c r="G696" t="s">
        <v>2478</v>
      </c>
      <c r="H696">
        <v>664</v>
      </c>
      <c r="I696" t="s">
        <v>2542</v>
      </c>
      <c r="J696">
        <v>2</v>
      </c>
      <c r="K696">
        <v>77</v>
      </c>
      <c r="L696">
        <v>79</v>
      </c>
      <c r="Q696">
        <v>0</v>
      </c>
      <c r="R696">
        <v>0</v>
      </c>
      <c r="S696">
        <v>79</v>
      </c>
      <c r="Y696" t="s">
        <v>6594</v>
      </c>
      <c r="Z696" t="s">
        <v>2497</v>
      </c>
      <c r="AA696" t="s">
        <v>6595</v>
      </c>
      <c r="AB696" t="s">
        <v>6596</v>
      </c>
      <c r="AC696" t="s">
        <v>6597</v>
      </c>
      <c r="AD696" s="249" t="str">
        <f>HYPERLINK("https://scontent.cdninstagram.com/t51.2885-15/s320x320/e35/c155.0.770.770/20766466_167222477172354_5100085561612304384_n.jpg")</f>
        <v>https://scontent.cdninstagram.com/t51.2885-15/s320x320/e35/c155.0.770.770/20766466_167222477172354_5100085561612304384_n.jpg</v>
      </c>
      <c r="AE696" s="249" t="str">
        <f>HYPERLINK("https://scontent.cdninstagram.com/t51.2885-19/s150x150/15259130_818411351632140_4756890508993757184_a.jpg")</f>
        <v>https://scontent.cdninstagram.com/t51.2885-19/s150x150/15259130_818411351632140_4756890508993757184_a.jpg</v>
      </c>
    </row>
    <row r="697" spans="1:31" ht="15" x14ac:dyDescent="0.25">
      <c r="A697" t="s">
        <v>2474</v>
      </c>
      <c r="B697" t="s">
        <v>6591</v>
      </c>
      <c r="C697" s="221">
        <v>42961.685833333337</v>
      </c>
      <c r="D697" t="s">
        <v>6598</v>
      </c>
      <c r="E697" s="249" t="str">
        <f>HYPERLINK("https://www.instagram.com/p/BXyaAjql-kw/")</f>
        <v>https://www.instagram.com/p/BXyaAjql-kw/</v>
      </c>
      <c r="F697" t="s">
        <v>6593</v>
      </c>
      <c r="G697" t="s">
        <v>2478</v>
      </c>
      <c r="H697">
        <v>664</v>
      </c>
      <c r="I697" t="s">
        <v>2542</v>
      </c>
      <c r="J697">
        <v>4</v>
      </c>
      <c r="K697">
        <v>109</v>
      </c>
      <c r="L697">
        <v>113</v>
      </c>
      <c r="Q697">
        <v>0</v>
      </c>
      <c r="R697">
        <v>0</v>
      </c>
      <c r="S697">
        <v>113</v>
      </c>
      <c r="Y697" t="s">
        <v>6594</v>
      </c>
      <c r="Z697" t="s">
        <v>2497</v>
      </c>
      <c r="AA697" t="s">
        <v>6595</v>
      </c>
      <c r="AB697" t="s">
        <v>6596</v>
      </c>
      <c r="AC697" t="s">
        <v>6597</v>
      </c>
      <c r="AD697" s="249" t="str">
        <f>HYPERLINK("https://scontent.cdninstagram.com/t51.2885-15/s320x320/e35/c236.0.608.608/20902119_160810561139011_552265041156505600_n.jpg")</f>
        <v>https://scontent.cdninstagram.com/t51.2885-15/s320x320/e35/c236.0.608.608/20902119_160810561139011_552265041156505600_n.jpg</v>
      </c>
      <c r="AE697" s="249" t="str">
        <f>HYPERLINK("https://scontent.cdninstagram.com/t51.2885-19/s150x150/15259130_818411351632140_4756890508993757184_a.jpg")</f>
        <v>https://scontent.cdninstagram.com/t51.2885-19/s150x150/15259130_818411351632140_4756890508993757184_a.jpg</v>
      </c>
    </row>
    <row r="698" spans="1:31" ht="15" x14ac:dyDescent="0.25">
      <c r="A698" t="s">
        <v>2474</v>
      </c>
      <c r="B698" t="s">
        <v>6599</v>
      </c>
      <c r="C698" s="221">
        <v>42961.686273148145</v>
      </c>
      <c r="D698" t="s">
        <v>6600</v>
      </c>
      <c r="E698" s="249" t="str">
        <f>HYPERLINK("https://www.instagram.com/p/BXyaFK6A7pf/")</f>
        <v>https://www.instagram.com/p/BXyaFK6A7pf/</v>
      </c>
      <c r="F698" t="s">
        <v>6601</v>
      </c>
      <c r="G698" t="s">
        <v>2478</v>
      </c>
      <c r="H698">
        <v>228</v>
      </c>
      <c r="I698" t="s">
        <v>2479</v>
      </c>
      <c r="J698">
        <v>0</v>
      </c>
      <c r="K698">
        <v>19</v>
      </c>
      <c r="L698">
        <v>19</v>
      </c>
      <c r="Q698">
        <v>0</v>
      </c>
      <c r="R698">
        <v>0</v>
      </c>
      <c r="S698">
        <v>19</v>
      </c>
      <c r="Y698" t="s">
        <v>6602</v>
      </c>
      <c r="Z698" t="s">
        <v>6603</v>
      </c>
      <c r="AA698" t="s">
        <v>4271</v>
      </c>
      <c r="AB698" t="s">
        <v>2497</v>
      </c>
      <c r="AC698" t="s">
        <v>6604</v>
      </c>
      <c r="AD698" s="249" t="str">
        <f>HYPERLINK("https://scontent.cdninstagram.com/t51.2885-15/s320x320/e35/c0.135.1080.1080/20838238_133250253951274_2223043319716380672_n.jpg")</f>
        <v>https://scontent.cdninstagram.com/t51.2885-15/s320x320/e35/c0.135.1080.1080/20838238_133250253951274_2223043319716380672_n.jpg</v>
      </c>
      <c r="AE698" s="249" t="str">
        <f>HYPERLINK("https://scontent.cdninstagram.com/t51.2885-19/s150x150/15802095_1177238152344511_4395203629301104640_a.jpg")</f>
        <v>https://scontent.cdninstagram.com/t51.2885-19/s150x150/15802095_1177238152344511_4395203629301104640_a.jpg</v>
      </c>
    </row>
    <row r="699" spans="1:31" ht="15" x14ac:dyDescent="0.25">
      <c r="A699" t="s">
        <v>2474</v>
      </c>
      <c r="B699" t="s">
        <v>5766</v>
      </c>
      <c r="C699" s="221">
        <v>42961.687384259261</v>
      </c>
      <c r="D699" t="s">
        <v>6605</v>
      </c>
      <c r="E699" s="249" t="str">
        <f>HYPERLINK("https://www.instagram.com/p/BXyaQ1TgwXj/")</f>
        <v>https://www.instagram.com/p/BXyaQ1TgwXj/</v>
      </c>
      <c r="F699" t="s">
        <v>6606</v>
      </c>
      <c r="G699" t="s">
        <v>2478</v>
      </c>
      <c r="H699">
        <v>136</v>
      </c>
      <c r="I699" t="s">
        <v>2748</v>
      </c>
      <c r="J699">
        <v>3</v>
      </c>
      <c r="K699">
        <v>36</v>
      </c>
      <c r="L699">
        <v>39</v>
      </c>
      <c r="Q699">
        <v>0</v>
      </c>
      <c r="R699">
        <v>0</v>
      </c>
      <c r="S699">
        <v>39</v>
      </c>
      <c r="Y699" t="s">
        <v>6607</v>
      </c>
      <c r="Z699" t="s">
        <v>5770</v>
      </c>
      <c r="AA699" t="s">
        <v>2492</v>
      </c>
      <c r="AB699" t="s">
        <v>5769</v>
      </c>
      <c r="AC699" t="s">
        <v>2497</v>
      </c>
      <c r="AD699" s="249" t="str">
        <f>HYPERLINK("https://scontent.cdninstagram.com/t51.2885-15/s320x320/e35/c0.135.1080.1080/20838980_836287573188936_2780224397619757056_n.jpg")</f>
        <v>https://scontent.cdninstagram.com/t51.2885-15/s320x320/e35/c0.135.1080.1080/20838980_836287573188936_2780224397619757056_n.jpg</v>
      </c>
      <c r="AE699" s="249" t="str">
        <f>HYPERLINK("https://scontent.cdninstagram.com/t51.2885-19/s150x150/18879663_1692879440726703_2212180471251468288_a.jpg")</f>
        <v>https://scontent.cdninstagram.com/t51.2885-19/s150x150/18879663_1692879440726703_2212180471251468288_a.jpg</v>
      </c>
    </row>
    <row r="700" spans="1:31" ht="15" x14ac:dyDescent="0.25">
      <c r="A700" t="s">
        <v>2474</v>
      </c>
      <c r="B700" t="s">
        <v>6608</v>
      </c>
      <c r="C700" s="221">
        <v>42961.692407407405</v>
      </c>
      <c r="D700" t="s">
        <v>6609</v>
      </c>
      <c r="E700" s="249" t="str">
        <f>HYPERLINK("https://www.instagram.com/p/BXybF50BI2W/")</f>
        <v>https://www.instagram.com/p/BXybF50BI2W/</v>
      </c>
      <c r="F700" t="s">
        <v>6610</v>
      </c>
      <c r="G700" t="s">
        <v>2478</v>
      </c>
      <c r="H700">
        <v>301</v>
      </c>
      <c r="I700" t="s">
        <v>2479</v>
      </c>
      <c r="J700">
        <v>1</v>
      </c>
      <c r="K700">
        <v>15</v>
      </c>
      <c r="L700">
        <v>16</v>
      </c>
      <c r="Q700">
        <v>0</v>
      </c>
      <c r="R700">
        <v>0</v>
      </c>
      <c r="S700">
        <v>16</v>
      </c>
      <c r="T700" t="s">
        <v>6611</v>
      </c>
      <c r="V700" t="s">
        <v>2288</v>
      </c>
      <c r="W700">
        <v>53.141318537917002</v>
      </c>
      <c r="X700">
        <v>-1.2016803031250001</v>
      </c>
      <c r="Y700" t="s">
        <v>6612</v>
      </c>
      <c r="Z700" t="s">
        <v>2497</v>
      </c>
      <c r="AA700" t="s">
        <v>2513</v>
      </c>
      <c r="AB700" t="s">
        <v>6613</v>
      </c>
      <c r="AC700" t="s">
        <v>2554</v>
      </c>
      <c r="AD700" s="249" t="str">
        <f>HYPERLINK("https://scontent.cdninstagram.com/t51.2885-15/s320x320/e35/c0.131.1080.1080/20766840_100783733976394_8899848681776218112_n.jpg")</f>
        <v>https://scontent.cdninstagram.com/t51.2885-15/s320x320/e35/c0.131.1080.1080/20766840_100783733976394_8899848681776218112_n.jpg</v>
      </c>
      <c r="AE700" s="249" t="str">
        <f>HYPERLINK("https://scontent.cdninstagram.com/t51.2885-19/s150x150/20065416_120216175263926_7614110038004596736_a.jpg")</f>
        <v>https://scontent.cdninstagram.com/t51.2885-19/s150x150/20065416_120216175263926_7614110038004596736_a.jpg</v>
      </c>
    </row>
    <row r="701" spans="1:31" ht="15" x14ac:dyDescent="0.25">
      <c r="A701" t="s">
        <v>2474</v>
      </c>
      <c r="B701" t="s">
        <v>6614</v>
      </c>
      <c r="C701" s="221">
        <v>42961.694027777776</v>
      </c>
      <c r="D701" t="s">
        <v>6615</v>
      </c>
      <c r="E701" s="249" t="str">
        <f>HYPERLINK("https://www.instagram.com/p/BXybW6Rlyss/")</f>
        <v>https://www.instagram.com/p/BXybW6Rlyss/</v>
      </c>
      <c r="F701" t="s">
        <v>6616</v>
      </c>
      <c r="G701" t="s">
        <v>2478</v>
      </c>
      <c r="H701">
        <v>116</v>
      </c>
      <c r="I701" t="s">
        <v>2748</v>
      </c>
      <c r="J701">
        <v>0</v>
      </c>
      <c r="K701">
        <v>11</v>
      </c>
      <c r="L701">
        <v>11</v>
      </c>
      <c r="Q701">
        <v>0</v>
      </c>
      <c r="R701">
        <v>0</v>
      </c>
      <c r="S701">
        <v>11</v>
      </c>
      <c r="Y701" t="s">
        <v>6617</v>
      </c>
      <c r="Z701" t="s">
        <v>6618</v>
      </c>
      <c r="AA701" t="s">
        <v>2497</v>
      </c>
      <c r="AB701" t="s">
        <v>6619</v>
      </c>
      <c r="AC701" t="s">
        <v>6620</v>
      </c>
      <c r="AD701" s="249" t="str">
        <f>HYPERLINK("https://scontent.cdninstagram.com/t51.2885-15/s320x320/e35/20838583_662720137271538_1841523182993932288_n.jpg")</f>
        <v>https://scontent.cdninstagram.com/t51.2885-15/s320x320/e35/20838583_662720137271538_1841523182993932288_n.jpg</v>
      </c>
      <c r="AE701" s="249" t="str">
        <f>HYPERLINK("https://scontent.cdninstagram.com/t51.2885-19/s150x150/18879469_296517357459488_6969219903941246976_a.jpg")</f>
        <v>https://scontent.cdninstagram.com/t51.2885-19/s150x150/18879469_296517357459488_6969219903941246976_a.jpg</v>
      </c>
    </row>
    <row r="702" spans="1:31" ht="15" x14ac:dyDescent="0.25">
      <c r="A702" t="s">
        <v>2474</v>
      </c>
      <c r="B702" t="s">
        <v>6621</v>
      </c>
      <c r="C702" s="221">
        <v>42961.699328703704</v>
      </c>
      <c r="D702" t="s">
        <v>6622</v>
      </c>
      <c r="E702" s="249" t="str">
        <f>HYPERLINK("https://www.instagram.com/p/BXycO5lFZgH/")</f>
        <v>https://www.instagram.com/p/BXycO5lFZgH/</v>
      </c>
      <c r="F702" t="s">
        <v>6623</v>
      </c>
      <c r="G702" t="s">
        <v>2478</v>
      </c>
      <c r="H702">
        <v>20</v>
      </c>
      <c r="I702" t="s">
        <v>2639</v>
      </c>
      <c r="J702">
        <v>2</v>
      </c>
      <c r="K702">
        <v>14</v>
      </c>
      <c r="L702">
        <v>16</v>
      </c>
      <c r="Q702">
        <v>0</v>
      </c>
      <c r="R702">
        <v>0</v>
      </c>
      <c r="S702">
        <v>16</v>
      </c>
      <c r="Y702" t="s">
        <v>5924</v>
      </c>
      <c r="Z702" t="s">
        <v>6624</v>
      </c>
      <c r="AA702" t="s">
        <v>6621</v>
      </c>
      <c r="AB702" t="s">
        <v>2497</v>
      </c>
      <c r="AC702" t="s">
        <v>6625</v>
      </c>
      <c r="AD702" s="249" t="str">
        <f>HYPERLINK("https://scontent.cdninstagram.com/t51.2885-15/s320x320/e35/20766600_252717921902086_990222538502045696_n.jpg")</f>
        <v>https://scontent.cdninstagram.com/t51.2885-15/s320x320/e35/20766600_252717921902086_990222538502045696_n.jpg</v>
      </c>
      <c r="AE702" s="249" t="str">
        <f>HYPERLINK("https://scontent.cdninstagram.com/t51.2885-19/s150x150/20837054_1986062464984836_4847200923765702656_a.jpg")</f>
        <v>https://scontent.cdninstagram.com/t51.2885-19/s150x150/20837054_1986062464984836_4847200923765702656_a.jpg</v>
      </c>
    </row>
    <row r="703" spans="1:31" ht="15" x14ac:dyDescent="0.25">
      <c r="A703" t="s">
        <v>2474</v>
      </c>
      <c r="B703" t="s">
        <v>2507</v>
      </c>
      <c r="C703" s="221">
        <v>42961.703796296293</v>
      </c>
      <c r="D703" t="s">
        <v>6626</v>
      </c>
      <c r="E703" s="249" t="str">
        <f>HYPERLINK("https://www.instagram.com/p/BXyc9_mhRyX/")</f>
        <v>https://www.instagram.com/p/BXyc9_mhRyX/</v>
      </c>
      <c r="F703" t="s">
        <v>6627</v>
      </c>
      <c r="G703" t="s">
        <v>2478</v>
      </c>
      <c r="H703">
        <v>252</v>
      </c>
      <c r="I703" t="s">
        <v>2910</v>
      </c>
      <c r="J703">
        <v>1</v>
      </c>
      <c r="K703">
        <v>12</v>
      </c>
      <c r="L703">
        <v>13</v>
      </c>
      <c r="Q703">
        <v>0</v>
      </c>
      <c r="R703">
        <v>0</v>
      </c>
      <c r="S703">
        <v>13</v>
      </c>
      <c r="Y703" t="s">
        <v>4761</v>
      </c>
      <c r="Z703" t="s">
        <v>2511</v>
      </c>
      <c r="AA703" t="s">
        <v>2515</v>
      </c>
      <c r="AB703" t="s">
        <v>5822</v>
      </c>
      <c r="AC703" t="s">
        <v>6628</v>
      </c>
      <c r="AD703" s="249" t="str">
        <f>HYPERLINK("https://scontent.cdninstagram.com/t51.2885-15/s320x320/e35/20766884_124374438192343_4188934573620461568_n.jpg")</f>
        <v>https://scontent.cdninstagram.com/t51.2885-15/s320x320/e35/20766884_124374438192343_4188934573620461568_n.jpg</v>
      </c>
      <c r="AE703" s="249" t="str">
        <f>HYPERLINK("https://scontent.cdninstagram.com/t51.2885-19/s150x150/20688656_891409331008012_775389051745206272_a.jpg")</f>
        <v>https://scontent.cdninstagram.com/t51.2885-19/s150x150/20688656_891409331008012_775389051745206272_a.jpg</v>
      </c>
    </row>
    <row r="704" spans="1:31" ht="15" x14ac:dyDescent="0.25">
      <c r="A704" t="s">
        <v>2474</v>
      </c>
      <c r="B704" t="s">
        <v>6629</v>
      </c>
      <c r="C704" s="221">
        <v>42961.705289351848</v>
      </c>
      <c r="D704" t="s">
        <v>6630</v>
      </c>
      <c r="E704" s="249" t="str">
        <f>HYPERLINK("https://www.instagram.com/p/BXydNsWHNdv/")</f>
        <v>https://www.instagram.com/p/BXydNsWHNdv/</v>
      </c>
      <c r="F704" t="s">
        <v>6631</v>
      </c>
      <c r="G704" t="s">
        <v>2478</v>
      </c>
      <c r="H704">
        <v>195</v>
      </c>
      <c r="I704" t="s">
        <v>2599</v>
      </c>
      <c r="J704">
        <v>3</v>
      </c>
      <c r="K704">
        <v>20</v>
      </c>
      <c r="L704">
        <v>23</v>
      </c>
      <c r="Q704">
        <v>0</v>
      </c>
      <c r="R704">
        <v>0</v>
      </c>
      <c r="S704">
        <v>23</v>
      </c>
      <c r="Y704" t="s">
        <v>6632</v>
      </c>
      <c r="Z704" t="s">
        <v>6633</v>
      </c>
      <c r="AA704" t="s">
        <v>2497</v>
      </c>
      <c r="AB704" t="s">
        <v>5533</v>
      </c>
      <c r="AC704" t="s">
        <v>6634</v>
      </c>
      <c r="AD704" s="249" t="str">
        <f>HYPERLINK("https://scontent.cdninstagram.com/t51.2885-15/s320x320/e35/c4.0.638.638/20837752_109324809778868_8384049948777250816_n.jpg")</f>
        <v>https://scontent.cdninstagram.com/t51.2885-15/s320x320/e35/c4.0.638.638/20837752_109324809778868_8384049948777250816_n.jpg</v>
      </c>
      <c r="AE704" s="249" t="str">
        <f>HYPERLINK("https://scontent.cdninstagram.com/t51.2885-19/s150x150/16230242_1933896876838261_5365126537454551040_a.jpg")</f>
        <v>https://scontent.cdninstagram.com/t51.2885-19/s150x150/16230242_1933896876838261_5365126537454551040_a.jpg</v>
      </c>
    </row>
    <row r="705" spans="1:31" ht="15" x14ac:dyDescent="0.25">
      <c r="A705" t="s">
        <v>2474</v>
      </c>
      <c r="B705" t="s">
        <v>6635</v>
      </c>
      <c r="C705" s="221">
        <v>42961.71297453704</v>
      </c>
      <c r="D705" t="s">
        <v>6636</v>
      </c>
      <c r="E705" s="249" t="str">
        <f>HYPERLINK("https://www.instagram.com/p/BXyee0MAmzV/")</f>
        <v>https://www.instagram.com/p/BXyee0MAmzV/</v>
      </c>
      <c r="F705" t="s">
        <v>6637</v>
      </c>
      <c r="G705" t="s">
        <v>2478</v>
      </c>
      <c r="H705">
        <v>14</v>
      </c>
      <c r="I705" t="s">
        <v>2479</v>
      </c>
      <c r="J705">
        <v>0</v>
      </c>
      <c r="K705">
        <v>0</v>
      </c>
      <c r="L705">
        <v>0</v>
      </c>
      <c r="Q705">
        <v>0</v>
      </c>
      <c r="R705">
        <v>0</v>
      </c>
      <c r="S705">
        <v>0</v>
      </c>
      <c r="Y705" t="s">
        <v>6638</v>
      </c>
      <c r="Z705" t="s">
        <v>2497</v>
      </c>
      <c r="AA705" t="s">
        <v>5932</v>
      </c>
      <c r="AB705" t="s">
        <v>6639</v>
      </c>
      <c r="AC705" t="s">
        <v>6640</v>
      </c>
      <c r="AD705" s="249" t="str">
        <f>HYPERLINK("https://scontent.cdninstagram.com/t51.2885-15/s320x320/e35/20838878_1704943952851776_8532467654701613056_n.jpg")</f>
        <v>https://scontent.cdninstagram.com/t51.2885-15/s320x320/e35/20838878_1704943952851776_8532467654701613056_n.jpg</v>
      </c>
      <c r="AE705" s="249" t="str">
        <f>HYPERLINK("https://scontent.cdninstagram.com/t51.2885-19/s150x150/20688182_141962326398367_1511705106666487808_a.jpg")</f>
        <v>https://scontent.cdninstagram.com/t51.2885-19/s150x150/20688182_141962326398367_1511705106666487808_a.jpg</v>
      </c>
    </row>
    <row r="706" spans="1:31" ht="15" x14ac:dyDescent="0.25">
      <c r="A706" t="s">
        <v>2474</v>
      </c>
      <c r="B706" t="s">
        <v>6641</v>
      </c>
      <c r="C706" s="221">
        <v>42961.713125000002</v>
      </c>
      <c r="D706" t="s">
        <v>6642</v>
      </c>
      <c r="E706" s="249" t="str">
        <f>HYPERLINK("https://www.instagram.com/p/BXyegVblH1e/")</f>
        <v>https://www.instagram.com/p/BXyegVblH1e/</v>
      </c>
      <c r="F706" t="s">
        <v>6643</v>
      </c>
      <c r="G706" t="s">
        <v>2478</v>
      </c>
      <c r="H706">
        <v>5041</v>
      </c>
      <c r="I706" t="s">
        <v>2479</v>
      </c>
      <c r="J706">
        <v>1</v>
      </c>
      <c r="K706">
        <v>27</v>
      </c>
      <c r="L706">
        <v>28</v>
      </c>
      <c r="Q706">
        <v>0</v>
      </c>
      <c r="R706">
        <v>0</v>
      </c>
      <c r="S706">
        <v>28</v>
      </c>
      <c r="T706" t="s">
        <v>6644</v>
      </c>
      <c r="U706" t="s">
        <v>99</v>
      </c>
      <c r="V706" t="s">
        <v>2299</v>
      </c>
      <c r="W706">
        <v>40.714199999999998</v>
      </c>
      <c r="X706">
        <v>-74.006399999999999</v>
      </c>
      <c r="Y706" t="s">
        <v>6645</v>
      </c>
      <c r="Z706" t="s">
        <v>6577</v>
      </c>
      <c r="AA706" t="s">
        <v>2497</v>
      </c>
      <c r="AB706" t="s">
        <v>2734</v>
      </c>
      <c r="AC706" t="s">
        <v>6646</v>
      </c>
      <c r="AD706" s="249" t="str">
        <f>HYPERLINK("https://scontent.cdninstagram.com/t51.2885-15/s320x320/e35/c0.25.1080.1080/20838334_407381046330811_739464502172450816_n.jpg")</f>
        <v>https://scontent.cdninstagram.com/t51.2885-15/s320x320/e35/c0.25.1080.1080/20838334_407381046330811_739464502172450816_n.jpg</v>
      </c>
      <c r="AE706" s="249" t="str">
        <f>HYPERLINK("https://scontent.cdninstagram.com/t51.2885-19/s150x150/20837770_296006087534318_4655986557386227712_a.jpg")</f>
        <v>https://scontent.cdninstagram.com/t51.2885-19/s150x150/20837770_296006087534318_4655986557386227712_a.jpg</v>
      </c>
    </row>
    <row r="707" spans="1:31" ht="15" x14ac:dyDescent="0.25">
      <c r="A707" t="s">
        <v>2474</v>
      </c>
      <c r="B707" t="s">
        <v>6647</v>
      </c>
      <c r="C707" s="221">
        <v>42961.714490740742</v>
      </c>
      <c r="D707" t="s">
        <v>6648</v>
      </c>
      <c r="E707" s="249" t="str">
        <f>HYPERLINK("https://www.instagram.com/p/BXyeux0l-Tc/")</f>
        <v>https://www.instagram.com/p/BXyeux0l-Tc/</v>
      </c>
      <c r="F707" t="s">
        <v>6649</v>
      </c>
      <c r="G707" t="s">
        <v>2478</v>
      </c>
      <c r="H707">
        <v>66</v>
      </c>
      <c r="I707" t="s">
        <v>2479</v>
      </c>
      <c r="J707">
        <v>4</v>
      </c>
      <c r="K707">
        <v>42</v>
      </c>
      <c r="L707">
        <v>46</v>
      </c>
      <c r="Q707">
        <v>0</v>
      </c>
      <c r="R707">
        <v>0</v>
      </c>
      <c r="S707">
        <v>46</v>
      </c>
      <c r="Y707" t="s">
        <v>2497</v>
      </c>
      <c r="Z707" t="s">
        <v>2734</v>
      </c>
      <c r="AA707" t="s">
        <v>6650</v>
      </c>
      <c r="AB707" t="s">
        <v>6651</v>
      </c>
      <c r="AC707" t="s">
        <v>4240</v>
      </c>
      <c r="AD707" s="249" t="str">
        <f>HYPERLINK("https://scontent.cdninstagram.com/t51.2885-15/s320x320/e35/20837170_340261646416567_6891368953071796224_n.jpg")</f>
        <v>https://scontent.cdninstagram.com/t51.2885-15/s320x320/e35/20837170_340261646416567_6891368953071796224_n.jpg</v>
      </c>
      <c r="AE707" s="249" t="str">
        <f>HYPERLINK("https://scontent.cdninstagram.com/t51.2885-19/s150x150/20590045_1913626662293622_4936733245082435584_a.jpg")</f>
        <v>https://scontent.cdninstagram.com/t51.2885-19/s150x150/20590045_1913626662293622_4936733245082435584_a.jpg</v>
      </c>
    </row>
    <row r="708" spans="1:31" ht="15" x14ac:dyDescent="0.25">
      <c r="A708" t="s">
        <v>2474</v>
      </c>
      <c r="B708" t="s">
        <v>6652</v>
      </c>
      <c r="C708" s="221">
        <v>42961.719189814816</v>
      </c>
      <c r="D708" t="s">
        <v>6653</v>
      </c>
      <c r="E708" s="249" t="str">
        <f>HYPERLINK("https://www.instagram.com/p/BXyfgWAFIbo/")</f>
        <v>https://www.instagram.com/p/BXyfgWAFIbo/</v>
      </c>
      <c r="F708" t="s">
        <v>6654</v>
      </c>
      <c r="G708" t="s">
        <v>2478</v>
      </c>
      <c r="H708">
        <v>2817</v>
      </c>
      <c r="I708" t="s">
        <v>2479</v>
      </c>
      <c r="J708">
        <v>0</v>
      </c>
      <c r="K708">
        <v>22</v>
      </c>
      <c r="L708">
        <v>22</v>
      </c>
      <c r="Q708">
        <v>0</v>
      </c>
      <c r="R708">
        <v>0</v>
      </c>
      <c r="S708">
        <v>22</v>
      </c>
      <c r="Y708" t="s">
        <v>6655</v>
      </c>
      <c r="Z708" t="s">
        <v>2497</v>
      </c>
      <c r="AA708" t="s">
        <v>6656</v>
      </c>
      <c r="AB708" t="s">
        <v>2844</v>
      </c>
      <c r="AC708" t="s">
        <v>6657</v>
      </c>
      <c r="AD708" s="249" t="str">
        <f>HYPERLINK("https://scontent.cdninstagram.com/t51.2885-15/s320x320/e35/20838792_857029321119061_8542691081320398848_n.jpg")</f>
        <v>https://scontent.cdninstagram.com/t51.2885-15/s320x320/e35/20838792_857029321119061_8542691081320398848_n.jpg</v>
      </c>
      <c r="AE708" s="249" t="str">
        <f>HYPERLINK("https://scontent.cdninstagram.com/t51.2885-19/s150x150/18382683_441328322903276_3038190497173602304_a.jpg")</f>
        <v>https://scontent.cdninstagram.com/t51.2885-19/s150x150/18382683_441328322903276_3038190497173602304_a.jpg</v>
      </c>
    </row>
    <row r="709" spans="1:31" ht="15" x14ac:dyDescent="0.25">
      <c r="A709" t="s">
        <v>2474</v>
      </c>
      <c r="B709" t="s">
        <v>6658</v>
      </c>
      <c r="C709" s="221">
        <v>42961.724212962959</v>
      </c>
      <c r="D709" t="s">
        <v>6659</v>
      </c>
      <c r="E709" s="249" t="str">
        <f>HYPERLINK("https://www.instagram.com/p/BXygVWgFxq7/")</f>
        <v>https://www.instagram.com/p/BXygVWgFxq7/</v>
      </c>
      <c r="F709" t="s">
        <v>6660</v>
      </c>
      <c r="G709" t="s">
        <v>2478</v>
      </c>
      <c r="H709">
        <v>236</v>
      </c>
      <c r="I709" t="s">
        <v>3575</v>
      </c>
      <c r="J709">
        <v>2</v>
      </c>
      <c r="K709">
        <v>40</v>
      </c>
      <c r="L709">
        <v>42</v>
      </c>
      <c r="Q709">
        <v>0</v>
      </c>
      <c r="R709">
        <v>0</v>
      </c>
      <c r="S709">
        <v>42</v>
      </c>
      <c r="Y709" t="s">
        <v>6661</v>
      </c>
      <c r="Z709" t="s">
        <v>5307</v>
      </c>
      <c r="AA709" t="s">
        <v>6662</v>
      </c>
      <c r="AB709" t="s">
        <v>2497</v>
      </c>
      <c r="AC709" t="s">
        <v>6663</v>
      </c>
      <c r="AD709" s="249" t="str">
        <f>HYPERLINK("https://scontent.cdninstagram.com/t51.2885-15/s320x320/e35/20759954_1866116283638711_2190068665351667712_n.jpg")</f>
        <v>https://scontent.cdninstagram.com/t51.2885-15/s320x320/e35/20759954_1866116283638711_2190068665351667712_n.jpg</v>
      </c>
      <c r="AE709" s="249" t="str">
        <f>HYPERLINK("https://scontent.cdninstagram.com/t51.2885-19/14360011_1795465140677405_4376599630566129664_a.jpg")</f>
        <v>https://scontent.cdninstagram.com/t51.2885-19/14360011_1795465140677405_4376599630566129664_a.jpg</v>
      </c>
    </row>
    <row r="710" spans="1:31" ht="15" x14ac:dyDescent="0.25">
      <c r="A710" t="s">
        <v>2474</v>
      </c>
      <c r="B710" t="s">
        <v>3248</v>
      </c>
      <c r="C710" s="221">
        <v>42961.727696759262</v>
      </c>
      <c r="D710" t="s">
        <v>6664</v>
      </c>
      <c r="E710" s="249" t="str">
        <f>HYPERLINK("https://www.instagram.com/p/BXyg5_zHZ7y/")</f>
        <v>https://www.instagram.com/p/BXyg5_zHZ7y/</v>
      </c>
      <c r="F710" t="s">
        <v>6665</v>
      </c>
      <c r="G710" t="s">
        <v>2478</v>
      </c>
      <c r="H710">
        <v>31005</v>
      </c>
      <c r="I710" t="s">
        <v>2479</v>
      </c>
      <c r="J710">
        <v>6</v>
      </c>
      <c r="K710">
        <v>372</v>
      </c>
      <c r="L710">
        <v>378</v>
      </c>
      <c r="Q710">
        <v>0</v>
      </c>
      <c r="R710">
        <v>0</v>
      </c>
      <c r="S710">
        <v>378</v>
      </c>
      <c r="AD710" s="249" t="str">
        <f>HYPERLINK("https://scontent.cdninstagram.com/t51.2885-15/s320x320/e35/20766100_269439643571496_9033563808408272896_n.jpg")</f>
        <v>https://scontent.cdninstagram.com/t51.2885-15/s320x320/e35/20766100_269439643571496_9033563808408272896_n.jpg</v>
      </c>
      <c r="AE710" s="249" t="str">
        <f>HYPERLINK("https://scontent.cdninstagram.com/t51.2885-19/s150x150/16229301_1876915245885793_5124596849776263168_n.jpg")</f>
        <v>https://scontent.cdninstagram.com/t51.2885-19/s150x150/16229301_1876915245885793_5124596849776263168_n.jpg</v>
      </c>
    </row>
    <row r="711" spans="1:31" ht="15" x14ac:dyDescent="0.25">
      <c r="A711" t="s">
        <v>2474</v>
      </c>
      <c r="B711" t="s">
        <v>6666</v>
      </c>
      <c r="C711" s="221">
        <v>42961.72960648148</v>
      </c>
      <c r="D711" t="s">
        <v>6667</v>
      </c>
      <c r="E711" s="249" t="str">
        <f>HYPERLINK("https://www.instagram.com/p/BXyhOO6Brir/")</f>
        <v>https://www.instagram.com/p/BXyhOO6Brir/</v>
      </c>
      <c r="F711" t="s">
        <v>6668</v>
      </c>
      <c r="G711" t="s">
        <v>2478</v>
      </c>
      <c r="H711">
        <v>888</v>
      </c>
      <c r="I711" t="s">
        <v>2479</v>
      </c>
      <c r="J711">
        <v>1</v>
      </c>
      <c r="K711">
        <v>30</v>
      </c>
      <c r="L711">
        <v>31</v>
      </c>
      <c r="Q711">
        <v>0</v>
      </c>
      <c r="R711">
        <v>0</v>
      </c>
      <c r="S711">
        <v>31</v>
      </c>
      <c r="Y711" t="s">
        <v>6669</v>
      </c>
      <c r="Z711" t="s">
        <v>6670</v>
      </c>
      <c r="AA711" t="s">
        <v>6671</v>
      </c>
      <c r="AB711" t="s">
        <v>2497</v>
      </c>
      <c r="AC711" t="s">
        <v>6672</v>
      </c>
      <c r="AD711" s="249" t="str">
        <f>HYPERLINK("https://scontent.cdninstagram.com/t51.2885-15/s320x320/e35/c109.0.366.366/20766071_1938239969797231_8132229028300980224_n.jpg")</f>
        <v>https://scontent.cdninstagram.com/t51.2885-15/s320x320/e35/c109.0.366.366/20766071_1938239969797231_8132229028300980224_n.jpg</v>
      </c>
      <c r="AE711" s="249" t="str">
        <f>HYPERLINK("https://scontent.cdninstagram.com/t51.2885-19/s150x150/20065571_154078075165466_4534325260765364224_a.jpg")</f>
        <v>https://scontent.cdninstagram.com/t51.2885-19/s150x150/20065571_154078075165466_4534325260765364224_a.jpg</v>
      </c>
    </row>
    <row r="712" spans="1:31" ht="15" x14ac:dyDescent="0.25">
      <c r="A712" t="s">
        <v>2474</v>
      </c>
      <c r="B712" t="s">
        <v>6673</v>
      </c>
      <c r="C712" s="221">
        <v>42961.729826388888</v>
      </c>
      <c r="D712" t="s">
        <v>6674</v>
      </c>
      <c r="E712" s="249" t="str">
        <f>HYPERLINK("https://www.instagram.com/p/BXyhQesDjG-/")</f>
        <v>https://www.instagram.com/p/BXyhQesDjG-/</v>
      </c>
      <c r="F712" t="s">
        <v>6675</v>
      </c>
      <c r="G712" t="s">
        <v>2478</v>
      </c>
      <c r="H712">
        <v>64</v>
      </c>
      <c r="I712" t="s">
        <v>2479</v>
      </c>
      <c r="J712">
        <v>0</v>
      </c>
      <c r="K712">
        <v>5</v>
      </c>
      <c r="L712">
        <v>5</v>
      </c>
      <c r="Q712">
        <v>0</v>
      </c>
      <c r="R712">
        <v>0</v>
      </c>
      <c r="S712">
        <v>5</v>
      </c>
      <c r="Y712" t="s">
        <v>6676</v>
      </c>
      <c r="Z712" t="s">
        <v>2673</v>
      </c>
      <c r="AA712" t="s">
        <v>2497</v>
      </c>
      <c r="AB712" t="s">
        <v>6677</v>
      </c>
      <c r="AC712" t="s">
        <v>6678</v>
      </c>
      <c r="AD712" s="249" t="str">
        <f>HYPERLINK("https://scontent.cdninstagram.com/t51.2885-15/s320x320/e35/20766231_1385134784939465_1814310910156603392_n.jpg")</f>
        <v>https://scontent.cdninstagram.com/t51.2885-15/s320x320/e35/20766231_1385134784939465_1814310910156603392_n.jpg</v>
      </c>
      <c r="AE712" s="249" t="str">
        <f>HYPERLINK("https://scontent.cdninstagram.com/t51.2885-19/s150x150/17586632_623473587863530_4514418869032452096_a.jpg")</f>
        <v>https://scontent.cdninstagram.com/t51.2885-19/s150x150/17586632_623473587863530_4514418869032452096_a.jpg</v>
      </c>
    </row>
    <row r="713" spans="1:31" ht="15" x14ac:dyDescent="0.25">
      <c r="A713" t="s">
        <v>2474</v>
      </c>
      <c r="B713" t="s">
        <v>3015</v>
      </c>
      <c r="C713" s="221">
        <v>42961.730046296296</v>
      </c>
      <c r="D713" t="s">
        <v>6679</v>
      </c>
      <c r="E713" s="249" t="str">
        <f>HYPERLINK("https://www.instagram.com/p/BXyhS4fgFSn/")</f>
        <v>https://www.instagram.com/p/BXyhS4fgFSn/</v>
      </c>
      <c r="F713" t="s">
        <v>6680</v>
      </c>
      <c r="G713" t="s">
        <v>2478</v>
      </c>
      <c r="H713">
        <v>179</v>
      </c>
      <c r="I713" t="s">
        <v>2479</v>
      </c>
      <c r="J713">
        <v>0</v>
      </c>
      <c r="K713">
        <v>29</v>
      </c>
      <c r="L713">
        <v>29</v>
      </c>
      <c r="Q713">
        <v>0</v>
      </c>
      <c r="R713">
        <v>0</v>
      </c>
      <c r="S713">
        <v>29</v>
      </c>
      <c r="Y713" t="s">
        <v>3021</v>
      </c>
      <c r="Z713" t="s">
        <v>4615</v>
      </c>
      <c r="AA713" t="s">
        <v>3492</v>
      </c>
      <c r="AB713" t="s">
        <v>3728</v>
      </c>
      <c r="AC713" t="s">
        <v>2492</v>
      </c>
      <c r="AD713" s="249" t="str">
        <f>HYPERLINK("https://scontent.cdninstagram.com/t51.2885-15/s320x320/e35/c0.0.506.506/20837542_121278405185816_5149560174658191360_n.jpg")</f>
        <v>https://scontent.cdninstagram.com/t51.2885-15/s320x320/e35/c0.0.506.506/20837542_121278405185816_5149560174658191360_n.jpg</v>
      </c>
      <c r="AE713" s="249" t="str">
        <f>HYPERLINK("https://scontent.cdninstagram.com/t51.2885-19/s150x150/19761452_1876060406050696_4275948751316582400_a.jpg")</f>
        <v>https://scontent.cdninstagram.com/t51.2885-19/s150x150/19761452_1876060406050696_4275948751316582400_a.jpg</v>
      </c>
    </row>
    <row r="714" spans="1:31" ht="15" x14ac:dyDescent="0.25">
      <c r="A714" t="s">
        <v>2474</v>
      </c>
      <c r="B714" t="s">
        <v>6681</v>
      </c>
      <c r="C714" s="221">
        <v>42961.730509259258</v>
      </c>
      <c r="D714" t="s">
        <v>6682</v>
      </c>
      <c r="E714" s="249" t="str">
        <f>HYPERLINK("https://www.instagram.com/p/BXyhXvjhO9u/")</f>
        <v>https://www.instagram.com/p/BXyhXvjhO9u/</v>
      </c>
      <c r="F714" t="s">
        <v>6683</v>
      </c>
      <c r="G714" t="s">
        <v>2478</v>
      </c>
      <c r="H714">
        <v>300</v>
      </c>
      <c r="I714" t="s">
        <v>2903</v>
      </c>
      <c r="J714">
        <v>0</v>
      </c>
      <c r="K714">
        <v>20</v>
      </c>
      <c r="L714">
        <v>20</v>
      </c>
      <c r="Q714">
        <v>0</v>
      </c>
      <c r="R714">
        <v>0</v>
      </c>
      <c r="S714">
        <v>20</v>
      </c>
      <c r="T714" t="s">
        <v>6684</v>
      </c>
      <c r="V714" t="s">
        <v>2288</v>
      </c>
      <c r="W714">
        <v>51.542000000000002</v>
      </c>
      <c r="X714">
        <v>-2.3E-2</v>
      </c>
      <c r="Y714" t="s">
        <v>2497</v>
      </c>
      <c r="AD714" s="249" t="str">
        <f>HYPERLINK("https://scontent.cdninstagram.com/t51.2885-15/s320x320/e35/c20.0.1040.1040/20836961_1652009064811290_3180360739374235648_n.jpg")</f>
        <v>https://scontent.cdninstagram.com/t51.2885-15/s320x320/e35/c20.0.1040.1040/20836961_1652009064811290_3180360739374235648_n.jpg</v>
      </c>
      <c r="AE714" s="249" t="str">
        <f>HYPERLINK("https://scontent.cdninstagram.com/t51.2885-19/s150x150/19228343_452276485133119_8503236017090723840_a.jpg")</f>
        <v>https://scontent.cdninstagram.com/t51.2885-19/s150x150/19228343_452276485133119_8503236017090723840_a.jpg</v>
      </c>
    </row>
    <row r="715" spans="1:31" ht="15" x14ac:dyDescent="0.25">
      <c r="A715" t="s">
        <v>2474</v>
      </c>
      <c r="B715" t="s">
        <v>6685</v>
      </c>
      <c r="C715" s="221">
        <v>42961.736064814817</v>
      </c>
      <c r="D715" t="s">
        <v>6686</v>
      </c>
      <c r="E715" s="249" t="str">
        <f>HYPERLINK("https://www.instagram.com/p/BXyiSUkjLBg/")</f>
        <v>https://www.instagram.com/p/BXyiSUkjLBg/</v>
      </c>
      <c r="F715" t="s">
        <v>6687</v>
      </c>
      <c r="G715" t="s">
        <v>2478</v>
      </c>
      <c r="H715">
        <v>85</v>
      </c>
      <c r="I715" t="s">
        <v>2479</v>
      </c>
      <c r="J715">
        <v>0</v>
      </c>
      <c r="K715">
        <v>4</v>
      </c>
      <c r="L715">
        <v>4</v>
      </c>
      <c r="Q715">
        <v>0</v>
      </c>
      <c r="R715">
        <v>0</v>
      </c>
      <c r="S715">
        <v>4</v>
      </c>
      <c r="Y715" t="s">
        <v>6116</v>
      </c>
      <c r="Z715" t="s">
        <v>5995</v>
      </c>
      <c r="AA715" t="s">
        <v>2497</v>
      </c>
      <c r="AD715" s="249" t="str">
        <f>HYPERLINK("https://scontent.cdninstagram.com/t51.2885-15/s320x320/e35/20766312_1923486851239521_1735260379216347136_n.jpg")</f>
        <v>https://scontent.cdninstagram.com/t51.2885-15/s320x320/e35/20766312_1923486851239521_1735260379216347136_n.jpg</v>
      </c>
      <c r="AE715" s="249" t="str">
        <f>HYPERLINK("https://scontent.cdninstagram.com/t51.2885-19/s150x150/20759175_175559882988136_6789043908455170048_a.jpg")</f>
        <v>https://scontent.cdninstagram.com/t51.2885-19/s150x150/20759175_175559882988136_6789043908455170048_a.jpg</v>
      </c>
    </row>
    <row r="716" spans="1:31" ht="15" x14ac:dyDescent="0.25">
      <c r="A716" t="s">
        <v>2474</v>
      </c>
      <c r="B716" t="s">
        <v>6688</v>
      </c>
      <c r="C716" s="221">
        <v>42961.742650462962</v>
      </c>
      <c r="D716" t="s">
        <v>6689</v>
      </c>
      <c r="E716" s="249" t="str">
        <f>HYPERLINK("https://www.instagram.com/p/BXyjXyKD1M3/")</f>
        <v>https://www.instagram.com/p/BXyjXyKD1M3/</v>
      </c>
      <c r="F716" t="s">
        <v>6690</v>
      </c>
      <c r="G716" t="s">
        <v>2478</v>
      </c>
      <c r="H716">
        <v>321</v>
      </c>
      <c r="I716" t="s">
        <v>2479</v>
      </c>
      <c r="J716">
        <v>4</v>
      </c>
      <c r="K716">
        <v>24</v>
      </c>
      <c r="L716">
        <v>28</v>
      </c>
      <c r="Q716">
        <v>0</v>
      </c>
      <c r="R716">
        <v>0</v>
      </c>
      <c r="S716">
        <v>28</v>
      </c>
      <c r="Y716" t="s">
        <v>6691</v>
      </c>
      <c r="Z716" t="s">
        <v>6692</v>
      </c>
      <c r="AA716" t="s">
        <v>2497</v>
      </c>
      <c r="AB716" t="s">
        <v>6693</v>
      </c>
      <c r="AC716" t="s">
        <v>4271</v>
      </c>
      <c r="AD716" s="249" t="str">
        <f>HYPERLINK("https://scontent.cdninstagram.com/t51.2885-15/s320x320/e35/20766996_109530273093209_885256582919618560_n.jpg")</f>
        <v>https://scontent.cdninstagram.com/t51.2885-15/s320x320/e35/20766996_109530273093209_885256582919618560_n.jpg</v>
      </c>
      <c r="AE716" s="249" t="str">
        <f>HYPERLINK("https://scontent.cdninstagram.com/t51.2885-19/s150x150/20905795_1715919985380934_7141480360600141824_a.jpg")</f>
        <v>https://scontent.cdninstagram.com/t51.2885-19/s150x150/20905795_1715919985380934_7141480360600141824_a.jpg</v>
      </c>
    </row>
    <row r="717" spans="1:31" ht="15" x14ac:dyDescent="0.25">
      <c r="A717" t="s">
        <v>2474</v>
      </c>
      <c r="B717" t="s">
        <v>2588</v>
      </c>
      <c r="C717" s="221">
        <v>42961.744583333333</v>
      </c>
      <c r="D717" t="s">
        <v>6694</v>
      </c>
      <c r="E717" s="249" t="str">
        <f>HYPERLINK("https://www.instagram.com/p/BXyjsL0gfmE/")</f>
        <v>https://www.instagram.com/p/BXyjsL0gfmE/</v>
      </c>
      <c r="F717" t="s">
        <v>6695</v>
      </c>
      <c r="G717" t="s">
        <v>2478</v>
      </c>
      <c r="H717">
        <v>277</v>
      </c>
      <c r="I717" t="s">
        <v>2479</v>
      </c>
      <c r="J717">
        <v>9</v>
      </c>
      <c r="K717">
        <v>45</v>
      </c>
      <c r="L717">
        <v>54</v>
      </c>
      <c r="Q717">
        <v>0</v>
      </c>
      <c r="R717">
        <v>0</v>
      </c>
      <c r="S717">
        <v>54</v>
      </c>
      <c r="AD717" s="249" t="str">
        <f>HYPERLINK("https://scontent.cdninstagram.com/t51.2885-15/s320x320/e35/20838642_951963168306353_5096562992644882432_n.jpg")</f>
        <v>https://scontent.cdninstagram.com/t51.2885-15/s320x320/e35/20838642_951963168306353_5096562992644882432_n.jpg</v>
      </c>
      <c r="AE717" s="249" t="str">
        <f>HYPERLINK("https://scontent.cdninstagram.com/t51.2885-19/s150x150/20633561_108840983138666_5897549723056734208_a.jpg")</f>
        <v>https://scontent.cdninstagram.com/t51.2885-19/s150x150/20633561_108840983138666_5897549723056734208_a.jpg</v>
      </c>
    </row>
    <row r="718" spans="1:31" ht="15" x14ac:dyDescent="0.25">
      <c r="A718" t="s">
        <v>2474</v>
      </c>
      <c r="B718" t="s">
        <v>2516</v>
      </c>
      <c r="C718" s="221">
        <v>42961.748900462961</v>
      </c>
      <c r="D718" t="s">
        <v>6696</v>
      </c>
      <c r="E718" s="249" t="str">
        <f>HYPERLINK("https://www.instagram.com/p/BXykZpLj8bB/")</f>
        <v>https://www.instagram.com/p/BXykZpLj8bB/</v>
      </c>
      <c r="F718" t="s">
        <v>6697</v>
      </c>
      <c r="G718" t="s">
        <v>2478</v>
      </c>
      <c r="H718">
        <v>696</v>
      </c>
      <c r="I718" t="s">
        <v>2479</v>
      </c>
      <c r="J718">
        <v>0</v>
      </c>
      <c r="K718">
        <v>25</v>
      </c>
      <c r="L718">
        <v>25</v>
      </c>
      <c r="Q718">
        <v>0</v>
      </c>
      <c r="R718">
        <v>0</v>
      </c>
      <c r="S718">
        <v>25</v>
      </c>
      <c r="Y718" t="s">
        <v>6698</v>
      </c>
      <c r="Z718" t="s">
        <v>2524</v>
      </c>
      <c r="AA718" t="s">
        <v>6550</v>
      </c>
      <c r="AB718" t="s">
        <v>6699</v>
      </c>
      <c r="AC718" t="s">
        <v>6700</v>
      </c>
      <c r="AD718" s="249" t="str">
        <f>HYPERLINK("https://scontent.cdninstagram.com/t51.2885-15/s320x320/e35/20759887_1413225748726559_4835596622211579904_n.jpg")</f>
        <v>https://scontent.cdninstagram.com/t51.2885-15/s320x320/e35/20759887_1413225748726559_4835596622211579904_n.jpg</v>
      </c>
      <c r="AE718" s="249" t="str">
        <f>HYPERLINK("https://scontent.cdninstagram.com/t51.2885-19/s150x150/19955124_1311741785589715_3896736407896457216_a.jpg")</f>
        <v>https://scontent.cdninstagram.com/t51.2885-19/s150x150/19955124_1311741785589715_3896736407896457216_a.jpg</v>
      </c>
    </row>
    <row r="719" spans="1:31" ht="15" x14ac:dyDescent="0.25">
      <c r="A719" t="s">
        <v>2474</v>
      </c>
      <c r="B719" t="s">
        <v>6701</v>
      </c>
      <c r="C719" s="221">
        <v>42961.749537037038</v>
      </c>
      <c r="D719" t="s">
        <v>6702</v>
      </c>
      <c r="E719" s="249" t="str">
        <f>HYPERLINK("https://www.instagram.com/p/BXykgaajoHv/")</f>
        <v>https://www.instagram.com/p/BXykgaajoHv/</v>
      </c>
      <c r="F719" t="s">
        <v>6703</v>
      </c>
      <c r="G719" t="s">
        <v>2478</v>
      </c>
      <c r="H719">
        <v>153</v>
      </c>
      <c r="I719" t="s">
        <v>2479</v>
      </c>
      <c r="J719">
        <v>1</v>
      </c>
      <c r="K719">
        <v>48</v>
      </c>
      <c r="L719">
        <v>49</v>
      </c>
      <c r="Q719">
        <v>0</v>
      </c>
      <c r="R719">
        <v>0</v>
      </c>
      <c r="S719">
        <v>49</v>
      </c>
      <c r="Y719" t="s">
        <v>6704</v>
      </c>
      <c r="Z719" t="s">
        <v>2497</v>
      </c>
      <c r="AA719" t="s">
        <v>6705</v>
      </c>
      <c r="AB719" t="s">
        <v>6706</v>
      </c>
      <c r="AC719" t="s">
        <v>3426</v>
      </c>
      <c r="AD719" s="249" t="str">
        <f>HYPERLINK("https://scontent.cdninstagram.com/t51.2885-15/s320x320/e35/c236.0.607.607/20766434_374090439676602_6472898946413887488_n.jpg")</f>
        <v>https://scontent.cdninstagram.com/t51.2885-15/s320x320/e35/c236.0.607.607/20766434_374090439676602_6472898946413887488_n.jpg</v>
      </c>
      <c r="AE719" s="249" t="str">
        <f>HYPERLINK("https://scontent.cdninstagram.com/t51.2885-19/s150x150/17332319_1864633757126046_6827491729839489024_a.jpg")</f>
        <v>https://scontent.cdninstagram.com/t51.2885-19/s150x150/17332319_1864633757126046_6827491729839489024_a.jpg</v>
      </c>
    </row>
    <row r="720" spans="1:31" ht="15" x14ac:dyDescent="0.25">
      <c r="A720" t="s">
        <v>2474</v>
      </c>
      <c r="B720" t="s">
        <v>6707</v>
      </c>
      <c r="C720" s="221">
        <v>42961.758437500001</v>
      </c>
      <c r="D720" t="s">
        <v>6708</v>
      </c>
      <c r="E720" s="249" t="str">
        <f>HYPERLINK("https://www.instagram.com/p/BXyl-Rlj0GZ/")</f>
        <v>https://www.instagram.com/p/BXyl-Rlj0GZ/</v>
      </c>
      <c r="F720" t="s">
        <v>6709</v>
      </c>
      <c r="G720" t="s">
        <v>2478</v>
      </c>
      <c r="H720">
        <v>261</v>
      </c>
      <c r="I720" t="s">
        <v>2510</v>
      </c>
      <c r="J720">
        <v>0</v>
      </c>
      <c r="K720">
        <v>39</v>
      </c>
      <c r="L720">
        <v>39</v>
      </c>
      <c r="Q720">
        <v>0</v>
      </c>
      <c r="R720">
        <v>0</v>
      </c>
      <c r="S720">
        <v>39</v>
      </c>
      <c r="T720" t="s">
        <v>6710</v>
      </c>
      <c r="U720" t="s">
        <v>284</v>
      </c>
      <c r="V720" t="s">
        <v>2299</v>
      </c>
      <c r="W720">
        <v>43.008110000000002</v>
      </c>
      <c r="X720">
        <v>-89.738060000000004</v>
      </c>
      <c r="Y720" t="s">
        <v>2497</v>
      </c>
      <c r="Z720" t="s">
        <v>6711</v>
      </c>
      <c r="AA720" t="s">
        <v>6712</v>
      </c>
      <c r="AB720" t="s">
        <v>5884</v>
      </c>
      <c r="AC720" t="s">
        <v>3384</v>
      </c>
      <c r="AD720" s="249" t="str">
        <f>HYPERLINK("https://scontent.cdninstagram.com/t51.2885-15/s320x320/e35/c157.0.750.750/20766231_137708256832889_420097069118652416_n.jpg")</f>
        <v>https://scontent.cdninstagram.com/t51.2885-15/s320x320/e35/c157.0.750.750/20766231_137708256832889_420097069118652416_n.jpg</v>
      </c>
      <c r="AE720" s="249" t="str">
        <f>HYPERLINK("https://scontent.cdninstagram.com/t51.2885-19/s150x150/20347324_1249416765187146_1619653345805336576_a.jpg")</f>
        <v>https://scontent.cdninstagram.com/t51.2885-19/s150x150/20347324_1249416765187146_1619653345805336576_a.jpg</v>
      </c>
    </row>
    <row r="721" spans="1:31" ht="15" x14ac:dyDescent="0.25">
      <c r="A721" t="s">
        <v>2474</v>
      </c>
      <c r="B721" t="s">
        <v>6713</v>
      </c>
      <c r="C721" s="221">
        <v>42961.759351851855</v>
      </c>
      <c r="D721" t="s">
        <v>6714</v>
      </c>
      <c r="E721" s="249" t="str">
        <f>HYPERLINK("https://www.instagram.com/p/BXymH5bleSA/")</f>
        <v>https://www.instagram.com/p/BXymH5bleSA/</v>
      </c>
      <c r="F721" t="s">
        <v>6715</v>
      </c>
      <c r="G721" t="s">
        <v>2478</v>
      </c>
      <c r="H721">
        <v>737</v>
      </c>
      <c r="I721" t="s">
        <v>2479</v>
      </c>
      <c r="J721">
        <v>3</v>
      </c>
      <c r="K721">
        <v>80</v>
      </c>
      <c r="L721">
        <v>83</v>
      </c>
      <c r="Q721">
        <v>0</v>
      </c>
      <c r="R721">
        <v>0</v>
      </c>
      <c r="S721">
        <v>83</v>
      </c>
      <c r="T721" t="s">
        <v>6716</v>
      </c>
      <c r="V721" t="s">
        <v>2181</v>
      </c>
      <c r="W721">
        <v>31.788987375000001</v>
      </c>
      <c r="X721">
        <v>35.228386</v>
      </c>
      <c r="Y721" t="s">
        <v>2497</v>
      </c>
      <c r="Z721" t="s">
        <v>6717</v>
      </c>
      <c r="AA721" t="s">
        <v>6718</v>
      </c>
      <c r="AB721" t="s">
        <v>6719</v>
      </c>
      <c r="AC721" t="s">
        <v>6720</v>
      </c>
      <c r="AD721" s="249" t="str">
        <f>HYPERLINK("https://scontent.cdninstagram.com/t51.2885-15/s320x320/e35/c257.0.565.565/20766739_198820037323077_7706166202363543552_n.jpg")</f>
        <v>https://scontent.cdninstagram.com/t51.2885-15/s320x320/e35/c257.0.565.565/20766739_198820037323077_7706166202363543552_n.jpg</v>
      </c>
      <c r="AE721" s="249" t="str">
        <f>HYPERLINK("https://scontent.cdninstagram.com/t51.2885-19/s150x150/19436278_832756446902085_7787327095549460480_a.jpg")</f>
        <v>https://scontent.cdninstagram.com/t51.2885-19/s150x150/19436278_832756446902085_7787327095549460480_a.jpg</v>
      </c>
    </row>
    <row r="722" spans="1:31" ht="15" x14ac:dyDescent="0.25">
      <c r="A722" t="s">
        <v>2474</v>
      </c>
      <c r="B722" t="s">
        <v>6721</v>
      </c>
      <c r="C722" s="221">
        <v>42961.769293981481</v>
      </c>
      <c r="D722" t="s">
        <v>6722</v>
      </c>
      <c r="E722" s="249" t="str">
        <f>HYPERLINK("https://www.instagram.com/p/BXynwxeAxvv/")</f>
        <v>https://www.instagram.com/p/BXynwxeAxvv/</v>
      </c>
      <c r="F722" t="s">
        <v>6723</v>
      </c>
      <c r="G722" t="s">
        <v>2478</v>
      </c>
      <c r="H722">
        <v>77</v>
      </c>
      <c r="I722" t="s">
        <v>2479</v>
      </c>
      <c r="J722">
        <v>3</v>
      </c>
      <c r="K722">
        <v>14</v>
      </c>
      <c r="L722">
        <v>17</v>
      </c>
      <c r="Q722">
        <v>0</v>
      </c>
      <c r="R722">
        <v>0</v>
      </c>
      <c r="S722">
        <v>17</v>
      </c>
      <c r="Y722" t="s">
        <v>6724</v>
      </c>
      <c r="Z722" t="s">
        <v>6725</v>
      </c>
      <c r="AA722" t="s">
        <v>2833</v>
      </c>
      <c r="AB722" t="s">
        <v>2492</v>
      </c>
      <c r="AC722" t="s">
        <v>3962</v>
      </c>
      <c r="AD722" s="249" t="str">
        <f>HYPERLINK("https://scontent.cdninstagram.com/t51.2885-15/s320x320/e35/c0.65.525.525/20839092_1958242104426182_2733314743338008576_n.jpg")</f>
        <v>https://scontent.cdninstagram.com/t51.2885-15/s320x320/e35/c0.65.525.525/20839092_1958242104426182_2733314743338008576_n.jpg</v>
      </c>
      <c r="AE722" s="249" t="str">
        <f>HYPERLINK("https://scontent.cdninstagram.com/t51.2885-19/s150x150/20905669_2333832793508681_1004453010694209536_a.jpg")</f>
        <v>https://scontent.cdninstagram.com/t51.2885-19/s150x150/20905669_2333832793508681_1004453010694209536_a.jpg</v>
      </c>
    </row>
    <row r="723" spans="1:31" ht="15" x14ac:dyDescent="0.25">
      <c r="A723" t="s">
        <v>2474</v>
      </c>
      <c r="B723" t="s">
        <v>6726</v>
      </c>
      <c r="C723" s="221">
        <v>42961.773194444446</v>
      </c>
      <c r="D723" t="s">
        <v>6727</v>
      </c>
      <c r="E723" s="249" t="str">
        <f>HYPERLINK("https://www.instagram.com/p/BXyoZ6KjCmB/")</f>
        <v>https://www.instagram.com/p/BXyoZ6KjCmB/</v>
      </c>
      <c r="F723" t="s">
        <v>6728</v>
      </c>
      <c r="G723" t="s">
        <v>2478</v>
      </c>
      <c r="H723">
        <v>320</v>
      </c>
      <c r="I723" t="s">
        <v>2542</v>
      </c>
      <c r="J723">
        <v>3</v>
      </c>
      <c r="K723">
        <v>55</v>
      </c>
      <c r="L723">
        <v>58</v>
      </c>
      <c r="Q723">
        <v>0</v>
      </c>
      <c r="R723">
        <v>0</v>
      </c>
      <c r="S723">
        <v>58</v>
      </c>
      <c r="T723" t="s">
        <v>6729</v>
      </c>
      <c r="V723" t="s">
        <v>2288</v>
      </c>
      <c r="W723">
        <v>51.461020900000001</v>
      </c>
      <c r="X723">
        <v>-0.2172077</v>
      </c>
      <c r="Y723" t="s">
        <v>6730</v>
      </c>
      <c r="Z723" t="s">
        <v>6731</v>
      </c>
      <c r="AA723" t="s">
        <v>6732</v>
      </c>
      <c r="AB723" t="s">
        <v>6733</v>
      </c>
      <c r="AC723" t="s">
        <v>6734</v>
      </c>
      <c r="AD723" s="249" t="str">
        <f>HYPERLINK("https://scontent.cdninstagram.com/t51.2885-15/s320x320/e35/c0.78.900.900/20901896_1915197042078810_3597191657662971904_n.jpg")</f>
        <v>https://scontent.cdninstagram.com/t51.2885-15/s320x320/e35/c0.78.900.900/20901896_1915197042078810_3597191657662971904_n.jpg</v>
      </c>
      <c r="AE723" s="249" t="str">
        <f>HYPERLINK("https://scontent.cdninstagram.com/t51.2885-19/s150x150/20838215_509235576079979_5454826246531710976_a.jpg")</f>
        <v>https://scontent.cdninstagram.com/t51.2885-19/s150x150/20838215_509235576079979_5454826246531710976_a.jpg</v>
      </c>
    </row>
    <row r="724" spans="1:31" ht="15" x14ac:dyDescent="0.25">
      <c r="A724" t="s">
        <v>2474</v>
      </c>
      <c r="B724" t="s">
        <v>6735</v>
      </c>
      <c r="C724" s="221">
        <v>42961.773217592592</v>
      </c>
      <c r="D724" t="s">
        <v>6736</v>
      </c>
      <c r="E724" s="249" t="str">
        <f>HYPERLINK("https://www.instagram.com/p/BXyoaGOFv4j/")</f>
        <v>https://www.instagram.com/p/BXyoaGOFv4j/</v>
      </c>
      <c r="F724" t="s">
        <v>6737</v>
      </c>
      <c r="G724" t="s">
        <v>2478</v>
      </c>
      <c r="H724">
        <v>304</v>
      </c>
      <c r="I724" t="s">
        <v>2479</v>
      </c>
      <c r="J724">
        <v>1</v>
      </c>
      <c r="K724">
        <v>30</v>
      </c>
      <c r="L724">
        <v>31</v>
      </c>
      <c r="Q724">
        <v>0</v>
      </c>
      <c r="R724">
        <v>0</v>
      </c>
      <c r="S724">
        <v>31</v>
      </c>
      <c r="Y724" t="s">
        <v>6738</v>
      </c>
      <c r="Z724" t="s">
        <v>2651</v>
      </c>
      <c r="AA724" t="s">
        <v>6739</v>
      </c>
      <c r="AB724" t="s">
        <v>6740</v>
      </c>
      <c r="AC724" t="s">
        <v>6741</v>
      </c>
      <c r="AD724" s="249" t="str">
        <f>HYPERLINK("https://scontent.cdninstagram.com/t51.2885-15/s320x320/e35/20759723_1925003381048629_1840506014479155200_n.jpg")</f>
        <v>https://scontent.cdninstagram.com/t51.2885-15/s320x320/e35/20759723_1925003381048629_1840506014479155200_n.jpg</v>
      </c>
      <c r="AE724" s="249" t="str">
        <f>HYPERLINK("https://scontent.cdninstagram.com/t51.2885-19/s150x150/18513678_130470520838277_8804998641191223296_a.jpg")</f>
        <v>https://scontent.cdninstagram.com/t51.2885-19/s150x150/18513678_130470520838277_8804998641191223296_a.jpg</v>
      </c>
    </row>
    <row r="725" spans="1:31" ht="15" x14ac:dyDescent="0.25">
      <c r="A725" t="s">
        <v>2474</v>
      </c>
      <c r="B725" t="s">
        <v>6742</v>
      </c>
      <c r="C725" s="221">
        <v>42961.774733796294</v>
      </c>
      <c r="D725" t="s">
        <v>6743</v>
      </c>
      <c r="E725" s="249" t="str">
        <f>HYPERLINK("https://www.instagram.com/p/BXyoqLyloi1/")</f>
        <v>https://www.instagram.com/p/BXyoqLyloi1/</v>
      </c>
      <c r="F725" t="s">
        <v>6744</v>
      </c>
      <c r="G725" t="s">
        <v>2631</v>
      </c>
      <c r="H725">
        <v>525</v>
      </c>
      <c r="I725" t="s">
        <v>2479</v>
      </c>
      <c r="J725">
        <v>2</v>
      </c>
      <c r="K725">
        <v>49</v>
      </c>
      <c r="L725">
        <v>51</v>
      </c>
      <c r="Q725">
        <v>0</v>
      </c>
      <c r="R725">
        <v>0</v>
      </c>
      <c r="S725">
        <v>51</v>
      </c>
      <c r="T725" t="s">
        <v>6745</v>
      </c>
      <c r="V725" t="s">
        <v>2125</v>
      </c>
      <c r="W725">
        <v>49.25</v>
      </c>
      <c r="X725">
        <v>-123.1</v>
      </c>
      <c r="Y725" t="s">
        <v>2753</v>
      </c>
      <c r="Z725" t="s">
        <v>6746</v>
      </c>
      <c r="AA725" t="s">
        <v>6747</v>
      </c>
      <c r="AB725" t="s">
        <v>3196</v>
      </c>
      <c r="AC725" t="s">
        <v>6748</v>
      </c>
      <c r="AD725" s="249" t="str">
        <f>HYPERLINK("https://scontent.cdninstagram.com/t51.2885-15/s320x320/e15/20759578_1186933188077224_7276461630706155520_n.jpg")</f>
        <v>https://scontent.cdninstagram.com/t51.2885-15/s320x320/e15/20759578_1186933188077224_7276461630706155520_n.jpg</v>
      </c>
      <c r="AE725" s="249" t="str">
        <f>HYPERLINK("https://scontent.cdninstagram.com/t51.2885-19/s150x150/19380096_107627783134588_6724968691525484544_a.jpg")</f>
        <v>https://scontent.cdninstagram.com/t51.2885-19/s150x150/19380096_107627783134588_6724968691525484544_a.jpg</v>
      </c>
    </row>
    <row r="726" spans="1:31" ht="15" x14ac:dyDescent="0.25">
      <c r="A726" t="s">
        <v>2474</v>
      </c>
      <c r="B726" t="s">
        <v>6749</v>
      </c>
      <c r="C726" s="221">
        <v>42961.779942129629</v>
      </c>
      <c r="D726" t="s">
        <v>6750</v>
      </c>
      <c r="E726" s="249" t="str">
        <f>HYPERLINK("https://www.instagram.com/p/BXyphG1lcOW/")</f>
        <v>https://www.instagram.com/p/BXyphG1lcOW/</v>
      </c>
      <c r="F726" t="s">
        <v>6751</v>
      </c>
      <c r="G726" t="s">
        <v>2478</v>
      </c>
      <c r="H726">
        <v>137</v>
      </c>
      <c r="I726" t="s">
        <v>3575</v>
      </c>
      <c r="J726">
        <v>0</v>
      </c>
      <c r="K726">
        <v>14</v>
      </c>
      <c r="L726">
        <v>14</v>
      </c>
      <c r="Q726">
        <v>0</v>
      </c>
      <c r="R726">
        <v>0</v>
      </c>
      <c r="S726">
        <v>14</v>
      </c>
      <c r="Y726" t="s">
        <v>6752</v>
      </c>
      <c r="Z726" t="s">
        <v>6753</v>
      </c>
      <c r="AA726" t="s">
        <v>6754</v>
      </c>
      <c r="AB726" t="s">
        <v>6755</v>
      </c>
      <c r="AC726" t="s">
        <v>6756</v>
      </c>
      <c r="AD726" s="249" t="str">
        <f>HYPERLINK("https://scontent.cdninstagram.com/t51.2885-15/s320x320/e35/c222.0.636.636/20901926_3107323889293011_5235710436862590976_n.jpg")</f>
        <v>https://scontent.cdninstagram.com/t51.2885-15/s320x320/e35/c222.0.636.636/20901926_3107323889293011_5235710436862590976_n.jpg</v>
      </c>
      <c r="AE726" s="249" t="str">
        <f>HYPERLINK("https://scontent.cdninstagram.com/t51.2885-19/s150x150/18299386_2000911090138156_9080145945663897600_a.jpg")</f>
        <v>https://scontent.cdninstagram.com/t51.2885-19/s150x150/18299386_2000911090138156_9080145945663897600_a.jpg</v>
      </c>
    </row>
    <row r="727" spans="1:31" ht="15" x14ac:dyDescent="0.25">
      <c r="A727" t="s">
        <v>2474</v>
      </c>
      <c r="B727" t="s">
        <v>6757</v>
      </c>
      <c r="C727" s="221">
        <v>42961.791504629633</v>
      </c>
      <c r="D727" t="s">
        <v>6758</v>
      </c>
      <c r="E727" s="249" t="str">
        <f>HYPERLINK("https://www.instagram.com/p/BXyrbC6ju66/")</f>
        <v>https://www.instagram.com/p/BXyrbC6ju66/</v>
      </c>
      <c r="F727" t="s">
        <v>6759</v>
      </c>
      <c r="G727" t="s">
        <v>2478</v>
      </c>
      <c r="H727">
        <v>4535</v>
      </c>
      <c r="I727" t="s">
        <v>2479</v>
      </c>
      <c r="J727">
        <v>1</v>
      </c>
      <c r="K727">
        <v>51</v>
      </c>
      <c r="L727">
        <v>52</v>
      </c>
      <c r="Q727">
        <v>0</v>
      </c>
      <c r="R727">
        <v>0</v>
      </c>
      <c r="S727">
        <v>52</v>
      </c>
      <c r="Y727" t="s">
        <v>3535</v>
      </c>
      <c r="Z727" t="s">
        <v>2492</v>
      </c>
      <c r="AA727" t="s">
        <v>6760</v>
      </c>
      <c r="AB727" t="s">
        <v>5943</v>
      </c>
      <c r="AC727" t="s">
        <v>6761</v>
      </c>
      <c r="AD727" s="249" t="str">
        <f>HYPERLINK("https://scontent.cdninstagram.com/t51.2885-15/s320x320/e35/20766656_1458303957585246_3347832041210118144_n.jpg")</f>
        <v>https://scontent.cdninstagram.com/t51.2885-15/s320x320/e35/20766656_1458303957585246_3347832041210118144_n.jpg</v>
      </c>
      <c r="AE727" s="249" t="str">
        <f>HYPERLINK("https://scontent.cdninstagram.com/t51.2885-19/s150x150/20066989_1083194021815527_149336390839042048_a.jpg")</f>
        <v>https://scontent.cdninstagram.com/t51.2885-19/s150x150/20066989_1083194021815527_149336390839042048_a.jpg</v>
      </c>
    </row>
    <row r="728" spans="1:31" ht="15" x14ac:dyDescent="0.25">
      <c r="A728" t="s">
        <v>2474</v>
      </c>
      <c r="B728" t="s">
        <v>6762</v>
      </c>
      <c r="C728" s="221">
        <v>42961.799791666665</v>
      </c>
      <c r="D728" t="s">
        <v>6763</v>
      </c>
      <c r="E728" s="249" t="str">
        <f>HYPERLINK("https://www.instagram.com/p/BXysyX9lEQW/")</f>
        <v>https://www.instagram.com/p/BXysyX9lEQW/</v>
      </c>
      <c r="F728" t="s">
        <v>6764</v>
      </c>
      <c r="G728" t="s">
        <v>2478</v>
      </c>
      <c r="H728">
        <v>42</v>
      </c>
      <c r="I728" t="s">
        <v>2479</v>
      </c>
      <c r="J728">
        <v>2</v>
      </c>
      <c r="K728">
        <v>29</v>
      </c>
      <c r="L728">
        <v>31</v>
      </c>
      <c r="Q728">
        <v>0</v>
      </c>
      <c r="R728">
        <v>0</v>
      </c>
      <c r="S728">
        <v>31</v>
      </c>
      <c r="Y728" t="s">
        <v>6765</v>
      </c>
      <c r="Z728" t="s">
        <v>6766</v>
      </c>
      <c r="AA728" t="s">
        <v>6767</v>
      </c>
      <c r="AB728" t="s">
        <v>6768</v>
      </c>
      <c r="AC728" t="s">
        <v>6769</v>
      </c>
      <c r="AD728" s="249" t="str">
        <f>HYPERLINK("https://scontent.cdninstagram.com/t51.2885-15/s320x320/e35/c0.135.1080.1080/20837565_309430139528295_871061406768693248_n.jpg")</f>
        <v>https://scontent.cdninstagram.com/t51.2885-15/s320x320/e35/c0.135.1080.1080/20837565_309430139528295_871061406768693248_n.jpg</v>
      </c>
      <c r="AE728" s="249" t="str">
        <f>HYPERLINK("https://scontent.cdninstagram.com/t51.2885-19/s150x150/17883054_524333961288559_4778666225112711168_a.jpg")</f>
        <v>https://scontent.cdninstagram.com/t51.2885-19/s150x150/17883054_524333961288559_4778666225112711168_a.jpg</v>
      </c>
    </row>
    <row r="729" spans="1:31" ht="15" x14ac:dyDescent="0.25">
      <c r="A729" t="s">
        <v>2474</v>
      </c>
      <c r="B729" t="s">
        <v>3471</v>
      </c>
      <c r="C729" s="221">
        <v>42961.807650462964</v>
      </c>
      <c r="D729" t="s">
        <v>6770</v>
      </c>
      <c r="E729" s="249" t="str">
        <f>HYPERLINK("https://www.instagram.com/p/BXyuFQiDyo1/")</f>
        <v>https://www.instagram.com/p/BXyuFQiDyo1/</v>
      </c>
      <c r="F729" t="s">
        <v>6771</v>
      </c>
      <c r="G729" t="s">
        <v>2488</v>
      </c>
      <c r="H729">
        <v>177</v>
      </c>
      <c r="I729" t="s">
        <v>2479</v>
      </c>
      <c r="J729">
        <v>1</v>
      </c>
      <c r="K729">
        <v>29</v>
      </c>
      <c r="L729">
        <v>30</v>
      </c>
      <c r="Q729">
        <v>0</v>
      </c>
      <c r="R729">
        <v>0</v>
      </c>
      <c r="S729">
        <v>30</v>
      </c>
      <c r="T729" t="s">
        <v>3474</v>
      </c>
      <c r="V729" t="s">
        <v>2258</v>
      </c>
      <c r="W729">
        <v>1.2930600000000001</v>
      </c>
      <c r="X729">
        <v>103.85599999999999</v>
      </c>
      <c r="Y729" t="s">
        <v>6772</v>
      </c>
      <c r="Z729" t="s">
        <v>6773</v>
      </c>
      <c r="AA729" t="s">
        <v>6774</v>
      </c>
      <c r="AB729" t="s">
        <v>5113</v>
      </c>
      <c r="AC729" t="s">
        <v>6775</v>
      </c>
      <c r="AD729" s="249" t="str">
        <f>HYPERLINK("https://scontent.cdninstagram.com/t51.2885-15/s320x320/e35/20838298_478206979219095_861795165151428608_n.jpg")</f>
        <v>https://scontent.cdninstagram.com/t51.2885-15/s320x320/e35/20838298_478206979219095_861795165151428608_n.jpg</v>
      </c>
      <c r="AE729" s="249" t="str">
        <f>HYPERLINK("https://scontent.cdninstagram.com/t51.2885-19/s150x150/19986209_741127056067001_1270489010199855104_a.jpg")</f>
        <v>https://scontent.cdninstagram.com/t51.2885-19/s150x150/19986209_741127056067001_1270489010199855104_a.jpg</v>
      </c>
    </row>
    <row r="730" spans="1:31" ht="15" x14ac:dyDescent="0.25">
      <c r="A730" t="s">
        <v>2474</v>
      </c>
      <c r="B730" t="s">
        <v>3824</v>
      </c>
      <c r="C730" s="221">
        <v>42961.819444444445</v>
      </c>
      <c r="D730" t="s">
        <v>6776</v>
      </c>
      <c r="E730" s="249" t="str">
        <f>HYPERLINK("https://www.instagram.com/p/BXywBtplgcC/")</f>
        <v>https://www.instagram.com/p/BXywBtplgcC/</v>
      </c>
      <c r="F730" t="s">
        <v>6777</v>
      </c>
      <c r="G730" t="s">
        <v>2631</v>
      </c>
      <c r="H730">
        <v>1045</v>
      </c>
      <c r="I730" t="s">
        <v>2479</v>
      </c>
      <c r="J730">
        <v>4</v>
      </c>
      <c r="K730">
        <v>84</v>
      </c>
      <c r="L730">
        <v>88</v>
      </c>
      <c r="Q730">
        <v>0</v>
      </c>
      <c r="R730">
        <v>0</v>
      </c>
      <c r="S730">
        <v>88</v>
      </c>
      <c r="Y730" t="s">
        <v>6778</v>
      </c>
      <c r="Z730" t="s">
        <v>5214</v>
      </c>
      <c r="AA730" t="s">
        <v>6779</v>
      </c>
      <c r="AB730" t="s">
        <v>3569</v>
      </c>
      <c r="AC730" t="s">
        <v>3843</v>
      </c>
      <c r="AD730" s="249" t="str">
        <f>HYPERLINK("https://scontent.cdninstagram.com/t51.2885-15/s320x320/e15/20766369_477142262651614_338757917610082304_n.jpg")</f>
        <v>https://scontent.cdninstagram.com/t51.2885-15/s320x320/e15/20766369_477142262651614_338757917610082304_n.jpg</v>
      </c>
      <c r="AE730" s="249" t="str">
        <f>HYPERLINK("https://scontent.cdninstagram.com/t51.2885-19/s150x150/19228675_316947935407228_6855499933131210752_a.jpg")</f>
        <v>https://scontent.cdninstagram.com/t51.2885-19/s150x150/19228675_316947935407228_6855499933131210752_a.jpg</v>
      </c>
    </row>
    <row r="731" spans="1:31" ht="15" x14ac:dyDescent="0.25">
      <c r="A731" t="s">
        <v>2474</v>
      </c>
      <c r="B731" t="s">
        <v>6780</v>
      </c>
      <c r="C731" s="221">
        <v>42961.828449074077</v>
      </c>
      <c r="D731" t="s">
        <v>6781</v>
      </c>
      <c r="E731" s="249" t="str">
        <f>HYPERLINK("https://www.instagram.com/p/BXyxgrfh_qi/")</f>
        <v>https://www.instagram.com/p/BXyxgrfh_qi/</v>
      </c>
      <c r="F731" t="s">
        <v>6782</v>
      </c>
      <c r="G731" t="s">
        <v>2478</v>
      </c>
      <c r="H731">
        <v>10</v>
      </c>
      <c r="I731" t="s">
        <v>2582</v>
      </c>
      <c r="J731">
        <v>0</v>
      </c>
      <c r="K731">
        <v>0</v>
      </c>
      <c r="L731">
        <v>0</v>
      </c>
      <c r="Q731">
        <v>0</v>
      </c>
      <c r="R731">
        <v>0</v>
      </c>
      <c r="S731">
        <v>0</v>
      </c>
      <c r="Y731" t="s">
        <v>6783</v>
      </c>
      <c r="Z731" t="s">
        <v>2497</v>
      </c>
      <c r="AA731" t="s">
        <v>6784</v>
      </c>
      <c r="AB731" t="s">
        <v>6785</v>
      </c>
      <c r="AC731" t="s">
        <v>6786</v>
      </c>
      <c r="AD731" s="249" t="str">
        <f>HYPERLINK("https://scontent.cdninstagram.com/t51.2885-15/s320x320/e35/c120.0.400.400/20838183_344977065952783_6339929374564810752_n.jpg")</f>
        <v>https://scontent.cdninstagram.com/t51.2885-15/s320x320/e35/c120.0.400.400/20838183_344977065952783_6339929374564810752_n.jpg</v>
      </c>
      <c r="AE731" s="249" t="str">
        <f>HYPERLINK("https://scontent.cdninstagram.com/t51.2885-19/s150x150/20766606_608450122876927_3354801815353819136_a.jpg")</f>
        <v>https://scontent.cdninstagram.com/t51.2885-19/s150x150/20766606_608450122876927_3354801815353819136_a.jpg</v>
      </c>
    </row>
    <row r="732" spans="1:31" ht="15" x14ac:dyDescent="0.25">
      <c r="A732" t="s">
        <v>2474</v>
      </c>
      <c r="B732" t="s">
        <v>6787</v>
      </c>
      <c r="C732" s="221">
        <v>42961.832430555558</v>
      </c>
      <c r="D732" t="s">
        <v>6788</v>
      </c>
      <c r="E732" s="249" t="str">
        <f>HYPERLINK("https://www.instagram.com/p/BXyyKrvD6AK/")</f>
        <v>https://www.instagram.com/p/BXyyKrvD6AK/</v>
      </c>
      <c r="F732" t="s">
        <v>5194</v>
      </c>
      <c r="G732" t="s">
        <v>2478</v>
      </c>
      <c r="H732">
        <v>34051</v>
      </c>
      <c r="I732" t="s">
        <v>2479</v>
      </c>
      <c r="J732">
        <v>0</v>
      </c>
      <c r="K732">
        <v>63</v>
      </c>
      <c r="L732">
        <v>63</v>
      </c>
      <c r="Q732">
        <v>0</v>
      </c>
      <c r="R732">
        <v>0</v>
      </c>
      <c r="S732">
        <v>63</v>
      </c>
      <c r="Y732" t="s">
        <v>3757</v>
      </c>
      <c r="Z732" t="s">
        <v>4233</v>
      </c>
      <c r="AA732" t="s">
        <v>6789</v>
      </c>
      <c r="AB732" t="s">
        <v>6790</v>
      </c>
      <c r="AC732" t="s">
        <v>5195</v>
      </c>
      <c r="AD732" s="249" t="str">
        <f>HYPERLINK("https://scontent.cdninstagram.com/t51.2885-15/s320x320/e35/20902533_109341593092620_1351025934831976448_n.jpg")</f>
        <v>https://scontent.cdninstagram.com/t51.2885-15/s320x320/e35/20902533_109341593092620_1351025934831976448_n.jpg</v>
      </c>
      <c r="AE732" s="249" t="str">
        <f>HYPERLINK("https://scontent.cdninstagram.com/t51.2885-19/s150x150/15034932_1271693326206951_4433193766085459968_a.jpg")</f>
        <v>https://scontent.cdninstagram.com/t51.2885-19/s150x150/15034932_1271693326206951_4433193766085459968_a.jpg</v>
      </c>
    </row>
    <row r="733" spans="1:31" ht="15" x14ac:dyDescent="0.25">
      <c r="A733" t="s">
        <v>2474</v>
      </c>
      <c r="B733" t="s">
        <v>3015</v>
      </c>
      <c r="C733" s="221">
        <v>42961.833090277774</v>
      </c>
      <c r="D733" t="s">
        <v>6791</v>
      </c>
      <c r="E733" s="249" t="str">
        <f>HYPERLINK("https://www.instagram.com/p/BXyyRqigxhE/")</f>
        <v>https://www.instagram.com/p/BXyyRqigxhE/</v>
      </c>
      <c r="F733" t="s">
        <v>6792</v>
      </c>
      <c r="G733" t="s">
        <v>2478</v>
      </c>
      <c r="H733">
        <v>177</v>
      </c>
      <c r="I733" t="s">
        <v>2479</v>
      </c>
      <c r="J733">
        <v>0</v>
      </c>
      <c r="K733">
        <v>25</v>
      </c>
      <c r="L733">
        <v>25</v>
      </c>
      <c r="Q733">
        <v>0</v>
      </c>
      <c r="R733">
        <v>0</v>
      </c>
      <c r="S733">
        <v>25</v>
      </c>
      <c r="Y733" t="s">
        <v>3021</v>
      </c>
      <c r="Z733" t="s">
        <v>4615</v>
      </c>
      <c r="AA733" t="s">
        <v>3492</v>
      </c>
      <c r="AB733" t="s">
        <v>3728</v>
      </c>
      <c r="AC733" t="s">
        <v>2492</v>
      </c>
      <c r="AD733" s="249" t="str">
        <f>HYPERLINK("https://scontent.cdninstagram.com/t51.2885-15/s320x320/e35/c0.67.540.540/20836899_698806330323584_8703642137469648896_n.jpg")</f>
        <v>https://scontent.cdninstagram.com/t51.2885-15/s320x320/e35/c0.67.540.540/20836899_698806330323584_8703642137469648896_n.jpg</v>
      </c>
      <c r="AE733" s="249" t="str">
        <f>HYPERLINK("https://scontent.cdninstagram.com/t51.2885-19/s150x150/19761452_1876060406050696_4275948751316582400_a.jpg")</f>
        <v>https://scontent.cdninstagram.com/t51.2885-19/s150x150/19761452_1876060406050696_4275948751316582400_a.jpg</v>
      </c>
    </row>
    <row r="734" spans="1:31" ht="15" x14ac:dyDescent="0.25">
      <c r="A734" t="s">
        <v>2474</v>
      </c>
      <c r="B734" t="s">
        <v>4429</v>
      </c>
      <c r="C734" s="221">
        <v>42961.833414351851</v>
      </c>
      <c r="D734" t="s">
        <v>6793</v>
      </c>
      <c r="E734" s="249" t="str">
        <f>HYPERLINK("https://www.instagram.com/p/BXyyVAIh8LA/")</f>
        <v>https://www.instagram.com/p/BXyyVAIh8LA/</v>
      </c>
      <c r="F734" t="s">
        <v>6794</v>
      </c>
      <c r="G734" t="s">
        <v>2488</v>
      </c>
      <c r="H734">
        <v>153</v>
      </c>
      <c r="I734" t="s">
        <v>2479</v>
      </c>
      <c r="J734">
        <v>0</v>
      </c>
      <c r="K734">
        <v>2</v>
      </c>
      <c r="L734">
        <v>2</v>
      </c>
      <c r="Q734">
        <v>0</v>
      </c>
      <c r="R734">
        <v>0</v>
      </c>
      <c r="S734">
        <v>2</v>
      </c>
      <c r="Y734" t="s">
        <v>2497</v>
      </c>
      <c r="Z734" t="s">
        <v>6795</v>
      </c>
      <c r="AD734" s="249" t="str">
        <f>HYPERLINK("https://scontent.cdninstagram.com/t51.2885-15/s320x320/e35/20766084_157189731501950_1788695978606329856_n.jpg")</f>
        <v>https://scontent.cdninstagram.com/t51.2885-15/s320x320/e35/20766084_157189731501950_1788695978606329856_n.jpg</v>
      </c>
      <c r="AE734" s="249" t="str">
        <f>HYPERLINK("https://scontent.cdninstagram.com/t51.2885-19/s150x150/20759778_1136240569809928_3099070035096764416_a.jpg")</f>
        <v>https://scontent.cdninstagram.com/t51.2885-19/s150x150/20759778_1136240569809928_3099070035096764416_a.jpg</v>
      </c>
    </row>
    <row r="735" spans="1:31" ht="15" x14ac:dyDescent="0.25">
      <c r="A735" t="s">
        <v>2474</v>
      </c>
      <c r="B735" t="s">
        <v>3015</v>
      </c>
      <c r="C735" s="221">
        <v>42961.834872685184</v>
      </c>
      <c r="D735" t="s">
        <v>6796</v>
      </c>
      <c r="E735" s="249" t="str">
        <f>HYPERLINK("https://www.instagram.com/p/BXyykZLAIG5/")</f>
        <v>https://www.instagram.com/p/BXyykZLAIG5/</v>
      </c>
      <c r="F735" t="s">
        <v>6797</v>
      </c>
      <c r="G735" t="s">
        <v>2478</v>
      </c>
      <c r="H735">
        <v>177</v>
      </c>
      <c r="I735" t="s">
        <v>2479</v>
      </c>
      <c r="J735">
        <v>1</v>
      </c>
      <c r="K735">
        <v>38</v>
      </c>
      <c r="L735">
        <v>39</v>
      </c>
      <c r="Q735">
        <v>0</v>
      </c>
      <c r="R735">
        <v>0</v>
      </c>
      <c r="S735">
        <v>39</v>
      </c>
      <c r="Y735" t="s">
        <v>3728</v>
      </c>
      <c r="Z735" t="s">
        <v>2492</v>
      </c>
      <c r="AA735" t="s">
        <v>4129</v>
      </c>
      <c r="AB735" t="s">
        <v>3492</v>
      </c>
      <c r="AC735" t="s">
        <v>3571</v>
      </c>
      <c r="AD735" s="249" t="str">
        <f>HYPERLINK("https://scontent.cdninstagram.com/t51.2885-15/s320x320/e35/20836859_1988986508048959_5553031567107948544_n.jpg")</f>
        <v>https://scontent.cdninstagram.com/t51.2885-15/s320x320/e35/20836859_1988986508048959_5553031567107948544_n.jpg</v>
      </c>
      <c r="AE735" s="249" t="str">
        <f>HYPERLINK("https://scontent.cdninstagram.com/t51.2885-19/s150x150/19761452_1876060406050696_4275948751316582400_a.jpg")</f>
        <v>https://scontent.cdninstagram.com/t51.2885-19/s150x150/19761452_1876060406050696_4275948751316582400_a.jpg</v>
      </c>
    </row>
    <row r="736" spans="1:31" ht="15" x14ac:dyDescent="0.25">
      <c r="A736" t="s">
        <v>2474</v>
      </c>
      <c r="B736" t="s">
        <v>6798</v>
      </c>
      <c r="C736" s="221">
        <v>42961.835405092592</v>
      </c>
      <c r="D736" t="s">
        <v>6799</v>
      </c>
      <c r="E736" s="249" t="str">
        <f>HYPERLINK("https://www.instagram.com/p/BXyyp__hG1t/")</f>
        <v>https://www.instagram.com/p/BXyyp__hG1t/</v>
      </c>
      <c r="F736" t="s">
        <v>6800</v>
      </c>
      <c r="G736" t="s">
        <v>2478</v>
      </c>
      <c r="H736">
        <v>540</v>
      </c>
      <c r="I736" t="s">
        <v>2479</v>
      </c>
      <c r="J736">
        <v>5</v>
      </c>
      <c r="K736">
        <v>31</v>
      </c>
      <c r="L736">
        <v>36</v>
      </c>
      <c r="Q736">
        <v>0</v>
      </c>
      <c r="R736">
        <v>0</v>
      </c>
      <c r="S736">
        <v>36</v>
      </c>
      <c r="Y736" t="s">
        <v>6801</v>
      </c>
      <c r="Z736" t="s">
        <v>3262</v>
      </c>
      <c r="AA736" t="s">
        <v>6043</v>
      </c>
      <c r="AB736" t="s">
        <v>6802</v>
      </c>
      <c r="AC736" t="s">
        <v>6803</v>
      </c>
      <c r="AD736" s="249" t="str">
        <f>HYPERLINK("https://scontent.cdninstagram.com/t51.2885-15/s320x320/e35/20766196_1962783353958146_5066238771188465664_n.jpg")</f>
        <v>https://scontent.cdninstagram.com/t51.2885-15/s320x320/e35/20766196_1962783353958146_5066238771188465664_n.jpg</v>
      </c>
      <c r="AE736" s="249" t="str">
        <f>HYPERLINK("https://scontent.cdninstagram.com/t51.2885-19/s150x150/18512317_139465533263283_6215177810319769600_a.jpg")</f>
        <v>https://scontent.cdninstagram.com/t51.2885-19/s150x150/18512317_139465533263283_6215177810319769600_a.jpg</v>
      </c>
    </row>
    <row r="737" spans="1:31" ht="15" x14ac:dyDescent="0.25">
      <c r="A737" t="s">
        <v>2474</v>
      </c>
      <c r="B737" t="s">
        <v>3824</v>
      </c>
      <c r="C737" s="221">
        <v>42961.836689814816</v>
      </c>
      <c r="D737" t="s">
        <v>6804</v>
      </c>
      <c r="E737" s="249" t="str">
        <f>HYPERLINK("https://www.instagram.com/p/BXyy3l5lod3/")</f>
        <v>https://www.instagram.com/p/BXyy3l5lod3/</v>
      </c>
      <c r="F737" t="s">
        <v>6805</v>
      </c>
      <c r="G737" t="s">
        <v>2488</v>
      </c>
      <c r="H737">
        <v>1046</v>
      </c>
      <c r="I737" t="s">
        <v>2479</v>
      </c>
      <c r="J737">
        <v>0</v>
      </c>
      <c r="K737">
        <v>12</v>
      </c>
      <c r="L737">
        <v>12</v>
      </c>
      <c r="Q737">
        <v>0</v>
      </c>
      <c r="R737">
        <v>0</v>
      </c>
      <c r="S737">
        <v>12</v>
      </c>
      <c r="Y737" t="s">
        <v>6806</v>
      </c>
      <c r="Z737" t="s">
        <v>3569</v>
      </c>
      <c r="AA737" t="s">
        <v>2651</v>
      </c>
      <c r="AB737" t="s">
        <v>6779</v>
      </c>
      <c r="AC737" t="s">
        <v>3843</v>
      </c>
      <c r="AD737" s="249" t="str">
        <f>HYPERLINK("https://scontent.cdninstagram.com/t51.2885-15/s320x320/e15/20837620_1197582440347968_1101948454780796928_n.jpg")</f>
        <v>https://scontent.cdninstagram.com/t51.2885-15/s320x320/e15/20837620_1197582440347968_1101948454780796928_n.jpg</v>
      </c>
      <c r="AE737" s="249" t="str">
        <f>HYPERLINK("https://scontent.cdninstagram.com/t51.2885-19/s150x150/19228675_316947935407228_6855499933131210752_a.jpg")</f>
        <v>https://scontent.cdninstagram.com/t51.2885-19/s150x150/19228675_316947935407228_6855499933131210752_a.jpg</v>
      </c>
    </row>
    <row r="738" spans="1:31" ht="15" x14ac:dyDescent="0.25">
      <c r="A738" t="s">
        <v>2474</v>
      </c>
      <c r="B738" t="s">
        <v>2677</v>
      </c>
      <c r="C738" s="221">
        <v>42961.836782407408</v>
      </c>
      <c r="D738" t="s">
        <v>6807</v>
      </c>
      <c r="E738" s="249" t="str">
        <f>HYPERLINK("https://www.instagram.com/p/BXyy4kEFY4f/")</f>
        <v>https://www.instagram.com/p/BXyy4kEFY4f/</v>
      </c>
      <c r="F738" t="s">
        <v>6808</v>
      </c>
      <c r="G738" t="s">
        <v>2478</v>
      </c>
      <c r="H738">
        <v>26147</v>
      </c>
      <c r="I738" t="s">
        <v>2479</v>
      </c>
      <c r="J738">
        <v>20</v>
      </c>
      <c r="K738">
        <v>922</v>
      </c>
      <c r="L738">
        <v>942</v>
      </c>
      <c r="Q738">
        <v>0</v>
      </c>
      <c r="R738">
        <v>0</v>
      </c>
      <c r="S738">
        <v>942</v>
      </c>
      <c r="Y738" t="s">
        <v>6809</v>
      </c>
      <c r="Z738" t="s">
        <v>6810</v>
      </c>
      <c r="AA738" t="s">
        <v>6811</v>
      </c>
      <c r="AB738" t="s">
        <v>6812</v>
      </c>
      <c r="AC738" t="s">
        <v>4653</v>
      </c>
      <c r="AD738" s="249" t="str">
        <f>HYPERLINK("https://scontent.cdninstagram.com/t51.2885-15/s320x320/e35/20902223_1906791869583447_2155791755427971072_n.jpg")</f>
        <v>https://scontent.cdninstagram.com/t51.2885-15/s320x320/e35/20902223_1906791869583447_2155791755427971072_n.jpg</v>
      </c>
      <c r="AE738" s="249" t="str">
        <f>HYPERLINK("https://scontent.cdninstagram.com/t51.2885-19/s150x150/15624407_342184376168512_1256732560663248896_a.jpg")</f>
        <v>https://scontent.cdninstagram.com/t51.2885-19/s150x150/15624407_342184376168512_1256732560663248896_a.jpg</v>
      </c>
    </row>
    <row r="739" spans="1:31" ht="15" x14ac:dyDescent="0.25">
      <c r="A739" t="s">
        <v>2474</v>
      </c>
      <c r="B739" t="s">
        <v>6813</v>
      </c>
      <c r="C739" s="221">
        <v>42961.844293981485</v>
      </c>
      <c r="D739" t="s">
        <v>6814</v>
      </c>
      <c r="E739" s="249" t="str">
        <f>HYPERLINK("https://www.instagram.com/p/BXy0H1VFHJC/")</f>
        <v>https://www.instagram.com/p/BXy0H1VFHJC/</v>
      </c>
      <c r="F739" t="s">
        <v>6815</v>
      </c>
      <c r="G739" t="s">
        <v>2488</v>
      </c>
      <c r="H739">
        <v>1338</v>
      </c>
      <c r="I739" t="s">
        <v>2479</v>
      </c>
      <c r="J739">
        <v>3</v>
      </c>
      <c r="K739">
        <v>80</v>
      </c>
      <c r="L739">
        <v>83</v>
      </c>
      <c r="Q739">
        <v>0</v>
      </c>
      <c r="R739">
        <v>0</v>
      </c>
      <c r="S739">
        <v>83</v>
      </c>
      <c r="Y739" t="s">
        <v>6816</v>
      </c>
      <c r="Z739" t="s">
        <v>2492</v>
      </c>
      <c r="AA739" t="s">
        <v>6817</v>
      </c>
      <c r="AB739" t="s">
        <v>2497</v>
      </c>
      <c r="AC739" t="s">
        <v>6818</v>
      </c>
      <c r="AD739" s="249" t="str">
        <f>HYPERLINK("https://scontent.cdninstagram.com/t51.2885-15/s320x320/e35/20902261_467572926941893_3478311953661689856_n.jpg")</f>
        <v>https://scontent.cdninstagram.com/t51.2885-15/s320x320/e35/20902261_467572926941893_3478311953661689856_n.jpg</v>
      </c>
      <c r="AE739" s="249" t="str">
        <f>HYPERLINK("https://scontent.cdninstagram.com/t51.2885-19/s150x150/13715194_1643129856013927_2046294016_a.jpg")</f>
        <v>https://scontent.cdninstagram.com/t51.2885-19/s150x150/13715194_1643129856013927_2046294016_a.jpg</v>
      </c>
    </row>
    <row r="740" spans="1:31" ht="15" x14ac:dyDescent="0.25">
      <c r="A740" t="s">
        <v>2474</v>
      </c>
      <c r="B740" t="s">
        <v>6819</v>
      </c>
      <c r="C740" s="221">
        <v>42961.846666666665</v>
      </c>
      <c r="D740" t="s">
        <v>6820</v>
      </c>
      <c r="E740" s="249" t="str">
        <f>HYPERLINK("https://www.instagram.com/p/BXy0g38Fodi/")</f>
        <v>https://www.instagram.com/p/BXy0g38Fodi/</v>
      </c>
      <c r="F740" t="s">
        <v>6821</v>
      </c>
      <c r="G740" t="s">
        <v>2478</v>
      </c>
      <c r="H740">
        <v>42993</v>
      </c>
      <c r="I740" t="s">
        <v>2479</v>
      </c>
      <c r="J740">
        <v>20</v>
      </c>
      <c r="K740">
        <v>1189</v>
      </c>
      <c r="L740">
        <v>1209</v>
      </c>
      <c r="Q740">
        <v>0</v>
      </c>
      <c r="R740">
        <v>0</v>
      </c>
      <c r="S740">
        <v>1209</v>
      </c>
      <c r="Y740" t="s">
        <v>5214</v>
      </c>
      <c r="Z740" t="s">
        <v>6822</v>
      </c>
      <c r="AA740" t="s">
        <v>6823</v>
      </c>
      <c r="AB740" t="s">
        <v>6824</v>
      </c>
      <c r="AC740" t="s">
        <v>6825</v>
      </c>
      <c r="AD740" s="249" t="str">
        <f>HYPERLINK("https://scontent.cdninstagram.com/t51.2885-15/s320x320/e35/c0.108.893.893/20838425_1659120974100509_7737112068796448768_n.jpg")</f>
        <v>https://scontent.cdninstagram.com/t51.2885-15/s320x320/e35/c0.108.893.893/20838425_1659120974100509_7737112068796448768_n.jpg</v>
      </c>
      <c r="AE740" s="249" t="str">
        <f>HYPERLINK("https://scontent.cdninstagram.com/t51.2885-19/s150x150/19932754_334176993683769_2034620166683230208_n.jpg")</f>
        <v>https://scontent.cdninstagram.com/t51.2885-19/s150x150/19932754_334176993683769_2034620166683230208_n.jpg</v>
      </c>
    </row>
    <row r="741" spans="1:31" ht="15" x14ac:dyDescent="0.25">
      <c r="A741" t="s">
        <v>2474</v>
      </c>
      <c r="B741" t="s">
        <v>6826</v>
      </c>
      <c r="C741" s="221">
        <v>42961.848055555558</v>
      </c>
      <c r="D741" t="s">
        <v>6827</v>
      </c>
      <c r="E741" s="249" t="str">
        <f>HYPERLINK("https://www.instagram.com/p/BXy0vfAhYbi/")</f>
        <v>https://www.instagram.com/p/BXy0vfAhYbi/</v>
      </c>
      <c r="F741" t="s">
        <v>6828</v>
      </c>
      <c r="G741" t="s">
        <v>2478</v>
      </c>
      <c r="H741">
        <v>24480</v>
      </c>
      <c r="I741" t="s">
        <v>2479</v>
      </c>
      <c r="J741">
        <v>12</v>
      </c>
      <c r="K741">
        <v>294</v>
      </c>
      <c r="L741">
        <v>306</v>
      </c>
      <c r="Q741">
        <v>0</v>
      </c>
      <c r="R741">
        <v>0</v>
      </c>
      <c r="S741">
        <v>306</v>
      </c>
      <c r="Y741" t="s">
        <v>6829</v>
      </c>
      <c r="Z741" t="s">
        <v>4653</v>
      </c>
      <c r="AA741" t="s">
        <v>3075</v>
      </c>
      <c r="AB741" t="s">
        <v>6830</v>
      </c>
      <c r="AC741" t="s">
        <v>4656</v>
      </c>
      <c r="AD741" s="249" t="str">
        <f>HYPERLINK("https://scontent.cdninstagram.com/t51.2885-15/s320x320/e35/19228536_1104234506376689_800716203306778624_n.jpg")</f>
        <v>https://scontent.cdninstagram.com/t51.2885-15/s320x320/e35/19228536_1104234506376689_800716203306778624_n.jpg</v>
      </c>
      <c r="AE741" s="249" t="str">
        <f>HYPERLINK("https://scontent.cdninstagram.com/t51.2885-19/s150x150/15535145_1299231863453741_6995494065726816256_a.jpg")</f>
        <v>https://scontent.cdninstagram.com/t51.2885-19/s150x150/15535145_1299231863453741_6995494065726816256_a.jpg</v>
      </c>
    </row>
    <row r="742" spans="1:31" ht="15" x14ac:dyDescent="0.25">
      <c r="A742" t="s">
        <v>2474</v>
      </c>
      <c r="B742" t="s">
        <v>6831</v>
      </c>
      <c r="C742" s="221">
        <v>42961.84847222222</v>
      </c>
      <c r="D742" t="s">
        <v>6832</v>
      </c>
      <c r="E742" s="249" t="str">
        <f>HYPERLINK("https://www.instagram.com/p/BXy0zz5FSu7/")</f>
        <v>https://www.instagram.com/p/BXy0zz5FSu7/</v>
      </c>
      <c r="F742" t="s">
        <v>6833</v>
      </c>
      <c r="G742" t="s">
        <v>2478</v>
      </c>
      <c r="H742">
        <v>50</v>
      </c>
      <c r="I742" t="s">
        <v>2479</v>
      </c>
      <c r="J742">
        <v>0</v>
      </c>
      <c r="K742">
        <v>24</v>
      </c>
      <c r="L742">
        <v>24</v>
      </c>
      <c r="Q742">
        <v>0</v>
      </c>
      <c r="R742">
        <v>0</v>
      </c>
      <c r="S742">
        <v>24</v>
      </c>
      <c r="Y742" t="s">
        <v>6834</v>
      </c>
      <c r="Z742" t="s">
        <v>6835</v>
      </c>
      <c r="AA742" t="s">
        <v>6836</v>
      </c>
      <c r="AB742" t="s">
        <v>2730</v>
      </c>
      <c r="AC742" t="s">
        <v>6837</v>
      </c>
      <c r="AD742" s="249" t="str">
        <f>HYPERLINK("https://scontent.cdninstagram.com/t51.2885-15/s320x320/e35/c0.37.680.680/20766659_165106617391132_4451108452634198016_n.jpg")</f>
        <v>https://scontent.cdninstagram.com/t51.2885-15/s320x320/e35/c0.37.680.680/20766659_165106617391132_4451108452634198016_n.jpg</v>
      </c>
      <c r="AE742" s="249" t="str">
        <f>HYPERLINK("https://scontent.cdninstagram.com/t51.2885-19/s150x150/20482501_117348152247416_6073181359675801600_a.jpg")</f>
        <v>https://scontent.cdninstagram.com/t51.2885-19/s150x150/20482501_117348152247416_6073181359675801600_a.jpg</v>
      </c>
    </row>
    <row r="743" spans="1:31" ht="15" x14ac:dyDescent="0.25">
      <c r="A743" t="s">
        <v>2474</v>
      </c>
      <c r="B743" t="s">
        <v>3015</v>
      </c>
      <c r="C743" s="221">
        <v>42961.849641203706</v>
      </c>
      <c r="D743" t="s">
        <v>6838</v>
      </c>
      <c r="E743" s="249" t="str">
        <f>HYPERLINK("https://www.instagram.com/p/BXy1AMeA7-Q/")</f>
        <v>https://www.instagram.com/p/BXy1AMeA7-Q/</v>
      </c>
      <c r="F743" t="s">
        <v>6839</v>
      </c>
      <c r="G743" t="s">
        <v>2478</v>
      </c>
      <c r="H743">
        <v>177</v>
      </c>
      <c r="I743" t="s">
        <v>2479</v>
      </c>
      <c r="J743">
        <v>0</v>
      </c>
      <c r="K743">
        <v>26</v>
      </c>
      <c r="L743">
        <v>26</v>
      </c>
      <c r="Q743">
        <v>0</v>
      </c>
      <c r="R743">
        <v>0</v>
      </c>
      <c r="S743">
        <v>26</v>
      </c>
      <c r="Y743" t="s">
        <v>3494</v>
      </c>
      <c r="Z743" t="s">
        <v>4129</v>
      </c>
      <c r="AA743" t="s">
        <v>3165</v>
      </c>
      <c r="AB743" t="s">
        <v>3725</v>
      </c>
      <c r="AC743" t="s">
        <v>3571</v>
      </c>
      <c r="AD743" s="249" t="str">
        <f>HYPERLINK("https://scontent.cdninstagram.com/t51.2885-15/s320x320/e35/20759584_1950962308511706_7066724586502488064_n.jpg")</f>
        <v>https://scontent.cdninstagram.com/t51.2885-15/s320x320/e35/20759584_1950962308511706_7066724586502488064_n.jpg</v>
      </c>
      <c r="AE743" s="249" t="str">
        <f>HYPERLINK("https://scontent.cdninstagram.com/t51.2885-19/s150x150/19761452_1876060406050696_4275948751316582400_a.jpg")</f>
        <v>https://scontent.cdninstagram.com/t51.2885-19/s150x150/19761452_1876060406050696_4275948751316582400_a.jpg</v>
      </c>
    </row>
    <row r="744" spans="1:31" ht="15" x14ac:dyDescent="0.25">
      <c r="A744" t="s">
        <v>2474</v>
      </c>
      <c r="B744" t="s">
        <v>6840</v>
      </c>
      <c r="C744" s="221">
        <v>42961.858819444446</v>
      </c>
      <c r="D744" t="s">
        <v>6841</v>
      </c>
      <c r="E744" s="249" t="str">
        <f>HYPERLINK("https://www.instagram.com/p/BXy2g9eH_95/")</f>
        <v>https://www.instagram.com/p/BXy2g9eH_95/</v>
      </c>
      <c r="F744" t="s">
        <v>6842</v>
      </c>
      <c r="G744" t="s">
        <v>2478</v>
      </c>
      <c r="H744">
        <v>233</v>
      </c>
      <c r="I744" t="s">
        <v>3170</v>
      </c>
      <c r="J744">
        <v>4</v>
      </c>
      <c r="K744">
        <v>39</v>
      </c>
      <c r="L744">
        <v>43</v>
      </c>
      <c r="Q744">
        <v>0</v>
      </c>
      <c r="R744">
        <v>0</v>
      </c>
      <c r="S744">
        <v>43</v>
      </c>
      <c r="Y744" t="s">
        <v>6843</v>
      </c>
      <c r="Z744" t="s">
        <v>6844</v>
      </c>
      <c r="AA744" t="s">
        <v>5625</v>
      </c>
      <c r="AB744" t="s">
        <v>6845</v>
      </c>
      <c r="AC744" t="s">
        <v>6846</v>
      </c>
      <c r="AD744" s="249" t="str">
        <f>HYPERLINK("https://scontent.cdninstagram.com/t51.2885-15/s320x320/e35/20837363_505337493152782_2259993657803276288_n.jpg")</f>
        <v>https://scontent.cdninstagram.com/t51.2885-15/s320x320/e35/20837363_505337493152782_2259993657803276288_n.jpg</v>
      </c>
      <c r="AE744" s="249" t="str">
        <f>HYPERLINK("https://scontent.cdninstagram.com/t51.2885-19/s150x150/19051031_267294880411444_4586705024050003968_a.jpg")</f>
        <v>https://scontent.cdninstagram.com/t51.2885-19/s150x150/19051031_267294880411444_4586705024050003968_a.jpg</v>
      </c>
    </row>
    <row r="745" spans="1:31" ht="15" x14ac:dyDescent="0.25">
      <c r="A745" t="s">
        <v>2474</v>
      </c>
      <c r="B745" t="s">
        <v>6847</v>
      </c>
      <c r="C745" s="221">
        <v>42961.860833333332</v>
      </c>
      <c r="D745" t="s">
        <v>6848</v>
      </c>
      <c r="E745" s="249" t="str">
        <f>HYPERLINK("https://www.instagram.com/p/BXy22MjBh4Z/")</f>
        <v>https://www.instagram.com/p/BXy22MjBh4Z/</v>
      </c>
      <c r="F745" t="s">
        <v>6849</v>
      </c>
      <c r="G745" t="s">
        <v>2478</v>
      </c>
      <c r="H745">
        <v>109</v>
      </c>
      <c r="I745" t="s">
        <v>2479</v>
      </c>
      <c r="J745">
        <v>4</v>
      </c>
      <c r="K745">
        <v>37</v>
      </c>
      <c r="L745">
        <v>41</v>
      </c>
      <c r="Q745">
        <v>0</v>
      </c>
      <c r="R745">
        <v>0</v>
      </c>
      <c r="S745">
        <v>41</v>
      </c>
      <c r="T745" t="s">
        <v>6850</v>
      </c>
      <c r="V745" t="s">
        <v>2161</v>
      </c>
      <c r="W745">
        <v>50.95</v>
      </c>
      <c r="X745">
        <v>6.9667000000000003</v>
      </c>
      <c r="Y745" t="s">
        <v>3982</v>
      </c>
      <c r="Z745" t="s">
        <v>3006</v>
      </c>
      <c r="AA745" t="s">
        <v>6851</v>
      </c>
      <c r="AB745" t="s">
        <v>6852</v>
      </c>
      <c r="AC745" t="s">
        <v>4026</v>
      </c>
      <c r="AD745" s="249" t="str">
        <f>HYPERLINK("https://scontent.cdninstagram.com/t51.2885-15/s320x320/e35/20766570_111532992854336_9193701719874207744_n.jpg")</f>
        <v>https://scontent.cdninstagram.com/t51.2885-15/s320x320/e35/20766570_111532992854336_9193701719874207744_n.jpg</v>
      </c>
      <c r="AE745" s="249" t="str">
        <f>HYPERLINK("https://scontent.cdninstagram.com/t51.2885-19/s150x150/20759948_2040958986128138_1613724504230461440_a.jpg")</f>
        <v>https://scontent.cdninstagram.com/t51.2885-19/s150x150/20759948_2040958986128138_1613724504230461440_a.jpg</v>
      </c>
    </row>
    <row r="746" spans="1:31" ht="15" x14ac:dyDescent="0.25">
      <c r="A746" t="s">
        <v>2474</v>
      </c>
      <c r="B746" t="s">
        <v>6853</v>
      </c>
      <c r="C746" s="221">
        <v>42961.861759259256</v>
      </c>
      <c r="D746" t="s">
        <v>6854</v>
      </c>
      <c r="E746" s="249" t="str">
        <f>HYPERLINK("https://www.instagram.com/p/BXy2_9fHrlX/")</f>
        <v>https://www.instagram.com/p/BXy2_9fHrlX/</v>
      </c>
      <c r="F746" t="s">
        <v>6855</v>
      </c>
      <c r="G746" t="s">
        <v>2478</v>
      </c>
      <c r="H746">
        <v>210</v>
      </c>
      <c r="I746" t="s">
        <v>2582</v>
      </c>
      <c r="J746">
        <v>0</v>
      </c>
      <c r="K746">
        <v>17</v>
      </c>
      <c r="L746">
        <v>17</v>
      </c>
      <c r="Q746">
        <v>0</v>
      </c>
      <c r="R746">
        <v>0</v>
      </c>
      <c r="S746">
        <v>17</v>
      </c>
      <c r="T746" t="s">
        <v>6856</v>
      </c>
      <c r="V746" t="s">
        <v>2182</v>
      </c>
      <c r="W746">
        <v>45.489089999999997</v>
      </c>
      <c r="X746">
        <v>9.1875400000000003</v>
      </c>
      <c r="Y746" t="s">
        <v>6857</v>
      </c>
      <c r="Z746" t="s">
        <v>6858</v>
      </c>
      <c r="AA746" t="s">
        <v>6859</v>
      </c>
      <c r="AB746" t="s">
        <v>2497</v>
      </c>
      <c r="AC746" t="s">
        <v>6860</v>
      </c>
      <c r="AD746" s="249" t="str">
        <f>HYPERLINK("https://scontent.cdninstagram.com/t51.2885-15/s320x320/e35/20766997_1294227754033149_1821872036872454144_n.jpg")</f>
        <v>https://scontent.cdninstagram.com/t51.2885-15/s320x320/e35/20766997_1294227754033149_1821872036872454144_n.jpg</v>
      </c>
      <c r="AE746" s="249" t="str">
        <f>HYPERLINK("https://scontent.cdninstagram.com/t51.2885-19/10369338_665999500116644_880926509_a.jpg")</f>
        <v>https://scontent.cdninstagram.com/t51.2885-19/10369338_665999500116644_880926509_a.jpg</v>
      </c>
    </row>
    <row r="747" spans="1:31" ht="15" x14ac:dyDescent="0.25">
      <c r="A747" t="s">
        <v>2474</v>
      </c>
      <c r="B747" t="s">
        <v>6861</v>
      </c>
      <c r="C747" s="221">
        <v>42961.87158564815</v>
      </c>
      <c r="D747" t="s">
        <v>6862</v>
      </c>
      <c r="E747" s="249" t="str">
        <f>HYPERLINK("https://www.instagram.com/p/BXy4nlhDebe/")</f>
        <v>https://www.instagram.com/p/BXy4nlhDebe/</v>
      </c>
      <c r="F747" t="s">
        <v>6863</v>
      </c>
      <c r="G747" t="s">
        <v>2478</v>
      </c>
      <c r="H747">
        <v>84</v>
      </c>
      <c r="I747" t="s">
        <v>2479</v>
      </c>
      <c r="J747">
        <v>0</v>
      </c>
      <c r="K747">
        <v>10</v>
      </c>
      <c r="L747">
        <v>10</v>
      </c>
      <c r="Q747">
        <v>0</v>
      </c>
      <c r="R747">
        <v>0</v>
      </c>
      <c r="S747">
        <v>10</v>
      </c>
      <c r="Y747" t="s">
        <v>6864</v>
      </c>
      <c r="Z747" t="s">
        <v>6843</v>
      </c>
      <c r="AA747" t="s">
        <v>6865</v>
      </c>
      <c r="AB747" t="s">
        <v>5836</v>
      </c>
      <c r="AC747" t="s">
        <v>5706</v>
      </c>
      <c r="AD747" s="249" t="str">
        <f>HYPERLINK("https://scontent.cdninstagram.com/t51.2885-15/s320x320/e35/c0.102.903.903/20766637_218223572039521_1498966328155832320_n.jpg")</f>
        <v>https://scontent.cdninstagram.com/t51.2885-15/s320x320/e35/c0.102.903.903/20766637_218223572039521_1498966328155832320_n.jpg</v>
      </c>
      <c r="AE747" s="249" t="str">
        <f>HYPERLINK("https://scontent.cdninstagram.com/t51.2885-19/s150x150/15337288_705538102936754_4174933233638572032_a.jpg")</f>
        <v>https://scontent.cdninstagram.com/t51.2885-19/s150x150/15337288_705538102936754_4174933233638572032_a.jpg</v>
      </c>
    </row>
    <row r="748" spans="1:31" ht="15" x14ac:dyDescent="0.25">
      <c r="A748" t="s">
        <v>2474</v>
      </c>
      <c r="B748" t="s">
        <v>6866</v>
      </c>
      <c r="C748" s="221">
        <v>42961.877337962964</v>
      </c>
      <c r="D748" t="s">
        <v>6867</v>
      </c>
      <c r="E748" s="249" t="str">
        <f>HYPERLINK("https://www.instagram.com/p/BXy5kR_jViv/")</f>
        <v>https://www.instagram.com/p/BXy5kR_jViv/</v>
      </c>
      <c r="F748" t="s">
        <v>6868</v>
      </c>
      <c r="G748" t="s">
        <v>2478</v>
      </c>
      <c r="H748">
        <v>94</v>
      </c>
      <c r="I748" t="s">
        <v>3575</v>
      </c>
      <c r="J748">
        <v>2</v>
      </c>
      <c r="K748">
        <v>8</v>
      </c>
      <c r="L748">
        <v>10</v>
      </c>
      <c r="Q748">
        <v>0</v>
      </c>
      <c r="R748">
        <v>0</v>
      </c>
      <c r="S748">
        <v>10</v>
      </c>
      <c r="T748" t="s">
        <v>6869</v>
      </c>
      <c r="U748" t="s">
        <v>99</v>
      </c>
      <c r="V748" t="s">
        <v>2299</v>
      </c>
      <c r="W748">
        <v>40.35998</v>
      </c>
      <c r="X748">
        <v>-74.289330000000007</v>
      </c>
      <c r="Y748" t="s">
        <v>6870</v>
      </c>
      <c r="Z748" t="s">
        <v>6871</v>
      </c>
      <c r="AA748" t="s">
        <v>6872</v>
      </c>
      <c r="AB748" t="s">
        <v>6873</v>
      </c>
      <c r="AC748" t="s">
        <v>3885</v>
      </c>
      <c r="AD748" s="249" t="str">
        <f>HYPERLINK("https://scontent.cdninstagram.com/t51.2885-15/s320x320/e35/20766386_334876820286909_1529395707591524352_n.jpg")</f>
        <v>https://scontent.cdninstagram.com/t51.2885-15/s320x320/e35/20766386_334876820286909_1529395707591524352_n.jpg</v>
      </c>
      <c r="AE748" s="249" t="str">
        <f>HYPERLINK("https://scontent.cdninstagram.com/t51.2885-19/s150x150/20687801_163642227539171_865772369292034048_a.jpg")</f>
        <v>https://scontent.cdninstagram.com/t51.2885-19/s150x150/20687801_163642227539171_865772369292034048_a.jpg</v>
      </c>
    </row>
    <row r="749" spans="1:31" ht="15" x14ac:dyDescent="0.25">
      <c r="A749" t="s">
        <v>2474</v>
      </c>
      <c r="B749" t="s">
        <v>6874</v>
      </c>
      <c r="C749" s="221">
        <v>42961.879826388889</v>
      </c>
      <c r="D749" t="s">
        <v>6875</v>
      </c>
      <c r="E749" s="249" t="str">
        <f>HYPERLINK("https://www.instagram.com/p/BXy5-lLFA-F/")</f>
        <v>https://www.instagram.com/p/BXy5-lLFA-F/</v>
      </c>
      <c r="F749" t="s">
        <v>6876</v>
      </c>
      <c r="G749" t="s">
        <v>2478</v>
      </c>
      <c r="I749" t="s">
        <v>2479</v>
      </c>
      <c r="J749">
        <v>0</v>
      </c>
      <c r="K749">
        <v>4</v>
      </c>
      <c r="L749">
        <v>4</v>
      </c>
      <c r="Q749">
        <v>0</v>
      </c>
      <c r="R749">
        <v>0</v>
      </c>
      <c r="S749">
        <v>4</v>
      </c>
      <c r="Y749" t="s">
        <v>6877</v>
      </c>
      <c r="Z749" t="s">
        <v>2497</v>
      </c>
      <c r="AA749" t="s">
        <v>6878</v>
      </c>
      <c r="AD749" s="249" t="str">
        <f>HYPERLINK("https://scontent.cdninstagram.com/t51.2885-15/s150x150/e35/c40.0.240.240/20838129_1749159175376920_4821157058126544896_n.jpg")</f>
        <v>https://scontent.cdninstagram.com/t51.2885-15/s150x150/e35/c40.0.240.240/20838129_1749159175376920_4821157058126544896_n.jpg</v>
      </c>
      <c r="AE749" s="249" t="str">
        <f>HYPERLINK("https://scontent.cdninstagram.com/t51.2885-19/s150x150/14063152_572025166292115_958414314_a.jpg")</f>
        <v>https://scontent.cdninstagram.com/t51.2885-19/s150x150/14063152_572025166292115_958414314_a.jpg</v>
      </c>
    </row>
    <row r="750" spans="1:31" ht="15" x14ac:dyDescent="0.25">
      <c r="A750" t="s">
        <v>2474</v>
      </c>
      <c r="B750" t="s">
        <v>6879</v>
      </c>
      <c r="C750" s="221">
        <v>42961.887187499997</v>
      </c>
      <c r="D750" t="s">
        <v>6880</v>
      </c>
      <c r="E750" s="249" t="str">
        <f>HYPERLINK("https://www.instagram.com/p/BXy7MISB6HU/")</f>
        <v>https://www.instagram.com/p/BXy7MISB6HU/</v>
      </c>
      <c r="F750" t="s">
        <v>6881</v>
      </c>
      <c r="G750" t="s">
        <v>2478</v>
      </c>
      <c r="H750">
        <v>16898</v>
      </c>
      <c r="I750" t="s">
        <v>2479</v>
      </c>
      <c r="J750">
        <v>5</v>
      </c>
      <c r="K750">
        <v>330</v>
      </c>
      <c r="L750">
        <v>335</v>
      </c>
      <c r="Q750">
        <v>0</v>
      </c>
      <c r="R750">
        <v>0</v>
      </c>
      <c r="S750">
        <v>335</v>
      </c>
      <c r="Y750" t="s">
        <v>3209</v>
      </c>
      <c r="Z750" t="s">
        <v>6882</v>
      </c>
      <c r="AA750" t="s">
        <v>6883</v>
      </c>
      <c r="AB750" t="s">
        <v>2968</v>
      </c>
      <c r="AC750" t="s">
        <v>2696</v>
      </c>
      <c r="AD750" s="249" t="str">
        <f>HYPERLINK("https://scontent.cdninstagram.com/t51.2885-15/s320x320/e35/20766243_1122578314540433_8334460488305868800_n.jpg")</f>
        <v>https://scontent.cdninstagram.com/t51.2885-15/s320x320/e35/20766243_1122578314540433_8334460488305868800_n.jpg</v>
      </c>
      <c r="AE750" s="249" t="str">
        <f>HYPERLINK("https://scontent.cdninstagram.com/t51.2885-19/s150x150/18513261_1896678320554078_6189675982438268928_a.jpg")</f>
        <v>https://scontent.cdninstagram.com/t51.2885-19/s150x150/18513261_1896678320554078_6189675982438268928_a.jpg</v>
      </c>
    </row>
    <row r="751" spans="1:31" ht="15" x14ac:dyDescent="0.25">
      <c r="A751" t="s">
        <v>2474</v>
      </c>
      <c r="B751" t="s">
        <v>6884</v>
      </c>
      <c r="C751" s="221">
        <v>42961.897662037038</v>
      </c>
      <c r="D751" t="s">
        <v>6885</v>
      </c>
      <c r="E751" s="249" t="str">
        <f>HYPERLINK("https://www.instagram.com/p/BXy86smgbVw/")</f>
        <v>https://www.instagram.com/p/BXy86smgbVw/</v>
      </c>
      <c r="F751" t="s">
        <v>6886</v>
      </c>
      <c r="G751" t="s">
        <v>2478</v>
      </c>
      <c r="H751">
        <v>635</v>
      </c>
      <c r="I751" t="s">
        <v>2479</v>
      </c>
      <c r="J751">
        <v>0</v>
      </c>
      <c r="K751">
        <v>10</v>
      </c>
      <c r="L751">
        <v>10</v>
      </c>
      <c r="Q751">
        <v>0</v>
      </c>
      <c r="R751">
        <v>0</v>
      </c>
      <c r="S751">
        <v>10</v>
      </c>
      <c r="Y751" t="s">
        <v>6887</v>
      </c>
      <c r="Z751" t="s">
        <v>6888</v>
      </c>
      <c r="AA751" t="s">
        <v>6889</v>
      </c>
      <c r="AB751" t="s">
        <v>6890</v>
      </c>
      <c r="AC751" t="s">
        <v>3246</v>
      </c>
      <c r="AD751" s="249" t="str">
        <f>HYPERLINK("https://scontent.cdninstagram.com/t51.2885-15/s320x320/e35/20837112_119452788707135_2520124072981954560_n.jpg")</f>
        <v>https://scontent.cdninstagram.com/t51.2885-15/s320x320/e35/20837112_119452788707135_2520124072981954560_n.jpg</v>
      </c>
      <c r="AE751" s="249" t="str">
        <f>HYPERLINK("https://scontent.cdninstagram.com/t51.2885-19/s150x150/11349333_1662361834032484_352687595_a.jpg")</f>
        <v>https://scontent.cdninstagram.com/t51.2885-19/s150x150/11349333_1662361834032484_352687595_a.jpg</v>
      </c>
    </row>
    <row r="752" spans="1:31" ht="15" x14ac:dyDescent="0.25">
      <c r="A752" t="s">
        <v>2474</v>
      </c>
      <c r="B752" t="s">
        <v>6891</v>
      </c>
      <c r="C752" s="221">
        <v>42961.913425925923</v>
      </c>
      <c r="D752" t="s">
        <v>6892</v>
      </c>
      <c r="E752" s="249" t="str">
        <f>HYPERLINK("https://www.instagram.com/p/BXy_g3pgC1L/")</f>
        <v>https://www.instagram.com/p/BXy_g3pgC1L/</v>
      </c>
      <c r="F752" t="s">
        <v>6893</v>
      </c>
      <c r="G752" t="s">
        <v>2478</v>
      </c>
      <c r="H752">
        <v>222</v>
      </c>
      <c r="I752" t="s">
        <v>2479</v>
      </c>
      <c r="J752">
        <v>1</v>
      </c>
      <c r="K752">
        <v>17</v>
      </c>
      <c r="L752">
        <v>18</v>
      </c>
      <c r="Q752">
        <v>0</v>
      </c>
      <c r="R752">
        <v>0</v>
      </c>
      <c r="S752">
        <v>18</v>
      </c>
      <c r="Y752" t="s">
        <v>6894</v>
      </c>
      <c r="Z752" t="s">
        <v>6895</v>
      </c>
      <c r="AA752" t="s">
        <v>6896</v>
      </c>
      <c r="AB752" t="s">
        <v>6897</v>
      </c>
      <c r="AC752" t="s">
        <v>6898</v>
      </c>
      <c r="AD752" s="249" t="str">
        <f>HYPERLINK("https://scontent.cdninstagram.com/t51.2885-15/s320x320/e35/20766857_109779603064338_8702842689437040640_n.jpg")</f>
        <v>https://scontent.cdninstagram.com/t51.2885-15/s320x320/e35/20766857_109779603064338_8702842689437040640_n.jpg</v>
      </c>
      <c r="AE752" s="249" t="str">
        <f>HYPERLINK("https://scontent.cdninstagram.com/t51.2885-19/s150x150/17437944_599707170222214_2997782538614734848_a.jpg")</f>
        <v>https://scontent.cdninstagram.com/t51.2885-19/s150x150/17437944_599707170222214_2997782538614734848_a.jpg</v>
      </c>
    </row>
    <row r="753" spans="1:31" ht="15" x14ac:dyDescent="0.25">
      <c r="A753" t="s">
        <v>2474</v>
      </c>
      <c r="B753" t="s">
        <v>6899</v>
      </c>
      <c r="C753" s="221">
        <v>42961.915069444447</v>
      </c>
      <c r="D753" t="s">
        <v>6900</v>
      </c>
      <c r="E753" s="249" t="str">
        <f>HYPERLINK("https://www.instagram.com/p/BXy_yMSAZng/")</f>
        <v>https://www.instagram.com/p/BXy_yMSAZng/</v>
      </c>
      <c r="G753" t="s">
        <v>2478</v>
      </c>
      <c r="H753">
        <v>34219</v>
      </c>
      <c r="I753" t="s">
        <v>2479</v>
      </c>
      <c r="J753">
        <v>7</v>
      </c>
      <c r="K753">
        <v>671</v>
      </c>
      <c r="L753">
        <v>678</v>
      </c>
      <c r="Q753">
        <v>0</v>
      </c>
      <c r="R753">
        <v>0</v>
      </c>
      <c r="S753">
        <v>678</v>
      </c>
      <c r="AD753" s="249" t="str">
        <f>HYPERLINK("https://scontent.cdninstagram.com/t51.2885-15/s320x320/e35/20902577_294264284312699_9150953339146469376_n.jpg")</f>
        <v>https://scontent.cdninstagram.com/t51.2885-15/s320x320/e35/20902577_294264284312699_9150953339146469376_n.jpg</v>
      </c>
      <c r="AE753" s="249" t="str">
        <f>HYPERLINK("https://scontent.cdninstagram.com/t51.2885-19/s150x150/17493776_1474371442636277_6993911971573661696_n.jpg")</f>
        <v>https://scontent.cdninstagram.com/t51.2885-19/s150x150/17493776_1474371442636277_6993911971573661696_n.jpg</v>
      </c>
    </row>
    <row r="754" spans="1:31" ht="15" x14ac:dyDescent="0.25">
      <c r="A754" t="s">
        <v>2474</v>
      </c>
      <c r="B754" t="s">
        <v>6901</v>
      </c>
      <c r="C754" s="221">
        <v>42961.915868055556</v>
      </c>
      <c r="D754" t="s">
        <v>6902</v>
      </c>
      <c r="E754" s="249" t="str">
        <f>HYPERLINK("https://www.instagram.com/p/BXy_6npg66F/")</f>
        <v>https://www.instagram.com/p/BXy_6npg66F/</v>
      </c>
      <c r="F754" t="s">
        <v>6903</v>
      </c>
      <c r="G754" t="s">
        <v>2488</v>
      </c>
      <c r="H754">
        <v>125</v>
      </c>
      <c r="I754" t="s">
        <v>2479</v>
      </c>
      <c r="J754">
        <v>0</v>
      </c>
      <c r="K754">
        <v>9</v>
      </c>
      <c r="L754">
        <v>9</v>
      </c>
      <c r="Q754">
        <v>0</v>
      </c>
      <c r="R754">
        <v>0</v>
      </c>
      <c r="S754">
        <v>9</v>
      </c>
      <c r="T754" t="s">
        <v>6904</v>
      </c>
      <c r="U754" t="s">
        <v>582</v>
      </c>
      <c r="V754" t="s">
        <v>2299</v>
      </c>
      <c r="W754">
        <v>44.032196999999996</v>
      </c>
      <c r="X754">
        <v>-71.514559000000006</v>
      </c>
      <c r="Y754" t="s">
        <v>6905</v>
      </c>
      <c r="Z754" t="s">
        <v>6906</v>
      </c>
      <c r="AA754" t="s">
        <v>4987</v>
      </c>
      <c r="AB754" t="s">
        <v>2529</v>
      </c>
      <c r="AC754" t="s">
        <v>2497</v>
      </c>
      <c r="AD754" s="249" t="str">
        <f>HYPERLINK("https://scontent.cdninstagram.com/t51.2885-15/s320x320/e35/20766478_141441043112360_6378014421536473088_n.jpg")</f>
        <v>https://scontent.cdninstagram.com/t51.2885-15/s320x320/e35/20766478_141441043112360_6378014421536473088_n.jpg</v>
      </c>
      <c r="AE754" s="249" t="str">
        <f>HYPERLINK("https://scontent.cdninstagram.com/t51.2885-19/s150x150/15535229_1872336809646687_1329993024716931072_n.jpg")</f>
        <v>https://scontent.cdninstagram.com/t51.2885-19/s150x150/15535229_1872336809646687_1329993024716931072_n.jpg</v>
      </c>
    </row>
    <row r="755" spans="1:31" ht="15" x14ac:dyDescent="0.25">
      <c r="A755" t="s">
        <v>2474</v>
      </c>
      <c r="B755" t="s">
        <v>6907</v>
      </c>
      <c r="C755" s="221">
        <v>42961.926412037035</v>
      </c>
      <c r="D755" t="s">
        <v>6908</v>
      </c>
      <c r="E755" s="249" t="str">
        <f>HYPERLINK("https://www.instagram.com/p/BXzBp6shYVr/")</f>
        <v>https://www.instagram.com/p/BXzBp6shYVr/</v>
      </c>
      <c r="F755" t="s">
        <v>6909</v>
      </c>
      <c r="G755" t="s">
        <v>2478</v>
      </c>
      <c r="H755">
        <v>1691</v>
      </c>
      <c r="I755" t="s">
        <v>2479</v>
      </c>
      <c r="J755">
        <v>1</v>
      </c>
      <c r="K755">
        <v>137</v>
      </c>
      <c r="L755">
        <v>138</v>
      </c>
      <c r="Q755">
        <v>0</v>
      </c>
      <c r="R755">
        <v>0</v>
      </c>
      <c r="S755">
        <v>138</v>
      </c>
      <c r="T755" t="s">
        <v>6910</v>
      </c>
      <c r="V755" t="s">
        <v>2288</v>
      </c>
      <c r="W755">
        <v>51.526000000000003</v>
      </c>
      <c r="X755">
        <v>-7.8E-2</v>
      </c>
      <c r="Y755" t="s">
        <v>5989</v>
      </c>
      <c r="Z755" t="s">
        <v>6911</v>
      </c>
      <c r="AA755" t="s">
        <v>2497</v>
      </c>
      <c r="AD755" s="249" t="str">
        <f>HYPERLINK("https://scontent.cdninstagram.com/t51.2885-15/s320x320/e35/c236.0.607.607/20902321_1885246425130559_7048799789600735232_n.jpg")</f>
        <v>https://scontent.cdninstagram.com/t51.2885-15/s320x320/e35/c236.0.607.607/20902321_1885246425130559_7048799789600735232_n.jpg</v>
      </c>
      <c r="AE755" s="249" t="str">
        <f>HYPERLINK("https://scontent.cdninstagram.com/t51.2885-19/s150x150/18252696_1805765013071150_237854678967123968_a.jpg")</f>
        <v>https://scontent.cdninstagram.com/t51.2885-19/s150x150/18252696_1805765013071150_237854678967123968_a.jpg</v>
      </c>
    </row>
    <row r="756" spans="1:31" ht="15" x14ac:dyDescent="0.25">
      <c r="A756" t="s">
        <v>2474</v>
      </c>
      <c r="B756" t="s">
        <v>6912</v>
      </c>
      <c r="C756" s="221">
        <v>42961.947835648149</v>
      </c>
      <c r="D756" t="s">
        <v>6913</v>
      </c>
      <c r="E756" s="249" t="str">
        <f>HYPERLINK("https://www.instagram.com/p/BXzFLyJl4uF/")</f>
        <v>https://www.instagram.com/p/BXzFLyJl4uF/</v>
      </c>
      <c r="F756" t="s">
        <v>6914</v>
      </c>
      <c r="G756" t="s">
        <v>2478</v>
      </c>
      <c r="H756">
        <v>357</v>
      </c>
      <c r="I756" t="s">
        <v>2542</v>
      </c>
      <c r="J756">
        <v>5</v>
      </c>
      <c r="K756">
        <v>35</v>
      </c>
      <c r="L756">
        <v>40</v>
      </c>
      <c r="Q756">
        <v>0</v>
      </c>
      <c r="R756">
        <v>0</v>
      </c>
      <c r="S756">
        <v>40</v>
      </c>
      <c r="Y756" t="s">
        <v>6915</v>
      </c>
      <c r="Z756" t="s">
        <v>6916</v>
      </c>
      <c r="AA756" t="s">
        <v>6917</v>
      </c>
      <c r="AB756" t="s">
        <v>3634</v>
      </c>
      <c r="AC756" t="s">
        <v>5943</v>
      </c>
      <c r="AD756" s="249" t="str">
        <f>HYPERLINK("https://scontent.cdninstagram.com/t51.2885-15/s320x320/e35/c241.0.598.598/20766500_2028577410708481_9206621612860768256_n.jpg")</f>
        <v>https://scontent.cdninstagram.com/t51.2885-15/s320x320/e35/c241.0.598.598/20766500_2028577410708481_9206621612860768256_n.jpg</v>
      </c>
      <c r="AE756" s="249" t="str">
        <f>HYPERLINK("https://scontent.cdninstagram.com/t51.2885-19/s150x150/20837394_1453498761405648_3103876429918502912_a.jpg")</f>
        <v>https://scontent.cdninstagram.com/t51.2885-19/s150x150/20837394_1453498761405648_3103876429918502912_a.jpg</v>
      </c>
    </row>
    <row r="757" spans="1:31" ht="15" x14ac:dyDescent="0.25">
      <c r="A757" t="s">
        <v>2474</v>
      </c>
      <c r="B757" t="s">
        <v>6918</v>
      </c>
      <c r="C757" s="221">
        <v>42961.949432870373</v>
      </c>
      <c r="D757" t="s">
        <v>6919</v>
      </c>
      <c r="E757" s="249" t="str">
        <f>HYPERLINK("https://www.instagram.com/p/BXzFcqMBziv/")</f>
        <v>https://www.instagram.com/p/BXzFcqMBziv/</v>
      </c>
      <c r="F757" t="s">
        <v>6920</v>
      </c>
      <c r="G757" t="s">
        <v>2478</v>
      </c>
      <c r="H757">
        <v>23</v>
      </c>
      <c r="I757" t="s">
        <v>2582</v>
      </c>
      <c r="J757">
        <v>0</v>
      </c>
      <c r="K757">
        <v>3</v>
      </c>
      <c r="L757">
        <v>3</v>
      </c>
      <c r="Q757">
        <v>0</v>
      </c>
      <c r="R757">
        <v>0</v>
      </c>
      <c r="S757">
        <v>3</v>
      </c>
      <c r="Y757" t="s">
        <v>6921</v>
      </c>
      <c r="Z757" t="s">
        <v>2497</v>
      </c>
      <c r="AA757" t="s">
        <v>6922</v>
      </c>
      <c r="AD757" s="249" t="str">
        <f>HYPERLINK("https://scontent.cdninstagram.com/t51.2885-15/s320x320/e35/19534742_935600099912064_5194326107683291136_n.jpg")</f>
        <v>https://scontent.cdninstagram.com/t51.2885-15/s320x320/e35/19534742_935600099912064_5194326107683291136_n.jpg</v>
      </c>
      <c r="AE757" s="249" t="str">
        <f>HYPERLINK("https://scontent.cdninstagram.com/t51.2885-19/s150x150/17493997_1898783030407076_1519813665618919424_a.jpg")</f>
        <v>https://scontent.cdninstagram.com/t51.2885-19/s150x150/17493997_1898783030407076_1519813665618919424_a.jpg</v>
      </c>
    </row>
    <row r="758" spans="1:31" ht="15" x14ac:dyDescent="0.25">
      <c r="A758" t="s">
        <v>2474</v>
      </c>
      <c r="B758" t="s">
        <v>3523</v>
      </c>
      <c r="C758" s="221">
        <v>42961.952719907407</v>
      </c>
      <c r="D758" t="s">
        <v>6923</v>
      </c>
      <c r="E758" s="249" t="str">
        <f>HYPERLINK("https://www.instagram.com/p/BXzF_UWF1jT/")</f>
        <v>https://www.instagram.com/p/BXzF_UWF1jT/</v>
      </c>
      <c r="F758" t="s">
        <v>6924</v>
      </c>
      <c r="G758" t="s">
        <v>2631</v>
      </c>
      <c r="H758">
        <v>792</v>
      </c>
      <c r="I758" t="s">
        <v>3575</v>
      </c>
      <c r="J758">
        <v>4</v>
      </c>
      <c r="K758">
        <v>31</v>
      </c>
      <c r="L758">
        <v>35</v>
      </c>
      <c r="Q758">
        <v>0</v>
      </c>
      <c r="R758">
        <v>0</v>
      </c>
      <c r="S758">
        <v>35</v>
      </c>
      <c r="Y758" t="s">
        <v>6925</v>
      </c>
      <c r="Z758" t="s">
        <v>6926</v>
      </c>
      <c r="AA758" t="s">
        <v>6927</v>
      </c>
      <c r="AB758" t="s">
        <v>6928</v>
      </c>
      <c r="AC758" t="s">
        <v>6929</v>
      </c>
      <c r="AD758" s="249" t="str">
        <f>HYPERLINK("https://scontent.cdninstagram.com/t51.2885-15/s320x320/e15/20836919_185938271946599_8725061053475454976_n.jpg")</f>
        <v>https://scontent.cdninstagram.com/t51.2885-15/s320x320/e15/20836919_185938271946599_8725061053475454976_n.jpg</v>
      </c>
      <c r="AE758" s="249" t="str">
        <f>HYPERLINK("https://scontent.cdninstagram.com/t51.2885-19/s150x150/13423548_1579884235642985_2055615186_a.jpg")</f>
        <v>https://scontent.cdninstagram.com/t51.2885-19/s150x150/13423548_1579884235642985_2055615186_a.jpg</v>
      </c>
    </row>
    <row r="759" spans="1:31" ht="15" x14ac:dyDescent="0.25">
      <c r="A759" t="s">
        <v>2474</v>
      </c>
      <c r="B759" t="s">
        <v>3523</v>
      </c>
      <c r="C759" s="221">
        <v>42961.955879629626</v>
      </c>
      <c r="D759" t="s">
        <v>6930</v>
      </c>
      <c r="E759" s="249" t="str">
        <f>HYPERLINK("https://www.instagram.com/p/BXzGgq8lPPU/")</f>
        <v>https://www.instagram.com/p/BXzGgq8lPPU/</v>
      </c>
      <c r="F759" t="s">
        <v>6924</v>
      </c>
      <c r="G759" t="s">
        <v>2488</v>
      </c>
      <c r="H759">
        <v>792</v>
      </c>
      <c r="I759" t="s">
        <v>2479</v>
      </c>
      <c r="J759">
        <v>3</v>
      </c>
      <c r="K759">
        <v>30</v>
      </c>
      <c r="L759">
        <v>33</v>
      </c>
      <c r="Q759">
        <v>0</v>
      </c>
      <c r="R759">
        <v>0</v>
      </c>
      <c r="S759">
        <v>33</v>
      </c>
      <c r="Y759" t="s">
        <v>6925</v>
      </c>
      <c r="Z759" t="s">
        <v>6926</v>
      </c>
      <c r="AA759" t="s">
        <v>6927</v>
      </c>
      <c r="AB759" t="s">
        <v>6928</v>
      </c>
      <c r="AC759" t="s">
        <v>6929</v>
      </c>
      <c r="AD759" s="249" t="str">
        <f>HYPERLINK("https://scontent.cdninstagram.com/t51.2885-15/s320x320/e35/20766621_1629221293795681_111033550370766848_n.jpg")</f>
        <v>https://scontent.cdninstagram.com/t51.2885-15/s320x320/e35/20766621_1629221293795681_111033550370766848_n.jpg</v>
      </c>
      <c r="AE759" s="249" t="str">
        <f>HYPERLINK("https://scontent.cdninstagram.com/t51.2885-19/s150x150/13423548_1579884235642985_2055615186_a.jpg")</f>
        <v>https://scontent.cdninstagram.com/t51.2885-19/s150x150/13423548_1579884235642985_2055615186_a.jpg</v>
      </c>
    </row>
    <row r="760" spans="1:31" ht="15" x14ac:dyDescent="0.25">
      <c r="A760" t="s">
        <v>2474</v>
      </c>
      <c r="B760" t="s">
        <v>6931</v>
      </c>
      <c r="C760" s="221">
        <v>42961.980879629627</v>
      </c>
      <c r="D760" t="s">
        <v>6932</v>
      </c>
      <c r="E760" s="249" t="str">
        <f>HYPERLINK("https://www.instagram.com/p/BXzKoZihBW6/")</f>
        <v>https://www.instagram.com/p/BXzKoZihBW6/</v>
      </c>
      <c r="F760" t="s">
        <v>6933</v>
      </c>
      <c r="G760" t="s">
        <v>2478</v>
      </c>
      <c r="I760" t="s">
        <v>2542</v>
      </c>
      <c r="J760">
        <v>1</v>
      </c>
      <c r="K760">
        <v>86</v>
      </c>
      <c r="L760">
        <v>87</v>
      </c>
      <c r="Q760">
        <v>0</v>
      </c>
      <c r="R760">
        <v>0</v>
      </c>
      <c r="S760">
        <v>87</v>
      </c>
      <c r="Y760" t="s">
        <v>6934</v>
      </c>
      <c r="Z760" t="s">
        <v>2617</v>
      </c>
      <c r="AA760" t="s">
        <v>2513</v>
      </c>
      <c r="AB760" t="s">
        <v>6935</v>
      </c>
      <c r="AC760" t="s">
        <v>4826</v>
      </c>
      <c r="AD760" s="249" t="str">
        <f>HYPERLINK("https://scontent.cdninstagram.com/t51.2885-15/s320x320/e35/c0.135.1080.1080/20837704_470985123286772_5219585102408843264_n.jpg")</f>
        <v>https://scontent.cdninstagram.com/t51.2885-15/s320x320/e35/c0.135.1080.1080/20837704_470985123286772_5219585102408843264_n.jpg</v>
      </c>
      <c r="AE760" s="249" t="str">
        <f>HYPERLINK("https://scontent.cdninstagram.com/t51.2885-19/s150x150/18011996_1658685241105951_7781784783851356160_a.jpg")</f>
        <v>https://scontent.cdninstagram.com/t51.2885-19/s150x150/18011996_1658685241105951_7781784783851356160_a.jpg</v>
      </c>
    </row>
    <row r="761" spans="1:31" ht="15" x14ac:dyDescent="0.25">
      <c r="A761" t="s">
        <v>2474</v>
      </c>
      <c r="B761" t="s">
        <v>6936</v>
      </c>
      <c r="C761" s="221">
        <v>42961.993750000001</v>
      </c>
      <c r="D761" t="s">
        <v>6937</v>
      </c>
      <c r="E761" s="249" t="str">
        <f>HYPERLINK("https://www.instagram.com/p/BXzMwIVAWoB/")</f>
        <v>https://www.instagram.com/p/BXzMwIVAWoB/</v>
      </c>
      <c r="F761" t="s">
        <v>2872</v>
      </c>
      <c r="G761" t="s">
        <v>2478</v>
      </c>
      <c r="H761">
        <v>54</v>
      </c>
      <c r="I761" t="s">
        <v>2542</v>
      </c>
      <c r="J761">
        <v>2</v>
      </c>
      <c r="K761">
        <v>3</v>
      </c>
      <c r="L761">
        <v>5</v>
      </c>
      <c r="Q761">
        <v>0</v>
      </c>
      <c r="R761">
        <v>0</v>
      </c>
      <c r="S761">
        <v>5</v>
      </c>
      <c r="Y761" t="s">
        <v>2497</v>
      </c>
      <c r="AD761" s="249" t="str">
        <f>HYPERLINK("https://scontent.cdninstagram.com/t51.2885-15/s320x320/e35/c0.75.600.600/20838478_124654091496293_8865203525651529728_n.jpg")</f>
        <v>https://scontent.cdninstagram.com/t51.2885-15/s320x320/e35/c0.75.600.600/20838478_124654091496293_8865203525651529728_n.jpg</v>
      </c>
      <c r="AE761" s="249" t="str">
        <f>HYPERLINK("https://scontent.cdninstagram.com/t51.2885-19/s150x150/14156369_288545981516822_1220457028_a.jpg")</f>
        <v>https://scontent.cdninstagram.com/t51.2885-19/s150x150/14156369_288545981516822_1220457028_a.jpg</v>
      </c>
    </row>
    <row r="762" spans="1:31" ht="15" x14ac:dyDescent="0.25">
      <c r="A762" t="s">
        <v>2474</v>
      </c>
      <c r="B762" t="s">
        <v>6938</v>
      </c>
      <c r="C762" s="221">
        <v>42961.997511574074</v>
      </c>
      <c r="D762" t="s">
        <v>6939</v>
      </c>
      <c r="E762" s="249" t="str">
        <f>HYPERLINK("https://www.instagram.com/p/BXzNXxYF63Q/")</f>
        <v>https://www.instagram.com/p/BXzNXxYF63Q/</v>
      </c>
      <c r="F762" t="s">
        <v>6940</v>
      </c>
      <c r="G762" t="s">
        <v>2488</v>
      </c>
      <c r="H762">
        <v>92</v>
      </c>
      <c r="I762" t="s">
        <v>2479</v>
      </c>
      <c r="J762">
        <v>0</v>
      </c>
      <c r="K762">
        <v>22</v>
      </c>
      <c r="L762">
        <v>22</v>
      </c>
      <c r="Q762">
        <v>0</v>
      </c>
      <c r="R762">
        <v>0</v>
      </c>
      <c r="S762">
        <v>22</v>
      </c>
      <c r="Y762" t="s">
        <v>6941</v>
      </c>
      <c r="Z762" t="s">
        <v>6942</v>
      </c>
      <c r="AA762" t="s">
        <v>6943</v>
      </c>
      <c r="AB762" t="s">
        <v>6944</v>
      </c>
      <c r="AC762" t="s">
        <v>6945</v>
      </c>
      <c r="AD762" s="249" t="str">
        <f>HYPERLINK("https://scontent.cdninstagram.com/t51.2885-15/s320x320/e15/20902750_268632406957033_388297878583377920_n.jpg")</f>
        <v>https://scontent.cdninstagram.com/t51.2885-15/s320x320/e15/20902750_268632406957033_388297878583377920_n.jpg</v>
      </c>
      <c r="AE762" s="249" t="str">
        <f>HYPERLINK("https://scontent.cdninstagram.com/t51.2885-19/s150x150/16790333_174453003056597_1151476196572135424_a.jpg")</f>
        <v>https://scontent.cdninstagram.com/t51.2885-19/s150x150/16790333_174453003056597_1151476196572135424_a.jpg</v>
      </c>
    </row>
    <row r="763" spans="1:31" ht="15" x14ac:dyDescent="0.25">
      <c r="A763" t="s">
        <v>2474</v>
      </c>
      <c r="B763" t="s">
        <v>6946</v>
      </c>
      <c r="C763" s="221">
        <v>42962.001770833333</v>
      </c>
      <c r="D763" t="s">
        <v>6947</v>
      </c>
      <c r="E763" s="249" t="str">
        <f>HYPERLINK("https://www.instagram.com/p/BXzOEqgAo5o/")</f>
        <v>https://www.instagram.com/p/BXzOEqgAo5o/</v>
      </c>
      <c r="F763" t="s">
        <v>6948</v>
      </c>
      <c r="G763" t="s">
        <v>2478</v>
      </c>
      <c r="H763">
        <v>12198</v>
      </c>
      <c r="I763" t="s">
        <v>2479</v>
      </c>
      <c r="J763">
        <v>49</v>
      </c>
      <c r="K763">
        <v>2304</v>
      </c>
      <c r="L763">
        <v>2353</v>
      </c>
      <c r="Q763">
        <v>0</v>
      </c>
      <c r="R763">
        <v>0</v>
      </c>
      <c r="S763">
        <v>2353</v>
      </c>
      <c r="AD763" s="249" t="str">
        <f>HYPERLINK("https://scontent.cdninstagram.com/t51.2885-15/s320x320/e35/20837577_335573680226635_4407083556086480896_n.jpg")</f>
        <v>https://scontent.cdninstagram.com/t51.2885-15/s320x320/e35/20837577_335573680226635_4407083556086480896_n.jpg</v>
      </c>
      <c r="AE763" s="249" t="str">
        <f>HYPERLINK("https://scontent.cdninstagram.com/t51.2885-19/s150x150/20838196_186234275251025_1577998352082010112_a.jpg")</f>
        <v>https://scontent.cdninstagram.com/t51.2885-19/s150x150/20838196_186234275251025_1577998352082010112_a.jpg</v>
      </c>
    </row>
    <row r="764" spans="1:31" ht="15" x14ac:dyDescent="0.25">
      <c r="A764" t="s">
        <v>2474</v>
      </c>
      <c r="B764" t="s">
        <v>6166</v>
      </c>
      <c r="C764" s="221">
        <v>42962.018807870372</v>
      </c>
      <c r="D764" t="s">
        <v>6949</v>
      </c>
      <c r="E764" s="249" t="str">
        <f>HYPERLINK("https://www.instagram.com/p/BXzQ4TzDOkl/")</f>
        <v>https://www.instagram.com/p/BXzQ4TzDOkl/</v>
      </c>
      <c r="F764" t="s">
        <v>6950</v>
      </c>
      <c r="G764" t="s">
        <v>2478</v>
      </c>
      <c r="H764">
        <v>216</v>
      </c>
      <c r="I764" t="s">
        <v>2542</v>
      </c>
      <c r="J764">
        <v>1</v>
      </c>
      <c r="K764">
        <v>36</v>
      </c>
      <c r="L764">
        <v>37</v>
      </c>
      <c r="Q764">
        <v>0</v>
      </c>
      <c r="R764">
        <v>0</v>
      </c>
      <c r="S764">
        <v>37</v>
      </c>
      <c r="Y764" t="s">
        <v>6951</v>
      </c>
      <c r="Z764" t="s">
        <v>4273</v>
      </c>
      <c r="AA764" t="s">
        <v>6952</v>
      </c>
      <c r="AB764" t="s">
        <v>4582</v>
      </c>
      <c r="AC764" t="s">
        <v>3091</v>
      </c>
      <c r="AD764" s="249" t="str">
        <f>HYPERLINK("https://scontent.cdninstagram.com/t51.2885-15/s320x320/e35/c0.135.1080.1080/20837054_162183047666553_2381246700602785792_n.jpg")</f>
        <v>https://scontent.cdninstagram.com/t51.2885-15/s320x320/e35/c0.135.1080.1080/20837054_162183047666553_2381246700602785792_n.jpg</v>
      </c>
      <c r="AE764" s="249" t="str">
        <f>HYPERLINK("https://scontent.cdninstagram.com/t51.2885-19/s150x150/20065401_104382190228479_3280473553710874624_a.jpg")</f>
        <v>https://scontent.cdninstagram.com/t51.2885-19/s150x150/20065401_104382190228479_3280473553710874624_a.jpg</v>
      </c>
    </row>
    <row r="765" spans="1:31" ht="15" x14ac:dyDescent="0.25">
      <c r="A765" t="s">
        <v>2474</v>
      </c>
      <c r="B765" t="s">
        <v>6953</v>
      </c>
      <c r="C765" s="221">
        <v>42962.033229166664</v>
      </c>
      <c r="D765" t="s">
        <v>6954</v>
      </c>
      <c r="E765" s="249" t="str">
        <f>HYPERLINK("https://www.instagram.com/p/BXzTQfNn6DK/")</f>
        <v>https://www.instagram.com/p/BXzTQfNn6DK/</v>
      </c>
      <c r="F765" t="s">
        <v>6955</v>
      </c>
      <c r="G765" t="s">
        <v>2478</v>
      </c>
      <c r="H765">
        <v>613</v>
      </c>
      <c r="I765" t="s">
        <v>2542</v>
      </c>
      <c r="J765">
        <v>0</v>
      </c>
      <c r="K765">
        <v>28</v>
      </c>
      <c r="L765">
        <v>28</v>
      </c>
      <c r="Q765">
        <v>0</v>
      </c>
      <c r="R765">
        <v>0</v>
      </c>
      <c r="S765">
        <v>28</v>
      </c>
      <c r="Y765" t="s">
        <v>4388</v>
      </c>
      <c r="Z765" t="s">
        <v>6956</v>
      </c>
      <c r="AA765" t="s">
        <v>6957</v>
      </c>
      <c r="AB765" t="s">
        <v>6958</v>
      </c>
      <c r="AC765" t="s">
        <v>2492</v>
      </c>
      <c r="AD765" s="249" t="str">
        <f>HYPERLINK("https://scontent.cdninstagram.com/t51.2885-15/s320x320/e35/20766420_110001616360588_5279957215715786752_n.jpg")</f>
        <v>https://scontent.cdninstagram.com/t51.2885-15/s320x320/e35/20766420_110001616360588_5279957215715786752_n.jpg</v>
      </c>
      <c r="AE765" s="249" t="str">
        <f>HYPERLINK("https://scontent.cdninstagram.com/t51.2885-19/s150x150/17495387_1243513902434703_1692791570794807296_a.jpg")</f>
        <v>https://scontent.cdninstagram.com/t51.2885-19/s150x150/17495387_1243513902434703_1692791570794807296_a.jpg</v>
      </c>
    </row>
    <row r="766" spans="1:31" ht="15" x14ac:dyDescent="0.25">
      <c r="A766" t="s">
        <v>2474</v>
      </c>
      <c r="B766" t="s">
        <v>5773</v>
      </c>
      <c r="C766" s="221">
        <v>42962.038124999999</v>
      </c>
      <c r="D766" t="s">
        <v>6959</v>
      </c>
      <c r="E766" s="249" t="str">
        <f>HYPERLINK("https://www.instagram.com/p/BXzUEKbFaDY/")</f>
        <v>https://www.instagram.com/p/BXzUEKbFaDY/</v>
      </c>
      <c r="F766" t="s">
        <v>6960</v>
      </c>
      <c r="G766" t="s">
        <v>2631</v>
      </c>
      <c r="H766">
        <v>841</v>
      </c>
      <c r="I766" t="s">
        <v>2542</v>
      </c>
      <c r="J766">
        <v>0</v>
      </c>
      <c r="K766">
        <v>47</v>
      </c>
      <c r="L766">
        <v>47</v>
      </c>
      <c r="Q766">
        <v>0</v>
      </c>
      <c r="R766">
        <v>0</v>
      </c>
      <c r="S766">
        <v>47</v>
      </c>
      <c r="T766" t="s">
        <v>5923</v>
      </c>
      <c r="V766" t="s">
        <v>2270</v>
      </c>
      <c r="W766">
        <v>57.706573499999998</v>
      </c>
      <c r="X766">
        <v>11.969223299999999</v>
      </c>
      <c r="Y766" t="s">
        <v>2968</v>
      </c>
      <c r="Z766" t="s">
        <v>6961</v>
      </c>
      <c r="AA766" t="s">
        <v>2892</v>
      </c>
      <c r="AB766" t="s">
        <v>2958</v>
      </c>
      <c r="AC766" t="s">
        <v>6962</v>
      </c>
      <c r="AD766" s="249" t="str">
        <f>HYPERLINK("https://scontent.cdninstagram.com/t51.2885-15/s320x320/e35/20838925_109889523066182_7000768822437216256_n.jpg")</f>
        <v>https://scontent.cdninstagram.com/t51.2885-15/s320x320/e35/20838925_109889523066182_7000768822437216256_n.jpg</v>
      </c>
      <c r="AE766" s="249" t="str">
        <f>HYPERLINK("https://scontent.cdninstagram.com/t51.2885-19/10838625_357924367702733_1358700153_a.jpg")</f>
        <v>https://scontent.cdninstagram.com/t51.2885-19/10838625_357924367702733_1358700153_a.jpg</v>
      </c>
    </row>
    <row r="767" spans="1:31" ht="15" x14ac:dyDescent="0.25">
      <c r="A767" t="s">
        <v>2474</v>
      </c>
      <c r="B767" t="s">
        <v>6963</v>
      </c>
      <c r="C767" s="221">
        <v>42962.040023148147</v>
      </c>
      <c r="D767" t="s">
        <v>6964</v>
      </c>
      <c r="E767" s="249" t="str">
        <f>HYPERLINK("https://www.instagram.com/p/BXzUYLlhPyd/")</f>
        <v>https://www.instagram.com/p/BXzUYLlhPyd/</v>
      </c>
      <c r="F767" t="s">
        <v>6965</v>
      </c>
      <c r="G767" t="s">
        <v>2478</v>
      </c>
      <c r="H767">
        <v>600</v>
      </c>
      <c r="I767" t="s">
        <v>2479</v>
      </c>
      <c r="J767">
        <v>3</v>
      </c>
      <c r="K767">
        <v>39</v>
      </c>
      <c r="L767">
        <v>42</v>
      </c>
      <c r="Q767">
        <v>0</v>
      </c>
      <c r="R767">
        <v>0</v>
      </c>
      <c r="S767">
        <v>42</v>
      </c>
      <c r="Y767" t="s">
        <v>2968</v>
      </c>
      <c r="Z767" t="s">
        <v>6760</v>
      </c>
      <c r="AA767" t="s">
        <v>6966</v>
      </c>
      <c r="AB767" t="s">
        <v>2730</v>
      </c>
      <c r="AC767" t="s">
        <v>6967</v>
      </c>
      <c r="AD767" s="249" t="str">
        <f>HYPERLINK("https://scontent.cdninstagram.com/t51.2885-15/s320x320/e35/20766201_535834633474482_3699674598162300928_n.jpg")</f>
        <v>https://scontent.cdninstagram.com/t51.2885-15/s320x320/e35/20766201_535834633474482_3699674598162300928_n.jpg</v>
      </c>
      <c r="AE767" s="249" t="str">
        <f>HYPERLINK("https://scontent.cdninstagram.com/t51.2885-19/s150x150/19984231_190888418110150_1552306970113867776_a.jpg")</f>
        <v>https://scontent.cdninstagram.com/t51.2885-19/s150x150/19984231_190888418110150_1552306970113867776_a.jpg</v>
      </c>
    </row>
    <row r="768" spans="1:31" ht="15" x14ac:dyDescent="0.25">
      <c r="A768" t="s">
        <v>2474</v>
      </c>
      <c r="B768" t="s">
        <v>6968</v>
      </c>
      <c r="C768" s="221">
        <v>42962.042384259257</v>
      </c>
      <c r="D768" t="s">
        <v>6969</v>
      </c>
      <c r="E768" s="249" t="str">
        <f>HYPERLINK("https://www.instagram.com/p/BXzUxAThgEA/")</f>
        <v>https://www.instagram.com/p/BXzUxAThgEA/</v>
      </c>
      <c r="F768" t="s">
        <v>6970</v>
      </c>
      <c r="G768" t="s">
        <v>2478</v>
      </c>
      <c r="H768">
        <v>908</v>
      </c>
      <c r="I768" t="s">
        <v>2479</v>
      </c>
      <c r="J768">
        <v>3</v>
      </c>
      <c r="K768">
        <v>86</v>
      </c>
      <c r="L768">
        <v>89</v>
      </c>
      <c r="Q768">
        <v>0</v>
      </c>
      <c r="R768">
        <v>0</v>
      </c>
      <c r="S768">
        <v>89</v>
      </c>
      <c r="Y768" t="s">
        <v>6971</v>
      </c>
      <c r="Z768" t="s">
        <v>6972</v>
      </c>
      <c r="AA768" t="s">
        <v>2497</v>
      </c>
      <c r="AB768" t="s">
        <v>6973</v>
      </c>
      <c r="AC768" t="s">
        <v>6974</v>
      </c>
      <c r="AD768" s="249" t="str">
        <f>HYPERLINK("https://scontent.cdninstagram.com/t51.2885-15/s320x320/e35/20766942_1367113103408265_4940794712186421248_n.jpg")</f>
        <v>https://scontent.cdninstagram.com/t51.2885-15/s320x320/e35/20766942_1367113103408265_4940794712186421248_n.jpg</v>
      </c>
      <c r="AE768" s="249" t="str">
        <f>HYPERLINK("https://scontent.cdninstagram.com/t51.2885-19/s150x150/18809297_120938298486669_1059383945897967616_a.jpg")</f>
        <v>https://scontent.cdninstagram.com/t51.2885-19/s150x150/18809297_120938298486669_1059383945897967616_a.jpg</v>
      </c>
    </row>
    <row r="769" spans="1:31" ht="15" x14ac:dyDescent="0.25">
      <c r="A769" t="s">
        <v>2474</v>
      </c>
      <c r="B769" t="s">
        <v>2516</v>
      </c>
      <c r="C769" s="221">
        <v>42962.049305555556</v>
      </c>
      <c r="D769" t="s">
        <v>6975</v>
      </c>
      <c r="E769" s="249" t="str">
        <f>HYPERLINK("https://www.instagram.com/p/BXzV5-uDPOJ/")</f>
        <v>https://www.instagram.com/p/BXzV5-uDPOJ/</v>
      </c>
      <c r="F769" t="s">
        <v>6976</v>
      </c>
      <c r="G769" t="s">
        <v>2478</v>
      </c>
      <c r="H769">
        <v>695</v>
      </c>
      <c r="I769" t="s">
        <v>2479</v>
      </c>
      <c r="J769">
        <v>0</v>
      </c>
      <c r="K769">
        <v>18</v>
      </c>
      <c r="L769">
        <v>18</v>
      </c>
      <c r="Q769">
        <v>0</v>
      </c>
      <c r="R769">
        <v>0</v>
      </c>
      <c r="S769">
        <v>18</v>
      </c>
      <c r="Y769" t="s">
        <v>6977</v>
      </c>
      <c r="Z769" t="s">
        <v>5838</v>
      </c>
      <c r="AA769" t="s">
        <v>6978</v>
      </c>
      <c r="AB769" t="s">
        <v>4388</v>
      </c>
      <c r="AC769" t="s">
        <v>2906</v>
      </c>
      <c r="AD769" s="249" t="str">
        <f>HYPERLINK("https://scontent.cdninstagram.com/t51.2885-15/s320x320/e35/20837742_448800558835690_4795927690085400576_n.jpg")</f>
        <v>https://scontent.cdninstagram.com/t51.2885-15/s320x320/e35/20837742_448800558835690_4795927690085400576_n.jpg</v>
      </c>
      <c r="AE769" s="249" t="str">
        <f>HYPERLINK("https://scontent.cdninstagram.com/t51.2885-19/s150x150/19955124_1311741785589715_3896736407896457216_a.jpg")</f>
        <v>https://scontent.cdninstagram.com/t51.2885-19/s150x150/19955124_1311741785589715_3896736407896457216_a.jpg</v>
      </c>
    </row>
    <row r="770" spans="1:31" ht="15" x14ac:dyDescent="0.25">
      <c r="A770" t="s">
        <v>2474</v>
      </c>
      <c r="B770" t="s">
        <v>6979</v>
      </c>
      <c r="C770" s="221">
        <v>42962.052222222221</v>
      </c>
      <c r="D770" t="s">
        <v>6980</v>
      </c>
      <c r="E770" s="249" t="str">
        <f>HYPERLINK("https://www.instagram.com/p/BXzWYwQlHFq/")</f>
        <v>https://www.instagram.com/p/BXzWYwQlHFq/</v>
      </c>
      <c r="F770" t="s">
        <v>6981</v>
      </c>
      <c r="G770" t="s">
        <v>2478</v>
      </c>
      <c r="H770">
        <v>979</v>
      </c>
      <c r="I770" t="s">
        <v>2479</v>
      </c>
      <c r="J770">
        <v>9</v>
      </c>
      <c r="K770">
        <v>65</v>
      </c>
      <c r="L770">
        <v>74</v>
      </c>
      <c r="Q770">
        <v>0</v>
      </c>
      <c r="R770">
        <v>0</v>
      </c>
      <c r="S770">
        <v>74</v>
      </c>
      <c r="Y770" t="s">
        <v>6982</v>
      </c>
      <c r="Z770" t="s">
        <v>2734</v>
      </c>
      <c r="AA770" t="s">
        <v>3849</v>
      </c>
      <c r="AB770" t="s">
        <v>3225</v>
      </c>
      <c r="AC770" t="s">
        <v>6983</v>
      </c>
      <c r="AD770" s="249" t="str">
        <f>HYPERLINK("https://scontent.cdninstagram.com/t51.2885-15/s320x320/e35/c0.135.1080.1080/20766398_430242370703271_1391460401928994816_n.jpg")</f>
        <v>https://scontent.cdninstagram.com/t51.2885-15/s320x320/e35/c0.135.1080.1080/20766398_430242370703271_1391460401928994816_n.jpg</v>
      </c>
      <c r="AE770" s="249" t="str">
        <f>HYPERLINK("https://scontent.cdninstagram.com/t51.2885-19/s150x150/18096122_116819275546129_5447168749339672576_a.jpg")</f>
        <v>https://scontent.cdninstagram.com/t51.2885-19/s150x150/18096122_116819275546129_5447168749339672576_a.jpg</v>
      </c>
    </row>
    <row r="771" spans="1:31" ht="15" x14ac:dyDescent="0.25">
      <c r="A771" t="s">
        <v>2474</v>
      </c>
      <c r="B771" t="s">
        <v>6984</v>
      </c>
      <c r="C771" s="221">
        <v>42962.053425925929</v>
      </c>
      <c r="D771" t="s">
        <v>6985</v>
      </c>
      <c r="E771" s="249" t="str">
        <f>HYPERLINK("https://www.instagram.com/p/BXzWlfElcNC/")</f>
        <v>https://www.instagram.com/p/BXzWlfElcNC/</v>
      </c>
      <c r="F771" t="s">
        <v>6986</v>
      </c>
      <c r="G771" t="s">
        <v>2478</v>
      </c>
      <c r="H771">
        <v>2045</v>
      </c>
      <c r="I771" t="s">
        <v>2510</v>
      </c>
      <c r="J771">
        <v>4</v>
      </c>
      <c r="K771">
        <v>37</v>
      </c>
      <c r="L771">
        <v>41</v>
      </c>
      <c r="Q771">
        <v>0</v>
      </c>
      <c r="R771">
        <v>0</v>
      </c>
      <c r="S771">
        <v>41</v>
      </c>
      <c r="Y771" t="s">
        <v>6987</v>
      </c>
      <c r="Z771" t="s">
        <v>2641</v>
      </c>
      <c r="AA771" t="s">
        <v>6988</v>
      </c>
      <c r="AB771" t="s">
        <v>6989</v>
      </c>
      <c r="AC771" t="s">
        <v>3685</v>
      </c>
      <c r="AD771" s="249" t="str">
        <f>HYPERLINK("https://scontent.cdninstagram.com/t51.2885-15/s320x320/e35/20902145_1311495265639248_7602405783971561472_n.jpg")</f>
        <v>https://scontent.cdninstagram.com/t51.2885-15/s320x320/e35/20902145_1311495265639248_7602405783971561472_n.jpg</v>
      </c>
      <c r="AE771" s="249" t="str">
        <f>HYPERLINK("https://scontent.cdninstagram.com/t51.2885-19/s150x150/16465873_1334972049906394_5147799323966177280_a.jpg")</f>
        <v>https://scontent.cdninstagram.com/t51.2885-19/s150x150/16465873_1334972049906394_5147799323966177280_a.jpg</v>
      </c>
    </row>
    <row r="772" spans="1:31" ht="15" x14ac:dyDescent="0.25">
      <c r="A772" t="s">
        <v>2474</v>
      </c>
      <c r="B772" t="s">
        <v>3644</v>
      </c>
      <c r="C772" s="221">
        <v>42962.082708333335</v>
      </c>
      <c r="D772" t="s">
        <v>6990</v>
      </c>
      <c r="E772" s="249" t="str">
        <f>HYPERLINK("https://www.instagram.com/p/BXzbaV4FRcJ/")</f>
        <v>https://www.instagram.com/p/BXzbaV4FRcJ/</v>
      </c>
      <c r="F772" t="s">
        <v>6991</v>
      </c>
      <c r="G772" t="s">
        <v>2631</v>
      </c>
      <c r="H772">
        <v>570</v>
      </c>
      <c r="I772" t="s">
        <v>2479</v>
      </c>
      <c r="J772">
        <v>2</v>
      </c>
      <c r="K772">
        <v>35</v>
      </c>
      <c r="L772">
        <v>37</v>
      </c>
      <c r="Q772">
        <v>0</v>
      </c>
      <c r="R772">
        <v>0</v>
      </c>
      <c r="S772">
        <v>37</v>
      </c>
      <c r="Y772" t="s">
        <v>6992</v>
      </c>
      <c r="Z772" t="s">
        <v>3651</v>
      </c>
      <c r="AA772" t="s">
        <v>6993</v>
      </c>
      <c r="AB772" t="s">
        <v>3648</v>
      </c>
      <c r="AC772" t="s">
        <v>6994</v>
      </c>
      <c r="AD772" s="249" t="str">
        <f>HYPERLINK("https://scontent.cdninstagram.com/t51.2885-15/s320x320/e15/20838895_122707311703174_1812397240233230336_n.jpg")</f>
        <v>https://scontent.cdninstagram.com/t51.2885-15/s320x320/e15/20838895_122707311703174_1812397240233230336_n.jpg</v>
      </c>
      <c r="AE772" s="249" t="str">
        <f>HYPERLINK("https://scontent.cdninstagram.com/t51.2885-19/s150x150/14714495_1790450111234953_7147855754219749376_a.jpg")</f>
        <v>https://scontent.cdninstagram.com/t51.2885-19/s150x150/14714495_1790450111234953_7147855754219749376_a.jpg</v>
      </c>
    </row>
    <row r="773" spans="1:31" ht="15" x14ac:dyDescent="0.25">
      <c r="A773" t="s">
        <v>2474</v>
      </c>
      <c r="B773" t="s">
        <v>4341</v>
      </c>
      <c r="C773" s="221">
        <v>42962.084456018521</v>
      </c>
      <c r="D773" t="s">
        <v>6995</v>
      </c>
      <c r="E773" s="249" t="str">
        <f>HYPERLINK("https://www.instagram.com/p/BXzbsyxgRf8/")</f>
        <v>https://www.instagram.com/p/BXzbsyxgRf8/</v>
      </c>
      <c r="F773" t="s">
        <v>6996</v>
      </c>
      <c r="G773" t="s">
        <v>2478</v>
      </c>
      <c r="H773">
        <v>389883</v>
      </c>
      <c r="I773" t="s">
        <v>2479</v>
      </c>
      <c r="J773">
        <v>16</v>
      </c>
      <c r="K773">
        <v>3622</v>
      </c>
      <c r="L773">
        <v>3638</v>
      </c>
      <c r="Q773">
        <v>0</v>
      </c>
      <c r="R773">
        <v>0</v>
      </c>
      <c r="S773">
        <v>3638</v>
      </c>
      <c r="AD773" s="249" t="str">
        <f>HYPERLINK("https://scontent.cdninstagram.com/t51.2885-15/s320x320/e35/c0.22.1080.1080/20838333_1419975441373201_7511947094043656192_n.jpg")</f>
        <v>https://scontent.cdninstagram.com/t51.2885-15/s320x320/e35/c0.22.1080.1080/20838333_1419975441373201_7511947094043656192_n.jpg</v>
      </c>
      <c r="AE773" s="249" t="str">
        <f>HYPERLINK("https://scontent.cdninstagram.com/t51.2885-19/s150x150/12357356_524081691094860_312972369_a.jpg")</f>
        <v>https://scontent.cdninstagram.com/t51.2885-19/s150x150/12357356_524081691094860_312972369_a.jpg</v>
      </c>
    </row>
    <row r="774" spans="1:31" ht="15" x14ac:dyDescent="0.25">
      <c r="A774" t="s">
        <v>2474</v>
      </c>
      <c r="B774" t="s">
        <v>6819</v>
      </c>
      <c r="C774" s="221">
        <v>42962.087743055556</v>
      </c>
      <c r="D774" t="s">
        <v>6997</v>
      </c>
      <c r="E774" s="249" t="str">
        <f>HYPERLINK("https://www.instagram.com/p/BXzcPakFvz_/")</f>
        <v>https://www.instagram.com/p/BXzcPakFvz_/</v>
      </c>
      <c r="F774" t="s">
        <v>6998</v>
      </c>
      <c r="G774" t="s">
        <v>2478</v>
      </c>
      <c r="H774">
        <v>42987</v>
      </c>
      <c r="I774" t="s">
        <v>2479</v>
      </c>
      <c r="J774">
        <v>21</v>
      </c>
      <c r="K774">
        <v>1534</v>
      </c>
      <c r="L774">
        <v>1555</v>
      </c>
      <c r="Q774">
        <v>0</v>
      </c>
      <c r="R774">
        <v>0</v>
      </c>
      <c r="S774">
        <v>1555</v>
      </c>
      <c r="Y774" t="s">
        <v>6999</v>
      </c>
      <c r="Z774" t="s">
        <v>2683</v>
      </c>
      <c r="AA774" t="s">
        <v>7000</v>
      </c>
      <c r="AB774" t="s">
        <v>7001</v>
      </c>
      <c r="AC774" t="s">
        <v>7002</v>
      </c>
      <c r="AD774" s="249" t="str">
        <f>HYPERLINK("https://scontent.cdninstagram.com/t51.2885-15/s320x320/e35/c0.134.1080.1080/20836876_1916234648647719_547586292762804224_n.jpg")</f>
        <v>https://scontent.cdninstagram.com/t51.2885-15/s320x320/e35/c0.134.1080.1080/20836876_1916234648647719_547586292762804224_n.jpg</v>
      </c>
      <c r="AE774" s="249" t="str">
        <f>HYPERLINK("https://scontent.cdninstagram.com/t51.2885-19/s150x150/19932754_334176993683769_2034620166683230208_n.jpg")</f>
        <v>https://scontent.cdninstagram.com/t51.2885-19/s150x150/19932754_334176993683769_2034620166683230208_n.jpg</v>
      </c>
    </row>
    <row r="775" spans="1:31" ht="15" x14ac:dyDescent="0.25">
      <c r="A775" t="s">
        <v>2474</v>
      </c>
      <c r="B775" t="s">
        <v>7003</v>
      </c>
      <c r="C775" s="221">
        <v>42962.1015625</v>
      </c>
      <c r="D775" t="s">
        <v>7004</v>
      </c>
      <c r="E775" s="249" t="str">
        <f>HYPERLINK("https://www.instagram.com/p/BXzehJ9AaPo/")</f>
        <v>https://www.instagram.com/p/BXzehJ9AaPo/</v>
      </c>
      <c r="F775" t="s">
        <v>7005</v>
      </c>
      <c r="G775" t="s">
        <v>2478</v>
      </c>
      <c r="H775">
        <v>23434</v>
      </c>
      <c r="I775" t="s">
        <v>2479</v>
      </c>
      <c r="J775">
        <v>16</v>
      </c>
      <c r="K775">
        <v>722</v>
      </c>
      <c r="L775">
        <v>738</v>
      </c>
      <c r="Q775">
        <v>0</v>
      </c>
      <c r="R775">
        <v>0</v>
      </c>
      <c r="S775">
        <v>738</v>
      </c>
      <c r="Y775" t="s">
        <v>7006</v>
      </c>
      <c r="Z775" t="s">
        <v>7007</v>
      </c>
      <c r="AA775" t="s">
        <v>7008</v>
      </c>
      <c r="AB775" t="s">
        <v>7009</v>
      </c>
      <c r="AC775" t="s">
        <v>4948</v>
      </c>
      <c r="AD775" s="249" t="str">
        <f>HYPERLINK("https://scontent.cdninstagram.com/t51.2885-15/s320x320/e35/c0.134.1080.1080/20760003_837331476436369_529274755530883072_n.jpg")</f>
        <v>https://scontent.cdninstagram.com/t51.2885-15/s320x320/e35/c0.134.1080.1080/20760003_837331476436369_529274755530883072_n.jpg</v>
      </c>
      <c r="AE775" s="249" t="str">
        <f>HYPERLINK("https://scontent.cdninstagram.com/t51.2885-19/s150x150/18299005_447807092243343_3242761266950832128_n.jpg")</f>
        <v>https://scontent.cdninstagram.com/t51.2885-19/s150x150/18299005_447807092243343_3242761266950832128_n.jpg</v>
      </c>
    </row>
    <row r="776" spans="1:31" ht="15" x14ac:dyDescent="0.25">
      <c r="A776" t="s">
        <v>2474</v>
      </c>
      <c r="B776" t="s">
        <v>7010</v>
      </c>
      <c r="C776" s="221">
        <v>42962.104108796295</v>
      </c>
      <c r="D776" t="s">
        <v>7011</v>
      </c>
      <c r="E776" s="249" t="str">
        <f>HYPERLINK("https://www.instagram.com/p/BXze8B9hKvQ/")</f>
        <v>https://www.instagram.com/p/BXze8B9hKvQ/</v>
      </c>
      <c r="F776" t="s">
        <v>7012</v>
      </c>
      <c r="G776" t="s">
        <v>2478</v>
      </c>
      <c r="H776">
        <v>185</v>
      </c>
      <c r="I776" t="s">
        <v>2542</v>
      </c>
      <c r="J776">
        <v>2</v>
      </c>
      <c r="K776">
        <v>43</v>
      </c>
      <c r="L776">
        <v>45</v>
      </c>
      <c r="Q776">
        <v>0</v>
      </c>
      <c r="R776">
        <v>0</v>
      </c>
      <c r="S776">
        <v>45</v>
      </c>
      <c r="Y776" t="s">
        <v>6802</v>
      </c>
      <c r="Z776" t="s">
        <v>7013</v>
      </c>
      <c r="AA776" t="s">
        <v>7014</v>
      </c>
      <c r="AB776" t="s">
        <v>7015</v>
      </c>
      <c r="AC776" t="s">
        <v>7016</v>
      </c>
      <c r="AD776" s="249" t="str">
        <f>HYPERLINK("https://scontent.cdninstagram.com/t51.2885-15/s320x320/e35/c180.0.720.720/20766927_1974884182730639_5141513523364364288_n.jpg")</f>
        <v>https://scontent.cdninstagram.com/t51.2885-15/s320x320/e35/c180.0.720.720/20766927_1974884182730639_5141513523364364288_n.jpg</v>
      </c>
      <c r="AE776" s="249" t="str">
        <f>HYPERLINK("https://scontent.cdninstagram.com/t51.2885-19/s150x150/16585704_271313913297425_4727675484316368896_a.jpg")</f>
        <v>https://scontent.cdninstagram.com/t51.2885-19/s150x150/16585704_271313913297425_4727675484316368896_a.jpg</v>
      </c>
    </row>
    <row r="777" spans="1:31" ht="15" x14ac:dyDescent="0.25">
      <c r="A777" t="s">
        <v>2474</v>
      </c>
      <c r="B777" t="s">
        <v>5944</v>
      </c>
      <c r="C777" s="221">
        <v>42962.128148148149</v>
      </c>
      <c r="D777" t="s">
        <v>7017</v>
      </c>
      <c r="E777" s="249" t="str">
        <f>HYPERLINK("https://www.instagram.com/p/BXzi5jqjjN5/")</f>
        <v>https://www.instagram.com/p/BXzi5jqjjN5/</v>
      </c>
      <c r="F777" t="s">
        <v>7018</v>
      </c>
      <c r="G777" t="s">
        <v>2478</v>
      </c>
      <c r="H777">
        <v>114</v>
      </c>
      <c r="I777" t="s">
        <v>2479</v>
      </c>
      <c r="J777">
        <v>0</v>
      </c>
      <c r="K777">
        <v>9</v>
      </c>
      <c r="L777">
        <v>9</v>
      </c>
      <c r="Q777">
        <v>0</v>
      </c>
      <c r="R777">
        <v>0</v>
      </c>
      <c r="S777">
        <v>9</v>
      </c>
      <c r="Y777" t="s">
        <v>5848</v>
      </c>
      <c r="Z777" t="s">
        <v>7019</v>
      </c>
      <c r="AA777" t="s">
        <v>2497</v>
      </c>
      <c r="AB777" t="s">
        <v>7020</v>
      </c>
      <c r="AC777" t="s">
        <v>7021</v>
      </c>
      <c r="AD777" s="249" t="str">
        <f>HYPERLINK("https://scontent.cdninstagram.com/t51.2885-15/s320x320/e35/20766198_1405143372896535_7072138796506021888_n.jpg")</f>
        <v>https://scontent.cdninstagram.com/t51.2885-15/s320x320/e35/20766198_1405143372896535_7072138796506021888_n.jpg</v>
      </c>
      <c r="AE777" s="249" t="str">
        <f>HYPERLINK("https://scontent.cdninstagram.com/t51.2885-19/s150x150/15802915_1200615713341079_5687537410104098816_a.jpg")</f>
        <v>https://scontent.cdninstagram.com/t51.2885-19/s150x150/15802915_1200615713341079_5687537410104098816_a.jpg</v>
      </c>
    </row>
    <row r="778" spans="1:31" ht="15" x14ac:dyDescent="0.25">
      <c r="A778" t="s">
        <v>2474</v>
      </c>
      <c r="B778" t="s">
        <v>7022</v>
      </c>
      <c r="C778" s="221">
        <v>42962.128831018519</v>
      </c>
      <c r="D778" t="s">
        <v>7023</v>
      </c>
      <c r="E778" s="249" t="str">
        <f>HYPERLINK("https://www.instagram.com/p/BXzjAuLjG8D/")</f>
        <v>https://www.instagram.com/p/BXzjAuLjG8D/</v>
      </c>
      <c r="F778" t="s">
        <v>7024</v>
      </c>
      <c r="G778" t="s">
        <v>2478</v>
      </c>
      <c r="H778">
        <v>1001</v>
      </c>
      <c r="I778" t="s">
        <v>2599</v>
      </c>
      <c r="J778">
        <v>0</v>
      </c>
      <c r="K778">
        <v>18</v>
      </c>
      <c r="L778">
        <v>18</v>
      </c>
      <c r="Q778">
        <v>0</v>
      </c>
      <c r="R778">
        <v>0</v>
      </c>
      <c r="S778">
        <v>18</v>
      </c>
      <c r="Y778" t="s">
        <v>2562</v>
      </c>
      <c r="Z778" t="s">
        <v>7025</v>
      </c>
      <c r="AA778" t="s">
        <v>7026</v>
      </c>
      <c r="AB778" t="s">
        <v>7027</v>
      </c>
      <c r="AC778" t="s">
        <v>7028</v>
      </c>
      <c r="AD778" s="249" t="str">
        <f>HYPERLINK("https://scontent.cdninstagram.com/t51.2885-15/s320x320/e35/20902692_110150716332367_5637012269532446720_n.jpg")</f>
        <v>https://scontent.cdninstagram.com/t51.2885-15/s320x320/e35/20902692_110150716332367_5637012269532446720_n.jpg</v>
      </c>
      <c r="AE778" s="249" t="str">
        <f>HYPERLINK("https://scontent.cdninstagram.com/t51.2885-19/s150x150/17817788_418641051843707_9028235678139285504_a.jpg")</f>
        <v>https://scontent.cdninstagram.com/t51.2885-19/s150x150/17817788_418641051843707_9028235678139285504_a.jpg</v>
      </c>
    </row>
    <row r="779" spans="1:31" ht="15" x14ac:dyDescent="0.25">
      <c r="A779" t="s">
        <v>2474</v>
      </c>
      <c r="B779" t="s">
        <v>7029</v>
      </c>
      <c r="C779" s="221">
        <v>42962.129780092589</v>
      </c>
      <c r="D779" t="s">
        <v>7030</v>
      </c>
      <c r="E779" s="249" t="str">
        <f>HYPERLINK("https://www.instagram.com/p/BXzjKwnlrHf/")</f>
        <v>https://www.instagram.com/p/BXzjKwnlrHf/</v>
      </c>
      <c r="F779" t="s">
        <v>7031</v>
      </c>
      <c r="G779" t="s">
        <v>2478</v>
      </c>
      <c r="H779">
        <v>195</v>
      </c>
      <c r="I779" t="s">
        <v>2479</v>
      </c>
      <c r="J779">
        <v>0</v>
      </c>
      <c r="K779">
        <v>80</v>
      </c>
      <c r="L779">
        <v>80</v>
      </c>
      <c r="Q779">
        <v>0</v>
      </c>
      <c r="R779">
        <v>0</v>
      </c>
      <c r="S779">
        <v>80</v>
      </c>
      <c r="Y779" t="s">
        <v>7032</v>
      </c>
      <c r="Z779" t="s">
        <v>7033</v>
      </c>
      <c r="AA779" t="s">
        <v>7034</v>
      </c>
      <c r="AB779" t="s">
        <v>7035</v>
      </c>
      <c r="AC779" t="s">
        <v>7036</v>
      </c>
      <c r="AD779" s="249" t="str">
        <f>HYPERLINK("https://scontent.cdninstagram.com/t51.2885-15/s320x320/e35/c0.135.1080.1080/20837056_1513737805354415_6878056031922946048_n.jpg")</f>
        <v>https://scontent.cdninstagram.com/t51.2885-15/s320x320/e35/c0.135.1080.1080/20837056_1513737805354415_6878056031922946048_n.jpg</v>
      </c>
      <c r="AE779" s="249" t="str">
        <f>HYPERLINK("https://scontent.cdninstagram.com/t51.2885-19/s150x150/19367533_409053256155360_8556265888100122624_a.jpg")</f>
        <v>https://scontent.cdninstagram.com/t51.2885-19/s150x150/19367533_409053256155360_8556265888100122624_a.jpg</v>
      </c>
    </row>
    <row r="780" spans="1:31" ht="15" x14ac:dyDescent="0.25">
      <c r="A780" t="s">
        <v>2474</v>
      </c>
      <c r="B780" t="s">
        <v>2636</v>
      </c>
      <c r="C780" s="221">
        <v>42962.162916666668</v>
      </c>
      <c r="D780" t="s">
        <v>7037</v>
      </c>
      <c r="E780" s="249" t="str">
        <f>HYPERLINK("https://www.instagram.com/p/BXzooUgn28A/")</f>
        <v>https://www.instagram.com/p/BXzooUgn28A/</v>
      </c>
      <c r="F780" t="s">
        <v>7038</v>
      </c>
      <c r="G780" t="s">
        <v>2478</v>
      </c>
      <c r="H780">
        <v>299</v>
      </c>
      <c r="I780" t="s">
        <v>4523</v>
      </c>
      <c r="J780">
        <v>4</v>
      </c>
      <c r="K780">
        <v>62</v>
      </c>
      <c r="L780">
        <v>66</v>
      </c>
      <c r="Q780">
        <v>0</v>
      </c>
      <c r="R780">
        <v>0</v>
      </c>
      <c r="S780">
        <v>66</v>
      </c>
      <c r="Y780" t="s">
        <v>5423</v>
      </c>
      <c r="Z780" t="s">
        <v>2513</v>
      </c>
      <c r="AA780" t="s">
        <v>7039</v>
      </c>
      <c r="AB780" t="s">
        <v>7040</v>
      </c>
      <c r="AC780" t="s">
        <v>7041</v>
      </c>
      <c r="AD780" s="249" t="str">
        <f>HYPERLINK("https://scontent.cdninstagram.com/t51.2885-15/s320x320/e35/20837252_1293422297452891_369471091304824832_n.jpg")</f>
        <v>https://scontent.cdninstagram.com/t51.2885-15/s320x320/e35/20837252_1293422297452891_369471091304824832_n.jpg</v>
      </c>
      <c r="AE780" s="249" t="str">
        <f>HYPERLINK("https://scontent.cdninstagram.com/t51.2885-19/s150x150/15802797_1331780626878656_4160680230047973376_a.jpg")</f>
        <v>https://scontent.cdninstagram.com/t51.2885-19/s150x150/15802797_1331780626878656_4160680230047973376_a.jpg</v>
      </c>
    </row>
    <row r="781" spans="1:31" ht="15" x14ac:dyDescent="0.25">
      <c r="A781" t="s">
        <v>2474</v>
      </c>
      <c r="B781" t="s">
        <v>7042</v>
      </c>
      <c r="C781" s="221">
        <v>42962.167604166665</v>
      </c>
      <c r="D781" t="s">
        <v>7043</v>
      </c>
      <c r="E781" s="249" t="str">
        <f>HYPERLINK("https://www.instagram.com/p/BXzpZtLAoEM/")</f>
        <v>https://www.instagram.com/p/BXzpZtLAoEM/</v>
      </c>
      <c r="F781" t="s">
        <v>7044</v>
      </c>
      <c r="G781" t="s">
        <v>2478</v>
      </c>
      <c r="H781">
        <v>91</v>
      </c>
      <c r="I781" t="s">
        <v>2896</v>
      </c>
      <c r="J781">
        <v>0</v>
      </c>
      <c r="K781">
        <v>12</v>
      </c>
      <c r="L781">
        <v>12</v>
      </c>
      <c r="Q781">
        <v>0</v>
      </c>
      <c r="R781">
        <v>0</v>
      </c>
      <c r="S781">
        <v>12</v>
      </c>
      <c r="Y781" t="s">
        <v>5383</v>
      </c>
      <c r="Z781" t="s">
        <v>2609</v>
      </c>
      <c r="AA781" t="s">
        <v>2497</v>
      </c>
      <c r="AD781" s="249" t="str">
        <f>HYPERLINK("https://scontent.cdninstagram.com/t51.2885-15/s320x320/e35/20838367_110642352952165_1529145981013065728_n.jpg")</f>
        <v>https://scontent.cdninstagram.com/t51.2885-15/s320x320/e35/20838367_110642352952165_1529145981013065728_n.jpg</v>
      </c>
      <c r="AE781" s="249" t="str">
        <f>HYPERLINK("https://scontent.cdninstagram.com/t51.2885-19/s150x150/20968455_126301104661065_8853621218624929792_a.jpg")</f>
        <v>https://scontent.cdninstagram.com/t51.2885-19/s150x150/20968455_126301104661065_8853621218624929792_a.jpg</v>
      </c>
    </row>
    <row r="782" spans="1:31" ht="15" x14ac:dyDescent="0.25">
      <c r="A782" t="s">
        <v>2474</v>
      </c>
      <c r="B782" t="s">
        <v>7045</v>
      </c>
      <c r="C782" s="221">
        <v>42962.172835648147</v>
      </c>
      <c r="D782" t="s">
        <v>7046</v>
      </c>
      <c r="E782" s="249" t="str">
        <f>HYPERLINK("https://www.instagram.com/p/BXzqQ7QD6o4/")</f>
        <v>https://www.instagram.com/p/BXzqQ7QD6o4/</v>
      </c>
      <c r="F782" t="s">
        <v>7047</v>
      </c>
      <c r="G782" t="s">
        <v>2488</v>
      </c>
      <c r="I782" t="s">
        <v>2479</v>
      </c>
      <c r="J782">
        <v>0</v>
      </c>
      <c r="K782">
        <v>86</v>
      </c>
      <c r="L782">
        <v>86</v>
      </c>
      <c r="Q782">
        <v>0</v>
      </c>
      <c r="R782">
        <v>0</v>
      </c>
      <c r="S782">
        <v>86</v>
      </c>
      <c r="T782" t="s">
        <v>7048</v>
      </c>
      <c r="V782" t="s">
        <v>2287</v>
      </c>
      <c r="W782">
        <v>24.461838188935001</v>
      </c>
      <c r="X782">
        <v>54.317264556885</v>
      </c>
      <c r="Y782" t="s">
        <v>2497</v>
      </c>
      <c r="Z782" t="s">
        <v>7049</v>
      </c>
      <c r="AA782" t="s">
        <v>7050</v>
      </c>
      <c r="AB782" t="s">
        <v>7051</v>
      </c>
      <c r="AC782" t="s">
        <v>7052</v>
      </c>
      <c r="AD782" s="249" t="str">
        <f>HYPERLINK("https://scontent.cdninstagram.com/t51.2885-15/s320x320/e35/20837167_1516803491714433_1759546082813018112_n.jpg")</f>
        <v>https://scontent.cdninstagram.com/t51.2885-15/s320x320/e35/20837167_1516803491714433_1759546082813018112_n.jpg</v>
      </c>
      <c r="AE782" s="249" t="str">
        <f>HYPERLINK("https://scontent.cdninstagram.com/t51.2885-19/s150x150/20633199_758507934322177_4988512623478702080_a.jpg")</f>
        <v>https://scontent.cdninstagram.com/t51.2885-19/s150x150/20633199_758507934322177_4988512623478702080_a.jpg</v>
      </c>
    </row>
    <row r="783" spans="1:31" ht="15" x14ac:dyDescent="0.25">
      <c r="A783" t="s">
        <v>2474</v>
      </c>
      <c r="B783" t="s">
        <v>7053</v>
      </c>
      <c r="C783" s="221">
        <v>42962.200462962966</v>
      </c>
      <c r="D783" t="s">
        <v>7054</v>
      </c>
      <c r="E783" s="249" t="str">
        <f>HYPERLINK("https://www.instagram.com/p/BXzu0PEgf3B/")</f>
        <v>https://www.instagram.com/p/BXzu0PEgf3B/</v>
      </c>
      <c r="F783" t="s">
        <v>7055</v>
      </c>
      <c r="G783" t="s">
        <v>2478</v>
      </c>
      <c r="H783">
        <v>101</v>
      </c>
      <c r="I783" t="s">
        <v>2479</v>
      </c>
      <c r="J783">
        <v>0</v>
      </c>
      <c r="K783">
        <v>9</v>
      </c>
      <c r="L783">
        <v>9</v>
      </c>
      <c r="Q783">
        <v>0</v>
      </c>
      <c r="R783">
        <v>0</v>
      </c>
      <c r="S783">
        <v>9</v>
      </c>
      <c r="Y783" t="s">
        <v>7056</v>
      </c>
      <c r="Z783" t="s">
        <v>7057</v>
      </c>
      <c r="AA783" t="s">
        <v>2497</v>
      </c>
      <c r="AB783" t="s">
        <v>7058</v>
      </c>
      <c r="AD783" s="249" t="str">
        <f>HYPERLINK("https://scontent.cdninstagram.com/t51.2885-15/s320x320/e35/20766884_322258124852664_6799341805511901184_n.jpg")</f>
        <v>https://scontent.cdninstagram.com/t51.2885-15/s320x320/e35/20766884_322258124852664_6799341805511901184_n.jpg</v>
      </c>
      <c r="AE783" s="249" t="str">
        <f>HYPERLINK("https://scontent.cdninstagram.com/t51.2885-19/s150x150/11313614_1696972500534943_24755699_a.jpg")</f>
        <v>https://scontent.cdninstagram.com/t51.2885-19/s150x150/11313614_1696972500534943_24755699_a.jpg</v>
      </c>
    </row>
    <row r="784" spans="1:31" ht="15" x14ac:dyDescent="0.25">
      <c r="A784" t="s">
        <v>2474</v>
      </c>
      <c r="B784" t="s">
        <v>7059</v>
      </c>
      <c r="C784" s="221">
        <v>42962.202939814815</v>
      </c>
      <c r="D784" t="s">
        <v>7060</v>
      </c>
      <c r="E784" s="249" t="str">
        <f>HYPERLINK("https://www.instagram.com/p/BXzvOcPB4Jj/")</f>
        <v>https://www.instagram.com/p/BXzvOcPB4Jj/</v>
      </c>
      <c r="F784" t="s">
        <v>7061</v>
      </c>
      <c r="G784" t="s">
        <v>2478</v>
      </c>
      <c r="H784">
        <v>73</v>
      </c>
      <c r="I784" t="s">
        <v>2479</v>
      </c>
      <c r="J784">
        <v>0</v>
      </c>
      <c r="K784">
        <v>42</v>
      </c>
      <c r="L784">
        <v>42</v>
      </c>
      <c r="Q784">
        <v>0</v>
      </c>
      <c r="R784">
        <v>0</v>
      </c>
      <c r="S784">
        <v>42</v>
      </c>
      <c r="Y784" t="s">
        <v>3549</v>
      </c>
      <c r="Z784" t="s">
        <v>7062</v>
      </c>
      <c r="AA784" t="s">
        <v>7063</v>
      </c>
      <c r="AB784" t="s">
        <v>7064</v>
      </c>
      <c r="AC784" t="s">
        <v>3153</v>
      </c>
      <c r="AD784" s="249" t="str">
        <f>HYPERLINK("https://scontent.cdninstagram.com/t51.2885-15/s320x320/e35/c203.0.674.674/20837641_1557612367615316_3547705620004077568_n.jpg")</f>
        <v>https://scontent.cdninstagram.com/t51.2885-15/s320x320/e35/c203.0.674.674/20837641_1557612367615316_3547705620004077568_n.jpg</v>
      </c>
      <c r="AE784" s="249" t="str">
        <f>HYPERLINK("https://scontent.cdninstagram.com/t51.2885-19/s150x150/20633408_1975917032641235_1626040284297035776_a.jpg")</f>
        <v>https://scontent.cdninstagram.com/t51.2885-19/s150x150/20633408_1975917032641235_1626040284297035776_a.jpg</v>
      </c>
    </row>
    <row r="785" spans="1:31" ht="15" x14ac:dyDescent="0.25">
      <c r="A785" t="s">
        <v>2474</v>
      </c>
      <c r="B785" t="s">
        <v>7065</v>
      </c>
      <c r="C785" s="221">
        <v>42962.229398148149</v>
      </c>
      <c r="D785" t="s">
        <v>7066</v>
      </c>
      <c r="E785" s="249" t="str">
        <f>HYPERLINK("https://www.instagram.com/p/BXzzlYsF5Ur/")</f>
        <v>https://www.instagram.com/p/BXzzlYsF5Ur/</v>
      </c>
      <c r="F785" t="s">
        <v>7067</v>
      </c>
      <c r="G785" t="s">
        <v>2478</v>
      </c>
      <c r="H785">
        <v>1059</v>
      </c>
      <c r="I785" t="s">
        <v>2479</v>
      </c>
      <c r="J785">
        <v>0</v>
      </c>
      <c r="K785">
        <v>15</v>
      </c>
      <c r="L785">
        <v>15</v>
      </c>
      <c r="Q785">
        <v>0</v>
      </c>
      <c r="R785">
        <v>0</v>
      </c>
      <c r="S785">
        <v>15</v>
      </c>
      <c r="Y785" t="s">
        <v>7068</v>
      </c>
      <c r="Z785" t="s">
        <v>5884</v>
      </c>
      <c r="AA785" t="s">
        <v>2906</v>
      </c>
      <c r="AB785" t="s">
        <v>7069</v>
      </c>
      <c r="AC785" t="s">
        <v>7070</v>
      </c>
      <c r="AD785" s="249" t="str">
        <f>HYPERLINK("https://scontent.cdninstagram.com/t51.2885-15/s320x320/e35/20766391_125480684744296_6869653164631523328_n.jpg")</f>
        <v>https://scontent.cdninstagram.com/t51.2885-15/s320x320/e35/20766391_125480684744296_6869653164631523328_n.jpg</v>
      </c>
      <c r="AE785" s="249" t="str">
        <f>HYPERLINK("https://scontent.cdninstagram.com/t51.2885-19/s150x150/12357707_604275246394926_808103236_a.jpg")</f>
        <v>https://scontent.cdninstagram.com/t51.2885-19/s150x150/12357707_604275246394926_808103236_a.jpg</v>
      </c>
    </row>
    <row r="786" spans="1:31" ht="15" x14ac:dyDescent="0.25">
      <c r="A786" t="s">
        <v>2474</v>
      </c>
      <c r="B786" t="s">
        <v>7071</v>
      </c>
      <c r="C786" s="221">
        <v>42962.231388888889</v>
      </c>
      <c r="D786" t="s">
        <v>7072</v>
      </c>
      <c r="E786" s="249" t="str">
        <f>HYPERLINK("https://www.instagram.com/p/BXzz6fagUIC/")</f>
        <v>https://www.instagram.com/p/BXzz6fagUIC/</v>
      </c>
      <c r="F786" t="s">
        <v>7073</v>
      </c>
      <c r="G786" t="s">
        <v>2478</v>
      </c>
      <c r="H786">
        <v>113</v>
      </c>
      <c r="I786" t="s">
        <v>2479</v>
      </c>
      <c r="J786">
        <v>1</v>
      </c>
      <c r="K786">
        <v>20</v>
      </c>
      <c r="L786">
        <v>21</v>
      </c>
      <c r="Q786">
        <v>0</v>
      </c>
      <c r="R786">
        <v>0</v>
      </c>
      <c r="S786">
        <v>21</v>
      </c>
      <c r="Y786" t="s">
        <v>7074</v>
      </c>
      <c r="Z786" t="s">
        <v>7075</v>
      </c>
      <c r="AA786" t="s">
        <v>2735</v>
      </c>
      <c r="AB786" t="s">
        <v>5770</v>
      </c>
      <c r="AC786" t="s">
        <v>2730</v>
      </c>
      <c r="AD786" s="249" t="str">
        <f>HYPERLINK("https://scontent.cdninstagram.com/t51.2885-15/s320x320/e35/c56.0.350.350/20766159_1891254847861294_2664152090401570816_n.jpg")</f>
        <v>https://scontent.cdninstagram.com/t51.2885-15/s320x320/e35/c56.0.350.350/20766159_1891254847861294_2664152090401570816_n.jpg</v>
      </c>
      <c r="AE786" s="249" t="str">
        <f>HYPERLINK("https://scontent.cdninstagram.com/t51.2885-19/s150x150/20837507_153258535253315_1108480670541283328_a.jpg")</f>
        <v>https://scontent.cdninstagram.com/t51.2885-19/s150x150/20837507_153258535253315_1108480670541283328_a.jpg</v>
      </c>
    </row>
    <row r="787" spans="1:31" ht="15" x14ac:dyDescent="0.25">
      <c r="A787" t="s">
        <v>2474</v>
      </c>
      <c r="B787" t="s">
        <v>7076</v>
      </c>
      <c r="C787" s="221">
        <v>42962.23228009259</v>
      </c>
      <c r="D787" t="s">
        <v>7077</v>
      </c>
      <c r="E787" s="249" t="str">
        <f>HYPERLINK("https://www.instagram.com/p/BXz0DzwlKgK/")</f>
        <v>https://www.instagram.com/p/BXz0DzwlKgK/</v>
      </c>
      <c r="F787" t="s">
        <v>7078</v>
      </c>
      <c r="G787" t="s">
        <v>2478</v>
      </c>
      <c r="H787">
        <v>184</v>
      </c>
      <c r="I787" t="s">
        <v>2910</v>
      </c>
      <c r="J787">
        <v>2</v>
      </c>
      <c r="K787">
        <v>59</v>
      </c>
      <c r="L787">
        <v>61</v>
      </c>
      <c r="Q787">
        <v>0</v>
      </c>
      <c r="R787">
        <v>0</v>
      </c>
      <c r="S787">
        <v>61</v>
      </c>
      <c r="T787" t="s">
        <v>7079</v>
      </c>
      <c r="V787" t="s">
        <v>2103</v>
      </c>
      <c r="W787">
        <v>48.383299999999998</v>
      </c>
      <c r="X787">
        <v>15.5167</v>
      </c>
      <c r="Y787" t="s">
        <v>7080</v>
      </c>
      <c r="Z787" t="s">
        <v>7081</v>
      </c>
      <c r="AA787" t="s">
        <v>7082</v>
      </c>
      <c r="AB787" t="s">
        <v>7083</v>
      </c>
      <c r="AC787" t="s">
        <v>2497</v>
      </c>
      <c r="AD787" s="249" t="str">
        <f>HYPERLINK("https://scontent.cdninstagram.com/t51.2885-15/s320x320/e35/20766146_112017626165867_2843423200702889984_n.jpg")</f>
        <v>https://scontent.cdninstagram.com/t51.2885-15/s320x320/e35/20766146_112017626165867_2843423200702889984_n.jpg</v>
      </c>
      <c r="AE787" s="249" t="str">
        <f>HYPERLINK("https://scontent.cdninstagram.com/t51.2885-19/s150x150/15306543_1815767811969202_8489451182115258368_a.jpg")</f>
        <v>https://scontent.cdninstagram.com/t51.2885-19/s150x150/15306543_1815767811969202_8489451182115258368_a.jpg</v>
      </c>
    </row>
    <row r="788" spans="1:31" ht="15" x14ac:dyDescent="0.25">
      <c r="A788" t="s">
        <v>2474</v>
      </c>
      <c r="B788" t="s">
        <v>2685</v>
      </c>
      <c r="C788" s="221">
        <v>42962.234560185185</v>
      </c>
      <c r="D788" t="s">
        <v>7084</v>
      </c>
      <c r="E788" s="249" t="str">
        <f>HYPERLINK("https://www.instagram.com/p/BXz0b1zFS0n/")</f>
        <v>https://www.instagram.com/p/BXz0b1zFS0n/</v>
      </c>
      <c r="F788" t="s">
        <v>7085</v>
      </c>
      <c r="G788" t="s">
        <v>2478</v>
      </c>
      <c r="H788">
        <v>221</v>
      </c>
      <c r="I788" t="s">
        <v>2479</v>
      </c>
      <c r="J788">
        <v>3</v>
      </c>
      <c r="K788">
        <v>52</v>
      </c>
      <c r="L788">
        <v>55</v>
      </c>
      <c r="Q788">
        <v>0</v>
      </c>
      <c r="R788">
        <v>0</v>
      </c>
      <c r="S788">
        <v>55</v>
      </c>
      <c r="Y788" t="s">
        <v>7086</v>
      </c>
      <c r="Z788" t="s">
        <v>7087</v>
      </c>
      <c r="AA788" t="s">
        <v>2665</v>
      </c>
      <c r="AB788" t="s">
        <v>2689</v>
      </c>
      <c r="AC788" t="s">
        <v>2690</v>
      </c>
      <c r="AD788" s="249" t="str">
        <f>HYPERLINK("https://scontent.cdninstagram.com/t51.2885-15/s320x320/e35/20838794_460296254335513_7242579698859900928_n.jpg")</f>
        <v>https://scontent.cdninstagram.com/t51.2885-15/s320x320/e35/20838794_460296254335513_7242579698859900928_n.jpg</v>
      </c>
      <c r="AE788" s="249" t="str">
        <f>HYPERLINK("https://scontent.cdninstagram.com/t51.2885-19/s150x150/12339026_997056470351354_891418646_a.jpg")</f>
        <v>https://scontent.cdninstagram.com/t51.2885-19/s150x150/12339026_997056470351354_891418646_a.jpg</v>
      </c>
    </row>
    <row r="789" spans="1:31" ht="15" x14ac:dyDescent="0.25">
      <c r="A789" t="s">
        <v>2474</v>
      </c>
      <c r="B789" t="s">
        <v>2588</v>
      </c>
      <c r="C789" s="221">
        <v>42962.249201388891</v>
      </c>
      <c r="D789" t="s">
        <v>7088</v>
      </c>
      <c r="E789" s="249" t="str">
        <f>HYPERLINK("https://www.instagram.com/p/BXz22P-AcMV/")</f>
        <v>https://www.instagram.com/p/BXz22P-AcMV/</v>
      </c>
      <c r="F789" t="s">
        <v>7089</v>
      </c>
      <c r="G789" t="s">
        <v>2478</v>
      </c>
      <c r="H789">
        <v>283</v>
      </c>
      <c r="I789" t="s">
        <v>2479</v>
      </c>
      <c r="J789">
        <v>25</v>
      </c>
      <c r="K789">
        <v>188</v>
      </c>
      <c r="L789">
        <v>213</v>
      </c>
      <c r="Q789">
        <v>0</v>
      </c>
      <c r="R789">
        <v>0</v>
      </c>
      <c r="S789">
        <v>213</v>
      </c>
      <c r="AD789" s="249" t="str">
        <f>HYPERLINK("https://scontent.cdninstagram.com/t51.2885-15/s320x320/e35/20838242_1622868174453682_8436682273318764544_n.jpg")</f>
        <v>https://scontent.cdninstagram.com/t51.2885-15/s320x320/e35/20838242_1622868174453682_8436682273318764544_n.jpg</v>
      </c>
      <c r="AE789" s="249" t="str">
        <f>HYPERLINK("https://scontent.cdninstagram.com/t51.2885-19/s150x150/20633561_108840983138666_5897549723056734208_a.jpg")</f>
        <v>https://scontent.cdninstagram.com/t51.2885-19/s150x150/20633561_108840983138666_5897549723056734208_a.jpg</v>
      </c>
    </row>
    <row r="790" spans="1:31" ht="15" x14ac:dyDescent="0.25">
      <c r="A790" t="s">
        <v>2474</v>
      </c>
      <c r="B790" t="s">
        <v>7090</v>
      </c>
      <c r="C790" s="221">
        <v>42962.253969907404</v>
      </c>
      <c r="D790" t="s">
        <v>7091</v>
      </c>
      <c r="E790" s="249" t="str">
        <f>HYPERLINK("https://www.instagram.com/p/BXz3oi1jdCn/")</f>
        <v>https://www.instagram.com/p/BXz3oi1jdCn/</v>
      </c>
      <c r="F790" t="s">
        <v>7092</v>
      </c>
      <c r="G790" t="s">
        <v>2478</v>
      </c>
      <c r="H790">
        <v>145</v>
      </c>
      <c r="I790" t="s">
        <v>2479</v>
      </c>
      <c r="J790">
        <v>0</v>
      </c>
      <c r="K790">
        <v>12</v>
      </c>
      <c r="L790">
        <v>12</v>
      </c>
      <c r="Q790">
        <v>0</v>
      </c>
      <c r="R790">
        <v>0</v>
      </c>
      <c r="S790">
        <v>12</v>
      </c>
      <c r="Y790" t="s">
        <v>7093</v>
      </c>
      <c r="Z790" t="s">
        <v>4182</v>
      </c>
      <c r="AA790" t="s">
        <v>7094</v>
      </c>
      <c r="AB790" t="s">
        <v>2497</v>
      </c>
      <c r="AD790" s="249" t="str">
        <f>HYPERLINK("https://scontent.cdninstagram.com/t51.2885-15/s320x320/e35/c0.134.1080.1080/20759971_124149221545508_541221284374118400_n.jpg")</f>
        <v>https://scontent.cdninstagram.com/t51.2885-15/s320x320/e35/c0.134.1080.1080/20759971_124149221545508_541221284374118400_n.jpg</v>
      </c>
      <c r="AE790" s="249" t="str">
        <f>HYPERLINK("https://scontent.cdninstagram.com/t51.2885-19/s150x150/18723230_809233762572959_6134218329625198592_a.jpg")</f>
        <v>https://scontent.cdninstagram.com/t51.2885-19/s150x150/18723230_809233762572959_6134218329625198592_a.jpg</v>
      </c>
    </row>
    <row r="791" spans="1:31" ht="15" x14ac:dyDescent="0.25">
      <c r="A791" t="s">
        <v>2474</v>
      </c>
      <c r="B791" t="s">
        <v>7095</v>
      </c>
      <c r="C791" s="221">
        <v>42962.257233796299</v>
      </c>
      <c r="D791" t="s">
        <v>7096</v>
      </c>
      <c r="E791" s="249" t="str">
        <f>HYPERLINK("https://www.instagram.com/p/BXz4K9fnR3R/")</f>
        <v>https://www.instagram.com/p/BXz4K9fnR3R/</v>
      </c>
      <c r="F791" t="s">
        <v>7097</v>
      </c>
      <c r="G791" t="s">
        <v>2478</v>
      </c>
      <c r="H791">
        <v>459</v>
      </c>
      <c r="I791" t="s">
        <v>2582</v>
      </c>
      <c r="J791">
        <v>2</v>
      </c>
      <c r="K791">
        <v>50</v>
      </c>
      <c r="L791">
        <v>52</v>
      </c>
      <c r="Q791">
        <v>0</v>
      </c>
      <c r="R791">
        <v>0</v>
      </c>
      <c r="S791">
        <v>52</v>
      </c>
      <c r="Y791" t="s">
        <v>6612</v>
      </c>
      <c r="Z791" t="s">
        <v>4398</v>
      </c>
      <c r="AA791" t="s">
        <v>3655</v>
      </c>
      <c r="AB791" t="s">
        <v>2497</v>
      </c>
      <c r="AC791" t="s">
        <v>7098</v>
      </c>
      <c r="AD791" s="249" t="str">
        <f>HYPERLINK("https://scontent.cdninstagram.com/t51.2885-15/s320x320/e35/c0.118.1080.1080/20839052_1888105398176298_1883651250185043968_n.jpg")</f>
        <v>https://scontent.cdninstagram.com/t51.2885-15/s320x320/e35/c0.118.1080.1080/20839052_1888105398176298_1883651250185043968_n.jpg</v>
      </c>
      <c r="AE791" s="249" t="str">
        <f>HYPERLINK("https://scontent.cdninstagram.com/t51.2885-19/s150x150/19623275_1036710756464799_1535145182742183936_a.jpg")</f>
        <v>https://scontent.cdninstagram.com/t51.2885-19/s150x150/19623275_1036710756464799_1535145182742183936_a.jpg</v>
      </c>
    </row>
    <row r="792" spans="1:31" ht="15" x14ac:dyDescent="0.25">
      <c r="A792" t="s">
        <v>2474</v>
      </c>
      <c r="B792" t="s">
        <v>7099</v>
      </c>
      <c r="C792" s="221">
        <v>42962.260277777779</v>
      </c>
      <c r="D792" t="s">
        <v>7100</v>
      </c>
      <c r="E792" s="249" t="str">
        <f>HYPERLINK("https://www.instagram.com/p/BXz4rH_B_oj/")</f>
        <v>https://www.instagram.com/p/BXz4rH_B_oj/</v>
      </c>
      <c r="F792" t="s">
        <v>7101</v>
      </c>
      <c r="G792" t="s">
        <v>2478</v>
      </c>
      <c r="H792">
        <v>139</v>
      </c>
      <c r="I792" t="s">
        <v>3186</v>
      </c>
      <c r="J792">
        <v>2</v>
      </c>
      <c r="K792">
        <v>52</v>
      </c>
      <c r="L792">
        <v>54</v>
      </c>
      <c r="Q792">
        <v>0</v>
      </c>
      <c r="R792">
        <v>0</v>
      </c>
      <c r="S792">
        <v>54</v>
      </c>
      <c r="Y792" t="s">
        <v>7102</v>
      </c>
      <c r="Z792" t="s">
        <v>7103</v>
      </c>
      <c r="AA792" t="s">
        <v>7104</v>
      </c>
      <c r="AB792" t="s">
        <v>7105</v>
      </c>
      <c r="AC792" t="s">
        <v>7106</v>
      </c>
      <c r="AD792" s="249" t="str">
        <f>HYPERLINK("https://scontent.cdninstagram.com/t51.2885-15/s320x320/e35/20766512_280343222444261_5490199524167122944_n.jpg")</f>
        <v>https://scontent.cdninstagram.com/t51.2885-15/s320x320/e35/20766512_280343222444261_5490199524167122944_n.jpg</v>
      </c>
      <c r="AE792" s="249" t="str">
        <f>HYPERLINK("https://scontent.cdninstagram.com/t51.2885-19/s150x150/13249864_1625189114469785_1489578287_a.jpg")</f>
        <v>https://scontent.cdninstagram.com/t51.2885-19/s150x150/13249864_1625189114469785_1489578287_a.jpg</v>
      </c>
    </row>
    <row r="793" spans="1:31" ht="15" x14ac:dyDescent="0.25">
      <c r="A793" t="s">
        <v>2474</v>
      </c>
      <c r="B793" t="s">
        <v>7107</v>
      </c>
      <c r="C793" s="221">
        <v>42962.265983796293</v>
      </c>
      <c r="D793" t="s">
        <v>7108</v>
      </c>
      <c r="E793" s="249" t="str">
        <f>HYPERLINK("https://www.instagram.com/p/BXz5nV2BonC/")</f>
        <v>https://www.instagram.com/p/BXz5nV2BonC/</v>
      </c>
      <c r="F793" t="s">
        <v>7109</v>
      </c>
      <c r="G793" t="s">
        <v>2478</v>
      </c>
      <c r="H793">
        <v>763</v>
      </c>
      <c r="I793" t="s">
        <v>3273</v>
      </c>
      <c r="J793">
        <v>5</v>
      </c>
      <c r="K793">
        <v>82</v>
      </c>
      <c r="L793">
        <v>87</v>
      </c>
      <c r="Q793">
        <v>0</v>
      </c>
      <c r="R793">
        <v>0</v>
      </c>
      <c r="S793">
        <v>87</v>
      </c>
      <c r="T793" t="s">
        <v>7110</v>
      </c>
      <c r="V793" t="s">
        <v>2264</v>
      </c>
      <c r="W793">
        <v>41.303235999999998</v>
      </c>
      <c r="X793">
        <v>2.0747810000000002</v>
      </c>
      <c r="Y793" t="s">
        <v>7111</v>
      </c>
      <c r="Z793" t="s">
        <v>3843</v>
      </c>
      <c r="AA793" t="s">
        <v>7112</v>
      </c>
      <c r="AB793" t="s">
        <v>6122</v>
      </c>
      <c r="AC793" t="s">
        <v>4993</v>
      </c>
      <c r="AD793" s="249" t="str">
        <f>HYPERLINK("https://scontent.cdninstagram.com/t51.2885-15/s320x320/e35/20837324_899265770231387_901873536509935616_n.jpg")</f>
        <v>https://scontent.cdninstagram.com/t51.2885-15/s320x320/e35/20837324_899265770231387_901873536509935616_n.jpg</v>
      </c>
      <c r="AE793" s="249" t="str">
        <f>HYPERLINK("https://scontent.cdninstagram.com/t51.2885-19/s150x150/20583235_297083527425610_5320242913735606272_a.jpg")</f>
        <v>https://scontent.cdninstagram.com/t51.2885-19/s150x150/20583235_297083527425610_5320242913735606272_a.jpg</v>
      </c>
    </row>
    <row r="794" spans="1:31" ht="15" x14ac:dyDescent="0.25">
      <c r="A794" t="s">
        <v>2474</v>
      </c>
      <c r="B794" t="s">
        <v>7113</v>
      </c>
      <c r="C794" s="221">
        <v>42962.270960648151</v>
      </c>
      <c r="D794" t="s">
        <v>7114</v>
      </c>
      <c r="E794" s="249" t="str">
        <f>HYPERLINK("https://www.instagram.com/p/BXz6b1sAlG4/")</f>
        <v>https://www.instagram.com/p/BXz6b1sAlG4/</v>
      </c>
      <c r="F794" t="s">
        <v>7115</v>
      </c>
      <c r="G794" t="s">
        <v>2478</v>
      </c>
      <c r="H794">
        <v>443</v>
      </c>
      <c r="I794" t="s">
        <v>2542</v>
      </c>
      <c r="J794">
        <v>2</v>
      </c>
      <c r="K794">
        <v>63</v>
      </c>
      <c r="L794">
        <v>65</v>
      </c>
      <c r="Q794">
        <v>0</v>
      </c>
      <c r="R794">
        <v>0</v>
      </c>
      <c r="S794">
        <v>65</v>
      </c>
      <c r="Y794" t="s">
        <v>2562</v>
      </c>
      <c r="Z794" t="s">
        <v>6724</v>
      </c>
      <c r="AA794" t="s">
        <v>2911</v>
      </c>
      <c r="AB794" t="s">
        <v>2513</v>
      </c>
      <c r="AC794" t="s">
        <v>7116</v>
      </c>
      <c r="AD794" s="249" t="str">
        <f>HYPERLINK("https://scontent.cdninstagram.com/t51.2885-15/s320x320/e35/20838830_145239246062490_6837219276714147840_n.jpg")</f>
        <v>https://scontent.cdninstagram.com/t51.2885-15/s320x320/e35/20838830_145239246062490_6837219276714147840_n.jpg</v>
      </c>
      <c r="AE794" s="249" t="str">
        <f>HYPERLINK("https://scontent.cdninstagram.com/t51.2885-19/s150x150/12797890_985088588232893_1188466530_a.jpg")</f>
        <v>https://scontent.cdninstagram.com/t51.2885-19/s150x150/12797890_985088588232893_1188466530_a.jpg</v>
      </c>
    </row>
    <row r="795" spans="1:31" ht="15" x14ac:dyDescent="0.25">
      <c r="A795" t="s">
        <v>2474</v>
      </c>
      <c r="B795" t="s">
        <v>3644</v>
      </c>
      <c r="C795" s="221">
        <v>42962.278275462966</v>
      </c>
      <c r="D795" t="s">
        <v>7117</v>
      </c>
      <c r="E795" s="249" t="str">
        <f>HYPERLINK("https://www.instagram.com/p/BXz7o7FFwVX/")</f>
        <v>https://www.instagram.com/p/BXz7o7FFwVX/</v>
      </c>
      <c r="F795" t="s">
        <v>7118</v>
      </c>
      <c r="G795" t="s">
        <v>2631</v>
      </c>
      <c r="H795">
        <v>573</v>
      </c>
      <c r="I795" t="s">
        <v>2479</v>
      </c>
      <c r="J795">
        <v>3</v>
      </c>
      <c r="K795">
        <v>43</v>
      </c>
      <c r="L795">
        <v>46</v>
      </c>
      <c r="Q795">
        <v>0</v>
      </c>
      <c r="R795">
        <v>0</v>
      </c>
      <c r="S795">
        <v>46</v>
      </c>
      <c r="T795" t="s">
        <v>3647</v>
      </c>
      <c r="V795" t="s">
        <v>2141</v>
      </c>
      <c r="W795">
        <v>55.426879900000003</v>
      </c>
      <c r="X795">
        <v>10.3903303</v>
      </c>
      <c r="Y795" t="s">
        <v>2911</v>
      </c>
      <c r="Z795" t="s">
        <v>7119</v>
      </c>
      <c r="AA795" t="s">
        <v>3650</v>
      </c>
      <c r="AB795" t="s">
        <v>6486</v>
      </c>
      <c r="AC795" t="s">
        <v>7120</v>
      </c>
      <c r="AD795" s="249" t="str">
        <f>HYPERLINK("https://scontent.cdninstagram.com/t51.2885-15/s320x320/e15/c0.90.720.720/20837286_477876475901008_3608458628190699520_n.jpg")</f>
        <v>https://scontent.cdninstagram.com/t51.2885-15/s320x320/e15/c0.90.720.720/20837286_477876475901008_3608458628190699520_n.jpg</v>
      </c>
      <c r="AE795" s="249" t="str">
        <f>HYPERLINK("https://scontent.cdninstagram.com/t51.2885-19/s150x150/14714495_1790450111234953_7147855754219749376_a.jpg")</f>
        <v>https://scontent.cdninstagram.com/t51.2885-19/s150x150/14714495_1790450111234953_7147855754219749376_a.jpg</v>
      </c>
    </row>
    <row r="796" spans="1:31" ht="15" x14ac:dyDescent="0.25">
      <c r="A796" t="s">
        <v>2474</v>
      </c>
      <c r="B796" t="s">
        <v>7121</v>
      </c>
      <c r="C796" s="221">
        <v>42962.291180555556</v>
      </c>
      <c r="D796" t="s">
        <v>7122</v>
      </c>
      <c r="E796" s="249" t="str">
        <f>HYPERLINK("https://www.instagram.com/p/BXz9xFzhoeS/")</f>
        <v>https://www.instagram.com/p/BXz9xFzhoeS/</v>
      </c>
      <c r="F796" t="s">
        <v>7123</v>
      </c>
      <c r="G796" t="s">
        <v>2478</v>
      </c>
      <c r="H796">
        <v>319</v>
      </c>
      <c r="I796" t="s">
        <v>2542</v>
      </c>
      <c r="J796">
        <v>0</v>
      </c>
      <c r="K796">
        <v>32</v>
      </c>
      <c r="L796">
        <v>32</v>
      </c>
      <c r="Q796">
        <v>0</v>
      </c>
      <c r="R796">
        <v>0</v>
      </c>
      <c r="S796">
        <v>32</v>
      </c>
      <c r="Y796" t="s">
        <v>7124</v>
      </c>
      <c r="Z796" t="s">
        <v>7125</v>
      </c>
      <c r="AA796" t="s">
        <v>6746</v>
      </c>
      <c r="AB796" t="s">
        <v>7126</v>
      </c>
      <c r="AC796" t="s">
        <v>5160</v>
      </c>
      <c r="AD796" s="249" t="str">
        <f>HYPERLINK("https://scontent.cdninstagram.com/t51.2885-15/s320x320/e35/c0.135.1080.1080/20837774_337819556674492_4058823796428111872_n.jpg")</f>
        <v>https://scontent.cdninstagram.com/t51.2885-15/s320x320/e35/c0.135.1080.1080/20837774_337819556674492_4058823796428111872_n.jpg</v>
      </c>
      <c r="AE796" s="249" t="str">
        <f>HYPERLINK("https://scontent.cdninstagram.com/t51.2885-19/s150x150/19533604_480112205664824_1564293601066745856_a.jpg")</f>
        <v>https://scontent.cdninstagram.com/t51.2885-19/s150x150/19533604_480112205664824_1564293601066745856_a.jpg</v>
      </c>
    </row>
    <row r="797" spans="1:31" ht="15" x14ac:dyDescent="0.25">
      <c r="A797" t="s">
        <v>2474</v>
      </c>
      <c r="B797" t="s">
        <v>7127</v>
      </c>
      <c r="C797" s="221">
        <v>42962.298159722224</v>
      </c>
      <c r="D797" t="s">
        <v>7128</v>
      </c>
      <c r="E797" s="249" t="str">
        <f>HYPERLINK("https://www.instagram.com/p/BXz-6sXH0OW/")</f>
        <v>https://www.instagram.com/p/BXz-6sXH0OW/</v>
      </c>
      <c r="F797" t="s">
        <v>7129</v>
      </c>
      <c r="G797" t="s">
        <v>2478</v>
      </c>
      <c r="H797">
        <v>297</v>
      </c>
      <c r="I797" t="s">
        <v>2748</v>
      </c>
      <c r="J797">
        <v>15</v>
      </c>
      <c r="K797">
        <v>110</v>
      </c>
      <c r="L797">
        <v>125</v>
      </c>
      <c r="Q797">
        <v>0</v>
      </c>
      <c r="R797">
        <v>0</v>
      </c>
      <c r="S797">
        <v>125</v>
      </c>
      <c r="Y797" t="s">
        <v>7130</v>
      </c>
      <c r="Z797" t="s">
        <v>2497</v>
      </c>
      <c r="AA797" t="s">
        <v>7131</v>
      </c>
      <c r="AB797" t="s">
        <v>7132</v>
      </c>
      <c r="AD797" s="249" t="str">
        <f>HYPERLINK("https://scontent.cdninstagram.com/t51.2885-15/s320x320/e35/c0.120.960.960/20837619_335419300240942_1534150558510743552_n.jpg")</f>
        <v>https://scontent.cdninstagram.com/t51.2885-15/s320x320/e35/c0.120.960.960/20837619_335419300240942_1534150558510743552_n.jpg</v>
      </c>
      <c r="AE797" s="249" t="str">
        <f>HYPERLINK("https://scontent.cdninstagram.com/t51.2885-19/s150x150/15877281_1195760040478703_643500763682701312_n.jpg")</f>
        <v>https://scontent.cdninstagram.com/t51.2885-19/s150x150/15877281_1195760040478703_643500763682701312_n.jpg</v>
      </c>
    </row>
    <row r="798" spans="1:31" ht="15" x14ac:dyDescent="0.25">
      <c r="A798" t="s">
        <v>2474</v>
      </c>
      <c r="B798" t="s">
        <v>7133</v>
      </c>
      <c r="C798" s="221">
        <v>42962.298310185186</v>
      </c>
      <c r="D798" t="s">
        <v>7134</v>
      </c>
      <c r="E798" s="249" t="str">
        <f>HYPERLINK("https://www.instagram.com/p/BXz-8SMlis3/")</f>
        <v>https://www.instagram.com/p/BXz-8SMlis3/</v>
      </c>
      <c r="F798" t="s">
        <v>7135</v>
      </c>
      <c r="G798" t="s">
        <v>2478</v>
      </c>
      <c r="H798">
        <v>228</v>
      </c>
      <c r="I798" t="s">
        <v>2479</v>
      </c>
      <c r="J798">
        <v>0</v>
      </c>
      <c r="K798">
        <v>45</v>
      </c>
      <c r="L798">
        <v>45</v>
      </c>
      <c r="Q798">
        <v>0</v>
      </c>
      <c r="R798">
        <v>0</v>
      </c>
      <c r="S798">
        <v>45</v>
      </c>
      <c r="Y798" t="s">
        <v>7136</v>
      </c>
      <c r="Z798" t="s">
        <v>2497</v>
      </c>
      <c r="AA798" t="s">
        <v>7137</v>
      </c>
      <c r="AB798" t="s">
        <v>7138</v>
      </c>
      <c r="AC798" t="s">
        <v>7139</v>
      </c>
      <c r="AD798" s="249" t="str">
        <f>HYPERLINK("https://scontent.cdninstagram.com/t51.2885-15/s320x320/e35/c0.135.1080.1080/20837359_111050339581825_8218858806424109056_n.jpg")</f>
        <v>https://scontent.cdninstagram.com/t51.2885-15/s320x320/e35/c0.135.1080.1080/20837359_111050339581825_8218858806424109056_n.jpg</v>
      </c>
      <c r="AE798" s="249" t="str">
        <f>HYPERLINK("https://scontent.cdninstagram.com/t51.2885-19/s150x150/20686998_1986397751617575_4187612075880611840_a.jpg")</f>
        <v>https://scontent.cdninstagram.com/t51.2885-19/s150x150/20686998_1986397751617575_4187612075880611840_a.jpg</v>
      </c>
    </row>
    <row r="799" spans="1:31" ht="15" x14ac:dyDescent="0.25">
      <c r="A799" t="s">
        <v>2474</v>
      </c>
      <c r="B799" t="s">
        <v>6847</v>
      </c>
      <c r="C799" s="221">
        <v>42962.312511574077</v>
      </c>
      <c r="D799" t="s">
        <v>7140</v>
      </c>
      <c r="E799" s="249" t="str">
        <f>HYPERLINK("https://www.instagram.com/p/BX0BSBrBqc8/")</f>
        <v>https://www.instagram.com/p/BX0BSBrBqc8/</v>
      </c>
      <c r="F799" t="s">
        <v>7141</v>
      </c>
      <c r="G799" t="s">
        <v>2478</v>
      </c>
      <c r="H799">
        <v>108</v>
      </c>
      <c r="I799" t="s">
        <v>3186</v>
      </c>
      <c r="J799">
        <v>1</v>
      </c>
      <c r="K799">
        <v>35</v>
      </c>
      <c r="L799">
        <v>36</v>
      </c>
      <c r="Q799">
        <v>0</v>
      </c>
      <c r="R799">
        <v>0</v>
      </c>
      <c r="S799">
        <v>36</v>
      </c>
      <c r="T799" t="s">
        <v>7142</v>
      </c>
      <c r="V799" t="s">
        <v>2161</v>
      </c>
      <c r="W799">
        <v>50.963769900000003</v>
      </c>
      <c r="X799">
        <v>6.9587399999999997</v>
      </c>
      <c r="Y799" t="s">
        <v>7143</v>
      </c>
      <c r="Z799" t="s">
        <v>5802</v>
      </c>
      <c r="AA799" t="s">
        <v>7040</v>
      </c>
      <c r="AB799" t="s">
        <v>7144</v>
      </c>
      <c r="AC799" t="s">
        <v>7145</v>
      </c>
      <c r="AD799" s="249" t="str">
        <f>HYPERLINK("https://scontent.cdninstagram.com/t51.2885-15/s320x320/e35/20766124_567099297014868_4058726047267422208_n.jpg")</f>
        <v>https://scontent.cdninstagram.com/t51.2885-15/s320x320/e35/20766124_567099297014868_4058726047267422208_n.jpg</v>
      </c>
      <c r="AE799" s="249" t="str">
        <f>HYPERLINK("https://scontent.cdninstagram.com/t51.2885-19/s150x150/20759948_2040958986128138_1613724504230461440_a.jpg")</f>
        <v>https://scontent.cdninstagram.com/t51.2885-19/s150x150/20759948_2040958986128138_1613724504230461440_a.jpg</v>
      </c>
    </row>
    <row r="800" spans="1:31" ht="15" x14ac:dyDescent="0.25">
      <c r="A800" t="s">
        <v>2474</v>
      </c>
      <c r="B800" t="s">
        <v>7146</v>
      </c>
      <c r="C800" s="221">
        <v>42962.312696759262</v>
      </c>
      <c r="D800" t="s">
        <v>7147</v>
      </c>
      <c r="E800" s="249" t="str">
        <f>HYPERLINK("https://www.instagram.com/p/BX0BT-rn6rG/")</f>
        <v>https://www.instagram.com/p/BX0BT-rn6rG/</v>
      </c>
      <c r="F800" t="s">
        <v>7148</v>
      </c>
      <c r="G800" t="s">
        <v>2478</v>
      </c>
      <c r="H800">
        <v>323</v>
      </c>
      <c r="I800" t="s">
        <v>2479</v>
      </c>
      <c r="J800">
        <v>1</v>
      </c>
      <c r="K800">
        <v>51</v>
      </c>
      <c r="L800">
        <v>52</v>
      </c>
      <c r="Q800">
        <v>0</v>
      </c>
      <c r="R800">
        <v>0</v>
      </c>
      <c r="S800">
        <v>52</v>
      </c>
      <c r="Y800" t="s">
        <v>7149</v>
      </c>
      <c r="Z800" t="s">
        <v>7150</v>
      </c>
      <c r="AA800" t="s">
        <v>7151</v>
      </c>
      <c r="AB800" t="s">
        <v>5836</v>
      </c>
      <c r="AC800" t="s">
        <v>5884</v>
      </c>
      <c r="AD800" s="249" t="str">
        <f>HYPERLINK("https://scontent.cdninstagram.com/t51.2885-15/s320x320/e35/c0.135.1080.1080/20836907_221548505038843_1513699049528623104_n.jpg")</f>
        <v>https://scontent.cdninstagram.com/t51.2885-15/s320x320/e35/c0.135.1080.1080/20836907_221548505038843_1513699049528623104_n.jpg</v>
      </c>
      <c r="AE800" s="249" t="str">
        <f>HYPERLINK("https://scontent.cdninstagram.com/t51.2885-19/s150x150/15877380_233906867049396_7453982464524943360_n.jpg")</f>
        <v>https://scontent.cdninstagram.com/t51.2885-19/s150x150/15877380_233906867049396_7453982464524943360_n.jpg</v>
      </c>
    </row>
    <row r="801" spans="1:31" ht="15" x14ac:dyDescent="0.25">
      <c r="A801" t="s">
        <v>2474</v>
      </c>
      <c r="B801" t="s">
        <v>7152</v>
      </c>
      <c r="C801" s="221">
        <v>42962.316817129627</v>
      </c>
      <c r="D801" t="s">
        <v>7153</v>
      </c>
      <c r="E801" s="249" t="str">
        <f>HYPERLINK("https://www.instagram.com/p/BX0B_cMDxNp/")</f>
        <v>https://www.instagram.com/p/BX0B_cMDxNp/</v>
      </c>
      <c r="F801" t="s">
        <v>7154</v>
      </c>
      <c r="G801" t="s">
        <v>2478</v>
      </c>
      <c r="H801">
        <v>104</v>
      </c>
      <c r="I801" t="s">
        <v>2582</v>
      </c>
      <c r="J801">
        <v>1</v>
      </c>
      <c r="K801">
        <v>19</v>
      </c>
      <c r="L801">
        <v>20</v>
      </c>
      <c r="Q801">
        <v>0</v>
      </c>
      <c r="R801">
        <v>0</v>
      </c>
      <c r="S801">
        <v>20</v>
      </c>
      <c r="Y801" t="s">
        <v>7155</v>
      </c>
      <c r="Z801" t="s">
        <v>5981</v>
      </c>
      <c r="AA801" t="s">
        <v>5884</v>
      </c>
      <c r="AB801" t="s">
        <v>6391</v>
      </c>
      <c r="AC801" t="s">
        <v>2876</v>
      </c>
      <c r="AD801" s="249" t="str">
        <f>HYPERLINK("https://scontent.cdninstagram.com/t51.2885-15/e35/c0.6.320.320/20838327_1955610351321591_874231019618697216_n.jpg")</f>
        <v>https://scontent.cdninstagram.com/t51.2885-15/e35/c0.6.320.320/20838327_1955610351321591_874231019618697216_n.jpg</v>
      </c>
      <c r="AE801" s="249" t="str">
        <f>HYPERLINK("https://scontent.cdninstagram.com/t51.2885-19/s150x150/20181062_1791856511105718_4709893984703479808_a.jpg")</f>
        <v>https://scontent.cdninstagram.com/t51.2885-19/s150x150/20181062_1791856511105718_4709893984703479808_a.jpg</v>
      </c>
    </row>
    <row r="802" spans="1:31" ht="15" x14ac:dyDescent="0.25">
      <c r="A802" t="s">
        <v>2474</v>
      </c>
      <c r="B802" t="s">
        <v>7156</v>
      </c>
      <c r="C802" s="221">
        <v>42962.31753472222</v>
      </c>
      <c r="D802" t="s">
        <v>7157</v>
      </c>
      <c r="E802" s="249" t="str">
        <f>HYPERLINK("https://www.instagram.com/p/BX0CG-xAMOm/")</f>
        <v>https://www.instagram.com/p/BX0CG-xAMOm/</v>
      </c>
      <c r="F802" t="s">
        <v>7158</v>
      </c>
      <c r="G802" t="s">
        <v>2478</v>
      </c>
      <c r="H802">
        <v>50</v>
      </c>
      <c r="I802" t="s">
        <v>2479</v>
      </c>
      <c r="J802">
        <v>0</v>
      </c>
      <c r="K802">
        <v>21</v>
      </c>
      <c r="L802">
        <v>21</v>
      </c>
      <c r="Q802">
        <v>0</v>
      </c>
      <c r="R802">
        <v>0</v>
      </c>
      <c r="S802">
        <v>21</v>
      </c>
      <c r="Y802" t="s">
        <v>7159</v>
      </c>
      <c r="Z802" t="s">
        <v>4240</v>
      </c>
      <c r="AA802" t="s">
        <v>7160</v>
      </c>
      <c r="AB802" t="s">
        <v>3774</v>
      </c>
      <c r="AC802" t="s">
        <v>2730</v>
      </c>
      <c r="AD802" s="249" t="str">
        <f>HYPERLINK("https://scontent.cdninstagram.com/t51.2885-15/s320x320/e35/20902275_286164251866414_3376732747295883264_n.jpg")</f>
        <v>https://scontent.cdninstagram.com/t51.2885-15/s320x320/e35/20902275_286164251866414_3376732747295883264_n.jpg</v>
      </c>
      <c r="AE802" s="249" t="str">
        <f>HYPERLINK("https://scontent.cdninstagram.com/t51.2885-19/s150x150/20902123_1127129460721889_2738001411651403776_a.jpg")</f>
        <v>https://scontent.cdninstagram.com/t51.2885-19/s150x150/20902123_1127129460721889_2738001411651403776_a.jpg</v>
      </c>
    </row>
    <row r="803" spans="1:31" ht="15" x14ac:dyDescent="0.25">
      <c r="A803" t="s">
        <v>2474</v>
      </c>
      <c r="B803" t="s">
        <v>7161</v>
      </c>
      <c r="C803" s="221">
        <v>42962.331504629627</v>
      </c>
      <c r="D803" t="s">
        <v>7162</v>
      </c>
      <c r="E803" s="249" t="str">
        <f>HYPERLINK("https://www.instagram.com/p/BX0EaZhBpFt/")</f>
        <v>https://www.instagram.com/p/BX0EaZhBpFt/</v>
      </c>
      <c r="F803" t="s">
        <v>7163</v>
      </c>
      <c r="G803" t="s">
        <v>2478</v>
      </c>
      <c r="H803">
        <v>632</v>
      </c>
      <c r="I803" t="s">
        <v>2479</v>
      </c>
      <c r="J803">
        <v>4</v>
      </c>
      <c r="K803">
        <v>27</v>
      </c>
      <c r="L803">
        <v>31</v>
      </c>
      <c r="Q803">
        <v>0</v>
      </c>
      <c r="R803">
        <v>0</v>
      </c>
      <c r="S803">
        <v>31</v>
      </c>
      <c r="T803" t="s">
        <v>7164</v>
      </c>
      <c r="V803" t="s">
        <v>2161</v>
      </c>
      <c r="W803">
        <v>48.691632921101998</v>
      </c>
      <c r="X803">
        <v>10.937420089949001</v>
      </c>
      <c r="Y803" t="s">
        <v>2911</v>
      </c>
      <c r="Z803" t="s">
        <v>7165</v>
      </c>
      <c r="AA803" t="s">
        <v>2497</v>
      </c>
      <c r="AB803" t="s">
        <v>3671</v>
      </c>
      <c r="AC803" t="s">
        <v>7166</v>
      </c>
      <c r="AD803" s="249" t="str">
        <f>HYPERLINK("https://scontent.cdninstagram.com/t51.2885-15/s320x320/e35/20901871_2120859024808170_1534124891786182656_n.jpg")</f>
        <v>https://scontent.cdninstagram.com/t51.2885-15/s320x320/e35/20901871_2120859024808170_1534124891786182656_n.jpg</v>
      </c>
      <c r="AE803" s="249" t="str">
        <f>HYPERLINK("https://scontent.cdninstagram.com/t51.2885-19/s150x150/20905386_1941019306186021_344589439520997376_a.jpg")</f>
        <v>https://scontent.cdninstagram.com/t51.2885-19/s150x150/20905386_1941019306186021_344589439520997376_a.jpg</v>
      </c>
    </row>
    <row r="804" spans="1:31" ht="15" x14ac:dyDescent="0.25">
      <c r="A804" t="s">
        <v>2474</v>
      </c>
      <c r="B804" t="s">
        <v>6020</v>
      </c>
      <c r="C804" s="221">
        <v>42962.33221064815</v>
      </c>
      <c r="D804" t="s">
        <v>7167</v>
      </c>
      <c r="E804" s="249" t="str">
        <f>HYPERLINK("https://www.instagram.com/p/BX0Ehyngn8Z/")</f>
        <v>https://www.instagram.com/p/BX0Ehyngn8Z/</v>
      </c>
      <c r="F804" t="s">
        <v>7168</v>
      </c>
      <c r="G804" t="s">
        <v>2478</v>
      </c>
      <c r="H804">
        <v>31298</v>
      </c>
      <c r="I804" t="s">
        <v>2479</v>
      </c>
      <c r="J804">
        <v>24</v>
      </c>
      <c r="K804">
        <v>989</v>
      </c>
      <c r="L804">
        <v>1013</v>
      </c>
      <c r="Q804">
        <v>0</v>
      </c>
      <c r="R804">
        <v>0</v>
      </c>
      <c r="S804">
        <v>1013</v>
      </c>
      <c r="Y804" t="s">
        <v>7169</v>
      </c>
      <c r="Z804" t="s">
        <v>7170</v>
      </c>
      <c r="AA804" t="s">
        <v>7171</v>
      </c>
      <c r="AB804" t="s">
        <v>7172</v>
      </c>
      <c r="AC804" t="s">
        <v>7173</v>
      </c>
      <c r="AD804" s="249" t="str">
        <f>HYPERLINK("https://scontent.cdninstagram.com/t51.2885-15/s320x320/e35/20766535_194950867710634_54107280735469568_n.jpg")</f>
        <v>https://scontent.cdninstagram.com/t51.2885-15/s320x320/e35/20766535_194950867710634_54107280735469568_n.jpg</v>
      </c>
      <c r="AE804" s="249" t="str">
        <f>HYPERLINK("https://scontent.cdninstagram.com/t51.2885-19/s150x150/18094683_212156559284851_4534393421896351744_a.jpg")</f>
        <v>https://scontent.cdninstagram.com/t51.2885-19/s150x150/18094683_212156559284851_4534393421896351744_a.jpg</v>
      </c>
    </row>
    <row r="805" spans="1:31" ht="15" x14ac:dyDescent="0.25">
      <c r="A805" t="s">
        <v>2474</v>
      </c>
      <c r="B805" t="s">
        <v>7174</v>
      </c>
      <c r="C805" s="221">
        <v>42962.344699074078</v>
      </c>
      <c r="D805" t="s">
        <v>7175</v>
      </c>
      <c r="E805" s="249" t="str">
        <f>HYPERLINK("https://www.instagram.com/p/BX0GljIlm3W/")</f>
        <v>https://www.instagram.com/p/BX0GljIlm3W/</v>
      </c>
      <c r="F805" t="s">
        <v>7176</v>
      </c>
      <c r="G805" t="s">
        <v>2478</v>
      </c>
      <c r="H805">
        <v>111</v>
      </c>
      <c r="I805" t="s">
        <v>2479</v>
      </c>
      <c r="J805">
        <v>0</v>
      </c>
      <c r="K805">
        <v>3</v>
      </c>
      <c r="L805">
        <v>3</v>
      </c>
      <c r="Q805">
        <v>0</v>
      </c>
      <c r="R805">
        <v>0</v>
      </c>
      <c r="S805">
        <v>3</v>
      </c>
      <c r="Y805" t="s">
        <v>2497</v>
      </c>
      <c r="Z805" t="s">
        <v>7177</v>
      </c>
      <c r="AA805" t="s">
        <v>7178</v>
      </c>
      <c r="AD805" s="249" t="str">
        <f>HYPERLINK("https://scontent.cdninstagram.com/t51.2885-15/s320x320/e35/20837545_2045926779026913_4449396749252952064_n.jpg")</f>
        <v>https://scontent.cdninstagram.com/t51.2885-15/s320x320/e35/20837545_2045926779026913_4449396749252952064_n.jpg</v>
      </c>
      <c r="AE805" s="249" t="str">
        <f>HYPERLINK("https://scontent.cdninstagram.com/t51.2885-19/s150x150/18251607_1204810676312868_7808800299941888_a.jpg")</f>
        <v>https://scontent.cdninstagram.com/t51.2885-19/s150x150/18251607_1204810676312868_7808800299941888_a.jpg</v>
      </c>
    </row>
    <row r="806" spans="1:31" ht="15" x14ac:dyDescent="0.25">
      <c r="A806" t="s">
        <v>2474</v>
      </c>
      <c r="B806" t="s">
        <v>2917</v>
      </c>
      <c r="C806" s="221">
        <v>42962.344988425924</v>
      </c>
      <c r="D806" t="s">
        <v>7179</v>
      </c>
      <c r="E806" s="249" t="str">
        <f>HYPERLINK("https://www.instagram.com/p/BX0GokAF4Kg/")</f>
        <v>https://www.instagram.com/p/BX0GokAF4Kg/</v>
      </c>
      <c r="F806" t="s">
        <v>7180</v>
      </c>
      <c r="G806" t="s">
        <v>2478</v>
      </c>
      <c r="H806">
        <v>5273</v>
      </c>
      <c r="I806" t="s">
        <v>2479</v>
      </c>
      <c r="J806">
        <v>3</v>
      </c>
      <c r="K806">
        <v>140</v>
      </c>
      <c r="L806">
        <v>143</v>
      </c>
      <c r="Q806">
        <v>0</v>
      </c>
      <c r="R806">
        <v>0</v>
      </c>
      <c r="S806">
        <v>143</v>
      </c>
      <c r="Y806" t="s">
        <v>7181</v>
      </c>
      <c r="Z806" t="s">
        <v>7182</v>
      </c>
      <c r="AA806" t="s">
        <v>7183</v>
      </c>
      <c r="AB806" t="s">
        <v>2921</v>
      </c>
      <c r="AC806" t="s">
        <v>7184</v>
      </c>
      <c r="AD806" s="249" t="str">
        <f>HYPERLINK("https://scontent.cdninstagram.com/t51.2885-15/s320x320/e35/c0.135.1080.1080/20766924_271812813315599_4185898203540881408_n.jpg")</f>
        <v>https://scontent.cdninstagram.com/t51.2885-15/s320x320/e35/c0.135.1080.1080/20766924_271812813315599_4185898203540881408_n.jpg</v>
      </c>
      <c r="AE806" s="249" t="str">
        <f>HYPERLINK("https://scontent.cdninstagram.com/t51.2885-19/s150x150/20482356_746992422172225_262181640019640320_a.jpg")</f>
        <v>https://scontent.cdninstagram.com/t51.2885-19/s150x150/20482356_746992422172225_262181640019640320_a.jpg</v>
      </c>
    </row>
    <row r="807" spans="1:31" ht="15" x14ac:dyDescent="0.25">
      <c r="A807" t="s">
        <v>2474</v>
      </c>
      <c r="B807" t="s">
        <v>7185</v>
      </c>
      <c r="C807" s="221">
        <v>42962.345000000001</v>
      </c>
      <c r="D807" t="s">
        <v>7186</v>
      </c>
      <c r="E807" s="249" t="str">
        <f>HYPERLINK("https://www.instagram.com/p/BX0Gotjh5kP/")</f>
        <v>https://www.instagram.com/p/BX0Gotjh5kP/</v>
      </c>
      <c r="F807" t="s">
        <v>7187</v>
      </c>
      <c r="G807" t="s">
        <v>2478</v>
      </c>
      <c r="H807">
        <v>377</v>
      </c>
      <c r="I807" t="s">
        <v>2479</v>
      </c>
      <c r="J807">
        <v>3</v>
      </c>
      <c r="K807">
        <v>94</v>
      </c>
      <c r="L807">
        <v>97</v>
      </c>
      <c r="Q807">
        <v>0</v>
      </c>
      <c r="R807">
        <v>0</v>
      </c>
      <c r="S807">
        <v>97</v>
      </c>
      <c r="T807" t="s">
        <v>7188</v>
      </c>
      <c r="V807" t="s">
        <v>2111</v>
      </c>
      <c r="W807">
        <v>17.315560000000001</v>
      </c>
      <c r="X807">
        <v>-87.534440000000004</v>
      </c>
      <c r="Y807" t="s">
        <v>7189</v>
      </c>
      <c r="Z807" t="s">
        <v>7190</v>
      </c>
      <c r="AA807" t="s">
        <v>7191</v>
      </c>
      <c r="AB807" t="s">
        <v>7192</v>
      </c>
      <c r="AC807" t="s">
        <v>4547</v>
      </c>
      <c r="AD807" s="249" t="str">
        <f>HYPERLINK("https://scontent.cdninstagram.com/t51.2885-15/s320x320/e35/20837846_122969418343833_4583967545039519744_n.jpg")</f>
        <v>https://scontent.cdninstagram.com/t51.2885-15/s320x320/e35/20837846_122969418343833_4583967545039519744_n.jpg</v>
      </c>
      <c r="AE807" s="249" t="str">
        <f>HYPERLINK("https://scontent.cdninstagram.com/t51.2885-19/s150x150/17882752_1488967831123186_392500985118851072_a.jpg")</f>
        <v>https://scontent.cdninstagram.com/t51.2885-19/s150x150/17882752_1488967831123186_392500985118851072_a.jpg</v>
      </c>
    </row>
    <row r="808" spans="1:31" ht="15" x14ac:dyDescent="0.25">
      <c r="A808" t="s">
        <v>2474</v>
      </c>
      <c r="B808" t="s">
        <v>2644</v>
      </c>
      <c r="C808" s="221">
        <v>42962.356932870367</v>
      </c>
      <c r="D808" t="s">
        <v>7193</v>
      </c>
      <c r="E808" s="249" t="str">
        <f>HYPERLINK("https://www.instagram.com/p/BX0ImkDAU-u/")</f>
        <v>https://www.instagram.com/p/BX0ImkDAU-u/</v>
      </c>
      <c r="F808" t="s">
        <v>7194</v>
      </c>
      <c r="G808" t="s">
        <v>2478</v>
      </c>
      <c r="H808">
        <v>1762</v>
      </c>
      <c r="I808" t="s">
        <v>2479</v>
      </c>
      <c r="J808">
        <v>5</v>
      </c>
      <c r="K808">
        <v>77</v>
      </c>
      <c r="L808">
        <v>82</v>
      </c>
      <c r="Q808">
        <v>0</v>
      </c>
      <c r="R808">
        <v>0</v>
      </c>
      <c r="S808">
        <v>82</v>
      </c>
      <c r="T808" t="s">
        <v>3911</v>
      </c>
      <c r="V808" t="s">
        <v>2648</v>
      </c>
      <c r="W808">
        <v>55.734259999999999</v>
      </c>
      <c r="X808">
        <v>37.627389999999998</v>
      </c>
      <c r="Y808" t="s">
        <v>7195</v>
      </c>
      <c r="Z808" t="s">
        <v>3915</v>
      </c>
      <c r="AA808" t="s">
        <v>3635</v>
      </c>
      <c r="AB808" t="s">
        <v>3633</v>
      </c>
      <c r="AC808" t="s">
        <v>5796</v>
      </c>
      <c r="AD808" s="249" t="str">
        <f>HYPERLINK("https://scontent.cdninstagram.com/t51.2885-15/s320x320/e35/20904880_862213413955523_2818367332160634880_n.jpg")</f>
        <v>https://scontent.cdninstagram.com/t51.2885-15/s320x320/e35/20904880_862213413955523_2818367332160634880_n.jpg</v>
      </c>
      <c r="AE808" s="249" t="str">
        <f>HYPERLINK("https://scontent.cdninstagram.com/t51.2885-19/11372086_1598451257062069_1320225693_a.jpg")</f>
        <v>https://scontent.cdninstagram.com/t51.2885-19/11372086_1598451257062069_1320225693_a.jpg</v>
      </c>
    </row>
    <row r="809" spans="1:31" ht="15" x14ac:dyDescent="0.25">
      <c r="A809" t="s">
        <v>2474</v>
      </c>
      <c r="B809" t="s">
        <v>7196</v>
      </c>
      <c r="C809" s="221">
        <v>42962.36577546296</v>
      </c>
      <c r="D809" t="s">
        <v>7197</v>
      </c>
      <c r="E809" s="249" t="str">
        <f>HYPERLINK("https://www.instagram.com/p/BX0KDzaj9S6/")</f>
        <v>https://www.instagram.com/p/BX0KDzaj9S6/</v>
      </c>
      <c r="F809" t="s">
        <v>7198</v>
      </c>
      <c r="G809" t="s">
        <v>2478</v>
      </c>
      <c r="H809">
        <v>295</v>
      </c>
      <c r="I809" t="s">
        <v>2479</v>
      </c>
      <c r="J809">
        <v>0</v>
      </c>
      <c r="K809">
        <v>8</v>
      </c>
      <c r="L809">
        <v>8</v>
      </c>
      <c r="Q809">
        <v>0</v>
      </c>
      <c r="R809">
        <v>0</v>
      </c>
      <c r="S809">
        <v>8</v>
      </c>
      <c r="Y809" t="s">
        <v>2497</v>
      </c>
      <c r="Z809" t="s">
        <v>7199</v>
      </c>
      <c r="AA809" t="s">
        <v>7196</v>
      </c>
      <c r="AB809" t="s">
        <v>7200</v>
      </c>
      <c r="AC809" t="s">
        <v>7201</v>
      </c>
      <c r="AD809" s="249" t="str">
        <f>HYPERLINK("https://scontent.cdninstagram.com/t51.2885-15/s320x320/e35/c0.100.915.915/20766541_770301256475479_6364324423733870592_n.jpg")</f>
        <v>https://scontent.cdninstagram.com/t51.2885-15/s320x320/e35/c0.100.915.915/20766541_770301256475479_6364324423733870592_n.jpg</v>
      </c>
      <c r="AE809" s="249" t="str">
        <f>HYPERLINK("https://scontent.cdninstagram.com/t51.2885-19/s150x150/10616664_776990592403056_1987775575_a.jpg")</f>
        <v>https://scontent.cdninstagram.com/t51.2885-19/s150x150/10616664_776990592403056_1987775575_a.jpg</v>
      </c>
    </row>
    <row r="810" spans="1:31" ht="15" x14ac:dyDescent="0.25">
      <c r="A810" t="s">
        <v>2474</v>
      </c>
      <c r="B810" t="s">
        <v>7202</v>
      </c>
      <c r="C810" s="221">
        <v>42962.366331018522</v>
      </c>
      <c r="D810" t="s">
        <v>7203</v>
      </c>
      <c r="E810" s="249" t="str">
        <f>HYPERLINK("https://www.instagram.com/p/BX0KJnOAX9S/")</f>
        <v>https://www.instagram.com/p/BX0KJnOAX9S/</v>
      </c>
      <c r="F810" t="s">
        <v>7204</v>
      </c>
      <c r="G810" t="s">
        <v>2478</v>
      </c>
      <c r="H810">
        <v>2794</v>
      </c>
      <c r="I810" t="s">
        <v>2479</v>
      </c>
      <c r="J810">
        <v>0</v>
      </c>
      <c r="K810">
        <v>32</v>
      </c>
      <c r="L810">
        <v>32</v>
      </c>
      <c r="Q810">
        <v>0</v>
      </c>
      <c r="R810">
        <v>0</v>
      </c>
      <c r="S810">
        <v>32</v>
      </c>
      <c r="Y810" t="s">
        <v>3774</v>
      </c>
      <c r="Z810" t="s">
        <v>2513</v>
      </c>
      <c r="AA810" t="s">
        <v>2728</v>
      </c>
      <c r="AB810" t="s">
        <v>3262</v>
      </c>
      <c r="AC810" t="s">
        <v>2730</v>
      </c>
      <c r="AD810" s="249" t="str">
        <f>HYPERLINK("https://scontent.cdninstagram.com/t51.2885-15/s320x320/e35/c0.135.1080.1080/20767022_450674965317211_4011509865464725504_n.jpg")</f>
        <v>https://scontent.cdninstagram.com/t51.2885-15/s320x320/e35/c0.135.1080.1080/20767022_450674965317211_4011509865464725504_n.jpg</v>
      </c>
      <c r="AE810" s="249" t="str">
        <f>HYPERLINK("https://scontent.cdninstagram.com/t51.2885-19/891438_546061025524639_370842134_a.jpg")</f>
        <v>https://scontent.cdninstagram.com/t51.2885-19/891438_546061025524639_370842134_a.jpg</v>
      </c>
    </row>
    <row r="811" spans="1:31" ht="15" x14ac:dyDescent="0.25">
      <c r="A811" t="s">
        <v>2474</v>
      </c>
      <c r="B811" t="s">
        <v>3754</v>
      </c>
      <c r="C811" s="221">
        <v>42962.372430555559</v>
      </c>
      <c r="D811" t="s">
        <v>7205</v>
      </c>
      <c r="E811" s="249" t="str">
        <f>HYPERLINK("https://www.instagram.com/p/BX0LJ_RjZ8z/")</f>
        <v>https://www.instagram.com/p/BX0LJ_RjZ8z/</v>
      </c>
      <c r="F811" t="s">
        <v>7206</v>
      </c>
      <c r="G811" t="s">
        <v>2478</v>
      </c>
      <c r="H811">
        <v>201842</v>
      </c>
      <c r="I811" t="s">
        <v>2479</v>
      </c>
      <c r="J811">
        <v>2</v>
      </c>
      <c r="K811">
        <v>294</v>
      </c>
      <c r="L811">
        <v>296</v>
      </c>
      <c r="Q811">
        <v>0</v>
      </c>
      <c r="R811">
        <v>0</v>
      </c>
      <c r="S811">
        <v>296</v>
      </c>
      <c r="Y811" t="s">
        <v>3754</v>
      </c>
      <c r="Z811" t="s">
        <v>5196</v>
      </c>
      <c r="AA811" t="s">
        <v>4231</v>
      </c>
      <c r="AB811" t="s">
        <v>4801</v>
      </c>
      <c r="AC811" t="s">
        <v>4561</v>
      </c>
      <c r="AD811" s="249" t="str">
        <f>HYPERLINK("https://scontent.cdninstagram.com/t51.2885-15/s320x320/e35/20838108_742811125925550_6362204286142644224_n.jpg")</f>
        <v>https://scontent.cdninstagram.com/t51.2885-15/s320x320/e35/20838108_742811125925550_6362204286142644224_n.jpg</v>
      </c>
      <c r="AE811" s="249" t="str">
        <f>HYPERLINK("https://scontent.cdninstagram.com/t51.2885-19/s150x150/12905002_1681254462136092_1137392787_a.jpg")</f>
        <v>https://scontent.cdninstagram.com/t51.2885-19/s150x150/12905002_1681254462136092_1137392787_a.jpg</v>
      </c>
    </row>
    <row r="812" spans="1:31" ht="15" x14ac:dyDescent="0.25">
      <c r="A812" t="s">
        <v>2474</v>
      </c>
      <c r="B812" t="s">
        <v>7207</v>
      </c>
      <c r="C812" s="221">
        <v>42962.373310185183</v>
      </c>
      <c r="D812" t="s">
        <v>7208</v>
      </c>
      <c r="E812" s="249" t="str">
        <f>HYPERLINK("https://www.instagram.com/p/BX0LTTRnvDn/")</f>
        <v>https://www.instagram.com/p/BX0LTTRnvDn/</v>
      </c>
      <c r="F812" t="s">
        <v>7209</v>
      </c>
      <c r="G812" t="s">
        <v>2478</v>
      </c>
      <c r="H812">
        <v>57</v>
      </c>
      <c r="I812" t="s">
        <v>2479</v>
      </c>
      <c r="J812">
        <v>0</v>
      </c>
      <c r="K812">
        <v>21</v>
      </c>
      <c r="L812">
        <v>21</v>
      </c>
      <c r="Q812">
        <v>0</v>
      </c>
      <c r="R812">
        <v>0</v>
      </c>
      <c r="S812">
        <v>21</v>
      </c>
      <c r="Y812" t="s">
        <v>7210</v>
      </c>
      <c r="Z812" t="s">
        <v>7211</v>
      </c>
      <c r="AA812" t="s">
        <v>2497</v>
      </c>
      <c r="AB812" t="s">
        <v>7212</v>
      </c>
      <c r="AD812" s="249" t="str">
        <f>HYPERLINK("https://scontent.cdninstagram.com/t51.2885-15/s320x320/e35/20838479_151708778746099_4282170209013334016_n.jpg")</f>
        <v>https://scontent.cdninstagram.com/t51.2885-15/s320x320/e35/20838479_151708778746099_4282170209013334016_n.jpg</v>
      </c>
      <c r="AE812" s="249" t="str">
        <f>HYPERLINK("https://scontent.cdninstagram.com/t51.2885-19/s150x150/20479243_456312068085269_3628275345301438464_a.jpg")</f>
        <v>https://scontent.cdninstagram.com/t51.2885-19/s150x150/20479243_456312068085269_3628275345301438464_a.jpg</v>
      </c>
    </row>
    <row r="813" spans="1:31" ht="15" x14ac:dyDescent="0.25">
      <c r="A813" t="s">
        <v>2474</v>
      </c>
      <c r="B813" t="s">
        <v>4889</v>
      </c>
      <c r="C813" s="221">
        <v>42962.374895833331</v>
      </c>
      <c r="D813" t="s">
        <v>7213</v>
      </c>
      <c r="E813" s="249" t="str">
        <f>HYPERLINK("https://www.instagram.com/p/BX0LkARDCSy/")</f>
        <v>https://www.instagram.com/p/BX0LkARDCSy/</v>
      </c>
      <c r="F813" t="s">
        <v>7214</v>
      </c>
      <c r="G813" t="s">
        <v>2478</v>
      </c>
      <c r="H813">
        <v>60470</v>
      </c>
      <c r="I813" t="s">
        <v>2479</v>
      </c>
      <c r="J813">
        <v>28</v>
      </c>
      <c r="K813">
        <v>1182</v>
      </c>
      <c r="L813">
        <v>1210</v>
      </c>
      <c r="Q813">
        <v>0</v>
      </c>
      <c r="R813">
        <v>0</v>
      </c>
      <c r="S813">
        <v>1210</v>
      </c>
      <c r="Y813" t="s">
        <v>7215</v>
      </c>
      <c r="Z813" t="s">
        <v>4547</v>
      </c>
      <c r="AA813" t="s">
        <v>7216</v>
      </c>
      <c r="AB813" t="s">
        <v>7217</v>
      </c>
      <c r="AC813" t="s">
        <v>7218</v>
      </c>
      <c r="AD813" s="249" t="str">
        <f>HYPERLINK("https://scontent.cdninstagram.com/t51.2885-15/s320x320/e35/c0.130.1080.1080/20837028_125211254774561_6521474335041912832_n.jpg")</f>
        <v>https://scontent.cdninstagram.com/t51.2885-15/s320x320/e35/c0.130.1080.1080/20837028_125211254774561_6521474335041912832_n.jpg</v>
      </c>
      <c r="AE813" s="249" t="str">
        <f>HYPERLINK("https://scontent.cdninstagram.com/t51.2885-19/s150x150/18161358_1440804125941868_3504733114997932032_a.jpg")</f>
        <v>https://scontent.cdninstagram.com/t51.2885-19/s150x150/18161358_1440804125941868_3504733114997932032_a.jpg</v>
      </c>
    </row>
    <row r="814" spans="1:31" ht="15" x14ac:dyDescent="0.25">
      <c r="A814" t="s">
        <v>2474</v>
      </c>
      <c r="B814" t="s">
        <v>7219</v>
      </c>
      <c r="C814" s="221">
        <v>42962.375659722224</v>
      </c>
      <c r="D814" t="s">
        <v>7220</v>
      </c>
      <c r="E814" s="249" t="str">
        <f>HYPERLINK("https://www.instagram.com/p/BX0LsAzg9ud/")</f>
        <v>https://www.instagram.com/p/BX0LsAzg9ud/</v>
      </c>
      <c r="F814" t="s">
        <v>7221</v>
      </c>
      <c r="G814" t="s">
        <v>2478</v>
      </c>
      <c r="H814">
        <v>432</v>
      </c>
      <c r="I814" t="s">
        <v>2479</v>
      </c>
      <c r="J814">
        <v>1</v>
      </c>
      <c r="K814">
        <v>25</v>
      </c>
      <c r="L814">
        <v>26</v>
      </c>
      <c r="Q814">
        <v>0</v>
      </c>
      <c r="R814">
        <v>0</v>
      </c>
      <c r="S814">
        <v>26</v>
      </c>
      <c r="Y814" t="s">
        <v>7215</v>
      </c>
      <c r="Z814" t="s">
        <v>4547</v>
      </c>
      <c r="AA814" t="s">
        <v>7216</v>
      </c>
      <c r="AB814" t="s">
        <v>7217</v>
      </c>
      <c r="AC814" t="s">
        <v>7218</v>
      </c>
      <c r="AD814" s="249" t="str">
        <f>HYPERLINK("https://scontent.cdninstagram.com/t51.2885-15/s320x320/e35/c0.77.640.640/20766186_110959436261017_844968720236281856_n.jpg")</f>
        <v>https://scontent.cdninstagram.com/t51.2885-15/s320x320/e35/c0.77.640.640/20766186_110959436261017_844968720236281856_n.jpg</v>
      </c>
      <c r="AE814" s="249" t="str">
        <f>HYPERLINK("https://scontent.cdninstagram.com/t51.2885-19/s150x150/19985305_493915000947002_808995654712950784_a.jpg")</f>
        <v>https://scontent.cdninstagram.com/t51.2885-19/s150x150/19985305_493915000947002_808995654712950784_a.jpg</v>
      </c>
    </row>
    <row r="815" spans="1:31" ht="15" x14ac:dyDescent="0.25">
      <c r="A815" t="s">
        <v>2474</v>
      </c>
      <c r="B815" t="s">
        <v>7222</v>
      </c>
      <c r="C815" s="221">
        <v>42962.377893518518</v>
      </c>
      <c r="D815" t="s">
        <v>7223</v>
      </c>
      <c r="E815" s="249" t="str">
        <f>HYPERLINK("https://www.instagram.com/p/BX0MDkkHaEt/")</f>
        <v>https://www.instagram.com/p/BX0MDkkHaEt/</v>
      </c>
      <c r="F815" t="s">
        <v>7224</v>
      </c>
      <c r="G815" t="s">
        <v>2478</v>
      </c>
      <c r="H815">
        <v>341</v>
      </c>
      <c r="I815" t="s">
        <v>2582</v>
      </c>
      <c r="J815">
        <v>4</v>
      </c>
      <c r="K815">
        <v>76</v>
      </c>
      <c r="L815">
        <v>80</v>
      </c>
      <c r="Q815">
        <v>0</v>
      </c>
      <c r="R815">
        <v>0</v>
      </c>
      <c r="S815">
        <v>80</v>
      </c>
      <c r="Y815" t="s">
        <v>2906</v>
      </c>
      <c r="Z815" t="s">
        <v>7225</v>
      </c>
      <c r="AA815" t="s">
        <v>2497</v>
      </c>
      <c r="AB815" t="s">
        <v>7226</v>
      </c>
      <c r="AD815" s="249" t="str">
        <f>HYPERLINK("https://scontent.cdninstagram.com/t51.2885-15/s320x320/e35/c0.135.1080.1080/20902550_793775310804248_5578047419439906816_n.jpg")</f>
        <v>https://scontent.cdninstagram.com/t51.2885-15/s320x320/e35/c0.135.1080.1080/20902550_793775310804248_5578047419439906816_n.jpg</v>
      </c>
      <c r="AE815" s="249" t="str">
        <f>HYPERLINK("https://scontent.cdninstagram.com/t51.2885-19/s150x150/14033615_1076046282442709_1326660113_a.jpg")</f>
        <v>https://scontent.cdninstagram.com/t51.2885-19/s150x150/14033615_1076046282442709_1326660113_a.jpg</v>
      </c>
    </row>
    <row r="816" spans="1:31" ht="15" x14ac:dyDescent="0.25">
      <c r="A816" t="s">
        <v>2474</v>
      </c>
      <c r="B816" t="s">
        <v>7227</v>
      </c>
      <c r="C816" s="221">
        <v>42962.389039351852</v>
      </c>
      <c r="D816" t="s">
        <v>7228</v>
      </c>
      <c r="E816" s="249" t="str">
        <f>HYPERLINK("https://www.instagram.com/p/BX0N5JaAz17/")</f>
        <v>https://www.instagram.com/p/BX0N5JaAz17/</v>
      </c>
      <c r="F816" t="s">
        <v>7229</v>
      </c>
      <c r="G816" t="s">
        <v>2478</v>
      </c>
      <c r="H816">
        <v>827</v>
      </c>
      <c r="I816" t="s">
        <v>2479</v>
      </c>
      <c r="J816">
        <v>1</v>
      </c>
      <c r="K816">
        <v>88</v>
      </c>
      <c r="L816">
        <v>89</v>
      </c>
      <c r="Q816">
        <v>0</v>
      </c>
      <c r="R816">
        <v>0</v>
      </c>
      <c r="S816">
        <v>89</v>
      </c>
      <c r="Y816" t="s">
        <v>7230</v>
      </c>
      <c r="Z816" t="s">
        <v>2551</v>
      </c>
      <c r="AA816" t="s">
        <v>7231</v>
      </c>
      <c r="AB816" t="s">
        <v>2574</v>
      </c>
      <c r="AC816" t="s">
        <v>5147</v>
      </c>
      <c r="AD816" s="249" t="str">
        <f>HYPERLINK("https://scontent.cdninstagram.com/t51.2885-15/s320x320/e35/c0.135.1080.1080/20837268_255785558262612_6782116693142405120_n.jpg")</f>
        <v>https://scontent.cdninstagram.com/t51.2885-15/s320x320/e35/c0.135.1080.1080/20837268_255785558262612_6782116693142405120_n.jpg</v>
      </c>
      <c r="AE816" s="249" t="str">
        <f>HYPERLINK("https://scontent.cdninstagram.com/t51.2885-19/s150x150/18513015_1538014642907501_4864573125880184832_a.jpg")</f>
        <v>https://scontent.cdninstagram.com/t51.2885-19/s150x150/18513015_1538014642907501_4864573125880184832_a.jpg</v>
      </c>
    </row>
    <row r="817" spans="1:31" ht="15" x14ac:dyDescent="0.25">
      <c r="A817" t="s">
        <v>2474</v>
      </c>
      <c r="B817" t="s">
        <v>7232</v>
      </c>
      <c r="C817" s="221">
        <v>42962.389305555553</v>
      </c>
      <c r="D817" t="s">
        <v>7233</v>
      </c>
      <c r="E817" s="249" t="str">
        <f>HYPERLINK("https://www.instagram.com/p/BX0N8A9AsJf/")</f>
        <v>https://www.instagram.com/p/BX0N8A9AsJf/</v>
      </c>
      <c r="F817" t="s">
        <v>7234</v>
      </c>
      <c r="G817" t="s">
        <v>2631</v>
      </c>
      <c r="H817">
        <v>515</v>
      </c>
      <c r="I817" t="s">
        <v>2542</v>
      </c>
      <c r="J817">
        <v>1</v>
      </c>
      <c r="K817">
        <v>25</v>
      </c>
      <c r="L817">
        <v>26</v>
      </c>
      <c r="Q817">
        <v>0</v>
      </c>
      <c r="R817">
        <v>0</v>
      </c>
      <c r="S817">
        <v>26</v>
      </c>
      <c r="Y817" t="s">
        <v>3209</v>
      </c>
      <c r="Z817" t="s">
        <v>7235</v>
      </c>
      <c r="AA817" t="s">
        <v>4161</v>
      </c>
      <c r="AB817" t="s">
        <v>7236</v>
      </c>
      <c r="AC817" t="s">
        <v>4975</v>
      </c>
      <c r="AD817" s="249" t="str">
        <f>HYPERLINK("https://scontent.cdninstagram.com/t51.2885-15/s320x320/e15/c0.90.720.720/20838315_1973222782923061_6808884900721065984_n.jpg")</f>
        <v>https://scontent.cdninstagram.com/t51.2885-15/s320x320/e15/c0.90.720.720/20838315_1973222782923061_6808884900721065984_n.jpg</v>
      </c>
      <c r="AE817" s="249" t="str">
        <f>HYPERLINK("https://scontent.cdninstagram.com/t51.2885-19/s150x150/14482263_1660577494243200_2334360342223650816_a.jpg")</f>
        <v>https://scontent.cdninstagram.com/t51.2885-19/s150x150/14482263_1660577494243200_2334360342223650816_a.jpg</v>
      </c>
    </row>
    <row r="818" spans="1:31" ht="15" x14ac:dyDescent="0.25">
      <c r="A818" t="s">
        <v>2474</v>
      </c>
      <c r="B818" t="s">
        <v>7237</v>
      </c>
      <c r="C818" s="221">
        <v>42962.396365740744</v>
      </c>
      <c r="D818" t="s">
        <v>7238</v>
      </c>
      <c r="E818" s="249" t="str">
        <f>HYPERLINK("https://www.instagram.com/p/BX0PGbaAri8/")</f>
        <v>https://www.instagram.com/p/BX0PGbaAri8/</v>
      </c>
      <c r="F818" t="s">
        <v>7239</v>
      </c>
      <c r="G818" t="s">
        <v>2478</v>
      </c>
      <c r="H818">
        <v>440</v>
      </c>
      <c r="I818" t="s">
        <v>2479</v>
      </c>
      <c r="J818">
        <v>4</v>
      </c>
      <c r="K818">
        <v>75</v>
      </c>
      <c r="L818">
        <v>79</v>
      </c>
      <c r="Q818">
        <v>0</v>
      </c>
      <c r="R818">
        <v>0</v>
      </c>
      <c r="S818">
        <v>79</v>
      </c>
      <c r="T818" t="s">
        <v>7240</v>
      </c>
      <c r="V818" t="s">
        <v>2204</v>
      </c>
      <c r="W818">
        <v>2.9399799999999998</v>
      </c>
      <c r="X818">
        <v>101.87878000000001</v>
      </c>
      <c r="Y818" t="s">
        <v>2497</v>
      </c>
      <c r="Z818" t="s">
        <v>3225</v>
      </c>
      <c r="AD818" s="249" t="str">
        <f>HYPERLINK("https://scontent.cdninstagram.com/t51.2885-15/s320x320/e35/c0.135.1080.1080/20766106_331966207244014_1218627524913790976_n.jpg")</f>
        <v>https://scontent.cdninstagram.com/t51.2885-15/s320x320/e35/c0.135.1080.1080/20766106_331966207244014_1218627524913790976_n.jpg</v>
      </c>
      <c r="AE818" s="249" t="str">
        <f>HYPERLINK("https://scontent.cdninstagram.com/t51.2885-19/s150x150/11820502_817397168357639_1224556572_a.jpg")</f>
        <v>https://scontent.cdninstagram.com/t51.2885-19/s150x150/11820502_817397168357639_1224556572_a.jpg</v>
      </c>
    </row>
    <row r="819" spans="1:31" ht="15" x14ac:dyDescent="0.25">
      <c r="A819" t="s">
        <v>2474</v>
      </c>
      <c r="B819" t="s">
        <v>7241</v>
      </c>
      <c r="C819" s="221">
        <v>42962.396620370368</v>
      </c>
      <c r="D819" t="s">
        <v>7242</v>
      </c>
      <c r="E819" s="249" t="str">
        <f>HYPERLINK("https://www.instagram.com/p/BX0PJKRB5d3/")</f>
        <v>https://www.instagram.com/p/BX0PJKRB5d3/</v>
      </c>
      <c r="F819" t="s">
        <v>7243</v>
      </c>
      <c r="G819" t="s">
        <v>2478</v>
      </c>
      <c r="H819">
        <v>427</v>
      </c>
      <c r="I819" t="s">
        <v>3186</v>
      </c>
      <c r="J819">
        <v>0</v>
      </c>
      <c r="K819">
        <v>1</v>
      </c>
      <c r="L819">
        <v>1</v>
      </c>
      <c r="Q819">
        <v>0</v>
      </c>
      <c r="R819">
        <v>0</v>
      </c>
      <c r="S819">
        <v>1</v>
      </c>
      <c r="Y819" t="s">
        <v>7244</v>
      </c>
      <c r="Z819" t="s">
        <v>7245</v>
      </c>
      <c r="AA819" t="s">
        <v>7246</v>
      </c>
      <c r="AB819" t="s">
        <v>3937</v>
      </c>
      <c r="AC819" t="s">
        <v>7247</v>
      </c>
      <c r="AD819" s="249" t="str">
        <f>HYPERLINK("https://scontent.cdninstagram.com/t51.2885-15/s320x320/e35/c0.0.1079.1079/20837462_114538145875966_12980340356284416_n.jpg")</f>
        <v>https://scontent.cdninstagram.com/t51.2885-15/s320x320/e35/c0.0.1079.1079/20837462_114538145875966_12980340356284416_n.jpg</v>
      </c>
      <c r="AE819" s="249" t="str">
        <f>HYPERLINK("https://scontent.cdninstagram.com/t51.2885-19/s150x150/20759624_1657792777595092_374058807866687488_a.jpg")</f>
        <v>https://scontent.cdninstagram.com/t51.2885-19/s150x150/20759624_1657792777595092_374058807866687488_a.jpg</v>
      </c>
    </row>
    <row r="820" spans="1:31" ht="15" x14ac:dyDescent="0.25">
      <c r="A820" t="s">
        <v>2474</v>
      </c>
      <c r="B820" t="s">
        <v>2977</v>
      </c>
      <c r="C820" s="221">
        <v>42962.398009259261</v>
      </c>
      <c r="D820" t="s">
        <v>7248</v>
      </c>
      <c r="E820" s="249" t="str">
        <f>HYPERLINK("https://www.instagram.com/p/BX0PXwVFTkW/")</f>
        <v>https://www.instagram.com/p/BX0PXwVFTkW/</v>
      </c>
      <c r="F820" t="s">
        <v>7249</v>
      </c>
      <c r="G820" t="s">
        <v>2478</v>
      </c>
      <c r="H820">
        <v>293</v>
      </c>
      <c r="I820" t="s">
        <v>3170</v>
      </c>
      <c r="J820">
        <v>0</v>
      </c>
      <c r="K820">
        <v>27</v>
      </c>
      <c r="L820">
        <v>27</v>
      </c>
      <c r="Q820">
        <v>0</v>
      </c>
      <c r="R820">
        <v>0</v>
      </c>
      <c r="S820">
        <v>27</v>
      </c>
      <c r="T820" t="s">
        <v>2980</v>
      </c>
      <c r="V820" t="s">
        <v>2212</v>
      </c>
      <c r="W820">
        <v>25.433299999999999</v>
      </c>
      <c r="X820">
        <v>-100.983</v>
      </c>
      <c r="Y820" t="s">
        <v>7250</v>
      </c>
      <c r="Z820" t="s">
        <v>2983</v>
      </c>
      <c r="AA820" t="s">
        <v>5704</v>
      </c>
      <c r="AB820" t="s">
        <v>7251</v>
      </c>
      <c r="AC820" t="s">
        <v>7252</v>
      </c>
      <c r="AD820" s="249" t="str">
        <f>HYPERLINK("https://scontent.cdninstagram.com/t51.2885-15/s320x320/e35/20766340_837625213068090_4403000296318435328_n.jpg")</f>
        <v>https://scontent.cdninstagram.com/t51.2885-15/s320x320/e35/20766340_837625213068090_4403000296318435328_n.jpg</v>
      </c>
      <c r="AE820" s="249" t="str">
        <f>HYPERLINK("https://scontent.cdninstagram.com/t51.2885-19/s150x150/12530780_1699292563688391_252723251_a.jpg")</f>
        <v>https://scontent.cdninstagram.com/t51.2885-19/s150x150/12530780_1699292563688391_252723251_a.jpg</v>
      </c>
    </row>
    <row r="821" spans="1:31" ht="15" x14ac:dyDescent="0.25">
      <c r="A821" t="s">
        <v>2474</v>
      </c>
      <c r="B821" t="s">
        <v>7253</v>
      </c>
      <c r="C821" s="221">
        <v>42962.400416666664</v>
      </c>
      <c r="D821" t="s">
        <v>7254</v>
      </c>
      <c r="E821" s="249" t="str">
        <f>HYPERLINK("https://www.instagram.com/p/BX0PxJEHQ7F/")</f>
        <v>https://www.instagram.com/p/BX0PxJEHQ7F/</v>
      </c>
      <c r="F821" t="s">
        <v>7255</v>
      </c>
      <c r="G821" t="s">
        <v>2478</v>
      </c>
      <c r="H821">
        <v>388</v>
      </c>
      <c r="I821" t="s">
        <v>4523</v>
      </c>
      <c r="J821">
        <v>4</v>
      </c>
      <c r="K821">
        <v>71</v>
      </c>
      <c r="L821">
        <v>75</v>
      </c>
      <c r="Q821">
        <v>0</v>
      </c>
      <c r="R821">
        <v>0</v>
      </c>
      <c r="S821">
        <v>75</v>
      </c>
      <c r="Y821" t="s">
        <v>7256</v>
      </c>
      <c r="Z821" t="s">
        <v>7257</v>
      </c>
      <c r="AA821" t="s">
        <v>7258</v>
      </c>
      <c r="AB821" t="s">
        <v>2497</v>
      </c>
      <c r="AC821" t="s">
        <v>7259</v>
      </c>
      <c r="AD821" s="249" t="str">
        <f>HYPERLINK("https://scontent.cdninstagram.com/t51.2885-15/s320x320/e35/20766909_1514065058649978_3108204017491116032_n.jpg")</f>
        <v>https://scontent.cdninstagram.com/t51.2885-15/s320x320/e35/20766909_1514065058649978_3108204017491116032_n.jpg</v>
      </c>
      <c r="AE821" s="249" t="str">
        <f>HYPERLINK("https://scontent.cdninstagram.com/t51.2885-19/s150x150/19425425_245122122642302_3738095636130562048_a.jpg")</f>
        <v>https://scontent.cdninstagram.com/t51.2885-19/s150x150/19425425_245122122642302_3738095636130562048_a.jpg</v>
      </c>
    </row>
    <row r="822" spans="1:31" ht="15" x14ac:dyDescent="0.25">
      <c r="A822" t="s">
        <v>2474</v>
      </c>
      <c r="B822" t="s">
        <v>7260</v>
      </c>
      <c r="C822" s="221">
        <v>42962.401273148149</v>
      </c>
      <c r="D822" t="s">
        <v>7261</v>
      </c>
      <c r="E822" s="249" t="str">
        <f>HYPERLINK("https://www.instagram.com/p/BX0P6Kun0NB/")</f>
        <v>https://www.instagram.com/p/BX0P6Kun0NB/</v>
      </c>
      <c r="F822" t="s">
        <v>7262</v>
      </c>
      <c r="G822" t="s">
        <v>2478</v>
      </c>
      <c r="H822">
        <v>551</v>
      </c>
      <c r="I822" t="s">
        <v>2927</v>
      </c>
      <c r="J822">
        <v>2</v>
      </c>
      <c r="K822">
        <v>134</v>
      </c>
      <c r="L822">
        <v>136</v>
      </c>
      <c r="Q822">
        <v>0</v>
      </c>
      <c r="R822">
        <v>0</v>
      </c>
      <c r="S822">
        <v>136</v>
      </c>
      <c r="T822" t="s">
        <v>7263</v>
      </c>
      <c r="U822" t="s">
        <v>1000</v>
      </c>
      <c r="V822" t="s">
        <v>2299</v>
      </c>
      <c r="W822">
        <v>42.860833333332998</v>
      </c>
      <c r="X822">
        <v>-72.108055555556007</v>
      </c>
      <c r="Y822" t="s">
        <v>7264</v>
      </c>
      <c r="Z822" t="s">
        <v>7265</v>
      </c>
      <c r="AA822" t="s">
        <v>5567</v>
      </c>
      <c r="AB822" t="s">
        <v>7266</v>
      </c>
      <c r="AC822" t="s">
        <v>7267</v>
      </c>
      <c r="AD822" s="249" t="str">
        <f>HYPERLINK("https://scontent.cdninstagram.com/t51.2885-15/s320x320/e35/20902170_109082853141983_583911262136565760_n.jpg")</f>
        <v>https://scontent.cdninstagram.com/t51.2885-15/s320x320/e35/20902170_109082853141983_583911262136565760_n.jpg</v>
      </c>
      <c r="AE822" s="249" t="str">
        <f>HYPERLINK("https://scontent.cdninstagram.com/t51.2885-19/s150x150/18161837_1155044711285627_1817703522003582976_a.jpg")</f>
        <v>https://scontent.cdninstagram.com/t51.2885-19/s150x150/18161837_1155044711285627_1817703522003582976_a.jpg</v>
      </c>
    </row>
    <row r="823" spans="1:31" ht="15" x14ac:dyDescent="0.25">
      <c r="A823" t="s">
        <v>2474</v>
      </c>
      <c r="B823" t="s">
        <v>2588</v>
      </c>
      <c r="C823" s="221">
        <v>42962.401817129627</v>
      </c>
      <c r="D823" t="s">
        <v>7268</v>
      </c>
      <c r="E823" s="249" t="str">
        <f>HYPERLINK("https://www.instagram.com/p/BX0P_4Agbrx/")</f>
        <v>https://www.instagram.com/p/BX0P_4Agbrx/</v>
      </c>
      <c r="F823" t="s">
        <v>7269</v>
      </c>
      <c r="G823" t="s">
        <v>2478</v>
      </c>
      <c r="H823">
        <v>283</v>
      </c>
      <c r="I823" t="s">
        <v>2479</v>
      </c>
      <c r="J823">
        <v>14</v>
      </c>
      <c r="K823">
        <v>510</v>
      </c>
      <c r="L823">
        <v>524</v>
      </c>
      <c r="Q823">
        <v>0</v>
      </c>
      <c r="R823">
        <v>0</v>
      </c>
      <c r="S823">
        <v>524</v>
      </c>
      <c r="AD823" s="249" t="str">
        <f>HYPERLINK("https://scontent.cdninstagram.com/t51.2885-15/s320x320/e35/c33.0.573.573/20837510_598462113876018_8571874576642867200_n.jpg")</f>
        <v>https://scontent.cdninstagram.com/t51.2885-15/s320x320/e35/c33.0.573.573/20837510_598462113876018_8571874576642867200_n.jpg</v>
      </c>
      <c r="AE823" s="249" t="str">
        <f>HYPERLINK("https://scontent.cdninstagram.com/t51.2885-19/s150x150/20633561_108840983138666_5897549723056734208_a.jpg")</f>
        <v>https://scontent.cdninstagram.com/t51.2885-19/s150x150/20633561_108840983138666_5897549723056734208_a.jpg</v>
      </c>
    </row>
    <row r="824" spans="1:31" ht="15" x14ac:dyDescent="0.25">
      <c r="A824" t="s">
        <v>2474</v>
      </c>
      <c r="B824" t="s">
        <v>5773</v>
      </c>
      <c r="C824" s="221">
        <v>42962.409074074072</v>
      </c>
      <c r="D824" t="s">
        <v>7270</v>
      </c>
      <c r="E824" s="249" t="str">
        <f>HYPERLINK("https://www.instagram.com/p/BX0RMfzl3Wm/")</f>
        <v>https://www.instagram.com/p/BX0RMfzl3Wm/</v>
      </c>
      <c r="F824" t="s">
        <v>7271</v>
      </c>
      <c r="G824" t="s">
        <v>2478</v>
      </c>
      <c r="H824">
        <v>844</v>
      </c>
      <c r="I824" t="s">
        <v>2542</v>
      </c>
      <c r="J824">
        <v>0</v>
      </c>
      <c r="K824">
        <v>36</v>
      </c>
      <c r="L824">
        <v>36</v>
      </c>
      <c r="Q824">
        <v>0</v>
      </c>
      <c r="R824">
        <v>0</v>
      </c>
      <c r="S824">
        <v>36</v>
      </c>
      <c r="Y824" t="s">
        <v>7272</v>
      </c>
      <c r="Z824" t="s">
        <v>5924</v>
      </c>
      <c r="AA824" t="s">
        <v>3937</v>
      </c>
      <c r="AB824" t="s">
        <v>6962</v>
      </c>
      <c r="AC824" t="s">
        <v>2718</v>
      </c>
      <c r="AD824" s="249" t="str">
        <f>HYPERLINK("https://scontent.cdninstagram.com/t51.2885-15/s320x320/e35/20759312_316963408707256_4300444002072657920_n.jpg")</f>
        <v>https://scontent.cdninstagram.com/t51.2885-15/s320x320/e35/20759312_316963408707256_4300444002072657920_n.jpg</v>
      </c>
      <c r="AE824" s="249" t="str">
        <f>HYPERLINK("https://scontent.cdninstagram.com/t51.2885-19/10838625_357924367702733_1358700153_a.jpg")</f>
        <v>https://scontent.cdninstagram.com/t51.2885-19/10838625_357924367702733_1358700153_a.jpg</v>
      </c>
    </row>
    <row r="825" spans="1:31" ht="15" x14ac:dyDescent="0.25">
      <c r="A825" t="s">
        <v>2474</v>
      </c>
      <c r="B825" t="s">
        <v>3015</v>
      </c>
      <c r="C825" s="221">
        <v>42962.410833333335</v>
      </c>
      <c r="D825" t="s">
        <v>7273</v>
      </c>
      <c r="E825" s="249" t="str">
        <f>HYPERLINK("https://www.instagram.com/p/BX0RfC1gX4h/")</f>
        <v>https://www.instagram.com/p/BX0RfC1gX4h/</v>
      </c>
      <c r="F825" t="s">
        <v>7274</v>
      </c>
      <c r="G825" t="s">
        <v>2478</v>
      </c>
      <c r="H825">
        <v>177</v>
      </c>
      <c r="I825" t="s">
        <v>2479</v>
      </c>
      <c r="J825">
        <v>0</v>
      </c>
      <c r="K825">
        <v>17</v>
      </c>
      <c r="L825">
        <v>17</v>
      </c>
      <c r="Q825">
        <v>0</v>
      </c>
      <c r="R825">
        <v>0</v>
      </c>
      <c r="S825">
        <v>17</v>
      </c>
      <c r="Y825" t="s">
        <v>3493</v>
      </c>
      <c r="Z825" t="s">
        <v>7275</v>
      </c>
      <c r="AA825" t="s">
        <v>3854</v>
      </c>
      <c r="AB825" t="s">
        <v>3725</v>
      </c>
      <c r="AC825" t="s">
        <v>3018</v>
      </c>
      <c r="AD825" s="249" t="str">
        <f>HYPERLINK("https://scontent.cdninstagram.com/t51.2885-15/s320x320/e35/c0.43.540.540/20901849_341270106311407_7117312785783980032_n.jpg")</f>
        <v>https://scontent.cdninstagram.com/t51.2885-15/s320x320/e35/c0.43.540.540/20901849_341270106311407_7117312785783980032_n.jpg</v>
      </c>
      <c r="AE825" s="249" t="str">
        <f>HYPERLINK("https://scontent.cdninstagram.com/t51.2885-19/s150x150/19761452_1876060406050696_4275948751316582400_a.jpg")</f>
        <v>https://scontent.cdninstagram.com/t51.2885-19/s150x150/19761452_1876060406050696_4275948751316582400_a.jpg</v>
      </c>
    </row>
    <row r="826" spans="1:31" ht="15" x14ac:dyDescent="0.25">
      <c r="A826" t="s">
        <v>2474</v>
      </c>
      <c r="B826" t="s">
        <v>7276</v>
      </c>
      <c r="C826" s="221">
        <v>42962.414675925924</v>
      </c>
      <c r="D826" t="s">
        <v>7277</v>
      </c>
      <c r="E826" s="249" t="str">
        <f>HYPERLINK("https://www.instagram.com/p/BX0SHfSlxJq/")</f>
        <v>https://www.instagram.com/p/BX0SHfSlxJq/</v>
      </c>
      <c r="F826" t="s">
        <v>7278</v>
      </c>
      <c r="G826" t="s">
        <v>2478</v>
      </c>
      <c r="H826">
        <v>261</v>
      </c>
      <c r="I826" t="s">
        <v>3170</v>
      </c>
      <c r="J826">
        <v>3</v>
      </c>
      <c r="K826">
        <v>19</v>
      </c>
      <c r="L826">
        <v>22</v>
      </c>
      <c r="Q826">
        <v>0</v>
      </c>
      <c r="R826">
        <v>0</v>
      </c>
      <c r="S826">
        <v>22</v>
      </c>
      <c r="Y826" t="s">
        <v>3769</v>
      </c>
      <c r="Z826" t="s">
        <v>7279</v>
      </c>
      <c r="AA826" t="s">
        <v>7280</v>
      </c>
      <c r="AB826" t="s">
        <v>7281</v>
      </c>
      <c r="AC826" t="s">
        <v>5706</v>
      </c>
      <c r="AD826" s="249" t="str">
        <f>HYPERLINK("https://scontent.cdninstagram.com/t51.2885-15/s320x320/e35/c45.0.988.988/20837339_110305333009415_5107002477593493504_n.jpg")</f>
        <v>https://scontent.cdninstagram.com/t51.2885-15/s320x320/e35/c45.0.988.988/20837339_110305333009415_5107002477593493504_n.jpg</v>
      </c>
      <c r="AE826" s="249" t="str">
        <f>HYPERLINK("https://scontent.cdninstagram.com/t51.2885-19/s150x150/20766142_1443875285668407_107180805792464896_a.jpg")</f>
        <v>https://scontent.cdninstagram.com/t51.2885-19/s150x150/20766142_1443875285668407_107180805792464896_a.jpg</v>
      </c>
    </row>
    <row r="827" spans="1:31" ht="15" x14ac:dyDescent="0.25">
      <c r="A827" t="s">
        <v>2474</v>
      </c>
      <c r="B827" t="s">
        <v>7282</v>
      </c>
      <c r="C827" s="221">
        <v>42962.425891203704</v>
      </c>
      <c r="D827" t="s">
        <v>7283</v>
      </c>
      <c r="E827" s="249" t="str">
        <f>HYPERLINK("https://www.instagram.com/p/BX0T91Fhyxa/")</f>
        <v>https://www.instagram.com/p/BX0T91Fhyxa/</v>
      </c>
      <c r="F827" t="s">
        <v>7284</v>
      </c>
      <c r="G827" t="s">
        <v>2478</v>
      </c>
      <c r="H827">
        <v>606</v>
      </c>
      <c r="I827" t="s">
        <v>2479</v>
      </c>
      <c r="J827">
        <v>4</v>
      </c>
      <c r="K827">
        <v>57</v>
      </c>
      <c r="L827">
        <v>61</v>
      </c>
      <c r="Q827">
        <v>0</v>
      </c>
      <c r="R827">
        <v>0</v>
      </c>
      <c r="S827">
        <v>61</v>
      </c>
      <c r="Y827" t="s">
        <v>7285</v>
      </c>
      <c r="Z827" t="s">
        <v>7286</v>
      </c>
      <c r="AA827" t="s">
        <v>7287</v>
      </c>
      <c r="AB827" t="s">
        <v>7288</v>
      </c>
      <c r="AC827" t="s">
        <v>7289</v>
      </c>
      <c r="AD827" s="249" t="str">
        <f>HYPERLINK("https://scontent.cdninstagram.com/t51.2885-15/s320x320/e35/20766238_793390750821916_1968489807902408704_n.jpg")</f>
        <v>https://scontent.cdninstagram.com/t51.2885-15/s320x320/e35/20766238_793390750821916_1968489807902408704_n.jpg</v>
      </c>
      <c r="AE827" s="249" t="str">
        <f>HYPERLINK("https://scontent.cdninstagram.com/t51.2885-19/s150x150/16123788_1713397075639436_908117340921528320_n.jpg")</f>
        <v>https://scontent.cdninstagram.com/t51.2885-19/s150x150/16123788_1713397075639436_908117340921528320_n.jpg</v>
      </c>
    </row>
    <row r="828" spans="1:31" ht="15" x14ac:dyDescent="0.25">
      <c r="A828" t="s">
        <v>2474</v>
      </c>
      <c r="B828" t="s">
        <v>3133</v>
      </c>
      <c r="C828" s="221">
        <v>42962.432546296295</v>
      </c>
      <c r="D828" t="s">
        <v>7290</v>
      </c>
      <c r="E828" s="249" t="str">
        <f>HYPERLINK("https://www.instagram.com/p/BX0VEArFFXk/")</f>
        <v>https://www.instagram.com/p/BX0VEArFFXk/</v>
      </c>
      <c r="F828" t="s">
        <v>7291</v>
      </c>
      <c r="G828" t="s">
        <v>2478</v>
      </c>
      <c r="H828">
        <v>316</v>
      </c>
      <c r="I828" t="s">
        <v>2479</v>
      </c>
      <c r="J828">
        <v>1</v>
      </c>
      <c r="K828">
        <v>47</v>
      </c>
      <c r="L828">
        <v>48</v>
      </c>
      <c r="Q828">
        <v>0</v>
      </c>
      <c r="R828">
        <v>0</v>
      </c>
      <c r="S828">
        <v>48</v>
      </c>
      <c r="T828" t="s">
        <v>7292</v>
      </c>
      <c r="V828" t="s">
        <v>2161</v>
      </c>
      <c r="W828">
        <v>48.107349900000003</v>
      </c>
      <c r="X828">
        <v>11.55264</v>
      </c>
      <c r="Y828" t="s">
        <v>3138</v>
      </c>
      <c r="Z828" t="s">
        <v>3197</v>
      </c>
      <c r="AA828" t="s">
        <v>7293</v>
      </c>
      <c r="AB828" t="s">
        <v>5317</v>
      </c>
      <c r="AC828" t="s">
        <v>7294</v>
      </c>
      <c r="AD828" s="249" t="str">
        <f>HYPERLINK("https://scontent.cdninstagram.com/t51.2885-15/s320x320/e35/20838729_367368163680621_1194447408793124864_n.jpg")</f>
        <v>https://scontent.cdninstagram.com/t51.2885-15/s320x320/e35/20838729_367368163680621_1194447408793124864_n.jpg</v>
      </c>
      <c r="AE828" s="249" t="str">
        <f>HYPERLINK("https://scontent.cdninstagram.com/t51.2885-19/s150x150/20986643_111635112861159_488548642974597120_a.jpg")</f>
        <v>https://scontent.cdninstagram.com/t51.2885-19/s150x150/20986643_111635112861159_488548642974597120_a.jpg</v>
      </c>
    </row>
    <row r="829" spans="1:31" ht="15" x14ac:dyDescent="0.25">
      <c r="A829" t="s">
        <v>2474</v>
      </c>
      <c r="B829" t="s">
        <v>7295</v>
      </c>
      <c r="C829" s="221">
        <v>42962.435659722221</v>
      </c>
      <c r="D829" t="s">
        <v>7296</v>
      </c>
      <c r="E829" s="249" t="str">
        <f>HYPERLINK("https://www.instagram.com/p/BX0Vk0EH9sE/")</f>
        <v>https://www.instagram.com/p/BX0Vk0EH9sE/</v>
      </c>
      <c r="F829" t="s">
        <v>7297</v>
      </c>
      <c r="G829" t="s">
        <v>2478</v>
      </c>
      <c r="H829">
        <v>2151</v>
      </c>
      <c r="I829" t="s">
        <v>2479</v>
      </c>
      <c r="J829">
        <v>2</v>
      </c>
      <c r="K829">
        <v>76</v>
      </c>
      <c r="L829">
        <v>78</v>
      </c>
      <c r="Q829">
        <v>0</v>
      </c>
      <c r="R829">
        <v>0</v>
      </c>
      <c r="S829">
        <v>78</v>
      </c>
      <c r="Y829" t="s">
        <v>2562</v>
      </c>
      <c r="Z829" t="s">
        <v>7298</v>
      </c>
      <c r="AA829" t="s">
        <v>2777</v>
      </c>
      <c r="AB829" t="s">
        <v>2730</v>
      </c>
      <c r="AC829" t="s">
        <v>2497</v>
      </c>
      <c r="AD829" s="249" t="str">
        <f>HYPERLINK("https://scontent.cdninstagram.com/t51.2885-15/s320x320/e35/c0.135.1080.1080/20837307_1924655257793503_6857763264932085760_n.jpg")</f>
        <v>https://scontent.cdninstagram.com/t51.2885-15/s320x320/e35/c0.135.1080.1080/20837307_1924655257793503_6857763264932085760_n.jpg</v>
      </c>
      <c r="AE829" s="249" t="str">
        <f>HYPERLINK("https://scontent.cdninstagram.com/t51.2885-19/s150x150/20582796_1730032983725546_623329329517953024_a.jpg")</f>
        <v>https://scontent.cdninstagram.com/t51.2885-19/s150x150/20582796_1730032983725546_623329329517953024_a.jpg</v>
      </c>
    </row>
    <row r="830" spans="1:31" ht="15" x14ac:dyDescent="0.25">
      <c r="A830" t="s">
        <v>2474</v>
      </c>
      <c r="B830" t="s">
        <v>4616</v>
      </c>
      <c r="C830" s="221">
        <v>42962.436435185184</v>
      </c>
      <c r="D830" t="s">
        <v>7299</v>
      </c>
      <c r="E830" s="249" t="str">
        <f>HYPERLINK("https://www.instagram.com/p/BX0VtBihUq2/")</f>
        <v>https://www.instagram.com/p/BX0VtBihUq2/</v>
      </c>
      <c r="F830" t="s">
        <v>7300</v>
      </c>
      <c r="G830" t="s">
        <v>2478</v>
      </c>
      <c r="H830">
        <v>113</v>
      </c>
      <c r="I830" t="s">
        <v>2479</v>
      </c>
      <c r="J830">
        <v>0</v>
      </c>
      <c r="K830">
        <v>24</v>
      </c>
      <c r="L830">
        <v>24</v>
      </c>
      <c r="Q830">
        <v>0</v>
      </c>
      <c r="R830">
        <v>0</v>
      </c>
      <c r="S830">
        <v>24</v>
      </c>
      <c r="T830" t="s">
        <v>7301</v>
      </c>
      <c r="V830" t="s">
        <v>2125</v>
      </c>
      <c r="W830">
        <v>43.7166</v>
      </c>
      <c r="X830">
        <v>-79.340699999999998</v>
      </c>
      <c r="Y830" t="s">
        <v>2944</v>
      </c>
      <c r="Z830" t="s">
        <v>2866</v>
      </c>
      <c r="AA830" t="s">
        <v>5587</v>
      </c>
      <c r="AB830" t="s">
        <v>5586</v>
      </c>
      <c r="AC830" t="s">
        <v>5007</v>
      </c>
      <c r="AD830" s="249" t="str">
        <f>HYPERLINK("https://scontent.cdninstagram.com/t51.2885-15/s320x320/e35/c135.0.810.810/20836995_1068678796601763_6835864480820232192_n.jpg")</f>
        <v>https://scontent.cdninstagram.com/t51.2885-15/s320x320/e35/c135.0.810.810/20836995_1068678796601763_6835864480820232192_n.jpg</v>
      </c>
      <c r="AE830" s="249" t="str">
        <f>HYPERLINK("https://scontent.cdninstagram.com/t51.2885-19/s150x150/17494353_1347957098574282_2527511313651859456_a.jpg")</f>
        <v>https://scontent.cdninstagram.com/t51.2885-19/s150x150/17494353_1347957098574282_2527511313651859456_a.jpg</v>
      </c>
    </row>
    <row r="831" spans="1:31" ht="15" x14ac:dyDescent="0.25">
      <c r="A831" t="s">
        <v>2474</v>
      </c>
      <c r="B831" t="s">
        <v>7302</v>
      </c>
      <c r="C831" s="221">
        <v>42962.436585648145</v>
      </c>
      <c r="D831" t="s">
        <v>7303</v>
      </c>
      <c r="E831" s="249" t="str">
        <f>HYPERLINK("https://www.instagram.com/p/BX0Vul2gpzl/")</f>
        <v>https://www.instagram.com/p/BX0Vul2gpzl/</v>
      </c>
      <c r="F831" t="s">
        <v>7304</v>
      </c>
      <c r="G831" t="s">
        <v>2478</v>
      </c>
      <c r="H831">
        <v>249</v>
      </c>
      <c r="I831" t="s">
        <v>2479</v>
      </c>
      <c r="J831">
        <v>0</v>
      </c>
      <c r="K831">
        <v>30</v>
      </c>
      <c r="L831">
        <v>30</v>
      </c>
      <c r="Q831">
        <v>0</v>
      </c>
      <c r="R831">
        <v>0</v>
      </c>
      <c r="S831">
        <v>30</v>
      </c>
      <c r="Y831" t="s">
        <v>6760</v>
      </c>
      <c r="Z831" t="s">
        <v>2497</v>
      </c>
      <c r="AA831" t="s">
        <v>7302</v>
      </c>
      <c r="AB831" t="s">
        <v>4589</v>
      </c>
      <c r="AC831" t="s">
        <v>2968</v>
      </c>
      <c r="AD831" s="249" t="str">
        <f>HYPERLINK("https://scontent.cdninstagram.com/t51.2885-15/s320x320/e35/20837206_101196483928874_3795418850938322944_n.jpg")</f>
        <v>https://scontent.cdninstagram.com/t51.2885-15/s320x320/e35/20837206_101196483928874_3795418850938322944_n.jpg</v>
      </c>
      <c r="AE831" s="249" t="str">
        <f>HYPERLINK("https://scontent.cdninstagram.com/t51.2885-19/s150x150/20398538_488872331461667_5923006818853847040_a.jpg")</f>
        <v>https://scontent.cdninstagram.com/t51.2885-19/s150x150/20398538_488872331461667_5923006818853847040_a.jpg</v>
      </c>
    </row>
    <row r="832" spans="1:31" ht="15" x14ac:dyDescent="0.25">
      <c r="A832" t="s">
        <v>2474</v>
      </c>
      <c r="B832" t="s">
        <v>7305</v>
      </c>
      <c r="C832" s="221">
        <v>42962.444189814814</v>
      </c>
      <c r="D832" t="s">
        <v>7306</v>
      </c>
      <c r="E832" s="249" t="str">
        <f>HYPERLINK("https://www.instagram.com/p/BX0W-zSF0dR/")</f>
        <v>https://www.instagram.com/p/BX0W-zSF0dR/</v>
      </c>
      <c r="F832" t="s">
        <v>7307</v>
      </c>
      <c r="G832" t="s">
        <v>2478</v>
      </c>
      <c r="H832">
        <v>246</v>
      </c>
      <c r="I832" t="s">
        <v>3186</v>
      </c>
      <c r="J832">
        <v>0</v>
      </c>
      <c r="K832">
        <v>27</v>
      </c>
      <c r="L832">
        <v>27</v>
      </c>
      <c r="Q832">
        <v>0</v>
      </c>
      <c r="R832">
        <v>0</v>
      </c>
      <c r="S832">
        <v>27</v>
      </c>
      <c r="T832" t="s">
        <v>7308</v>
      </c>
      <c r="V832" t="s">
        <v>2153</v>
      </c>
      <c r="W832">
        <v>65.83614</v>
      </c>
      <c r="X832">
        <v>24.134250000000002</v>
      </c>
      <c r="Y832" t="s">
        <v>7309</v>
      </c>
      <c r="Z832" t="s">
        <v>7310</v>
      </c>
      <c r="AA832" t="s">
        <v>2497</v>
      </c>
      <c r="AD832" s="249" t="str">
        <f>HYPERLINK("https://scontent.cdninstagram.com/t51.2885-15/s320x320/e35/c0.31.990.990/20837172_1408342432593083_3965695359123980288_n.jpg")</f>
        <v>https://scontent.cdninstagram.com/t51.2885-15/s320x320/e35/c0.31.990.990/20837172_1408342432593083_3965695359123980288_n.jpg</v>
      </c>
      <c r="AE832" s="249" t="str">
        <f>HYPERLINK("https://scontent.cdninstagram.com/t51.2885-19/s150x150/18299262_1358444194247452_6262739522241429504_a.jpg")</f>
        <v>https://scontent.cdninstagram.com/t51.2885-19/s150x150/18299262_1358444194247452_6262739522241429504_a.jpg</v>
      </c>
    </row>
    <row r="833" spans="1:31" ht="15" x14ac:dyDescent="0.25">
      <c r="A833" t="s">
        <v>2474</v>
      </c>
      <c r="B833" t="s">
        <v>7311</v>
      </c>
      <c r="C833" s="221">
        <v>42962.474259259259</v>
      </c>
      <c r="D833" t="s">
        <v>7312</v>
      </c>
      <c r="E833" s="249" t="str">
        <f>HYPERLINK("https://www.instagram.com/p/BX0b79GDOwH/")</f>
        <v>https://www.instagram.com/p/BX0b79GDOwH/</v>
      </c>
      <c r="F833" t="s">
        <v>7313</v>
      </c>
      <c r="G833" t="s">
        <v>2478</v>
      </c>
      <c r="H833">
        <v>1013</v>
      </c>
      <c r="I833" t="s">
        <v>2479</v>
      </c>
      <c r="J833">
        <v>1</v>
      </c>
      <c r="K833">
        <v>97</v>
      </c>
      <c r="L833">
        <v>98</v>
      </c>
      <c r="Q833">
        <v>0</v>
      </c>
      <c r="R833">
        <v>0</v>
      </c>
      <c r="S833">
        <v>98</v>
      </c>
      <c r="Y833" t="s">
        <v>7314</v>
      </c>
      <c r="Z833" t="s">
        <v>5884</v>
      </c>
      <c r="AA833" t="s">
        <v>7315</v>
      </c>
      <c r="AB833" t="s">
        <v>2497</v>
      </c>
      <c r="AC833" t="s">
        <v>4620</v>
      </c>
      <c r="AD833" s="249" t="str">
        <f>HYPERLINK("https://scontent.cdninstagram.com/t51.2885-15/s320x320/e35/20838503_807112096158717_2977779200880017408_n.jpg")</f>
        <v>https://scontent.cdninstagram.com/t51.2885-15/s320x320/e35/20838503_807112096158717_2977779200880017408_n.jpg</v>
      </c>
      <c r="AE833" s="249" t="str">
        <f>HYPERLINK("https://scontent.cdninstagram.com/t51.2885-19/s150x150/14031615_591049687749428_312438508_a.jpg")</f>
        <v>https://scontent.cdninstagram.com/t51.2885-19/s150x150/14031615_591049687749428_312438508_a.jpg</v>
      </c>
    </row>
    <row r="834" spans="1:31" ht="15" x14ac:dyDescent="0.25">
      <c r="A834" t="s">
        <v>2474</v>
      </c>
      <c r="B834" t="s">
        <v>7316</v>
      </c>
      <c r="C834" s="221">
        <v>42962.475393518522</v>
      </c>
      <c r="D834" t="s">
        <v>7317</v>
      </c>
      <c r="E834" s="249" t="str">
        <f>HYPERLINK("https://www.instagram.com/p/BX0cH98Bu43/")</f>
        <v>https://www.instagram.com/p/BX0cH98Bu43/</v>
      </c>
      <c r="F834" t="s">
        <v>7318</v>
      </c>
      <c r="G834" t="s">
        <v>2478</v>
      </c>
      <c r="H834">
        <v>142</v>
      </c>
      <c r="I834" t="s">
        <v>2542</v>
      </c>
      <c r="J834">
        <v>3</v>
      </c>
      <c r="K834">
        <v>33</v>
      </c>
      <c r="L834">
        <v>36</v>
      </c>
      <c r="Q834">
        <v>0</v>
      </c>
      <c r="R834">
        <v>0</v>
      </c>
      <c r="S834">
        <v>36</v>
      </c>
      <c r="T834" t="s">
        <v>7319</v>
      </c>
      <c r="V834" t="s">
        <v>2140</v>
      </c>
      <c r="W834">
        <v>49.089700000000001</v>
      </c>
      <c r="X834">
        <v>18.023099999999999</v>
      </c>
      <c r="Y834" t="s">
        <v>7320</v>
      </c>
      <c r="Z834" t="s">
        <v>7321</v>
      </c>
      <c r="AA834" t="s">
        <v>7322</v>
      </c>
      <c r="AB834" t="s">
        <v>7323</v>
      </c>
      <c r="AC834" t="s">
        <v>7324</v>
      </c>
      <c r="AD834" s="249" t="str">
        <f>HYPERLINK("https://scontent.cdninstagram.com/t51.2885-15/s320x320/e35/c0.135.1080.1080/20837838_102253443836766_775588943818129408_n.jpg")</f>
        <v>https://scontent.cdninstagram.com/t51.2885-15/s320x320/e35/c0.135.1080.1080/20837838_102253443836766_775588943818129408_n.jpg</v>
      </c>
      <c r="AE834" s="249" t="str">
        <f>HYPERLINK("https://scontent.cdninstagram.com/t51.2885-19/s150x150/20225561_1489487967802076_8788419096766054400_a.jpg")</f>
        <v>https://scontent.cdninstagram.com/t51.2885-19/s150x150/20225561_1489487967802076_8788419096766054400_a.jpg</v>
      </c>
    </row>
    <row r="835" spans="1:31" ht="15" x14ac:dyDescent="0.25">
      <c r="A835" t="s">
        <v>2474</v>
      </c>
      <c r="B835" t="s">
        <v>7325</v>
      </c>
      <c r="C835" s="221">
        <v>42962.476006944446</v>
      </c>
      <c r="D835" t="s">
        <v>7326</v>
      </c>
      <c r="E835" s="249" t="str">
        <f>HYPERLINK("https://www.instagram.com/p/BX0cOXKjjgR/")</f>
        <v>https://www.instagram.com/p/BX0cOXKjjgR/</v>
      </c>
      <c r="F835" t="s">
        <v>7327</v>
      </c>
      <c r="G835" t="s">
        <v>2478</v>
      </c>
      <c r="H835">
        <v>140</v>
      </c>
      <c r="I835" t="s">
        <v>2542</v>
      </c>
      <c r="J835">
        <v>0</v>
      </c>
      <c r="K835">
        <v>18</v>
      </c>
      <c r="L835">
        <v>18</v>
      </c>
      <c r="Q835">
        <v>0</v>
      </c>
      <c r="R835">
        <v>0</v>
      </c>
      <c r="S835">
        <v>18</v>
      </c>
      <c r="Y835" t="s">
        <v>7328</v>
      </c>
      <c r="Z835" t="s">
        <v>7329</v>
      </c>
      <c r="AA835" t="s">
        <v>7330</v>
      </c>
      <c r="AB835" t="s">
        <v>3165</v>
      </c>
      <c r="AC835" t="s">
        <v>7143</v>
      </c>
      <c r="AD835" s="249" t="str">
        <f>HYPERLINK("https://scontent.cdninstagram.com/t51.2885-15/s320x320/e35/20766880_1069160789881715_5289933514211328000_n.jpg")</f>
        <v>https://scontent.cdninstagram.com/t51.2885-15/s320x320/e35/20766880_1069160789881715_5289933514211328000_n.jpg</v>
      </c>
      <c r="AE835" s="249" t="str">
        <f>HYPERLINK("https://scontent.cdninstagram.com/t51.2885-19/s150x150/19932627_1739546486060134_3140086573341605888_a.jpg")</f>
        <v>https://scontent.cdninstagram.com/t51.2885-19/s150x150/19932627_1739546486060134_3140086573341605888_a.jpg</v>
      </c>
    </row>
    <row r="836" spans="1:31" ht="15" x14ac:dyDescent="0.25">
      <c r="A836" t="s">
        <v>2474</v>
      </c>
      <c r="B836" t="s">
        <v>7331</v>
      </c>
      <c r="C836" s="221">
        <v>42962.477777777778</v>
      </c>
      <c r="D836" t="s">
        <v>7332</v>
      </c>
      <c r="E836" s="249" t="str">
        <f>HYPERLINK("https://www.instagram.com/p/BX0chGrBYw4/")</f>
        <v>https://www.instagram.com/p/BX0chGrBYw4/</v>
      </c>
      <c r="F836" t="s">
        <v>7333</v>
      </c>
      <c r="G836" t="s">
        <v>2478</v>
      </c>
      <c r="H836">
        <v>156</v>
      </c>
      <c r="I836" t="s">
        <v>2479</v>
      </c>
      <c r="J836">
        <v>0</v>
      </c>
      <c r="K836">
        <v>9</v>
      </c>
      <c r="L836">
        <v>9</v>
      </c>
      <c r="Q836">
        <v>0</v>
      </c>
      <c r="R836">
        <v>0</v>
      </c>
      <c r="S836">
        <v>9</v>
      </c>
      <c r="Y836" t="s">
        <v>7334</v>
      </c>
      <c r="Z836" t="s">
        <v>7335</v>
      </c>
      <c r="AA836" t="s">
        <v>2521</v>
      </c>
      <c r="AB836" t="s">
        <v>7336</v>
      </c>
      <c r="AC836" t="s">
        <v>2497</v>
      </c>
      <c r="AD836" s="249" t="str">
        <f>HYPERLINK("https://scontent.cdninstagram.com/t51.2885-15/s320x320/e35/20837699_111744072813254_2082878917437292544_n.jpg")</f>
        <v>https://scontent.cdninstagram.com/t51.2885-15/s320x320/e35/20837699_111744072813254_2082878917437292544_n.jpg</v>
      </c>
      <c r="AE836" s="249" t="str">
        <f>HYPERLINK("https://scontent.cdninstagram.com/t51.2885-19/s150x150/14072933_996885903742757_479973575_a.jpg")</f>
        <v>https://scontent.cdninstagram.com/t51.2885-19/s150x150/14072933_996885903742757_479973575_a.jpg</v>
      </c>
    </row>
    <row r="837" spans="1:31" ht="15" x14ac:dyDescent="0.25">
      <c r="A837" t="s">
        <v>2474</v>
      </c>
      <c r="B837" t="s">
        <v>4811</v>
      </c>
      <c r="C837" s="221">
        <v>42962.486041666663</v>
      </c>
      <c r="D837" t="s">
        <v>7337</v>
      </c>
      <c r="E837" s="249" t="str">
        <f>HYPERLINK("https://www.instagram.com/p/BX0d4PBA7yp/")</f>
        <v>https://www.instagram.com/p/BX0d4PBA7yp/</v>
      </c>
      <c r="F837" t="s">
        <v>7338</v>
      </c>
      <c r="G837" t="s">
        <v>2631</v>
      </c>
      <c r="H837">
        <v>937</v>
      </c>
      <c r="I837" t="s">
        <v>2479</v>
      </c>
      <c r="J837">
        <v>8</v>
      </c>
      <c r="K837">
        <v>111</v>
      </c>
      <c r="L837">
        <v>119</v>
      </c>
      <c r="Q837">
        <v>0</v>
      </c>
      <c r="R837">
        <v>0</v>
      </c>
      <c r="S837">
        <v>119</v>
      </c>
      <c r="Y837" t="s">
        <v>4814</v>
      </c>
      <c r="Z837" t="s">
        <v>7339</v>
      </c>
      <c r="AA837" t="s">
        <v>7340</v>
      </c>
      <c r="AB837" t="s">
        <v>7341</v>
      </c>
      <c r="AC837" t="s">
        <v>3006</v>
      </c>
      <c r="AD837" s="249" t="str">
        <f>HYPERLINK("https://scontent.cdninstagram.com/t51.2885-15/s320x320/e15/20766229_164918650744364_8738054888618983424_n.jpg")</f>
        <v>https://scontent.cdninstagram.com/t51.2885-15/s320x320/e15/20766229_164918650744364_8738054888618983424_n.jpg</v>
      </c>
      <c r="AE837" s="249" t="str">
        <f>HYPERLINK("https://scontent.cdninstagram.com/t51.2885-19/s150x150/16124251_1913091765603634_8004330562992996352_a.jpg")</f>
        <v>https://scontent.cdninstagram.com/t51.2885-19/s150x150/16124251_1913091765603634_8004330562992996352_a.jpg</v>
      </c>
    </row>
    <row r="838" spans="1:31" ht="15" x14ac:dyDescent="0.25">
      <c r="A838" t="s">
        <v>2474</v>
      </c>
      <c r="B838" t="s">
        <v>7342</v>
      </c>
      <c r="C838" s="221">
        <v>42962.487430555557</v>
      </c>
      <c r="D838" t="s">
        <v>7343</v>
      </c>
      <c r="E838" s="249" t="str">
        <f>HYPERLINK("https://www.instagram.com/p/BX0eG2JjDfe/")</f>
        <v>https://www.instagram.com/p/BX0eG2JjDfe/</v>
      </c>
      <c r="F838" t="s">
        <v>7344</v>
      </c>
      <c r="G838" t="s">
        <v>2478</v>
      </c>
      <c r="H838">
        <v>1558</v>
      </c>
      <c r="I838" t="s">
        <v>3186</v>
      </c>
      <c r="J838">
        <v>1</v>
      </c>
      <c r="K838">
        <v>49</v>
      </c>
      <c r="L838">
        <v>50</v>
      </c>
      <c r="Q838">
        <v>0</v>
      </c>
      <c r="R838">
        <v>0</v>
      </c>
      <c r="S838">
        <v>50</v>
      </c>
      <c r="Y838" t="s">
        <v>4993</v>
      </c>
      <c r="Z838" t="s">
        <v>7345</v>
      </c>
      <c r="AA838" t="s">
        <v>7346</v>
      </c>
      <c r="AB838" t="s">
        <v>7347</v>
      </c>
      <c r="AC838" t="s">
        <v>4987</v>
      </c>
      <c r="AD838" s="249" t="str">
        <f>HYPERLINK("https://scontent.cdninstagram.com/t51.2885-15/s320x320/e35/c0.77.618.618/20837426_250052185504838_378589577457172480_n.jpg")</f>
        <v>https://scontent.cdninstagram.com/t51.2885-15/s320x320/e35/c0.77.618.618/20837426_250052185504838_378589577457172480_n.jpg</v>
      </c>
      <c r="AE838" s="249" t="str">
        <f>HYPERLINK("https://scontent.cdninstagram.com/t51.2885-19/s150x150/20986855_145653122686952_8835201903483682816_a.jpg")</f>
        <v>https://scontent.cdninstagram.com/t51.2885-19/s150x150/20986855_145653122686952_8835201903483682816_a.jpg</v>
      </c>
    </row>
    <row r="839" spans="1:31" ht="15" x14ac:dyDescent="0.25">
      <c r="A839" t="s">
        <v>2474</v>
      </c>
      <c r="B839" t="s">
        <v>3301</v>
      </c>
      <c r="C839" s="221">
        <v>42962.487534722219</v>
      </c>
      <c r="D839" t="s">
        <v>7348</v>
      </c>
      <c r="E839" s="249" t="str">
        <f>HYPERLINK("https://www.instagram.com/p/BX0eH-SDpkK/")</f>
        <v>https://www.instagram.com/p/BX0eH-SDpkK/</v>
      </c>
      <c r="F839" t="s">
        <v>7349</v>
      </c>
      <c r="G839" t="s">
        <v>2478</v>
      </c>
      <c r="H839">
        <v>590</v>
      </c>
      <c r="I839" t="s">
        <v>2910</v>
      </c>
      <c r="J839">
        <v>4</v>
      </c>
      <c r="K839">
        <v>131</v>
      </c>
      <c r="L839">
        <v>135</v>
      </c>
      <c r="Q839">
        <v>0</v>
      </c>
      <c r="R839">
        <v>0</v>
      </c>
      <c r="S839">
        <v>135</v>
      </c>
      <c r="Y839" t="s">
        <v>5236</v>
      </c>
      <c r="Z839" t="s">
        <v>4159</v>
      </c>
      <c r="AA839" t="s">
        <v>7350</v>
      </c>
      <c r="AB839" t="s">
        <v>6528</v>
      </c>
      <c r="AC839" t="s">
        <v>4161</v>
      </c>
      <c r="AD839" s="249" t="str">
        <f>HYPERLINK("https://scontent.cdninstagram.com/t51.2885-15/s320x320/e35/c0.135.1080.1080/20902126_125086641456130_1481684109901168640_n.jpg")</f>
        <v>https://scontent.cdninstagram.com/t51.2885-15/s320x320/e35/c0.135.1080.1080/20902126_125086641456130_1481684109901168640_n.jpg</v>
      </c>
      <c r="AE839" s="249" t="str">
        <f>HYPERLINK("https://scontent.cdninstagram.com/t51.2885-19/s150x150/19228478_370974479971900_5746578409966796800_a.jpg")</f>
        <v>https://scontent.cdninstagram.com/t51.2885-19/s150x150/19228478_370974479971900_5746578409966796800_a.jpg</v>
      </c>
    </row>
    <row r="840" spans="1:31" ht="15" x14ac:dyDescent="0.25">
      <c r="A840" t="s">
        <v>2474</v>
      </c>
      <c r="B840" t="s">
        <v>7351</v>
      </c>
      <c r="C840" s="221">
        <v>42962.488738425927</v>
      </c>
      <c r="D840" t="s">
        <v>7352</v>
      </c>
      <c r="E840" s="249" t="str">
        <f>HYPERLINK("https://www.instagram.com/p/BX0eUqYF9MK/")</f>
        <v>https://www.instagram.com/p/BX0eUqYF9MK/</v>
      </c>
      <c r="F840" t="s">
        <v>7353</v>
      </c>
      <c r="G840" t="s">
        <v>2478</v>
      </c>
      <c r="H840">
        <v>91</v>
      </c>
      <c r="I840" t="s">
        <v>3575</v>
      </c>
      <c r="J840">
        <v>0</v>
      </c>
      <c r="K840">
        <v>14</v>
      </c>
      <c r="L840">
        <v>14</v>
      </c>
      <c r="Q840">
        <v>0</v>
      </c>
      <c r="R840">
        <v>0</v>
      </c>
      <c r="S840">
        <v>14</v>
      </c>
      <c r="Y840" t="s">
        <v>7354</v>
      </c>
      <c r="Z840" t="s">
        <v>7355</v>
      </c>
      <c r="AA840" t="s">
        <v>7356</v>
      </c>
      <c r="AB840" t="s">
        <v>7357</v>
      </c>
      <c r="AC840" t="s">
        <v>7351</v>
      </c>
      <c r="AD840" s="249" t="str">
        <f>HYPERLINK("https://scontent.cdninstagram.com/t51.2885-15/s320x320/e35/20838615_141232059801379_9113081481466478592_n.jpg")</f>
        <v>https://scontent.cdninstagram.com/t51.2885-15/s320x320/e35/20838615_141232059801379_9113081481466478592_n.jpg</v>
      </c>
      <c r="AE840" s="249" t="str">
        <f>HYPERLINK("https://scontent.cdninstagram.com/t51.2885-19/s150x150/19955243_1893533760902979_3379868812156338176_a.jpg")</f>
        <v>https://scontent.cdninstagram.com/t51.2885-19/s150x150/19955243_1893533760902979_3379868812156338176_a.jpg</v>
      </c>
    </row>
    <row r="841" spans="1:31" ht="15" x14ac:dyDescent="0.25">
      <c r="A841" t="s">
        <v>2474</v>
      </c>
      <c r="B841" t="s">
        <v>7358</v>
      </c>
      <c r="C841" s="221">
        <v>42962.489108796297</v>
      </c>
      <c r="D841" t="s">
        <v>7359</v>
      </c>
      <c r="E841" s="249" t="str">
        <f>HYPERLINK("https://www.instagram.com/p/BX0eYjMAO7t/")</f>
        <v>https://www.instagram.com/p/BX0eYjMAO7t/</v>
      </c>
      <c r="F841" t="s">
        <v>7360</v>
      </c>
      <c r="G841" t="s">
        <v>2631</v>
      </c>
      <c r="H841">
        <v>5818</v>
      </c>
      <c r="I841" t="s">
        <v>2479</v>
      </c>
      <c r="J841">
        <v>7</v>
      </c>
      <c r="K841">
        <v>345</v>
      </c>
      <c r="L841">
        <v>352</v>
      </c>
      <c r="Q841">
        <v>0</v>
      </c>
      <c r="R841">
        <v>0</v>
      </c>
      <c r="S841">
        <v>352</v>
      </c>
      <c r="Y841" t="s">
        <v>5229</v>
      </c>
      <c r="Z841" t="s">
        <v>7361</v>
      </c>
      <c r="AA841" t="s">
        <v>7362</v>
      </c>
      <c r="AB841" t="s">
        <v>3160</v>
      </c>
      <c r="AC841" t="s">
        <v>4779</v>
      </c>
      <c r="AD841" s="249" t="str">
        <f>HYPERLINK("https://scontent.cdninstagram.com/t51.2885-15/s320x320/e15/c140.0.360.360/20837698_1139331502876843_7033913536032014336_n.jpg")</f>
        <v>https://scontent.cdninstagram.com/t51.2885-15/s320x320/e15/c140.0.360.360/20837698_1139331502876843_7033913536032014336_n.jpg</v>
      </c>
      <c r="AE841" s="249" t="str">
        <f>HYPERLINK("https://scontent.cdninstagram.com/t51.2885-19/s150x150/19764493_673206519547617_3322881588345176064_a.jpg")</f>
        <v>https://scontent.cdninstagram.com/t51.2885-19/s150x150/19764493_673206519547617_3322881588345176064_a.jpg</v>
      </c>
    </row>
    <row r="842" spans="1:31" ht="15" x14ac:dyDescent="0.25">
      <c r="A842" t="s">
        <v>2474</v>
      </c>
      <c r="B842" t="s">
        <v>4132</v>
      </c>
      <c r="C842" s="221">
        <v>42962.489814814813</v>
      </c>
      <c r="D842" t="s">
        <v>7363</v>
      </c>
      <c r="E842" s="249" t="str">
        <f>HYPERLINK("https://www.instagram.com/p/BX0egBaFSqv/")</f>
        <v>https://www.instagram.com/p/BX0egBaFSqv/</v>
      </c>
      <c r="F842" t="s">
        <v>7364</v>
      </c>
      <c r="G842" t="s">
        <v>2478</v>
      </c>
      <c r="H842">
        <v>6882</v>
      </c>
      <c r="I842" t="s">
        <v>2479</v>
      </c>
      <c r="J842">
        <v>3</v>
      </c>
      <c r="K842">
        <v>11</v>
      </c>
      <c r="L842">
        <v>14</v>
      </c>
      <c r="Q842">
        <v>0</v>
      </c>
      <c r="R842">
        <v>0</v>
      </c>
      <c r="S842">
        <v>14</v>
      </c>
      <c r="Y842" t="s">
        <v>4136</v>
      </c>
      <c r="Z842" t="s">
        <v>7365</v>
      </c>
      <c r="AA842" t="s">
        <v>4755</v>
      </c>
      <c r="AB842" t="s">
        <v>7366</v>
      </c>
      <c r="AC842" t="s">
        <v>4137</v>
      </c>
      <c r="AD842" s="249" t="str">
        <f>HYPERLINK("https://scontent.cdninstagram.com/t51.2885-15/s320x320/e35/c33.0.573.573/20766348_1943919805866166_2285192338303090688_n.jpg")</f>
        <v>https://scontent.cdninstagram.com/t51.2885-15/s320x320/e35/c33.0.573.573/20766348_1943919805866166_2285192338303090688_n.jpg</v>
      </c>
      <c r="AE842" s="249" t="str">
        <f>HYPERLINK("https://scontent.cdninstagram.com/t51.2885-19/s150x150/15306012_1834743390099693_621234283125669888_a.jpg")</f>
        <v>https://scontent.cdninstagram.com/t51.2885-19/s150x150/15306012_1834743390099693_621234283125669888_a.jpg</v>
      </c>
    </row>
    <row r="843" spans="1:31" ht="15" x14ac:dyDescent="0.25">
      <c r="A843" t="s">
        <v>2474</v>
      </c>
      <c r="B843" t="s">
        <v>7367</v>
      </c>
      <c r="C843" s="221">
        <v>42962.492071759261</v>
      </c>
      <c r="D843" t="s">
        <v>7368</v>
      </c>
      <c r="E843" s="249" t="str">
        <f>HYPERLINK("https://www.instagram.com/p/BX0e32FhES5/")</f>
        <v>https://www.instagram.com/p/BX0e32FhES5/</v>
      </c>
      <c r="F843" t="s">
        <v>7369</v>
      </c>
      <c r="G843" t="s">
        <v>2478</v>
      </c>
      <c r="H843">
        <v>4030</v>
      </c>
      <c r="I843" t="s">
        <v>2479</v>
      </c>
      <c r="J843">
        <v>5</v>
      </c>
      <c r="K843">
        <v>20</v>
      </c>
      <c r="L843">
        <v>25</v>
      </c>
      <c r="Q843">
        <v>0</v>
      </c>
      <c r="R843">
        <v>0</v>
      </c>
      <c r="S843">
        <v>25</v>
      </c>
      <c r="AD843" s="249" t="str">
        <f>HYPERLINK("https://scontent.cdninstagram.com/t51.2885-15/s320x320/e35/c0.132.1078.1078/20904934_473014299742548_3637540238298972160_n.jpg")</f>
        <v>https://scontent.cdninstagram.com/t51.2885-15/s320x320/e35/c0.132.1078.1078/20904934_473014299742548_3637540238298972160_n.jpg</v>
      </c>
      <c r="AE843" s="249" t="str">
        <f>HYPERLINK("https://scontent.cdninstagram.com/t51.2885-19/s150x150/19425322_198808033978939_6006558054613516288_a.jpg")</f>
        <v>https://scontent.cdninstagram.com/t51.2885-19/s150x150/19425322_198808033978939_6006558054613516288_a.jpg</v>
      </c>
    </row>
    <row r="844" spans="1:31" ht="15" x14ac:dyDescent="0.25">
      <c r="A844" t="s">
        <v>2474</v>
      </c>
      <c r="B844" t="s">
        <v>7370</v>
      </c>
      <c r="C844" s="221">
        <v>42962.493483796294</v>
      </c>
      <c r="D844" t="s">
        <v>7371</v>
      </c>
      <c r="E844" s="249" t="str">
        <f>HYPERLINK("https://www.instagram.com/p/BX0fGtjBsDq/")</f>
        <v>https://www.instagram.com/p/BX0fGtjBsDq/</v>
      </c>
      <c r="F844" t="s">
        <v>7372</v>
      </c>
      <c r="G844" t="s">
        <v>2478</v>
      </c>
      <c r="H844">
        <v>140</v>
      </c>
      <c r="I844" t="s">
        <v>2479</v>
      </c>
      <c r="J844">
        <v>2</v>
      </c>
      <c r="K844">
        <v>49</v>
      </c>
      <c r="L844">
        <v>51</v>
      </c>
      <c r="Q844">
        <v>0</v>
      </c>
      <c r="R844">
        <v>0</v>
      </c>
      <c r="S844">
        <v>51</v>
      </c>
      <c r="Y844" t="s">
        <v>7373</v>
      </c>
      <c r="Z844" t="s">
        <v>7374</v>
      </c>
      <c r="AA844" t="s">
        <v>2551</v>
      </c>
      <c r="AB844" t="s">
        <v>2983</v>
      </c>
      <c r="AC844" t="s">
        <v>7375</v>
      </c>
      <c r="AD844" s="249" t="str">
        <f>HYPERLINK("https://scontent.cdninstagram.com/t51.2885-15/s320x320/e35/20766153_1970334899863909_1817301929676505088_n.jpg")</f>
        <v>https://scontent.cdninstagram.com/t51.2885-15/s320x320/e35/20766153_1970334899863909_1817301929676505088_n.jpg</v>
      </c>
      <c r="AE844" s="249" t="str">
        <f>HYPERLINK("https://scontent.cdninstagram.com/t51.2885-19/s150x150/19765167_473637289638123_1456125919163842560_a.jpg")</f>
        <v>https://scontent.cdninstagram.com/t51.2885-19/s150x150/19765167_473637289638123_1456125919163842560_a.jpg</v>
      </c>
    </row>
    <row r="845" spans="1:31" ht="15" x14ac:dyDescent="0.25">
      <c r="A845" t="s">
        <v>2474</v>
      </c>
      <c r="B845" t="s">
        <v>7376</v>
      </c>
      <c r="C845" s="221">
        <v>42962.493645833332</v>
      </c>
      <c r="D845" t="s">
        <v>7377</v>
      </c>
      <c r="E845" s="249" t="str">
        <f>HYPERLINK("https://www.instagram.com/p/BX0fIb5FalM/")</f>
        <v>https://www.instagram.com/p/BX0fIb5FalM/</v>
      </c>
      <c r="F845" t="s">
        <v>7378</v>
      </c>
      <c r="G845" t="s">
        <v>2478</v>
      </c>
      <c r="H845">
        <v>39</v>
      </c>
      <c r="I845" t="s">
        <v>2599</v>
      </c>
      <c r="J845">
        <v>2</v>
      </c>
      <c r="K845">
        <v>31</v>
      </c>
      <c r="L845">
        <v>33</v>
      </c>
      <c r="Q845">
        <v>0</v>
      </c>
      <c r="R845">
        <v>0</v>
      </c>
      <c r="S845">
        <v>33</v>
      </c>
      <c r="Y845" t="s">
        <v>7379</v>
      </c>
      <c r="Z845" t="s">
        <v>7380</v>
      </c>
      <c r="AA845" t="s">
        <v>7381</v>
      </c>
      <c r="AB845" t="s">
        <v>7376</v>
      </c>
      <c r="AC845" t="s">
        <v>7382</v>
      </c>
      <c r="AD845" s="249" t="str">
        <f>HYPERLINK("https://scontent.cdninstagram.com/t51.2885-15/s320x320/e35/20838780_250717045436342_3452819282650464256_n.jpg")</f>
        <v>https://scontent.cdninstagram.com/t51.2885-15/s320x320/e35/20838780_250717045436342_3452819282650464256_n.jpg</v>
      </c>
      <c r="AE845" s="249" t="str">
        <f>HYPERLINK("https://scontent.cdninstagram.com/t51.2885-19/s150x150/20766705_305154129893178_8182500976255565824_a.jpg")</f>
        <v>https://scontent.cdninstagram.com/t51.2885-19/s150x150/20766705_305154129893178_8182500976255565824_a.jpg</v>
      </c>
    </row>
    <row r="846" spans="1:31" ht="15" x14ac:dyDescent="0.25">
      <c r="A846" t="s">
        <v>2474</v>
      </c>
      <c r="B846" t="s">
        <v>2924</v>
      </c>
      <c r="C846" s="221">
        <v>42962.493692129632</v>
      </c>
      <c r="D846" t="s">
        <v>7383</v>
      </c>
      <c r="E846" s="249" t="str">
        <f>HYPERLINK("https://www.instagram.com/p/BX0fI7yF91H/")</f>
        <v>https://www.instagram.com/p/BX0fI7yF91H/</v>
      </c>
      <c r="F846" t="s">
        <v>7384</v>
      </c>
      <c r="G846" t="s">
        <v>2478</v>
      </c>
      <c r="I846" t="s">
        <v>4052</v>
      </c>
      <c r="J846">
        <v>0</v>
      </c>
      <c r="K846">
        <v>23</v>
      </c>
      <c r="L846">
        <v>23</v>
      </c>
      <c r="Q846">
        <v>0</v>
      </c>
      <c r="R846">
        <v>0</v>
      </c>
      <c r="S846">
        <v>23</v>
      </c>
      <c r="T846" t="s">
        <v>2928</v>
      </c>
      <c r="V846" t="s">
        <v>2110</v>
      </c>
      <c r="W846">
        <v>51.033333333332997</v>
      </c>
      <c r="X846">
        <v>2.8666666666667</v>
      </c>
      <c r="Y846" t="s">
        <v>7385</v>
      </c>
      <c r="Z846" t="s">
        <v>7386</v>
      </c>
      <c r="AA846" t="s">
        <v>7387</v>
      </c>
      <c r="AB846" t="s">
        <v>7388</v>
      </c>
      <c r="AC846" t="s">
        <v>7389</v>
      </c>
      <c r="AD846" s="249" t="str">
        <f>HYPERLINK("https://scontent.cdninstagram.com/t51.2885-15/s320x320/e35/20766441_824997107660173_7016962438281035776_n.jpg")</f>
        <v>https://scontent.cdninstagram.com/t51.2885-15/s320x320/e35/20766441_824997107660173_7016962438281035776_n.jpg</v>
      </c>
      <c r="AE846" s="249" t="str">
        <f>HYPERLINK("https://scontent.cdninstagram.com/t51.2885-19/s150x150/18253021_1975853552636836_8547343157967192064_a.jpg")</f>
        <v>https://scontent.cdninstagram.com/t51.2885-19/s150x150/18253021_1975853552636836_8547343157967192064_a.jpg</v>
      </c>
    </row>
    <row r="847" spans="1:31" ht="15" x14ac:dyDescent="0.25">
      <c r="A847" t="s">
        <v>2474</v>
      </c>
      <c r="B847" t="s">
        <v>7390</v>
      </c>
      <c r="C847" s="221">
        <v>42962.499305555553</v>
      </c>
      <c r="D847" t="s">
        <v>7391</v>
      </c>
      <c r="E847" s="249" t="str">
        <f>HYPERLINK("https://www.instagram.com/p/BX0gEJrFk9Y/")</f>
        <v>https://www.instagram.com/p/BX0gEJrFk9Y/</v>
      </c>
      <c r="F847" t="s">
        <v>7392</v>
      </c>
      <c r="G847" t="s">
        <v>2478</v>
      </c>
      <c r="H847">
        <v>269</v>
      </c>
      <c r="I847" t="s">
        <v>2599</v>
      </c>
      <c r="J847">
        <v>0</v>
      </c>
      <c r="K847">
        <v>18</v>
      </c>
      <c r="L847">
        <v>18</v>
      </c>
      <c r="Q847">
        <v>0</v>
      </c>
      <c r="R847">
        <v>0</v>
      </c>
      <c r="S847">
        <v>18</v>
      </c>
      <c r="Y847" t="s">
        <v>4388</v>
      </c>
      <c r="Z847" t="s">
        <v>5629</v>
      </c>
      <c r="AA847" t="s">
        <v>7393</v>
      </c>
      <c r="AB847" t="s">
        <v>2492</v>
      </c>
      <c r="AC847" t="s">
        <v>2753</v>
      </c>
      <c r="AD847" s="249" t="str">
        <f>HYPERLINK("https://scontent.cdninstagram.com/t51.2885-15/s320x320/e35/20837552_300099667125559_6107894526607622144_n.jpg")</f>
        <v>https://scontent.cdninstagram.com/t51.2885-15/s320x320/e35/20837552_300099667125559_6107894526607622144_n.jpg</v>
      </c>
      <c r="AE847" s="249" t="str">
        <f>HYPERLINK("https://scontent.cdninstagram.com/t51.2885-19/s150x150/20838396_935025723303513_473292897664368640_a.jpg")</f>
        <v>https://scontent.cdninstagram.com/t51.2885-19/s150x150/20838396_935025723303513_473292897664368640_a.jpg</v>
      </c>
    </row>
    <row r="848" spans="1:31" ht="15" x14ac:dyDescent="0.25">
      <c r="A848" t="s">
        <v>2474</v>
      </c>
      <c r="B848" t="s">
        <v>2588</v>
      </c>
      <c r="C848" s="221">
        <v>42962.502916666665</v>
      </c>
      <c r="D848" t="s">
        <v>7394</v>
      </c>
      <c r="E848" s="249" t="str">
        <f>HYPERLINK("https://www.instagram.com/p/BX0gqO6ge-2/")</f>
        <v>https://www.instagram.com/p/BX0gqO6ge-2/</v>
      </c>
      <c r="F848" t="s">
        <v>7395</v>
      </c>
      <c r="G848" t="s">
        <v>2478</v>
      </c>
      <c r="H848">
        <v>285</v>
      </c>
      <c r="I848" t="s">
        <v>2479</v>
      </c>
      <c r="J848">
        <v>12</v>
      </c>
      <c r="K848">
        <v>583</v>
      </c>
      <c r="L848">
        <v>595</v>
      </c>
      <c r="Q848">
        <v>0</v>
      </c>
      <c r="R848">
        <v>0</v>
      </c>
      <c r="S848">
        <v>595</v>
      </c>
      <c r="AD848" s="249" t="str">
        <f>HYPERLINK("https://scontent.cdninstagram.com/t51.2885-15/s320x320/e35/c35.0.570.570/20837164_393286404407528_6624298304534478848_n.jpg")</f>
        <v>https://scontent.cdninstagram.com/t51.2885-15/s320x320/e35/c35.0.570.570/20837164_393286404407528_6624298304534478848_n.jpg</v>
      </c>
      <c r="AE848" s="249" t="str">
        <f>HYPERLINK("https://scontent.cdninstagram.com/t51.2885-19/s150x150/20633561_108840983138666_5897549723056734208_a.jpg")</f>
        <v>https://scontent.cdninstagram.com/t51.2885-19/s150x150/20633561_108840983138666_5897549723056734208_a.jpg</v>
      </c>
    </row>
    <row r="849" spans="1:31" ht="15" x14ac:dyDescent="0.25">
      <c r="A849" t="s">
        <v>2474</v>
      </c>
      <c r="B849" t="s">
        <v>7396</v>
      </c>
      <c r="C849" s="221">
        <v>42962.511493055557</v>
      </c>
      <c r="D849" t="s">
        <v>7397</v>
      </c>
      <c r="E849" s="249" t="str">
        <f>HYPERLINK("https://www.instagram.com/p/BX0iEsgA3Oj/")</f>
        <v>https://www.instagram.com/p/BX0iEsgA3Oj/</v>
      </c>
      <c r="F849" t="s">
        <v>7398</v>
      </c>
      <c r="G849" t="s">
        <v>2478</v>
      </c>
      <c r="H849">
        <v>204</v>
      </c>
      <c r="I849" t="s">
        <v>2479</v>
      </c>
      <c r="J849">
        <v>0</v>
      </c>
      <c r="K849">
        <v>23</v>
      </c>
      <c r="L849">
        <v>23</v>
      </c>
      <c r="Q849">
        <v>0</v>
      </c>
      <c r="R849">
        <v>0</v>
      </c>
      <c r="S849">
        <v>23</v>
      </c>
      <c r="Y849" t="s">
        <v>2497</v>
      </c>
      <c r="Z849" t="s">
        <v>7399</v>
      </c>
      <c r="AA849" t="s">
        <v>7400</v>
      </c>
      <c r="AB849" t="s">
        <v>7401</v>
      </c>
      <c r="AC849" t="s">
        <v>7402</v>
      </c>
      <c r="AD849" s="249" t="str">
        <f>HYPERLINK("https://scontent.cdninstagram.com/t51.2885-15/s320x320/e35/20837249_1902785106651430_3332846964738883584_n.jpg")</f>
        <v>https://scontent.cdninstagram.com/t51.2885-15/s320x320/e35/20837249_1902785106651430_3332846964738883584_n.jpg</v>
      </c>
      <c r="AE849" s="249" t="str">
        <f>HYPERLINK("https://scontent.cdninstagram.com/t51.2885-19/s150x150/12144241_1691511444413803_403139221_a.jpg")</f>
        <v>https://scontent.cdninstagram.com/t51.2885-19/s150x150/12144241_1691511444413803_403139221_a.jpg</v>
      </c>
    </row>
    <row r="850" spans="1:31" ht="15" x14ac:dyDescent="0.25">
      <c r="A850" t="s">
        <v>2474</v>
      </c>
      <c r="B850" t="s">
        <v>5331</v>
      </c>
      <c r="C850" s="221">
        <v>42962.513310185182</v>
      </c>
      <c r="D850" t="s">
        <v>7403</v>
      </c>
      <c r="E850" s="249" t="str">
        <f>HYPERLINK("https://www.instagram.com/p/BX0iXz4AGgd/")</f>
        <v>https://www.instagram.com/p/BX0iXz4AGgd/</v>
      </c>
      <c r="F850" t="s">
        <v>7404</v>
      </c>
      <c r="G850" t="s">
        <v>2478</v>
      </c>
      <c r="H850">
        <v>1967</v>
      </c>
      <c r="I850" t="s">
        <v>2479</v>
      </c>
      <c r="J850">
        <v>6</v>
      </c>
      <c r="K850">
        <v>25</v>
      </c>
      <c r="L850">
        <v>31</v>
      </c>
      <c r="Q850">
        <v>0</v>
      </c>
      <c r="R850">
        <v>0</v>
      </c>
      <c r="S850">
        <v>31</v>
      </c>
      <c r="Y850" t="s">
        <v>2497</v>
      </c>
      <c r="Z850" t="s">
        <v>7405</v>
      </c>
      <c r="AA850" t="s">
        <v>3383</v>
      </c>
      <c r="AB850" t="s">
        <v>4514</v>
      </c>
      <c r="AC850" t="s">
        <v>7182</v>
      </c>
      <c r="AD850" s="249" t="str">
        <f>HYPERLINK("https://scontent.cdninstagram.com/t51.2885-15/s320x320/e35/20902526_1880041698913186_7855245148567896064_n.jpg")</f>
        <v>https://scontent.cdninstagram.com/t51.2885-15/s320x320/e35/20902526_1880041698913186_7855245148567896064_n.jpg</v>
      </c>
      <c r="AE850" s="249" t="str">
        <f>HYPERLINK("https://scontent.cdninstagram.com/t51.2885-19/s150x150/17495338_1012563755543854_2772471723952439296_a.jpg")</f>
        <v>https://scontent.cdninstagram.com/t51.2885-19/s150x150/17495338_1012563755543854_2772471723952439296_a.jpg</v>
      </c>
    </row>
    <row r="851" spans="1:31" ht="15" x14ac:dyDescent="0.25">
      <c r="A851" t="s">
        <v>2474</v>
      </c>
      <c r="B851" t="s">
        <v>3015</v>
      </c>
      <c r="C851" s="221">
        <v>42962.514884259261</v>
      </c>
      <c r="D851" t="s">
        <v>7406</v>
      </c>
      <c r="E851" s="249" t="str">
        <f>HYPERLINK("https://www.instagram.com/p/BX0ioe0gqHj/")</f>
        <v>https://www.instagram.com/p/BX0ioe0gqHj/</v>
      </c>
      <c r="F851" t="s">
        <v>7407</v>
      </c>
      <c r="G851" t="s">
        <v>2488</v>
      </c>
      <c r="H851">
        <v>176</v>
      </c>
      <c r="I851" t="s">
        <v>2479</v>
      </c>
      <c r="J851">
        <v>0</v>
      </c>
      <c r="K851">
        <v>24</v>
      </c>
      <c r="L851">
        <v>24</v>
      </c>
      <c r="Q851">
        <v>0</v>
      </c>
      <c r="R851">
        <v>0</v>
      </c>
      <c r="S851">
        <v>24</v>
      </c>
      <c r="Y851" t="s">
        <v>3728</v>
      </c>
      <c r="Z851" t="s">
        <v>3492</v>
      </c>
      <c r="AA851" t="s">
        <v>7275</v>
      </c>
      <c r="AB851" t="s">
        <v>3165</v>
      </c>
      <c r="AC851" t="s">
        <v>3725</v>
      </c>
      <c r="AD851" s="249" t="str">
        <f>HYPERLINK("https://scontent.cdninstagram.com/t51.2885-15/s320x320/e35/20902030_211797666016635_2337774364482600960_n.jpg")</f>
        <v>https://scontent.cdninstagram.com/t51.2885-15/s320x320/e35/20902030_211797666016635_2337774364482600960_n.jpg</v>
      </c>
      <c r="AE851" s="249" t="str">
        <f>HYPERLINK("https://scontent.cdninstagram.com/t51.2885-19/s150x150/19761452_1876060406050696_4275948751316582400_a.jpg")</f>
        <v>https://scontent.cdninstagram.com/t51.2885-19/s150x150/19761452_1876060406050696_4275948751316582400_a.jpg</v>
      </c>
    </row>
    <row r="852" spans="1:31" ht="15" x14ac:dyDescent="0.25">
      <c r="A852" t="s">
        <v>2474</v>
      </c>
      <c r="B852" t="s">
        <v>7408</v>
      </c>
      <c r="C852" s="221">
        <v>42962.515034722222</v>
      </c>
      <c r="D852" t="s">
        <v>7409</v>
      </c>
      <c r="E852" s="249" t="str">
        <f>HYPERLINK("https://www.instagram.com/p/BX0iqCxlr4s/")</f>
        <v>https://www.instagram.com/p/BX0iqCxlr4s/</v>
      </c>
      <c r="F852" t="s">
        <v>7410</v>
      </c>
      <c r="G852" t="s">
        <v>2478</v>
      </c>
      <c r="H852">
        <v>277</v>
      </c>
      <c r="I852" t="s">
        <v>3575</v>
      </c>
      <c r="J852">
        <v>0</v>
      </c>
      <c r="K852">
        <v>44</v>
      </c>
      <c r="L852">
        <v>44</v>
      </c>
      <c r="Q852">
        <v>0</v>
      </c>
      <c r="R852">
        <v>0</v>
      </c>
      <c r="S852">
        <v>44</v>
      </c>
      <c r="T852" t="s">
        <v>7411</v>
      </c>
      <c r="V852" t="s">
        <v>2264</v>
      </c>
      <c r="W852">
        <v>41.39358</v>
      </c>
      <c r="X852">
        <v>2.1684100000000002</v>
      </c>
      <c r="Y852" t="s">
        <v>3323</v>
      </c>
      <c r="Z852" t="s">
        <v>5901</v>
      </c>
      <c r="AA852" t="s">
        <v>7412</v>
      </c>
      <c r="AB852" t="s">
        <v>7413</v>
      </c>
      <c r="AC852" t="s">
        <v>7414</v>
      </c>
      <c r="AD852" s="249" t="str">
        <f>HYPERLINK("https://scontent.cdninstagram.com/t51.2885-15/s320x320/e35/c135.0.810.810/20902250_142043366387312_5308306413641007104_n.jpg")</f>
        <v>https://scontent.cdninstagram.com/t51.2885-15/s320x320/e35/c135.0.810.810/20902250_142043366387312_5308306413641007104_n.jpg</v>
      </c>
      <c r="AE852" s="249" t="str">
        <f>HYPERLINK("https://scontent.cdninstagram.com/t51.2885-19/s150x150/20482073_1904499753135722_3924314075076493312_a.jpg")</f>
        <v>https://scontent.cdninstagram.com/t51.2885-19/s150x150/20482073_1904499753135722_3924314075076493312_a.jpg</v>
      </c>
    </row>
    <row r="853" spans="1:31" ht="15" x14ac:dyDescent="0.25">
      <c r="A853" t="s">
        <v>2474</v>
      </c>
      <c r="B853" t="s">
        <v>7415</v>
      </c>
      <c r="C853" s="221">
        <v>42962.520451388889</v>
      </c>
      <c r="D853" t="s">
        <v>7416</v>
      </c>
      <c r="E853" s="249" t="str">
        <f>HYPERLINK("https://www.instagram.com/p/BX0jjK6DrVU/")</f>
        <v>https://www.instagram.com/p/BX0jjK6DrVU/</v>
      </c>
      <c r="F853" t="s">
        <v>7417</v>
      </c>
      <c r="G853" t="s">
        <v>2488</v>
      </c>
      <c r="H853">
        <v>1146</v>
      </c>
      <c r="I853" t="s">
        <v>2479</v>
      </c>
      <c r="J853">
        <v>11</v>
      </c>
      <c r="K853">
        <v>370</v>
      </c>
      <c r="L853">
        <v>381</v>
      </c>
      <c r="Q853">
        <v>0</v>
      </c>
      <c r="R853">
        <v>0</v>
      </c>
      <c r="S853">
        <v>381</v>
      </c>
      <c r="Y853" t="s">
        <v>2574</v>
      </c>
      <c r="Z853" t="s">
        <v>7418</v>
      </c>
      <c r="AA853" t="s">
        <v>7419</v>
      </c>
      <c r="AB853" t="s">
        <v>5147</v>
      </c>
      <c r="AC853" t="s">
        <v>7420</v>
      </c>
      <c r="AD853" s="249" t="str">
        <f>HYPERLINK("https://scontent.cdninstagram.com/t51.2885-15/s320x320/e35/20837821_163832670854028_8164569870046855168_n.jpg")</f>
        <v>https://scontent.cdninstagram.com/t51.2885-15/s320x320/e35/20837821_163832670854028_8164569870046855168_n.jpg</v>
      </c>
      <c r="AE853" s="249" t="str">
        <f>HYPERLINK("https://scontent.cdninstagram.com/t51.2885-19/s150x150/12747833_1784420145115345_635625181_a.jpg")</f>
        <v>https://scontent.cdninstagram.com/t51.2885-19/s150x150/12747833_1784420145115345_635625181_a.jpg</v>
      </c>
    </row>
    <row r="854" spans="1:31" ht="15" x14ac:dyDescent="0.25">
      <c r="A854" t="s">
        <v>2474</v>
      </c>
      <c r="B854" t="s">
        <v>7421</v>
      </c>
      <c r="C854" s="221">
        <v>42962.533622685187</v>
      </c>
      <c r="D854" t="s">
        <v>7422</v>
      </c>
      <c r="E854" s="249" t="str">
        <f>HYPERLINK("https://www.instagram.com/p/BX0luA2DDS1/")</f>
        <v>https://www.instagram.com/p/BX0luA2DDS1/</v>
      </c>
      <c r="F854" t="s">
        <v>7423</v>
      </c>
      <c r="G854" t="s">
        <v>2478</v>
      </c>
      <c r="H854">
        <v>508</v>
      </c>
      <c r="I854" t="s">
        <v>2479</v>
      </c>
      <c r="J854">
        <v>7</v>
      </c>
      <c r="K854">
        <v>78</v>
      </c>
      <c r="L854">
        <v>85</v>
      </c>
      <c r="Q854">
        <v>0</v>
      </c>
      <c r="R854">
        <v>0</v>
      </c>
      <c r="S854">
        <v>85</v>
      </c>
      <c r="T854" t="s">
        <v>7424</v>
      </c>
      <c r="V854" t="s">
        <v>2270</v>
      </c>
      <c r="W854">
        <v>59.616700000000002</v>
      </c>
      <c r="X854">
        <v>16.55</v>
      </c>
      <c r="AD854" s="249" t="str">
        <f>HYPERLINK("https://scontent.cdninstagram.com/t51.2885-15/s320x320/e35/c0.135.1080.1080/20836893_1656604581025851_8569840471541547008_n.jpg")</f>
        <v>https://scontent.cdninstagram.com/t51.2885-15/s320x320/e35/c0.135.1080.1080/20836893_1656604581025851_8569840471541547008_n.jpg</v>
      </c>
      <c r="AE854" s="249" t="str">
        <f>HYPERLINK("https://scontent.cdninstagram.com/t51.2885-19/s150x150/20837557_1615850301760486_1163425645993132032_a.jpg")</f>
        <v>https://scontent.cdninstagram.com/t51.2885-19/s150x150/20837557_1615850301760486_1163425645993132032_a.jpg</v>
      </c>
    </row>
    <row r="855" spans="1:31" ht="15" x14ac:dyDescent="0.25">
      <c r="A855" t="s">
        <v>2474</v>
      </c>
      <c r="B855" t="s">
        <v>2644</v>
      </c>
      <c r="C855" s="221">
        <v>42962.539861111109</v>
      </c>
      <c r="D855" t="s">
        <v>7425</v>
      </c>
      <c r="E855" s="249" t="str">
        <f>HYPERLINK("https://www.instagram.com/p/BX0mv4mAAMO/")</f>
        <v>https://www.instagram.com/p/BX0mv4mAAMO/</v>
      </c>
      <c r="F855" t="s">
        <v>7426</v>
      </c>
      <c r="G855" t="s">
        <v>2478</v>
      </c>
      <c r="H855">
        <v>1762</v>
      </c>
      <c r="I855" t="s">
        <v>2479</v>
      </c>
      <c r="J855">
        <v>0</v>
      </c>
      <c r="K855">
        <v>78</v>
      </c>
      <c r="L855">
        <v>78</v>
      </c>
      <c r="Q855">
        <v>0</v>
      </c>
      <c r="R855">
        <v>0</v>
      </c>
      <c r="S855">
        <v>78</v>
      </c>
      <c r="T855" t="s">
        <v>7427</v>
      </c>
      <c r="V855" t="s">
        <v>2648</v>
      </c>
      <c r="W855">
        <v>55.735833333332998</v>
      </c>
      <c r="X855">
        <v>37.632222222221998</v>
      </c>
      <c r="Y855" t="s">
        <v>5492</v>
      </c>
      <c r="Z855" t="s">
        <v>7428</v>
      </c>
      <c r="AA855" t="s">
        <v>3636</v>
      </c>
      <c r="AB855" t="s">
        <v>7429</v>
      </c>
      <c r="AC855" t="s">
        <v>3343</v>
      </c>
      <c r="AD855" s="249" t="str">
        <f>HYPERLINK("https://scontent.cdninstagram.com/t51.2885-15/s320x320/e35/20837295_117878782203782_2538012345481822208_n.jpg")</f>
        <v>https://scontent.cdninstagram.com/t51.2885-15/s320x320/e35/20837295_117878782203782_2538012345481822208_n.jpg</v>
      </c>
      <c r="AE855" s="249" t="str">
        <f>HYPERLINK("https://scontent.cdninstagram.com/t51.2885-19/11372086_1598451257062069_1320225693_a.jpg")</f>
        <v>https://scontent.cdninstagram.com/t51.2885-19/11372086_1598451257062069_1320225693_a.jpg</v>
      </c>
    </row>
    <row r="856" spans="1:31" ht="15" x14ac:dyDescent="0.25">
      <c r="A856" t="s">
        <v>2474</v>
      </c>
      <c r="B856" t="s">
        <v>2644</v>
      </c>
      <c r="C856" s="221">
        <v>42962.541238425925</v>
      </c>
      <c r="D856" t="s">
        <v>7430</v>
      </c>
      <c r="E856" s="249" t="str">
        <f>HYPERLINK("https://www.instagram.com/p/BX0m-b3gJlD/")</f>
        <v>https://www.instagram.com/p/BX0m-b3gJlD/</v>
      </c>
      <c r="F856" t="s">
        <v>7431</v>
      </c>
      <c r="G856" t="s">
        <v>2478</v>
      </c>
      <c r="H856">
        <v>1762</v>
      </c>
      <c r="I856" t="s">
        <v>2479</v>
      </c>
      <c r="J856">
        <v>0</v>
      </c>
      <c r="K856">
        <v>67</v>
      </c>
      <c r="L856">
        <v>67</v>
      </c>
      <c r="Q856">
        <v>0</v>
      </c>
      <c r="R856">
        <v>0</v>
      </c>
      <c r="S856">
        <v>67</v>
      </c>
      <c r="T856" t="s">
        <v>6000</v>
      </c>
      <c r="V856" t="s">
        <v>2648</v>
      </c>
      <c r="W856">
        <v>55.740286032721002</v>
      </c>
      <c r="X856">
        <v>37.628441546147002</v>
      </c>
      <c r="Y856" t="s">
        <v>5928</v>
      </c>
      <c r="Z856" t="s">
        <v>3636</v>
      </c>
      <c r="AA856" t="s">
        <v>3915</v>
      </c>
      <c r="AB856" t="s">
        <v>3633</v>
      </c>
      <c r="AC856" t="s">
        <v>5493</v>
      </c>
      <c r="AD856" s="249" t="str">
        <f>HYPERLINK("https://scontent.cdninstagram.com/t51.2885-15/s320x320/e35/20766170_109418409770587_9074453846981345280_n.jpg")</f>
        <v>https://scontent.cdninstagram.com/t51.2885-15/s320x320/e35/20766170_109418409770587_9074453846981345280_n.jpg</v>
      </c>
      <c r="AE856" s="249" t="str">
        <f>HYPERLINK("https://scontent.cdninstagram.com/t51.2885-19/11372086_1598451257062069_1320225693_a.jpg")</f>
        <v>https://scontent.cdninstagram.com/t51.2885-19/11372086_1598451257062069_1320225693_a.jpg</v>
      </c>
    </row>
    <row r="857" spans="1:31" ht="15" x14ac:dyDescent="0.25">
      <c r="A857" t="s">
        <v>2474</v>
      </c>
      <c r="B857" t="s">
        <v>6312</v>
      </c>
      <c r="C857" s="221">
        <v>42962.546099537038</v>
      </c>
      <c r="D857" t="s">
        <v>7432</v>
      </c>
      <c r="E857" s="249" t="str">
        <f>HYPERLINK("https://www.instagram.com/p/BX0nxmgBN8u/")</f>
        <v>https://www.instagram.com/p/BX0nxmgBN8u/</v>
      </c>
      <c r="F857" t="s">
        <v>7433</v>
      </c>
      <c r="G857" t="s">
        <v>2631</v>
      </c>
      <c r="H857">
        <v>62</v>
      </c>
      <c r="I857" t="s">
        <v>2479</v>
      </c>
      <c r="J857">
        <v>2</v>
      </c>
      <c r="K857">
        <v>30</v>
      </c>
      <c r="L857">
        <v>32</v>
      </c>
      <c r="Q857">
        <v>0</v>
      </c>
      <c r="R857">
        <v>0</v>
      </c>
      <c r="S857">
        <v>32</v>
      </c>
      <c r="Y857" t="s">
        <v>6316</v>
      </c>
      <c r="Z857" t="s">
        <v>7434</v>
      </c>
      <c r="AA857" t="s">
        <v>3902</v>
      </c>
      <c r="AB857" t="s">
        <v>3237</v>
      </c>
      <c r="AC857" t="s">
        <v>4240</v>
      </c>
      <c r="AD857" s="249" t="str">
        <f>HYPERLINK("https://scontent.cdninstagram.com/t51.2885-15/s320x320/e35/20902374_1743886315624923_3970599455861768192_n.jpg")</f>
        <v>https://scontent.cdninstagram.com/t51.2885-15/s320x320/e35/20902374_1743886315624923_3970599455861768192_n.jpg</v>
      </c>
      <c r="AE857" s="249" t="str">
        <f>HYPERLINK("https://scontent.cdninstagram.com/t51.2885-19/s150x150/16583685_1809557262640848_2708820201251536896_a.jpg")</f>
        <v>https://scontent.cdninstagram.com/t51.2885-19/s150x150/16583685_1809557262640848_2708820201251536896_a.jpg</v>
      </c>
    </row>
    <row r="858" spans="1:31" ht="15" x14ac:dyDescent="0.25">
      <c r="A858" t="s">
        <v>2474</v>
      </c>
      <c r="B858" t="s">
        <v>5773</v>
      </c>
      <c r="C858" s="221">
        <v>42962.546203703707</v>
      </c>
      <c r="D858" t="s">
        <v>7435</v>
      </c>
      <c r="E858" s="249" t="str">
        <f>HYPERLINK("https://www.instagram.com/p/BX0nyzal-hO/")</f>
        <v>https://www.instagram.com/p/BX0nyzal-hO/</v>
      </c>
      <c r="F858" t="s">
        <v>7436</v>
      </c>
      <c r="G858" t="s">
        <v>2478</v>
      </c>
      <c r="H858">
        <v>849</v>
      </c>
      <c r="I858" t="s">
        <v>2599</v>
      </c>
      <c r="J858">
        <v>0</v>
      </c>
      <c r="K858">
        <v>37</v>
      </c>
      <c r="L858">
        <v>37</v>
      </c>
      <c r="Q858">
        <v>0</v>
      </c>
      <c r="R858">
        <v>0</v>
      </c>
      <c r="S858">
        <v>37</v>
      </c>
      <c r="T858" t="s">
        <v>5923</v>
      </c>
      <c r="V858" t="s">
        <v>2270</v>
      </c>
      <c r="W858">
        <v>57.706573499999998</v>
      </c>
      <c r="X858">
        <v>11.969223299999999</v>
      </c>
      <c r="Y858" t="s">
        <v>2968</v>
      </c>
      <c r="Z858" t="s">
        <v>2958</v>
      </c>
      <c r="AA858" t="s">
        <v>5162</v>
      </c>
      <c r="AB858" t="s">
        <v>3952</v>
      </c>
      <c r="AC858" t="s">
        <v>3956</v>
      </c>
      <c r="AD858" s="249" t="str">
        <f>HYPERLINK("https://scontent.cdninstagram.com/t51.2885-15/s320x320/e35/20838915_1080518542079111_1940180535993171968_n.jpg")</f>
        <v>https://scontent.cdninstagram.com/t51.2885-15/s320x320/e35/20838915_1080518542079111_1940180535993171968_n.jpg</v>
      </c>
      <c r="AE858" s="249" t="str">
        <f>HYPERLINK("https://scontent.cdninstagram.com/t51.2885-19/10838625_357924367702733_1358700153_a.jpg")</f>
        <v>https://scontent.cdninstagram.com/t51.2885-19/10838625_357924367702733_1358700153_a.jpg</v>
      </c>
    </row>
    <row r="859" spans="1:31" ht="15" x14ac:dyDescent="0.25">
      <c r="A859" t="s">
        <v>2474</v>
      </c>
      <c r="B859" t="s">
        <v>7437</v>
      </c>
      <c r="C859" s="221">
        <v>42962.552777777775</v>
      </c>
      <c r="D859" t="s">
        <v>7438</v>
      </c>
      <c r="E859" s="249" t="str">
        <f>HYPERLINK("https://www.instagram.com/p/BX0o4CaATEO/")</f>
        <v>https://www.instagram.com/p/BX0o4CaATEO/</v>
      </c>
      <c r="F859" t="s">
        <v>7439</v>
      </c>
      <c r="G859" t="s">
        <v>2478</v>
      </c>
      <c r="H859">
        <v>371</v>
      </c>
      <c r="I859" t="s">
        <v>2599</v>
      </c>
      <c r="J859">
        <v>0</v>
      </c>
      <c r="K859">
        <v>15</v>
      </c>
      <c r="L859">
        <v>15</v>
      </c>
      <c r="Q859">
        <v>0</v>
      </c>
      <c r="R859">
        <v>0</v>
      </c>
      <c r="S859">
        <v>15</v>
      </c>
      <c r="T859" t="s">
        <v>6644</v>
      </c>
      <c r="U859" t="s">
        <v>99</v>
      </c>
      <c r="V859" t="s">
        <v>2299</v>
      </c>
      <c r="W859">
        <v>40.714199999999998</v>
      </c>
      <c r="X859">
        <v>-74.006399999999999</v>
      </c>
      <c r="Y859" t="s">
        <v>7440</v>
      </c>
      <c r="Z859" t="s">
        <v>7441</v>
      </c>
      <c r="AA859" t="s">
        <v>5243</v>
      </c>
      <c r="AB859" t="s">
        <v>3671</v>
      </c>
      <c r="AC859" t="s">
        <v>7442</v>
      </c>
      <c r="AD859" s="249" t="str">
        <f>HYPERLINK("https://scontent.cdninstagram.com/t51.2885-15/s320x320/e35/c0.117.937.937/20904937_196106640928444_5336891400975810560_n.jpg")</f>
        <v>https://scontent.cdninstagram.com/t51.2885-15/s320x320/e35/c0.117.937.937/20904937_196106640928444_5336891400975810560_n.jpg</v>
      </c>
      <c r="AE859" s="249" t="str">
        <f>HYPERLINK("https://scontent.cdninstagram.com/t51.2885-19/s150x150/20837504_314737288990138_497238809218383872_a.jpg")</f>
        <v>https://scontent.cdninstagram.com/t51.2885-19/s150x150/20837504_314737288990138_497238809218383872_a.jpg</v>
      </c>
    </row>
    <row r="860" spans="1:31" ht="15" x14ac:dyDescent="0.25">
      <c r="A860" t="s">
        <v>2474</v>
      </c>
      <c r="B860" t="s">
        <v>7443</v>
      </c>
      <c r="C860" s="221">
        <v>42962.554502314815</v>
      </c>
      <c r="D860" t="s">
        <v>7444</v>
      </c>
      <c r="E860" s="249" t="str">
        <f>HYPERLINK("https://www.instagram.com/p/BX0pKPqgKdM/")</f>
        <v>https://www.instagram.com/p/BX0pKPqgKdM/</v>
      </c>
      <c r="F860" t="s">
        <v>7445</v>
      </c>
      <c r="G860" t="s">
        <v>2478</v>
      </c>
      <c r="H860">
        <v>223</v>
      </c>
      <c r="I860" t="s">
        <v>2927</v>
      </c>
      <c r="J860">
        <v>0</v>
      </c>
      <c r="K860">
        <v>5</v>
      </c>
      <c r="L860">
        <v>5</v>
      </c>
      <c r="Q860">
        <v>0</v>
      </c>
      <c r="R860">
        <v>0</v>
      </c>
      <c r="S860">
        <v>5</v>
      </c>
      <c r="Y860" t="s">
        <v>2497</v>
      </c>
      <c r="Z860" t="s">
        <v>7446</v>
      </c>
      <c r="AA860" t="s">
        <v>4253</v>
      </c>
      <c r="AD860" s="249" t="str">
        <f>HYPERLINK("https://scontent.cdninstagram.com/t51.2885-15/s320x320/e35/c0.100.800.800/20902385_258685134635511_2733001163480760320_n.jpg")</f>
        <v>https://scontent.cdninstagram.com/t51.2885-15/s320x320/e35/c0.100.800.800/20902385_258685134635511_2733001163480760320_n.jpg</v>
      </c>
      <c r="AE860" s="249" t="str">
        <f>HYPERLINK("https://scontent.cdninstagram.com/t51.2885-19/s150x150/18950333_1300315346751095_4084871351444176896_a.jpg")</f>
        <v>https://scontent.cdninstagram.com/t51.2885-19/s150x150/18950333_1300315346751095_4084871351444176896_a.jpg</v>
      </c>
    </row>
    <row r="861" spans="1:31" ht="15" x14ac:dyDescent="0.25">
      <c r="A861" t="s">
        <v>2474</v>
      </c>
      <c r="B861" t="s">
        <v>5773</v>
      </c>
      <c r="C861" s="221">
        <v>42962.562557870369</v>
      </c>
      <c r="D861" t="s">
        <v>7447</v>
      </c>
      <c r="E861" s="249" t="str">
        <f>HYPERLINK("https://www.instagram.com/p/BX0qfRKlzO1/")</f>
        <v>https://www.instagram.com/p/BX0qfRKlzO1/</v>
      </c>
      <c r="F861" t="s">
        <v>7448</v>
      </c>
      <c r="G861" t="s">
        <v>2631</v>
      </c>
      <c r="H861">
        <v>851</v>
      </c>
      <c r="I861" t="s">
        <v>3575</v>
      </c>
      <c r="J861">
        <v>4</v>
      </c>
      <c r="K861">
        <v>47</v>
      </c>
      <c r="L861">
        <v>51</v>
      </c>
      <c r="Q861">
        <v>0</v>
      </c>
      <c r="R861">
        <v>0</v>
      </c>
      <c r="S861">
        <v>51</v>
      </c>
      <c r="T861" t="s">
        <v>5923</v>
      </c>
      <c r="V861" t="s">
        <v>2270</v>
      </c>
      <c r="W861">
        <v>57.706573499999998</v>
      </c>
      <c r="X861">
        <v>11.969223299999999</v>
      </c>
      <c r="Y861" t="s">
        <v>2968</v>
      </c>
      <c r="Z861" t="s">
        <v>2958</v>
      </c>
      <c r="AA861" t="s">
        <v>5162</v>
      </c>
      <c r="AB861" t="s">
        <v>3952</v>
      </c>
      <c r="AC861" t="s">
        <v>3956</v>
      </c>
      <c r="AD861" s="249" t="str">
        <f>HYPERLINK("https://scontent.cdninstagram.com/t51.2885-15/s320x320/e35/20766613_957772154363194_5630899886825144320_n.jpg")</f>
        <v>https://scontent.cdninstagram.com/t51.2885-15/s320x320/e35/20766613_957772154363194_5630899886825144320_n.jpg</v>
      </c>
      <c r="AE861" s="249" t="str">
        <f>HYPERLINK("https://scontent.cdninstagram.com/t51.2885-19/10838625_357924367702733_1358700153_a.jpg")</f>
        <v>https://scontent.cdninstagram.com/t51.2885-19/10838625_357924367702733_1358700153_a.jpg</v>
      </c>
    </row>
    <row r="862" spans="1:31" ht="15" x14ac:dyDescent="0.25">
      <c r="A862" t="s">
        <v>2474</v>
      </c>
      <c r="B862" t="s">
        <v>4616</v>
      </c>
      <c r="C862" s="221">
        <v>42962.567511574074</v>
      </c>
      <c r="D862" t="s">
        <v>7449</v>
      </c>
      <c r="E862" s="249" t="str">
        <f>HYPERLINK("https://www.instagram.com/p/BX0rTbFByIA/")</f>
        <v>https://www.instagram.com/p/BX0rTbFByIA/</v>
      </c>
      <c r="F862" t="s">
        <v>7450</v>
      </c>
      <c r="G862" t="s">
        <v>2478</v>
      </c>
      <c r="H862">
        <v>113</v>
      </c>
      <c r="I862" t="s">
        <v>2479</v>
      </c>
      <c r="J862">
        <v>0</v>
      </c>
      <c r="K862">
        <v>36</v>
      </c>
      <c r="L862">
        <v>36</v>
      </c>
      <c r="Q862">
        <v>0</v>
      </c>
      <c r="R862">
        <v>0</v>
      </c>
      <c r="S862">
        <v>36</v>
      </c>
      <c r="T862" t="s">
        <v>5004</v>
      </c>
      <c r="W862">
        <v>56</v>
      </c>
      <c r="X862">
        <v>-109</v>
      </c>
      <c r="Y862" t="s">
        <v>3174</v>
      </c>
      <c r="Z862" t="s">
        <v>7451</v>
      </c>
      <c r="AA862" t="s">
        <v>4622</v>
      </c>
      <c r="AB862" t="s">
        <v>2944</v>
      </c>
      <c r="AC862" t="s">
        <v>6294</v>
      </c>
      <c r="AD862" s="249" t="str">
        <f>HYPERLINK("https://scontent.cdninstagram.com/t51.2885-15/s320x320/e35/20837602_1644742322225993_8842271939343941632_n.jpg")</f>
        <v>https://scontent.cdninstagram.com/t51.2885-15/s320x320/e35/20837602_1644742322225993_8842271939343941632_n.jpg</v>
      </c>
      <c r="AE862" s="249" t="str">
        <f>HYPERLINK("https://scontent.cdninstagram.com/t51.2885-19/s150x150/17494353_1347957098574282_2527511313651859456_a.jpg")</f>
        <v>https://scontent.cdninstagram.com/t51.2885-19/s150x150/17494353_1347957098574282_2527511313651859456_a.jpg</v>
      </c>
    </row>
    <row r="863" spans="1:31" ht="15" x14ac:dyDescent="0.25">
      <c r="A863" t="s">
        <v>2474</v>
      </c>
      <c r="B863" t="s">
        <v>7452</v>
      </c>
      <c r="C863" s="221">
        <v>42962.568009259259</v>
      </c>
      <c r="D863" t="s">
        <v>7453</v>
      </c>
      <c r="E863" s="249" t="str">
        <f>HYPERLINK("https://www.instagram.com/p/BX0rYrqAC97/")</f>
        <v>https://www.instagram.com/p/BX0rYrqAC97/</v>
      </c>
      <c r="F863" t="s">
        <v>7454</v>
      </c>
      <c r="G863" t="s">
        <v>2478</v>
      </c>
      <c r="H863">
        <v>505</v>
      </c>
      <c r="I863" t="s">
        <v>2479</v>
      </c>
      <c r="J863">
        <v>0</v>
      </c>
      <c r="K863">
        <v>9</v>
      </c>
      <c r="L863">
        <v>9</v>
      </c>
      <c r="Q863">
        <v>0</v>
      </c>
      <c r="R863">
        <v>0</v>
      </c>
      <c r="S863">
        <v>9</v>
      </c>
      <c r="Y863" t="s">
        <v>2497</v>
      </c>
      <c r="Z863" t="s">
        <v>7455</v>
      </c>
      <c r="AA863" t="s">
        <v>2734</v>
      </c>
      <c r="AB863" t="s">
        <v>3349</v>
      </c>
      <c r="AC863" t="s">
        <v>7456</v>
      </c>
      <c r="AD863" s="249" t="str">
        <f>HYPERLINK("https://scontent.cdninstagram.com/t51.2885-15/s320x320/e35/20902421_1718665665106072_2554720202054959104_n.jpg")</f>
        <v>https://scontent.cdninstagram.com/t51.2885-15/s320x320/e35/20902421_1718665665106072_2554720202054959104_n.jpg</v>
      </c>
      <c r="AE863" s="249" t="str">
        <f>HYPERLINK("https://scontent.cdninstagram.com/t51.2885-19/s150x150/19379306_200339710490269_7835285035384045568_a.jpg")</f>
        <v>https://scontent.cdninstagram.com/t51.2885-19/s150x150/19379306_200339710490269_7835285035384045568_a.jpg</v>
      </c>
    </row>
    <row r="864" spans="1:31" ht="15" x14ac:dyDescent="0.25">
      <c r="A864" t="s">
        <v>2474</v>
      </c>
      <c r="B864" t="s">
        <v>7457</v>
      </c>
      <c r="C864" s="221">
        <v>42962.568020833336</v>
      </c>
      <c r="D864" t="s">
        <v>7458</v>
      </c>
      <c r="E864" s="249" t="str">
        <f>HYPERLINK("https://www.instagram.com/p/BX0rY6KF_aT/")</f>
        <v>https://www.instagram.com/p/BX0rY6KF_aT/</v>
      </c>
      <c r="F864" t="s">
        <v>7459</v>
      </c>
      <c r="G864" t="s">
        <v>2478</v>
      </c>
      <c r="H864">
        <v>5644</v>
      </c>
      <c r="I864" t="s">
        <v>2479</v>
      </c>
      <c r="J864">
        <v>10</v>
      </c>
      <c r="K864">
        <v>80</v>
      </c>
      <c r="L864">
        <v>90</v>
      </c>
      <c r="Q864">
        <v>0</v>
      </c>
      <c r="R864">
        <v>0</v>
      </c>
      <c r="S864">
        <v>90</v>
      </c>
      <c r="Y864" t="s">
        <v>2497</v>
      </c>
      <c r="Z864" t="s">
        <v>7460</v>
      </c>
      <c r="AA864" t="s">
        <v>7461</v>
      </c>
      <c r="AB864" t="s">
        <v>7462</v>
      </c>
      <c r="AC864" t="s">
        <v>7463</v>
      </c>
      <c r="AD864" s="249" t="str">
        <f>HYPERLINK("https://scontent.cdninstagram.com/t51.2885-15/s320x320/e35/20838826_140982953166842_3461075927780294656_n.jpg")</f>
        <v>https://scontent.cdninstagram.com/t51.2885-15/s320x320/e35/20838826_140982953166842_3461075927780294656_n.jpg</v>
      </c>
      <c r="AE864" s="249" t="str">
        <f>HYPERLINK("https://scontent.cdninstagram.com/t51.2885-19/s150x150/18443212_284821451930273_9046638560735657984_a.jpg")</f>
        <v>https://scontent.cdninstagram.com/t51.2885-19/s150x150/18443212_284821451930273_9046638560735657984_a.jpg</v>
      </c>
    </row>
    <row r="865" spans="1:31" ht="15" x14ac:dyDescent="0.25">
      <c r="A865" t="s">
        <v>2474</v>
      </c>
      <c r="B865" t="s">
        <v>7464</v>
      </c>
      <c r="C865" s="221">
        <v>42962.570497685185</v>
      </c>
      <c r="D865" t="s">
        <v>7465</v>
      </c>
      <c r="E865" s="249" t="str">
        <f>HYPERLINK("https://www.instagram.com/p/BX0ry6Zg0iB/")</f>
        <v>https://www.instagram.com/p/BX0ry6Zg0iB/</v>
      </c>
      <c r="F865" t="s">
        <v>7466</v>
      </c>
      <c r="G865" t="s">
        <v>2478</v>
      </c>
      <c r="H865">
        <v>357</v>
      </c>
      <c r="I865" t="s">
        <v>2927</v>
      </c>
      <c r="J865">
        <v>6</v>
      </c>
      <c r="K865">
        <v>114</v>
      </c>
      <c r="L865">
        <v>120</v>
      </c>
      <c r="Q865">
        <v>0</v>
      </c>
      <c r="R865">
        <v>0</v>
      </c>
      <c r="S865">
        <v>120</v>
      </c>
      <c r="T865" t="s">
        <v>7467</v>
      </c>
      <c r="V865" t="s">
        <v>2153</v>
      </c>
      <c r="W865">
        <v>60.44594</v>
      </c>
      <c r="X865">
        <v>22.253959999999999</v>
      </c>
      <c r="Y865" t="s">
        <v>7468</v>
      </c>
      <c r="Z865" t="s">
        <v>7469</v>
      </c>
      <c r="AA865" t="s">
        <v>7470</v>
      </c>
      <c r="AB865" t="s">
        <v>7471</v>
      </c>
      <c r="AC865" t="s">
        <v>7472</v>
      </c>
      <c r="AD865" s="249" t="str">
        <f>HYPERLINK("https://scontent.cdninstagram.com/t51.2885-15/s320x320/e35/20837010_125579194733414_1417199359249874944_n.jpg")</f>
        <v>https://scontent.cdninstagram.com/t51.2885-15/s320x320/e35/20837010_125579194733414_1417199359249874944_n.jpg</v>
      </c>
      <c r="AE865" s="249" t="str">
        <f>HYPERLINK("https://scontent.cdninstagram.com/t51.2885-19/10748003_627263197383597_855817788_a.jpg")</f>
        <v>https://scontent.cdninstagram.com/t51.2885-19/10748003_627263197383597_855817788_a.jpg</v>
      </c>
    </row>
    <row r="866" spans="1:31" ht="15" x14ac:dyDescent="0.25">
      <c r="A866" t="s">
        <v>2474</v>
      </c>
      <c r="B866" t="s">
        <v>7473</v>
      </c>
      <c r="C866" s="221">
        <v>42962.572939814818</v>
      </c>
      <c r="D866" t="s">
        <v>7474</v>
      </c>
      <c r="E866" s="249" t="str">
        <f>HYPERLINK("https://www.instagram.com/p/BX0sMu-ndnk/")</f>
        <v>https://www.instagram.com/p/BX0sMu-ndnk/</v>
      </c>
      <c r="F866" t="s">
        <v>7475</v>
      </c>
      <c r="G866" t="s">
        <v>2478</v>
      </c>
      <c r="H866">
        <v>1344</v>
      </c>
      <c r="I866" t="s">
        <v>2479</v>
      </c>
      <c r="J866">
        <v>0</v>
      </c>
      <c r="K866">
        <v>8</v>
      </c>
      <c r="L866">
        <v>8</v>
      </c>
      <c r="Q866">
        <v>0</v>
      </c>
      <c r="R866">
        <v>0</v>
      </c>
      <c r="S866">
        <v>8</v>
      </c>
      <c r="Y866" t="s">
        <v>2968</v>
      </c>
      <c r="Z866" t="s">
        <v>2497</v>
      </c>
      <c r="AA866" t="s">
        <v>7476</v>
      </c>
      <c r="AB866" t="s">
        <v>7477</v>
      </c>
      <c r="AC866" t="s">
        <v>3885</v>
      </c>
      <c r="AD866" s="249" t="str">
        <f>HYPERLINK("https://scontent.cdninstagram.com/t51.2885-15/s320x320/e35/20838915_370593566693347_7731184558661435392_n.jpg")</f>
        <v>https://scontent.cdninstagram.com/t51.2885-15/s320x320/e35/20838915_370593566693347_7731184558661435392_n.jpg</v>
      </c>
      <c r="AE866" s="249" t="str">
        <f>HYPERLINK("https://scontent.cdninstagram.com/t51.2885-19/s150x150/18645833_1908874976055554_7609306666839834624_a.jpg")</f>
        <v>https://scontent.cdninstagram.com/t51.2885-19/s150x150/18645833_1908874976055554_7609306666839834624_a.jpg</v>
      </c>
    </row>
    <row r="867" spans="1:31" ht="15" x14ac:dyDescent="0.25">
      <c r="A867" t="s">
        <v>2474</v>
      </c>
      <c r="B867" t="s">
        <v>7478</v>
      </c>
      <c r="C867" s="221">
        <v>42962.575324074074</v>
      </c>
      <c r="D867" t="s">
        <v>7479</v>
      </c>
      <c r="E867" s="249" t="str">
        <f>HYPERLINK("https://www.instagram.com/p/BX0sl28jIFA/")</f>
        <v>https://www.instagram.com/p/BX0sl28jIFA/</v>
      </c>
      <c r="F867" t="s">
        <v>7480</v>
      </c>
      <c r="G867" t="s">
        <v>2478</v>
      </c>
      <c r="H867">
        <v>21</v>
      </c>
      <c r="I867" t="s">
        <v>4523</v>
      </c>
      <c r="J867">
        <v>0</v>
      </c>
      <c r="K867">
        <v>7</v>
      </c>
      <c r="L867">
        <v>7</v>
      </c>
      <c r="Q867">
        <v>0</v>
      </c>
      <c r="R867">
        <v>0</v>
      </c>
      <c r="S867">
        <v>7</v>
      </c>
      <c r="Y867" t="s">
        <v>2497</v>
      </c>
      <c r="Z867" t="s">
        <v>7481</v>
      </c>
      <c r="AA867" t="s">
        <v>7482</v>
      </c>
      <c r="AB867" t="s">
        <v>4180</v>
      </c>
      <c r="AC867" t="s">
        <v>7483</v>
      </c>
      <c r="AD867" s="249" t="str">
        <f>HYPERLINK("https://scontent.cdninstagram.com/t51.2885-15/s320x320/e35/20838935_568938376563633_3982540255218630656_n.jpg")</f>
        <v>https://scontent.cdninstagram.com/t51.2885-15/s320x320/e35/20838935_568938376563633_3982540255218630656_n.jpg</v>
      </c>
      <c r="AE867" s="249" t="str">
        <f>HYPERLINK("https://scontent.cdninstagram.com/t51.2885-19/s150x150/20583303_139363379988142_4194331736898797568_a.jpg")</f>
        <v>https://scontent.cdninstagram.com/t51.2885-19/s150x150/20583303_139363379988142_4194331736898797568_a.jpg</v>
      </c>
    </row>
    <row r="868" spans="1:31" ht="15" x14ac:dyDescent="0.25">
      <c r="A868" t="s">
        <v>2474</v>
      </c>
      <c r="B868" t="s">
        <v>7484</v>
      </c>
      <c r="C868" s="221">
        <v>42962.577696759261</v>
      </c>
      <c r="D868" t="s">
        <v>7485</v>
      </c>
      <c r="E868" s="249" t="str">
        <f>HYPERLINK("https://www.instagram.com/p/BX0s-3kg9A1/")</f>
        <v>https://www.instagram.com/p/BX0s-3kg9A1/</v>
      </c>
      <c r="F868" t="s">
        <v>7486</v>
      </c>
      <c r="G868" t="s">
        <v>2478</v>
      </c>
      <c r="H868">
        <v>221</v>
      </c>
      <c r="I868" t="s">
        <v>3575</v>
      </c>
      <c r="J868">
        <v>1</v>
      </c>
      <c r="K868">
        <v>19</v>
      </c>
      <c r="L868">
        <v>20</v>
      </c>
      <c r="Q868">
        <v>0</v>
      </c>
      <c r="R868">
        <v>0</v>
      </c>
      <c r="S868">
        <v>20</v>
      </c>
      <c r="T868" t="s">
        <v>7487</v>
      </c>
      <c r="V868" t="s">
        <v>2222</v>
      </c>
      <c r="W868">
        <v>52.108060000000002</v>
      </c>
      <c r="X868">
        <v>4.2730600000000001</v>
      </c>
      <c r="Y868" t="s">
        <v>7488</v>
      </c>
      <c r="Z868" t="s">
        <v>7489</v>
      </c>
      <c r="AA868" t="s">
        <v>7490</v>
      </c>
      <c r="AB868" t="s">
        <v>3446</v>
      </c>
      <c r="AC868" t="s">
        <v>7491</v>
      </c>
      <c r="AD868" s="249" t="str">
        <f>HYPERLINK("https://scontent.cdninstagram.com/t51.2885-15/s320x320/e35/c236.0.608.608/20902110_358357681250850_6198908551511932928_n.jpg")</f>
        <v>https://scontent.cdninstagram.com/t51.2885-15/s320x320/e35/c236.0.608.608/20902110_358357681250850_6198908551511932928_n.jpg</v>
      </c>
      <c r="AE868" s="249" t="str">
        <f>HYPERLINK("https://scontent.cdninstagram.com/t51.2885-19/s150x150/12276747_1516112368681416_923355034_a.jpg")</f>
        <v>https://scontent.cdninstagram.com/t51.2885-19/s150x150/12276747_1516112368681416_923355034_a.jpg</v>
      </c>
    </row>
    <row r="869" spans="1:31" ht="15" x14ac:dyDescent="0.25">
      <c r="A869" t="s">
        <v>2474</v>
      </c>
      <c r="B869" t="s">
        <v>7492</v>
      </c>
      <c r="C869" s="221">
        <v>42962.577800925923</v>
      </c>
      <c r="D869" t="s">
        <v>7493</v>
      </c>
      <c r="E869" s="249" t="str">
        <f>HYPERLINK("https://www.instagram.com/p/BX0tADMAqmw/")</f>
        <v>https://www.instagram.com/p/BX0tADMAqmw/</v>
      </c>
      <c r="F869" t="s">
        <v>7494</v>
      </c>
      <c r="G869" t="s">
        <v>2478</v>
      </c>
      <c r="H869">
        <v>166</v>
      </c>
      <c r="I869" t="s">
        <v>2479</v>
      </c>
      <c r="J869">
        <v>4</v>
      </c>
      <c r="K869">
        <v>43</v>
      </c>
      <c r="L869">
        <v>47</v>
      </c>
      <c r="Q869">
        <v>0</v>
      </c>
      <c r="R869">
        <v>0</v>
      </c>
      <c r="S869">
        <v>47</v>
      </c>
      <c r="Y869" t="s">
        <v>4702</v>
      </c>
      <c r="Z869" t="s">
        <v>2497</v>
      </c>
      <c r="AA869" t="s">
        <v>2641</v>
      </c>
      <c r="AB869" t="s">
        <v>7495</v>
      </c>
      <c r="AC869" t="s">
        <v>4182</v>
      </c>
      <c r="AD869" s="249" t="str">
        <f>HYPERLINK("https://scontent.cdninstagram.com/t51.2885-15/s320x320/e35/c55.0.719.719/20837188_857647414403948_7937574131124404224_n.jpg")</f>
        <v>https://scontent.cdninstagram.com/t51.2885-15/s320x320/e35/c55.0.719.719/20837188_857647414403948_7937574131124404224_n.jpg</v>
      </c>
      <c r="AE869" s="249" t="str">
        <f>HYPERLINK("https://scontent.cdninstagram.com/t51.2885-19/s150x150/19050466_291857077950938_4173497387416813568_a.jpg")</f>
        <v>https://scontent.cdninstagram.com/t51.2885-19/s150x150/19050466_291857077950938_4173497387416813568_a.jpg</v>
      </c>
    </row>
    <row r="870" spans="1:31" ht="15" x14ac:dyDescent="0.25">
      <c r="A870" t="s">
        <v>2474</v>
      </c>
      <c r="B870" t="s">
        <v>7496</v>
      </c>
      <c r="C870" s="221">
        <v>42962.582604166666</v>
      </c>
      <c r="D870" t="s">
        <v>7497</v>
      </c>
      <c r="E870" s="249" t="str">
        <f>HYPERLINK("https://www.instagram.com/p/BX0typ1FkZa/")</f>
        <v>https://www.instagram.com/p/BX0typ1FkZa/</v>
      </c>
      <c r="F870" t="s">
        <v>7498</v>
      </c>
      <c r="G870" t="s">
        <v>2478</v>
      </c>
      <c r="H870">
        <v>78</v>
      </c>
      <c r="I870" t="s">
        <v>2542</v>
      </c>
      <c r="J870">
        <v>0</v>
      </c>
      <c r="K870">
        <v>40</v>
      </c>
      <c r="L870">
        <v>40</v>
      </c>
      <c r="Q870">
        <v>0</v>
      </c>
      <c r="R870">
        <v>0</v>
      </c>
      <c r="S870">
        <v>40</v>
      </c>
      <c r="Y870" t="s">
        <v>7499</v>
      </c>
      <c r="Z870" t="s">
        <v>7500</v>
      </c>
      <c r="AA870" t="s">
        <v>7501</v>
      </c>
      <c r="AB870" t="s">
        <v>7502</v>
      </c>
      <c r="AC870" t="s">
        <v>7503</v>
      </c>
      <c r="AD870" s="249" t="str">
        <f>HYPERLINK("https://scontent.cdninstagram.com/t51.2885-15/s320x320/e35/20838458_1868719293154446_8745678176396509184_n.jpg")</f>
        <v>https://scontent.cdninstagram.com/t51.2885-15/s320x320/e35/20838458_1868719293154446_8745678176396509184_n.jpg</v>
      </c>
      <c r="AE870" s="249" t="str">
        <f>HYPERLINK("https://scontent.cdninstagram.com/t51.2885-19/s150x150/19380070_1560709030619655_3093149169276157952_a.jpg")</f>
        <v>https://scontent.cdninstagram.com/t51.2885-19/s150x150/19380070_1560709030619655_3093149169276157952_a.jpg</v>
      </c>
    </row>
    <row r="871" spans="1:31" ht="15" x14ac:dyDescent="0.25">
      <c r="A871" t="s">
        <v>2474</v>
      </c>
      <c r="B871" t="s">
        <v>7504</v>
      </c>
      <c r="C871" s="221">
        <v>42962.588634259257</v>
      </c>
      <c r="D871" t="s">
        <v>7505</v>
      </c>
      <c r="E871" s="249" t="str">
        <f>HYPERLINK("https://www.instagram.com/p/BX0uyOWAmBx/")</f>
        <v>https://www.instagram.com/p/BX0uyOWAmBx/</v>
      </c>
      <c r="F871" t="s">
        <v>7506</v>
      </c>
      <c r="G871" t="s">
        <v>2478</v>
      </c>
      <c r="H871">
        <v>139</v>
      </c>
      <c r="I871" t="s">
        <v>2519</v>
      </c>
      <c r="J871">
        <v>0</v>
      </c>
      <c r="K871">
        <v>20</v>
      </c>
      <c r="L871">
        <v>20</v>
      </c>
      <c r="Q871">
        <v>0</v>
      </c>
      <c r="R871">
        <v>0</v>
      </c>
      <c r="S871">
        <v>20</v>
      </c>
      <c r="Y871" t="s">
        <v>7507</v>
      </c>
      <c r="Z871" t="s">
        <v>2497</v>
      </c>
      <c r="AA871" t="s">
        <v>7508</v>
      </c>
      <c r="AB871" t="s">
        <v>7509</v>
      </c>
      <c r="AC871" t="s">
        <v>7510</v>
      </c>
      <c r="AD871" s="249" t="str">
        <f>HYPERLINK("https://scontent.cdninstagram.com/t51.2885-15/s320x320/e35/20766542_1374637482632052_8877956872691253248_n.jpg")</f>
        <v>https://scontent.cdninstagram.com/t51.2885-15/s320x320/e35/20766542_1374637482632052_8877956872691253248_n.jpg</v>
      </c>
      <c r="AE871" s="249" t="str">
        <f>HYPERLINK("https://scontent.cdninstagram.com/t51.2885-19/s150x150/12292810_528658757311717_1944050436_a.jpg")</f>
        <v>https://scontent.cdninstagram.com/t51.2885-19/s150x150/12292810_528658757311717_1944050436_a.jpg</v>
      </c>
    </row>
    <row r="872" spans="1:31" ht="15" x14ac:dyDescent="0.25">
      <c r="A872" t="s">
        <v>2474</v>
      </c>
      <c r="B872" t="s">
        <v>7511</v>
      </c>
      <c r="C872" s="221">
        <v>42962.599143518521</v>
      </c>
      <c r="D872" t="s">
        <v>7512</v>
      </c>
      <c r="E872" s="249" t="str">
        <f>HYPERLINK("https://www.instagram.com/p/BX0whJxg7H-/")</f>
        <v>https://www.instagram.com/p/BX0whJxg7H-/</v>
      </c>
      <c r="F872" t="s">
        <v>7513</v>
      </c>
      <c r="G872" t="s">
        <v>2478</v>
      </c>
      <c r="H872">
        <v>350</v>
      </c>
      <c r="I872" t="s">
        <v>2479</v>
      </c>
      <c r="J872">
        <v>11</v>
      </c>
      <c r="K872">
        <v>15</v>
      </c>
      <c r="L872">
        <v>26</v>
      </c>
      <c r="Q872">
        <v>0</v>
      </c>
      <c r="R872">
        <v>0</v>
      </c>
      <c r="S872">
        <v>26</v>
      </c>
      <c r="T872" t="s">
        <v>7514</v>
      </c>
      <c r="V872" t="s">
        <v>2288</v>
      </c>
      <c r="W872">
        <v>52.7667</v>
      </c>
      <c r="X872">
        <v>-1.2</v>
      </c>
      <c r="Y872" t="s">
        <v>2736</v>
      </c>
      <c r="Z872" t="s">
        <v>7515</v>
      </c>
      <c r="AA872" t="s">
        <v>7516</v>
      </c>
      <c r="AB872" t="s">
        <v>7517</v>
      </c>
      <c r="AC872" t="s">
        <v>2497</v>
      </c>
      <c r="AD872" s="249" t="str">
        <f>HYPERLINK("https://scontent.cdninstagram.com/t51.2885-15/s320x320/e35/c0.135.1080.1080/20766799_110225183008365_5356694348421398528_n.jpg")</f>
        <v>https://scontent.cdninstagram.com/t51.2885-15/s320x320/e35/c0.135.1080.1080/20766799_110225183008365_5356694348421398528_n.jpg</v>
      </c>
      <c r="AE872" s="249" t="str">
        <f>HYPERLINK("https://scontent.cdninstagram.com/t51.2885-19/s150x150/19429424_387705228291113_6455895329802813440_a.jpg")</f>
        <v>https://scontent.cdninstagram.com/t51.2885-19/s150x150/19429424_387705228291113_6455895329802813440_a.jpg</v>
      </c>
    </row>
    <row r="873" spans="1:31" ht="15" x14ac:dyDescent="0.25">
      <c r="A873" t="s">
        <v>2474</v>
      </c>
      <c r="B873" t="s">
        <v>4132</v>
      </c>
      <c r="C873" s="221">
        <v>42962.602870370371</v>
      </c>
      <c r="D873" t="s">
        <v>7518</v>
      </c>
      <c r="E873" s="249" t="str">
        <f>HYPERLINK("https://www.instagram.com/p/BX0xIaFF0M5/")</f>
        <v>https://www.instagram.com/p/BX0xIaFF0M5/</v>
      </c>
      <c r="F873" t="s">
        <v>7519</v>
      </c>
      <c r="G873" t="s">
        <v>2478</v>
      </c>
      <c r="H873">
        <v>6884</v>
      </c>
      <c r="I873" t="s">
        <v>2479</v>
      </c>
      <c r="J873">
        <v>3</v>
      </c>
      <c r="K873">
        <v>19</v>
      </c>
      <c r="L873">
        <v>22</v>
      </c>
      <c r="Q873">
        <v>0</v>
      </c>
      <c r="R873">
        <v>0</v>
      </c>
      <c r="S873">
        <v>22</v>
      </c>
      <c r="Y873" t="s">
        <v>4138</v>
      </c>
      <c r="Z873" t="s">
        <v>2938</v>
      </c>
      <c r="AA873" t="s">
        <v>2588</v>
      </c>
      <c r="AB873" t="s">
        <v>2593</v>
      </c>
      <c r="AC873" t="s">
        <v>4753</v>
      </c>
      <c r="AD873" s="249" t="str">
        <f>HYPERLINK("https://scontent.cdninstagram.com/t51.2885-15/s320x320/e35/c35.0.570.570/20766439_1258727074255376_7820554671948300288_n.jpg")</f>
        <v>https://scontent.cdninstagram.com/t51.2885-15/s320x320/e35/c35.0.570.570/20766439_1258727074255376_7820554671948300288_n.jpg</v>
      </c>
      <c r="AE873" s="249" t="str">
        <f>HYPERLINK("https://scontent.cdninstagram.com/t51.2885-19/s150x150/15306012_1834743390099693_621234283125669888_a.jpg")</f>
        <v>https://scontent.cdninstagram.com/t51.2885-19/s150x150/15306012_1834743390099693_621234283125669888_a.jpg</v>
      </c>
    </row>
    <row r="874" spans="1:31" ht="15" x14ac:dyDescent="0.25">
      <c r="A874" t="s">
        <v>2474</v>
      </c>
      <c r="B874" t="s">
        <v>7520</v>
      </c>
      <c r="C874" s="221">
        <v>42962.612569444442</v>
      </c>
      <c r="D874" t="s">
        <v>7521</v>
      </c>
      <c r="E874" s="249" t="str">
        <f>HYPERLINK("https://www.instagram.com/p/BX0yuvojwOG/")</f>
        <v>https://www.instagram.com/p/BX0yuvojwOG/</v>
      </c>
      <c r="F874" t="s">
        <v>7522</v>
      </c>
      <c r="G874" t="s">
        <v>2478</v>
      </c>
      <c r="H874">
        <v>54172</v>
      </c>
      <c r="I874" t="s">
        <v>2479</v>
      </c>
      <c r="J874">
        <v>27</v>
      </c>
      <c r="K874">
        <v>1196</v>
      </c>
      <c r="L874">
        <v>1223</v>
      </c>
      <c r="Q874">
        <v>0</v>
      </c>
      <c r="R874">
        <v>0</v>
      </c>
      <c r="S874">
        <v>1223</v>
      </c>
      <c r="Y874" t="s">
        <v>7523</v>
      </c>
      <c r="Z874" t="s">
        <v>7524</v>
      </c>
      <c r="AA874" t="s">
        <v>5268</v>
      </c>
      <c r="AB874" t="s">
        <v>7007</v>
      </c>
      <c r="AC874" t="s">
        <v>7525</v>
      </c>
      <c r="AD874" s="249" t="str">
        <f>HYPERLINK("https://scontent.cdninstagram.com/t51.2885-15/s320x320/e35/c0.135.1080.1080/20837090_329292864163984_6685646852886364160_n.jpg")</f>
        <v>https://scontent.cdninstagram.com/t51.2885-15/s320x320/e35/c0.135.1080.1080/20837090_329292864163984_6685646852886364160_n.jpg</v>
      </c>
      <c r="AE874" s="249" t="str">
        <f>HYPERLINK("https://scontent.cdninstagram.com/t51.2885-19/s150x150/18298688_1494068440643997_308683869408722944_a.jpg")</f>
        <v>https://scontent.cdninstagram.com/t51.2885-19/s150x150/18298688_1494068440643997_308683869408722944_a.jpg</v>
      </c>
    </row>
    <row r="875" spans="1:31" ht="15" x14ac:dyDescent="0.25">
      <c r="A875" t="s">
        <v>2474</v>
      </c>
      <c r="B875" t="s">
        <v>6443</v>
      </c>
      <c r="C875" s="221">
        <v>42962.616828703707</v>
      </c>
      <c r="D875" t="s">
        <v>7526</v>
      </c>
      <c r="E875" s="249" t="str">
        <f>HYPERLINK("https://www.instagram.com/p/BX0zbncguA7/")</f>
        <v>https://www.instagram.com/p/BX0zbncguA7/</v>
      </c>
      <c r="F875" t="s">
        <v>7527</v>
      </c>
      <c r="G875" t="s">
        <v>2478</v>
      </c>
      <c r="H875">
        <v>58423</v>
      </c>
      <c r="I875" t="s">
        <v>2479</v>
      </c>
      <c r="J875">
        <v>43</v>
      </c>
      <c r="K875">
        <v>1708</v>
      </c>
      <c r="L875">
        <v>1751</v>
      </c>
      <c r="Q875">
        <v>0</v>
      </c>
      <c r="R875">
        <v>0</v>
      </c>
      <c r="S875">
        <v>1751</v>
      </c>
      <c r="Y875" t="s">
        <v>7523</v>
      </c>
      <c r="Z875" t="s">
        <v>6810</v>
      </c>
      <c r="AA875" t="s">
        <v>7528</v>
      </c>
      <c r="AB875" t="s">
        <v>7529</v>
      </c>
      <c r="AC875" t="s">
        <v>7530</v>
      </c>
      <c r="AD875" s="249" t="str">
        <f>HYPERLINK("https://scontent.cdninstagram.com/t51.2885-15/s320x320/e35/c0.134.1080.1080/20837468_1424775507643199_2553147217527439360_n.jpg")</f>
        <v>https://scontent.cdninstagram.com/t51.2885-15/s320x320/e35/c0.134.1080.1080/20837468_1424775507643199_2553147217527439360_n.jpg</v>
      </c>
      <c r="AE875" s="249" t="str">
        <f>HYPERLINK("https://scontent.cdninstagram.com/t51.2885-19/s150x150/18011200_1823639797956189_2351181908055949312_a.jpg")</f>
        <v>https://scontent.cdninstagram.com/t51.2885-19/s150x150/18011200_1823639797956189_2351181908055949312_a.jpg</v>
      </c>
    </row>
    <row r="876" spans="1:31" ht="15" x14ac:dyDescent="0.25">
      <c r="A876" t="s">
        <v>2474</v>
      </c>
      <c r="B876" t="s">
        <v>7531</v>
      </c>
      <c r="C876" s="221">
        <v>42962.622870370367</v>
      </c>
      <c r="D876" t="s">
        <v>7532</v>
      </c>
      <c r="E876" s="249" t="str">
        <f>HYPERLINK("https://www.instagram.com/p/BX00bVIA8Zc/")</f>
        <v>https://www.instagram.com/p/BX00bVIA8Zc/</v>
      </c>
      <c r="F876" t="s">
        <v>7533</v>
      </c>
      <c r="G876" t="s">
        <v>2488</v>
      </c>
      <c r="H876">
        <v>19</v>
      </c>
      <c r="I876" t="s">
        <v>2479</v>
      </c>
      <c r="J876">
        <v>4</v>
      </c>
      <c r="K876">
        <v>18</v>
      </c>
      <c r="L876">
        <v>22</v>
      </c>
      <c r="Q876">
        <v>0</v>
      </c>
      <c r="R876">
        <v>0</v>
      </c>
      <c r="S876">
        <v>22</v>
      </c>
      <c r="T876" t="s">
        <v>7534</v>
      </c>
      <c r="V876" t="s">
        <v>2176</v>
      </c>
      <c r="W876">
        <v>18.975000000000001</v>
      </c>
      <c r="X876">
        <v>72.825833333332994</v>
      </c>
      <c r="Y876" t="s">
        <v>5061</v>
      </c>
      <c r="Z876" t="s">
        <v>2497</v>
      </c>
      <c r="AA876" t="s">
        <v>7535</v>
      </c>
      <c r="AB876" t="s">
        <v>7536</v>
      </c>
      <c r="AC876" t="s">
        <v>7537</v>
      </c>
      <c r="AD876" s="249" t="str">
        <f>HYPERLINK("https://scontent.cdninstagram.com/t51.2885-15/s320x320/e35/20766189_786559164852101_3266134723788800000_n.jpg")</f>
        <v>https://scontent.cdninstagram.com/t51.2885-15/s320x320/e35/20766189_786559164852101_3266134723788800000_n.jpg</v>
      </c>
      <c r="AE876" s="249" t="str">
        <f>HYPERLINK("https://scontent.cdninstagram.com/t51.2885-19/s150x150/20766448_264241500730069_3573716405805121536_a.jpg")</f>
        <v>https://scontent.cdninstagram.com/t51.2885-19/s150x150/20766448_264241500730069_3573716405805121536_a.jpg</v>
      </c>
    </row>
    <row r="877" spans="1:31" ht="15" x14ac:dyDescent="0.25">
      <c r="A877" t="s">
        <v>2474</v>
      </c>
      <c r="B877" t="s">
        <v>2588</v>
      </c>
      <c r="C877" s="221">
        <v>42962.628969907404</v>
      </c>
      <c r="D877" t="s">
        <v>7538</v>
      </c>
      <c r="E877" s="249" t="str">
        <f>HYPERLINK("https://www.instagram.com/p/BX01bqIgn0X/")</f>
        <v>https://www.instagram.com/p/BX01bqIgn0X/</v>
      </c>
      <c r="F877" t="s">
        <v>7539</v>
      </c>
      <c r="G877" t="s">
        <v>2478</v>
      </c>
      <c r="H877">
        <v>290</v>
      </c>
      <c r="I877" t="s">
        <v>2479</v>
      </c>
      <c r="J877">
        <v>16</v>
      </c>
      <c r="K877">
        <v>683</v>
      </c>
      <c r="L877">
        <v>699</v>
      </c>
      <c r="Q877">
        <v>0</v>
      </c>
      <c r="R877">
        <v>0</v>
      </c>
      <c r="S877">
        <v>699</v>
      </c>
      <c r="AD877" s="249" t="str">
        <f>HYPERLINK("https://scontent.cdninstagram.com/t51.2885-15/s320x320/e35/c36.0.567.567/20766702_111807682836201_6333631908831821824_n.jpg")</f>
        <v>https://scontent.cdninstagram.com/t51.2885-15/s320x320/e35/c36.0.567.567/20766702_111807682836201_6333631908831821824_n.jpg</v>
      </c>
      <c r="AE877" s="249" t="str">
        <f>HYPERLINK("https://scontent.cdninstagram.com/t51.2885-19/s150x150/20633561_108840983138666_5897549723056734208_a.jpg")</f>
        <v>https://scontent.cdninstagram.com/t51.2885-19/s150x150/20633561_108840983138666_5897549723056734208_a.jpg</v>
      </c>
    </row>
    <row r="878" spans="1:31" ht="15" x14ac:dyDescent="0.25">
      <c r="A878" t="s">
        <v>2474</v>
      </c>
      <c r="B878" t="s">
        <v>7540</v>
      </c>
      <c r="C878" s="221">
        <v>42962.632175925923</v>
      </c>
      <c r="D878" t="s">
        <v>7541</v>
      </c>
      <c r="E878" s="249" t="str">
        <f>HYPERLINK("https://www.instagram.com/p/BX019ckgO3X/")</f>
        <v>https://www.instagram.com/p/BX019ckgO3X/</v>
      </c>
      <c r="F878" t="s">
        <v>7542</v>
      </c>
      <c r="G878" t="s">
        <v>2478</v>
      </c>
      <c r="H878">
        <v>918</v>
      </c>
      <c r="I878" t="s">
        <v>2542</v>
      </c>
      <c r="J878">
        <v>3</v>
      </c>
      <c r="K878">
        <v>55</v>
      </c>
      <c r="L878">
        <v>58</v>
      </c>
      <c r="Q878">
        <v>0</v>
      </c>
      <c r="R878">
        <v>0</v>
      </c>
      <c r="S878">
        <v>58</v>
      </c>
      <c r="Y878" t="s">
        <v>4584</v>
      </c>
      <c r="Z878" t="s">
        <v>7543</v>
      </c>
      <c r="AA878" t="s">
        <v>2615</v>
      </c>
      <c r="AB878" t="s">
        <v>6172</v>
      </c>
      <c r="AC878" t="s">
        <v>7544</v>
      </c>
      <c r="AD878" s="249" t="str">
        <f>HYPERLINK("https://scontent.cdninstagram.com/t51.2885-15/s320x320/e35/20766364_283767938770327_3462635675218608128_n.jpg")</f>
        <v>https://scontent.cdninstagram.com/t51.2885-15/s320x320/e35/20766364_283767938770327_3462635675218608128_n.jpg</v>
      </c>
      <c r="AE878" s="249" t="str">
        <f>HYPERLINK("https://scontent.cdninstagram.com/t51.2885-19/10601767_517697101694681_1044067692_a.jpg")</f>
        <v>https://scontent.cdninstagram.com/t51.2885-19/10601767_517697101694681_1044067692_a.jpg</v>
      </c>
    </row>
    <row r="879" spans="1:31" ht="15" x14ac:dyDescent="0.25">
      <c r="A879" t="s">
        <v>2474</v>
      </c>
      <c r="B879" t="s">
        <v>3993</v>
      </c>
      <c r="C879" s="221">
        <v>42962.641643518517</v>
      </c>
      <c r="D879" t="s">
        <v>7545</v>
      </c>
      <c r="E879" s="249" t="str">
        <f>HYPERLINK("https://www.instagram.com/p/BX03hYUA3BD/")</f>
        <v>https://www.instagram.com/p/BX03hYUA3BD/</v>
      </c>
      <c r="F879" t="s">
        <v>7546</v>
      </c>
      <c r="G879" t="s">
        <v>2478</v>
      </c>
      <c r="H879">
        <v>4995</v>
      </c>
      <c r="I879" t="s">
        <v>2582</v>
      </c>
      <c r="J879">
        <v>2</v>
      </c>
      <c r="K879">
        <v>927</v>
      </c>
      <c r="L879">
        <v>929</v>
      </c>
      <c r="Q879">
        <v>0</v>
      </c>
      <c r="R879">
        <v>0</v>
      </c>
      <c r="S879">
        <v>929</v>
      </c>
      <c r="Y879" t="s">
        <v>3997</v>
      </c>
      <c r="Z879" t="s">
        <v>3993</v>
      </c>
      <c r="AA879" t="s">
        <v>3998</v>
      </c>
      <c r="AB879" t="s">
        <v>4379</v>
      </c>
      <c r="AC879" t="s">
        <v>7547</v>
      </c>
      <c r="AD879" s="249" t="str">
        <f>HYPERLINK("https://scontent.cdninstagram.com/t51.2885-15/s320x320/e35/20766605_1767339683565154_2983422976885522432_n.jpg")</f>
        <v>https://scontent.cdninstagram.com/t51.2885-15/s320x320/e35/20766605_1767339683565154_2983422976885522432_n.jpg</v>
      </c>
      <c r="AE879" s="249" t="str">
        <f>HYPERLINK("https://scontent.cdninstagram.com/t51.2885-19/s150x150/20590168_732024603636467_1659654334738071552_a.jpg")</f>
        <v>https://scontent.cdninstagram.com/t51.2885-19/s150x150/20590168_732024603636467_1659654334738071552_a.jpg</v>
      </c>
    </row>
    <row r="880" spans="1:31" ht="15" x14ac:dyDescent="0.25">
      <c r="A880" t="s">
        <v>2474</v>
      </c>
      <c r="B880" t="s">
        <v>7548</v>
      </c>
      <c r="C880" s="221">
        <v>42962.645243055558</v>
      </c>
      <c r="D880" t="s">
        <v>7549</v>
      </c>
      <c r="E880" s="249" t="str">
        <f>HYPERLINK("https://www.instagram.com/p/BX04HUABO3W/")</f>
        <v>https://www.instagram.com/p/BX04HUABO3W/</v>
      </c>
      <c r="F880" t="s">
        <v>7550</v>
      </c>
      <c r="G880" t="s">
        <v>2478</v>
      </c>
      <c r="H880">
        <v>156</v>
      </c>
      <c r="I880" t="s">
        <v>4052</v>
      </c>
      <c r="J880">
        <v>4</v>
      </c>
      <c r="K880">
        <v>33</v>
      </c>
      <c r="L880">
        <v>37</v>
      </c>
      <c r="Q880">
        <v>0</v>
      </c>
      <c r="R880">
        <v>0</v>
      </c>
      <c r="S880">
        <v>37</v>
      </c>
      <c r="Y880" t="s">
        <v>7551</v>
      </c>
      <c r="Z880" t="s">
        <v>7552</v>
      </c>
      <c r="AA880" t="s">
        <v>2497</v>
      </c>
      <c r="AB880" t="s">
        <v>7553</v>
      </c>
      <c r="AC880" t="s">
        <v>7554</v>
      </c>
      <c r="AD880" s="249" t="str">
        <f>HYPERLINK("https://scontent.cdninstagram.com/t51.2885-15/s320x320/e35/20837309_444048519310793_6592346217458434048_n.jpg")</f>
        <v>https://scontent.cdninstagram.com/t51.2885-15/s320x320/e35/20837309_444048519310793_6592346217458434048_n.jpg</v>
      </c>
      <c r="AE880" s="249" t="str">
        <f>HYPERLINK("https://scontent.cdninstagram.com/t51.2885-19/s150x150/12912283_849604725172391_2122111148_a.jpg")</f>
        <v>https://scontent.cdninstagram.com/t51.2885-19/s150x150/12912283_849604725172391_2122111148_a.jpg</v>
      </c>
    </row>
    <row r="881" spans="1:31" ht="15" x14ac:dyDescent="0.25">
      <c r="A881" t="s">
        <v>2474</v>
      </c>
      <c r="B881" t="s">
        <v>7555</v>
      </c>
      <c r="C881" s="221">
        <v>42962.654641203706</v>
      </c>
      <c r="D881" t="s">
        <v>7556</v>
      </c>
      <c r="E881" s="249" t="str">
        <f>HYPERLINK("https://www.instagram.com/p/BX05qe7FF35/")</f>
        <v>https://www.instagram.com/p/BX05qe7FF35/</v>
      </c>
      <c r="F881" t="s">
        <v>7557</v>
      </c>
      <c r="G881" t="s">
        <v>2478</v>
      </c>
      <c r="H881">
        <v>520</v>
      </c>
      <c r="I881" t="s">
        <v>2542</v>
      </c>
      <c r="J881">
        <v>2</v>
      </c>
      <c r="K881">
        <v>19</v>
      </c>
      <c r="L881">
        <v>21</v>
      </c>
      <c r="Q881">
        <v>0</v>
      </c>
      <c r="R881">
        <v>0</v>
      </c>
      <c r="S881">
        <v>21</v>
      </c>
      <c r="Y881" t="s">
        <v>2827</v>
      </c>
      <c r="Z881" t="s">
        <v>4490</v>
      </c>
      <c r="AA881" t="s">
        <v>7558</v>
      </c>
      <c r="AB881" t="s">
        <v>7559</v>
      </c>
      <c r="AC881" t="s">
        <v>7560</v>
      </c>
      <c r="AD881" s="249" t="str">
        <f>HYPERLINK("https://scontent.cdninstagram.com/t51.2885-15/s320x320/e35/20838924_476243042755164_8948535035179302912_n.jpg")</f>
        <v>https://scontent.cdninstagram.com/t51.2885-15/s320x320/e35/20838924_476243042755164_8948535035179302912_n.jpg</v>
      </c>
      <c r="AE881" s="249" t="str">
        <f>HYPERLINK("https://scontent.cdninstagram.com/t51.2885-19/s150x150/14449167_1240947755926943_6877208965587927040_a.jpg")</f>
        <v>https://scontent.cdninstagram.com/t51.2885-19/s150x150/14449167_1240947755926943_6877208965587927040_a.jpg</v>
      </c>
    </row>
    <row r="882" spans="1:31" ht="15" x14ac:dyDescent="0.25">
      <c r="A882" t="s">
        <v>2474</v>
      </c>
      <c r="B882" t="s">
        <v>7561</v>
      </c>
      <c r="C882" s="221">
        <v>42962.654826388891</v>
      </c>
      <c r="D882" t="s">
        <v>7562</v>
      </c>
      <c r="E882" s="249" t="str">
        <f>HYPERLINK("https://www.instagram.com/p/BX05sY7AMnT/")</f>
        <v>https://www.instagram.com/p/BX05sY7AMnT/</v>
      </c>
      <c r="F882" t="s">
        <v>7563</v>
      </c>
      <c r="G882" t="s">
        <v>2478</v>
      </c>
      <c r="H882">
        <v>199</v>
      </c>
      <c r="I882" t="s">
        <v>2519</v>
      </c>
      <c r="J882">
        <v>0</v>
      </c>
      <c r="K882">
        <v>7</v>
      </c>
      <c r="L882">
        <v>7</v>
      </c>
      <c r="Q882">
        <v>0</v>
      </c>
      <c r="R882">
        <v>0</v>
      </c>
      <c r="S882">
        <v>7</v>
      </c>
      <c r="Y882" t="s">
        <v>7564</v>
      </c>
      <c r="Z882" t="s">
        <v>2497</v>
      </c>
      <c r="AA882" t="s">
        <v>2492</v>
      </c>
      <c r="AB882" t="s">
        <v>7565</v>
      </c>
      <c r="AD882" s="249" t="str">
        <f>HYPERLINK("https://scontent.cdninstagram.com/t51.2885-15/s320x320/e35/c0.62.500.500/20838940_1909869629282464_1578778880783679488_n.jpg")</f>
        <v>https://scontent.cdninstagram.com/t51.2885-15/s320x320/e35/c0.62.500.500/20838940_1909869629282464_1578778880783679488_n.jpg</v>
      </c>
      <c r="AE882" s="249" t="str">
        <f>HYPERLINK("https://scontent.cdninstagram.com/t51.2885-19/s150x150/19932386_129439844314559_1430743534322843648_a.jpg")</f>
        <v>https://scontent.cdninstagram.com/t51.2885-19/s150x150/19932386_129439844314559_1430743534322843648_a.jpg</v>
      </c>
    </row>
    <row r="883" spans="1:31" ht="15" x14ac:dyDescent="0.25">
      <c r="A883" t="s">
        <v>2474</v>
      </c>
      <c r="B883" t="s">
        <v>7566</v>
      </c>
      <c r="C883" s="221">
        <v>42962.657789351855</v>
      </c>
      <c r="D883" t="s">
        <v>7567</v>
      </c>
      <c r="E883" s="249" t="str">
        <f>HYPERLINK("https://www.instagram.com/p/BX06LkXFGqW/")</f>
        <v>https://www.instagram.com/p/BX06LkXFGqW/</v>
      </c>
      <c r="F883" t="s">
        <v>7568</v>
      </c>
      <c r="G883" t="s">
        <v>2478</v>
      </c>
      <c r="H883">
        <v>3085</v>
      </c>
      <c r="I883" t="s">
        <v>4052</v>
      </c>
      <c r="J883">
        <v>6</v>
      </c>
      <c r="K883">
        <v>72</v>
      </c>
      <c r="L883">
        <v>78</v>
      </c>
      <c r="Q883">
        <v>0</v>
      </c>
      <c r="R883">
        <v>0</v>
      </c>
      <c r="S883">
        <v>78</v>
      </c>
      <c r="T883" t="s">
        <v>7569</v>
      </c>
      <c r="U883" t="s">
        <v>118</v>
      </c>
      <c r="V883" t="s">
        <v>2299</v>
      </c>
      <c r="W883">
        <v>42.344991052631997</v>
      </c>
      <c r="X883">
        <v>-71.063735263157994</v>
      </c>
      <c r="Y883" t="s">
        <v>2827</v>
      </c>
      <c r="Z883" t="s">
        <v>4987</v>
      </c>
      <c r="AA883" t="s">
        <v>2497</v>
      </c>
      <c r="AB883" t="s">
        <v>7570</v>
      </c>
      <c r="AC883" t="s">
        <v>7571</v>
      </c>
      <c r="AD883" s="249" t="str">
        <f>HYPERLINK("https://scontent.cdninstagram.com/t51.2885-15/s320x320/e35/c0.47.1080.1080/20905382_1955044914712062_565441601388675072_n.jpg")</f>
        <v>https://scontent.cdninstagram.com/t51.2885-15/s320x320/e35/c0.47.1080.1080/20905382_1955044914712062_565441601388675072_n.jpg</v>
      </c>
      <c r="AE883" s="249" t="str">
        <f>HYPERLINK("https://scontent.cdninstagram.com/t51.2885-19/11380898_858600997543174_1865517877_a.jpg")</f>
        <v>https://scontent.cdninstagram.com/t51.2885-19/11380898_858600997543174_1865517877_a.jpg</v>
      </c>
    </row>
    <row r="884" spans="1:31" ht="15" x14ac:dyDescent="0.25">
      <c r="A884" t="s">
        <v>2474</v>
      </c>
      <c r="B884" t="s">
        <v>7572</v>
      </c>
      <c r="C884" s="221">
        <v>42962.666747685187</v>
      </c>
      <c r="D884" t="s">
        <v>7573</v>
      </c>
      <c r="E884" s="249" t="str">
        <f>HYPERLINK("https://www.instagram.com/p/BX07qG8HlNK/")</f>
        <v>https://www.instagram.com/p/BX07qG8HlNK/</v>
      </c>
      <c r="F884" t="s">
        <v>7574</v>
      </c>
      <c r="G884" t="s">
        <v>2478</v>
      </c>
      <c r="H884">
        <v>169</v>
      </c>
      <c r="I884" t="s">
        <v>2542</v>
      </c>
      <c r="J884">
        <v>0</v>
      </c>
      <c r="K884">
        <v>12</v>
      </c>
      <c r="L884">
        <v>12</v>
      </c>
      <c r="Q884">
        <v>0</v>
      </c>
      <c r="R884">
        <v>0</v>
      </c>
      <c r="S884">
        <v>12</v>
      </c>
      <c r="Y884" t="s">
        <v>2730</v>
      </c>
      <c r="Z884" t="s">
        <v>3144</v>
      </c>
      <c r="AA884" t="s">
        <v>2497</v>
      </c>
      <c r="AB884" t="s">
        <v>7575</v>
      </c>
      <c r="AC884" t="s">
        <v>3145</v>
      </c>
      <c r="AD884" s="249" t="str">
        <f>HYPERLINK("https://scontent.cdninstagram.com/t51.2885-15/s320x320/e35/20838371_517306205277607_4013747440346726400_n.jpg")</f>
        <v>https://scontent.cdninstagram.com/t51.2885-15/s320x320/e35/20838371_517306205277607_4013747440346726400_n.jpg</v>
      </c>
      <c r="AE884" s="249" t="str">
        <f>HYPERLINK("https://scontent.cdninstagram.com/t51.2885-19/s150x150/20393867_1925124254427189_763285516077498368_a.jpg")</f>
        <v>https://scontent.cdninstagram.com/t51.2885-19/s150x150/20393867_1925124254427189_763285516077498368_a.jpg</v>
      </c>
    </row>
    <row r="885" spans="1:31" ht="15" x14ac:dyDescent="0.25">
      <c r="A885" t="s">
        <v>2474</v>
      </c>
      <c r="B885" t="s">
        <v>3251</v>
      </c>
      <c r="C885" s="221">
        <v>42962.667581018519</v>
      </c>
      <c r="D885" t="s">
        <v>7576</v>
      </c>
      <c r="E885" s="249" t="str">
        <f>HYPERLINK("https://www.instagram.com/p/BX07y6_H2f6/")</f>
        <v>https://www.instagram.com/p/BX07y6_H2f6/</v>
      </c>
      <c r="F885" t="s">
        <v>7577</v>
      </c>
      <c r="G885" t="s">
        <v>2488</v>
      </c>
      <c r="H885">
        <v>295</v>
      </c>
      <c r="I885" t="s">
        <v>2479</v>
      </c>
      <c r="J885">
        <v>0</v>
      </c>
      <c r="K885">
        <v>26</v>
      </c>
      <c r="L885">
        <v>26</v>
      </c>
      <c r="Q885">
        <v>0</v>
      </c>
      <c r="R885">
        <v>0</v>
      </c>
      <c r="S885">
        <v>26</v>
      </c>
      <c r="Y885" t="s">
        <v>2778</v>
      </c>
      <c r="Z885" t="s">
        <v>4844</v>
      </c>
      <c r="AA885" t="s">
        <v>3254</v>
      </c>
      <c r="AB885" t="s">
        <v>5943</v>
      </c>
      <c r="AC885" t="s">
        <v>3970</v>
      </c>
      <c r="AD885" s="249" t="str">
        <f>HYPERLINK("https://scontent.cdninstagram.com/t51.2885-15/s320x320/e35/20766649_110912679585814_7229562997310488576_n.jpg")</f>
        <v>https://scontent.cdninstagram.com/t51.2885-15/s320x320/e35/20766649_110912679585814_7229562997310488576_n.jpg</v>
      </c>
      <c r="AE885" s="249" t="str">
        <f>HYPERLINK("https://scontent.cdninstagram.com/t51.2885-19/s150x150/20986614_891746094322067_1272495017625124864_a.jpg")</f>
        <v>https://scontent.cdninstagram.com/t51.2885-19/s150x150/20986614_891746094322067_1272495017625124864_a.jpg</v>
      </c>
    </row>
    <row r="886" spans="1:31" ht="15" x14ac:dyDescent="0.25">
      <c r="A886" t="s">
        <v>2474</v>
      </c>
      <c r="B886" t="s">
        <v>7578</v>
      </c>
      <c r="C886" s="221">
        <v>42962.669351851851</v>
      </c>
      <c r="D886" t="s">
        <v>7579</v>
      </c>
      <c r="E886" s="249" t="str">
        <f>HYPERLINK("https://www.instagram.com/p/BX08FoDg0Ph/")</f>
        <v>https://www.instagram.com/p/BX08FoDg0Ph/</v>
      </c>
      <c r="F886" t="s">
        <v>7580</v>
      </c>
      <c r="G886" t="s">
        <v>2631</v>
      </c>
      <c r="H886">
        <v>4494</v>
      </c>
      <c r="I886" t="s">
        <v>2479</v>
      </c>
      <c r="J886">
        <v>0</v>
      </c>
      <c r="K886">
        <v>106</v>
      </c>
      <c r="L886">
        <v>106</v>
      </c>
      <c r="Q886">
        <v>0</v>
      </c>
      <c r="R886">
        <v>0</v>
      </c>
      <c r="S886">
        <v>106</v>
      </c>
      <c r="Y886" t="s">
        <v>7581</v>
      </c>
      <c r="Z886" t="s">
        <v>7582</v>
      </c>
      <c r="AA886" t="s">
        <v>7583</v>
      </c>
      <c r="AB886" t="s">
        <v>7584</v>
      </c>
      <c r="AC886" t="s">
        <v>7585</v>
      </c>
      <c r="AD886" s="249" t="str">
        <f>HYPERLINK("https://scontent.cdninstagram.com/t51.2885-15/s320x320/e15/20902070_1330261557091619_3650315266333605888_n.jpg")</f>
        <v>https://scontent.cdninstagram.com/t51.2885-15/s320x320/e15/20902070_1330261557091619_3650315266333605888_n.jpg</v>
      </c>
      <c r="AE886" s="249" t="str">
        <f>HYPERLINK("https://scontent.cdninstagram.com/t51.2885-19/s150x150/20686435_279532329120021_9060796520994963456_a.jpg")</f>
        <v>https://scontent.cdninstagram.com/t51.2885-19/s150x150/20686435_279532329120021_9060796520994963456_a.jpg</v>
      </c>
    </row>
    <row r="887" spans="1:31" ht="15" x14ac:dyDescent="0.25">
      <c r="A887" t="s">
        <v>2474</v>
      </c>
      <c r="B887" t="s">
        <v>3290</v>
      </c>
      <c r="C887" s="221">
        <v>42962.687106481484</v>
      </c>
      <c r="D887" t="s">
        <v>7586</v>
      </c>
      <c r="E887" s="249" t="str">
        <f>HYPERLINK("https://www.instagram.com/p/BX0_AyrnuqN/")</f>
        <v>https://www.instagram.com/p/BX0_AyrnuqN/</v>
      </c>
      <c r="F887" t="s">
        <v>7587</v>
      </c>
      <c r="G887" t="s">
        <v>2478</v>
      </c>
      <c r="H887">
        <v>1920</v>
      </c>
      <c r="I887" t="s">
        <v>2479</v>
      </c>
      <c r="J887">
        <v>12</v>
      </c>
      <c r="K887">
        <v>340</v>
      </c>
      <c r="L887">
        <v>352</v>
      </c>
      <c r="Q887">
        <v>0</v>
      </c>
      <c r="R887">
        <v>0</v>
      </c>
      <c r="S887">
        <v>352</v>
      </c>
      <c r="Y887" t="s">
        <v>7588</v>
      </c>
      <c r="Z887" t="s">
        <v>6414</v>
      </c>
      <c r="AA887" t="s">
        <v>7589</v>
      </c>
      <c r="AB887" t="s">
        <v>7590</v>
      </c>
      <c r="AC887" t="s">
        <v>7591</v>
      </c>
      <c r="AD887" s="249" t="str">
        <f>HYPERLINK("https://scontent.cdninstagram.com/t51.2885-15/s320x320/e35/c0.63.1080.1080/20766699_354642908300670_6075531887902720_n.jpg")</f>
        <v>https://scontent.cdninstagram.com/t51.2885-15/s320x320/e35/c0.63.1080.1080/20766699_354642908300670_6075531887902720_n.jpg</v>
      </c>
      <c r="AE887" s="249" t="str">
        <f>HYPERLINK("https://scontent.cdninstagram.com/t51.2885-19/s150x150/18380245_313241119112969_3297379408276357120_a.jpg")</f>
        <v>https://scontent.cdninstagram.com/t51.2885-19/s150x150/18380245_313241119112969_3297379408276357120_a.jpg</v>
      </c>
    </row>
    <row r="888" spans="1:31" ht="15" x14ac:dyDescent="0.25">
      <c r="A888" t="s">
        <v>2474</v>
      </c>
      <c r="B888" t="s">
        <v>7592</v>
      </c>
      <c r="C888" s="221">
        <v>42962.691990740743</v>
      </c>
      <c r="D888" t="s">
        <v>7593</v>
      </c>
      <c r="E888" s="249" t="str">
        <f>HYPERLINK("https://www.instagram.com/p/BX0_0U6lEH4/")</f>
        <v>https://www.instagram.com/p/BX0_0U6lEH4/</v>
      </c>
      <c r="F888" t="s">
        <v>7594</v>
      </c>
      <c r="G888" t="s">
        <v>2478</v>
      </c>
      <c r="H888">
        <v>113</v>
      </c>
      <c r="I888" t="s">
        <v>3170</v>
      </c>
      <c r="J888">
        <v>0</v>
      </c>
      <c r="K888">
        <v>7</v>
      </c>
      <c r="L888">
        <v>7</v>
      </c>
      <c r="Q888">
        <v>0</v>
      </c>
      <c r="R888">
        <v>0</v>
      </c>
      <c r="S888">
        <v>7</v>
      </c>
      <c r="Y888" t="s">
        <v>7595</v>
      </c>
      <c r="Z888" t="s">
        <v>7596</v>
      </c>
      <c r="AA888" t="s">
        <v>2497</v>
      </c>
      <c r="AB888" t="s">
        <v>7597</v>
      </c>
      <c r="AC888" t="s">
        <v>2911</v>
      </c>
      <c r="AD888" s="249" t="str">
        <f>HYPERLINK("https://scontent.cdninstagram.com/t51.2885-15/s320x320/e35/20905214_126680201293245_3447389636534468608_n.jpg")</f>
        <v>https://scontent.cdninstagram.com/t51.2885-15/s320x320/e35/20905214_126680201293245_3447389636534468608_n.jpg</v>
      </c>
      <c r="AE888" s="249" t="str">
        <f>HYPERLINK("https://scontent.cdninstagram.com/t51.2885-19/s150x150/18948128_1579475122071285_1117443296625426432_a.jpg")</f>
        <v>https://scontent.cdninstagram.com/t51.2885-19/s150x150/18948128_1579475122071285_1117443296625426432_a.jpg</v>
      </c>
    </row>
    <row r="889" spans="1:31" ht="15" x14ac:dyDescent="0.25">
      <c r="A889" t="s">
        <v>2474</v>
      </c>
      <c r="B889" t="s">
        <v>7598</v>
      </c>
      <c r="C889" s="221">
        <v>42962.694108796299</v>
      </c>
      <c r="D889" t="s">
        <v>7599</v>
      </c>
      <c r="E889" s="249" t="str">
        <f>HYPERLINK("https://www.instagram.com/p/BX1AKsxD-Jb/")</f>
        <v>https://www.instagram.com/p/BX1AKsxD-Jb/</v>
      </c>
      <c r="F889" t="s">
        <v>7600</v>
      </c>
      <c r="G889" t="s">
        <v>2478</v>
      </c>
      <c r="H889">
        <v>118</v>
      </c>
      <c r="I889" t="s">
        <v>2479</v>
      </c>
      <c r="J889">
        <v>0</v>
      </c>
      <c r="K889">
        <v>21</v>
      </c>
      <c r="L889">
        <v>21</v>
      </c>
      <c r="Q889">
        <v>0</v>
      </c>
      <c r="R889">
        <v>0</v>
      </c>
      <c r="S889">
        <v>21</v>
      </c>
      <c r="Y889" t="s">
        <v>7601</v>
      </c>
      <c r="Z889" t="s">
        <v>5673</v>
      </c>
      <c r="AA889" t="s">
        <v>3569</v>
      </c>
      <c r="AB889" t="s">
        <v>4514</v>
      </c>
      <c r="AC889" t="s">
        <v>7602</v>
      </c>
      <c r="AD889" s="249" t="str">
        <f>HYPERLINK("https://scontent.cdninstagram.com/t51.2885-15/s320x320/e35/c0.100.1080.1080/20766809_799905586858638_8649704812885049344_n.jpg")</f>
        <v>https://scontent.cdninstagram.com/t51.2885-15/s320x320/e35/c0.100.1080.1080/20766809_799905586858638_8649704812885049344_n.jpg</v>
      </c>
      <c r="AE889" s="249" t="str">
        <f>HYPERLINK("https://scontent.cdninstagram.com/t51.2885-19/s150x150/20688063_109826176358779_7222337900245942272_a.jpg")</f>
        <v>https://scontent.cdninstagram.com/t51.2885-19/s150x150/20688063_109826176358779_7222337900245942272_a.jpg</v>
      </c>
    </row>
    <row r="890" spans="1:31" ht="15" x14ac:dyDescent="0.25">
      <c r="A890" t="s">
        <v>2474</v>
      </c>
      <c r="B890" t="s">
        <v>7603</v>
      </c>
      <c r="C890" s="221">
        <v>42962.697870370372</v>
      </c>
      <c r="D890" t="s">
        <v>7604</v>
      </c>
      <c r="E890" s="249" t="str">
        <f>HYPERLINK("https://www.instagram.com/p/BX1AyVdnT0I/")</f>
        <v>https://www.instagram.com/p/BX1AyVdnT0I/</v>
      </c>
      <c r="F890" t="s">
        <v>7605</v>
      </c>
      <c r="G890" t="s">
        <v>2478</v>
      </c>
      <c r="H890">
        <v>406</v>
      </c>
      <c r="I890" t="s">
        <v>2510</v>
      </c>
      <c r="J890">
        <v>2</v>
      </c>
      <c r="K890">
        <v>34</v>
      </c>
      <c r="L890">
        <v>36</v>
      </c>
      <c r="Q890">
        <v>0</v>
      </c>
      <c r="R890">
        <v>0</v>
      </c>
      <c r="S890">
        <v>36</v>
      </c>
      <c r="T890" t="s">
        <v>7606</v>
      </c>
      <c r="V890" t="s">
        <v>2270</v>
      </c>
      <c r="W890">
        <v>59.421944439999997</v>
      </c>
      <c r="X890">
        <v>17.987500000000001</v>
      </c>
      <c r="Y890" t="s">
        <v>7607</v>
      </c>
      <c r="Z890" t="s">
        <v>4422</v>
      </c>
      <c r="AA890" t="s">
        <v>3209</v>
      </c>
      <c r="AB890" t="s">
        <v>7608</v>
      </c>
      <c r="AC890" t="s">
        <v>2497</v>
      </c>
      <c r="AD890" s="249" t="str">
        <f>HYPERLINK("https://scontent.cdninstagram.com/t51.2885-15/s320x320/e35/c0.17.1080.1080/20766624_110550636309460_8731372327528300544_n.jpg")</f>
        <v>https://scontent.cdninstagram.com/t51.2885-15/s320x320/e35/c0.17.1080.1080/20766624_110550636309460_8731372327528300544_n.jpg</v>
      </c>
      <c r="AE890" s="249" t="str">
        <f>HYPERLINK("https://scontent.cdninstagram.com/t51.2885-19/s150x150/17494270_662439920594619_2982022272086179840_a.jpg")</f>
        <v>https://scontent.cdninstagram.com/t51.2885-19/s150x150/17494270_662439920594619_2982022272086179840_a.jpg</v>
      </c>
    </row>
    <row r="891" spans="1:31" ht="15" x14ac:dyDescent="0.25">
      <c r="A891" t="s">
        <v>2474</v>
      </c>
      <c r="B891" t="s">
        <v>7609</v>
      </c>
      <c r="C891" s="221">
        <v>42962.701817129629</v>
      </c>
      <c r="D891" t="s">
        <v>7610</v>
      </c>
      <c r="E891" s="249" t="str">
        <f>HYPERLINK("https://www.instagram.com/p/BX1Bb6_BvGt/")</f>
        <v>https://www.instagram.com/p/BX1Bb6_BvGt/</v>
      </c>
      <c r="F891" t="s">
        <v>7611</v>
      </c>
      <c r="G891" t="s">
        <v>2478</v>
      </c>
      <c r="H891">
        <v>53</v>
      </c>
      <c r="I891" t="s">
        <v>2479</v>
      </c>
      <c r="J891">
        <v>1</v>
      </c>
      <c r="K891">
        <v>5</v>
      </c>
      <c r="L891">
        <v>6</v>
      </c>
      <c r="Q891">
        <v>0</v>
      </c>
      <c r="R891">
        <v>0</v>
      </c>
      <c r="S891">
        <v>6</v>
      </c>
      <c r="Y891" t="s">
        <v>7612</v>
      </c>
      <c r="Z891" t="s">
        <v>2497</v>
      </c>
      <c r="AA891" t="s">
        <v>7613</v>
      </c>
      <c r="AB891" t="s">
        <v>3671</v>
      </c>
      <c r="AD891" s="249" t="str">
        <f>HYPERLINK("https://scontent.cdninstagram.com/t51.2885-15/s320x320/e15/20766461_305662109901227_4091673205251506176_n.jpg")</f>
        <v>https://scontent.cdninstagram.com/t51.2885-15/s320x320/e15/20766461_305662109901227_4091673205251506176_n.jpg</v>
      </c>
      <c r="AE891" s="249" t="str">
        <f>HYPERLINK("https://scontent.cdninstagram.com/t51.2885-19/s150x150/16123769_383298595370653_9129805757699588096_a.jpg")</f>
        <v>https://scontent.cdninstagram.com/t51.2885-19/s150x150/16123769_383298595370653_9129805757699588096_a.jpg</v>
      </c>
    </row>
    <row r="892" spans="1:31" ht="15" x14ac:dyDescent="0.25">
      <c r="A892" t="s">
        <v>2474</v>
      </c>
      <c r="B892" t="s">
        <v>7614</v>
      </c>
      <c r="C892" s="221">
        <v>42962.702314814815</v>
      </c>
      <c r="D892" t="s">
        <v>7615</v>
      </c>
      <c r="E892" s="249" t="str">
        <f>HYPERLINK("https://www.instagram.com/p/BX1BhNxAyfy/")</f>
        <v>https://www.instagram.com/p/BX1BhNxAyfy/</v>
      </c>
      <c r="F892" t="s">
        <v>7616</v>
      </c>
      <c r="G892" t="s">
        <v>2631</v>
      </c>
      <c r="H892">
        <v>92</v>
      </c>
      <c r="I892" t="s">
        <v>2903</v>
      </c>
      <c r="J892">
        <v>0</v>
      </c>
      <c r="K892">
        <v>25</v>
      </c>
      <c r="L892">
        <v>25</v>
      </c>
      <c r="Q892">
        <v>0</v>
      </c>
      <c r="R892">
        <v>0</v>
      </c>
      <c r="S892">
        <v>25</v>
      </c>
      <c r="T892" t="s">
        <v>7617</v>
      </c>
      <c r="V892" t="s">
        <v>2222</v>
      </c>
      <c r="W892">
        <v>50.847140000000003</v>
      </c>
      <c r="X892">
        <v>5.6508500000000002</v>
      </c>
      <c r="Y892" t="s">
        <v>7614</v>
      </c>
      <c r="Z892" t="s">
        <v>5077</v>
      </c>
      <c r="AA892" t="s">
        <v>3213</v>
      </c>
      <c r="AB892" t="s">
        <v>3982</v>
      </c>
      <c r="AC892" t="s">
        <v>2513</v>
      </c>
      <c r="AD892" s="249" t="str">
        <f>HYPERLINK("https://scontent.cdninstagram.com/t51.2885-15/s320x320/e15/c0.90.720.720/20836858_1446740962028480_5131628484333928448_n.jpg")</f>
        <v>https://scontent.cdninstagram.com/t51.2885-15/s320x320/e15/c0.90.720.720/20836858_1446740962028480_5131628484333928448_n.jpg</v>
      </c>
      <c r="AE892" s="249" t="str">
        <f>HYPERLINK("https://scontent.cdninstagram.com/t51.2885-19/s150x150/15875676_581171342086616_58598042705592320_n.jpg")</f>
        <v>https://scontent.cdninstagram.com/t51.2885-19/s150x150/15875676_581171342086616_58598042705592320_n.jpg</v>
      </c>
    </row>
    <row r="893" spans="1:31" ht="15" x14ac:dyDescent="0.25">
      <c r="A893" t="s">
        <v>2474</v>
      </c>
      <c r="B893" t="s">
        <v>7618</v>
      </c>
      <c r="C893" s="221">
        <v>42962.703819444447</v>
      </c>
      <c r="D893" t="s">
        <v>7619</v>
      </c>
      <c r="E893" s="249" t="str">
        <f>HYPERLINK("https://www.instagram.com/p/BX1BxIkjJwQ/")</f>
        <v>https://www.instagram.com/p/BX1BxIkjJwQ/</v>
      </c>
      <c r="F893" t="s">
        <v>7620</v>
      </c>
      <c r="G893" t="s">
        <v>2631</v>
      </c>
      <c r="H893">
        <v>597</v>
      </c>
      <c r="I893" t="s">
        <v>2622</v>
      </c>
      <c r="J893">
        <v>11</v>
      </c>
      <c r="K893">
        <v>102</v>
      </c>
      <c r="L893">
        <v>113</v>
      </c>
      <c r="Q893">
        <v>0</v>
      </c>
      <c r="R893">
        <v>0</v>
      </c>
      <c r="S893">
        <v>113</v>
      </c>
      <c r="Y893" t="s">
        <v>7621</v>
      </c>
      <c r="Z893" t="s">
        <v>7622</v>
      </c>
      <c r="AA893" t="s">
        <v>7623</v>
      </c>
      <c r="AB893" t="s">
        <v>2861</v>
      </c>
      <c r="AC893" t="s">
        <v>2497</v>
      </c>
      <c r="AD893" s="249" t="str">
        <f>HYPERLINK("https://scontent.cdninstagram.com/t51.2885-15/s320x320/e15/c0.90.720.720/20837322_166001870635229_3726989920149962752_n.jpg")</f>
        <v>https://scontent.cdninstagram.com/t51.2885-15/s320x320/e15/c0.90.720.720/20837322_166001870635229_3726989920149962752_n.jpg</v>
      </c>
      <c r="AE893" s="249" t="str">
        <f>HYPERLINK("https://scontent.cdninstagram.com/t51.2885-19/s150x150/20478554_148012542445395_5301349421319979008_a.jpg")</f>
        <v>https://scontent.cdninstagram.com/t51.2885-19/s150x150/20478554_148012542445395_5301349421319979008_a.jpg</v>
      </c>
    </row>
    <row r="894" spans="1:31" ht="15" x14ac:dyDescent="0.25">
      <c r="A894" t="s">
        <v>2474</v>
      </c>
      <c r="B894" t="s">
        <v>7624</v>
      </c>
      <c r="C894" s="221">
        <v>42962.705879629626</v>
      </c>
      <c r="D894" t="s">
        <v>7625</v>
      </c>
      <c r="E894" s="249" t="str">
        <f>HYPERLINK("https://www.instagram.com/p/BX1CG3jgzvZ/")</f>
        <v>https://www.instagram.com/p/BX1CG3jgzvZ/</v>
      </c>
      <c r="F894" t="s">
        <v>7626</v>
      </c>
      <c r="G894" t="s">
        <v>2478</v>
      </c>
      <c r="H894">
        <v>245</v>
      </c>
      <c r="I894" t="s">
        <v>4052</v>
      </c>
      <c r="J894">
        <v>1</v>
      </c>
      <c r="K894">
        <v>15</v>
      </c>
      <c r="L894">
        <v>16</v>
      </c>
      <c r="Q894">
        <v>0</v>
      </c>
      <c r="R894">
        <v>0</v>
      </c>
      <c r="S894">
        <v>16</v>
      </c>
      <c r="Y894" t="s">
        <v>2497</v>
      </c>
      <c r="Z894" t="s">
        <v>7627</v>
      </c>
      <c r="AA894" t="s">
        <v>3316</v>
      </c>
      <c r="AD894" s="249" t="str">
        <f>HYPERLINK("https://scontent.cdninstagram.com/t51.2885-15/s320x320/e35/20838432_1645825958783500_3979873879391731712_n.jpg")</f>
        <v>https://scontent.cdninstagram.com/t51.2885-15/s320x320/e35/20838432_1645825958783500_3979873879391731712_n.jpg</v>
      </c>
      <c r="AE894" s="249" t="str">
        <f>HYPERLINK("https://scontent.cdninstagram.com/t51.2885-19/s150x150/15534619_997593650372338_4963572409815793664_a.jpg")</f>
        <v>https://scontent.cdninstagram.com/t51.2885-19/s150x150/15534619_997593650372338_4963572409815793664_a.jpg</v>
      </c>
    </row>
    <row r="895" spans="1:31" ht="15" x14ac:dyDescent="0.25">
      <c r="A895" t="s">
        <v>2474</v>
      </c>
      <c r="B895" t="s">
        <v>7628</v>
      </c>
      <c r="C895" s="221">
        <v>42962.711284722223</v>
      </c>
      <c r="D895" t="s">
        <v>7629</v>
      </c>
      <c r="E895" s="249" t="str">
        <f>HYPERLINK("https://www.instagram.com/p/BX1C_0ylUfE/")</f>
        <v>https://www.instagram.com/p/BX1C_0ylUfE/</v>
      </c>
      <c r="F895" t="s">
        <v>7630</v>
      </c>
      <c r="G895" t="s">
        <v>2478</v>
      </c>
      <c r="H895">
        <v>125</v>
      </c>
      <c r="I895" t="s">
        <v>2542</v>
      </c>
      <c r="J895">
        <v>0</v>
      </c>
      <c r="K895">
        <v>28</v>
      </c>
      <c r="L895">
        <v>28</v>
      </c>
      <c r="Q895">
        <v>0</v>
      </c>
      <c r="R895">
        <v>0</v>
      </c>
      <c r="S895">
        <v>28</v>
      </c>
      <c r="Y895" t="s">
        <v>4042</v>
      </c>
      <c r="Z895" t="s">
        <v>2497</v>
      </c>
      <c r="AA895" t="s">
        <v>7631</v>
      </c>
      <c r="AB895" t="s">
        <v>7632</v>
      </c>
      <c r="AC895" t="s">
        <v>7628</v>
      </c>
      <c r="AD895" s="249" t="str">
        <f>HYPERLINK("https://scontent.cdninstagram.com/t51.2885-15/s320x320/e35/20839028_110984732957321_8999915565732593664_n.jpg")</f>
        <v>https://scontent.cdninstagram.com/t51.2885-15/s320x320/e35/20839028_110984732957321_8999915565732593664_n.jpg</v>
      </c>
      <c r="AE895" s="249" t="str">
        <f>HYPERLINK("https://scontent.cdninstagram.com/t51.2885-19/s150x150/14134780_492832834260717_1449614223_a.jpg")</f>
        <v>https://scontent.cdninstagram.com/t51.2885-19/s150x150/14134780_492832834260717_1449614223_a.jpg</v>
      </c>
    </row>
    <row r="896" spans="1:31" ht="15" x14ac:dyDescent="0.25">
      <c r="A896" t="s">
        <v>2474</v>
      </c>
      <c r="B896" t="s">
        <v>7633</v>
      </c>
      <c r="C896" s="221">
        <v>42962.728263888886</v>
      </c>
      <c r="D896" t="s">
        <v>7634</v>
      </c>
      <c r="E896" s="249" t="str">
        <f>HYPERLINK("https://www.instagram.com/p/BX1Fy2jjlER/")</f>
        <v>https://www.instagram.com/p/BX1Fy2jjlER/</v>
      </c>
      <c r="F896" t="s">
        <v>7635</v>
      </c>
      <c r="G896" t="s">
        <v>2478</v>
      </c>
      <c r="H896">
        <v>62</v>
      </c>
      <c r="I896" t="s">
        <v>2479</v>
      </c>
      <c r="J896">
        <v>0</v>
      </c>
      <c r="K896">
        <v>4</v>
      </c>
      <c r="L896">
        <v>4</v>
      </c>
      <c r="Q896">
        <v>0</v>
      </c>
      <c r="R896">
        <v>0</v>
      </c>
      <c r="S896">
        <v>4</v>
      </c>
      <c r="Y896" t="s">
        <v>7636</v>
      </c>
      <c r="Z896" t="s">
        <v>7637</v>
      </c>
      <c r="AA896" t="s">
        <v>7638</v>
      </c>
      <c r="AB896" t="s">
        <v>7639</v>
      </c>
      <c r="AC896" t="s">
        <v>7640</v>
      </c>
      <c r="AD896" s="249" t="str">
        <f>HYPERLINK("https://scontent.cdninstagram.com/t51.2885-15/s320x320/e35/c0.135.1080.1080/20905202_161889421038284_9216427890780930048_n.jpg")</f>
        <v>https://scontent.cdninstagram.com/t51.2885-15/s320x320/e35/c0.135.1080.1080/20905202_161889421038284_9216427890780930048_n.jpg</v>
      </c>
      <c r="AE896" s="249" t="str">
        <f>HYPERLINK("https://scontent.cdninstagram.com/t51.2885-19/s150x150/16124071_1318534561538577_5640367863056302080_n.jpg")</f>
        <v>https://scontent.cdninstagram.com/t51.2885-19/s150x150/16124071_1318534561538577_5640367863056302080_n.jpg</v>
      </c>
    </row>
    <row r="897" spans="1:31" ht="15" x14ac:dyDescent="0.25">
      <c r="A897" t="s">
        <v>2474</v>
      </c>
      <c r="B897" t="s">
        <v>7641</v>
      </c>
      <c r="C897" s="221">
        <v>42962.737245370372</v>
      </c>
      <c r="D897" t="s">
        <v>7642</v>
      </c>
      <c r="E897" s="249" t="str">
        <f>HYPERLINK("https://www.instagram.com/p/BX1HRmXAlsW/")</f>
        <v>https://www.instagram.com/p/BX1HRmXAlsW/</v>
      </c>
      <c r="F897" t="s">
        <v>7643</v>
      </c>
      <c r="G897" t="s">
        <v>2478</v>
      </c>
      <c r="H897">
        <v>263</v>
      </c>
      <c r="I897" t="s">
        <v>2519</v>
      </c>
      <c r="J897">
        <v>2</v>
      </c>
      <c r="K897">
        <v>21</v>
      </c>
      <c r="L897">
        <v>23</v>
      </c>
      <c r="Q897">
        <v>0</v>
      </c>
      <c r="R897">
        <v>0</v>
      </c>
      <c r="S897">
        <v>23</v>
      </c>
      <c r="Y897" t="s">
        <v>7644</v>
      </c>
      <c r="Z897" t="s">
        <v>5521</v>
      </c>
      <c r="AA897" t="s">
        <v>7645</v>
      </c>
      <c r="AB897" t="s">
        <v>7646</v>
      </c>
      <c r="AC897" t="s">
        <v>2497</v>
      </c>
      <c r="AD897" s="249" t="str">
        <f>HYPERLINK("https://scontent.cdninstagram.com/t51.2885-15/s320x320/e35/20839016_862540470561544_1564242203193114624_n.jpg")</f>
        <v>https://scontent.cdninstagram.com/t51.2885-15/s320x320/e35/20839016_862540470561544_1564242203193114624_n.jpg</v>
      </c>
      <c r="AE897" s="249" t="str">
        <f>HYPERLINK("https://scontent.cdninstagram.com/t51.2885-19/s150x150/20986977_1620466047998289_2698690654027907072_a.jpg")</f>
        <v>https://scontent.cdninstagram.com/t51.2885-19/s150x150/20986977_1620466047998289_2698690654027907072_a.jpg</v>
      </c>
    </row>
    <row r="898" spans="1:31" ht="15" x14ac:dyDescent="0.25">
      <c r="A898" t="s">
        <v>2474</v>
      </c>
      <c r="B898" t="s">
        <v>7647</v>
      </c>
      <c r="C898" s="221">
        <v>42962.74</v>
      </c>
      <c r="D898" t="s">
        <v>7648</v>
      </c>
      <c r="E898" s="249" t="str">
        <f>HYPERLINK("https://www.instagram.com/p/BX1Hus0g46W/")</f>
        <v>https://www.instagram.com/p/BX1Hus0g46W/</v>
      </c>
      <c r="F898" t="s">
        <v>7649</v>
      </c>
      <c r="G898" t="s">
        <v>2478</v>
      </c>
      <c r="H898">
        <v>62</v>
      </c>
      <c r="I898" t="s">
        <v>2479</v>
      </c>
      <c r="J898">
        <v>0</v>
      </c>
      <c r="K898">
        <v>9</v>
      </c>
      <c r="L898">
        <v>9</v>
      </c>
      <c r="Q898">
        <v>0</v>
      </c>
      <c r="R898">
        <v>0</v>
      </c>
      <c r="S898">
        <v>9</v>
      </c>
      <c r="Y898" t="s">
        <v>7650</v>
      </c>
      <c r="Z898" t="s">
        <v>7651</v>
      </c>
      <c r="AA898" t="s">
        <v>7652</v>
      </c>
      <c r="AB898" t="s">
        <v>2497</v>
      </c>
      <c r="AC898" t="s">
        <v>7653</v>
      </c>
      <c r="AD898" s="249" t="str">
        <f>HYPERLINK("https://scontent.cdninstagram.com/t51.2885-15/s320x320/e35/c135.0.810.810/20901961_1367903909990169_6846849826047393792_n.jpg")</f>
        <v>https://scontent.cdninstagram.com/t51.2885-15/s320x320/e35/c135.0.810.810/20901961_1367903909990169_6846849826047393792_n.jpg</v>
      </c>
      <c r="AE898" s="249" t="str">
        <f>HYPERLINK("https://scontent.cdninstagram.com/t51.2885-19/s150x150/19984566_732703113580954_2442051729433296896_a.jpg")</f>
        <v>https://scontent.cdninstagram.com/t51.2885-19/s150x150/19984566_732703113580954_2442051729433296896_a.jpg</v>
      </c>
    </row>
    <row r="899" spans="1:31" ht="15" x14ac:dyDescent="0.25">
      <c r="A899" t="s">
        <v>2474</v>
      </c>
      <c r="B899" t="s">
        <v>2588</v>
      </c>
      <c r="C899" s="221">
        <v>42962.741793981484</v>
      </c>
      <c r="D899" t="s">
        <v>7654</v>
      </c>
      <c r="E899" s="249" t="str">
        <f>HYPERLINK("https://www.instagram.com/p/BX1IBk1AJx2/")</f>
        <v>https://www.instagram.com/p/BX1IBk1AJx2/</v>
      </c>
      <c r="F899" t="s">
        <v>7655</v>
      </c>
      <c r="G899" t="s">
        <v>2478</v>
      </c>
      <c r="H899">
        <v>289</v>
      </c>
      <c r="I899" t="s">
        <v>2479</v>
      </c>
      <c r="J899">
        <v>18</v>
      </c>
      <c r="K899">
        <v>955</v>
      </c>
      <c r="L899">
        <v>973</v>
      </c>
      <c r="Q899">
        <v>0</v>
      </c>
      <c r="R899">
        <v>0</v>
      </c>
      <c r="S899">
        <v>973</v>
      </c>
      <c r="AD899" s="249" t="str">
        <f>HYPERLINK("https://scontent.cdninstagram.com/t51.2885-15/s320x320/e35/c37.0.566.566/20837396_290390654702780_5757410682559528960_n.jpg")</f>
        <v>https://scontent.cdninstagram.com/t51.2885-15/s320x320/e35/c37.0.566.566/20837396_290390654702780_5757410682559528960_n.jpg</v>
      </c>
      <c r="AE899" s="249" t="str">
        <f>HYPERLINK("https://scontent.cdninstagram.com/t51.2885-19/s150x150/20633561_108840983138666_5897549723056734208_a.jpg")</f>
        <v>https://scontent.cdninstagram.com/t51.2885-19/s150x150/20633561_108840983138666_5897549723056734208_a.jpg</v>
      </c>
    </row>
    <row r="900" spans="1:31" ht="15" x14ac:dyDescent="0.25">
      <c r="A900" t="s">
        <v>2474</v>
      </c>
      <c r="B900" t="s">
        <v>7656</v>
      </c>
      <c r="C900" s="221">
        <v>42962.743472222224</v>
      </c>
      <c r="D900" t="s">
        <v>7657</v>
      </c>
      <c r="E900" s="249" t="str">
        <f>HYPERLINK("https://www.instagram.com/p/BX1ITVtlNpU/")</f>
        <v>https://www.instagram.com/p/BX1ITVtlNpU/</v>
      </c>
      <c r="F900" t="s">
        <v>7658</v>
      </c>
      <c r="G900" t="s">
        <v>2631</v>
      </c>
      <c r="I900" t="s">
        <v>2479</v>
      </c>
      <c r="J900">
        <v>0</v>
      </c>
      <c r="K900">
        <v>7</v>
      </c>
      <c r="L900">
        <v>7</v>
      </c>
      <c r="Q900">
        <v>0</v>
      </c>
      <c r="R900">
        <v>0</v>
      </c>
      <c r="S900">
        <v>7</v>
      </c>
      <c r="Y900" t="s">
        <v>5043</v>
      </c>
      <c r="Z900" t="s">
        <v>7659</v>
      </c>
      <c r="AA900" t="s">
        <v>7660</v>
      </c>
      <c r="AB900" t="s">
        <v>7661</v>
      </c>
      <c r="AC900" t="s">
        <v>2497</v>
      </c>
      <c r="AD900" s="249" t="str">
        <f>HYPERLINK("https://scontent.cdninstagram.com/t51.2885-15/s320x320/e15/20766842_143935982863484_4749868675551461376_n.jpg")</f>
        <v>https://scontent.cdninstagram.com/t51.2885-15/s320x320/e15/20766842_143935982863484_4749868675551461376_n.jpg</v>
      </c>
      <c r="AE900" s="249" t="str">
        <f>HYPERLINK("https://scontent.cdninstagram.com/t51.2885-19/s150x150/19379417_181401989061099_8404289651447169024_a.jpg")</f>
        <v>https://scontent.cdninstagram.com/t51.2885-19/s150x150/19379417_181401989061099_8404289651447169024_a.jpg</v>
      </c>
    </row>
    <row r="901" spans="1:31" ht="15" x14ac:dyDescent="0.25">
      <c r="A901" t="s">
        <v>2474</v>
      </c>
      <c r="B901" t="s">
        <v>7662</v>
      </c>
      <c r="C901" s="221">
        <v>42962.744583333333</v>
      </c>
      <c r="D901" t="s">
        <v>7663</v>
      </c>
      <c r="E901" s="249" t="str">
        <f>HYPERLINK("https://www.instagram.com/p/BX1IfCwAUJz/")</f>
        <v>https://www.instagram.com/p/BX1IfCwAUJz/</v>
      </c>
      <c r="F901" t="s">
        <v>7664</v>
      </c>
      <c r="G901" t="s">
        <v>2478</v>
      </c>
      <c r="H901">
        <v>16</v>
      </c>
      <c r="I901" t="s">
        <v>2786</v>
      </c>
      <c r="J901">
        <v>0</v>
      </c>
      <c r="K901">
        <v>23</v>
      </c>
      <c r="L901">
        <v>23</v>
      </c>
      <c r="Q901">
        <v>0</v>
      </c>
      <c r="R901">
        <v>0</v>
      </c>
      <c r="S901">
        <v>23</v>
      </c>
      <c r="Y901" t="s">
        <v>2869</v>
      </c>
      <c r="Z901" t="s">
        <v>7665</v>
      </c>
      <c r="AA901" t="s">
        <v>7666</v>
      </c>
      <c r="AB901" t="s">
        <v>2497</v>
      </c>
      <c r="AC901" t="s">
        <v>6925</v>
      </c>
      <c r="AD901" s="249" t="str">
        <f>HYPERLINK("https://scontent.cdninstagram.com/t51.2885-15/s320x320/e35/20837356_272771706540246_7223566020374429696_n.jpg")</f>
        <v>https://scontent.cdninstagram.com/t51.2885-15/s320x320/e35/20837356_272771706540246_7223566020374429696_n.jpg</v>
      </c>
      <c r="AE901" s="249" t="str">
        <f>HYPERLINK("https://scontent.cdninstagram.com/t51.2885-19/s150x150/19367614_1915569922037526_2777468029343105024_a.jpg")</f>
        <v>https://scontent.cdninstagram.com/t51.2885-19/s150x150/19367614_1915569922037526_2777468029343105024_a.jpg</v>
      </c>
    </row>
    <row r="902" spans="1:31" ht="15" x14ac:dyDescent="0.25">
      <c r="A902" t="s">
        <v>2474</v>
      </c>
      <c r="B902" t="s">
        <v>7667</v>
      </c>
      <c r="C902" s="221">
        <v>42962.757928240739</v>
      </c>
      <c r="D902" t="s">
        <v>7668</v>
      </c>
      <c r="E902" s="249" t="str">
        <f>HYPERLINK("https://www.instagram.com/p/BX1Krv_DKdo/")</f>
        <v>https://www.instagram.com/p/BX1Krv_DKdo/</v>
      </c>
      <c r="F902" t="s">
        <v>7669</v>
      </c>
      <c r="G902" t="s">
        <v>2478</v>
      </c>
      <c r="H902">
        <v>424</v>
      </c>
      <c r="I902" t="s">
        <v>2542</v>
      </c>
      <c r="J902">
        <v>2</v>
      </c>
      <c r="K902">
        <v>14</v>
      </c>
      <c r="L902">
        <v>16</v>
      </c>
      <c r="Q902">
        <v>0</v>
      </c>
      <c r="R902">
        <v>0</v>
      </c>
      <c r="S902">
        <v>16</v>
      </c>
      <c r="T902" t="s">
        <v>7670</v>
      </c>
      <c r="V902" t="s">
        <v>2237</v>
      </c>
      <c r="W902">
        <v>-12.04750485736</v>
      </c>
      <c r="X902">
        <v>-77.040510177612006</v>
      </c>
      <c r="Y902" t="s">
        <v>3753</v>
      </c>
      <c r="Z902" t="s">
        <v>7671</v>
      </c>
      <c r="AA902" t="s">
        <v>3843</v>
      </c>
      <c r="AB902" t="s">
        <v>2497</v>
      </c>
      <c r="AC902" t="s">
        <v>7672</v>
      </c>
      <c r="AD902" s="249" t="str">
        <f>HYPERLINK("https://scontent.cdninstagram.com/t51.2885-15/s320x320/e35/c0.135.1080.1080/20766819_1892773994378939_8300170813739368448_n.jpg")</f>
        <v>https://scontent.cdninstagram.com/t51.2885-15/s320x320/e35/c0.135.1080.1080/20766819_1892773994378939_8300170813739368448_n.jpg</v>
      </c>
      <c r="AE902" s="249" t="str">
        <f>HYPERLINK("https://scontent.cdninstagram.com/t51.2885-19/s150x150/20902613_1492908557415127_8316462097139499008_a.jpg")</f>
        <v>https://scontent.cdninstagram.com/t51.2885-19/s150x150/20902613_1492908557415127_8316462097139499008_a.jpg</v>
      </c>
    </row>
    <row r="903" spans="1:31" ht="15" x14ac:dyDescent="0.25">
      <c r="A903" t="s">
        <v>2474</v>
      </c>
      <c r="B903" t="s">
        <v>7673</v>
      </c>
      <c r="C903" s="221">
        <v>42962.759236111109</v>
      </c>
      <c r="D903" t="s">
        <v>7674</v>
      </c>
      <c r="E903" s="249" t="str">
        <f>HYPERLINK("https://www.instagram.com/p/BX1K5l_lZ-e/")</f>
        <v>https://www.instagram.com/p/BX1K5l_lZ-e/</v>
      </c>
      <c r="F903" t="s">
        <v>7675</v>
      </c>
      <c r="G903" t="s">
        <v>2478</v>
      </c>
      <c r="H903">
        <v>676</v>
      </c>
      <c r="I903" t="s">
        <v>2479</v>
      </c>
      <c r="J903">
        <v>1</v>
      </c>
      <c r="K903">
        <v>27</v>
      </c>
      <c r="L903">
        <v>28</v>
      </c>
      <c r="Q903">
        <v>0</v>
      </c>
      <c r="R903">
        <v>0</v>
      </c>
      <c r="S903">
        <v>28</v>
      </c>
      <c r="T903" t="s">
        <v>7676</v>
      </c>
      <c r="U903" t="s">
        <v>126</v>
      </c>
      <c r="V903" t="s">
        <v>2299</v>
      </c>
      <c r="W903">
        <v>33.5369739</v>
      </c>
      <c r="X903">
        <v>-117.1697054</v>
      </c>
      <c r="Y903" t="s">
        <v>7677</v>
      </c>
      <c r="Z903" t="s">
        <v>4408</v>
      </c>
      <c r="AA903" t="s">
        <v>2497</v>
      </c>
      <c r="AB903" t="s">
        <v>7678</v>
      </c>
      <c r="AC903" t="s">
        <v>7679</v>
      </c>
      <c r="AD903" s="249" t="str">
        <f>HYPERLINK("https://scontent.cdninstagram.com/t51.2885-15/s320x320/e35/c0.135.1080.1080/20838534_1647885115222358_5517789719766761472_n.jpg")</f>
        <v>https://scontent.cdninstagram.com/t51.2885-15/s320x320/e35/c0.135.1080.1080/20838534_1647885115222358_5517789719766761472_n.jpg</v>
      </c>
      <c r="AE903" s="249" t="str">
        <f>HYPERLINK("https://scontent.cdninstagram.com/t51.2885-19/s150x150/12959917_124583107939698_1156050758_a.jpg")</f>
        <v>https://scontent.cdninstagram.com/t51.2885-19/s150x150/12959917_124583107939698_1156050758_a.jpg</v>
      </c>
    </row>
    <row r="904" spans="1:31" ht="15" x14ac:dyDescent="0.25">
      <c r="A904" t="s">
        <v>2474</v>
      </c>
      <c r="B904" t="s">
        <v>7680</v>
      </c>
      <c r="C904" s="221">
        <v>42962.760821759257</v>
      </c>
      <c r="D904" t="s">
        <v>7681</v>
      </c>
      <c r="E904" s="249" t="str">
        <f>HYPERLINK("https://www.instagram.com/p/BX1LKUAF0Jd/")</f>
        <v>https://www.instagram.com/p/BX1LKUAF0Jd/</v>
      </c>
      <c r="F904" t="s">
        <v>7682</v>
      </c>
      <c r="G904" t="s">
        <v>2478</v>
      </c>
      <c r="H904">
        <v>275</v>
      </c>
      <c r="I904" t="s">
        <v>2479</v>
      </c>
      <c r="J904">
        <v>0</v>
      </c>
      <c r="K904">
        <v>7</v>
      </c>
      <c r="L904">
        <v>7</v>
      </c>
      <c r="Q904">
        <v>0</v>
      </c>
      <c r="R904">
        <v>0</v>
      </c>
      <c r="S904">
        <v>7</v>
      </c>
      <c r="Y904" t="s">
        <v>7683</v>
      </c>
      <c r="Z904" t="s">
        <v>2497</v>
      </c>
      <c r="AA904" t="s">
        <v>7684</v>
      </c>
      <c r="AB904" t="s">
        <v>7685</v>
      </c>
      <c r="AD904" s="249" t="str">
        <f>HYPERLINK("https://scontent.cdninstagram.com/t51.2885-15/s320x320/e35/c150.0.400.400/20838721_1921655664769464_7863593237846425600_n.jpg")</f>
        <v>https://scontent.cdninstagram.com/t51.2885-15/s320x320/e35/c150.0.400.400/20838721_1921655664769464_7863593237846425600_n.jpg</v>
      </c>
      <c r="AE904" s="249" t="str">
        <f>HYPERLINK("https://scontent.cdninstagram.com/t51.2885-19/s150x150/13556807_263950957304709_1858697937_a.jpg")</f>
        <v>https://scontent.cdninstagram.com/t51.2885-19/s150x150/13556807_263950957304709_1858697937_a.jpg</v>
      </c>
    </row>
    <row r="905" spans="1:31" ht="15" x14ac:dyDescent="0.25">
      <c r="A905" t="s">
        <v>2474</v>
      </c>
      <c r="B905" t="s">
        <v>7686</v>
      </c>
      <c r="C905" s="221">
        <v>42962.768310185187</v>
      </c>
      <c r="D905" t="s">
        <v>7687</v>
      </c>
      <c r="E905" s="249" t="str">
        <f>HYPERLINK("https://www.instagram.com/p/BX1MZUggX7k/")</f>
        <v>https://www.instagram.com/p/BX1MZUggX7k/</v>
      </c>
      <c r="F905" t="s">
        <v>7688</v>
      </c>
      <c r="G905" t="s">
        <v>2478</v>
      </c>
      <c r="H905">
        <v>278</v>
      </c>
      <c r="I905" t="s">
        <v>2479</v>
      </c>
      <c r="J905">
        <v>0</v>
      </c>
      <c r="K905">
        <v>16</v>
      </c>
      <c r="L905">
        <v>16</v>
      </c>
      <c r="Q905">
        <v>0</v>
      </c>
      <c r="R905">
        <v>0</v>
      </c>
      <c r="S905">
        <v>16</v>
      </c>
      <c r="Y905" t="s">
        <v>7689</v>
      </c>
      <c r="Z905" t="s">
        <v>7690</v>
      </c>
      <c r="AA905" t="s">
        <v>7691</v>
      </c>
      <c r="AB905" t="s">
        <v>2497</v>
      </c>
      <c r="AC905" t="s">
        <v>7692</v>
      </c>
      <c r="AD905" s="249" t="str">
        <f>HYPERLINK("https://scontent.cdninstagram.com/t51.2885-15/s320x320/e35/c236.0.608.608/20902663_266902243807028_20073431600988160_n.jpg")</f>
        <v>https://scontent.cdninstagram.com/t51.2885-15/s320x320/e35/c236.0.608.608/20902663_266902243807028_20073431600988160_n.jpg</v>
      </c>
      <c r="AE905" s="249" t="str">
        <f>HYPERLINK("https://scontent.cdninstagram.com/t51.2885-19/s150x150/19534773_1825644647751990_5058009094158286848_a.jpg")</f>
        <v>https://scontent.cdninstagram.com/t51.2885-19/s150x150/19534773_1825644647751990_5058009094158286848_a.jpg</v>
      </c>
    </row>
    <row r="906" spans="1:31" ht="15" x14ac:dyDescent="0.25">
      <c r="A906" t="s">
        <v>2474</v>
      </c>
      <c r="B906" t="s">
        <v>7693</v>
      </c>
      <c r="C906" s="221">
        <v>42962.769062500003</v>
      </c>
      <c r="D906" t="s">
        <v>7694</v>
      </c>
      <c r="E906" s="249" t="str">
        <f>HYPERLINK("https://www.instagram.com/p/BX1MhKPDDzL/")</f>
        <v>https://www.instagram.com/p/BX1MhKPDDzL/</v>
      </c>
      <c r="F906" t="s">
        <v>7695</v>
      </c>
      <c r="G906" t="s">
        <v>2478</v>
      </c>
      <c r="H906">
        <v>650</v>
      </c>
      <c r="I906" t="s">
        <v>2479</v>
      </c>
      <c r="J906">
        <v>1</v>
      </c>
      <c r="K906">
        <v>20</v>
      </c>
      <c r="L906">
        <v>21</v>
      </c>
      <c r="Q906">
        <v>0</v>
      </c>
      <c r="R906">
        <v>0</v>
      </c>
      <c r="S906">
        <v>21</v>
      </c>
      <c r="Y906" t="s">
        <v>7696</v>
      </c>
      <c r="Z906" t="s">
        <v>2497</v>
      </c>
      <c r="AA906" t="s">
        <v>2937</v>
      </c>
      <c r="AB906" t="s">
        <v>7697</v>
      </c>
      <c r="AD906" s="249" t="str">
        <f>HYPERLINK("https://scontent.cdninstagram.com/t51.2885-15/s320x320/e35/20837085_1131552803656272_7245302244269096960_n.jpg")</f>
        <v>https://scontent.cdninstagram.com/t51.2885-15/s320x320/e35/20837085_1131552803656272_7245302244269096960_n.jpg</v>
      </c>
      <c r="AE906" s="249" t="str">
        <f>HYPERLINK("https://scontent.cdninstagram.com/t51.2885-19/s150x150/20968938_1860533657597850_2392779916153192448_a.jpg")</f>
        <v>https://scontent.cdninstagram.com/t51.2885-19/s150x150/20968938_1860533657597850_2392779916153192448_a.jpg</v>
      </c>
    </row>
    <row r="907" spans="1:31" ht="15" x14ac:dyDescent="0.25">
      <c r="A907" t="s">
        <v>2474</v>
      </c>
      <c r="B907" t="s">
        <v>7698</v>
      </c>
      <c r="C907" s="221">
        <v>42962.770416666666</v>
      </c>
      <c r="D907" t="s">
        <v>7699</v>
      </c>
      <c r="E907" s="249" t="str">
        <f>HYPERLINK("https://www.instagram.com/p/BX1MvbuHR9t/")</f>
        <v>https://www.instagram.com/p/BX1MvbuHR9t/</v>
      </c>
      <c r="F907" t="s">
        <v>7700</v>
      </c>
      <c r="G907" t="s">
        <v>2478</v>
      </c>
      <c r="H907">
        <v>836</v>
      </c>
      <c r="I907" t="s">
        <v>2479</v>
      </c>
      <c r="J907">
        <v>4</v>
      </c>
      <c r="K907">
        <v>153</v>
      </c>
      <c r="L907">
        <v>157</v>
      </c>
      <c r="Q907">
        <v>0</v>
      </c>
      <c r="R907">
        <v>0</v>
      </c>
      <c r="S907">
        <v>157</v>
      </c>
      <c r="Y907" t="s">
        <v>7701</v>
      </c>
      <c r="Z907" t="s">
        <v>7702</v>
      </c>
      <c r="AA907" t="s">
        <v>7703</v>
      </c>
      <c r="AB907" t="s">
        <v>7704</v>
      </c>
      <c r="AC907" t="s">
        <v>2497</v>
      </c>
      <c r="AD907" s="249" t="str">
        <f>HYPERLINK("https://scontent.cdninstagram.com/t51.2885-15/s320x320/e35/20767002_1520697591301701_640943196557279232_n.jpg")</f>
        <v>https://scontent.cdninstagram.com/t51.2885-15/s320x320/e35/20767002_1520697591301701_640943196557279232_n.jpg</v>
      </c>
      <c r="AE907" s="249" t="str">
        <f>HYPERLINK("https://scontent.cdninstagram.com/t51.2885-19/s150x150/17662361_820928171407091_9029712051672449024_a.jpg")</f>
        <v>https://scontent.cdninstagram.com/t51.2885-19/s150x150/17662361_820928171407091_9029712051672449024_a.jpg</v>
      </c>
    </row>
    <row r="908" spans="1:31" ht="15" x14ac:dyDescent="0.25">
      <c r="A908" t="s">
        <v>2474</v>
      </c>
      <c r="B908" t="s">
        <v>7705</v>
      </c>
      <c r="C908" s="221">
        <v>42962.771238425928</v>
      </c>
      <c r="D908" t="s">
        <v>7706</v>
      </c>
      <c r="E908" s="249" t="str">
        <f>HYPERLINK("https://www.instagram.com/p/BX1M4LUnQCC/")</f>
        <v>https://www.instagram.com/p/BX1M4LUnQCC/</v>
      </c>
      <c r="G908" t="s">
        <v>2478</v>
      </c>
      <c r="H908">
        <v>1094</v>
      </c>
      <c r="I908" t="s">
        <v>2479</v>
      </c>
      <c r="J908">
        <v>5</v>
      </c>
      <c r="K908">
        <v>69</v>
      </c>
      <c r="L908">
        <v>74</v>
      </c>
      <c r="Q908">
        <v>0</v>
      </c>
      <c r="R908">
        <v>0</v>
      </c>
      <c r="S908">
        <v>74</v>
      </c>
      <c r="AD908" s="249" t="str">
        <f>HYPERLINK("https://scontent.cdninstagram.com/t51.2885-15/s320x320/e35/20766803_262592807582892_8326595647272648704_n.jpg")</f>
        <v>https://scontent.cdninstagram.com/t51.2885-15/s320x320/e35/20766803_262592807582892_8326595647272648704_n.jpg</v>
      </c>
      <c r="AE908" s="249" t="str">
        <f>HYPERLINK("https://scontent.cdninstagram.com/t51.2885-19/s150x150/16465133_1864354300444844_6458282154798350336_a.jpg")</f>
        <v>https://scontent.cdninstagram.com/t51.2885-19/s150x150/16465133_1864354300444844_6458282154798350336_a.jpg</v>
      </c>
    </row>
    <row r="909" spans="1:31" ht="15" x14ac:dyDescent="0.25">
      <c r="A909" t="s">
        <v>2474</v>
      </c>
      <c r="B909" t="s">
        <v>7185</v>
      </c>
      <c r="C909" s="221">
        <v>42962.776493055557</v>
      </c>
      <c r="D909" t="s">
        <v>7707</v>
      </c>
      <c r="E909" s="249" t="str">
        <f>HYPERLINK("https://www.instagram.com/p/BX1Nvj-B-hK/")</f>
        <v>https://www.instagram.com/p/BX1Nvj-B-hK/</v>
      </c>
      <c r="F909" t="s">
        <v>7708</v>
      </c>
      <c r="G909" t="s">
        <v>2478</v>
      </c>
      <c r="H909">
        <v>384</v>
      </c>
      <c r="I909" t="s">
        <v>3170</v>
      </c>
      <c r="J909">
        <v>2</v>
      </c>
      <c r="K909">
        <v>66</v>
      </c>
      <c r="L909">
        <v>68</v>
      </c>
      <c r="Q909">
        <v>0</v>
      </c>
      <c r="R909">
        <v>0</v>
      </c>
      <c r="S909">
        <v>68</v>
      </c>
      <c r="T909" t="s">
        <v>7709</v>
      </c>
      <c r="V909" t="s">
        <v>2111</v>
      </c>
      <c r="W909">
        <v>17.749199900000001</v>
      </c>
      <c r="X909">
        <v>-88.024910000000006</v>
      </c>
      <c r="Y909" t="s">
        <v>4547</v>
      </c>
      <c r="Z909" t="s">
        <v>2497</v>
      </c>
      <c r="AA909" t="s">
        <v>7710</v>
      </c>
      <c r="AB909" t="s">
        <v>7190</v>
      </c>
      <c r="AC909" t="s">
        <v>7711</v>
      </c>
      <c r="AD909" s="249" t="str">
        <f>HYPERLINK("https://scontent.cdninstagram.com/t51.2885-15/s320x320/e35/c170.0.740.740/20837247_712530348954477_4552480800490127360_n.jpg")</f>
        <v>https://scontent.cdninstagram.com/t51.2885-15/s320x320/e35/c170.0.740.740/20837247_712530348954477_4552480800490127360_n.jpg</v>
      </c>
      <c r="AE909" s="249" t="str">
        <f>HYPERLINK("https://scontent.cdninstagram.com/t51.2885-19/s150x150/17882752_1488967831123186_392500985118851072_a.jpg")</f>
        <v>https://scontent.cdninstagram.com/t51.2885-19/s150x150/17882752_1488967831123186_392500985118851072_a.jpg</v>
      </c>
    </row>
    <row r="910" spans="1:31" ht="15" x14ac:dyDescent="0.25">
      <c r="A910" t="s">
        <v>2474</v>
      </c>
      <c r="B910" t="s">
        <v>7712</v>
      </c>
      <c r="C910" s="221">
        <v>42962.786076388889</v>
      </c>
      <c r="D910" t="s">
        <v>7713</v>
      </c>
      <c r="E910" s="249" t="str">
        <f>HYPERLINK("https://www.instagram.com/p/BX1PUoNnire/")</f>
        <v>https://www.instagram.com/p/BX1PUoNnire/</v>
      </c>
      <c r="F910" t="s">
        <v>7714</v>
      </c>
      <c r="G910" t="s">
        <v>2478</v>
      </c>
      <c r="H910">
        <v>345</v>
      </c>
      <c r="I910" t="s">
        <v>2479</v>
      </c>
      <c r="J910">
        <v>1</v>
      </c>
      <c r="K910">
        <v>30</v>
      </c>
      <c r="L910">
        <v>31</v>
      </c>
      <c r="Q910">
        <v>0</v>
      </c>
      <c r="R910">
        <v>0</v>
      </c>
      <c r="S910">
        <v>31</v>
      </c>
      <c r="T910" t="s">
        <v>7715</v>
      </c>
      <c r="U910" t="s">
        <v>206</v>
      </c>
      <c r="V910" t="s">
        <v>2299</v>
      </c>
      <c r="W910">
        <v>32.275419900000003</v>
      </c>
      <c r="X910">
        <v>-110.92364000000001</v>
      </c>
      <c r="Y910" t="s">
        <v>7716</v>
      </c>
      <c r="Z910" t="s">
        <v>6182</v>
      </c>
      <c r="AA910" t="s">
        <v>7717</v>
      </c>
      <c r="AB910" t="s">
        <v>7718</v>
      </c>
      <c r="AC910" t="s">
        <v>2497</v>
      </c>
      <c r="AD910" s="249" t="str">
        <f>HYPERLINK("https://scontent.cdninstagram.com/t51.2885-15/s320x320/e35/20904934_474322946280215_3814073809460264960_n.jpg")</f>
        <v>https://scontent.cdninstagram.com/t51.2885-15/s320x320/e35/20904934_474322946280215_3814073809460264960_n.jpg</v>
      </c>
      <c r="AE910" s="249" t="str">
        <f>HYPERLINK("https://scontent.cdninstagram.com/t51.2885-19/11875516_1146270808733634_601355220_a.jpg")</f>
        <v>https://scontent.cdninstagram.com/t51.2885-19/11875516_1146270808733634_601355220_a.jpg</v>
      </c>
    </row>
    <row r="911" spans="1:31" ht="15" x14ac:dyDescent="0.25">
      <c r="A911" t="s">
        <v>2474</v>
      </c>
      <c r="B911" t="s">
        <v>6899</v>
      </c>
      <c r="C911" s="221">
        <v>42962.798761574071</v>
      </c>
      <c r="D911" t="s">
        <v>7719</v>
      </c>
      <c r="E911" s="249" t="str">
        <f>HYPERLINK("https://www.instagram.com/p/BX1RaapA7rG/")</f>
        <v>https://www.instagram.com/p/BX1RaapA7rG/</v>
      </c>
      <c r="F911" t="s">
        <v>7720</v>
      </c>
      <c r="G911" t="s">
        <v>2478</v>
      </c>
      <c r="H911">
        <v>34381</v>
      </c>
      <c r="I911" t="s">
        <v>2479</v>
      </c>
      <c r="J911">
        <v>13</v>
      </c>
      <c r="K911">
        <v>926</v>
      </c>
      <c r="L911">
        <v>939</v>
      </c>
      <c r="Q911">
        <v>0</v>
      </c>
      <c r="R911">
        <v>0</v>
      </c>
      <c r="S911">
        <v>939</v>
      </c>
      <c r="AD911" s="249" t="str">
        <f>HYPERLINK("https://scontent.cdninstagram.com/t51.2885-15/s320x320/e35/20902222_1919218821675722_8938752607212535808_n.jpg")</f>
        <v>https://scontent.cdninstagram.com/t51.2885-15/s320x320/e35/20902222_1919218821675722_8938752607212535808_n.jpg</v>
      </c>
      <c r="AE911" s="249" t="str">
        <f>HYPERLINK("https://scontent.cdninstagram.com/t51.2885-19/s150x150/17493776_1474371442636277_6993911971573661696_n.jpg")</f>
        <v>https://scontent.cdninstagram.com/t51.2885-19/s150x150/17493776_1474371442636277_6993911971573661696_n.jpg</v>
      </c>
    </row>
    <row r="912" spans="1:31" ht="15" x14ac:dyDescent="0.25">
      <c r="A912" t="s">
        <v>2474</v>
      </c>
      <c r="B912" t="s">
        <v>7721</v>
      </c>
      <c r="C912" s="221">
        <v>42962.803020833337</v>
      </c>
      <c r="D912" t="s">
        <v>7722</v>
      </c>
      <c r="E912" s="249" t="str">
        <f>HYPERLINK("https://www.instagram.com/p/BX1SHUvFXyp/")</f>
        <v>https://www.instagram.com/p/BX1SHUvFXyp/</v>
      </c>
      <c r="F912" t="s">
        <v>7723</v>
      </c>
      <c r="G912" t="s">
        <v>2478</v>
      </c>
      <c r="H912">
        <v>481</v>
      </c>
      <c r="I912" t="s">
        <v>2582</v>
      </c>
      <c r="J912">
        <v>0</v>
      </c>
      <c r="K912">
        <v>19</v>
      </c>
      <c r="L912">
        <v>19</v>
      </c>
      <c r="Q912">
        <v>0</v>
      </c>
      <c r="R912">
        <v>0</v>
      </c>
      <c r="S912">
        <v>19</v>
      </c>
      <c r="T912" t="s">
        <v>7724</v>
      </c>
      <c r="U912" t="s">
        <v>950</v>
      </c>
      <c r="V912" t="s">
        <v>2299</v>
      </c>
      <c r="W912">
        <v>42.705115245728003</v>
      </c>
      <c r="X912">
        <v>-89.007921621896003</v>
      </c>
      <c r="Y912" t="s">
        <v>7374</v>
      </c>
      <c r="Z912" t="s">
        <v>7725</v>
      </c>
      <c r="AA912" t="s">
        <v>3039</v>
      </c>
      <c r="AB912" t="s">
        <v>7726</v>
      </c>
      <c r="AC912" t="s">
        <v>4582</v>
      </c>
      <c r="AD912" s="249" t="str">
        <f>HYPERLINK("https://scontent.cdninstagram.com/t51.2885-15/s320x320/e35/c135.0.810.810/20766897_124691288155937_1843267596846104576_n.jpg")</f>
        <v>https://scontent.cdninstagram.com/t51.2885-15/s320x320/e35/c135.0.810.810/20766897_124691288155937_1843267596846104576_n.jpg</v>
      </c>
      <c r="AE912" s="249" t="str">
        <f>HYPERLINK("https://scontent.cdninstagram.com/t51.2885-19/s150x150/13642950_280217049020596_125013897_a.jpg")</f>
        <v>https://scontent.cdninstagram.com/t51.2885-19/s150x150/13642950_280217049020596_125013897_a.jpg</v>
      </c>
    </row>
    <row r="913" spans="1:31" ht="15" x14ac:dyDescent="0.25">
      <c r="A913" t="s">
        <v>2474</v>
      </c>
      <c r="B913" t="s">
        <v>4650</v>
      </c>
      <c r="C913" s="221">
        <v>42962.803807870368</v>
      </c>
      <c r="D913" t="s">
        <v>7727</v>
      </c>
      <c r="E913" s="249" t="str">
        <f>HYPERLINK("https://www.instagram.com/p/BX1SPsNghfP/")</f>
        <v>https://www.instagram.com/p/BX1SPsNghfP/</v>
      </c>
      <c r="F913" t="s">
        <v>7728</v>
      </c>
      <c r="G913" t="s">
        <v>2478</v>
      </c>
      <c r="H913">
        <v>50394</v>
      </c>
      <c r="I913" t="s">
        <v>2479</v>
      </c>
      <c r="J913">
        <v>19</v>
      </c>
      <c r="K913">
        <v>801</v>
      </c>
      <c r="L913">
        <v>820</v>
      </c>
      <c r="Q913">
        <v>0</v>
      </c>
      <c r="R913">
        <v>0</v>
      </c>
      <c r="S913">
        <v>820</v>
      </c>
      <c r="Y913" t="s">
        <v>7530</v>
      </c>
      <c r="Z913" t="s">
        <v>7729</v>
      </c>
      <c r="AA913" t="s">
        <v>6824</v>
      </c>
      <c r="AB913" t="s">
        <v>7730</v>
      </c>
      <c r="AC913" t="s">
        <v>7007</v>
      </c>
      <c r="AD913" s="249" t="str">
        <f>HYPERLINK("https://scontent.cdninstagram.com/t51.2885-15/s320x320/e35/c0.135.1080.1080/20838293_785826998245999_6539576698776584192_n.jpg")</f>
        <v>https://scontent.cdninstagram.com/t51.2885-15/s320x320/e35/c0.135.1080.1080/20838293_785826998245999_6539576698776584192_n.jpg</v>
      </c>
      <c r="AE913" s="249" t="str">
        <f>HYPERLINK("https://scontent.cdninstagram.com/t51.2885-19/s150x150/19761953_352834771801381_7484399315541032960_a.jpg")</f>
        <v>https://scontent.cdninstagram.com/t51.2885-19/s150x150/19761953_352834771801381_7484399315541032960_a.jpg</v>
      </c>
    </row>
    <row r="914" spans="1:31" ht="15" x14ac:dyDescent="0.25">
      <c r="A914" t="s">
        <v>2474</v>
      </c>
      <c r="B914" t="s">
        <v>7731</v>
      </c>
      <c r="C914" s="221">
        <v>42962.820914351854</v>
      </c>
      <c r="D914" t="s">
        <v>7732</v>
      </c>
      <c r="E914" s="249" t="str">
        <f>HYPERLINK("https://www.instagram.com/p/BX1VEBmhYFn/")</f>
        <v>https://www.instagram.com/p/BX1VEBmhYFn/</v>
      </c>
      <c r="F914" t="s">
        <v>7733</v>
      </c>
      <c r="G914" t="s">
        <v>2478</v>
      </c>
      <c r="H914">
        <v>214</v>
      </c>
      <c r="I914" t="s">
        <v>4062</v>
      </c>
      <c r="J914">
        <v>3</v>
      </c>
      <c r="K914">
        <v>58</v>
      </c>
      <c r="L914">
        <v>61</v>
      </c>
      <c r="Q914">
        <v>0</v>
      </c>
      <c r="R914">
        <v>0</v>
      </c>
      <c r="S914">
        <v>61</v>
      </c>
      <c r="T914" t="s">
        <v>7734</v>
      </c>
      <c r="U914" t="s">
        <v>170</v>
      </c>
      <c r="V914" t="s">
        <v>2299</v>
      </c>
      <c r="W914">
        <v>30.229389999999999</v>
      </c>
      <c r="X914">
        <v>-97.9278999</v>
      </c>
      <c r="Y914" t="s">
        <v>7735</v>
      </c>
      <c r="Z914" t="s">
        <v>7736</v>
      </c>
      <c r="AA914" t="s">
        <v>7737</v>
      </c>
      <c r="AB914" t="s">
        <v>7738</v>
      </c>
      <c r="AC914" t="s">
        <v>2497</v>
      </c>
      <c r="AD914" s="249" t="str">
        <f>HYPERLINK("https://scontent.cdninstagram.com/t51.2885-15/s320x320/e35/20838781_478784652475113_2968435387858419712_n.jpg")</f>
        <v>https://scontent.cdninstagram.com/t51.2885-15/s320x320/e35/20838781_478784652475113_2968435387858419712_n.jpg</v>
      </c>
      <c r="AE914" s="249" t="str">
        <f>HYPERLINK("https://scontent.cdninstagram.com/t51.2885-19/s150x150/20686450_842968722525438_990326188947800064_a.jpg")</f>
        <v>https://scontent.cdninstagram.com/t51.2885-19/s150x150/20686450_842968722525438_990326188947800064_a.jpg</v>
      </c>
    </row>
    <row r="915" spans="1:31" ht="15" x14ac:dyDescent="0.25">
      <c r="A915" t="s">
        <v>2474</v>
      </c>
      <c r="B915" t="s">
        <v>7739</v>
      </c>
      <c r="C915" s="221">
        <v>42962.821180555555</v>
      </c>
      <c r="D915" t="s">
        <v>7740</v>
      </c>
      <c r="E915" s="249" t="str">
        <f>HYPERLINK("https://www.instagram.com/p/BX1VG56FRVx/")</f>
        <v>https://www.instagram.com/p/BX1VG56FRVx/</v>
      </c>
      <c r="F915" t="s">
        <v>7741</v>
      </c>
      <c r="G915" t="s">
        <v>2478</v>
      </c>
      <c r="H915">
        <v>424</v>
      </c>
      <c r="I915" t="s">
        <v>2479</v>
      </c>
      <c r="J915">
        <v>0</v>
      </c>
      <c r="K915">
        <v>19</v>
      </c>
      <c r="L915">
        <v>19</v>
      </c>
      <c r="Q915">
        <v>0</v>
      </c>
      <c r="R915">
        <v>0</v>
      </c>
      <c r="S915">
        <v>19</v>
      </c>
      <c r="Y915" t="s">
        <v>7742</v>
      </c>
      <c r="Z915" t="s">
        <v>7743</v>
      </c>
      <c r="AA915" t="s">
        <v>3091</v>
      </c>
      <c r="AB915" t="s">
        <v>7744</v>
      </c>
      <c r="AC915" t="s">
        <v>7745</v>
      </c>
      <c r="AD915" s="249" t="str">
        <f>HYPERLINK("https://scontent.cdninstagram.com/t51.2885-15/s320x320/e35/c3.0.1074.1074/20838157_498457560500306_8350709406148591616_n.jpg")</f>
        <v>https://scontent.cdninstagram.com/t51.2885-15/s320x320/e35/c3.0.1074.1074/20838157_498457560500306_8350709406148591616_n.jpg</v>
      </c>
      <c r="AE915" s="249" t="str">
        <f>HYPERLINK("https://scontent.cdninstagram.com/t51.2885-19/11850061_1704470133098610_1613416355_a.jpg")</f>
        <v>https://scontent.cdninstagram.com/t51.2885-19/11850061_1704470133098610_1613416355_a.jpg</v>
      </c>
    </row>
    <row r="916" spans="1:31" ht="15" x14ac:dyDescent="0.25">
      <c r="A916" t="s">
        <v>2474</v>
      </c>
      <c r="B916" t="s">
        <v>5657</v>
      </c>
      <c r="C916" s="221">
        <v>42962.827048611114</v>
      </c>
      <c r="D916" t="s">
        <v>7746</v>
      </c>
      <c r="E916" s="249" t="str">
        <f>HYPERLINK("https://www.instagram.com/p/BX1WEwzgNsV/")</f>
        <v>https://www.instagram.com/p/BX1WEwzgNsV/</v>
      </c>
      <c r="F916" t="s">
        <v>7747</v>
      </c>
      <c r="G916" t="s">
        <v>2478</v>
      </c>
      <c r="H916">
        <v>66</v>
      </c>
      <c r="I916" t="s">
        <v>2910</v>
      </c>
      <c r="J916">
        <v>2</v>
      </c>
      <c r="K916">
        <v>34</v>
      </c>
      <c r="L916">
        <v>36</v>
      </c>
      <c r="Q916">
        <v>0</v>
      </c>
      <c r="R916">
        <v>0</v>
      </c>
      <c r="S916">
        <v>36</v>
      </c>
      <c r="Y916" t="s">
        <v>7748</v>
      </c>
      <c r="Z916" t="s">
        <v>6172</v>
      </c>
      <c r="AA916" t="s">
        <v>7749</v>
      </c>
      <c r="AB916" t="s">
        <v>5662</v>
      </c>
      <c r="AC916" t="s">
        <v>2551</v>
      </c>
      <c r="AD916" s="249" t="str">
        <f>HYPERLINK("https://scontent.cdninstagram.com/t51.2885-15/s320x320/e35/20838276_283049865435738_7341499311152168960_n.jpg")</f>
        <v>https://scontent.cdninstagram.com/t51.2885-15/s320x320/e35/20838276_283049865435738_7341499311152168960_n.jpg</v>
      </c>
      <c r="AE916" s="249" t="str">
        <f>HYPERLINK("https://scontent.cdninstagram.com/t51.2885-19/s150x150/18722414_1929874740617287_7467972564577419264_a.jpg")</f>
        <v>https://scontent.cdninstagram.com/t51.2885-19/s150x150/18722414_1929874740617287_7467972564577419264_a.jpg</v>
      </c>
    </row>
    <row r="917" spans="1:31" ht="15" x14ac:dyDescent="0.25">
      <c r="A917" t="s">
        <v>2474</v>
      </c>
      <c r="B917" t="s">
        <v>3015</v>
      </c>
      <c r="C917" s="221">
        <v>42962.831423611111</v>
      </c>
      <c r="D917" t="s">
        <v>7750</v>
      </c>
      <c r="E917" s="249" t="str">
        <f>HYPERLINK("https://www.instagram.com/p/BX1Wy97AKlm/")</f>
        <v>https://www.instagram.com/p/BX1Wy97AKlm/</v>
      </c>
      <c r="F917" t="s">
        <v>7751</v>
      </c>
      <c r="G917" t="s">
        <v>2478</v>
      </c>
      <c r="H917">
        <v>178</v>
      </c>
      <c r="I917" t="s">
        <v>2479</v>
      </c>
      <c r="J917">
        <v>0</v>
      </c>
      <c r="K917">
        <v>38</v>
      </c>
      <c r="L917">
        <v>38</v>
      </c>
      <c r="Q917">
        <v>0</v>
      </c>
      <c r="R917">
        <v>0</v>
      </c>
      <c r="S917">
        <v>38</v>
      </c>
      <c r="Y917" t="s">
        <v>3493</v>
      </c>
      <c r="Z917" t="s">
        <v>3165</v>
      </c>
      <c r="AA917" t="s">
        <v>3494</v>
      </c>
      <c r="AB917" t="s">
        <v>3727</v>
      </c>
      <c r="AC917" t="s">
        <v>4128</v>
      </c>
      <c r="AD917" s="249" t="str">
        <f>HYPERLINK("https://scontent.cdninstagram.com/t51.2885-15/s320x320/e35/20838428_1612328375454394_9095716396112805888_n.jpg")</f>
        <v>https://scontent.cdninstagram.com/t51.2885-15/s320x320/e35/20838428_1612328375454394_9095716396112805888_n.jpg</v>
      </c>
      <c r="AE917" s="249" t="str">
        <f>HYPERLINK("https://scontent.cdninstagram.com/t51.2885-19/s150x150/19761452_1876060406050696_4275948751316582400_a.jpg")</f>
        <v>https://scontent.cdninstagram.com/t51.2885-19/s150x150/19761452_1876060406050696_4275948751316582400_a.jpg</v>
      </c>
    </row>
    <row r="918" spans="1:31" ht="15" x14ac:dyDescent="0.25">
      <c r="A918" t="s">
        <v>2474</v>
      </c>
      <c r="B918" t="s">
        <v>7752</v>
      </c>
      <c r="C918" s="221">
        <v>42962.832280092596</v>
      </c>
      <c r="D918" t="s">
        <v>7753</v>
      </c>
      <c r="E918" s="249" t="str">
        <f>HYPERLINK("https://www.instagram.com/p/BX1W7-IFftR/")</f>
        <v>https://www.instagram.com/p/BX1W7-IFftR/</v>
      </c>
      <c r="F918" t="s">
        <v>7754</v>
      </c>
      <c r="G918" t="s">
        <v>2478</v>
      </c>
      <c r="H918">
        <v>137</v>
      </c>
      <c r="I918" t="s">
        <v>2479</v>
      </c>
      <c r="J918">
        <v>7</v>
      </c>
      <c r="K918">
        <v>60</v>
      </c>
      <c r="L918">
        <v>67</v>
      </c>
      <c r="Q918">
        <v>0</v>
      </c>
      <c r="R918">
        <v>0</v>
      </c>
      <c r="S918">
        <v>67</v>
      </c>
      <c r="Y918" t="s">
        <v>7755</v>
      </c>
      <c r="Z918" t="s">
        <v>7756</v>
      </c>
      <c r="AA918" t="s">
        <v>7757</v>
      </c>
      <c r="AB918" t="s">
        <v>7758</v>
      </c>
      <c r="AC918" t="s">
        <v>7759</v>
      </c>
      <c r="AD918" s="249" t="str">
        <f>HYPERLINK("https://scontent.cdninstagram.com/t51.2885-15/s320x320/e35/20837760_245567839297191_7936738175869779968_n.jpg")</f>
        <v>https://scontent.cdninstagram.com/t51.2885-15/s320x320/e35/20837760_245567839297191_7936738175869779968_n.jpg</v>
      </c>
      <c r="AE918" s="249" t="str">
        <f>HYPERLINK("https://scontent.cdninstagram.com/t51.2885-19/s150x150/16790197_762138023952671_5391405385049440256_a.jpg")</f>
        <v>https://scontent.cdninstagram.com/t51.2885-19/s150x150/16790197_762138023952671_5391405385049440256_a.jpg</v>
      </c>
    </row>
    <row r="919" spans="1:31" ht="15" x14ac:dyDescent="0.25">
      <c r="A919" t="s">
        <v>2474</v>
      </c>
      <c r="B919" t="s">
        <v>6260</v>
      </c>
      <c r="C919" s="221">
        <v>42962.838923611111</v>
      </c>
      <c r="D919" t="s">
        <v>7760</v>
      </c>
      <c r="E919" s="249" t="str">
        <f>HYPERLINK("https://www.instagram.com/p/BX1YCE1B8ti/")</f>
        <v>https://www.instagram.com/p/BX1YCE1B8ti/</v>
      </c>
      <c r="F919" t="s">
        <v>7761</v>
      </c>
      <c r="G919" t="s">
        <v>2478</v>
      </c>
      <c r="H919">
        <v>731</v>
      </c>
      <c r="I919" t="s">
        <v>2622</v>
      </c>
      <c r="J919">
        <v>1</v>
      </c>
      <c r="K919">
        <v>27</v>
      </c>
      <c r="L919">
        <v>28</v>
      </c>
      <c r="Q919">
        <v>0</v>
      </c>
      <c r="R919">
        <v>0</v>
      </c>
      <c r="S919">
        <v>28</v>
      </c>
      <c r="Y919" t="s">
        <v>7762</v>
      </c>
      <c r="Z919" t="s">
        <v>7763</v>
      </c>
      <c r="AA919" t="s">
        <v>7764</v>
      </c>
      <c r="AB919" t="s">
        <v>7765</v>
      </c>
      <c r="AC919" t="s">
        <v>7766</v>
      </c>
      <c r="AD919" s="249" t="str">
        <f>HYPERLINK("https://scontent.cdninstagram.com/t51.2885-15/s320x320/e35/c0.48.1080.1080/20838283_812108192294310_1991223945973465088_n.jpg")</f>
        <v>https://scontent.cdninstagram.com/t51.2885-15/s320x320/e35/c0.48.1080.1080/20838283_812108192294310_1991223945973465088_n.jpg</v>
      </c>
      <c r="AE919" s="249" t="str">
        <f>HYPERLINK("https://scontent.cdninstagram.com/t51.2885-19/s150x150/20180716_328101890948546_8277557755091353600_a.jpg")</f>
        <v>https://scontent.cdninstagram.com/t51.2885-19/s150x150/20180716_328101890948546_8277557755091353600_a.jpg</v>
      </c>
    </row>
    <row r="920" spans="1:31" ht="15" x14ac:dyDescent="0.25">
      <c r="A920" t="s">
        <v>2474</v>
      </c>
      <c r="B920" t="s">
        <v>7767</v>
      </c>
      <c r="C920" s="221">
        <v>42962.841307870367</v>
      </c>
      <c r="D920" t="s">
        <v>7768</v>
      </c>
      <c r="E920" s="249" t="str">
        <f>HYPERLINK("https://www.instagram.com/p/BX1YbLvDcnr/")</f>
        <v>https://www.instagram.com/p/BX1YbLvDcnr/</v>
      </c>
      <c r="F920" t="s">
        <v>7769</v>
      </c>
      <c r="G920" t="s">
        <v>2478</v>
      </c>
      <c r="H920">
        <v>293</v>
      </c>
      <c r="I920" t="s">
        <v>2510</v>
      </c>
      <c r="J920">
        <v>0</v>
      </c>
      <c r="K920">
        <v>40</v>
      </c>
      <c r="L920">
        <v>40</v>
      </c>
      <c r="Q920">
        <v>0</v>
      </c>
      <c r="R920">
        <v>0</v>
      </c>
      <c r="S920">
        <v>40</v>
      </c>
      <c r="Y920" t="s">
        <v>7770</v>
      </c>
      <c r="Z920" t="s">
        <v>7771</v>
      </c>
      <c r="AA920" t="s">
        <v>7772</v>
      </c>
      <c r="AB920" t="s">
        <v>7773</v>
      </c>
      <c r="AC920" t="s">
        <v>7774</v>
      </c>
      <c r="AD920" s="249" t="str">
        <f>HYPERLINK("https://scontent.cdninstagram.com/t51.2885-15/s320x320/e35/c102.0.875.875/20838423_578335325890771_3177815812337565696_n.jpg")</f>
        <v>https://scontent.cdninstagram.com/t51.2885-15/s320x320/e35/c102.0.875.875/20838423_578335325890771_3177815812337565696_n.jpg</v>
      </c>
      <c r="AE920" s="249" t="str">
        <f>HYPERLINK("https://scontent.cdninstagram.com/t51.2885-19/s150x150/18298790_1888940861386181_2852852938840211456_a.jpg")</f>
        <v>https://scontent.cdninstagram.com/t51.2885-19/s150x150/18298790_1888940861386181_2852852938840211456_a.jpg</v>
      </c>
    </row>
    <row r="921" spans="1:31" ht="15" x14ac:dyDescent="0.25">
      <c r="A921" t="s">
        <v>2474</v>
      </c>
      <c r="B921" t="s">
        <v>7775</v>
      </c>
      <c r="C921" s="221">
        <v>42962.851469907408</v>
      </c>
      <c r="D921" t="s">
        <v>7776</v>
      </c>
      <c r="E921" s="249" t="str">
        <f>HYPERLINK("https://www.instagram.com/p/BX1aGXwgZdk/")</f>
        <v>https://www.instagram.com/p/BX1aGXwgZdk/</v>
      </c>
      <c r="F921" t="s">
        <v>7777</v>
      </c>
      <c r="G921" t="s">
        <v>2478</v>
      </c>
      <c r="H921">
        <v>619</v>
      </c>
      <c r="I921" t="s">
        <v>2479</v>
      </c>
      <c r="J921">
        <v>1</v>
      </c>
      <c r="K921">
        <v>36</v>
      </c>
      <c r="L921">
        <v>37</v>
      </c>
      <c r="Q921">
        <v>0</v>
      </c>
      <c r="R921">
        <v>0</v>
      </c>
      <c r="S921">
        <v>37</v>
      </c>
      <c r="Y921" t="s">
        <v>7778</v>
      </c>
      <c r="Z921" t="s">
        <v>7779</v>
      </c>
      <c r="AA921" t="s">
        <v>7780</v>
      </c>
      <c r="AB921" t="s">
        <v>7781</v>
      </c>
      <c r="AC921" t="s">
        <v>7782</v>
      </c>
      <c r="AD921" s="249" t="str">
        <f>HYPERLINK("https://scontent.cdninstagram.com/t51.2885-15/s320x320/e35/20759121_884102471737588_7516667404835880960_n.jpg")</f>
        <v>https://scontent.cdninstagram.com/t51.2885-15/s320x320/e35/20759121_884102471737588_7516667404835880960_n.jpg</v>
      </c>
      <c r="AE921" s="249" t="str">
        <f>HYPERLINK("https://scontent.cdninstagram.com/t51.2885-19/s150x150/18011755_776568462524056_1115326899950714880_a.jpg")</f>
        <v>https://scontent.cdninstagram.com/t51.2885-19/s150x150/18011755_776568462524056_1115326899950714880_a.jpg</v>
      </c>
    </row>
    <row r="922" spans="1:31" ht="15" x14ac:dyDescent="0.25">
      <c r="A922" t="s">
        <v>2474</v>
      </c>
      <c r="B922" t="s">
        <v>7783</v>
      </c>
      <c r="C922" s="221">
        <v>42962.854548611111</v>
      </c>
      <c r="D922" t="s">
        <v>7784</v>
      </c>
      <c r="E922" s="249" t="str">
        <f>HYPERLINK("https://www.instagram.com/p/BX1amyoDuQa/")</f>
        <v>https://www.instagram.com/p/BX1amyoDuQa/</v>
      </c>
      <c r="F922" t="s">
        <v>7785</v>
      </c>
      <c r="G922" t="s">
        <v>2478</v>
      </c>
      <c r="H922">
        <v>306</v>
      </c>
      <c r="I922" t="s">
        <v>2479</v>
      </c>
      <c r="J922">
        <v>1</v>
      </c>
      <c r="K922">
        <v>46</v>
      </c>
      <c r="L922">
        <v>47</v>
      </c>
      <c r="Q922">
        <v>0</v>
      </c>
      <c r="R922">
        <v>0</v>
      </c>
      <c r="S922">
        <v>47</v>
      </c>
      <c r="Y922" t="s">
        <v>6429</v>
      </c>
      <c r="Z922" t="s">
        <v>7786</v>
      </c>
      <c r="AA922" t="s">
        <v>7787</v>
      </c>
      <c r="AB922" t="s">
        <v>5673</v>
      </c>
      <c r="AC922" t="s">
        <v>2497</v>
      </c>
      <c r="AD922" s="249" t="str">
        <f>HYPERLINK("https://scontent.cdninstagram.com/t51.2885-15/s320x320/e35/c181.0.718.718/20838312_269038586916443_466953783633510400_n.jpg")</f>
        <v>https://scontent.cdninstagram.com/t51.2885-15/s320x320/e35/c181.0.718.718/20838312_269038586916443_466953783633510400_n.jpg</v>
      </c>
      <c r="AE922" s="249" t="str">
        <f>HYPERLINK("https://scontent.cdninstagram.com/t51.2885-19/s150x150/14540651_1242433682444632_2612803514404962304_a.jpg")</f>
        <v>https://scontent.cdninstagram.com/t51.2885-19/s150x150/14540651_1242433682444632_2612803514404962304_a.jpg</v>
      </c>
    </row>
    <row r="923" spans="1:31" ht="15" x14ac:dyDescent="0.25">
      <c r="A923" t="s">
        <v>2474</v>
      </c>
      <c r="B923" t="s">
        <v>7788</v>
      </c>
      <c r="C923" s="221">
        <v>42962.86210648148</v>
      </c>
      <c r="D923" t="s">
        <v>7789</v>
      </c>
      <c r="E923" s="249" t="str">
        <f>HYPERLINK("https://www.instagram.com/p/BX1b2iWAqYL/")</f>
        <v>https://www.instagram.com/p/BX1b2iWAqYL/</v>
      </c>
      <c r="F923" t="s">
        <v>7790</v>
      </c>
      <c r="G923" t="s">
        <v>2478</v>
      </c>
      <c r="H923">
        <v>221</v>
      </c>
      <c r="I923" t="s">
        <v>2479</v>
      </c>
      <c r="J923">
        <v>3</v>
      </c>
      <c r="K923">
        <v>24</v>
      </c>
      <c r="L923">
        <v>27</v>
      </c>
      <c r="Q923">
        <v>0</v>
      </c>
      <c r="R923">
        <v>0</v>
      </c>
      <c r="S923">
        <v>27</v>
      </c>
      <c r="T923" t="s">
        <v>7791</v>
      </c>
      <c r="V923" t="s">
        <v>2154</v>
      </c>
      <c r="W923">
        <v>43.340899999999998</v>
      </c>
      <c r="X923">
        <v>5.3516599999999999</v>
      </c>
      <c r="Y923" t="s">
        <v>3706</v>
      </c>
      <c r="Z923" t="s">
        <v>3204</v>
      </c>
      <c r="AA923" t="s">
        <v>7792</v>
      </c>
      <c r="AB923" t="s">
        <v>3212</v>
      </c>
      <c r="AC923" t="s">
        <v>3196</v>
      </c>
      <c r="AD923" s="249" t="str">
        <f>HYPERLINK("https://scontent.cdninstagram.com/t51.2885-15/s320x320/e35/c0.135.1080.1080/20766752_510715465946694_2090920724008009728_n.jpg")</f>
        <v>https://scontent.cdninstagram.com/t51.2885-15/s320x320/e35/c0.135.1080.1080/20766752_510715465946694_2090920724008009728_n.jpg</v>
      </c>
      <c r="AE923" s="249" t="str">
        <f>HYPERLINK("https://scontent.cdninstagram.com/t51.2885-19/s150x150/20184908_694912104034860_5854792005070094336_a.jpg")</f>
        <v>https://scontent.cdninstagram.com/t51.2885-19/s150x150/20184908_694912104034860_5854792005070094336_a.jpg</v>
      </c>
    </row>
    <row r="924" spans="1:31" ht="15" x14ac:dyDescent="0.25">
      <c r="A924" t="s">
        <v>2474</v>
      </c>
      <c r="B924" t="s">
        <v>7793</v>
      </c>
      <c r="C924" s="221">
        <v>42962.865937499999</v>
      </c>
      <c r="D924" t="s">
        <v>7794</v>
      </c>
      <c r="E924" s="249" t="str">
        <f>HYPERLINK("https://www.instagram.com/p/BX1ce6PlyOq/")</f>
        <v>https://www.instagram.com/p/BX1ce6PlyOq/</v>
      </c>
      <c r="F924" t="s">
        <v>7795</v>
      </c>
      <c r="G924" t="s">
        <v>2478</v>
      </c>
      <c r="H924">
        <v>5707</v>
      </c>
      <c r="I924" t="s">
        <v>2479</v>
      </c>
      <c r="J924">
        <v>2</v>
      </c>
      <c r="K924">
        <v>189</v>
      </c>
      <c r="L924">
        <v>191</v>
      </c>
      <c r="Q924">
        <v>0</v>
      </c>
      <c r="R924">
        <v>0</v>
      </c>
      <c r="S924">
        <v>191</v>
      </c>
      <c r="T924" t="s">
        <v>7796</v>
      </c>
      <c r="V924" t="s">
        <v>2102</v>
      </c>
      <c r="W924">
        <v>-33.894328459755002</v>
      </c>
      <c r="X924">
        <v>151.22415431933001</v>
      </c>
      <c r="Y924" t="s">
        <v>6746</v>
      </c>
      <c r="Z924" t="s">
        <v>3075</v>
      </c>
      <c r="AA924" t="s">
        <v>4620</v>
      </c>
      <c r="AB924" t="s">
        <v>4174</v>
      </c>
      <c r="AC924" t="s">
        <v>2696</v>
      </c>
      <c r="AD924" s="249" t="str">
        <f>HYPERLINK("https://scontent.cdninstagram.com/t51.2885-15/s320x320/e35/20837070_1780135755611985_6767348220461842432_n.jpg")</f>
        <v>https://scontent.cdninstagram.com/t51.2885-15/s320x320/e35/20837070_1780135755611985_6767348220461842432_n.jpg</v>
      </c>
      <c r="AE924" s="249" t="str">
        <f>HYPERLINK("https://scontent.cdninstagram.com/t51.2885-19/s150x150/14295311_507350922808081_1928455761_a.jpg")</f>
        <v>https://scontent.cdninstagram.com/t51.2885-19/s150x150/14295311_507350922808081_1928455761_a.jpg</v>
      </c>
    </row>
    <row r="925" spans="1:31" ht="15" x14ac:dyDescent="0.25">
      <c r="A925" t="s">
        <v>2474</v>
      </c>
      <c r="B925" t="s">
        <v>7797</v>
      </c>
      <c r="C925" s="221">
        <v>42962.868252314816</v>
      </c>
      <c r="D925" t="s">
        <v>7798</v>
      </c>
      <c r="E925" s="249" t="str">
        <f>HYPERLINK("https://www.instagram.com/p/BX1c3YNAFyw/")</f>
        <v>https://www.instagram.com/p/BX1c3YNAFyw/</v>
      </c>
      <c r="F925" t="s">
        <v>7799</v>
      </c>
      <c r="G925" t="s">
        <v>2478</v>
      </c>
      <c r="H925">
        <v>216</v>
      </c>
      <c r="I925" t="s">
        <v>3025</v>
      </c>
      <c r="J925">
        <v>0</v>
      </c>
      <c r="K925">
        <v>3</v>
      </c>
      <c r="L925">
        <v>3</v>
      </c>
      <c r="Q925">
        <v>0</v>
      </c>
      <c r="R925">
        <v>0</v>
      </c>
      <c r="S925">
        <v>3</v>
      </c>
      <c r="Y925" t="s">
        <v>7800</v>
      </c>
      <c r="Z925" t="s">
        <v>2750</v>
      </c>
      <c r="AA925" t="s">
        <v>2497</v>
      </c>
      <c r="AB925" t="s">
        <v>7801</v>
      </c>
      <c r="AC925" t="s">
        <v>4620</v>
      </c>
      <c r="AD925" s="249" t="str">
        <f>HYPERLINK("https://scontent.cdninstagram.com/t51.2885-15/e35/20837809_466234683761382_4217331153624891392_n.jpg")</f>
        <v>https://scontent.cdninstagram.com/t51.2885-15/e35/20837809_466234683761382_4217331153624891392_n.jpg</v>
      </c>
      <c r="AE925" s="249" t="str">
        <f>HYPERLINK("https://scontent.cdninstagram.com/t51.2885-19/s150x150/20688014_1975404996030158_2502825074290065408_a.jpg")</f>
        <v>https://scontent.cdninstagram.com/t51.2885-19/s150x150/20688014_1975404996030158_2502825074290065408_a.jpg</v>
      </c>
    </row>
    <row r="926" spans="1:31" ht="15" x14ac:dyDescent="0.25">
      <c r="A926" t="s">
        <v>2474</v>
      </c>
      <c r="B926" t="s">
        <v>7802</v>
      </c>
      <c r="C926" s="221">
        <v>42962.873483796298</v>
      </c>
      <c r="D926" t="s">
        <v>7803</v>
      </c>
      <c r="E926" s="249" t="str">
        <f>HYPERLINK("https://www.instagram.com/p/BX1dujaBGzm/")</f>
        <v>https://www.instagram.com/p/BX1dujaBGzm/</v>
      </c>
      <c r="F926" t="s">
        <v>7804</v>
      </c>
      <c r="G926" t="s">
        <v>2478</v>
      </c>
      <c r="H926">
        <v>191</v>
      </c>
      <c r="I926" t="s">
        <v>2542</v>
      </c>
      <c r="J926">
        <v>0</v>
      </c>
      <c r="K926">
        <v>19</v>
      </c>
      <c r="L926">
        <v>19</v>
      </c>
      <c r="Q926">
        <v>0</v>
      </c>
      <c r="R926">
        <v>0</v>
      </c>
      <c r="S926">
        <v>19</v>
      </c>
      <c r="T926" t="s">
        <v>7805</v>
      </c>
      <c r="U926" t="s">
        <v>202</v>
      </c>
      <c r="V926" t="s">
        <v>2299</v>
      </c>
      <c r="W926">
        <v>39.86504</v>
      </c>
      <c r="X926">
        <v>-84.11721</v>
      </c>
      <c r="Y926" t="s">
        <v>7806</v>
      </c>
      <c r="Z926" t="s">
        <v>7807</v>
      </c>
      <c r="AA926" t="s">
        <v>7808</v>
      </c>
      <c r="AB926" t="s">
        <v>5147</v>
      </c>
      <c r="AC926" t="s">
        <v>7809</v>
      </c>
      <c r="AD926" s="249" t="str">
        <f>HYPERLINK("https://scontent.cdninstagram.com/t51.2885-15/s320x320/e35/c0.135.1080.1080/20838217_738166302974845_5957729181310648320_n.jpg")</f>
        <v>https://scontent.cdninstagram.com/t51.2885-15/s320x320/e35/c0.135.1080.1080/20838217_738166302974845_5957729181310648320_n.jpg</v>
      </c>
      <c r="AE926" s="249" t="str">
        <f>HYPERLINK("https://scontent.cdninstagram.com/t51.2885-19/s150x150/18879149_1471896259560338_6915572966390497280_a.jpg")</f>
        <v>https://scontent.cdninstagram.com/t51.2885-19/s150x150/18879149_1471896259560338_6915572966390497280_a.jpg</v>
      </c>
    </row>
    <row r="927" spans="1:31" ht="15" x14ac:dyDescent="0.25">
      <c r="A927" t="s">
        <v>2474</v>
      </c>
      <c r="B927" t="s">
        <v>7810</v>
      </c>
      <c r="C927" s="221">
        <v>42962.881215277775</v>
      </c>
      <c r="D927" t="s">
        <v>7811</v>
      </c>
      <c r="E927" s="249" t="str">
        <f>HYPERLINK("https://www.instagram.com/p/BX1fAEwB7Vi/")</f>
        <v>https://www.instagram.com/p/BX1fAEwB7Vi/</v>
      </c>
      <c r="F927" t="s">
        <v>7812</v>
      </c>
      <c r="G927" t="s">
        <v>2478</v>
      </c>
      <c r="H927">
        <v>570</v>
      </c>
      <c r="I927" t="s">
        <v>2479</v>
      </c>
      <c r="J927">
        <v>1</v>
      </c>
      <c r="K927">
        <v>46</v>
      </c>
      <c r="L927">
        <v>47</v>
      </c>
      <c r="Q927">
        <v>0</v>
      </c>
      <c r="R927">
        <v>0</v>
      </c>
      <c r="S927">
        <v>47</v>
      </c>
      <c r="Y927" t="s">
        <v>6393</v>
      </c>
      <c r="Z927" t="s">
        <v>7813</v>
      </c>
      <c r="AA927" t="s">
        <v>7814</v>
      </c>
      <c r="AB927" t="s">
        <v>2551</v>
      </c>
      <c r="AC927" t="s">
        <v>2554</v>
      </c>
      <c r="AD927" s="249" t="str">
        <f>HYPERLINK("https://scontent.cdninstagram.com/t51.2885-15/s320x320/e35/20766407_1537803899573840_6584896493604306944_n.jpg")</f>
        <v>https://scontent.cdninstagram.com/t51.2885-15/s320x320/e35/20766407_1537803899573840_6584896493604306944_n.jpg</v>
      </c>
      <c r="AE927" s="249" t="str">
        <f>HYPERLINK("https://scontent.cdninstagram.com/t51.2885-19/s150x150/20589642_1966086880328103_83817880214306816_a.jpg")</f>
        <v>https://scontent.cdninstagram.com/t51.2885-19/s150x150/20589642_1966086880328103_83817880214306816_a.jpg</v>
      </c>
    </row>
    <row r="928" spans="1:31" ht="15" x14ac:dyDescent="0.25">
      <c r="A928" t="s">
        <v>2474</v>
      </c>
      <c r="B928" t="s">
        <v>7815</v>
      </c>
      <c r="C928" s="221">
        <v>42962.902222222219</v>
      </c>
      <c r="D928" t="s">
        <v>7816</v>
      </c>
      <c r="E928" s="249" t="str">
        <f>HYPERLINK("https://www.instagram.com/p/BX1idkcAjz7/")</f>
        <v>https://www.instagram.com/p/BX1idkcAjz7/</v>
      </c>
      <c r="F928" t="s">
        <v>7817</v>
      </c>
      <c r="G928" t="s">
        <v>2478</v>
      </c>
      <c r="H928">
        <v>93</v>
      </c>
      <c r="I928" t="s">
        <v>2599</v>
      </c>
      <c r="J928">
        <v>1</v>
      </c>
      <c r="K928">
        <v>13</v>
      </c>
      <c r="L928">
        <v>14</v>
      </c>
      <c r="Q928">
        <v>0</v>
      </c>
      <c r="R928">
        <v>0</v>
      </c>
      <c r="S928">
        <v>14</v>
      </c>
      <c r="Y928" t="s">
        <v>7818</v>
      </c>
      <c r="Z928" t="s">
        <v>7819</v>
      </c>
      <c r="AA928" t="s">
        <v>7820</v>
      </c>
      <c r="AB928" t="s">
        <v>3262</v>
      </c>
      <c r="AC928" t="s">
        <v>6360</v>
      </c>
      <c r="AD928" s="249" t="str">
        <f>HYPERLINK("https://scontent.cdninstagram.com/t51.2885-15/s320x320/e35/20901929_477852919263881_3545195306108846080_n.jpg")</f>
        <v>https://scontent.cdninstagram.com/t51.2885-15/s320x320/e35/20901929_477852919263881_3545195306108846080_n.jpg</v>
      </c>
      <c r="AE928" s="249" t="str">
        <f>HYPERLINK("https://scontent.cdninstagram.com/t51.2885-19/s150x150/19533612_703123909885158_3220522037961293824_a.jpg")</f>
        <v>https://scontent.cdninstagram.com/t51.2885-19/s150x150/19533612_703123909885158_3220522037961293824_a.jpg</v>
      </c>
    </row>
    <row r="929" spans="1:31" ht="15" x14ac:dyDescent="0.25">
      <c r="A929" t="s">
        <v>2474</v>
      </c>
      <c r="B929" t="s">
        <v>4616</v>
      </c>
      <c r="C929" s="221">
        <v>42962.909791666665</v>
      </c>
      <c r="D929" t="s">
        <v>7821</v>
      </c>
      <c r="E929" s="249" t="str">
        <f>HYPERLINK("https://www.instagram.com/p/BX1jtgkhuZn/")</f>
        <v>https://www.instagram.com/p/BX1jtgkhuZn/</v>
      </c>
      <c r="F929" t="s">
        <v>7822</v>
      </c>
      <c r="G929" t="s">
        <v>2478</v>
      </c>
      <c r="H929">
        <v>113</v>
      </c>
      <c r="I929" t="s">
        <v>2479</v>
      </c>
      <c r="J929">
        <v>1</v>
      </c>
      <c r="K929">
        <v>55</v>
      </c>
      <c r="L929">
        <v>56</v>
      </c>
      <c r="Q929">
        <v>0</v>
      </c>
      <c r="R929">
        <v>0</v>
      </c>
      <c r="S929">
        <v>56</v>
      </c>
      <c r="T929" t="s">
        <v>7823</v>
      </c>
      <c r="V929" t="s">
        <v>2125</v>
      </c>
      <c r="W929">
        <v>45</v>
      </c>
      <c r="X929">
        <v>-79.3</v>
      </c>
      <c r="Y929" t="s">
        <v>4808</v>
      </c>
      <c r="Z929" t="s">
        <v>6429</v>
      </c>
      <c r="AA929" t="s">
        <v>2575</v>
      </c>
      <c r="AB929" t="s">
        <v>4621</v>
      </c>
      <c r="AC929" t="s">
        <v>4620</v>
      </c>
      <c r="AD929" s="249" t="str">
        <f>HYPERLINK("https://scontent.cdninstagram.com/t51.2885-15/s320x320/e35/c120.0.720.720/20688258_164016557500476_7220557666366521344_n.jpg")</f>
        <v>https://scontent.cdninstagram.com/t51.2885-15/s320x320/e35/c120.0.720.720/20688258_164016557500476_7220557666366521344_n.jpg</v>
      </c>
      <c r="AE929" s="249" t="str">
        <f>HYPERLINK("https://scontent.cdninstagram.com/t51.2885-19/s150x150/17494353_1347957098574282_2527511313651859456_a.jpg")</f>
        <v>https://scontent.cdninstagram.com/t51.2885-19/s150x150/17494353_1347957098574282_2527511313651859456_a.jpg</v>
      </c>
    </row>
    <row r="930" spans="1:31" ht="15" x14ac:dyDescent="0.25">
      <c r="A930" t="s">
        <v>2474</v>
      </c>
      <c r="B930" t="s">
        <v>5699</v>
      </c>
      <c r="C930" s="221">
        <v>42962.913541666669</v>
      </c>
      <c r="D930" t="s">
        <v>7824</v>
      </c>
      <c r="E930" s="249" t="str">
        <f>HYPERLINK("https://www.instagram.com/p/BX1kVEUFzeU/")</f>
        <v>https://www.instagram.com/p/BX1kVEUFzeU/</v>
      </c>
      <c r="F930" t="s">
        <v>7825</v>
      </c>
      <c r="G930" t="s">
        <v>2478</v>
      </c>
      <c r="H930">
        <v>87</v>
      </c>
      <c r="I930" t="s">
        <v>2479</v>
      </c>
      <c r="J930">
        <v>0</v>
      </c>
      <c r="K930">
        <v>17</v>
      </c>
      <c r="L930">
        <v>17</v>
      </c>
      <c r="Q930">
        <v>0</v>
      </c>
      <c r="R930">
        <v>0</v>
      </c>
      <c r="S930">
        <v>17</v>
      </c>
      <c r="Y930" t="s">
        <v>7826</v>
      </c>
      <c r="Z930" t="s">
        <v>5704</v>
      </c>
      <c r="AA930" t="s">
        <v>5702</v>
      </c>
      <c r="AB930" t="s">
        <v>5113</v>
      </c>
      <c r="AC930" t="s">
        <v>5842</v>
      </c>
      <c r="AD930" s="249" t="str">
        <f>HYPERLINK("https://scontent.cdninstagram.com/t51.2885-15/s320x320/e35/20901995_594283510959969_5987374381322469376_n.jpg")</f>
        <v>https://scontent.cdninstagram.com/t51.2885-15/s320x320/e35/20901995_594283510959969_5987374381322469376_n.jpg</v>
      </c>
      <c r="AE930" s="249" t="str">
        <f>HYPERLINK("https://scontent.cdninstagram.com/t51.2885-19/s150x150/18252635_446319085720165_2717160400675143680_a.jpg")</f>
        <v>https://scontent.cdninstagram.com/t51.2885-19/s150x150/18252635_446319085720165_2717160400675143680_a.jpg</v>
      </c>
    </row>
    <row r="931" spans="1:31" ht="15" x14ac:dyDescent="0.25">
      <c r="A931" t="s">
        <v>2474</v>
      </c>
      <c r="B931" t="s">
        <v>7827</v>
      </c>
      <c r="C931" s="221">
        <v>42962.917245370372</v>
      </c>
      <c r="D931" t="s">
        <v>7828</v>
      </c>
      <c r="E931" s="249" t="str">
        <f>HYPERLINK("https://www.instagram.com/p/BX1k8GKAn_X/")</f>
        <v>https://www.instagram.com/p/BX1k8GKAn_X/</v>
      </c>
      <c r="F931" t="s">
        <v>7829</v>
      </c>
      <c r="G931" t="s">
        <v>2478</v>
      </c>
      <c r="H931">
        <v>957</v>
      </c>
      <c r="I931" t="s">
        <v>2896</v>
      </c>
      <c r="J931">
        <v>5</v>
      </c>
      <c r="K931">
        <v>83</v>
      </c>
      <c r="L931">
        <v>88</v>
      </c>
      <c r="Q931">
        <v>0</v>
      </c>
      <c r="R931">
        <v>0</v>
      </c>
      <c r="S931">
        <v>88</v>
      </c>
      <c r="Y931" t="s">
        <v>6982</v>
      </c>
      <c r="Z931" t="s">
        <v>3174</v>
      </c>
      <c r="AA931" t="s">
        <v>7830</v>
      </c>
      <c r="AB931" t="s">
        <v>2497</v>
      </c>
      <c r="AD931" s="249" t="str">
        <f>HYPERLINK("https://scontent.cdninstagram.com/t51.2885-15/s320x320/e35/20838375_272031403280987_7155689813222359040_n.jpg")</f>
        <v>https://scontent.cdninstagram.com/t51.2885-15/s320x320/e35/20838375_272031403280987_7155689813222359040_n.jpg</v>
      </c>
      <c r="AE931" s="249" t="str">
        <f>HYPERLINK("https://scontent.cdninstagram.com/t51.2885-19/s150x150/20394141_1192776144201520_1953881404358000640_a.jpg")</f>
        <v>https://scontent.cdninstagram.com/t51.2885-19/s150x150/20394141_1192776144201520_1953881404358000640_a.jpg</v>
      </c>
    </row>
    <row r="932" spans="1:31" ht="15" x14ac:dyDescent="0.25">
      <c r="A932" t="s">
        <v>2474</v>
      </c>
      <c r="B932" t="s">
        <v>7831</v>
      </c>
      <c r="C932" s="221">
        <v>42962.921574074076</v>
      </c>
      <c r="D932" t="s">
        <v>7832</v>
      </c>
      <c r="E932" s="249" t="str">
        <f>HYPERLINK("https://www.instagram.com/p/BX1lprglAmd/")</f>
        <v>https://www.instagram.com/p/BX1lprglAmd/</v>
      </c>
      <c r="F932" t="s">
        <v>7833</v>
      </c>
      <c r="G932" t="s">
        <v>2478</v>
      </c>
      <c r="H932">
        <v>363</v>
      </c>
      <c r="I932" t="s">
        <v>2542</v>
      </c>
      <c r="J932">
        <v>1</v>
      </c>
      <c r="K932">
        <v>20</v>
      </c>
      <c r="L932">
        <v>21</v>
      </c>
      <c r="Q932">
        <v>0</v>
      </c>
      <c r="R932">
        <v>0</v>
      </c>
      <c r="S932">
        <v>21</v>
      </c>
      <c r="Y932" t="s">
        <v>3262</v>
      </c>
      <c r="Z932" t="s">
        <v>7834</v>
      </c>
      <c r="AA932" t="s">
        <v>7835</v>
      </c>
      <c r="AB932" t="s">
        <v>7836</v>
      </c>
      <c r="AC932" t="s">
        <v>2497</v>
      </c>
      <c r="AD932" s="249" t="str">
        <f>HYPERLINK("https://scontent.cdninstagram.com/t51.2885-15/s320x320/e35/20905391_475079262854384_2207998444415483904_n.jpg")</f>
        <v>https://scontent.cdninstagram.com/t51.2885-15/s320x320/e35/20905391_475079262854384_2207998444415483904_n.jpg</v>
      </c>
      <c r="AE932" s="249" t="str">
        <f>HYPERLINK("https://scontent.cdninstagram.com/t51.2885-19/11821096_1442075209456402_1905397149_a.jpg")</f>
        <v>https://scontent.cdninstagram.com/t51.2885-19/11821096_1442075209456402_1905397149_a.jpg</v>
      </c>
    </row>
    <row r="933" spans="1:31" ht="15" x14ac:dyDescent="0.25">
      <c r="A933" t="s">
        <v>2474</v>
      </c>
      <c r="B933" t="s">
        <v>7837</v>
      </c>
      <c r="C933" s="221">
        <v>42962.926215277781</v>
      </c>
      <c r="D933" t="s">
        <v>7838</v>
      </c>
      <c r="E933" s="249" t="str">
        <f>HYPERLINK("https://www.instagram.com/p/BX1map-jED9/")</f>
        <v>https://www.instagram.com/p/BX1map-jED9/</v>
      </c>
      <c r="F933" t="s">
        <v>7839</v>
      </c>
      <c r="G933" t="s">
        <v>2478</v>
      </c>
      <c r="H933">
        <v>62</v>
      </c>
      <c r="I933" t="s">
        <v>2599</v>
      </c>
      <c r="J933">
        <v>0</v>
      </c>
      <c r="K933">
        <v>23</v>
      </c>
      <c r="L933">
        <v>23</v>
      </c>
      <c r="Q933">
        <v>0</v>
      </c>
      <c r="R933">
        <v>0</v>
      </c>
      <c r="S933">
        <v>23</v>
      </c>
      <c r="Y933" t="s">
        <v>7840</v>
      </c>
      <c r="Z933" t="s">
        <v>7841</v>
      </c>
      <c r="AA933" t="s">
        <v>7842</v>
      </c>
      <c r="AB933" t="s">
        <v>7843</v>
      </c>
      <c r="AC933" t="s">
        <v>7329</v>
      </c>
      <c r="AD933" s="249" t="str">
        <f>HYPERLINK("https://scontent.cdninstagram.com/t51.2885-15/s320x320/e35/c135.0.809.809/20902120_260316504474777_4044161581238452224_n.jpg")</f>
        <v>https://scontent.cdninstagram.com/t51.2885-15/s320x320/e35/c135.0.809.809/20902120_260316504474777_4044161581238452224_n.jpg</v>
      </c>
      <c r="AE933" s="249" t="str">
        <f>HYPERLINK("https://scontent.cdninstagram.com/t51.2885-19/s150x150/19425085_475580442807128_6236305183945523200_a.jpg")</f>
        <v>https://scontent.cdninstagram.com/t51.2885-19/s150x150/19425085_475580442807128_6236305183945523200_a.jpg</v>
      </c>
    </row>
    <row r="934" spans="1:31" ht="15" x14ac:dyDescent="0.25">
      <c r="A934" t="s">
        <v>2474</v>
      </c>
      <c r="B934" t="s">
        <v>7844</v>
      </c>
      <c r="C934" s="221">
        <v>42962.934594907405</v>
      </c>
      <c r="D934" t="s">
        <v>7845</v>
      </c>
      <c r="E934" s="249" t="str">
        <f>HYPERLINK("https://www.instagram.com/p/BX1nzGOhDwK/")</f>
        <v>https://www.instagram.com/p/BX1nzGOhDwK/</v>
      </c>
      <c r="F934" t="s">
        <v>7846</v>
      </c>
      <c r="G934" t="s">
        <v>2631</v>
      </c>
      <c r="H934">
        <v>418</v>
      </c>
      <c r="I934" t="s">
        <v>2479</v>
      </c>
      <c r="J934">
        <v>1</v>
      </c>
      <c r="K934">
        <v>70</v>
      </c>
      <c r="L934">
        <v>71</v>
      </c>
      <c r="Q934">
        <v>0</v>
      </c>
      <c r="R934">
        <v>0</v>
      </c>
      <c r="S934">
        <v>71</v>
      </c>
      <c r="Y934" t="s">
        <v>7847</v>
      </c>
      <c r="Z934" t="s">
        <v>2826</v>
      </c>
      <c r="AA934" t="s">
        <v>7848</v>
      </c>
      <c r="AB934" t="s">
        <v>7849</v>
      </c>
      <c r="AC934" t="s">
        <v>4620</v>
      </c>
      <c r="AD934" s="249" t="str">
        <f>HYPERLINK("https://scontent.cdninstagram.com/t51.2885-15/s320x320/e15/c236.0.607.607/20766545_1273260829467291_3462179489562230784_n.jpg")</f>
        <v>https://scontent.cdninstagram.com/t51.2885-15/s320x320/e15/c236.0.607.607/20766545_1273260829467291_3462179489562230784_n.jpg</v>
      </c>
      <c r="AE934" s="249" t="str">
        <f>HYPERLINK("https://scontent.cdninstagram.com/t51.2885-19/s150x150/14659433_124185214720398_460441517996113920_a.jpg")</f>
        <v>https://scontent.cdninstagram.com/t51.2885-19/s150x150/14659433_124185214720398_460441517996113920_a.jpg</v>
      </c>
    </row>
    <row r="935" spans="1:31" ht="15" x14ac:dyDescent="0.25">
      <c r="A935" t="s">
        <v>2474</v>
      </c>
      <c r="B935" t="s">
        <v>7850</v>
      </c>
      <c r="C935" s="221">
        <v>42962.937002314815</v>
      </c>
      <c r="D935" t="s">
        <v>7851</v>
      </c>
      <c r="E935" s="249" t="str">
        <f>HYPERLINK("https://www.instagram.com/p/BX1oMdHFdSK/")</f>
        <v>https://www.instagram.com/p/BX1oMdHFdSK/</v>
      </c>
      <c r="F935" t="s">
        <v>7852</v>
      </c>
      <c r="G935" t="s">
        <v>2478</v>
      </c>
      <c r="H935">
        <v>81</v>
      </c>
      <c r="I935" t="s">
        <v>2479</v>
      </c>
      <c r="J935">
        <v>0</v>
      </c>
      <c r="K935">
        <v>5</v>
      </c>
      <c r="L935">
        <v>5</v>
      </c>
      <c r="Q935">
        <v>0</v>
      </c>
      <c r="R935">
        <v>0</v>
      </c>
      <c r="S935">
        <v>5</v>
      </c>
      <c r="Y935" t="s">
        <v>7853</v>
      </c>
      <c r="Z935" t="s">
        <v>7854</v>
      </c>
      <c r="AA935" t="s">
        <v>7855</v>
      </c>
      <c r="AB935" t="s">
        <v>2497</v>
      </c>
      <c r="AD935" s="249" t="str">
        <f>HYPERLINK("https://scontent.cdninstagram.com/t51.2885-15/s320x320/e35/20837520_111845289515509_6639860942437875712_n.jpg")</f>
        <v>https://scontent.cdninstagram.com/t51.2885-15/s320x320/e35/20837520_111845289515509_6639860942437875712_n.jpg</v>
      </c>
      <c r="AE935" s="249" t="str">
        <f>HYPERLINK("https://scontent.cdninstagram.com/t51.2885-19/s150x150/20635283_352535161842085_3147742146388295680_a.jpg")</f>
        <v>https://scontent.cdninstagram.com/t51.2885-19/s150x150/20635283_352535161842085_3147742146388295680_a.jpg</v>
      </c>
    </row>
    <row r="936" spans="1:31" ht="15" x14ac:dyDescent="0.25">
      <c r="A936" t="s">
        <v>2474</v>
      </c>
      <c r="B936" t="s">
        <v>7856</v>
      </c>
      <c r="C936" s="221">
        <v>42962.955034722225</v>
      </c>
      <c r="D936" t="s">
        <v>7857</v>
      </c>
      <c r="E936" s="249" t="str">
        <f>HYPERLINK("https://www.instagram.com/p/BX1rKlaFkSj/")</f>
        <v>https://www.instagram.com/p/BX1rKlaFkSj/</v>
      </c>
      <c r="F936" t="s">
        <v>7858</v>
      </c>
      <c r="G936" t="s">
        <v>2478</v>
      </c>
      <c r="H936">
        <v>78</v>
      </c>
      <c r="I936" t="s">
        <v>2479</v>
      </c>
      <c r="J936">
        <v>1</v>
      </c>
      <c r="K936">
        <v>15</v>
      </c>
      <c r="L936">
        <v>16</v>
      </c>
      <c r="Q936">
        <v>0</v>
      </c>
      <c r="R936">
        <v>0</v>
      </c>
      <c r="S936">
        <v>16</v>
      </c>
      <c r="Y936" t="s">
        <v>7859</v>
      </c>
      <c r="Z936" t="s">
        <v>7218</v>
      </c>
      <c r="AA936" t="s">
        <v>7860</v>
      </c>
      <c r="AB936" t="s">
        <v>7861</v>
      </c>
      <c r="AC936" t="s">
        <v>7862</v>
      </c>
      <c r="AD936" s="249" t="str">
        <f>HYPERLINK("https://scontent.cdninstagram.com/t51.2885-15/s320x320/e35/20905340_1809258259092025_2601289853840654336_n.jpg")</f>
        <v>https://scontent.cdninstagram.com/t51.2885-15/s320x320/e35/20905340_1809258259092025_2601289853840654336_n.jpg</v>
      </c>
      <c r="AE936" s="249" t="str">
        <f>HYPERLINK("https://scontent.cdninstagram.com/t51.2885-19/s150x150/19051726_1983090741977722_4586349761535148032_a.jpg")</f>
        <v>https://scontent.cdninstagram.com/t51.2885-19/s150x150/19051726_1983090741977722_4586349761535148032_a.jpg</v>
      </c>
    </row>
    <row r="937" spans="1:31" ht="15" x14ac:dyDescent="0.25">
      <c r="A937" t="s">
        <v>2474</v>
      </c>
      <c r="B937" t="s">
        <v>7863</v>
      </c>
      <c r="C937" s="221">
        <v>42962.961006944446</v>
      </c>
      <c r="D937" t="s">
        <v>7864</v>
      </c>
      <c r="E937" s="249" t="str">
        <f>HYPERLINK("https://www.instagram.com/p/BX1sJouhPw7/")</f>
        <v>https://www.instagram.com/p/BX1sJouhPw7/</v>
      </c>
      <c r="F937" t="s">
        <v>7865</v>
      </c>
      <c r="G937" t="s">
        <v>2478</v>
      </c>
      <c r="H937">
        <v>2177</v>
      </c>
      <c r="I937" t="s">
        <v>2479</v>
      </c>
      <c r="J937">
        <v>0</v>
      </c>
      <c r="K937">
        <v>56</v>
      </c>
      <c r="L937">
        <v>56</v>
      </c>
      <c r="Q937">
        <v>0</v>
      </c>
      <c r="R937">
        <v>0</v>
      </c>
      <c r="S937">
        <v>56</v>
      </c>
      <c r="Y937" t="s">
        <v>7866</v>
      </c>
      <c r="Z937" t="s">
        <v>7867</v>
      </c>
      <c r="AA937" t="s">
        <v>7868</v>
      </c>
      <c r="AB937" t="s">
        <v>7869</v>
      </c>
      <c r="AC937" t="s">
        <v>2497</v>
      </c>
      <c r="AD937" s="249" t="str">
        <f>HYPERLINK("https://scontent.cdninstagram.com/t51.2885-15/s320x320/e35/c0.112.900.900/20837024_1992489927689968_2602292462416297984_n.jpg")</f>
        <v>https://scontent.cdninstagram.com/t51.2885-15/s320x320/e35/c0.112.900.900/20837024_1992489927689968_2602292462416297984_n.jpg</v>
      </c>
      <c r="AE937" s="249" t="str">
        <f>HYPERLINK("https://scontent.cdninstagram.com/t51.2885-19/s150x150/13388534_497181780466936_384659401_a.jpg")</f>
        <v>https://scontent.cdninstagram.com/t51.2885-19/s150x150/13388534_497181780466936_384659401_a.jpg</v>
      </c>
    </row>
    <row r="938" spans="1:31" ht="15" x14ac:dyDescent="0.25">
      <c r="A938" t="s">
        <v>2474</v>
      </c>
      <c r="B938" t="s">
        <v>7870</v>
      </c>
      <c r="C938" s="221">
        <v>42962.961527777778</v>
      </c>
      <c r="D938" t="s">
        <v>7871</v>
      </c>
      <c r="E938" s="249" t="str">
        <f>HYPERLINK("https://www.instagram.com/p/BX1sPEShdOx/")</f>
        <v>https://www.instagram.com/p/BX1sPEShdOx/</v>
      </c>
      <c r="F938" t="s">
        <v>7872</v>
      </c>
      <c r="G938" t="s">
        <v>2478</v>
      </c>
      <c r="H938">
        <v>336</v>
      </c>
      <c r="I938" t="s">
        <v>2599</v>
      </c>
      <c r="J938">
        <v>2</v>
      </c>
      <c r="K938">
        <v>43</v>
      </c>
      <c r="L938">
        <v>45</v>
      </c>
      <c r="Q938">
        <v>0</v>
      </c>
      <c r="R938">
        <v>0</v>
      </c>
      <c r="S938">
        <v>45</v>
      </c>
      <c r="Y938" t="s">
        <v>7873</v>
      </c>
      <c r="Z938" t="s">
        <v>2778</v>
      </c>
      <c r="AA938" t="s">
        <v>7874</v>
      </c>
      <c r="AB938" t="s">
        <v>7875</v>
      </c>
      <c r="AC938" t="s">
        <v>2696</v>
      </c>
      <c r="AD938" s="249" t="str">
        <f>HYPERLINK("https://scontent.cdninstagram.com/t51.2885-15/s320x320/e35/20836931_334993253620954_2898850337773322240_n.jpg")</f>
        <v>https://scontent.cdninstagram.com/t51.2885-15/s320x320/e35/20836931_334993253620954_2898850337773322240_n.jpg</v>
      </c>
      <c r="AE938" s="249" t="str">
        <f>HYPERLINK("https://scontent.cdninstagram.com/t51.2885-19/s150x150/20478715_106197696740251_1615069537663713280_a.jpg")</f>
        <v>https://scontent.cdninstagram.com/t51.2885-19/s150x150/20478715_106197696740251_1615069537663713280_a.jpg</v>
      </c>
    </row>
    <row r="939" spans="1:31" ht="15" x14ac:dyDescent="0.25">
      <c r="A939" t="s">
        <v>2474</v>
      </c>
      <c r="B939" t="s">
        <v>2507</v>
      </c>
      <c r="C939" s="221">
        <v>42962.963078703702</v>
      </c>
      <c r="D939" t="s">
        <v>7876</v>
      </c>
      <c r="E939" s="249" t="str">
        <f>HYPERLINK("https://www.instagram.com/p/BX1sfg3B3jV/")</f>
        <v>https://www.instagram.com/p/BX1sfg3B3jV/</v>
      </c>
      <c r="F939" t="s">
        <v>7877</v>
      </c>
      <c r="G939" t="s">
        <v>2478</v>
      </c>
      <c r="H939">
        <v>252</v>
      </c>
      <c r="I939" t="s">
        <v>2479</v>
      </c>
      <c r="J939">
        <v>0</v>
      </c>
      <c r="K939">
        <v>57</v>
      </c>
      <c r="L939">
        <v>57</v>
      </c>
      <c r="Q939">
        <v>0</v>
      </c>
      <c r="R939">
        <v>0</v>
      </c>
      <c r="S939">
        <v>57</v>
      </c>
      <c r="Y939" t="s">
        <v>5822</v>
      </c>
      <c r="Z939" t="s">
        <v>6746</v>
      </c>
      <c r="AA939" t="s">
        <v>2514</v>
      </c>
      <c r="AB939" t="s">
        <v>5823</v>
      </c>
      <c r="AC939" t="s">
        <v>2515</v>
      </c>
      <c r="AD939" s="249" t="str">
        <f>HYPERLINK("https://scontent.cdninstagram.com/t51.2885-15/s320x320/e35/20902776_530594223948066_76036202632839168_n.jpg")</f>
        <v>https://scontent.cdninstagram.com/t51.2885-15/s320x320/e35/20902776_530594223948066_76036202632839168_n.jpg</v>
      </c>
      <c r="AE939" s="249" t="str">
        <f>HYPERLINK("https://scontent.cdninstagram.com/t51.2885-19/s150x150/20688656_891409331008012_775389051745206272_a.jpg")</f>
        <v>https://scontent.cdninstagram.com/t51.2885-19/s150x150/20688656_891409331008012_775389051745206272_a.jpg</v>
      </c>
    </row>
    <row r="940" spans="1:31" ht="15" x14ac:dyDescent="0.25">
      <c r="A940" t="s">
        <v>2474</v>
      </c>
      <c r="B940" t="s">
        <v>3471</v>
      </c>
      <c r="C940" s="221">
        <v>42962.971932870372</v>
      </c>
      <c r="D940" t="s">
        <v>7878</v>
      </c>
      <c r="E940" s="249" t="str">
        <f>HYPERLINK("https://www.instagram.com/p/BX1t81IDbMD/")</f>
        <v>https://www.instagram.com/p/BX1t81IDbMD/</v>
      </c>
      <c r="F940" t="s">
        <v>7879</v>
      </c>
      <c r="G940" t="s">
        <v>2478</v>
      </c>
      <c r="H940">
        <v>181</v>
      </c>
      <c r="I940" t="s">
        <v>2542</v>
      </c>
      <c r="J940">
        <v>3</v>
      </c>
      <c r="K940">
        <v>26</v>
      </c>
      <c r="L940">
        <v>29</v>
      </c>
      <c r="Q940">
        <v>0</v>
      </c>
      <c r="R940">
        <v>0</v>
      </c>
      <c r="S940">
        <v>29</v>
      </c>
      <c r="T940" t="s">
        <v>3474</v>
      </c>
      <c r="V940" t="s">
        <v>2258</v>
      </c>
      <c r="W940">
        <v>1.2930600000000001</v>
      </c>
      <c r="X940">
        <v>103.85599999999999</v>
      </c>
      <c r="Y940" t="s">
        <v>5704</v>
      </c>
      <c r="Z940" t="s">
        <v>5702</v>
      </c>
      <c r="AA940" t="s">
        <v>5113</v>
      </c>
      <c r="AB940" t="s">
        <v>3475</v>
      </c>
      <c r="AC940" t="s">
        <v>5842</v>
      </c>
      <c r="AD940" s="249" t="str">
        <f>HYPERLINK("https://scontent.cdninstagram.com/t51.2885-15/s320x320/e35/20837727_116774222314975_1056716260106043392_n.jpg")</f>
        <v>https://scontent.cdninstagram.com/t51.2885-15/s320x320/e35/20837727_116774222314975_1056716260106043392_n.jpg</v>
      </c>
      <c r="AE940" s="249" t="str">
        <f>HYPERLINK("https://scontent.cdninstagram.com/t51.2885-19/s150x150/19986209_741127056067001_1270489010199855104_a.jpg")</f>
        <v>https://scontent.cdninstagram.com/t51.2885-19/s150x150/19986209_741127056067001_1270489010199855104_a.jpg</v>
      </c>
    </row>
    <row r="941" spans="1:31" ht="15" x14ac:dyDescent="0.25">
      <c r="A941" t="s">
        <v>2474</v>
      </c>
      <c r="B941" t="s">
        <v>7880</v>
      </c>
      <c r="C941" s="221">
        <v>42962.972395833334</v>
      </c>
      <c r="D941" t="s">
        <v>7881</v>
      </c>
      <c r="E941" s="249" t="str">
        <f>HYPERLINK("https://www.instagram.com/p/BX1uBuwFrrF/")</f>
        <v>https://www.instagram.com/p/BX1uBuwFrrF/</v>
      </c>
      <c r="F941" t="s">
        <v>7882</v>
      </c>
      <c r="G941" t="s">
        <v>2488</v>
      </c>
      <c r="H941">
        <v>417</v>
      </c>
      <c r="I941" t="s">
        <v>2479</v>
      </c>
      <c r="J941">
        <v>2</v>
      </c>
      <c r="K941">
        <v>59</v>
      </c>
      <c r="L941">
        <v>61</v>
      </c>
      <c r="Q941">
        <v>0</v>
      </c>
      <c r="R941">
        <v>0</v>
      </c>
      <c r="S941">
        <v>61</v>
      </c>
      <c r="Y941" t="s">
        <v>7883</v>
      </c>
      <c r="Z941" t="s">
        <v>3522</v>
      </c>
      <c r="AA941" t="s">
        <v>2491</v>
      </c>
      <c r="AB941" t="s">
        <v>7589</v>
      </c>
      <c r="AC941" t="s">
        <v>7884</v>
      </c>
      <c r="AD941" s="249" t="str">
        <f>HYPERLINK("https://scontent.cdninstagram.com/t51.2885-15/s320x320/e35/20838277_111232052917854_284823629567361024_n.jpg")</f>
        <v>https://scontent.cdninstagram.com/t51.2885-15/s320x320/e35/20838277_111232052917854_284823629567361024_n.jpg</v>
      </c>
      <c r="AE941" s="249" t="str">
        <f>HYPERLINK("https://scontent.cdninstagram.com/t51.2885-19/11313784_721164141323705_896225730_a.jpg")</f>
        <v>https://scontent.cdninstagram.com/t51.2885-19/11313784_721164141323705_896225730_a.jpg</v>
      </c>
    </row>
    <row r="942" spans="1:31" ht="15" x14ac:dyDescent="0.25">
      <c r="A942" t="s">
        <v>2474</v>
      </c>
      <c r="B942" t="s">
        <v>7885</v>
      </c>
      <c r="C942" s="221">
        <v>42962.984768518516</v>
      </c>
      <c r="D942" t="s">
        <v>7886</v>
      </c>
      <c r="E942" s="249" t="str">
        <f>HYPERLINK("https://www.instagram.com/p/BX1wEMxFhwn/")</f>
        <v>https://www.instagram.com/p/BX1wEMxFhwn/</v>
      </c>
      <c r="F942" t="s">
        <v>7887</v>
      </c>
      <c r="G942" t="s">
        <v>2478</v>
      </c>
      <c r="H942">
        <v>140</v>
      </c>
      <c r="I942" t="s">
        <v>2519</v>
      </c>
      <c r="J942">
        <v>0</v>
      </c>
      <c r="K942">
        <v>12</v>
      </c>
      <c r="L942">
        <v>12</v>
      </c>
      <c r="Q942">
        <v>0</v>
      </c>
      <c r="R942">
        <v>0</v>
      </c>
      <c r="S942">
        <v>12</v>
      </c>
      <c r="Y942" t="s">
        <v>5168</v>
      </c>
      <c r="Z942" t="s">
        <v>7888</v>
      </c>
      <c r="AA942" t="s">
        <v>7889</v>
      </c>
      <c r="AB942" t="s">
        <v>7890</v>
      </c>
      <c r="AC942" t="s">
        <v>2497</v>
      </c>
      <c r="AD942" s="249" t="str">
        <f>HYPERLINK("https://scontent.cdninstagram.com/t51.2885-15/s320x320/e35/20838155_471405886559572_1040994068462567424_n.jpg")</f>
        <v>https://scontent.cdninstagram.com/t51.2885-15/s320x320/e35/20838155_471405886559572_1040994068462567424_n.jpg</v>
      </c>
      <c r="AE942" s="249" t="str">
        <f>HYPERLINK("https://scontent.cdninstagram.com/t51.2885-19/s150x150/20837836_468314060203682_9047525119294963712_a.jpg")</f>
        <v>https://scontent.cdninstagram.com/t51.2885-19/s150x150/20837836_468314060203682_9047525119294963712_a.jpg</v>
      </c>
    </row>
    <row r="943" spans="1:31" ht="15" x14ac:dyDescent="0.25">
      <c r="A943" t="s">
        <v>2474</v>
      </c>
      <c r="B943" t="s">
        <v>4704</v>
      </c>
      <c r="C943" s="221">
        <v>42962.990810185183</v>
      </c>
      <c r="D943" t="s">
        <v>7891</v>
      </c>
      <c r="E943" s="249" t="str">
        <f>HYPERLINK("https://www.instagram.com/p/BX1xD90AgEY/")</f>
        <v>https://www.instagram.com/p/BX1xD90AgEY/</v>
      </c>
      <c r="F943" t="s">
        <v>7892</v>
      </c>
      <c r="G943" t="s">
        <v>2478</v>
      </c>
      <c r="H943">
        <v>474</v>
      </c>
      <c r="I943" t="s">
        <v>2748</v>
      </c>
      <c r="J943">
        <v>0</v>
      </c>
      <c r="K943">
        <v>29</v>
      </c>
      <c r="L943">
        <v>29</v>
      </c>
      <c r="Q943">
        <v>0</v>
      </c>
      <c r="R943">
        <v>0</v>
      </c>
      <c r="S943">
        <v>29</v>
      </c>
      <c r="T943" t="s">
        <v>7893</v>
      </c>
      <c r="V943" t="s">
        <v>2132</v>
      </c>
      <c r="W943">
        <v>1.7575368113083001</v>
      </c>
      <c r="X943">
        <v>-69.9609375</v>
      </c>
      <c r="Y943" t="s">
        <v>4707</v>
      </c>
      <c r="Z943" t="s">
        <v>4271</v>
      </c>
      <c r="AA943" t="s">
        <v>7894</v>
      </c>
      <c r="AB943" t="s">
        <v>3628</v>
      </c>
      <c r="AC943" t="s">
        <v>7895</v>
      </c>
      <c r="AD943" s="249" t="str">
        <f>HYPERLINK("https://scontent.cdninstagram.com/t51.2885-15/s320x320/e35/c0.135.1080.1080/20837041_319130545157089_2932379407991439360_n.jpg")</f>
        <v>https://scontent.cdninstagram.com/t51.2885-15/s320x320/e35/c0.135.1080.1080/20837041_319130545157089_2932379407991439360_n.jpg</v>
      </c>
      <c r="AE943" s="249" t="str">
        <f>HYPERLINK("https://scontent.cdninstagram.com/t51.2885-19/s150x150/19429159_143563596213697_7002228651756355584_a.jpg")</f>
        <v>https://scontent.cdninstagram.com/t51.2885-19/s150x150/19429159_143563596213697_7002228651756355584_a.jpg</v>
      </c>
    </row>
    <row r="944" spans="1:31" ht="15" x14ac:dyDescent="0.25">
      <c r="A944" t="s">
        <v>2474</v>
      </c>
      <c r="B944" t="s">
        <v>7152</v>
      </c>
      <c r="C944" s="221">
        <v>42962.996215277781</v>
      </c>
      <c r="D944" t="s">
        <v>7896</v>
      </c>
      <c r="E944" s="249" t="str">
        <f>HYPERLINK("https://www.instagram.com/p/BX1x86ajIOW/")</f>
        <v>https://www.instagram.com/p/BX1x86ajIOW/</v>
      </c>
      <c r="F944" t="s">
        <v>7897</v>
      </c>
      <c r="G944" t="s">
        <v>2478</v>
      </c>
      <c r="H944">
        <v>100</v>
      </c>
      <c r="I944" t="s">
        <v>2542</v>
      </c>
      <c r="J944">
        <v>2</v>
      </c>
      <c r="K944">
        <v>27</v>
      </c>
      <c r="L944">
        <v>29</v>
      </c>
      <c r="Q944">
        <v>0</v>
      </c>
      <c r="R944">
        <v>0</v>
      </c>
      <c r="S944">
        <v>29</v>
      </c>
      <c r="Y944" t="s">
        <v>2660</v>
      </c>
      <c r="Z944" t="s">
        <v>7898</v>
      </c>
      <c r="AA944" t="s">
        <v>7899</v>
      </c>
      <c r="AB944" t="s">
        <v>7900</v>
      </c>
      <c r="AC944" t="s">
        <v>7901</v>
      </c>
      <c r="AD944" s="249" t="str">
        <f>HYPERLINK("https://scontent.cdninstagram.com/t51.2885-15/s320x320/e35/20838241_112327046103085_3488230450487361536_n.jpg")</f>
        <v>https://scontent.cdninstagram.com/t51.2885-15/s320x320/e35/20838241_112327046103085_3488230450487361536_n.jpg</v>
      </c>
      <c r="AE944" s="249" t="str">
        <f>HYPERLINK("https://scontent.cdninstagram.com/t51.2885-19/s150x150/20181062_1791856511105718_4709893984703479808_a.jpg")</f>
        <v>https://scontent.cdninstagram.com/t51.2885-19/s150x150/20181062_1791856511105718_4709893984703479808_a.jpg</v>
      </c>
    </row>
    <row r="945" spans="1:31" ht="15" x14ac:dyDescent="0.25">
      <c r="A945" t="s">
        <v>2474</v>
      </c>
      <c r="B945" t="s">
        <v>7902</v>
      </c>
      <c r="C945" s="221">
        <v>42962.998344907406</v>
      </c>
      <c r="D945" t="s">
        <v>7903</v>
      </c>
      <c r="E945" s="249" t="str">
        <f>HYPERLINK("https://www.instagram.com/p/BX1yTdRj_qY/")</f>
        <v>https://www.instagram.com/p/BX1yTdRj_qY/</v>
      </c>
      <c r="F945" t="s">
        <v>7904</v>
      </c>
      <c r="G945" t="s">
        <v>2478</v>
      </c>
      <c r="H945">
        <v>1241</v>
      </c>
      <c r="I945" t="s">
        <v>2479</v>
      </c>
      <c r="J945">
        <v>5</v>
      </c>
      <c r="K945">
        <v>313</v>
      </c>
      <c r="L945">
        <v>318</v>
      </c>
      <c r="Q945">
        <v>0</v>
      </c>
      <c r="R945">
        <v>0</v>
      </c>
      <c r="S945">
        <v>318</v>
      </c>
      <c r="Y945" t="s">
        <v>7905</v>
      </c>
      <c r="Z945" t="s">
        <v>7906</v>
      </c>
      <c r="AA945" t="s">
        <v>6509</v>
      </c>
      <c r="AB945" t="s">
        <v>7907</v>
      </c>
      <c r="AC945" t="s">
        <v>7908</v>
      </c>
      <c r="AD945" s="249" t="str">
        <f>HYPERLINK("https://scontent.cdninstagram.com/t51.2885-15/s320x320/e35/20836892_163535827539269_4147802139978104832_n.jpg")</f>
        <v>https://scontent.cdninstagram.com/t51.2885-15/s320x320/e35/20836892_163535827539269_4147802139978104832_n.jpg</v>
      </c>
      <c r="AE945" s="249" t="str">
        <f>HYPERLINK("https://scontent.cdninstagram.com/t51.2885-19/s150x150/16465318_381479388891180_2081010911606210560_a.jpg")</f>
        <v>https://scontent.cdninstagram.com/t51.2885-19/s150x150/16465318_381479388891180_2081010911606210560_a.jpg</v>
      </c>
    </row>
    <row r="946" spans="1:31" ht="15" x14ac:dyDescent="0.25">
      <c r="A946" t="s">
        <v>2474</v>
      </c>
      <c r="B946" t="s">
        <v>7909</v>
      </c>
      <c r="C946" s="221">
        <v>42963.016400462962</v>
      </c>
      <c r="D946" t="s">
        <v>7910</v>
      </c>
      <c r="E946" s="249" t="str">
        <f>HYPERLINK("https://www.instagram.com/p/BX11R08lgtJ/")</f>
        <v>https://www.instagram.com/p/BX11R08lgtJ/</v>
      </c>
      <c r="F946" t="s">
        <v>7911</v>
      </c>
      <c r="G946" t="s">
        <v>2631</v>
      </c>
      <c r="H946">
        <v>363</v>
      </c>
      <c r="I946" t="s">
        <v>2510</v>
      </c>
      <c r="J946">
        <v>1</v>
      </c>
      <c r="K946">
        <v>36</v>
      </c>
      <c r="L946">
        <v>37</v>
      </c>
      <c r="Q946">
        <v>0</v>
      </c>
      <c r="R946">
        <v>0</v>
      </c>
      <c r="S946">
        <v>37</v>
      </c>
      <c r="T946" t="s">
        <v>7912</v>
      </c>
      <c r="U946" t="s">
        <v>262</v>
      </c>
      <c r="V946" t="s">
        <v>2299</v>
      </c>
      <c r="W946">
        <v>34.735999999999997</v>
      </c>
      <c r="X946">
        <v>-92.331100000000006</v>
      </c>
      <c r="Y946" t="s">
        <v>7913</v>
      </c>
      <c r="Z946" t="s">
        <v>7914</v>
      </c>
      <c r="AA946" t="s">
        <v>7915</v>
      </c>
      <c r="AB946" t="s">
        <v>7916</v>
      </c>
      <c r="AC946" t="s">
        <v>7917</v>
      </c>
      <c r="AD946" s="249" t="str">
        <f>HYPERLINK("https://scontent.cdninstagram.com/t51.2885-15/s320x320/e15/20766586_1430130087083436_7259734627168813056_n.jpg")</f>
        <v>https://scontent.cdninstagram.com/t51.2885-15/s320x320/e15/20766586_1430130087083436_7259734627168813056_n.jpg</v>
      </c>
      <c r="AE946" s="249" t="str">
        <f>HYPERLINK("https://scontent.cdninstagram.com/t51.2885-19/s150x150/16228982_240680769723389_8083169811607060480_a.jpg")</f>
        <v>https://scontent.cdninstagram.com/t51.2885-19/s150x150/16228982_240680769723389_8083169811607060480_a.jpg</v>
      </c>
    </row>
    <row r="947" spans="1:31" ht="15" x14ac:dyDescent="0.25">
      <c r="A947" t="s">
        <v>2474</v>
      </c>
      <c r="B947" t="s">
        <v>7918</v>
      </c>
      <c r="C947" s="221">
        <v>42963.033738425926</v>
      </c>
      <c r="D947" t="s">
        <v>7919</v>
      </c>
      <c r="E947" s="249" t="str">
        <f>HYPERLINK("https://www.instagram.com/p/BX14Is_hePS/")</f>
        <v>https://www.instagram.com/p/BX14Is_hePS/</v>
      </c>
      <c r="F947" t="s">
        <v>7920</v>
      </c>
      <c r="G947" t="s">
        <v>2478</v>
      </c>
      <c r="H947">
        <v>336</v>
      </c>
      <c r="I947" t="s">
        <v>2479</v>
      </c>
      <c r="J947">
        <v>0</v>
      </c>
      <c r="K947">
        <v>13</v>
      </c>
      <c r="L947">
        <v>13</v>
      </c>
      <c r="Q947">
        <v>0</v>
      </c>
      <c r="R947">
        <v>0</v>
      </c>
      <c r="S947">
        <v>13</v>
      </c>
      <c r="Y947" t="s">
        <v>7921</v>
      </c>
      <c r="Z947" t="s">
        <v>6846</v>
      </c>
      <c r="AA947" t="s">
        <v>7922</v>
      </c>
      <c r="AB947" t="s">
        <v>2497</v>
      </c>
      <c r="AC947" t="s">
        <v>4106</v>
      </c>
      <c r="AD947" s="249" t="str">
        <f>HYPERLINK("https://scontent.cdninstagram.com/t51.2885-15/s320x320/e35/c0.0.721.721/20902553_167402717164636_1601218873724502016_n.jpg")</f>
        <v>https://scontent.cdninstagram.com/t51.2885-15/s320x320/e35/c0.0.721.721/20902553_167402717164636_1601218873724502016_n.jpg</v>
      </c>
      <c r="AE947" s="249" t="str">
        <f>HYPERLINK("https://scontent.cdninstagram.com/t51.2885-19/s150x150/19534445_299511317177190_9105749903572729856_a.jpg")</f>
        <v>https://scontent.cdninstagram.com/t51.2885-19/s150x150/19534445_299511317177190_9105749903572729856_a.jpg</v>
      </c>
    </row>
    <row r="948" spans="1:31" ht="15" x14ac:dyDescent="0.25">
      <c r="A948" t="s">
        <v>2474</v>
      </c>
      <c r="B948" t="s">
        <v>5766</v>
      </c>
      <c r="C948" s="221">
        <v>42963.040393518517</v>
      </c>
      <c r="D948" t="s">
        <v>7923</v>
      </c>
      <c r="E948" s="249" t="str">
        <f>HYPERLINK("https://www.instagram.com/p/BX15O26AMP7/")</f>
        <v>https://www.instagram.com/p/BX15O26AMP7/</v>
      </c>
      <c r="F948" t="s">
        <v>7924</v>
      </c>
      <c r="G948" t="s">
        <v>2478</v>
      </c>
      <c r="H948">
        <v>136</v>
      </c>
      <c r="I948" t="s">
        <v>2479</v>
      </c>
      <c r="J948">
        <v>1</v>
      </c>
      <c r="K948">
        <v>39</v>
      </c>
      <c r="L948">
        <v>40</v>
      </c>
      <c r="Q948">
        <v>0</v>
      </c>
      <c r="R948">
        <v>0</v>
      </c>
      <c r="S948">
        <v>40</v>
      </c>
      <c r="Y948" t="s">
        <v>7925</v>
      </c>
      <c r="Z948" t="s">
        <v>2513</v>
      </c>
      <c r="AA948" t="s">
        <v>2497</v>
      </c>
      <c r="AB948" t="s">
        <v>5771</v>
      </c>
      <c r="AC948" t="s">
        <v>5772</v>
      </c>
      <c r="AD948" s="249" t="str">
        <f>HYPERLINK("https://scontent.cdninstagram.com/t51.2885-15/s320x320/e35/20838819_1950078775216954_9088231913088352256_n.jpg")</f>
        <v>https://scontent.cdninstagram.com/t51.2885-15/s320x320/e35/20838819_1950078775216954_9088231913088352256_n.jpg</v>
      </c>
      <c r="AE948" s="249" t="str">
        <f>HYPERLINK("https://scontent.cdninstagram.com/t51.2885-19/s150x150/18879663_1692879440726703_2212180471251468288_a.jpg")</f>
        <v>https://scontent.cdninstagram.com/t51.2885-19/s150x150/18879663_1692879440726703_2212180471251468288_a.jpg</v>
      </c>
    </row>
    <row r="949" spans="1:31" ht="15" x14ac:dyDescent="0.25">
      <c r="A949" t="s">
        <v>2474</v>
      </c>
      <c r="B949" t="s">
        <v>7152</v>
      </c>
      <c r="C949" s="221">
        <v>42963.056342592594</v>
      </c>
      <c r="D949" t="s">
        <v>7926</v>
      </c>
      <c r="E949" s="249" t="str">
        <f>HYPERLINK("https://www.instagram.com/p/BX173KHjcST/")</f>
        <v>https://www.instagram.com/p/BX173KHjcST/</v>
      </c>
      <c r="F949" t="s">
        <v>7927</v>
      </c>
      <c r="G949" t="s">
        <v>2478</v>
      </c>
      <c r="H949">
        <v>102</v>
      </c>
      <c r="I949" t="s">
        <v>2542</v>
      </c>
      <c r="J949">
        <v>1</v>
      </c>
      <c r="K949">
        <v>36</v>
      </c>
      <c r="L949">
        <v>37</v>
      </c>
      <c r="Q949">
        <v>0</v>
      </c>
      <c r="R949">
        <v>0</v>
      </c>
      <c r="S949">
        <v>37</v>
      </c>
      <c r="Y949" t="s">
        <v>7286</v>
      </c>
      <c r="Z949" t="s">
        <v>7900</v>
      </c>
      <c r="AA949" t="s">
        <v>7762</v>
      </c>
      <c r="AB949" t="s">
        <v>2497</v>
      </c>
      <c r="AC949" t="s">
        <v>6299</v>
      </c>
      <c r="AD949" s="249" t="str">
        <f>HYPERLINK("https://scontent.cdninstagram.com/t51.2885-15/s320x320/e35/20838450_117847588870915_3900538317241843712_n.jpg")</f>
        <v>https://scontent.cdninstagram.com/t51.2885-15/s320x320/e35/20838450_117847588870915_3900538317241843712_n.jpg</v>
      </c>
      <c r="AE949" s="249" t="str">
        <f>HYPERLINK("https://scontent.cdninstagram.com/t51.2885-19/s150x150/20181062_1791856511105718_4709893984703479808_a.jpg")</f>
        <v>https://scontent.cdninstagram.com/t51.2885-19/s150x150/20181062_1791856511105718_4709893984703479808_a.jpg</v>
      </c>
    </row>
    <row r="950" spans="1:31" ht="15" x14ac:dyDescent="0.25">
      <c r="A950" t="s">
        <v>2474</v>
      </c>
      <c r="B950" t="s">
        <v>7928</v>
      </c>
      <c r="C950" s="221">
        <v>42963.057696759257</v>
      </c>
      <c r="D950" t="s">
        <v>7929</v>
      </c>
      <c r="E950" s="249" t="str">
        <f>HYPERLINK("https://www.instagram.com/p/BX18Fc-hdoe/")</f>
        <v>https://www.instagram.com/p/BX18Fc-hdoe/</v>
      </c>
      <c r="F950" t="s">
        <v>7930</v>
      </c>
      <c r="G950" t="s">
        <v>2478</v>
      </c>
      <c r="H950">
        <v>1010</v>
      </c>
      <c r="I950" t="s">
        <v>2479</v>
      </c>
      <c r="J950">
        <v>4</v>
      </c>
      <c r="K950">
        <v>103</v>
      </c>
      <c r="L950">
        <v>107</v>
      </c>
      <c r="Q950">
        <v>0</v>
      </c>
      <c r="R950">
        <v>0</v>
      </c>
      <c r="S950">
        <v>107</v>
      </c>
      <c r="T950" t="s">
        <v>7931</v>
      </c>
      <c r="V950" t="s">
        <v>2204</v>
      </c>
      <c r="W950">
        <v>3.0833300000000001</v>
      </c>
      <c r="X950">
        <v>101.65</v>
      </c>
      <c r="Y950" t="s">
        <v>2492</v>
      </c>
      <c r="Z950" t="s">
        <v>2497</v>
      </c>
      <c r="AA950" t="s">
        <v>7932</v>
      </c>
      <c r="AD950" s="249" t="str">
        <f>HYPERLINK("https://scontent.cdninstagram.com/t51.2885-15/s320x320/e35/20837346_324641094662611_6243537835857543168_n.jpg")</f>
        <v>https://scontent.cdninstagram.com/t51.2885-15/s320x320/e35/20837346_324641094662611_6243537835857543168_n.jpg</v>
      </c>
      <c r="AE950" s="249" t="str">
        <f>HYPERLINK("https://scontent.cdninstagram.com/t51.2885-19/s150x150/19985311_2006615152918872_5733674704711974912_a.jpg")</f>
        <v>https://scontent.cdninstagram.com/t51.2885-19/s150x150/19985311_2006615152918872_5733674704711974912_a.jpg</v>
      </c>
    </row>
    <row r="951" spans="1:31" ht="15" x14ac:dyDescent="0.25">
      <c r="A951" t="s">
        <v>2474</v>
      </c>
      <c r="B951" t="s">
        <v>7933</v>
      </c>
      <c r="C951" s="221">
        <v>42963.060798611114</v>
      </c>
      <c r="D951" t="s">
        <v>7934</v>
      </c>
      <c r="E951" s="249" t="str">
        <f>HYPERLINK("https://www.instagram.com/p/BX18mD6h5kw/")</f>
        <v>https://www.instagram.com/p/BX18mD6h5kw/</v>
      </c>
      <c r="F951" t="s">
        <v>7935</v>
      </c>
      <c r="G951" t="s">
        <v>2478</v>
      </c>
      <c r="H951">
        <v>451</v>
      </c>
      <c r="I951" t="s">
        <v>2479</v>
      </c>
      <c r="J951">
        <v>9</v>
      </c>
      <c r="K951">
        <v>67</v>
      </c>
      <c r="L951">
        <v>76</v>
      </c>
      <c r="Q951">
        <v>0</v>
      </c>
      <c r="R951">
        <v>0</v>
      </c>
      <c r="S951">
        <v>76</v>
      </c>
      <c r="T951" t="s">
        <v>7936</v>
      </c>
      <c r="U951" t="s">
        <v>168</v>
      </c>
      <c r="V951" t="s">
        <v>2299</v>
      </c>
      <c r="W951">
        <v>36.8857</v>
      </c>
      <c r="X951">
        <v>-76.259900000000002</v>
      </c>
      <c r="Y951" t="s">
        <v>7937</v>
      </c>
      <c r="AD951" s="249" t="str">
        <f>HYPERLINK("https://scontent.cdninstagram.com/t51.2885-15/s320x320/e35/c0.135.1080.1080/20902011_337823146664912_2825328104052883456_n.jpg")</f>
        <v>https://scontent.cdninstagram.com/t51.2885-15/s320x320/e35/c0.135.1080.1080/20902011_337823146664912_2825328104052883456_n.jpg</v>
      </c>
      <c r="AE951" s="249" t="str">
        <f>HYPERLINK("https://scontent.cdninstagram.com/t51.2885-19/s150x150/20902678_470029196717098_3254464842379034624_a.jpg")</f>
        <v>https://scontent.cdninstagram.com/t51.2885-19/s150x150/20902678_470029196717098_3254464842379034624_a.jpg</v>
      </c>
    </row>
    <row r="952" spans="1:31" ht="15" x14ac:dyDescent="0.25">
      <c r="A952" t="s">
        <v>2474</v>
      </c>
      <c r="B952" t="s">
        <v>7938</v>
      </c>
      <c r="C952" s="221">
        <v>42963.063958333332</v>
      </c>
      <c r="D952" t="s">
        <v>7939</v>
      </c>
      <c r="E952" s="249" t="str">
        <f>HYPERLINK("https://www.instagram.com/p/BX19HYuhUgA/")</f>
        <v>https://www.instagram.com/p/BX19HYuhUgA/</v>
      </c>
      <c r="F952" t="s">
        <v>7940</v>
      </c>
      <c r="G952" t="s">
        <v>2478</v>
      </c>
      <c r="I952" t="s">
        <v>2542</v>
      </c>
      <c r="J952">
        <v>2</v>
      </c>
      <c r="K952">
        <v>140</v>
      </c>
      <c r="L952">
        <v>142</v>
      </c>
      <c r="Q952">
        <v>0</v>
      </c>
      <c r="R952">
        <v>0</v>
      </c>
      <c r="S952">
        <v>142</v>
      </c>
      <c r="Y952" t="s">
        <v>2837</v>
      </c>
      <c r="Z952" t="s">
        <v>7941</v>
      </c>
      <c r="AA952" t="s">
        <v>3996</v>
      </c>
      <c r="AB952" t="s">
        <v>7942</v>
      </c>
      <c r="AC952" t="s">
        <v>6493</v>
      </c>
      <c r="AD952" s="249" t="str">
        <f>HYPERLINK("https://scontent.cdninstagram.com/t51.2885-15/s320x320/e35/c0.135.1080.1080/20837332_123250214914051_1281865699962126336_n.jpg")</f>
        <v>https://scontent.cdninstagram.com/t51.2885-15/s320x320/e35/c0.135.1080.1080/20837332_123250214914051_1281865699962126336_n.jpg</v>
      </c>
      <c r="AE952" s="249" t="str">
        <f>HYPERLINK("https://scontent.cdninstagram.com/t51.2885-19/s150x150/14714511_1794362537507083_5878838771046154240_a.jpg")</f>
        <v>https://scontent.cdninstagram.com/t51.2885-19/s150x150/14714511_1794362537507083_5878838771046154240_a.jpg</v>
      </c>
    </row>
    <row r="953" spans="1:31" ht="15" x14ac:dyDescent="0.25">
      <c r="A953" t="s">
        <v>2474</v>
      </c>
      <c r="B953" t="s">
        <v>7943</v>
      </c>
      <c r="C953" s="221">
        <v>42963.080914351849</v>
      </c>
      <c r="D953" t="s">
        <v>7944</v>
      </c>
      <c r="E953" s="249" t="str">
        <f>HYPERLINK("https://www.instagram.com/p/BX1_6RTFCYL/")</f>
        <v>https://www.instagram.com/p/BX1_6RTFCYL/</v>
      </c>
      <c r="F953" t="s">
        <v>7945</v>
      </c>
      <c r="G953" t="s">
        <v>2631</v>
      </c>
      <c r="H953">
        <v>343</v>
      </c>
      <c r="I953" t="s">
        <v>2479</v>
      </c>
      <c r="J953">
        <v>3</v>
      </c>
      <c r="K953">
        <v>83</v>
      </c>
      <c r="L953">
        <v>86</v>
      </c>
      <c r="Q953">
        <v>0</v>
      </c>
      <c r="R953">
        <v>0</v>
      </c>
      <c r="S953">
        <v>86</v>
      </c>
      <c r="T953" t="s">
        <v>7946</v>
      </c>
      <c r="U953" t="s">
        <v>148</v>
      </c>
      <c r="V953" t="s">
        <v>2299</v>
      </c>
      <c r="W953">
        <v>45.518169999999998</v>
      </c>
      <c r="X953">
        <v>-122.65933</v>
      </c>
      <c r="Y953" t="s">
        <v>7947</v>
      </c>
      <c r="Z953" t="s">
        <v>2497</v>
      </c>
      <c r="AA953" t="s">
        <v>6404</v>
      </c>
      <c r="AB953" t="s">
        <v>2615</v>
      </c>
      <c r="AC953" t="s">
        <v>5802</v>
      </c>
      <c r="AD953" s="249" t="str">
        <f>HYPERLINK("https://scontent.cdninstagram.com/t51.2885-15/s320x320/e15/c157.0.405.405/20766436_479127462462949_5736717238069624832_n.jpg")</f>
        <v>https://scontent.cdninstagram.com/t51.2885-15/s320x320/e15/c157.0.405.405/20766436_479127462462949_5736717238069624832_n.jpg</v>
      </c>
      <c r="AE953" s="249" t="str">
        <f>HYPERLINK("https://scontent.cdninstagram.com/t51.2885-19/s150x150/17438965_244989635904817_6366647296666370048_a.jpg")</f>
        <v>https://scontent.cdninstagram.com/t51.2885-19/s150x150/17438965_244989635904817_6366647296666370048_a.jpg</v>
      </c>
    </row>
    <row r="954" spans="1:31" ht="15" x14ac:dyDescent="0.25">
      <c r="A954" t="s">
        <v>2474</v>
      </c>
      <c r="B954" t="s">
        <v>7793</v>
      </c>
      <c r="C954" s="221">
        <v>42963.082384259258</v>
      </c>
      <c r="D954" t="s">
        <v>7948</v>
      </c>
      <c r="E954" s="249" t="str">
        <f>HYPERLINK("https://www.instagram.com/p/BX2AJzAlVVn/")</f>
        <v>https://www.instagram.com/p/BX2AJzAlVVn/</v>
      </c>
      <c r="F954" t="s">
        <v>7949</v>
      </c>
      <c r="G954" t="s">
        <v>2478</v>
      </c>
      <c r="H954">
        <v>5773</v>
      </c>
      <c r="I954" t="s">
        <v>2479</v>
      </c>
      <c r="J954">
        <v>2</v>
      </c>
      <c r="K954">
        <v>190</v>
      </c>
      <c r="L954">
        <v>192</v>
      </c>
      <c r="Q954">
        <v>0</v>
      </c>
      <c r="R954">
        <v>0</v>
      </c>
      <c r="S954">
        <v>192</v>
      </c>
      <c r="Y954" t="s">
        <v>5644</v>
      </c>
      <c r="Z954" t="s">
        <v>3446</v>
      </c>
      <c r="AA954" t="s">
        <v>2497</v>
      </c>
      <c r="AB954" t="s">
        <v>7950</v>
      </c>
      <c r="AC954" t="s">
        <v>4620</v>
      </c>
      <c r="AD954" s="249" t="str">
        <f>HYPERLINK("https://scontent.cdninstagram.com/t51.2885-15/s320x320/e35/20902668_320474378415121_116894960959094784_n.jpg")</f>
        <v>https://scontent.cdninstagram.com/t51.2885-15/s320x320/e35/20902668_320474378415121_116894960959094784_n.jpg</v>
      </c>
      <c r="AE954" s="249" t="str">
        <f>HYPERLINK("https://scontent.cdninstagram.com/t51.2885-19/s150x150/14295311_507350922808081_1928455761_a.jpg")</f>
        <v>https://scontent.cdninstagram.com/t51.2885-19/s150x150/14295311_507350922808081_1928455761_a.jpg</v>
      </c>
    </row>
    <row r="955" spans="1:31" ht="15" x14ac:dyDescent="0.25">
      <c r="A955" t="s">
        <v>2474</v>
      </c>
      <c r="B955" t="s">
        <v>7951</v>
      </c>
      <c r="C955" s="221">
        <v>42963.084548611114</v>
      </c>
      <c r="D955" t="s">
        <v>7952</v>
      </c>
      <c r="E955" s="249" t="str">
        <f>HYPERLINK("https://www.instagram.com/p/BX2AgjYAP5y/")</f>
        <v>https://www.instagram.com/p/BX2AgjYAP5y/</v>
      </c>
      <c r="F955" t="s">
        <v>7953</v>
      </c>
      <c r="G955" t="s">
        <v>2478</v>
      </c>
      <c r="H955">
        <v>151</v>
      </c>
      <c r="I955" t="s">
        <v>2479</v>
      </c>
      <c r="J955">
        <v>0</v>
      </c>
      <c r="K955">
        <v>33</v>
      </c>
      <c r="L955">
        <v>33</v>
      </c>
      <c r="Q955">
        <v>0</v>
      </c>
      <c r="R955">
        <v>0</v>
      </c>
      <c r="S955">
        <v>33</v>
      </c>
      <c r="T955" t="s">
        <v>7954</v>
      </c>
      <c r="U955" t="s">
        <v>102</v>
      </c>
      <c r="V955" t="s">
        <v>2299</v>
      </c>
      <c r="W955">
        <v>41.763300000000001</v>
      </c>
      <c r="X955">
        <v>-88.29</v>
      </c>
      <c r="Y955" t="s">
        <v>7955</v>
      </c>
      <c r="Z955" t="s">
        <v>2734</v>
      </c>
      <c r="AA955" t="s">
        <v>7956</v>
      </c>
      <c r="AB955" t="s">
        <v>3383</v>
      </c>
      <c r="AC955" t="s">
        <v>2497</v>
      </c>
      <c r="AD955" s="249" t="str">
        <f>HYPERLINK("https://scontent.cdninstagram.com/t51.2885-15/s320x320/e35/c236.0.608.608/20904854_265171410666840_43313778812518400_n.jpg")</f>
        <v>https://scontent.cdninstagram.com/t51.2885-15/s320x320/e35/c236.0.608.608/20904854_265171410666840_43313778812518400_n.jpg</v>
      </c>
      <c r="AE955" s="249" t="str">
        <f>HYPERLINK("https://scontent.cdninstagram.com/t51.2885-19/s150x150/19379484_444317419273936_5782059710324670464_a.jpg")</f>
        <v>https://scontent.cdninstagram.com/t51.2885-19/s150x150/19379484_444317419273936_5782059710324670464_a.jpg</v>
      </c>
    </row>
    <row r="956" spans="1:31" ht="15" x14ac:dyDescent="0.25">
      <c r="A956" t="s">
        <v>2474</v>
      </c>
      <c r="B956" t="s">
        <v>7957</v>
      </c>
      <c r="C956" s="221">
        <v>42963.089317129627</v>
      </c>
      <c r="D956" t="s">
        <v>7958</v>
      </c>
      <c r="E956" s="249" t="str">
        <f>HYPERLINK("https://www.instagram.com/p/BX2BS6OBl3Z/")</f>
        <v>https://www.instagram.com/p/BX2BS6OBl3Z/</v>
      </c>
      <c r="F956" t="s">
        <v>7959</v>
      </c>
      <c r="G956" t="s">
        <v>2478</v>
      </c>
      <c r="H956">
        <v>46</v>
      </c>
      <c r="I956" t="s">
        <v>2479</v>
      </c>
      <c r="J956">
        <v>0</v>
      </c>
      <c r="K956">
        <v>6</v>
      </c>
      <c r="L956">
        <v>6</v>
      </c>
      <c r="Q956">
        <v>0</v>
      </c>
      <c r="R956">
        <v>0</v>
      </c>
      <c r="S956">
        <v>6</v>
      </c>
      <c r="Y956" t="s">
        <v>7960</v>
      </c>
      <c r="Z956" t="s">
        <v>7961</v>
      </c>
      <c r="AA956" t="s">
        <v>7962</v>
      </c>
      <c r="AB956" t="s">
        <v>3475</v>
      </c>
      <c r="AC956" t="s">
        <v>2497</v>
      </c>
      <c r="AD956" s="249" t="str">
        <f>HYPERLINK("https://scontent.cdninstagram.com/t51.2885-15/s320x320/e35/20902228_163735450858936_6413062720471433216_n.jpg")</f>
        <v>https://scontent.cdninstagram.com/t51.2885-15/s320x320/e35/20902228_163735450858936_6413062720471433216_n.jpg</v>
      </c>
      <c r="AE956" s="249" t="str">
        <f>HYPERLINK("https://scontent.cdninstagram.com/t51.2885-19/s150x150/20065655_1613157075375735_6269021504617316352_a.jpg")</f>
        <v>https://scontent.cdninstagram.com/t51.2885-19/s150x150/20065655_1613157075375735_6269021504617316352_a.jpg</v>
      </c>
    </row>
    <row r="957" spans="1:31" ht="15" x14ac:dyDescent="0.25">
      <c r="A957" t="s">
        <v>2474</v>
      </c>
      <c r="B957" t="s">
        <v>7963</v>
      </c>
      <c r="C957" s="221">
        <v>42963.095057870371</v>
      </c>
      <c r="D957" t="s">
        <v>7964</v>
      </c>
      <c r="E957" s="249" t="str">
        <f>HYPERLINK("https://www.instagram.com/p/BX2CPZMDB6y/")</f>
        <v>https://www.instagram.com/p/BX2CPZMDB6y/</v>
      </c>
      <c r="F957" t="s">
        <v>7965</v>
      </c>
      <c r="G957" t="s">
        <v>2478</v>
      </c>
      <c r="H957">
        <v>857</v>
      </c>
      <c r="I957" t="s">
        <v>3186</v>
      </c>
      <c r="J957">
        <v>0</v>
      </c>
      <c r="K957">
        <v>521</v>
      </c>
      <c r="L957">
        <v>521</v>
      </c>
      <c r="Q957">
        <v>0</v>
      </c>
      <c r="R957">
        <v>0</v>
      </c>
      <c r="S957">
        <v>521</v>
      </c>
      <c r="Y957" t="s">
        <v>7966</v>
      </c>
      <c r="Z957" t="s">
        <v>2734</v>
      </c>
      <c r="AA957" t="s">
        <v>7967</v>
      </c>
      <c r="AB957" t="s">
        <v>2497</v>
      </c>
      <c r="AC957" t="s">
        <v>7830</v>
      </c>
      <c r="AD957" s="249" t="str">
        <f>HYPERLINK("https://scontent.cdninstagram.com/t51.2885-15/s320x320/e35/c0.93.750.750/20838613_1918932915039646_4898079630340128768_n.jpg")</f>
        <v>https://scontent.cdninstagram.com/t51.2885-15/s320x320/e35/c0.93.750.750/20838613_1918932915039646_4898079630340128768_n.jpg</v>
      </c>
      <c r="AE957" s="249" t="str">
        <f>HYPERLINK("https://scontent.cdninstagram.com/t51.2885-19/s150x150/20986793_269265123571373_7898864119166533632_a.jpg")</f>
        <v>https://scontent.cdninstagram.com/t51.2885-19/s150x150/20986793_269265123571373_7898864119166533632_a.jpg</v>
      </c>
    </row>
    <row r="958" spans="1:31" ht="15" x14ac:dyDescent="0.25">
      <c r="A958" t="s">
        <v>2474</v>
      </c>
      <c r="B958" t="s">
        <v>7968</v>
      </c>
      <c r="C958" s="221">
        <v>42963.100462962961</v>
      </c>
      <c r="D958" t="s">
        <v>7969</v>
      </c>
      <c r="E958" s="249" t="str">
        <f>HYPERLINK("https://www.instagram.com/p/BX2DIbPgZSM/")</f>
        <v>https://www.instagram.com/p/BX2DIbPgZSM/</v>
      </c>
      <c r="F958" t="s">
        <v>7970</v>
      </c>
      <c r="G958" t="s">
        <v>2478</v>
      </c>
      <c r="I958" t="s">
        <v>3025</v>
      </c>
      <c r="J958">
        <v>3</v>
      </c>
      <c r="K958">
        <v>60</v>
      </c>
      <c r="L958">
        <v>63</v>
      </c>
      <c r="Q958">
        <v>0</v>
      </c>
      <c r="R958">
        <v>0</v>
      </c>
      <c r="S958">
        <v>63</v>
      </c>
      <c r="Y958" t="s">
        <v>7971</v>
      </c>
      <c r="Z958" t="s">
        <v>5697</v>
      </c>
      <c r="AA958" t="s">
        <v>2497</v>
      </c>
      <c r="AB958" t="s">
        <v>7236</v>
      </c>
      <c r="AC958" t="s">
        <v>7972</v>
      </c>
      <c r="AD958" s="249" t="str">
        <f>HYPERLINK("https://scontent.cdninstagram.com/t51.2885-15/s320x320/e35/c0.90.720.720/20837740_1435290029894211_4713123164454912000_n.jpg")</f>
        <v>https://scontent.cdninstagram.com/t51.2885-15/s320x320/e35/c0.90.720.720/20837740_1435290029894211_4713123164454912000_n.jpg</v>
      </c>
      <c r="AE958" s="249" t="str">
        <f>HYPERLINK("https://scontent.cdninstagram.com/t51.2885-19/s150x150/21041218_820205004825002_1490609571633299456_a.jpg")</f>
        <v>https://scontent.cdninstagram.com/t51.2885-19/s150x150/21041218_820205004825002_1490609571633299456_a.jpg</v>
      </c>
    </row>
    <row r="959" spans="1:31" ht="15" x14ac:dyDescent="0.25">
      <c r="A959" t="s">
        <v>2474</v>
      </c>
      <c r="B959" t="s">
        <v>7973</v>
      </c>
      <c r="C959" s="221">
        <v>42963.102696759262</v>
      </c>
      <c r="D959" t="s">
        <v>7974</v>
      </c>
      <c r="E959" s="249" t="str">
        <f>HYPERLINK("https://www.instagram.com/p/BX2Df_Cl_Xg/")</f>
        <v>https://www.instagram.com/p/BX2Df_Cl_Xg/</v>
      </c>
      <c r="F959" t="s">
        <v>7975</v>
      </c>
      <c r="G959" t="s">
        <v>2478</v>
      </c>
      <c r="H959">
        <v>158</v>
      </c>
      <c r="I959" t="s">
        <v>2479</v>
      </c>
      <c r="J959">
        <v>0</v>
      </c>
      <c r="K959">
        <v>26</v>
      </c>
      <c r="L959">
        <v>26</v>
      </c>
      <c r="Q959">
        <v>0</v>
      </c>
      <c r="R959">
        <v>0</v>
      </c>
      <c r="S959">
        <v>26</v>
      </c>
      <c r="T959" t="s">
        <v>7976</v>
      </c>
      <c r="U959" t="s">
        <v>626</v>
      </c>
      <c r="V959" t="s">
        <v>2299</v>
      </c>
      <c r="W959">
        <v>35.141599999999997</v>
      </c>
      <c r="X959">
        <v>-114.619</v>
      </c>
      <c r="Y959" t="s">
        <v>7977</v>
      </c>
      <c r="Z959" t="s">
        <v>2497</v>
      </c>
      <c r="AA959" t="s">
        <v>7978</v>
      </c>
      <c r="AB959" t="s">
        <v>7979</v>
      </c>
      <c r="AD959" s="249" t="str">
        <f>HYPERLINK("https://scontent.cdninstagram.com/t51.2885-15/s320x320/e35/20759053_125055814795186_7065643766572384256_n.jpg")</f>
        <v>https://scontent.cdninstagram.com/t51.2885-15/s320x320/e35/20759053_125055814795186_7065643766572384256_n.jpg</v>
      </c>
      <c r="AE959" s="249" t="str">
        <f>HYPERLINK("https://scontent.cdninstagram.com/t51.2885-19/s150x150/20398657_1556709414399986_487530362063290368_a.jpg")</f>
        <v>https://scontent.cdninstagram.com/t51.2885-19/s150x150/20398657_1556709414399986_487530362063290368_a.jpg</v>
      </c>
    </row>
    <row r="960" spans="1:31" ht="15" x14ac:dyDescent="0.25">
      <c r="A960" t="s">
        <v>2474</v>
      </c>
      <c r="B960" t="s">
        <v>7980</v>
      </c>
      <c r="C960" s="221">
        <v>42963.112326388888</v>
      </c>
      <c r="D960" t="s">
        <v>7981</v>
      </c>
      <c r="E960" s="249" t="str">
        <f>HYPERLINK("https://www.instagram.com/p/BX2FFmZlVv6/")</f>
        <v>https://www.instagram.com/p/BX2FFmZlVv6/</v>
      </c>
      <c r="F960" t="s">
        <v>7982</v>
      </c>
      <c r="G960" t="s">
        <v>2478</v>
      </c>
      <c r="H960">
        <v>17</v>
      </c>
      <c r="I960" t="s">
        <v>2639</v>
      </c>
      <c r="J960">
        <v>0</v>
      </c>
      <c r="K960">
        <v>3</v>
      </c>
      <c r="L960">
        <v>3</v>
      </c>
      <c r="Q960">
        <v>0</v>
      </c>
      <c r="R960">
        <v>0</v>
      </c>
      <c r="S960">
        <v>3</v>
      </c>
      <c r="Y960" t="s">
        <v>7983</v>
      </c>
      <c r="Z960" t="s">
        <v>7984</v>
      </c>
      <c r="AA960" t="s">
        <v>7985</v>
      </c>
      <c r="AB960" t="s">
        <v>7986</v>
      </c>
      <c r="AC960" t="s">
        <v>2497</v>
      </c>
      <c r="AD960" s="249" t="str">
        <f>HYPERLINK("https://scontent.cdninstagram.com/t51.2885-15/s320x320/e35/20838320_213429285856342_1627502523092828160_n.jpg")</f>
        <v>https://scontent.cdninstagram.com/t51.2885-15/s320x320/e35/20838320_213429285856342_1627502523092828160_n.jpg</v>
      </c>
      <c r="AE960" s="249" t="str">
        <f>HYPERLINK("https://scontent.cdninstagram.com/t51.2885-19/s150x150/18646675_820233091474947_5040570805382021120_a.jpg")</f>
        <v>https://scontent.cdninstagram.com/t51.2885-19/s150x150/18646675_820233091474947_5040570805382021120_a.jpg</v>
      </c>
    </row>
    <row r="961" spans="1:31" ht="15" x14ac:dyDescent="0.25">
      <c r="A961" t="s">
        <v>2474</v>
      </c>
      <c r="B961" t="s">
        <v>7987</v>
      </c>
      <c r="C961" s="221">
        <v>42963.112638888888</v>
      </c>
      <c r="D961" t="s">
        <v>7988</v>
      </c>
      <c r="E961" s="249" t="str">
        <f>HYPERLINK("https://www.instagram.com/p/BX2FI2pBW3u/")</f>
        <v>https://www.instagram.com/p/BX2FI2pBW3u/</v>
      </c>
      <c r="F961" t="s">
        <v>7989</v>
      </c>
      <c r="G961" t="s">
        <v>2478</v>
      </c>
      <c r="H961">
        <v>447</v>
      </c>
      <c r="I961" t="s">
        <v>2479</v>
      </c>
      <c r="J961">
        <v>3</v>
      </c>
      <c r="K961">
        <v>77</v>
      </c>
      <c r="L961">
        <v>80</v>
      </c>
      <c r="Q961">
        <v>0</v>
      </c>
      <c r="R961">
        <v>0</v>
      </c>
      <c r="S961">
        <v>80</v>
      </c>
      <c r="Y961" t="s">
        <v>5090</v>
      </c>
      <c r="Z961" t="s">
        <v>2513</v>
      </c>
      <c r="AA961" t="s">
        <v>2497</v>
      </c>
      <c r="AB961" t="s">
        <v>7990</v>
      </c>
      <c r="AC961" t="s">
        <v>7991</v>
      </c>
      <c r="AD961" s="249" t="str">
        <f>HYPERLINK("https://scontent.cdninstagram.com/t51.2885-15/s320x320/e35/c0.88.867.867/20766996_1406832136033168_459989885005070336_n.jpg")</f>
        <v>https://scontent.cdninstagram.com/t51.2885-15/s320x320/e35/c0.88.867.867/20766996_1406832136033168_459989885005070336_n.jpg</v>
      </c>
      <c r="AE961" s="249" t="str">
        <f>HYPERLINK("https://scontent.cdninstagram.com/t51.2885-19/s150x150/18513681_139423189934717_6442695353408946176_a.jpg")</f>
        <v>https://scontent.cdninstagram.com/t51.2885-19/s150x150/18513681_139423189934717_6442695353408946176_a.jpg</v>
      </c>
    </row>
    <row r="962" spans="1:31" ht="15" x14ac:dyDescent="0.25">
      <c r="A962" t="s">
        <v>2474</v>
      </c>
      <c r="B962" t="s">
        <v>7992</v>
      </c>
      <c r="C962" s="221">
        <v>42963.117789351854</v>
      </c>
      <c r="D962" t="s">
        <v>7993</v>
      </c>
      <c r="E962" s="249" t="str">
        <f>HYPERLINK("https://www.instagram.com/p/BX2F_NjlsTI/")</f>
        <v>https://www.instagram.com/p/BX2F_NjlsTI/</v>
      </c>
      <c r="F962" t="s">
        <v>7994</v>
      </c>
      <c r="G962" t="s">
        <v>2478</v>
      </c>
      <c r="H962">
        <v>268</v>
      </c>
      <c r="I962" t="s">
        <v>5389</v>
      </c>
      <c r="J962">
        <v>0</v>
      </c>
      <c r="K962">
        <v>20</v>
      </c>
      <c r="L962">
        <v>20</v>
      </c>
      <c r="Q962">
        <v>0</v>
      </c>
      <c r="R962">
        <v>0</v>
      </c>
      <c r="S962">
        <v>20</v>
      </c>
      <c r="Y962" t="s">
        <v>4779</v>
      </c>
      <c r="Z962" t="s">
        <v>3256</v>
      </c>
      <c r="AA962" t="s">
        <v>2513</v>
      </c>
      <c r="AB962" t="s">
        <v>3006</v>
      </c>
      <c r="AC962" t="s">
        <v>2497</v>
      </c>
      <c r="AD962" s="249" t="str">
        <f>HYPERLINK("https://scontent.cdninstagram.com/t51.2885-15/s320x320/e35/c257.0.566.566/20836974_1980342302184876_8576307506878349312_n.jpg")</f>
        <v>https://scontent.cdninstagram.com/t51.2885-15/s320x320/e35/c257.0.566.566/20836974_1980342302184876_8576307506878349312_n.jpg</v>
      </c>
      <c r="AE962" s="249" t="str">
        <f>HYPERLINK("https://scontent.cdninstagram.com/t51.2885-19/s150x150/15035774_167382257076930_7172485428862255104_a.jpg")</f>
        <v>https://scontent.cdninstagram.com/t51.2885-19/s150x150/15035774_167382257076930_7172485428862255104_a.jpg</v>
      </c>
    </row>
    <row r="963" spans="1:31" ht="15" x14ac:dyDescent="0.25">
      <c r="A963" t="s">
        <v>2474</v>
      </c>
      <c r="B963" t="s">
        <v>5430</v>
      </c>
      <c r="C963" s="221">
        <v>42963.125451388885</v>
      </c>
      <c r="D963" t="s">
        <v>7995</v>
      </c>
      <c r="E963" s="249" t="str">
        <f>HYPERLINK("https://www.instagram.com/p/BX2HP-yhJmH/")</f>
        <v>https://www.instagram.com/p/BX2HP-yhJmH/</v>
      </c>
      <c r="F963" t="s">
        <v>2872</v>
      </c>
      <c r="G963" t="s">
        <v>2478</v>
      </c>
      <c r="H963">
        <v>306</v>
      </c>
      <c r="I963" t="s">
        <v>2479</v>
      </c>
      <c r="J963">
        <v>0</v>
      </c>
      <c r="K963">
        <v>6</v>
      </c>
      <c r="L963">
        <v>6</v>
      </c>
      <c r="Q963">
        <v>0</v>
      </c>
      <c r="R963">
        <v>0</v>
      </c>
      <c r="S963">
        <v>6</v>
      </c>
      <c r="Y963" t="s">
        <v>2497</v>
      </c>
      <c r="AD963" s="249" t="str">
        <f>HYPERLINK("https://scontent.cdninstagram.com/t51.2885-15/s320x320/e35/20837158_1069397529856957_5657913719288496128_n.jpg")</f>
        <v>https://scontent.cdninstagram.com/t51.2885-15/s320x320/e35/20837158_1069397529856957_5657913719288496128_n.jpg</v>
      </c>
      <c r="AE963" s="249" t="str">
        <f>HYPERLINK("https://scontent.cdninstagram.com/t51.2885-19/s150x150/14145485_1270343192996680_839379279_a.jpg")</f>
        <v>https://scontent.cdninstagram.com/t51.2885-19/s150x150/14145485_1270343192996680_839379279_a.jpg</v>
      </c>
    </row>
    <row r="964" spans="1:31" ht="15" x14ac:dyDescent="0.25">
      <c r="A964" t="s">
        <v>2474</v>
      </c>
      <c r="B964" t="s">
        <v>7996</v>
      </c>
      <c r="C964" s="221">
        <v>42963.126423611109</v>
      </c>
      <c r="D964" t="s">
        <v>7997</v>
      </c>
      <c r="E964" s="249" t="str">
        <f>HYPERLINK("https://www.instagram.com/p/BX2HaQhDd0k/")</f>
        <v>https://www.instagram.com/p/BX2HaQhDd0k/</v>
      </c>
      <c r="F964" t="s">
        <v>7998</v>
      </c>
      <c r="G964" t="s">
        <v>2478</v>
      </c>
      <c r="H964">
        <v>144</v>
      </c>
      <c r="I964" t="s">
        <v>2903</v>
      </c>
      <c r="J964">
        <v>0</v>
      </c>
      <c r="K964">
        <v>15</v>
      </c>
      <c r="L964">
        <v>15</v>
      </c>
      <c r="Q964">
        <v>0</v>
      </c>
      <c r="R964">
        <v>0</v>
      </c>
      <c r="S964">
        <v>15</v>
      </c>
      <c r="Y964" t="s">
        <v>7999</v>
      </c>
      <c r="Z964" t="s">
        <v>2497</v>
      </c>
      <c r="AA964" t="s">
        <v>8000</v>
      </c>
      <c r="AB964" t="s">
        <v>8001</v>
      </c>
      <c r="AC964" t="s">
        <v>8002</v>
      </c>
      <c r="AD964" s="249" t="str">
        <f>HYPERLINK("https://scontent.cdninstagram.com/t51.2885-15/s320x320/e35/20837690_484562175230342_7850904512884637696_n.jpg")</f>
        <v>https://scontent.cdninstagram.com/t51.2885-15/s320x320/e35/20837690_484562175230342_7850904512884637696_n.jpg</v>
      </c>
      <c r="AE964" s="249" t="str">
        <f>HYPERLINK("https://scontent.cdninstagram.com/t51.2885-19/11931029_1645355745734003_1181793970_a.jpg")</f>
        <v>https://scontent.cdninstagram.com/t51.2885-19/11931029_1645355745734003_1181793970_a.jpg</v>
      </c>
    </row>
    <row r="965" spans="1:31" ht="15" x14ac:dyDescent="0.25">
      <c r="A965" t="s">
        <v>2474</v>
      </c>
      <c r="B965" t="s">
        <v>8003</v>
      </c>
      <c r="C965" s="221">
        <v>42963.138414351852</v>
      </c>
      <c r="D965" t="s">
        <v>8004</v>
      </c>
      <c r="E965" s="249" t="str">
        <f>HYPERLINK("https://www.instagram.com/p/BX2JYr_A0hn/")</f>
        <v>https://www.instagram.com/p/BX2JYr_A0hn/</v>
      </c>
      <c r="F965" t="s">
        <v>8005</v>
      </c>
      <c r="G965" t="s">
        <v>2478</v>
      </c>
      <c r="H965">
        <v>450</v>
      </c>
      <c r="I965" t="s">
        <v>4052</v>
      </c>
      <c r="J965">
        <v>7</v>
      </c>
      <c r="K965">
        <v>171</v>
      </c>
      <c r="L965">
        <v>178</v>
      </c>
      <c r="Q965">
        <v>0</v>
      </c>
      <c r="R965">
        <v>0</v>
      </c>
      <c r="S965">
        <v>178</v>
      </c>
      <c r="T965" t="s">
        <v>8006</v>
      </c>
      <c r="V965" t="s">
        <v>2153</v>
      </c>
      <c r="W965">
        <v>65.0167</v>
      </c>
      <c r="X965">
        <v>25.466699999999999</v>
      </c>
      <c r="Y965" t="s">
        <v>3262</v>
      </c>
      <c r="Z965" t="s">
        <v>2497</v>
      </c>
      <c r="AA965" t="s">
        <v>8007</v>
      </c>
      <c r="AB965" t="s">
        <v>8008</v>
      </c>
      <c r="AC965" t="s">
        <v>8009</v>
      </c>
      <c r="AD965" s="249" t="str">
        <f>HYPERLINK("https://scontent.cdninstagram.com/t51.2885-15/s320x320/e35/c0.45.1080.1080/20902374_733978066788951_5346196134089981952_n.jpg")</f>
        <v>https://scontent.cdninstagram.com/t51.2885-15/s320x320/e35/c0.45.1080.1080/20902374_733978066788951_5346196134089981952_n.jpg</v>
      </c>
      <c r="AE965" s="249" t="str">
        <f>HYPERLINK("https://scontent.cdninstagram.com/t51.2885-19/s150x150/20065966_1827948807535905_3161431207888027648_a.jpg")</f>
        <v>https://scontent.cdninstagram.com/t51.2885-19/s150x150/20065966_1827948807535905_3161431207888027648_a.jpg</v>
      </c>
    </row>
    <row r="966" spans="1:31" ht="15" x14ac:dyDescent="0.25">
      <c r="A966" t="s">
        <v>2474</v>
      </c>
      <c r="B966" t="s">
        <v>8010</v>
      </c>
      <c r="C966" s="221">
        <v>42963.147916666669</v>
      </c>
      <c r="D966" t="s">
        <v>8011</v>
      </c>
      <c r="E966" s="249" t="str">
        <f>HYPERLINK("https://www.instagram.com/p/BX2K88tlPU-/")</f>
        <v>https://www.instagram.com/p/BX2K88tlPU-/</v>
      </c>
      <c r="F966" t="s">
        <v>8012</v>
      </c>
      <c r="G966" t="s">
        <v>2478</v>
      </c>
      <c r="H966">
        <v>380</v>
      </c>
      <c r="I966" t="s">
        <v>2479</v>
      </c>
      <c r="J966">
        <v>2</v>
      </c>
      <c r="K966">
        <v>21</v>
      </c>
      <c r="L966">
        <v>23</v>
      </c>
      <c r="Q966">
        <v>0</v>
      </c>
      <c r="R966">
        <v>0</v>
      </c>
      <c r="S966">
        <v>23</v>
      </c>
      <c r="Y966" t="s">
        <v>8013</v>
      </c>
      <c r="Z966" t="s">
        <v>2730</v>
      </c>
      <c r="AA966" t="s">
        <v>2497</v>
      </c>
      <c r="AB966" t="s">
        <v>4993</v>
      </c>
      <c r="AC966" t="s">
        <v>8014</v>
      </c>
      <c r="AD966" s="249" t="str">
        <f>HYPERLINK("https://scontent.cdninstagram.com/t51.2885-15/s320x320/e35/20839080_114187989245207_4192061468725739520_n.jpg")</f>
        <v>https://scontent.cdninstagram.com/t51.2885-15/s320x320/e35/20839080_114187989245207_4192061468725739520_n.jpg</v>
      </c>
      <c r="AE966" s="249" t="str">
        <f>HYPERLINK("https://scontent.cdninstagram.com/t51.2885-19/10616941_292909497576900_1582306357_a.jpg")</f>
        <v>https://scontent.cdninstagram.com/t51.2885-19/10616941_292909497576900_1582306357_a.jpg</v>
      </c>
    </row>
    <row r="967" spans="1:31" ht="15" x14ac:dyDescent="0.25">
      <c r="A967" t="s">
        <v>2474</v>
      </c>
      <c r="B967" t="s">
        <v>8015</v>
      </c>
      <c r="C967" s="221">
        <v>42963.15221064815</v>
      </c>
      <c r="D967" t="s">
        <v>8016</v>
      </c>
      <c r="E967" s="249" t="str">
        <f>HYPERLINK("https://www.instagram.com/p/BX2LqOhFgjL/")</f>
        <v>https://www.instagram.com/p/BX2LqOhFgjL/</v>
      </c>
      <c r="F967" t="s">
        <v>8017</v>
      </c>
      <c r="G967" t="s">
        <v>2478</v>
      </c>
      <c r="H967">
        <v>383</v>
      </c>
      <c r="I967" t="s">
        <v>2479</v>
      </c>
      <c r="J967">
        <v>0</v>
      </c>
      <c r="K967">
        <v>75</v>
      </c>
      <c r="L967">
        <v>75</v>
      </c>
      <c r="Q967">
        <v>0</v>
      </c>
      <c r="R967">
        <v>0</v>
      </c>
      <c r="S967">
        <v>75</v>
      </c>
      <c r="T967" t="s">
        <v>8018</v>
      </c>
      <c r="V967" t="s">
        <v>2264</v>
      </c>
      <c r="W967">
        <v>42.6</v>
      </c>
      <c r="X967">
        <v>-0.3</v>
      </c>
      <c r="Y967" t="s">
        <v>8019</v>
      </c>
      <c r="Z967" t="s">
        <v>8020</v>
      </c>
      <c r="AA967" t="s">
        <v>8021</v>
      </c>
      <c r="AB967" t="s">
        <v>2497</v>
      </c>
      <c r="AC967" t="s">
        <v>8022</v>
      </c>
      <c r="AD967" s="249" t="str">
        <f>HYPERLINK("https://scontent.cdninstagram.com/t51.2885-15/s320x320/e35/c257.0.565.565/20766505_142862129638870_4138756303197569024_n.jpg")</f>
        <v>https://scontent.cdninstagram.com/t51.2885-15/s320x320/e35/c257.0.565.565/20766505_142862129638870_4138756303197569024_n.jpg</v>
      </c>
      <c r="AE967" s="249" t="str">
        <f>HYPERLINK("https://scontent.cdninstagram.com/t51.2885-19/10725092_1500831486834757_1059755663_a.jpg")</f>
        <v>https://scontent.cdninstagram.com/t51.2885-19/10725092_1500831486834757_1059755663_a.jpg</v>
      </c>
    </row>
    <row r="968" spans="1:31" ht="15" x14ac:dyDescent="0.25">
      <c r="A968" t="s">
        <v>2474</v>
      </c>
      <c r="B968" t="s">
        <v>8023</v>
      </c>
      <c r="C968" s="221">
        <v>42963.15284722222</v>
      </c>
      <c r="D968" t="s">
        <v>8024</v>
      </c>
      <c r="E968" s="249" t="str">
        <f>HYPERLINK("https://www.instagram.com/p/BX2Lw8IhmES/")</f>
        <v>https://www.instagram.com/p/BX2Lw8IhmES/</v>
      </c>
      <c r="F968" t="s">
        <v>8025</v>
      </c>
      <c r="G968" t="s">
        <v>2478</v>
      </c>
      <c r="H968">
        <v>304</v>
      </c>
      <c r="I968" t="s">
        <v>2903</v>
      </c>
      <c r="J968">
        <v>0</v>
      </c>
      <c r="K968">
        <v>12</v>
      </c>
      <c r="L968">
        <v>12</v>
      </c>
      <c r="Q968">
        <v>0</v>
      </c>
      <c r="R968">
        <v>0</v>
      </c>
      <c r="S968">
        <v>12</v>
      </c>
      <c r="Y968" t="s">
        <v>2497</v>
      </c>
      <c r="Z968" t="s">
        <v>2866</v>
      </c>
      <c r="AA968" t="s">
        <v>8026</v>
      </c>
      <c r="AB968" t="s">
        <v>8027</v>
      </c>
      <c r="AC968" t="s">
        <v>8028</v>
      </c>
      <c r="AD968" s="249" t="str">
        <f>HYPERLINK("https://scontent.cdninstagram.com/t51.2885-15/s320x320/e35/20836938_432766587116808_2070687515328643072_n.jpg")</f>
        <v>https://scontent.cdninstagram.com/t51.2885-15/s320x320/e35/20836938_432766587116808_2070687515328643072_n.jpg</v>
      </c>
      <c r="AE968" s="249" t="str">
        <f>HYPERLINK("https://scontent.cdninstagram.com/t51.2885-19/s150x150/15253237_1804445319813269_2410312389267292160_a.jpg")</f>
        <v>https://scontent.cdninstagram.com/t51.2885-19/s150x150/15253237_1804445319813269_2410312389267292160_a.jpg</v>
      </c>
    </row>
    <row r="969" spans="1:31" ht="15" x14ac:dyDescent="0.25">
      <c r="A969" t="s">
        <v>2474</v>
      </c>
      <c r="B969" t="s">
        <v>2636</v>
      </c>
      <c r="C969" s="221">
        <v>42963.159097222226</v>
      </c>
      <c r="D969" t="s">
        <v>8029</v>
      </c>
      <c r="E969" s="249" t="str">
        <f>HYPERLINK("https://www.instagram.com/p/BX2My03HJ59/")</f>
        <v>https://www.instagram.com/p/BX2My03HJ59/</v>
      </c>
      <c r="F969" t="s">
        <v>8030</v>
      </c>
      <c r="G969" t="s">
        <v>2488</v>
      </c>
      <c r="H969">
        <v>300</v>
      </c>
      <c r="I969" t="s">
        <v>2479</v>
      </c>
      <c r="J969">
        <v>6</v>
      </c>
      <c r="K969">
        <v>55</v>
      </c>
      <c r="L969">
        <v>61</v>
      </c>
      <c r="Q969">
        <v>0</v>
      </c>
      <c r="R969">
        <v>0</v>
      </c>
      <c r="S969">
        <v>61</v>
      </c>
      <c r="Y969" t="s">
        <v>8031</v>
      </c>
      <c r="Z969" t="s">
        <v>8032</v>
      </c>
      <c r="AA969" t="s">
        <v>2513</v>
      </c>
      <c r="AB969" t="s">
        <v>2497</v>
      </c>
      <c r="AC969" t="s">
        <v>2636</v>
      </c>
      <c r="AD969" s="249" t="str">
        <f>HYPERLINK("https://scontent.cdninstagram.com/t51.2885-15/s320x320/e35/20838771_268854196939978_285423198411948032_n.jpg")</f>
        <v>https://scontent.cdninstagram.com/t51.2885-15/s320x320/e35/20838771_268854196939978_285423198411948032_n.jpg</v>
      </c>
      <c r="AE969" s="249" t="str">
        <f>HYPERLINK("https://scontent.cdninstagram.com/t51.2885-19/s150x150/15802797_1331780626878656_4160680230047973376_a.jpg")</f>
        <v>https://scontent.cdninstagram.com/t51.2885-19/s150x150/15802797_1331780626878656_4160680230047973376_a.jpg</v>
      </c>
    </row>
    <row r="970" spans="1:31" ht="15" x14ac:dyDescent="0.25">
      <c r="A970" t="s">
        <v>2474</v>
      </c>
      <c r="B970" t="s">
        <v>8033</v>
      </c>
      <c r="C970" s="221">
        <v>42963.159884259258</v>
      </c>
      <c r="D970" t="s">
        <v>8034</v>
      </c>
      <c r="E970" s="249" t="str">
        <f>HYPERLINK("https://www.instagram.com/p/BX2M7MRAq9T/")</f>
        <v>https://www.instagram.com/p/BX2M7MRAq9T/</v>
      </c>
      <c r="F970" t="s">
        <v>8035</v>
      </c>
      <c r="G970" t="s">
        <v>2478</v>
      </c>
      <c r="H970">
        <v>352</v>
      </c>
      <c r="I970" t="s">
        <v>2479</v>
      </c>
      <c r="J970">
        <v>0</v>
      </c>
      <c r="K970">
        <v>11</v>
      </c>
      <c r="L970">
        <v>11</v>
      </c>
      <c r="Q970">
        <v>0</v>
      </c>
      <c r="R970">
        <v>0</v>
      </c>
      <c r="S970">
        <v>11</v>
      </c>
      <c r="Y970" t="s">
        <v>2497</v>
      </c>
      <c r="AD970" s="249" t="str">
        <f>HYPERLINK("https://scontent.cdninstagram.com/t51.2885-15/s320x320/e15/c135.0.810.810/20837582_1335359846587285_1253321235643760640_n.jpg")</f>
        <v>https://scontent.cdninstagram.com/t51.2885-15/s320x320/e15/c135.0.810.810/20837582_1335359846587285_1253321235643760640_n.jpg</v>
      </c>
      <c r="AE970" s="249" t="str">
        <f>HYPERLINK("https://scontent.cdninstagram.com/t51.2885-19/s150x150/12531046_484539598402480_829839676_a.jpg")</f>
        <v>https://scontent.cdninstagram.com/t51.2885-19/s150x150/12531046_484539598402480_829839676_a.jpg</v>
      </c>
    </row>
    <row r="971" spans="1:31" ht="15" x14ac:dyDescent="0.25">
      <c r="A971" t="s">
        <v>2474</v>
      </c>
      <c r="B971" t="s">
        <v>8036</v>
      </c>
      <c r="C971" s="221">
        <v>42963.16302083333</v>
      </c>
      <c r="D971" t="s">
        <v>8037</v>
      </c>
      <c r="E971" s="249" t="str">
        <f>HYPERLINK("https://www.instagram.com/p/BX2NcSmFRqY/")</f>
        <v>https://www.instagram.com/p/BX2NcSmFRqY/</v>
      </c>
      <c r="F971" t="s">
        <v>8038</v>
      </c>
      <c r="G971" t="s">
        <v>2478</v>
      </c>
      <c r="H971">
        <v>766</v>
      </c>
      <c r="I971" t="s">
        <v>2599</v>
      </c>
      <c r="J971">
        <v>20</v>
      </c>
      <c r="K971">
        <v>87</v>
      </c>
      <c r="L971">
        <v>107</v>
      </c>
      <c r="Q971">
        <v>0</v>
      </c>
      <c r="R971">
        <v>0</v>
      </c>
      <c r="S971">
        <v>107</v>
      </c>
      <c r="T971" t="s">
        <v>8039</v>
      </c>
      <c r="V971" t="s">
        <v>2264</v>
      </c>
      <c r="W971">
        <v>41.379952969766997</v>
      </c>
      <c r="X971">
        <v>2.1860468520310001</v>
      </c>
      <c r="Y971" t="s">
        <v>3209</v>
      </c>
      <c r="Z971" t="s">
        <v>8040</v>
      </c>
      <c r="AA971" t="s">
        <v>8041</v>
      </c>
      <c r="AB971" t="s">
        <v>2576</v>
      </c>
      <c r="AC971" t="s">
        <v>8042</v>
      </c>
      <c r="AD971" s="249" t="str">
        <f>HYPERLINK("https://scontent.cdninstagram.com/t51.2885-15/s320x320/e35/c1.0.999.999/20836997_110631479627269_7977183118392033280_n.jpg")</f>
        <v>https://scontent.cdninstagram.com/t51.2885-15/s320x320/e35/c1.0.999.999/20836997_110631479627269_7977183118392033280_n.jpg</v>
      </c>
      <c r="AE971" s="249" t="str">
        <f>HYPERLINK("https://scontent.cdninstagram.com/t51.2885-19/s150x150/19535404_644571925754148_492290701950713856_a.jpg")</f>
        <v>https://scontent.cdninstagram.com/t51.2885-19/s150x150/19535404_644571925754148_492290701950713856_a.jpg</v>
      </c>
    </row>
    <row r="972" spans="1:31" ht="15" x14ac:dyDescent="0.25">
      <c r="A972" t="s">
        <v>2474</v>
      </c>
      <c r="B972" t="s">
        <v>8043</v>
      </c>
      <c r="C972" s="221">
        <v>42963.166284722225</v>
      </c>
      <c r="D972" t="s">
        <v>8044</v>
      </c>
      <c r="E972" s="249" t="str">
        <f>HYPERLINK("https://www.instagram.com/p/BX2N-uFgYRa/")</f>
        <v>https://www.instagram.com/p/BX2N-uFgYRa/</v>
      </c>
      <c r="F972" t="s">
        <v>8045</v>
      </c>
      <c r="G972" t="s">
        <v>2478</v>
      </c>
      <c r="H972">
        <v>424</v>
      </c>
      <c r="I972" t="s">
        <v>2479</v>
      </c>
      <c r="J972">
        <v>0</v>
      </c>
      <c r="K972">
        <v>50</v>
      </c>
      <c r="L972">
        <v>50</v>
      </c>
      <c r="Q972">
        <v>0</v>
      </c>
      <c r="R972">
        <v>0</v>
      </c>
      <c r="S972">
        <v>50</v>
      </c>
      <c r="Y972" t="s">
        <v>8046</v>
      </c>
      <c r="Z972" t="s">
        <v>8047</v>
      </c>
      <c r="AA972" t="s">
        <v>4995</v>
      </c>
      <c r="AB972" t="s">
        <v>8048</v>
      </c>
      <c r="AC972" t="s">
        <v>8049</v>
      </c>
      <c r="AD972" s="249" t="str">
        <f>HYPERLINK("https://scontent.cdninstagram.com/t51.2885-15/s320x320/e35/20837360_293157297759352_5184779228607938560_n.jpg")</f>
        <v>https://scontent.cdninstagram.com/t51.2885-15/s320x320/e35/20837360_293157297759352_5184779228607938560_n.jpg</v>
      </c>
      <c r="AE972" s="249" t="str">
        <f>HYPERLINK("https://scontent.cdninstagram.com/t51.2885-19/s150x150/19761893_1952362374977664_5472910511274196992_a.jpg")</f>
        <v>https://scontent.cdninstagram.com/t51.2885-19/s150x150/19761893_1952362374977664_5472910511274196992_a.jpg</v>
      </c>
    </row>
    <row r="973" spans="1:31" ht="15" x14ac:dyDescent="0.25">
      <c r="A973" t="s">
        <v>2474</v>
      </c>
      <c r="B973" t="s">
        <v>8050</v>
      </c>
      <c r="C973" s="221">
        <v>42963.168194444443</v>
      </c>
      <c r="D973" t="s">
        <v>8051</v>
      </c>
      <c r="E973" s="249" t="str">
        <f>HYPERLINK("https://www.instagram.com/p/BX2OSxulEpt/")</f>
        <v>https://www.instagram.com/p/BX2OSxulEpt/</v>
      </c>
      <c r="F973" t="s">
        <v>8052</v>
      </c>
      <c r="G973" t="s">
        <v>2478</v>
      </c>
      <c r="H973">
        <v>3221</v>
      </c>
      <c r="I973" t="s">
        <v>2479</v>
      </c>
      <c r="J973">
        <v>1</v>
      </c>
      <c r="K973">
        <v>82</v>
      </c>
      <c r="L973">
        <v>83</v>
      </c>
      <c r="Q973">
        <v>0</v>
      </c>
      <c r="R973">
        <v>0</v>
      </c>
      <c r="S973">
        <v>83</v>
      </c>
      <c r="Y973" t="s">
        <v>8053</v>
      </c>
      <c r="Z973" t="s">
        <v>2497</v>
      </c>
      <c r="AA973" t="s">
        <v>8054</v>
      </c>
      <c r="AB973" t="s">
        <v>2513</v>
      </c>
      <c r="AC973" t="s">
        <v>3671</v>
      </c>
      <c r="AD973" s="249" t="str">
        <f>HYPERLINK("https://scontent.cdninstagram.com/t51.2885-15/s320x320/e35/c0.135.1080.1080/20902350_1811776719071882_6907618936066408448_n.jpg")</f>
        <v>https://scontent.cdninstagram.com/t51.2885-15/s320x320/e35/c0.135.1080.1080/20902350_1811776719071882_6907618936066408448_n.jpg</v>
      </c>
      <c r="AE973" s="249" t="str">
        <f>HYPERLINK("https://scontent.cdninstagram.com/t51.2885-19/s150x150/15099436_387196058279831_4262956745829122048_a.jpg")</f>
        <v>https://scontent.cdninstagram.com/t51.2885-19/s150x150/15099436_387196058279831_4262956745829122048_a.jpg</v>
      </c>
    </row>
    <row r="974" spans="1:31" ht="15" x14ac:dyDescent="0.25">
      <c r="A974" t="s">
        <v>2474</v>
      </c>
      <c r="B974" t="s">
        <v>8055</v>
      </c>
      <c r="C974" s="221">
        <v>42963.176030092596</v>
      </c>
      <c r="D974" t="s">
        <v>8056</v>
      </c>
      <c r="E974" s="249" t="str">
        <f>HYPERLINK("https://www.instagram.com/p/BX2PldvAHd_/")</f>
        <v>https://www.instagram.com/p/BX2PldvAHd_/</v>
      </c>
      <c r="F974" t="s">
        <v>8057</v>
      </c>
      <c r="G974" t="s">
        <v>2478</v>
      </c>
      <c r="H974">
        <v>31</v>
      </c>
      <c r="I974" t="s">
        <v>2479</v>
      </c>
      <c r="J974">
        <v>0</v>
      </c>
      <c r="K974">
        <v>36</v>
      </c>
      <c r="L974">
        <v>36</v>
      </c>
      <c r="Q974">
        <v>0</v>
      </c>
      <c r="R974">
        <v>0</v>
      </c>
      <c r="S974">
        <v>36</v>
      </c>
      <c r="Y974" t="s">
        <v>2497</v>
      </c>
      <c r="Z974" t="s">
        <v>2513</v>
      </c>
      <c r="AA974" t="s">
        <v>8058</v>
      </c>
      <c r="AB974" t="s">
        <v>8059</v>
      </c>
      <c r="AC974" t="s">
        <v>8060</v>
      </c>
      <c r="AD974" s="249" t="str">
        <f>HYPERLINK("https://scontent.cdninstagram.com/t51.2885-15/s320x320/e35/c0.13.1080.1080/20766923_154661208448104_5657312969327902720_n.jpg")</f>
        <v>https://scontent.cdninstagram.com/t51.2885-15/s320x320/e35/c0.13.1080.1080/20766923_154661208448104_5657312969327902720_n.jpg</v>
      </c>
      <c r="AE974" s="249" t="str">
        <f>HYPERLINK("https://scontent.cdninstagram.com/t51.2885-19/s150x150/19425279_1262115410553399_1013365042063605760_n.jpg")</f>
        <v>https://scontent.cdninstagram.com/t51.2885-19/s150x150/19425279_1262115410553399_1013365042063605760_n.jpg</v>
      </c>
    </row>
    <row r="975" spans="1:31" ht="15" x14ac:dyDescent="0.25">
      <c r="A975" t="s">
        <v>2474</v>
      </c>
      <c r="B975" t="s">
        <v>8061</v>
      </c>
      <c r="C975" s="221">
        <v>42963.180590277778</v>
      </c>
      <c r="D975" t="s">
        <v>8062</v>
      </c>
      <c r="E975" s="249" t="str">
        <f>HYPERLINK("https://www.instagram.com/p/BX2QVhnhDYP/")</f>
        <v>https://www.instagram.com/p/BX2QVhnhDYP/</v>
      </c>
      <c r="F975" t="s">
        <v>8063</v>
      </c>
      <c r="G975" t="s">
        <v>2478</v>
      </c>
      <c r="H975">
        <v>224</v>
      </c>
      <c r="I975" t="s">
        <v>2927</v>
      </c>
      <c r="J975">
        <v>1</v>
      </c>
      <c r="K975">
        <v>50</v>
      </c>
      <c r="L975">
        <v>51</v>
      </c>
      <c r="Q975">
        <v>0</v>
      </c>
      <c r="R975">
        <v>0</v>
      </c>
      <c r="S975">
        <v>51</v>
      </c>
      <c r="Y975" t="s">
        <v>4808</v>
      </c>
      <c r="Z975" t="s">
        <v>2497</v>
      </c>
      <c r="AA975" t="s">
        <v>2730</v>
      </c>
      <c r="AB975" t="s">
        <v>8064</v>
      </c>
      <c r="AC975" t="s">
        <v>2777</v>
      </c>
      <c r="AD975" s="249" t="str">
        <f>HYPERLINK("https://scontent.cdninstagram.com/t51.2885-15/s320x320/e35/20766634_836681556491605_4820450974093017088_n.jpg")</f>
        <v>https://scontent.cdninstagram.com/t51.2885-15/s320x320/e35/20766634_836681556491605_4820450974093017088_n.jpg</v>
      </c>
      <c r="AE975" s="249" t="str">
        <f>HYPERLINK("https://scontent.cdninstagram.com/t51.2885-19/s150x150/18382176_507508806040181_2168538097376034816_a.jpg")</f>
        <v>https://scontent.cdninstagram.com/t51.2885-19/s150x150/18382176_507508806040181_2168538097376034816_a.jpg</v>
      </c>
    </row>
    <row r="976" spans="1:31" ht="15" x14ac:dyDescent="0.25">
      <c r="A976" t="s">
        <v>2474</v>
      </c>
      <c r="B976" t="s">
        <v>7928</v>
      </c>
      <c r="C976" s="221">
        <v>42963.1874537037</v>
      </c>
      <c r="D976" t="s">
        <v>8065</v>
      </c>
      <c r="E976" s="249" t="str">
        <f>HYPERLINK("https://www.instagram.com/p/BX2Rd3vhPRK/")</f>
        <v>https://www.instagram.com/p/BX2Rd3vhPRK/</v>
      </c>
      <c r="F976" t="s">
        <v>8066</v>
      </c>
      <c r="G976" t="s">
        <v>2478</v>
      </c>
      <c r="H976">
        <v>1010</v>
      </c>
      <c r="I976" t="s">
        <v>2510</v>
      </c>
      <c r="J976">
        <v>0</v>
      </c>
      <c r="K976">
        <v>74</v>
      </c>
      <c r="L976">
        <v>74</v>
      </c>
      <c r="Q976">
        <v>0</v>
      </c>
      <c r="R976">
        <v>0</v>
      </c>
      <c r="S976">
        <v>74</v>
      </c>
      <c r="Y976" t="s">
        <v>8067</v>
      </c>
      <c r="Z976" t="s">
        <v>2497</v>
      </c>
      <c r="AA976" t="s">
        <v>2492</v>
      </c>
      <c r="AB976" t="s">
        <v>7932</v>
      </c>
      <c r="AD976" s="249" t="str">
        <f>HYPERLINK("https://scontent.cdninstagram.com/t51.2885-15/s320x320/e35/c0.122.974.974/20838483_136890126824942_3177399651481419776_n.jpg")</f>
        <v>https://scontent.cdninstagram.com/t51.2885-15/s320x320/e35/c0.122.974.974/20838483_136890126824942_3177399651481419776_n.jpg</v>
      </c>
      <c r="AE976" s="249" t="str">
        <f>HYPERLINK("https://scontent.cdninstagram.com/t51.2885-19/s150x150/19985311_2006615152918872_5733674704711974912_a.jpg")</f>
        <v>https://scontent.cdninstagram.com/t51.2885-19/s150x150/19985311_2006615152918872_5733674704711974912_a.jpg</v>
      </c>
    </row>
    <row r="977" spans="1:31" ht="15" x14ac:dyDescent="0.25">
      <c r="A977" t="s">
        <v>2474</v>
      </c>
      <c r="B977" t="s">
        <v>8068</v>
      </c>
      <c r="C977" s="221">
        <v>42963.190254629626</v>
      </c>
      <c r="D977" t="s">
        <v>8069</v>
      </c>
      <c r="E977" s="249" t="str">
        <f>HYPERLINK("https://www.instagram.com/p/BX2R7gJFABt/")</f>
        <v>https://www.instagram.com/p/BX2R7gJFABt/</v>
      </c>
      <c r="F977" t="s">
        <v>8070</v>
      </c>
      <c r="G977" t="s">
        <v>2478</v>
      </c>
      <c r="H977">
        <v>2368</v>
      </c>
      <c r="I977" t="s">
        <v>2510</v>
      </c>
      <c r="J977">
        <v>0</v>
      </c>
      <c r="K977">
        <v>158</v>
      </c>
      <c r="L977">
        <v>158</v>
      </c>
      <c r="Q977">
        <v>0</v>
      </c>
      <c r="R977">
        <v>0</v>
      </c>
      <c r="S977">
        <v>158</v>
      </c>
      <c r="Y977" t="s">
        <v>8071</v>
      </c>
      <c r="Z977" t="s">
        <v>3549</v>
      </c>
      <c r="AA977" t="s">
        <v>5429</v>
      </c>
      <c r="AB977" t="s">
        <v>8072</v>
      </c>
      <c r="AC977" t="s">
        <v>2730</v>
      </c>
      <c r="AD977" s="249" t="str">
        <f>HYPERLINK("https://scontent.cdninstagram.com/t51.2885-15/s320x320/e35/c0.135.1080.1080/20902044_1917440885170328_2630967991956668416_n.jpg")</f>
        <v>https://scontent.cdninstagram.com/t51.2885-15/s320x320/e35/c0.135.1080.1080/20902044_1917440885170328_2630967991956668416_n.jpg</v>
      </c>
      <c r="AE977" s="249" t="str">
        <f>HYPERLINK("https://scontent.cdninstagram.com/t51.2885-19/s150x150/12965153_1161008217297289_1025665965_a.jpg")</f>
        <v>https://scontent.cdninstagram.com/t51.2885-19/s150x150/12965153_1161008217297289_1025665965_a.jpg</v>
      </c>
    </row>
    <row r="978" spans="1:31" ht="15" x14ac:dyDescent="0.25">
      <c r="A978" t="s">
        <v>2474</v>
      </c>
      <c r="B978" t="s">
        <v>4811</v>
      </c>
      <c r="C978" s="221">
        <v>42963.195601851854</v>
      </c>
      <c r="D978" t="s">
        <v>8073</v>
      </c>
      <c r="E978" s="249" t="str">
        <f>HYPERLINK("https://www.instagram.com/p/BX2Sz3vgqCy/")</f>
        <v>https://www.instagram.com/p/BX2Sz3vgqCy/</v>
      </c>
      <c r="F978" t="s">
        <v>8074</v>
      </c>
      <c r="G978" t="s">
        <v>2631</v>
      </c>
      <c r="H978">
        <v>940</v>
      </c>
      <c r="I978" t="s">
        <v>2479</v>
      </c>
      <c r="J978">
        <v>26</v>
      </c>
      <c r="K978">
        <v>193</v>
      </c>
      <c r="L978">
        <v>219</v>
      </c>
      <c r="Q978">
        <v>0</v>
      </c>
      <c r="R978">
        <v>0</v>
      </c>
      <c r="S978">
        <v>219</v>
      </c>
      <c r="Y978" t="s">
        <v>8075</v>
      </c>
      <c r="Z978" t="s">
        <v>8076</v>
      </c>
      <c r="AA978" t="s">
        <v>8077</v>
      </c>
      <c r="AB978" t="s">
        <v>2833</v>
      </c>
      <c r="AC978" t="s">
        <v>4816</v>
      </c>
      <c r="AD978" s="249" t="str">
        <f>HYPERLINK("https://scontent.cdninstagram.com/t51.2885-15/s320x320/e15/c0.89.720.720/20838662_230541507470186_8302690696821735424_n.jpg")</f>
        <v>https://scontent.cdninstagram.com/t51.2885-15/s320x320/e15/c0.89.720.720/20838662_230541507470186_8302690696821735424_n.jpg</v>
      </c>
      <c r="AE978" s="249" t="str">
        <f>HYPERLINK("https://scontent.cdninstagram.com/t51.2885-19/s150x150/16124251_1913091765603634_8004330562992996352_a.jpg")</f>
        <v>https://scontent.cdninstagram.com/t51.2885-19/s150x150/16124251_1913091765603634_8004330562992996352_a.jpg</v>
      </c>
    </row>
    <row r="979" spans="1:31" ht="15" x14ac:dyDescent="0.25">
      <c r="A979" t="s">
        <v>2474</v>
      </c>
      <c r="B979" t="s">
        <v>8078</v>
      </c>
      <c r="C979" s="221">
        <v>42963.204293981478</v>
      </c>
      <c r="D979" t="s">
        <v>8079</v>
      </c>
      <c r="E979" s="249" t="str">
        <f>HYPERLINK("https://www.instagram.com/p/BX2UPhnAH47/")</f>
        <v>https://www.instagram.com/p/BX2UPhnAH47/</v>
      </c>
      <c r="F979" t="s">
        <v>8080</v>
      </c>
      <c r="G979" t="s">
        <v>2478</v>
      </c>
      <c r="H979">
        <v>165</v>
      </c>
      <c r="I979" t="s">
        <v>2479</v>
      </c>
      <c r="J979">
        <v>1</v>
      </c>
      <c r="K979">
        <v>45</v>
      </c>
      <c r="L979">
        <v>46</v>
      </c>
      <c r="Q979">
        <v>0</v>
      </c>
      <c r="R979">
        <v>0</v>
      </c>
      <c r="S979">
        <v>46</v>
      </c>
      <c r="Y979" t="s">
        <v>8081</v>
      </c>
      <c r="Z979" t="s">
        <v>3174</v>
      </c>
      <c r="AA979" t="s">
        <v>5250</v>
      </c>
      <c r="AB979" t="s">
        <v>8082</v>
      </c>
      <c r="AC979" t="s">
        <v>8083</v>
      </c>
      <c r="AD979" s="249" t="str">
        <f>HYPERLINK("https://scontent.cdninstagram.com/t51.2885-15/s320x320/e35/20766800_352734558496088_4919996436134756352_n.jpg")</f>
        <v>https://scontent.cdninstagram.com/t51.2885-15/s320x320/e35/20766800_352734558496088_4919996436134756352_n.jpg</v>
      </c>
      <c r="AE979" s="249" t="str">
        <f>HYPERLINK("https://scontent.cdninstagram.com/t51.2885-19/s150x150/20969233_124009878239982_2503152196179197952_a.jpg")</f>
        <v>https://scontent.cdninstagram.com/t51.2885-19/s150x150/20969233_124009878239982_2503152196179197952_a.jpg</v>
      </c>
    </row>
    <row r="980" spans="1:31" ht="15" x14ac:dyDescent="0.25">
      <c r="A980" t="s">
        <v>2474</v>
      </c>
      <c r="B980" t="s">
        <v>2628</v>
      </c>
      <c r="C980" s="221">
        <v>42963.213090277779</v>
      </c>
      <c r="D980" t="s">
        <v>8084</v>
      </c>
      <c r="E980" s="249" t="str">
        <f>HYPERLINK("https://www.instagram.com/p/BX2VsQsA35L/")</f>
        <v>https://www.instagram.com/p/BX2VsQsA35L/</v>
      </c>
      <c r="F980" t="s">
        <v>6303</v>
      </c>
      <c r="G980" t="s">
        <v>2631</v>
      </c>
      <c r="H980">
        <v>178</v>
      </c>
      <c r="I980" t="s">
        <v>2479</v>
      </c>
      <c r="J980">
        <v>0</v>
      </c>
      <c r="K980">
        <v>34</v>
      </c>
      <c r="L980">
        <v>34</v>
      </c>
      <c r="Q980">
        <v>0</v>
      </c>
      <c r="R980">
        <v>0</v>
      </c>
      <c r="S980">
        <v>34</v>
      </c>
      <c r="Y980" t="s">
        <v>3477</v>
      </c>
      <c r="Z980" t="s">
        <v>8085</v>
      </c>
      <c r="AA980" t="s">
        <v>8086</v>
      </c>
      <c r="AB980" t="s">
        <v>8087</v>
      </c>
      <c r="AC980" t="s">
        <v>2633</v>
      </c>
      <c r="AD980" s="249" t="str">
        <f>HYPERLINK("https://scontent.cdninstagram.com/t51.2885-15/s320x320/e15/20837552_429679470766386_725960051252002816_n.jpg")</f>
        <v>https://scontent.cdninstagram.com/t51.2885-15/s320x320/e15/20837552_429679470766386_725960051252002816_n.jpg</v>
      </c>
      <c r="AE980" s="249" t="str">
        <f>HYPERLINK("https://scontent.cdninstagram.com/t51.2885-19/s150x150/13739472_923311071148595_1681273203_a.jpg")</f>
        <v>https://scontent.cdninstagram.com/t51.2885-19/s150x150/13739472_923311071148595_1681273203_a.jpg</v>
      </c>
    </row>
    <row r="981" spans="1:31" ht="15" x14ac:dyDescent="0.25">
      <c r="A981" t="s">
        <v>2474</v>
      </c>
      <c r="B981" t="s">
        <v>4132</v>
      </c>
      <c r="C981" s="221">
        <v>42963.221585648149</v>
      </c>
      <c r="D981" t="s">
        <v>8088</v>
      </c>
      <c r="E981" s="249" t="str">
        <f>HYPERLINK("https://www.instagram.com/p/BX2XF6WFjTf/")</f>
        <v>https://www.instagram.com/p/BX2XF6WFjTf/</v>
      </c>
      <c r="F981" t="s">
        <v>8089</v>
      </c>
      <c r="G981" t="s">
        <v>2478</v>
      </c>
      <c r="H981">
        <v>6884</v>
      </c>
      <c r="I981" t="s">
        <v>2479</v>
      </c>
      <c r="J981">
        <v>1</v>
      </c>
      <c r="K981">
        <v>26</v>
      </c>
      <c r="L981">
        <v>27</v>
      </c>
      <c r="Q981">
        <v>0</v>
      </c>
      <c r="R981">
        <v>0</v>
      </c>
      <c r="S981">
        <v>27</v>
      </c>
      <c r="Y981" t="s">
        <v>2594</v>
      </c>
      <c r="Z981" t="s">
        <v>5728</v>
      </c>
      <c r="AA981" t="s">
        <v>3477</v>
      </c>
      <c r="AB981" t="s">
        <v>2592</v>
      </c>
      <c r="AC981" t="s">
        <v>4138</v>
      </c>
      <c r="AD981" s="249" t="str">
        <f>HYPERLINK("https://scontent.cdninstagram.com/t51.2885-15/s320x320/e35/c37.0.566.566/20902078_111671132869038_110735771698200576_n.jpg")</f>
        <v>https://scontent.cdninstagram.com/t51.2885-15/s320x320/e35/c37.0.566.566/20902078_111671132869038_110735771698200576_n.jpg</v>
      </c>
      <c r="AE981" s="249" t="str">
        <f>HYPERLINK("https://scontent.cdninstagram.com/t51.2885-19/s150x150/15306012_1834743390099693_621234283125669888_a.jpg")</f>
        <v>https://scontent.cdninstagram.com/t51.2885-19/s150x150/15306012_1834743390099693_621234283125669888_a.jpg</v>
      </c>
    </row>
    <row r="982" spans="1:31" ht="15" x14ac:dyDescent="0.25">
      <c r="A982" t="s">
        <v>2474</v>
      </c>
      <c r="B982" t="s">
        <v>2685</v>
      </c>
      <c r="C982" s="221">
        <v>42963.23096064815</v>
      </c>
      <c r="D982" t="s">
        <v>8090</v>
      </c>
      <c r="E982" s="249" t="str">
        <f>HYPERLINK("https://www.instagram.com/p/BX2YozZF-9u/")</f>
        <v>https://www.instagram.com/p/BX2YozZF-9u/</v>
      </c>
      <c r="F982" t="s">
        <v>8091</v>
      </c>
      <c r="G982" t="s">
        <v>2478</v>
      </c>
      <c r="H982">
        <v>221</v>
      </c>
      <c r="I982" t="s">
        <v>2479</v>
      </c>
      <c r="J982">
        <v>2</v>
      </c>
      <c r="K982">
        <v>33</v>
      </c>
      <c r="L982">
        <v>35</v>
      </c>
      <c r="Q982">
        <v>0</v>
      </c>
      <c r="R982">
        <v>0</v>
      </c>
      <c r="S982">
        <v>35</v>
      </c>
      <c r="Y982" t="s">
        <v>6049</v>
      </c>
      <c r="Z982" t="s">
        <v>8092</v>
      </c>
      <c r="AA982" t="s">
        <v>8093</v>
      </c>
      <c r="AB982" t="s">
        <v>8094</v>
      </c>
      <c r="AC982" t="s">
        <v>8095</v>
      </c>
      <c r="AD982" s="249" t="str">
        <f>HYPERLINK("https://scontent.cdninstagram.com/t51.2885-15/s320x320/e35/20766803_1623557214342882_8281720007897907200_n.jpg")</f>
        <v>https://scontent.cdninstagram.com/t51.2885-15/s320x320/e35/20766803_1623557214342882_8281720007897907200_n.jpg</v>
      </c>
      <c r="AE982" s="249" t="str">
        <f>HYPERLINK("https://scontent.cdninstagram.com/t51.2885-19/s150x150/12339026_997056470351354_891418646_a.jpg")</f>
        <v>https://scontent.cdninstagram.com/t51.2885-19/s150x150/12339026_997056470351354_891418646_a.jpg</v>
      </c>
    </row>
    <row r="983" spans="1:31" ht="15" x14ac:dyDescent="0.25">
      <c r="A983" t="s">
        <v>2474</v>
      </c>
      <c r="B983" t="s">
        <v>5657</v>
      </c>
      <c r="C983" s="221">
        <v>42963.232048611113</v>
      </c>
      <c r="D983" t="s">
        <v>8096</v>
      </c>
      <c r="E983" s="249" t="str">
        <f>HYPERLINK("https://www.instagram.com/p/BX2Y0QaAnWg/")</f>
        <v>https://www.instagram.com/p/BX2Y0QaAnWg/</v>
      </c>
      <c r="F983" t="s">
        <v>8097</v>
      </c>
      <c r="G983" t="s">
        <v>2478</v>
      </c>
      <c r="H983">
        <v>71</v>
      </c>
      <c r="I983" t="s">
        <v>4523</v>
      </c>
      <c r="J983">
        <v>9</v>
      </c>
      <c r="K983">
        <v>37</v>
      </c>
      <c r="L983">
        <v>46</v>
      </c>
      <c r="Q983">
        <v>0</v>
      </c>
      <c r="R983">
        <v>0</v>
      </c>
      <c r="S983">
        <v>46</v>
      </c>
      <c r="Y983" t="s">
        <v>2497</v>
      </c>
      <c r="Z983" t="s">
        <v>4231</v>
      </c>
      <c r="AA983" t="s">
        <v>8098</v>
      </c>
      <c r="AB983" t="s">
        <v>2551</v>
      </c>
      <c r="AC983" t="s">
        <v>7748</v>
      </c>
      <c r="AD983" s="249" t="str">
        <f>HYPERLINK("https://scontent.cdninstagram.com/t51.2885-15/s320x320/e35/20766944_111987406169874_124007538470420480_n.jpg")</f>
        <v>https://scontent.cdninstagram.com/t51.2885-15/s320x320/e35/20766944_111987406169874_124007538470420480_n.jpg</v>
      </c>
      <c r="AE983" s="249" t="str">
        <f>HYPERLINK("https://scontent.cdninstagram.com/t51.2885-19/s150x150/18722414_1929874740617287_7467972564577419264_a.jpg")</f>
        <v>https://scontent.cdninstagram.com/t51.2885-19/s150x150/18722414_1929874740617287_7467972564577419264_a.jpg</v>
      </c>
    </row>
    <row r="984" spans="1:31" ht="15" x14ac:dyDescent="0.25">
      <c r="A984" t="s">
        <v>2474</v>
      </c>
      <c r="B984" t="s">
        <v>8099</v>
      </c>
      <c r="C984" s="221">
        <v>42963.232291666667</v>
      </c>
      <c r="D984" t="s">
        <v>8100</v>
      </c>
      <c r="E984" s="249" t="str">
        <f>HYPERLINK("https://www.instagram.com/p/BX2Y23VFY26/")</f>
        <v>https://www.instagram.com/p/BX2Y23VFY26/</v>
      </c>
      <c r="F984" t="s">
        <v>8101</v>
      </c>
      <c r="G984" t="s">
        <v>2478</v>
      </c>
      <c r="H984">
        <v>596</v>
      </c>
      <c r="I984" t="s">
        <v>2479</v>
      </c>
      <c r="J984">
        <v>2</v>
      </c>
      <c r="K984">
        <v>23</v>
      </c>
      <c r="L984">
        <v>25</v>
      </c>
      <c r="Q984">
        <v>0</v>
      </c>
      <c r="R984">
        <v>0</v>
      </c>
      <c r="S984">
        <v>25</v>
      </c>
      <c r="Y984" t="s">
        <v>8102</v>
      </c>
      <c r="Z984" t="s">
        <v>8103</v>
      </c>
      <c r="AA984" t="s">
        <v>8104</v>
      </c>
      <c r="AB984" t="s">
        <v>8105</v>
      </c>
      <c r="AC984" t="s">
        <v>8106</v>
      </c>
      <c r="AD984" s="249" t="str">
        <f>HYPERLINK("https://scontent.cdninstagram.com/t51.2885-15/s320x320/e35/c0.93.874.874/20838282_1439435946144395_5496059410042060800_n.jpg")</f>
        <v>https://scontent.cdninstagram.com/t51.2885-15/s320x320/e35/c0.93.874.874/20838282_1439435946144395_5496059410042060800_n.jpg</v>
      </c>
      <c r="AE984" s="249" t="str">
        <f>HYPERLINK("https://scontent.cdninstagram.com/t51.2885-19/s150x150/17494245_919180668223803_3444375179378032640_a.jpg")</f>
        <v>https://scontent.cdninstagram.com/t51.2885-19/s150x150/17494245_919180668223803_3444375179378032640_a.jpg</v>
      </c>
    </row>
    <row r="985" spans="1:31" ht="15" x14ac:dyDescent="0.25">
      <c r="A985" t="s">
        <v>2474</v>
      </c>
      <c r="B985" t="s">
        <v>8107</v>
      </c>
      <c r="C985" s="221">
        <v>42963.235231481478</v>
      </c>
      <c r="D985" t="s">
        <v>8108</v>
      </c>
      <c r="E985" s="249" t="str">
        <f>HYPERLINK("https://www.instagram.com/p/BX2ZVzqAMMd/")</f>
        <v>https://www.instagram.com/p/BX2ZVzqAMMd/</v>
      </c>
      <c r="F985" t="s">
        <v>8109</v>
      </c>
      <c r="G985" t="s">
        <v>2478</v>
      </c>
      <c r="H985">
        <v>316</v>
      </c>
      <c r="I985" t="s">
        <v>2542</v>
      </c>
      <c r="J985">
        <v>0</v>
      </c>
      <c r="K985">
        <v>46</v>
      </c>
      <c r="L985">
        <v>46</v>
      </c>
      <c r="Q985">
        <v>0</v>
      </c>
      <c r="R985">
        <v>0</v>
      </c>
      <c r="S985">
        <v>46</v>
      </c>
      <c r="Y985" t="s">
        <v>8110</v>
      </c>
      <c r="Z985" t="s">
        <v>8111</v>
      </c>
      <c r="AA985" t="s">
        <v>3132</v>
      </c>
      <c r="AB985" t="s">
        <v>8112</v>
      </c>
      <c r="AC985" t="s">
        <v>5625</v>
      </c>
      <c r="AD985" s="249" t="str">
        <f>HYPERLINK("https://scontent.cdninstagram.com/t51.2885-15/s320x320/e35/c0.135.1080.1080/20766777_109511273077485_6502154167690199040_n.jpg")</f>
        <v>https://scontent.cdninstagram.com/t51.2885-15/s320x320/e35/c0.135.1080.1080/20766777_109511273077485_6502154167690199040_n.jpg</v>
      </c>
      <c r="AE985" s="249" t="str">
        <f>HYPERLINK("https://scontent.cdninstagram.com/t51.2885-19/s150x150/20482729_462421874135899_9220730679212376064_a.jpg")</f>
        <v>https://scontent.cdninstagram.com/t51.2885-19/s150x150/20482729_462421874135899_9220730679212376064_a.jpg</v>
      </c>
    </row>
    <row r="986" spans="1:31" ht="15" x14ac:dyDescent="0.25">
      <c r="A986" t="s">
        <v>2474</v>
      </c>
      <c r="B986" t="s">
        <v>8113</v>
      </c>
      <c r="C986" s="221">
        <v>42963.242939814816</v>
      </c>
      <c r="D986" t="s">
        <v>8114</v>
      </c>
      <c r="E986" s="249" t="str">
        <f>HYPERLINK("https://www.instagram.com/p/BX2anEuFpFr/")</f>
        <v>https://www.instagram.com/p/BX2anEuFpFr/</v>
      </c>
      <c r="F986" t="s">
        <v>8115</v>
      </c>
      <c r="G986" t="s">
        <v>2478</v>
      </c>
      <c r="H986">
        <v>151</v>
      </c>
      <c r="I986" t="s">
        <v>2542</v>
      </c>
      <c r="J986">
        <v>0</v>
      </c>
      <c r="K986">
        <v>54</v>
      </c>
      <c r="L986">
        <v>54</v>
      </c>
      <c r="Q986">
        <v>0</v>
      </c>
      <c r="R986">
        <v>0</v>
      </c>
      <c r="S986">
        <v>54</v>
      </c>
      <c r="T986" t="s">
        <v>4052</v>
      </c>
      <c r="V986" t="s">
        <v>2264</v>
      </c>
      <c r="W986">
        <v>39.466666666667003</v>
      </c>
      <c r="X986">
        <v>-0.375</v>
      </c>
      <c r="Y986" t="s">
        <v>8116</v>
      </c>
      <c r="Z986" t="s">
        <v>2497</v>
      </c>
      <c r="AA986" t="s">
        <v>5187</v>
      </c>
      <c r="AB986" t="s">
        <v>4778</v>
      </c>
      <c r="AC986" t="s">
        <v>4374</v>
      </c>
      <c r="AD986" s="249" t="str">
        <f>HYPERLINK("https://scontent.cdninstagram.com/t51.2885-15/s320x320/e35/c0.129.1080.1080/20836884_1878277335770907_1750149725161521152_n.jpg")</f>
        <v>https://scontent.cdninstagram.com/t51.2885-15/s320x320/e35/c0.129.1080.1080/20836884_1878277335770907_1750149725161521152_n.jpg</v>
      </c>
      <c r="AE986" s="249" t="str">
        <f>HYPERLINK("https://scontent.cdninstagram.com/t51.2885-19/s150x150/20225872_462992957411218_4214988248964923392_a.jpg")</f>
        <v>https://scontent.cdninstagram.com/t51.2885-19/s150x150/20225872_462992957411218_4214988248964923392_a.jpg</v>
      </c>
    </row>
    <row r="987" spans="1:31" ht="15" x14ac:dyDescent="0.25">
      <c r="A987" t="s">
        <v>2474</v>
      </c>
      <c r="B987" t="s">
        <v>4982</v>
      </c>
      <c r="C987" s="221">
        <v>42963.244942129626</v>
      </c>
      <c r="D987" t="s">
        <v>8117</v>
      </c>
      <c r="E987" s="249" t="str">
        <f>HYPERLINK("https://www.instagram.com/p/BX2a8PBjd5N/")</f>
        <v>https://www.instagram.com/p/BX2a8PBjd5N/</v>
      </c>
      <c r="F987" t="s">
        <v>8118</v>
      </c>
      <c r="G987" t="s">
        <v>2478</v>
      </c>
      <c r="H987">
        <v>410</v>
      </c>
      <c r="I987" t="s">
        <v>2479</v>
      </c>
      <c r="J987">
        <v>2</v>
      </c>
      <c r="K987">
        <v>41</v>
      </c>
      <c r="L987">
        <v>43</v>
      </c>
      <c r="Q987">
        <v>0</v>
      </c>
      <c r="R987">
        <v>0</v>
      </c>
      <c r="S987">
        <v>43</v>
      </c>
      <c r="Y987" t="s">
        <v>4863</v>
      </c>
      <c r="Z987" t="s">
        <v>6806</v>
      </c>
      <c r="AA987" t="s">
        <v>4989</v>
      </c>
      <c r="AB987" t="s">
        <v>4296</v>
      </c>
      <c r="AC987" t="s">
        <v>8119</v>
      </c>
      <c r="AD987" s="249" t="str">
        <f>HYPERLINK("https://scontent.cdninstagram.com/t51.2885-15/s320x320/e35/20838967_2041782716051060_8982149364793212928_n.jpg")</f>
        <v>https://scontent.cdninstagram.com/t51.2885-15/s320x320/e35/20838967_2041782716051060_8982149364793212928_n.jpg</v>
      </c>
      <c r="AE987" s="249" t="str">
        <f>HYPERLINK("https://scontent.cdninstagram.com/t51.2885-19/s150x150/20837251_299121970554939_1401977110389587968_a.jpg")</f>
        <v>https://scontent.cdninstagram.com/t51.2885-19/s150x150/20837251_299121970554939_1401977110389587968_a.jpg</v>
      </c>
    </row>
    <row r="988" spans="1:31" ht="15" x14ac:dyDescent="0.25">
      <c r="A988" t="s">
        <v>2474</v>
      </c>
      <c r="B988" t="s">
        <v>2588</v>
      </c>
      <c r="C988" s="221">
        <v>42963.247858796298</v>
      </c>
      <c r="D988" t="s">
        <v>8120</v>
      </c>
      <c r="E988" s="249" t="str">
        <f>HYPERLINK("https://www.instagram.com/p/BX2bbEogQGP/")</f>
        <v>https://www.instagram.com/p/BX2bbEogQGP/</v>
      </c>
      <c r="F988" t="s">
        <v>8121</v>
      </c>
      <c r="G988" t="s">
        <v>2478</v>
      </c>
      <c r="H988">
        <v>288</v>
      </c>
      <c r="I988" t="s">
        <v>2479</v>
      </c>
      <c r="J988">
        <v>19</v>
      </c>
      <c r="K988">
        <v>546</v>
      </c>
      <c r="L988">
        <v>565</v>
      </c>
      <c r="Q988">
        <v>0</v>
      </c>
      <c r="R988">
        <v>0</v>
      </c>
      <c r="S988">
        <v>565</v>
      </c>
      <c r="AD988" s="249" t="str">
        <f>HYPERLINK("https://scontent.cdninstagram.com/t51.2885-15/s320x320/e35/c35.0.570.570/20836960_1913365085584603_8764535685576130560_n.jpg")</f>
        <v>https://scontent.cdninstagram.com/t51.2885-15/s320x320/e35/c35.0.570.570/20836960_1913365085584603_8764535685576130560_n.jpg</v>
      </c>
      <c r="AE988" s="249" t="str">
        <f>HYPERLINK("https://scontent.cdninstagram.com/t51.2885-19/s150x150/20633561_108840983138666_5897549723056734208_a.jpg")</f>
        <v>https://scontent.cdninstagram.com/t51.2885-19/s150x150/20633561_108840983138666_5897549723056734208_a.jpg</v>
      </c>
    </row>
    <row r="989" spans="1:31" ht="15" x14ac:dyDescent="0.25">
      <c r="A989" t="s">
        <v>2474</v>
      </c>
      <c r="B989" t="s">
        <v>8122</v>
      </c>
      <c r="C989" s="221">
        <v>42963.251400462963</v>
      </c>
      <c r="D989" t="s">
        <v>8123</v>
      </c>
      <c r="E989" s="249" t="str">
        <f>HYPERLINK("https://www.instagram.com/p/BX2cAVsBYIO/")</f>
        <v>https://www.instagram.com/p/BX2cAVsBYIO/</v>
      </c>
      <c r="F989" t="s">
        <v>8124</v>
      </c>
      <c r="G989" t="s">
        <v>2478</v>
      </c>
      <c r="H989">
        <v>355</v>
      </c>
      <c r="I989" t="s">
        <v>2479</v>
      </c>
      <c r="J989">
        <v>4</v>
      </c>
      <c r="K989">
        <v>106</v>
      </c>
      <c r="L989">
        <v>110</v>
      </c>
      <c r="Q989">
        <v>0</v>
      </c>
      <c r="R989">
        <v>0</v>
      </c>
      <c r="S989">
        <v>110</v>
      </c>
      <c r="T989" t="s">
        <v>8125</v>
      </c>
      <c r="V989" t="s">
        <v>2118</v>
      </c>
      <c r="W989">
        <v>-23.554480000000002</v>
      </c>
      <c r="X989">
        <v>-46.691180000000003</v>
      </c>
      <c r="Y989" t="s">
        <v>2497</v>
      </c>
      <c r="Z989" t="s">
        <v>8126</v>
      </c>
      <c r="AA989" t="s">
        <v>8127</v>
      </c>
      <c r="AB989" t="s">
        <v>8128</v>
      </c>
      <c r="AC989" t="s">
        <v>8129</v>
      </c>
      <c r="AD989" s="249" t="str">
        <f>HYPERLINK("https://scontent.cdninstagram.com/t51.2885-15/s320x320/e35/c0.117.937.937/20836940_303526580120593_4042223545965608960_n.jpg")</f>
        <v>https://scontent.cdninstagram.com/t51.2885-15/s320x320/e35/c0.117.937.937/20836940_303526580120593_4042223545965608960_n.jpg</v>
      </c>
      <c r="AE989" s="249" t="str">
        <f>HYPERLINK("https://scontent.cdninstagram.com/t51.2885-19/s150x150/20837302_1941354106139070_5703504921689587712_a.jpg")</f>
        <v>https://scontent.cdninstagram.com/t51.2885-19/s150x150/20837302_1941354106139070_5703504921689587712_a.jpg</v>
      </c>
    </row>
    <row r="990" spans="1:31" ht="15" x14ac:dyDescent="0.25">
      <c r="A990" t="s">
        <v>2474</v>
      </c>
      <c r="B990" t="s">
        <v>8130</v>
      </c>
      <c r="C990" s="221">
        <v>42963.251932870371</v>
      </c>
      <c r="D990" t="s">
        <v>8131</v>
      </c>
      <c r="E990" s="249" t="str">
        <f>HYPERLINK("https://www.instagram.com/p/BX2cF_QjTKo/")</f>
        <v>https://www.instagram.com/p/BX2cF_QjTKo/</v>
      </c>
      <c r="F990" t="s">
        <v>8132</v>
      </c>
      <c r="G990" t="s">
        <v>2478</v>
      </c>
      <c r="H990">
        <v>230</v>
      </c>
      <c r="I990" t="s">
        <v>3575</v>
      </c>
      <c r="J990">
        <v>0</v>
      </c>
      <c r="K990">
        <v>27</v>
      </c>
      <c r="L990">
        <v>27</v>
      </c>
      <c r="Q990">
        <v>0</v>
      </c>
      <c r="R990">
        <v>0</v>
      </c>
      <c r="S990">
        <v>27</v>
      </c>
      <c r="Y990" t="s">
        <v>2497</v>
      </c>
      <c r="Z990" t="s">
        <v>8133</v>
      </c>
      <c r="AA990" t="s">
        <v>2730</v>
      </c>
      <c r="AB990" t="s">
        <v>6082</v>
      </c>
      <c r="AC990" t="s">
        <v>8134</v>
      </c>
      <c r="AD990" s="249" t="str">
        <f>HYPERLINK("https://scontent.cdninstagram.com/t51.2885-15/s320x320/e35/20766513_397948257270042_7368756041195978752_n.jpg")</f>
        <v>https://scontent.cdninstagram.com/t51.2885-15/s320x320/e35/20766513_397948257270042_7368756041195978752_n.jpg</v>
      </c>
      <c r="AE990" s="249" t="str">
        <f>HYPERLINK("https://scontent.cdninstagram.com/t51.2885-19/11917766_499006406925101_584946046_a.jpg")</f>
        <v>https://scontent.cdninstagram.com/t51.2885-19/11917766_499006406925101_584946046_a.jpg</v>
      </c>
    </row>
    <row r="991" spans="1:31" ht="15" x14ac:dyDescent="0.25">
      <c r="A991" t="s">
        <v>2474</v>
      </c>
      <c r="B991" t="s">
        <v>8135</v>
      </c>
      <c r="C991" s="221">
        <v>42963.253460648149</v>
      </c>
      <c r="D991" t="s">
        <v>8136</v>
      </c>
      <c r="E991" s="249" t="str">
        <f>HYPERLINK("https://www.instagram.com/p/BX2cWDEDFyQ/")</f>
        <v>https://www.instagram.com/p/BX2cWDEDFyQ/</v>
      </c>
      <c r="F991" t="s">
        <v>8137</v>
      </c>
      <c r="G991" t="s">
        <v>2478</v>
      </c>
      <c r="H991">
        <v>7</v>
      </c>
      <c r="I991" t="s">
        <v>2479</v>
      </c>
      <c r="J991">
        <v>0</v>
      </c>
      <c r="K991">
        <v>2</v>
      </c>
      <c r="L991">
        <v>2</v>
      </c>
      <c r="Q991">
        <v>0</v>
      </c>
      <c r="R991">
        <v>0</v>
      </c>
      <c r="S991">
        <v>2</v>
      </c>
      <c r="Y991" t="s">
        <v>8095</v>
      </c>
      <c r="Z991" t="s">
        <v>2497</v>
      </c>
      <c r="AD991" s="249" t="str">
        <f>HYPERLINK("https://scontent.cdninstagram.com/t51.2885-15/s320x320/e35/20766642_250783922108835_7918674260682342400_n.jpg")</f>
        <v>https://scontent.cdninstagram.com/t51.2885-15/s320x320/e35/20766642_250783922108835_7918674260682342400_n.jpg</v>
      </c>
      <c r="AE991" s="249" t="str">
        <f>HYPERLINK("https://scontent.cdninstagram.com/t51.2885-19/s150x150/20759564_1970956779817233_7727369940507820032_a.jpg")</f>
        <v>https://scontent.cdninstagram.com/t51.2885-19/s150x150/20759564_1970956779817233_7727369940507820032_a.jpg</v>
      </c>
    </row>
    <row r="992" spans="1:31" ht="15" x14ac:dyDescent="0.25">
      <c r="A992" t="s">
        <v>2474</v>
      </c>
      <c r="B992" t="s">
        <v>8138</v>
      </c>
      <c r="C992" s="221">
        <v>42963.254108796296</v>
      </c>
      <c r="D992" t="s">
        <v>8139</v>
      </c>
      <c r="E992" s="249" t="str">
        <f>HYPERLINK("https://www.instagram.com/p/BX2cc5UlInj/")</f>
        <v>https://www.instagram.com/p/BX2cc5UlInj/</v>
      </c>
      <c r="F992" t="s">
        <v>8140</v>
      </c>
      <c r="G992" t="s">
        <v>2478</v>
      </c>
      <c r="H992">
        <v>194</v>
      </c>
      <c r="I992" t="s">
        <v>8141</v>
      </c>
      <c r="J992">
        <v>4</v>
      </c>
      <c r="K992">
        <v>65</v>
      </c>
      <c r="L992">
        <v>69</v>
      </c>
      <c r="Q992">
        <v>0</v>
      </c>
      <c r="R992">
        <v>0</v>
      </c>
      <c r="S992">
        <v>69</v>
      </c>
      <c r="T992" t="s">
        <v>4906</v>
      </c>
      <c r="V992" t="s">
        <v>2110</v>
      </c>
      <c r="W992">
        <v>51.05</v>
      </c>
      <c r="X992">
        <v>3.7332999999999998</v>
      </c>
      <c r="Y992" t="s">
        <v>2497</v>
      </c>
      <c r="Z992" t="s">
        <v>8142</v>
      </c>
      <c r="AA992" t="s">
        <v>8143</v>
      </c>
      <c r="AB992" t="s">
        <v>8144</v>
      </c>
      <c r="AC992" t="s">
        <v>8145</v>
      </c>
      <c r="AD992" s="249" t="str">
        <f>HYPERLINK("https://scontent.cdninstagram.com/t51.2885-15/s320x320/e35/c135.0.810.810/20836980_684225238449348_3287965698956984320_n.jpg")</f>
        <v>https://scontent.cdninstagram.com/t51.2885-15/s320x320/e35/c135.0.810.810/20836980_684225238449348_3287965698956984320_n.jpg</v>
      </c>
      <c r="AE992" s="249" t="str">
        <f>HYPERLINK("https://scontent.cdninstagram.com/t51.2885-19/s150x150/12299055_840987735998712_913441606_a.jpg")</f>
        <v>https://scontent.cdninstagram.com/t51.2885-19/s150x150/12299055_840987735998712_913441606_a.jpg</v>
      </c>
    </row>
    <row r="993" spans="1:31" ht="15" x14ac:dyDescent="0.25">
      <c r="A993" t="s">
        <v>2474</v>
      </c>
      <c r="B993" t="s">
        <v>8146</v>
      </c>
      <c r="C993" s="221">
        <v>42963.259872685187</v>
      </c>
      <c r="D993" t="s">
        <v>8147</v>
      </c>
      <c r="E993" s="249" t="str">
        <f>HYPERLINK("https://www.instagram.com/p/BX2dZr8Fb5x/")</f>
        <v>https://www.instagram.com/p/BX2dZr8Fb5x/</v>
      </c>
      <c r="F993" t="s">
        <v>8148</v>
      </c>
      <c r="G993" t="s">
        <v>2478</v>
      </c>
      <c r="H993">
        <v>444</v>
      </c>
      <c r="I993" t="s">
        <v>2479</v>
      </c>
      <c r="J993">
        <v>0</v>
      </c>
      <c r="K993">
        <v>3</v>
      </c>
      <c r="L993">
        <v>3</v>
      </c>
      <c r="Q993">
        <v>0</v>
      </c>
      <c r="R993">
        <v>0</v>
      </c>
      <c r="S993">
        <v>3</v>
      </c>
      <c r="Y993" t="s">
        <v>2497</v>
      </c>
      <c r="Z993" t="s">
        <v>4987</v>
      </c>
      <c r="AD993" s="249" t="str">
        <f>HYPERLINK("https://scontent.cdninstagram.com/t51.2885-15/s320x320/e35/c67.0.946.946/20837026_344981412609577_7070560009477685248_n.jpg")</f>
        <v>https://scontent.cdninstagram.com/t51.2885-15/s320x320/e35/c67.0.946.946/20837026_344981412609577_7070560009477685248_n.jpg</v>
      </c>
      <c r="AE993" s="249" t="str">
        <f>HYPERLINK("https://scontent.cdninstagram.com/t51.2885-19/s150x150/11939638_167803400224027_972077361_a.jpg")</f>
        <v>https://scontent.cdninstagram.com/t51.2885-19/s150x150/11939638_167803400224027_972077361_a.jpg</v>
      </c>
    </row>
    <row r="994" spans="1:31" ht="15" x14ac:dyDescent="0.25">
      <c r="A994" t="s">
        <v>2474</v>
      </c>
      <c r="B994" t="s">
        <v>2644</v>
      </c>
      <c r="C994" s="221">
        <v>42963.265173611115</v>
      </c>
      <c r="D994" t="s">
        <v>8149</v>
      </c>
      <c r="E994" s="249" t="str">
        <f>HYPERLINK("https://www.instagram.com/p/BX2eRr1g-2O/")</f>
        <v>https://www.instagram.com/p/BX2eRr1g-2O/</v>
      </c>
      <c r="F994" t="s">
        <v>8150</v>
      </c>
      <c r="G994" t="s">
        <v>2488</v>
      </c>
      <c r="H994">
        <v>1761</v>
      </c>
      <c r="I994" t="s">
        <v>2479</v>
      </c>
      <c r="J994">
        <v>0</v>
      </c>
      <c r="K994">
        <v>68</v>
      </c>
      <c r="L994">
        <v>68</v>
      </c>
      <c r="Q994">
        <v>0</v>
      </c>
      <c r="R994">
        <v>0</v>
      </c>
      <c r="S994">
        <v>68</v>
      </c>
      <c r="T994" t="s">
        <v>8151</v>
      </c>
      <c r="V994" t="s">
        <v>2648</v>
      </c>
      <c r="W994">
        <v>55.746609999999997</v>
      </c>
      <c r="X994">
        <v>37.6051</v>
      </c>
      <c r="Y994" t="s">
        <v>2497</v>
      </c>
      <c r="Z994" t="s">
        <v>5796</v>
      </c>
      <c r="AA994" t="s">
        <v>3633</v>
      </c>
      <c r="AB994" t="s">
        <v>8152</v>
      </c>
      <c r="AC994" t="s">
        <v>5902</v>
      </c>
      <c r="AD994" s="249" t="str">
        <f>HYPERLINK("https://scontent.cdninstagram.com/t51.2885-15/s320x320/e35/20838146_310291792714677_1784758215150403584_n.jpg")</f>
        <v>https://scontent.cdninstagram.com/t51.2885-15/s320x320/e35/20838146_310291792714677_1784758215150403584_n.jpg</v>
      </c>
      <c r="AE994" s="249" t="str">
        <f>HYPERLINK("https://scontent.cdninstagram.com/t51.2885-19/11372086_1598451257062069_1320225693_a.jpg")</f>
        <v>https://scontent.cdninstagram.com/t51.2885-19/11372086_1598451257062069_1320225693_a.jpg</v>
      </c>
    </row>
    <row r="995" spans="1:31" ht="15" x14ac:dyDescent="0.25">
      <c r="A995" t="s">
        <v>2474</v>
      </c>
      <c r="B995" t="s">
        <v>8153</v>
      </c>
      <c r="C995" s="221">
        <v>42963.267407407409</v>
      </c>
      <c r="D995" t="s">
        <v>8154</v>
      </c>
      <c r="E995" s="249" t="str">
        <f>HYPERLINK("https://www.instagram.com/p/BX2epP5DUJp/")</f>
        <v>https://www.instagram.com/p/BX2epP5DUJp/</v>
      </c>
      <c r="F995" t="s">
        <v>8155</v>
      </c>
      <c r="G995" t="s">
        <v>2478</v>
      </c>
      <c r="H995">
        <v>485</v>
      </c>
      <c r="I995" t="s">
        <v>2479</v>
      </c>
      <c r="J995">
        <v>2</v>
      </c>
      <c r="K995">
        <v>52</v>
      </c>
      <c r="L995">
        <v>54</v>
      </c>
      <c r="Q995">
        <v>0</v>
      </c>
      <c r="R995">
        <v>0</v>
      </c>
      <c r="S995">
        <v>54</v>
      </c>
      <c r="Y995" t="s">
        <v>2497</v>
      </c>
      <c r="Z995" t="s">
        <v>8156</v>
      </c>
      <c r="AA995" t="s">
        <v>8157</v>
      </c>
      <c r="AB995" t="s">
        <v>4987</v>
      </c>
      <c r="AC995" t="s">
        <v>6760</v>
      </c>
      <c r="AD995" s="249" t="str">
        <f>HYPERLINK("https://scontent.cdninstagram.com/t51.2885-15/s320x320/e35/c0.44.480.480/20838959_689291987930008_2874055083551621120_n.jpg")</f>
        <v>https://scontent.cdninstagram.com/t51.2885-15/s320x320/e35/c0.44.480.480/20838959_689291987930008_2874055083551621120_n.jpg</v>
      </c>
      <c r="AE995" s="249" t="str">
        <f>HYPERLINK("https://scontent.cdninstagram.com/t51.2885-19/s150x150/20065234_868217296665888_2886260650462412800_a.jpg")</f>
        <v>https://scontent.cdninstagram.com/t51.2885-19/s150x150/20065234_868217296665888_2886260650462412800_a.jpg</v>
      </c>
    </row>
    <row r="996" spans="1:31" ht="15" x14ac:dyDescent="0.25">
      <c r="A996" t="s">
        <v>2474</v>
      </c>
      <c r="B996" t="s">
        <v>2644</v>
      </c>
      <c r="C996" s="221">
        <v>42963.268009259256</v>
      </c>
      <c r="D996" t="s">
        <v>8158</v>
      </c>
      <c r="E996" s="249" t="str">
        <f>HYPERLINK("https://www.instagram.com/p/BX2evlGgeAk/")</f>
        <v>https://www.instagram.com/p/BX2evlGgeAk/</v>
      </c>
      <c r="F996" t="s">
        <v>8159</v>
      </c>
      <c r="G996" t="s">
        <v>2488</v>
      </c>
      <c r="H996">
        <v>1761</v>
      </c>
      <c r="I996" t="s">
        <v>2479</v>
      </c>
      <c r="J996">
        <v>0</v>
      </c>
      <c r="K996">
        <v>94</v>
      </c>
      <c r="L996">
        <v>94</v>
      </c>
      <c r="Q996">
        <v>0</v>
      </c>
      <c r="R996">
        <v>0</v>
      </c>
      <c r="S996">
        <v>94</v>
      </c>
      <c r="T996" t="s">
        <v>8160</v>
      </c>
      <c r="V996" t="s">
        <v>2648</v>
      </c>
      <c r="W996">
        <v>55.747540000000001</v>
      </c>
      <c r="X996">
        <v>37.607239999999997</v>
      </c>
      <c r="Y996" t="s">
        <v>8161</v>
      </c>
      <c r="Z996" t="s">
        <v>2497</v>
      </c>
      <c r="AA996" t="s">
        <v>3633</v>
      </c>
      <c r="AB996" t="s">
        <v>2673</v>
      </c>
      <c r="AC996" t="s">
        <v>8152</v>
      </c>
      <c r="AD996" s="249" t="str">
        <f>HYPERLINK("https://scontent.cdninstagram.com/t51.2885-15/s320x320/e35/20837516_1077067839096501_5552150622070898688_n.jpg")</f>
        <v>https://scontent.cdninstagram.com/t51.2885-15/s320x320/e35/20837516_1077067839096501_5552150622070898688_n.jpg</v>
      </c>
      <c r="AE996" s="249" t="str">
        <f>HYPERLINK("https://scontent.cdninstagram.com/t51.2885-19/11372086_1598451257062069_1320225693_a.jpg")</f>
        <v>https://scontent.cdninstagram.com/t51.2885-19/11372086_1598451257062069_1320225693_a.jpg</v>
      </c>
    </row>
    <row r="997" spans="1:31" ht="15" x14ac:dyDescent="0.25">
      <c r="A997" t="s">
        <v>2474</v>
      </c>
      <c r="B997" t="s">
        <v>8162</v>
      </c>
      <c r="C997" s="221">
        <v>42963.273622685185</v>
      </c>
      <c r="D997" t="s">
        <v>8163</v>
      </c>
      <c r="E997" s="249" t="str">
        <f>HYPERLINK("https://www.instagram.com/p/BX2fqryhwHY/")</f>
        <v>https://www.instagram.com/p/BX2fqryhwHY/</v>
      </c>
      <c r="F997" t="s">
        <v>8164</v>
      </c>
      <c r="G997" t="s">
        <v>2478</v>
      </c>
      <c r="H997">
        <v>68</v>
      </c>
      <c r="I997" t="s">
        <v>2479</v>
      </c>
      <c r="J997">
        <v>0</v>
      </c>
      <c r="K997">
        <v>9</v>
      </c>
      <c r="L997">
        <v>9</v>
      </c>
      <c r="Q997">
        <v>0</v>
      </c>
      <c r="R997">
        <v>0</v>
      </c>
      <c r="S997">
        <v>9</v>
      </c>
      <c r="Y997" t="s">
        <v>8165</v>
      </c>
      <c r="Z997" t="s">
        <v>5891</v>
      </c>
      <c r="AA997" t="s">
        <v>2497</v>
      </c>
      <c r="AD997" s="249" t="str">
        <f>HYPERLINK("https://scontent.cdninstagram.com/t51.2885-15/s320x320/e35/c191.0.492.492/20766831_1651837991516671_314424003005513728_n.jpg")</f>
        <v>https://scontent.cdninstagram.com/t51.2885-15/s320x320/e35/c191.0.492.492/20766831_1651837991516671_314424003005513728_n.jpg</v>
      </c>
      <c r="AE997" s="249" t="str">
        <f>HYPERLINK("https://scontent.cdninstagram.com/t51.2885-19/s150x150/19932347_103717456950629_7527414546881839104_a.jpg")</f>
        <v>https://scontent.cdninstagram.com/t51.2885-19/s150x150/19932347_103717456950629_7527414546881839104_a.jpg</v>
      </c>
    </row>
    <row r="998" spans="1:31" ht="15" x14ac:dyDescent="0.25">
      <c r="A998" t="s">
        <v>2474</v>
      </c>
      <c r="B998" t="s">
        <v>3895</v>
      </c>
      <c r="C998" s="221">
        <v>42963.278402777774</v>
      </c>
      <c r="D998" t="s">
        <v>8166</v>
      </c>
      <c r="E998" s="249" t="str">
        <f>HYPERLINK("https://www.instagram.com/p/BX2gdKTFKOD/")</f>
        <v>https://www.instagram.com/p/BX2gdKTFKOD/</v>
      </c>
      <c r="F998" t="s">
        <v>8167</v>
      </c>
      <c r="G998" t="s">
        <v>2478</v>
      </c>
      <c r="I998" t="s">
        <v>2479</v>
      </c>
      <c r="J998">
        <v>4</v>
      </c>
      <c r="K998">
        <v>94</v>
      </c>
      <c r="L998">
        <v>98</v>
      </c>
      <c r="Q998">
        <v>0</v>
      </c>
      <c r="R998">
        <v>0</v>
      </c>
      <c r="S998">
        <v>98</v>
      </c>
      <c r="Y998" t="s">
        <v>7905</v>
      </c>
      <c r="Z998" t="s">
        <v>3899</v>
      </c>
      <c r="AA998" t="s">
        <v>7379</v>
      </c>
      <c r="AB998" t="s">
        <v>6187</v>
      </c>
      <c r="AC998" t="s">
        <v>6186</v>
      </c>
      <c r="AD998" s="249" t="str">
        <f>HYPERLINK("https://scontent.cdninstagram.com/t51.2885-15/s320x320/e35/20905014_460699637644554_1535777616676519936_n.jpg")</f>
        <v>https://scontent.cdninstagram.com/t51.2885-15/s320x320/e35/20905014_460699637644554_1535777616676519936_n.jpg</v>
      </c>
      <c r="AE998" s="249" t="str">
        <f>HYPERLINK("https://scontent.cdninstagram.com/t51.2885-19/s150x150/20902130_1390331654386412_4188068892897181696_a.jpg")</f>
        <v>https://scontent.cdninstagram.com/t51.2885-19/s150x150/20902130_1390331654386412_4188068892897181696_a.jpg</v>
      </c>
    </row>
    <row r="999" spans="1:31" ht="15" x14ac:dyDescent="0.25">
      <c r="A999" t="s">
        <v>2474</v>
      </c>
      <c r="B999" t="s">
        <v>8168</v>
      </c>
      <c r="C999" s="221">
        <v>42963.283148148148</v>
      </c>
      <c r="D999" t="s">
        <v>8169</v>
      </c>
      <c r="E999" s="249" t="str">
        <f>HYPERLINK("https://www.instagram.com/p/BX2hPKDgZ1z/")</f>
        <v>https://www.instagram.com/p/BX2hPKDgZ1z/</v>
      </c>
      <c r="F999" t="s">
        <v>8170</v>
      </c>
      <c r="G999" t="s">
        <v>2478</v>
      </c>
      <c r="H999">
        <v>3586</v>
      </c>
      <c r="I999" t="s">
        <v>2542</v>
      </c>
      <c r="J999">
        <v>0</v>
      </c>
      <c r="K999">
        <v>71</v>
      </c>
      <c r="L999">
        <v>71</v>
      </c>
      <c r="Q999">
        <v>0</v>
      </c>
      <c r="R999">
        <v>0</v>
      </c>
      <c r="S999">
        <v>71</v>
      </c>
      <c r="T999" t="s">
        <v>8171</v>
      </c>
      <c r="V999" t="s">
        <v>2182</v>
      </c>
      <c r="W999">
        <v>42.716700000000003</v>
      </c>
      <c r="X999">
        <v>12.1167</v>
      </c>
      <c r="Y999" t="s">
        <v>2497</v>
      </c>
      <c r="Z999" t="s">
        <v>8172</v>
      </c>
      <c r="AA999" t="s">
        <v>8173</v>
      </c>
      <c r="AB999" t="s">
        <v>8174</v>
      </c>
      <c r="AC999" t="s">
        <v>5989</v>
      </c>
      <c r="AD999" s="249" t="str">
        <f>HYPERLINK("https://scontent.cdninstagram.com/t51.2885-15/s320x320/e35/c0.135.1080.1080/20837105_350184415433034_8453041580410929152_n.jpg")</f>
        <v>https://scontent.cdninstagram.com/t51.2885-15/s320x320/e35/c0.135.1080.1080/20837105_350184415433034_8453041580410929152_n.jpg</v>
      </c>
      <c r="AE999" s="249" t="str">
        <f>HYPERLINK("https://scontent.cdninstagram.com/t51.2885-19/s150x150/20582427_1923544624586777_595209998242414592_a.jpg")</f>
        <v>https://scontent.cdninstagram.com/t51.2885-19/s150x150/20582427_1923544624586777_595209998242414592_a.jpg</v>
      </c>
    </row>
    <row r="1000" spans="1:31" ht="15" x14ac:dyDescent="0.25">
      <c r="A1000" t="s">
        <v>2474</v>
      </c>
      <c r="B1000" t="s">
        <v>8175</v>
      </c>
      <c r="C1000" s="221">
        <v>42963.283634259256</v>
      </c>
      <c r="D1000" t="s">
        <v>8176</v>
      </c>
      <c r="E1000" s="249" t="str">
        <f>HYPERLINK("https://www.instagram.com/p/BX2hUT7hruU/")</f>
        <v>https://www.instagram.com/p/BX2hUT7hruU/</v>
      </c>
      <c r="F1000" t="s">
        <v>8177</v>
      </c>
      <c r="G1000" t="s">
        <v>2478</v>
      </c>
      <c r="H1000">
        <v>77</v>
      </c>
      <c r="I1000" t="s">
        <v>2479</v>
      </c>
      <c r="J1000">
        <v>0</v>
      </c>
      <c r="K1000">
        <v>15</v>
      </c>
      <c r="L1000">
        <v>15</v>
      </c>
      <c r="Q1000">
        <v>0</v>
      </c>
      <c r="R1000">
        <v>0</v>
      </c>
      <c r="S1000">
        <v>15</v>
      </c>
      <c r="Y1000" t="s">
        <v>8178</v>
      </c>
      <c r="Z1000" t="s">
        <v>8179</v>
      </c>
      <c r="AA1000" t="s">
        <v>2730</v>
      </c>
      <c r="AB1000" t="s">
        <v>8180</v>
      </c>
      <c r="AC1000" t="s">
        <v>8181</v>
      </c>
      <c r="AD1000" s="249" t="str">
        <f>HYPERLINK("https://scontent.cdninstagram.com/t51.2885-15/s320x320/e35/c0.46.375.375/20902508_275045426313517_4983174163813367808_n.jpg")</f>
        <v>https://scontent.cdninstagram.com/t51.2885-15/s320x320/e35/c0.46.375.375/20902508_275045426313517_4983174163813367808_n.jpg</v>
      </c>
      <c r="AE1000" s="249" t="str">
        <f>HYPERLINK("https://scontent.cdninstagram.com/t51.2885-19/s150x150/18723480_1930046670566246_8792132581324750848_a.jpg")</f>
        <v>https://scontent.cdninstagram.com/t51.2885-19/s150x150/18723480_1930046670566246_8792132581324750848_a.jpg</v>
      </c>
    </row>
    <row r="1001" spans="1:31" ht="15" x14ac:dyDescent="0.25">
      <c r="A1001" t="s">
        <v>2474</v>
      </c>
      <c r="B1001" t="s">
        <v>4148</v>
      </c>
      <c r="C1001" s="221">
        <v>42963.28738425926</v>
      </c>
      <c r="D1001" t="s">
        <v>8182</v>
      </c>
      <c r="E1001" s="249" t="str">
        <f>HYPERLINK("https://www.instagram.com/p/BX2h75ugnpN/")</f>
        <v>https://www.instagram.com/p/BX2h75ugnpN/</v>
      </c>
      <c r="F1001" t="s">
        <v>8183</v>
      </c>
      <c r="G1001" t="s">
        <v>2478</v>
      </c>
      <c r="H1001">
        <v>158</v>
      </c>
      <c r="I1001" t="s">
        <v>3186</v>
      </c>
      <c r="J1001">
        <v>3</v>
      </c>
      <c r="K1001">
        <v>34</v>
      </c>
      <c r="L1001">
        <v>37</v>
      </c>
      <c r="Q1001">
        <v>0</v>
      </c>
      <c r="R1001">
        <v>0</v>
      </c>
      <c r="S1001">
        <v>37</v>
      </c>
      <c r="Y1001" t="s">
        <v>8184</v>
      </c>
      <c r="Z1001" t="s">
        <v>8185</v>
      </c>
      <c r="AA1001" t="s">
        <v>5637</v>
      </c>
      <c r="AB1001" t="s">
        <v>8186</v>
      </c>
      <c r="AC1001" t="s">
        <v>8187</v>
      </c>
      <c r="AD1001" s="249" t="str">
        <f>HYPERLINK("https://scontent.cdninstagram.com/t51.2885-15/s320x320/e35/c0.135.1080.1080/20838684_1886717614922977_8150589820217851904_n.jpg")</f>
        <v>https://scontent.cdninstagram.com/t51.2885-15/s320x320/e35/c0.135.1080.1080/20838684_1886717614922977_8150589820217851904_n.jpg</v>
      </c>
      <c r="AE1001" s="249" t="str">
        <f>HYPERLINK("https://scontent.cdninstagram.com/t51.2885-19/s150x150/20687812_777554912450628_2712738005994438656_a.jpg")</f>
        <v>https://scontent.cdninstagram.com/t51.2885-19/s150x150/20687812_777554912450628_2712738005994438656_a.jpg</v>
      </c>
    </row>
    <row r="1002" spans="1:31" ht="15" x14ac:dyDescent="0.25">
      <c r="A1002" t="s">
        <v>2474</v>
      </c>
      <c r="B1002" t="s">
        <v>3015</v>
      </c>
      <c r="C1002" s="221">
        <v>42963.288472222222</v>
      </c>
      <c r="D1002" t="s">
        <v>8188</v>
      </c>
      <c r="E1002" s="249" t="str">
        <f>HYPERLINK("https://www.instagram.com/p/BX2iHYNAG0q/")</f>
        <v>https://www.instagram.com/p/BX2iHYNAG0q/</v>
      </c>
      <c r="F1002" t="s">
        <v>8189</v>
      </c>
      <c r="G1002" t="s">
        <v>2478</v>
      </c>
      <c r="H1002">
        <v>179</v>
      </c>
      <c r="I1002" t="s">
        <v>2479</v>
      </c>
      <c r="J1002">
        <v>1</v>
      </c>
      <c r="K1002">
        <v>36</v>
      </c>
      <c r="L1002">
        <v>37</v>
      </c>
      <c r="Q1002">
        <v>0</v>
      </c>
      <c r="R1002">
        <v>0</v>
      </c>
      <c r="S1002">
        <v>37</v>
      </c>
      <c r="Y1002" t="s">
        <v>3492</v>
      </c>
      <c r="Z1002" t="s">
        <v>4126</v>
      </c>
      <c r="AA1002" t="s">
        <v>3727</v>
      </c>
      <c r="AB1002" t="s">
        <v>4129</v>
      </c>
      <c r="AC1002" t="s">
        <v>3855</v>
      </c>
      <c r="AD1002" s="249" t="str">
        <f>HYPERLINK("https://scontent.cdninstagram.com/t51.2885-15/s320x320/e35/20837628_1374722555959368_5182417889948336128_n.jpg")</f>
        <v>https://scontent.cdninstagram.com/t51.2885-15/s320x320/e35/20837628_1374722555959368_5182417889948336128_n.jpg</v>
      </c>
      <c r="AE1002" s="249" t="str">
        <f>HYPERLINK("https://scontent.cdninstagram.com/t51.2885-19/s150x150/19761452_1876060406050696_4275948751316582400_a.jpg")</f>
        <v>https://scontent.cdninstagram.com/t51.2885-19/s150x150/19761452_1876060406050696_4275948751316582400_a.jpg</v>
      </c>
    </row>
    <row r="1003" spans="1:31" ht="15" x14ac:dyDescent="0.25">
      <c r="A1003" t="s">
        <v>2474</v>
      </c>
      <c r="B1003" t="s">
        <v>8190</v>
      </c>
      <c r="C1003" s="221">
        <v>42963.288541666669</v>
      </c>
      <c r="D1003" t="s">
        <v>8191</v>
      </c>
      <c r="E1003" s="249" t="str">
        <f>HYPERLINK("https://www.instagram.com/p/BX2iIFDgM9e/")</f>
        <v>https://www.instagram.com/p/BX2iIFDgM9e/</v>
      </c>
      <c r="F1003" t="s">
        <v>8192</v>
      </c>
      <c r="G1003" t="s">
        <v>2478</v>
      </c>
      <c r="H1003">
        <v>868</v>
      </c>
      <c r="I1003" t="s">
        <v>2479</v>
      </c>
      <c r="J1003">
        <v>0</v>
      </c>
      <c r="K1003">
        <v>45</v>
      </c>
      <c r="L1003">
        <v>45</v>
      </c>
      <c r="Q1003">
        <v>0</v>
      </c>
      <c r="R1003">
        <v>0</v>
      </c>
      <c r="S1003">
        <v>45</v>
      </c>
      <c r="Y1003" t="s">
        <v>2497</v>
      </c>
      <c r="AD1003" s="249" t="str">
        <f>HYPERLINK("https://scontent.cdninstagram.com/t51.2885-15/s320x320/e35/20766983_264771247345489_1998790724866277376_n.jpg")</f>
        <v>https://scontent.cdninstagram.com/t51.2885-15/s320x320/e35/20766983_264771247345489_1998790724866277376_n.jpg</v>
      </c>
      <c r="AE1003" s="249" t="str">
        <f>HYPERLINK("https://scontent.cdninstagram.com/t51.2885-19/20226055_1948645242042922_7511243672889851904_a.jpg")</f>
        <v>https://scontent.cdninstagram.com/t51.2885-19/20226055_1948645242042922_7511243672889851904_a.jpg</v>
      </c>
    </row>
    <row r="1004" spans="1:31" ht="15" x14ac:dyDescent="0.25">
      <c r="A1004" t="s">
        <v>2474</v>
      </c>
      <c r="B1004" t="s">
        <v>8193</v>
      </c>
      <c r="C1004" s="221">
        <v>42963.299108796295</v>
      </c>
      <c r="D1004" t="s">
        <v>8194</v>
      </c>
      <c r="E1004" s="249" t="str">
        <f>HYPERLINK("https://www.instagram.com/p/BX2j3mDnEPB/")</f>
        <v>https://www.instagram.com/p/BX2j3mDnEPB/</v>
      </c>
      <c r="F1004" t="s">
        <v>8195</v>
      </c>
      <c r="G1004" t="s">
        <v>2478</v>
      </c>
      <c r="H1004">
        <v>10</v>
      </c>
      <c r="I1004" t="s">
        <v>2479</v>
      </c>
      <c r="J1004">
        <v>2</v>
      </c>
      <c r="K1004">
        <v>26</v>
      </c>
      <c r="L1004">
        <v>28</v>
      </c>
      <c r="Q1004">
        <v>0</v>
      </c>
      <c r="R1004">
        <v>0</v>
      </c>
      <c r="S1004">
        <v>28</v>
      </c>
      <c r="Y1004" t="s">
        <v>7418</v>
      </c>
      <c r="Z1004" t="s">
        <v>8196</v>
      </c>
      <c r="AA1004" t="s">
        <v>2730</v>
      </c>
      <c r="AB1004" t="s">
        <v>2513</v>
      </c>
      <c r="AC1004" t="s">
        <v>8197</v>
      </c>
      <c r="AD1004" s="249" t="str">
        <f>HYPERLINK("https://scontent.cdninstagram.com/t51.2885-15/s320x320/e15/20766632_111241106229300_7764738556869738496_n.jpg")</f>
        <v>https://scontent.cdninstagram.com/t51.2885-15/s320x320/e15/20766632_111241106229300_7764738556869738496_n.jpg</v>
      </c>
      <c r="AE1004" s="249" t="str">
        <f>HYPERLINK("https://scontent.cdninstagram.com/t51.2885-19/s150x150/20902621_255565481620549_6571404184556404736_a.jpg")</f>
        <v>https://scontent.cdninstagram.com/t51.2885-19/s150x150/20902621_255565481620549_6571404184556404736_a.jpg</v>
      </c>
    </row>
    <row r="1005" spans="1:31" ht="15" x14ac:dyDescent="0.25">
      <c r="A1005" t="s">
        <v>2474</v>
      </c>
      <c r="B1005" t="s">
        <v>8198</v>
      </c>
      <c r="C1005" s="221">
        <v>42963.302141203705</v>
      </c>
      <c r="D1005" t="s">
        <v>8199</v>
      </c>
      <c r="E1005" s="249" t="str">
        <f>HYPERLINK("https://www.instagram.com/p/BX2kXgtA5PV/")</f>
        <v>https://www.instagram.com/p/BX2kXgtA5PV/</v>
      </c>
      <c r="F1005" t="s">
        <v>8200</v>
      </c>
      <c r="G1005" t="s">
        <v>2478</v>
      </c>
      <c r="H1005">
        <v>250</v>
      </c>
      <c r="I1005" t="s">
        <v>2479</v>
      </c>
      <c r="J1005">
        <v>2</v>
      </c>
      <c r="K1005">
        <v>15</v>
      </c>
      <c r="L1005">
        <v>17</v>
      </c>
      <c r="Q1005">
        <v>0</v>
      </c>
      <c r="R1005">
        <v>0</v>
      </c>
      <c r="S1005">
        <v>17</v>
      </c>
      <c r="Y1005" t="s">
        <v>4582</v>
      </c>
      <c r="Z1005" t="s">
        <v>2497</v>
      </c>
      <c r="AA1005" t="s">
        <v>8201</v>
      </c>
      <c r="AB1005" t="s">
        <v>2861</v>
      </c>
      <c r="AD1005" s="249" t="str">
        <f>HYPERLINK("https://scontent.cdninstagram.com/t51.2885-15/s320x320/e35/c0.135.1080.1080/20838643_1746559955643211_7341462975728844800_n.jpg")</f>
        <v>https://scontent.cdninstagram.com/t51.2885-15/s320x320/e35/c0.135.1080.1080/20838643_1746559955643211_7341462975728844800_n.jpg</v>
      </c>
      <c r="AE1005" s="249" t="str">
        <f>HYPERLINK("https://scontent.cdninstagram.com/t51.2885-19/s150x150/20838202_109987066377662_8424614055167131648_a.jpg")</f>
        <v>https://scontent.cdninstagram.com/t51.2885-19/s150x150/20838202_109987066377662_8424614055167131648_a.jpg</v>
      </c>
    </row>
    <row r="1006" spans="1:31" ht="15" x14ac:dyDescent="0.25">
      <c r="A1006" t="s">
        <v>2474</v>
      </c>
      <c r="B1006" t="s">
        <v>8202</v>
      </c>
      <c r="C1006" s="221">
        <v>42963.302384259259</v>
      </c>
      <c r="D1006" t="s">
        <v>8203</v>
      </c>
      <c r="E1006" s="249" t="str">
        <f>HYPERLINK("https://www.instagram.com/p/BX2kaG8jPmY/")</f>
        <v>https://www.instagram.com/p/BX2kaG8jPmY/</v>
      </c>
      <c r="F1006" t="s">
        <v>8204</v>
      </c>
      <c r="G1006" t="s">
        <v>2478</v>
      </c>
      <c r="H1006">
        <v>42501</v>
      </c>
      <c r="I1006" t="s">
        <v>2479</v>
      </c>
      <c r="J1006">
        <v>31</v>
      </c>
      <c r="K1006">
        <v>1455</v>
      </c>
      <c r="L1006">
        <v>1486</v>
      </c>
      <c r="Q1006">
        <v>0</v>
      </c>
      <c r="R1006">
        <v>0</v>
      </c>
      <c r="S1006">
        <v>1486</v>
      </c>
      <c r="Y1006" t="s">
        <v>8205</v>
      </c>
      <c r="Z1006" t="s">
        <v>8206</v>
      </c>
      <c r="AA1006" t="s">
        <v>8207</v>
      </c>
      <c r="AB1006" t="s">
        <v>8208</v>
      </c>
      <c r="AC1006" t="s">
        <v>8209</v>
      </c>
      <c r="AD1006" s="249" t="str">
        <f>HYPERLINK("https://scontent.cdninstagram.com/t51.2885-15/s320x320/e35/c122.0.836.836/20902681_380134309071264_3864970189825114112_n.jpg")</f>
        <v>https://scontent.cdninstagram.com/t51.2885-15/s320x320/e35/c122.0.836.836/20902681_380134309071264_3864970189825114112_n.jpg</v>
      </c>
      <c r="AE1006" s="249" t="str">
        <f>HYPERLINK("https://scontent.cdninstagram.com/t51.2885-19/s150x150/20479365_288964168246039_8270596716911132672_a.jpg")</f>
        <v>https://scontent.cdninstagram.com/t51.2885-19/s150x150/20479365_288964168246039_8270596716911132672_a.jpg</v>
      </c>
    </row>
    <row r="1007" spans="1:31" ht="15" x14ac:dyDescent="0.25">
      <c r="A1007" t="s">
        <v>2474</v>
      </c>
      <c r="B1007" t="s">
        <v>7152</v>
      </c>
      <c r="C1007" s="221">
        <v>42963.303437499999</v>
      </c>
      <c r="D1007" t="s">
        <v>8210</v>
      </c>
      <c r="E1007" s="249" t="str">
        <f>HYPERLINK("https://www.instagram.com/p/BX2klPXj-8U/")</f>
        <v>https://www.instagram.com/p/BX2klPXj-8U/</v>
      </c>
      <c r="F1007" t="s">
        <v>8211</v>
      </c>
      <c r="G1007" t="s">
        <v>2478</v>
      </c>
      <c r="H1007">
        <v>109</v>
      </c>
      <c r="I1007" t="s">
        <v>2542</v>
      </c>
      <c r="J1007">
        <v>1</v>
      </c>
      <c r="K1007">
        <v>22</v>
      </c>
      <c r="L1007">
        <v>23</v>
      </c>
      <c r="Q1007">
        <v>0</v>
      </c>
      <c r="R1007">
        <v>0</v>
      </c>
      <c r="S1007">
        <v>23</v>
      </c>
      <c r="Y1007" t="s">
        <v>8212</v>
      </c>
      <c r="Z1007" t="s">
        <v>7900</v>
      </c>
      <c r="AA1007" t="s">
        <v>4827</v>
      </c>
      <c r="AB1007" t="s">
        <v>5981</v>
      </c>
      <c r="AC1007" t="s">
        <v>8213</v>
      </c>
      <c r="AD1007" s="249" t="str">
        <f>HYPERLINK("https://scontent.cdninstagram.com/t51.2885-15/s320x320/e35/20838573_157752701447250_8159550517861679104_n.jpg")</f>
        <v>https://scontent.cdninstagram.com/t51.2885-15/s320x320/e35/20838573_157752701447250_8159550517861679104_n.jpg</v>
      </c>
      <c r="AE1007" s="249" t="str">
        <f>HYPERLINK("https://scontent.cdninstagram.com/t51.2885-19/s150x150/20181062_1791856511105718_4709893984703479808_a.jpg")</f>
        <v>https://scontent.cdninstagram.com/t51.2885-19/s150x150/20181062_1791856511105718_4709893984703479808_a.jpg</v>
      </c>
    </row>
    <row r="1008" spans="1:31" ht="15" x14ac:dyDescent="0.25">
      <c r="A1008" t="s">
        <v>2474</v>
      </c>
      <c r="B1008" t="s">
        <v>8214</v>
      </c>
      <c r="C1008" s="221">
        <v>42963.306250000001</v>
      </c>
      <c r="D1008" t="s">
        <v>8215</v>
      </c>
      <c r="E1008" s="249" t="str">
        <f>HYPERLINK("https://www.instagram.com/p/BX2lC11jkmr/")</f>
        <v>https://www.instagram.com/p/BX2lC11jkmr/</v>
      </c>
      <c r="F1008" t="s">
        <v>8216</v>
      </c>
      <c r="G1008" t="s">
        <v>2478</v>
      </c>
      <c r="H1008">
        <v>83</v>
      </c>
      <c r="I1008" t="s">
        <v>3186</v>
      </c>
      <c r="J1008">
        <v>0</v>
      </c>
      <c r="K1008">
        <v>3</v>
      </c>
      <c r="L1008">
        <v>3</v>
      </c>
      <c r="Q1008">
        <v>0</v>
      </c>
      <c r="R1008">
        <v>0</v>
      </c>
      <c r="S1008">
        <v>3</v>
      </c>
      <c r="Y1008" t="s">
        <v>2497</v>
      </c>
      <c r="Z1008" t="s">
        <v>8217</v>
      </c>
      <c r="AA1008" t="s">
        <v>8218</v>
      </c>
      <c r="AD1008" s="249" t="str">
        <f>HYPERLINK("https://scontent.cdninstagram.com/t51.2885-15/s320x320/e35/c199.0.682.682/20837143_1651712331506210_8508526849863712768_n.jpg")</f>
        <v>https://scontent.cdninstagram.com/t51.2885-15/s320x320/e35/c199.0.682.682/20837143_1651712331506210_8508526849863712768_n.jpg</v>
      </c>
      <c r="AE1008" s="249" t="str">
        <f>HYPERLINK("https://scontent.cdninstagram.com/t51.2885-19/s150x150/20905246_687504828113977_6186795588391010304_a.jpg")</f>
        <v>https://scontent.cdninstagram.com/t51.2885-19/s150x150/20905246_687504828113977_6186795588391010304_a.jpg</v>
      </c>
    </row>
    <row r="1009" spans="1:31" ht="15" x14ac:dyDescent="0.25">
      <c r="A1009" t="s">
        <v>2474</v>
      </c>
      <c r="B1009" t="s">
        <v>8219</v>
      </c>
      <c r="C1009" s="221">
        <v>42963.308067129627</v>
      </c>
      <c r="D1009" t="s">
        <v>8220</v>
      </c>
      <c r="E1009" s="249" t="str">
        <f>HYPERLINK("https://www.instagram.com/p/BX2lWBGgzdY/")</f>
        <v>https://www.instagram.com/p/BX2lWBGgzdY/</v>
      </c>
      <c r="F1009" t="s">
        <v>8221</v>
      </c>
      <c r="G1009" t="s">
        <v>2478</v>
      </c>
      <c r="H1009">
        <v>357</v>
      </c>
      <c r="I1009" t="s">
        <v>2479</v>
      </c>
      <c r="J1009">
        <v>5</v>
      </c>
      <c r="K1009">
        <v>97</v>
      </c>
      <c r="L1009">
        <v>102</v>
      </c>
      <c r="Q1009">
        <v>0</v>
      </c>
      <c r="R1009">
        <v>0</v>
      </c>
      <c r="S1009">
        <v>102</v>
      </c>
      <c r="Y1009" t="s">
        <v>8222</v>
      </c>
      <c r="Z1009" t="s">
        <v>2730</v>
      </c>
      <c r="AA1009" t="s">
        <v>8223</v>
      </c>
      <c r="AB1009" t="s">
        <v>8224</v>
      </c>
      <c r="AC1009" t="s">
        <v>8225</v>
      </c>
      <c r="AD1009" s="249" t="str">
        <f>HYPERLINK("https://scontent.cdninstagram.com/t51.2885-15/s320x320/e35/c0.90.720.720/20837742_513431902331719_3183993482842734592_n.jpg")</f>
        <v>https://scontent.cdninstagram.com/t51.2885-15/s320x320/e35/c0.90.720.720/20837742_513431902331719_3183993482842734592_n.jpg</v>
      </c>
      <c r="AE1009" s="249" t="str">
        <f>HYPERLINK("https://scontent.cdninstagram.com/t51.2885-19/s150x150/14733200_1840337686177813_3186959381098921984_a.jpg")</f>
        <v>https://scontent.cdninstagram.com/t51.2885-19/s150x150/14733200_1840337686177813_3186959381098921984_a.jpg</v>
      </c>
    </row>
    <row r="1010" spans="1:31" ht="15" x14ac:dyDescent="0.25">
      <c r="A1010" t="s">
        <v>2474</v>
      </c>
      <c r="B1010" t="s">
        <v>5854</v>
      </c>
      <c r="C1010" s="221">
        <v>42963.312291666669</v>
      </c>
      <c r="D1010" t="s">
        <v>8226</v>
      </c>
      <c r="E1010" s="249" t="str">
        <f>HYPERLINK("https://www.instagram.com/p/BX2mCoxgy3b/")</f>
        <v>https://www.instagram.com/p/BX2mCoxgy3b/</v>
      </c>
      <c r="F1010" t="s">
        <v>8227</v>
      </c>
      <c r="G1010" t="s">
        <v>2478</v>
      </c>
      <c r="H1010">
        <v>20</v>
      </c>
      <c r="I1010" t="s">
        <v>2479</v>
      </c>
      <c r="J1010">
        <v>3</v>
      </c>
      <c r="K1010">
        <v>13</v>
      </c>
      <c r="L1010">
        <v>16</v>
      </c>
      <c r="Q1010">
        <v>0</v>
      </c>
      <c r="R1010">
        <v>0</v>
      </c>
      <c r="S1010">
        <v>16</v>
      </c>
      <c r="Y1010" t="s">
        <v>8228</v>
      </c>
      <c r="Z1010" t="s">
        <v>6238</v>
      </c>
      <c r="AA1010" t="s">
        <v>8229</v>
      </c>
      <c r="AB1010" t="s">
        <v>8230</v>
      </c>
      <c r="AC1010" t="s">
        <v>8231</v>
      </c>
      <c r="AD1010" s="249" t="str">
        <f>HYPERLINK("https://scontent.cdninstagram.com/t51.2885-15/s320x320/e35/20837503_1408772739211475_8016760400211083264_n.jpg")</f>
        <v>https://scontent.cdninstagram.com/t51.2885-15/s320x320/e35/20837503_1408772739211475_8016760400211083264_n.jpg</v>
      </c>
      <c r="AE1010" s="249" t="str">
        <f>HYPERLINK("https://scontent.cdninstagram.com/t51.2885-19/s150x150/20759261_468593946832159_1607965154949988352_a.jpg")</f>
        <v>https://scontent.cdninstagram.com/t51.2885-19/s150x150/20759261_468593946832159_1607965154949988352_a.jpg</v>
      </c>
    </row>
    <row r="1011" spans="1:31" ht="15" x14ac:dyDescent="0.25">
      <c r="A1011" t="s">
        <v>2474</v>
      </c>
      <c r="B1011" t="s">
        <v>3644</v>
      </c>
      <c r="C1011" s="221">
        <v>42963.316354166665</v>
      </c>
      <c r="D1011" t="s">
        <v>8232</v>
      </c>
      <c r="E1011" s="249" t="str">
        <f>HYPERLINK("https://www.instagram.com/p/BX2mtaTlRu4/")</f>
        <v>https://www.instagram.com/p/BX2mtaTlRu4/</v>
      </c>
      <c r="F1011" t="s">
        <v>8233</v>
      </c>
      <c r="G1011" t="s">
        <v>2631</v>
      </c>
      <c r="H1011">
        <v>575</v>
      </c>
      <c r="I1011" t="s">
        <v>2479</v>
      </c>
      <c r="J1011">
        <v>0</v>
      </c>
      <c r="K1011">
        <v>26</v>
      </c>
      <c r="L1011">
        <v>26</v>
      </c>
      <c r="Q1011">
        <v>0</v>
      </c>
      <c r="R1011">
        <v>0</v>
      </c>
      <c r="S1011">
        <v>26</v>
      </c>
      <c r="T1011" t="s">
        <v>3647</v>
      </c>
      <c r="V1011" t="s">
        <v>2141</v>
      </c>
      <c r="W1011">
        <v>55.426879900000003</v>
      </c>
      <c r="X1011">
        <v>10.3903303</v>
      </c>
      <c r="Y1011" t="s">
        <v>3213</v>
      </c>
      <c r="Z1011" t="s">
        <v>6486</v>
      </c>
      <c r="AA1011" t="s">
        <v>8234</v>
      </c>
      <c r="AB1011" t="s">
        <v>7119</v>
      </c>
      <c r="AC1011" t="s">
        <v>5866</v>
      </c>
      <c r="AD1011" s="249" t="str">
        <f>HYPERLINK("https://scontent.cdninstagram.com/t51.2885-15/s320x320/e15/20904949_458011294577174_995246847079481344_n.jpg")</f>
        <v>https://scontent.cdninstagram.com/t51.2885-15/s320x320/e15/20904949_458011294577174_995246847079481344_n.jpg</v>
      </c>
      <c r="AE1011" s="249" t="str">
        <f>HYPERLINK("https://scontent.cdninstagram.com/t51.2885-19/s150x150/14714495_1790450111234953_7147855754219749376_a.jpg")</f>
        <v>https://scontent.cdninstagram.com/t51.2885-19/s150x150/14714495_1790450111234953_7147855754219749376_a.jpg</v>
      </c>
    </row>
    <row r="1012" spans="1:31" ht="15" x14ac:dyDescent="0.25">
      <c r="A1012" t="s">
        <v>2474</v>
      </c>
      <c r="B1012" t="s">
        <v>8235</v>
      </c>
      <c r="C1012" s="221">
        <v>42963.320324074077</v>
      </c>
      <c r="D1012" t="s">
        <v>8236</v>
      </c>
      <c r="E1012" s="249" t="str">
        <f>HYPERLINK("https://www.instagram.com/p/BX2nXSTBz1D/")</f>
        <v>https://www.instagram.com/p/BX2nXSTBz1D/</v>
      </c>
      <c r="F1012" t="s">
        <v>8237</v>
      </c>
      <c r="G1012" t="s">
        <v>2488</v>
      </c>
      <c r="H1012">
        <v>1256</v>
      </c>
      <c r="I1012" t="s">
        <v>2479</v>
      </c>
      <c r="J1012">
        <v>12</v>
      </c>
      <c r="K1012">
        <v>394</v>
      </c>
      <c r="L1012">
        <v>406</v>
      </c>
      <c r="Q1012">
        <v>0</v>
      </c>
      <c r="R1012">
        <v>0</v>
      </c>
      <c r="S1012">
        <v>406</v>
      </c>
      <c r="T1012" t="s">
        <v>8238</v>
      </c>
      <c r="V1012" t="s">
        <v>2095</v>
      </c>
      <c r="W1012">
        <v>42.544166666667003</v>
      </c>
      <c r="X1012">
        <v>1.5163888888889001</v>
      </c>
      <c r="AD1012" s="249" t="str">
        <f>HYPERLINK("https://scontent.cdninstagram.com/t51.2885-15/s320x320/e35/20837688_379498499119704_5671600577470005248_n.jpg")</f>
        <v>https://scontent.cdninstagram.com/t51.2885-15/s320x320/e35/20837688_379498499119704_5671600577470005248_n.jpg</v>
      </c>
      <c r="AE1012" s="249" t="str">
        <f>HYPERLINK("https://scontent.cdninstagram.com/t51.2885-19/s150x150/13557138_1075330099193441_1639788177_a.jpg")</f>
        <v>https://scontent.cdninstagram.com/t51.2885-19/s150x150/13557138_1075330099193441_1639788177_a.jpg</v>
      </c>
    </row>
    <row r="1013" spans="1:31" ht="15" x14ac:dyDescent="0.25">
      <c r="A1013" t="s">
        <v>2474</v>
      </c>
      <c r="B1013" t="s">
        <v>8239</v>
      </c>
      <c r="C1013" s="221">
        <v>42963.320462962962</v>
      </c>
      <c r="D1013" t="s">
        <v>8240</v>
      </c>
      <c r="E1013" s="249" t="str">
        <f>HYPERLINK("https://www.instagram.com/p/BX2nYuuhO9g/")</f>
        <v>https://www.instagram.com/p/BX2nYuuhO9g/</v>
      </c>
      <c r="F1013" t="s">
        <v>8241</v>
      </c>
      <c r="G1013" t="s">
        <v>2631</v>
      </c>
      <c r="H1013">
        <v>159</v>
      </c>
      <c r="I1013" t="s">
        <v>2479</v>
      </c>
      <c r="J1013">
        <v>6</v>
      </c>
      <c r="K1013">
        <v>18</v>
      </c>
      <c r="L1013">
        <v>24</v>
      </c>
      <c r="Q1013">
        <v>0</v>
      </c>
      <c r="R1013">
        <v>0</v>
      </c>
      <c r="S1013">
        <v>24</v>
      </c>
      <c r="Y1013" t="s">
        <v>2497</v>
      </c>
      <c r="Z1013" t="s">
        <v>6404</v>
      </c>
      <c r="AD1013" s="249" t="str">
        <f>HYPERLINK("https://scontent.cdninstagram.com/t51.2885-15/s320x320/e15/c0.90.720.720/20766785_264443187403079_3649778425486376960_n.jpg")</f>
        <v>https://scontent.cdninstagram.com/t51.2885-15/s320x320/e15/c0.90.720.720/20766785_264443187403079_3649778425486376960_n.jpg</v>
      </c>
      <c r="AE1013" s="249" t="str">
        <f>HYPERLINK("https://scontent.cdninstagram.com/t51.2885-19/s150x150/18444686_390284504706266_7529354841307480064_a.jpg")</f>
        <v>https://scontent.cdninstagram.com/t51.2885-19/s150x150/18444686_390284504706266_7529354841307480064_a.jpg</v>
      </c>
    </row>
    <row r="1014" spans="1:31" ht="15" x14ac:dyDescent="0.25">
      <c r="A1014" t="s">
        <v>2474</v>
      </c>
      <c r="B1014" t="s">
        <v>8242</v>
      </c>
      <c r="C1014" s="221">
        <v>42963.3284375</v>
      </c>
      <c r="D1014" t="s">
        <v>8243</v>
      </c>
      <c r="E1014" s="249" t="str">
        <f>HYPERLINK("https://www.instagram.com/p/BX2os7XACFv/")</f>
        <v>https://www.instagram.com/p/BX2os7XACFv/</v>
      </c>
      <c r="F1014" t="s">
        <v>8244</v>
      </c>
      <c r="G1014" t="s">
        <v>2478</v>
      </c>
      <c r="H1014">
        <v>12</v>
      </c>
      <c r="I1014" t="s">
        <v>2479</v>
      </c>
      <c r="J1014">
        <v>0</v>
      </c>
      <c r="K1014">
        <v>17</v>
      </c>
      <c r="L1014">
        <v>17</v>
      </c>
      <c r="Q1014">
        <v>0</v>
      </c>
      <c r="R1014">
        <v>0</v>
      </c>
      <c r="S1014">
        <v>17</v>
      </c>
      <c r="Y1014" t="s">
        <v>2497</v>
      </c>
      <c r="Z1014" t="s">
        <v>8245</v>
      </c>
      <c r="AA1014" t="s">
        <v>2492</v>
      </c>
      <c r="AB1014" t="s">
        <v>8246</v>
      </c>
      <c r="AD1014" s="249" t="str">
        <f>HYPERLINK("https://scontent.cdninstagram.com/t51.2885-15/s320x320/e35/c0.60.772.772/20902190_1511392612255682_4250088443989721088_n.jpg")</f>
        <v>https://scontent.cdninstagram.com/t51.2885-15/s320x320/e35/c0.60.772.772/20902190_1511392612255682_4250088443989721088_n.jpg</v>
      </c>
      <c r="AE1014" s="249" t="str">
        <f>HYPERLINK("https://scontent.cdninstagram.com/t51.2885-19/s150x150/20986966_464615083905700_7560239375607398400_a.jpg")</f>
        <v>https://scontent.cdninstagram.com/t51.2885-19/s150x150/20986966_464615083905700_7560239375607398400_a.jpg</v>
      </c>
    </row>
    <row r="1015" spans="1:31" ht="15" x14ac:dyDescent="0.25">
      <c r="A1015" t="s">
        <v>2474</v>
      </c>
      <c r="B1015" t="s">
        <v>8247</v>
      </c>
      <c r="C1015" s="221">
        <v>42963.328726851854</v>
      </c>
      <c r="D1015" t="s">
        <v>8248</v>
      </c>
      <c r="E1015" s="249" t="str">
        <f>HYPERLINK("https://www.instagram.com/p/BX2ov-Tgj5j/")</f>
        <v>https://www.instagram.com/p/BX2ov-Tgj5j/</v>
      </c>
      <c r="F1015" t="s">
        <v>8249</v>
      </c>
      <c r="G1015" t="s">
        <v>2478</v>
      </c>
      <c r="H1015">
        <v>144</v>
      </c>
      <c r="I1015" t="s">
        <v>2599</v>
      </c>
      <c r="J1015">
        <v>4</v>
      </c>
      <c r="K1015">
        <v>13</v>
      </c>
      <c r="L1015">
        <v>17</v>
      </c>
      <c r="Q1015">
        <v>0</v>
      </c>
      <c r="R1015">
        <v>0</v>
      </c>
      <c r="S1015">
        <v>17</v>
      </c>
      <c r="Y1015" t="s">
        <v>2497</v>
      </c>
      <c r="Z1015" t="s">
        <v>8250</v>
      </c>
      <c r="AA1015" t="s">
        <v>8251</v>
      </c>
      <c r="AB1015" t="s">
        <v>8252</v>
      </c>
      <c r="AC1015" t="s">
        <v>2551</v>
      </c>
      <c r="AD1015" s="249" t="str">
        <f>HYPERLINK("https://scontent.cdninstagram.com/t51.2885-15/s150x150/e35/c21.0.278.278/20837045_1949167292007459_4268458607525232640_n.jpg")</f>
        <v>https://scontent.cdninstagram.com/t51.2885-15/s150x150/e35/c21.0.278.278/20837045_1949167292007459_4268458607525232640_n.jpg</v>
      </c>
      <c r="AE1015" s="249" t="str">
        <f>HYPERLINK("https://scontent.cdninstagram.com/t51.2885-19/s150x150/12918498_1082952548439324_1374659992_a.jpg")</f>
        <v>https://scontent.cdninstagram.com/t51.2885-19/s150x150/12918498_1082952548439324_1374659992_a.jpg</v>
      </c>
    </row>
    <row r="1016" spans="1:31" ht="15" x14ac:dyDescent="0.25">
      <c r="A1016" t="s">
        <v>2474</v>
      </c>
      <c r="B1016" t="s">
        <v>8253</v>
      </c>
      <c r="C1016" s="221">
        <v>42963.331076388888</v>
      </c>
      <c r="D1016" t="s">
        <v>8254</v>
      </c>
      <c r="E1016" s="249" t="str">
        <f>HYPERLINK("https://www.instagram.com/p/BX2pIruHt27/")</f>
        <v>https://www.instagram.com/p/BX2pIruHt27/</v>
      </c>
      <c r="F1016" t="s">
        <v>8255</v>
      </c>
      <c r="G1016" t="s">
        <v>2478</v>
      </c>
      <c r="H1016">
        <v>153</v>
      </c>
      <c r="I1016" t="s">
        <v>2910</v>
      </c>
      <c r="J1016">
        <v>0</v>
      </c>
      <c r="K1016">
        <v>23</v>
      </c>
      <c r="L1016">
        <v>23</v>
      </c>
      <c r="Q1016">
        <v>0</v>
      </c>
      <c r="R1016">
        <v>0</v>
      </c>
      <c r="S1016">
        <v>23</v>
      </c>
      <c r="Y1016" t="s">
        <v>8256</v>
      </c>
      <c r="Z1016" t="s">
        <v>3349</v>
      </c>
      <c r="AA1016" t="s">
        <v>4174</v>
      </c>
      <c r="AB1016" t="s">
        <v>2497</v>
      </c>
      <c r="AC1016" t="s">
        <v>8257</v>
      </c>
      <c r="AD1016" s="249" t="str">
        <f>HYPERLINK("https://scontent.cdninstagram.com/t51.2885-15/s320x320/e35/c0.135.1080.1080/20837492_504545596552606_5450805328213966848_n.jpg")</f>
        <v>https://scontent.cdninstagram.com/t51.2885-15/s320x320/e35/c0.135.1080.1080/20837492_504545596552606_5450805328213966848_n.jpg</v>
      </c>
      <c r="AE1016" s="249" t="str">
        <f>HYPERLINK("https://scontent.cdninstagram.com/t51.2885-19/s150x150/20838286_167714127130350_7365244252596469760_a.jpg")</f>
        <v>https://scontent.cdninstagram.com/t51.2885-19/s150x150/20838286_167714127130350_7365244252596469760_a.jpg</v>
      </c>
    </row>
    <row r="1017" spans="1:31" ht="15" x14ac:dyDescent="0.25">
      <c r="A1017" t="s">
        <v>2474</v>
      </c>
      <c r="B1017" t="s">
        <v>8258</v>
      </c>
      <c r="C1017" s="221">
        <v>42963.331585648149</v>
      </c>
      <c r="D1017" t="s">
        <v>8259</v>
      </c>
      <c r="E1017" s="249" t="str">
        <f>HYPERLINK("https://www.instagram.com/p/BX2pOIXgBRV/")</f>
        <v>https://www.instagram.com/p/BX2pOIXgBRV/</v>
      </c>
      <c r="F1017" t="s">
        <v>8260</v>
      </c>
      <c r="G1017" t="s">
        <v>2478</v>
      </c>
      <c r="H1017">
        <v>84</v>
      </c>
      <c r="I1017" t="s">
        <v>2599</v>
      </c>
      <c r="J1017">
        <v>3</v>
      </c>
      <c r="K1017">
        <v>42</v>
      </c>
      <c r="L1017">
        <v>45</v>
      </c>
      <c r="Q1017">
        <v>0</v>
      </c>
      <c r="R1017">
        <v>0</v>
      </c>
      <c r="S1017">
        <v>45</v>
      </c>
      <c r="Y1017" t="s">
        <v>2861</v>
      </c>
      <c r="Z1017" t="s">
        <v>8075</v>
      </c>
      <c r="AA1017" t="s">
        <v>8261</v>
      </c>
      <c r="AB1017" t="s">
        <v>2911</v>
      </c>
      <c r="AC1017" t="s">
        <v>4760</v>
      </c>
      <c r="AD1017" s="249" t="str">
        <f>HYPERLINK("https://scontent.cdninstagram.com/t51.2885-15/s320x320/e35/20837381_2428310620727811_1077070840266227712_n.jpg")</f>
        <v>https://scontent.cdninstagram.com/t51.2885-15/s320x320/e35/20837381_2428310620727811_1077070840266227712_n.jpg</v>
      </c>
      <c r="AE1017" s="249" t="str">
        <f>HYPERLINK("https://scontent.cdninstagram.com/t51.2885-19/s150x150/20633753_447346078998098_1375545087081054208_a.jpg")</f>
        <v>https://scontent.cdninstagram.com/t51.2885-19/s150x150/20633753_447346078998098_1375545087081054208_a.jpg</v>
      </c>
    </row>
    <row r="1018" spans="1:31" ht="15" x14ac:dyDescent="0.25">
      <c r="A1018" t="s">
        <v>2474</v>
      </c>
      <c r="B1018" t="s">
        <v>7152</v>
      </c>
      <c r="C1018" s="221">
        <v>42963.334456018521</v>
      </c>
      <c r="D1018" t="s">
        <v>8262</v>
      </c>
      <c r="E1018" s="249" t="str">
        <f>HYPERLINK("https://www.instagram.com/p/BX2psT8j-5X/")</f>
        <v>https://www.instagram.com/p/BX2psT8j-5X/</v>
      </c>
      <c r="F1018" t="s">
        <v>8263</v>
      </c>
      <c r="G1018" t="s">
        <v>2478</v>
      </c>
      <c r="H1018">
        <v>109</v>
      </c>
      <c r="I1018" t="s">
        <v>2479</v>
      </c>
      <c r="J1018">
        <v>2</v>
      </c>
      <c r="K1018">
        <v>14</v>
      </c>
      <c r="L1018">
        <v>16</v>
      </c>
      <c r="Q1018">
        <v>0</v>
      </c>
      <c r="R1018">
        <v>0</v>
      </c>
      <c r="S1018">
        <v>16</v>
      </c>
      <c r="Y1018" t="s">
        <v>7900</v>
      </c>
      <c r="Z1018" t="s">
        <v>8213</v>
      </c>
      <c r="AA1018" t="s">
        <v>7898</v>
      </c>
      <c r="AB1018" t="s">
        <v>8264</v>
      </c>
      <c r="AC1018" t="s">
        <v>2833</v>
      </c>
      <c r="AD1018" s="249" t="str">
        <f>HYPERLINK("https://scontent.cdninstagram.com/t51.2885-15/s320x320/e35/20838577_1388272564624312_3312478988575703040_n.jpg")</f>
        <v>https://scontent.cdninstagram.com/t51.2885-15/s320x320/e35/20838577_1388272564624312_3312478988575703040_n.jpg</v>
      </c>
      <c r="AE1018" s="249" t="str">
        <f>HYPERLINK("https://scontent.cdninstagram.com/t51.2885-19/s150x150/20181062_1791856511105718_4709893984703479808_a.jpg")</f>
        <v>https://scontent.cdninstagram.com/t51.2885-19/s150x150/20181062_1791856511105718_4709893984703479808_a.jpg</v>
      </c>
    </row>
    <row r="1019" spans="1:31" ht="15" x14ac:dyDescent="0.25">
      <c r="A1019" t="s">
        <v>2474</v>
      </c>
      <c r="B1019" t="s">
        <v>7156</v>
      </c>
      <c r="C1019" s="221">
        <v>42963.336851851855</v>
      </c>
      <c r="D1019" t="s">
        <v>8265</v>
      </c>
      <c r="E1019" s="249" t="str">
        <f>HYPERLINK("https://www.instagram.com/p/BX2qFjaA6ZF/")</f>
        <v>https://www.instagram.com/p/BX2qFjaA6ZF/</v>
      </c>
      <c r="F1019" t="s">
        <v>8266</v>
      </c>
      <c r="G1019" t="s">
        <v>2631</v>
      </c>
      <c r="H1019">
        <v>51</v>
      </c>
      <c r="I1019" t="s">
        <v>3575</v>
      </c>
      <c r="J1019">
        <v>0</v>
      </c>
      <c r="K1019">
        <v>30</v>
      </c>
      <c r="L1019">
        <v>30</v>
      </c>
      <c r="Q1019">
        <v>0</v>
      </c>
      <c r="R1019">
        <v>0</v>
      </c>
      <c r="S1019">
        <v>30</v>
      </c>
      <c r="Y1019" t="s">
        <v>2497</v>
      </c>
      <c r="Z1019" t="s">
        <v>8267</v>
      </c>
      <c r="AA1019" t="s">
        <v>4240</v>
      </c>
      <c r="AB1019" t="s">
        <v>3982</v>
      </c>
      <c r="AC1019" t="s">
        <v>8268</v>
      </c>
      <c r="AD1019" s="249" t="str">
        <f>HYPERLINK("https://scontent.cdninstagram.com/t51.2885-15/s320x320/e15/20766887_1497067807046979_3374860021295742976_n.jpg")</f>
        <v>https://scontent.cdninstagram.com/t51.2885-15/s320x320/e15/20766887_1497067807046979_3374860021295742976_n.jpg</v>
      </c>
      <c r="AE1019" s="249" t="str">
        <f>HYPERLINK("https://scontent.cdninstagram.com/t51.2885-19/s150x150/20902123_1127129460721889_2738001411651403776_a.jpg")</f>
        <v>https://scontent.cdninstagram.com/t51.2885-19/s150x150/20902123_1127129460721889_2738001411651403776_a.jpg</v>
      </c>
    </row>
    <row r="1020" spans="1:31" ht="15" x14ac:dyDescent="0.25">
      <c r="A1020" t="s">
        <v>2474</v>
      </c>
      <c r="B1020" t="s">
        <v>8269</v>
      </c>
      <c r="C1020" s="221">
        <v>42963.337824074071</v>
      </c>
      <c r="D1020" t="s">
        <v>8270</v>
      </c>
      <c r="E1020" s="249" t="str">
        <f>HYPERLINK("https://www.instagram.com/p/BX2qP7JhIKB/")</f>
        <v>https://www.instagram.com/p/BX2qP7JhIKB/</v>
      </c>
      <c r="F1020" t="s">
        <v>8271</v>
      </c>
      <c r="G1020" t="s">
        <v>2478</v>
      </c>
      <c r="H1020">
        <v>356</v>
      </c>
      <c r="I1020" t="s">
        <v>2479</v>
      </c>
      <c r="J1020">
        <v>0</v>
      </c>
      <c r="K1020">
        <v>42</v>
      </c>
      <c r="L1020">
        <v>42</v>
      </c>
      <c r="Q1020">
        <v>0</v>
      </c>
      <c r="R1020">
        <v>0</v>
      </c>
      <c r="S1020">
        <v>42</v>
      </c>
      <c r="T1020" t="s">
        <v>8272</v>
      </c>
      <c r="V1020" t="s">
        <v>2648</v>
      </c>
      <c r="W1020">
        <v>55.779516666667</v>
      </c>
      <c r="X1020">
        <v>37.601166666666998</v>
      </c>
      <c r="Y1020" t="s">
        <v>2497</v>
      </c>
      <c r="Z1020" t="s">
        <v>8273</v>
      </c>
      <c r="AA1020" t="s">
        <v>8274</v>
      </c>
      <c r="AD1020" s="249" t="str">
        <f>HYPERLINK("https://scontent.cdninstagram.com/t51.2885-15/s320x320/e35/c135.0.809.809/20766591_113348685975628_6038750754347417600_n.jpg")</f>
        <v>https://scontent.cdninstagram.com/t51.2885-15/s320x320/e35/c135.0.809.809/20766591_113348685975628_6038750754347417600_n.jpg</v>
      </c>
      <c r="AE1020" s="249" t="str">
        <f>HYPERLINK("https://scontent.cdninstagram.com/t51.2885-19/s150x150/15875816_968409799958809_6732194106417610752_a.jpg")</f>
        <v>https://scontent.cdninstagram.com/t51.2885-19/s150x150/15875816_968409799958809_6732194106417610752_a.jpg</v>
      </c>
    </row>
    <row r="1021" spans="1:31" ht="15" x14ac:dyDescent="0.25">
      <c r="A1021" t="s">
        <v>2474</v>
      </c>
      <c r="B1021" t="s">
        <v>8275</v>
      </c>
      <c r="C1021" s="221">
        <v>42963.341585648152</v>
      </c>
      <c r="D1021" t="s">
        <v>8276</v>
      </c>
      <c r="E1021" s="249" t="str">
        <f>HYPERLINK("https://www.instagram.com/p/BX2q3jKDJj0/")</f>
        <v>https://www.instagram.com/p/BX2q3jKDJj0/</v>
      </c>
      <c r="F1021" t="s">
        <v>8277</v>
      </c>
      <c r="G1021" t="s">
        <v>2478</v>
      </c>
      <c r="H1021">
        <v>733</v>
      </c>
      <c r="I1021" t="s">
        <v>3575</v>
      </c>
      <c r="J1021">
        <v>0</v>
      </c>
      <c r="K1021">
        <v>32</v>
      </c>
      <c r="L1021">
        <v>32</v>
      </c>
      <c r="Q1021">
        <v>0</v>
      </c>
      <c r="R1021">
        <v>0</v>
      </c>
      <c r="S1021">
        <v>32</v>
      </c>
      <c r="Y1021" t="s">
        <v>2497</v>
      </c>
      <c r="Z1021" t="s">
        <v>3783</v>
      </c>
      <c r="AD1021" s="249" t="str">
        <f>HYPERLINK("https://scontent.cdninstagram.com/t51.2885-15/s320x320/e35/c0.135.1080.1080/20766737_125317371429006_4847332281045483520_n.jpg")</f>
        <v>https://scontent.cdninstagram.com/t51.2885-15/s320x320/e35/c0.135.1080.1080/20766737_125317371429006_4847332281045483520_n.jpg</v>
      </c>
      <c r="AE1021" s="249" t="str">
        <f>HYPERLINK("https://scontent.cdninstagram.com/t51.2885-19/s150x150/18579971_1940882822859468_7837792514600861696_a.jpg")</f>
        <v>https://scontent.cdninstagram.com/t51.2885-19/s150x150/18579971_1940882822859468_7837792514600861696_a.jpg</v>
      </c>
    </row>
    <row r="1022" spans="1:31" ht="15" x14ac:dyDescent="0.25">
      <c r="A1022" t="s">
        <v>2474</v>
      </c>
      <c r="B1022" t="s">
        <v>8278</v>
      </c>
      <c r="C1022" s="221">
        <v>42963.343321759261</v>
      </c>
      <c r="D1022" t="s">
        <v>8279</v>
      </c>
      <c r="E1022" s="249" t="str">
        <f>HYPERLINK("https://www.instagram.com/p/BX2rJ5KgSCA/")</f>
        <v>https://www.instagram.com/p/BX2rJ5KgSCA/</v>
      </c>
      <c r="F1022" t="s">
        <v>8280</v>
      </c>
      <c r="G1022" t="s">
        <v>2478</v>
      </c>
      <c r="H1022">
        <v>26</v>
      </c>
      <c r="I1022" t="s">
        <v>2479</v>
      </c>
      <c r="J1022">
        <v>1</v>
      </c>
      <c r="K1022">
        <v>5</v>
      </c>
      <c r="L1022">
        <v>6</v>
      </c>
      <c r="Q1022">
        <v>0</v>
      </c>
      <c r="R1022">
        <v>0</v>
      </c>
      <c r="S1022">
        <v>6</v>
      </c>
      <c r="Y1022" t="s">
        <v>2497</v>
      </c>
      <c r="Z1022" t="s">
        <v>8281</v>
      </c>
      <c r="AA1022" t="s">
        <v>8282</v>
      </c>
      <c r="AD1022" s="249" t="str">
        <f>HYPERLINK("https://scontent.cdninstagram.com/t51.2885-15/s320x320/e35/20766810_474198529614056_637912667633221632_n.jpg")</f>
        <v>https://scontent.cdninstagram.com/t51.2885-15/s320x320/e35/20766810_474198529614056_637912667633221632_n.jpg</v>
      </c>
      <c r="AE1022" s="249" t="str">
        <f>HYPERLINK("https://scontent.cdninstagram.com/t51.2885-19/s150x150/20226042_479405879091943_6387473739113562112_a.jpg")</f>
        <v>https://scontent.cdninstagram.com/t51.2885-19/s150x150/20226042_479405879091943_6387473739113562112_a.jpg</v>
      </c>
    </row>
    <row r="1023" spans="1:31" ht="15" x14ac:dyDescent="0.25">
      <c r="A1023" t="s">
        <v>2474</v>
      </c>
      <c r="B1023" t="s">
        <v>8283</v>
      </c>
      <c r="C1023" s="221">
        <v>42963.347175925926</v>
      </c>
      <c r="D1023" t="s">
        <v>8284</v>
      </c>
      <c r="E1023" s="249" t="str">
        <f>HYPERLINK("https://www.instagram.com/p/BX2ryg7l3c7/")</f>
        <v>https://www.instagram.com/p/BX2ryg7l3c7/</v>
      </c>
      <c r="F1023" t="s">
        <v>8285</v>
      </c>
      <c r="G1023" t="s">
        <v>2631</v>
      </c>
      <c r="H1023">
        <v>111</v>
      </c>
      <c r="I1023" t="s">
        <v>2479</v>
      </c>
      <c r="J1023">
        <v>2</v>
      </c>
      <c r="K1023">
        <v>9</v>
      </c>
      <c r="L1023">
        <v>11</v>
      </c>
      <c r="Q1023">
        <v>0</v>
      </c>
      <c r="R1023">
        <v>0</v>
      </c>
      <c r="S1023">
        <v>11</v>
      </c>
      <c r="T1023" t="s">
        <v>8286</v>
      </c>
      <c r="V1023" t="s">
        <v>2110</v>
      </c>
      <c r="W1023">
        <v>51.338410000000003</v>
      </c>
      <c r="X1023">
        <v>3.2744300000000002</v>
      </c>
      <c r="Y1023" t="s">
        <v>2497</v>
      </c>
      <c r="Z1023" t="s">
        <v>3157</v>
      </c>
      <c r="AA1023" t="s">
        <v>8287</v>
      </c>
      <c r="AB1023" t="s">
        <v>8288</v>
      </c>
      <c r="AC1023" t="s">
        <v>4513</v>
      </c>
      <c r="AD1023" s="249" t="str">
        <f>HYPERLINK("https://scontent.cdninstagram.com/t51.2885-15/s320x320/e15/20901947_103343917061132_4854098697077653504_n.jpg")</f>
        <v>https://scontent.cdninstagram.com/t51.2885-15/s320x320/e15/20901947_103343917061132_4854098697077653504_n.jpg</v>
      </c>
      <c r="AE1023" s="249" t="str">
        <f>HYPERLINK("https://scontent.cdninstagram.com/t51.2885-19/s150x150/18252688_1201031580023414_6061015529802432512_a.jpg")</f>
        <v>https://scontent.cdninstagram.com/t51.2885-19/s150x150/18252688_1201031580023414_6061015529802432512_a.jpg</v>
      </c>
    </row>
    <row r="1024" spans="1:31" ht="15" x14ac:dyDescent="0.25">
      <c r="A1024" t="s">
        <v>2474</v>
      </c>
      <c r="B1024" t="s">
        <v>8289</v>
      </c>
      <c r="C1024" s="221">
        <v>42963.347592592596</v>
      </c>
      <c r="D1024" t="s">
        <v>8290</v>
      </c>
      <c r="E1024" s="249" t="str">
        <f>HYPERLINK("https://www.instagram.com/p/BX2r22fF-3K/")</f>
        <v>https://www.instagram.com/p/BX2r22fF-3K/</v>
      </c>
      <c r="F1024" t="s">
        <v>8291</v>
      </c>
      <c r="G1024" t="s">
        <v>2478</v>
      </c>
      <c r="H1024">
        <v>154</v>
      </c>
      <c r="I1024" t="s">
        <v>5670</v>
      </c>
      <c r="J1024">
        <v>0</v>
      </c>
      <c r="K1024">
        <v>8</v>
      </c>
      <c r="L1024">
        <v>8</v>
      </c>
      <c r="Q1024">
        <v>0</v>
      </c>
      <c r="R1024">
        <v>0</v>
      </c>
      <c r="S1024">
        <v>8</v>
      </c>
      <c r="Y1024" t="s">
        <v>8292</v>
      </c>
      <c r="Z1024" t="s">
        <v>8293</v>
      </c>
      <c r="AA1024" t="s">
        <v>8294</v>
      </c>
      <c r="AB1024" t="s">
        <v>8295</v>
      </c>
      <c r="AC1024" t="s">
        <v>8296</v>
      </c>
      <c r="AD1024" s="249" t="str">
        <f>HYPERLINK("https://scontent.cdninstagram.com/t51.2885-15/s320x320/e35/20838235_1332716410171208_9176549183862079488_n.jpg")</f>
        <v>https://scontent.cdninstagram.com/t51.2885-15/s320x320/e35/20838235_1332716410171208_9176549183862079488_n.jpg</v>
      </c>
      <c r="AE1024" s="249" t="str">
        <f>HYPERLINK("https://scontent.cdninstagram.com/t51.2885-19/s150x150/15624013_279424935793643_7781357039468412928_a.jpg")</f>
        <v>https://scontent.cdninstagram.com/t51.2885-19/s150x150/15624013_279424935793643_7781357039468412928_a.jpg</v>
      </c>
    </row>
    <row r="1025" spans="1:31" ht="15" x14ac:dyDescent="0.25">
      <c r="A1025" t="s">
        <v>2474</v>
      </c>
      <c r="B1025" t="s">
        <v>8297</v>
      </c>
      <c r="C1025" s="221">
        <v>42963.348738425928</v>
      </c>
      <c r="D1025" t="s">
        <v>8298</v>
      </c>
      <c r="E1025" s="249" t="str">
        <f>HYPERLINK("https://www.instagram.com/p/BX2sC_kg2-N/")</f>
        <v>https://www.instagram.com/p/BX2sC_kg2-N/</v>
      </c>
      <c r="F1025" t="s">
        <v>8299</v>
      </c>
      <c r="G1025" t="s">
        <v>2478</v>
      </c>
      <c r="I1025" t="s">
        <v>2479</v>
      </c>
      <c r="J1025">
        <v>2</v>
      </c>
      <c r="K1025">
        <v>53</v>
      </c>
      <c r="L1025">
        <v>55</v>
      </c>
      <c r="Q1025">
        <v>0</v>
      </c>
      <c r="R1025">
        <v>0</v>
      </c>
      <c r="S1025">
        <v>55</v>
      </c>
      <c r="Y1025" t="s">
        <v>2497</v>
      </c>
      <c r="Z1025" t="s">
        <v>8300</v>
      </c>
      <c r="AA1025" t="s">
        <v>8301</v>
      </c>
      <c r="AD1025" s="249" t="str">
        <f>HYPERLINK("https://scontent.cdninstagram.com/t51.2885-15/s320x320/e35/20836868_111900286149478_5164309925576310784_n.jpg")</f>
        <v>https://scontent.cdninstagram.com/t51.2885-15/s320x320/e35/20836868_111900286149478_5164309925576310784_n.jpg</v>
      </c>
      <c r="AE1025" s="249" t="str">
        <f>HYPERLINK("https://scontent.cdninstagram.com/t51.2885-19/s150x150/20213800_510819469262362_1917393788867706880_a.jpg")</f>
        <v>https://scontent.cdninstagram.com/t51.2885-19/s150x150/20213800_510819469262362_1917393788867706880_a.jpg</v>
      </c>
    </row>
    <row r="1026" spans="1:31" ht="15" x14ac:dyDescent="0.25">
      <c r="A1026" t="s">
        <v>2474</v>
      </c>
      <c r="B1026" t="s">
        <v>6224</v>
      </c>
      <c r="C1026" s="221">
        <v>42963.353692129633</v>
      </c>
      <c r="D1026" t="s">
        <v>8302</v>
      </c>
      <c r="E1026" s="249" t="str">
        <f>HYPERLINK("https://www.instagram.com/p/BX2s3PTA7ra/")</f>
        <v>https://www.instagram.com/p/BX2s3PTA7ra/</v>
      </c>
      <c r="F1026" t="s">
        <v>8303</v>
      </c>
      <c r="G1026" t="s">
        <v>2631</v>
      </c>
      <c r="H1026">
        <v>118</v>
      </c>
      <c r="I1026" t="s">
        <v>2479</v>
      </c>
      <c r="J1026">
        <v>0</v>
      </c>
      <c r="K1026">
        <v>22</v>
      </c>
      <c r="L1026">
        <v>22</v>
      </c>
      <c r="Q1026">
        <v>0</v>
      </c>
      <c r="R1026">
        <v>0</v>
      </c>
      <c r="S1026">
        <v>22</v>
      </c>
      <c r="Y1026" t="s">
        <v>3213</v>
      </c>
      <c r="Z1026" t="s">
        <v>8304</v>
      </c>
      <c r="AA1026" t="s">
        <v>8305</v>
      </c>
      <c r="AB1026" t="s">
        <v>4017</v>
      </c>
      <c r="AC1026" t="s">
        <v>8306</v>
      </c>
      <c r="AD1026" s="249" t="str">
        <f>HYPERLINK("https://scontent.cdninstagram.com/t51.2885-15/s320x320/e15/20760015_160805704474126_8993827067338424320_n.jpg")</f>
        <v>https://scontent.cdninstagram.com/t51.2885-15/s320x320/e15/20760015_160805704474126_8993827067338424320_n.jpg</v>
      </c>
      <c r="AE1026" s="249" t="str">
        <f>HYPERLINK("https://scontent.cdninstagram.com/t51.2885-19/s150x150/18722175_301366250309630_4574136626891980800_a.jpg")</f>
        <v>https://scontent.cdninstagram.com/t51.2885-19/s150x150/18722175_301366250309630_4574136626891980800_a.jpg</v>
      </c>
    </row>
    <row r="1027" spans="1:31" ht="15" x14ac:dyDescent="0.25">
      <c r="A1027" t="s">
        <v>2474</v>
      </c>
      <c r="B1027" t="s">
        <v>8307</v>
      </c>
      <c r="C1027" s="221">
        <v>42963.361608796295</v>
      </c>
      <c r="D1027" t="s">
        <v>8308</v>
      </c>
      <c r="E1027" s="249" t="str">
        <f>HYPERLINK("https://www.instagram.com/p/BX2uKuNj4D7/")</f>
        <v>https://www.instagram.com/p/BX2uKuNj4D7/</v>
      </c>
      <c r="F1027" t="s">
        <v>8309</v>
      </c>
      <c r="G1027" t="s">
        <v>2478</v>
      </c>
      <c r="H1027">
        <v>270</v>
      </c>
      <c r="I1027" t="s">
        <v>2479</v>
      </c>
      <c r="J1027">
        <v>0</v>
      </c>
      <c r="K1027">
        <v>45</v>
      </c>
      <c r="L1027">
        <v>45</v>
      </c>
      <c r="Q1027">
        <v>0</v>
      </c>
      <c r="R1027">
        <v>0</v>
      </c>
      <c r="S1027">
        <v>45</v>
      </c>
      <c r="Y1027" t="s">
        <v>4121</v>
      </c>
      <c r="Z1027" t="s">
        <v>3535</v>
      </c>
      <c r="AA1027" t="s">
        <v>4105</v>
      </c>
      <c r="AB1027" t="s">
        <v>2513</v>
      </c>
      <c r="AC1027" t="s">
        <v>5229</v>
      </c>
      <c r="AD1027" s="249" t="str">
        <f>HYPERLINK("https://scontent.cdninstagram.com/t51.2885-15/s320x320/e35/c5.0.1070.1070/20838448_505131903174064_8546683176112619520_n.jpg")</f>
        <v>https://scontent.cdninstagram.com/t51.2885-15/s320x320/e35/c5.0.1070.1070/20838448_505131903174064_8546683176112619520_n.jpg</v>
      </c>
      <c r="AE1027" s="249" t="str">
        <f>HYPERLINK("https://scontent.cdninstagram.com/t51.2885-19/s150x150/19931859_332258940528903_7013816052614168576_a.jpg")</f>
        <v>https://scontent.cdninstagram.com/t51.2885-19/s150x150/19931859_332258940528903_7013816052614168576_a.jpg</v>
      </c>
    </row>
    <row r="1028" spans="1:31" ht="15" x14ac:dyDescent="0.25">
      <c r="A1028" t="s">
        <v>2474</v>
      </c>
      <c r="B1028" t="s">
        <v>2588</v>
      </c>
      <c r="C1028" s="221">
        <v>42963.366018518522</v>
      </c>
      <c r="D1028" t="s">
        <v>8310</v>
      </c>
      <c r="E1028" s="249" t="str">
        <f>HYPERLINK("https://www.instagram.com/p/BX2u5QQgWSt/")</f>
        <v>https://www.instagram.com/p/BX2u5QQgWSt/</v>
      </c>
      <c r="F1028" t="s">
        <v>8311</v>
      </c>
      <c r="G1028" t="s">
        <v>2478</v>
      </c>
      <c r="H1028">
        <v>292</v>
      </c>
      <c r="I1028" t="s">
        <v>2479</v>
      </c>
      <c r="J1028">
        <v>17</v>
      </c>
      <c r="K1028">
        <v>801</v>
      </c>
      <c r="L1028">
        <v>818</v>
      </c>
      <c r="Q1028">
        <v>0</v>
      </c>
      <c r="R1028">
        <v>0</v>
      </c>
      <c r="S1028">
        <v>818</v>
      </c>
      <c r="AD1028" s="249" t="str">
        <f>HYPERLINK("https://scontent.cdninstagram.com/t51.2885-15/s320x320/e35/c33.0.574.574/20905278_1890801547804217_7774674572867010560_n.jpg")</f>
        <v>https://scontent.cdninstagram.com/t51.2885-15/s320x320/e35/c33.0.574.574/20905278_1890801547804217_7774674572867010560_n.jpg</v>
      </c>
      <c r="AE1028" s="249" t="str">
        <f>HYPERLINK("https://scontent.cdninstagram.com/t51.2885-19/s150x150/20633561_108840983138666_5897549723056734208_a.jpg")</f>
        <v>https://scontent.cdninstagram.com/t51.2885-19/s150x150/20633561_108840983138666_5897549723056734208_a.jpg</v>
      </c>
    </row>
    <row r="1029" spans="1:31" ht="15" x14ac:dyDescent="0.25">
      <c r="A1029" t="s">
        <v>2474</v>
      </c>
      <c r="B1029" t="s">
        <v>8312</v>
      </c>
      <c r="C1029" s="221">
        <v>42963.368877314817</v>
      </c>
      <c r="D1029" t="s">
        <v>8313</v>
      </c>
      <c r="E1029" s="249" t="str">
        <f>HYPERLINK("https://www.instagram.com/p/BX2vXZhlYjv/")</f>
        <v>https://www.instagram.com/p/BX2vXZhlYjv/</v>
      </c>
      <c r="F1029" t="s">
        <v>8314</v>
      </c>
      <c r="G1029" t="s">
        <v>2478</v>
      </c>
      <c r="H1029">
        <v>8</v>
      </c>
      <c r="I1029" t="s">
        <v>2599</v>
      </c>
      <c r="J1029">
        <v>0</v>
      </c>
      <c r="K1029">
        <v>22</v>
      </c>
      <c r="L1029">
        <v>22</v>
      </c>
      <c r="Q1029">
        <v>0</v>
      </c>
      <c r="R1029">
        <v>0</v>
      </c>
      <c r="S1029">
        <v>22</v>
      </c>
      <c r="T1029" t="s">
        <v>8315</v>
      </c>
      <c r="V1029" t="s">
        <v>2264</v>
      </c>
      <c r="W1029">
        <v>42.783299999999997</v>
      </c>
      <c r="X1029">
        <v>-7.4</v>
      </c>
      <c r="Y1029" t="s">
        <v>8316</v>
      </c>
      <c r="Z1029" t="s">
        <v>8317</v>
      </c>
      <c r="AA1029" t="s">
        <v>8318</v>
      </c>
      <c r="AB1029" t="s">
        <v>8319</v>
      </c>
      <c r="AC1029" t="s">
        <v>3945</v>
      </c>
      <c r="AD1029" s="249" t="str">
        <f>HYPERLINK("https://scontent.cdninstagram.com/t51.2885-15/s320x320/e35/20838462_859269520892532_7158616807664779264_n.jpg")</f>
        <v>https://scontent.cdninstagram.com/t51.2885-15/s320x320/e35/20838462_859269520892532_7158616807664779264_n.jpg</v>
      </c>
      <c r="AE1029" s="249" t="str">
        <f>HYPERLINK("https://scontent.cdninstagram.com/t51.2885-19/s150x150/20347739_515336592144896_3974966673097621504_a.jpg")</f>
        <v>https://scontent.cdninstagram.com/t51.2885-19/s150x150/20347739_515336592144896_3974966673097621504_a.jpg</v>
      </c>
    </row>
    <row r="1030" spans="1:31" ht="15" x14ac:dyDescent="0.25">
      <c r="A1030" t="s">
        <v>2474</v>
      </c>
      <c r="B1030" t="s">
        <v>8320</v>
      </c>
      <c r="C1030" s="221">
        <v>42963.369409722225</v>
      </c>
      <c r="D1030" t="s">
        <v>8321</v>
      </c>
      <c r="E1030" s="249" t="str">
        <f>HYPERLINK("https://www.instagram.com/p/BX2vc-1ldUJ/")</f>
        <v>https://www.instagram.com/p/BX2vc-1ldUJ/</v>
      </c>
      <c r="F1030" t="s">
        <v>8322</v>
      </c>
      <c r="G1030" t="s">
        <v>2478</v>
      </c>
      <c r="H1030">
        <v>2353</v>
      </c>
      <c r="I1030" t="s">
        <v>2479</v>
      </c>
      <c r="J1030">
        <v>0</v>
      </c>
      <c r="K1030">
        <v>51</v>
      </c>
      <c r="L1030">
        <v>51</v>
      </c>
      <c r="Q1030">
        <v>0</v>
      </c>
      <c r="R1030">
        <v>0</v>
      </c>
      <c r="S1030">
        <v>51</v>
      </c>
      <c r="Y1030" t="s">
        <v>8323</v>
      </c>
      <c r="Z1030" t="s">
        <v>4514</v>
      </c>
      <c r="AA1030" t="s">
        <v>8324</v>
      </c>
      <c r="AB1030" t="s">
        <v>4622</v>
      </c>
      <c r="AC1030" t="s">
        <v>4569</v>
      </c>
      <c r="AD1030" s="249" t="str">
        <f>HYPERLINK("https://scontent.cdninstagram.com/t51.2885-15/s320x320/e35/20838720_388377361581901_2331390711640883200_n.jpg")</f>
        <v>https://scontent.cdninstagram.com/t51.2885-15/s320x320/e35/20838720_388377361581901_2331390711640883200_n.jpg</v>
      </c>
      <c r="AE1030" s="249" t="str">
        <f>HYPERLINK("https://scontent.cdninstagram.com/t51.2885-19/s150x150/14677160_1118752464886698_3376108667072937984_a.jpg")</f>
        <v>https://scontent.cdninstagram.com/t51.2885-19/s150x150/14677160_1118752464886698_3376108667072937984_a.jpg</v>
      </c>
    </row>
    <row r="1031" spans="1:31" ht="15" x14ac:dyDescent="0.25">
      <c r="A1031" t="s">
        <v>2474</v>
      </c>
      <c r="B1031" t="s">
        <v>7185</v>
      </c>
      <c r="C1031" s="221">
        <v>42963.376666666663</v>
      </c>
      <c r="D1031" t="s">
        <v>8325</v>
      </c>
      <c r="E1031" s="249" t="str">
        <f>HYPERLINK("https://www.instagram.com/p/BX2wpkMhs1J/")</f>
        <v>https://www.instagram.com/p/BX2wpkMhs1J/</v>
      </c>
      <c r="F1031" t="s">
        <v>8326</v>
      </c>
      <c r="G1031" t="s">
        <v>2478</v>
      </c>
      <c r="H1031">
        <v>384</v>
      </c>
      <c r="I1031" t="s">
        <v>2479</v>
      </c>
      <c r="J1031">
        <v>4</v>
      </c>
      <c r="K1031">
        <v>57</v>
      </c>
      <c r="L1031">
        <v>61</v>
      </c>
      <c r="Q1031">
        <v>0</v>
      </c>
      <c r="R1031">
        <v>0</v>
      </c>
      <c r="S1031">
        <v>61</v>
      </c>
      <c r="T1031" t="s">
        <v>8327</v>
      </c>
      <c r="V1031" t="s">
        <v>2111</v>
      </c>
      <c r="W1031">
        <v>17.75</v>
      </c>
      <c r="X1031">
        <v>-88.333333330000002</v>
      </c>
      <c r="Y1031" t="s">
        <v>8328</v>
      </c>
      <c r="Z1031" t="s">
        <v>4547</v>
      </c>
      <c r="AA1031" t="s">
        <v>7001</v>
      </c>
      <c r="AB1031" t="s">
        <v>8329</v>
      </c>
      <c r="AC1031" t="s">
        <v>8330</v>
      </c>
      <c r="AD1031" s="249" t="str">
        <f>HYPERLINK("https://scontent.cdninstagram.com/t51.2885-15/s320x320/e35/c170.0.740.740/20766618_2014021855494765_7542279420103360512_n.jpg")</f>
        <v>https://scontent.cdninstagram.com/t51.2885-15/s320x320/e35/c170.0.740.740/20766618_2014021855494765_7542279420103360512_n.jpg</v>
      </c>
      <c r="AE1031" s="249" t="str">
        <f>HYPERLINK("https://scontent.cdninstagram.com/t51.2885-19/s150x150/17882752_1488967831123186_392500985118851072_a.jpg")</f>
        <v>https://scontent.cdninstagram.com/t51.2885-19/s150x150/17882752_1488967831123186_392500985118851072_a.jpg</v>
      </c>
    </row>
    <row r="1032" spans="1:31" ht="15" x14ac:dyDescent="0.25">
      <c r="A1032" t="s">
        <v>2474</v>
      </c>
      <c r="B1032" t="s">
        <v>5093</v>
      </c>
      <c r="C1032" s="221">
        <v>42963.379837962966</v>
      </c>
      <c r="D1032" t="s">
        <v>8331</v>
      </c>
      <c r="E1032" s="249" t="str">
        <f>HYPERLINK("https://www.instagram.com/p/BX2xLCPg2xV/")</f>
        <v>https://www.instagram.com/p/BX2xLCPg2xV/</v>
      </c>
      <c r="F1032" t="s">
        <v>8332</v>
      </c>
      <c r="G1032" t="s">
        <v>2478</v>
      </c>
      <c r="H1032">
        <v>89</v>
      </c>
      <c r="I1032" t="s">
        <v>2479</v>
      </c>
      <c r="J1032">
        <v>0</v>
      </c>
      <c r="K1032">
        <v>7</v>
      </c>
      <c r="L1032">
        <v>7</v>
      </c>
      <c r="Q1032">
        <v>0</v>
      </c>
      <c r="R1032">
        <v>0</v>
      </c>
      <c r="S1032">
        <v>7</v>
      </c>
      <c r="T1032" t="s">
        <v>8333</v>
      </c>
      <c r="V1032" t="s">
        <v>2180</v>
      </c>
      <c r="W1032">
        <v>53.251100000000001</v>
      </c>
      <c r="X1032">
        <v>-6.6651999999999996</v>
      </c>
      <c r="Y1032" t="s">
        <v>5188</v>
      </c>
      <c r="Z1032" t="s">
        <v>2497</v>
      </c>
      <c r="AA1032" t="s">
        <v>5802</v>
      </c>
      <c r="AB1032" t="s">
        <v>2493</v>
      </c>
      <c r="AC1032" t="s">
        <v>5552</v>
      </c>
      <c r="AD1032" s="249" t="str">
        <f>HYPERLINK("https://scontent.cdninstagram.com/t51.2885-15/s320x320/e15/20904878_1581345388589972_7330562151163101184_n.jpg")</f>
        <v>https://scontent.cdninstagram.com/t51.2885-15/s320x320/e15/20904878_1581345388589972_7330562151163101184_n.jpg</v>
      </c>
      <c r="AE1032" s="249" t="str">
        <f>HYPERLINK("https://scontent.cdninstagram.com/t51.2885-19/s150x150/13744174_101962736914315_909782557_a.jpg")</f>
        <v>https://scontent.cdninstagram.com/t51.2885-19/s150x150/13744174_101962736914315_909782557_a.jpg</v>
      </c>
    </row>
    <row r="1033" spans="1:31" ht="15" x14ac:dyDescent="0.25">
      <c r="A1033" t="s">
        <v>2474</v>
      </c>
      <c r="B1033" t="s">
        <v>8334</v>
      </c>
      <c r="C1033" s="221">
        <v>42963.385567129626</v>
      </c>
      <c r="D1033" t="s">
        <v>8335</v>
      </c>
      <c r="E1033" s="249" t="str">
        <f>HYPERLINK("https://www.instagram.com/p/BX2yHcsBdCW/")</f>
        <v>https://www.instagram.com/p/BX2yHcsBdCW/</v>
      </c>
      <c r="F1033" t="s">
        <v>8336</v>
      </c>
      <c r="G1033" t="s">
        <v>2478</v>
      </c>
      <c r="H1033">
        <v>605</v>
      </c>
      <c r="I1033" t="s">
        <v>2479</v>
      </c>
      <c r="J1033">
        <v>9</v>
      </c>
      <c r="K1033">
        <v>71</v>
      </c>
      <c r="L1033">
        <v>80</v>
      </c>
      <c r="Q1033">
        <v>0</v>
      </c>
      <c r="R1033">
        <v>0</v>
      </c>
      <c r="S1033">
        <v>80</v>
      </c>
      <c r="Y1033" t="s">
        <v>3849</v>
      </c>
      <c r="Z1033" t="s">
        <v>8337</v>
      </c>
      <c r="AA1033" t="s">
        <v>2911</v>
      </c>
      <c r="AB1033" t="s">
        <v>2562</v>
      </c>
      <c r="AC1033" t="s">
        <v>4253</v>
      </c>
      <c r="AD1033" s="249" t="str">
        <f>HYPERLINK("https://scontent.cdninstagram.com/t51.2885-15/s320x320/e35/c0.134.1072.1072/20905514_976525662489663_105457815237165056_n.jpg")</f>
        <v>https://scontent.cdninstagram.com/t51.2885-15/s320x320/e35/c0.134.1072.1072/20905514_976525662489663_105457815237165056_n.jpg</v>
      </c>
      <c r="AE1033" s="249" t="str">
        <f>HYPERLINK("https://scontent.cdninstagram.com/t51.2885-19/s150x150/20969021_847102462119486_3162953649240408064_a.jpg")</f>
        <v>https://scontent.cdninstagram.com/t51.2885-19/s150x150/20969021_847102462119486_3162953649240408064_a.jpg</v>
      </c>
    </row>
    <row r="1034" spans="1:31" ht="15" x14ac:dyDescent="0.25">
      <c r="A1034" t="s">
        <v>2474</v>
      </c>
      <c r="B1034" t="s">
        <v>7185</v>
      </c>
      <c r="C1034" s="221">
        <v>42963.389317129629</v>
      </c>
      <c r="D1034" t="s">
        <v>8338</v>
      </c>
      <c r="E1034" s="249" t="str">
        <f>HYPERLINK("https://www.instagram.com/p/BX2yu7GhUOv/")</f>
        <v>https://www.instagram.com/p/BX2yu7GhUOv/</v>
      </c>
      <c r="F1034" t="s">
        <v>8339</v>
      </c>
      <c r="G1034" t="s">
        <v>2478</v>
      </c>
      <c r="H1034">
        <v>384</v>
      </c>
      <c r="I1034" t="s">
        <v>3575</v>
      </c>
      <c r="J1034">
        <v>2</v>
      </c>
      <c r="K1034">
        <v>83</v>
      </c>
      <c r="L1034">
        <v>85</v>
      </c>
      <c r="Q1034">
        <v>0</v>
      </c>
      <c r="R1034">
        <v>0</v>
      </c>
      <c r="S1034">
        <v>85</v>
      </c>
      <c r="T1034" t="s">
        <v>8327</v>
      </c>
      <c r="V1034" t="s">
        <v>2111</v>
      </c>
      <c r="W1034">
        <v>17.75</v>
      </c>
      <c r="X1034">
        <v>-88.333333330000002</v>
      </c>
      <c r="Y1034" t="s">
        <v>8328</v>
      </c>
      <c r="Z1034" t="s">
        <v>4547</v>
      </c>
      <c r="AA1034" t="s">
        <v>7001</v>
      </c>
      <c r="AB1034" t="s">
        <v>8330</v>
      </c>
      <c r="AC1034" t="s">
        <v>8340</v>
      </c>
      <c r="AD1034" s="249" t="str">
        <f>HYPERLINK("https://scontent.cdninstagram.com/t51.2885-15/s320x320/e35/c42.0.995.995/20766673_348327598933886_2140400946281185280_n.jpg")</f>
        <v>https://scontent.cdninstagram.com/t51.2885-15/s320x320/e35/c42.0.995.995/20766673_348327598933886_2140400946281185280_n.jpg</v>
      </c>
      <c r="AE1034" s="249" t="str">
        <f>HYPERLINK("https://scontent.cdninstagram.com/t51.2885-19/s150x150/17882752_1488967831123186_392500985118851072_a.jpg")</f>
        <v>https://scontent.cdninstagram.com/t51.2885-19/s150x150/17882752_1488967831123186_392500985118851072_a.jpg</v>
      </c>
    </row>
    <row r="1035" spans="1:31" ht="15" x14ac:dyDescent="0.25">
      <c r="A1035" t="s">
        <v>2474</v>
      </c>
      <c r="B1035" t="s">
        <v>8341</v>
      </c>
      <c r="C1035" s="221">
        <v>42963.392025462963</v>
      </c>
      <c r="D1035" t="s">
        <v>8342</v>
      </c>
      <c r="E1035" s="249" t="str">
        <f>HYPERLINK("https://www.instagram.com/p/BX2zLf_BDQA/")</f>
        <v>https://www.instagram.com/p/BX2zLf_BDQA/</v>
      </c>
      <c r="F1035" t="s">
        <v>8343</v>
      </c>
      <c r="G1035" t="s">
        <v>2488</v>
      </c>
      <c r="H1035">
        <v>459</v>
      </c>
      <c r="I1035" t="s">
        <v>2479</v>
      </c>
      <c r="J1035">
        <v>2</v>
      </c>
      <c r="K1035">
        <v>39</v>
      </c>
      <c r="L1035">
        <v>41</v>
      </c>
      <c r="Q1035">
        <v>0</v>
      </c>
      <c r="R1035">
        <v>0</v>
      </c>
      <c r="S1035">
        <v>41</v>
      </c>
      <c r="T1035" t="s">
        <v>8344</v>
      </c>
      <c r="V1035" t="s">
        <v>2141</v>
      </c>
      <c r="W1035">
        <v>56.15393549985</v>
      </c>
      <c r="X1035">
        <v>10.199586438114</v>
      </c>
      <c r="Y1035" t="s">
        <v>2958</v>
      </c>
      <c r="Z1035" t="s">
        <v>3349</v>
      </c>
      <c r="AA1035" t="s">
        <v>8345</v>
      </c>
      <c r="AB1035" t="s">
        <v>3445</v>
      </c>
      <c r="AC1035" t="s">
        <v>2497</v>
      </c>
      <c r="AD1035" s="249" t="str">
        <f>HYPERLINK("https://scontent.cdninstagram.com/t51.2885-15/s320x320/e35/20838391_112548869428173_8470209857478197248_n.jpg")</f>
        <v>https://scontent.cdninstagram.com/t51.2885-15/s320x320/e35/20838391_112548869428173_8470209857478197248_n.jpg</v>
      </c>
      <c r="AE1035" s="249" t="str">
        <f>HYPERLINK("https://scontent.cdninstagram.com/t51.2885-19/s150x150/20180608_1894877807445438_3785812430731345920_a.jpg")</f>
        <v>https://scontent.cdninstagram.com/t51.2885-19/s150x150/20180608_1894877807445438_3785812430731345920_a.jpg</v>
      </c>
    </row>
    <row r="1036" spans="1:31" ht="15" x14ac:dyDescent="0.25">
      <c r="A1036" t="s">
        <v>2474</v>
      </c>
      <c r="B1036" t="s">
        <v>8346</v>
      </c>
      <c r="C1036" s="221">
        <v>42963.392129629632</v>
      </c>
      <c r="D1036" t="s">
        <v>8347</v>
      </c>
      <c r="E1036" s="249" t="str">
        <f>HYPERLINK("https://www.instagram.com/p/BX2zMlrj80u/")</f>
        <v>https://www.instagram.com/p/BX2zMlrj80u/</v>
      </c>
      <c r="F1036" t="s">
        <v>8348</v>
      </c>
      <c r="G1036" t="s">
        <v>2478</v>
      </c>
      <c r="H1036">
        <v>28</v>
      </c>
      <c r="I1036" t="s">
        <v>2479</v>
      </c>
      <c r="J1036">
        <v>2</v>
      </c>
      <c r="K1036">
        <v>17</v>
      </c>
      <c r="L1036">
        <v>19</v>
      </c>
      <c r="Q1036">
        <v>0</v>
      </c>
      <c r="R1036">
        <v>0</v>
      </c>
      <c r="S1036">
        <v>19</v>
      </c>
      <c r="Y1036" t="s">
        <v>2546</v>
      </c>
      <c r="Z1036" t="s">
        <v>8349</v>
      </c>
      <c r="AA1036" t="s">
        <v>8350</v>
      </c>
      <c r="AB1036" t="s">
        <v>5061</v>
      </c>
      <c r="AC1036" t="s">
        <v>3849</v>
      </c>
      <c r="AD1036" s="249" t="str">
        <f>HYPERLINK("https://scontent.cdninstagram.com/t51.2885-15/s320x320/e35/c0.117.937.937/20905695_141841506409194_2760836674727444480_n.jpg")</f>
        <v>https://scontent.cdninstagram.com/t51.2885-15/s320x320/e35/c0.117.937.937/20905695_141841506409194_2760836674727444480_n.jpg</v>
      </c>
      <c r="AE1036" s="249" t="str">
        <f>HYPERLINK("https://scontent.cdninstagram.com/t51.2885-19/s150x150/20837010_1484551608277099_1832894052530388992_a.jpg")</f>
        <v>https://scontent.cdninstagram.com/t51.2885-19/s150x150/20837010_1484551608277099_1832894052530388992_a.jpg</v>
      </c>
    </row>
    <row r="1037" spans="1:31" ht="15" x14ac:dyDescent="0.25">
      <c r="A1037" t="s">
        <v>2474</v>
      </c>
      <c r="B1037" t="s">
        <v>6847</v>
      </c>
      <c r="C1037" s="221">
        <v>42963.393425925926</v>
      </c>
      <c r="D1037" t="s">
        <v>8351</v>
      </c>
      <c r="E1037" s="249" t="str">
        <f>HYPERLINK("https://www.instagram.com/p/BX2zaPkhBB5/")</f>
        <v>https://www.instagram.com/p/BX2zaPkhBB5/</v>
      </c>
      <c r="F1037" t="s">
        <v>8352</v>
      </c>
      <c r="G1037" t="s">
        <v>2478</v>
      </c>
      <c r="H1037">
        <v>116</v>
      </c>
      <c r="I1037" t="s">
        <v>2582</v>
      </c>
      <c r="J1037">
        <v>0</v>
      </c>
      <c r="K1037">
        <v>29</v>
      </c>
      <c r="L1037">
        <v>29</v>
      </c>
      <c r="Q1037">
        <v>0</v>
      </c>
      <c r="R1037">
        <v>0</v>
      </c>
      <c r="S1037">
        <v>29</v>
      </c>
      <c r="T1037" t="s">
        <v>6850</v>
      </c>
      <c r="V1037" t="s">
        <v>2161</v>
      </c>
      <c r="W1037">
        <v>50.95</v>
      </c>
      <c r="X1037">
        <v>6.9667000000000003</v>
      </c>
      <c r="Y1037" t="s">
        <v>8353</v>
      </c>
      <c r="Z1037" t="s">
        <v>4042</v>
      </c>
      <c r="AA1037" t="s">
        <v>8354</v>
      </c>
      <c r="AB1037" t="s">
        <v>2576</v>
      </c>
      <c r="AC1037" t="s">
        <v>2513</v>
      </c>
      <c r="AD1037" s="249" t="str">
        <f>HYPERLINK("https://scontent.cdninstagram.com/t51.2885-15/s320x320/e35/20838278_164727264092404_4639708541140074496_n.jpg")</f>
        <v>https://scontent.cdninstagram.com/t51.2885-15/s320x320/e35/20838278_164727264092404_4639708541140074496_n.jpg</v>
      </c>
      <c r="AE1037" s="249" t="str">
        <f>HYPERLINK("https://scontent.cdninstagram.com/t51.2885-19/s150x150/20759948_2040958986128138_1613724504230461440_a.jpg")</f>
        <v>https://scontent.cdninstagram.com/t51.2885-19/s150x150/20759948_2040958986128138_1613724504230461440_a.jpg</v>
      </c>
    </row>
    <row r="1038" spans="1:31" ht="15" x14ac:dyDescent="0.25">
      <c r="A1038" t="s">
        <v>2474</v>
      </c>
      <c r="B1038" t="s">
        <v>8355</v>
      </c>
      <c r="C1038" s="221">
        <v>42963.39434027778</v>
      </c>
      <c r="D1038" t="s">
        <v>8356</v>
      </c>
      <c r="E1038" s="249" t="str">
        <f>HYPERLINK("https://www.instagram.com/p/BX2zj6WlGyY/")</f>
        <v>https://www.instagram.com/p/BX2zj6WlGyY/</v>
      </c>
      <c r="F1038" t="s">
        <v>8357</v>
      </c>
      <c r="G1038" t="s">
        <v>2488</v>
      </c>
      <c r="H1038">
        <v>371</v>
      </c>
      <c r="I1038" t="s">
        <v>2479</v>
      </c>
      <c r="J1038">
        <v>0</v>
      </c>
      <c r="K1038">
        <v>37</v>
      </c>
      <c r="L1038">
        <v>37</v>
      </c>
      <c r="Q1038">
        <v>0</v>
      </c>
      <c r="R1038">
        <v>0</v>
      </c>
      <c r="S1038">
        <v>37</v>
      </c>
      <c r="T1038" t="s">
        <v>8358</v>
      </c>
      <c r="U1038" t="s">
        <v>276</v>
      </c>
      <c r="V1038" t="s">
        <v>2299</v>
      </c>
      <c r="W1038">
        <v>33.470799999999997</v>
      </c>
      <c r="X1038">
        <v>-81.974999999999994</v>
      </c>
      <c r="Y1038" t="s">
        <v>2497</v>
      </c>
      <c r="Z1038" t="s">
        <v>8359</v>
      </c>
      <c r="AA1038" t="s">
        <v>8360</v>
      </c>
      <c r="AB1038" t="s">
        <v>8355</v>
      </c>
      <c r="AC1038" t="s">
        <v>8361</v>
      </c>
      <c r="AD1038" s="249" t="str">
        <f>HYPERLINK("https://scontent.cdninstagram.com/t51.2885-15/s320x320/e35/20838255_1842703272710854_3131293482501537792_n.jpg")</f>
        <v>https://scontent.cdninstagram.com/t51.2885-15/s320x320/e35/20838255_1842703272710854_3131293482501537792_n.jpg</v>
      </c>
      <c r="AE1038" s="249" t="str">
        <f>HYPERLINK("https://scontent.cdninstagram.com/t51.2885-19/11820490_496250423875000_1813385748_a.jpg")</f>
        <v>https://scontent.cdninstagram.com/t51.2885-19/11820490_496250423875000_1813385748_a.jpg</v>
      </c>
    </row>
    <row r="1039" spans="1:31" ht="15" x14ac:dyDescent="0.25">
      <c r="A1039" t="s">
        <v>2474</v>
      </c>
      <c r="B1039" t="s">
        <v>8362</v>
      </c>
      <c r="C1039" s="221">
        <v>42963.394456018519</v>
      </c>
      <c r="D1039" t="s">
        <v>8363</v>
      </c>
      <c r="E1039" s="249" t="str">
        <f>HYPERLINK("https://www.instagram.com/p/BX2zlMrgbMM/")</f>
        <v>https://www.instagram.com/p/BX2zlMrgbMM/</v>
      </c>
      <c r="F1039" t="s">
        <v>8364</v>
      </c>
      <c r="G1039" t="s">
        <v>2631</v>
      </c>
      <c r="H1039">
        <v>567</v>
      </c>
      <c r="I1039" t="s">
        <v>2542</v>
      </c>
      <c r="J1039">
        <v>0</v>
      </c>
      <c r="K1039">
        <v>32</v>
      </c>
      <c r="L1039">
        <v>32</v>
      </c>
      <c r="Q1039">
        <v>0</v>
      </c>
      <c r="R1039">
        <v>0</v>
      </c>
      <c r="S1039">
        <v>32</v>
      </c>
      <c r="T1039" t="s">
        <v>8365</v>
      </c>
      <c r="V1039" t="s">
        <v>2263</v>
      </c>
      <c r="W1039">
        <v>-33.893196777999997</v>
      </c>
      <c r="X1039">
        <v>18.560569983000001</v>
      </c>
      <c r="Y1039" t="s">
        <v>8366</v>
      </c>
      <c r="Z1039" t="s">
        <v>8367</v>
      </c>
      <c r="AA1039" t="s">
        <v>8368</v>
      </c>
      <c r="AB1039" t="s">
        <v>8369</v>
      </c>
      <c r="AC1039" t="s">
        <v>5405</v>
      </c>
      <c r="AD1039" s="249" t="str">
        <f>HYPERLINK("https://scontent.cdninstagram.com/t51.2885-15/s320x320/e15/c0.76.612.612/20837847_110363869642036_6440989199125446656_n.jpg")</f>
        <v>https://scontent.cdninstagram.com/t51.2885-15/s320x320/e15/c0.76.612.612/20837847_110363869642036_6440989199125446656_n.jpg</v>
      </c>
      <c r="AE1039" s="249" t="str">
        <f>HYPERLINK("https://scontent.cdninstagram.com/t51.2885-19/s150x150/20479417_131207810820395_1235798447680913408_a.jpg")</f>
        <v>https://scontent.cdninstagram.com/t51.2885-19/s150x150/20479417_131207810820395_1235798447680913408_a.jpg</v>
      </c>
    </row>
    <row r="1040" spans="1:31" ht="15" x14ac:dyDescent="0.25">
      <c r="A1040" t="s">
        <v>2474</v>
      </c>
      <c r="B1040" t="s">
        <v>8370</v>
      </c>
      <c r="C1040" s="221">
        <v>42963.404120370367</v>
      </c>
      <c r="D1040" t="s">
        <v>8371</v>
      </c>
      <c r="E1040" s="249" t="str">
        <f>HYPERLINK("https://www.instagram.com/p/BX21LCkAieF/")</f>
        <v>https://www.instagram.com/p/BX21LCkAieF/</v>
      </c>
      <c r="F1040" t="s">
        <v>8372</v>
      </c>
      <c r="G1040" t="s">
        <v>2478</v>
      </c>
      <c r="H1040">
        <v>746</v>
      </c>
      <c r="I1040" t="s">
        <v>2479</v>
      </c>
      <c r="J1040">
        <v>0</v>
      </c>
      <c r="K1040">
        <v>14</v>
      </c>
      <c r="L1040">
        <v>14</v>
      </c>
      <c r="Q1040">
        <v>0</v>
      </c>
      <c r="R1040">
        <v>0</v>
      </c>
      <c r="S1040">
        <v>14</v>
      </c>
      <c r="Y1040" t="s">
        <v>7103</v>
      </c>
      <c r="Z1040" t="s">
        <v>8373</v>
      </c>
      <c r="AA1040" t="s">
        <v>2497</v>
      </c>
      <c r="AB1040" t="s">
        <v>6746</v>
      </c>
      <c r="AC1040" t="s">
        <v>8374</v>
      </c>
      <c r="AD1040" s="249" t="str">
        <f>HYPERLINK("https://scontent.cdninstagram.com/t51.2885-15/s320x320/e35/20836865_638027409701286_6077240039346012160_n.jpg")</f>
        <v>https://scontent.cdninstagram.com/t51.2885-15/s320x320/e35/20836865_638027409701286_6077240039346012160_n.jpg</v>
      </c>
      <c r="AE1040" s="249" t="str">
        <f>HYPERLINK("https://scontent.cdninstagram.com/t51.2885-19/s150x150/20180541_1965303913745763_8731820215307862016_a.jpg")</f>
        <v>https://scontent.cdninstagram.com/t51.2885-19/s150x150/20180541_1965303913745763_8731820215307862016_a.jpg</v>
      </c>
    </row>
    <row r="1041" spans="1:31" ht="15" x14ac:dyDescent="0.25">
      <c r="A1041" t="s">
        <v>2474</v>
      </c>
      <c r="B1041" t="s">
        <v>8375</v>
      </c>
      <c r="C1041" s="221">
        <v>42963.40556712963</v>
      </c>
      <c r="D1041" t="s">
        <v>8376</v>
      </c>
      <c r="E1041" s="249" t="str">
        <f>HYPERLINK("https://www.instagram.com/p/BX21aX4lzTX/")</f>
        <v>https://www.instagram.com/p/BX21aX4lzTX/</v>
      </c>
      <c r="F1041" t="s">
        <v>8377</v>
      </c>
      <c r="G1041" t="s">
        <v>2478</v>
      </c>
      <c r="H1041">
        <v>1185</v>
      </c>
      <c r="I1041" t="s">
        <v>8378</v>
      </c>
      <c r="J1041">
        <v>2</v>
      </c>
      <c r="K1041">
        <v>24</v>
      </c>
      <c r="L1041">
        <v>26</v>
      </c>
      <c r="Q1041">
        <v>0</v>
      </c>
      <c r="R1041">
        <v>0</v>
      </c>
      <c r="S1041">
        <v>26</v>
      </c>
      <c r="T1041" t="s">
        <v>8379</v>
      </c>
      <c r="V1041" t="s">
        <v>2276</v>
      </c>
      <c r="W1041">
        <v>13.914726837550999</v>
      </c>
      <c r="X1041">
        <v>100.54309451031</v>
      </c>
      <c r="Y1041" t="s">
        <v>8380</v>
      </c>
      <c r="Z1041" t="s">
        <v>4017</v>
      </c>
      <c r="AA1041" t="s">
        <v>8381</v>
      </c>
      <c r="AB1041" t="s">
        <v>6612</v>
      </c>
      <c r="AC1041" t="s">
        <v>2497</v>
      </c>
      <c r="AD1041" s="249" t="str">
        <f>HYPERLINK("https://scontent.cdninstagram.com/t51.2885-15/s320x320/e35/c0.135.1080.1080/20838373_131518697378583_4587748817067048960_n.jpg")</f>
        <v>https://scontent.cdninstagram.com/t51.2885-15/s320x320/e35/c0.135.1080.1080/20838373_131518697378583_4587748817067048960_n.jpg</v>
      </c>
      <c r="AE1041" s="249" t="str">
        <f>HYPERLINK("https://scontent.cdninstagram.com/t51.2885-19/s150x150/20766538_165295254036137_575065119860457472_a.jpg")</f>
        <v>https://scontent.cdninstagram.com/t51.2885-19/s150x150/20766538_165295254036137_575065119860457472_a.jpg</v>
      </c>
    </row>
    <row r="1042" spans="1:31" ht="15" x14ac:dyDescent="0.25">
      <c r="A1042" t="s">
        <v>2474</v>
      </c>
      <c r="B1042" t="s">
        <v>6899</v>
      </c>
      <c r="C1042" s="221">
        <v>42963.418935185182</v>
      </c>
      <c r="D1042" t="s">
        <v>8382</v>
      </c>
      <c r="E1042" s="249" t="str">
        <f>HYPERLINK("https://www.instagram.com/p/BX23nS0AW4I/")</f>
        <v>https://www.instagram.com/p/BX23nS0AW4I/</v>
      </c>
      <c r="F1042" t="s">
        <v>8383</v>
      </c>
      <c r="G1042" t="s">
        <v>2478</v>
      </c>
      <c r="H1042">
        <v>34471</v>
      </c>
      <c r="I1042" t="s">
        <v>2479</v>
      </c>
      <c r="J1042">
        <v>5</v>
      </c>
      <c r="K1042">
        <v>553</v>
      </c>
      <c r="L1042">
        <v>558</v>
      </c>
      <c r="Q1042">
        <v>0</v>
      </c>
      <c r="R1042">
        <v>0</v>
      </c>
      <c r="S1042">
        <v>558</v>
      </c>
      <c r="AD1042" s="249" t="str">
        <f>HYPERLINK("https://scontent.cdninstagram.com/t51.2885-15/s320x320/e35/c0.77.881.881/20766613_378996902515903_6977057428982464512_n.jpg")</f>
        <v>https://scontent.cdninstagram.com/t51.2885-15/s320x320/e35/c0.77.881.881/20766613_378996902515903_6977057428982464512_n.jpg</v>
      </c>
      <c r="AE1042" s="249" t="str">
        <f>HYPERLINK("https://scontent.cdninstagram.com/t51.2885-19/s150x150/17493776_1474371442636277_6993911971573661696_n.jpg")</f>
        <v>https://scontent.cdninstagram.com/t51.2885-19/s150x150/17493776_1474371442636277_6993911971573661696_n.jpg</v>
      </c>
    </row>
    <row r="1043" spans="1:31" ht="15" x14ac:dyDescent="0.25">
      <c r="A1043" t="s">
        <v>2474</v>
      </c>
      <c r="B1043" t="s">
        <v>3015</v>
      </c>
      <c r="C1043" s="221">
        <v>42963.433379629627</v>
      </c>
      <c r="D1043" t="s">
        <v>8384</v>
      </c>
      <c r="E1043" s="249" t="str">
        <f>HYPERLINK("https://www.instagram.com/p/BX25_pDAm4P/")</f>
        <v>https://www.instagram.com/p/BX25_pDAm4P/</v>
      </c>
      <c r="F1043" t="s">
        <v>8385</v>
      </c>
      <c r="G1043" t="s">
        <v>2478</v>
      </c>
      <c r="H1043">
        <v>180</v>
      </c>
      <c r="I1043" t="s">
        <v>2479</v>
      </c>
      <c r="J1043">
        <v>0</v>
      </c>
      <c r="K1043">
        <v>41</v>
      </c>
      <c r="L1043">
        <v>41</v>
      </c>
      <c r="Q1043">
        <v>0</v>
      </c>
      <c r="R1043">
        <v>0</v>
      </c>
      <c r="S1043">
        <v>41</v>
      </c>
      <c r="Y1043" t="s">
        <v>4126</v>
      </c>
      <c r="Z1043" t="s">
        <v>3728</v>
      </c>
      <c r="AA1043" t="s">
        <v>4129</v>
      </c>
      <c r="AB1043" t="s">
        <v>3018</v>
      </c>
      <c r="AC1043" t="s">
        <v>3019</v>
      </c>
      <c r="AD1043" s="249" t="str">
        <f>HYPERLINK("https://scontent.cdninstagram.com/t51.2885-15/s320x320/e35/c0.60.540.540/20902257_1967187033540006_3857628050606784512_n.jpg")</f>
        <v>https://scontent.cdninstagram.com/t51.2885-15/s320x320/e35/c0.60.540.540/20902257_1967187033540006_3857628050606784512_n.jpg</v>
      </c>
      <c r="AE1043" s="249" t="str">
        <f>HYPERLINK("https://scontent.cdninstagram.com/t51.2885-19/s150x150/19761452_1876060406050696_4275948751316582400_a.jpg")</f>
        <v>https://scontent.cdninstagram.com/t51.2885-19/s150x150/19761452_1876060406050696_4275948751316582400_a.jpg</v>
      </c>
    </row>
    <row r="1044" spans="1:31" ht="15" x14ac:dyDescent="0.25">
      <c r="A1044" t="s">
        <v>2474</v>
      </c>
      <c r="B1044" t="s">
        <v>8386</v>
      </c>
      <c r="C1044" s="221">
        <v>42963.434942129628</v>
      </c>
      <c r="D1044" t="s">
        <v>8387</v>
      </c>
      <c r="E1044" s="249" t="str">
        <f>HYPERLINK("https://www.instagram.com/p/BX26QJ-gwXz/")</f>
        <v>https://www.instagram.com/p/BX26QJ-gwXz/</v>
      </c>
      <c r="F1044" t="s">
        <v>8388</v>
      </c>
      <c r="G1044" t="s">
        <v>2478</v>
      </c>
      <c r="H1044">
        <v>509</v>
      </c>
      <c r="I1044" t="s">
        <v>2479</v>
      </c>
      <c r="J1044">
        <v>0</v>
      </c>
      <c r="K1044">
        <v>24</v>
      </c>
      <c r="L1044">
        <v>24</v>
      </c>
      <c r="Q1044">
        <v>0</v>
      </c>
      <c r="R1044">
        <v>0</v>
      </c>
      <c r="S1044">
        <v>24</v>
      </c>
      <c r="Y1044" t="s">
        <v>8389</v>
      </c>
      <c r="Z1044" t="s">
        <v>2562</v>
      </c>
      <c r="AA1044" t="s">
        <v>8390</v>
      </c>
      <c r="AB1044" t="s">
        <v>8391</v>
      </c>
      <c r="AC1044" t="s">
        <v>2497</v>
      </c>
      <c r="AD1044" s="249" t="str">
        <f>HYPERLINK("https://scontent.cdninstagram.com/t51.2885-15/s320x320/e35/c0.117.937.937/20838486_166764633897306_323153755962867712_n.jpg")</f>
        <v>https://scontent.cdninstagram.com/t51.2885-15/s320x320/e35/c0.117.937.937/20838486_166764633897306_323153755962867712_n.jpg</v>
      </c>
      <c r="AE1044" s="249" t="str">
        <f>HYPERLINK("https://scontent.cdninstagram.com/t51.2885-19/s150x150/20633831_461190764268342_3500040841752215552_a.jpg")</f>
        <v>https://scontent.cdninstagram.com/t51.2885-19/s150x150/20633831_461190764268342_3500040841752215552_a.jpg</v>
      </c>
    </row>
    <row r="1045" spans="1:31" ht="15" x14ac:dyDescent="0.25">
      <c r="A1045" t="s">
        <v>2474</v>
      </c>
      <c r="B1045" t="s">
        <v>8392</v>
      </c>
      <c r="C1045" s="221">
        <v>42963.437708333331</v>
      </c>
      <c r="D1045" t="s">
        <v>8393</v>
      </c>
      <c r="E1045" s="249" t="str">
        <f>HYPERLINK("https://www.instagram.com/p/BX26tWBBCba/")</f>
        <v>https://www.instagram.com/p/BX26tWBBCba/</v>
      </c>
      <c r="F1045" t="s">
        <v>8394</v>
      </c>
      <c r="G1045" t="s">
        <v>2631</v>
      </c>
      <c r="H1045">
        <v>1046</v>
      </c>
      <c r="I1045" t="s">
        <v>2479</v>
      </c>
      <c r="J1045">
        <v>0</v>
      </c>
      <c r="K1045">
        <v>25</v>
      </c>
      <c r="L1045">
        <v>25</v>
      </c>
      <c r="Q1045">
        <v>0</v>
      </c>
      <c r="R1045">
        <v>0</v>
      </c>
      <c r="S1045">
        <v>25</v>
      </c>
      <c r="Y1045" t="s">
        <v>8395</v>
      </c>
      <c r="Z1045" t="s">
        <v>8396</v>
      </c>
      <c r="AA1045" t="s">
        <v>2497</v>
      </c>
      <c r="AB1045" t="s">
        <v>8397</v>
      </c>
      <c r="AD1045" s="249" t="str">
        <f>HYPERLINK("https://scontent.cdninstagram.com/t51.2885-15/s320x320/e15/20838340_128390744448062_580825933724778496_n.jpg")</f>
        <v>https://scontent.cdninstagram.com/t51.2885-15/s320x320/e15/20838340_128390744448062_580825933724778496_n.jpg</v>
      </c>
      <c r="AE1045" s="249" t="str">
        <f>HYPERLINK("https://scontent.cdninstagram.com/t51.2885-19/s150x150/20686957_147206855862741_387076368409559040_a.jpg")</f>
        <v>https://scontent.cdninstagram.com/t51.2885-19/s150x150/20686957_147206855862741_387076368409559040_a.jpg</v>
      </c>
    </row>
    <row r="1046" spans="1:31" ht="15" x14ac:dyDescent="0.25">
      <c r="A1046" t="s">
        <v>2474</v>
      </c>
      <c r="B1046" t="s">
        <v>3993</v>
      </c>
      <c r="C1046" s="221">
        <v>42963.444710648146</v>
      </c>
      <c r="D1046" t="s">
        <v>8398</v>
      </c>
      <c r="E1046" s="249" t="str">
        <f>HYPERLINK("https://www.instagram.com/p/BX273KWgpGc/")</f>
        <v>https://www.instagram.com/p/BX273KWgpGc/</v>
      </c>
      <c r="F1046" t="s">
        <v>8399</v>
      </c>
      <c r="G1046" t="s">
        <v>2478</v>
      </c>
      <c r="H1046">
        <v>4999</v>
      </c>
      <c r="I1046" t="s">
        <v>2479</v>
      </c>
      <c r="J1046">
        <v>10</v>
      </c>
      <c r="K1046">
        <v>1971</v>
      </c>
      <c r="L1046">
        <v>1981</v>
      </c>
      <c r="Q1046">
        <v>0</v>
      </c>
      <c r="R1046">
        <v>0</v>
      </c>
      <c r="S1046">
        <v>1981</v>
      </c>
      <c r="Y1046" t="s">
        <v>7547</v>
      </c>
      <c r="Z1046" t="s">
        <v>4000</v>
      </c>
      <c r="AA1046" t="s">
        <v>8400</v>
      </c>
      <c r="AB1046" t="s">
        <v>2497</v>
      </c>
      <c r="AC1046" t="s">
        <v>8401</v>
      </c>
      <c r="AD1046" s="249" t="str">
        <f>HYPERLINK("https://scontent.cdninstagram.com/t51.2885-15/s320x320/e35/20766696_1477524472327704_3154961492491632640_n.jpg")</f>
        <v>https://scontent.cdninstagram.com/t51.2885-15/s320x320/e35/20766696_1477524472327704_3154961492491632640_n.jpg</v>
      </c>
      <c r="AE1046" s="249" t="str">
        <f>HYPERLINK("https://scontent.cdninstagram.com/t51.2885-19/s150x150/20590168_732024603636467_1659654334738071552_a.jpg")</f>
        <v>https://scontent.cdninstagram.com/t51.2885-19/s150x150/20590168_732024603636467_1659654334738071552_a.jpg</v>
      </c>
    </row>
    <row r="1047" spans="1:31" ht="15" x14ac:dyDescent="0.25">
      <c r="A1047" t="s">
        <v>2474</v>
      </c>
      <c r="B1047" t="s">
        <v>8402</v>
      </c>
      <c r="C1047" s="221">
        <v>42963.447002314817</v>
      </c>
      <c r="D1047" t="s">
        <v>8403</v>
      </c>
      <c r="E1047" s="249" t="str">
        <f>HYPERLINK("https://www.instagram.com/p/BX28PZGArCr/")</f>
        <v>https://www.instagram.com/p/BX28PZGArCr/</v>
      </c>
      <c r="F1047" t="s">
        <v>8404</v>
      </c>
      <c r="G1047" t="s">
        <v>2478</v>
      </c>
      <c r="H1047">
        <v>48</v>
      </c>
      <c r="I1047" t="s">
        <v>2542</v>
      </c>
      <c r="J1047">
        <v>0</v>
      </c>
      <c r="K1047">
        <v>3</v>
      </c>
      <c r="L1047">
        <v>3</v>
      </c>
      <c r="Q1047">
        <v>0</v>
      </c>
      <c r="R1047">
        <v>0</v>
      </c>
      <c r="S1047">
        <v>3</v>
      </c>
      <c r="Y1047" t="s">
        <v>8405</v>
      </c>
      <c r="Z1047" t="s">
        <v>3655</v>
      </c>
      <c r="AA1047" t="s">
        <v>8406</v>
      </c>
      <c r="AB1047" t="s">
        <v>2497</v>
      </c>
      <c r="AC1047" t="s">
        <v>8407</v>
      </c>
      <c r="AD1047" s="249" t="str">
        <f>HYPERLINK("https://scontent.cdninstagram.com/t51.2885-15/s320x320/e35/c163.0.753.753/20838203_341513062958335_3345273292968689664_n.jpg")</f>
        <v>https://scontent.cdninstagram.com/t51.2885-15/s320x320/e35/c163.0.753.753/20838203_341513062958335_3345273292968689664_n.jpg</v>
      </c>
      <c r="AE1047" s="249" t="str">
        <f>HYPERLINK("https://scontent.cdninstagram.com/t51.2885-19/s150x150/14565069_625359181002329_4453097550773223424_a.jpg")</f>
        <v>https://scontent.cdninstagram.com/t51.2885-19/s150x150/14565069_625359181002329_4453097550773223424_a.jpg</v>
      </c>
    </row>
    <row r="1048" spans="1:31" ht="15" x14ac:dyDescent="0.25">
      <c r="A1048" t="s">
        <v>2474</v>
      </c>
      <c r="B1048" t="s">
        <v>8408</v>
      </c>
      <c r="C1048" s="221">
        <v>42963.447442129633</v>
      </c>
      <c r="D1048" t="s">
        <v>8409</v>
      </c>
      <c r="E1048" s="249" t="str">
        <f>HYPERLINK("https://www.instagram.com/p/BX28UDMgI2G/")</f>
        <v>https://www.instagram.com/p/BX28UDMgI2G/</v>
      </c>
      <c r="F1048" t="s">
        <v>8410</v>
      </c>
      <c r="G1048" t="s">
        <v>2478</v>
      </c>
      <c r="H1048">
        <v>28488</v>
      </c>
      <c r="I1048" t="s">
        <v>2479</v>
      </c>
      <c r="J1048">
        <v>5</v>
      </c>
      <c r="K1048">
        <v>785</v>
      </c>
      <c r="L1048">
        <v>790</v>
      </c>
      <c r="Q1048">
        <v>0</v>
      </c>
      <c r="R1048">
        <v>0</v>
      </c>
      <c r="S1048">
        <v>790</v>
      </c>
      <c r="AD1048" s="249" t="str">
        <f>HYPERLINK("https://scontent.cdninstagram.com/t51.2885-15/s320x320/e35/20902305_142328146355867_7898186162873827328_n.jpg")</f>
        <v>https://scontent.cdninstagram.com/t51.2885-15/s320x320/e35/20902305_142328146355867_7898186162873827328_n.jpg</v>
      </c>
      <c r="AE1048" s="249" t="str">
        <f>HYPERLINK("https://scontent.cdninstagram.com/t51.2885-19/s150x150/20837808_110923942961707_7810288888362041344_n.jpg")</f>
        <v>https://scontent.cdninstagram.com/t51.2885-19/s150x150/20837808_110923942961707_7810288888362041344_n.jpg</v>
      </c>
    </row>
    <row r="1049" spans="1:31" ht="15" x14ac:dyDescent="0.25">
      <c r="A1049" t="s">
        <v>2474</v>
      </c>
      <c r="B1049" t="s">
        <v>8411</v>
      </c>
      <c r="C1049" s="221">
        <v>42963.44840277778</v>
      </c>
      <c r="D1049" t="s">
        <v>8412</v>
      </c>
      <c r="E1049" s="249" t="str">
        <f>HYPERLINK("https://www.instagram.com/p/BX28eLvg9FJ/")</f>
        <v>https://www.instagram.com/p/BX28eLvg9FJ/</v>
      </c>
      <c r="F1049" t="s">
        <v>8413</v>
      </c>
      <c r="G1049" t="s">
        <v>2631</v>
      </c>
      <c r="H1049">
        <v>98</v>
      </c>
      <c r="I1049" t="s">
        <v>2479</v>
      </c>
      <c r="J1049">
        <v>1</v>
      </c>
      <c r="K1049">
        <v>30</v>
      </c>
      <c r="L1049">
        <v>31</v>
      </c>
      <c r="Q1049">
        <v>0</v>
      </c>
      <c r="R1049">
        <v>0</v>
      </c>
      <c r="S1049">
        <v>31</v>
      </c>
      <c r="Y1049" t="s">
        <v>8095</v>
      </c>
      <c r="Z1049" t="s">
        <v>8414</v>
      </c>
      <c r="AA1049" t="s">
        <v>8415</v>
      </c>
      <c r="AB1049" t="s">
        <v>8416</v>
      </c>
      <c r="AC1049" t="s">
        <v>8417</v>
      </c>
      <c r="AD1049" s="249" t="str">
        <f>HYPERLINK("https://scontent.cdninstagram.com/t51.2885-15/s320x320/e15/20766786_514850362223443_8039425024236453888_n.jpg")</f>
        <v>https://scontent.cdninstagram.com/t51.2885-15/s320x320/e15/20766786_514850362223443_8039425024236453888_n.jpg</v>
      </c>
      <c r="AE1049" s="249" t="str">
        <f>HYPERLINK("https://scontent.cdninstagram.com/t51.2885-19/s150x150/18889123_1918404081757651_4999782334195564544_a.jpg")</f>
        <v>https://scontent.cdninstagram.com/t51.2885-19/s150x150/18889123_1918404081757651_4999782334195564544_a.jpg</v>
      </c>
    </row>
    <row r="1050" spans="1:31" ht="15" x14ac:dyDescent="0.25">
      <c r="A1050" t="s">
        <v>2474</v>
      </c>
      <c r="B1050" t="s">
        <v>8418</v>
      </c>
      <c r="C1050" s="221">
        <v>42963.452951388892</v>
      </c>
      <c r="D1050" t="s">
        <v>8419</v>
      </c>
      <c r="E1050" s="249" t="str">
        <f>HYPERLINK("https://www.instagram.com/p/BX29OJXgT-7/")</f>
        <v>https://www.instagram.com/p/BX29OJXgT-7/</v>
      </c>
      <c r="F1050" t="s">
        <v>8420</v>
      </c>
      <c r="G1050" t="s">
        <v>2478</v>
      </c>
      <c r="H1050">
        <v>226</v>
      </c>
      <c r="I1050" t="s">
        <v>2479</v>
      </c>
      <c r="J1050">
        <v>2</v>
      </c>
      <c r="K1050">
        <v>25</v>
      </c>
      <c r="L1050">
        <v>27</v>
      </c>
      <c r="Q1050">
        <v>0</v>
      </c>
      <c r="R1050">
        <v>0</v>
      </c>
      <c r="S1050">
        <v>27</v>
      </c>
      <c r="Y1050" t="s">
        <v>3262</v>
      </c>
      <c r="Z1050" t="s">
        <v>8421</v>
      </c>
      <c r="AA1050" t="s">
        <v>5168</v>
      </c>
      <c r="AB1050" t="s">
        <v>2497</v>
      </c>
      <c r="AC1050" t="s">
        <v>8422</v>
      </c>
      <c r="AD1050" s="249" t="str">
        <f>HYPERLINK("https://scontent.cdninstagram.com/t51.2885-15/s320x320/e35/c0.41.333.333/20837161_303082403498287_2642134151012024320_n.jpg")</f>
        <v>https://scontent.cdninstagram.com/t51.2885-15/s320x320/e35/c0.41.333.333/20837161_303082403498287_2642134151012024320_n.jpg</v>
      </c>
      <c r="AE1050" s="249" t="str">
        <f>HYPERLINK("https://scontent.cdninstagram.com/t51.2885-19/s150x150/18811954_956792437795104_8838472924806512640_a.jpg")</f>
        <v>https://scontent.cdninstagram.com/t51.2885-19/s150x150/18811954_956792437795104_8838472924806512640_a.jpg</v>
      </c>
    </row>
    <row r="1051" spans="1:31" ht="15" x14ac:dyDescent="0.25">
      <c r="A1051" t="s">
        <v>2474</v>
      </c>
      <c r="B1051" t="s">
        <v>8423</v>
      </c>
      <c r="C1051" s="221">
        <v>42963.459733796299</v>
      </c>
      <c r="D1051" t="s">
        <v>8424</v>
      </c>
      <c r="E1051" s="249" t="str">
        <f>HYPERLINK("https://www.instagram.com/p/BX2-VpBg_9k/")</f>
        <v>https://www.instagram.com/p/BX2-VpBg_9k/</v>
      </c>
      <c r="F1051" t="s">
        <v>8425</v>
      </c>
      <c r="G1051" t="s">
        <v>2478</v>
      </c>
      <c r="H1051">
        <v>4760</v>
      </c>
      <c r="I1051" t="s">
        <v>4062</v>
      </c>
      <c r="J1051">
        <v>1</v>
      </c>
      <c r="K1051">
        <v>60</v>
      </c>
      <c r="L1051">
        <v>61</v>
      </c>
      <c r="Q1051">
        <v>0</v>
      </c>
      <c r="R1051">
        <v>0</v>
      </c>
      <c r="S1051">
        <v>61</v>
      </c>
      <c r="Y1051" t="s">
        <v>8426</v>
      </c>
      <c r="Z1051" t="s">
        <v>4831</v>
      </c>
      <c r="AA1051" t="s">
        <v>3626</v>
      </c>
      <c r="AB1051" t="s">
        <v>8427</v>
      </c>
      <c r="AC1051" t="s">
        <v>2777</v>
      </c>
      <c r="AD1051" s="249" t="str">
        <f>HYPERLINK("https://scontent.cdninstagram.com/t51.2885-15/s320x320/e35/c0.112.898.898/20902530_137225513546602_7723033423698198528_n.jpg")</f>
        <v>https://scontent.cdninstagram.com/t51.2885-15/s320x320/e35/c0.112.898.898/20902530_137225513546602_7723033423698198528_n.jpg</v>
      </c>
      <c r="AE1051" s="249" t="str">
        <f>HYPERLINK("https://scontent.cdninstagram.com/t51.2885-19/s150x150/20902133_336527573457928_4294916963278258176_a.jpg")</f>
        <v>https://scontent.cdninstagram.com/t51.2885-19/s150x150/20902133_336527573457928_4294916963278258176_a.jpg</v>
      </c>
    </row>
    <row r="1052" spans="1:31" ht="15" x14ac:dyDescent="0.25">
      <c r="A1052" t="s">
        <v>2474</v>
      </c>
      <c r="B1052" t="s">
        <v>8428</v>
      </c>
      <c r="C1052" s="221">
        <v>42963.461458333331</v>
      </c>
      <c r="D1052" t="s">
        <v>8429</v>
      </c>
      <c r="E1052" s="249" t="str">
        <f>HYPERLINK("https://www.instagram.com/p/BX2-n3DAPrK/")</f>
        <v>https://www.instagram.com/p/BX2-n3DAPrK/</v>
      </c>
      <c r="F1052" t="s">
        <v>8430</v>
      </c>
      <c r="G1052" t="s">
        <v>2478</v>
      </c>
      <c r="H1052">
        <v>203</v>
      </c>
      <c r="I1052" t="s">
        <v>2479</v>
      </c>
      <c r="J1052">
        <v>9</v>
      </c>
      <c r="K1052">
        <v>41</v>
      </c>
      <c r="L1052">
        <v>50</v>
      </c>
      <c r="Q1052">
        <v>0</v>
      </c>
      <c r="R1052">
        <v>0</v>
      </c>
      <c r="S1052">
        <v>50</v>
      </c>
      <c r="Y1052" t="s">
        <v>8431</v>
      </c>
      <c r="Z1052" t="s">
        <v>8432</v>
      </c>
      <c r="AA1052" t="s">
        <v>8433</v>
      </c>
      <c r="AB1052" t="s">
        <v>8434</v>
      </c>
      <c r="AC1052" t="s">
        <v>8435</v>
      </c>
      <c r="AD1052" s="249" t="str">
        <f>HYPERLINK("https://scontent.cdninstagram.com/t51.2885-15/s320x320/e35/20837563_111230022880746_7378669912341872640_n.jpg")</f>
        <v>https://scontent.cdninstagram.com/t51.2885-15/s320x320/e35/20837563_111230022880746_7378669912341872640_n.jpg</v>
      </c>
      <c r="AE1052" s="249" t="str">
        <f>HYPERLINK("https://scontent.cdninstagram.com/t51.2885-19/s150x150/17596552_690590971143329_5323399577259212800_a.jpg")</f>
        <v>https://scontent.cdninstagram.com/t51.2885-19/s150x150/17596552_690590971143329_5323399577259212800_a.jpg</v>
      </c>
    </row>
    <row r="1053" spans="1:31" ht="15" x14ac:dyDescent="0.25">
      <c r="A1053" t="s">
        <v>2474</v>
      </c>
      <c r="B1053" t="s">
        <v>3015</v>
      </c>
      <c r="C1053" s="221">
        <v>42963.462094907409</v>
      </c>
      <c r="D1053" t="s">
        <v>8436</v>
      </c>
      <c r="E1053" s="249" t="str">
        <f>HYPERLINK("https://www.instagram.com/p/BX2-uhBgfPh/")</f>
        <v>https://www.instagram.com/p/BX2-uhBgfPh/</v>
      </c>
      <c r="F1053" t="s">
        <v>8437</v>
      </c>
      <c r="G1053" t="s">
        <v>2478</v>
      </c>
      <c r="H1053">
        <v>181</v>
      </c>
      <c r="I1053" t="s">
        <v>2479</v>
      </c>
      <c r="J1053">
        <v>0</v>
      </c>
      <c r="K1053">
        <v>34</v>
      </c>
      <c r="L1053">
        <v>34</v>
      </c>
      <c r="Q1053">
        <v>0</v>
      </c>
      <c r="R1053">
        <v>0</v>
      </c>
      <c r="S1053">
        <v>34</v>
      </c>
      <c r="Y1053" t="s">
        <v>4126</v>
      </c>
      <c r="Z1053" t="s">
        <v>3728</v>
      </c>
      <c r="AA1053" t="s">
        <v>4129</v>
      </c>
      <c r="AB1053" t="s">
        <v>3018</v>
      </c>
      <c r="AC1053" t="s">
        <v>3019</v>
      </c>
      <c r="AD1053" s="249" t="str">
        <f>HYPERLINK("https://scontent.cdninstagram.com/t51.2885-15/s320x320/e35/20902359_284968828576300_2252489894670630912_n.jpg")</f>
        <v>https://scontent.cdninstagram.com/t51.2885-15/s320x320/e35/20902359_284968828576300_2252489894670630912_n.jpg</v>
      </c>
      <c r="AE1053" s="249" t="str">
        <f>HYPERLINK("https://scontent.cdninstagram.com/t51.2885-19/s150x150/19761452_1876060406050696_4275948751316582400_a.jpg")</f>
        <v>https://scontent.cdninstagram.com/t51.2885-19/s150x150/19761452_1876060406050696_4275948751316582400_a.jpg</v>
      </c>
    </row>
    <row r="1054" spans="1:31" ht="15" x14ac:dyDescent="0.25">
      <c r="A1054" t="s">
        <v>2474</v>
      </c>
      <c r="B1054" t="s">
        <v>8438</v>
      </c>
      <c r="C1054" s="221">
        <v>42963.464247685188</v>
      </c>
      <c r="D1054" t="s">
        <v>8439</v>
      </c>
      <c r="E1054" s="249" t="str">
        <f>HYPERLINK("https://www.instagram.com/p/BX2_FO-A5Ym/")</f>
        <v>https://www.instagram.com/p/BX2_FO-A5Ym/</v>
      </c>
      <c r="F1054" t="s">
        <v>8440</v>
      </c>
      <c r="G1054" t="s">
        <v>2478</v>
      </c>
      <c r="H1054">
        <v>443</v>
      </c>
      <c r="I1054" t="s">
        <v>2748</v>
      </c>
      <c r="J1054">
        <v>0</v>
      </c>
      <c r="K1054">
        <v>48</v>
      </c>
      <c r="L1054">
        <v>48</v>
      </c>
      <c r="Q1054">
        <v>0</v>
      </c>
      <c r="R1054">
        <v>0</v>
      </c>
      <c r="S1054">
        <v>48</v>
      </c>
      <c r="Y1054" t="s">
        <v>8441</v>
      </c>
      <c r="Z1054" t="s">
        <v>8442</v>
      </c>
      <c r="AA1054" t="s">
        <v>2497</v>
      </c>
      <c r="AB1054" t="s">
        <v>8443</v>
      </c>
      <c r="AC1054" t="s">
        <v>8444</v>
      </c>
      <c r="AD1054" s="249" t="str">
        <f>HYPERLINK("https://scontent.cdninstagram.com/t51.2885-15/s320x320/e35/20766748_111793696190141_7483674969306562560_n.jpg")</f>
        <v>https://scontent.cdninstagram.com/t51.2885-15/s320x320/e35/20766748_111793696190141_7483674969306562560_n.jpg</v>
      </c>
      <c r="AE1054" s="249" t="str">
        <f>HYPERLINK("https://scontent.cdninstagram.com/t51.2885-19/s150x150/20347359_240444826465538_5685431136667303936_a.jpg")</f>
        <v>https://scontent.cdninstagram.com/t51.2885-19/s150x150/20347359_240444826465538_5685431136667303936_a.jpg</v>
      </c>
    </row>
    <row r="1055" spans="1:31" ht="15" x14ac:dyDescent="0.25">
      <c r="A1055" t="s">
        <v>2474</v>
      </c>
      <c r="B1055" t="s">
        <v>8445</v>
      </c>
      <c r="C1055" s="221">
        <v>42963.465104166666</v>
      </c>
      <c r="D1055" t="s">
        <v>8446</v>
      </c>
      <c r="E1055" s="249" t="str">
        <f>HYPERLINK("https://www.instagram.com/p/BX2_OO0HsdS/")</f>
        <v>https://www.instagram.com/p/BX2_OO0HsdS/</v>
      </c>
      <c r="F1055" t="s">
        <v>8447</v>
      </c>
      <c r="G1055" t="s">
        <v>2478</v>
      </c>
      <c r="H1055">
        <v>73</v>
      </c>
      <c r="I1055" t="s">
        <v>2479</v>
      </c>
      <c r="J1055">
        <v>1</v>
      </c>
      <c r="K1055">
        <v>10</v>
      </c>
      <c r="L1055">
        <v>11</v>
      </c>
      <c r="Q1055">
        <v>0</v>
      </c>
      <c r="R1055">
        <v>0</v>
      </c>
      <c r="S1055">
        <v>11</v>
      </c>
      <c r="T1055" t="s">
        <v>8448</v>
      </c>
      <c r="V1055" t="s">
        <v>2182</v>
      </c>
      <c r="W1055">
        <v>45.482940808336998</v>
      </c>
      <c r="X1055">
        <v>12.588614667082</v>
      </c>
      <c r="Y1055" t="s">
        <v>3907</v>
      </c>
      <c r="Z1055" t="s">
        <v>8449</v>
      </c>
      <c r="AA1055" t="s">
        <v>4374</v>
      </c>
      <c r="AB1055" t="s">
        <v>8450</v>
      </c>
      <c r="AC1055" t="s">
        <v>4772</v>
      </c>
      <c r="AD1055" s="249" t="str">
        <f>HYPERLINK("https://scontent.cdninstagram.com/t51.2885-15/s320x320/e35/20837047_313232622480556_7667137709990739968_n.jpg")</f>
        <v>https://scontent.cdninstagram.com/t51.2885-15/s320x320/e35/20837047_313232622480556_7667137709990739968_n.jpg</v>
      </c>
      <c r="AE1055" s="249" t="str">
        <f>HYPERLINK("https://scontent.cdninstagram.com/t51.2885-19/s150x150/11909374_1741248626107105_657371725_a.jpg")</f>
        <v>https://scontent.cdninstagram.com/t51.2885-19/s150x150/11909374_1741248626107105_657371725_a.jpg</v>
      </c>
    </row>
    <row r="1056" spans="1:31" ht="15" x14ac:dyDescent="0.25">
      <c r="A1056" t="s">
        <v>2474</v>
      </c>
      <c r="B1056" t="s">
        <v>7837</v>
      </c>
      <c r="C1056" s="221">
        <v>42963.465254629627</v>
      </c>
      <c r="D1056" t="s">
        <v>8451</v>
      </c>
      <c r="E1056" s="249" t="str">
        <f>HYPERLINK("https://www.instagram.com/p/BX2_P4rjWVs/")</f>
        <v>https://www.instagram.com/p/BX2_P4rjWVs/</v>
      </c>
      <c r="F1056" t="s">
        <v>8452</v>
      </c>
      <c r="G1056" t="s">
        <v>2478</v>
      </c>
      <c r="H1056">
        <v>64</v>
      </c>
      <c r="I1056" t="s">
        <v>3273</v>
      </c>
      <c r="J1056">
        <v>0</v>
      </c>
      <c r="K1056">
        <v>4</v>
      </c>
      <c r="L1056">
        <v>4</v>
      </c>
      <c r="Q1056">
        <v>0</v>
      </c>
      <c r="R1056">
        <v>0</v>
      </c>
      <c r="S1056">
        <v>4</v>
      </c>
      <c r="Y1056" t="s">
        <v>8453</v>
      </c>
      <c r="Z1056" t="s">
        <v>8454</v>
      </c>
      <c r="AA1056" t="s">
        <v>2497</v>
      </c>
      <c r="AB1056" t="s">
        <v>8455</v>
      </c>
      <c r="AC1056" t="s">
        <v>8456</v>
      </c>
      <c r="AD1056" s="249" t="str">
        <f>HYPERLINK("https://scontent.cdninstagram.com/t51.2885-15/s320x320/e35/c135.0.809.809/20766719_110401439685062_6441021385610362880_n.jpg")</f>
        <v>https://scontent.cdninstagram.com/t51.2885-15/s320x320/e35/c135.0.809.809/20766719_110401439685062_6441021385610362880_n.jpg</v>
      </c>
      <c r="AE1056" s="249" t="str">
        <f>HYPERLINK("https://scontent.cdninstagram.com/t51.2885-19/s150x150/19425085_475580442807128_6236305183945523200_a.jpg")</f>
        <v>https://scontent.cdninstagram.com/t51.2885-19/s150x150/19425085_475580442807128_6236305183945523200_a.jpg</v>
      </c>
    </row>
    <row r="1057" spans="1:31" ht="15" x14ac:dyDescent="0.25">
      <c r="A1057" t="s">
        <v>2474</v>
      </c>
      <c r="B1057" t="s">
        <v>8457</v>
      </c>
      <c r="C1057" s="221">
        <v>42963.465590277781</v>
      </c>
      <c r="D1057" t="s">
        <v>8458</v>
      </c>
      <c r="E1057" s="249" t="str">
        <f>HYPERLINK("https://www.instagram.com/p/BX2_Tbwh4gp/")</f>
        <v>https://www.instagram.com/p/BX2_Tbwh4gp/</v>
      </c>
      <c r="F1057" t="s">
        <v>8459</v>
      </c>
      <c r="G1057" t="s">
        <v>2478</v>
      </c>
      <c r="H1057">
        <v>541</v>
      </c>
      <c r="I1057" t="s">
        <v>2479</v>
      </c>
      <c r="J1057">
        <v>9</v>
      </c>
      <c r="K1057">
        <v>75</v>
      </c>
      <c r="L1057">
        <v>84</v>
      </c>
      <c r="Q1057">
        <v>0</v>
      </c>
      <c r="R1057">
        <v>0</v>
      </c>
      <c r="S1057">
        <v>84</v>
      </c>
      <c r="Y1057" t="s">
        <v>2734</v>
      </c>
      <c r="Z1057" t="s">
        <v>2497</v>
      </c>
      <c r="AA1057" t="s">
        <v>7830</v>
      </c>
      <c r="AB1057" t="s">
        <v>2651</v>
      </c>
      <c r="AC1057" t="s">
        <v>3570</v>
      </c>
      <c r="AD1057" s="249" t="str">
        <f>HYPERLINK("https://scontent.cdninstagram.com/t51.2885-15/s320x320/e35/20902838_353532305102543_7458577546955718656_n.jpg")</f>
        <v>https://scontent.cdninstagram.com/t51.2885-15/s320x320/e35/20902838_353532305102543_7458577546955718656_n.jpg</v>
      </c>
      <c r="AE1057" s="249" t="str">
        <f>HYPERLINK("https://scontent.cdninstagram.com/t51.2885-19/s150x150/20902780_132953577317021_9100871782797148160_a.jpg")</f>
        <v>https://scontent.cdninstagram.com/t51.2885-19/s150x150/20902780_132953577317021_9100871782797148160_a.jpg</v>
      </c>
    </row>
    <row r="1058" spans="1:31" ht="15" x14ac:dyDescent="0.25">
      <c r="A1058" t="s">
        <v>2474</v>
      </c>
      <c r="B1058" t="s">
        <v>4616</v>
      </c>
      <c r="C1058" s="221">
        <v>42963.474293981482</v>
      </c>
      <c r="D1058" t="s">
        <v>8460</v>
      </c>
      <c r="E1058" s="249" t="str">
        <f>HYPERLINK("https://www.instagram.com/p/BX3AvQIh4VN/")</f>
        <v>https://www.instagram.com/p/BX3AvQIh4VN/</v>
      </c>
      <c r="F1058" t="s">
        <v>8461</v>
      </c>
      <c r="G1058" t="s">
        <v>2478</v>
      </c>
      <c r="H1058">
        <v>113</v>
      </c>
      <c r="I1058" t="s">
        <v>2479</v>
      </c>
      <c r="J1058">
        <v>1</v>
      </c>
      <c r="K1058">
        <v>20</v>
      </c>
      <c r="L1058">
        <v>21</v>
      </c>
      <c r="Q1058">
        <v>0</v>
      </c>
      <c r="R1058">
        <v>0</v>
      </c>
      <c r="S1058">
        <v>21</v>
      </c>
      <c r="T1058" t="s">
        <v>7301</v>
      </c>
      <c r="V1058" t="s">
        <v>2125</v>
      </c>
      <c r="W1058">
        <v>43.7166</v>
      </c>
      <c r="X1058">
        <v>-79.340699999999998</v>
      </c>
      <c r="Y1058" t="s">
        <v>2575</v>
      </c>
      <c r="Z1058" t="s">
        <v>3569</v>
      </c>
      <c r="AA1058" t="s">
        <v>4622</v>
      </c>
      <c r="AB1058" t="s">
        <v>5005</v>
      </c>
      <c r="AC1058" t="s">
        <v>2497</v>
      </c>
      <c r="AD1058" s="249" t="str">
        <f>HYPERLINK("https://scontent.cdninstagram.com/t51.2885-15/s320x320/e35/c190.0.580.580/20902255_106012640126727_3308365659741618176_n.jpg")</f>
        <v>https://scontent.cdninstagram.com/t51.2885-15/s320x320/e35/c190.0.580.580/20902255_106012640126727_3308365659741618176_n.jpg</v>
      </c>
      <c r="AE1058" s="249" t="str">
        <f>HYPERLINK("https://scontent.cdninstagram.com/t51.2885-19/s150x150/17494353_1347957098574282_2527511313651859456_a.jpg")</f>
        <v>https://scontent.cdninstagram.com/t51.2885-19/s150x150/17494353_1347957098574282_2527511313651859456_a.jpg</v>
      </c>
    </row>
    <row r="1059" spans="1:31" ht="15" x14ac:dyDescent="0.25">
      <c r="A1059" t="s">
        <v>2474</v>
      </c>
      <c r="B1059" t="s">
        <v>8462</v>
      </c>
      <c r="C1059" s="221">
        <v>42963.475416666668</v>
      </c>
      <c r="D1059" t="s">
        <v>8463</v>
      </c>
      <c r="E1059" s="249" t="str">
        <f>HYPERLINK("https://www.instagram.com/p/BX3A7DJh8RY/")</f>
        <v>https://www.instagram.com/p/BX3A7DJh8RY/</v>
      </c>
      <c r="F1059" t="s">
        <v>8464</v>
      </c>
      <c r="G1059" t="s">
        <v>2478</v>
      </c>
      <c r="H1059">
        <v>81</v>
      </c>
      <c r="I1059" t="s">
        <v>2479</v>
      </c>
      <c r="J1059">
        <v>1</v>
      </c>
      <c r="K1059">
        <v>4</v>
      </c>
      <c r="L1059">
        <v>5</v>
      </c>
      <c r="Q1059">
        <v>0</v>
      </c>
      <c r="R1059">
        <v>0</v>
      </c>
      <c r="S1059">
        <v>5</v>
      </c>
      <c r="T1059" t="s">
        <v>8465</v>
      </c>
      <c r="U1059" t="s">
        <v>502</v>
      </c>
      <c r="V1059" t="s">
        <v>2299</v>
      </c>
      <c r="W1059">
        <v>40.4773</v>
      </c>
      <c r="X1059">
        <v>-104.91200000000001</v>
      </c>
      <c r="Y1059" t="s">
        <v>3663</v>
      </c>
      <c r="Z1059" t="s">
        <v>8466</v>
      </c>
      <c r="AA1059" t="s">
        <v>2497</v>
      </c>
      <c r="AB1059" t="s">
        <v>8467</v>
      </c>
      <c r="AD1059" s="249" t="str">
        <f>HYPERLINK("https://scontent.cdninstagram.com/t51.2885-15/s320x320/e35/20838410_129815414300320_5999283586899902464_n.jpg")</f>
        <v>https://scontent.cdninstagram.com/t51.2885-15/s320x320/e35/20838410_129815414300320_5999283586899902464_n.jpg</v>
      </c>
      <c r="AE1059" s="249" t="str">
        <f>HYPERLINK("https://scontent.cdninstagram.com/t51.2885-19/s150x150/19367855_107976773156224_4905846945550958592_a.jpg")</f>
        <v>https://scontent.cdninstagram.com/t51.2885-19/s150x150/19367855_107976773156224_4905846945550958592_a.jpg</v>
      </c>
    </row>
    <row r="1060" spans="1:31" ht="15" x14ac:dyDescent="0.25">
      <c r="A1060" t="s">
        <v>2474</v>
      </c>
      <c r="B1060" t="s">
        <v>6510</v>
      </c>
      <c r="C1060" s="221">
        <v>42963.475856481484</v>
      </c>
      <c r="D1060" t="s">
        <v>8468</v>
      </c>
      <c r="E1060" s="249" t="str">
        <f>HYPERLINK("https://www.instagram.com/p/BX3A_o7hCt8/")</f>
        <v>https://www.instagram.com/p/BX3A_o7hCt8/</v>
      </c>
      <c r="F1060" t="s">
        <v>8469</v>
      </c>
      <c r="G1060" t="s">
        <v>2478</v>
      </c>
      <c r="H1060">
        <v>6565</v>
      </c>
      <c r="I1060" t="s">
        <v>2479</v>
      </c>
      <c r="J1060">
        <v>1</v>
      </c>
      <c r="K1060">
        <v>36</v>
      </c>
      <c r="L1060">
        <v>37</v>
      </c>
      <c r="Q1060">
        <v>0</v>
      </c>
      <c r="R1060">
        <v>0</v>
      </c>
      <c r="S1060">
        <v>37</v>
      </c>
      <c r="Y1060" t="s">
        <v>8389</v>
      </c>
      <c r="Z1060" t="s">
        <v>2562</v>
      </c>
      <c r="AA1060" t="s">
        <v>8391</v>
      </c>
      <c r="AB1060" t="s">
        <v>2497</v>
      </c>
      <c r="AC1060" t="s">
        <v>8337</v>
      </c>
      <c r="AD1060" s="249" t="str">
        <f>HYPERLINK("https://scontent.cdninstagram.com/t51.2885-15/s320x320/e35/c0.80.640.640/20838363_1838144343167250_5432568742456328192_n.jpg")</f>
        <v>https://scontent.cdninstagram.com/t51.2885-15/s320x320/e35/c0.80.640.640/20838363_1838144343167250_5432568742456328192_n.jpg</v>
      </c>
      <c r="AE1060" s="249" t="str">
        <f>HYPERLINK("https://scontent.cdninstagram.com/t51.2885-19/s150x150/20839104_776032465891336_5525944518337101824_a.jpg")</f>
        <v>https://scontent.cdninstagram.com/t51.2885-19/s150x150/20839104_776032465891336_5525944518337101824_a.jpg</v>
      </c>
    </row>
    <row r="1061" spans="1:31" ht="15" x14ac:dyDescent="0.25">
      <c r="A1061" t="s">
        <v>2474</v>
      </c>
      <c r="B1061" t="s">
        <v>8470</v>
      </c>
      <c r="C1061" s="221">
        <v>42963.481956018521</v>
      </c>
      <c r="D1061" t="s">
        <v>8471</v>
      </c>
      <c r="E1061" s="249" t="str">
        <f>HYPERLINK("https://www.instagram.com/p/BX3CABDhYWz/")</f>
        <v>https://www.instagram.com/p/BX3CABDhYWz/</v>
      </c>
      <c r="F1061" t="s">
        <v>8472</v>
      </c>
      <c r="G1061" t="s">
        <v>2478</v>
      </c>
      <c r="H1061">
        <v>248</v>
      </c>
      <c r="I1061" t="s">
        <v>3025</v>
      </c>
      <c r="J1061">
        <v>1</v>
      </c>
      <c r="K1061">
        <v>21</v>
      </c>
      <c r="L1061">
        <v>22</v>
      </c>
      <c r="Q1061">
        <v>0</v>
      </c>
      <c r="R1061">
        <v>0</v>
      </c>
      <c r="S1061">
        <v>22</v>
      </c>
      <c r="Y1061" t="s">
        <v>8473</v>
      </c>
      <c r="Z1061" t="s">
        <v>8474</v>
      </c>
      <c r="AA1061" t="s">
        <v>4246</v>
      </c>
      <c r="AB1061" t="s">
        <v>8475</v>
      </c>
      <c r="AC1061" t="s">
        <v>8476</v>
      </c>
      <c r="AD1061" s="249" t="str">
        <f>HYPERLINK("https://scontent.cdninstagram.com/t51.2885-15/s320x320/e35/20902518_111195572919007_5705103431207747584_n.jpg")</f>
        <v>https://scontent.cdninstagram.com/t51.2885-15/s320x320/e35/20902518_111195572919007_5705103431207747584_n.jpg</v>
      </c>
      <c r="AE1061" s="249" t="str">
        <f>HYPERLINK("https://scontent.cdninstagram.com/t51.2885-19/11875345_471164616388164_1321989820_a.jpg")</f>
        <v>https://scontent.cdninstagram.com/t51.2885-19/11875345_471164616388164_1321989820_a.jpg</v>
      </c>
    </row>
    <row r="1062" spans="1:31" ht="15" x14ac:dyDescent="0.25">
      <c r="A1062" t="s">
        <v>2474</v>
      </c>
      <c r="B1062" t="s">
        <v>8477</v>
      </c>
      <c r="C1062" s="221">
        <v>42963.493009259262</v>
      </c>
      <c r="D1062" t="s">
        <v>8478</v>
      </c>
      <c r="E1062" s="249" t="str">
        <f>HYPERLINK("https://www.instagram.com/p/BX3D0l9lsm8/")</f>
        <v>https://www.instagram.com/p/BX3D0l9lsm8/</v>
      </c>
      <c r="F1062" t="s">
        <v>8479</v>
      </c>
      <c r="G1062" t="s">
        <v>2488</v>
      </c>
      <c r="H1062">
        <v>86</v>
      </c>
      <c r="I1062" t="s">
        <v>2479</v>
      </c>
      <c r="J1062">
        <v>0</v>
      </c>
      <c r="K1062">
        <v>26</v>
      </c>
      <c r="L1062">
        <v>26</v>
      </c>
      <c r="Q1062">
        <v>0</v>
      </c>
      <c r="R1062">
        <v>0</v>
      </c>
      <c r="S1062">
        <v>26</v>
      </c>
      <c r="Y1062" t="s">
        <v>8480</v>
      </c>
      <c r="Z1062" t="s">
        <v>2666</v>
      </c>
      <c r="AA1062" t="s">
        <v>8481</v>
      </c>
      <c r="AB1062" t="s">
        <v>3364</v>
      </c>
      <c r="AC1062" t="s">
        <v>2497</v>
      </c>
      <c r="AD1062" s="249" t="str">
        <f>HYPERLINK("https://scontent.cdninstagram.com/t51.2885-15/s320x320/e35/20836854_462444050797813_418715262175412224_n.jpg")</f>
        <v>https://scontent.cdninstagram.com/t51.2885-15/s320x320/e35/20836854_462444050797813_418715262175412224_n.jpg</v>
      </c>
      <c r="AE1062" s="249" t="str">
        <f>HYPERLINK("https://scontent.cdninstagram.com/t51.2885-19/s150x150/19984252_316936345419360_3148258899673481216_a.jpg")</f>
        <v>https://scontent.cdninstagram.com/t51.2885-19/s150x150/19984252_316936345419360_3148258899673481216_a.jpg</v>
      </c>
    </row>
    <row r="1063" spans="1:31" ht="15" x14ac:dyDescent="0.25">
      <c r="A1063" t="s">
        <v>2474</v>
      </c>
      <c r="B1063" t="s">
        <v>8482</v>
      </c>
      <c r="C1063" s="221">
        <v>42963.494479166664</v>
      </c>
      <c r="D1063" t="s">
        <v>8483</v>
      </c>
      <c r="E1063" s="249" t="str">
        <f>HYPERLINK("https://www.instagram.com/p/BX3EEIqARek/")</f>
        <v>https://www.instagram.com/p/BX3EEIqARek/</v>
      </c>
      <c r="F1063" t="s">
        <v>8484</v>
      </c>
      <c r="G1063" t="s">
        <v>2631</v>
      </c>
      <c r="H1063">
        <v>910</v>
      </c>
      <c r="I1063" t="s">
        <v>2903</v>
      </c>
      <c r="J1063">
        <v>0</v>
      </c>
      <c r="K1063">
        <v>2</v>
      </c>
      <c r="L1063">
        <v>2</v>
      </c>
      <c r="Q1063">
        <v>0</v>
      </c>
      <c r="R1063">
        <v>0</v>
      </c>
      <c r="S1063">
        <v>2</v>
      </c>
      <c r="Y1063" t="s">
        <v>5681</v>
      </c>
      <c r="Z1063" t="s">
        <v>2497</v>
      </c>
      <c r="AA1063" t="s">
        <v>8485</v>
      </c>
      <c r="AB1063" t="s">
        <v>8486</v>
      </c>
      <c r="AC1063" t="s">
        <v>8487</v>
      </c>
      <c r="AD1063" s="249" t="str">
        <f>HYPERLINK("https://scontent.cdninstagram.com/t51.2885-15/s320x320/e15/c236.0.607.607/20837249_254686428371189_1996706742309748736_n.jpg")</f>
        <v>https://scontent.cdninstagram.com/t51.2885-15/s320x320/e15/c236.0.607.607/20837249_254686428371189_1996706742309748736_n.jpg</v>
      </c>
      <c r="AE1063" s="249" t="str">
        <f>HYPERLINK("https://scontent.cdninstagram.com/t51.2885-19/s150x150/20837501_1394927730583389_4773384815497969664_a.jpg")</f>
        <v>https://scontent.cdninstagram.com/t51.2885-19/s150x150/20837501_1394927730583389_4773384815497969664_a.jpg</v>
      </c>
    </row>
    <row r="1064" spans="1:31" ht="15" x14ac:dyDescent="0.25">
      <c r="A1064" t="s">
        <v>2474</v>
      </c>
      <c r="B1064" t="s">
        <v>7531</v>
      </c>
      <c r="C1064" s="221">
        <v>42963.503437500003</v>
      </c>
      <c r="D1064" t="s">
        <v>8488</v>
      </c>
      <c r="E1064" s="249" t="str">
        <f>HYPERLINK("https://www.instagram.com/p/BX3Fikvg8vd/")</f>
        <v>https://www.instagram.com/p/BX3Fikvg8vd/</v>
      </c>
      <c r="F1064" t="s">
        <v>8489</v>
      </c>
      <c r="G1064" t="s">
        <v>2488</v>
      </c>
      <c r="H1064">
        <v>50</v>
      </c>
      <c r="I1064" t="s">
        <v>2479</v>
      </c>
      <c r="J1064">
        <v>3</v>
      </c>
      <c r="K1064">
        <v>28</v>
      </c>
      <c r="L1064">
        <v>31</v>
      </c>
      <c r="Q1064">
        <v>0</v>
      </c>
      <c r="R1064">
        <v>0</v>
      </c>
      <c r="S1064">
        <v>31</v>
      </c>
      <c r="T1064" t="s">
        <v>7534</v>
      </c>
      <c r="V1064" t="s">
        <v>2176</v>
      </c>
      <c r="W1064">
        <v>18.975000000000001</v>
      </c>
      <c r="X1064">
        <v>72.825833333332994</v>
      </c>
      <c r="Y1064" t="s">
        <v>3370</v>
      </c>
      <c r="Z1064" t="s">
        <v>2497</v>
      </c>
      <c r="AA1064" t="s">
        <v>7537</v>
      </c>
      <c r="AB1064" t="s">
        <v>8490</v>
      </c>
      <c r="AC1064" t="s">
        <v>7535</v>
      </c>
      <c r="AD1064" s="249" t="str">
        <f>HYPERLINK("https://scontent.cdninstagram.com/t51.2885-15/s320x320/e35/20838871_312981795834057_3928742323797622784_n.jpg")</f>
        <v>https://scontent.cdninstagram.com/t51.2885-15/s320x320/e35/20838871_312981795834057_3928742323797622784_n.jpg</v>
      </c>
      <c r="AE1064" s="249" t="str">
        <f>HYPERLINK("https://scontent.cdninstagram.com/t51.2885-19/s150x150/20766448_264241500730069_3573716405805121536_a.jpg")</f>
        <v>https://scontent.cdninstagram.com/t51.2885-19/s150x150/20766448_264241500730069_3573716405805121536_a.jpg</v>
      </c>
    </row>
    <row r="1065" spans="1:31" ht="15" x14ac:dyDescent="0.25">
      <c r="A1065" t="s">
        <v>2474</v>
      </c>
      <c r="B1065" t="s">
        <v>8491</v>
      </c>
      <c r="C1065" s="221">
        <v>42963.504884259259</v>
      </c>
      <c r="D1065" t="s">
        <v>8492</v>
      </c>
      <c r="E1065" s="249" t="str">
        <f>HYPERLINK("https://www.instagram.com/p/BX3Fxy9hmZ7/")</f>
        <v>https://www.instagram.com/p/BX3Fxy9hmZ7/</v>
      </c>
      <c r="F1065" t="s">
        <v>8493</v>
      </c>
      <c r="G1065" t="s">
        <v>2478</v>
      </c>
      <c r="H1065">
        <v>1786</v>
      </c>
      <c r="I1065" t="s">
        <v>2479</v>
      </c>
      <c r="J1065">
        <v>32</v>
      </c>
      <c r="K1065">
        <v>189</v>
      </c>
      <c r="L1065">
        <v>221</v>
      </c>
      <c r="Q1065">
        <v>0</v>
      </c>
      <c r="R1065">
        <v>0</v>
      </c>
      <c r="S1065">
        <v>221</v>
      </c>
      <c r="T1065" t="s">
        <v>8494</v>
      </c>
      <c r="V1065" t="s">
        <v>2281</v>
      </c>
      <c r="W1065">
        <v>41.158425715249997</v>
      </c>
      <c r="X1065">
        <v>28.913677189226998</v>
      </c>
      <c r="Y1065" t="s">
        <v>2493</v>
      </c>
      <c r="Z1065" t="s">
        <v>8495</v>
      </c>
      <c r="AA1065" t="s">
        <v>2497</v>
      </c>
      <c r="AB1065" t="s">
        <v>3145</v>
      </c>
      <c r="AC1065" t="s">
        <v>2492</v>
      </c>
      <c r="AD1065" s="249" t="str">
        <f>HYPERLINK("https://scontent.cdninstagram.com/t51.2885-15/s320x320/e35/20766809_1318385584950181_5663063943422148608_n.jpg")</f>
        <v>https://scontent.cdninstagram.com/t51.2885-15/s320x320/e35/20766809_1318385584950181_5663063943422148608_n.jpg</v>
      </c>
      <c r="AE1065" s="249" t="str">
        <f>HYPERLINK("https://scontent.cdninstagram.com/t51.2885-19/s150x150/20065544_332609457163759_4843861844391100416_a.jpg")</f>
        <v>https://scontent.cdninstagram.com/t51.2885-19/s150x150/20065544_332609457163759_4843861844391100416_a.jpg</v>
      </c>
    </row>
    <row r="1066" spans="1:31" ht="15" x14ac:dyDescent="0.25">
      <c r="A1066" t="s">
        <v>2474</v>
      </c>
      <c r="B1066" t="s">
        <v>3015</v>
      </c>
      <c r="C1066" s="221">
        <v>42963.506736111114</v>
      </c>
      <c r="D1066" t="s">
        <v>8496</v>
      </c>
      <c r="E1066" s="249" t="str">
        <f>HYPERLINK("https://www.instagram.com/p/BX3GFUXACIQ/")</f>
        <v>https://www.instagram.com/p/BX3GFUXACIQ/</v>
      </c>
      <c r="F1066" t="s">
        <v>8497</v>
      </c>
      <c r="G1066" t="s">
        <v>2488</v>
      </c>
      <c r="H1066">
        <v>180</v>
      </c>
      <c r="I1066" t="s">
        <v>2479</v>
      </c>
      <c r="J1066">
        <v>1</v>
      </c>
      <c r="K1066">
        <v>31</v>
      </c>
      <c r="L1066">
        <v>32</v>
      </c>
      <c r="Q1066">
        <v>0</v>
      </c>
      <c r="R1066">
        <v>0</v>
      </c>
      <c r="S1066">
        <v>32</v>
      </c>
      <c r="Y1066" t="s">
        <v>3020</v>
      </c>
      <c r="Z1066" t="s">
        <v>3854</v>
      </c>
      <c r="AA1066" t="s">
        <v>4615</v>
      </c>
      <c r="AB1066" t="s">
        <v>2497</v>
      </c>
      <c r="AC1066" t="s">
        <v>4126</v>
      </c>
      <c r="AD1066" s="249" t="str">
        <f>HYPERLINK("https://scontent.cdninstagram.com/t51.2885-15/s320x320/e35/c0.0.506.506/20837540_701057586743988_1420291293321363456_n.jpg")</f>
        <v>https://scontent.cdninstagram.com/t51.2885-15/s320x320/e35/c0.0.506.506/20837540_701057586743988_1420291293321363456_n.jpg</v>
      </c>
      <c r="AE1066" s="249" t="str">
        <f>HYPERLINK("https://scontent.cdninstagram.com/t51.2885-19/s150x150/19761452_1876060406050696_4275948751316582400_a.jpg")</f>
        <v>https://scontent.cdninstagram.com/t51.2885-19/s150x150/19761452_1876060406050696_4275948751316582400_a.jpg</v>
      </c>
    </row>
    <row r="1067" spans="1:31" ht="15" x14ac:dyDescent="0.25">
      <c r="A1067" t="s">
        <v>2474</v>
      </c>
      <c r="B1067" t="s">
        <v>4811</v>
      </c>
      <c r="C1067" s="221">
        <v>42963.507349537038</v>
      </c>
      <c r="D1067" t="s">
        <v>8498</v>
      </c>
      <c r="E1067" s="249" t="str">
        <f>HYPERLINK("https://www.instagram.com/p/BX3GLz0gPsE/")</f>
        <v>https://www.instagram.com/p/BX3GLz0gPsE/</v>
      </c>
      <c r="F1067" t="s">
        <v>8499</v>
      </c>
      <c r="G1067" t="s">
        <v>2631</v>
      </c>
      <c r="H1067">
        <v>951</v>
      </c>
      <c r="I1067" t="s">
        <v>2479</v>
      </c>
      <c r="J1067">
        <v>10</v>
      </c>
      <c r="K1067">
        <v>103</v>
      </c>
      <c r="L1067">
        <v>113</v>
      </c>
      <c r="Q1067">
        <v>0</v>
      </c>
      <c r="R1067">
        <v>0</v>
      </c>
      <c r="S1067">
        <v>113</v>
      </c>
      <c r="T1067" t="s">
        <v>8500</v>
      </c>
      <c r="V1067" t="s">
        <v>2288</v>
      </c>
      <c r="W1067">
        <v>51.485392696856998</v>
      </c>
      <c r="X1067">
        <v>-0.12253386954000001</v>
      </c>
      <c r="Y1067" t="s">
        <v>8501</v>
      </c>
      <c r="Z1067" t="s">
        <v>8502</v>
      </c>
      <c r="AA1067" t="s">
        <v>2497</v>
      </c>
      <c r="AB1067" t="s">
        <v>7341</v>
      </c>
      <c r="AC1067" t="s">
        <v>7130</v>
      </c>
      <c r="AD1067" s="249" t="str">
        <f>HYPERLINK("https://scontent.cdninstagram.com/t51.2885-15/s320x320/e15/c0.89.720.720/20837282_2107060202855415_4054308858087079936_n.jpg")</f>
        <v>https://scontent.cdninstagram.com/t51.2885-15/s320x320/e15/c0.89.720.720/20837282_2107060202855415_4054308858087079936_n.jpg</v>
      </c>
      <c r="AE1067" s="249" t="str">
        <f>HYPERLINK("https://scontent.cdninstagram.com/t51.2885-19/s150x150/16124251_1913091765603634_8004330562992996352_a.jpg")</f>
        <v>https://scontent.cdninstagram.com/t51.2885-19/s150x150/16124251_1913091765603634_8004330562992996352_a.jpg</v>
      </c>
    </row>
    <row r="1068" spans="1:31" ht="15" x14ac:dyDescent="0.25">
      <c r="A1068" t="s">
        <v>2474</v>
      </c>
      <c r="B1068" t="s">
        <v>8503</v>
      </c>
      <c r="C1068" s="221">
        <v>42963.509652777779</v>
      </c>
      <c r="D1068" t="s">
        <v>8504</v>
      </c>
      <c r="E1068" s="249" t="str">
        <f>HYPERLINK("https://www.instagram.com/p/BX3GkFgB-Qa/")</f>
        <v>https://www.instagram.com/p/BX3GkFgB-Qa/</v>
      </c>
      <c r="F1068" t="s">
        <v>8505</v>
      </c>
      <c r="G1068" t="s">
        <v>2488</v>
      </c>
      <c r="H1068">
        <v>1649</v>
      </c>
      <c r="I1068" t="s">
        <v>2479</v>
      </c>
      <c r="J1068">
        <v>0</v>
      </c>
      <c r="K1068">
        <v>5</v>
      </c>
      <c r="L1068">
        <v>5</v>
      </c>
      <c r="Q1068">
        <v>0</v>
      </c>
      <c r="R1068">
        <v>0</v>
      </c>
      <c r="S1068">
        <v>5</v>
      </c>
      <c r="Y1068" t="s">
        <v>8506</v>
      </c>
      <c r="Z1068" t="s">
        <v>8507</v>
      </c>
      <c r="AA1068" t="s">
        <v>2497</v>
      </c>
      <c r="AB1068" t="s">
        <v>8508</v>
      </c>
      <c r="AC1068" t="s">
        <v>8509</v>
      </c>
      <c r="AD1068" s="249" t="str">
        <f>HYPERLINK("https://scontent.cdninstagram.com/t51.2885-15/s320x320/e35/20838571_259595491200021_1152585101293387776_n.jpg")</f>
        <v>https://scontent.cdninstagram.com/t51.2885-15/s320x320/e35/20838571_259595491200021_1152585101293387776_n.jpg</v>
      </c>
      <c r="AE1068" s="249" t="str">
        <f>HYPERLINK("https://scontent.cdninstagram.com/t51.2885-19/11186858_1573021142955734_1996947200_a.jpg")</f>
        <v>https://scontent.cdninstagram.com/t51.2885-19/11186858_1573021142955734_1996947200_a.jpg</v>
      </c>
    </row>
    <row r="1069" spans="1:31" ht="15" x14ac:dyDescent="0.25">
      <c r="A1069" t="s">
        <v>2474</v>
      </c>
      <c r="B1069" t="s">
        <v>8510</v>
      </c>
      <c r="C1069" s="221">
        <v>42963.511377314811</v>
      </c>
      <c r="D1069" t="s">
        <v>8511</v>
      </c>
      <c r="E1069" s="249" t="str">
        <f>HYPERLINK("https://www.instagram.com/p/BX3G2WVDULh/")</f>
        <v>https://www.instagram.com/p/BX3G2WVDULh/</v>
      </c>
      <c r="F1069" t="s">
        <v>8512</v>
      </c>
      <c r="G1069" t="s">
        <v>2478</v>
      </c>
      <c r="H1069">
        <v>843</v>
      </c>
      <c r="I1069" t="s">
        <v>2479</v>
      </c>
      <c r="J1069">
        <v>17</v>
      </c>
      <c r="K1069">
        <v>47</v>
      </c>
      <c r="L1069">
        <v>64</v>
      </c>
      <c r="Q1069">
        <v>0</v>
      </c>
      <c r="R1069">
        <v>0</v>
      </c>
      <c r="S1069">
        <v>64</v>
      </c>
      <c r="Y1069" t="s">
        <v>8513</v>
      </c>
      <c r="Z1069" t="s">
        <v>8514</v>
      </c>
      <c r="AA1069" t="s">
        <v>8515</v>
      </c>
      <c r="AB1069" t="s">
        <v>2497</v>
      </c>
      <c r="AC1069" t="s">
        <v>8516</v>
      </c>
      <c r="AD1069" s="249" t="str">
        <f>HYPERLINK("https://scontent.cdninstagram.com/t51.2885-15/s320x320/e35/20838732_1482293891851039_3506644912315564032_n.jpg")</f>
        <v>https://scontent.cdninstagram.com/t51.2885-15/s320x320/e35/20838732_1482293891851039_3506644912315564032_n.jpg</v>
      </c>
      <c r="AE1069" s="249" t="str">
        <f>HYPERLINK("https://scontent.cdninstagram.com/t51.2885-19/s150x150/13694451_909516419177675_1140537688_a.jpg")</f>
        <v>https://scontent.cdninstagram.com/t51.2885-19/s150x150/13694451_909516419177675_1140537688_a.jpg</v>
      </c>
    </row>
    <row r="1070" spans="1:31" ht="15" x14ac:dyDescent="0.25">
      <c r="A1070" t="s">
        <v>2474</v>
      </c>
      <c r="B1070" t="s">
        <v>7844</v>
      </c>
      <c r="C1070" s="221">
        <v>42963.512881944444</v>
      </c>
      <c r="D1070" t="s">
        <v>8517</v>
      </c>
      <c r="E1070" s="249" t="str">
        <f>HYPERLINK("https://www.instagram.com/p/BX3HGMEh8Xd/")</f>
        <v>https://www.instagram.com/p/BX3HGMEh8Xd/</v>
      </c>
      <c r="F1070" t="s">
        <v>8518</v>
      </c>
      <c r="G1070" t="s">
        <v>2488</v>
      </c>
      <c r="H1070">
        <v>420</v>
      </c>
      <c r="I1070" t="s">
        <v>2479</v>
      </c>
      <c r="J1070">
        <v>0</v>
      </c>
      <c r="K1070">
        <v>40</v>
      </c>
      <c r="L1070">
        <v>40</v>
      </c>
      <c r="Q1070">
        <v>0</v>
      </c>
      <c r="R1070">
        <v>0</v>
      </c>
      <c r="S1070">
        <v>40</v>
      </c>
      <c r="Y1070" t="s">
        <v>2735</v>
      </c>
      <c r="Z1070" t="s">
        <v>7847</v>
      </c>
      <c r="AA1070" t="s">
        <v>2826</v>
      </c>
      <c r="AB1070" t="s">
        <v>7849</v>
      </c>
      <c r="AC1070" t="s">
        <v>2497</v>
      </c>
      <c r="AD1070" s="249" t="str">
        <f>HYPERLINK("https://scontent.cdninstagram.com/t51.2885-15/s320x320/e35/20905312_172039860009131_5626729550890139648_n.jpg")</f>
        <v>https://scontent.cdninstagram.com/t51.2885-15/s320x320/e35/20905312_172039860009131_5626729550890139648_n.jpg</v>
      </c>
      <c r="AE1070" s="249" t="str">
        <f>HYPERLINK("https://scontent.cdninstagram.com/t51.2885-19/s150x150/14659433_124185214720398_460441517996113920_a.jpg")</f>
        <v>https://scontent.cdninstagram.com/t51.2885-19/s150x150/14659433_124185214720398_460441517996113920_a.jpg</v>
      </c>
    </row>
    <row r="1071" spans="1:31" ht="15" x14ac:dyDescent="0.25">
      <c r="A1071" t="s">
        <v>2474</v>
      </c>
      <c r="B1071" t="s">
        <v>2588</v>
      </c>
      <c r="C1071" s="221">
        <v>42963.518217592595</v>
      </c>
      <c r="D1071" t="s">
        <v>8519</v>
      </c>
      <c r="E1071" s="249" t="str">
        <f>HYPERLINK("https://www.instagram.com/p/BX3H-d-gx6S/")</f>
        <v>https://www.instagram.com/p/BX3H-d-gx6S/</v>
      </c>
      <c r="F1071" t="s">
        <v>8520</v>
      </c>
      <c r="G1071" t="s">
        <v>2478</v>
      </c>
      <c r="H1071">
        <v>291</v>
      </c>
      <c r="I1071" t="s">
        <v>2479</v>
      </c>
      <c r="J1071">
        <v>6</v>
      </c>
      <c r="K1071">
        <v>548</v>
      </c>
      <c r="L1071">
        <v>554</v>
      </c>
      <c r="Q1071">
        <v>0</v>
      </c>
      <c r="R1071">
        <v>0</v>
      </c>
      <c r="S1071">
        <v>554</v>
      </c>
      <c r="AD1071" s="249" t="str">
        <f>HYPERLINK("https://scontent.cdninstagram.com/t51.2885-15/s320x320/e35/c97.0.446.446/20837463_320631728407197_9092106265647120384_n.jpg")</f>
        <v>https://scontent.cdninstagram.com/t51.2885-15/s320x320/e35/c97.0.446.446/20837463_320631728407197_9092106265647120384_n.jpg</v>
      </c>
      <c r="AE1071" s="249" t="str">
        <f>HYPERLINK("https://scontent.cdninstagram.com/t51.2885-19/s150x150/20633561_108840983138666_5897549723056734208_a.jpg")</f>
        <v>https://scontent.cdninstagram.com/t51.2885-19/s150x150/20633561_108840983138666_5897549723056734208_a.jpg</v>
      </c>
    </row>
    <row r="1072" spans="1:31" ht="15" x14ac:dyDescent="0.25">
      <c r="A1072" t="s">
        <v>2474</v>
      </c>
      <c r="B1072" t="s">
        <v>4685</v>
      </c>
      <c r="C1072" s="221">
        <v>42963.523402777777</v>
      </c>
      <c r="D1072" t="s">
        <v>8521</v>
      </c>
      <c r="E1072" s="249" t="str">
        <f>HYPERLINK("https://www.instagram.com/p/BX3I1M6DLNM/")</f>
        <v>https://www.instagram.com/p/BX3I1M6DLNM/</v>
      </c>
      <c r="F1072" t="s">
        <v>8522</v>
      </c>
      <c r="G1072" t="s">
        <v>2478</v>
      </c>
      <c r="H1072">
        <v>332</v>
      </c>
      <c r="I1072" t="s">
        <v>2510</v>
      </c>
      <c r="J1072">
        <v>0</v>
      </c>
      <c r="K1072">
        <v>33</v>
      </c>
      <c r="L1072">
        <v>33</v>
      </c>
      <c r="Q1072">
        <v>0</v>
      </c>
      <c r="R1072">
        <v>0</v>
      </c>
      <c r="S1072">
        <v>33</v>
      </c>
      <c r="Y1072" t="s">
        <v>8523</v>
      </c>
      <c r="Z1072" t="s">
        <v>8524</v>
      </c>
      <c r="AA1072" t="s">
        <v>2497</v>
      </c>
      <c r="AB1072" t="s">
        <v>4688</v>
      </c>
      <c r="AC1072" t="s">
        <v>8525</v>
      </c>
      <c r="AD1072" s="249" t="str">
        <f>HYPERLINK("https://scontent.cdninstagram.com/t51.2885-15/s320x320/e35/c0.68.1080.1080/20905116_1624981184239457_3233713523204816896_n.jpg")</f>
        <v>https://scontent.cdninstagram.com/t51.2885-15/s320x320/e35/c0.68.1080.1080/20905116_1624981184239457_3233713523204816896_n.jpg</v>
      </c>
      <c r="AE1072" s="249" t="str">
        <f>HYPERLINK("https://scontent.cdninstagram.com/t51.2885-19/s150x150/14498866_1223064704423042_5122473061462835200_a.jpg")</f>
        <v>https://scontent.cdninstagram.com/t51.2885-19/s150x150/14498866_1223064704423042_5122473061462835200_a.jpg</v>
      </c>
    </row>
    <row r="1073" spans="1:31" ht="15" x14ac:dyDescent="0.25">
      <c r="A1073" t="s">
        <v>2474</v>
      </c>
      <c r="B1073" t="s">
        <v>6312</v>
      </c>
      <c r="C1073" s="221">
        <v>42963.538518518515</v>
      </c>
      <c r="D1073" t="s">
        <v>8526</v>
      </c>
      <c r="E1073" s="249" t="str">
        <f>HYPERLINK("https://www.instagram.com/p/BX3LUh2hWlA/")</f>
        <v>https://www.instagram.com/p/BX3LUh2hWlA/</v>
      </c>
      <c r="F1073" t="s">
        <v>8527</v>
      </c>
      <c r="G1073" t="s">
        <v>2478</v>
      </c>
      <c r="H1073">
        <v>63</v>
      </c>
      <c r="I1073" t="s">
        <v>2479</v>
      </c>
      <c r="J1073">
        <v>0</v>
      </c>
      <c r="K1073">
        <v>35</v>
      </c>
      <c r="L1073">
        <v>35</v>
      </c>
      <c r="Q1073">
        <v>0</v>
      </c>
      <c r="R1073">
        <v>0</v>
      </c>
      <c r="S1073">
        <v>35</v>
      </c>
      <c r="T1073" t="s">
        <v>8528</v>
      </c>
      <c r="V1073" t="s">
        <v>2161</v>
      </c>
      <c r="W1073">
        <v>51.144979900000003</v>
      </c>
      <c r="X1073">
        <v>8.0232600000000005</v>
      </c>
      <c r="Y1073" t="s">
        <v>6315</v>
      </c>
      <c r="Z1073" t="s">
        <v>8529</v>
      </c>
      <c r="AA1073" t="s">
        <v>6316</v>
      </c>
      <c r="AB1073" t="s">
        <v>5405</v>
      </c>
      <c r="AC1073" t="s">
        <v>2497</v>
      </c>
      <c r="AD1073" s="249" t="str">
        <f>HYPERLINK("https://scontent.cdninstagram.com/t51.2885-15/s320x320/e35/c0.120.960.960/20838694_264180634098541_2974495251705626624_n.jpg")</f>
        <v>https://scontent.cdninstagram.com/t51.2885-15/s320x320/e35/c0.120.960.960/20838694_264180634098541_2974495251705626624_n.jpg</v>
      </c>
      <c r="AE1073" s="249" t="str">
        <f>HYPERLINK("https://scontent.cdninstagram.com/t51.2885-19/s150x150/16583685_1809557262640848_2708820201251536896_a.jpg")</f>
        <v>https://scontent.cdninstagram.com/t51.2885-19/s150x150/16583685_1809557262640848_2708820201251536896_a.jpg</v>
      </c>
    </row>
    <row r="1074" spans="1:31" ht="15" x14ac:dyDescent="0.25">
      <c r="A1074" t="s">
        <v>2474</v>
      </c>
      <c r="B1074" t="s">
        <v>8530</v>
      </c>
      <c r="C1074" s="221">
        <v>42963.556793981479</v>
      </c>
      <c r="D1074" t="s">
        <v>8531</v>
      </c>
      <c r="E1074" s="249" t="str">
        <f>HYPERLINK("https://www.instagram.com/p/BX3OVXOF-WX/")</f>
        <v>https://www.instagram.com/p/BX3OVXOF-WX/</v>
      </c>
      <c r="F1074" t="s">
        <v>8532</v>
      </c>
      <c r="G1074" t="s">
        <v>2631</v>
      </c>
      <c r="H1074">
        <v>221</v>
      </c>
      <c r="I1074" t="s">
        <v>2903</v>
      </c>
      <c r="J1074">
        <v>2</v>
      </c>
      <c r="K1074">
        <v>67</v>
      </c>
      <c r="L1074">
        <v>69</v>
      </c>
      <c r="Q1074">
        <v>0</v>
      </c>
      <c r="R1074">
        <v>0</v>
      </c>
      <c r="S1074">
        <v>69</v>
      </c>
      <c r="Y1074" t="s">
        <v>8533</v>
      </c>
      <c r="Z1074" t="s">
        <v>8534</v>
      </c>
      <c r="AA1074" t="s">
        <v>8535</v>
      </c>
      <c r="AB1074" t="s">
        <v>8536</v>
      </c>
      <c r="AC1074" t="s">
        <v>8537</v>
      </c>
      <c r="AD1074" s="249" t="str">
        <f>HYPERLINK("https://scontent.cdninstagram.com/t51.2885-15/s320x320/e15/c157.0.406.406/20837797_315727458830765_1170216362950262784_n.jpg")</f>
        <v>https://scontent.cdninstagram.com/t51.2885-15/s320x320/e15/c157.0.406.406/20837797_315727458830765_1170216362950262784_n.jpg</v>
      </c>
      <c r="AE1074" s="249" t="str">
        <f>HYPERLINK("https://scontent.cdninstagram.com/t51.2885-19/s150x150/15876516_1512682192093365_273405136888397824_a.jpg")</f>
        <v>https://scontent.cdninstagram.com/t51.2885-19/s150x150/15876516_1512682192093365_273405136888397824_a.jpg</v>
      </c>
    </row>
    <row r="1075" spans="1:31" ht="15" x14ac:dyDescent="0.25">
      <c r="A1075" t="s">
        <v>2474</v>
      </c>
      <c r="B1075" t="s">
        <v>8538</v>
      </c>
      <c r="C1075" s="221">
        <v>42963.564710648148</v>
      </c>
      <c r="D1075" t="s">
        <v>8539</v>
      </c>
      <c r="E1075" s="249" t="str">
        <f>HYPERLINK("https://www.instagram.com/p/BX3Po2XglHa/")</f>
        <v>https://www.instagram.com/p/BX3Po2XglHa/</v>
      </c>
      <c r="F1075" t="s">
        <v>8540</v>
      </c>
      <c r="G1075" t="s">
        <v>2478</v>
      </c>
      <c r="H1075">
        <v>5583</v>
      </c>
      <c r="I1075" t="s">
        <v>2479</v>
      </c>
      <c r="J1075">
        <v>3</v>
      </c>
      <c r="K1075">
        <v>452</v>
      </c>
      <c r="L1075">
        <v>455</v>
      </c>
      <c r="Q1075">
        <v>0</v>
      </c>
      <c r="R1075">
        <v>0</v>
      </c>
      <c r="S1075">
        <v>455</v>
      </c>
      <c r="Y1075" t="s">
        <v>8541</v>
      </c>
      <c r="Z1075" t="s">
        <v>8542</v>
      </c>
      <c r="AA1075" t="s">
        <v>2497</v>
      </c>
      <c r="AD1075" s="249" t="str">
        <f>HYPERLINK("https://scontent.cdninstagram.com/t51.2885-15/s320x320/e35/c0.135.1080.1080/20836963_850272998458104_189661237485764608_n.jpg")</f>
        <v>https://scontent.cdninstagram.com/t51.2885-15/s320x320/e35/c0.135.1080.1080/20836963_850272998458104_189661237485764608_n.jpg</v>
      </c>
      <c r="AE1075" s="249" t="str">
        <f>HYPERLINK("https://scontent.cdninstagram.com/t51.2885-19/s150x150/18950246_1127968397303807_6772371073045364736_a.jpg")</f>
        <v>https://scontent.cdninstagram.com/t51.2885-19/s150x150/18950246_1127968397303807_6772371073045364736_a.jpg</v>
      </c>
    </row>
    <row r="1076" spans="1:31" ht="15" x14ac:dyDescent="0.25">
      <c r="A1076" t="s">
        <v>2474</v>
      </c>
      <c r="B1076" t="s">
        <v>8543</v>
      </c>
      <c r="C1076" s="221">
        <v>42963.565567129626</v>
      </c>
      <c r="D1076" t="s">
        <v>8544</v>
      </c>
      <c r="E1076" s="249" t="str">
        <f>HYPERLINK("https://www.instagram.com/p/BX3PxzAFZzM/")</f>
        <v>https://www.instagram.com/p/BX3PxzAFZzM/</v>
      </c>
      <c r="F1076" t="s">
        <v>8545</v>
      </c>
      <c r="G1076" t="s">
        <v>2478</v>
      </c>
      <c r="H1076">
        <v>190</v>
      </c>
      <c r="I1076" t="s">
        <v>2479</v>
      </c>
      <c r="J1076">
        <v>13</v>
      </c>
      <c r="K1076">
        <v>37</v>
      </c>
      <c r="L1076">
        <v>50</v>
      </c>
      <c r="Q1076">
        <v>0</v>
      </c>
      <c r="R1076">
        <v>0</v>
      </c>
      <c r="S1076">
        <v>50</v>
      </c>
      <c r="Y1076" t="s">
        <v>8546</v>
      </c>
      <c r="Z1076" t="s">
        <v>6543</v>
      </c>
      <c r="AA1076" t="s">
        <v>8547</v>
      </c>
      <c r="AB1076" t="s">
        <v>8548</v>
      </c>
      <c r="AC1076" t="s">
        <v>3851</v>
      </c>
      <c r="AD1076" s="249" t="str">
        <f>HYPERLINK("https://scontent.cdninstagram.com/t51.2885-15/s320x320/e35/20839020_118810108774400_7090963754128506880_n.jpg")</f>
        <v>https://scontent.cdninstagram.com/t51.2885-15/s320x320/e35/20839020_118810108774400_7090963754128506880_n.jpg</v>
      </c>
      <c r="AE1076" s="249" t="str">
        <f>HYPERLINK("https://scontent.cdninstagram.com/t51.2885-19/11376615_1583423435242931_1217185709_a.jpg")</f>
        <v>https://scontent.cdninstagram.com/t51.2885-19/11376615_1583423435242931_1217185709_a.jpg</v>
      </c>
    </row>
    <row r="1077" spans="1:31" ht="15" x14ac:dyDescent="0.25">
      <c r="A1077" t="s">
        <v>2474</v>
      </c>
      <c r="B1077" t="s">
        <v>8549</v>
      </c>
      <c r="C1077" s="221">
        <v>42963.565821759257</v>
      </c>
      <c r="D1077" t="s">
        <v>8550</v>
      </c>
      <c r="E1077" s="249" t="str">
        <f>HYPERLINK("https://www.instagram.com/p/BX3P0jWDGzB/")</f>
        <v>https://www.instagram.com/p/BX3P0jWDGzB/</v>
      </c>
      <c r="F1077" t="s">
        <v>8551</v>
      </c>
      <c r="G1077" t="s">
        <v>2478</v>
      </c>
      <c r="H1077">
        <v>186</v>
      </c>
      <c r="I1077" t="s">
        <v>3273</v>
      </c>
      <c r="J1077">
        <v>2</v>
      </c>
      <c r="K1077">
        <v>7</v>
      </c>
      <c r="L1077">
        <v>9</v>
      </c>
      <c r="Q1077">
        <v>0</v>
      </c>
      <c r="R1077">
        <v>0</v>
      </c>
      <c r="S1077">
        <v>9</v>
      </c>
      <c r="Y1077" t="s">
        <v>2906</v>
      </c>
      <c r="Z1077" t="s">
        <v>2497</v>
      </c>
      <c r="AA1077" t="s">
        <v>8552</v>
      </c>
      <c r="AB1077" t="s">
        <v>8553</v>
      </c>
      <c r="AC1077" t="s">
        <v>4620</v>
      </c>
      <c r="AD1077" s="249" t="str">
        <f>HYPERLINK("https://scontent.cdninstagram.com/t51.2885-15/s320x320/e35/20838690_1533129316754638_8663321461236170752_n.jpg")</f>
        <v>https://scontent.cdninstagram.com/t51.2885-15/s320x320/e35/20838690_1533129316754638_8663321461236170752_n.jpg</v>
      </c>
      <c r="AE1077" s="249" t="str">
        <f>HYPERLINK("https://scontent.cdninstagram.com/t51.2885-19/s150x150/20688526_486605148366597_7892869332663795712_a.jpg")</f>
        <v>https://scontent.cdninstagram.com/t51.2885-19/s150x150/20688526_486605148366597_7892869332663795712_a.jpg</v>
      </c>
    </row>
    <row r="1078" spans="1:31" ht="15" x14ac:dyDescent="0.25">
      <c r="A1078" t="s">
        <v>2474</v>
      </c>
      <c r="B1078" t="s">
        <v>8554</v>
      </c>
      <c r="C1078" s="221">
        <v>42963.567395833335</v>
      </c>
      <c r="D1078" t="s">
        <v>8555</v>
      </c>
      <c r="E1078" s="249" t="str">
        <f>HYPERLINK("https://www.instagram.com/p/BX3QFIqgAKl/")</f>
        <v>https://www.instagram.com/p/BX3QFIqgAKl/</v>
      </c>
      <c r="F1078" t="s">
        <v>8556</v>
      </c>
      <c r="G1078" t="s">
        <v>2478</v>
      </c>
      <c r="H1078">
        <v>995</v>
      </c>
      <c r="I1078" t="s">
        <v>2479</v>
      </c>
      <c r="J1078">
        <v>2</v>
      </c>
      <c r="K1078">
        <v>52</v>
      </c>
      <c r="L1078">
        <v>54</v>
      </c>
      <c r="Q1078">
        <v>0</v>
      </c>
      <c r="R1078">
        <v>0</v>
      </c>
      <c r="S1078">
        <v>54</v>
      </c>
      <c r="Y1078" t="s">
        <v>8557</v>
      </c>
      <c r="Z1078" t="s">
        <v>8558</v>
      </c>
      <c r="AA1078" t="s">
        <v>8559</v>
      </c>
      <c r="AB1078" t="s">
        <v>2497</v>
      </c>
      <c r="AC1078" t="s">
        <v>7914</v>
      </c>
      <c r="AD1078" s="249" t="str">
        <f>HYPERLINK("https://scontent.cdninstagram.com/t51.2885-15/s320x320/e35/c0.135.1080.1080/20902649_888636027968834_632903172397989888_n.jpg")</f>
        <v>https://scontent.cdninstagram.com/t51.2885-15/s320x320/e35/c0.135.1080.1080/20902649_888636027968834_632903172397989888_n.jpg</v>
      </c>
      <c r="AE1078" s="249" t="str">
        <f>HYPERLINK("https://scontent.cdninstagram.com/t51.2885-19/s150x150/18013464_1892082357740400_6619702139771944960_a.jpg")</f>
        <v>https://scontent.cdninstagram.com/t51.2885-19/s150x150/18013464_1892082357740400_6619702139771944960_a.jpg</v>
      </c>
    </row>
    <row r="1079" spans="1:31" ht="15" x14ac:dyDescent="0.25">
      <c r="A1079" t="s">
        <v>2474</v>
      </c>
      <c r="B1079" t="s">
        <v>8560</v>
      </c>
      <c r="C1079" s="221">
        <v>42963.569560185184</v>
      </c>
      <c r="D1079" t="s">
        <v>8561</v>
      </c>
      <c r="E1079" s="249" t="str">
        <f>HYPERLINK("https://www.instagram.com/p/BX3Qb9zAZWF/")</f>
        <v>https://www.instagram.com/p/BX3Qb9zAZWF/</v>
      </c>
      <c r="F1079" t="s">
        <v>8562</v>
      </c>
      <c r="G1079" t="s">
        <v>2478</v>
      </c>
      <c r="H1079">
        <v>851</v>
      </c>
      <c r="I1079" t="s">
        <v>3170</v>
      </c>
      <c r="J1079">
        <v>1</v>
      </c>
      <c r="K1079">
        <v>66</v>
      </c>
      <c r="L1079">
        <v>67</v>
      </c>
      <c r="Q1079">
        <v>0</v>
      </c>
      <c r="R1079">
        <v>0</v>
      </c>
      <c r="S1079">
        <v>67</v>
      </c>
      <c r="T1079" t="s">
        <v>8563</v>
      </c>
      <c r="V1079" t="s">
        <v>2182</v>
      </c>
      <c r="W1079">
        <v>43.4478121</v>
      </c>
      <c r="X1079">
        <v>13.014279500000001</v>
      </c>
      <c r="Y1079" t="s">
        <v>3384</v>
      </c>
      <c r="Z1079" t="s">
        <v>2497</v>
      </c>
      <c r="AA1079" t="s">
        <v>4514</v>
      </c>
      <c r="AB1079" t="s">
        <v>8564</v>
      </c>
      <c r="AC1079" t="s">
        <v>8565</v>
      </c>
      <c r="AD1079" s="249" t="str">
        <f>HYPERLINK("https://scontent.cdninstagram.com/t51.2885-15/s320x320/e35/c0.135.1080.1080/20838553_1530205987040685_6076439843989094400_n.jpg")</f>
        <v>https://scontent.cdninstagram.com/t51.2885-15/s320x320/e35/c0.135.1080.1080/20838553_1530205987040685_6076439843989094400_n.jpg</v>
      </c>
      <c r="AE1079" s="249" t="str">
        <f>HYPERLINK("https://scontent.cdninstagram.com/t51.2885-19/s150x150/14723440_1795871703960608_6405987801233358848_a.jpg")</f>
        <v>https://scontent.cdninstagram.com/t51.2885-19/s150x150/14723440_1795871703960608_6405987801233358848_a.jpg</v>
      </c>
    </row>
    <row r="1080" spans="1:31" ht="15" x14ac:dyDescent="0.25">
      <c r="A1080" t="s">
        <v>2474</v>
      </c>
      <c r="B1080" t="s">
        <v>8566</v>
      </c>
      <c r="C1080" s="221">
        <v>42963.572627314818</v>
      </c>
      <c r="D1080" t="s">
        <v>8567</v>
      </c>
      <c r="E1080" s="249" t="str">
        <f>HYPERLINK("https://www.instagram.com/p/BX3Q8ShB4sH/")</f>
        <v>https://www.instagram.com/p/BX3Q8ShB4sH/</v>
      </c>
      <c r="F1080" t="s">
        <v>8568</v>
      </c>
      <c r="G1080" t="s">
        <v>2478</v>
      </c>
      <c r="H1080">
        <v>1395</v>
      </c>
      <c r="I1080" t="s">
        <v>2479</v>
      </c>
      <c r="J1080">
        <v>4</v>
      </c>
      <c r="K1080">
        <v>136</v>
      </c>
      <c r="L1080">
        <v>140</v>
      </c>
      <c r="Q1080">
        <v>0</v>
      </c>
      <c r="R1080">
        <v>0</v>
      </c>
      <c r="S1080">
        <v>140</v>
      </c>
      <c r="T1080" t="s">
        <v>8569</v>
      </c>
      <c r="U1080" t="s">
        <v>106</v>
      </c>
      <c r="V1080" t="s">
        <v>2299</v>
      </c>
      <c r="W1080">
        <v>25.801139800000001</v>
      </c>
      <c r="X1080">
        <v>-80.199317899999997</v>
      </c>
      <c r="Y1080" t="s">
        <v>8570</v>
      </c>
      <c r="Z1080" t="s">
        <v>8571</v>
      </c>
      <c r="AA1080" t="s">
        <v>8572</v>
      </c>
      <c r="AB1080" t="s">
        <v>8566</v>
      </c>
      <c r="AC1080" t="s">
        <v>8573</v>
      </c>
      <c r="AD1080" s="249" t="str">
        <f>HYPERLINK("https://scontent.cdninstagram.com/t51.2885-15/s320x320/e35/20838779_1910852619155897_3113004700006350848_n.jpg")</f>
        <v>https://scontent.cdninstagram.com/t51.2885-15/s320x320/e35/20838779_1910852619155897_3113004700006350848_n.jpg</v>
      </c>
      <c r="AE1080" s="249" t="str">
        <f>HYPERLINK("https://scontent.cdninstagram.com/t51.2885-19/s150x150/18723445_264005567408592_8037027358743461888_a.jpg")</f>
        <v>https://scontent.cdninstagram.com/t51.2885-19/s150x150/18723445_264005567408592_8037027358743461888_a.jpg</v>
      </c>
    </row>
    <row r="1081" spans="1:31" ht="15" x14ac:dyDescent="0.25">
      <c r="A1081" t="s">
        <v>2474</v>
      </c>
      <c r="B1081" t="s">
        <v>8574</v>
      </c>
      <c r="C1081" s="221">
        <v>42963.573344907411</v>
      </c>
      <c r="D1081" t="s">
        <v>8575</v>
      </c>
      <c r="E1081" s="249" t="str">
        <f>HYPERLINK("https://www.instagram.com/p/BX3RD1ql7Ei/")</f>
        <v>https://www.instagram.com/p/BX3RD1ql7Ei/</v>
      </c>
      <c r="F1081" t="s">
        <v>8576</v>
      </c>
      <c r="G1081" t="s">
        <v>2478</v>
      </c>
      <c r="H1081">
        <v>635</v>
      </c>
      <c r="I1081" t="s">
        <v>3186</v>
      </c>
      <c r="J1081">
        <v>5</v>
      </c>
      <c r="K1081">
        <v>83</v>
      </c>
      <c r="L1081">
        <v>88</v>
      </c>
      <c r="Q1081">
        <v>0</v>
      </c>
      <c r="R1081">
        <v>0</v>
      </c>
      <c r="S1081">
        <v>88</v>
      </c>
      <c r="Y1081" t="s">
        <v>4369</v>
      </c>
      <c r="Z1081" t="s">
        <v>8577</v>
      </c>
      <c r="AA1081" t="s">
        <v>2492</v>
      </c>
      <c r="AB1081" t="s">
        <v>2497</v>
      </c>
      <c r="AC1081" t="s">
        <v>8578</v>
      </c>
      <c r="AD1081" s="249" t="str">
        <f>HYPERLINK("https://scontent.cdninstagram.com/t51.2885-15/s320x320/e35/20837535_110793449646209_9114190777029754880_n.jpg")</f>
        <v>https://scontent.cdninstagram.com/t51.2885-15/s320x320/e35/20837535_110793449646209_9114190777029754880_n.jpg</v>
      </c>
      <c r="AE1081" s="249" t="str">
        <f>HYPERLINK("https://scontent.cdninstagram.com/t51.2885-19/s150x150/17077100_710265595821960_8107254360410423296_a.jpg")</f>
        <v>https://scontent.cdninstagram.com/t51.2885-19/s150x150/17077100_710265595821960_8107254360410423296_a.jpg</v>
      </c>
    </row>
    <row r="1082" spans="1:31" ht="15" x14ac:dyDescent="0.25">
      <c r="A1082" t="s">
        <v>2474</v>
      </c>
      <c r="B1082" t="s">
        <v>8579</v>
      </c>
      <c r="C1082" s="221">
        <v>42963.577974537038</v>
      </c>
      <c r="D1082" t="s">
        <v>8580</v>
      </c>
      <c r="E1082" s="249" t="str">
        <f>HYPERLINK("https://www.instagram.com/p/BX3R0vxBIbr/")</f>
        <v>https://www.instagram.com/p/BX3R0vxBIbr/</v>
      </c>
      <c r="F1082" t="s">
        <v>8581</v>
      </c>
      <c r="G1082" t="s">
        <v>2478</v>
      </c>
      <c r="H1082">
        <v>198</v>
      </c>
      <c r="I1082" t="s">
        <v>2479</v>
      </c>
      <c r="J1082">
        <v>0</v>
      </c>
      <c r="K1082">
        <v>3</v>
      </c>
      <c r="L1082">
        <v>3</v>
      </c>
      <c r="Q1082">
        <v>0</v>
      </c>
      <c r="R1082">
        <v>0</v>
      </c>
      <c r="S1082">
        <v>3</v>
      </c>
      <c r="Y1082" t="s">
        <v>8582</v>
      </c>
      <c r="Z1082" t="s">
        <v>2497</v>
      </c>
      <c r="AD1082" s="249" t="str">
        <f>HYPERLINK("https://scontent.cdninstagram.com/t51.2885-15/s320x320/e35/c65.0.510.510/20837625_775433145961180_1110103790222049280_n.jpg")</f>
        <v>https://scontent.cdninstagram.com/t51.2885-15/s320x320/e35/c65.0.510.510/20837625_775433145961180_1110103790222049280_n.jpg</v>
      </c>
      <c r="AE1082" s="249" t="str">
        <f>HYPERLINK("https://scontent.cdninstagram.com/t51.2885-19/s150x150/19984871_130124814252508_6014119464797208576_a.jpg")</f>
        <v>https://scontent.cdninstagram.com/t51.2885-19/s150x150/19984871_130124814252508_6014119464797208576_a.jpg</v>
      </c>
    </row>
    <row r="1083" spans="1:31" ht="15" x14ac:dyDescent="0.25">
      <c r="A1083" t="s">
        <v>2474</v>
      </c>
      <c r="B1083" t="s">
        <v>2907</v>
      </c>
      <c r="C1083" s="221">
        <v>42963.589432870373</v>
      </c>
      <c r="D1083" t="s">
        <v>8583</v>
      </c>
      <c r="E1083" s="249" t="str">
        <f>HYPERLINK("https://www.instagram.com/p/BX3TtmXg59L/")</f>
        <v>https://www.instagram.com/p/BX3TtmXg59L/</v>
      </c>
      <c r="F1083" t="s">
        <v>8584</v>
      </c>
      <c r="G1083" t="s">
        <v>2478</v>
      </c>
      <c r="H1083">
        <v>77</v>
      </c>
      <c r="I1083" t="s">
        <v>2910</v>
      </c>
      <c r="J1083">
        <v>3</v>
      </c>
      <c r="K1083">
        <v>49</v>
      </c>
      <c r="L1083">
        <v>52</v>
      </c>
      <c r="Q1083">
        <v>0</v>
      </c>
      <c r="R1083">
        <v>0</v>
      </c>
      <c r="S1083">
        <v>52</v>
      </c>
      <c r="Y1083" t="s">
        <v>8585</v>
      </c>
      <c r="Z1083" t="s">
        <v>2911</v>
      </c>
      <c r="AA1083" t="s">
        <v>8586</v>
      </c>
      <c r="AB1083" t="s">
        <v>8587</v>
      </c>
      <c r="AC1083" t="s">
        <v>2912</v>
      </c>
      <c r="AD1083" s="249" t="str">
        <f>HYPERLINK("https://scontent.cdninstagram.com/t51.2885-15/s320x320/e35/20838963_1913664898958117_8063907647788679168_n.jpg")</f>
        <v>https://scontent.cdninstagram.com/t51.2885-15/s320x320/e35/20838963_1913664898958117_8063907647788679168_n.jpg</v>
      </c>
      <c r="AE1083" s="249" t="str">
        <f>HYPERLINK("https://scontent.cdninstagram.com/t51.2885-19/s150x150/12357630_513986308780959_401409989_a.jpg")</f>
        <v>https://scontent.cdninstagram.com/t51.2885-19/s150x150/12357630_513986308780959_401409989_a.jpg</v>
      </c>
    </row>
    <row r="1084" spans="1:31" ht="15" x14ac:dyDescent="0.25">
      <c r="A1084" t="s">
        <v>2474</v>
      </c>
      <c r="B1084" t="s">
        <v>8588</v>
      </c>
      <c r="C1084" s="221">
        <v>42963.590925925928</v>
      </c>
      <c r="D1084" t="s">
        <v>8589</v>
      </c>
      <c r="E1084" s="249" t="str">
        <f>HYPERLINK("https://www.instagram.com/p/BX3T9RtnFMR/")</f>
        <v>https://www.instagram.com/p/BX3T9RtnFMR/</v>
      </c>
      <c r="F1084" t="s">
        <v>8590</v>
      </c>
      <c r="G1084" t="s">
        <v>2478</v>
      </c>
      <c r="H1084">
        <v>109</v>
      </c>
      <c r="I1084" t="s">
        <v>3025</v>
      </c>
      <c r="J1084">
        <v>0</v>
      </c>
      <c r="K1084">
        <v>17</v>
      </c>
      <c r="L1084">
        <v>17</v>
      </c>
      <c r="Q1084">
        <v>0</v>
      </c>
      <c r="R1084">
        <v>0</v>
      </c>
      <c r="S1084">
        <v>17</v>
      </c>
      <c r="Y1084" t="s">
        <v>8591</v>
      </c>
      <c r="Z1084" t="s">
        <v>2497</v>
      </c>
      <c r="AA1084" t="s">
        <v>2730</v>
      </c>
      <c r="AB1084" t="s">
        <v>3225</v>
      </c>
      <c r="AC1084" t="s">
        <v>8592</v>
      </c>
      <c r="AD1084" s="249" t="str">
        <f>HYPERLINK("https://scontent.cdninstagram.com/t51.2885-15/s320x320/e35/20838547_892325710921318_3229943813229248512_n.jpg")</f>
        <v>https://scontent.cdninstagram.com/t51.2885-15/s320x320/e35/20838547_892325710921318_3229943813229248512_n.jpg</v>
      </c>
      <c r="AE1084" s="249" t="str">
        <f>HYPERLINK("https://scontent.cdninstagram.com/t51.2885-19/s150x150/20635188_109311796418036_6462664254095884288_a.jpg")</f>
        <v>https://scontent.cdninstagram.com/t51.2885-19/s150x150/20635188_109311796418036_6462664254095884288_a.jpg</v>
      </c>
    </row>
    <row r="1085" spans="1:31" ht="15" x14ac:dyDescent="0.25">
      <c r="A1085" t="s">
        <v>2474</v>
      </c>
      <c r="B1085" t="s">
        <v>8593</v>
      </c>
      <c r="C1085" s="221">
        <v>42963.592268518521</v>
      </c>
      <c r="D1085" t="s">
        <v>8594</v>
      </c>
      <c r="E1085" s="249" t="str">
        <f>HYPERLINK("https://www.instagram.com/p/BX3ULalACHE/")</f>
        <v>https://www.instagram.com/p/BX3ULalACHE/</v>
      </c>
      <c r="F1085" t="s">
        <v>8595</v>
      </c>
      <c r="G1085" t="s">
        <v>2478</v>
      </c>
      <c r="H1085">
        <v>173</v>
      </c>
      <c r="I1085" t="s">
        <v>3170</v>
      </c>
      <c r="J1085">
        <v>0</v>
      </c>
      <c r="K1085">
        <v>24</v>
      </c>
      <c r="L1085">
        <v>24</v>
      </c>
      <c r="Q1085">
        <v>0</v>
      </c>
      <c r="R1085">
        <v>0</v>
      </c>
      <c r="S1085">
        <v>24</v>
      </c>
      <c r="Y1085" t="s">
        <v>8596</v>
      </c>
      <c r="Z1085" t="s">
        <v>8597</v>
      </c>
      <c r="AA1085" t="s">
        <v>8598</v>
      </c>
      <c r="AB1085" t="s">
        <v>7225</v>
      </c>
      <c r="AC1085" t="s">
        <v>2497</v>
      </c>
      <c r="AD1085" s="249" t="str">
        <f>HYPERLINK("https://scontent.cdninstagram.com/t51.2885-15/s320x320/e35/20837150_164117294139395_1234928841357524992_n.jpg")</f>
        <v>https://scontent.cdninstagram.com/t51.2885-15/s320x320/e35/20837150_164117294139395_1234928841357524992_n.jpg</v>
      </c>
      <c r="AE1085" s="249" t="str">
        <f>HYPERLINK("https://scontent.cdninstagram.com/t51.2885-19/s150x150/19624626_1917749151796962_6630756329029894144_a.jpg")</f>
        <v>https://scontent.cdninstagram.com/t51.2885-19/s150x150/19624626_1917749151796962_6630756329029894144_a.jpg</v>
      </c>
    </row>
    <row r="1086" spans="1:31" ht="15" x14ac:dyDescent="0.25">
      <c r="A1086" t="s">
        <v>2474</v>
      </c>
      <c r="B1086" t="s">
        <v>3665</v>
      </c>
      <c r="C1086" s="221">
        <v>42963.59443287037</v>
      </c>
      <c r="D1086" t="s">
        <v>8599</v>
      </c>
      <c r="E1086" s="249" t="str">
        <f>HYPERLINK("https://www.instagram.com/p/BX3UiPCAzr9/")</f>
        <v>https://www.instagram.com/p/BX3UiPCAzr9/</v>
      </c>
      <c r="F1086" t="s">
        <v>8600</v>
      </c>
      <c r="G1086" t="s">
        <v>2478</v>
      </c>
      <c r="H1086">
        <v>131</v>
      </c>
      <c r="I1086" t="s">
        <v>2542</v>
      </c>
      <c r="J1086">
        <v>2</v>
      </c>
      <c r="K1086">
        <v>26</v>
      </c>
      <c r="L1086">
        <v>28</v>
      </c>
      <c r="Q1086">
        <v>0</v>
      </c>
      <c r="R1086">
        <v>0</v>
      </c>
      <c r="S1086">
        <v>28</v>
      </c>
      <c r="Y1086" t="s">
        <v>3256</v>
      </c>
      <c r="Z1086" t="s">
        <v>4620</v>
      </c>
      <c r="AA1086" t="s">
        <v>3262</v>
      </c>
      <c r="AB1086" t="s">
        <v>2492</v>
      </c>
      <c r="AC1086" t="s">
        <v>8601</v>
      </c>
      <c r="AD1086" s="249" t="str">
        <f>HYPERLINK("https://scontent.cdninstagram.com/t51.2885-15/s320x320/e35/c0.135.1080.1080/20901924_1903490173306645_1822864930232074240_n.jpg")</f>
        <v>https://scontent.cdninstagram.com/t51.2885-15/s320x320/e35/c0.135.1080.1080/20901924_1903490173306645_1822864930232074240_n.jpg</v>
      </c>
      <c r="AE1086" s="249" t="str">
        <f>HYPERLINK("https://scontent.cdninstagram.com/t51.2885-19/s150x150/20837660_2021233788104513_3267636454808879104_a.jpg")</f>
        <v>https://scontent.cdninstagram.com/t51.2885-19/s150x150/20837660_2021233788104513_3267636454808879104_a.jpg</v>
      </c>
    </row>
    <row r="1087" spans="1:31" ht="15" x14ac:dyDescent="0.25">
      <c r="A1087" t="s">
        <v>2474</v>
      </c>
      <c r="B1087" t="s">
        <v>5486</v>
      </c>
      <c r="C1087" s="221">
        <v>42963.596412037034</v>
      </c>
      <c r="D1087" t="s">
        <v>8602</v>
      </c>
      <c r="E1087" s="249" t="str">
        <f>HYPERLINK("https://www.instagram.com/p/BX3U3JdjNlt/")</f>
        <v>https://www.instagram.com/p/BX3U3JdjNlt/</v>
      </c>
      <c r="G1087" t="s">
        <v>2478</v>
      </c>
      <c r="H1087">
        <v>32244</v>
      </c>
      <c r="I1087" t="s">
        <v>2479</v>
      </c>
      <c r="J1087">
        <v>4</v>
      </c>
      <c r="K1087">
        <v>632</v>
      </c>
      <c r="L1087">
        <v>636</v>
      </c>
      <c r="Q1087">
        <v>0</v>
      </c>
      <c r="R1087">
        <v>0</v>
      </c>
      <c r="S1087">
        <v>636</v>
      </c>
      <c r="Y1087" t="s">
        <v>8603</v>
      </c>
      <c r="Z1087" t="s">
        <v>8604</v>
      </c>
      <c r="AA1087" t="s">
        <v>8605</v>
      </c>
      <c r="AB1087" t="s">
        <v>8606</v>
      </c>
      <c r="AC1087" t="s">
        <v>8607</v>
      </c>
      <c r="AD1087" s="249" t="str">
        <f>HYPERLINK("https://scontent.cdninstagram.com/t51.2885-15/s320x320/e35/c0.105.920.920/20836957_304788309985968_5219484720433201152_n.jpg")</f>
        <v>https://scontent.cdninstagram.com/t51.2885-15/s320x320/e35/c0.105.920.920/20836957_304788309985968_5219484720433201152_n.jpg</v>
      </c>
      <c r="AE1087" s="249" t="str">
        <f>HYPERLINK("https://scontent.cdninstagram.com/t51.2885-19/18096331_1858853611040874_8999714561263140864_n.jpg")</f>
        <v>https://scontent.cdninstagram.com/t51.2885-19/18096331_1858853611040874_8999714561263140864_n.jpg</v>
      </c>
    </row>
    <row r="1088" spans="1:31" ht="15" x14ac:dyDescent="0.25">
      <c r="A1088" t="s">
        <v>2474</v>
      </c>
      <c r="B1088" t="s">
        <v>8608</v>
      </c>
      <c r="C1088" s="221">
        <v>42963.597268518519</v>
      </c>
      <c r="D1088" t="s">
        <v>8609</v>
      </c>
      <c r="E1088" s="249" t="str">
        <f>HYPERLINK("https://www.instagram.com/p/BX3VAOSjFoD/")</f>
        <v>https://www.instagram.com/p/BX3VAOSjFoD/</v>
      </c>
      <c r="F1088" t="s">
        <v>8610</v>
      </c>
      <c r="G1088" t="s">
        <v>2478</v>
      </c>
      <c r="H1088">
        <v>55</v>
      </c>
      <c r="I1088" t="s">
        <v>2479</v>
      </c>
      <c r="J1088">
        <v>1</v>
      </c>
      <c r="K1088">
        <v>18</v>
      </c>
      <c r="L1088">
        <v>19</v>
      </c>
      <c r="Q1088">
        <v>0</v>
      </c>
      <c r="R1088">
        <v>0</v>
      </c>
      <c r="S1088">
        <v>19</v>
      </c>
      <c r="T1088" t="s">
        <v>8611</v>
      </c>
      <c r="U1088" t="s">
        <v>162</v>
      </c>
      <c r="V1088" t="s">
        <v>2299</v>
      </c>
      <c r="W1088">
        <v>29.416699999999999</v>
      </c>
      <c r="X1088">
        <v>-98.5</v>
      </c>
      <c r="Y1088" t="s">
        <v>2492</v>
      </c>
      <c r="Z1088" t="s">
        <v>8612</v>
      </c>
      <c r="AA1088" t="s">
        <v>8613</v>
      </c>
      <c r="AB1088" t="s">
        <v>2497</v>
      </c>
      <c r="AC1088" t="s">
        <v>8614</v>
      </c>
      <c r="AD1088" s="249" t="str">
        <f>HYPERLINK("https://scontent.cdninstagram.com/t51.2885-15/s320x320/e35/c0.13.774.774/20837004_140301599902756_875786253046382592_n.jpg")</f>
        <v>https://scontent.cdninstagram.com/t51.2885-15/s320x320/e35/c0.13.774.774/20837004_140301599902756_875786253046382592_n.jpg</v>
      </c>
      <c r="AE1088" s="249" t="str">
        <f>HYPERLINK("https://scontent.cdninstagram.com/t51.2885-19/s150x150/19436448_239754486527210_1431045393214341120_a.jpg")</f>
        <v>https://scontent.cdninstagram.com/t51.2885-19/s150x150/19436448_239754486527210_1431045393214341120_a.jpg</v>
      </c>
    </row>
    <row r="1089" spans="1:31" ht="15" x14ac:dyDescent="0.25">
      <c r="A1089" t="s">
        <v>2474</v>
      </c>
      <c r="B1089" t="s">
        <v>2856</v>
      </c>
      <c r="C1089" s="221">
        <v>42963.598460648151</v>
      </c>
      <c r="D1089" t="s">
        <v>8615</v>
      </c>
      <c r="E1089" s="249" t="str">
        <f>HYPERLINK("https://www.instagram.com/p/BX3VMyVFmWc/")</f>
        <v>https://www.instagram.com/p/BX3VMyVFmWc/</v>
      </c>
      <c r="F1089" t="s">
        <v>8616</v>
      </c>
      <c r="G1089" t="s">
        <v>2478</v>
      </c>
      <c r="H1089">
        <v>305</v>
      </c>
      <c r="I1089" t="s">
        <v>2542</v>
      </c>
      <c r="J1089">
        <v>1</v>
      </c>
      <c r="K1089">
        <v>30</v>
      </c>
      <c r="L1089">
        <v>31</v>
      </c>
      <c r="Q1089">
        <v>0</v>
      </c>
      <c r="R1089">
        <v>0</v>
      </c>
      <c r="S1089">
        <v>31</v>
      </c>
      <c r="Y1089" t="s">
        <v>4584</v>
      </c>
      <c r="Z1089" t="s">
        <v>8617</v>
      </c>
      <c r="AA1089" t="s">
        <v>8618</v>
      </c>
      <c r="AB1089" t="s">
        <v>2862</v>
      </c>
      <c r="AC1089" t="s">
        <v>8619</v>
      </c>
      <c r="AD1089" s="249" t="str">
        <f>HYPERLINK("https://scontent.cdninstagram.com/t51.2885-15/s320x320/e35/c0.135.1080.1080/20905432_2117326441828013_4360966757062541312_n.jpg")</f>
        <v>https://scontent.cdninstagram.com/t51.2885-15/s320x320/e35/c0.135.1080.1080/20905432_2117326441828013_4360966757062541312_n.jpg</v>
      </c>
      <c r="AE1089" s="249" t="str">
        <f>HYPERLINK("https://scontent.cdninstagram.com/t51.2885-19/s150x150/20065705_1706576016312315_6418665848906448896_a.jpg")</f>
        <v>https://scontent.cdninstagram.com/t51.2885-19/s150x150/20065705_1706576016312315_6418665848906448896_a.jpg</v>
      </c>
    </row>
    <row r="1090" spans="1:31" ht="15" x14ac:dyDescent="0.25">
      <c r="A1090" t="s">
        <v>2474</v>
      </c>
      <c r="B1090" t="s">
        <v>8620</v>
      </c>
      <c r="C1090" s="221">
        <v>42963.601898148147</v>
      </c>
      <c r="D1090" t="s">
        <v>8621</v>
      </c>
      <c r="E1090" s="249" t="str">
        <f>HYPERLINK("https://www.instagram.com/p/BX3VxCUDti4/")</f>
        <v>https://www.instagram.com/p/BX3VxCUDti4/</v>
      </c>
      <c r="F1090" t="s">
        <v>8622</v>
      </c>
      <c r="G1090" t="s">
        <v>2478</v>
      </c>
      <c r="H1090">
        <v>126</v>
      </c>
      <c r="I1090" t="s">
        <v>2599</v>
      </c>
      <c r="J1090">
        <v>1</v>
      </c>
      <c r="K1090">
        <v>11</v>
      </c>
      <c r="L1090">
        <v>12</v>
      </c>
      <c r="Q1090">
        <v>0</v>
      </c>
      <c r="R1090">
        <v>0</v>
      </c>
      <c r="S1090">
        <v>12</v>
      </c>
      <c r="Y1090" t="s">
        <v>2753</v>
      </c>
      <c r="Z1090" t="s">
        <v>2497</v>
      </c>
      <c r="AA1090" t="s">
        <v>8623</v>
      </c>
      <c r="AB1090" t="s">
        <v>8624</v>
      </c>
      <c r="AC1090" t="s">
        <v>4388</v>
      </c>
      <c r="AD1090" s="249" t="str">
        <f>HYPERLINK("https://scontent.cdninstagram.com/t51.2885-15/s320x320/e35/20905287_306662336475061_2389536404095893504_n.jpg")</f>
        <v>https://scontent.cdninstagram.com/t51.2885-15/s320x320/e35/20905287_306662336475061_2389536404095893504_n.jpg</v>
      </c>
      <c r="AE1090" s="249" t="str">
        <f>HYPERLINK("https://scontent.cdninstagram.com/t51.2885-19/s150x150/18252564_1904626023112232_2591235893746466816_a.jpg")</f>
        <v>https://scontent.cdninstagram.com/t51.2885-19/s150x150/18252564_1904626023112232_2591235893746466816_a.jpg</v>
      </c>
    </row>
    <row r="1091" spans="1:31" ht="15" x14ac:dyDescent="0.25">
      <c r="A1091" t="s">
        <v>2474</v>
      </c>
      <c r="B1091" t="s">
        <v>8168</v>
      </c>
      <c r="C1091" s="221">
        <v>42963.602071759262</v>
      </c>
      <c r="D1091" t="s">
        <v>8625</v>
      </c>
      <c r="E1091" s="249" t="str">
        <f>HYPERLINK("https://www.instagram.com/p/BX3Vy5-ASy7/")</f>
        <v>https://www.instagram.com/p/BX3Vy5-ASy7/</v>
      </c>
      <c r="F1091" t="s">
        <v>8626</v>
      </c>
      <c r="G1091" t="s">
        <v>2478</v>
      </c>
      <c r="H1091">
        <v>3586</v>
      </c>
      <c r="I1091" t="s">
        <v>2542</v>
      </c>
      <c r="J1091">
        <v>0</v>
      </c>
      <c r="K1091">
        <v>90</v>
      </c>
      <c r="L1091">
        <v>90</v>
      </c>
      <c r="Q1091">
        <v>0</v>
      </c>
      <c r="R1091">
        <v>0</v>
      </c>
      <c r="S1091">
        <v>90</v>
      </c>
      <c r="T1091" t="s">
        <v>8627</v>
      </c>
      <c r="V1091" t="s">
        <v>2182</v>
      </c>
      <c r="W1091">
        <v>43.110503948218998</v>
      </c>
      <c r="X1091">
        <v>12.388626428714</v>
      </c>
      <c r="Y1091" t="s">
        <v>8628</v>
      </c>
      <c r="Z1091" t="s">
        <v>4878</v>
      </c>
      <c r="AA1091" t="s">
        <v>8629</v>
      </c>
      <c r="AB1091" t="s">
        <v>8630</v>
      </c>
      <c r="AC1091" t="s">
        <v>8631</v>
      </c>
      <c r="AD1091" s="249" t="str">
        <f>HYPERLINK("https://scontent.cdninstagram.com/t51.2885-15/s320x320/e35/c0.135.1080.1080/20838799_165160397385491_1231812851174211584_n.jpg")</f>
        <v>https://scontent.cdninstagram.com/t51.2885-15/s320x320/e35/c0.135.1080.1080/20838799_165160397385491_1231812851174211584_n.jpg</v>
      </c>
      <c r="AE1091" s="249" t="str">
        <f>HYPERLINK("https://scontent.cdninstagram.com/t51.2885-19/s150x150/20582427_1923544624586777_595209998242414592_a.jpg")</f>
        <v>https://scontent.cdninstagram.com/t51.2885-19/s150x150/20582427_1923544624586777_595209998242414592_a.jpg</v>
      </c>
    </row>
    <row r="1092" spans="1:31" ht="15" x14ac:dyDescent="0.25">
      <c r="A1092" t="s">
        <v>2474</v>
      </c>
      <c r="B1092" t="s">
        <v>8632</v>
      </c>
      <c r="C1092" s="221">
        <v>42963.602696759262</v>
      </c>
      <c r="D1092" t="s">
        <v>8633</v>
      </c>
      <c r="E1092" s="249" t="str">
        <f>HYPERLINK("https://www.instagram.com/p/BX3V5ZMF_kF/")</f>
        <v>https://www.instagram.com/p/BX3V5ZMF_kF/</v>
      </c>
      <c r="F1092" t="s">
        <v>8634</v>
      </c>
      <c r="G1092" t="s">
        <v>2488</v>
      </c>
      <c r="H1092">
        <v>17</v>
      </c>
      <c r="I1092" t="s">
        <v>2479</v>
      </c>
      <c r="J1092">
        <v>1</v>
      </c>
      <c r="K1092">
        <v>7</v>
      </c>
      <c r="L1092">
        <v>8</v>
      </c>
      <c r="Q1092">
        <v>0</v>
      </c>
      <c r="R1092">
        <v>0</v>
      </c>
      <c r="S1092">
        <v>8</v>
      </c>
      <c r="Y1092" t="s">
        <v>2574</v>
      </c>
      <c r="Z1092" t="s">
        <v>5168</v>
      </c>
      <c r="AA1092" t="s">
        <v>2736</v>
      </c>
      <c r="AB1092" t="s">
        <v>2497</v>
      </c>
      <c r="AD1092" s="249" t="str">
        <f>HYPERLINK("https://scontent.cdninstagram.com/t51.2885-15/s320x320/e35/20398582_730344380482426_5299346983012532224_n.jpg")</f>
        <v>https://scontent.cdninstagram.com/t51.2885-15/s320x320/e35/20398582_730344380482426_5299346983012532224_n.jpg</v>
      </c>
      <c r="AE1092" s="249" t="str">
        <f>HYPERLINK("https://scontent.cdninstagram.com/t51.2885-19/s150x150/20759505_253661595144102_7109371408433545216_a.jpg")</f>
        <v>https://scontent.cdninstagram.com/t51.2885-19/s150x150/20759505_253661595144102_7109371408433545216_a.jpg</v>
      </c>
    </row>
    <row r="1093" spans="1:31" ht="15" x14ac:dyDescent="0.25">
      <c r="A1093" t="s">
        <v>2474</v>
      </c>
      <c r="B1093" t="s">
        <v>8635</v>
      </c>
      <c r="C1093" s="221">
        <v>42963.603090277778</v>
      </c>
      <c r="D1093" t="s">
        <v>8636</v>
      </c>
      <c r="E1093" s="249" t="str">
        <f>HYPERLINK("https://www.instagram.com/p/BX3V9p-g2lw/")</f>
        <v>https://www.instagram.com/p/BX3V9p-g2lw/</v>
      </c>
      <c r="F1093" t="s">
        <v>8637</v>
      </c>
      <c r="G1093" t="s">
        <v>2478</v>
      </c>
      <c r="H1093">
        <v>556</v>
      </c>
      <c r="I1093" t="s">
        <v>2479</v>
      </c>
      <c r="J1093">
        <v>1</v>
      </c>
      <c r="K1093">
        <v>32</v>
      </c>
      <c r="L1093">
        <v>33</v>
      </c>
      <c r="Q1093">
        <v>0</v>
      </c>
      <c r="R1093">
        <v>0</v>
      </c>
      <c r="S1093">
        <v>33</v>
      </c>
      <c r="Y1093" t="s">
        <v>4988</v>
      </c>
      <c r="Z1093" t="s">
        <v>8638</v>
      </c>
      <c r="AA1093" t="s">
        <v>8639</v>
      </c>
      <c r="AB1093" t="s">
        <v>3244</v>
      </c>
      <c r="AC1093" t="s">
        <v>8640</v>
      </c>
      <c r="AD1093" s="249" t="str">
        <f>HYPERLINK("https://scontent.cdninstagram.com/t51.2885-15/s320x320/e35/20837544_1953747511549754_5152514480797646848_n.jpg")</f>
        <v>https://scontent.cdninstagram.com/t51.2885-15/s320x320/e35/20837544_1953747511549754_5152514480797646848_n.jpg</v>
      </c>
      <c r="AE1093" s="249" t="str">
        <f>HYPERLINK("https://scontent.cdninstagram.com/t51.2885-19/s150x150/18382143_453166568370188_6457027208304132096_a.jpg")</f>
        <v>https://scontent.cdninstagram.com/t51.2885-19/s150x150/18382143_453166568370188_6457027208304132096_a.jpg</v>
      </c>
    </row>
    <row r="1094" spans="1:31" ht="15" x14ac:dyDescent="0.25">
      <c r="A1094" t="s">
        <v>2474</v>
      </c>
      <c r="B1094" t="s">
        <v>8641</v>
      </c>
      <c r="C1094" s="221">
        <v>42963.611585648148</v>
      </c>
      <c r="D1094" t="s">
        <v>8642</v>
      </c>
      <c r="E1094" s="249" t="str">
        <f>HYPERLINK("https://www.instagram.com/p/BX3XXQUDIJQ/")</f>
        <v>https://www.instagram.com/p/BX3XXQUDIJQ/</v>
      </c>
      <c r="F1094" t="s">
        <v>8643</v>
      </c>
      <c r="G1094" t="s">
        <v>2478</v>
      </c>
      <c r="H1094">
        <v>2140</v>
      </c>
      <c r="I1094" t="s">
        <v>2748</v>
      </c>
      <c r="J1094">
        <v>0</v>
      </c>
      <c r="K1094">
        <v>94</v>
      </c>
      <c r="L1094">
        <v>94</v>
      </c>
      <c r="Q1094">
        <v>0</v>
      </c>
      <c r="R1094">
        <v>0</v>
      </c>
      <c r="S1094">
        <v>94</v>
      </c>
      <c r="T1094" t="s">
        <v>8644</v>
      </c>
      <c r="V1094" t="s">
        <v>2276</v>
      </c>
      <c r="W1094">
        <v>13.784387675824</v>
      </c>
      <c r="X1094">
        <v>100.57378016652</v>
      </c>
      <c r="Y1094" t="s">
        <v>8645</v>
      </c>
      <c r="Z1094" t="s">
        <v>8646</v>
      </c>
      <c r="AA1094" t="s">
        <v>2497</v>
      </c>
      <c r="AD1094" s="249" t="str">
        <f>HYPERLINK("https://scontent.cdninstagram.com/t51.2885-15/s320x320/e35/c0.112.900.900/20838399_1439867532765460_7051375722006315008_n.jpg")</f>
        <v>https://scontent.cdninstagram.com/t51.2885-15/s320x320/e35/c0.112.900.900/20838399_1439867532765460_7051375722006315008_n.jpg</v>
      </c>
      <c r="AE1094" s="249" t="str">
        <f>HYPERLINK("https://scontent.cdninstagram.com/t51.2885-19/s150x150/19985680_1995644184005256_7296779248377790464_a.jpg")</f>
        <v>https://scontent.cdninstagram.com/t51.2885-19/s150x150/19985680_1995644184005256_7296779248377790464_a.jpg</v>
      </c>
    </row>
    <row r="1095" spans="1:31" ht="15" x14ac:dyDescent="0.25">
      <c r="A1095" t="s">
        <v>2474</v>
      </c>
      <c r="B1095" t="s">
        <v>6443</v>
      </c>
      <c r="C1095" s="221">
        <v>42963.614641203705</v>
      </c>
      <c r="D1095" t="s">
        <v>8647</v>
      </c>
      <c r="E1095" s="249" t="str">
        <f>HYPERLINK("https://www.instagram.com/p/BX3X3YAFsUk/")</f>
        <v>https://www.instagram.com/p/BX3X3YAFsUk/</v>
      </c>
      <c r="F1095" t="s">
        <v>8648</v>
      </c>
      <c r="G1095" t="s">
        <v>2478</v>
      </c>
      <c r="H1095">
        <v>58446</v>
      </c>
      <c r="I1095" t="s">
        <v>2479</v>
      </c>
      <c r="J1095">
        <v>52</v>
      </c>
      <c r="K1095">
        <v>1803</v>
      </c>
      <c r="L1095">
        <v>1855</v>
      </c>
      <c r="Q1095">
        <v>0</v>
      </c>
      <c r="R1095">
        <v>0</v>
      </c>
      <c r="S1095">
        <v>1855</v>
      </c>
      <c r="Y1095" t="s">
        <v>8649</v>
      </c>
      <c r="Z1095" t="s">
        <v>8650</v>
      </c>
      <c r="AA1095" t="s">
        <v>8207</v>
      </c>
      <c r="AB1095" t="s">
        <v>8651</v>
      </c>
      <c r="AC1095" t="s">
        <v>8652</v>
      </c>
      <c r="AD1095" s="249" t="str">
        <f>HYPERLINK("https://scontent.cdninstagram.com/t51.2885-15/s320x320/e35/c0.134.1080.1080/20836923_411689539224815_7694629245896622080_n.jpg")</f>
        <v>https://scontent.cdninstagram.com/t51.2885-15/s320x320/e35/c0.134.1080.1080/20836923_411689539224815_7694629245896622080_n.jpg</v>
      </c>
      <c r="AE1095" s="249" t="str">
        <f>HYPERLINK("https://scontent.cdninstagram.com/t51.2885-19/s150x150/18011200_1823639797956189_2351181908055949312_a.jpg")</f>
        <v>https://scontent.cdninstagram.com/t51.2885-19/s150x150/18011200_1823639797956189_2351181908055949312_a.jpg</v>
      </c>
    </row>
    <row r="1096" spans="1:31" ht="15" x14ac:dyDescent="0.25">
      <c r="A1096" t="s">
        <v>2474</v>
      </c>
      <c r="B1096" t="s">
        <v>3754</v>
      </c>
      <c r="C1096" s="221">
        <v>42963.617418981485</v>
      </c>
      <c r="D1096" t="s">
        <v>8653</v>
      </c>
      <c r="E1096" s="249" t="str">
        <f>HYPERLINK("https://www.instagram.com/p/BX3YUvfjnMC/")</f>
        <v>https://www.instagram.com/p/BX3YUvfjnMC/</v>
      </c>
      <c r="F1096" t="s">
        <v>3756</v>
      </c>
      <c r="G1096" t="s">
        <v>2478</v>
      </c>
      <c r="H1096">
        <v>201774</v>
      </c>
      <c r="I1096" t="s">
        <v>2479</v>
      </c>
      <c r="J1096">
        <v>0</v>
      </c>
      <c r="K1096">
        <v>255</v>
      </c>
      <c r="L1096">
        <v>255</v>
      </c>
      <c r="Q1096">
        <v>0</v>
      </c>
      <c r="R1096">
        <v>0</v>
      </c>
      <c r="S1096">
        <v>255</v>
      </c>
      <c r="Y1096" t="s">
        <v>6242</v>
      </c>
      <c r="Z1096" t="s">
        <v>8654</v>
      </c>
      <c r="AA1096" t="s">
        <v>6790</v>
      </c>
      <c r="AB1096" t="s">
        <v>4561</v>
      </c>
      <c r="AC1096" t="s">
        <v>6789</v>
      </c>
      <c r="AD1096" s="249" t="str">
        <f>HYPERLINK("https://scontent.cdninstagram.com/t51.2885-15/s320x320/e35/c0.135.1080.1080/20838400_660126764182311_4412441965874905088_n.jpg")</f>
        <v>https://scontent.cdninstagram.com/t51.2885-15/s320x320/e35/c0.135.1080.1080/20838400_660126764182311_4412441965874905088_n.jpg</v>
      </c>
      <c r="AE1096" s="249" t="str">
        <f>HYPERLINK("https://scontent.cdninstagram.com/t51.2885-19/s150x150/12905002_1681254462136092_1137392787_a.jpg")</f>
        <v>https://scontent.cdninstagram.com/t51.2885-19/s150x150/12905002_1681254462136092_1137392787_a.jpg</v>
      </c>
    </row>
    <row r="1097" spans="1:31" ht="15" x14ac:dyDescent="0.25">
      <c r="A1097" t="s">
        <v>2474</v>
      </c>
      <c r="B1097" t="s">
        <v>8655</v>
      </c>
      <c r="C1097" s="221">
        <v>42963.627465277779</v>
      </c>
      <c r="D1097" t="s">
        <v>8656</v>
      </c>
      <c r="E1097" s="249" t="str">
        <f>HYPERLINK("https://www.instagram.com/p/BX3Z-polf1x/")</f>
        <v>https://www.instagram.com/p/BX3Z-polf1x/</v>
      </c>
      <c r="F1097" t="s">
        <v>8657</v>
      </c>
      <c r="G1097" t="s">
        <v>2478</v>
      </c>
      <c r="H1097">
        <v>315</v>
      </c>
      <c r="I1097" t="s">
        <v>4523</v>
      </c>
      <c r="J1097">
        <v>3</v>
      </c>
      <c r="K1097">
        <v>56</v>
      </c>
      <c r="L1097">
        <v>59</v>
      </c>
      <c r="Q1097">
        <v>0</v>
      </c>
      <c r="R1097">
        <v>0</v>
      </c>
      <c r="S1097">
        <v>59</v>
      </c>
      <c r="Y1097" t="s">
        <v>2705</v>
      </c>
      <c r="Z1097" t="s">
        <v>2513</v>
      </c>
      <c r="AA1097" t="s">
        <v>2497</v>
      </c>
      <c r="AB1097" t="s">
        <v>2861</v>
      </c>
      <c r="AC1097" t="s">
        <v>8658</v>
      </c>
      <c r="AD1097" s="249" t="str">
        <f>HYPERLINK("https://scontent.cdninstagram.com/t51.2885-15/s320x320/e35/20837597_110751252935864_5975530240204603392_n.jpg")</f>
        <v>https://scontent.cdninstagram.com/t51.2885-15/s320x320/e35/20837597_110751252935864_5975530240204603392_n.jpg</v>
      </c>
      <c r="AE1097" s="249" t="str">
        <f>HYPERLINK("https://scontent.cdninstagram.com/t51.2885-19/s150x150/20582647_1748865235406497_5471276770139308032_a.jpg")</f>
        <v>https://scontent.cdninstagram.com/t51.2885-19/s150x150/20582647_1748865235406497_5471276770139308032_a.jpg</v>
      </c>
    </row>
    <row r="1098" spans="1:31" ht="15" x14ac:dyDescent="0.25">
      <c r="A1098" t="s">
        <v>2474</v>
      </c>
      <c r="B1098" t="s">
        <v>3993</v>
      </c>
      <c r="C1098" s="221">
        <v>42963.627615740741</v>
      </c>
      <c r="D1098" t="s">
        <v>8659</v>
      </c>
      <c r="E1098" s="249" t="str">
        <f>HYPERLINK("https://www.instagram.com/p/BX3aAPYD3zW/")</f>
        <v>https://www.instagram.com/p/BX3aAPYD3zW/</v>
      </c>
      <c r="F1098" t="s">
        <v>8660</v>
      </c>
      <c r="G1098" t="s">
        <v>2478</v>
      </c>
      <c r="H1098">
        <v>4999</v>
      </c>
      <c r="I1098" t="s">
        <v>2582</v>
      </c>
      <c r="J1098">
        <v>0</v>
      </c>
      <c r="K1098">
        <v>633</v>
      </c>
      <c r="L1098">
        <v>633</v>
      </c>
      <c r="Q1098">
        <v>0</v>
      </c>
      <c r="R1098">
        <v>0</v>
      </c>
      <c r="S1098">
        <v>633</v>
      </c>
      <c r="Y1098" t="s">
        <v>4350</v>
      </c>
      <c r="Z1098" t="s">
        <v>3996</v>
      </c>
      <c r="AA1098" t="s">
        <v>6093</v>
      </c>
      <c r="AB1098" t="s">
        <v>3993</v>
      </c>
      <c r="AC1098" t="s">
        <v>8400</v>
      </c>
      <c r="AD1098" s="249" t="str">
        <f>HYPERLINK("https://scontent.cdninstagram.com/t51.2885-15/s320x320/e35/20836919_1799787000311477_8242827047513096192_n.jpg")</f>
        <v>https://scontent.cdninstagram.com/t51.2885-15/s320x320/e35/20836919_1799787000311477_8242827047513096192_n.jpg</v>
      </c>
      <c r="AE1098" s="249" t="str">
        <f>HYPERLINK("https://scontent.cdninstagram.com/t51.2885-19/s150x150/20590168_732024603636467_1659654334738071552_a.jpg")</f>
        <v>https://scontent.cdninstagram.com/t51.2885-19/s150x150/20590168_732024603636467_1659654334738071552_a.jpg</v>
      </c>
    </row>
    <row r="1099" spans="1:31" ht="15" x14ac:dyDescent="0.25">
      <c r="A1099" t="s">
        <v>2474</v>
      </c>
      <c r="B1099" t="s">
        <v>8661</v>
      </c>
      <c r="C1099" s="221">
        <v>42963.62809027778</v>
      </c>
      <c r="D1099" t="s">
        <v>8662</v>
      </c>
      <c r="E1099" s="249" t="str">
        <f>HYPERLINK("https://www.instagram.com/p/BX3aFRKDb97/")</f>
        <v>https://www.instagram.com/p/BX3aFRKDb97/</v>
      </c>
      <c r="F1099" t="s">
        <v>8663</v>
      </c>
      <c r="G1099" t="s">
        <v>2478</v>
      </c>
      <c r="H1099">
        <v>259</v>
      </c>
      <c r="I1099" t="s">
        <v>2479</v>
      </c>
      <c r="J1099">
        <v>0</v>
      </c>
      <c r="K1099">
        <v>21</v>
      </c>
      <c r="L1099">
        <v>21</v>
      </c>
      <c r="Q1099">
        <v>0</v>
      </c>
      <c r="R1099">
        <v>0</v>
      </c>
      <c r="S1099">
        <v>21</v>
      </c>
      <c r="T1099" t="s">
        <v>8664</v>
      </c>
      <c r="V1099" t="s">
        <v>2110</v>
      </c>
      <c r="W1099">
        <v>51.253244149036</v>
      </c>
      <c r="X1099">
        <v>4.2778304715287998</v>
      </c>
      <c r="Y1099" t="s">
        <v>3145</v>
      </c>
      <c r="Z1099" t="s">
        <v>7385</v>
      </c>
      <c r="AA1099" t="s">
        <v>2497</v>
      </c>
      <c r="AB1099" t="s">
        <v>4041</v>
      </c>
      <c r="AC1099" t="s">
        <v>8665</v>
      </c>
      <c r="AD1099" s="249" t="str">
        <f>HYPERLINK("https://scontent.cdninstagram.com/t51.2885-15/s320x320/e35/20837817_682551188612210_6880951325211754496_n.jpg")</f>
        <v>https://scontent.cdninstagram.com/t51.2885-15/s320x320/e35/20837817_682551188612210_6880951325211754496_n.jpg</v>
      </c>
      <c r="AE1099" s="249" t="str">
        <f>HYPERLINK("https://scontent.cdninstagram.com/t51.2885-19/s150x150/17881297_281991052255337_4562834957323468800_a.jpg")</f>
        <v>https://scontent.cdninstagram.com/t51.2885-19/s150x150/17881297_281991052255337_4562834957323468800_a.jpg</v>
      </c>
    </row>
    <row r="1100" spans="1:31" ht="15" x14ac:dyDescent="0.25">
      <c r="A1100" t="s">
        <v>2474</v>
      </c>
      <c r="B1100" t="s">
        <v>8666</v>
      </c>
      <c r="C1100" s="221">
        <v>42963.629247685189</v>
      </c>
      <c r="D1100" t="s">
        <v>8667</v>
      </c>
      <c r="E1100" s="249" t="str">
        <f>HYPERLINK("https://www.instagram.com/p/BX3aRcwD_8h/")</f>
        <v>https://www.instagram.com/p/BX3aRcwD_8h/</v>
      </c>
      <c r="F1100" t="s">
        <v>8668</v>
      </c>
      <c r="G1100" t="s">
        <v>2478</v>
      </c>
      <c r="H1100">
        <v>5154</v>
      </c>
      <c r="I1100" t="s">
        <v>4935</v>
      </c>
      <c r="J1100">
        <v>0</v>
      </c>
      <c r="K1100">
        <v>1059</v>
      </c>
      <c r="L1100">
        <v>1059</v>
      </c>
      <c r="Q1100">
        <v>0</v>
      </c>
      <c r="R1100">
        <v>0</v>
      </c>
      <c r="S1100">
        <v>1059</v>
      </c>
      <c r="Y1100" t="s">
        <v>3246</v>
      </c>
      <c r="Z1100" t="s">
        <v>8669</v>
      </c>
      <c r="AA1100" t="s">
        <v>2497</v>
      </c>
      <c r="AD1100" s="249" t="str">
        <f>HYPERLINK("https://scontent.cdninstagram.com/t51.2885-15/s320x320/e35/20766852_1948276698746048_2509813832189214720_n.jpg")</f>
        <v>https://scontent.cdninstagram.com/t51.2885-15/s320x320/e35/20766852_1948276698746048_2509813832189214720_n.jpg</v>
      </c>
      <c r="AE1100" s="249" t="str">
        <f>HYPERLINK("https://scontent.cdninstagram.com/t51.2885-19/s150x150/20582596_1891723951082159_5993305095503085568_a.jpg")</f>
        <v>https://scontent.cdninstagram.com/t51.2885-19/s150x150/20582596_1891723951082159_5993305095503085568_a.jpg</v>
      </c>
    </row>
    <row r="1101" spans="1:31" ht="15" x14ac:dyDescent="0.25">
      <c r="A1101" t="s">
        <v>2474</v>
      </c>
      <c r="B1101" t="s">
        <v>8670</v>
      </c>
      <c r="C1101" s="221">
        <v>42963.629537037035</v>
      </c>
      <c r="D1101" t="s">
        <v>8671</v>
      </c>
      <c r="E1101" s="249" t="str">
        <f>HYPERLINK("https://www.instagram.com/p/BX3aUhEjPp-/")</f>
        <v>https://www.instagram.com/p/BX3aUhEjPp-/</v>
      </c>
      <c r="F1101" t="s">
        <v>8672</v>
      </c>
      <c r="G1101" t="s">
        <v>2478</v>
      </c>
      <c r="H1101">
        <v>300</v>
      </c>
      <c r="I1101" t="s">
        <v>2479</v>
      </c>
      <c r="J1101">
        <v>2</v>
      </c>
      <c r="K1101">
        <v>66</v>
      </c>
      <c r="L1101">
        <v>68</v>
      </c>
      <c r="Q1101">
        <v>0</v>
      </c>
      <c r="R1101">
        <v>0</v>
      </c>
      <c r="S1101">
        <v>68</v>
      </c>
      <c r="Y1101" t="s">
        <v>2497</v>
      </c>
      <c r="AD1101" s="249" t="str">
        <f>HYPERLINK("https://scontent.cdninstagram.com/t51.2885-15/s320x320/e35/20837321_1927709954152223_2366477983109087232_n.jpg")</f>
        <v>https://scontent.cdninstagram.com/t51.2885-15/s320x320/e35/20837321_1927709954152223_2366477983109087232_n.jpg</v>
      </c>
      <c r="AE1101" s="249" t="str">
        <f>HYPERLINK("https://scontent.cdninstagram.com/t51.2885-19/s150x150/10554026_784438238334922_485664644_a.jpg")</f>
        <v>https://scontent.cdninstagram.com/t51.2885-19/s150x150/10554026_784438238334922_485664644_a.jpg</v>
      </c>
    </row>
    <row r="1102" spans="1:31" ht="15" x14ac:dyDescent="0.25">
      <c r="A1102" t="s">
        <v>2474</v>
      </c>
      <c r="B1102" t="s">
        <v>2588</v>
      </c>
      <c r="C1102" s="221">
        <v>42963.633888888886</v>
      </c>
      <c r="D1102" t="s">
        <v>8673</v>
      </c>
      <c r="E1102" s="249" t="str">
        <f>HYPERLINK("https://www.instagram.com/p/BX3bCYkBL9l/")</f>
        <v>https://www.instagram.com/p/BX3bCYkBL9l/</v>
      </c>
      <c r="F1102" t="s">
        <v>8674</v>
      </c>
      <c r="G1102" t="s">
        <v>2478</v>
      </c>
      <c r="H1102">
        <v>293</v>
      </c>
      <c r="I1102" t="s">
        <v>2479</v>
      </c>
      <c r="J1102">
        <v>23</v>
      </c>
      <c r="K1102">
        <v>129</v>
      </c>
      <c r="L1102">
        <v>152</v>
      </c>
      <c r="Q1102">
        <v>0</v>
      </c>
      <c r="R1102">
        <v>0</v>
      </c>
      <c r="S1102">
        <v>152</v>
      </c>
      <c r="AD1102" s="249" t="str">
        <f>HYPERLINK("https://scontent.cdninstagram.com/t51.2885-15/s320x320/e35/c36.0.568.568/20837818_122748211627899_3441490649277267968_n.jpg")</f>
        <v>https://scontent.cdninstagram.com/t51.2885-15/s320x320/e35/c36.0.568.568/20837818_122748211627899_3441490649277267968_n.jpg</v>
      </c>
      <c r="AE1102" s="249" t="str">
        <f>HYPERLINK("https://scontent.cdninstagram.com/t51.2885-19/s150x150/20633561_108840983138666_5897549723056734208_a.jpg")</f>
        <v>https://scontent.cdninstagram.com/t51.2885-19/s150x150/20633561_108840983138666_5897549723056734208_a.jpg</v>
      </c>
    </row>
    <row r="1103" spans="1:31" ht="15" x14ac:dyDescent="0.25">
      <c r="A1103" t="s">
        <v>2474</v>
      </c>
      <c r="B1103" t="s">
        <v>8675</v>
      </c>
      <c r="C1103" s="221">
        <v>42963.636817129627</v>
      </c>
      <c r="D1103" t="s">
        <v>8676</v>
      </c>
      <c r="E1103" s="249" t="str">
        <f>HYPERLINK("https://www.instagram.com/p/BX3bhQpDF4T/")</f>
        <v>https://www.instagram.com/p/BX3bhQpDF4T/</v>
      </c>
      <c r="F1103" t="s">
        <v>8677</v>
      </c>
      <c r="G1103" t="s">
        <v>2478</v>
      </c>
      <c r="H1103">
        <v>188</v>
      </c>
      <c r="I1103" t="s">
        <v>2479</v>
      </c>
      <c r="J1103">
        <v>1</v>
      </c>
      <c r="K1103">
        <v>22</v>
      </c>
      <c r="L1103">
        <v>23</v>
      </c>
      <c r="Q1103">
        <v>0</v>
      </c>
      <c r="R1103">
        <v>0</v>
      </c>
      <c r="S1103">
        <v>23</v>
      </c>
      <c r="T1103" t="s">
        <v>8678</v>
      </c>
      <c r="U1103" t="s">
        <v>908</v>
      </c>
      <c r="V1103" t="s">
        <v>2299</v>
      </c>
      <c r="W1103">
        <v>46.579300000000003</v>
      </c>
      <c r="X1103">
        <v>-122.911</v>
      </c>
      <c r="Y1103" t="s">
        <v>8679</v>
      </c>
      <c r="Z1103" t="s">
        <v>6043</v>
      </c>
      <c r="AA1103" t="s">
        <v>2497</v>
      </c>
      <c r="AB1103" t="s">
        <v>7355</v>
      </c>
      <c r="AC1103" t="s">
        <v>8680</v>
      </c>
      <c r="AD1103" s="249" t="str">
        <f>HYPERLINK("https://scontent.cdninstagram.com/t51.2885-15/s320x320/e35/20837844_1890748001252174_7766953853756375040_n.jpg")</f>
        <v>https://scontent.cdninstagram.com/t51.2885-15/s320x320/e35/20837844_1890748001252174_7766953853756375040_n.jpg</v>
      </c>
      <c r="AE1103" s="249" t="str">
        <f>HYPERLINK("https://scontent.cdninstagram.com/t51.2885-19/s150x150/14705087_1831446947069652_486196804782653440_a.jpg")</f>
        <v>https://scontent.cdninstagram.com/t51.2885-19/s150x150/14705087_1831446947069652_486196804782653440_a.jpg</v>
      </c>
    </row>
    <row r="1104" spans="1:31" ht="15" x14ac:dyDescent="0.25">
      <c r="A1104" t="s">
        <v>2474</v>
      </c>
      <c r="B1104" t="s">
        <v>3290</v>
      </c>
      <c r="C1104" s="221">
        <v>42963.640196759261</v>
      </c>
      <c r="D1104" t="s">
        <v>8681</v>
      </c>
      <c r="E1104" s="249" t="str">
        <f>HYPERLINK("https://www.instagram.com/p/BX3cFAiH4ia/")</f>
        <v>https://www.instagram.com/p/BX3cFAiH4ia/</v>
      </c>
      <c r="F1104" t="s">
        <v>8682</v>
      </c>
      <c r="G1104" t="s">
        <v>2478</v>
      </c>
      <c r="H1104">
        <v>1921</v>
      </c>
      <c r="I1104" t="s">
        <v>2479</v>
      </c>
      <c r="J1104">
        <v>2</v>
      </c>
      <c r="K1104">
        <v>250</v>
      </c>
      <c r="L1104">
        <v>252</v>
      </c>
      <c r="Q1104">
        <v>0</v>
      </c>
      <c r="R1104">
        <v>0</v>
      </c>
      <c r="S1104">
        <v>252</v>
      </c>
      <c r="Y1104" t="s">
        <v>8683</v>
      </c>
      <c r="Z1104" t="s">
        <v>2492</v>
      </c>
      <c r="AA1104" t="s">
        <v>3293</v>
      </c>
      <c r="AB1104" t="s">
        <v>2497</v>
      </c>
      <c r="AC1104" t="s">
        <v>7590</v>
      </c>
      <c r="AD1104" s="249" t="str">
        <f>HYPERLINK("https://scontent.cdninstagram.com/t51.2885-15/s320x320/e35/c0.12.1080.1080/20837765_110379122986871_7051684212327317504_n.jpg")</f>
        <v>https://scontent.cdninstagram.com/t51.2885-15/s320x320/e35/c0.12.1080.1080/20837765_110379122986871_7051684212327317504_n.jpg</v>
      </c>
      <c r="AE1104" s="249" t="str">
        <f>HYPERLINK("https://scontent.cdninstagram.com/t51.2885-19/s150x150/18380245_313241119112969_3297379408276357120_a.jpg")</f>
        <v>https://scontent.cdninstagram.com/t51.2885-19/s150x150/18380245_313241119112969_3297379408276357120_a.jpg</v>
      </c>
    </row>
    <row r="1105" spans="1:31" ht="15" x14ac:dyDescent="0.25">
      <c r="A1105" t="s">
        <v>2474</v>
      </c>
      <c r="B1105" t="s">
        <v>8684</v>
      </c>
      <c r="C1105" s="221">
        <v>42963.64502314815</v>
      </c>
      <c r="D1105" t="s">
        <v>8685</v>
      </c>
      <c r="E1105" s="249" t="str">
        <f>HYPERLINK("https://www.instagram.com/p/BX3c3zRh4O_/")</f>
        <v>https://www.instagram.com/p/BX3c3zRh4O_/</v>
      </c>
      <c r="F1105" t="s">
        <v>8686</v>
      </c>
      <c r="G1105" t="s">
        <v>2478</v>
      </c>
      <c r="H1105">
        <v>795</v>
      </c>
      <c r="I1105" t="s">
        <v>2479</v>
      </c>
      <c r="J1105">
        <v>0</v>
      </c>
      <c r="K1105">
        <v>18</v>
      </c>
      <c r="L1105">
        <v>18</v>
      </c>
      <c r="Q1105">
        <v>0</v>
      </c>
      <c r="R1105">
        <v>0</v>
      </c>
      <c r="S1105">
        <v>18</v>
      </c>
      <c r="Y1105" t="s">
        <v>4571</v>
      </c>
      <c r="Z1105" t="s">
        <v>8687</v>
      </c>
      <c r="AA1105" t="s">
        <v>8688</v>
      </c>
      <c r="AB1105" t="s">
        <v>8689</v>
      </c>
      <c r="AC1105" t="s">
        <v>8690</v>
      </c>
      <c r="AD1105" s="249" t="str">
        <f>HYPERLINK("https://scontent.cdninstagram.com/t51.2885-15/s320x320/e35/c0.54.1080.1080/20766785_145576399364513_4973499518050893824_n.jpg")</f>
        <v>https://scontent.cdninstagram.com/t51.2885-15/s320x320/e35/c0.54.1080.1080/20766785_145576399364513_4973499518050893824_n.jpg</v>
      </c>
      <c r="AE1105" s="249" t="str">
        <f>HYPERLINK("https://scontent.cdninstagram.com/t51.2885-19/s150x150/20181070_1954041511500270_9499694564638720_a.jpg")</f>
        <v>https://scontent.cdninstagram.com/t51.2885-19/s150x150/20181070_1954041511500270_9499694564638720_a.jpg</v>
      </c>
    </row>
    <row r="1106" spans="1:31" ht="15" x14ac:dyDescent="0.25">
      <c r="A1106" t="s">
        <v>2474</v>
      </c>
      <c r="B1106" t="s">
        <v>8691</v>
      </c>
      <c r="C1106" s="221">
        <v>42963.650763888887</v>
      </c>
      <c r="D1106" t="s">
        <v>8692</v>
      </c>
      <c r="E1106" s="249" t="str">
        <f>HYPERLINK("https://www.instagram.com/p/BX3d0WQF9wE/")</f>
        <v>https://www.instagram.com/p/BX3d0WQF9wE/</v>
      </c>
      <c r="F1106" t="s">
        <v>8693</v>
      </c>
      <c r="G1106" t="s">
        <v>2478</v>
      </c>
      <c r="H1106">
        <v>403</v>
      </c>
      <c r="I1106" t="s">
        <v>2903</v>
      </c>
      <c r="J1106">
        <v>1</v>
      </c>
      <c r="K1106">
        <v>15</v>
      </c>
      <c r="L1106">
        <v>16</v>
      </c>
      <c r="Q1106">
        <v>0</v>
      </c>
      <c r="R1106">
        <v>0</v>
      </c>
      <c r="S1106">
        <v>16</v>
      </c>
      <c r="Y1106" t="s">
        <v>8694</v>
      </c>
      <c r="Z1106" t="s">
        <v>8695</v>
      </c>
      <c r="AA1106" t="s">
        <v>2497</v>
      </c>
      <c r="AB1106" t="s">
        <v>8696</v>
      </c>
      <c r="AC1106" t="s">
        <v>3370</v>
      </c>
      <c r="AD1106" s="249" t="str">
        <f>HYPERLINK("https://scontent.cdninstagram.com/t51.2885-15/s320x320/e35/c123.0.833.833/20838567_1989766827935299_5422090710176235520_n.jpg")</f>
        <v>https://scontent.cdninstagram.com/t51.2885-15/s320x320/e35/c123.0.833.833/20838567_1989766827935299_5422090710176235520_n.jpg</v>
      </c>
      <c r="AE1106" s="249" t="str">
        <f>HYPERLINK("https://scontent.cdninstagram.com/t51.2885-19/s150x150/12728667_983751278366122_1242470326_a.jpg")</f>
        <v>https://scontent.cdninstagram.com/t51.2885-19/s150x150/12728667_983751278366122_1242470326_a.jpg</v>
      </c>
    </row>
    <row r="1107" spans="1:31" ht="15" x14ac:dyDescent="0.25">
      <c r="A1107" t="s">
        <v>2474</v>
      </c>
      <c r="B1107" t="s">
        <v>8697</v>
      </c>
      <c r="C1107" s="221">
        <v>42963.653912037036</v>
      </c>
      <c r="D1107" t="s">
        <v>8698</v>
      </c>
      <c r="E1107" s="249" t="str">
        <f>HYPERLINK("https://www.instagram.com/p/BX3eVnglN4f/")</f>
        <v>https://www.instagram.com/p/BX3eVnglN4f/</v>
      </c>
      <c r="F1107" t="s">
        <v>8699</v>
      </c>
      <c r="G1107" t="s">
        <v>2478</v>
      </c>
      <c r="H1107">
        <v>31</v>
      </c>
      <c r="I1107" t="s">
        <v>2479</v>
      </c>
      <c r="J1107">
        <v>0</v>
      </c>
      <c r="K1107">
        <v>5</v>
      </c>
      <c r="L1107">
        <v>5</v>
      </c>
      <c r="Q1107">
        <v>0</v>
      </c>
      <c r="R1107">
        <v>0</v>
      </c>
      <c r="S1107">
        <v>5</v>
      </c>
      <c r="Y1107" t="s">
        <v>8700</v>
      </c>
      <c r="Z1107" t="s">
        <v>8701</v>
      </c>
      <c r="AA1107" t="s">
        <v>2497</v>
      </c>
      <c r="AD1107" s="249" t="str">
        <f>HYPERLINK("https://scontent.cdninstagram.com/t51.2885-15/s320x320/e35/20901995_345729452516170_4404501782525378560_n.jpg")</f>
        <v>https://scontent.cdninstagram.com/t51.2885-15/s320x320/e35/20901995_345729452516170_4404501782525378560_n.jpg</v>
      </c>
      <c r="AE1107" s="249" t="str">
        <f>HYPERLINK("https://scontent.cdninstagram.com/t51.2885-19/s150x150/13413309_256177588093910_283620073_a.jpg")</f>
        <v>https://scontent.cdninstagram.com/t51.2885-19/s150x150/13413309_256177588093910_283620073_a.jpg</v>
      </c>
    </row>
    <row r="1108" spans="1:31" ht="15" x14ac:dyDescent="0.25">
      <c r="A1108" t="s">
        <v>2474</v>
      </c>
      <c r="B1108" t="s">
        <v>5225</v>
      </c>
      <c r="C1108" s="221">
        <v>42963.657789351855</v>
      </c>
      <c r="D1108" t="s">
        <v>8702</v>
      </c>
      <c r="E1108" s="249" t="str">
        <f>HYPERLINK("https://www.instagram.com/p/BX3e-eBDl5s/")</f>
        <v>https://www.instagram.com/p/BX3e-eBDl5s/</v>
      </c>
      <c r="F1108" t="s">
        <v>8703</v>
      </c>
      <c r="G1108" t="s">
        <v>2478</v>
      </c>
      <c r="H1108">
        <v>50</v>
      </c>
      <c r="I1108" t="s">
        <v>2479</v>
      </c>
      <c r="J1108">
        <v>0</v>
      </c>
      <c r="K1108">
        <v>22</v>
      </c>
      <c r="L1108">
        <v>22</v>
      </c>
      <c r="Q1108">
        <v>0</v>
      </c>
      <c r="R1108">
        <v>0</v>
      </c>
      <c r="S1108">
        <v>22</v>
      </c>
      <c r="T1108" t="s">
        <v>5228</v>
      </c>
      <c r="V1108" t="s">
        <v>2154</v>
      </c>
      <c r="W1108">
        <v>47.498634698221998</v>
      </c>
      <c r="X1108">
        <v>-0.50784128552246999</v>
      </c>
      <c r="Y1108" t="s">
        <v>2861</v>
      </c>
      <c r="Z1108" t="s">
        <v>2497</v>
      </c>
      <c r="AA1108" t="s">
        <v>8704</v>
      </c>
      <c r="AB1108" t="s">
        <v>6490</v>
      </c>
      <c r="AC1108" t="s">
        <v>3804</v>
      </c>
      <c r="AD1108" s="249" t="str">
        <f>HYPERLINK("https://scontent.cdninstagram.com/t51.2885-15/s320x320/e35/20838423_111185209552489_7519406069257338880_n.jpg")</f>
        <v>https://scontent.cdninstagram.com/t51.2885-15/s320x320/e35/20838423_111185209552489_7519406069257338880_n.jpg</v>
      </c>
      <c r="AE1108" s="249" t="str">
        <f>HYPERLINK("https://scontent.cdninstagram.com/t51.2885-19/s150x150/18949503_1122155304550657_4049188449616396288_a.jpg")</f>
        <v>https://scontent.cdninstagram.com/t51.2885-19/s150x150/18949503_1122155304550657_4049188449616396288_a.jpg</v>
      </c>
    </row>
    <row r="1109" spans="1:31" ht="15" x14ac:dyDescent="0.25">
      <c r="A1109" t="s">
        <v>2474</v>
      </c>
      <c r="B1109" t="s">
        <v>8705</v>
      </c>
      <c r="C1109" s="221">
        <v>42963.665034722224</v>
      </c>
      <c r="D1109" t="s">
        <v>8706</v>
      </c>
      <c r="E1109" s="249" t="str">
        <f>HYPERLINK("https://www.instagram.com/p/BX3gK4ADtYV/")</f>
        <v>https://www.instagram.com/p/BX3gK4ADtYV/</v>
      </c>
      <c r="F1109" t="s">
        <v>8707</v>
      </c>
      <c r="G1109" t="s">
        <v>2478</v>
      </c>
      <c r="H1109">
        <v>941</v>
      </c>
      <c r="I1109" t="s">
        <v>2479</v>
      </c>
      <c r="J1109">
        <v>0</v>
      </c>
      <c r="K1109">
        <v>67</v>
      </c>
      <c r="L1109">
        <v>67</v>
      </c>
      <c r="Q1109">
        <v>0</v>
      </c>
      <c r="R1109">
        <v>0</v>
      </c>
      <c r="S1109">
        <v>67</v>
      </c>
      <c r="T1109" t="s">
        <v>8708</v>
      </c>
      <c r="V1109" t="s">
        <v>2240</v>
      </c>
      <c r="W1109">
        <v>37.583333333333002</v>
      </c>
      <c r="X1109">
        <v>-8.6333333333333009</v>
      </c>
      <c r="Y1109" t="s">
        <v>8709</v>
      </c>
      <c r="Z1109" t="s">
        <v>8710</v>
      </c>
      <c r="AA1109" t="s">
        <v>8711</v>
      </c>
      <c r="AB1109" t="s">
        <v>8712</v>
      </c>
      <c r="AC1109" t="s">
        <v>8713</v>
      </c>
      <c r="AD1109" s="249" t="str">
        <f>HYPERLINK("https://scontent.cdninstagram.com/t51.2885-15/s320x320/e35/c135.0.810.810/20902367_565370873586758_899138320947216384_n.jpg")</f>
        <v>https://scontent.cdninstagram.com/t51.2885-15/s320x320/e35/c135.0.810.810/20902367_565370873586758_899138320947216384_n.jpg</v>
      </c>
      <c r="AE1109" s="249" t="str">
        <f>HYPERLINK("https://scontent.cdninstagram.com/t51.2885-19/11273008_1005535259487345_1925728229_a.jpg")</f>
        <v>https://scontent.cdninstagram.com/t51.2885-19/11273008_1005535259487345_1925728229_a.jpg</v>
      </c>
    </row>
    <row r="1110" spans="1:31" ht="15" x14ac:dyDescent="0.25">
      <c r="A1110" t="s">
        <v>2474</v>
      </c>
      <c r="B1110" t="s">
        <v>8714</v>
      </c>
      <c r="C1110" s="221">
        <v>42963.669756944444</v>
      </c>
      <c r="D1110" t="s">
        <v>8715</v>
      </c>
      <c r="E1110" s="249" t="str">
        <f>HYPERLINK("https://www.instagram.com/p/BX3g8w3jQiw/")</f>
        <v>https://www.instagram.com/p/BX3g8w3jQiw/</v>
      </c>
      <c r="F1110" t="s">
        <v>8716</v>
      </c>
      <c r="G1110" t="s">
        <v>2478</v>
      </c>
      <c r="H1110">
        <v>24</v>
      </c>
      <c r="I1110" t="s">
        <v>2479</v>
      </c>
      <c r="J1110">
        <v>0</v>
      </c>
      <c r="K1110">
        <v>5</v>
      </c>
      <c r="L1110">
        <v>5</v>
      </c>
      <c r="Q1110">
        <v>0</v>
      </c>
      <c r="R1110">
        <v>0</v>
      </c>
      <c r="S1110">
        <v>5</v>
      </c>
      <c r="Y1110" t="s">
        <v>2497</v>
      </c>
      <c r="AD1110" s="249" t="str">
        <f>HYPERLINK("https://scontent.cdninstagram.com/t51.2885-15/s320x320/e35/c0.135.1080.1080/20904926_1386686501451814_7958075856864149504_n.jpg")</f>
        <v>https://scontent.cdninstagram.com/t51.2885-15/s320x320/e35/c0.135.1080.1080/20904926_1386686501451814_7958075856864149504_n.jpg</v>
      </c>
      <c r="AE1110" s="249" t="str">
        <f>HYPERLINK("https://scontent.cdninstagram.com/t51.2885-19/s150x150/20686638_330931020682748_7567711798363684864_a.jpg")</f>
        <v>https://scontent.cdninstagram.com/t51.2885-19/s150x150/20686638_330931020682748_7567711798363684864_a.jpg</v>
      </c>
    </row>
    <row r="1111" spans="1:31" ht="15" x14ac:dyDescent="0.25">
      <c r="A1111" t="s">
        <v>2474</v>
      </c>
      <c r="B1111" t="s">
        <v>8717</v>
      </c>
      <c r="C1111" s="221">
        <v>42963.674768518518</v>
      </c>
      <c r="D1111" t="s">
        <v>8718</v>
      </c>
      <c r="E1111" s="249" t="str">
        <f>HYPERLINK("https://www.instagram.com/p/BX3hxl0FTr2/")</f>
        <v>https://www.instagram.com/p/BX3hxl0FTr2/</v>
      </c>
      <c r="F1111" t="s">
        <v>8719</v>
      </c>
      <c r="G1111" t="s">
        <v>2478</v>
      </c>
      <c r="H1111">
        <v>1637</v>
      </c>
      <c r="I1111" t="s">
        <v>2479</v>
      </c>
      <c r="J1111">
        <v>3</v>
      </c>
      <c r="K1111">
        <v>170</v>
      </c>
      <c r="L1111">
        <v>173</v>
      </c>
      <c r="Q1111">
        <v>0</v>
      </c>
      <c r="R1111">
        <v>0</v>
      </c>
      <c r="S1111">
        <v>173</v>
      </c>
      <c r="Y1111" t="s">
        <v>8720</v>
      </c>
      <c r="Z1111" t="s">
        <v>6044</v>
      </c>
      <c r="AA1111" t="s">
        <v>3237</v>
      </c>
      <c r="AB1111" t="s">
        <v>3698</v>
      </c>
      <c r="AC1111" t="s">
        <v>4701</v>
      </c>
      <c r="AD1111" s="249" t="str">
        <f>HYPERLINK("https://scontent.cdninstagram.com/t51.2885-15/s320x320/e35/20902187_268861403628004_7170992150337814528_n.jpg")</f>
        <v>https://scontent.cdninstagram.com/t51.2885-15/s320x320/e35/20902187_268861403628004_7170992150337814528_n.jpg</v>
      </c>
      <c r="AE1111" s="249" t="str">
        <f>HYPERLINK("https://scontent.cdninstagram.com/t51.2885-19/s150x150/13102422_480287725499798_1251561052_a.jpg")</f>
        <v>https://scontent.cdninstagram.com/t51.2885-19/s150x150/13102422_480287725499798_1251561052_a.jpg</v>
      </c>
    </row>
    <row r="1112" spans="1:31" ht="15" x14ac:dyDescent="0.25">
      <c r="A1112" t="s">
        <v>2474</v>
      </c>
      <c r="B1112" t="s">
        <v>8721</v>
      </c>
      <c r="C1112" s="221">
        <v>42963.679016203707</v>
      </c>
      <c r="D1112" t="s">
        <v>8722</v>
      </c>
      <c r="E1112" s="249" t="str">
        <f>HYPERLINK("https://www.instagram.com/p/BX3ieWtFKv4/")</f>
        <v>https://www.instagram.com/p/BX3ieWtFKv4/</v>
      </c>
      <c r="F1112" t="s">
        <v>8723</v>
      </c>
      <c r="G1112" t="s">
        <v>2478</v>
      </c>
      <c r="H1112">
        <v>90</v>
      </c>
      <c r="I1112" t="s">
        <v>2479</v>
      </c>
      <c r="J1112">
        <v>5</v>
      </c>
      <c r="K1112">
        <v>10</v>
      </c>
      <c r="L1112">
        <v>15</v>
      </c>
      <c r="Q1112">
        <v>0</v>
      </c>
      <c r="R1112">
        <v>0</v>
      </c>
      <c r="S1112">
        <v>15</v>
      </c>
      <c r="Y1112" t="s">
        <v>8724</v>
      </c>
      <c r="Z1112" t="s">
        <v>8725</v>
      </c>
      <c r="AA1112" t="s">
        <v>2497</v>
      </c>
      <c r="AB1112" t="s">
        <v>8726</v>
      </c>
      <c r="AC1112" t="s">
        <v>8727</v>
      </c>
      <c r="AD1112" s="249" t="str">
        <f>HYPERLINK("https://scontent.cdninstagram.com/t51.2885-15/s320x320/e35/20837142_116351075690109_8985849586492899328_n.jpg")</f>
        <v>https://scontent.cdninstagram.com/t51.2885-15/s320x320/e35/20837142_116351075690109_8985849586492899328_n.jpg</v>
      </c>
      <c r="AE1112" s="249" t="str">
        <f>HYPERLINK("https://scontent.cdninstagram.com/t51.2885-19/s150x150/14294793_207497176335114_707532412_a.jpg")</f>
        <v>https://scontent.cdninstagram.com/t51.2885-19/s150x150/14294793_207497176335114_707532412_a.jpg</v>
      </c>
    </row>
    <row r="1113" spans="1:31" ht="15" x14ac:dyDescent="0.25">
      <c r="A1113" t="s">
        <v>2474</v>
      </c>
      <c r="B1113" t="s">
        <v>8728</v>
      </c>
      <c r="C1113" s="221">
        <v>42963.684432870374</v>
      </c>
      <c r="D1113" t="s">
        <v>8729</v>
      </c>
      <c r="E1113" s="249" t="str">
        <f>HYPERLINK("https://www.instagram.com/p/BX3jXkDBw6e/")</f>
        <v>https://www.instagram.com/p/BX3jXkDBw6e/</v>
      </c>
      <c r="F1113" t="s">
        <v>8730</v>
      </c>
      <c r="G1113" t="s">
        <v>2478</v>
      </c>
      <c r="H1113">
        <v>775368</v>
      </c>
      <c r="I1113" t="s">
        <v>3575</v>
      </c>
      <c r="J1113">
        <v>258</v>
      </c>
      <c r="K1113">
        <v>12403</v>
      </c>
      <c r="L1113">
        <v>12661</v>
      </c>
      <c r="Q1113">
        <v>0</v>
      </c>
      <c r="R1113">
        <v>0</v>
      </c>
      <c r="S1113">
        <v>12661</v>
      </c>
      <c r="Y1113" t="s">
        <v>8731</v>
      </c>
      <c r="Z1113" t="s">
        <v>8732</v>
      </c>
      <c r="AA1113" t="s">
        <v>8733</v>
      </c>
      <c r="AB1113" t="s">
        <v>8734</v>
      </c>
      <c r="AC1113" t="s">
        <v>8735</v>
      </c>
      <c r="AD1113" s="249" t="str">
        <f>HYPERLINK("https://scontent.cdninstagram.com/t51.2885-15/s320x320/e35/c0.93.750.750/20905346_123990334900952_8245638434320809984_n.jpg")</f>
        <v>https://scontent.cdninstagram.com/t51.2885-15/s320x320/e35/c0.93.750.750/20905346_123990334900952_8245638434320809984_n.jpg</v>
      </c>
      <c r="AE1113" s="249" t="str">
        <f>HYPERLINK("https://scontent.cdninstagram.com/t51.2885-19/s150x150/20634925_1965969516973957_229508264725839872_a.jpg")</f>
        <v>https://scontent.cdninstagram.com/t51.2885-19/s150x150/20634925_1965969516973957_229508264725839872_a.jpg</v>
      </c>
    </row>
    <row r="1114" spans="1:31" ht="15" x14ac:dyDescent="0.25">
      <c r="A1114" t="s">
        <v>2474</v>
      </c>
      <c r="B1114" t="s">
        <v>8736</v>
      </c>
      <c r="C1114" s="221">
        <v>42963.687152777777</v>
      </c>
      <c r="D1114" t="s">
        <v>8737</v>
      </c>
      <c r="E1114" s="249" t="str">
        <f>HYPERLINK("https://www.instagram.com/p/BX3j0Mpj4Pa/")</f>
        <v>https://www.instagram.com/p/BX3j0Mpj4Pa/</v>
      </c>
      <c r="F1114" t="s">
        <v>8738</v>
      </c>
      <c r="G1114" t="s">
        <v>2631</v>
      </c>
      <c r="H1114">
        <v>3132</v>
      </c>
      <c r="I1114" t="s">
        <v>2479</v>
      </c>
      <c r="J1114">
        <v>2</v>
      </c>
      <c r="K1114">
        <v>24</v>
      </c>
      <c r="L1114">
        <v>26</v>
      </c>
      <c r="Q1114">
        <v>0</v>
      </c>
      <c r="R1114">
        <v>0</v>
      </c>
      <c r="S1114">
        <v>26</v>
      </c>
      <c r="Y1114" t="s">
        <v>8739</v>
      </c>
      <c r="Z1114" t="s">
        <v>2497</v>
      </c>
      <c r="AA1114" t="s">
        <v>6922</v>
      </c>
      <c r="AB1114" t="s">
        <v>8740</v>
      </c>
      <c r="AD1114" s="249" t="str">
        <f>HYPERLINK("https://scontent.cdninstagram.com/t51.2885-15/s320x320/e15/20766966_255589511616205_2733195828578484224_n.jpg")</f>
        <v>https://scontent.cdninstagram.com/t51.2885-15/s320x320/e15/20766966_255589511616205_2733195828578484224_n.jpg</v>
      </c>
      <c r="AE1114" s="249" t="str">
        <f>HYPERLINK("https://scontent.cdninstagram.com/t51.2885-19/s150x150/15534816_311595392568051_9185345027776184320_a.jpg")</f>
        <v>https://scontent.cdninstagram.com/t51.2885-19/s150x150/15534816_311595392568051_9185345027776184320_a.jpg</v>
      </c>
    </row>
    <row r="1115" spans="1:31" ht="15" x14ac:dyDescent="0.25">
      <c r="A1115" t="s">
        <v>2474</v>
      </c>
      <c r="B1115" t="s">
        <v>8741</v>
      </c>
      <c r="C1115" s="221">
        <v>42963.687523148146</v>
      </c>
      <c r="D1115" t="s">
        <v>8742</v>
      </c>
      <c r="E1115" s="249" t="str">
        <f>HYPERLINK("https://www.instagram.com/p/BX3j4H_DtIV/")</f>
        <v>https://www.instagram.com/p/BX3j4H_DtIV/</v>
      </c>
      <c r="F1115" t="s">
        <v>8743</v>
      </c>
      <c r="G1115" t="s">
        <v>2478</v>
      </c>
      <c r="H1115">
        <v>599</v>
      </c>
      <c r="I1115" t="s">
        <v>2510</v>
      </c>
      <c r="J1115">
        <v>0</v>
      </c>
      <c r="K1115">
        <v>63</v>
      </c>
      <c r="L1115">
        <v>63</v>
      </c>
      <c r="Q1115">
        <v>0</v>
      </c>
      <c r="R1115">
        <v>0</v>
      </c>
      <c r="S1115">
        <v>63</v>
      </c>
      <c r="T1115" t="s">
        <v>8744</v>
      </c>
      <c r="V1115" t="s">
        <v>2161</v>
      </c>
      <c r="W1115">
        <v>52.492220000000003</v>
      </c>
      <c r="X1115">
        <v>13.45134</v>
      </c>
      <c r="Y1115" t="s">
        <v>8745</v>
      </c>
      <c r="Z1115" t="s">
        <v>8746</v>
      </c>
      <c r="AA1115" t="s">
        <v>8747</v>
      </c>
      <c r="AB1115" t="s">
        <v>2497</v>
      </c>
      <c r="AC1115" t="s">
        <v>8748</v>
      </c>
      <c r="AD1115" s="249" t="str">
        <f>HYPERLINK("https://scontent.cdninstagram.com/t51.2885-15/s320x320/e35/c102.0.875.875/20766847_113383045994160_6255263955569082368_n.jpg")</f>
        <v>https://scontent.cdninstagram.com/t51.2885-15/s320x320/e35/c102.0.875.875/20766847_113383045994160_6255263955569082368_n.jpg</v>
      </c>
      <c r="AE1115" s="249" t="str">
        <f>HYPERLINK("https://scontent.cdninstagram.com/t51.2885-19/s150x150/19424664_285394075266520_4338723512278581248_a.jpg")</f>
        <v>https://scontent.cdninstagram.com/t51.2885-19/s150x150/19424664_285394075266520_4338723512278581248_a.jpg</v>
      </c>
    </row>
    <row r="1116" spans="1:31" ht="15" x14ac:dyDescent="0.25">
      <c r="A1116" t="s">
        <v>2474</v>
      </c>
      <c r="B1116" t="s">
        <v>8749</v>
      </c>
      <c r="C1116" s="221">
        <v>42963.688993055555</v>
      </c>
      <c r="D1116" t="s">
        <v>8750</v>
      </c>
      <c r="E1116" s="249" t="str">
        <f>HYPERLINK("https://www.instagram.com/p/BX3kHotFbaA/")</f>
        <v>https://www.instagram.com/p/BX3kHotFbaA/</v>
      </c>
      <c r="F1116" t="s">
        <v>8751</v>
      </c>
      <c r="G1116" t="s">
        <v>2478</v>
      </c>
      <c r="H1116">
        <v>406</v>
      </c>
      <c r="I1116" t="s">
        <v>2479</v>
      </c>
      <c r="J1116">
        <v>0</v>
      </c>
      <c r="K1116">
        <v>29</v>
      </c>
      <c r="L1116">
        <v>29</v>
      </c>
      <c r="Q1116">
        <v>0</v>
      </c>
      <c r="R1116">
        <v>0</v>
      </c>
      <c r="S1116">
        <v>29</v>
      </c>
      <c r="Y1116" t="s">
        <v>2562</v>
      </c>
      <c r="Z1116" t="s">
        <v>8752</v>
      </c>
      <c r="AA1116" t="s">
        <v>2730</v>
      </c>
      <c r="AB1116" t="s">
        <v>8753</v>
      </c>
      <c r="AC1116" t="s">
        <v>2497</v>
      </c>
      <c r="AD1116" s="249" t="str">
        <f>HYPERLINK("https://scontent.cdninstagram.com/t51.2885-15/s320x320/e35/20902717_1327666190690257_2162178715394506752_n.jpg")</f>
        <v>https://scontent.cdninstagram.com/t51.2885-15/s320x320/e35/20902717_1327666190690257_2162178715394506752_n.jpg</v>
      </c>
      <c r="AE1116" s="249" t="str">
        <f>HYPERLINK("https://scontent.cdninstagram.com/t51.2885-19/s150x150/20838730_1717494841878513_2096832591872131072_a.jpg")</f>
        <v>https://scontent.cdninstagram.com/t51.2885-19/s150x150/20838730_1717494841878513_2096832591872131072_a.jpg</v>
      </c>
    </row>
    <row r="1117" spans="1:31" ht="15" x14ac:dyDescent="0.25">
      <c r="A1117" t="s">
        <v>2474</v>
      </c>
      <c r="B1117" t="s">
        <v>8754</v>
      </c>
      <c r="C1117" s="221">
        <v>42963.689212962963</v>
      </c>
      <c r="D1117" t="s">
        <v>8755</v>
      </c>
      <c r="E1117" s="249" t="str">
        <f>HYPERLINK("https://www.instagram.com/p/BX3kJ4QBBU-/")</f>
        <v>https://www.instagram.com/p/BX3kJ4QBBU-/</v>
      </c>
      <c r="F1117" t="s">
        <v>8756</v>
      </c>
      <c r="G1117" t="s">
        <v>2478</v>
      </c>
      <c r="H1117">
        <v>10870</v>
      </c>
      <c r="I1117" t="s">
        <v>2479</v>
      </c>
      <c r="J1117">
        <v>0</v>
      </c>
      <c r="K1117">
        <v>106</v>
      </c>
      <c r="L1117">
        <v>106</v>
      </c>
      <c r="Q1117">
        <v>0</v>
      </c>
      <c r="R1117">
        <v>0</v>
      </c>
      <c r="S1117">
        <v>106</v>
      </c>
      <c r="Y1117" t="s">
        <v>8745</v>
      </c>
      <c r="Z1117" t="s">
        <v>8746</v>
      </c>
      <c r="AA1117" t="s">
        <v>8747</v>
      </c>
      <c r="AB1117" t="s">
        <v>2497</v>
      </c>
      <c r="AC1117" t="s">
        <v>8748</v>
      </c>
      <c r="AD1117" s="249" t="str">
        <f>HYPERLINK("https://scontent.cdninstagram.com/t51.2885-15/s320x320/e35/c103.0.874.874/20902580_111865699536392_2282329283038806016_n.jpg")</f>
        <v>https://scontent.cdninstagram.com/t51.2885-15/s320x320/e35/c103.0.874.874/20902580_111865699536392_2282329283038806016_n.jpg</v>
      </c>
      <c r="AE1117" s="249" t="str">
        <f>HYPERLINK("https://scontent.cdninstagram.com/t51.2885-19/11255074_956297717744887_438417499_a.jpg")</f>
        <v>https://scontent.cdninstagram.com/t51.2885-19/11255074_956297717744887_438417499_a.jpg</v>
      </c>
    </row>
    <row r="1118" spans="1:31" ht="15" x14ac:dyDescent="0.25">
      <c r="A1118" t="s">
        <v>2474</v>
      </c>
      <c r="B1118" t="s">
        <v>8757</v>
      </c>
      <c r="C1118" s="221">
        <v>42963.698125000003</v>
      </c>
      <c r="D1118" t="s">
        <v>8758</v>
      </c>
      <c r="E1118" s="249" t="str">
        <f>HYPERLINK("https://www.instagram.com/p/BX3ln3vlhSZ/")</f>
        <v>https://www.instagram.com/p/BX3ln3vlhSZ/</v>
      </c>
      <c r="F1118" t="s">
        <v>8759</v>
      </c>
      <c r="G1118" t="s">
        <v>2478</v>
      </c>
      <c r="H1118">
        <v>71</v>
      </c>
      <c r="I1118" t="s">
        <v>2542</v>
      </c>
      <c r="J1118">
        <v>0</v>
      </c>
      <c r="K1118">
        <v>16</v>
      </c>
      <c r="L1118">
        <v>16</v>
      </c>
      <c r="Q1118">
        <v>0</v>
      </c>
      <c r="R1118">
        <v>0</v>
      </c>
      <c r="S1118">
        <v>16</v>
      </c>
      <c r="Y1118" t="s">
        <v>3196</v>
      </c>
      <c r="Z1118" t="s">
        <v>3077</v>
      </c>
      <c r="AA1118" t="s">
        <v>2497</v>
      </c>
      <c r="AB1118" t="s">
        <v>8760</v>
      </c>
      <c r="AC1118" t="s">
        <v>3446</v>
      </c>
      <c r="AD1118" s="249" t="str">
        <f>HYPERLINK("https://scontent.cdninstagram.com/t51.2885-15/s320x320/e35/c40.0.465.465/20902230_152351292011253_3345319292068429824_n.jpg")</f>
        <v>https://scontent.cdninstagram.com/t51.2885-15/s320x320/e35/c40.0.465.465/20902230_152351292011253_3345319292068429824_n.jpg</v>
      </c>
      <c r="AE1118" s="249" t="str">
        <f>HYPERLINK("https://scontent.cdninstagram.com/t51.2885-19/s150x150/19052067_1698147317155497_6566521176108040192_a.jpg")</f>
        <v>https://scontent.cdninstagram.com/t51.2885-19/s150x150/19052067_1698147317155497_6566521176108040192_a.jpg</v>
      </c>
    </row>
    <row r="1119" spans="1:31" ht="15" x14ac:dyDescent="0.25">
      <c r="A1119" t="s">
        <v>2474</v>
      </c>
      <c r="B1119" t="s">
        <v>8761</v>
      </c>
      <c r="C1119" s="221">
        <v>42963.702581018515</v>
      </c>
      <c r="D1119" t="s">
        <v>8762</v>
      </c>
      <c r="E1119" s="249" t="str">
        <f>HYPERLINK("https://www.instagram.com/p/BX3mW70lu4T/")</f>
        <v>https://www.instagram.com/p/BX3mW70lu4T/</v>
      </c>
      <c r="F1119" t="s">
        <v>8763</v>
      </c>
      <c r="G1119" t="s">
        <v>2478</v>
      </c>
      <c r="H1119">
        <v>122</v>
      </c>
      <c r="I1119" t="s">
        <v>2479</v>
      </c>
      <c r="J1119">
        <v>0</v>
      </c>
      <c r="K1119">
        <v>19</v>
      </c>
      <c r="L1119">
        <v>19</v>
      </c>
      <c r="Q1119">
        <v>0</v>
      </c>
      <c r="R1119">
        <v>0</v>
      </c>
      <c r="S1119">
        <v>19</v>
      </c>
      <c r="T1119" t="s">
        <v>8764</v>
      </c>
      <c r="U1119" t="s">
        <v>240</v>
      </c>
      <c r="V1119" t="s">
        <v>2299</v>
      </c>
      <c r="W1119">
        <v>38.929020000000001</v>
      </c>
      <c r="X1119">
        <v>-104.79609000000001</v>
      </c>
      <c r="Y1119" t="s">
        <v>8765</v>
      </c>
      <c r="Z1119" t="s">
        <v>2497</v>
      </c>
      <c r="AA1119" t="s">
        <v>8766</v>
      </c>
      <c r="AB1119" t="s">
        <v>8767</v>
      </c>
      <c r="AD1119" s="249" t="str">
        <f>HYPERLINK("https://scontent.cdninstagram.com/t51.2885-15/s320x320/e35/20838312_511754309157115_8006385301117206528_n.jpg")</f>
        <v>https://scontent.cdninstagram.com/t51.2885-15/s320x320/e35/20838312_511754309157115_8006385301117206528_n.jpg</v>
      </c>
      <c r="AE1119" s="249" t="str">
        <f>HYPERLINK("https://scontent.cdninstagram.com/t51.2885-19/s150x150/19933275_1731826893784393_1792909689416056832_a.jpg")</f>
        <v>https://scontent.cdninstagram.com/t51.2885-19/s150x150/19933275_1731826893784393_1792909689416056832_a.jpg</v>
      </c>
    </row>
    <row r="1120" spans="1:31" ht="15" x14ac:dyDescent="0.25">
      <c r="A1120" t="s">
        <v>2474</v>
      </c>
      <c r="B1120" t="s">
        <v>8768</v>
      </c>
      <c r="C1120" s="221">
        <v>42963.714143518519</v>
      </c>
      <c r="D1120" t="s">
        <v>8769</v>
      </c>
      <c r="E1120" s="249" t="str">
        <f>HYPERLINK("https://www.instagram.com/p/BX3oQ4QDaIe/")</f>
        <v>https://www.instagram.com/p/BX3oQ4QDaIe/</v>
      </c>
      <c r="F1120" t="s">
        <v>8770</v>
      </c>
      <c r="G1120" t="s">
        <v>2631</v>
      </c>
      <c r="H1120">
        <v>966</v>
      </c>
      <c r="I1120" t="s">
        <v>2622</v>
      </c>
      <c r="J1120">
        <v>2</v>
      </c>
      <c r="K1120">
        <v>31</v>
      </c>
      <c r="L1120">
        <v>33</v>
      </c>
      <c r="Q1120">
        <v>0</v>
      </c>
      <c r="R1120">
        <v>0</v>
      </c>
      <c r="S1120">
        <v>33</v>
      </c>
      <c r="T1120" t="s">
        <v>8771</v>
      </c>
      <c r="V1120" t="s">
        <v>2288</v>
      </c>
      <c r="W1120">
        <v>50.955608583843997</v>
      </c>
      <c r="X1120">
        <v>-0.14976382255553999</v>
      </c>
      <c r="Y1120" t="s">
        <v>6227</v>
      </c>
      <c r="Z1120" t="s">
        <v>8772</v>
      </c>
      <c r="AA1120" t="s">
        <v>8773</v>
      </c>
      <c r="AB1120" t="s">
        <v>2497</v>
      </c>
      <c r="AC1120" t="s">
        <v>7346</v>
      </c>
      <c r="AD1120" s="249" t="str">
        <f>HYPERLINK("https://scontent.cdninstagram.com/t51.2885-15/s320x320/e15/20837684_1706335473008625_3257030587122188288_n.jpg")</f>
        <v>https://scontent.cdninstagram.com/t51.2885-15/s320x320/e15/20837684_1706335473008625_3257030587122188288_n.jpg</v>
      </c>
      <c r="AE1120" s="249" t="str">
        <f>HYPERLINK("https://scontent.cdninstagram.com/t51.2885-19/s150x150/16230456_1862490663966499_7139577389440303104_a.jpg")</f>
        <v>https://scontent.cdninstagram.com/t51.2885-19/s150x150/16230456_1862490663966499_7139577389440303104_a.jpg</v>
      </c>
    </row>
    <row r="1121" spans="1:31" ht="15" x14ac:dyDescent="0.25">
      <c r="A1121" t="s">
        <v>2474</v>
      </c>
      <c r="B1121" t="s">
        <v>8774</v>
      </c>
      <c r="C1121" s="221">
        <v>42963.727164351854</v>
      </c>
      <c r="D1121" t="s">
        <v>8775</v>
      </c>
      <c r="E1121" s="249" t="str">
        <f>HYPERLINK("https://www.instagram.com/p/BX3qaKajd3-/")</f>
        <v>https://www.instagram.com/p/BX3qaKajd3-/</v>
      </c>
      <c r="F1121" t="s">
        <v>8776</v>
      </c>
      <c r="G1121" t="s">
        <v>2478</v>
      </c>
      <c r="H1121">
        <v>138</v>
      </c>
      <c r="I1121" t="s">
        <v>2479</v>
      </c>
      <c r="J1121">
        <v>1</v>
      </c>
      <c r="K1121">
        <v>5</v>
      </c>
      <c r="L1121">
        <v>6</v>
      </c>
      <c r="Q1121">
        <v>0</v>
      </c>
      <c r="R1121">
        <v>0</v>
      </c>
      <c r="S1121">
        <v>6</v>
      </c>
      <c r="Y1121" t="s">
        <v>8777</v>
      </c>
      <c r="Z1121" t="s">
        <v>7287</v>
      </c>
      <c r="AA1121" t="s">
        <v>8778</v>
      </c>
      <c r="AB1121" t="s">
        <v>2497</v>
      </c>
      <c r="AC1121" t="s">
        <v>8779</v>
      </c>
      <c r="AD1121" s="249" t="str">
        <f>HYPERLINK("https://scontent.cdninstagram.com/t51.2885-15/s320x320/e35/c0.85.720.720/20766926_1458561350895389_1593467454187634688_n.jpg")</f>
        <v>https://scontent.cdninstagram.com/t51.2885-15/s320x320/e35/c0.85.720.720/20766926_1458561350895389_1593467454187634688_n.jpg</v>
      </c>
      <c r="AE1121" s="249" t="str">
        <f>HYPERLINK("https://scontent.cdninstagram.com/t51.2885-19/s150x150/19985723_1711920472442937_4677094122622812160_a.jpg")</f>
        <v>https://scontent.cdninstagram.com/t51.2885-19/s150x150/19985723_1711920472442937_4677094122622812160_a.jpg</v>
      </c>
    </row>
    <row r="1122" spans="1:31" ht="15" x14ac:dyDescent="0.25">
      <c r="A1122" t="s">
        <v>2474</v>
      </c>
      <c r="B1122" t="s">
        <v>8780</v>
      </c>
      <c r="C1122" s="221">
        <v>42963.730555555558</v>
      </c>
      <c r="D1122" t="s">
        <v>8781</v>
      </c>
      <c r="E1122" s="249" t="str">
        <f>HYPERLINK("https://www.instagram.com/p/BX3q95plyol/")</f>
        <v>https://www.instagram.com/p/BX3q95plyol/</v>
      </c>
      <c r="F1122" t="s">
        <v>8782</v>
      </c>
      <c r="G1122" t="s">
        <v>2478</v>
      </c>
      <c r="H1122">
        <v>672</v>
      </c>
      <c r="I1122" t="s">
        <v>2479</v>
      </c>
      <c r="J1122">
        <v>1</v>
      </c>
      <c r="K1122">
        <v>42</v>
      </c>
      <c r="L1122">
        <v>43</v>
      </c>
      <c r="Q1122">
        <v>0</v>
      </c>
      <c r="R1122">
        <v>0</v>
      </c>
      <c r="S1122">
        <v>43</v>
      </c>
      <c r="Y1122" t="s">
        <v>6243</v>
      </c>
      <c r="Z1122" t="s">
        <v>8783</v>
      </c>
      <c r="AA1122" t="s">
        <v>2497</v>
      </c>
      <c r="AB1122" t="s">
        <v>6242</v>
      </c>
      <c r="AC1122" t="s">
        <v>3759</v>
      </c>
      <c r="AD1122" s="249" t="str">
        <f>HYPERLINK("https://scontent.cdninstagram.com/t51.2885-15/s320x320/e35/20838658_268875270272809_6466048091324678144_n.jpg")</f>
        <v>https://scontent.cdninstagram.com/t51.2885-15/s320x320/e35/20838658_268875270272809_6466048091324678144_n.jpg</v>
      </c>
      <c r="AE1122" s="249" t="str">
        <f>HYPERLINK("https://scontent.cdninstagram.com/t51.2885-19/s150x150/16110713_377625122595043_4466236384012664832_a.jpg")</f>
        <v>https://scontent.cdninstagram.com/t51.2885-19/s150x150/16110713_377625122595043_4466236384012664832_a.jpg</v>
      </c>
    </row>
    <row r="1123" spans="1:31" ht="15" x14ac:dyDescent="0.25">
      <c r="A1123" t="s">
        <v>2474</v>
      </c>
      <c r="B1123" t="s">
        <v>3206</v>
      </c>
      <c r="C1123" s="221">
        <v>42963.732071759259</v>
      </c>
      <c r="D1123" t="s">
        <v>8784</v>
      </c>
      <c r="E1123" s="249" t="str">
        <f>HYPERLINK("https://www.instagram.com/p/BX3rN7pFnHI/")</f>
        <v>https://www.instagram.com/p/BX3rN7pFnHI/</v>
      </c>
      <c r="F1123" t="s">
        <v>8785</v>
      </c>
      <c r="G1123" t="s">
        <v>2478</v>
      </c>
      <c r="H1123">
        <v>231</v>
      </c>
      <c r="I1123" t="s">
        <v>2582</v>
      </c>
      <c r="J1123">
        <v>3</v>
      </c>
      <c r="K1123">
        <v>41</v>
      </c>
      <c r="L1123">
        <v>44</v>
      </c>
      <c r="Q1123">
        <v>0</v>
      </c>
      <c r="R1123">
        <v>0</v>
      </c>
      <c r="S1123">
        <v>44</v>
      </c>
      <c r="Y1123" t="s">
        <v>4702</v>
      </c>
      <c r="Z1123" t="s">
        <v>3237</v>
      </c>
      <c r="AA1123" t="s">
        <v>8786</v>
      </c>
      <c r="AB1123" t="s">
        <v>8787</v>
      </c>
      <c r="AC1123" t="s">
        <v>2497</v>
      </c>
      <c r="AD1123" s="249" t="str">
        <f>HYPERLINK("https://scontent.cdninstagram.com/t51.2885-15/s320x320/e35/20836963_270506456797918_1642412081154097152_n.jpg")</f>
        <v>https://scontent.cdninstagram.com/t51.2885-15/s320x320/e35/20836963_270506456797918_1642412081154097152_n.jpg</v>
      </c>
      <c r="AE1123" s="249" t="str">
        <f>HYPERLINK("https://scontent.cdninstagram.com/t51.2885-19/s150x150/20214010_123762504909314_3215645463373938688_a.jpg")</f>
        <v>https://scontent.cdninstagram.com/t51.2885-19/s150x150/20214010_123762504909314_3215645463373938688_a.jpg</v>
      </c>
    </row>
    <row r="1124" spans="1:31" ht="15" x14ac:dyDescent="0.25">
      <c r="A1124" t="s">
        <v>2474</v>
      </c>
      <c r="B1124" t="s">
        <v>4132</v>
      </c>
      <c r="C1124" s="221">
        <v>42963.734710648147</v>
      </c>
      <c r="D1124" t="s">
        <v>8788</v>
      </c>
      <c r="E1124" s="249" t="str">
        <f>HYPERLINK("https://www.instagram.com/p/BX3rpuEFQ2x/")</f>
        <v>https://www.instagram.com/p/BX3rpuEFQ2x/</v>
      </c>
      <c r="F1124" t="s">
        <v>8789</v>
      </c>
      <c r="G1124" t="s">
        <v>2478</v>
      </c>
      <c r="H1124">
        <v>6883</v>
      </c>
      <c r="I1124" t="s">
        <v>2479</v>
      </c>
      <c r="J1124">
        <v>3</v>
      </c>
      <c r="K1124">
        <v>21</v>
      </c>
      <c r="L1124">
        <v>24</v>
      </c>
      <c r="Q1124">
        <v>0</v>
      </c>
      <c r="R1124">
        <v>0</v>
      </c>
      <c r="S1124">
        <v>24</v>
      </c>
      <c r="Y1124" t="s">
        <v>2837</v>
      </c>
      <c r="Z1124" t="s">
        <v>2588</v>
      </c>
      <c r="AA1124" t="s">
        <v>5728</v>
      </c>
      <c r="AB1124" t="s">
        <v>4756</v>
      </c>
      <c r="AC1124" t="s">
        <v>5727</v>
      </c>
      <c r="AD1124" s="249" t="str">
        <f>HYPERLINK("https://scontent.cdninstagram.com/t51.2885-15/s320x320/e35/c97.0.446.446/20904900_230021407521205_8038863418607796224_n.jpg")</f>
        <v>https://scontent.cdninstagram.com/t51.2885-15/s320x320/e35/c97.0.446.446/20904900_230021407521205_8038863418607796224_n.jpg</v>
      </c>
      <c r="AE1124" s="249" t="str">
        <f>HYPERLINK("https://scontent.cdninstagram.com/t51.2885-19/s150x150/15306012_1834743390099693_621234283125669888_a.jpg")</f>
        <v>https://scontent.cdninstagram.com/t51.2885-19/s150x150/15306012_1834743390099693_621234283125669888_a.jpg</v>
      </c>
    </row>
    <row r="1125" spans="1:31" ht="15" x14ac:dyDescent="0.25">
      <c r="A1125" t="s">
        <v>2474</v>
      </c>
      <c r="B1125" t="s">
        <v>8790</v>
      </c>
      <c r="C1125" s="221">
        <v>42963.737337962964</v>
      </c>
      <c r="D1125" t="s">
        <v>8791</v>
      </c>
      <c r="E1125" s="249" t="str">
        <f>HYPERLINK("https://www.instagram.com/p/BX3sFg9hc7Z/")</f>
        <v>https://www.instagram.com/p/BX3sFg9hc7Z/</v>
      </c>
      <c r="F1125" t="s">
        <v>8792</v>
      </c>
      <c r="G1125" t="s">
        <v>2478</v>
      </c>
      <c r="H1125">
        <v>349</v>
      </c>
      <c r="I1125" t="s">
        <v>2479</v>
      </c>
      <c r="J1125">
        <v>8</v>
      </c>
      <c r="K1125">
        <v>56</v>
      </c>
      <c r="L1125">
        <v>64</v>
      </c>
      <c r="Q1125">
        <v>0</v>
      </c>
      <c r="R1125">
        <v>0</v>
      </c>
      <c r="S1125">
        <v>64</v>
      </c>
      <c r="Y1125" t="s">
        <v>2730</v>
      </c>
      <c r="Z1125" t="s">
        <v>8793</v>
      </c>
      <c r="AA1125" t="s">
        <v>8794</v>
      </c>
      <c r="AB1125" t="s">
        <v>8795</v>
      </c>
      <c r="AC1125" t="s">
        <v>2497</v>
      </c>
      <c r="AD1125" s="249" t="str">
        <f>HYPERLINK("https://scontent.cdninstagram.com/t51.2885-15/s320x320/e35/20837149_111995479473542_1240795620654972928_n.jpg")</f>
        <v>https://scontent.cdninstagram.com/t51.2885-15/s320x320/e35/20837149_111995479473542_1240795620654972928_n.jpg</v>
      </c>
      <c r="AE1125" s="249" t="str">
        <f>HYPERLINK("https://scontent.cdninstagram.com/t51.2885-19/s150x150/20214479_105829043427524_3334424201284026368_a.jpg")</f>
        <v>https://scontent.cdninstagram.com/t51.2885-19/s150x150/20214479_105829043427524_3334424201284026368_a.jpg</v>
      </c>
    </row>
    <row r="1126" spans="1:31" ht="15" x14ac:dyDescent="0.25">
      <c r="A1126" t="s">
        <v>2474</v>
      </c>
      <c r="B1126" t="s">
        <v>8796</v>
      </c>
      <c r="C1126" s="221">
        <v>42963.739791666667</v>
      </c>
      <c r="D1126" t="s">
        <v>8797</v>
      </c>
      <c r="E1126" s="249" t="str">
        <f>HYPERLINK("https://www.instagram.com/p/BX3sfVZjenH/")</f>
        <v>https://www.instagram.com/p/BX3sfVZjenH/</v>
      </c>
      <c r="F1126" t="s">
        <v>8798</v>
      </c>
      <c r="G1126" t="s">
        <v>2478</v>
      </c>
      <c r="H1126">
        <v>129</v>
      </c>
      <c r="I1126" t="s">
        <v>2479</v>
      </c>
      <c r="J1126">
        <v>1</v>
      </c>
      <c r="K1126">
        <v>8</v>
      </c>
      <c r="L1126">
        <v>9</v>
      </c>
      <c r="Q1126">
        <v>0</v>
      </c>
      <c r="R1126">
        <v>0</v>
      </c>
      <c r="S1126">
        <v>9</v>
      </c>
      <c r="Y1126" t="s">
        <v>8799</v>
      </c>
      <c r="Z1126" t="s">
        <v>8800</v>
      </c>
      <c r="AA1126" t="s">
        <v>8473</v>
      </c>
      <c r="AB1126" t="s">
        <v>8801</v>
      </c>
      <c r="AC1126" t="s">
        <v>8802</v>
      </c>
      <c r="AD1126" s="249" t="str">
        <f>HYPERLINK("https://scontent.cdninstagram.com/t51.2885-15/s320x320/e35/20836941_111439449526863_8880485710780432384_n.jpg")</f>
        <v>https://scontent.cdninstagram.com/t51.2885-15/s320x320/e35/20836941_111439449526863_8880485710780432384_n.jpg</v>
      </c>
      <c r="AE1126" s="249" t="str">
        <f>HYPERLINK("https://scontent.cdninstagram.com/t51.2885-19/s150x150/17932108_123260864884477_3363937923756982272_a.jpg")</f>
        <v>https://scontent.cdninstagram.com/t51.2885-19/s150x150/17932108_123260864884477_3363937923756982272_a.jpg</v>
      </c>
    </row>
    <row r="1127" spans="1:31" ht="15" x14ac:dyDescent="0.25">
      <c r="A1127" t="s">
        <v>2474</v>
      </c>
      <c r="B1127" t="s">
        <v>4532</v>
      </c>
      <c r="C1127" s="221">
        <v>42963.747395833336</v>
      </c>
      <c r="D1127" t="s">
        <v>8803</v>
      </c>
      <c r="E1127" s="249" t="str">
        <f>HYPERLINK("https://www.instagram.com/p/BX3tvimFYQq/")</f>
        <v>https://www.instagram.com/p/BX3tvimFYQq/</v>
      </c>
      <c r="F1127" t="s">
        <v>8804</v>
      </c>
      <c r="G1127" t="s">
        <v>2478</v>
      </c>
      <c r="H1127">
        <v>16489</v>
      </c>
      <c r="I1127" t="s">
        <v>2479</v>
      </c>
      <c r="J1127">
        <v>84</v>
      </c>
      <c r="K1127">
        <v>6164</v>
      </c>
      <c r="L1127">
        <v>6248</v>
      </c>
      <c r="Q1127">
        <v>0</v>
      </c>
      <c r="R1127">
        <v>0</v>
      </c>
      <c r="S1127">
        <v>6248</v>
      </c>
      <c r="AD1127" s="249" t="str">
        <f>HYPERLINK("https://scontent.cdninstagram.com/t51.2885-15/s320x320/e35/20905093_1742238262746732_382224073272328192_n.jpg")</f>
        <v>https://scontent.cdninstagram.com/t51.2885-15/s320x320/e35/20905093_1742238262746732_382224073272328192_n.jpg</v>
      </c>
      <c r="AE1127" s="249" t="str">
        <f>HYPERLINK("https://scontent.cdninstagram.com/t51.2885-19/s150x150/20067107_316195015491609_2119457770917855232_a.jpg")</f>
        <v>https://scontent.cdninstagram.com/t51.2885-19/s150x150/20067107_316195015491609_2119457770917855232_a.jpg</v>
      </c>
    </row>
    <row r="1128" spans="1:31" ht="15" x14ac:dyDescent="0.25">
      <c r="A1128" t="s">
        <v>2474</v>
      </c>
      <c r="B1128" t="s">
        <v>8805</v>
      </c>
      <c r="C1128" s="221">
        <v>42963.748900462961</v>
      </c>
      <c r="D1128" t="s">
        <v>8806</v>
      </c>
      <c r="E1128" s="249" t="str">
        <f>HYPERLINK("https://www.instagram.com/p/BX3t_aRFLCm/")</f>
        <v>https://www.instagram.com/p/BX3t_aRFLCm/</v>
      </c>
      <c r="F1128" t="s">
        <v>8807</v>
      </c>
      <c r="G1128" t="s">
        <v>2478</v>
      </c>
      <c r="H1128">
        <v>133</v>
      </c>
      <c r="I1128" t="s">
        <v>3575</v>
      </c>
      <c r="J1128">
        <v>7</v>
      </c>
      <c r="K1128">
        <v>61</v>
      </c>
      <c r="L1128">
        <v>68</v>
      </c>
      <c r="Q1128">
        <v>0</v>
      </c>
      <c r="R1128">
        <v>0</v>
      </c>
      <c r="S1128">
        <v>68</v>
      </c>
      <c r="T1128" t="s">
        <v>8808</v>
      </c>
      <c r="V1128" t="s">
        <v>2239</v>
      </c>
      <c r="W1128">
        <v>52.25</v>
      </c>
      <c r="X1128">
        <v>21</v>
      </c>
      <c r="Y1128" t="s">
        <v>8809</v>
      </c>
      <c r="Z1128" t="s">
        <v>8810</v>
      </c>
      <c r="AA1128" t="s">
        <v>8811</v>
      </c>
      <c r="AB1128" t="s">
        <v>2906</v>
      </c>
      <c r="AC1128" t="s">
        <v>8812</v>
      </c>
      <c r="AD1128" s="249" t="str">
        <f>HYPERLINK("https://scontent.cdninstagram.com/t51.2885-15/s320x320/e35/c0.100.1080.1080/20902247_1944361062450925_7752175880608153600_n.jpg")</f>
        <v>https://scontent.cdninstagram.com/t51.2885-15/s320x320/e35/c0.100.1080.1080/20902247_1944361062450925_7752175880608153600_n.jpg</v>
      </c>
      <c r="AE1128" s="249" t="str">
        <f>HYPERLINK("https://scontent.cdninstagram.com/t51.2885-19/s150x150/18299877_125622321325821_2614005813190066176_a.jpg")</f>
        <v>https://scontent.cdninstagram.com/t51.2885-19/s150x150/18299877_125622321325821_2614005813190066176_a.jpg</v>
      </c>
    </row>
    <row r="1129" spans="1:31" ht="15" x14ac:dyDescent="0.25">
      <c r="A1129" t="s">
        <v>2474</v>
      </c>
      <c r="B1129" t="s">
        <v>8813</v>
      </c>
      <c r="C1129" s="221">
        <v>42963.75372685185</v>
      </c>
      <c r="D1129" t="s">
        <v>8814</v>
      </c>
      <c r="E1129" s="249" t="str">
        <f>HYPERLINK("https://www.instagram.com/p/BX3uyTtF_IB/")</f>
        <v>https://www.instagram.com/p/BX3uyTtF_IB/</v>
      </c>
      <c r="F1129" t="s">
        <v>8815</v>
      </c>
      <c r="G1129" t="s">
        <v>2478</v>
      </c>
      <c r="H1129">
        <v>165</v>
      </c>
      <c r="I1129" t="s">
        <v>2786</v>
      </c>
      <c r="J1129">
        <v>2</v>
      </c>
      <c r="K1129">
        <v>10</v>
      </c>
      <c r="L1129">
        <v>12</v>
      </c>
      <c r="Q1129">
        <v>0</v>
      </c>
      <c r="R1129">
        <v>0</v>
      </c>
      <c r="S1129">
        <v>12</v>
      </c>
      <c r="Y1129" t="s">
        <v>8816</v>
      </c>
      <c r="Z1129" t="s">
        <v>3543</v>
      </c>
      <c r="AA1129" t="s">
        <v>8817</v>
      </c>
      <c r="AB1129" t="s">
        <v>8818</v>
      </c>
      <c r="AC1129" t="s">
        <v>3706</v>
      </c>
      <c r="AD1129" s="249" t="str">
        <f>HYPERLINK("https://scontent.cdninstagram.com/t51.2885-15/s320x320/e35/20905330_132837737331610_3781617175396089856_n.jpg")</f>
        <v>https://scontent.cdninstagram.com/t51.2885-15/s320x320/e35/20905330_132837737331610_3781617175396089856_n.jpg</v>
      </c>
      <c r="AE1129" s="249" t="str">
        <f>HYPERLINK("https://scontent.cdninstagram.com/t51.2885-19/s150x150/20838199_1099298326880506_4811109175411081216_a.jpg")</f>
        <v>https://scontent.cdninstagram.com/t51.2885-19/s150x150/20838199_1099298326880506_4811109175411081216_a.jpg</v>
      </c>
    </row>
    <row r="1130" spans="1:31" ht="15" x14ac:dyDescent="0.25">
      <c r="A1130" t="s">
        <v>2474</v>
      </c>
      <c r="B1130" t="s">
        <v>8819</v>
      </c>
      <c r="C1130" s="221">
        <v>42963.756597222222</v>
      </c>
      <c r="D1130" t="s">
        <v>8820</v>
      </c>
      <c r="E1130" s="249" t="str">
        <f>HYPERLINK("https://www.instagram.com/p/BX3vQnllQWr/")</f>
        <v>https://www.instagram.com/p/BX3vQnllQWr/</v>
      </c>
      <c r="F1130" t="s">
        <v>8821</v>
      </c>
      <c r="G1130" t="s">
        <v>2478</v>
      </c>
      <c r="H1130">
        <v>2175</v>
      </c>
      <c r="I1130" t="s">
        <v>2479</v>
      </c>
      <c r="J1130">
        <v>4</v>
      </c>
      <c r="K1130">
        <v>108</v>
      </c>
      <c r="L1130">
        <v>112</v>
      </c>
      <c r="Q1130">
        <v>0</v>
      </c>
      <c r="R1130">
        <v>0</v>
      </c>
      <c r="S1130">
        <v>112</v>
      </c>
      <c r="Y1130" t="s">
        <v>8822</v>
      </c>
      <c r="Z1130" t="s">
        <v>2493</v>
      </c>
      <c r="AA1130" t="s">
        <v>8823</v>
      </c>
      <c r="AB1130" t="s">
        <v>2497</v>
      </c>
      <c r="AC1130" t="s">
        <v>8824</v>
      </c>
      <c r="AD1130" s="249" t="str">
        <f>HYPERLINK("https://scontent.cdninstagram.com/t51.2885-15/s320x320/e35/c154.0.771.771/20838614_1498138793614435_1276529495154622464_n.jpg")</f>
        <v>https://scontent.cdninstagram.com/t51.2885-15/s320x320/e35/c154.0.771.771/20838614_1498138793614435_1276529495154622464_n.jpg</v>
      </c>
      <c r="AE1130" s="249" t="str">
        <f>HYPERLINK("https://scontent.cdninstagram.com/t51.2885-19/s150x150/11256977_1657762001177120_411900196_a.jpg")</f>
        <v>https://scontent.cdninstagram.com/t51.2885-19/s150x150/11256977_1657762001177120_411900196_a.jpg</v>
      </c>
    </row>
    <row r="1131" spans="1:31" ht="15" x14ac:dyDescent="0.25">
      <c r="A1131" t="s">
        <v>2474</v>
      </c>
      <c r="B1131" t="s">
        <v>8825</v>
      </c>
      <c r="C1131" s="221">
        <v>42963.758321759262</v>
      </c>
      <c r="D1131" t="s">
        <v>8826</v>
      </c>
      <c r="E1131" s="249" t="str">
        <f>HYPERLINK("https://www.instagram.com/p/BX3viwJFw2R/")</f>
        <v>https://www.instagram.com/p/BX3viwJFw2R/</v>
      </c>
      <c r="F1131" t="s">
        <v>8827</v>
      </c>
      <c r="G1131" t="s">
        <v>2631</v>
      </c>
      <c r="H1131">
        <v>64</v>
      </c>
      <c r="I1131" t="s">
        <v>2479</v>
      </c>
      <c r="J1131">
        <v>0</v>
      </c>
      <c r="K1131">
        <v>12</v>
      </c>
      <c r="L1131">
        <v>12</v>
      </c>
      <c r="Q1131">
        <v>0</v>
      </c>
      <c r="R1131">
        <v>0</v>
      </c>
      <c r="S1131">
        <v>12</v>
      </c>
      <c r="Y1131" t="s">
        <v>8828</v>
      </c>
      <c r="Z1131" t="s">
        <v>4180</v>
      </c>
      <c r="AA1131" t="s">
        <v>8829</v>
      </c>
      <c r="AB1131" t="s">
        <v>8830</v>
      </c>
      <c r="AC1131" t="s">
        <v>8831</v>
      </c>
      <c r="AD1131" s="249" t="str">
        <f>HYPERLINK("https://scontent.cdninstagram.com/t51.2885-15/s320x320/e15/c157.0.405.405/20905572_116446568964400_5251681612055183360_n.jpg")</f>
        <v>https://scontent.cdninstagram.com/t51.2885-15/s320x320/e15/c157.0.405.405/20905572_116446568964400_5251681612055183360_n.jpg</v>
      </c>
      <c r="AE1131" s="249" t="str">
        <f>HYPERLINK("https://scontent.cdninstagram.com/t51.2885-19/s150x150/20633988_1495998420488529_6343451642884521984_a.jpg")</f>
        <v>https://scontent.cdninstagram.com/t51.2885-19/s150x150/20633988_1495998420488529_6343451642884521984_a.jpg</v>
      </c>
    </row>
    <row r="1132" spans="1:31" ht="15" x14ac:dyDescent="0.25">
      <c r="A1132" t="s">
        <v>2474</v>
      </c>
      <c r="B1132" t="s">
        <v>8825</v>
      </c>
      <c r="C1132" s="221">
        <v>42963.759814814817</v>
      </c>
      <c r="D1132" t="s">
        <v>8832</v>
      </c>
      <c r="E1132" s="249" t="str">
        <f>HYPERLINK("https://www.instagram.com/p/BX3vyhAluB0/")</f>
        <v>https://www.instagram.com/p/BX3vyhAluB0/</v>
      </c>
      <c r="F1132" t="s">
        <v>8833</v>
      </c>
      <c r="G1132" t="s">
        <v>2478</v>
      </c>
      <c r="H1132">
        <v>64</v>
      </c>
      <c r="I1132" t="s">
        <v>2479</v>
      </c>
      <c r="J1132">
        <v>0</v>
      </c>
      <c r="K1132">
        <v>14</v>
      </c>
      <c r="L1132">
        <v>14</v>
      </c>
      <c r="Q1132">
        <v>0</v>
      </c>
      <c r="R1132">
        <v>0</v>
      </c>
      <c r="S1132">
        <v>14</v>
      </c>
      <c r="Y1132" t="s">
        <v>2778</v>
      </c>
      <c r="Z1132" t="s">
        <v>2906</v>
      </c>
      <c r="AA1132" t="s">
        <v>8829</v>
      </c>
      <c r="AB1132" t="s">
        <v>8831</v>
      </c>
      <c r="AC1132" t="s">
        <v>2497</v>
      </c>
      <c r="AD1132" s="249" t="str">
        <f>HYPERLINK("https://scontent.cdninstagram.com/t51.2885-15/s320x320/e35/c135.0.810.810/20839035_475829099449639_8963120022562013184_n.jpg")</f>
        <v>https://scontent.cdninstagram.com/t51.2885-15/s320x320/e35/c135.0.810.810/20839035_475829099449639_8963120022562013184_n.jpg</v>
      </c>
      <c r="AE1132" s="249" t="str">
        <f>HYPERLINK("https://scontent.cdninstagram.com/t51.2885-19/s150x150/20633988_1495998420488529_6343451642884521984_a.jpg")</f>
        <v>https://scontent.cdninstagram.com/t51.2885-19/s150x150/20633988_1495998420488529_6343451642884521984_a.jpg</v>
      </c>
    </row>
    <row r="1133" spans="1:31" ht="15" x14ac:dyDescent="0.25">
      <c r="A1133" t="s">
        <v>2474</v>
      </c>
      <c r="B1133" t="s">
        <v>8834</v>
      </c>
      <c r="C1133" s="221">
        <v>42963.760092592594</v>
      </c>
      <c r="D1133" t="s">
        <v>8835</v>
      </c>
      <c r="E1133" s="249" t="str">
        <f>HYPERLINK("https://www.instagram.com/p/BX3v1ftlQTP/")</f>
        <v>https://www.instagram.com/p/BX3v1ftlQTP/</v>
      </c>
      <c r="F1133" t="s">
        <v>8836</v>
      </c>
      <c r="G1133" t="s">
        <v>2478</v>
      </c>
      <c r="H1133">
        <v>2247</v>
      </c>
      <c r="I1133" t="s">
        <v>2479</v>
      </c>
      <c r="J1133">
        <v>0</v>
      </c>
      <c r="K1133">
        <v>88</v>
      </c>
      <c r="L1133">
        <v>88</v>
      </c>
      <c r="Q1133">
        <v>0</v>
      </c>
      <c r="R1133">
        <v>0</v>
      </c>
      <c r="S1133">
        <v>88</v>
      </c>
      <c r="Y1133" t="s">
        <v>5186</v>
      </c>
      <c r="Z1133" t="s">
        <v>8837</v>
      </c>
      <c r="AA1133" t="s">
        <v>8838</v>
      </c>
      <c r="AB1133" t="s">
        <v>2497</v>
      </c>
      <c r="AC1133" t="s">
        <v>8839</v>
      </c>
      <c r="AD1133" s="249" t="str">
        <f>HYPERLINK("https://scontent.cdninstagram.com/t51.2885-15/s320x320/e35/20838961_404279773303372_6138971492622270464_n.jpg")</f>
        <v>https://scontent.cdninstagram.com/t51.2885-15/s320x320/e35/20838961_404279773303372_6138971492622270464_n.jpg</v>
      </c>
      <c r="AE1133" s="249" t="str">
        <f>HYPERLINK("https://scontent.cdninstagram.com/t51.2885-19/s150x150/20969070_753870084815727_8239127487238373376_a.jpg")</f>
        <v>https://scontent.cdninstagram.com/t51.2885-19/s150x150/20969070_753870084815727_8239127487238373376_a.jpg</v>
      </c>
    </row>
    <row r="1134" spans="1:31" ht="15" x14ac:dyDescent="0.25">
      <c r="A1134" t="s">
        <v>2474</v>
      </c>
      <c r="B1134" t="s">
        <v>2588</v>
      </c>
      <c r="C1134" s="221">
        <v>42963.760821759257</v>
      </c>
      <c r="D1134" t="s">
        <v>8840</v>
      </c>
      <c r="E1134" s="249" t="str">
        <f>HYPERLINK("https://www.instagram.com/p/BX3v9M6hjbA/")</f>
        <v>https://www.instagram.com/p/BX3v9M6hjbA/</v>
      </c>
      <c r="F1134" t="s">
        <v>8841</v>
      </c>
      <c r="G1134" t="s">
        <v>2478</v>
      </c>
      <c r="H1134">
        <v>293</v>
      </c>
      <c r="I1134" t="s">
        <v>2479</v>
      </c>
      <c r="J1134">
        <v>14</v>
      </c>
      <c r="K1134">
        <v>909</v>
      </c>
      <c r="L1134">
        <v>923</v>
      </c>
      <c r="Q1134">
        <v>0</v>
      </c>
      <c r="R1134">
        <v>0</v>
      </c>
      <c r="S1134">
        <v>923</v>
      </c>
      <c r="AD1134" s="249" t="str">
        <f>HYPERLINK("https://scontent.cdninstagram.com/t51.2885-15/s320x320/e35/c36.0.567.567/20836885_111311279536455_4160719030782525440_n.jpg")</f>
        <v>https://scontent.cdninstagram.com/t51.2885-15/s320x320/e35/c36.0.567.567/20836885_111311279536455_4160719030782525440_n.jpg</v>
      </c>
      <c r="AE1134" s="249" t="str">
        <f>HYPERLINK("https://scontent.cdninstagram.com/t51.2885-19/s150x150/20633561_108840983138666_5897549723056734208_a.jpg")</f>
        <v>https://scontent.cdninstagram.com/t51.2885-19/s150x150/20633561_108840983138666_5897549723056734208_a.jpg</v>
      </c>
    </row>
    <row r="1135" spans="1:31" ht="15" x14ac:dyDescent="0.25">
      <c r="A1135" t="s">
        <v>2474</v>
      </c>
      <c r="B1135" t="s">
        <v>4535</v>
      </c>
      <c r="C1135" s="221">
        <v>42963.772824074076</v>
      </c>
      <c r="D1135" t="s">
        <v>8842</v>
      </c>
      <c r="E1135" s="249" t="str">
        <f>HYPERLINK("https://www.instagram.com/p/BX3x7uylfNg/")</f>
        <v>https://www.instagram.com/p/BX3x7uylfNg/</v>
      </c>
      <c r="F1135" t="s">
        <v>8843</v>
      </c>
      <c r="G1135" t="s">
        <v>2478</v>
      </c>
      <c r="H1135">
        <v>169</v>
      </c>
      <c r="I1135" t="s">
        <v>2479</v>
      </c>
      <c r="J1135">
        <v>4</v>
      </c>
      <c r="K1135">
        <v>40</v>
      </c>
      <c r="L1135">
        <v>44</v>
      </c>
      <c r="Q1135">
        <v>0</v>
      </c>
      <c r="R1135">
        <v>0</v>
      </c>
      <c r="S1135">
        <v>44</v>
      </c>
      <c r="Y1135" t="s">
        <v>5604</v>
      </c>
      <c r="Z1135" t="s">
        <v>8844</v>
      </c>
      <c r="AA1135" t="s">
        <v>8845</v>
      </c>
      <c r="AB1135" t="s">
        <v>2497</v>
      </c>
      <c r="AC1135" t="s">
        <v>4541</v>
      </c>
      <c r="AD1135" s="249" t="str">
        <f>HYPERLINK("https://scontent.cdninstagram.com/t51.2885-15/s320x320/e35/20837362_110924256262210_1480291101683220480_n.jpg")</f>
        <v>https://scontent.cdninstagram.com/t51.2885-15/s320x320/e35/20837362_110924256262210_1480291101683220480_n.jpg</v>
      </c>
      <c r="AE1135" s="249" t="str">
        <f>HYPERLINK("https://scontent.cdninstagram.com/t51.2885-19/s150x150/20399028_1624608414236560_533007696291430400_a.jpg")</f>
        <v>https://scontent.cdninstagram.com/t51.2885-19/s150x150/20399028_1624608414236560_533007696291430400_a.jpg</v>
      </c>
    </row>
    <row r="1136" spans="1:31" ht="15" x14ac:dyDescent="0.25">
      <c r="A1136" t="s">
        <v>2474</v>
      </c>
      <c r="B1136" t="s">
        <v>8846</v>
      </c>
      <c r="C1136" s="221">
        <v>42963.775590277779</v>
      </c>
      <c r="D1136" t="s">
        <v>8847</v>
      </c>
      <c r="E1136" s="249" t="str">
        <f>HYPERLINK("https://www.instagram.com/p/BX3yY-Khb6X/")</f>
        <v>https://www.instagram.com/p/BX3yY-Khb6X/</v>
      </c>
      <c r="F1136" t="s">
        <v>8848</v>
      </c>
      <c r="G1136" t="s">
        <v>2478</v>
      </c>
      <c r="H1136">
        <v>4517</v>
      </c>
      <c r="I1136" t="s">
        <v>2910</v>
      </c>
      <c r="J1136">
        <v>8</v>
      </c>
      <c r="K1136">
        <v>232</v>
      </c>
      <c r="L1136">
        <v>240</v>
      </c>
      <c r="Q1136">
        <v>0</v>
      </c>
      <c r="R1136">
        <v>0</v>
      </c>
      <c r="S1136">
        <v>240</v>
      </c>
      <c r="Y1136" t="s">
        <v>8849</v>
      </c>
      <c r="Z1136" t="s">
        <v>6760</v>
      </c>
      <c r="AA1136" t="s">
        <v>8850</v>
      </c>
      <c r="AB1136" t="s">
        <v>8851</v>
      </c>
      <c r="AC1136" t="s">
        <v>2705</v>
      </c>
      <c r="AD1136" s="249" t="str">
        <f>HYPERLINK("https://scontent.cdninstagram.com/t51.2885-15/s320x320/e35/20904872_370086936746394_3437723589296521216_n.jpg")</f>
        <v>https://scontent.cdninstagram.com/t51.2885-15/s320x320/e35/20904872_370086936746394_3437723589296521216_n.jpg</v>
      </c>
      <c r="AE1136" s="249" t="str">
        <f>HYPERLINK("https://scontent.cdninstagram.com/t51.2885-19/s150x150/14606993_1321130147921575_4817486712219369472_a.jpg")</f>
        <v>https://scontent.cdninstagram.com/t51.2885-19/s150x150/14606993_1321130147921575_4817486712219369472_a.jpg</v>
      </c>
    </row>
    <row r="1137" spans="1:31" ht="15" x14ac:dyDescent="0.25">
      <c r="A1137" t="s">
        <v>2474</v>
      </c>
      <c r="B1137" t="s">
        <v>3015</v>
      </c>
      <c r="C1137" s="221">
        <v>42963.778796296298</v>
      </c>
      <c r="D1137" t="s">
        <v>8852</v>
      </c>
      <c r="E1137" s="249" t="str">
        <f>HYPERLINK("https://www.instagram.com/p/BX3y6tsH4OF/")</f>
        <v>https://www.instagram.com/p/BX3y6tsH4OF/</v>
      </c>
      <c r="F1137" t="s">
        <v>8853</v>
      </c>
      <c r="G1137" t="s">
        <v>2478</v>
      </c>
      <c r="H1137">
        <v>182</v>
      </c>
      <c r="I1137" t="s">
        <v>2479</v>
      </c>
      <c r="J1137">
        <v>0</v>
      </c>
      <c r="K1137">
        <v>35</v>
      </c>
      <c r="L1137">
        <v>35</v>
      </c>
      <c r="Q1137">
        <v>0</v>
      </c>
      <c r="R1137">
        <v>0</v>
      </c>
      <c r="S1137">
        <v>35</v>
      </c>
      <c r="Y1137" t="s">
        <v>4127</v>
      </c>
      <c r="Z1137" t="s">
        <v>3494</v>
      </c>
      <c r="AA1137" t="s">
        <v>4128</v>
      </c>
      <c r="AB1137" t="s">
        <v>3571</v>
      </c>
      <c r="AC1137" t="s">
        <v>4129</v>
      </c>
      <c r="AD1137" s="249" t="str">
        <f>HYPERLINK("https://scontent.cdninstagram.com/t51.2885-15/s320x320/e35/c0.51.540.540/20838434_338384009938069_3414238995884802048_n.jpg")</f>
        <v>https://scontent.cdninstagram.com/t51.2885-15/s320x320/e35/c0.51.540.540/20838434_338384009938069_3414238995884802048_n.jpg</v>
      </c>
      <c r="AE1137" s="249" t="str">
        <f>HYPERLINK("https://scontent.cdninstagram.com/t51.2885-19/s150x150/19761452_1876060406050696_4275948751316582400_a.jpg")</f>
        <v>https://scontent.cdninstagram.com/t51.2885-19/s150x150/19761452_1876060406050696_4275948751316582400_a.jpg</v>
      </c>
    </row>
    <row r="1138" spans="1:31" ht="15" x14ac:dyDescent="0.25">
      <c r="A1138" t="s">
        <v>2474</v>
      </c>
      <c r="B1138" t="s">
        <v>8854</v>
      </c>
      <c r="C1138" s="221">
        <v>42963.797650462962</v>
      </c>
      <c r="D1138" t="s">
        <v>8855</v>
      </c>
      <c r="E1138" s="249" t="str">
        <f>HYPERLINK("https://www.instagram.com/p/BX32BoYFOHC/")</f>
        <v>https://www.instagram.com/p/BX32BoYFOHC/</v>
      </c>
      <c r="F1138" t="s">
        <v>8856</v>
      </c>
      <c r="G1138" t="s">
        <v>2478</v>
      </c>
      <c r="H1138">
        <v>121</v>
      </c>
      <c r="I1138" t="s">
        <v>2479</v>
      </c>
      <c r="J1138">
        <v>0</v>
      </c>
      <c r="K1138">
        <v>20</v>
      </c>
      <c r="L1138">
        <v>20</v>
      </c>
      <c r="Q1138">
        <v>0</v>
      </c>
      <c r="R1138">
        <v>0</v>
      </c>
      <c r="S1138">
        <v>20</v>
      </c>
      <c r="Y1138" t="s">
        <v>3706</v>
      </c>
      <c r="Z1138" t="s">
        <v>2497</v>
      </c>
      <c r="AA1138" t="s">
        <v>2492</v>
      </c>
      <c r="AD1138" s="249" t="str">
        <f>HYPERLINK("https://scontent.cdninstagram.com/t51.2885-15/s320x320/e35/20905417_140259476580721_2694853384216772608_n.jpg")</f>
        <v>https://scontent.cdninstagram.com/t51.2885-15/s320x320/e35/20905417_140259476580721_2694853384216772608_n.jpg</v>
      </c>
      <c r="AE1138" s="249" t="str">
        <f>HYPERLINK("https://scontent.cdninstagram.com/t51.2885-19/s150x150/20347750_154206241808794_8206899538707873792_a.jpg")</f>
        <v>https://scontent.cdninstagram.com/t51.2885-19/s150x150/20347750_154206241808794_8206899538707873792_a.jpg</v>
      </c>
    </row>
    <row r="1139" spans="1:31" ht="15" x14ac:dyDescent="0.25">
      <c r="A1139" t="s">
        <v>2474</v>
      </c>
      <c r="B1139" t="s">
        <v>8857</v>
      </c>
      <c r="C1139" s="221">
        <v>42963.799791666665</v>
      </c>
      <c r="D1139" t="s">
        <v>8858</v>
      </c>
      <c r="E1139" s="249" t="str">
        <f>HYPERLINK("https://www.instagram.com/p/BX32YNkFZEt/")</f>
        <v>https://www.instagram.com/p/BX32YNkFZEt/</v>
      </c>
      <c r="F1139" t="s">
        <v>8859</v>
      </c>
      <c r="G1139" t="s">
        <v>2478</v>
      </c>
      <c r="H1139">
        <v>150</v>
      </c>
      <c r="I1139" t="s">
        <v>2479</v>
      </c>
      <c r="J1139">
        <v>1</v>
      </c>
      <c r="K1139">
        <v>15</v>
      </c>
      <c r="L1139">
        <v>16</v>
      </c>
      <c r="Q1139">
        <v>0</v>
      </c>
      <c r="R1139">
        <v>0</v>
      </c>
      <c r="S1139">
        <v>16</v>
      </c>
      <c r="Y1139" t="s">
        <v>8860</v>
      </c>
      <c r="Z1139" t="s">
        <v>8861</v>
      </c>
      <c r="AA1139" t="s">
        <v>8862</v>
      </c>
      <c r="AB1139" t="s">
        <v>8863</v>
      </c>
      <c r="AC1139" t="s">
        <v>2497</v>
      </c>
      <c r="AD1139" s="249" t="str">
        <f>HYPERLINK("https://scontent.cdninstagram.com/t51.2885-15/s320x320/e35/c23.0.564.564/20837496_190291398177810_8394417780786462720_n.jpg")</f>
        <v>https://scontent.cdninstagram.com/t51.2885-15/s320x320/e35/c23.0.564.564/20837496_190291398177810_8394417780786462720_n.jpg</v>
      </c>
      <c r="AE1139" s="249" t="str">
        <f>HYPERLINK("https://scontent.cdninstagram.com/t51.2885-19/s150x150/13712526_934968989946632_991210834_a.jpg")</f>
        <v>https://scontent.cdninstagram.com/t51.2885-19/s150x150/13712526_934968989946632_991210834_a.jpg</v>
      </c>
    </row>
    <row r="1140" spans="1:31" ht="15" x14ac:dyDescent="0.25">
      <c r="A1140" t="s">
        <v>2474</v>
      </c>
      <c r="B1140" t="s">
        <v>8864</v>
      </c>
      <c r="C1140" s="221">
        <v>42963.810682870368</v>
      </c>
      <c r="D1140" t="s">
        <v>8865</v>
      </c>
      <c r="E1140" s="249" t="str">
        <f>HYPERLINK("https://www.instagram.com/p/BX34LAlj1jL/")</f>
        <v>https://www.instagram.com/p/BX34LAlj1jL/</v>
      </c>
      <c r="F1140" t="s">
        <v>8866</v>
      </c>
      <c r="G1140" t="s">
        <v>2478</v>
      </c>
      <c r="H1140">
        <v>150</v>
      </c>
      <c r="I1140" t="s">
        <v>3273</v>
      </c>
      <c r="J1140">
        <v>0</v>
      </c>
      <c r="K1140">
        <v>27</v>
      </c>
      <c r="L1140">
        <v>27</v>
      </c>
      <c r="Q1140">
        <v>0</v>
      </c>
      <c r="R1140">
        <v>0</v>
      </c>
      <c r="S1140">
        <v>27</v>
      </c>
      <c r="T1140" t="s">
        <v>8867</v>
      </c>
      <c r="V1140" t="s">
        <v>2161</v>
      </c>
      <c r="W1140">
        <v>52.500599999999999</v>
      </c>
      <c r="X1140">
        <v>13.398899999999999</v>
      </c>
      <c r="Y1140" t="s">
        <v>8868</v>
      </c>
      <c r="Z1140" t="s">
        <v>3225</v>
      </c>
      <c r="AA1140" t="s">
        <v>8869</v>
      </c>
      <c r="AB1140" t="s">
        <v>8870</v>
      </c>
      <c r="AC1140" t="s">
        <v>8871</v>
      </c>
      <c r="AD1140" s="249" t="str">
        <f>HYPERLINK("https://scontent.cdninstagram.com/t51.2885-15/s320x320/e35/c0.90.720.720/20838201_764847413688432_1040809668336680960_n.jpg")</f>
        <v>https://scontent.cdninstagram.com/t51.2885-15/s320x320/e35/c0.90.720.720/20838201_764847413688432_1040809668336680960_n.jpg</v>
      </c>
      <c r="AE1140" s="249" t="str">
        <f>HYPERLINK("https://scontent.cdninstagram.com/t51.2885-19/s150x150/12135243_1698648290349749_1174298530_a.jpg")</f>
        <v>https://scontent.cdninstagram.com/t51.2885-19/s150x150/12135243_1698648290349749_1174298530_a.jpg</v>
      </c>
    </row>
    <row r="1141" spans="1:31" ht="15" x14ac:dyDescent="0.25">
      <c r="A1141" t="s">
        <v>2474</v>
      </c>
      <c r="B1141" t="s">
        <v>8872</v>
      </c>
      <c r="C1141" s="221">
        <v>42963.811666666668</v>
      </c>
      <c r="D1141" t="s">
        <v>8873</v>
      </c>
      <c r="E1141" s="249" t="str">
        <f>HYPERLINK("https://www.instagram.com/p/BX34VZAnqT3/")</f>
        <v>https://www.instagram.com/p/BX34VZAnqT3/</v>
      </c>
      <c r="F1141" t="s">
        <v>8874</v>
      </c>
      <c r="G1141" t="s">
        <v>2478</v>
      </c>
      <c r="I1141" t="s">
        <v>2479</v>
      </c>
      <c r="J1141">
        <v>0</v>
      </c>
      <c r="K1141">
        <v>12</v>
      </c>
      <c r="L1141">
        <v>12</v>
      </c>
      <c r="Q1141">
        <v>0</v>
      </c>
      <c r="R1141">
        <v>0</v>
      </c>
      <c r="S1141">
        <v>12</v>
      </c>
      <c r="Y1141" t="s">
        <v>8875</v>
      </c>
      <c r="Z1141" t="s">
        <v>8876</v>
      </c>
      <c r="AA1141" t="s">
        <v>2497</v>
      </c>
      <c r="AB1141" t="s">
        <v>8877</v>
      </c>
      <c r="AC1141" t="s">
        <v>8878</v>
      </c>
      <c r="AD1141" s="249" t="str">
        <f>HYPERLINK("https://scontent.cdninstagram.com/t51.2885-15/s320x320/e35/20687066_1417289391681861_131545145945358336_n.jpg")</f>
        <v>https://scontent.cdninstagram.com/t51.2885-15/s320x320/e35/20687066_1417289391681861_131545145945358336_n.jpg</v>
      </c>
      <c r="AE1141" s="249" t="str">
        <f>HYPERLINK("https://scontent.cdninstagram.com/t51.2885-19/s150x150/18160581_272530126541037_3763749299695910912_a.jpg")</f>
        <v>https://scontent.cdninstagram.com/t51.2885-19/s150x150/18160581_272530126541037_3763749299695910912_a.jpg</v>
      </c>
    </row>
    <row r="1142" spans="1:31" ht="15" x14ac:dyDescent="0.25">
      <c r="A1142" t="s">
        <v>2474</v>
      </c>
      <c r="B1142" t="s">
        <v>8879</v>
      </c>
      <c r="C1142" s="221">
        <v>42963.815763888888</v>
      </c>
      <c r="D1142" t="s">
        <v>8880</v>
      </c>
      <c r="E1142" s="249" t="str">
        <f>HYPERLINK("https://www.instagram.com/p/BX35Ap-HEEg/")</f>
        <v>https://www.instagram.com/p/BX35Ap-HEEg/</v>
      </c>
      <c r="F1142" t="s">
        <v>8881</v>
      </c>
      <c r="G1142" t="s">
        <v>2478</v>
      </c>
      <c r="H1142">
        <v>6833</v>
      </c>
      <c r="I1142" t="s">
        <v>2479</v>
      </c>
      <c r="J1142">
        <v>7</v>
      </c>
      <c r="K1142">
        <v>293</v>
      </c>
      <c r="L1142">
        <v>300</v>
      </c>
      <c r="Q1142">
        <v>0</v>
      </c>
      <c r="R1142">
        <v>0</v>
      </c>
      <c r="S1142">
        <v>300</v>
      </c>
      <c r="Y1142" t="s">
        <v>3885</v>
      </c>
      <c r="Z1142" t="s">
        <v>2906</v>
      </c>
      <c r="AA1142" t="s">
        <v>8882</v>
      </c>
      <c r="AB1142" t="s">
        <v>3277</v>
      </c>
      <c r="AC1142" t="s">
        <v>5706</v>
      </c>
      <c r="AD1142" s="249" t="str">
        <f>HYPERLINK("https://scontent.cdninstagram.com/t51.2885-15/s320x320/e35/20837544_1530442303690344_4004819410224152576_n.jpg")</f>
        <v>https://scontent.cdninstagram.com/t51.2885-15/s320x320/e35/20837544_1530442303690344_4004819410224152576_n.jpg</v>
      </c>
      <c r="AE1142" s="249" t="str">
        <f>HYPERLINK("https://scontent.cdninstagram.com/t51.2885-19/s150x150/15306132_340017326361583_814576028411232256_a.jpg")</f>
        <v>https://scontent.cdninstagram.com/t51.2885-19/s150x150/15306132_340017326361583_814576028411232256_a.jpg</v>
      </c>
    </row>
    <row r="1143" spans="1:31" ht="15" x14ac:dyDescent="0.25">
      <c r="A1143" t="s">
        <v>2474</v>
      </c>
      <c r="B1143" t="s">
        <v>8883</v>
      </c>
      <c r="C1143" s="221">
        <v>42963.816041666665</v>
      </c>
      <c r="D1143" t="s">
        <v>8884</v>
      </c>
      <c r="E1143" s="249" t="str">
        <f>HYPERLINK("https://www.instagram.com/p/BX35DnKAzzd/")</f>
        <v>https://www.instagram.com/p/BX35DnKAzzd/</v>
      </c>
      <c r="F1143" t="s">
        <v>8885</v>
      </c>
      <c r="G1143" t="s">
        <v>2478</v>
      </c>
      <c r="H1143">
        <v>127</v>
      </c>
      <c r="I1143" t="s">
        <v>2479</v>
      </c>
      <c r="J1143">
        <v>0</v>
      </c>
      <c r="K1143">
        <v>16</v>
      </c>
      <c r="L1143">
        <v>16</v>
      </c>
      <c r="Q1143">
        <v>0</v>
      </c>
      <c r="R1143">
        <v>0</v>
      </c>
      <c r="S1143">
        <v>16</v>
      </c>
      <c r="Y1143" t="s">
        <v>8886</v>
      </c>
      <c r="Z1143" t="s">
        <v>8887</v>
      </c>
      <c r="AA1143" t="s">
        <v>8888</v>
      </c>
      <c r="AB1143" t="s">
        <v>5279</v>
      </c>
      <c r="AC1143" t="s">
        <v>8889</v>
      </c>
      <c r="AD1143" s="249" t="str">
        <f>HYPERLINK("https://scontent.cdninstagram.com/t51.2885-15/s320x320/e35/20902390_1925018174402908_2754680285785227264_n.jpg")</f>
        <v>https://scontent.cdninstagram.com/t51.2885-15/s320x320/e35/20902390_1925018174402908_2754680285785227264_n.jpg</v>
      </c>
      <c r="AE1143" s="249" t="str">
        <f>HYPERLINK("https://scontent.cdninstagram.com/t51.2885-19/s150x150/20065534_306383226437936_4502250298969948160_a.jpg")</f>
        <v>https://scontent.cdninstagram.com/t51.2885-19/s150x150/20065534_306383226437936_4502250298969948160_a.jpg</v>
      </c>
    </row>
    <row r="1144" spans="1:31" ht="15" x14ac:dyDescent="0.25">
      <c r="A1144" t="s">
        <v>2474</v>
      </c>
      <c r="B1144" t="s">
        <v>7003</v>
      </c>
      <c r="C1144" s="221">
        <v>42963.816238425927</v>
      </c>
      <c r="D1144" t="s">
        <v>8890</v>
      </c>
      <c r="E1144" s="249" t="str">
        <f>HYPERLINK("https://www.instagram.com/p/BX35FmJAvd5/")</f>
        <v>https://www.instagram.com/p/BX35FmJAvd5/</v>
      </c>
      <c r="F1144" t="s">
        <v>8891</v>
      </c>
      <c r="G1144" t="s">
        <v>2478</v>
      </c>
      <c r="H1144">
        <v>23457</v>
      </c>
      <c r="I1144" t="s">
        <v>2479</v>
      </c>
      <c r="J1144">
        <v>17</v>
      </c>
      <c r="K1144">
        <v>623</v>
      </c>
      <c r="L1144">
        <v>640</v>
      </c>
      <c r="Q1144">
        <v>0</v>
      </c>
      <c r="R1144">
        <v>0</v>
      </c>
      <c r="S1144">
        <v>640</v>
      </c>
      <c r="Y1144" t="s">
        <v>6025</v>
      </c>
      <c r="Z1144" t="s">
        <v>7173</v>
      </c>
      <c r="AA1144" t="s">
        <v>8892</v>
      </c>
      <c r="AB1144" t="s">
        <v>8893</v>
      </c>
      <c r="AC1144" t="s">
        <v>8894</v>
      </c>
      <c r="AD1144" s="249" t="str">
        <f>HYPERLINK("https://scontent.cdninstagram.com/t51.2885-15/s320x320/e35/c0.134.1080.1080/20836988_131334227480903_2487743829206106112_n.jpg")</f>
        <v>https://scontent.cdninstagram.com/t51.2885-15/s320x320/e35/c0.134.1080.1080/20836988_131334227480903_2487743829206106112_n.jpg</v>
      </c>
      <c r="AE1144" s="249" t="str">
        <f>HYPERLINK("https://scontent.cdninstagram.com/t51.2885-19/s150x150/18299005_447807092243343_3242761266950832128_n.jpg")</f>
        <v>https://scontent.cdninstagram.com/t51.2885-19/s150x150/18299005_447807092243343_3242761266950832128_n.jpg</v>
      </c>
    </row>
    <row r="1145" spans="1:31" ht="15" x14ac:dyDescent="0.25">
      <c r="A1145" t="s">
        <v>2474</v>
      </c>
      <c r="B1145" t="s">
        <v>8895</v>
      </c>
      <c r="C1145" s="221">
        <v>42963.824120370373</v>
      </c>
      <c r="D1145" t="s">
        <v>8896</v>
      </c>
      <c r="E1145" s="249" t="str">
        <f>HYPERLINK("https://www.instagram.com/p/BX36YuJBCKa/")</f>
        <v>https://www.instagram.com/p/BX36YuJBCKa/</v>
      </c>
      <c r="F1145" t="s">
        <v>8897</v>
      </c>
      <c r="G1145" t="s">
        <v>2478</v>
      </c>
      <c r="H1145">
        <v>937</v>
      </c>
      <c r="I1145" t="s">
        <v>2479</v>
      </c>
      <c r="J1145">
        <v>4</v>
      </c>
      <c r="K1145">
        <v>65</v>
      </c>
      <c r="L1145">
        <v>69</v>
      </c>
      <c r="Q1145">
        <v>0</v>
      </c>
      <c r="R1145">
        <v>0</v>
      </c>
      <c r="S1145">
        <v>69</v>
      </c>
      <c r="Y1145" t="s">
        <v>8898</v>
      </c>
      <c r="Z1145" t="s">
        <v>8899</v>
      </c>
      <c r="AA1145" t="s">
        <v>2497</v>
      </c>
      <c r="AB1145" t="s">
        <v>8900</v>
      </c>
      <c r="AC1145" t="s">
        <v>8901</v>
      </c>
      <c r="AD1145" s="249" t="str">
        <f>HYPERLINK("https://scontent.cdninstagram.com/t51.2885-15/s320x320/e35/c0.124.995.995/20837296_504031356607885_5453308370729566208_n.jpg")</f>
        <v>https://scontent.cdninstagram.com/t51.2885-15/s320x320/e35/c0.124.995.995/20837296_504031356607885_5453308370729566208_n.jpg</v>
      </c>
      <c r="AE1145" s="249" t="str">
        <f>HYPERLINK("https://scontent.cdninstagram.com/t51.2885-19/s150x150/17439239_1409990565710752_5352017678791868416_a.jpg")</f>
        <v>https://scontent.cdninstagram.com/t51.2885-19/s150x150/17439239_1409990565710752_5352017678791868416_a.jpg</v>
      </c>
    </row>
    <row r="1146" spans="1:31" ht="15" x14ac:dyDescent="0.25">
      <c r="A1146" t="s">
        <v>2474</v>
      </c>
      <c r="B1146" t="s">
        <v>8902</v>
      </c>
      <c r="C1146" s="221">
        <v>42963.826967592591</v>
      </c>
      <c r="D1146" t="s">
        <v>8903</v>
      </c>
      <c r="E1146" s="249" t="str">
        <f>HYPERLINK("https://www.instagram.com/p/BX362zbBCdM/")</f>
        <v>https://www.instagram.com/p/BX362zbBCdM/</v>
      </c>
      <c r="F1146" t="s">
        <v>8904</v>
      </c>
      <c r="G1146" t="s">
        <v>2478</v>
      </c>
      <c r="H1146">
        <v>117</v>
      </c>
      <c r="I1146" t="s">
        <v>2479</v>
      </c>
      <c r="J1146">
        <v>0</v>
      </c>
      <c r="K1146">
        <v>5</v>
      </c>
      <c r="L1146">
        <v>5</v>
      </c>
      <c r="Q1146">
        <v>0</v>
      </c>
      <c r="R1146">
        <v>0</v>
      </c>
      <c r="S1146">
        <v>5</v>
      </c>
      <c r="Y1146" t="s">
        <v>8905</v>
      </c>
      <c r="Z1146" t="s">
        <v>8906</v>
      </c>
      <c r="AA1146" t="s">
        <v>8907</v>
      </c>
      <c r="AB1146" t="s">
        <v>8908</v>
      </c>
      <c r="AC1146" t="s">
        <v>2497</v>
      </c>
      <c r="AD1146" s="249" t="str">
        <f>HYPERLINK("https://scontent.cdninstagram.com/t51.2885-15/s320x320/e35/20901864_1377871035665451_1179653587215581184_n.jpg")</f>
        <v>https://scontent.cdninstagram.com/t51.2885-15/s320x320/e35/20901864_1377871035665451_1179653587215581184_n.jpg</v>
      </c>
      <c r="AE1146" s="249" t="str">
        <f>HYPERLINK("https://scontent.cdninstagram.com/t51.2885-19/11849814_1482301512084660_1785618226_a.jpg")</f>
        <v>https://scontent.cdninstagram.com/t51.2885-19/11849814_1482301512084660_1785618226_a.jpg</v>
      </c>
    </row>
    <row r="1147" spans="1:31" ht="15" x14ac:dyDescent="0.25">
      <c r="A1147" t="s">
        <v>2474</v>
      </c>
      <c r="B1147" t="s">
        <v>8909</v>
      </c>
      <c r="C1147" s="221">
        <v>42963.827303240738</v>
      </c>
      <c r="D1147" t="s">
        <v>8910</v>
      </c>
      <c r="E1147" s="249" t="str">
        <f>HYPERLINK("https://www.instagram.com/p/BX366YxF0Cp/")</f>
        <v>https://www.instagram.com/p/BX366YxF0Cp/</v>
      </c>
      <c r="F1147" t="s">
        <v>8911</v>
      </c>
      <c r="G1147" t="s">
        <v>2478</v>
      </c>
      <c r="H1147">
        <v>364</v>
      </c>
      <c r="I1147" t="s">
        <v>2479</v>
      </c>
      <c r="J1147">
        <v>0</v>
      </c>
      <c r="K1147">
        <v>12</v>
      </c>
      <c r="L1147">
        <v>12</v>
      </c>
      <c r="Q1147">
        <v>0</v>
      </c>
      <c r="R1147">
        <v>0</v>
      </c>
      <c r="S1147">
        <v>12</v>
      </c>
      <c r="Y1147" t="s">
        <v>8912</v>
      </c>
      <c r="Z1147" t="s">
        <v>8913</v>
      </c>
      <c r="AA1147" t="s">
        <v>8914</v>
      </c>
      <c r="AB1147" t="s">
        <v>8915</v>
      </c>
      <c r="AC1147" t="s">
        <v>8916</v>
      </c>
      <c r="AD1147" s="249" t="str">
        <f>HYPERLINK("https://scontent.cdninstagram.com/t51.2885-15/s320x320/e35/20905650_157898544764546_3274816407472177152_n.jpg")</f>
        <v>https://scontent.cdninstagram.com/t51.2885-15/s320x320/e35/20905650_157898544764546_3274816407472177152_n.jpg</v>
      </c>
      <c r="AE1147" s="249" t="str">
        <f>HYPERLINK("https://scontent.cdninstagram.com/t51.2885-19/s150x150/11311603_1642998489269533_1057419549_a.jpg")</f>
        <v>https://scontent.cdninstagram.com/t51.2885-19/s150x150/11311603_1642998489269533_1057419549_a.jpg</v>
      </c>
    </row>
    <row r="1148" spans="1:31" ht="15" x14ac:dyDescent="0.25">
      <c r="A1148" t="s">
        <v>2474</v>
      </c>
      <c r="B1148" t="s">
        <v>8917</v>
      </c>
      <c r="C1148" s="221">
        <v>42963.8278587963</v>
      </c>
      <c r="D1148" t="s">
        <v>8918</v>
      </c>
      <c r="E1148" s="249" t="str">
        <f>HYPERLINK("https://www.instagram.com/p/BX37AQpluLv/")</f>
        <v>https://www.instagram.com/p/BX37AQpluLv/</v>
      </c>
      <c r="F1148" t="s">
        <v>8919</v>
      </c>
      <c r="G1148" t="s">
        <v>2478</v>
      </c>
      <c r="H1148">
        <v>216</v>
      </c>
      <c r="I1148" t="s">
        <v>2479</v>
      </c>
      <c r="J1148">
        <v>2</v>
      </c>
      <c r="K1148">
        <v>40</v>
      </c>
      <c r="L1148">
        <v>42</v>
      </c>
      <c r="Q1148">
        <v>0</v>
      </c>
      <c r="R1148">
        <v>0</v>
      </c>
      <c r="S1148">
        <v>42</v>
      </c>
      <c r="T1148" t="s">
        <v>8920</v>
      </c>
      <c r="U1148" t="s">
        <v>102</v>
      </c>
      <c r="V1148" t="s">
        <v>2299</v>
      </c>
      <c r="W1148">
        <v>41.8369</v>
      </c>
      <c r="X1148">
        <v>-87.684399999999997</v>
      </c>
      <c r="Y1148" t="s">
        <v>4645</v>
      </c>
      <c r="Z1148" t="s">
        <v>8921</v>
      </c>
      <c r="AA1148" t="s">
        <v>2651</v>
      </c>
      <c r="AB1148" t="s">
        <v>5118</v>
      </c>
      <c r="AC1148" t="s">
        <v>8047</v>
      </c>
      <c r="AD1148" s="249" t="str">
        <f>HYPERLINK("https://scontent.cdninstagram.com/t51.2885-15/s320x320/e35/c0.117.937.937/20838778_697526027114935_5607295523955408896_n.jpg")</f>
        <v>https://scontent.cdninstagram.com/t51.2885-15/s320x320/e35/c0.117.937.937/20838778_697526027114935_5607295523955408896_n.jpg</v>
      </c>
      <c r="AE1148" s="249" t="str">
        <f>HYPERLINK("https://scontent.cdninstagram.com/t51.2885-19/s150x150/20478661_2014190878858197_7365741755838234624_a.jpg")</f>
        <v>https://scontent.cdninstagram.com/t51.2885-19/s150x150/20478661_2014190878858197_7365741755838234624_a.jpg</v>
      </c>
    </row>
    <row r="1149" spans="1:31" ht="15" x14ac:dyDescent="0.25">
      <c r="A1149" t="s">
        <v>2474</v>
      </c>
      <c r="B1149" t="s">
        <v>8922</v>
      </c>
      <c r="C1149" s="221">
        <v>42963.831122685187</v>
      </c>
      <c r="D1149" t="s">
        <v>8923</v>
      </c>
      <c r="E1149" s="249" t="str">
        <f>HYPERLINK("https://www.instagram.com/p/BX37immlROe/")</f>
        <v>https://www.instagram.com/p/BX37immlROe/</v>
      </c>
      <c r="F1149" t="s">
        <v>8924</v>
      </c>
      <c r="G1149" t="s">
        <v>2478</v>
      </c>
      <c r="H1149">
        <v>571</v>
      </c>
      <c r="I1149" t="s">
        <v>2479</v>
      </c>
      <c r="J1149">
        <v>6</v>
      </c>
      <c r="K1149">
        <v>37</v>
      </c>
      <c r="L1149">
        <v>43</v>
      </c>
      <c r="Q1149">
        <v>0</v>
      </c>
      <c r="R1149">
        <v>0</v>
      </c>
      <c r="S1149">
        <v>43</v>
      </c>
      <c r="Y1149" t="s">
        <v>8898</v>
      </c>
      <c r="Z1149" t="s">
        <v>8925</v>
      </c>
      <c r="AA1149" t="s">
        <v>2497</v>
      </c>
      <c r="AB1149" t="s">
        <v>8926</v>
      </c>
      <c r="AC1149" t="s">
        <v>8900</v>
      </c>
      <c r="AD1149" s="249" t="str">
        <f>HYPERLINK("https://scontent.cdninstagram.com/t51.2885-15/s320x320/e35/c0.124.995.995/20837365_494022954265937_8337016041091629056_n.jpg")</f>
        <v>https://scontent.cdninstagram.com/t51.2885-15/s320x320/e35/c0.124.995.995/20837365_494022954265937_8337016041091629056_n.jpg</v>
      </c>
      <c r="AE1149" s="249" t="str">
        <f>HYPERLINK("https://scontent.cdninstagram.com/t51.2885-19/11370970_110714385944025_1139559583_a.jpg")</f>
        <v>https://scontent.cdninstagram.com/t51.2885-19/11370970_110714385944025_1139559583_a.jpg</v>
      </c>
    </row>
    <row r="1150" spans="1:31" ht="15" x14ac:dyDescent="0.25">
      <c r="A1150" t="s">
        <v>2474</v>
      </c>
      <c r="B1150" t="s">
        <v>8927</v>
      </c>
      <c r="C1150" s="221">
        <v>42963.831886574073</v>
      </c>
      <c r="D1150" t="s">
        <v>8928</v>
      </c>
      <c r="E1150" s="249" t="str">
        <f>HYPERLINK("https://www.instagram.com/p/BX37qqYleiw/")</f>
        <v>https://www.instagram.com/p/BX37qqYleiw/</v>
      </c>
      <c r="F1150" t="s">
        <v>8929</v>
      </c>
      <c r="G1150" t="s">
        <v>2478</v>
      </c>
      <c r="H1150">
        <v>115</v>
      </c>
      <c r="I1150" t="s">
        <v>2519</v>
      </c>
      <c r="J1150">
        <v>0</v>
      </c>
      <c r="K1150">
        <v>19</v>
      </c>
      <c r="L1150">
        <v>19</v>
      </c>
      <c r="Q1150">
        <v>0</v>
      </c>
      <c r="R1150">
        <v>0</v>
      </c>
      <c r="S1150">
        <v>19</v>
      </c>
      <c r="Y1150" t="s">
        <v>8930</v>
      </c>
      <c r="Z1150" t="s">
        <v>8931</v>
      </c>
      <c r="AA1150" t="s">
        <v>8932</v>
      </c>
      <c r="AB1150" t="s">
        <v>2497</v>
      </c>
      <c r="AC1150" t="s">
        <v>2492</v>
      </c>
      <c r="AD1150" s="249" t="str">
        <f>HYPERLINK("https://scontent.cdninstagram.com/t51.2885-15/s320x320/e35/c0.2.645.645/20902494_109123086450702_8028706503852556288_n.jpg")</f>
        <v>https://scontent.cdninstagram.com/t51.2885-15/s320x320/e35/c0.2.645.645/20902494_109123086450702_8028706503852556288_n.jpg</v>
      </c>
      <c r="AE1150" s="249" t="str">
        <f>HYPERLINK("https://scontent.cdninstagram.com/t51.2885-19/s150x150/19367073_1104519366348278_1259504412297003008_a.jpg")</f>
        <v>https://scontent.cdninstagram.com/t51.2885-19/s150x150/19367073_1104519366348278_1259504412297003008_a.jpg</v>
      </c>
    </row>
    <row r="1151" spans="1:31" ht="15" x14ac:dyDescent="0.25">
      <c r="A1151" t="s">
        <v>2474</v>
      </c>
      <c r="B1151" t="s">
        <v>8933</v>
      </c>
      <c r="C1151" s="221">
        <v>42963.832083333335</v>
      </c>
      <c r="D1151" t="s">
        <v>8934</v>
      </c>
      <c r="E1151" s="249" t="str">
        <f>HYPERLINK("https://www.instagram.com/p/BX37szNAWWb/")</f>
        <v>https://www.instagram.com/p/BX37szNAWWb/</v>
      </c>
      <c r="F1151" t="s">
        <v>8935</v>
      </c>
      <c r="G1151" t="s">
        <v>2478</v>
      </c>
      <c r="H1151">
        <v>120</v>
      </c>
      <c r="I1151" t="s">
        <v>2479</v>
      </c>
      <c r="J1151">
        <v>0</v>
      </c>
      <c r="K1151">
        <v>18</v>
      </c>
      <c r="L1151">
        <v>18</v>
      </c>
      <c r="Q1151">
        <v>0</v>
      </c>
      <c r="R1151">
        <v>0</v>
      </c>
      <c r="S1151">
        <v>18</v>
      </c>
      <c r="Y1151" t="s">
        <v>8936</v>
      </c>
      <c r="Z1151" t="s">
        <v>8937</v>
      </c>
      <c r="AA1151" t="s">
        <v>8938</v>
      </c>
      <c r="AB1151" t="s">
        <v>8939</v>
      </c>
      <c r="AC1151" t="s">
        <v>2497</v>
      </c>
      <c r="AD1151" s="249" t="str">
        <f>HYPERLINK("https://scontent.cdninstagram.com/t51.2885-15/s320x320/e35/20902387_125686394726806_1410763166073225216_n.jpg")</f>
        <v>https://scontent.cdninstagram.com/t51.2885-15/s320x320/e35/20902387_125686394726806_1410763166073225216_n.jpg</v>
      </c>
      <c r="AE1151" s="249" t="str">
        <f>HYPERLINK("https://scontent.cdninstagram.com/t51.2885-19/s150x150/19985366_1811283009184935_5908063373500612608_n.jpg")</f>
        <v>https://scontent.cdninstagram.com/t51.2885-19/s150x150/19985366_1811283009184935_5908063373500612608_n.jpg</v>
      </c>
    </row>
    <row r="1152" spans="1:31" ht="15" x14ac:dyDescent="0.25">
      <c r="A1152" t="s">
        <v>2474</v>
      </c>
      <c r="B1152" t="s">
        <v>7793</v>
      </c>
      <c r="C1152" s="221">
        <v>42963.84679398148</v>
      </c>
      <c r="D1152" t="s">
        <v>8940</v>
      </c>
      <c r="E1152" s="249" t="str">
        <f>HYPERLINK("https://www.instagram.com/p/BX3-H5-F5Vc/")</f>
        <v>https://www.instagram.com/p/BX3-H5-F5Vc/</v>
      </c>
      <c r="F1152" t="s">
        <v>8941</v>
      </c>
      <c r="G1152" t="s">
        <v>2478</v>
      </c>
      <c r="H1152">
        <v>5763</v>
      </c>
      <c r="I1152" t="s">
        <v>2479</v>
      </c>
      <c r="J1152">
        <v>3</v>
      </c>
      <c r="K1152">
        <v>239</v>
      </c>
      <c r="L1152">
        <v>242</v>
      </c>
      <c r="Q1152">
        <v>0</v>
      </c>
      <c r="R1152">
        <v>0</v>
      </c>
      <c r="S1152">
        <v>242</v>
      </c>
      <c r="T1152" t="s">
        <v>8942</v>
      </c>
      <c r="V1152" t="s">
        <v>2102</v>
      </c>
      <c r="W1152">
        <v>-33.86</v>
      </c>
      <c r="X1152">
        <v>151.21100000000001</v>
      </c>
      <c r="Y1152" t="s">
        <v>4620</v>
      </c>
      <c r="Z1152" t="s">
        <v>6578</v>
      </c>
      <c r="AA1152" t="s">
        <v>4174</v>
      </c>
      <c r="AB1152" t="s">
        <v>5644</v>
      </c>
      <c r="AC1152" t="s">
        <v>3075</v>
      </c>
      <c r="AD1152" s="249" t="str">
        <f>HYPERLINK("https://scontent.cdninstagram.com/t51.2885-15/s320x320/e35/20837491_111843356207567_7626499609904283648_n.jpg")</f>
        <v>https://scontent.cdninstagram.com/t51.2885-15/s320x320/e35/20837491_111843356207567_7626499609904283648_n.jpg</v>
      </c>
      <c r="AE1152" s="249" t="str">
        <f>HYPERLINK("https://scontent.cdninstagram.com/t51.2885-19/s150x150/14295311_507350922808081_1928455761_a.jpg")</f>
        <v>https://scontent.cdninstagram.com/t51.2885-19/s150x150/14295311_507350922808081_1928455761_a.jpg</v>
      </c>
    </row>
    <row r="1153" spans="1:31" ht="15" x14ac:dyDescent="0.25">
      <c r="A1153" t="s">
        <v>2474</v>
      </c>
      <c r="B1153" t="s">
        <v>8943</v>
      </c>
      <c r="C1153" s="221">
        <v>42963.864907407406</v>
      </c>
      <c r="D1153" t="s">
        <v>8944</v>
      </c>
      <c r="E1153" s="249" t="str">
        <f>HYPERLINK("https://www.instagram.com/p/BX4BG7algZF/")</f>
        <v>https://www.instagram.com/p/BX4BG7algZF/</v>
      </c>
      <c r="F1153" t="s">
        <v>8945</v>
      </c>
      <c r="G1153" t="s">
        <v>2478</v>
      </c>
      <c r="H1153">
        <v>122</v>
      </c>
      <c r="I1153" t="s">
        <v>3273</v>
      </c>
      <c r="J1153">
        <v>0</v>
      </c>
      <c r="K1153">
        <v>40</v>
      </c>
      <c r="L1153">
        <v>40</v>
      </c>
      <c r="Q1153">
        <v>0</v>
      </c>
      <c r="R1153">
        <v>0</v>
      </c>
      <c r="S1153">
        <v>40</v>
      </c>
      <c r="Y1153" t="s">
        <v>6802</v>
      </c>
      <c r="Z1153" t="s">
        <v>8946</v>
      </c>
      <c r="AA1153" t="s">
        <v>8947</v>
      </c>
      <c r="AB1153" t="s">
        <v>8948</v>
      </c>
      <c r="AC1153" t="s">
        <v>2728</v>
      </c>
      <c r="AD1153" s="249" t="str">
        <f>HYPERLINK("https://scontent.cdninstagram.com/t51.2885-15/s320x320/e35/20837336_111547109550595_7728330789116444672_n.jpg")</f>
        <v>https://scontent.cdninstagram.com/t51.2885-15/s320x320/e35/20837336_111547109550595_7728330789116444672_n.jpg</v>
      </c>
      <c r="AE1153" s="249" t="str">
        <f>HYPERLINK("https://scontent.cdninstagram.com/t51.2885-19/s150x150/17662682_150852205442304_2991180435146407936_a.jpg")</f>
        <v>https://scontent.cdninstagram.com/t51.2885-19/s150x150/17662682_150852205442304_2991180435146407936_a.jpg</v>
      </c>
    </row>
    <row r="1154" spans="1:31" ht="15" x14ac:dyDescent="0.25">
      <c r="A1154" t="s">
        <v>2474</v>
      </c>
      <c r="B1154" t="s">
        <v>3471</v>
      </c>
      <c r="C1154" s="221">
        <v>42963.868263888886</v>
      </c>
      <c r="D1154" t="s">
        <v>8949</v>
      </c>
      <c r="E1154" s="249" t="str">
        <f>HYPERLINK("https://www.instagram.com/p/BX4BqV1DoxC/")</f>
        <v>https://www.instagram.com/p/BX4BqV1DoxC/</v>
      </c>
      <c r="F1154" t="s">
        <v>8950</v>
      </c>
      <c r="G1154" t="s">
        <v>2478</v>
      </c>
      <c r="H1154">
        <v>178</v>
      </c>
      <c r="I1154" t="s">
        <v>2479</v>
      </c>
      <c r="J1154">
        <v>0</v>
      </c>
      <c r="K1154">
        <v>31</v>
      </c>
      <c r="L1154">
        <v>31</v>
      </c>
      <c r="Q1154">
        <v>0</v>
      </c>
      <c r="R1154">
        <v>0</v>
      </c>
      <c r="S1154">
        <v>31</v>
      </c>
      <c r="T1154" t="s">
        <v>3474</v>
      </c>
      <c r="V1154" t="s">
        <v>2258</v>
      </c>
      <c r="W1154">
        <v>1.2930600000000001</v>
      </c>
      <c r="X1154">
        <v>103.85599999999999</v>
      </c>
      <c r="Y1154" t="s">
        <v>5842</v>
      </c>
      <c r="Z1154" t="s">
        <v>5705</v>
      </c>
      <c r="AA1154" t="s">
        <v>6774</v>
      </c>
      <c r="AB1154" t="s">
        <v>5702</v>
      </c>
      <c r="AC1154" t="s">
        <v>8951</v>
      </c>
      <c r="AD1154" s="249" t="str">
        <f>HYPERLINK("https://scontent.cdninstagram.com/t51.2885-15/s320x320/e35/20838271_142433149683654_1120047051829149696_n.jpg")</f>
        <v>https://scontent.cdninstagram.com/t51.2885-15/s320x320/e35/20838271_142433149683654_1120047051829149696_n.jpg</v>
      </c>
      <c r="AE1154" s="249" t="str">
        <f>HYPERLINK("https://scontent.cdninstagram.com/t51.2885-19/s150x150/19986209_741127056067001_1270489010199855104_a.jpg")</f>
        <v>https://scontent.cdninstagram.com/t51.2885-19/s150x150/19986209_741127056067001_1270489010199855104_a.jpg</v>
      </c>
    </row>
    <row r="1155" spans="1:31" ht="15" x14ac:dyDescent="0.25">
      <c r="A1155" t="s">
        <v>2474</v>
      </c>
      <c r="B1155" t="s">
        <v>5699</v>
      </c>
      <c r="C1155" s="221">
        <v>42963.870393518519</v>
      </c>
      <c r="D1155" t="s">
        <v>8952</v>
      </c>
      <c r="E1155" s="249" t="str">
        <f>HYPERLINK("https://www.instagram.com/p/BX4CA2nl0c5/")</f>
        <v>https://www.instagram.com/p/BX4CA2nl0c5/</v>
      </c>
      <c r="F1155" t="s">
        <v>8953</v>
      </c>
      <c r="G1155" t="s">
        <v>2478</v>
      </c>
      <c r="H1155">
        <v>93</v>
      </c>
      <c r="I1155" t="s">
        <v>2479</v>
      </c>
      <c r="J1155">
        <v>0</v>
      </c>
      <c r="K1155">
        <v>27</v>
      </c>
      <c r="L1155">
        <v>27</v>
      </c>
      <c r="Q1155">
        <v>0</v>
      </c>
      <c r="R1155">
        <v>0</v>
      </c>
      <c r="S1155">
        <v>27</v>
      </c>
      <c r="T1155" t="s">
        <v>3474</v>
      </c>
      <c r="V1155" t="s">
        <v>2258</v>
      </c>
      <c r="W1155">
        <v>1.2930600000000001</v>
      </c>
      <c r="X1155">
        <v>103.85599999999999</v>
      </c>
      <c r="Y1155" t="s">
        <v>5842</v>
      </c>
      <c r="Z1155" t="s">
        <v>5705</v>
      </c>
      <c r="AA1155" t="s">
        <v>6774</v>
      </c>
      <c r="AB1155" t="s">
        <v>5702</v>
      </c>
      <c r="AC1155" t="s">
        <v>8951</v>
      </c>
      <c r="AD1155" s="249" t="str">
        <f>HYPERLINK("https://scontent.cdninstagram.com/t51.2885-15/s320x320/e35/20837235_109843643066685_1568447839464325120_n.jpg")</f>
        <v>https://scontent.cdninstagram.com/t51.2885-15/s320x320/e35/20837235_109843643066685_1568447839464325120_n.jpg</v>
      </c>
      <c r="AE1155" s="249" t="str">
        <f>HYPERLINK("https://scontent.cdninstagram.com/t51.2885-19/s150x150/18252635_446319085720165_2717160400675143680_a.jpg")</f>
        <v>https://scontent.cdninstagram.com/t51.2885-19/s150x150/18252635_446319085720165_2717160400675143680_a.jpg</v>
      </c>
    </row>
    <row r="1156" spans="1:31" ht="15" x14ac:dyDescent="0.25">
      <c r="A1156" t="s">
        <v>2474</v>
      </c>
      <c r="B1156" t="s">
        <v>8954</v>
      </c>
      <c r="C1156" s="221">
        <v>42963.870729166665</v>
      </c>
      <c r="D1156" t="s">
        <v>8955</v>
      </c>
      <c r="E1156" s="249" t="str">
        <f>HYPERLINK("https://www.instagram.com/p/BX4CEYMj7tO/")</f>
        <v>https://www.instagram.com/p/BX4CEYMj7tO/</v>
      </c>
      <c r="F1156" t="s">
        <v>8956</v>
      </c>
      <c r="G1156" t="s">
        <v>2478</v>
      </c>
      <c r="H1156">
        <v>326</v>
      </c>
      <c r="I1156" t="s">
        <v>2479</v>
      </c>
      <c r="J1156">
        <v>0</v>
      </c>
      <c r="K1156">
        <v>24</v>
      </c>
      <c r="L1156">
        <v>24</v>
      </c>
      <c r="Q1156">
        <v>0</v>
      </c>
      <c r="R1156">
        <v>0</v>
      </c>
      <c r="S1156">
        <v>24</v>
      </c>
      <c r="Y1156" t="s">
        <v>8957</v>
      </c>
      <c r="Z1156" t="s">
        <v>8958</v>
      </c>
      <c r="AA1156" t="s">
        <v>8959</v>
      </c>
      <c r="AB1156" t="s">
        <v>8960</v>
      </c>
      <c r="AC1156" t="s">
        <v>8961</v>
      </c>
      <c r="AD1156" s="249" t="str">
        <f>HYPERLINK("https://scontent.cdninstagram.com/t51.2885-15/s320x320/e35/c0.112.900.900/20902440_110328889657737_9098010711807754240_n.jpg")</f>
        <v>https://scontent.cdninstagram.com/t51.2885-15/s320x320/e35/c0.112.900.900/20902440_110328889657737_9098010711807754240_n.jpg</v>
      </c>
      <c r="AE1156" s="249" t="str">
        <f>HYPERLINK("https://scontent.cdninstagram.com/t51.2885-19/s150x150/16788409_777934725690342_6345972281881133056_a.jpg")</f>
        <v>https://scontent.cdninstagram.com/t51.2885-19/s150x150/16788409_777934725690342_6345972281881133056_a.jpg</v>
      </c>
    </row>
    <row r="1157" spans="1:31" ht="15" x14ac:dyDescent="0.25">
      <c r="A1157" t="s">
        <v>2474</v>
      </c>
      <c r="B1157" t="s">
        <v>8962</v>
      </c>
      <c r="C1157" s="221">
        <v>42963.878668981481</v>
      </c>
      <c r="D1157" t="s">
        <v>8963</v>
      </c>
      <c r="E1157" s="249" t="str">
        <f>HYPERLINK("https://www.instagram.com/p/BX4DYHJhWKN/")</f>
        <v>https://www.instagram.com/p/BX4DYHJhWKN/</v>
      </c>
      <c r="F1157" t="s">
        <v>8964</v>
      </c>
      <c r="G1157" t="s">
        <v>2478</v>
      </c>
      <c r="H1157">
        <v>558</v>
      </c>
      <c r="I1157" t="s">
        <v>2599</v>
      </c>
      <c r="J1157">
        <v>12</v>
      </c>
      <c r="K1157">
        <v>66</v>
      </c>
      <c r="L1157">
        <v>78</v>
      </c>
      <c r="Q1157">
        <v>0</v>
      </c>
      <c r="R1157">
        <v>0</v>
      </c>
      <c r="S1157">
        <v>78</v>
      </c>
      <c r="Y1157" t="s">
        <v>8965</v>
      </c>
      <c r="Z1157" t="s">
        <v>8966</v>
      </c>
      <c r="AA1157" t="s">
        <v>8967</v>
      </c>
      <c r="AB1157" t="s">
        <v>8968</v>
      </c>
      <c r="AC1157" t="s">
        <v>8969</v>
      </c>
      <c r="AD1157" s="249" t="str">
        <f>HYPERLINK("https://scontent.cdninstagram.com/t51.2885-15/s320x320/e35/c59.0.961.961/20901849_2043767002573573_2058630330947993600_n.jpg")</f>
        <v>https://scontent.cdninstagram.com/t51.2885-15/s320x320/e35/c59.0.961.961/20901849_2043767002573573_2058630330947993600_n.jpg</v>
      </c>
      <c r="AE1157" s="249" t="str">
        <f>HYPERLINK("https://scontent.cdninstagram.com/t51.2885-19/s150x150/11849020_1631389387131714_1715571950_a.jpg")</f>
        <v>https://scontent.cdninstagram.com/t51.2885-19/s150x150/11849020_1631389387131714_1715571950_a.jpg</v>
      </c>
    </row>
    <row r="1158" spans="1:31" ht="15" x14ac:dyDescent="0.25">
      <c r="A1158" t="s">
        <v>2474</v>
      </c>
      <c r="B1158" t="s">
        <v>8970</v>
      </c>
      <c r="C1158" s="221">
        <v>42963.879699074074</v>
      </c>
      <c r="D1158" t="s">
        <v>8971</v>
      </c>
      <c r="E1158" s="249" t="str">
        <f>HYPERLINK("https://www.instagram.com/p/BX4Di8AgPom/")</f>
        <v>https://www.instagram.com/p/BX4Di8AgPom/</v>
      </c>
      <c r="F1158" t="s">
        <v>8972</v>
      </c>
      <c r="G1158" t="s">
        <v>2478</v>
      </c>
      <c r="H1158">
        <v>266</v>
      </c>
      <c r="I1158" t="s">
        <v>2479</v>
      </c>
      <c r="J1158">
        <v>0</v>
      </c>
      <c r="K1158">
        <v>2</v>
      </c>
      <c r="L1158">
        <v>2</v>
      </c>
      <c r="Q1158">
        <v>0</v>
      </c>
      <c r="R1158">
        <v>0</v>
      </c>
      <c r="S1158">
        <v>2</v>
      </c>
      <c r="Y1158" t="s">
        <v>2497</v>
      </c>
      <c r="AD1158" s="249" t="str">
        <f>HYPERLINK("https://scontent.cdninstagram.com/t51.2885-15/s320x320/e35/20905123_499649823705503_4040293976073306112_n.jpg")</f>
        <v>https://scontent.cdninstagram.com/t51.2885-15/s320x320/e35/20905123_499649823705503_4040293976073306112_n.jpg</v>
      </c>
      <c r="AE1158" s="249" t="str">
        <f>HYPERLINK("https://scontent-nrt1-1.cdninstagram.com/t51.2885-19/11906329_960233084022564_1448528159_a.jpg")</f>
        <v>https://scontent-nrt1-1.cdninstagram.com/t51.2885-19/11906329_960233084022564_1448528159_a.jpg</v>
      </c>
    </row>
    <row r="1159" spans="1:31" ht="15" x14ac:dyDescent="0.25">
      <c r="A1159" t="s">
        <v>2474</v>
      </c>
      <c r="B1159" t="s">
        <v>8973</v>
      </c>
      <c r="C1159" s="221">
        <v>42963.89439814815</v>
      </c>
      <c r="D1159" t="s">
        <v>8974</v>
      </c>
      <c r="E1159" s="249" t="str">
        <f>HYPERLINK("https://www.instagram.com/p/BX4F982j4qA/")</f>
        <v>https://www.instagram.com/p/BX4F982j4qA/</v>
      </c>
      <c r="F1159" t="s">
        <v>8975</v>
      </c>
      <c r="G1159" t="s">
        <v>2478</v>
      </c>
      <c r="H1159">
        <v>312</v>
      </c>
      <c r="I1159" t="s">
        <v>2582</v>
      </c>
      <c r="J1159">
        <v>1</v>
      </c>
      <c r="K1159">
        <v>32</v>
      </c>
      <c r="L1159">
        <v>33</v>
      </c>
      <c r="Q1159">
        <v>0</v>
      </c>
      <c r="R1159">
        <v>0</v>
      </c>
      <c r="S1159">
        <v>33</v>
      </c>
      <c r="Y1159" t="s">
        <v>8976</v>
      </c>
      <c r="Z1159" t="s">
        <v>6817</v>
      </c>
      <c r="AA1159" t="s">
        <v>8977</v>
      </c>
      <c r="AB1159" t="s">
        <v>8978</v>
      </c>
      <c r="AC1159" t="s">
        <v>3600</v>
      </c>
      <c r="AD1159" s="249" t="str">
        <f>HYPERLINK("https://scontent.cdninstagram.com/t51.2885-15/s320x320/e35/c115.0.850.850/20838760_1460163534075539_8174283441097932800_n.jpg")</f>
        <v>https://scontent.cdninstagram.com/t51.2885-15/s320x320/e35/c115.0.850.850/20838760_1460163534075539_8174283441097932800_n.jpg</v>
      </c>
      <c r="AE1159" s="249" t="str">
        <f>HYPERLINK("https://scontent.cdninstagram.com/t51.2885-19/s150x150/14582493_1326166544069564_3681328765616521216_a.jpg")</f>
        <v>https://scontent.cdninstagram.com/t51.2885-19/s150x150/14582493_1326166544069564_3681328765616521216_a.jpg</v>
      </c>
    </row>
    <row r="1160" spans="1:31" ht="15" x14ac:dyDescent="0.25">
      <c r="A1160" t="s">
        <v>2474</v>
      </c>
      <c r="B1160" t="s">
        <v>8979</v>
      </c>
      <c r="C1160" s="221">
        <v>42963.896909722222</v>
      </c>
      <c r="D1160" t="s">
        <v>8980</v>
      </c>
      <c r="E1160" s="249" t="str">
        <f>HYPERLINK("https://www.instagram.com/p/BX4GYbflFVu/")</f>
        <v>https://www.instagram.com/p/BX4GYbflFVu/</v>
      </c>
      <c r="F1160" t="s">
        <v>8981</v>
      </c>
      <c r="G1160" t="s">
        <v>2478</v>
      </c>
      <c r="H1160">
        <v>110</v>
      </c>
      <c r="I1160" t="s">
        <v>2479</v>
      </c>
      <c r="J1160">
        <v>8</v>
      </c>
      <c r="K1160">
        <v>36</v>
      </c>
      <c r="L1160">
        <v>44</v>
      </c>
      <c r="Q1160">
        <v>0</v>
      </c>
      <c r="R1160">
        <v>0</v>
      </c>
      <c r="S1160">
        <v>44</v>
      </c>
      <c r="Y1160" t="s">
        <v>5809</v>
      </c>
      <c r="Z1160" t="s">
        <v>8982</v>
      </c>
      <c r="AA1160" t="s">
        <v>8983</v>
      </c>
      <c r="AB1160" t="s">
        <v>8984</v>
      </c>
      <c r="AC1160" t="s">
        <v>8985</v>
      </c>
      <c r="AD1160" s="249" t="str">
        <f>HYPERLINK("https://scontent.cdninstagram.com/t51.2885-15/s320x320/e35/20837528_1723957651060282_8838971664998858752_n.jpg")</f>
        <v>https://scontent.cdninstagram.com/t51.2885-15/s320x320/e35/20837528_1723957651060282_8838971664998858752_n.jpg</v>
      </c>
      <c r="AE1160" s="249" t="str">
        <f>HYPERLINK("https://scontent.cdninstagram.com/t51.2885-19/s150x150/18579523_1050057638427881_5073208644116414464_a.jpg")</f>
        <v>https://scontent.cdninstagram.com/t51.2885-19/s150x150/18579523_1050057638427881_5073208644116414464_a.jpg</v>
      </c>
    </row>
    <row r="1161" spans="1:31" ht="15" x14ac:dyDescent="0.25">
      <c r="A1161" t="s">
        <v>2474</v>
      </c>
      <c r="B1161" t="s">
        <v>6874</v>
      </c>
      <c r="C1161" s="221">
        <v>42963.903032407405</v>
      </c>
      <c r="D1161" t="s">
        <v>8986</v>
      </c>
      <c r="E1161" s="249" t="str">
        <f>HYPERLINK("https://www.instagram.com/p/BX4HZFFFA3h/")</f>
        <v>https://www.instagram.com/p/BX4HZFFFA3h/</v>
      </c>
      <c r="F1161" t="s">
        <v>8987</v>
      </c>
      <c r="G1161" t="s">
        <v>2478</v>
      </c>
      <c r="H1161">
        <v>210</v>
      </c>
      <c r="I1161" t="s">
        <v>2542</v>
      </c>
      <c r="J1161">
        <v>0</v>
      </c>
      <c r="K1161">
        <v>9</v>
      </c>
      <c r="L1161">
        <v>9</v>
      </c>
      <c r="Q1161">
        <v>0</v>
      </c>
      <c r="R1161">
        <v>0</v>
      </c>
      <c r="S1161">
        <v>9</v>
      </c>
      <c r="Y1161" t="s">
        <v>7830</v>
      </c>
      <c r="Z1161" t="s">
        <v>2497</v>
      </c>
      <c r="AA1161" t="s">
        <v>2730</v>
      </c>
      <c r="AD1161" s="249" t="str">
        <f>HYPERLINK("https://scontent.cdninstagram.com/t51.2885-15/s320x320/e35/20838588_657424971123561_3868247640713986048_n.jpg")</f>
        <v>https://scontent.cdninstagram.com/t51.2885-15/s320x320/e35/20838588_657424971123561_3868247640713986048_n.jpg</v>
      </c>
      <c r="AE1161" s="249" t="str">
        <f>HYPERLINK("https://scontent.cdninstagram.com/t51.2885-19/s150x150/14063152_572025166292115_958414314_a.jpg")</f>
        <v>https://scontent.cdninstagram.com/t51.2885-19/s150x150/14063152_572025166292115_958414314_a.jpg</v>
      </c>
    </row>
    <row r="1162" spans="1:31" ht="15" x14ac:dyDescent="0.25">
      <c r="A1162" t="s">
        <v>2474</v>
      </c>
      <c r="B1162" t="s">
        <v>8988</v>
      </c>
      <c r="C1162" s="221">
        <v>42963.913101851853</v>
      </c>
      <c r="D1162" t="s">
        <v>8989</v>
      </c>
      <c r="E1162" s="249" t="str">
        <f>HYPERLINK("https://www.instagram.com/p/BX4JDQmF0-8/")</f>
        <v>https://www.instagram.com/p/BX4JDQmF0-8/</v>
      </c>
      <c r="F1162" t="s">
        <v>8990</v>
      </c>
      <c r="G1162" t="s">
        <v>2478</v>
      </c>
      <c r="H1162">
        <v>134</v>
      </c>
      <c r="I1162" t="s">
        <v>2910</v>
      </c>
      <c r="J1162">
        <v>1</v>
      </c>
      <c r="K1162">
        <v>28</v>
      </c>
      <c r="L1162">
        <v>29</v>
      </c>
      <c r="Q1162">
        <v>0</v>
      </c>
      <c r="R1162">
        <v>0</v>
      </c>
      <c r="S1162">
        <v>29</v>
      </c>
      <c r="Y1162" t="s">
        <v>8991</v>
      </c>
      <c r="Z1162" t="s">
        <v>8992</v>
      </c>
      <c r="AA1162" t="s">
        <v>8993</v>
      </c>
      <c r="AB1162" t="s">
        <v>5989</v>
      </c>
      <c r="AC1162" t="s">
        <v>8994</v>
      </c>
      <c r="AD1162" s="249" t="str">
        <f>HYPERLINK("https://scontent.cdninstagram.com/t51.2885-15/s320x320/e35/20838595_1198389286973263_8150079359059755008_n.jpg")</f>
        <v>https://scontent.cdninstagram.com/t51.2885-15/s320x320/e35/20838595_1198389286973263_8150079359059755008_n.jpg</v>
      </c>
      <c r="AE1162" s="249" t="str">
        <f>HYPERLINK("https://scontent.cdninstagram.com/t51.2885-19/s150x150/18879774_303744810052730_1914433104701816832_a.jpg")</f>
        <v>https://scontent.cdninstagram.com/t51.2885-19/s150x150/18879774_303744810052730_1914433104701816832_a.jpg</v>
      </c>
    </row>
    <row r="1163" spans="1:31" ht="15" x14ac:dyDescent="0.25">
      <c r="A1163" t="s">
        <v>2474</v>
      </c>
      <c r="B1163" t="s">
        <v>8995</v>
      </c>
      <c r="C1163" s="221">
        <v>42963.92759259259</v>
      </c>
      <c r="D1163" t="s">
        <v>8996</v>
      </c>
      <c r="E1163" s="249" t="str">
        <f>HYPERLINK("https://www.instagram.com/p/BX4LcGAjhLL/")</f>
        <v>https://www.instagram.com/p/BX4LcGAjhLL/</v>
      </c>
      <c r="F1163" t="s">
        <v>8997</v>
      </c>
      <c r="G1163" t="s">
        <v>2478</v>
      </c>
      <c r="H1163">
        <v>307</v>
      </c>
      <c r="I1163" t="s">
        <v>3170</v>
      </c>
      <c r="J1163">
        <v>1</v>
      </c>
      <c r="K1163">
        <v>30</v>
      </c>
      <c r="L1163">
        <v>31</v>
      </c>
      <c r="Q1163">
        <v>0</v>
      </c>
      <c r="R1163">
        <v>0</v>
      </c>
      <c r="S1163">
        <v>31</v>
      </c>
      <c r="T1163" t="s">
        <v>6644</v>
      </c>
      <c r="U1163" t="s">
        <v>99</v>
      </c>
      <c r="V1163" t="s">
        <v>2299</v>
      </c>
      <c r="W1163">
        <v>40.714199999999998</v>
      </c>
      <c r="X1163">
        <v>-74.006399999999999</v>
      </c>
      <c r="Y1163" t="s">
        <v>8998</v>
      </c>
      <c r="Z1163" t="s">
        <v>8999</v>
      </c>
      <c r="AA1163" t="s">
        <v>5765</v>
      </c>
      <c r="AB1163" t="s">
        <v>6898</v>
      </c>
      <c r="AC1163" t="s">
        <v>9000</v>
      </c>
      <c r="AD1163" s="249" t="str">
        <f>HYPERLINK("https://scontent.cdninstagram.com/t51.2885-15/s320x320/e35/20902807_1402626443108569_2636733637659197440_n.jpg")</f>
        <v>https://scontent.cdninstagram.com/t51.2885-15/s320x320/e35/20902807_1402626443108569_2636733637659197440_n.jpg</v>
      </c>
      <c r="AE1163" s="249" t="str">
        <f>HYPERLINK("https://scontent.cdninstagram.com/t51.2885-19/11349246_485454574957308_278033014_a.jpg")</f>
        <v>https://scontent.cdninstagram.com/t51.2885-19/11349246_485454574957308_278033014_a.jpg</v>
      </c>
    </row>
    <row r="1164" spans="1:31" ht="15" x14ac:dyDescent="0.25">
      <c r="A1164" t="s">
        <v>2474</v>
      </c>
      <c r="B1164" t="s">
        <v>9001</v>
      </c>
      <c r="C1164" s="221">
        <v>42963.93241898148</v>
      </c>
      <c r="D1164" t="s">
        <v>9002</v>
      </c>
      <c r="E1164" s="249" t="str">
        <f>HYPERLINK("https://www.instagram.com/p/BX4MO_GgD4S/")</f>
        <v>https://www.instagram.com/p/BX4MO_GgD4S/</v>
      </c>
      <c r="F1164" t="s">
        <v>9003</v>
      </c>
      <c r="G1164" t="s">
        <v>2478</v>
      </c>
      <c r="H1164">
        <v>1284</v>
      </c>
      <c r="I1164" t="s">
        <v>2479</v>
      </c>
      <c r="J1164">
        <v>5</v>
      </c>
      <c r="K1164">
        <v>62</v>
      </c>
      <c r="L1164">
        <v>67</v>
      </c>
      <c r="Q1164">
        <v>0</v>
      </c>
      <c r="R1164">
        <v>0</v>
      </c>
      <c r="S1164">
        <v>67</v>
      </c>
      <c r="Y1164" t="s">
        <v>9004</v>
      </c>
      <c r="Z1164" t="s">
        <v>9005</v>
      </c>
      <c r="AA1164" t="s">
        <v>9006</v>
      </c>
      <c r="AB1164" t="s">
        <v>3937</v>
      </c>
      <c r="AC1164" t="s">
        <v>9007</v>
      </c>
      <c r="AD1164" s="249" t="str">
        <f>HYPERLINK("https://scontent.cdninstagram.com/t51.2885-15/s320x320/e35/20838939_1745464992419297_2534171485078028288_n.jpg")</f>
        <v>https://scontent.cdninstagram.com/t51.2885-15/s320x320/e35/20838939_1745464992419297_2534171485078028288_n.jpg</v>
      </c>
      <c r="AE1164" s="249" t="str">
        <f>HYPERLINK("https://scontent.cdninstagram.com/t51.2885-19/s150x150/16908934_266559883774025_1276094900298842112_a.jpg")</f>
        <v>https://scontent.cdninstagram.com/t51.2885-19/s150x150/16908934_266559883774025_1276094900298842112_a.jpg</v>
      </c>
    </row>
    <row r="1165" spans="1:31" ht="15" x14ac:dyDescent="0.25">
      <c r="A1165" t="s">
        <v>2474</v>
      </c>
      <c r="B1165" t="s">
        <v>9008</v>
      </c>
      <c r="C1165" s="221">
        <v>42963.973460648151</v>
      </c>
      <c r="D1165" t="s">
        <v>9009</v>
      </c>
      <c r="E1165" s="249" t="str">
        <f>HYPERLINK("https://www.instagram.com/p/BX4S_56BmwU/")</f>
        <v>https://www.instagram.com/p/BX4S_56BmwU/</v>
      </c>
      <c r="F1165" t="s">
        <v>9010</v>
      </c>
      <c r="G1165" t="s">
        <v>2478</v>
      </c>
      <c r="H1165">
        <v>1264</v>
      </c>
      <c r="I1165" t="s">
        <v>3273</v>
      </c>
      <c r="J1165">
        <v>1</v>
      </c>
      <c r="K1165">
        <v>51</v>
      </c>
      <c r="L1165">
        <v>52</v>
      </c>
      <c r="Q1165">
        <v>0</v>
      </c>
      <c r="R1165">
        <v>0</v>
      </c>
      <c r="S1165">
        <v>52</v>
      </c>
      <c r="Y1165" t="s">
        <v>9011</v>
      </c>
      <c r="Z1165" t="s">
        <v>4174</v>
      </c>
      <c r="AA1165" t="s">
        <v>2777</v>
      </c>
      <c r="AB1165" t="s">
        <v>9012</v>
      </c>
      <c r="AC1165" t="s">
        <v>8047</v>
      </c>
      <c r="AD1165" s="249" t="str">
        <f>HYPERLINK("https://scontent.cdninstagram.com/t51.2885-15/s320x320/e35/c0.112.898.898/20837755_489117961465174_1842989068216958976_n.jpg")</f>
        <v>https://scontent.cdninstagram.com/t51.2885-15/s320x320/e35/c0.112.898.898/20837755_489117961465174_1842989068216958976_n.jpg</v>
      </c>
      <c r="AE1165" s="249" t="str">
        <f>HYPERLINK("https://scontent.cdninstagram.com/t51.2885-19/s150x150/14562050_404198233252967_5161203865357385728_n.jpg")</f>
        <v>https://scontent.cdninstagram.com/t51.2885-19/s150x150/14562050_404198233252967_5161203865357385728_n.jpg</v>
      </c>
    </row>
    <row r="1166" spans="1:31" ht="15" x14ac:dyDescent="0.25">
      <c r="A1166" t="s">
        <v>2474</v>
      </c>
      <c r="B1166" t="s">
        <v>9013</v>
      </c>
      <c r="C1166" s="221">
        <v>42963.980983796297</v>
      </c>
      <c r="D1166" t="s">
        <v>9014</v>
      </c>
      <c r="E1166" s="249" t="str">
        <f>HYPERLINK("https://www.instagram.com/p/BX4UPNFlT3O/")</f>
        <v>https://www.instagram.com/p/BX4UPNFlT3O/</v>
      </c>
      <c r="F1166" t="s">
        <v>9015</v>
      </c>
      <c r="G1166" t="s">
        <v>2478</v>
      </c>
      <c r="H1166">
        <v>3564</v>
      </c>
      <c r="I1166" t="s">
        <v>2479</v>
      </c>
      <c r="J1166">
        <v>3</v>
      </c>
      <c r="K1166">
        <v>48</v>
      </c>
      <c r="L1166">
        <v>51</v>
      </c>
      <c r="Q1166">
        <v>0</v>
      </c>
      <c r="R1166">
        <v>0</v>
      </c>
      <c r="S1166">
        <v>51</v>
      </c>
      <c r="Y1166" t="s">
        <v>9016</v>
      </c>
      <c r="Z1166" t="s">
        <v>9017</v>
      </c>
      <c r="AA1166" t="s">
        <v>9018</v>
      </c>
      <c r="AB1166" t="s">
        <v>9019</v>
      </c>
      <c r="AC1166" t="s">
        <v>2497</v>
      </c>
      <c r="AD1166" s="249" t="str">
        <f>HYPERLINK("https://scontent.cdninstagram.com/t51.2885-15/s320x320/e35/c0.135.1080.1080/20905026_268233357014172_1281834707478118400_n.jpg")</f>
        <v>https://scontent.cdninstagram.com/t51.2885-15/s320x320/e35/c0.135.1080.1080/20905026_268233357014172_1281834707478118400_n.jpg</v>
      </c>
      <c r="AE1166" s="249" t="str">
        <f>HYPERLINK("https://scontent.cdninstagram.com/t51.2885-19/s150x150/16122791_685585664950995_2212594158206451712_n.jpg")</f>
        <v>https://scontent.cdninstagram.com/t51.2885-19/s150x150/16122791_685585664950995_2212594158206451712_n.jpg</v>
      </c>
    </row>
    <row r="1167" spans="1:31" ht="15" x14ac:dyDescent="0.25">
      <c r="A1167" t="s">
        <v>2474</v>
      </c>
      <c r="B1167" t="s">
        <v>9020</v>
      </c>
      <c r="C1167" s="221">
        <v>42963.988171296296</v>
      </c>
      <c r="D1167" t="s">
        <v>9021</v>
      </c>
      <c r="E1167" s="249" t="str">
        <f>HYPERLINK("https://www.instagram.com/p/BX4Va_VAnf2/")</f>
        <v>https://www.instagram.com/p/BX4Va_VAnf2/</v>
      </c>
      <c r="F1167" t="s">
        <v>9022</v>
      </c>
      <c r="G1167" t="s">
        <v>2478</v>
      </c>
      <c r="H1167">
        <v>274</v>
      </c>
      <c r="I1167" t="s">
        <v>3170</v>
      </c>
      <c r="J1167">
        <v>0</v>
      </c>
      <c r="K1167">
        <v>13</v>
      </c>
      <c r="L1167">
        <v>13</v>
      </c>
      <c r="Q1167">
        <v>0</v>
      </c>
      <c r="R1167">
        <v>0</v>
      </c>
      <c r="S1167">
        <v>13</v>
      </c>
      <c r="T1167" t="s">
        <v>9023</v>
      </c>
      <c r="V1167" t="s">
        <v>2125</v>
      </c>
      <c r="W1167">
        <v>43.640300000000003</v>
      </c>
      <c r="X1167">
        <v>-79.375299999999996</v>
      </c>
      <c r="Y1167" t="s">
        <v>9024</v>
      </c>
      <c r="Z1167" t="s">
        <v>9025</v>
      </c>
      <c r="AA1167" t="s">
        <v>9026</v>
      </c>
      <c r="AB1167" t="s">
        <v>9027</v>
      </c>
      <c r="AC1167" t="s">
        <v>9028</v>
      </c>
      <c r="AD1167" s="249" t="str">
        <f>HYPERLINK("https://scontent.cdninstagram.com/t51.2885-15/s320x320/e35/c135.0.810.810/20902384_116584959000437_1232171833130745856_n.jpg")</f>
        <v>https://scontent.cdninstagram.com/t51.2885-15/s320x320/e35/c135.0.810.810/20902384_116584959000437_1232171833130745856_n.jpg</v>
      </c>
      <c r="AE1167" s="249" t="str">
        <f>HYPERLINK("https://scontent.cdninstagram.com/t51.2885-19/s150x150/20225267_1613247592080350_3613860185220579328_a.jpg")</f>
        <v>https://scontent.cdninstagram.com/t51.2885-19/s150x150/20225267_1613247592080350_3613860185220579328_a.jpg</v>
      </c>
    </row>
    <row r="1168" spans="1:31" ht="15" x14ac:dyDescent="0.25">
      <c r="A1168" t="s">
        <v>2474</v>
      </c>
      <c r="B1168" t="s">
        <v>9029</v>
      </c>
      <c r="C1168" s="221">
        <v>42964.000972222224</v>
      </c>
      <c r="D1168" t="s">
        <v>9030</v>
      </c>
      <c r="E1168" s="249" t="str">
        <f>HYPERLINK("https://www.instagram.com/p/BX4XiBeAeZw/")</f>
        <v>https://www.instagram.com/p/BX4XiBeAeZw/</v>
      </c>
      <c r="F1168" t="s">
        <v>9031</v>
      </c>
      <c r="G1168" t="s">
        <v>2488</v>
      </c>
      <c r="H1168">
        <v>119</v>
      </c>
      <c r="I1168" t="s">
        <v>2479</v>
      </c>
      <c r="J1168">
        <v>1</v>
      </c>
      <c r="K1168">
        <v>20</v>
      </c>
      <c r="L1168">
        <v>21</v>
      </c>
      <c r="Q1168">
        <v>0</v>
      </c>
      <c r="R1168">
        <v>0</v>
      </c>
      <c r="S1168">
        <v>21</v>
      </c>
      <c r="Y1168" t="s">
        <v>3738</v>
      </c>
      <c r="Z1168" t="s">
        <v>9032</v>
      </c>
      <c r="AA1168" t="s">
        <v>9033</v>
      </c>
      <c r="AB1168" t="s">
        <v>4620</v>
      </c>
      <c r="AC1168" t="s">
        <v>9034</v>
      </c>
      <c r="AD1168" s="249" t="str">
        <f>HYPERLINK("https://scontent.cdninstagram.com/t51.2885-15/s320x320/e35/20905061_280021042481251_1782722319047720960_n.jpg")</f>
        <v>https://scontent.cdninstagram.com/t51.2885-15/s320x320/e35/20905061_280021042481251_1782722319047720960_n.jpg</v>
      </c>
      <c r="AE1168" s="249" t="str">
        <f>HYPERLINK("https://scontent.cdninstagram.com/t51.2885-19/s150x150/14553177_675343162614310_6819710945611218944_a.jpg")</f>
        <v>https://scontent.cdninstagram.com/t51.2885-19/s150x150/14553177_675343162614310_6819710945611218944_a.jpg</v>
      </c>
    </row>
    <row r="1169" spans="1:31" ht="15" x14ac:dyDescent="0.25">
      <c r="A1169" t="s">
        <v>2474</v>
      </c>
      <c r="B1169" t="s">
        <v>9035</v>
      </c>
      <c r="C1169" s="221">
        <v>42964.027268518519</v>
      </c>
      <c r="D1169" t="s">
        <v>9036</v>
      </c>
      <c r="E1169" s="249" t="str">
        <f>HYPERLINK("https://www.instagram.com/p/BX4b3VAgfFS/")</f>
        <v>https://www.instagram.com/p/BX4b3VAgfFS/</v>
      </c>
      <c r="F1169" t="s">
        <v>9037</v>
      </c>
      <c r="G1169" t="s">
        <v>2478</v>
      </c>
      <c r="H1169">
        <v>677</v>
      </c>
      <c r="I1169" t="s">
        <v>2510</v>
      </c>
      <c r="J1169">
        <v>1</v>
      </c>
      <c r="K1169">
        <v>28</v>
      </c>
      <c r="L1169">
        <v>29</v>
      </c>
      <c r="Q1169">
        <v>0</v>
      </c>
      <c r="R1169">
        <v>0</v>
      </c>
      <c r="S1169">
        <v>29</v>
      </c>
      <c r="Y1169" t="s">
        <v>9038</v>
      </c>
      <c r="Z1169" t="s">
        <v>9011</v>
      </c>
      <c r="AA1169" t="s">
        <v>7560</v>
      </c>
      <c r="AB1169" t="s">
        <v>3843</v>
      </c>
      <c r="AC1169" t="s">
        <v>9039</v>
      </c>
      <c r="AD1169" s="249" t="str">
        <f>HYPERLINK("https://scontent.cdninstagram.com/t51.2885-15/s320x320/e35/c0.135.1080.1080/20902058_503522523313624_3065633014617735168_n.jpg")</f>
        <v>https://scontent.cdninstagram.com/t51.2885-15/s320x320/e35/c0.135.1080.1080/20902058_503522523313624_3065633014617735168_n.jpg</v>
      </c>
      <c r="AE1169" s="249" t="str">
        <f>HYPERLINK("https://scontent.cdninstagram.com/t51.2885-19/s150x150/20837140_158461924709521_656414605060341760_a.jpg")</f>
        <v>https://scontent.cdninstagram.com/t51.2885-19/s150x150/20837140_158461924709521_656414605060341760_a.jpg</v>
      </c>
    </row>
    <row r="1170" spans="1:31" ht="15" x14ac:dyDescent="0.25">
      <c r="A1170" t="s">
        <v>2474</v>
      </c>
      <c r="B1170" t="s">
        <v>9040</v>
      </c>
      <c r="C1170" s="221">
        <v>42964.027881944443</v>
      </c>
      <c r="D1170" t="s">
        <v>9041</v>
      </c>
      <c r="E1170" s="249" t="str">
        <f>HYPERLINK("https://www.instagram.com/p/BX4b91hFDfK/")</f>
        <v>https://www.instagram.com/p/BX4b91hFDfK/</v>
      </c>
      <c r="F1170" t="s">
        <v>9042</v>
      </c>
      <c r="G1170" t="s">
        <v>2478</v>
      </c>
      <c r="H1170">
        <v>636</v>
      </c>
      <c r="I1170" t="s">
        <v>2622</v>
      </c>
      <c r="J1170">
        <v>2</v>
      </c>
      <c r="K1170">
        <v>36</v>
      </c>
      <c r="L1170">
        <v>38</v>
      </c>
      <c r="Q1170">
        <v>0</v>
      </c>
      <c r="R1170">
        <v>0</v>
      </c>
      <c r="S1170">
        <v>38</v>
      </c>
      <c r="Y1170" t="s">
        <v>9043</v>
      </c>
      <c r="Z1170" t="s">
        <v>9044</v>
      </c>
      <c r="AA1170" t="s">
        <v>9045</v>
      </c>
      <c r="AB1170" t="s">
        <v>9046</v>
      </c>
      <c r="AC1170" t="s">
        <v>2497</v>
      </c>
      <c r="AD1170" s="249" t="str">
        <f>HYPERLINK("https://scontent.cdninstagram.com/t51.2885-15/s320x320/e35/c0.90.720.720/20838119_2007745645917524_2838940925588144128_n.jpg")</f>
        <v>https://scontent.cdninstagram.com/t51.2885-15/s320x320/e35/c0.90.720.720/20838119_2007745645917524_2838940925588144128_n.jpg</v>
      </c>
      <c r="AE1170" s="249" t="str">
        <f>HYPERLINK("https://scontent.cdninstagram.com/t51.2885-19/s150x150/15876128_1760420427609376_8623537054619271168_a.jpg")</f>
        <v>https://scontent.cdninstagram.com/t51.2885-19/s150x150/15876128_1760420427609376_8623537054619271168_a.jpg</v>
      </c>
    </row>
    <row r="1171" spans="1:31" ht="15" x14ac:dyDescent="0.25">
      <c r="A1171" t="s">
        <v>2474</v>
      </c>
      <c r="B1171" t="s">
        <v>9035</v>
      </c>
      <c r="C1171" s="221">
        <v>42964.041620370372</v>
      </c>
      <c r="D1171" t="s">
        <v>9047</v>
      </c>
      <c r="E1171" s="249" t="str">
        <f>HYPERLINK("https://www.instagram.com/p/BX4eOrVgKtQ/")</f>
        <v>https://www.instagram.com/p/BX4eOrVgKtQ/</v>
      </c>
      <c r="F1171" t="s">
        <v>9048</v>
      </c>
      <c r="G1171" t="s">
        <v>2478</v>
      </c>
      <c r="H1171">
        <v>677</v>
      </c>
      <c r="I1171" t="s">
        <v>8378</v>
      </c>
      <c r="J1171">
        <v>4</v>
      </c>
      <c r="K1171">
        <v>26</v>
      </c>
      <c r="L1171">
        <v>30</v>
      </c>
      <c r="Q1171">
        <v>0</v>
      </c>
      <c r="R1171">
        <v>0</v>
      </c>
      <c r="S1171">
        <v>30</v>
      </c>
      <c r="Y1171" t="s">
        <v>9049</v>
      </c>
      <c r="Z1171" t="s">
        <v>9050</v>
      </c>
      <c r="AA1171" t="s">
        <v>9051</v>
      </c>
      <c r="AB1171" t="s">
        <v>9052</v>
      </c>
      <c r="AC1171" t="s">
        <v>9053</v>
      </c>
      <c r="AD1171" s="249" t="str">
        <f>HYPERLINK("https://scontent.cdninstagram.com/t51.2885-15/s320x320/e35/20905154_358552364577114_4495960456803909632_n.jpg")</f>
        <v>https://scontent.cdninstagram.com/t51.2885-15/s320x320/e35/20905154_358552364577114_4495960456803909632_n.jpg</v>
      </c>
      <c r="AE1171" s="249" t="str">
        <f>HYPERLINK("https://scontent.cdninstagram.com/t51.2885-19/s150x150/20837140_158461924709521_656414605060341760_a.jpg")</f>
        <v>https://scontent.cdninstagram.com/t51.2885-19/s150x150/20837140_158461924709521_656414605060341760_a.jpg</v>
      </c>
    </row>
    <row r="1172" spans="1:31" ht="15" x14ac:dyDescent="0.25">
      <c r="A1172" t="s">
        <v>2474</v>
      </c>
      <c r="B1172" t="s">
        <v>6430</v>
      </c>
      <c r="C1172" s="221">
        <v>42964.058344907404</v>
      </c>
      <c r="D1172" t="s">
        <v>9054</v>
      </c>
      <c r="E1172" s="249" t="str">
        <f>HYPERLINK("https://www.instagram.com/p/BX4g_GhjHet/")</f>
        <v>https://www.instagram.com/p/BX4g_GhjHet/</v>
      </c>
      <c r="F1172" t="s">
        <v>9055</v>
      </c>
      <c r="G1172" t="s">
        <v>2478</v>
      </c>
      <c r="H1172">
        <v>542</v>
      </c>
      <c r="I1172" t="s">
        <v>2542</v>
      </c>
      <c r="J1172">
        <v>3</v>
      </c>
      <c r="K1172">
        <v>78</v>
      </c>
      <c r="L1172">
        <v>81</v>
      </c>
      <c r="Q1172">
        <v>0</v>
      </c>
      <c r="R1172">
        <v>0</v>
      </c>
      <c r="S1172">
        <v>81</v>
      </c>
      <c r="T1172" t="s">
        <v>6433</v>
      </c>
      <c r="V1172" t="s">
        <v>2161</v>
      </c>
      <c r="W1172">
        <v>50.111550000000001</v>
      </c>
      <c r="X1172">
        <v>8.7322199999999999</v>
      </c>
      <c r="Y1172" t="s">
        <v>9056</v>
      </c>
      <c r="Z1172" t="s">
        <v>6435</v>
      </c>
      <c r="AA1172" t="s">
        <v>6835</v>
      </c>
      <c r="AB1172" t="s">
        <v>5884</v>
      </c>
      <c r="AC1172" t="s">
        <v>9057</v>
      </c>
      <c r="AD1172" s="249" t="str">
        <f>HYPERLINK("https://scontent.cdninstagram.com/t51.2885-15/s320x320/e35/c135.0.809.809/20837478_123099021666470_9089810244850155520_n.jpg")</f>
        <v>https://scontent.cdninstagram.com/t51.2885-15/s320x320/e35/c135.0.809.809/20837478_123099021666470_9089810244850155520_n.jpg</v>
      </c>
      <c r="AE1172" s="249" t="str">
        <f>HYPERLINK("https://scontent.cdninstagram.com/t51.2885-19/s150x150/13398358_595469227288185_1591718638_a.jpg")</f>
        <v>https://scontent.cdninstagram.com/t51.2885-19/s150x150/13398358_595469227288185_1591718638_a.jpg</v>
      </c>
    </row>
    <row r="1173" spans="1:31" ht="15" x14ac:dyDescent="0.25">
      <c r="A1173" t="s">
        <v>2474</v>
      </c>
      <c r="B1173" t="s">
        <v>9058</v>
      </c>
      <c r="C1173" s="221">
        <v>42964.091296296298</v>
      </c>
      <c r="D1173" t="s">
        <v>9059</v>
      </c>
      <c r="E1173" s="249" t="str">
        <f>HYPERLINK("https://www.instagram.com/p/BX4man-HDYR/")</f>
        <v>https://www.instagram.com/p/BX4man-HDYR/</v>
      </c>
      <c r="F1173" t="s">
        <v>9060</v>
      </c>
      <c r="G1173" t="s">
        <v>2478</v>
      </c>
      <c r="I1173" t="s">
        <v>2479</v>
      </c>
      <c r="J1173">
        <v>2</v>
      </c>
      <c r="K1173">
        <v>33</v>
      </c>
      <c r="L1173">
        <v>35</v>
      </c>
      <c r="Q1173">
        <v>0</v>
      </c>
      <c r="R1173">
        <v>0</v>
      </c>
      <c r="S1173">
        <v>35</v>
      </c>
      <c r="Y1173" t="s">
        <v>9061</v>
      </c>
      <c r="Z1173" t="s">
        <v>9062</v>
      </c>
      <c r="AA1173" t="s">
        <v>9063</v>
      </c>
      <c r="AB1173" t="s">
        <v>2497</v>
      </c>
      <c r="AC1173" t="s">
        <v>9064</v>
      </c>
      <c r="AD1173" s="249" t="str">
        <f>HYPERLINK("https://scontent.cdninstagram.com/t51.2885-15/s320x320/e35/c0.135.1080.1080/20837550_328704397579866_8962725310772543488_n.jpg")</f>
        <v>https://scontent.cdninstagram.com/t51.2885-15/s320x320/e35/c0.135.1080.1080/20837550_328704397579866_8962725310772543488_n.jpg</v>
      </c>
      <c r="AE1173" s="249" t="str">
        <f>HYPERLINK("https://scontent.cdninstagram.com/t51.2885-19/s150x150/17882696_1470492633024592_5891888964750540800_a.jpg")</f>
        <v>https://scontent.cdninstagram.com/t51.2885-19/s150x150/17882696_1470492633024592_5891888964750540800_a.jpg</v>
      </c>
    </row>
    <row r="1174" spans="1:31" ht="15" x14ac:dyDescent="0.25">
      <c r="A1174" t="s">
        <v>2474</v>
      </c>
      <c r="B1174" t="s">
        <v>9065</v>
      </c>
      <c r="C1174" s="221">
        <v>42964.097314814811</v>
      </c>
      <c r="D1174" t="s">
        <v>9066</v>
      </c>
      <c r="E1174" s="249" t="str">
        <f>HYPERLINK("https://www.instagram.com/p/BX4naE5gzIq/")</f>
        <v>https://www.instagram.com/p/BX4naE5gzIq/</v>
      </c>
      <c r="F1174" t="s">
        <v>9067</v>
      </c>
      <c r="G1174" t="s">
        <v>2478</v>
      </c>
      <c r="H1174">
        <v>106</v>
      </c>
      <c r="I1174" t="s">
        <v>2479</v>
      </c>
      <c r="J1174">
        <v>3</v>
      </c>
      <c r="K1174">
        <v>64</v>
      </c>
      <c r="L1174">
        <v>67</v>
      </c>
      <c r="Q1174">
        <v>0</v>
      </c>
      <c r="R1174">
        <v>0</v>
      </c>
      <c r="S1174">
        <v>67</v>
      </c>
      <c r="Y1174" t="s">
        <v>9068</v>
      </c>
      <c r="Z1174" t="s">
        <v>7190</v>
      </c>
      <c r="AA1174" t="s">
        <v>9069</v>
      </c>
      <c r="AB1174" t="s">
        <v>9070</v>
      </c>
      <c r="AC1174" t="s">
        <v>4407</v>
      </c>
      <c r="AD1174" s="249" t="str">
        <f>HYPERLINK("https://scontent.cdninstagram.com/t51.2885-15/s320x320/e35/c0.135.1080.1080/20838490_1197256987086424_4018993493790687232_n.jpg")</f>
        <v>https://scontent.cdninstagram.com/t51.2885-15/s320x320/e35/c0.135.1080.1080/20838490_1197256987086424_4018993493790687232_n.jpg</v>
      </c>
      <c r="AE1174" s="249" t="str">
        <f>HYPERLINK("https://scontent.cdninstagram.com/t51.2885-19/s150x150/12627886_1671772246417326_1702113409_a.jpg")</f>
        <v>https://scontent.cdninstagram.com/t51.2885-19/s150x150/12627886_1671772246417326_1702113409_a.jpg</v>
      </c>
    </row>
    <row r="1175" spans="1:31" ht="15" x14ac:dyDescent="0.25">
      <c r="A1175" t="s">
        <v>2474</v>
      </c>
      <c r="B1175" t="s">
        <v>8312</v>
      </c>
      <c r="C1175" s="221">
        <v>42964.098634259259</v>
      </c>
      <c r="D1175" t="s">
        <v>9071</v>
      </c>
      <c r="E1175" s="249" t="str">
        <f>HYPERLINK("https://www.instagram.com/p/BX4noC7l7Ga/")</f>
        <v>https://www.instagram.com/p/BX4noC7l7Ga/</v>
      </c>
      <c r="F1175" t="s">
        <v>9072</v>
      </c>
      <c r="G1175" t="s">
        <v>2478</v>
      </c>
      <c r="H1175">
        <v>10</v>
      </c>
      <c r="I1175" t="s">
        <v>2479</v>
      </c>
      <c r="J1175">
        <v>0</v>
      </c>
      <c r="K1175">
        <v>28</v>
      </c>
      <c r="L1175">
        <v>28</v>
      </c>
      <c r="Q1175">
        <v>0</v>
      </c>
      <c r="R1175">
        <v>0</v>
      </c>
      <c r="S1175">
        <v>28</v>
      </c>
      <c r="T1175" t="s">
        <v>8315</v>
      </c>
      <c r="V1175" t="s">
        <v>2264</v>
      </c>
      <c r="W1175">
        <v>42.783299999999997</v>
      </c>
      <c r="X1175">
        <v>-7.4</v>
      </c>
      <c r="Y1175" t="s">
        <v>8318</v>
      </c>
      <c r="Z1175" t="s">
        <v>9073</v>
      </c>
      <c r="AA1175" t="s">
        <v>9074</v>
      </c>
      <c r="AB1175" t="s">
        <v>3945</v>
      </c>
      <c r="AC1175" t="s">
        <v>9075</v>
      </c>
      <c r="AD1175" s="249" t="str">
        <f>HYPERLINK("https://scontent.cdninstagram.com/t51.2885-15/s320x320/e35/20837123_347415709020566_4717967767305715712_n.jpg")</f>
        <v>https://scontent.cdninstagram.com/t51.2885-15/s320x320/e35/20837123_347415709020566_4717967767305715712_n.jpg</v>
      </c>
      <c r="AE1175" s="249" t="str">
        <f>HYPERLINK("https://scontent.cdninstagram.com/t51.2885-19/s150x150/20347739_515336592144896_3974966673097621504_a.jpg")</f>
        <v>https://scontent.cdninstagram.com/t51.2885-19/s150x150/20347739_515336592144896_3974966673097621504_a.jpg</v>
      </c>
    </row>
    <row r="1176" spans="1:31" ht="15" x14ac:dyDescent="0.25">
      <c r="A1176" t="s">
        <v>2474</v>
      </c>
      <c r="B1176" t="s">
        <v>9076</v>
      </c>
      <c r="C1176" s="221">
        <v>42964.10255787037</v>
      </c>
      <c r="D1176" t="s">
        <v>9077</v>
      </c>
      <c r="E1176" s="249" t="str">
        <f>HYPERLINK("https://www.instagram.com/p/BX4oRYqFb01/")</f>
        <v>https://www.instagram.com/p/BX4oRYqFb01/</v>
      </c>
      <c r="F1176" t="s">
        <v>9078</v>
      </c>
      <c r="G1176" t="s">
        <v>2478</v>
      </c>
      <c r="H1176">
        <v>397867</v>
      </c>
      <c r="I1176" t="s">
        <v>2479</v>
      </c>
      <c r="J1176">
        <v>107</v>
      </c>
      <c r="K1176">
        <v>13672</v>
      </c>
      <c r="L1176">
        <v>13779</v>
      </c>
      <c r="Q1176">
        <v>0</v>
      </c>
      <c r="R1176">
        <v>0</v>
      </c>
      <c r="S1176">
        <v>13779</v>
      </c>
      <c r="T1176" t="s">
        <v>9079</v>
      </c>
      <c r="U1176" t="s">
        <v>97</v>
      </c>
      <c r="V1176" t="s">
        <v>2299</v>
      </c>
      <c r="W1176">
        <v>34.105785597355997</v>
      </c>
      <c r="X1176">
        <v>-118.34949247095</v>
      </c>
      <c r="Y1176" t="s">
        <v>9080</v>
      </c>
      <c r="Z1176" t="s">
        <v>9081</v>
      </c>
      <c r="AA1176" t="s">
        <v>2497</v>
      </c>
      <c r="AB1176" t="s">
        <v>9082</v>
      </c>
      <c r="AC1176" t="s">
        <v>9083</v>
      </c>
      <c r="AD1176" s="249" t="str">
        <f>HYPERLINK("https://scontent.cdninstagram.com/t51.2885-15/s320x320/e35/c0.135.1080.1080/20905197_1932156630371948_281997687115481088_n.jpg")</f>
        <v>https://scontent.cdninstagram.com/t51.2885-15/s320x320/e35/c0.135.1080.1080/20905197_1932156630371948_281997687115481088_n.jpg</v>
      </c>
      <c r="AE1176" s="249" t="str">
        <f>HYPERLINK("https://scontent.cdninstagram.com/t51.2885-19/s150x150/20686934_477338145979101_8222415331402973184_a.jpg")</f>
        <v>https://scontent.cdninstagram.com/t51.2885-19/s150x150/20686934_477338145979101_8222415331402973184_a.jpg</v>
      </c>
    </row>
    <row r="1177" spans="1:31" ht="15" x14ac:dyDescent="0.25">
      <c r="A1177" t="s">
        <v>2474</v>
      </c>
      <c r="B1177" t="s">
        <v>3710</v>
      </c>
      <c r="C1177" s="221">
        <v>42964.116307870368</v>
      </c>
      <c r="D1177" t="s">
        <v>9084</v>
      </c>
      <c r="E1177" s="249" t="str">
        <f>HYPERLINK("https://www.instagram.com/p/BX4qiZzAr4-/")</f>
        <v>https://www.instagram.com/p/BX4qiZzAr4-/</v>
      </c>
      <c r="F1177" t="s">
        <v>9085</v>
      </c>
      <c r="G1177" t="s">
        <v>2478</v>
      </c>
      <c r="H1177">
        <v>13761</v>
      </c>
      <c r="I1177" t="s">
        <v>2479</v>
      </c>
      <c r="J1177">
        <v>12</v>
      </c>
      <c r="K1177">
        <v>176</v>
      </c>
      <c r="L1177">
        <v>188</v>
      </c>
      <c r="Q1177">
        <v>0</v>
      </c>
      <c r="R1177">
        <v>0</v>
      </c>
      <c r="S1177">
        <v>188</v>
      </c>
      <c r="Y1177" t="s">
        <v>9086</v>
      </c>
      <c r="AD1177" s="249" t="str">
        <f>HYPERLINK("https://scontent.cdninstagram.com/t51.2885-15/s320x320/e35/20838389_1483158201743563_2952854174221467648_n.jpg")</f>
        <v>https://scontent.cdninstagram.com/t51.2885-15/s320x320/e35/20838389_1483158201743563_2952854174221467648_n.jpg</v>
      </c>
      <c r="AE1177" s="249" t="str">
        <f>HYPERLINK("https://scontent.cdninstagram.com/t51.2885-19/s150x150/15625245_101041737067360_8349613132926156800_a.jpg")</f>
        <v>https://scontent.cdninstagram.com/t51.2885-19/s150x150/15625245_101041737067360_8349613132926156800_a.jpg</v>
      </c>
    </row>
    <row r="1178" spans="1:31" ht="15" x14ac:dyDescent="0.25">
      <c r="A1178" t="s">
        <v>2474</v>
      </c>
      <c r="B1178" t="s">
        <v>9087</v>
      </c>
      <c r="C1178" s="221">
        <v>42964.117546296293</v>
      </c>
      <c r="D1178" t="s">
        <v>9088</v>
      </c>
      <c r="E1178" s="249" t="str">
        <f>HYPERLINK("https://www.instagram.com/p/BX4qvjMFXl3/")</f>
        <v>https://www.instagram.com/p/BX4qvjMFXl3/</v>
      </c>
      <c r="F1178" t="s">
        <v>9089</v>
      </c>
      <c r="G1178" t="s">
        <v>2478</v>
      </c>
      <c r="H1178">
        <v>75</v>
      </c>
      <c r="I1178" t="s">
        <v>2479</v>
      </c>
      <c r="J1178">
        <v>1</v>
      </c>
      <c r="K1178">
        <v>23</v>
      </c>
      <c r="L1178">
        <v>24</v>
      </c>
      <c r="Q1178">
        <v>0</v>
      </c>
      <c r="R1178">
        <v>0</v>
      </c>
      <c r="S1178">
        <v>24</v>
      </c>
      <c r="Y1178" t="s">
        <v>9090</v>
      </c>
      <c r="Z1178" t="s">
        <v>2651</v>
      </c>
      <c r="AA1178" t="s">
        <v>9091</v>
      </c>
      <c r="AB1178" t="s">
        <v>6633</v>
      </c>
      <c r="AC1178" t="s">
        <v>9092</v>
      </c>
      <c r="AD1178" s="249" t="str">
        <f>HYPERLINK("https://scontent.cdninstagram.com/t51.2885-15/s320x320/e35/c43.0.994.994/20837680_124514948183653_1800818918936281088_n.jpg")</f>
        <v>https://scontent.cdninstagram.com/t51.2885-15/s320x320/e35/c43.0.994.994/20837680_124514948183653_1800818918936281088_n.jpg</v>
      </c>
      <c r="AE1178" s="249" t="str">
        <f>HYPERLINK("https://scontent.cdninstagram.com/t51.2885-19/s150x150/18812370_1311189488980282_3866534627367714816_a.jpg")</f>
        <v>https://scontent.cdninstagram.com/t51.2885-19/s150x150/18812370_1311189488980282_3866534627367714816_a.jpg</v>
      </c>
    </row>
    <row r="1179" spans="1:31" ht="15" x14ac:dyDescent="0.25">
      <c r="A1179" t="s">
        <v>2474</v>
      </c>
      <c r="B1179" t="s">
        <v>9093</v>
      </c>
      <c r="C1179" s="221">
        <v>42964.12599537037</v>
      </c>
      <c r="D1179" t="s">
        <v>9094</v>
      </c>
      <c r="E1179" s="249" t="str">
        <f>HYPERLINK("https://www.instagram.com/p/BX4sImUjuDj/")</f>
        <v>https://www.instagram.com/p/BX4sImUjuDj/</v>
      </c>
      <c r="F1179" t="s">
        <v>9095</v>
      </c>
      <c r="G1179" t="s">
        <v>2478</v>
      </c>
      <c r="H1179">
        <v>441</v>
      </c>
      <c r="I1179" t="s">
        <v>2479</v>
      </c>
      <c r="J1179">
        <v>1</v>
      </c>
      <c r="K1179">
        <v>13</v>
      </c>
      <c r="L1179">
        <v>14</v>
      </c>
      <c r="Q1179">
        <v>0</v>
      </c>
      <c r="R1179">
        <v>0</v>
      </c>
      <c r="S1179">
        <v>14</v>
      </c>
      <c r="Y1179" t="s">
        <v>6843</v>
      </c>
      <c r="Z1179" t="s">
        <v>2730</v>
      </c>
      <c r="AA1179" t="s">
        <v>9096</v>
      </c>
      <c r="AB1179" t="s">
        <v>9097</v>
      </c>
      <c r="AC1179" t="s">
        <v>2497</v>
      </c>
      <c r="AD1179" s="249" t="str">
        <f>HYPERLINK("https://scontent.cdninstagram.com/t51.2885-15/s320x320/e35/20905455_2015747335380179_3028113825292353536_n.jpg")</f>
        <v>https://scontent.cdninstagram.com/t51.2885-15/s320x320/e35/20905455_2015747335380179_3028113825292353536_n.jpg</v>
      </c>
      <c r="AE1179" s="249" t="str">
        <f>HYPERLINK("https://scontent.cdninstagram.com/t51.2885-19/s150x150/21041578_212558759278471_2793420216485281792_a.jpg")</f>
        <v>https://scontent.cdninstagram.com/t51.2885-19/s150x150/21041578_212558759278471_2793420216485281792_a.jpg</v>
      </c>
    </row>
    <row r="1180" spans="1:31" ht="15" x14ac:dyDescent="0.25">
      <c r="A1180" t="s">
        <v>2474</v>
      </c>
      <c r="B1180" t="s">
        <v>9098</v>
      </c>
      <c r="C1180" s="221">
        <v>42964.126585648148</v>
      </c>
      <c r="D1180" t="s">
        <v>9099</v>
      </c>
      <c r="E1180" s="249" t="str">
        <f>HYPERLINK("https://www.instagram.com/p/BX4sO0pAbfG/")</f>
        <v>https://www.instagram.com/p/BX4sO0pAbfG/</v>
      </c>
      <c r="F1180" t="s">
        <v>9100</v>
      </c>
      <c r="G1180" t="s">
        <v>2631</v>
      </c>
      <c r="H1180">
        <v>4</v>
      </c>
      <c r="I1180" t="s">
        <v>2479</v>
      </c>
      <c r="J1180">
        <v>0</v>
      </c>
      <c r="K1180">
        <v>3</v>
      </c>
      <c r="L1180">
        <v>3</v>
      </c>
      <c r="Q1180">
        <v>0</v>
      </c>
      <c r="R1180">
        <v>0</v>
      </c>
      <c r="S1180">
        <v>3</v>
      </c>
      <c r="Y1180" t="s">
        <v>9101</v>
      </c>
      <c r="Z1180" t="s">
        <v>9102</v>
      </c>
      <c r="AA1180" t="s">
        <v>2497</v>
      </c>
      <c r="AB1180" t="s">
        <v>9103</v>
      </c>
      <c r="AC1180" t="s">
        <v>9104</v>
      </c>
      <c r="AD1180" s="249" t="str">
        <f>HYPERLINK("https://scontent.cdninstagram.com/t51.2885-15/s320x320/e15/20837189_158534988034913_7431226520904925184_n.jpg")</f>
        <v>https://scontent.cdninstagram.com/t51.2885-15/s320x320/e15/20837189_158534988034913_7431226520904925184_n.jpg</v>
      </c>
      <c r="AE1180" s="249" t="str">
        <f>HYPERLINK("https://scontent.cdninstagram.com/t51.2885-19/s150x150/18013353_758005124377468_1317049350496452608_a.jpg")</f>
        <v>https://scontent.cdninstagram.com/t51.2885-19/s150x150/18013353_758005124377468_1317049350496452608_a.jpg</v>
      </c>
    </row>
    <row r="1181" spans="1:31" ht="15" x14ac:dyDescent="0.25">
      <c r="A1181" t="s">
        <v>2474</v>
      </c>
      <c r="B1181" t="s">
        <v>3895</v>
      </c>
      <c r="C1181" s="221">
        <v>42964.135937500003</v>
      </c>
      <c r="D1181" t="s">
        <v>9105</v>
      </c>
      <c r="E1181" s="249" t="str">
        <f>HYPERLINK("https://www.instagram.com/p/BX4txhIFl3P/")</f>
        <v>https://www.instagram.com/p/BX4txhIFl3P/</v>
      </c>
      <c r="F1181" t="s">
        <v>9106</v>
      </c>
      <c r="G1181" t="s">
        <v>2478</v>
      </c>
      <c r="H1181">
        <v>406</v>
      </c>
      <c r="I1181" t="s">
        <v>2479</v>
      </c>
      <c r="J1181">
        <v>2</v>
      </c>
      <c r="K1181">
        <v>84</v>
      </c>
      <c r="L1181">
        <v>86</v>
      </c>
      <c r="Q1181">
        <v>0</v>
      </c>
      <c r="R1181">
        <v>0</v>
      </c>
      <c r="S1181">
        <v>86</v>
      </c>
      <c r="Y1181" t="s">
        <v>3899</v>
      </c>
      <c r="Z1181" t="s">
        <v>3157</v>
      </c>
      <c r="AA1181" t="s">
        <v>9107</v>
      </c>
      <c r="AB1181" t="s">
        <v>2911</v>
      </c>
      <c r="AC1181" t="s">
        <v>9108</v>
      </c>
      <c r="AD1181" s="249" t="str">
        <f>HYPERLINK("https://scontent.cdninstagram.com/t51.2885-15/s320x320/e35/20838304_265754767261770_7490858456727945216_n.jpg")</f>
        <v>https://scontent.cdninstagram.com/t51.2885-15/s320x320/e35/20838304_265754767261770_7490858456727945216_n.jpg</v>
      </c>
      <c r="AE1181" s="249" t="str">
        <f>HYPERLINK("https://scontent.cdninstagram.com/t51.2885-19/s150x150/20902130_1390331654386412_4188068892897181696_a.jpg")</f>
        <v>https://scontent.cdninstagram.com/t51.2885-19/s150x150/20902130_1390331654386412_4188068892897181696_a.jpg</v>
      </c>
    </row>
    <row r="1182" spans="1:31" ht="15" x14ac:dyDescent="0.25">
      <c r="A1182" t="s">
        <v>2474</v>
      </c>
      <c r="B1182" t="s">
        <v>9109</v>
      </c>
      <c r="C1182" s="221">
        <v>42964.148078703707</v>
      </c>
      <c r="D1182" t="s">
        <v>9110</v>
      </c>
      <c r="E1182" s="249" t="str">
        <f>HYPERLINK("https://www.instagram.com/p/BX4vxg-AifG/")</f>
        <v>https://www.instagram.com/p/BX4vxg-AifG/</v>
      </c>
      <c r="F1182" t="s">
        <v>9111</v>
      </c>
      <c r="G1182" t="s">
        <v>2478</v>
      </c>
      <c r="H1182">
        <v>168</v>
      </c>
      <c r="I1182" t="s">
        <v>2510</v>
      </c>
      <c r="J1182">
        <v>0</v>
      </c>
      <c r="K1182">
        <v>11</v>
      </c>
      <c r="L1182">
        <v>11</v>
      </c>
      <c r="Q1182">
        <v>0</v>
      </c>
      <c r="R1182">
        <v>0</v>
      </c>
      <c r="S1182">
        <v>11</v>
      </c>
      <c r="Y1182" t="s">
        <v>2734</v>
      </c>
      <c r="Z1182" t="s">
        <v>9112</v>
      </c>
      <c r="AA1182" t="s">
        <v>9113</v>
      </c>
      <c r="AB1182" t="s">
        <v>6550</v>
      </c>
      <c r="AC1182" t="s">
        <v>9114</v>
      </c>
      <c r="AD1182" s="249" t="str">
        <f>HYPERLINK("https://scontent.cdninstagram.com/t51.2885-15/s320x320/e35/c135.0.810.810/20838629_1600435200013324_5955917452436045824_n.jpg")</f>
        <v>https://scontent.cdninstagram.com/t51.2885-15/s320x320/e35/c135.0.810.810/20838629_1600435200013324_5955917452436045824_n.jpg</v>
      </c>
      <c r="AE1182" s="249" t="str">
        <f>HYPERLINK("https://scontent.cdninstagram.com/t51.2885-19/s150x150/15625398_754829721337882_9155356548208263168_a.jpg")</f>
        <v>https://scontent.cdninstagram.com/t51.2885-19/s150x150/15625398_754829721337882_9155356548208263168_a.jpg</v>
      </c>
    </row>
    <row r="1183" spans="1:31" ht="15" x14ac:dyDescent="0.25">
      <c r="A1183" t="s">
        <v>2474</v>
      </c>
      <c r="B1183" t="s">
        <v>9115</v>
      </c>
      <c r="C1183" s="221">
        <v>42964.167002314818</v>
      </c>
      <c r="D1183" t="s">
        <v>9116</v>
      </c>
      <c r="E1183" s="249" t="str">
        <f>HYPERLINK("https://www.instagram.com/p/BX4y5Kclsal/")</f>
        <v>https://www.instagram.com/p/BX4y5Kclsal/</v>
      </c>
      <c r="F1183" t="s">
        <v>9117</v>
      </c>
      <c r="G1183" t="s">
        <v>2478</v>
      </c>
      <c r="H1183">
        <v>359</v>
      </c>
      <c r="I1183" t="s">
        <v>2582</v>
      </c>
      <c r="J1183">
        <v>1</v>
      </c>
      <c r="K1183">
        <v>82</v>
      </c>
      <c r="L1183">
        <v>83</v>
      </c>
      <c r="Q1183">
        <v>0</v>
      </c>
      <c r="R1183">
        <v>0</v>
      </c>
      <c r="S1183">
        <v>83</v>
      </c>
      <c r="T1183" t="s">
        <v>9118</v>
      </c>
      <c r="V1183" t="s">
        <v>2141</v>
      </c>
      <c r="W1183">
        <v>56.56982</v>
      </c>
      <c r="X1183">
        <v>9.0370898999999998</v>
      </c>
      <c r="Y1183" t="s">
        <v>9119</v>
      </c>
      <c r="Z1183" t="s">
        <v>9120</v>
      </c>
      <c r="AA1183" t="s">
        <v>9121</v>
      </c>
      <c r="AB1183" t="s">
        <v>3145</v>
      </c>
      <c r="AC1183" t="s">
        <v>4464</v>
      </c>
      <c r="AD1183" s="249" t="str">
        <f>HYPERLINK("https://scontent.cdninstagram.com/t51.2885-15/s320x320/e35/20905628_1935513950040975_6688747754849566720_n.jpg")</f>
        <v>https://scontent.cdninstagram.com/t51.2885-15/s320x320/e35/20905628_1935513950040975_6688747754849566720_n.jpg</v>
      </c>
      <c r="AE1183" s="249" t="str">
        <f>HYPERLINK("https://scontent.cdninstagram.com/t51.2885-19/s150x150/19932051_831666580331723_3355139275229233152_a.jpg")</f>
        <v>https://scontent.cdninstagram.com/t51.2885-19/s150x150/19932051_831666580331723_3355139275229233152_a.jpg</v>
      </c>
    </row>
    <row r="1184" spans="1:31" ht="15" x14ac:dyDescent="0.25">
      <c r="A1184" t="s">
        <v>2474</v>
      </c>
      <c r="B1184" t="s">
        <v>4718</v>
      </c>
      <c r="C1184" s="221">
        <v>42964.182615740741</v>
      </c>
      <c r="D1184" t="s">
        <v>9122</v>
      </c>
      <c r="E1184" s="249" t="str">
        <f>HYPERLINK("https://www.instagram.com/p/BX41d1ZD4Iu/")</f>
        <v>https://www.instagram.com/p/BX41d1ZD4Iu/</v>
      </c>
      <c r="F1184" t="s">
        <v>9123</v>
      </c>
      <c r="G1184" t="s">
        <v>2478</v>
      </c>
      <c r="H1184">
        <v>141</v>
      </c>
      <c r="I1184" t="s">
        <v>2599</v>
      </c>
      <c r="J1184">
        <v>1</v>
      </c>
      <c r="K1184">
        <v>12</v>
      </c>
      <c r="L1184">
        <v>13</v>
      </c>
      <c r="Q1184">
        <v>0</v>
      </c>
      <c r="R1184">
        <v>0</v>
      </c>
      <c r="S1184">
        <v>13</v>
      </c>
      <c r="Y1184" t="s">
        <v>3145</v>
      </c>
      <c r="Z1184" t="s">
        <v>2666</v>
      </c>
      <c r="AA1184" t="s">
        <v>9124</v>
      </c>
      <c r="AB1184" t="s">
        <v>2497</v>
      </c>
      <c r="AC1184" t="s">
        <v>9125</v>
      </c>
      <c r="AD1184" s="249" t="str">
        <f>HYPERLINK("https://scontent.cdninstagram.com/t51.2885-15/s320x320/e35/20839062_1628962660510053_4997833634518925312_n.jpg")</f>
        <v>https://scontent.cdninstagram.com/t51.2885-15/s320x320/e35/20839062_1628962660510053_4997833634518925312_n.jpg</v>
      </c>
      <c r="AE1184" s="249" t="str">
        <f>HYPERLINK("https://scontent.cdninstagram.com/t51.2885-19/s150x150/12256656_992849557404948_1319856629_a.jpg")</f>
        <v>https://scontent.cdninstagram.com/t51.2885-19/s150x150/12256656_992849557404948_1319856629_a.jpg</v>
      </c>
    </row>
    <row r="1185" spans="1:31" ht="15" x14ac:dyDescent="0.25">
      <c r="A1185" t="s">
        <v>2474</v>
      </c>
      <c r="B1185" t="s">
        <v>9126</v>
      </c>
      <c r="C1185" s="221">
        <v>42964.188090277778</v>
      </c>
      <c r="D1185" t="s">
        <v>9127</v>
      </c>
      <c r="E1185" s="249" t="str">
        <f>HYPERLINK("https://www.instagram.com/p/BX42XknlEN6/")</f>
        <v>https://www.instagram.com/p/BX42XknlEN6/</v>
      </c>
      <c r="F1185" t="s">
        <v>9128</v>
      </c>
      <c r="G1185" t="s">
        <v>2478</v>
      </c>
      <c r="H1185">
        <v>182</v>
      </c>
      <c r="I1185" t="s">
        <v>2479</v>
      </c>
      <c r="J1185">
        <v>1</v>
      </c>
      <c r="K1185">
        <v>32</v>
      </c>
      <c r="L1185">
        <v>33</v>
      </c>
      <c r="Q1185">
        <v>0</v>
      </c>
      <c r="R1185">
        <v>0</v>
      </c>
      <c r="S1185">
        <v>33</v>
      </c>
      <c r="T1185" t="s">
        <v>9129</v>
      </c>
      <c r="V1185" t="s">
        <v>2161</v>
      </c>
      <c r="W1185">
        <v>48.784598443127003</v>
      </c>
      <c r="X1185">
        <v>9.1827281088964003</v>
      </c>
      <c r="Y1185" t="s">
        <v>5307</v>
      </c>
      <c r="Z1185" t="s">
        <v>2497</v>
      </c>
      <c r="AA1185" t="s">
        <v>9130</v>
      </c>
      <c r="AB1185" t="s">
        <v>9131</v>
      </c>
      <c r="AC1185" t="s">
        <v>4620</v>
      </c>
      <c r="AD1185" s="249" t="str">
        <f>HYPERLINK("https://scontent.cdninstagram.com/t51.2885-15/s320x320/e35/c0.3.1080.1080/20838493_111806546154227_2984556775237222400_n.jpg")</f>
        <v>https://scontent.cdninstagram.com/t51.2885-15/s320x320/e35/c0.3.1080.1080/20838493_111806546154227_2984556775237222400_n.jpg</v>
      </c>
      <c r="AE1185" s="249" t="str">
        <f>HYPERLINK("https://scontent.cdninstagram.com/t51.2885-19/s150x150/19227577_258376517975559_3503307812920885248_a.jpg")</f>
        <v>https://scontent.cdninstagram.com/t51.2885-19/s150x150/19227577_258376517975559_3503307812920885248_a.jpg</v>
      </c>
    </row>
    <row r="1186" spans="1:31" ht="15" x14ac:dyDescent="0.25">
      <c r="A1186" t="s">
        <v>2474</v>
      </c>
      <c r="B1186" t="s">
        <v>9132</v>
      </c>
      <c r="C1186" s="221">
        <v>42964.189930555556</v>
      </c>
      <c r="D1186" t="s">
        <v>9133</v>
      </c>
      <c r="E1186" s="249" t="str">
        <f>HYPERLINK("https://www.instagram.com/p/BX42q79hzs9/")</f>
        <v>https://www.instagram.com/p/BX42q79hzs9/</v>
      </c>
      <c r="F1186" t="s">
        <v>9134</v>
      </c>
      <c r="G1186" t="s">
        <v>2478</v>
      </c>
      <c r="H1186">
        <v>189</v>
      </c>
      <c r="I1186" t="s">
        <v>2542</v>
      </c>
      <c r="J1186">
        <v>6</v>
      </c>
      <c r="K1186">
        <v>95</v>
      </c>
      <c r="L1186">
        <v>101</v>
      </c>
      <c r="Q1186">
        <v>0</v>
      </c>
      <c r="R1186">
        <v>0</v>
      </c>
      <c r="S1186">
        <v>101</v>
      </c>
      <c r="T1186" t="s">
        <v>9135</v>
      </c>
      <c r="V1186" t="s">
        <v>2161</v>
      </c>
      <c r="W1186">
        <v>47.968449999999997</v>
      </c>
      <c r="X1186">
        <v>7.6982900000000001</v>
      </c>
      <c r="Y1186" t="s">
        <v>9136</v>
      </c>
      <c r="Z1186" t="s">
        <v>9137</v>
      </c>
      <c r="AA1186" t="s">
        <v>8111</v>
      </c>
      <c r="AB1186" t="s">
        <v>2491</v>
      </c>
      <c r="AC1186" t="s">
        <v>9138</v>
      </c>
      <c r="AD1186" s="249" t="str">
        <f>HYPERLINK("https://scontent.cdninstagram.com/t51.2885-15/s320x320/e35/20837581_224551164738289_1832026245798297600_n.jpg")</f>
        <v>https://scontent.cdninstagram.com/t51.2885-15/s320x320/e35/20837581_224551164738289_1832026245798297600_n.jpg</v>
      </c>
      <c r="AE1186" s="249" t="str">
        <f>HYPERLINK("https://scontent.cdninstagram.com/t51.2885-19/s150x150/20634973_1279981158777005_272181427691323392_a.jpg")</f>
        <v>https://scontent.cdninstagram.com/t51.2885-19/s150x150/20634973_1279981158777005_272181427691323392_a.jpg</v>
      </c>
    </row>
    <row r="1187" spans="1:31" ht="15" x14ac:dyDescent="0.25">
      <c r="A1187" t="s">
        <v>2474</v>
      </c>
      <c r="B1187" t="s">
        <v>3644</v>
      </c>
      <c r="C1187" s="221">
        <v>42964.198391203703</v>
      </c>
      <c r="D1187" t="s">
        <v>9139</v>
      </c>
      <c r="E1187" s="249" t="str">
        <f>HYPERLINK("https://www.instagram.com/p/BX44EJ7lUiJ/")</f>
        <v>https://www.instagram.com/p/BX44EJ7lUiJ/</v>
      </c>
      <c r="F1187" t="s">
        <v>9140</v>
      </c>
      <c r="G1187" t="s">
        <v>2631</v>
      </c>
      <c r="H1187">
        <v>574</v>
      </c>
      <c r="I1187" t="s">
        <v>2479</v>
      </c>
      <c r="J1187">
        <v>3</v>
      </c>
      <c r="K1187">
        <v>58</v>
      </c>
      <c r="L1187">
        <v>61</v>
      </c>
      <c r="Q1187">
        <v>0</v>
      </c>
      <c r="R1187">
        <v>0</v>
      </c>
      <c r="S1187">
        <v>61</v>
      </c>
      <c r="T1187" t="s">
        <v>5864</v>
      </c>
      <c r="V1187" t="s">
        <v>2141</v>
      </c>
      <c r="W1187">
        <v>55.391785028820003</v>
      </c>
      <c r="X1187">
        <v>10.381952565774</v>
      </c>
      <c r="Y1187" t="s">
        <v>6993</v>
      </c>
      <c r="Z1187" t="s">
        <v>3061</v>
      </c>
      <c r="AA1187" t="s">
        <v>6992</v>
      </c>
      <c r="AB1187" t="s">
        <v>6994</v>
      </c>
      <c r="AC1187" t="s">
        <v>6486</v>
      </c>
      <c r="AD1187" s="249" t="str">
        <f>HYPERLINK("https://scontent.cdninstagram.com/t51.2885-15/s320x320/e15/20837094_145340052726272_400144755595411456_n.jpg")</f>
        <v>https://scontent.cdninstagram.com/t51.2885-15/s320x320/e15/20837094_145340052726272_400144755595411456_n.jpg</v>
      </c>
      <c r="AE1187" s="249" t="str">
        <f>HYPERLINK("https://scontent.cdninstagram.com/t51.2885-19/s150x150/14714495_1790450111234953_7147855754219749376_a.jpg")</f>
        <v>https://scontent.cdninstagram.com/t51.2885-19/s150x150/14714495_1790450111234953_7147855754219749376_a.jpg</v>
      </c>
    </row>
    <row r="1188" spans="1:31" ht="15" x14ac:dyDescent="0.25">
      <c r="A1188" t="s">
        <v>2474</v>
      </c>
      <c r="B1188" t="s">
        <v>9141</v>
      </c>
      <c r="C1188" s="221">
        <v>42964.201168981483</v>
      </c>
      <c r="D1188" t="s">
        <v>9142</v>
      </c>
      <c r="E1188" s="249" t="str">
        <f>HYPERLINK("https://www.instagram.com/p/BX44hc_AZHj/")</f>
        <v>https://www.instagram.com/p/BX44hc_AZHj/</v>
      </c>
      <c r="F1188" t="s">
        <v>9143</v>
      </c>
      <c r="G1188" t="s">
        <v>2478</v>
      </c>
      <c r="H1188">
        <v>377</v>
      </c>
      <c r="I1188" t="s">
        <v>2479</v>
      </c>
      <c r="J1188">
        <v>10</v>
      </c>
      <c r="K1188">
        <v>67</v>
      </c>
      <c r="L1188">
        <v>77</v>
      </c>
      <c r="Q1188">
        <v>0</v>
      </c>
      <c r="R1188">
        <v>0</v>
      </c>
      <c r="S1188">
        <v>77</v>
      </c>
      <c r="T1188" t="s">
        <v>5879</v>
      </c>
      <c r="V1188" t="s">
        <v>2180</v>
      </c>
      <c r="W1188">
        <v>53.347799999999999</v>
      </c>
      <c r="X1188">
        <v>-6.2596999999999996</v>
      </c>
      <c r="Y1188" t="s">
        <v>9144</v>
      </c>
      <c r="Z1188" t="s">
        <v>6294</v>
      </c>
      <c r="AA1188" t="s">
        <v>9145</v>
      </c>
      <c r="AB1188" t="s">
        <v>2497</v>
      </c>
      <c r="AC1188" t="s">
        <v>9146</v>
      </c>
      <c r="AD1188" s="249" t="str">
        <f>HYPERLINK("https://scontent.cdninstagram.com/t51.2885-15/s320x320/e35/c119.0.511.511/20968622_158307951388399_1289938769599791104_n.jpg")</f>
        <v>https://scontent.cdninstagram.com/t51.2885-15/s320x320/e35/c119.0.511.511/20968622_158307951388399_1289938769599791104_n.jpg</v>
      </c>
      <c r="AE1188" s="249" t="str">
        <f>HYPERLINK("https://scontent.cdninstagram.com/t51.2885-19/s150x150/16122665_607542969441251_3700921616146890752_n.jpg")</f>
        <v>https://scontent.cdninstagram.com/t51.2885-19/s150x150/16122665_607542969441251_3700921616146890752_n.jpg</v>
      </c>
    </row>
    <row r="1189" spans="1:31" ht="15" x14ac:dyDescent="0.25">
      <c r="A1189" t="s">
        <v>2474</v>
      </c>
      <c r="B1189" t="s">
        <v>2917</v>
      </c>
      <c r="C1189" s="221">
        <v>42964.216064814813</v>
      </c>
      <c r="D1189" t="s">
        <v>9147</v>
      </c>
      <c r="E1189" s="249" t="str">
        <f>HYPERLINK("https://www.instagram.com/p/BX46-hjlN7B/")</f>
        <v>https://www.instagram.com/p/BX46-hjlN7B/</v>
      </c>
      <c r="F1189" t="s">
        <v>9148</v>
      </c>
      <c r="G1189" t="s">
        <v>2478</v>
      </c>
      <c r="H1189">
        <v>5303</v>
      </c>
      <c r="I1189" t="s">
        <v>2479</v>
      </c>
      <c r="J1189">
        <v>4</v>
      </c>
      <c r="K1189">
        <v>171</v>
      </c>
      <c r="L1189">
        <v>175</v>
      </c>
      <c r="Q1189">
        <v>0</v>
      </c>
      <c r="R1189">
        <v>0</v>
      </c>
      <c r="S1189">
        <v>175</v>
      </c>
      <c r="Y1189" t="s">
        <v>2917</v>
      </c>
      <c r="Z1189" t="s">
        <v>9149</v>
      </c>
      <c r="AA1189" t="s">
        <v>7182</v>
      </c>
      <c r="AB1189" t="s">
        <v>9150</v>
      </c>
      <c r="AC1189" t="s">
        <v>7183</v>
      </c>
      <c r="AD1189" s="249" t="str">
        <f>HYPERLINK("https://scontent.cdninstagram.com/t51.2885-15/s320x320/e35/c0.134.1080.1080/20905446_144835369439336_2220116239374614528_n.jpg")</f>
        <v>https://scontent.cdninstagram.com/t51.2885-15/s320x320/e35/c0.134.1080.1080/20905446_144835369439336_2220116239374614528_n.jpg</v>
      </c>
      <c r="AE1189" s="249" t="str">
        <f>HYPERLINK("https://scontent.cdninstagram.com/t51.2885-19/s150x150/20482356_746992422172225_262181640019640320_a.jpg")</f>
        <v>https://scontent.cdninstagram.com/t51.2885-19/s150x150/20482356_746992422172225_262181640019640320_a.jpg</v>
      </c>
    </row>
    <row r="1190" spans="1:31" ht="15" x14ac:dyDescent="0.25">
      <c r="A1190" t="s">
        <v>2474</v>
      </c>
      <c r="B1190" t="s">
        <v>9151</v>
      </c>
      <c r="C1190" s="221">
        <v>42964.217083333337</v>
      </c>
      <c r="D1190" t="s">
        <v>9152</v>
      </c>
      <c r="E1190" s="249" t="str">
        <f>HYPERLINK("https://www.instagram.com/p/BX47JUUj15H/")</f>
        <v>https://www.instagram.com/p/BX47JUUj15H/</v>
      </c>
      <c r="F1190" t="s">
        <v>9153</v>
      </c>
      <c r="G1190" t="s">
        <v>2478</v>
      </c>
      <c r="H1190">
        <v>79</v>
      </c>
      <c r="I1190" t="s">
        <v>2479</v>
      </c>
      <c r="J1190">
        <v>1</v>
      </c>
      <c r="K1190">
        <v>29</v>
      </c>
      <c r="L1190">
        <v>30</v>
      </c>
      <c r="Q1190">
        <v>0</v>
      </c>
      <c r="R1190">
        <v>0</v>
      </c>
      <c r="S1190">
        <v>30</v>
      </c>
      <c r="Y1190" t="s">
        <v>2497</v>
      </c>
      <c r="Z1190" t="s">
        <v>9154</v>
      </c>
      <c r="AD1190" s="249" t="str">
        <f>HYPERLINK("https://scontent.cdninstagram.com/t51.2885-15/s320x320/e35/20905117_355824254851590_3833363658637836288_n.jpg")</f>
        <v>https://scontent.cdninstagram.com/t51.2885-15/s320x320/e35/20905117_355824254851590_3833363658637836288_n.jpg</v>
      </c>
      <c r="AE1190" s="249" t="str">
        <f>HYPERLINK("https://scontent.cdninstagram.com/t51.2885-19/s150x150/18251574_246950989114570_4015590440878211072_a.jpg")</f>
        <v>https://scontent.cdninstagram.com/t51.2885-19/s150x150/18251574_246950989114570_4015590440878211072_a.jpg</v>
      </c>
    </row>
    <row r="1191" spans="1:31" ht="15" x14ac:dyDescent="0.25">
      <c r="A1191" t="s">
        <v>2474</v>
      </c>
      <c r="B1191" t="s">
        <v>9155</v>
      </c>
      <c r="C1191" s="221">
        <v>42964.218854166669</v>
      </c>
      <c r="D1191" t="s">
        <v>9156</v>
      </c>
      <c r="E1191" s="249" t="str">
        <f>HYPERLINK("https://www.instagram.com/p/BX47b-Ug-Qe/")</f>
        <v>https://www.instagram.com/p/BX47b-Ug-Qe/</v>
      </c>
      <c r="F1191" t="s">
        <v>9157</v>
      </c>
      <c r="G1191" t="s">
        <v>2478</v>
      </c>
      <c r="H1191">
        <v>146</v>
      </c>
      <c r="I1191" t="s">
        <v>2479</v>
      </c>
      <c r="J1191">
        <v>0</v>
      </c>
      <c r="K1191">
        <v>25</v>
      </c>
      <c r="L1191">
        <v>25</v>
      </c>
      <c r="Q1191">
        <v>0</v>
      </c>
      <c r="R1191">
        <v>0</v>
      </c>
      <c r="S1191">
        <v>25</v>
      </c>
      <c r="Y1191" t="s">
        <v>2497</v>
      </c>
      <c r="Z1191" t="s">
        <v>3698</v>
      </c>
      <c r="AA1191" t="s">
        <v>7143</v>
      </c>
      <c r="AB1191" t="s">
        <v>3337</v>
      </c>
      <c r="AC1191" t="s">
        <v>9158</v>
      </c>
      <c r="AD1191" s="249" t="str">
        <f>HYPERLINK("https://scontent.cdninstagram.com/t51.2885-15/s320x320/e35/20901992_297406404068351_5432354629746688000_n.jpg")</f>
        <v>https://scontent.cdninstagram.com/t51.2885-15/s320x320/e35/20901992_297406404068351_5432354629746688000_n.jpg</v>
      </c>
      <c r="AE1191" s="249" t="str">
        <f>HYPERLINK("https://scontent.cdninstagram.com/t51.2885-19/s150x150/12750082_543334389163215_508078597_a.jpg")</f>
        <v>https://scontent.cdninstagram.com/t51.2885-19/s150x150/12750082_543334389163215_508078597_a.jpg</v>
      </c>
    </row>
    <row r="1192" spans="1:31" ht="15" x14ac:dyDescent="0.25">
      <c r="A1192" t="s">
        <v>2474</v>
      </c>
      <c r="B1192" t="s">
        <v>9159</v>
      </c>
      <c r="C1192" s="221">
        <v>42964.219641203701</v>
      </c>
      <c r="D1192" t="s">
        <v>9160</v>
      </c>
      <c r="E1192" s="249" t="str">
        <f>HYPERLINK("https://www.instagram.com/p/BX47kQ2jayC/")</f>
        <v>https://www.instagram.com/p/BX47kQ2jayC/</v>
      </c>
      <c r="F1192" t="s">
        <v>9161</v>
      </c>
      <c r="G1192" t="s">
        <v>2478</v>
      </c>
      <c r="I1192" t="s">
        <v>2519</v>
      </c>
      <c r="J1192">
        <v>8</v>
      </c>
      <c r="K1192">
        <v>11</v>
      </c>
      <c r="L1192">
        <v>19</v>
      </c>
      <c r="Q1192">
        <v>0</v>
      </c>
      <c r="R1192">
        <v>0</v>
      </c>
      <c r="S1192">
        <v>19</v>
      </c>
      <c r="Y1192" t="s">
        <v>9162</v>
      </c>
      <c r="Z1192" t="s">
        <v>9163</v>
      </c>
      <c r="AA1192" t="s">
        <v>2497</v>
      </c>
      <c r="AB1192" t="s">
        <v>9164</v>
      </c>
      <c r="AC1192" t="s">
        <v>9165</v>
      </c>
      <c r="AD1192" s="249" t="str">
        <f>HYPERLINK("https://scontent.cdninstagram.com/t51.2885-15/s320x320/e35/c0.135.1080.1080/20902562_1972117946377272_4572235717316444160_n.jpg")</f>
        <v>https://scontent.cdninstagram.com/t51.2885-15/s320x320/e35/c0.135.1080.1080/20902562_1972117946377272_4572235717316444160_n.jpg</v>
      </c>
      <c r="AE1192" s="249" t="str">
        <f>HYPERLINK("https://scontent.cdninstagram.com/t51.2885-19/s150x150/15538251_1753466358307082_4878923912991211520_a.jpg")</f>
        <v>https://scontent.cdninstagram.com/t51.2885-19/s150x150/15538251_1753466358307082_4878923912991211520_a.jpg</v>
      </c>
    </row>
    <row r="1193" spans="1:31" ht="15" x14ac:dyDescent="0.25">
      <c r="A1193" t="s">
        <v>2474</v>
      </c>
      <c r="B1193" t="s">
        <v>9166</v>
      </c>
      <c r="C1193" s="221">
        <v>42964.220983796295</v>
      </c>
      <c r="D1193" t="s">
        <v>9167</v>
      </c>
      <c r="E1193" s="249" t="str">
        <f>HYPERLINK("https://www.instagram.com/p/BX47yYfH1H6/")</f>
        <v>https://www.instagram.com/p/BX47yYfH1H6/</v>
      </c>
      <c r="F1193" t="s">
        <v>9168</v>
      </c>
      <c r="G1193" t="s">
        <v>2478</v>
      </c>
      <c r="H1193">
        <v>287</v>
      </c>
      <c r="I1193" t="s">
        <v>2479</v>
      </c>
      <c r="J1193">
        <v>1</v>
      </c>
      <c r="K1193">
        <v>11</v>
      </c>
      <c r="L1193">
        <v>12</v>
      </c>
      <c r="Q1193">
        <v>0</v>
      </c>
      <c r="R1193">
        <v>0</v>
      </c>
      <c r="S1193">
        <v>12</v>
      </c>
      <c r="T1193" t="s">
        <v>9169</v>
      </c>
      <c r="V1193" t="s">
        <v>2270</v>
      </c>
      <c r="W1193">
        <v>55.7</v>
      </c>
      <c r="X1193">
        <v>13.183299999999999</v>
      </c>
      <c r="Y1193" t="s">
        <v>9170</v>
      </c>
      <c r="Z1193" t="s">
        <v>5466</v>
      </c>
      <c r="AA1193" t="s">
        <v>2968</v>
      </c>
      <c r="AB1193" t="s">
        <v>9171</v>
      </c>
      <c r="AC1193" t="s">
        <v>4987</v>
      </c>
      <c r="AD1193" s="249" t="str">
        <f>HYPERLINK("https://scontent.cdninstagram.com/t51.2885-15/s320x320/e35/20905817_1435051949904054_4382323189884125184_n.jpg")</f>
        <v>https://scontent.cdninstagram.com/t51.2885-15/s320x320/e35/20905817_1435051949904054_4382323189884125184_n.jpg</v>
      </c>
      <c r="AE1193" s="249" t="str">
        <f>HYPERLINK("https://scontent.cdninstagram.com/t51.2885-19/s150x150/16464644_1199605220075001_3388139896966217728_a.jpg")</f>
        <v>https://scontent.cdninstagram.com/t51.2885-19/s150x150/16464644_1199605220075001_3388139896966217728_a.jpg</v>
      </c>
    </row>
    <row r="1194" spans="1:31" ht="15" x14ac:dyDescent="0.25">
      <c r="A1194" t="s">
        <v>2474</v>
      </c>
      <c r="B1194" t="s">
        <v>9172</v>
      </c>
      <c r="C1194" s="221">
        <v>42964.221446759257</v>
      </c>
      <c r="D1194" t="s">
        <v>9173</v>
      </c>
      <c r="E1194" s="249" t="str">
        <f>HYPERLINK("https://www.instagram.com/p/BX473T8hygX/")</f>
        <v>https://www.instagram.com/p/BX473T8hygX/</v>
      </c>
      <c r="F1194" t="s">
        <v>9174</v>
      </c>
      <c r="G1194" t="s">
        <v>2478</v>
      </c>
      <c r="H1194">
        <v>271</v>
      </c>
      <c r="I1194" t="s">
        <v>2479</v>
      </c>
      <c r="J1194">
        <v>0</v>
      </c>
      <c r="K1194">
        <v>35</v>
      </c>
      <c r="L1194">
        <v>35</v>
      </c>
      <c r="Q1194">
        <v>0</v>
      </c>
      <c r="R1194">
        <v>0</v>
      </c>
      <c r="S1194">
        <v>35</v>
      </c>
      <c r="Y1194" t="s">
        <v>9091</v>
      </c>
      <c r="Z1194" t="s">
        <v>2497</v>
      </c>
      <c r="AA1194" t="s">
        <v>9175</v>
      </c>
      <c r="AB1194" t="s">
        <v>9176</v>
      </c>
      <c r="AC1194" t="s">
        <v>9177</v>
      </c>
      <c r="AD1194" s="249" t="str">
        <f>HYPERLINK("https://scontent.cdninstagram.com/t51.2885-15/s150x150/e35/c100.0.260.260/20905060_2011174379117564_6049836292571660288_n.jpg")</f>
        <v>https://scontent.cdninstagram.com/t51.2885-15/s150x150/e35/c100.0.260.260/20905060_2011174379117564_6049836292571660288_n.jpg</v>
      </c>
      <c r="AE1194" s="249" t="str">
        <f>HYPERLINK("https://scontent.cdninstagram.com/t51.2885-19/s150x150/15048146_1210331032388947_3092644214266134528_a.jpg")</f>
        <v>https://scontent.cdninstagram.com/t51.2885-19/s150x150/15048146_1210331032388947_3092644214266134528_a.jpg</v>
      </c>
    </row>
    <row r="1195" spans="1:31" ht="15" x14ac:dyDescent="0.25">
      <c r="A1195" t="s">
        <v>2474</v>
      </c>
      <c r="B1195" t="s">
        <v>3471</v>
      </c>
      <c r="C1195" s="221">
        <v>42964.222731481481</v>
      </c>
      <c r="D1195" t="s">
        <v>9178</v>
      </c>
      <c r="E1195" s="249" t="str">
        <f>HYPERLINK("https://www.instagram.com/p/BX48E0WDB0-/")</f>
        <v>https://www.instagram.com/p/BX48E0WDB0-/</v>
      </c>
      <c r="F1195" t="s">
        <v>9179</v>
      </c>
      <c r="G1195" t="s">
        <v>2478</v>
      </c>
      <c r="H1195">
        <v>180</v>
      </c>
      <c r="I1195" t="s">
        <v>2479</v>
      </c>
      <c r="J1195">
        <v>3</v>
      </c>
      <c r="K1195">
        <v>30</v>
      </c>
      <c r="L1195">
        <v>33</v>
      </c>
      <c r="Q1195">
        <v>0</v>
      </c>
      <c r="R1195">
        <v>0</v>
      </c>
      <c r="S1195">
        <v>33</v>
      </c>
      <c r="T1195" t="s">
        <v>3474</v>
      </c>
      <c r="V1195" t="s">
        <v>2258</v>
      </c>
      <c r="W1195">
        <v>1.2930600000000001</v>
      </c>
      <c r="X1195">
        <v>103.85599999999999</v>
      </c>
      <c r="Y1195" t="s">
        <v>5704</v>
      </c>
      <c r="Z1195" t="s">
        <v>2832</v>
      </c>
      <c r="AA1195" t="s">
        <v>6957</v>
      </c>
      <c r="AB1195" t="s">
        <v>5703</v>
      </c>
      <c r="AC1195" t="s">
        <v>6775</v>
      </c>
      <c r="AD1195" s="249" t="str">
        <f>HYPERLINK("https://scontent.cdninstagram.com/t51.2885-15/s320x320/e35/c85.0.719.719/20837021_119612132024485_5967903245870301184_n.jpg")</f>
        <v>https://scontent.cdninstagram.com/t51.2885-15/s320x320/e35/c85.0.719.719/20837021_119612132024485_5967903245870301184_n.jpg</v>
      </c>
      <c r="AE1195" s="249" t="str">
        <f>HYPERLINK("https://scontent.cdninstagram.com/t51.2885-19/s150x150/19986209_741127056067001_1270489010199855104_a.jpg")</f>
        <v>https://scontent.cdninstagram.com/t51.2885-19/s150x150/19986209_741127056067001_1270489010199855104_a.jpg</v>
      </c>
    </row>
    <row r="1196" spans="1:31" ht="15" x14ac:dyDescent="0.25">
      <c r="A1196" t="s">
        <v>2474</v>
      </c>
      <c r="B1196" t="s">
        <v>2685</v>
      </c>
      <c r="C1196" s="221">
        <v>42964.226956018516</v>
      </c>
      <c r="D1196" t="s">
        <v>9180</v>
      </c>
      <c r="E1196" s="249" t="str">
        <f>HYPERLINK("https://www.instagram.com/p/BX48xewlXfg/")</f>
        <v>https://www.instagram.com/p/BX48xewlXfg/</v>
      </c>
      <c r="F1196" t="s">
        <v>9181</v>
      </c>
      <c r="G1196" t="s">
        <v>2478</v>
      </c>
      <c r="H1196">
        <v>228</v>
      </c>
      <c r="I1196" t="s">
        <v>2479</v>
      </c>
      <c r="J1196">
        <v>5</v>
      </c>
      <c r="K1196">
        <v>60</v>
      </c>
      <c r="L1196">
        <v>65</v>
      </c>
      <c r="Q1196">
        <v>0</v>
      </c>
      <c r="R1196">
        <v>0</v>
      </c>
      <c r="S1196">
        <v>65</v>
      </c>
      <c r="Y1196" t="s">
        <v>6051</v>
      </c>
      <c r="Z1196" t="s">
        <v>6052</v>
      </c>
      <c r="AA1196" t="s">
        <v>6049</v>
      </c>
      <c r="AB1196" t="s">
        <v>9182</v>
      </c>
      <c r="AC1196" t="s">
        <v>9183</v>
      </c>
      <c r="AD1196" s="249" t="str">
        <f>HYPERLINK("https://scontent.cdninstagram.com/t51.2885-15/s320x320/e35/20902254_727975824053015_8987848872294350848_n.jpg")</f>
        <v>https://scontent.cdninstagram.com/t51.2885-15/s320x320/e35/20902254_727975824053015_8987848872294350848_n.jpg</v>
      </c>
      <c r="AE1196" s="249" t="str">
        <f>HYPERLINK("https://scontent.cdninstagram.com/t51.2885-19/s150x150/12339026_997056470351354_891418646_a.jpg")</f>
        <v>https://scontent.cdninstagram.com/t51.2885-19/s150x150/12339026_997056470351354_891418646_a.jpg</v>
      </c>
    </row>
    <row r="1197" spans="1:31" ht="15" x14ac:dyDescent="0.25">
      <c r="A1197" t="s">
        <v>2474</v>
      </c>
      <c r="B1197" t="s">
        <v>9184</v>
      </c>
      <c r="C1197" s="221">
        <v>42964.227118055554</v>
      </c>
      <c r="D1197" t="s">
        <v>9185</v>
      </c>
      <c r="E1197" s="249" t="str">
        <f>HYPERLINK("https://www.instagram.com/p/BX48zJdD24m/")</f>
        <v>https://www.instagram.com/p/BX48zJdD24m/</v>
      </c>
      <c r="F1197" t="s">
        <v>9186</v>
      </c>
      <c r="G1197" t="s">
        <v>2478</v>
      </c>
      <c r="H1197">
        <v>701</v>
      </c>
      <c r="I1197" t="s">
        <v>2479</v>
      </c>
      <c r="J1197">
        <v>1</v>
      </c>
      <c r="K1197">
        <v>60</v>
      </c>
      <c r="L1197">
        <v>61</v>
      </c>
      <c r="Q1197">
        <v>0</v>
      </c>
      <c r="R1197">
        <v>0</v>
      </c>
      <c r="S1197">
        <v>61</v>
      </c>
      <c r="Y1197" t="s">
        <v>5061</v>
      </c>
      <c r="Z1197" t="s">
        <v>9187</v>
      </c>
      <c r="AA1197" t="s">
        <v>9184</v>
      </c>
      <c r="AB1197" t="s">
        <v>9188</v>
      </c>
      <c r="AC1197" t="s">
        <v>9189</v>
      </c>
      <c r="AD1197" s="249" t="str">
        <f>HYPERLINK("https://scontent.cdninstagram.com/t51.2885-15/s320x320/e35/20838376_907490949435547_4722006741665972224_n.jpg")</f>
        <v>https://scontent.cdninstagram.com/t51.2885-15/s320x320/e35/20838376_907490949435547_4722006741665972224_n.jpg</v>
      </c>
      <c r="AE1197" s="249" t="str">
        <f>HYPERLINK("https://scontent.cdninstagram.com/t51.2885-19/s150x150/16908674_1735959200050464_2662020115880476672_a.jpg")</f>
        <v>https://scontent.cdninstagram.com/t51.2885-19/s150x150/16908674_1735959200050464_2662020115880476672_a.jpg</v>
      </c>
    </row>
    <row r="1198" spans="1:31" ht="15" x14ac:dyDescent="0.25">
      <c r="A1198" t="s">
        <v>2474</v>
      </c>
      <c r="B1198" t="s">
        <v>9190</v>
      </c>
      <c r="C1198" s="221">
        <v>42964.229027777779</v>
      </c>
      <c r="D1198" t="s">
        <v>9191</v>
      </c>
      <c r="E1198" s="249" t="str">
        <f>HYPERLINK("https://www.instagram.com/p/BX49HThhQoJ/")</f>
        <v>https://www.instagram.com/p/BX49HThhQoJ/</v>
      </c>
      <c r="F1198" t="s">
        <v>9192</v>
      </c>
      <c r="G1198" t="s">
        <v>2478</v>
      </c>
      <c r="H1198">
        <v>28</v>
      </c>
      <c r="I1198" t="s">
        <v>2479</v>
      </c>
      <c r="J1198">
        <v>0</v>
      </c>
      <c r="K1198">
        <v>2</v>
      </c>
      <c r="L1198">
        <v>2</v>
      </c>
      <c r="Q1198">
        <v>0</v>
      </c>
      <c r="R1198">
        <v>0</v>
      </c>
      <c r="S1198">
        <v>2</v>
      </c>
      <c r="Y1198" t="s">
        <v>9193</v>
      </c>
      <c r="Z1198" t="s">
        <v>2497</v>
      </c>
      <c r="AA1198" t="s">
        <v>9194</v>
      </c>
      <c r="AB1198" t="s">
        <v>3952</v>
      </c>
      <c r="AC1198" t="s">
        <v>9195</v>
      </c>
      <c r="AD1198" s="249" t="str">
        <f>HYPERLINK("https://scontent.cdninstagram.com/t51.2885-15/s320x320/e35/20837687_156764134875624_142614079826034688_n.jpg")</f>
        <v>https://scontent.cdninstagram.com/t51.2885-15/s320x320/e35/20837687_156764134875624_142614079826034688_n.jpg</v>
      </c>
      <c r="AE1198" s="249" t="str">
        <f>HYPERLINK("https://scontent.cdninstagram.com/t51.2885-19/s150x150/20635364_1892168627711722_6551585672149336064_a.jpg")</f>
        <v>https://scontent.cdninstagram.com/t51.2885-19/s150x150/20635364_1892168627711722_6551585672149336064_a.jpg</v>
      </c>
    </row>
    <row r="1199" spans="1:31" ht="15" x14ac:dyDescent="0.25">
      <c r="A1199" t="s">
        <v>2474</v>
      </c>
      <c r="B1199" t="s">
        <v>9196</v>
      </c>
      <c r="C1199" s="221">
        <v>42964.231307870374</v>
      </c>
      <c r="D1199" t="s">
        <v>9197</v>
      </c>
      <c r="E1199" s="249" t="str">
        <f>HYPERLINK("https://www.instagram.com/p/BX49fYEh2Qn/")</f>
        <v>https://www.instagram.com/p/BX49fYEh2Qn/</v>
      </c>
      <c r="F1199" t="s">
        <v>9198</v>
      </c>
      <c r="G1199" t="s">
        <v>2478</v>
      </c>
      <c r="H1199">
        <v>598</v>
      </c>
      <c r="I1199" t="s">
        <v>2479</v>
      </c>
      <c r="J1199">
        <v>2</v>
      </c>
      <c r="K1199">
        <v>135</v>
      </c>
      <c r="L1199">
        <v>137</v>
      </c>
      <c r="Q1199">
        <v>0</v>
      </c>
      <c r="R1199">
        <v>0</v>
      </c>
      <c r="S1199">
        <v>137</v>
      </c>
      <c r="Y1199" t="s">
        <v>2497</v>
      </c>
      <c r="Z1199" t="s">
        <v>9199</v>
      </c>
      <c r="AD1199" s="249" t="str">
        <f>HYPERLINK("https://scontent.cdninstagram.com/t51.2885-15/s320x320/e35/20836952_328309524283789_2697390301139435520_n.jpg")</f>
        <v>https://scontent.cdninstagram.com/t51.2885-15/s320x320/e35/20836952_328309524283789_2697390301139435520_n.jpg</v>
      </c>
      <c r="AE1199" s="249" t="str">
        <f>HYPERLINK("https://scontent.cdninstagram.com/t51.2885-19/s150x150/18298748_331003807302750_1203154587402371072_a.jpg")</f>
        <v>https://scontent.cdninstagram.com/t51.2885-19/s150x150/18298748_331003807302750_1203154587402371072_a.jpg</v>
      </c>
    </row>
    <row r="1200" spans="1:31" ht="15" x14ac:dyDescent="0.25">
      <c r="A1200" t="s">
        <v>2474</v>
      </c>
      <c r="B1200" t="s">
        <v>2907</v>
      </c>
      <c r="C1200" s="221">
        <v>42964.235289351855</v>
      </c>
      <c r="D1200" t="s">
        <v>9200</v>
      </c>
      <c r="E1200" s="249" t="str">
        <f>HYPERLINK("https://www.instagram.com/p/BX4-JTtAJRG/")</f>
        <v>https://www.instagram.com/p/BX4-JTtAJRG/</v>
      </c>
      <c r="F1200" t="s">
        <v>9201</v>
      </c>
      <c r="G1200" t="s">
        <v>2478</v>
      </c>
      <c r="H1200">
        <v>77</v>
      </c>
      <c r="I1200" t="s">
        <v>2542</v>
      </c>
      <c r="J1200">
        <v>1</v>
      </c>
      <c r="K1200">
        <v>54</v>
      </c>
      <c r="L1200">
        <v>55</v>
      </c>
      <c r="Q1200">
        <v>0</v>
      </c>
      <c r="R1200">
        <v>0</v>
      </c>
      <c r="S1200">
        <v>55</v>
      </c>
      <c r="Y1200" t="s">
        <v>6146</v>
      </c>
      <c r="Z1200" t="s">
        <v>4760</v>
      </c>
      <c r="AA1200" t="s">
        <v>2913</v>
      </c>
      <c r="AB1200" t="s">
        <v>2911</v>
      </c>
      <c r="AC1200" t="s">
        <v>6147</v>
      </c>
      <c r="AD1200" s="249" t="str">
        <f>HYPERLINK("https://scontent.cdninstagram.com/t51.2885-15/s320x320/e35/20837360_461521947566749_7261260281156730880_n.jpg")</f>
        <v>https://scontent.cdninstagram.com/t51.2885-15/s320x320/e35/20837360_461521947566749_7261260281156730880_n.jpg</v>
      </c>
      <c r="AE1200" s="249" t="str">
        <f>HYPERLINK("https://scontent.cdninstagram.com/t51.2885-19/s150x150/12357630_513986308780959_401409989_a.jpg")</f>
        <v>https://scontent.cdninstagram.com/t51.2885-19/s150x150/12357630_513986308780959_401409989_a.jpg</v>
      </c>
    </row>
    <row r="1201" spans="1:31" ht="15" x14ac:dyDescent="0.25">
      <c r="A1201" t="s">
        <v>2474</v>
      </c>
      <c r="B1201" t="s">
        <v>9202</v>
      </c>
      <c r="C1201" s="221">
        <v>42964.236192129632</v>
      </c>
      <c r="D1201" t="s">
        <v>9203</v>
      </c>
      <c r="E1201" s="249" t="str">
        <f>HYPERLINK("https://www.instagram.com/p/BX4-S3Xj4hL/")</f>
        <v>https://www.instagram.com/p/BX4-S3Xj4hL/</v>
      </c>
      <c r="F1201" t="s">
        <v>9204</v>
      </c>
      <c r="G1201" t="s">
        <v>2478</v>
      </c>
      <c r="H1201">
        <v>1310</v>
      </c>
      <c r="I1201" t="s">
        <v>2479</v>
      </c>
      <c r="J1201">
        <v>6</v>
      </c>
      <c r="K1201">
        <v>78</v>
      </c>
      <c r="L1201">
        <v>84</v>
      </c>
      <c r="Q1201">
        <v>0</v>
      </c>
      <c r="R1201">
        <v>0</v>
      </c>
      <c r="S1201">
        <v>84</v>
      </c>
      <c r="T1201" t="s">
        <v>9205</v>
      </c>
      <c r="V1201" t="s">
        <v>2137</v>
      </c>
      <c r="W1201">
        <v>44.785128999999998</v>
      </c>
      <c r="X1201">
        <v>13.9171</v>
      </c>
      <c r="Y1201" t="s">
        <v>9206</v>
      </c>
      <c r="AD1201" s="249" t="str">
        <f>HYPERLINK("https://scontent.cdninstagram.com/t51.2885-15/s320x320/e35/c156.0.344.344/20838947_113472782651168_3099065379352215552_n.jpg")</f>
        <v>https://scontent.cdninstagram.com/t51.2885-15/s320x320/e35/c156.0.344.344/20838947_113472782651168_3099065379352215552_n.jpg</v>
      </c>
      <c r="AE1201" s="249" t="str">
        <f>HYPERLINK("https://scontent.cdninstagram.com/t51.2885-19/s150x150/14262831_316851378669734_1723671927_a.jpg")</f>
        <v>https://scontent.cdninstagram.com/t51.2885-19/s150x150/14262831_316851378669734_1723671927_a.jpg</v>
      </c>
    </row>
    <row r="1202" spans="1:31" ht="15" x14ac:dyDescent="0.25">
      <c r="A1202" t="s">
        <v>2474</v>
      </c>
      <c r="B1202" t="s">
        <v>9190</v>
      </c>
      <c r="C1202" s="221">
        <v>42964.246388888889</v>
      </c>
      <c r="D1202" t="s">
        <v>9207</v>
      </c>
      <c r="E1202" s="249" t="str">
        <f>HYPERLINK("https://www.instagram.com/p/BX4_-WehvzS/")</f>
        <v>https://www.instagram.com/p/BX4_-WehvzS/</v>
      </c>
      <c r="F1202" t="s">
        <v>9208</v>
      </c>
      <c r="G1202" t="s">
        <v>2478</v>
      </c>
      <c r="H1202">
        <v>29</v>
      </c>
      <c r="I1202" t="s">
        <v>2479</v>
      </c>
      <c r="J1202">
        <v>0</v>
      </c>
      <c r="K1202">
        <v>8</v>
      </c>
      <c r="L1202">
        <v>8</v>
      </c>
      <c r="Q1202">
        <v>0</v>
      </c>
      <c r="R1202">
        <v>0</v>
      </c>
      <c r="S1202">
        <v>8</v>
      </c>
      <c r="Y1202" t="s">
        <v>9194</v>
      </c>
      <c r="Z1202" t="s">
        <v>9195</v>
      </c>
      <c r="AA1202" t="s">
        <v>3952</v>
      </c>
      <c r="AB1202" t="s">
        <v>2497</v>
      </c>
      <c r="AC1202" t="s">
        <v>9193</v>
      </c>
      <c r="AD1202" s="249" t="str">
        <f>HYPERLINK("https://scontent.cdninstagram.com/t51.2885-15/s320x320/e35/c76.0.788.788/20837539_136288910311260_9056473829685067776_n.jpg")</f>
        <v>https://scontent.cdninstagram.com/t51.2885-15/s320x320/e35/c76.0.788.788/20837539_136288910311260_9056473829685067776_n.jpg</v>
      </c>
      <c r="AE1202" s="249" t="str">
        <f>HYPERLINK("https://scontent.cdninstagram.com/t51.2885-19/s150x150/20635364_1892168627711722_6551585672149336064_a.jpg")</f>
        <v>https://scontent.cdninstagram.com/t51.2885-19/s150x150/20635364_1892168627711722_6551585672149336064_a.jpg</v>
      </c>
    </row>
    <row r="1203" spans="1:31" ht="15" x14ac:dyDescent="0.25">
      <c r="A1203" t="s">
        <v>2474</v>
      </c>
      <c r="B1203" t="s">
        <v>2644</v>
      </c>
      <c r="C1203" s="221">
        <v>42964.24790509259</v>
      </c>
      <c r="D1203" t="s">
        <v>9209</v>
      </c>
      <c r="E1203" s="249" t="str">
        <f>HYPERLINK("https://www.instagram.com/p/BX5AOWCg2dl/")</f>
        <v>https://www.instagram.com/p/BX5AOWCg2dl/</v>
      </c>
      <c r="F1203" t="s">
        <v>9210</v>
      </c>
      <c r="G1203" t="s">
        <v>2478</v>
      </c>
      <c r="H1203">
        <v>1755</v>
      </c>
      <c r="I1203" t="s">
        <v>2479</v>
      </c>
      <c r="J1203">
        <v>0</v>
      </c>
      <c r="K1203">
        <v>92</v>
      </c>
      <c r="L1203">
        <v>92</v>
      </c>
      <c r="Q1203">
        <v>0</v>
      </c>
      <c r="R1203">
        <v>0</v>
      </c>
      <c r="S1203">
        <v>92</v>
      </c>
      <c r="T1203" t="s">
        <v>9211</v>
      </c>
      <c r="V1203" t="s">
        <v>2648</v>
      </c>
      <c r="W1203">
        <v>54.782777777778001</v>
      </c>
      <c r="X1203">
        <v>32.045277777777997</v>
      </c>
      <c r="Y1203" t="s">
        <v>3633</v>
      </c>
      <c r="Z1203" t="s">
        <v>5493</v>
      </c>
      <c r="AA1203" t="s">
        <v>2651</v>
      </c>
      <c r="AB1203" t="s">
        <v>9212</v>
      </c>
      <c r="AC1203" t="s">
        <v>3635</v>
      </c>
      <c r="AD1203" s="249" t="str">
        <f>HYPERLINK("https://scontent.cdninstagram.com/t51.2885-15/s320x320/e35/20837664_127763347766084_8043376007601717248_n.jpg")</f>
        <v>https://scontent.cdninstagram.com/t51.2885-15/s320x320/e35/20837664_127763347766084_8043376007601717248_n.jpg</v>
      </c>
      <c r="AE1203" s="249" t="str">
        <f>HYPERLINK("https://scontent.cdninstagram.com/t51.2885-19/11372086_1598451257062069_1320225693_a.jpg")</f>
        <v>https://scontent.cdninstagram.com/t51.2885-19/11372086_1598451257062069_1320225693_a.jpg</v>
      </c>
    </row>
    <row r="1204" spans="1:31" ht="15" x14ac:dyDescent="0.25">
      <c r="A1204" t="s">
        <v>2474</v>
      </c>
      <c r="B1204" t="s">
        <v>9213</v>
      </c>
      <c r="C1204" s="221">
        <v>42964.254016203704</v>
      </c>
      <c r="D1204" t="s">
        <v>9214</v>
      </c>
      <c r="E1204" s="249" t="str">
        <f>HYPERLINK("https://www.instagram.com/p/BX5BOx7lnLy/")</f>
        <v>https://www.instagram.com/p/BX5BOx7lnLy/</v>
      </c>
      <c r="F1204" t="s">
        <v>9215</v>
      </c>
      <c r="G1204" t="s">
        <v>2478</v>
      </c>
      <c r="H1204">
        <v>735</v>
      </c>
      <c r="I1204" t="s">
        <v>2479</v>
      </c>
      <c r="J1204">
        <v>0</v>
      </c>
      <c r="K1204">
        <v>51</v>
      </c>
      <c r="L1204">
        <v>51</v>
      </c>
      <c r="Q1204">
        <v>0</v>
      </c>
      <c r="R1204">
        <v>0</v>
      </c>
      <c r="S1204">
        <v>51</v>
      </c>
      <c r="T1204" t="s">
        <v>9216</v>
      </c>
      <c r="V1204" t="s">
        <v>2238</v>
      </c>
      <c r="W1204">
        <v>15.2142</v>
      </c>
      <c r="X1204">
        <v>120.581</v>
      </c>
      <c r="Y1204" t="s">
        <v>9217</v>
      </c>
      <c r="Z1204" t="s">
        <v>8178</v>
      </c>
      <c r="AA1204" t="s">
        <v>2544</v>
      </c>
      <c r="AB1204" t="s">
        <v>2497</v>
      </c>
      <c r="AC1204" t="s">
        <v>9218</v>
      </c>
      <c r="AD1204" s="249" t="str">
        <f>HYPERLINK("https://scontent.cdninstagram.com/t51.2885-15/s320x320/e35/20837403_111068702902005_1681364243368116224_n.jpg")</f>
        <v>https://scontent.cdninstagram.com/t51.2885-15/s320x320/e35/20837403_111068702902005_1681364243368116224_n.jpg</v>
      </c>
      <c r="AE1204" s="249" t="str">
        <f>HYPERLINK("https://scontent.cdninstagram.com/t51.2885-19/s150x150/17819115_1903839693165292_376181475193651200_a.jpg")</f>
        <v>https://scontent.cdninstagram.com/t51.2885-19/s150x150/17819115_1903839693165292_376181475193651200_a.jpg</v>
      </c>
    </row>
    <row r="1205" spans="1:31" ht="15" x14ac:dyDescent="0.25">
      <c r="A1205" t="s">
        <v>2474</v>
      </c>
      <c r="B1205" t="s">
        <v>2588</v>
      </c>
      <c r="C1205" s="221">
        <v>42964.255555555559</v>
      </c>
      <c r="D1205" t="s">
        <v>9219</v>
      </c>
      <c r="E1205" s="249" t="str">
        <f>HYPERLINK("https://www.instagram.com/p/BX5BfH3AK20/")</f>
        <v>https://www.instagram.com/p/BX5BfH3AK20/</v>
      </c>
      <c r="F1205" t="s">
        <v>9220</v>
      </c>
      <c r="G1205" t="s">
        <v>2478</v>
      </c>
      <c r="H1205">
        <v>297</v>
      </c>
      <c r="I1205" t="s">
        <v>2479</v>
      </c>
      <c r="J1205">
        <v>16</v>
      </c>
      <c r="K1205">
        <v>648</v>
      </c>
      <c r="L1205">
        <v>664</v>
      </c>
      <c r="Q1205">
        <v>0</v>
      </c>
      <c r="R1205">
        <v>0</v>
      </c>
      <c r="S1205">
        <v>664</v>
      </c>
      <c r="Y1205" t="s">
        <v>2588</v>
      </c>
      <c r="AD1205" s="249" t="str">
        <f>HYPERLINK("https://scontent.cdninstagram.com/t51.2885-15/s320x320/e35/20969153_113382502645649_8972510075201519616_n.jpg")</f>
        <v>https://scontent.cdninstagram.com/t51.2885-15/s320x320/e35/20969153_113382502645649_8972510075201519616_n.jpg</v>
      </c>
      <c r="AE1205" s="249" t="str">
        <f>HYPERLINK("https://scontent.cdninstagram.com/t51.2885-19/s150x150/20633561_108840983138666_5897549723056734208_a.jpg")</f>
        <v>https://scontent.cdninstagram.com/t51.2885-19/s150x150/20633561_108840983138666_5897549723056734208_a.jpg</v>
      </c>
    </row>
    <row r="1206" spans="1:31" ht="15" x14ac:dyDescent="0.25">
      <c r="A1206" t="s">
        <v>2474</v>
      </c>
      <c r="B1206" t="s">
        <v>6847</v>
      </c>
      <c r="C1206" s="221">
        <v>42964.257164351853</v>
      </c>
      <c r="D1206" t="s">
        <v>9221</v>
      </c>
      <c r="E1206" s="249" t="str">
        <f>HYPERLINK("https://www.instagram.com/p/BX5BwFlhimW/")</f>
        <v>https://www.instagram.com/p/BX5BwFlhimW/</v>
      </c>
      <c r="F1206" t="s">
        <v>9222</v>
      </c>
      <c r="G1206" t="s">
        <v>2478</v>
      </c>
      <c r="H1206">
        <v>132</v>
      </c>
      <c r="I1206" t="s">
        <v>2519</v>
      </c>
      <c r="J1206">
        <v>6</v>
      </c>
      <c r="K1206">
        <v>40</v>
      </c>
      <c r="L1206">
        <v>46</v>
      </c>
      <c r="Q1206">
        <v>0</v>
      </c>
      <c r="R1206">
        <v>0</v>
      </c>
      <c r="S1206">
        <v>46</v>
      </c>
      <c r="T1206" t="s">
        <v>7142</v>
      </c>
      <c r="V1206" t="s">
        <v>2161</v>
      </c>
      <c r="W1206">
        <v>50.963769900000003</v>
      </c>
      <c r="X1206">
        <v>6.9587399999999997</v>
      </c>
      <c r="Y1206" t="s">
        <v>2497</v>
      </c>
      <c r="Z1206" t="s">
        <v>3110</v>
      </c>
      <c r="AA1206" t="s">
        <v>9223</v>
      </c>
      <c r="AB1206" t="s">
        <v>9224</v>
      </c>
      <c r="AC1206" t="s">
        <v>6760</v>
      </c>
      <c r="AD1206" s="249" t="str">
        <f>HYPERLINK("https://scontent.cdninstagram.com/t51.2885-15/s320x320/e35/20902413_462416590792395_1452948321969635328_n.jpg")</f>
        <v>https://scontent.cdninstagram.com/t51.2885-15/s320x320/e35/20902413_462416590792395_1452948321969635328_n.jpg</v>
      </c>
      <c r="AE1206" s="249" t="str">
        <f>HYPERLINK("https://scontent.cdninstagram.com/t51.2885-19/s150x150/20759948_2040958986128138_1613724504230461440_a.jpg")</f>
        <v>https://scontent.cdninstagram.com/t51.2885-19/s150x150/20759948_2040958986128138_1613724504230461440_a.jpg</v>
      </c>
    </row>
    <row r="1207" spans="1:31" ht="15" x14ac:dyDescent="0.25">
      <c r="A1207" t="s">
        <v>2474</v>
      </c>
      <c r="B1207" t="s">
        <v>9225</v>
      </c>
      <c r="C1207" s="221">
        <v>42964.263877314814</v>
      </c>
      <c r="D1207" t="s">
        <v>9226</v>
      </c>
      <c r="E1207" s="249" t="str">
        <f>HYPERLINK("https://www.instagram.com/p/BX5C22jHdIZ/")</f>
        <v>https://www.instagram.com/p/BX5C22jHdIZ/</v>
      </c>
      <c r="F1207" t="s">
        <v>9227</v>
      </c>
      <c r="G1207" t="s">
        <v>2478</v>
      </c>
      <c r="H1207">
        <v>490</v>
      </c>
      <c r="I1207" t="s">
        <v>2479</v>
      </c>
      <c r="J1207">
        <v>0</v>
      </c>
      <c r="K1207">
        <v>29</v>
      </c>
      <c r="L1207">
        <v>29</v>
      </c>
      <c r="Q1207">
        <v>0</v>
      </c>
      <c r="R1207">
        <v>0</v>
      </c>
      <c r="S1207">
        <v>29</v>
      </c>
      <c r="Y1207" t="s">
        <v>9228</v>
      </c>
      <c r="Z1207" t="s">
        <v>2562</v>
      </c>
      <c r="AA1207" t="s">
        <v>9229</v>
      </c>
      <c r="AB1207" t="s">
        <v>9230</v>
      </c>
      <c r="AC1207" t="s">
        <v>2730</v>
      </c>
      <c r="AD1207" s="249" t="str">
        <f>HYPERLINK("https://scontent.cdninstagram.com/t51.2885-15/s320x320/e35/20902002_262864267553578_6935867378353831936_n.jpg")</f>
        <v>https://scontent.cdninstagram.com/t51.2885-15/s320x320/e35/20902002_262864267553578_6935867378353831936_n.jpg</v>
      </c>
      <c r="AE1207" s="249" t="str">
        <f>HYPERLINK("https://scontent.cdninstagram.com/t51.2885-19/11887112_1463044007359607_386247588_a.jpg")</f>
        <v>https://scontent.cdninstagram.com/t51.2885-19/11887112_1463044007359607_386247588_a.jpg</v>
      </c>
    </row>
    <row r="1208" spans="1:31" ht="15" x14ac:dyDescent="0.25">
      <c r="A1208" t="s">
        <v>2474</v>
      </c>
      <c r="B1208" t="s">
        <v>9231</v>
      </c>
      <c r="C1208" s="221">
        <v>42964.266388888886</v>
      </c>
      <c r="D1208" t="s">
        <v>9232</v>
      </c>
      <c r="E1208" s="249" t="str">
        <f>HYPERLINK("https://www.instagram.com/p/BX5DRVDDXH6/")</f>
        <v>https://www.instagram.com/p/BX5DRVDDXH6/</v>
      </c>
      <c r="F1208" t="s">
        <v>9233</v>
      </c>
      <c r="G1208" t="s">
        <v>2478</v>
      </c>
      <c r="H1208">
        <v>825</v>
      </c>
      <c r="I1208" t="s">
        <v>2479</v>
      </c>
      <c r="J1208">
        <v>4</v>
      </c>
      <c r="K1208">
        <v>96</v>
      </c>
      <c r="L1208">
        <v>100</v>
      </c>
      <c r="Q1208">
        <v>0</v>
      </c>
      <c r="R1208">
        <v>0</v>
      </c>
      <c r="S1208">
        <v>100</v>
      </c>
      <c r="Y1208" t="s">
        <v>9011</v>
      </c>
      <c r="Z1208" t="s">
        <v>9234</v>
      </c>
      <c r="AA1208" t="s">
        <v>9235</v>
      </c>
      <c r="AB1208" t="s">
        <v>9236</v>
      </c>
      <c r="AC1208" t="s">
        <v>3225</v>
      </c>
      <c r="AD1208" s="249" t="str">
        <f>HYPERLINK("https://scontent.cdninstagram.com/t51.2885-15/s320x320/e35/c0.135.1080.1080/20902218_144318482822250_6512424976388194304_n.jpg")</f>
        <v>https://scontent.cdninstagram.com/t51.2885-15/s320x320/e35/c0.135.1080.1080/20902218_144318482822250_6512424976388194304_n.jpg</v>
      </c>
      <c r="AE1208" s="249" t="str">
        <f>HYPERLINK("https://scontent.cdninstagram.com/t51.2885-19/s150x150/20969286_1935734646673542_801650100995620864_a.jpg")</f>
        <v>https://scontent.cdninstagram.com/t51.2885-19/s150x150/20969286_1935734646673542_801650100995620864_a.jpg</v>
      </c>
    </row>
    <row r="1209" spans="1:31" ht="15" x14ac:dyDescent="0.25">
      <c r="A1209" t="s">
        <v>2474</v>
      </c>
      <c r="B1209" t="s">
        <v>9237</v>
      </c>
      <c r="C1209" s="221">
        <v>42964.267557870371</v>
      </c>
      <c r="D1209" t="s">
        <v>9238</v>
      </c>
      <c r="E1209" s="249" t="str">
        <f>HYPERLINK("https://www.instagram.com/p/BX5DdrlgP3D/")</f>
        <v>https://www.instagram.com/p/BX5DdrlgP3D/</v>
      </c>
      <c r="F1209" t="s">
        <v>9239</v>
      </c>
      <c r="G1209" t="s">
        <v>2478</v>
      </c>
      <c r="H1209">
        <v>2</v>
      </c>
      <c r="I1209" t="s">
        <v>2542</v>
      </c>
      <c r="J1209">
        <v>0</v>
      </c>
      <c r="K1209">
        <v>5</v>
      </c>
      <c r="L1209">
        <v>5</v>
      </c>
      <c r="Q1209">
        <v>0</v>
      </c>
      <c r="R1209">
        <v>0</v>
      </c>
      <c r="S1209">
        <v>5</v>
      </c>
      <c r="Y1209" t="s">
        <v>9240</v>
      </c>
      <c r="Z1209" t="s">
        <v>9241</v>
      </c>
      <c r="AA1209" t="s">
        <v>9242</v>
      </c>
      <c r="AB1209" t="s">
        <v>9243</v>
      </c>
      <c r="AC1209" t="s">
        <v>9244</v>
      </c>
      <c r="AD1209" s="249" t="str">
        <f>HYPERLINK("https://scontent.cdninstagram.com/t51.2885-15/s320x320/e35/20905655_1409801029074657_8545972496464084992_n.jpg")</f>
        <v>https://scontent.cdninstagram.com/t51.2885-15/s320x320/e35/20905655_1409801029074657_8545972496464084992_n.jpg</v>
      </c>
      <c r="AE1209" s="249" t="str">
        <f>HYPERLINK("https://scontent.cdninstagram.com/t51.2885-19/s150x150/20837551_140989473167418_996602377412804608_a.jpg")</f>
        <v>https://scontent.cdninstagram.com/t51.2885-19/s150x150/20837551_140989473167418_996602377412804608_a.jpg</v>
      </c>
    </row>
    <row r="1210" spans="1:31" ht="15" x14ac:dyDescent="0.25">
      <c r="A1210" t="s">
        <v>2474</v>
      </c>
      <c r="B1210" t="s">
        <v>9245</v>
      </c>
      <c r="C1210" s="221">
        <v>42964.274780092594</v>
      </c>
      <c r="D1210" t="s">
        <v>9246</v>
      </c>
      <c r="E1210" s="249" t="str">
        <f>HYPERLINK("https://www.instagram.com/p/BX5EpxsApRp/")</f>
        <v>https://www.instagram.com/p/BX5EpxsApRp/</v>
      </c>
      <c r="F1210" t="s">
        <v>9247</v>
      </c>
      <c r="G1210" t="s">
        <v>2478</v>
      </c>
      <c r="H1210">
        <v>1547</v>
      </c>
      <c r="I1210" t="s">
        <v>4062</v>
      </c>
      <c r="J1210">
        <v>0</v>
      </c>
      <c r="K1210">
        <v>37</v>
      </c>
      <c r="L1210">
        <v>37</v>
      </c>
      <c r="Q1210">
        <v>0</v>
      </c>
      <c r="R1210">
        <v>0</v>
      </c>
      <c r="S1210">
        <v>37</v>
      </c>
      <c r="Y1210" t="s">
        <v>9248</v>
      </c>
      <c r="Z1210" t="s">
        <v>9249</v>
      </c>
      <c r="AA1210" t="s">
        <v>9250</v>
      </c>
      <c r="AB1210" t="s">
        <v>3370</v>
      </c>
      <c r="AC1210" t="s">
        <v>9251</v>
      </c>
      <c r="AD1210" s="249" t="str">
        <f>HYPERLINK("https://scontent.cdninstagram.com/t51.2885-15/s320x320/e35/c0.62.500.500/20902006_108237069903620_3998979027795705856_n.jpg")</f>
        <v>https://scontent.cdninstagram.com/t51.2885-15/s320x320/e35/c0.62.500.500/20902006_108237069903620_3998979027795705856_n.jpg</v>
      </c>
      <c r="AE1210" s="249" t="str">
        <f>HYPERLINK("https://scontent.cdninstagram.com/t51.2885-19/s150x150/14482731_292108021174631_581659702841049088_a.jpg")</f>
        <v>https://scontent.cdninstagram.com/t51.2885-19/s150x150/14482731_292108021174631_581659702841049088_a.jpg</v>
      </c>
    </row>
    <row r="1211" spans="1:31" ht="15" x14ac:dyDescent="0.25">
      <c r="A1211" t="s">
        <v>2474</v>
      </c>
      <c r="B1211" t="s">
        <v>9252</v>
      </c>
      <c r="C1211" s="221">
        <v>42964.275648148148</v>
      </c>
      <c r="D1211" t="s">
        <v>9253</v>
      </c>
      <c r="E1211" s="249" t="str">
        <f>HYPERLINK("https://www.instagram.com/p/BX5EzAJjnlH/")</f>
        <v>https://www.instagram.com/p/BX5EzAJjnlH/</v>
      </c>
      <c r="F1211" t="s">
        <v>9254</v>
      </c>
      <c r="G1211" t="s">
        <v>2478</v>
      </c>
      <c r="H1211">
        <v>814</v>
      </c>
      <c r="I1211" t="s">
        <v>2479</v>
      </c>
      <c r="J1211">
        <v>1</v>
      </c>
      <c r="K1211">
        <v>83</v>
      </c>
      <c r="L1211">
        <v>84</v>
      </c>
      <c r="Q1211">
        <v>0</v>
      </c>
      <c r="R1211">
        <v>0</v>
      </c>
      <c r="S1211">
        <v>84</v>
      </c>
      <c r="Y1211" t="s">
        <v>9255</v>
      </c>
      <c r="Z1211" t="s">
        <v>9256</v>
      </c>
      <c r="AA1211" t="s">
        <v>5077</v>
      </c>
      <c r="AB1211" t="s">
        <v>9257</v>
      </c>
      <c r="AC1211" t="s">
        <v>4246</v>
      </c>
      <c r="AD1211" s="249" t="str">
        <f>HYPERLINK("https://scontent.cdninstagram.com/t51.2885-15/s320x320/e35/20837595_501463093522850_3877560628755300352_n.jpg")</f>
        <v>https://scontent.cdninstagram.com/t51.2885-15/s320x320/e35/20837595_501463093522850_3877560628755300352_n.jpg</v>
      </c>
      <c r="AE1211" s="249" t="str">
        <f>HYPERLINK("https://scontent.cdninstagram.com/t51.2885-19/s150x150/11249866_1639249842955071_1275285948_a.jpg")</f>
        <v>https://scontent.cdninstagram.com/t51.2885-19/s150x150/11249866_1639249842955071_1275285948_a.jpg</v>
      </c>
    </row>
    <row r="1212" spans="1:31" ht="15" x14ac:dyDescent="0.25">
      <c r="A1212" t="s">
        <v>2474</v>
      </c>
      <c r="B1212" t="s">
        <v>2941</v>
      </c>
      <c r="C1212" s="221">
        <v>42964.297083333331</v>
      </c>
      <c r="D1212" t="s">
        <v>9258</v>
      </c>
      <c r="E1212" s="249" t="str">
        <f>HYPERLINK("https://www.instagram.com/p/BX5IVGFDvZm/")</f>
        <v>https://www.instagram.com/p/BX5IVGFDvZm/</v>
      </c>
      <c r="F1212" t="s">
        <v>9259</v>
      </c>
      <c r="G1212" t="s">
        <v>2478</v>
      </c>
      <c r="H1212">
        <v>220</v>
      </c>
      <c r="I1212" t="s">
        <v>2542</v>
      </c>
      <c r="J1212">
        <v>1</v>
      </c>
      <c r="K1212">
        <v>16</v>
      </c>
      <c r="L1212">
        <v>17</v>
      </c>
      <c r="Q1212">
        <v>0</v>
      </c>
      <c r="R1212">
        <v>0</v>
      </c>
      <c r="S1212">
        <v>17</v>
      </c>
      <c r="Y1212" t="s">
        <v>3655</v>
      </c>
      <c r="Z1212" t="s">
        <v>3145</v>
      </c>
      <c r="AA1212" t="s">
        <v>5383</v>
      </c>
      <c r="AB1212" t="s">
        <v>9260</v>
      </c>
      <c r="AC1212" t="s">
        <v>2492</v>
      </c>
      <c r="AD1212" s="249" t="str">
        <f>HYPERLINK("https://scontent.cdninstagram.com/t51.2885-15/s320x320/e35/20839006_112470379419666_8963774219095638016_n.jpg")</f>
        <v>https://scontent.cdninstagram.com/t51.2885-15/s320x320/e35/20839006_112470379419666_8963774219095638016_n.jpg</v>
      </c>
      <c r="AE1212" s="249" t="str">
        <f>HYPERLINK("https://scontent.cdninstagram.com/t51.2885-19/s150x150/20686926_123784664915170_1777034476677758976_a.jpg")</f>
        <v>https://scontent.cdninstagram.com/t51.2885-19/s150x150/20686926_123784664915170_1777034476677758976_a.jpg</v>
      </c>
    </row>
    <row r="1213" spans="1:31" ht="15" x14ac:dyDescent="0.25">
      <c r="A1213" t="s">
        <v>2474</v>
      </c>
      <c r="B1213" t="s">
        <v>9261</v>
      </c>
      <c r="C1213" s="221">
        <v>42964.299907407411</v>
      </c>
      <c r="D1213" t="s">
        <v>9262</v>
      </c>
      <c r="E1213" s="249" t="str">
        <f>HYPERLINK("https://www.instagram.com/p/BX5Iy2pgaDZ/")</f>
        <v>https://www.instagram.com/p/BX5Iy2pgaDZ/</v>
      </c>
      <c r="F1213" t="s">
        <v>9263</v>
      </c>
      <c r="G1213" t="s">
        <v>2478</v>
      </c>
      <c r="H1213">
        <v>300</v>
      </c>
      <c r="I1213" t="s">
        <v>2479</v>
      </c>
      <c r="J1213">
        <v>0</v>
      </c>
      <c r="K1213">
        <v>19</v>
      </c>
      <c r="L1213">
        <v>19</v>
      </c>
      <c r="Q1213">
        <v>0</v>
      </c>
      <c r="R1213">
        <v>0</v>
      </c>
      <c r="S1213">
        <v>19</v>
      </c>
      <c r="Y1213" t="s">
        <v>2497</v>
      </c>
      <c r="Z1213" t="s">
        <v>9264</v>
      </c>
      <c r="AA1213" t="s">
        <v>9265</v>
      </c>
      <c r="AB1213" t="s">
        <v>9266</v>
      </c>
      <c r="AC1213" t="s">
        <v>9267</v>
      </c>
      <c r="AD1213" s="249" t="str">
        <f>HYPERLINK("https://scontent.cdninstagram.com/t51.2885-15/s320x320/e35/20902391_1703198933322282_2245718024029995008_n.jpg")</f>
        <v>https://scontent.cdninstagram.com/t51.2885-15/s320x320/e35/20902391_1703198933322282_2245718024029995008_n.jpg</v>
      </c>
      <c r="AE1213" s="249" t="str">
        <f>HYPERLINK("https://scontent.cdninstagram.com/t51.2885-19/s150x150/13703031_657991667690754_1713138476_a.jpg")</f>
        <v>https://scontent.cdninstagram.com/t51.2885-19/s150x150/13703031_657991667690754_1713138476_a.jpg</v>
      </c>
    </row>
    <row r="1214" spans="1:31" ht="15" x14ac:dyDescent="0.25">
      <c r="A1214" t="s">
        <v>2474</v>
      </c>
      <c r="B1214" t="s">
        <v>3824</v>
      </c>
      <c r="C1214" s="221">
        <v>42964.305891203701</v>
      </c>
      <c r="D1214" t="s">
        <v>9268</v>
      </c>
      <c r="E1214" s="249" t="str">
        <f>HYPERLINK("https://www.instagram.com/p/BX5Jx5XFja2/")</f>
        <v>https://www.instagram.com/p/BX5Jx5XFja2/</v>
      </c>
      <c r="F1214" t="s">
        <v>9269</v>
      </c>
      <c r="G1214" t="s">
        <v>2631</v>
      </c>
      <c r="H1214">
        <v>1047</v>
      </c>
      <c r="I1214" t="s">
        <v>2479</v>
      </c>
      <c r="J1214">
        <v>1</v>
      </c>
      <c r="K1214">
        <v>41</v>
      </c>
      <c r="L1214">
        <v>42</v>
      </c>
      <c r="Q1214">
        <v>0</v>
      </c>
      <c r="R1214">
        <v>0</v>
      </c>
      <c r="S1214">
        <v>42</v>
      </c>
      <c r="Y1214" t="s">
        <v>3843</v>
      </c>
      <c r="Z1214" t="s">
        <v>3213</v>
      </c>
      <c r="AA1214" t="s">
        <v>2734</v>
      </c>
      <c r="AB1214" t="s">
        <v>6779</v>
      </c>
      <c r="AC1214" t="s">
        <v>2651</v>
      </c>
      <c r="AD1214" s="249" t="str">
        <f>HYPERLINK("https://scontent.cdninstagram.com/t51.2885-15/s320x320/e15/c0.90.720.720/20838258_326187154496595_3902994690642804736_n.jpg")</f>
        <v>https://scontent.cdninstagram.com/t51.2885-15/s320x320/e15/c0.90.720.720/20838258_326187154496595_3902994690642804736_n.jpg</v>
      </c>
      <c r="AE1214" s="249" t="str">
        <f>HYPERLINK("https://scontent.cdninstagram.com/t51.2885-19/s150x150/19228675_316947935407228_6855499933131210752_a.jpg")</f>
        <v>https://scontent.cdninstagram.com/t51.2885-19/s150x150/19228675_316947935407228_6855499933131210752_a.jpg</v>
      </c>
    </row>
    <row r="1215" spans="1:31" ht="15" x14ac:dyDescent="0.25">
      <c r="A1215" t="s">
        <v>2474</v>
      </c>
      <c r="B1215" t="s">
        <v>9270</v>
      </c>
      <c r="C1215" s="221">
        <v>42964.312708333331</v>
      </c>
      <c r="D1215" t="s">
        <v>9271</v>
      </c>
      <c r="E1215" s="249" t="str">
        <f>HYPERLINK("https://www.instagram.com/p/BX5K51qlyaV/")</f>
        <v>https://www.instagram.com/p/BX5K51qlyaV/</v>
      </c>
      <c r="F1215" t="s">
        <v>9272</v>
      </c>
      <c r="G1215" t="s">
        <v>2478</v>
      </c>
      <c r="H1215">
        <v>588</v>
      </c>
      <c r="I1215" t="s">
        <v>2479</v>
      </c>
      <c r="J1215">
        <v>3</v>
      </c>
      <c r="K1215">
        <v>16</v>
      </c>
      <c r="L1215">
        <v>19</v>
      </c>
      <c r="Q1215">
        <v>0</v>
      </c>
      <c r="R1215">
        <v>0</v>
      </c>
      <c r="S1215">
        <v>19</v>
      </c>
      <c r="T1215" t="s">
        <v>9273</v>
      </c>
      <c r="V1215" t="s">
        <v>2288</v>
      </c>
      <c r="W1215">
        <v>52.408099999999997</v>
      </c>
      <c r="X1215">
        <v>-1.5105999999999999</v>
      </c>
      <c r="Y1215" t="s">
        <v>2497</v>
      </c>
      <c r="Z1215" t="s">
        <v>4524</v>
      </c>
      <c r="AA1215" t="s">
        <v>9274</v>
      </c>
      <c r="AB1215" t="s">
        <v>9275</v>
      </c>
      <c r="AC1215" t="s">
        <v>9276</v>
      </c>
      <c r="AD1215" s="249" t="str">
        <f>HYPERLINK("https://scontent.cdninstagram.com/t51.2885-15/s320x320/e35/c75.0.350.350/20905347_1662997533734780_3034117395003211776_n.jpg")</f>
        <v>https://scontent.cdninstagram.com/t51.2885-15/s320x320/e35/c75.0.350.350/20905347_1662997533734780_3034117395003211776_n.jpg</v>
      </c>
      <c r="AE1215" s="249" t="str">
        <f>HYPERLINK("https://scontent.cdninstagram.com/t51.2885-19/s150x150/13118068_518655471652823_437127029_a.jpg")</f>
        <v>https://scontent.cdninstagram.com/t51.2885-19/s150x150/13118068_518655471652823_437127029_a.jpg</v>
      </c>
    </row>
    <row r="1216" spans="1:31" ht="15" x14ac:dyDescent="0.25">
      <c r="A1216" t="s">
        <v>2474</v>
      </c>
      <c r="B1216" t="s">
        <v>3301</v>
      </c>
      <c r="C1216" s="221">
        <v>42964.320729166669</v>
      </c>
      <c r="D1216" t="s">
        <v>9277</v>
      </c>
      <c r="E1216" s="249" t="str">
        <f>HYPERLINK("https://www.instagram.com/p/BX5MOdrDgTd/")</f>
        <v>https://www.instagram.com/p/BX5MOdrDgTd/</v>
      </c>
      <c r="F1216" t="s">
        <v>9278</v>
      </c>
      <c r="G1216" t="s">
        <v>2478</v>
      </c>
      <c r="H1216">
        <v>592</v>
      </c>
      <c r="I1216" t="s">
        <v>2927</v>
      </c>
      <c r="J1216">
        <v>1</v>
      </c>
      <c r="K1216">
        <v>128</v>
      </c>
      <c r="L1216">
        <v>129</v>
      </c>
      <c r="Q1216">
        <v>0</v>
      </c>
      <c r="R1216">
        <v>0</v>
      </c>
      <c r="S1216">
        <v>129</v>
      </c>
      <c r="Y1216" t="s">
        <v>9279</v>
      </c>
      <c r="Z1216" t="s">
        <v>3304</v>
      </c>
      <c r="AA1216" t="s">
        <v>4159</v>
      </c>
      <c r="AB1216" t="s">
        <v>9280</v>
      </c>
      <c r="AC1216" t="s">
        <v>5236</v>
      </c>
      <c r="AD1216" s="249" t="str">
        <f>HYPERLINK("https://scontent.cdninstagram.com/t51.2885-15/s320x320/e35/20838300_347811355653974_800676754032164864_n.jpg")</f>
        <v>https://scontent.cdninstagram.com/t51.2885-15/s320x320/e35/20838300_347811355653974_800676754032164864_n.jpg</v>
      </c>
      <c r="AE1216" s="249" t="str">
        <f>HYPERLINK("https://scontent.cdninstagram.com/t51.2885-19/s150x150/19228478_370974479971900_5746578409966796800_a.jpg")</f>
        <v>https://scontent.cdninstagram.com/t51.2885-19/s150x150/19228478_370974479971900_5746578409966796800_a.jpg</v>
      </c>
    </row>
    <row r="1217" spans="1:31" ht="15" x14ac:dyDescent="0.25">
      <c r="A1217" t="s">
        <v>2474</v>
      </c>
      <c r="B1217" t="s">
        <v>9281</v>
      </c>
      <c r="C1217" s="221">
        <v>42964.330393518518</v>
      </c>
      <c r="D1217" t="s">
        <v>9282</v>
      </c>
      <c r="E1217" s="249" t="str">
        <f>HYPERLINK("https://www.instagram.com/p/BX5N0ZNgdTi/")</f>
        <v>https://www.instagram.com/p/BX5N0ZNgdTi/</v>
      </c>
      <c r="F1217" t="s">
        <v>9283</v>
      </c>
      <c r="G1217" t="s">
        <v>2478</v>
      </c>
      <c r="H1217">
        <v>1016</v>
      </c>
      <c r="I1217" t="s">
        <v>2479</v>
      </c>
      <c r="J1217">
        <v>1</v>
      </c>
      <c r="K1217">
        <v>32</v>
      </c>
      <c r="L1217">
        <v>33</v>
      </c>
      <c r="Q1217">
        <v>0</v>
      </c>
      <c r="R1217">
        <v>0</v>
      </c>
      <c r="S1217">
        <v>33</v>
      </c>
      <c r="T1217" t="s">
        <v>9284</v>
      </c>
      <c r="V1217" t="s">
        <v>2182</v>
      </c>
      <c r="W1217">
        <v>45.438600000000001</v>
      </c>
      <c r="X1217">
        <v>12.326700000000001</v>
      </c>
      <c r="Y1217" t="s">
        <v>9285</v>
      </c>
      <c r="Z1217" t="s">
        <v>9286</v>
      </c>
      <c r="AA1217" t="s">
        <v>9287</v>
      </c>
      <c r="AB1217" t="s">
        <v>9288</v>
      </c>
      <c r="AC1217" t="s">
        <v>9289</v>
      </c>
      <c r="AD1217" s="249" t="str">
        <f>HYPERLINK("https://scontent.cdninstagram.com/t51.2885-15/s320x320/e35/c257.0.565.565/20902719_265102673985305_2970847256808259584_n.jpg")</f>
        <v>https://scontent.cdninstagram.com/t51.2885-15/s320x320/e35/c257.0.565.565/20902719_265102673985305_2970847256808259584_n.jpg</v>
      </c>
      <c r="AE1217" s="249" t="str">
        <f>HYPERLINK("https://scontent.cdninstagram.com/t51.2885-19/s150x150/19436497_271123906696437_5731432070358499328_a.jpg")</f>
        <v>https://scontent.cdninstagram.com/t51.2885-19/s150x150/19436497_271123906696437_5731432070358499328_a.jpg</v>
      </c>
    </row>
    <row r="1218" spans="1:31" ht="15" x14ac:dyDescent="0.25">
      <c r="A1218" t="s">
        <v>2474</v>
      </c>
      <c r="B1218" t="s">
        <v>7152</v>
      </c>
      <c r="C1218" s="221">
        <v>42964.335057870368</v>
      </c>
      <c r="D1218" t="s">
        <v>9290</v>
      </c>
      <c r="E1218" s="249" t="str">
        <f>HYPERLINK("https://www.instagram.com/p/BX5OljSD79d/")</f>
        <v>https://www.instagram.com/p/BX5OljSD79d/</v>
      </c>
      <c r="F1218" t="s">
        <v>9291</v>
      </c>
      <c r="G1218" t="s">
        <v>2478</v>
      </c>
      <c r="H1218">
        <v>107</v>
      </c>
      <c r="I1218" t="s">
        <v>2542</v>
      </c>
      <c r="J1218">
        <v>3</v>
      </c>
      <c r="K1218">
        <v>17</v>
      </c>
      <c r="L1218">
        <v>20</v>
      </c>
      <c r="Q1218">
        <v>0</v>
      </c>
      <c r="R1218">
        <v>0</v>
      </c>
      <c r="S1218">
        <v>20</v>
      </c>
      <c r="Y1218" t="s">
        <v>9292</v>
      </c>
      <c r="Z1218" t="s">
        <v>5383</v>
      </c>
      <c r="AA1218" t="s">
        <v>3885</v>
      </c>
      <c r="AB1218" t="s">
        <v>2492</v>
      </c>
      <c r="AC1218" t="s">
        <v>2497</v>
      </c>
      <c r="AD1218" s="249" t="str">
        <f>HYPERLINK("https://scontent.cdninstagram.com/t51.2885-15/s320x320/e35/20837414_465960857117099_1456522718307418112_n.jpg")</f>
        <v>https://scontent.cdninstagram.com/t51.2885-15/s320x320/e35/20837414_465960857117099_1456522718307418112_n.jpg</v>
      </c>
      <c r="AE1218" s="249" t="str">
        <f>HYPERLINK("https://scontent.cdninstagram.com/t51.2885-19/s150x150/20181062_1791856511105718_4709893984703479808_a.jpg")</f>
        <v>https://scontent.cdninstagram.com/t51.2885-19/s150x150/20181062_1791856511105718_4709893984703479808_a.jpg</v>
      </c>
    </row>
    <row r="1219" spans="1:31" ht="15" x14ac:dyDescent="0.25">
      <c r="A1219" t="s">
        <v>2474</v>
      </c>
      <c r="B1219" t="s">
        <v>9293</v>
      </c>
      <c r="C1219" s="221">
        <v>42964.33693287037</v>
      </c>
      <c r="D1219" t="s">
        <v>9294</v>
      </c>
      <c r="E1219" s="249" t="str">
        <f>HYPERLINK("https://www.instagram.com/p/BX5O5XkhSpd/")</f>
        <v>https://www.instagram.com/p/BX5O5XkhSpd/</v>
      </c>
      <c r="F1219" t="s">
        <v>9295</v>
      </c>
      <c r="G1219" t="s">
        <v>2478</v>
      </c>
      <c r="H1219">
        <v>403</v>
      </c>
      <c r="I1219" t="s">
        <v>2542</v>
      </c>
      <c r="J1219">
        <v>6</v>
      </c>
      <c r="K1219">
        <v>29</v>
      </c>
      <c r="L1219">
        <v>35</v>
      </c>
      <c r="Q1219">
        <v>0</v>
      </c>
      <c r="R1219">
        <v>0</v>
      </c>
      <c r="S1219">
        <v>35</v>
      </c>
      <c r="Y1219" t="s">
        <v>2734</v>
      </c>
      <c r="Z1219" t="s">
        <v>3132</v>
      </c>
      <c r="AA1219" t="s">
        <v>9265</v>
      </c>
      <c r="AB1219" t="s">
        <v>9296</v>
      </c>
      <c r="AC1219" t="s">
        <v>3117</v>
      </c>
      <c r="AD1219" s="249" t="str">
        <f>HYPERLINK("https://scontent.cdninstagram.com/t51.2885-15/s320x320/e35/20904855_1428168580604043_8885032723937230848_n.jpg")</f>
        <v>https://scontent.cdninstagram.com/t51.2885-15/s320x320/e35/20904855_1428168580604043_8885032723937230848_n.jpg</v>
      </c>
      <c r="AE1219" s="249" t="str">
        <f>HYPERLINK("https://scontent.cdninstagram.com/t51.2885-19/s150x150/16465317_480138069040339_1578672722077024256_a.jpg")</f>
        <v>https://scontent.cdninstagram.com/t51.2885-19/s150x150/16465317_480138069040339_1578672722077024256_a.jpg</v>
      </c>
    </row>
    <row r="1220" spans="1:31" ht="15" x14ac:dyDescent="0.25">
      <c r="A1220" t="s">
        <v>2474</v>
      </c>
      <c r="B1220" t="s">
        <v>4132</v>
      </c>
      <c r="C1220" s="221">
        <v>42964.355381944442</v>
      </c>
      <c r="D1220" t="s">
        <v>9297</v>
      </c>
      <c r="E1220" s="249" t="str">
        <f>HYPERLINK("https://www.instagram.com/p/BX5R76Ol6eH/")</f>
        <v>https://www.instagram.com/p/BX5R76Ol6eH/</v>
      </c>
      <c r="F1220" t="s">
        <v>9298</v>
      </c>
      <c r="G1220" t="s">
        <v>2478</v>
      </c>
      <c r="H1220">
        <v>6883</v>
      </c>
      <c r="I1220" t="s">
        <v>2479</v>
      </c>
      <c r="J1220">
        <v>3</v>
      </c>
      <c r="K1220">
        <v>19</v>
      </c>
      <c r="L1220">
        <v>22</v>
      </c>
      <c r="Q1220">
        <v>0</v>
      </c>
      <c r="R1220">
        <v>0</v>
      </c>
      <c r="S1220">
        <v>22</v>
      </c>
      <c r="Y1220" t="s">
        <v>2588</v>
      </c>
      <c r="Z1220" t="s">
        <v>2838</v>
      </c>
      <c r="AA1220" t="s">
        <v>9299</v>
      </c>
      <c r="AB1220" t="s">
        <v>4136</v>
      </c>
      <c r="AC1220" t="s">
        <v>9300</v>
      </c>
      <c r="AD1220" s="249" t="str">
        <f>HYPERLINK("https://scontent.cdninstagram.com/t51.2885-15/s320x320/e35/c36.0.568.568/20838236_555043518160912_945342428066349056_n.jpg")</f>
        <v>https://scontent.cdninstagram.com/t51.2885-15/s320x320/e35/c36.0.568.568/20838236_555043518160912_945342428066349056_n.jpg</v>
      </c>
      <c r="AE1220" s="249" t="str">
        <f>HYPERLINK("https://scontent.cdninstagram.com/t51.2885-19/s150x150/15306012_1834743390099693_621234283125669888_a.jpg")</f>
        <v>https://scontent.cdninstagram.com/t51.2885-19/s150x150/15306012_1834743390099693_621234283125669888_a.jpg</v>
      </c>
    </row>
    <row r="1221" spans="1:31" ht="15" x14ac:dyDescent="0.25">
      <c r="A1221" t="s">
        <v>2474</v>
      </c>
      <c r="B1221" t="s">
        <v>8107</v>
      </c>
      <c r="C1221" s="221">
        <v>42964.356990740744</v>
      </c>
      <c r="D1221" t="s">
        <v>9301</v>
      </c>
      <c r="E1221" s="249" t="str">
        <f>HYPERLINK("https://www.instagram.com/p/BX5SM6kAPJ5/")</f>
        <v>https://www.instagram.com/p/BX5SM6kAPJ5/</v>
      </c>
      <c r="F1221" t="s">
        <v>9302</v>
      </c>
      <c r="G1221" t="s">
        <v>2478</v>
      </c>
      <c r="H1221">
        <v>312</v>
      </c>
      <c r="I1221" t="s">
        <v>3273</v>
      </c>
      <c r="J1221">
        <v>4</v>
      </c>
      <c r="K1221">
        <v>28</v>
      </c>
      <c r="L1221">
        <v>32</v>
      </c>
      <c r="Q1221">
        <v>0</v>
      </c>
      <c r="R1221">
        <v>0</v>
      </c>
      <c r="S1221">
        <v>32</v>
      </c>
      <c r="Y1221" t="s">
        <v>3132</v>
      </c>
      <c r="Z1221" t="s">
        <v>2492</v>
      </c>
      <c r="AA1221" t="s">
        <v>8111</v>
      </c>
      <c r="AB1221" t="s">
        <v>2497</v>
      </c>
      <c r="AC1221" t="s">
        <v>9303</v>
      </c>
      <c r="AD1221" s="249" t="str">
        <f>HYPERLINK("https://scontent.cdninstagram.com/t51.2885-15/s320x320/e35/c135.0.809.809/20838953_132483867366529_7960996567769415680_n.jpg")</f>
        <v>https://scontent.cdninstagram.com/t51.2885-15/s320x320/e35/c135.0.809.809/20838953_132483867366529_7960996567769415680_n.jpg</v>
      </c>
      <c r="AE1221" s="249" t="str">
        <f>HYPERLINK("https://scontent.cdninstagram.com/t51.2885-19/s150x150/20482729_462421874135899_9220730679212376064_a.jpg")</f>
        <v>https://scontent.cdninstagram.com/t51.2885-19/s150x150/20482729_462421874135899_9220730679212376064_a.jpg</v>
      </c>
    </row>
    <row r="1222" spans="1:31" ht="15" x14ac:dyDescent="0.25">
      <c r="A1222" t="s">
        <v>2474</v>
      </c>
      <c r="B1222" t="s">
        <v>9304</v>
      </c>
      <c r="C1222" s="221">
        <v>42964.358437499999</v>
      </c>
      <c r="D1222" t="s">
        <v>9305</v>
      </c>
      <c r="E1222" s="249" t="str">
        <f>HYPERLINK("https://www.instagram.com/p/BX5ScMuA0Of/")</f>
        <v>https://www.instagram.com/p/BX5ScMuA0Of/</v>
      </c>
      <c r="F1222" t="s">
        <v>9306</v>
      </c>
      <c r="G1222" t="s">
        <v>2478</v>
      </c>
      <c r="H1222">
        <v>257</v>
      </c>
      <c r="I1222" t="s">
        <v>2479</v>
      </c>
      <c r="J1222">
        <v>3</v>
      </c>
      <c r="K1222">
        <v>28</v>
      </c>
      <c r="L1222">
        <v>31</v>
      </c>
      <c r="Q1222">
        <v>0</v>
      </c>
      <c r="R1222">
        <v>0</v>
      </c>
      <c r="S1222">
        <v>31</v>
      </c>
      <c r="Y1222" t="s">
        <v>9307</v>
      </c>
      <c r="Z1222" t="s">
        <v>9308</v>
      </c>
      <c r="AA1222" t="s">
        <v>2734</v>
      </c>
      <c r="AB1222" t="s">
        <v>4539</v>
      </c>
      <c r="AC1222" t="s">
        <v>9309</v>
      </c>
      <c r="AD1222" s="249" t="str">
        <f>HYPERLINK("https://scontent.cdninstagram.com/t51.2885-15/s320x320/e35/20902641_1760977830865422_5313176833540227072_n.jpg")</f>
        <v>https://scontent.cdninstagram.com/t51.2885-15/s320x320/e35/20902641_1760977830865422_5313176833540227072_n.jpg</v>
      </c>
      <c r="AE1222" s="249" t="str">
        <f>HYPERLINK("https://scontent.cdninstagram.com/t51.2885-19/s150x150/21041506_235695893620732_3075197739282202624_a.jpg")</f>
        <v>https://scontent.cdninstagram.com/t51.2885-19/s150x150/21041506_235695893620732_3075197739282202624_a.jpg</v>
      </c>
    </row>
    <row r="1223" spans="1:31" ht="15" x14ac:dyDescent="0.25">
      <c r="A1223" t="s">
        <v>2474</v>
      </c>
      <c r="B1223" t="s">
        <v>9310</v>
      </c>
      <c r="C1223" s="221">
        <v>42964.365335648145</v>
      </c>
      <c r="D1223" t="s">
        <v>9311</v>
      </c>
      <c r="E1223" s="249" t="str">
        <f>HYPERLINK("https://www.instagram.com/p/BX5Tk7iFXcd/")</f>
        <v>https://www.instagram.com/p/BX5Tk7iFXcd/</v>
      </c>
      <c r="F1223" t="s">
        <v>9312</v>
      </c>
      <c r="G1223" t="s">
        <v>2478</v>
      </c>
      <c r="H1223">
        <v>321</v>
      </c>
      <c r="I1223" t="s">
        <v>2479</v>
      </c>
      <c r="J1223">
        <v>0</v>
      </c>
      <c r="K1223">
        <v>34</v>
      </c>
      <c r="L1223">
        <v>34</v>
      </c>
      <c r="Q1223">
        <v>0</v>
      </c>
      <c r="R1223">
        <v>0</v>
      </c>
      <c r="S1223">
        <v>34</v>
      </c>
      <c r="Y1223" t="s">
        <v>9019</v>
      </c>
      <c r="Z1223" t="s">
        <v>9313</v>
      </c>
      <c r="AA1223" t="s">
        <v>4026</v>
      </c>
      <c r="AB1223" t="s">
        <v>9314</v>
      </c>
      <c r="AC1223" t="s">
        <v>2616</v>
      </c>
      <c r="AD1223" s="249" t="str">
        <f>HYPERLINK("https://scontent.cdninstagram.com/t51.2885-15/s320x320/e35/c112.0.855.855/20902453_272347713267922_389080602013335552_n.jpg")</f>
        <v>https://scontent.cdninstagram.com/t51.2885-15/s320x320/e35/c112.0.855.855/20902453_272347713267922_389080602013335552_n.jpg</v>
      </c>
      <c r="AE1223" s="249" t="str">
        <f>HYPERLINK("https://scontent.cdninstagram.com/t51.2885-19/s150x150/12750295_818533031605779_657676865_a.jpg")</f>
        <v>https://scontent.cdninstagram.com/t51.2885-19/s150x150/12750295_818533031605779_657676865_a.jpg</v>
      </c>
    </row>
    <row r="1224" spans="1:31" ht="15" x14ac:dyDescent="0.25">
      <c r="A1224" t="s">
        <v>2474</v>
      </c>
      <c r="B1224" t="s">
        <v>8705</v>
      </c>
      <c r="C1224" s="221">
        <v>42964.369571759256</v>
      </c>
      <c r="D1224" t="s">
        <v>9315</v>
      </c>
      <c r="E1224" s="249" t="str">
        <f>HYPERLINK("https://www.instagram.com/p/BX5URlxju-d/")</f>
        <v>https://www.instagram.com/p/BX5URlxju-d/</v>
      </c>
      <c r="F1224" t="s">
        <v>9316</v>
      </c>
      <c r="G1224" t="s">
        <v>2478</v>
      </c>
      <c r="H1224">
        <v>940</v>
      </c>
      <c r="I1224" t="s">
        <v>2479</v>
      </c>
      <c r="J1224">
        <v>1</v>
      </c>
      <c r="K1224">
        <v>52</v>
      </c>
      <c r="L1224">
        <v>53</v>
      </c>
      <c r="Q1224">
        <v>0</v>
      </c>
      <c r="R1224">
        <v>0</v>
      </c>
      <c r="S1224">
        <v>53</v>
      </c>
      <c r="T1224" t="s">
        <v>9317</v>
      </c>
      <c r="V1224" t="s">
        <v>2240</v>
      </c>
      <c r="W1224">
        <v>37.757599999999996</v>
      </c>
      <c r="X1224">
        <v>-8.7700999999999993</v>
      </c>
      <c r="Y1224" t="s">
        <v>9318</v>
      </c>
      <c r="Z1224" t="s">
        <v>9319</v>
      </c>
      <c r="AA1224" t="s">
        <v>5175</v>
      </c>
      <c r="AB1224" t="s">
        <v>2497</v>
      </c>
      <c r="AC1224" t="s">
        <v>9320</v>
      </c>
      <c r="AD1224" s="249" t="str">
        <f>HYPERLINK("https://scontent.cdninstagram.com/t51.2885-15/s320x320/e35/c123.0.834.834/20905448_293009077833814_8794327159289151488_n.jpg")</f>
        <v>https://scontent.cdninstagram.com/t51.2885-15/s320x320/e35/c123.0.834.834/20905448_293009077833814_8794327159289151488_n.jpg</v>
      </c>
      <c r="AE1224" s="249" t="str">
        <f>HYPERLINK("https://scontent.cdninstagram.com/t51.2885-19/11273008_1005535259487345_1925728229_a.jpg")</f>
        <v>https://scontent.cdninstagram.com/t51.2885-19/11273008_1005535259487345_1925728229_a.jpg</v>
      </c>
    </row>
    <row r="1225" spans="1:31" ht="15" x14ac:dyDescent="0.25">
      <c r="A1225" t="s">
        <v>2474</v>
      </c>
      <c r="B1225" t="s">
        <v>9321</v>
      </c>
      <c r="C1225" s="221">
        <v>42964.372696759259</v>
      </c>
      <c r="D1225" t="s">
        <v>9322</v>
      </c>
      <c r="E1225" s="249" t="str">
        <f>HYPERLINK("https://www.instagram.com/p/BX5UyiKnSDM/")</f>
        <v>https://www.instagram.com/p/BX5UyiKnSDM/</v>
      </c>
      <c r="F1225" t="s">
        <v>9323</v>
      </c>
      <c r="G1225" t="s">
        <v>2478</v>
      </c>
      <c r="H1225">
        <v>491</v>
      </c>
      <c r="I1225" t="s">
        <v>2479</v>
      </c>
      <c r="J1225">
        <v>2</v>
      </c>
      <c r="K1225">
        <v>61</v>
      </c>
      <c r="L1225">
        <v>63</v>
      </c>
      <c r="Q1225">
        <v>0</v>
      </c>
      <c r="R1225">
        <v>0</v>
      </c>
      <c r="S1225">
        <v>63</v>
      </c>
      <c r="Y1225" t="s">
        <v>9324</v>
      </c>
      <c r="Z1225" t="s">
        <v>9325</v>
      </c>
      <c r="AA1225" t="s">
        <v>9326</v>
      </c>
      <c r="AB1225" t="s">
        <v>9327</v>
      </c>
      <c r="AC1225" t="s">
        <v>9328</v>
      </c>
      <c r="AD1225" s="249" t="str">
        <f>HYPERLINK("https://scontent.cdninstagram.com/t51.2885-15/s320x320/e35/20902400_1625723624146813_6462148106401087488_n.jpg")</f>
        <v>https://scontent.cdninstagram.com/t51.2885-15/s320x320/e35/20902400_1625723624146813_6462148106401087488_n.jpg</v>
      </c>
      <c r="AE1225" s="249" t="str">
        <f>HYPERLINK("https://scontent.cdninstagram.com/t51.2885-19/s150x150/19985785_502621553414716_3525112305320722432_a.jpg")</f>
        <v>https://scontent.cdninstagram.com/t51.2885-19/s150x150/19985785_502621553414716_3525112305320722432_a.jpg</v>
      </c>
    </row>
    <row r="1226" spans="1:31" ht="15" x14ac:dyDescent="0.25">
      <c r="A1226" t="s">
        <v>2474</v>
      </c>
      <c r="B1226" t="s">
        <v>9329</v>
      </c>
      <c r="C1226" s="221">
        <v>42964.373090277775</v>
      </c>
      <c r="D1226" t="s">
        <v>9330</v>
      </c>
      <c r="E1226" s="249" t="str">
        <f>HYPERLINK("https://www.instagram.com/p/BX5U2oWHeMv/")</f>
        <v>https://www.instagram.com/p/BX5U2oWHeMv/</v>
      </c>
      <c r="F1226" t="s">
        <v>9331</v>
      </c>
      <c r="G1226" t="s">
        <v>2478</v>
      </c>
      <c r="H1226">
        <v>1158</v>
      </c>
      <c r="I1226" t="s">
        <v>2479</v>
      </c>
      <c r="J1226">
        <v>2</v>
      </c>
      <c r="K1226">
        <v>121</v>
      </c>
      <c r="L1226">
        <v>123</v>
      </c>
      <c r="Q1226">
        <v>0</v>
      </c>
      <c r="R1226">
        <v>0</v>
      </c>
      <c r="S1226">
        <v>123</v>
      </c>
      <c r="Y1226" t="s">
        <v>2497</v>
      </c>
      <c r="Z1226" t="s">
        <v>7329</v>
      </c>
      <c r="AA1226" t="s">
        <v>9332</v>
      </c>
      <c r="AB1226" t="s">
        <v>9333</v>
      </c>
      <c r="AC1226" t="s">
        <v>3962</v>
      </c>
      <c r="AD1226" s="249" t="str">
        <f>HYPERLINK("https://scontent.cdninstagram.com/t51.2885-15/s320x320/e35/c0.134.1080.1080/20905680_1441693305916131_4058315233645559808_n.jpg")</f>
        <v>https://scontent.cdninstagram.com/t51.2885-15/s320x320/e35/c0.134.1080.1080/20905680_1441693305916131_4058315233645559808_n.jpg</v>
      </c>
      <c r="AE1226" s="249" t="str">
        <f>HYPERLINK("https://scontent.cdninstagram.com/t51.2885-19/s150x150/18646340_1704441569851914_8691727103621595136_a.jpg")</f>
        <v>https://scontent.cdninstagram.com/t51.2885-19/s150x150/18646340_1704441569851914_8691727103621595136_a.jpg</v>
      </c>
    </row>
    <row r="1227" spans="1:31" ht="15" x14ac:dyDescent="0.25">
      <c r="A1227" t="s">
        <v>2474</v>
      </c>
      <c r="B1227" t="s">
        <v>4889</v>
      </c>
      <c r="C1227" s="221">
        <v>42964.375034722223</v>
      </c>
      <c r="D1227" t="s">
        <v>9334</v>
      </c>
      <c r="E1227" s="249" t="str">
        <f>HYPERLINK("https://www.instagram.com/p/BX5VLM9jzve/")</f>
        <v>https://www.instagram.com/p/BX5VLM9jzve/</v>
      </c>
      <c r="F1227" t="s">
        <v>9335</v>
      </c>
      <c r="G1227" t="s">
        <v>2478</v>
      </c>
      <c r="H1227">
        <v>60523</v>
      </c>
      <c r="I1227" t="s">
        <v>2479</v>
      </c>
      <c r="J1227">
        <v>25</v>
      </c>
      <c r="K1227">
        <v>1203</v>
      </c>
      <c r="L1227">
        <v>1228</v>
      </c>
      <c r="Q1227">
        <v>0</v>
      </c>
      <c r="R1227">
        <v>0</v>
      </c>
      <c r="S1227">
        <v>1228</v>
      </c>
      <c r="Y1227" t="s">
        <v>9336</v>
      </c>
      <c r="Z1227" t="s">
        <v>9337</v>
      </c>
      <c r="AA1227" t="s">
        <v>9338</v>
      </c>
      <c r="AB1227" t="s">
        <v>9339</v>
      </c>
      <c r="AC1227" t="s">
        <v>7216</v>
      </c>
      <c r="AD1227" s="249" t="str">
        <f>HYPERLINK("https://scontent.cdninstagram.com/t51.2885-15/s320x320/e35/20905504_1921280264800217_1674328799174459392_n.jpg")</f>
        <v>https://scontent.cdninstagram.com/t51.2885-15/s320x320/e35/20905504_1921280264800217_1674328799174459392_n.jpg</v>
      </c>
      <c r="AE1227" s="249" t="str">
        <f>HYPERLINK("https://scontent.cdninstagram.com/t51.2885-19/s150x150/18161358_1440804125941868_3504733114997932032_a.jpg")</f>
        <v>https://scontent.cdninstagram.com/t51.2885-19/s150x150/18161358_1440804125941868_3504733114997932032_a.jpg</v>
      </c>
    </row>
    <row r="1228" spans="1:31" ht="15" x14ac:dyDescent="0.25">
      <c r="A1228" t="s">
        <v>2474</v>
      </c>
      <c r="B1228" t="s">
        <v>8107</v>
      </c>
      <c r="C1228" s="221">
        <v>42964.377060185187</v>
      </c>
      <c r="D1228" t="s">
        <v>9340</v>
      </c>
      <c r="E1228" s="249" t="str">
        <f>HYPERLINK("https://www.instagram.com/p/BX5VgiTAUC2/")</f>
        <v>https://www.instagram.com/p/BX5VgiTAUC2/</v>
      </c>
      <c r="F1228" t="s">
        <v>9341</v>
      </c>
      <c r="G1228" t="s">
        <v>2478</v>
      </c>
      <c r="H1228">
        <v>312</v>
      </c>
      <c r="I1228" t="s">
        <v>2479</v>
      </c>
      <c r="J1228">
        <v>2</v>
      </c>
      <c r="K1228">
        <v>19</v>
      </c>
      <c r="L1228">
        <v>21</v>
      </c>
      <c r="Q1228">
        <v>0</v>
      </c>
      <c r="R1228">
        <v>0</v>
      </c>
      <c r="S1228">
        <v>21</v>
      </c>
      <c r="Y1228" t="s">
        <v>9342</v>
      </c>
      <c r="Z1228" t="s">
        <v>9343</v>
      </c>
      <c r="AA1228" t="s">
        <v>9344</v>
      </c>
      <c r="AB1228" t="s">
        <v>6835</v>
      </c>
      <c r="AC1228" t="s">
        <v>9345</v>
      </c>
      <c r="AD1228" s="249" t="str">
        <f>HYPERLINK("https://scontent.cdninstagram.com/t51.2885-15/s320x320/e35/20837464_836411556527512_6306772635061583872_n.jpg")</f>
        <v>https://scontent.cdninstagram.com/t51.2885-15/s320x320/e35/20837464_836411556527512_6306772635061583872_n.jpg</v>
      </c>
      <c r="AE1228" s="249" t="str">
        <f>HYPERLINK("https://scontent.cdninstagram.com/t51.2885-19/s150x150/20482729_462421874135899_9220730679212376064_a.jpg")</f>
        <v>https://scontent.cdninstagram.com/t51.2885-19/s150x150/20482729_462421874135899_9220730679212376064_a.jpg</v>
      </c>
    </row>
    <row r="1229" spans="1:31" ht="15" x14ac:dyDescent="0.25">
      <c r="A1229" t="s">
        <v>2474</v>
      </c>
      <c r="B1229" t="s">
        <v>9346</v>
      </c>
      <c r="C1229" s="221">
        <v>42964.382465277777</v>
      </c>
      <c r="D1229" t="s">
        <v>9347</v>
      </c>
      <c r="E1229" s="249" t="str">
        <f>HYPERLINK("https://www.instagram.com/p/BX5WZjhjzN6/")</f>
        <v>https://www.instagram.com/p/BX5WZjhjzN6/</v>
      </c>
      <c r="F1229" t="s">
        <v>9348</v>
      </c>
      <c r="G1229" t="s">
        <v>2478</v>
      </c>
      <c r="H1229">
        <v>3856</v>
      </c>
      <c r="I1229" t="s">
        <v>2479</v>
      </c>
      <c r="J1229">
        <v>2</v>
      </c>
      <c r="K1229">
        <v>518</v>
      </c>
      <c r="L1229">
        <v>520</v>
      </c>
      <c r="Q1229">
        <v>0</v>
      </c>
      <c r="R1229">
        <v>0</v>
      </c>
      <c r="S1229">
        <v>520</v>
      </c>
      <c r="Y1229" t="s">
        <v>9349</v>
      </c>
      <c r="Z1229" t="s">
        <v>2497</v>
      </c>
      <c r="AD1229" s="249" t="str">
        <f>HYPERLINK("https://scontent.cdninstagram.com/t51.2885-15/s320x320/e35/20905353_332920203820088_4462080084030783488_n.jpg")</f>
        <v>https://scontent.cdninstagram.com/t51.2885-15/s320x320/e35/20905353_332920203820088_4462080084030783488_n.jpg</v>
      </c>
      <c r="AE1229" s="249" t="str">
        <f>HYPERLINK("https://scontent.cdninstagram.com/t51.2885-19/11875298_1626787514262323_490368624_a.jpg")</f>
        <v>https://scontent.cdninstagram.com/t51.2885-19/11875298_1626787514262323_490368624_a.jpg</v>
      </c>
    </row>
    <row r="1230" spans="1:31" ht="15" x14ac:dyDescent="0.25">
      <c r="A1230" t="s">
        <v>2474</v>
      </c>
      <c r="B1230" t="s">
        <v>4982</v>
      </c>
      <c r="C1230" s="221">
        <v>42964.386157407411</v>
      </c>
      <c r="D1230" t="s">
        <v>9350</v>
      </c>
      <c r="E1230" s="249" t="str">
        <f>HYPERLINK("https://www.instagram.com/p/BX5XAjWjeqC/")</f>
        <v>https://www.instagram.com/p/BX5XAjWjeqC/</v>
      </c>
      <c r="F1230" t="s">
        <v>9351</v>
      </c>
      <c r="G1230" t="s">
        <v>2478</v>
      </c>
      <c r="H1230">
        <v>617</v>
      </c>
      <c r="I1230" t="s">
        <v>2479</v>
      </c>
      <c r="J1230">
        <v>4</v>
      </c>
      <c r="K1230">
        <v>104</v>
      </c>
      <c r="L1230">
        <v>108</v>
      </c>
      <c r="Q1230">
        <v>0</v>
      </c>
      <c r="R1230">
        <v>0</v>
      </c>
      <c r="S1230">
        <v>108</v>
      </c>
      <c r="T1230" t="s">
        <v>9352</v>
      </c>
      <c r="V1230" t="s">
        <v>2141</v>
      </c>
      <c r="W1230">
        <v>55.676099999999998</v>
      </c>
      <c r="X1230">
        <v>12.568300000000001</v>
      </c>
      <c r="Y1230" t="s">
        <v>5204</v>
      </c>
      <c r="Z1230" t="s">
        <v>9353</v>
      </c>
      <c r="AA1230" t="s">
        <v>4986</v>
      </c>
      <c r="AB1230" t="s">
        <v>4671</v>
      </c>
      <c r="AC1230" t="s">
        <v>4296</v>
      </c>
      <c r="AD1230" s="249" t="str">
        <f>HYPERLINK("https://scontent.cdninstagram.com/t51.2885-15/s320x320/e35/20837670_111568122861109_3069003112246149120_n.jpg")</f>
        <v>https://scontent.cdninstagram.com/t51.2885-15/s320x320/e35/20837670_111568122861109_3069003112246149120_n.jpg</v>
      </c>
      <c r="AE1230" s="249" t="str">
        <f>HYPERLINK("https://scontent.cdninstagram.com/t51.2885-19/s150x150/20837251_299121970554939_1401977110389587968_a.jpg")</f>
        <v>https://scontent.cdninstagram.com/t51.2885-19/s150x150/20837251_299121970554939_1401977110389587968_a.jpg</v>
      </c>
    </row>
    <row r="1231" spans="1:31" ht="15" x14ac:dyDescent="0.25">
      <c r="A1231" t="s">
        <v>2474</v>
      </c>
      <c r="B1231" t="s">
        <v>3824</v>
      </c>
      <c r="C1231" s="221">
        <v>42964.388877314814</v>
      </c>
      <c r="D1231" t="s">
        <v>9354</v>
      </c>
      <c r="E1231" s="249" t="str">
        <f>HYPERLINK("https://www.instagram.com/p/BX5XdNSFrSt/")</f>
        <v>https://www.instagram.com/p/BX5XdNSFrSt/</v>
      </c>
      <c r="F1231" t="s">
        <v>9355</v>
      </c>
      <c r="G1231" t="s">
        <v>2631</v>
      </c>
      <c r="H1231">
        <v>1048</v>
      </c>
      <c r="I1231" t="s">
        <v>2479</v>
      </c>
      <c r="J1231">
        <v>5</v>
      </c>
      <c r="K1231">
        <v>52</v>
      </c>
      <c r="L1231">
        <v>57</v>
      </c>
      <c r="Q1231">
        <v>0</v>
      </c>
      <c r="R1231">
        <v>0</v>
      </c>
      <c r="S1231">
        <v>57</v>
      </c>
      <c r="Y1231" t="s">
        <v>3843</v>
      </c>
      <c r="Z1231" t="s">
        <v>3213</v>
      </c>
      <c r="AA1231" t="s">
        <v>2734</v>
      </c>
      <c r="AB1231" t="s">
        <v>6779</v>
      </c>
      <c r="AC1231" t="s">
        <v>2651</v>
      </c>
      <c r="AD1231" s="249" t="str">
        <f>HYPERLINK("https://scontent.cdninstagram.com/t51.2885-15/s320x320/e15/20905658_718974638294773_127616921611796480_n.jpg")</f>
        <v>https://scontent.cdninstagram.com/t51.2885-15/s320x320/e15/20905658_718974638294773_127616921611796480_n.jpg</v>
      </c>
      <c r="AE1231" s="249" t="str">
        <f>HYPERLINK("https://scontent.cdninstagram.com/t51.2885-19/s150x150/19228675_316947935407228_6855499933131210752_a.jpg")</f>
        <v>https://scontent.cdninstagram.com/t51.2885-19/s150x150/19228675_316947935407228_6855499933131210752_a.jpg</v>
      </c>
    </row>
    <row r="1232" spans="1:31" ht="15" x14ac:dyDescent="0.25">
      <c r="A1232" t="s">
        <v>2474</v>
      </c>
      <c r="B1232" t="s">
        <v>9356</v>
      </c>
      <c r="C1232" s="221">
        <v>42964.391828703701</v>
      </c>
      <c r="D1232" t="s">
        <v>9357</v>
      </c>
      <c r="E1232" s="249" t="str">
        <f>HYPERLINK("https://www.instagram.com/p/BX5X8XWFqY-/")</f>
        <v>https://www.instagram.com/p/BX5X8XWFqY-/</v>
      </c>
      <c r="F1232" t="s">
        <v>9358</v>
      </c>
      <c r="G1232" t="s">
        <v>2478</v>
      </c>
      <c r="H1232">
        <v>193</v>
      </c>
      <c r="I1232" t="s">
        <v>2479</v>
      </c>
      <c r="J1232">
        <v>3</v>
      </c>
      <c r="K1232">
        <v>40</v>
      </c>
      <c r="L1232">
        <v>43</v>
      </c>
      <c r="Q1232">
        <v>0</v>
      </c>
      <c r="R1232">
        <v>0</v>
      </c>
      <c r="S1232">
        <v>43</v>
      </c>
      <c r="Y1232" t="s">
        <v>5077</v>
      </c>
      <c r="Z1232" t="s">
        <v>5186</v>
      </c>
      <c r="AA1232" t="s">
        <v>9359</v>
      </c>
      <c r="AB1232" t="s">
        <v>9360</v>
      </c>
      <c r="AC1232" t="s">
        <v>9361</v>
      </c>
      <c r="AD1232" s="249" t="str">
        <f>HYPERLINK("https://scontent.cdninstagram.com/t51.2885-15/s320x320/e35/20837073_132294440715288_4982028214999187456_n.jpg")</f>
        <v>https://scontent.cdninstagram.com/t51.2885-15/s320x320/e35/20837073_132294440715288_4982028214999187456_n.jpg</v>
      </c>
      <c r="AE1232" s="249" t="str">
        <f>HYPERLINK("https://scontent.cdninstagram.com/t51.2885-19/s150x150/19534276_713853365485231_4681390584567431168_a.jpg")</f>
        <v>https://scontent.cdninstagram.com/t51.2885-19/s150x150/19534276_713853365485231_4681390584567431168_a.jpg</v>
      </c>
    </row>
    <row r="1233" spans="1:31" ht="15" x14ac:dyDescent="0.25">
      <c r="A1233" t="s">
        <v>2474</v>
      </c>
      <c r="B1233" t="s">
        <v>9362</v>
      </c>
      <c r="C1233" s="221">
        <v>42964.39335648148</v>
      </c>
      <c r="D1233" t="s">
        <v>9363</v>
      </c>
      <c r="E1233" s="249" t="str">
        <f>HYPERLINK("https://www.instagram.com/p/BX5YMZHg5rx/")</f>
        <v>https://www.instagram.com/p/BX5YMZHg5rx/</v>
      </c>
      <c r="F1233" t="s">
        <v>9364</v>
      </c>
      <c r="G1233" t="s">
        <v>2478</v>
      </c>
      <c r="H1233">
        <v>948</v>
      </c>
      <c r="I1233" t="s">
        <v>2479</v>
      </c>
      <c r="J1233">
        <v>2</v>
      </c>
      <c r="K1233">
        <v>112</v>
      </c>
      <c r="L1233">
        <v>114</v>
      </c>
      <c r="Q1233">
        <v>0</v>
      </c>
      <c r="R1233">
        <v>0</v>
      </c>
      <c r="S1233">
        <v>114</v>
      </c>
      <c r="T1233" t="s">
        <v>6644</v>
      </c>
      <c r="U1233" t="s">
        <v>99</v>
      </c>
      <c r="V1233" t="s">
        <v>2299</v>
      </c>
      <c r="W1233">
        <v>40.714199999999998</v>
      </c>
      <c r="X1233">
        <v>-74.006399999999999</v>
      </c>
      <c r="Y1233" t="s">
        <v>8481</v>
      </c>
      <c r="Z1233" t="s">
        <v>9365</v>
      </c>
      <c r="AA1233" t="s">
        <v>2513</v>
      </c>
      <c r="AB1233" t="s">
        <v>7287</v>
      </c>
      <c r="AC1233" t="s">
        <v>2730</v>
      </c>
      <c r="AD1233" s="249" t="str">
        <f>HYPERLINK("https://scontent.cdninstagram.com/t51.2885-15/s320x320/e35/20837236_824819377676635_6935337632792576000_n.jpg")</f>
        <v>https://scontent.cdninstagram.com/t51.2885-15/s320x320/e35/20837236_824819377676635_6935337632792576000_n.jpg</v>
      </c>
      <c r="AE1233" s="249" t="str">
        <f>HYPERLINK("https://scontent.cdninstagram.com/t51.2885-19/s150x150/18512714_427527130979591_8592585896786657280_a.jpg")</f>
        <v>https://scontent.cdninstagram.com/t51.2885-19/s150x150/18512714_427527130979591_8592585896786657280_a.jpg</v>
      </c>
    </row>
    <row r="1234" spans="1:31" ht="15" x14ac:dyDescent="0.25">
      <c r="A1234" t="s">
        <v>2474</v>
      </c>
      <c r="B1234" t="s">
        <v>2588</v>
      </c>
      <c r="C1234" s="221">
        <v>42964.396516203706</v>
      </c>
      <c r="D1234" t="s">
        <v>9366</v>
      </c>
      <c r="E1234" s="249" t="str">
        <f>HYPERLINK("https://www.instagram.com/p/BX5YtwQgCR_/")</f>
        <v>https://www.instagram.com/p/BX5YtwQgCR_/</v>
      </c>
      <c r="F1234" t="s">
        <v>9367</v>
      </c>
      <c r="G1234" t="s">
        <v>2478</v>
      </c>
      <c r="H1234">
        <v>300</v>
      </c>
      <c r="I1234" t="s">
        <v>2479</v>
      </c>
      <c r="J1234">
        <v>20</v>
      </c>
      <c r="K1234">
        <v>597</v>
      </c>
      <c r="L1234">
        <v>617</v>
      </c>
      <c r="Q1234">
        <v>0</v>
      </c>
      <c r="R1234">
        <v>0</v>
      </c>
      <c r="S1234">
        <v>617</v>
      </c>
      <c r="Y1234" t="s">
        <v>2588</v>
      </c>
      <c r="AD1234" s="249" t="str">
        <f>HYPERLINK("https://scontent.cdninstagram.com/t51.2885-15/s320x320/e35/c35.0.569.569/20838564_343153909443920_2946776610814033920_n.jpg")</f>
        <v>https://scontent.cdninstagram.com/t51.2885-15/s320x320/e35/c35.0.569.569/20838564_343153909443920_2946776610814033920_n.jpg</v>
      </c>
      <c r="AE1234" s="249" t="str">
        <f>HYPERLINK("https://scontent.cdninstagram.com/t51.2885-19/s150x150/20633561_108840983138666_5897549723056734208_a.jpg")</f>
        <v>https://scontent.cdninstagram.com/t51.2885-19/s150x150/20633561_108840983138666_5897549723056734208_a.jpg</v>
      </c>
    </row>
    <row r="1235" spans="1:31" ht="15" x14ac:dyDescent="0.25">
      <c r="A1235" t="s">
        <v>2474</v>
      </c>
      <c r="B1235" t="s">
        <v>8168</v>
      </c>
      <c r="C1235" s="221">
        <v>42964.401712962965</v>
      </c>
      <c r="D1235" t="s">
        <v>9368</v>
      </c>
      <c r="E1235" s="249" t="str">
        <f>HYPERLINK("https://www.instagram.com/p/BX5ZkmfAyAh/")</f>
        <v>https://www.instagram.com/p/BX5ZkmfAyAh/</v>
      </c>
      <c r="F1235" t="s">
        <v>9369</v>
      </c>
      <c r="G1235" t="s">
        <v>2478</v>
      </c>
      <c r="H1235">
        <v>3585</v>
      </c>
      <c r="I1235" t="s">
        <v>5670</v>
      </c>
      <c r="J1235">
        <v>2</v>
      </c>
      <c r="K1235">
        <v>136</v>
      </c>
      <c r="L1235">
        <v>138</v>
      </c>
      <c r="Q1235">
        <v>0</v>
      </c>
      <c r="R1235">
        <v>0</v>
      </c>
      <c r="S1235">
        <v>138</v>
      </c>
      <c r="T1235" t="s">
        <v>9370</v>
      </c>
      <c r="V1235" t="s">
        <v>2182</v>
      </c>
      <c r="W1235">
        <v>43.494434582144002</v>
      </c>
      <c r="X1235">
        <v>11.302840123999999</v>
      </c>
      <c r="Y1235" t="s">
        <v>9371</v>
      </c>
      <c r="Z1235" t="s">
        <v>9372</v>
      </c>
      <c r="AA1235" t="s">
        <v>9373</v>
      </c>
      <c r="AB1235" t="s">
        <v>9374</v>
      </c>
      <c r="AC1235" t="s">
        <v>3174</v>
      </c>
      <c r="AD1235" s="249" t="str">
        <f>HYPERLINK("https://scontent.cdninstagram.com/t51.2885-15/s320x320/e35/c0.135.1080.1080/20837643_769996736458553_5997752508368289792_n.jpg")</f>
        <v>https://scontent.cdninstagram.com/t51.2885-15/s320x320/e35/c0.135.1080.1080/20837643_769996736458553_5997752508368289792_n.jpg</v>
      </c>
      <c r="AE1235" s="249" t="str">
        <f>HYPERLINK("https://scontent.cdninstagram.com/t51.2885-19/s150x150/20582427_1923544624586777_595209998242414592_a.jpg")</f>
        <v>https://scontent.cdninstagram.com/t51.2885-19/s150x150/20582427_1923544624586777_595209998242414592_a.jpg</v>
      </c>
    </row>
    <row r="1236" spans="1:31" ht="15" x14ac:dyDescent="0.25">
      <c r="A1236" t="s">
        <v>2474</v>
      </c>
      <c r="B1236" t="s">
        <v>3015</v>
      </c>
      <c r="C1236" s="221">
        <v>42964.419861111113</v>
      </c>
      <c r="D1236" t="s">
        <v>9375</v>
      </c>
      <c r="E1236" s="249" t="str">
        <f>HYPERLINK("https://www.instagram.com/p/BX5cj_hAhbZ/")</f>
        <v>https://www.instagram.com/p/BX5cj_hAhbZ/</v>
      </c>
      <c r="F1236" t="s">
        <v>9376</v>
      </c>
      <c r="G1236" t="s">
        <v>2478</v>
      </c>
      <c r="H1236">
        <v>185</v>
      </c>
      <c r="I1236" t="s">
        <v>2479</v>
      </c>
      <c r="J1236">
        <v>1</v>
      </c>
      <c r="K1236">
        <v>35</v>
      </c>
      <c r="L1236">
        <v>36</v>
      </c>
      <c r="Q1236">
        <v>0</v>
      </c>
      <c r="R1236">
        <v>0</v>
      </c>
      <c r="S1236">
        <v>36</v>
      </c>
      <c r="Y1236" t="s">
        <v>4129</v>
      </c>
      <c r="Z1236" t="s">
        <v>6259</v>
      </c>
      <c r="AA1236" t="s">
        <v>3726</v>
      </c>
      <c r="AB1236" t="s">
        <v>3021</v>
      </c>
      <c r="AC1236" t="s">
        <v>2492</v>
      </c>
      <c r="AD1236" s="249" t="str">
        <f>HYPERLINK("https://scontent.cdninstagram.com/t51.2885-15/s320x320/e35/c0.0.519.519/20837517_120180695300260_6836765324440764416_n.jpg")</f>
        <v>https://scontent.cdninstagram.com/t51.2885-15/s320x320/e35/c0.0.519.519/20837517_120180695300260_6836765324440764416_n.jpg</v>
      </c>
      <c r="AE1236" s="249" t="str">
        <f>HYPERLINK("https://scontent.cdninstagram.com/t51.2885-19/s150x150/19761452_1876060406050696_4275948751316582400_a.jpg")</f>
        <v>https://scontent.cdninstagram.com/t51.2885-19/s150x150/19761452_1876060406050696_4275948751316582400_a.jpg</v>
      </c>
    </row>
    <row r="1237" spans="1:31" ht="15" x14ac:dyDescent="0.25">
      <c r="A1237" t="s">
        <v>2474</v>
      </c>
      <c r="B1237" t="s">
        <v>9377</v>
      </c>
      <c r="C1237" s="221">
        <v>42964.423043981478</v>
      </c>
      <c r="D1237" t="s">
        <v>9378</v>
      </c>
      <c r="E1237" s="249" t="str">
        <f>HYPERLINK("https://www.instagram.com/p/BX5dFkElqsw/")</f>
        <v>https://www.instagram.com/p/BX5dFkElqsw/</v>
      </c>
      <c r="F1237" t="s">
        <v>9379</v>
      </c>
      <c r="G1237" t="s">
        <v>2478</v>
      </c>
      <c r="H1237">
        <v>346</v>
      </c>
      <c r="I1237" t="s">
        <v>2479</v>
      </c>
      <c r="J1237">
        <v>2</v>
      </c>
      <c r="K1237">
        <v>33</v>
      </c>
      <c r="L1237">
        <v>35</v>
      </c>
      <c r="Q1237">
        <v>0</v>
      </c>
      <c r="R1237">
        <v>0</v>
      </c>
      <c r="S1237">
        <v>35</v>
      </c>
      <c r="Y1237" t="s">
        <v>4779</v>
      </c>
      <c r="Z1237" t="s">
        <v>2641</v>
      </c>
      <c r="AA1237" t="s">
        <v>3349</v>
      </c>
      <c r="AB1237" t="s">
        <v>2493</v>
      </c>
      <c r="AC1237" t="s">
        <v>4295</v>
      </c>
      <c r="AD1237" s="249" t="str">
        <f>HYPERLINK("https://scontent.cdninstagram.com/t51.2885-15/s320x320/e35/20968571_108426566551343_1380376792145068032_n.jpg")</f>
        <v>https://scontent.cdninstagram.com/t51.2885-15/s320x320/e35/20968571_108426566551343_1380376792145068032_n.jpg</v>
      </c>
      <c r="AE1237" s="249" t="str">
        <f>HYPERLINK("https://scontent.cdninstagram.com/t51.2885-19/s150x150/18160443_789544894546028_3728913154965504000_a.jpg")</f>
        <v>https://scontent.cdninstagram.com/t51.2885-19/s150x150/18160443_789544894546028_3728913154965504000_a.jpg</v>
      </c>
    </row>
    <row r="1238" spans="1:31" ht="15" x14ac:dyDescent="0.25">
      <c r="A1238" t="s">
        <v>2474</v>
      </c>
      <c r="B1238" t="s">
        <v>9380</v>
      </c>
      <c r="C1238" s="221">
        <v>42964.428796296299</v>
      </c>
      <c r="D1238" t="s">
        <v>9381</v>
      </c>
      <c r="E1238" s="249" t="str">
        <f>HYPERLINK("https://www.instagram.com/p/BX5eCQ-FJXn/")</f>
        <v>https://www.instagram.com/p/BX5eCQ-FJXn/</v>
      </c>
      <c r="F1238" t="s">
        <v>9382</v>
      </c>
      <c r="G1238" t="s">
        <v>2478</v>
      </c>
      <c r="H1238">
        <v>38</v>
      </c>
      <c r="I1238" t="s">
        <v>3170</v>
      </c>
      <c r="J1238">
        <v>2</v>
      </c>
      <c r="K1238">
        <v>5</v>
      </c>
      <c r="L1238">
        <v>7</v>
      </c>
      <c r="Q1238">
        <v>0</v>
      </c>
      <c r="R1238">
        <v>0</v>
      </c>
      <c r="S1238">
        <v>7</v>
      </c>
      <c r="Y1238" t="s">
        <v>9383</v>
      </c>
      <c r="Z1238" t="s">
        <v>3569</v>
      </c>
      <c r="AA1238" t="s">
        <v>9384</v>
      </c>
      <c r="AB1238" t="s">
        <v>9385</v>
      </c>
      <c r="AC1238" t="s">
        <v>9386</v>
      </c>
      <c r="AD1238" s="249" t="str">
        <f>HYPERLINK("https://scontent.cdninstagram.com/t51.2885-15/s320x320/e35/20902375_138679253398962_3981649126814121984_n.jpg")</f>
        <v>https://scontent.cdninstagram.com/t51.2885-15/s320x320/e35/20902375_138679253398962_3981649126814121984_n.jpg</v>
      </c>
      <c r="AE1238" s="249" t="str">
        <f>HYPERLINK("https://scontent.cdninstagram.com/t51.2885-19/s150x150/20837840_273212409829405_34190581081047040_n.jpg")</f>
        <v>https://scontent.cdninstagram.com/t51.2885-19/s150x150/20837840_273212409829405_34190581081047040_n.jpg</v>
      </c>
    </row>
    <row r="1239" spans="1:31" ht="15" x14ac:dyDescent="0.25">
      <c r="A1239" t="s">
        <v>2474</v>
      </c>
      <c r="B1239" t="s">
        <v>9387</v>
      </c>
      <c r="C1239" s="221">
        <v>42964.431493055556</v>
      </c>
      <c r="D1239" t="s">
        <v>9388</v>
      </c>
      <c r="E1239" s="249" t="str">
        <f>HYPERLINK("https://www.instagram.com/p/BX5eepXgDMa/")</f>
        <v>https://www.instagram.com/p/BX5eepXgDMa/</v>
      </c>
      <c r="F1239" t="s">
        <v>9389</v>
      </c>
      <c r="G1239" t="s">
        <v>2631</v>
      </c>
      <c r="H1239">
        <v>87</v>
      </c>
      <c r="I1239" t="s">
        <v>2479</v>
      </c>
      <c r="J1239">
        <v>6</v>
      </c>
      <c r="K1239">
        <v>45</v>
      </c>
      <c r="L1239">
        <v>51</v>
      </c>
      <c r="Q1239">
        <v>0</v>
      </c>
      <c r="R1239">
        <v>0</v>
      </c>
      <c r="S1239">
        <v>51</v>
      </c>
      <c r="Y1239" t="s">
        <v>9313</v>
      </c>
      <c r="Z1239" t="s">
        <v>9390</v>
      </c>
      <c r="AA1239" t="s">
        <v>9391</v>
      </c>
      <c r="AB1239" t="s">
        <v>9392</v>
      </c>
      <c r="AC1239" t="s">
        <v>9393</v>
      </c>
      <c r="AD1239" s="249" t="str">
        <f>HYPERLINK("https://scontent.cdninstagram.com/t51.2885-15/s320x320/e15/20837189_513373102334919_4286668220888252416_n.jpg")</f>
        <v>https://scontent.cdninstagram.com/t51.2885-15/s320x320/e15/20837189_513373102334919_4286668220888252416_n.jpg</v>
      </c>
      <c r="AE1239" s="249" t="str">
        <f>HYPERLINK("https://scontent.cdninstagram.com/t51.2885-19/s150x150/20759422_864959230334880_4645468994227142656_a.jpg")</f>
        <v>https://scontent.cdninstagram.com/t51.2885-19/s150x150/20759422_864959230334880_4645468994227142656_a.jpg</v>
      </c>
    </row>
    <row r="1240" spans="1:31" ht="15" x14ac:dyDescent="0.25">
      <c r="A1240" t="s">
        <v>2474</v>
      </c>
      <c r="B1240" t="s">
        <v>9394</v>
      </c>
      <c r="C1240" s="221">
        <v>42964.438043981485</v>
      </c>
      <c r="D1240" t="s">
        <v>9395</v>
      </c>
      <c r="E1240" s="249" t="str">
        <f>HYPERLINK("https://www.instagram.com/p/BX5fjwfA0KQ/")</f>
        <v>https://www.instagram.com/p/BX5fjwfA0KQ/</v>
      </c>
      <c r="F1240" t="s">
        <v>9396</v>
      </c>
      <c r="G1240" t="s">
        <v>2478</v>
      </c>
      <c r="H1240">
        <v>738</v>
      </c>
      <c r="I1240" t="s">
        <v>2479</v>
      </c>
      <c r="J1240">
        <v>0</v>
      </c>
      <c r="K1240">
        <v>97</v>
      </c>
      <c r="L1240">
        <v>97</v>
      </c>
      <c r="Q1240">
        <v>0</v>
      </c>
      <c r="R1240">
        <v>0</v>
      </c>
      <c r="S1240">
        <v>97</v>
      </c>
      <c r="Y1240" t="s">
        <v>8753</v>
      </c>
      <c r="Z1240" t="s">
        <v>3706</v>
      </c>
      <c r="AA1240" t="s">
        <v>2497</v>
      </c>
      <c r="AD1240" s="249" t="str">
        <f>HYPERLINK("https://scontent.cdninstagram.com/t51.2885-15/s320x320/e35/20838772_182916618917789_6541156327618510848_n.jpg")</f>
        <v>https://scontent.cdninstagram.com/t51.2885-15/s320x320/e35/20838772_182916618917789_6541156327618510848_n.jpg</v>
      </c>
      <c r="AE1240" s="249" t="str">
        <f>HYPERLINK("https://scontent.cdninstagram.com/t51.2885-19/s150x150/20969131_309079439560415_1499905001848307712_a.jpg")</f>
        <v>https://scontent.cdninstagram.com/t51.2885-19/s150x150/20969131_309079439560415_1499905001848307712_a.jpg</v>
      </c>
    </row>
    <row r="1241" spans="1:31" ht="15" x14ac:dyDescent="0.25">
      <c r="A1241" t="s">
        <v>2474</v>
      </c>
      <c r="B1241" t="s">
        <v>2644</v>
      </c>
      <c r="C1241" s="221">
        <v>42964.438472222224</v>
      </c>
      <c r="D1241" t="s">
        <v>9397</v>
      </c>
      <c r="E1241" s="249" t="str">
        <f>HYPERLINK("https://www.instagram.com/p/BX5foOnAfpx/")</f>
        <v>https://www.instagram.com/p/BX5foOnAfpx/</v>
      </c>
      <c r="F1241" t="s">
        <v>9398</v>
      </c>
      <c r="G1241" t="s">
        <v>2478</v>
      </c>
      <c r="H1241">
        <v>1754</v>
      </c>
      <c r="I1241" t="s">
        <v>2479</v>
      </c>
      <c r="J1241">
        <v>4</v>
      </c>
      <c r="K1241">
        <v>84</v>
      </c>
      <c r="L1241">
        <v>88</v>
      </c>
      <c r="Q1241">
        <v>0</v>
      </c>
      <c r="R1241">
        <v>0</v>
      </c>
      <c r="S1241">
        <v>88</v>
      </c>
      <c r="T1241" t="s">
        <v>9399</v>
      </c>
      <c r="V1241" t="s">
        <v>2648</v>
      </c>
      <c r="W1241">
        <v>54.765514619999998</v>
      </c>
      <c r="X1241">
        <v>31.92998472</v>
      </c>
      <c r="Y1241" t="s">
        <v>5494</v>
      </c>
      <c r="Z1241" t="s">
        <v>5928</v>
      </c>
      <c r="AA1241" t="s">
        <v>9400</v>
      </c>
      <c r="AB1241" t="s">
        <v>5902</v>
      </c>
      <c r="AC1241" t="s">
        <v>2032</v>
      </c>
      <c r="AD1241" s="249" t="str">
        <f>HYPERLINK("https://scontent.cdninstagram.com/t51.2885-15/s320x320/e35/20837302_1856558191329068_2461750742965288960_n.jpg")</f>
        <v>https://scontent.cdninstagram.com/t51.2885-15/s320x320/e35/20837302_1856558191329068_2461750742965288960_n.jpg</v>
      </c>
      <c r="AE1241" s="249" t="str">
        <f>HYPERLINK("https://scontent.cdninstagram.com/t51.2885-19/11372086_1598451257062069_1320225693_a.jpg")</f>
        <v>https://scontent.cdninstagram.com/t51.2885-19/11372086_1598451257062069_1320225693_a.jpg</v>
      </c>
    </row>
    <row r="1242" spans="1:31" ht="15" x14ac:dyDescent="0.25">
      <c r="A1242" t="s">
        <v>2474</v>
      </c>
      <c r="B1242" t="s">
        <v>3993</v>
      </c>
      <c r="C1242" s="221">
        <v>42964.442233796297</v>
      </c>
      <c r="D1242" t="s">
        <v>9401</v>
      </c>
      <c r="E1242" s="249" t="str">
        <f>HYPERLINK("https://www.instagram.com/p/BX5gP9Kge0e/")</f>
        <v>https://www.instagram.com/p/BX5gP9Kge0e/</v>
      </c>
      <c r="F1242" t="s">
        <v>9402</v>
      </c>
      <c r="G1242" t="s">
        <v>2478</v>
      </c>
      <c r="H1242">
        <v>4995</v>
      </c>
      <c r="I1242" t="s">
        <v>2479</v>
      </c>
      <c r="J1242">
        <v>5</v>
      </c>
      <c r="K1242">
        <v>538</v>
      </c>
      <c r="L1242">
        <v>543</v>
      </c>
      <c r="Q1242">
        <v>0</v>
      </c>
      <c r="R1242">
        <v>0</v>
      </c>
      <c r="S1242">
        <v>543</v>
      </c>
      <c r="Y1242" t="s">
        <v>8401</v>
      </c>
      <c r="Z1242" t="s">
        <v>4381</v>
      </c>
      <c r="AA1242" t="s">
        <v>4350</v>
      </c>
      <c r="AB1242" t="s">
        <v>3998</v>
      </c>
      <c r="AC1242" t="s">
        <v>9403</v>
      </c>
      <c r="AD1242" s="249" t="str">
        <f>HYPERLINK("https://scontent.cdninstagram.com/t51.2885-15/s320x320/e35/20838575_1407099309410303_7514937731311468544_n.jpg")</f>
        <v>https://scontent.cdninstagram.com/t51.2885-15/s320x320/e35/20838575_1407099309410303_7514937731311468544_n.jpg</v>
      </c>
      <c r="AE1242" s="249" t="str">
        <f>HYPERLINK("https://scontent.cdninstagram.com/t51.2885-19/s150x150/20590168_732024603636467_1659654334738071552_a.jpg")</f>
        <v>https://scontent.cdninstagram.com/t51.2885-19/s150x150/20590168_732024603636467_1659654334738071552_a.jpg</v>
      </c>
    </row>
    <row r="1243" spans="1:31" ht="15" x14ac:dyDescent="0.25">
      <c r="A1243" t="s">
        <v>2474</v>
      </c>
      <c r="B1243" t="s">
        <v>9404</v>
      </c>
      <c r="C1243" s="221">
        <v>42964.443101851852</v>
      </c>
      <c r="D1243" t="s">
        <v>9405</v>
      </c>
      <c r="E1243" s="249" t="str">
        <f>HYPERLINK("https://www.instagram.com/p/BX5gZGYB7Fq/")</f>
        <v>https://www.instagram.com/p/BX5gZGYB7Fq/</v>
      </c>
      <c r="F1243" t="s">
        <v>9406</v>
      </c>
      <c r="G1243" t="s">
        <v>2631</v>
      </c>
      <c r="H1243">
        <v>187</v>
      </c>
      <c r="I1243" t="s">
        <v>2479</v>
      </c>
      <c r="J1243">
        <v>0</v>
      </c>
      <c r="K1243">
        <v>6</v>
      </c>
      <c r="L1243">
        <v>6</v>
      </c>
      <c r="Q1243">
        <v>0</v>
      </c>
      <c r="R1243">
        <v>0</v>
      </c>
      <c r="S1243">
        <v>6</v>
      </c>
      <c r="Y1243" t="s">
        <v>5989</v>
      </c>
      <c r="Z1243" t="s">
        <v>9407</v>
      </c>
      <c r="AA1243" t="s">
        <v>2497</v>
      </c>
      <c r="AB1243" t="s">
        <v>9408</v>
      </c>
      <c r="AC1243" t="s">
        <v>9409</v>
      </c>
      <c r="AD1243" s="249" t="str">
        <f>HYPERLINK("https://scontent.cdninstagram.com/t51.2885-15/s320x320/e15/20837118_419620745099756_4317679336464318464_n.jpg")</f>
        <v>https://scontent.cdninstagram.com/t51.2885-15/s320x320/e15/20837118_419620745099756_4317679336464318464_n.jpg</v>
      </c>
      <c r="AE1243" s="249" t="str">
        <f>HYPERLINK("https://scontent.cdninstagram.com/t51.2885-19/s150x150/17663149_1813518675641751_7185214616710938624_a.jpg")</f>
        <v>https://scontent.cdninstagram.com/t51.2885-19/s150x150/17663149_1813518675641751_7185214616710938624_a.jpg</v>
      </c>
    </row>
    <row r="1244" spans="1:31" ht="15" x14ac:dyDescent="0.25">
      <c r="A1244" t="s">
        <v>2474</v>
      </c>
      <c r="B1244" t="s">
        <v>9410</v>
      </c>
      <c r="C1244" s="221">
        <v>42964.445636574077</v>
      </c>
      <c r="D1244" t="s">
        <v>9411</v>
      </c>
      <c r="E1244" s="249" t="str">
        <f>HYPERLINK("https://www.instagram.com/p/BX5gz4SDUt9/")</f>
        <v>https://www.instagram.com/p/BX5gz4SDUt9/</v>
      </c>
      <c r="F1244" t="s">
        <v>9412</v>
      </c>
      <c r="G1244" t="s">
        <v>2478</v>
      </c>
      <c r="H1244">
        <v>1176</v>
      </c>
      <c r="I1244" t="s">
        <v>2479</v>
      </c>
      <c r="J1244">
        <v>3</v>
      </c>
      <c r="K1244">
        <v>186</v>
      </c>
      <c r="L1244">
        <v>189</v>
      </c>
      <c r="Q1244">
        <v>0</v>
      </c>
      <c r="R1244">
        <v>0</v>
      </c>
      <c r="S1244">
        <v>189</v>
      </c>
      <c r="Y1244" t="s">
        <v>4174</v>
      </c>
      <c r="Z1244" t="s">
        <v>2734</v>
      </c>
      <c r="AA1244" t="s">
        <v>3568</v>
      </c>
      <c r="AB1244" t="s">
        <v>9413</v>
      </c>
      <c r="AC1244" t="s">
        <v>4761</v>
      </c>
      <c r="AD1244" s="249" t="str">
        <f>HYPERLINK("https://scontent.cdninstagram.com/t51.2885-15/s320x320/e35/c0.135.1080.1080/20838939_1919266944954928_7885227718260817920_n.jpg")</f>
        <v>https://scontent.cdninstagram.com/t51.2885-15/s320x320/e35/c0.135.1080.1080/20838939_1919266944954928_7885227718260817920_n.jpg</v>
      </c>
      <c r="AE1244" s="249" t="str">
        <f>HYPERLINK("https://scontent.cdninstagram.com/t51.2885-19/s150x150/20583013_189512468255138_93716023189962752_a.jpg")</f>
        <v>https://scontent.cdninstagram.com/t51.2885-19/s150x150/20583013_189512468255138_93716023189962752_a.jpg</v>
      </c>
    </row>
    <row r="1245" spans="1:31" ht="15" x14ac:dyDescent="0.25">
      <c r="A1245" t="s">
        <v>2474</v>
      </c>
      <c r="B1245" t="s">
        <v>9414</v>
      </c>
      <c r="C1245" s="221">
        <v>42964.448645833334</v>
      </c>
      <c r="D1245" t="s">
        <v>9415</v>
      </c>
      <c r="E1245" s="249" t="str">
        <f>HYPERLINK("https://www.instagram.com/p/BX5hTicAznt/")</f>
        <v>https://www.instagram.com/p/BX5hTicAznt/</v>
      </c>
      <c r="F1245" t="s">
        <v>9416</v>
      </c>
      <c r="G1245" t="s">
        <v>2478</v>
      </c>
      <c r="H1245">
        <v>85</v>
      </c>
      <c r="I1245" t="s">
        <v>2479</v>
      </c>
      <c r="J1245">
        <v>2</v>
      </c>
      <c r="K1245">
        <v>40</v>
      </c>
      <c r="L1245">
        <v>42</v>
      </c>
      <c r="Q1245">
        <v>0</v>
      </c>
      <c r="R1245">
        <v>0</v>
      </c>
      <c r="S1245">
        <v>42</v>
      </c>
      <c r="Y1245" t="s">
        <v>3982</v>
      </c>
      <c r="Z1245" t="s">
        <v>9417</v>
      </c>
      <c r="AA1245" t="s">
        <v>9418</v>
      </c>
      <c r="AB1245" t="s">
        <v>2911</v>
      </c>
      <c r="AC1245" t="s">
        <v>2497</v>
      </c>
      <c r="AD1245" s="249" t="str">
        <f>HYPERLINK("https://scontent.cdninstagram.com/t51.2885-15/s320x320/e35/20905721_332620857190094_4091523319482810368_n.jpg")</f>
        <v>https://scontent.cdninstagram.com/t51.2885-15/s320x320/e35/20905721_332620857190094_4091523319482810368_n.jpg</v>
      </c>
      <c r="AE1245" s="249" t="str">
        <f>HYPERLINK("https://scontent.cdninstagram.com/t51.2885-19/s150x150/18580153_1856705357887665_5176548224432865280_a.jpg")</f>
        <v>https://scontent.cdninstagram.com/t51.2885-19/s150x150/18580153_1856705357887665_5176548224432865280_a.jpg</v>
      </c>
    </row>
    <row r="1246" spans="1:31" ht="15" x14ac:dyDescent="0.25">
      <c r="A1246" t="s">
        <v>2474</v>
      </c>
      <c r="B1246" t="s">
        <v>9419</v>
      </c>
      <c r="C1246" s="221">
        <v>42964.466736111113</v>
      </c>
      <c r="D1246" t="s">
        <v>9420</v>
      </c>
      <c r="E1246" s="249" t="str">
        <f>HYPERLINK("https://www.instagram.com/p/BX5kSYTAlTv/")</f>
        <v>https://www.instagram.com/p/BX5kSYTAlTv/</v>
      </c>
      <c r="F1246" t="s">
        <v>9421</v>
      </c>
      <c r="G1246" t="s">
        <v>2478</v>
      </c>
      <c r="H1246">
        <v>731</v>
      </c>
      <c r="I1246" t="s">
        <v>2479</v>
      </c>
      <c r="J1246">
        <v>8</v>
      </c>
      <c r="K1246">
        <v>84</v>
      </c>
      <c r="L1246">
        <v>92</v>
      </c>
      <c r="Q1246">
        <v>0</v>
      </c>
      <c r="R1246">
        <v>0</v>
      </c>
      <c r="S1246">
        <v>92</v>
      </c>
      <c r="Y1246" t="s">
        <v>9422</v>
      </c>
      <c r="Z1246" t="s">
        <v>9423</v>
      </c>
      <c r="AA1246" t="s">
        <v>5661</v>
      </c>
      <c r="AB1246" t="s">
        <v>2497</v>
      </c>
      <c r="AC1246" t="s">
        <v>9424</v>
      </c>
      <c r="AD1246" s="249" t="str">
        <f>HYPERLINK("https://scontent.cdninstagram.com/t51.2885-15/s320x320/e35/20837307_1109190509211532_7439202502806863872_n.jpg")</f>
        <v>https://scontent.cdninstagram.com/t51.2885-15/s320x320/e35/20837307_1109190509211532_7439202502806863872_n.jpg</v>
      </c>
      <c r="AE1246" s="249" t="str">
        <f>HYPERLINK("https://scontent.cdninstagram.com/t51.2885-19/s150x150/20067338_102515223722138_8194236553485090816_a.jpg")</f>
        <v>https://scontent.cdninstagram.com/t51.2885-19/s150x150/20067338_102515223722138_8194236553485090816_a.jpg</v>
      </c>
    </row>
    <row r="1247" spans="1:31" ht="15" x14ac:dyDescent="0.25">
      <c r="A1247" t="s">
        <v>2474</v>
      </c>
      <c r="B1247" t="s">
        <v>9425</v>
      </c>
      <c r="C1247" s="221">
        <v>42964.467430555553</v>
      </c>
      <c r="D1247" t="s">
        <v>9426</v>
      </c>
      <c r="E1247" s="249" t="str">
        <f>HYPERLINK("https://www.instagram.com/p/BX5kZoBg9dy/")</f>
        <v>https://www.instagram.com/p/BX5kZoBg9dy/</v>
      </c>
      <c r="F1247" t="s">
        <v>9427</v>
      </c>
      <c r="G1247" t="s">
        <v>2631</v>
      </c>
      <c r="H1247">
        <v>45</v>
      </c>
      <c r="I1247" t="s">
        <v>2599</v>
      </c>
      <c r="J1247">
        <v>0</v>
      </c>
      <c r="K1247">
        <v>2</v>
      </c>
      <c r="L1247">
        <v>2</v>
      </c>
      <c r="Q1247">
        <v>0</v>
      </c>
      <c r="R1247">
        <v>0</v>
      </c>
      <c r="S1247">
        <v>2</v>
      </c>
      <c r="Y1247" t="s">
        <v>9428</v>
      </c>
      <c r="Z1247" t="s">
        <v>2497</v>
      </c>
      <c r="AA1247" t="s">
        <v>9429</v>
      </c>
      <c r="AB1247" t="s">
        <v>9430</v>
      </c>
      <c r="AC1247" t="s">
        <v>8573</v>
      </c>
      <c r="AD1247" s="249" t="str">
        <f>HYPERLINK("https://scontent.cdninstagram.com/t51.2885-15/s320x320/e15/20905091_164419934133042_9103021474058338304_n.jpg")</f>
        <v>https://scontent.cdninstagram.com/t51.2885-15/s320x320/e15/20905091_164419934133042_9103021474058338304_n.jpg</v>
      </c>
      <c r="AE1247" s="249" t="str">
        <f>HYPERLINK("https://scontent.cdninstagram.com/t51.2885-19/s150x150/20635348_1403555779720981_2676229856265502720_a.jpg")</f>
        <v>https://scontent.cdninstagram.com/t51.2885-19/s150x150/20635348_1403555779720981_2676229856265502720_a.jpg</v>
      </c>
    </row>
    <row r="1248" spans="1:31" ht="15" x14ac:dyDescent="0.25">
      <c r="A1248" t="s">
        <v>2474</v>
      </c>
      <c r="B1248" t="s">
        <v>9431</v>
      </c>
      <c r="C1248" s="221">
        <v>42964.468530092592</v>
      </c>
      <c r="D1248" t="s">
        <v>9432</v>
      </c>
      <c r="E1248" s="249" t="str">
        <f>HYPERLINK("https://www.instagram.com/p/BX5klVejb2I/")</f>
        <v>https://www.instagram.com/p/BX5klVejb2I/</v>
      </c>
      <c r="F1248" t="s">
        <v>9433</v>
      </c>
      <c r="G1248" t="s">
        <v>2478</v>
      </c>
      <c r="H1248">
        <v>3586</v>
      </c>
      <c r="I1248" t="s">
        <v>2479</v>
      </c>
      <c r="J1248">
        <v>17</v>
      </c>
      <c r="K1248">
        <v>596</v>
      </c>
      <c r="L1248">
        <v>613</v>
      </c>
      <c r="Q1248">
        <v>0</v>
      </c>
      <c r="R1248">
        <v>0</v>
      </c>
      <c r="S1248">
        <v>613</v>
      </c>
      <c r="T1248" t="s">
        <v>9434</v>
      </c>
      <c r="V1248" t="s">
        <v>2118</v>
      </c>
      <c r="W1248">
        <v>-22.614722220000001</v>
      </c>
      <c r="X1248">
        <v>-48.32</v>
      </c>
      <c r="Y1248" t="s">
        <v>9435</v>
      </c>
      <c r="Z1248" t="s">
        <v>4388</v>
      </c>
      <c r="AA1248" t="s">
        <v>2497</v>
      </c>
      <c r="AB1248" t="s">
        <v>9436</v>
      </c>
      <c r="AC1248" t="s">
        <v>9437</v>
      </c>
      <c r="AD1248" s="249" t="str">
        <f>HYPERLINK("https://scontent.cdninstagram.com/t51.2885-15/s320x320/e35/c0.135.1080.1080/20968824_1188667454572867_854078444655345664_n.jpg")</f>
        <v>https://scontent.cdninstagram.com/t51.2885-15/s320x320/e35/c0.135.1080.1080/20968824_1188667454572867_854078444655345664_n.jpg</v>
      </c>
      <c r="AE1248" s="249" t="str">
        <f>HYPERLINK("https://scontent.cdninstagram.com/t51.2885-19/s150x150/16906135_1688179298147137_7619980038527516672_a.jpg")</f>
        <v>https://scontent.cdninstagram.com/t51.2885-19/s150x150/16906135_1688179298147137_7619980038527516672_a.jpg</v>
      </c>
    </row>
    <row r="1249" spans="1:31" ht="15" x14ac:dyDescent="0.25">
      <c r="A1249" t="s">
        <v>2474</v>
      </c>
      <c r="B1249" t="s">
        <v>9438</v>
      </c>
      <c r="C1249" s="221">
        <v>42964.469224537039</v>
      </c>
      <c r="D1249" t="s">
        <v>9439</v>
      </c>
      <c r="E1249" s="249" t="str">
        <f>HYPERLINK("https://www.instagram.com/p/BX5ksobD8-T/")</f>
        <v>https://www.instagram.com/p/BX5ksobD8-T/</v>
      </c>
      <c r="F1249" t="s">
        <v>9440</v>
      </c>
      <c r="G1249" t="s">
        <v>2478</v>
      </c>
      <c r="H1249">
        <v>53</v>
      </c>
      <c r="I1249" t="s">
        <v>3186</v>
      </c>
      <c r="J1249">
        <v>0</v>
      </c>
      <c r="K1249">
        <v>15</v>
      </c>
      <c r="L1249">
        <v>15</v>
      </c>
      <c r="Q1249">
        <v>0</v>
      </c>
      <c r="R1249">
        <v>0</v>
      </c>
      <c r="S1249">
        <v>15</v>
      </c>
      <c r="Y1249" t="s">
        <v>9069</v>
      </c>
      <c r="Z1249" t="s">
        <v>4514</v>
      </c>
      <c r="AA1249" t="s">
        <v>9441</v>
      </c>
      <c r="AB1249" t="s">
        <v>2497</v>
      </c>
      <c r="AC1249" t="s">
        <v>4075</v>
      </c>
      <c r="AD1249" s="249" t="str">
        <f>HYPERLINK("https://scontent.cdninstagram.com/t51.2885-15/s320x320/e35/c0.135.1080.1080/20905377_266860047138662_4621084257274560512_n.jpg")</f>
        <v>https://scontent.cdninstagram.com/t51.2885-15/s320x320/e35/c0.135.1080.1080/20905377_266860047138662_4621084257274560512_n.jpg</v>
      </c>
      <c r="AE1249" s="249" t="str">
        <f>HYPERLINK("https://scontent.cdninstagram.com/t51.2885-19/s150x150/18299059_1904653723082473_1048921817881772032_a.jpg")</f>
        <v>https://scontent.cdninstagram.com/t51.2885-19/s150x150/18299059_1904653723082473_1048921817881772032_a.jpg</v>
      </c>
    </row>
    <row r="1250" spans="1:31" ht="15" x14ac:dyDescent="0.25">
      <c r="A1250" t="s">
        <v>2474</v>
      </c>
      <c r="B1250" t="s">
        <v>9438</v>
      </c>
      <c r="C1250" s="221">
        <v>42964.471724537034</v>
      </c>
      <c r="D1250" t="s">
        <v>9442</v>
      </c>
      <c r="E1250" s="249" t="str">
        <f>HYPERLINK("https://www.instagram.com/p/BX5lHCEDYcF/")</f>
        <v>https://www.instagram.com/p/BX5lHCEDYcF/</v>
      </c>
      <c r="F1250" t="s">
        <v>9443</v>
      </c>
      <c r="G1250" t="s">
        <v>2478</v>
      </c>
      <c r="H1250">
        <v>53</v>
      </c>
      <c r="I1250" t="s">
        <v>2599</v>
      </c>
      <c r="J1250">
        <v>0</v>
      </c>
      <c r="K1250">
        <v>17</v>
      </c>
      <c r="L1250">
        <v>17</v>
      </c>
      <c r="Q1250">
        <v>0</v>
      </c>
      <c r="R1250">
        <v>0</v>
      </c>
      <c r="S1250">
        <v>17</v>
      </c>
      <c r="Y1250" t="s">
        <v>4075</v>
      </c>
      <c r="Z1250" t="s">
        <v>2529</v>
      </c>
      <c r="AA1250" t="s">
        <v>9444</v>
      </c>
      <c r="AB1250" t="s">
        <v>2821</v>
      </c>
      <c r="AC1250" t="s">
        <v>9445</v>
      </c>
      <c r="AD1250" s="249" t="str">
        <f>HYPERLINK("https://scontent.cdninstagram.com/t51.2885-15/s320x320/e35/c0.134.1080.1080/20838644_110770139629616_8015945739404312576_n.jpg")</f>
        <v>https://scontent.cdninstagram.com/t51.2885-15/s320x320/e35/c0.134.1080.1080/20838644_110770139629616_8015945739404312576_n.jpg</v>
      </c>
      <c r="AE1250" s="249" t="str">
        <f>HYPERLINK("https://scontent.cdninstagram.com/t51.2885-19/s150x150/18299059_1904653723082473_1048921817881772032_a.jpg")</f>
        <v>https://scontent.cdninstagram.com/t51.2885-19/s150x150/18299059_1904653723082473_1048921817881772032_a.jpg</v>
      </c>
    </row>
    <row r="1251" spans="1:31" ht="15" x14ac:dyDescent="0.25">
      <c r="A1251" t="s">
        <v>2474</v>
      </c>
      <c r="B1251" t="s">
        <v>9446</v>
      </c>
      <c r="C1251" s="221">
        <v>42964.473692129628</v>
      </c>
      <c r="D1251" t="s">
        <v>9447</v>
      </c>
      <c r="E1251" s="249" t="str">
        <f>HYPERLINK("https://www.instagram.com/p/BX5lbvGA-k9/")</f>
        <v>https://www.instagram.com/p/BX5lbvGA-k9/</v>
      </c>
      <c r="F1251" t="s">
        <v>9448</v>
      </c>
      <c r="G1251" t="s">
        <v>2478</v>
      </c>
      <c r="H1251">
        <v>123</v>
      </c>
      <c r="I1251" t="s">
        <v>2479</v>
      </c>
      <c r="J1251">
        <v>1</v>
      </c>
      <c r="K1251">
        <v>16</v>
      </c>
      <c r="L1251">
        <v>17</v>
      </c>
      <c r="Q1251">
        <v>0</v>
      </c>
      <c r="R1251">
        <v>0</v>
      </c>
      <c r="S1251">
        <v>17</v>
      </c>
      <c r="Y1251" t="s">
        <v>4879</v>
      </c>
      <c r="Z1251" t="s">
        <v>2497</v>
      </c>
      <c r="AA1251" t="s">
        <v>9449</v>
      </c>
      <c r="AD1251" s="249" t="str">
        <f>HYPERLINK("https://scontent.cdninstagram.com/t51.2885-15/s320x320/e35/20905029_296733347469005_2815503125845114880_n.jpg")</f>
        <v>https://scontent.cdninstagram.com/t51.2885-15/s320x320/e35/20905029_296733347469005_2815503125845114880_n.jpg</v>
      </c>
      <c r="AE1251" s="249" t="str">
        <f>HYPERLINK("https://scontent.cdninstagram.com/t51.2885-19/s150x150/13267499_1782706191962199_2014599779_a.jpg")</f>
        <v>https://scontent.cdninstagram.com/t51.2885-19/s150x150/13267499_1782706191962199_2014599779_a.jpg</v>
      </c>
    </row>
    <row r="1252" spans="1:31" ht="15" x14ac:dyDescent="0.25">
      <c r="A1252" t="s">
        <v>2474</v>
      </c>
      <c r="B1252" t="s">
        <v>9450</v>
      </c>
      <c r="C1252" s="221">
        <v>42964.476423611108</v>
      </c>
      <c r="D1252" t="s">
        <v>9451</v>
      </c>
      <c r="E1252" s="249" t="str">
        <f>HYPERLINK("https://www.instagram.com/p/BX5l4lvHq2m/")</f>
        <v>https://www.instagram.com/p/BX5l4lvHq2m/</v>
      </c>
      <c r="F1252" t="s">
        <v>9452</v>
      </c>
      <c r="G1252" t="s">
        <v>2478</v>
      </c>
      <c r="H1252">
        <v>12582</v>
      </c>
      <c r="I1252" t="s">
        <v>2903</v>
      </c>
      <c r="J1252">
        <v>2</v>
      </c>
      <c r="K1252">
        <v>298</v>
      </c>
      <c r="L1252">
        <v>300</v>
      </c>
      <c r="Q1252">
        <v>0</v>
      </c>
      <c r="R1252">
        <v>0</v>
      </c>
      <c r="S1252">
        <v>300</v>
      </c>
      <c r="Y1252" t="s">
        <v>4995</v>
      </c>
      <c r="Z1252" t="s">
        <v>9453</v>
      </c>
      <c r="AA1252" t="s">
        <v>9454</v>
      </c>
      <c r="AB1252" t="s">
        <v>2492</v>
      </c>
      <c r="AC1252" t="s">
        <v>2696</v>
      </c>
      <c r="AD1252" s="249" t="str">
        <f>HYPERLINK("https://scontent.cdninstagram.com/t51.2885-15/s320x320/e35/20838917_110730979635897_122416235907383296_n.jpg")</f>
        <v>https://scontent.cdninstagram.com/t51.2885-15/s320x320/e35/20838917_110730979635897_122416235907383296_n.jpg</v>
      </c>
      <c r="AE1252" s="249" t="str">
        <f>HYPERLINK("https://scontent.cdninstagram.com/t51.2885-19/s150x150/15034741_1194945903924012_9032894223006826496_a.jpg")</f>
        <v>https://scontent.cdninstagram.com/t51.2885-19/s150x150/15034741_1194945903924012_9032894223006826496_a.jpg</v>
      </c>
    </row>
    <row r="1253" spans="1:31" ht="15" x14ac:dyDescent="0.25">
      <c r="A1253" t="s">
        <v>2474</v>
      </c>
      <c r="B1253" t="s">
        <v>9455</v>
      </c>
      <c r="C1253" s="221">
        <v>42964.479155092595</v>
      </c>
      <c r="D1253" t="s">
        <v>9456</v>
      </c>
      <c r="E1253" s="249" t="str">
        <f>HYPERLINK("https://www.instagram.com/p/BX5mVSCH4QW/")</f>
        <v>https://www.instagram.com/p/BX5mVSCH4QW/</v>
      </c>
      <c r="F1253" t="s">
        <v>9457</v>
      </c>
      <c r="G1253" t="s">
        <v>2478</v>
      </c>
      <c r="H1253">
        <v>212</v>
      </c>
      <c r="I1253" t="s">
        <v>3170</v>
      </c>
      <c r="J1253">
        <v>0</v>
      </c>
      <c r="K1253">
        <v>36</v>
      </c>
      <c r="L1253">
        <v>36</v>
      </c>
      <c r="Q1253">
        <v>0</v>
      </c>
      <c r="R1253">
        <v>0</v>
      </c>
      <c r="S1253">
        <v>36</v>
      </c>
      <c r="Y1253" t="s">
        <v>9458</v>
      </c>
      <c r="Z1253" t="s">
        <v>9459</v>
      </c>
      <c r="AA1253" t="s">
        <v>9460</v>
      </c>
      <c r="AB1253" t="s">
        <v>9461</v>
      </c>
      <c r="AC1253" t="s">
        <v>9462</v>
      </c>
      <c r="AD1253" s="249" t="str">
        <f>HYPERLINK("https://scontent.cdninstagram.com/t51.2885-15/s320x320/e35/20838399_1985104845052356_6774076561608933376_n.jpg")</f>
        <v>https://scontent.cdninstagram.com/t51.2885-15/s320x320/e35/20838399_1985104845052356_6774076561608933376_n.jpg</v>
      </c>
      <c r="AE1253" s="249" t="str">
        <f>HYPERLINK("https://scontent.cdninstagram.com/t51.2885-19/11379314_1607695199515175_807989342_a.jpg")</f>
        <v>https://scontent.cdninstagram.com/t51.2885-19/11379314_1607695199515175_807989342_a.jpg</v>
      </c>
    </row>
    <row r="1254" spans="1:31" ht="15" x14ac:dyDescent="0.25">
      <c r="A1254" t="s">
        <v>2474</v>
      </c>
      <c r="B1254" t="s">
        <v>3644</v>
      </c>
      <c r="C1254" s="221">
        <v>42964.480150462965</v>
      </c>
      <c r="D1254" t="s">
        <v>9463</v>
      </c>
      <c r="E1254" s="249" t="str">
        <f>HYPERLINK("https://www.instagram.com/p/BX5mfyeFEo6/")</f>
        <v>https://www.instagram.com/p/BX5mfyeFEo6/</v>
      </c>
      <c r="F1254" t="s">
        <v>9464</v>
      </c>
      <c r="G1254" t="s">
        <v>2478</v>
      </c>
      <c r="H1254">
        <v>575</v>
      </c>
      <c r="I1254" t="s">
        <v>2479</v>
      </c>
      <c r="J1254">
        <v>0</v>
      </c>
      <c r="K1254">
        <v>10</v>
      </c>
      <c r="L1254">
        <v>10</v>
      </c>
      <c r="Q1254">
        <v>0</v>
      </c>
      <c r="R1254">
        <v>0</v>
      </c>
      <c r="S1254">
        <v>10</v>
      </c>
      <c r="T1254" t="s">
        <v>9465</v>
      </c>
      <c r="V1254" t="s">
        <v>2141</v>
      </c>
      <c r="W1254">
        <v>55.4</v>
      </c>
      <c r="X1254">
        <v>10.3833</v>
      </c>
      <c r="Y1254" t="s">
        <v>6994</v>
      </c>
      <c r="Z1254" t="s">
        <v>5867</v>
      </c>
      <c r="AA1254" t="s">
        <v>2911</v>
      </c>
      <c r="AB1254" t="s">
        <v>3650</v>
      </c>
      <c r="AC1254" t="s">
        <v>6992</v>
      </c>
      <c r="AD1254" s="249" t="str">
        <f>HYPERLINK("https://scontent.cdninstagram.com/t51.2885-15/s320x320/e35/20902000_131884174093994_5299203681428701184_n.jpg")</f>
        <v>https://scontent.cdninstagram.com/t51.2885-15/s320x320/e35/20902000_131884174093994_5299203681428701184_n.jpg</v>
      </c>
      <c r="AE1254" s="249" t="str">
        <f>HYPERLINK("https://scontent.cdninstagram.com/t51.2885-19/s150x150/14714495_1790450111234953_7147855754219749376_a.jpg")</f>
        <v>https://scontent.cdninstagram.com/t51.2885-19/s150x150/14714495_1790450111234953_7147855754219749376_a.jpg</v>
      </c>
    </row>
    <row r="1255" spans="1:31" ht="15" x14ac:dyDescent="0.25">
      <c r="A1255" t="s">
        <v>2474</v>
      </c>
      <c r="B1255" t="s">
        <v>9466</v>
      </c>
      <c r="C1255" s="221">
        <v>42964.485393518517</v>
      </c>
      <c r="D1255" t="s">
        <v>9467</v>
      </c>
      <c r="E1255" s="249" t="str">
        <f>HYPERLINK("https://www.instagram.com/p/BX5nXH1F_i8/")</f>
        <v>https://www.instagram.com/p/BX5nXH1F_i8/</v>
      </c>
      <c r="F1255" t="s">
        <v>9468</v>
      </c>
      <c r="G1255" t="s">
        <v>2478</v>
      </c>
      <c r="H1255">
        <v>99</v>
      </c>
      <c r="I1255" t="s">
        <v>2479</v>
      </c>
      <c r="J1255">
        <v>0</v>
      </c>
      <c r="K1255">
        <v>16</v>
      </c>
      <c r="L1255">
        <v>16</v>
      </c>
      <c r="Q1255">
        <v>0</v>
      </c>
      <c r="R1255">
        <v>0</v>
      </c>
      <c r="S1255">
        <v>16</v>
      </c>
      <c r="Y1255" t="s">
        <v>9469</v>
      </c>
      <c r="Z1255" t="s">
        <v>7644</v>
      </c>
      <c r="AA1255" t="s">
        <v>2968</v>
      </c>
      <c r="AB1255" t="s">
        <v>9470</v>
      </c>
      <c r="AC1255" t="s">
        <v>2497</v>
      </c>
      <c r="AD1255" s="249" t="str">
        <f>HYPERLINK("https://scontent.cdninstagram.com/t51.2885-15/s320x320/e35/c37.0.327.327/20905325_2018015325088257_8659243333954043904_n.jpg")</f>
        <v>https://scontent.cdninstagram.com/t51.2885-15/s320x320/e35/c37.0.327.327/20905325_2018015325088257_8659243333954043904_n.jpg</v>
      </c>
      <c r="AE1255" s="249" t="str">
        <f>HYPERLINK("https://scontent.cdninstagram.com/t51.2885-19/s150x150/14063177_1481728435186216_157971235_n.jpg")</f>
        <v>https://scontent.cdninstagram.com/t51.2885-19/s150x150/14063177_1481728435186216_157971235_n.jpg</v>
      </c>
    </row>
    <row r="1256" spans="1:31" ht="15" x14ac:dyDescent="0.25">
      <c r="A1256" t="s">
        <v>2474</v>
      </c>
      <c r="B1256" t="s">
        <v>3015</v>
      </c>
      <c r="C1256" s="221">
        <v>42964.489664351851</v>
      </c>
      <c r="D1256" t="s">
        <v>9471</v>
      </c>
      <c r="E1256" s="249" t="str">
        <f>HYPERLINK("https://www.instagram.com/p/BX5oEJOA79y/")</f>
        <v>https://www.instagram.com/p/BX5oEJOA79y/</v>
      </c>
      <c r="F1256" t="s">
        <v>9472</v>
      </c>
      <c r="G1256" t="s">
        <v>2488</v>
      </c>
      <c r="H1256">
        <v>185</v>
      </c>
      <c r="I1256" t="s">
        <v>2479</v>
      </c>
      <c r="J1256">
        <v>0</v>
      </c>
      <c r="K1256">
        <v>32</v>
      </c>
      <c r="L1256">
        <v>32</v>
      </c>
      <c r="Q1256">
        <v>0</v>
      </c>
      <c r="R1256">
        <v>0</v>
      </c>
      <c r="S1256">
        <v>32</v>
      </c>
      <c r="Y1256" t="s">
        <v>3018</v>
      </c>
      <c r="Z1256" t="s">
        <v>4919</v>
      </c>
      <c r="AA1256" t="s">
        <v>4128</v>
      </c>
      <c r="AB1256" t="s">
        <v>4129</v>
      </c>
      <c r="AC1256" t="s">
        <v>2492</v>
      </c>
      <c r="AD1256" s="249" t="str">
        <f>HYPERLINK("https://scontent.cdninstagram.com/t51.2885-15/s320x320/e35/20902619_1130290470404137_3469909314003533824_n.jpg")</f>
        <v>https://scontent.cdninstagram.com/t51.2885-15/s320x320/e35/20902619_1130290470404137_3469909314003533824_n.jpg</v>
      </c>
      <c r="AE1256" s="249" t="str">
        <f>HYPERLINK("https://scontent.cdninstagram.com/t51.2885-19/s150x150/19761452_1876060406050696_4275948751316582400_a.jpg")</f>
        <v>https://scontent.cdninstagram.com/t51.2885-19/s150x150/19761452_1876060406050696_4275948751316582400_a.jpg</v>
      </c>
    </row>
    <row r="1257" spans="1:31" ht="15" x14ac:dyDescent="0.25">
      <c r="A1257" t="s">
        <v>2474</v>
      </c>
      <c r="B1257" t="s">
        <v>9473</v>
      </c>
      <c r="C1257" s="221">
        <v>42964.489907407406</v>
      </c>
      <c r="D1257" t="s">
        <v>9474</v>
      </c>
      <c r="E1257" s="249" t="str">
        <f>HYPERLINK("https://www.instagram.com/p/BX5oGx8hjX9/")</f>
        <v>https://www.instagram.com/p/BX5oGx8hjX9/</v>
      </c>
      <c r="F1257" t="s">
        <v>9475</v>
      </c>
      <c r="G1257" t="s">
        <v>2478</v>
      </c>
      <c r="H1257">
        <v>415</v>
      </c>
      <c r="I1257" t="s">
        <v>3273</v>
      </c>
      <c r="J1257">
        <v>0</v>
      </c>
      <c r="K1257">
        <v>25</v>
      </c>
      <c r="L1257">
        <v>25</v>
      </c>
      <c r="Q1257">
        <v>0</v>
      </c>
      <c r="R1257">
        <v>0</v>
      </c>
      <c r="S1257">
        <v>25</v>
      </c>
      <c r="Y1257" t="s">
        <v>9476</v>
      </c>
      <c r="Z1257" t="s">
        <v>9477</v>
      </c>
      <c r="AA1257" t="s">
        <v>9478</v>
      </c>
      <c r="AB1257" t="s">
        <v>2777</v>
      </c>
      <c r="AC1257" t="s">
        <v>9479</v>
      </c>
      <c r="AD1257" s="249" t="str">
        <f>HYPERLINK("https://scontent.cdninstagram.com/t51.2885-15/s320x320/e35/c0.135.1080.1080/20838484_238660149989917_4627015078829359104_n.jpg")</f>
        <v>https://scontent.cdninstagram.com/t51.2885-15/s320x320/e35/c0.135.1080.1080/20838484_238660149989917_4627015078829359104_n.jpg</v>
      </c>
      <c r="AE1257" s="249" t="str">
        <f>HYPERLINK("https://scontent.cdninstagram.com/t51.2885-19/s150x150/14448273_347559802249108_5662441370732724224_a.jpg")</f>
        <v>https://scontent.cdninstagram.com/t51.2885-19/s150x150/14448273_347559802249108_5662441370732724224_a.jpg</v>
      </c>
    </row>
    <row r="1258" spans="1:31" ht="15" x14ac:dyDescent="0.25">
      <c r="A1258" t="s">
        <v>2474</v>
      </c>
      <c r="B1258" t="s">
        <v>9480</v>
      </c>
      <c r="C1258" s="221">
        <v>42964.49181712963</v>
      </c>
      <c r="D1258" t="s">
        <v>9481</v>
      </c>
      <c r="E1258" s="249" t="str">
        <f>HYPERLINK("https://www.instagram.com/p/BX5oa7AlFvn/")</f>
        <v>https://www.instagram.com/p/BX5oa7AlFvn/</v>
      </c>
      <c r="F1258" t="s">
        <v>9482</v>
      </c>
      <c r="G1258" t="s">
        <v>2478</v>
      </c>
      <c r="H1258">
        <v>167</v>
      </c>
      <c r="I1258" t="s">
        <v>2479</v>
      </c>
      <c r="J1258">
        <v>0</v>
      </c>
      <c r="K1258">
        <v>18</v>
      </c>
      <c r="L1258">
        <v>18</v>
      </c>
      <c r="Q1258">
        <v>0</v>
      </c>
      <c r="R1258">
        <v>0</v>
      </c>
      <c r="S1258">
        <v>18</v>
      </c>
      <c r="Y1258" t="s">
        <v>9483</v>
      </c>
      <c r="Z1258" t="s">
        <v>9484</v>
      </c>
      <c r="AA1258" t="s">
        <v>2497</v>
      </c>
      <c r="AB1258" t="s">
        <v>4620</v>
      </c>
      <c r="AD1258" s="249" t="str">
        <f>HYPERLINK("https://scontent.cdninstagram.com/t51.2885-15/s320x320/e35/c0.90.720.720/20905230_1585726734821245_1851265401476874240_n.jpg")</f>
        <v>https://scontent.cdninstagram.com/t51.2885-15/s320x320/e35/c0.90.720.720/20905230_1585726734821245_1851265401476874240_n.jpg</v>
      </c>
      <c r="AE1258" s="249" t="str">
        <f>HYPERLINK("https://scontent.cdninstagram.com/t51.2885-19/s150x150/20582640_1964822823730134_7277049414160482304_a.jpg")</f>
        <v>https://scontent.cdninstagram.com/t51.2885-19/s150x150/20582640_1964822823730134_7277049414160482304_a.jpg</v>
      </c>
    </row>
    <row r="1259" spans="1:31" ht="15" x14ac:dyDescent="0.25">
      <c r="A1259" t="s">
        <v>2474</v>
      </c>
      <c r="B1259" t="s">
        <v>9485</v>
      </c>
      <c r="C1259" s="221">
        <v>42964.494930555556</v>
      </c>
      <c r="D1259" t="s">
        <v>9486</v>
      </c>
      <c r="E1259" s="249" t="str">
        <f>HYPERLINK("https://www.instagram.com/p/BX5o7vfF3uH/")</f>
        <v>https://www.instagram.com/p/BX5o7vfF3uH/</v>
      </c>
      <c r="F1259" t="s">
        <v>9487</v>
      </c>
      <c r="G1259" t="s">
        <v>2478</v>
      </c>
      <c r="H1259">
        <v>99</v>
      </c>
      <c r="I1259" t="s">
        <v>2542</v>
      </c>
      <c r="J1259">
        <v>0</v>
      </c>
      <c r="K1259">
        <v>5</v>
      </c>
      <c r="L1259">
        <v>5</v>
      </c>
      <c r="Q1259">
        <v>0</v>
      </c>
      <c r="R1259">
        <v>0</v>
      </c>
      <c r="S1259">
        <v>5</v>
      </c>
      <c r="Y1259" t="s">
        <v>9488</v>
      </c>
      <c r="Z1259" t="s">
        <v>3583</v>
      </c>
      <c r="AA1259" t="s">
        <v>9489</v>
      </c>
      <c r="AB1259" t="s">
        <v>2497</v>
      </c>
      <c r="AD1259" s="249" t="str">
        <f>HYPERLINK("https://scontent.cdninstagram.com/t51.2885-15/s320x320/e35/20905427_818893351610442_7393588300855902208_n.jpg")</f>
        <v>https://scontent.cdninstagram.com/t51.2885-15/s320x320/e35/20905427_818893351610442_7393588300855902208_n.jpg</v>
      </c>
      <c r="AE1259" s="249" t="str">
        <f>HYPERLINK("https://scontent.cdninstagram.com/t51.2885-19/s150x150/19984775_323659064748629_5065381749119254528_a.jpg")</f>
        <v>https://scontent.cdninstagram.com/t51.2885-19/s150x150/19984775_323659064748629_5065381749119254528_a.jpg</v>
      </c>
    </row>
    <row r="1260" spans="1:31" ht="15" x14ac:dyDescent="0.25">
      <c r="A1260" t="s">
        <v>2474</v>
      </c>
      <c r="B1260" t="s">
        <v>4982</v>
      </c>
      <c r="C1260" s="221">
        <v>42964.497442129628</v>
      </c>
      <c r="D1260" t="s">
        <v>9490</v>
      </c>
      <c r="E1260" s="249" t="str">
        <f>HYPERLINK("https://www.instagram.com/p/BX5pWOrDqlQ/")</f>
        <v>https://www.instagram.com/p/BX5pWOrDqlQ/</v>
      </c>
      <c r="F1260" t="s">
        <v>9491</v>
      </c>
      <c r="G1260" t="s">
        <v>2478</v>
      </c>
      <c r="H1260">
        <v>656</v>
      </c>
      <c r="I1260" t="s">
        <v>2479</v>
      </c>
      <c r="J1260">
        <v>2</v>
      </c>
      <c r="K1260">
        <v>21</v>
      </c>
      <c r="L1260">
        <v>23</v>
      </c>
      <c r="Q1260">
        <v>0</v>
      </c>
      <c r="R1260">
        <v>0</v>
      </c>
      <c r="S1260">
        <v>23</v>
      </c>
      <c r="Y1260" t="s">
        <v>4987</v>
      </c>
      <c r="Z1260" t="s">
        <v>5765</v>
      </c>
      <c r="AA1260" t="s">
        <v>4988</v>
      </c>
      <c r="AB1260" t="s">
        <v>4514</v>
      </c>
      <c r="AC1260" t="s">
        <v>4547</v>
      </c>
      <c r="AD1260" s="249" t="str">
        <f>HYPERLINK("https://scontent.cdninstagram.com/t51.2885-15/s320x320/e35/20837508_141744483082532_7055654724908875776_n.jpg")</f>
        <v>https://scontent.cdninstagram.com/t51.2885-15/s320x320/e35/20837508_141744483082532_7055654724908875776_n.jpg</v>
      </c>
      <c r="AE1260" s="249" t="str">
        <f>HYPERLINK("https://scontent.cdninstagram.com/t51.2885-19/s150x150/20837251_299121970554939_1401977110389587968_a.jpg")</f>
        <v>https://scontent.cdninstagram.com/t51.2885-19/s150x150/20837251_299121970554939_1401977110389587968_a.jpg</v>
      </c>
    </row>
    <row r="1261" spans="1:31" ht="15" x14ac:dyDescent="0.25">
      <c r="A1261" t="s">
        <v>2474</v>
      </c>
      <c r="B1261" t="s">
        <v>9492</v>
      </c>
      <c r="C1261" s="221">
        <v>42964.504363425927</v>
      </c>
      <c r="D1261" t="s">
        <v>9493</v>
      </c>
      <c r="E1261" s="249" t="str">
        <f>HYPERLINK("https://www.instagram.com/p/BX5qfLDhzmg/")</f>
        <v>https://www.instagram.com/p/BX5qfLDhzmg/</v>
      </c>
      <c r="F1261" t="s">
        <v>9494</v>
      </c>
      <c r="G1261" t="s">
        <v>2478</v>
      </c>
      <c r="H1261">
        <v>122</v>
      </c>
      <c r="I1261" t="s">
        <v>2542</v>
      </c>
      <c r="J1261">
        <v>1</v>
      </c>
      <c r="K1261">
        <v>2</v>
      </c>
      <c r="L1261">
        <v>3</v>
      </c>
      <c r="Q1261">
        <v>0</v>
      </c>
      <c r="R1261">
        <v>0</v>
      </c>
      <c r="S1261">
        <v>3</v>
      </c>
      <c r="Y1261" t="s">
        <v>9495</v>
      </c>
      <c r="Z1261" t="s">
        <v>5501</v>
      </c>
      <c r="AA1261" t="s">
        <v>8373</v>
      </c>
      <c r="AB1261" t="s">
        <v>2497</v>
      </c>
      <c r="AC1261" t="s">
        <v>9496</v>
      </c>
      <c r="AD1261" s="249" t="str">
        <f>HYPERLINK("https://scontent.cdninstagram.com/t51.2885-15/s320x320/e35/c0.135.1080.1080/20902481_978924048914041_4873980306849267712_n.jpg")</f>
        <v>https://scontent.cdninstagram.com/t51.2885-15/s320x320/e35/c0.135.1080.1080/20902481_978924048914041_4873980306849267712_n.jpg</v>
      </c>
      <c r="AE1261" s="249" t="str">
        <f>HYPERLINK("https://scontent.cdninstagram.com/t51.2885-19/s150x150/20759638_1207068839397343_3043333484287361024_a.jpg")</f>
        <v>https://scontent.cdninstagram.com/t51.2885-19/s150x150/20759638_1207068839397343_3043333484287361024_a.jpg</v>
      </c>
    </row>
    <row r="1262" spans="1:31" ht="15" x14ac:dyDescent="0.25">
      <c r="A1262" t="s">
        <v>2474</v>
      </c>
      <c r="B1262" t="s">
        <v>9497</v>
      </c>
      <c r="C1262" s="221">
        <v>42964.506874999999</v>
      </c>
      <c r="D1262" t="s">
        <v>9498</v>
      </c>
      <c r="E1262" s="249" t="str">
        <f>HYPERLINK("https://www.instagram.com/p/BX5q5pKntpT/")</f>
        <v>https://www.instagram.com/p/BX5q5pKntpT/</v>
      </c>
      <c r="F1262" t="s">
        <v>9499</v>
      </c>
      <c r="G1262" t="s">
        <v>2478</v>
      </c>
      <c r="H1262">
        <v>2808</v>
      </c>
      <c r="I1262" t="s">
        <v>2622</v>
      </c>
      <c r="J1262">
        <v>6</v>
      </c>
      <c r="K1262">
        <v>102</v>
      </c>
      <c r="L1262">
        <v>108</v>
      </c>
      <c r="Q1262">
        <v>0</v>
      </c>
      <c r="R1262">
        <v>0</v>
      </c>
      <c r="S1262">
        <v>108</v>
      </c>
      <c r="Y1262" t="s">
        <v>2734</v>
      </c>
      <c r="Z1262" t="s">
        <v>2492</v>
      </c>
      <c r="AA1262" t="s">
        <v>2497</v>
      </c>
      <c r="AB1262" t="s">
        <v>9500</v>
      </c>
      <c r="AD1262" s="249" t="str">
        <f>HYPERLINK("https://scontent.cdninstagram.com/t51.2885-15/s320x320/e35/c0.9.658.658/20902826_111400629542697_5977493229237436416_n.jpg")</f>
        <v>https://scontent.cdninstagram.com/t51.2885-15/s320x320/e35/c0.9.658.658/20902826_111400629542697_5977493229237436416_n.jpg</v>
      </c>
      <c r="AE1262" s="249" t="str">
        <f>HYPERLINK("https://scontent.cdninstagram.com/t51.2885-19/s150x150/12783914_1520867321553159_846241989_a.jpg")</f>
        <v>https://scontent.cdninstagram.com/t51.2885-19/s150x150/12783914_1520867321553159_846241989_a.jpg</v>
      </c>
    </row>
    <row r="1263" spans="1:31" ht="15" x14ac:dyDescent="0.25">
      <c r="A1263" t="s">
        <v>2474</v>
      </c>
      <c r="B1263" t="s">
        <v>9501</v>
      </c>
      <c r="C1263" s="221">
        <v>42964.510972222219</v>
      </c>
      <c r="D1263" t="s">
        <v>9502</v>
      </c>
      <c r="E1263" s="249" t="str">
        <f>HYPERLINK("https://www.instagram.com/p/BX5rk3zhQx1/")</f>
        <v>https://www.instagram.com/p/BX5rk3zhQx1/</v>
      </c>
      <c r="F1263" t="s">
        <v>9503</v>
      </c>
      <c r="G1263" t="s">
        <v>2478</v>
      </c>
      <c r="I1263" t="s">
        <v>2479</v>
      </c>
      <c r="J1263">
        <v>1</v>
      </c>
      <c r="K1263">
        <v>86</v>
      </c>
      <c r="L1263">
        <v>87</v>
      </c>
      <c r="Q1263">
        <v>0</v>
      </c>
      <c r="R1263">
        <v>0</v>
      </c>
      <c r="S1263">
        <v>87</v>
      </c>
      <c r="T1263" t="s">
        <v>9504</v>
      </c>
      <c r="V1263" t="s">
        <v>2204</v>
      </c>
      <c r="W1263">
        <v>3.0554311299079999</v>
      </c>
      <c r="X1263">
        <v>101.69267331134</v>
      </c>
      <c r="Y1263" t="s">
        <v>9505</v>
      </c>
      <c r="Z1263" t="s">
        <v>9506</v>
      </c>
      <c r="AA1263" t="s">
        <v>9507</v>
      </c>
      <c r="AB1263" t="s">
        <v>9508</v>
      </c>
      <c r="AC1263" t="s">
        <v>9509</v>
      </c>
      <c r="AD1263" s="249" t="str">
        <f>HYPERLINK("https://scontent.cdninstagram.com/t51.2885-15/s320x320/e35/20837223_1978362889106533_2067523799468736512_n.jpg")</f>
        <v>https://scontent.cdninstagram.com/t51.2885-15/s320x320/e35/20837223_1978362889106533_2067523799468736512_n.jpg</v>
      </c>
      <c r="AE1263" s="249" t="str">
        <f>HYPERLINK("https://scontent.cdninstagram.com/t51.2885-19/s150x150/20214672_258492527971955_3474445246144708608_a.jpg")</f>
        <v>https://scontent.cdninstagram.com/t51.2885-19/s150x150/20214672_258492527971955_3474445246144708608_a.jpg</v>
      </c>
    </row>
    <row r="1264" spans="1:31" ht="15" x14ac:dyDescent="0.25">
      <c r="A1264" t="s">
        <v>2474</v>
      </c>
      <c r="B1264" t="s">
        <v>9510</v>
      </c>
      <c r="C1264" s="221">
        <v>42964.51421296296</v>
      </c>
      <c r="D1264" t="s">
        <v>9511</v>
      </c>
      <c r="E1264" s="249" t="str">
        <f>HYPERLINK("https://www.instagram.com/p/BX5sHHehK4N/")</f>
        <v>https://www.instagram.com/p/BX5sHHehK4N/</v>
      </c>
      <c r="F1264" t="s">
        <v>9512</v>
      </c>
      <c r="G1264" t="s">
        <v>2478</v>
      </c>
      <c r="H1264">
        <v>328</v>
      </c>
      <c r="I1264" t="s">
        <v>2479</v>
      </c>
      <c r="J1264">
        <v>1</v>
      </c>
      <c r="K1264">
        <v>35</v>
      </c>
      <c r="L1264">
        <v>36</v>
      </c>
      <c r="Q1264">
        <v>0</v>
      </c>
      <c r="R1264">
        <v>0</v>
      </c>
      <c r="S1264">
        <v>36</v>
      </c>
      <c r="Y1264" t="s">
        <v>9513</v>
      </c>
      <c r="Z1264" t="s">
        <v>2513</v>
      </c>
      <c r="AA1264" t="s">
        <v>2497</v>
      </c>
      <c r="AD1264" s="249" t="str">
        <f>HYPERLINK("https://scontent.cdninstagram.com/t51.2885-15/s320x320/e35/20905723_883439761807306_4414793417519792128_n.jpg")</f>
        <v>https://scontent.cdninstagram.com/t51.2885-15/s320x320/e35/20905723_883439761807306_4414793417519792128_n.jpg</v>
      </c>
      <c r="AE1264" s="249" t="str">
        <f>HYPERLINK("https://scontent.cdninstagram.com/t51.2885-19/s150x150/15306587_178434062624389_3776431912919236608_a.jpg")</f>
        <v>https://scontent.cdninstagram.com/t51.2885-19/s150x150/15306587_178434062624389_3776431912919236608_a.jpg</v>
      </c>
    </row>
    <row r="1265" spans="1:31" ht="15" x14ac:dyDescent="0.25">
      <c r="A1265" t="s">
        <v>2474</v>
      </c>
      <c r="B1265" t="s">
        <v>9514</v>
      </c>
      <c r="C1265" s="221">
        <v>42964.514756944445</v>
      </c>
      <c r="D1265" t="s">
        <v>9515</v>
      </c>
      <c r="E1265" s="249" t="str">
        <f>HYPERLINK("https://www.instagram.com/p/BX5sM48hJE_/")</f>
        <v>https://www.instagram.com/p/BX5sM48hJE_/</v>
      </c>
      <c r="F1265" t="s">
        <v>9516</v>
      </c>
      <c r="G1265" t="s">
        <v>2478</v>
      </c>
      <c r="H1265">
        <v>40952</v>
      </c>
      <c r="I1265" t="s">
        <v>5670</v>
      </c>
      <c r="J1265">
        <v>75</v>
      </c>
      <c r="K1265">
        <v>1300</v>
      </c>
      <c r="L1265">
        <v>1375</v>
      </c>
      <c r="Q1265">
        <v>0</v>
      </c>
      <c r="R1265">
        <v>0</v>
      </c>
      <c r="S1265">
        <v>1375</v>
      </c>
      <c r="Y1265" t="s">
        <v>9517</v>
      </c>
      <c r="Z1265" t="s">
        <v>7015</v>
      </c>
      <c r="AA1265" t="s">
        <v>2497</v>
      </c>
      <c r="AB1265" t="s">
        <v>5682</v>
      </c>
      <c r="AD1265" s="249" t="str">
        <f>HYPERLINK("https://scontent.cdninstagram.com/t51.2885-15/s320x320/e35/20905068_1934986246748382_6763749338515505152_n.jpg")</f>
        <v>https://scontent.cdninstagram.com/t51.2885-15/s320x320/e35/20905068_1934986246748382_6763749338515505152_n.jpg</v>
      </c>
      <c r="AE1265" s="249" t="str">
        <f>HYPERLINK("https://scontent.cdninstagram.com/t51.2885-19/s150x150/16465745_394094860945202_1585675769332367360_a.jpg")</f>
        <v>https://scontent.cdninstagram.com/t51.2885-19/s150x150/16465745_394094860945202_1585675769332367360_a.jpg</v>
      </c>
    </row>
    <row r="1266" spans="1:31" ht="15" x14ac:dyDescent="0.25">
      <c r="A1266" t="s">
        <v>2474</v>
      </c>
      <c r="B1266" t="s">
        <v>9518</v>
      </c>
      <c r="C1266" s="221">
        <v>42964.517870370371</v>
      </c>
      <c r="D1266" t="s">
        <v>9519</v>
      </c>
      <c r="E1266" s="249" t="str">
        <f>HYPERLINK("https://www.instagram.com/p/BX5stpMhXBO/")</f>
        <v>https://www.instagram.com/p/BX5stpMhXBO/</v>
      </c>
      <c r="F1266" t="s">
        <v>9520</v>
      </c>
      <c r="G1266" t="s">
        <v>2478</v>
      </c>
      <c r="H1266">
        <v>126</v>
      </c>
      <c r="I1266" t="s">
        <v>2479</v>
      </c>
      <c r="J1266">
        <v>3</v>
      </c>
      <c r="K1266">
        <v>21</v>
      </c>
      <c r="L1266">
        <v>24</v>
      </c>
      <c r="Q1266">
        <v>0</v>
      </c>
      <c r="R1266">
        <v>0</v>
      </c>
      <c r="S1266">
        <v>24</v>
      </c>
      <c r="Y1266" t="s">
        <v>9521</v>
      </c>
      <c r="Z1266" t="s">
        <v>3157</v>
      </c>
      <c r="AA1266" t="s">
        <v>3256</v>
      </c>
      <c r="AB1266" t="s">
        <v>2492</v>
      </c>
      <c r="AC1266" t="s">
        <v>9522</v>
      </c>
      <c r="AD1266" s="249" t="str">
        <f>HYPERLINK("https://scontent.cdninstagram.com/t51.2885-15/s320x320/e35/20838182_1947474355495998_738448003672571904_n.jpg")</f>
        <v>https://scontent.cdninstagram.com/t51.2885-15/s320x320/e35/20838182_1947474355495998_738448003672571904_n.jpg</v>
      </c>
      <c r="AE1266" s="249" t="str">
        <f>HYPERLINK("https://scontent.cdninstagram.com/t51.2885-19/s150x150/15876497_150704335420057_2425322389433745408_a.jpg")</f>
        <v>https://scontent.cdninstagram.com/t51.2885-19/s150x150/15876497_150704335420057_2425322389433745408_a.jpg</v>
      </c>
    </row>
    <row r="1267" spans="1:31" ht="15" x14ac:dyDescent="0.25">
      <c r="A1267" t="s">
        <v>2474</v>
      </c>
      <c r="B1267" t="s">
        <v>9523</v>
      </c>
      <c r="C1267" s="221">
        <v>42964.517870370371</v>
      </c>
      <c r="D1267" t="s">
        <v>9524</v>
      </c>
      <c r="E1267" s="249" t="str">
        <f>HYPERLINK("https://www.instagram.com/p/BX5strvlmr3/")</f>
        <v>https://www.instagram.com/p/BX5strvlmr3/</v>
      </c>
      <c r="F1267" t="s">
        <v>9525</v>
      </c>
      <c r="G1267" t="s">
        <v>2478</v>
      </c>
      <c r="H1267">
        <v>180</v>
      </c>
      <c r="I1267" t="s">
        <v>2542</v>
      </c>
      <c r="J1267">
        <v>0</v>
      </c>
      <c r="K1267">
        <v>39</v>
      </c>
      <c r="L1267">
        <v>39</v>
      </c>
      <c r="Q1267">
        <v>0</v>
      </c>
      <c r="R1267">
        <v>0</v>
      </c>
      <c r="S1267">
        <v>39</v>
      </c>
      <c r="T1267" t="s">
        <v>9526</v>
      </c>
      <c r="U1267" t="s">
        <v>184</v>
      </c>
      <c r="V1267" t="s">
        <v>2299</v>
      </c>
      <c r="W1267">
        <v>43.1</v>
      </c>
      <c r="X1267">
        <v>-79.05</v>
      </c>
      <c r="Y1267" t="s">
        <v>9527</v>
      </c>
      <c r="Z1267" t="s">
        <v>9528</v>
      </c>
      <c r="AA1267" t="s">
        <v>4995</v>
      </c>
      <c r="AB1267" t="s">
        <v>4295</v>
      </c>
      <c r="AC1267" t="s">
        <v>9529</v>
      </c>
      <c r="AD1267" s="249" t="str">
        <f>HYPERLINK("https://scontent.cdninstagram.com/t51.2885-15/s320x320/e35/c0.117.933.933/20902338_1887383721478491_282314900515061760_n.jpg")</f>
        <v>https://scontent.cdninstagram.com/t51.2885-15/s320x320/e35/c0.117.933.933/20902338_1887383721478491_282314900515061760_n.jpg</v>
      </c>
      <c r="AE1267" s="249" t="str">
        <f>HYPERLINK("https://scontent.cdninstagram.com/t51.2885-19/s150x150/20634101_160299947875119_211998636542787584_a.jpg")</f>
        <v>https://scontent.cdninstagram.com/t51.2885-19/s150x150/20634101_160299947875119_211998636542787584_a.jpg</v>
      </c>
    </row>
    <row r="1268" spans="1:31" ht="15" x14ac:dyDescent="0.25">
      <c r="A1268" t="s">
        <v>2474</v>
      </c>
      <c r="B1268" t="s">
        <v>2588</v>
      </c>
      <c r="C1268" s="221">
        <v>42964.518645833334</v>
      </c>
      <c r="D1268" t="s">
        <v>9530</v>
      </c>
      <c r="E1268" s="249" t="str">
        <f>HYPERLINK("https://www.instagram.com/p/BX5s1zcAnmY/")</f>
        <v>https://www.instagram.com/p/BX5s1zcAnmY/</v>
      </c>
      <c r="F1268" t="s">
        <v>9531</v>
      </c>
      <c r="G1268" t="s">
        <v>2478</v>
      </c>
      <c r="H1268">
        <v>304</v>
      </c>
      <c r="I1268" t="s">
        <v>2479</v>
      </c>
      <c r="J1268">
        <v>17</v>
      </c>
      <c r="K1268">
        <v>563</v>
      </c>
      <c r="L1268">
        <v>580</v>
      </c>
      <c r="Q1268">
        <v>0</v>
      </c>
      <c r="R1268">
        <v>0</v>
      </c>
      <c r="S1268">
        <v>580</v>
      </c>
      <c r="Y1268" t="s">
        <v>2588</v>
      </c>
      <c r="AD1268" s="249" t="str">
        <f>HYPERLINK("https://scontent.cdninstagram.com/t51.2885-15/s320x320/e35/c35.0.570.570/20837648_1981141852170636_891628166903234560_n.jpg")</f>
        <v>https://scontent.cdninstagram.com/t51.2885-15/s320x320/e35/c35.0.570.570/20837648_1981141852170636_891628166903234560_n.jpg</v>
      </c>
      <c r="AE1268" s="249" t="str">
        <f>HYPERLINK("https://scontent.cdninstagram.com/t51.2885-19/s150x150/20633561_108840983138666_5897549723056734208_a.jpg")</f>
        <v>https://scontent.cdninstagram.com/t51.2885-19/s150x150/20633561_108840983138666_5897549723056734208_a.jpg</v>
      </c>
    </row>
    <row r="1269" spans="1:31" ht="15" x14ac:dyDescent="0.25">
      <c r="A1269" t="s">
        <v>2474</v>
      </c>
      <c r="B1269" t="s">
        <v>3055</v>
      </c>
      <c r="C1269" s="221">
        <v>42964.522094907406</v>
      </c>
      <c r="D1269" t="s">
        <v>9532</v>
      </c>
      <c r="E1269" s="249" t="str">
        <f>HYPERLINK("https://www.instagram.com/p/BX5taM6nbHX/")</f>
        <v>https://www.instagram.com/p/BX5taM6nbHX/</v>
      </c>
      <c r="F1269" t="s">
        <v>9533</v>
      </c>
      <c r="G1269" t="s">
        <v>2478</v>
      </c>
      <c r="H1269">
        <v>157</v>
      </c>
      <c r="I1269" t="s">
        <v>2479</v>
      </c>
      <c r="J1269">
        <v>2</v>
      </c>
      <c r="K1269">
        <v>16</v>
      </c>
      <c r="L1269">
        <v>18</v>
      </c>
      <c r="Q1269">
        <v>0</v>
      </c>
      <c r="R1269">
        <v>0</v>
      </c>
      <c r="S1269">
        <v>18</v>
      </c>
      <c r="Y1269" t="s">
        <v>3376</v>
      </c>
      <c r="Z1269" t="s">
        <v>9534</v>
      </c>
      <c r="AA1269" t="s">
        <v>6081</v>
      </c>
      <c r="AB1269" t="s">
        <v>9535</v>
      </c>
      <c r="AC1269" t="s">
        <v>9536</v>
      </c>
      <c r="AD1269" s="249" t="str">
        <f>HYPERLINK("https://scontent.cdninstagram.com/t51.2885-15/s320x320/e35/20901972_334488273666390_1589693805727055872_n.jpg")</f>
        <v>https://scontent.cdninstagram.com/t51.2885-15/s320x320/e35/20901972_334488273666390_1589693805727055872_n.jpg</v>
      </c>
      <c r="AE1269" s="249" t="str">
        <f>HYPERLINK("https://scontent.cdninstagram.com/t51.2885-19/s150x150/12534162_1031877433501510_1281420640_a.jpg")</f>
        <v>https://scontent.cdninstagram.com/t51.2885-19/s150x150/12534162_1031877433501510_1281420640_a.jpg</v>
      </c>
    </row>
    <row r="1270" spans="1:31" ht="15" x14ac:dyDescent="0.25">
      <c r="A1270" t="s">
        <v>2474</v>
      </c>
      <c r="B1270" t="s">
        <v>9537</v>
      </c>
      <c r="C1270" s="221">
        <v>42964.524409722224</v>
      </c>
      <c r="D1270" t="s">
        <v>9538</v>
      </c>
      <c r="E1270" s="249" t="str">
        <f>HYPERLINK("https://www.instagram.com/p/BX5tymhFlmH/")</f>
        <v>https://www.instagram.com/p/BX5tymhFlmH/</v>
      </c>
      <c r="F1270" t="s">
        <v>9539</v>
      </c>
      <c r="G1270" t="s">
        <v>2478</v>
      </c>
      <c r="H1270">
        <v>168</v>
      </c>
      <c r="I1270" t="s">
        <v>3186</v>
      </c>
      <c r="J1270">
        <v>2</v>
      </c>
      <c r="K1270">
        <v>37</v>
      </c>
      <c r="L1270">
        <v>39</v>
      </c>
      <c r="Q1270">
        <v>0</v>
      </c>
      <c r="R1270">
        <v>0</v>
      </c>
      <c r="S1270">
        <v>39</v>
      </c>
      <c r="T1270" t="s">
        <v>9540</v>
      </c>
      <c r="V1270" t="s">
        <v>2264</v>
      </c>
      <c r="W1270">
        <v>40.436160000000001</v>
      </c>
      <c r="X1270">
        <v>-3.6833900000000002</v>
      </c>
      <c r="Y1270" t="s">
        <v>9541</v>
      </c>
      <c r="Z1270" t="s">
        <v>9542</v>
      </c>
      <c r="AA1270" t="s">
        <v>6018</v>
      </c>
      <c r="AB1270" t="s">
        <v>8861</v>
      </c>
      <c r="AC1270" t="s">
        <v>9543</v>
      </c>
      <c r="AD1270" s="249" t="str">
        <f>HYPERLINK("https://scontent.cdninstagram.com/t51.2885-15/s320x320/e35/c0.135.1080.1080/20837189_336734643419468_6771826999473209344_n.jpg")</f>
        <v>https://scontent.cdninstagram.com/t51.2885-15/s320x320/e35/c0.135.1080.1080/20837189_336734643419468_6771826999473209344_n.jpg</v>
      </c>
      <c r="AE1270" s="249" t="str">
        <f>HYPERLINK("https://scontent.cdninstagram.com/t51.2885-19/s150x150/18444490_222693431557286_1858857610871046144_a.jpg")</f>
        <v>https://scontent.cdninstagram.com/t51.2885-19/s150x150/18444490_222693431557286_1858857610871046144_a.jpg</v>
      </c>
    </row>
    <row r="1271" spans="1:31" ht="15" x14ac:dyDescent="0.25">
      <c r="A1271" t="s">
        <v>2474</v>
      </c>
      <c r="B1271" t="s">
        <v>4132</v>
      </c>
      <c r="C1271" s="221">
        <v>42964.53974537037</v>
      </c>
      <c r="D1271" t="s">
        <v>9544</v>
      </c>
      <c r="E1271" s="249" t="str">
        <f>HYPERLINK("https://www.instagram.com/p/BX5wUZfFUju/")</f>
        <v>https://www.instagram.com/p/BX5wUZfFUju/</v>
      </c>
      <c r="F1271" t="s">
        <v>9545</v>
      </c>
      <c r="G1271" t="s">
        <v>2478</v>
      </c>
      <c r="H1271">
        <v>6882</v>
      </c>
      <c r="I1271" t="s">
        <v>2479</v>
      </c>
      <c r="J1271">
        <v>2</v>
      </c>
      <c r="K1271">
        <v>16</v>
      </c>
      <c r="L1271">
        <v>18</v>
      </c>
      <c r="Q1271">
        <v>0</v>
      </c>
      <c r="R1271">
        <v>0</v>
      </c>
      <c r="S1271">
        <v>18</v>
      </c>
      <c r="Y1271" t="s">
        <v>4754</v>
      </c>
      <c r="Z1271" t="s">
        <v>2592</v>
      </c>
      <c r="AA1271" t="s">
        <v>4753</v>
      </c>
      <c r="AB1271" t="s">
        <v>5192</v>
      </c>
      <c r="AC1271" t="s">
        <v>9300</v>
      </c>
      <c r="AD1271" s="249" t="str">
        <f>HYPERLINK("https://scontent.cdninstagram.com/t51.2885-15/s320x320/e35/c36.0.567.567/20905650_178305839378772_7749677936218734592_n.jpg")</f>
        <v>https://scontent.cdninstagram.com/t51.2885-15/s320x320/e35/c36.0.567.567/20905650_178305839378772_7749677936218734592_n.jpg</v>
      </c>
      <c r="AE1271" s="249" t="str">
        <f>HYPERLINK("https://scontent.cdninstagram.com/t51.2885-19/s150x150/15306012_1834743390099693_621234283125669888_a.jpg")</f>
        <v>https://scontent.cdninstagram.com/t51.2885-19/s150x150/15306012_1834743390099693_621234283125669888_a.jpg</v>
      </c>
    </row>
    <row r="1272" spans="1:31" ht="15" x14ac:dyDescent="0.25">
      <c r="A1272" t="s">
        <v>2474</v>
      </c>
      <c r="B1272" t="s">
        <v>4616</v>
      </c>
      <c r="C1272" s="221">
        <v>42964.539837962962</v>
      </c>
      <c r="D1272" t="s">
        <v>9546</v>
      </c>
      <c r="E1272" s="249" t="str">
        <f>HYPERLINK("https://www.instagram.com/p/BX5wVaDBy_u/")</f>
        <v>https://www.instagram.com/p/BX5wVaDBy_u/</v>
      </c>
      <c r="F1272" t="s">
        <v>9547</v>
      </c>
      <c r="G1272" t="s">
        <v>2478</v>
      </c>
      <c r="H1272">
        <v>115</v>
      </c>
      <c r="I1272" t="s">
        <v>2479</v>
      </c>
      <c r="J1272">
        <v>0</v>
      </c>
      <c r="K1272">
        <v>34</v>
      </c>
      <c r="L1272">
        <v>34</v>
      </c>
      <c r="Q1272">
        <v>0</v>
      </c>
      <c r="R1272">
        <v>0</v>
      </c>
      <c r="S1272">
        <v>34</v>
      </c>
      <c r="T1272" t="s">
        <v>9548</v>
      </c>
      <c r="V1272" t="s">
        <v>2125</v>
      </c>
      <c r="W1272">
        <v>43.506900000000002</v>
      </c>
      <c r="X1272">
        <v>-79.981899999999996</v>
      </c>
      <c r="Y1272" t="s">
        <v>9549</v>
      </c>
      <c r="Z1272" t="s">
        <v>4808</v>
      </c>
      <c r="AA1272" t="s">
        <v>4621</v>
      </c>
      <c r="AB1272" t="s">
        <v>5005</v>
      </c>
      <c r="AC1272" t="s">
        <v>5587</v>
      </c>
      <c r="AD1272" s="249" t="str">
        <f>HYPERLINK("https://scontent.cdninstagram.com/t51.2885-15/s320x320/e35/c135.0.810.810/20837235_477588169276724_1387133024809779200_n.jpg")</f>
        <v>https://scontent.cdninstagram.com/t51.2885-15/s320x320/e35/c135.0.810.810/20837235_477588169276724_1387133024809779200_n.jpg</v>
      </c>
      <c r="AE1272" s="249" t="str">
        <f>HYPERLINK("https://scontent.cdninstagram.com/t51.2885-19/s150x150/17494353_1347957098574282_2527511313651859456_a.jpg")</f>
        <v>https://scontent.cdninstagram.com/t51.2885-19/s150x150/17494353_1347957098574282_2527511313651859456_a.jpg</v>
      </c>
    </row>
    <row r="1273" spans="1:31" ht="15" x14ac:dyDescent="0.25">
      <c r="A1273" t="s">
        <v>2474</v>
      </c>
      <c r="B1273" t="s">
        <v>9550</v>
      </c>
      <c r="C1273" s="221">
        <v>42964.545428240737</v>
      </c>
      <c r="D1273" t="s">
        <v>9551</v>
      </c>
      <c r="E1273" s="249" t="str">
        <f>HYPERLINK("https://www.instagram.com/p/BX5xQRiFMPC/")</f>
        <v>https://www.instagram.com/p/BX5xQRiFMPC/</v>
      </c>
      <c r="F1273" t="s">
        <v>9552</v>
      </c>
      <c r="G1273" t="s">
        <v>2478</v>
      </c>
      <c r="H1273">
        <v>740</v>
      </c>
      <c r="I1273" t="s">
        <v>2542</v>
      </c>
      <c r="J1273">
        <v>1</v>
      </c>
      <c r="K1273">
        <v>33</v>
      </c>
      <c r="L1273">
        <v>34</v>
      </c>
      <c r="Q1273">
        <v>0</v>
      </c>
      <c r="R1273">
        <v>0</v>
      </c>
      <c r="S1273">
        <v>34</v>
      </c>
      <c r="Y1273" t="s">
        <v>9553</v>
      </c>
      <c r="Z1273" t="s">
        <v>4347</v>
      </c>
      <c r="AA1273" t="s">
        <v>9554</v>
      </c>
      <c r="AB1273" t="s">
        <v>9555</v>
      </c>
      <c r="AC1273" t="s">
        <v>9556</v>
      </c>
      <c r="AD1273" s="249" t="str">
        <f>HYPERLINK("https://scontent.cdninstagram.com/t51.2885-15/s320x320/e35/c0.135.1080.1080/20969099_254064651771906_5325661547555454976_n.jpg")</f>
        <v>https://scontent.cdninstagram.com/t51.2885-15/s320x320/e35/c0.135.1080.1080/20969099_254064651771906_5325661547555454976_n.jpg</v>
      </c>
      <c r="AE1273" s="249" t="str">
        <f>HYPERLINK("https://scontent.cdninstagram.com/t51.2885-19/s150x150/19622797_139041730006383_8284825754584219648_a.jpg")</f>
        <v>https://scontent.cdninstagram.com/t51.2885-19/s150x150/19622797_139041730006383_8284825754584219648_a.jpg</v>
      </c>
    </row>
    <row r="1274" spans="1:31" ht="15" x14ac:dyDescent="0.25">
      <c r="A1274" t="s">
        <v>2474</v>
      </c>
      <c r="B1274" t="s">
        <v>2977</v>
      </c>
      <c r="C1274" s="221">
        <v>42964.546944444446</v>
      </c>
      <c r="D1274" t="s">
        <v>9557</v>
      </c>
      <c r="E1274" s="249" t="str">
        <f>HYPERLINK("https://www.instagram.com/p/BX5xgRcFRdv/")</f>
        <v>https://www.instagram.com/p/BX5xgRcFRdv/</v>
      </c>
      <c r="F1274" t="s">
        <v>9558</v>
      </c>
      <c r="G1274" t="s">
        <v>2478</v>
      </c>
      <c r="H1274">
        <v>288</v>
      </c>
      <c r="I1274" t="s">
        <v>2582</v>
      </c>
      <c r="J1274">
        <v>0</v>
      </c>
      <c r="K1274">
        <v>33</v>
      </c>
      <c r="L1274">
        <v>33</v>
      </c>
      <c r="Q1274">
        <v>0</v>
      </c>
      <c r="R1274">
        <v>0</v>
      </c>
      <c r="S1274">
        <v>33</v>
      </c>
      <c r="T1274" t="s">
        <v>2980</v>
      </c>
      <c r="V1274" t="s">
        <v>2212</v>
      </c>
      <c r="W1274">
        <v>25.433299999999999</v>
      </c>
      <c r="X1274">
        <v>-100.983</v>
      </c>
      <c r="Y1274" t="s">
        <v>6170</v>
      </c>
      <c r="Z1274" t="s">
        <v>9559</v>
      </c>
      <c r="AA1274" t="s">
        <v>7252</v>
      </c>
      <c r="AB1274" t="s">
        <v>2984</v>
      </c>
      <c r="AC1274" t="s">
        <v>5704</v>
      </c>
      <c r="AD1274" s="249" t="str">
        <f>HYPERLINK("https://scontent.cdninstagram.com/t51.2885-15/s320x320/e35/20837375_263048277530979_2715130633490792448_n.jpg")</f>
        <v>https://scontent.cdninstagram.com/t51.2885-15/s320x320/e35/20837375_263048277530979_2715130633490792448_n.jpg</v>
      </c>
      <c r="AE1274" s="249" t="str">
        <f>HYPERLINK("https://scontent.cdninstagram.com/t51.2885-19/s150x150/12530780_1699292563688391_252723251_a.jpg")</f>
        <v>https://scontent.cdninstagram.com/t51.2885-19/s150x150/12530780_1699292563688391_252723251_a.jpg</v>
      </c>
    </row>
    <row r="1275" spans="1:31" ht="15" x14ac:dyDescent="0.25">
      <c r="A1275" t="s">
        <v>2474</v>
      </c>
      <c r="B1275" t="s">
        <v>9560</v>
      </c>
      <c r="C1275" s="221">
        <v>42964.558877314812</v>
      </c>
      <c r="D1275" t="s">
        <v>9561</v>
      </c>
      <c r="E1275" s="249" t="str">
        <f>HYPERLINK("https://www.instagram.com/p/BX5zeKClLUd/")</f>
        <v>https://www.instagram.com/p/BX5zeKClLUd/</v>
      </c>
      <c r="F1275" t="s">
        <v>9562</v>
      </c>
      <c r="G1275" t="s">
        <v>2478</v>
      </c>
      <c r="I1275" t="s">
        <v>2479</v>
      </c>
      <c r="J1275">
        <v>0</v>
      </c>
      <c r="K1275">
        <v>26</v>
      </c>
      <c r="L1275">
        <v>26</v>
      </c>
      <c r="Q1275">
        <v>0</v>
      </c>
      <c r="R1275">
        <v>0</v>
      </c>
      <c r="S1275">
        <v>26</v>
      </c>
      <c r="T1275" t="s">
        <v>9563</v>
      </c>
      <c r="V1275" t="s">
        <v>2280</v>
      </c>
      <c r="W1275">
        <v>36.849565660473999</v>
      </c>
      <c r="X1275">
        <v>10.326783629179999</v>
      </c>
      <c r="Y1275" t="s">
        <v>9564</v>
      </c>
      <c r="Z1275" t="s">
        <v>4971</v>
      </c>
      <c r="AA1275" t="s">
        <v>9565</v>
      </c>
      <c r="AB1275" t="s">
        <v>2497</v>
      </c>
      <c r="AC1275" t="s">
        <v>9566</v>
      </c>
      <c r="AD1275" s="249" t="str">
        <f>HYPERLINK("https://scontent.cdninstagram.com/t51.2885-15/s320x320/e35/20969003_860383297468603_3179828326638288896_n.jpg")</f>
        <v>https://scontent.cdninstagram.com/t51.2885-15/s320x320/e35/20969003_860383297468603_3179828326638288896_n.jpg</v>
      </c>
      <c r="AE1275" s="249" t="str">
        <f>HYPERLINK("https://scontent.cdninstagram.com/t51.2885-19/s150x150/20589879_848674718627788_5148107745567703040_a.jpg")</f>
        <v>https://scontent.cdninstagram.com/t51.2885-19/s150x150/20589879_848674718627788_5148107745567703040_a.jpg</v>
      </c>
    </row>
    <row r="1276" spans="1:31" ht="15" x14ac:dyDescent="0.25">
      <c r="A1276" t="s">
        <v>2474</v>
      </c>
      <c r="B1276" t="s">
        <v>9567</v>
      </c>
      <c r="C1276" s="221">
        <v>42964.561041666668</v>
      </c>
      <c r="D1276" t="s">
        <v>9568</v>
      </c>
      <c r="E1276" s="249" t="str">
        <f>HYPERLINK("https://www.instagram.com/p/BX5z1DEjI_d/")</f>
        <v>https://www.instagram.com/p/BX5z1DEjI_d/</v>
      </c>
      <c r="F1276" t="s">
        <v>9569</v>
      </c>
      <c r="G1276" t="s">
        <v>2478</v>
      </c>
      <c r="H1276">
        <v>676</v>
      </c>
      <c r="I1276" t="s">
        <v>2479</v>
      </c>
      <c r="J1276">
        <v>0</v>
      </c>
      <c r="K1276">
        <v>6</v>
      </c>
      <c r="L1276">
        <v>6</v>
      </c>
      <c r="Q1276">
        <v>0</v>
      </c>
      <c r="R1276">
        <v>0</v>
      </c>
      <c r="S1276">
        <v>6</v>
      </c>
      <c r="T1276" t="s">
        <v>9570</v>
      </c>
      <c r="U1276" t="s">
        <v>428</v>
      </c>
      <c r="V1276" t="s">
        <v>2299</v>
      </c>
      <c r="W1276">
        <v>32.1539</v>
      </c>
      <c r="X1276">
        <v>-94.802700000000002</v>
      </c>
      <c r="Y1276" t="s">
        <v>6677</v>
      </c>
      <c r="Z1276" t="s">
        <v>9571</v>
      </c>
      <c r="AA1276" t="s">
        <v>2497</v>
      </c>
      <c r="AD1276" s="249" t="str">
        <f>HYPERLINK("https://scontent.cdninstagram.com/t51.2885-15/s320x320/e35/20902222_1512428878850886_7280459016898084864_n.jpg")</f>
        <v>https://scontent.cdninstagram.com/t51.2885-15/s320x320/e35/20902222_1512428878850886_7280459016898084864_n.jpg</v>
      </c>
      <c r="AE1276" s="249" t="str">
        <f>HYPERLINK("https://scontent.cdninstagram.com/t51.2885-19/s150x150/20837720_123332334960007_2922597379456630784_a.jpg")</f>
        <v>https://scontent.cdninstagram.com/t51.2885-19/s150x150/20837720_123332334960007_2922597379456630784_a.jpg</v>
      </c>
    </row>
    <row r="1277" spans="1:31" ht="15" x14ac:dyDescent="0.25">
      <c r="A1277" t="s">
        <v>2474</v>
      </c>
      <c r="B1277" t="s">
        <v>9572</v>
      </c>
      <c r="C1277" s="221">
        <v>42964.568425925929</v>
      </c>
      <c r="D1277" t="s">
        <v>9573</v>
      </c>
      <c r="E1277" s="249" t="str">
        <f>HYPERLINK("https://www.instagram.com/p/BX51C4qgaJO/")</f>
        <v>https://www.instagram.com/p/BX51C4qgaJO/</v>
      </c>
      <c r="F1277" t="s">
        <v>9574</v>
      </c>
      <c r="G1277" t="s">
        <v>2478</v>
      </c>
      <c r="H1277">
        <v>115</v>
      </c>
      <c r="I1277" t="s">
        <v>4052</v>
      </c>
      <c r="J1277">
        <v>1</v>
      </c>
      <c r="K1277">
        <v>25</v>
      </c>
      <c r="L1277">
        <v>26</v>
      </c>
      <c r="Q1277">
        <v>0</v>
      </c>
      <c r="R1277">
        <v>0</v>
      </c>
      <c r="S1277">
        <v>26</v>
      </c>
      <c r="T1277" t="s">
        <v>9284</v>
      </c>
      <c r="V1277" t="s">
        <v>2182</v>
      </c>
      <c r="W1277">
        <v>45.438600000000001</v>
      </c>
      <c r="X1277">
        <v>12.326700000000001</v>
      </c>
      <c r="Y1277" t="s">
        <v>2497</v>
      </c>
      <c r="Z1277" t="s">
        <v>6633</v>
      </c>
      <c r="AA1277" t="s">
        <v>9575</v>
      </c>
      <c r="AB1277" t="s">
        <v>3936</v>
      </c>
      <c r="AC1277" t="s">
        <v>9576</v>
      </c>
      <c r="AD1277" s="249" t="str">
        <f>HYPERLINK("https://scontent.cdninstagram.com/t51.2885-15/s320x320/e35/c135.0.810.810/20838563_363795440705802_6630866473466200064_n.jpg")</f>
        <v>https://scontent.cdninstagram.com/t51.2885-15/s320x320/e35/c135.0.810.810/20838563_363795440705802_6630866473466200064_n.jpg</v>
      </c>
      <c r="AE1277" s="249" t="str">
        <f>HYPERLINK("https://scontent.cdninstagram.com/t51.2885-19/s150x150/19761169_1613624235316899_4026518207773802496_a.jpg")</f>
        <v>https://scontent.cdninstagram.com/t51.2885-19/s150x150/19761169_1613624235316899_4026518207773802496_a.jpg</v>
      </c>
    </row>
    <row r="1278" spans="1:31" ht="15" x14ac:dyDescent="0.25">
      <c r="A1278" t="s">
        <v>2474</v>
      </c>
      <c r="B1278" t="s">
        <v>2941</v>
      </c>
      <c r="C1278" s="221">
        <v>42964.573252314818</v>
      </c>
      <c r="D1278" t="s">
        <v>9577</v>
      </c>
      <c r="E1278" s="249" t="str">
        <f>HYPERLINK("https://www.instagram.com/p/BX511v3Do0N/")</f>
        <v>https://www.instagram.com/p/BX511v3Do0N/</v>
      </c>
      <c r="F1278" t="s">
        <v>9578</v>
      </c>
      <c r="G1278" t="s">
        <v>2478</v>
      </c>
      <c r="H1278">
        <v>221</v>
      </c>
      <c r="I1278" t="s">
        <v>2910</v>
      </c>
      <c r="J1278">
        <v>1</v>
      </c>
      <c r="K1278">
        <v>42</v>
      </c>
      <c r="L1278">
        <v>43</v>
      </c>
      <c r="Q1278">
        <v>0</v>
      </c>
      <c r="R1278">
        <v>0</v>
      </c>
      <c r="S1278">
        <v>43</v>
      </c>
      <c r="Y1278" t="s">
        <v>8048</v>
      </c>
      <c r="Z1278" t="s">
        <v>2492</v>
      </c>
      <c r="AA1278" t="s">
        <v>2741</v>
      </c>
      <c r="AB1278" t="s">
        <v>9579</v>
      </c>
      <c r="AC1278" t="s">
        <v>9580</v>
      </c>
      <c r="AD1278" s="249" t="str">
        <f>HYPERLINK("https://scontent.cdninstagram.com/t51.2885-15/s320x320/e35/20968837_511931809149677_6106810274998648832_n.jpg")</f>
        <v>https://scontent.cdninstagram.com/t51.2885-15/s320x320/e35/20968837_511931809149677_6106810274998648832_n.jpg</v>
      </c>
      <c r="AE1278" s="249" t="str">
        <f>HYPERLINK("https://scontent.cdninstagram.com/t51.2885-19/s150x150/20686926_123784664915170_1777034476677758976_a.jpg")</f>
        <v>https://scontent.cdninstagram.com/t51.2885-19/s150x150/20686926_123784664915170_1777034476677758976_a.jpg</v>
      </c>
    </row>
    <row r="1279" spans="1:31" ht="15" x14ac:dyDescent="0.25">
      <c r="A1279" t="s">
        <v>2474</v>
      </c>
      <c r="B1279" t="s">
        <v>3615</v>
      </c>
      <c r="C1279" s="221">
        <v>42964.577013888891</v>
      </c>
      <c r="D1279" t="s">
        <v>9581</v>
      </c>
      <c r="E1279" s="249" t="str">
        <f>HYPERLINK("https://www.instagram.com/p/BX52daIhi1H/")</f>
        <v>https://www.instagram.com/p/BX52daIhi1H/</v>
      </c>
      <c r="F1279" t="s">
        <v>9582</v>
      </c>
      <c r="G1279" t="s">
        <v>2478</v>
      </c>
      <c r="H1279">
        <v>160</v>
      </c>
      <c r="I1279" t="s">
        <v>2479</v>
      </c>
      <c r="J1279">
        <v>0</v>
      </c>
      <c r="K1279">
        <v>35</v>
      </c>
      <c r="L1279">
        <v>35</v>
      </c>
      <c r="Q1279">
        <v>0</v>
      </c>
      <c r="R1279">
        <v>0</v>
      </c>
      <c r="S1279">
        <v>35</v>
      </c>
      <c r="Y1279" t="s">
        <v>3621</v>
      </c>
      <c r="Z1279" t="s">
        <v>2497</v>
      </c>
      <c r="AA1279" t="s">
        <v>5186</v>
      </c>
      <c r="AB1279" t="s">
        <v>7773</v>
      </c>
      <c r="AC1279" t="s">
        <v>9583</v>
      </c>
      <c r="AD1279" s="249" t="str">
        <f>HYPERLINK("https://scontent.cdninstagram.com/t51.2885-15/s320x320/e35/c0.135.1080.1080/20838919_1123350371100249_1988604192016564224_n.jpg")</f>
        <v>https://scontent.cdninstagram.com/t51.2885-15/s320x320/e35/c0.135.1080.1080/20838919_1123350371100249_1988604192016564224_n.jpg</v>
      </c>
      <c r="AE1279" s="249" t="str">
        <f>HYPERLINK("https://scontent.cdninstagram.com/t51.2885-19/11007890_2044765145664197_683412266_a.jpg")</f>
        <v>https://scontent.cdninstagram.com/t51.2885-19/11007890_2044765145664197_683412266_a.jpg</v>
      </c>
    </row>
    <row r="1280" spans="1:31" ht="15" x14ac:dyDescent="0.25">
      <c r="A1280" t="s">
        <v>2474</v>
      </c>
      <c r="B1280" t="s">
        <v>2644</v>
      </c>
      <c r="C1280" s="221">
        <v>42964.578009259261</v>
      </c>
      <c r="D1280" t="s">
        <v>9584</v>
      </c>
      <c r="E1280" s="249" t="str">
        <f>HYPERLINK("https://www.instagram.com/p/BX52n7NgxL6/")</f>
        <v>https://www.instagram.com/p/BX52n7NgxL6/</v>
      </c>
      <c r="F1280" t="s">
        <v>9585</v>
      </c>
      <c r="G1280" t="s">
        <v>2488</v>
      </c>
      <c r="H1280">
        <v>1760</v>
      </c>
      <c r="I1280" t="s">
        <v>2479</v>
      </c>
      <c r="J1280">
        <v>2</v>
      </c>
      <c r="K1280">
        <v>64</v>
      </c>
      <c r="L1280">
        <v>66</v>
      </c>
      <c r="Q1280">
        <v>0</v>
      </c>
      <c r="R1280">
        <v>0</v>
      </c>
      <c r="S1280">
        <v>66</v>
      </c>
      <c r="T1280" t="s">
        <v>9586</v>
      </c>
      <c r="V1280" t="s">
        <v>2648</v>
      </c>
      <c r="W1280">
        <v>54.783992938386</v>
      </c>
      <c r="X1280">
        <v>32.046250271797</v>
      </c>
      <c r="Y1280" t="s">
        <v>2497</v>
      </c>
      <c r="Z1280" t="s">
        <v>9587</v>
      </c>
      <c r="AA1280" t="s">
        <v>3633</v>
      </c>
      <c r="AB1280" t="s">
        <v>9566</v>
      </c>
      <c r="AC1280" t="s">
        <v>2651</v>
      </c>
      <c r="AD1280" s="249" t="str">
        <f>HYPERLINK("https://scontent.cdninstagram.com/t51.2885-15/s320x320/e35/20905502_126249234666407_2887432356195467264_n.jpg")</f>
        <v>https://scontent.cdninstagram.com/t51.2885-15/s320x320/e35/20905502_126249234666407_2887432356195467264_n.jpg</v>
      </c>
      <c r="AE1280" s="249" t="str">
        <f>HYPERLINK("https://scontent.cdninstagram.com/t51.2885-19/11372086_1598451257062069_1320225693_a.jpg")</f>
        <v>https://scontent.cdninstagram.com/t51.2885-19/11372086_1598451257062069_1320225693_a.jpg</v>
      </c>
    </row>
    <row r="1281" spans="1:31" ht="15" x14ac:dyDescent="0.25">
      <c r="A1281" t="s">
        <v>2474</v>
      </c>
      <c r="B1281" t="s">
        <v>9588</v>
      </c>
      <c r="C1281" s="221">
        <v>42964.578090277777</v>
      </c>
      <c r="D1281" t="s">
        <v>9589</v>
      </c>
      <c r="E1281" s="249" t="str">
        <f>HYPERLINK("https://www.instagram.com/p/BX52o0fDqJF/")</f>
        <v>https://www.instagram.com/p/BX52o0fDqJF/</v>
      </c>
      <c r="F1281" t="s">
        <v>9590</v>
      </c>
      <c r="G1281" t="s">
        <v>2478</v>
      </c>
      <c r="H1281">
        <v>123</v>
      </c>
      <c r="I1281" t="s">
        <v>2479</v>
      </c>
      <c r="J1281">
        <v>2</v>
      </c>
      <c r="K1281">
        <v>32</v>
      </c>
      <c r="L1281">
        <v>34</v>
      </c>
      <c r="Q1281">
        <v>0</v>
      </c>
      <c r="R1281">
        <v>0</v>
      </c>
      <c r="S1281">
        <v>34</v>
      </c>
      <c r="Y1281" t="s">
        <v>9591</v>
      </c>
      <c r="Z1281" t="s">
        <v>5381</v>
      </c>
      <c r="AA1281" t="s">
        <v>9592</v>
      </c>
      <c r="AB1281" t="s">
        <v>9593</v>
      </c>
      <c r="AC1281" t="s">
        <v>2497</v>
      </c>
      <c r="AD1281" s="249" t="str">
        <f>HYPERLINK("https://scontent.cdninstagram.com/t51.2885-15/s320x320/e35/20902269_494783257540946_5937326802459426816_n.jpg")</f>
        <v>https://scontent.cdninstagram.com/t51.2885-15/s320x320/e35/20902269_494783257540946_5937326802459426816_n.jpg</v>
      </c>
      <c r="AE1281" s="249" t="str">
        <f>HYPERLINK("https://scontent.cdninstagram.com/t51.2885-19/s150x150/17126258_781130668707527_1130715707642740736_a.jpg")</f>
        <v>https://scontent.cdninstagram.com/t51.2885-19/s150x150/17126258_781130668707527_1130715707642740736_a.jpg</v>
      </c>
    </row>
    <row r="1282" spans="1:31" ht="15" x14ac:dyDescent="0.25">
      <c r="A1282" t="s">
        <v>2474</v>
      </c>
      <c r="B1282" t="s">
        <v>9594</v>
      </c>
      <c r="C1282" s="221">
        <v>42964.578321759262</v>
      </c>
      <c r="D1282" t="s">
        <v>9595</v>
      </c>
      <c r="E1282" s="249" t="str">
        <f>HYPERLINK("https://www.instagram.com/p/BX52rM-HGY1/")</f>
        <v>https://www.instagram.com/p/BX52rM-HGY1/</v>
      </c>
      <c r="F1282" t="s">
        <v>9596</v>
      </c>
      <c r="G1282" t="s">
        <v>2478</v>
      </c>
      <c r="H1282">
        <v>1436</v>
      </c>
      <c r="I1282" t="s">
        <v>2599</v>
      </c>
      <c r="J1282">
        <v>1</v>
      </c>
      <c r="K1282">
        <v>33</v>
      </c>
      <c r="L1282">
        <v>34</v>
      </c>
      <c r="Q1282">
        <v>0</v>
      </c>
      <c r="R1282">
        <v>0</v>
      </c>
      <c r="S1282">
        <v>34</v>
      </c>
      <c r="T1282" t="s">
        <v>9597</v>
      </c>
      <c r="U1282" t="s">
        <v>198</v>
      </c>
      <c r="V1282" t="s">
        <v>2299</v>
      </c>
      <c r="W1282">
        <v>35.005699999999997</v>
      </c>
      <c r="X1282">
        <v>-80.947000000000003</v>
      </c>
      <c r="Y1282" t="s">
        <v>9598</v>
      </c>
      <c r="Z1282" t="s">
        <v>2497</v>
      </c>
      <c r="AA1282" t="s">
        <v>9599</v>
      </c>
      <c r="AB1282" t="s">
        <v>9600</v>
      </c>
      <c r="AC1282" t="s">
        <v>6460</v>
      </c>
      <c r="AD1282" s="249" t="str">
        <f>HYPERLINK("https://scontent.cdninstagram.com/t51.2885-15/s320x320/e35/20838768_138886823377300_7120984145303437312_n.jpg")</f>
        <v>https://scontent.cdninstagram.com/t51.2885-15/s320x320/e35/20838768_138886823377300_7120984145303437312_n.jpg</v>
      </c>
      <c r="AE1282" s="249" t="str">
        <f>HYPERLINK("https://scontent.cdninstagram.com/t51.2885-19/s150x150/20987188_662860700580215_4764627695009005568_a.jpg")</f>
        <v>https://scontent.cdninstagram.com/t51.2885-19/s150x150/20987188_662860700580215_4764627695009005568_a.jpg</v>
      </c>
    </row>
    <row r="1283" spans="1:31" ht="15" x14ac:dyDescent="0.25">
      <c r="A1283" t="s">
        <v>2474</v>
      </c>
      <c r="B1283" t="s">
        <v>3290</v>
      </c>
      <c r="C1283" s="221">
        <v>42964.585057870368</v>
      </c>
      <c r="D1283" t="s">
        <v>9601</v>
      </c>
      <c r="E1283" s="249" t="str">
        <f>HYPERLINK("https://www.instagram.com/p/BX53ySHHc9y/")</f>
        <v>https://www.instagram.com/p/BX53ySHHc9y/</v>
      </c>
      <c r="F1283" t="s">
        <v>9602</v>
      </c>
      <c r="G1283" t="s">
        <v>2478</v>
      </c>
      <c r="H1283">
        <v>1917</v>
      </c>
      <c r="I1283" t="s">
        <v>2479</v>
      </c>
      <c r="J1283">
        <v>8</v>
      </c>
      <c r="K1283">
        <v>288</v>
      </c>
      <c r="L1283">
        <v>296</v>
      </c>
      <c r="Q1283">
        <v>0</v>
      </c>
      <c r="R1283">
        <v>0</v>
      </c>
      <c r="S1283">
        <v>296</v>
      </c>
      <c r="Y1283" t="s">
        <v>2497</v>
      </c>
      <c r="Z1283" t="s">
        <v>6417</v>
      </c>
      <c r="AA1283" t="s">
        <v>8683</v>
      </c>
      <c r="AB1283" t="s">
        <v>9603</v>
      </c>
      <c r="AC1283" t="s">
        <v>6414</v>
      </c>
      <c r="AD1283" s="249" t="str">
        <f>HYPERLINK("https://scontent.cdninstagram.com/t51.2885-15/s320x320/e35/c0.103.1080.1080/20905002_197511784120206_2300109266528239616_n.jpg")</f>
        <v>https://scontent.cdninstagram.com/t51.2885-15/s320x320/e35/c0.103.1080.1080/20905002_197511784120206_2300109266528239616_n.jpg</v>
      </c>
      <c r="AE1283" s="249" t="str">
        <f>HYPERLINK("https://scontent.cdninstagram.com/t51.2885-19/s150x150/18380245_313241119112969_3297379408276357120_a.jpg")</f>
        <v>https://scontent.cdninstagram.com/t51.2885-19/s150x150/18380245_313241119112969_3297379408276357120_a.jpg</v>
      </c>
    </row>
    <row r="1284" spans="1:31" ht="15" x14ac:dyDescent="0.25">
      <c r="A1284" t="s">
        <v>2474</v>
      </c>
      <c r="B1284" t="s">
        <v>9604</v>
      </c>
      <c r="C1284" s="221">
        <v>42964.585358796299</v>
      </c>
      <c r="D1284" t="s">
        <v>9605</v>
      </c>
      <c r="E1284" s="249" t="str">
        <f>HYPERLINK("https://www.instagram.com/p/BX531hOjzCT/")</f>
        <v>https://www.instagram.com/p/BX531hOjzCT/</v>
      </c>
      <c r="F1284" t="s">
        <v>9606</v>
      </c>
      <c r="G1284" t="s">
        <v>2478</v>
      </c>
      <c r="H1284">
        <v>177</v>
      </c>
      <c r="I1284" t="s">
        <v>2479</v>
      </c>
      <c r="J1284">
        <v>0</v>
      </c>
      <c r="K1284">
        <v>18</v>
      </c>
      <c r="L1284">
        <v>18</v>
      </c>
      <c r="Q1284">
        <v>0</v>
      </c>
      <c r="R1284">
        <v>0</v>
      </c>
      <c r="S1284">
        <v>18</v>
      </c>
      <c r="Y1284" t="s">
        <v>9607</v>
      </c>
      <c r="Z1284" t="s">
        <v>2497</v>
      </c>
      <c r="AA1284" t="s">
        <v>9608</v>
      </c>
      <c r="AB1284" t="s">
        <v>9609</v>
      </c>
      <c r="AC1284" t="s">
        <v>9610</v>
      </c>
      <c r="AD1284" s="249" t="str">
        <f>HYPERLINK("https://scontent.cdninstagram.com/t51.2885-15/s320x320/e35/20838638_724101607797869_7856365864449212416_n.jpg")</f>
        <v>https://scontent.cdninstagram.com/t51.2885-15/s320x320/e35/20838638_724101607797869_7856365864449212416_n.jpg</v>
      </c>
      <c r="AE1284" s="249" t="str">
        <f>HYPERLINK("https://scontent.cdninstagram.com/t51.2885-19/s150x150/10401557_1679483338978381_890451398_a.jpg")</f>
        <v>https://scontent.cdninstagram.com/t51.2885-19/s150x150/10401557_1679483338978381_890451398_a.jpg</v>
      </c>
    </row>
    <row r="1285" spans="1:31" ht="15" x14ac:dyDescent="0.25">
      <c r="A1285" t="s">
        <v>2474</v>
      </c>
      <c r="B1285" t="s">
        <v>9611</v>
      </c>
      <c r="C1285" s="221">
        <v>42964.589236111111</v>
      </c>
      <c r="D1285" t="s">
        <v>9612</v>
      </c>
      <c r="E1285" s="249" t="str">
        <f>HYPERLINK("https://www.instagram.com/p/BX54eVjhVjz/")</f>
        <v>https://www.instagram.com/p/BX54eVjhVjz/</v>
      </c>
      <c r="F1285" t="s">
        <v>9613</v>
      </c>
      <c r="G1285" t="s">
        <v>2478</v>
      </c>
      <c r="H1285">
        <v>291</v>
      </c>
      <c r="I1285" t="s">
        <v>2479</v>
      </c>
      <c r="J1285">
        <v>1</v>
      </c>
      <c r="K1285">
        <v>14</v>
      </c>
      <c r="L1285">
        <v>15</v>
      </c>
      <c r="Q1285">
        <v>0</v>
      </c>
      <c r="R1285">
        <v>0</v>
      </c>
      <c r="S1285">
        <v>15</v>
      </c>
      <c r="Y1285" t="s">
        <v>9614</v>
      </c>
      <c r="Z1285" t="s">
        <v>9615</v>
      </c>
      <c r="AA1285" t="s">
        <v>2497</v>
      </c>
      <c r="AB1285" t="s">
        <v>4012</v>
      </c>
      <c r="AC1285" t="s">
        <v>9616</v>
      </c>
      <c r="AD1285" s="249" t="str">
        <f>HYPERLINK("https://scontent.cdninstagram.com/t51.2885-15/s320x320/e35/20905077_144590949466750_8151608741079285760_n.jpg")</f>
        <v>https://scontent.cdninstagram.com/t51.2885-15/s320x320/e35/20905077_144590949466750_8151608741079285760_n.jpg</v>
      </c>
      <c r="AE1285" s="249" t="str">
        <f>HYPERLINK("https://scontent.cdninstagram.com/t51.2885-19/s150x150/14716642_637877386391232_4428888830170365952_a.jpg")</f>
        <v>https://scontent.cdninstagram.com/t51.2885-19/s150x150/14716642_637877386391232_4428888830170365952_a.jpg</v>
      </c>
    </row>
    <row r="1286" spans="1:31" ht="15" x14ac:dyDescent="0.25">
      <c r="A1286" t="s">
        <v>2474</v>
      </c>
      <c r="B1286" t="s">
        <v>9617</v>
      </c>
      <c r="C1286" s="221">
        <v>42964.590590277781</v>
      </c>
      <c r="D1286" t="s">
        <v>9618</v>
      </c>
      <c r="E1286" s="249" t="str">
        <f>HYPERLINK("https://www.instagram.com/p/BX54soBnQ2S/")</f>
        <v>https://www.instagram.com/p/BX54soBnQ2S/</v>
      </c>
      <c r="F1286" t="s">
        <v>9619</v>
      </c>
      <c r="G1286" t="s">
        <v>2631</v>
      </c>
      <c r="H1286">
        <v>175</v>
      </c>
      <c r="I1286" t="s">
        <v>2748</v>
      </c>
      <c r="J1286">
        <v>0</v>
      </c>
      <c r="K1286">
        <v>25</v>
      </c>
      <c r="L1286">
        <v>25</v>
      </c>
      <c r="Q1286">
        <v>0</v>
      </c>
      <c r="R1286">
        <v>0</v>
      </c>
      <c r="S1286">
        <v>25</v>
      </c>
      <c r="T1286" t="s">
        <v>9620</v>
      </c>
      <c r="U1286" t="s">
        <v>99</v>
      </c>
      <c r="V1286" t="s">
        <v>2299</v>
      </c>
      <c r="W1286">
        <v>40.780228999999999</v>
      </c>
      <c r="X1286">
        <v>-73.920935</v>
      </c>
      <c r="Y1286" t="s">
        <v>9621</v>
      </c>
      <c r="Z1286" t="s">
        <v>2497</v>
      </c>
      <c r="AA1286" t="s">
        <v>9622</v>
      </c>
      <c r="AB1286" t="s">
        <v>9623</v>
      </c>
      <c r="AC1286" t="s">
        <v>59</v>
      </c>
      <c r="AD1286" s="249" t="str">
        <f>HYPERLINK("https://scontent.cdninstagram.com/t51.2885-15/s320x320/e35/c0.90.720.720/20838866_1754180711540905_7488790030542962688_n.jpg")</f>
        <v>https://scontent.cdninstagram.com/t51.2885-15/s320x320/e35/c0.90.720.720/20838866_1754180711540905_7488790030542962688_n.jpg</v>
      </c>
      <c r="AE1286" s="249" t="str">
        <f>HYPERLINK("https://scontent.cdninstagram.com/t51.2885-19/s150x150/15048035_668352103339040_7430555904711327744_a.jpg")</f>
        <v>https://scontent.cdninstagram.com/t51.2885-19/s150x150/15048035_668352103339040_7430555904711327744_a.jpg</v>
      </c>
    </row>
    <row r="1287" spans="1:31" ht="15" x14ac:dyDescent="0.25">
      <c r="A1287" t="s">
        <v>2474</v>
      </c>
      <c r="B1287" t="s">
        <v>5486</v>
      </c>
      <c r="C1287" s="221">
        <v>42964.591898148145</v>
      </c>
      <c r="D1287" t="s">
        <v>9624</v>
      </c>
      <c r="E1287" s="249" t="str">
        <f>HYPERLINK("https://www.instagram.com/p/BX546e0j1ov/")</f>
        <v>https://www.instagram.com/p/BX546e0j1ov/</v>
      </c>
      <c r="G1287" t="s">
        <v>2478</v>
      </c>
      <c r="H1287">
        <v>32347</v>
      </c>
      <c r="I1287" t="s">
        <v>2479</v>
      </c>
      <c r="J1287">
        <v>9</v>
      </c>
      <c r="K1287">
        <v>714</v>
      </c>
      <c r="L1287">
        <v>723</v>
      </c>
      <c r="Q1287">
        <v>0</v>
      </c>
      <c r="R1287">
        <v>0</v>
      </c>
      <c r="S1287">
        <v>723</v>
      </c>
      <c r="AD1287" s="249" t="str">
        <f>HYPERLINK("https://scontent.cdninstagram.com/t51.2885-15/s320x320/e35/20838120_112311176159496_8682524908556648448_n.jpg")</f>
        <v>https://scontent.cdninstagram.com/t51.2885-15/s320x320/e35/20838120_112311176159496_8682524908556648448_n.jpg</v>
      </c>
      <c r="AE1287" s="249" t="str">
        <f>HYPERLINK("https://scontent.cdninstagram.com/t51.2885-19/18096331_1858853611040874_8999714561263140864_n.jpg")</f>
        <v>https://scontent.cdninstagram.com/t51.2885-19/18096331_1858853611040874_8999714561263140864_n.jpg</v>
      </c>
    </row>
    <row r="1288" spans="1:31" ht="15" x14ac:dyDescent="0.25">
      <c r="A1288" t="s">
        <v>2474</v>
      </c>
      <c r="B1288" t="s">
        <v>9625</v>
      </c>
      <c r="C1288" s="221">
        <v>42964.600208333337</v>
      </c>
      <c r="D1288" t="s">
        <v>9626</v>
      </c>
      <c r="E1288" s="249" t="str">
        <f>HYPERLINK("https://www.instagram.com/p/BX56SFfHi9a/")</f>
        <v>https://www.instagram.com/p/BX56SFfHi9a/</v>
      </c>
      <c r="F1288" t="s">
        <v>9627</v>
      </c>
      <c r="G1288" t="s">
        <v>2478</v>
      </c>
      <c r="H1288">
        <v>756</v>
      </c>
      <c r="I1288" t="s">
        <v>2479</v>
      </c>
      <c r="J1288">
        <v>7</v>
      </c>
      <c r="K1288">
        <v>150</v>
      </c>
      <c r="L1288">
        <v>157</v>
      </c>
      <c r="Q1288">
        <v>0</v>
      </c>
      <c r="R1288">
        <v>0</v>
      </c>
      <c r="S1288">
        <v>157</v>
      </c>
      <c r="T1288" t="s">
        <v>9628</v>
      </c>
      <c r="V1288" t="s">
        <v>2174</v>
      </c>
      <c r="W1288">
        <v>47.471899999999998</v>
      </c>
      <c r="X1288">
        <v>19.0503</v>
      </c>
      <c r="Y1288" t="s">
        <v>9629</v>
      </c>
      <c r="Z1288" t="s">
        <v>9630</v>
      </c>
      <c r="AA1288" t="s">
        <v>2497</v>
      </c>
      <c r="AB1288" t="s">
        <v>9631</v>
      </c>
      <c r="AC1288" t="s">
        <v>9632</v>
      </c>
      <c r="AD1288" s="249" t="str">
        <f>HYPERLINK("https://scontent.cdninstagram.com/t51.2885-15/s320x320/e35/c181.0.718.718/20837448_1390785967708703_8279656074248716288_n.jpg")</f>
        <v>https://scontent.cdninstagram.com/t51.2885-15/s320x320/e35/c181.0.718.718/20837448_1390785967708703_8279656074248716288_n.jpg</v>
      </c>
      <c r="AE1288" s="249" t="str">
        <f>HYPERLINK("https://scontent.cdninstagram.com/t51.2885-19/s150x150/18809048_299874957128354_7177037475720724480_a.jpg")</f>
        <v>https://scontent.cdninstagram.com/t51.2885-19/s150x150/18809048_299874957128354_7177037475720724480_a.jpg</v>
      </c>
    </row>
    <row r="1289" spans="1:31" ht="15" x14ac:dyDescent="0.25">
      <c r="A1289" t="s">
        <v>2474</v>
      </c>
      <c r="B1289" t="s">
        <v>9633</v>
      </c>
      <c r="C1289" s="221">
        <v>42964.617013888892</v>
      </c>
      <c r="D1289" t="s">
        <v>9634</v>
      </c>
      <c r="E1289" s="249" t="str">
        <f>HYPERLINK("https://www.instagram.com/p/BX59DRDAU7d/")</f>
        <v>https://www.instagram.com/p/BX59DRDAU7d/</v>
      </c>
      <c r="F1289" t="s">
        <v>9635</v>
      </c>
      <c r="G1289" t="s">
        <v>2631</v>
      </c>
      <c r="H1289">
        <v>21763</v>
      </c>
      <c r="I1289" t="s">
        <v>3898</v>
      </c>
      <c r="J1289">
        <v>20</v>
      </c>
      <c r="K1289">
        <v>1273</v>
      </c>
      <c r="L1289">
        <v>1293</v>
      </c>
      <c r="Q1289">
        <v>0</v>
      </c>
      <c r="R1289">
        <v>0</v>
      </c>
      <c r="S1289">
        <v>1293</v>
      </c>
      <c r="Y1289" t="s">
        <v>9636</v>
      </c>
      <c r="Z1289" t="s">
        <v>9637</v>
      </c>
      <c r="AA1289" t="s">
        <v>2497</v>
      </c>
      <c r="AB1289" t="s">
        <v>9633</v>
      </c>
      <c r="AC1289" t="s">
        <v>9638</v>
      </c>
      <c r="AD1289" s="249" t="str">
        <f>HYPERLINK("https://scontent.cdninstagram.com/t51.2885-15/s320x320/e15/20902595_216811255514746_3453327248432562176_n.jpg")</f>
        <v>https://scontent.cdninstagram.com/t51.2885-15/s320x320/e15/20902595_216811255514746_3453327248432562176_n.jpg</v>
      </c>
      <c r="AE1289" s="249" t="str">
        <f>HYPERLINK("https://scontent.cdninstagram.com/t51.2885-19/s150x150/17075921_401412336884328_6785408996028186624_a.jpg")</f>
        <v>https://scontent.cdninstagram.com/t51.2885-19/s150x150/17075921_401412336884328_6785408996028186624_a.jpg</v>
      </c>
    </row>
    <row r="1290" spans="1:31" ht="15" x14ac:dyDescent="0.25">
      <c r="A1290" t="s">
        <v>2474</v>
      </c>
      <c r="B1290" t="s">
        <v>9639</v>
      </c>
      <c r="C1290" s="221">
        <v>42964.622094907405</v>
      </c>
      <c r="D1290" t="s">
        <v>9640</v>
      </c>
      <c r="E1290" s="249" t="str">
        <f>HYPERLINK("https://www.instagram.com/p/BX5945sgUzd/")</f>
        <v>https://www.instagram.com/p/BX5945sgUzd/</v>
      </c>
      <c r="F1290" t="s">
        <v>9641</v>
      </c>
      <c r="G1290" t="s">
        <v>2631</v>
      </c>
      <c r="H1290">
        <v>631</v>
      </c>
      <c r="I1290" t="s">
        <v>3575</v>
      </c>
      <c r="J1290">
        <v>1</v>
      </c>
      <c r="K1290">
        <v>38</v>
      </c>
      <c r="L1290">
        <v>39</v>
      </c>
      <c r="Q1290">
        <v>0</v>
      </c>
      <c r="R1290">
        <v>0</v>
      </c>
      <c r="S1290">
        <v>39</v>
      </c>
      <c r="T1290" t="s">
        <v>9642</v>
      </c>
      <c r="V1290" t="s">
        <v>2110</v>
      </c>
      <c r="W1290">
        <v>50.964837108905002</v>
      </c>
      <c r="X1290">
        <v>5.5071190265894003</v>
      </c>
      <c r="Y1290" t="s">
        <v>9643</v>
      </c>
      <c r="Z1290" t="s">
        <v>2497</v>
      </c>
      <c r="AA1290" t="s">
        <v>9644</v>
      </c>
      <c r="AB1290" t="s">
        <v>3717</v>
      </c>
      <c r="AC1290" t="s">
        <v>4760</v>
      </c>
      <c r="AD1290" s="249" t="str">
        <f>HYPERLINK("https://scontent.cdninstagram.com/t51.2885-15/s320x320/e15/20902135_2011015292476225_6136902563926114304_n.jpg")</f>
        <v>https://scontent.cdninstagram.com/t51.2885-15/s320x320/e15/20902135_2011015292476225_6136902563926114304_n.jpg</v>
      </c>
      <c r="AE1290" s="249" t="str">
        <f>HYPERLINK("https://scontent.cdninstagram.com/t51.2885-19/10787738_1541686192751687_334511314_a.jpg")</f>
        <v>https://scontent.cdninstagram.com/t51.2885-19/10787738_1541686192751687_334511314_a.jpg</v>
      </c>
    </row>
    <row r="1291" spans="1:31" ht="15" x14ac:dyDescent="0.25">
      <c r="A1291" t="s">
        <v>2474</v>
      </c>
      <c r="B1291" t="s">
        <v>6479</v>
      </c>
      <c r="C1291" s="221">
        <v>42964.624386574076</v>
      </c>
      <c r="D1291" t="s">
        <v>9645</v>
      </c>
      <c r="E1291" s="249" t="str">
        <f>HYPERLINK("https://www.instagram.com/p/BX5-RD4FUuL/")</f>
        <v>https://www.instagram.com/p/BX5-RD4FUuL/</v>
      </c>
      <c r="F1291" t="s">
        <v>9646</v>
      </c>
      <c r="G1291" t="s">
        <v>2478</v>
      </c>
      <c r="H1291">
        <v>67004</v>
      </c>
      <c r="I1291" t="s">
        <v>2479</v>
      </c>
      <c r="J1291">
        <v>50</v>
      </c>
      <c r="K1291">
        <v>2677</v>
      </c>
      <c r="L1291">
        <v>2727</v>
      </c>
      <c r="Q1291">
        <v>0</v>
      </c>
      <c r="R1291">
        <v>0</v>
      </c>
      <c r="S1291">
        <v>2727</v>
      </c>
      <c r="T1291" t="s">
        <v>6157</v>
      </c>
      <c r="V1291" t="s">
        <v>2270</v>
      </c>
      <c r="W1291">
        <v>59.35</v>
      </c>
      <c r="X1291">
        <v>18.066700000000001</v>
      </c>
      <c r="AD1291" s="249" t="str">
        <f>HYPERLINK("https://scontent.cdninstagram.com/t51.2885-15/s320x320/e35/20905692_918220854985209_4650595368407400448_n.jpg")</f>
        <v>https://scontent.cdninstagram.com/t51.2885-15/s320x320/e35/20905692_918220854985209_4650595368407400448_n.jpg</v>
      </c>
      <c r="AE1291" s="249" t="str">
        <f>HYPERLINK("https://scontent.cdninstagram.com/t51.2885-19/s150x150/17439144_1895752470643302_743998926780104704_n.jpg")</f>
        <v>https://scontent.cdninstagram.com/t51.2885-19/s150x150/17439144_1895752470643302_743998926780104704_n.jpg</v>
      </c>
    </row>
    <row r="1292" spans="1:31" ht="15" x14ac:dyDescent="0.25">
      <c r="A1292" t="s">
        <v>2474</v>
      </c>
      <c r="B1292" t="s">
        <v>3993</v>
      </c>
      <c r="C1292" s="221">
        <v>42964.625057870369</v>
      </c>
      <c r="D1292" t="s">
        <v>9647</v>
      </c>
      <c r="E1292" s="249" t="str">
        <f>HYPERLINK("https://www.instagram.com/p/BX5-YLOAGJ1/")</f>
        <v>https://www.instagram.com/p/BX5-YLOAGJ1/</v>
      </c>
      <c r="F1292" t="s">
        <v>9648</v>
      </c>
      <c r="G1292" t="s">
        <v>2478</v>
      </c>
      <c r="H1292">
        <v>4997</v>
      </c>
      <c r="I1292" t="s">
        <v>2582</v>
      </c>
      <c r="J1292">
        <v>3</v>
      </c>
      <c r="K1292">
        <v>572</v>
      </c>
      <c r="L1292">
        <v>575</v>
      </c>
      <c r="Q1292">
        <v>0</v>
      </c>
      <c r="R1292">
        <v>0</v>
      </c>
      <c r="S1292">
        <v>575</v>
      </c>
      <c r="Y1292" t="s">
        <v>2497</v>
      </c>
      <c r="Z1292" t="s">
        <v>7547</v>
      </c>
      <c r="AA1292" t="s">
        <v>5361</v>
      </c>
      <c r="AB1292" t="s">
        <v>4000</v>
      </c>
      <c r="AC1292" t="s">
        <v>3993</v>
      </c>
      <c r="AD1292" s="249" t="str">
        <f>HYPERLINK("https://scontent.cdninstagram.com/t51.2885-15/s320x320/e35/20905129_363307904099180_7100848990727438336_n.jpg")</f>
        <v>https://scontent.cdninstagram.com/t51.2885-15/s320x320/e35/20905129_363307904099180_7100848990727438336_n.jpg</v>
      </c>
      <c r="AE1292" s="249" t="str">
        <f>HYPERLINK("https://scontent.cdninstagram.com/t51.2885-19/s150x150/20590168_732024603636467_1659654334738071552_a.jpg")</f>
        <v>https://scontent.cdninstagram.com/t51.2885-19/s150x150/20590168_732024603636467_1659654334738071552_a.jpg</v>
      </c>
    </row>
    <row r="1293" spans="1:31" ht="15" x14ac:dyDescent="0.25">
      <c r="A1293" t="s">
        <v>2474</v>
      </c>
      <c r="B1293" t="s">
        <v>6666</v>
      </c>
      <c r="C1293" s="221">
        <v>42964.625474537039</v>
      </c>
      <c r="D1293" t="s">
        <v>9649</v>
      </c>
      <c r="E1293" s="249" t="str">
        <f>HYPERLINK("https://www.instagram.com/p/BX5-cfpBx60/")</f>
        <v>https://www.instagram.com/p/BX5-cfpBx60/</v>
      </c>
      <c r="F1293" t="s">
        <v>9650</v>
      </c>
      <c r="G1293" t="s">
        <v>2478</v>
      </c>
      <c r="H1293">
        <v>888</v>
      </c>
      <c r="I1293" t="s">
        <v>2510</v>
      </c>
      <c r="J1293">
        <v>0</v>
      </c>
      <c r="K1293">
        <v>1</v>
      </c>
      <c r="L1293">
        <v>1</v>
      </c>
      <c r="Q1293">
        <v>0</v>
      </c>
      <c r="R1293">
        <v>0</v>
      </c>
      <c r="S1293">
        <v>1</v>
      </c>
      <c r="Y1293" t="s">
        <v>9651</v>
      </c>
      <c r="Z1293" t="s">
        <v>9652</v>
      </c>
      <c r="AA1293" t="s">
        <v>2497</v>
      </c>
      <c r="AB1293" t="s">
        <v>9653</v>
      </c>
      <c r="AC1293" t="s">
        <v>2861</v>
      </c>
      <c r="AD1293" s="249" t="str">
        <f>HYPERLINK("https://scontent.cdninstagram.com/t51.2885-15/s320x320/e35/c236.0.608.608/20837740_789963457831538_1101510535620329472_n.jpg")</f>
        <v>https://scontent.cdninstagram.com/t51.2885-15/s320x320/e35/c236.0.608.608/20837740_789963457831538_1101510535620329472_n.jpg</v>
      </c>
      <c r="AE1293" s="249" t="str">
        <f>HYPERLINK("https://scontent.cdninstagram.com/t51.2885-19/s150x150/20065571_154078075165466_4534325260765364224_a.jpg")</f>
        <v>https://scontent.cdninstagram.com/t51.2885-19/s150x150/20065571_154078075165466_4534325260765364224_a.jpg</v>
      </c>
    </row>
    <row r="1294" spans="1:31" ht="15" x14ac:dyDescent="0.25">
      <c r="A1294" t="s">
        <v>2474</v>
      </c>
      <c r="B1294" t="s">
        <v>9654</v>
      </c>
      <c r="C1294" s="221">
        <v>42964.626331018517</v>
      </c>
      <c r="D1294" t="s">
        <v>9655</v>
      </c>
      <c r="E1294" s="249" t="str">
        <f>HYPERLINK("https://www.instagram.com/p/BX5-liYDKY3/")</f>
        <v>https://www.instagram.com/p/BX5-liYDKY3/</v>
      </c>
      <c r="F1294" t="s">
        <v>9656</v>
      </c>
      <c r="G1294" t="s">
        <v>2478</v>
      </c>
      <c r="H1294">
        <v>9202</v>
      </c>
      <c r="I1294" t="s">
        <v>3170</v>
      </c>
      <c r="J1294">
        <v>2</v>
      </c>
      <c r="K1294">
        <v>130</v>
      </c>
      <c r="L1294">
        <v>132</v>
      </c>
      <c r="Q1294">
        <v>0</v>
      </c>
      <c r="R1294">
        <v>0</v>
      </c>
      <c r="S1294">
        <v>132</v>
      </c>
      <c r="Y1294" t="s">
        <v>9657</v>
      </c>
      <c r="Z1294" t="s">
        <v>3535</v>
      </c>
      <c r="AA1294" t="s">
        <v>9658</v>
      </c>
      <c r="AB1294" t="s">
        <v>2497</v>
      </c>
      <c r="AC1294" t="s">
        <v>4988</v>
      </c>
      <c r="AD1294" s="249" t="str">
        <f>HYPERLINK("https://scontent.cdninstagram.com/t51.2885-15/s320x320/e35/20838855_734445973426169_6847261979699052544_n.jpg")</f>
        <v>https://scontent.cdninstagram.com/t51.2885-15/s320x320/e35/20838855_734445973426169_6847261979699052544_n.jpg</v>
      </c>
      <c r="AE1294" s="249" t="str">
        <f>HYPERLINK("https://scontent.cdninstagram.com/t51.2885-19/s150x150/21041580_903653826448385_2761478935546953728_a.jpg")</f>
        <v>https://scontent.cdninstagram.com/t51.2885-19/s150x150/21041580_903653826448385_2761478935546953728_a.jpg</v>
      </c>
    </row>
    <row r="1295" spans="1:31" ht="15" x14ac:dyDescent="0.25">
      <c r="A1295" t="s">
        <v>2474</v>
      </c>
      <c r="B1295" t="s">
        <v>2588</v>
      </c>
      <c r="C1295" s="221">
        <v>42964.629942129628</v>
      </c>
      <c r="D1295" t="s">
        <v>9659</v>
      </c>
      <c r="E1295" s="249" t="str">
        <f>HYPERLINK("https://www.instagram.com/p/BX5_LrMgdf9/")</f>
        <v>https://www.instagram.com/p/BX5_LrMgdf9/</v>
      </c>
      <c r="F1295" t="s">
        <v>9660</v>
      </c>
      <c r="G1295" t="s">
        <v>2478</v>
      </c>
      <c r="H1295">
        <v>305</v>
      </c>
      <c r="I1295" t="s">
        <v>2479</v>
      </c>
      <c r="J1295">
        <v>12</v>
      </c>
      <c r="K1295">
        <v>622</v>
      </c>
      <c r="L1295">
        <v>634</v>
      </c>
      <c r="Q1295">
        <v>0</v>
      </c>
      <c r="R1295">
        <v>0</v>
      </c>
      <c r="S1295">
        <v>634</v>
      </c>
      <c r="Y1295" t="s">
        <v>2588</v>
      </c>
      <c r="AD1295" s="249" t="str">
        <f>HYPERLINK("https://scontent.cdninstagram.com/t51.2885-15/s320x320/e35/20838302_349841095445963_9188188034133131264_n.jpg")</f>
        <v>https://scontent.cdninstagram.com/t51.2885-15/s320x320/e35/20838302_349841095445963_9188188034133131264_n.jpg</v>
      </c>
      <c r="AE1295" s="249" t="str">
        <f>HYPERLINK("https://scontent.cdninstagram.com/t51.2885-19/s150x150/20633561_108840983138666_5897549723056734208_a.jpg")</f>
        <v>https://scontent.cdninstagram.com/t51.2885-19/s150x150/20633561_108840983138666_5897549723056734208_a.jpg</v>
      </c>
    </row>
    <row r="1296" spans="1:31" ht="15" x14ac:dyDescent="0.25">
      <c r="A1296" t="s">
        <v>2474</v>
      </c>
      <c r="B1296" t="s">
        <v>9661</v>
      </c>
      <c r="C1296" s="221">
        <v>42964.631076388891</v>
      </c>
      <c r="D1296" t="s">
        <v>9662</v>
      </c>
      <c r="E1296" s="249" t="str">
        <f>HYPERLINK("https://www.instagram.com/p/BX5_XpKg-uy/")</f>
        <v>https://www.instagram.com/p/BX5_XpKg-uy/</v>
      </c>
      <c r="F1296" t="s">
        <v>9663</v>
      </c>
      <c r="G1296" t="s">
        <v>2478</v>
      </c>
      <c r="H1296">
        <v>401</v>
      </c>
      <c r="I1296" t="s">
        <v>2910</v>
      </c>
      <c r="J1296">
        <v>1</v>
      </c>
      <c r="K1296">
        <v>42</v>
      </c>
      <c r="L1296">
        <v>43</v>
      </c>
      <c r="Q1296">
        <v>0</v>
      </c>
      <c r="R1296">
        <v>0</v>
      </c>
      <c r="S1296">
        <v>43</v>
      </c>
      <c r="Y1296" t="s">
        <v>2497</v>
      </c>
      <c r="AD1296" s="249" t="str">
        <f>HYPERLINK("https://scontent.cdninstagram.com/t51.2885-15/s320x320/e35/20902750_123912734910901_4443162629992611840_n.jpg")</f>
        <v>https://scontent.cdninstagram.com/t51.2885-15/s320x320/e35/20902750_123912734910901_4443162629992611840_n.jpg</v>
      </c>
      <c r="AE1296" s="249" t="str">
        <f>HYPERLINK("https://scontent.cdninstagram.com/t51.2885-19/s150x150/21042395_1008568329284910_7661874025706029056_a.jpg")</f>
        <v>https://scontent.cdninstagram.com/t51.2885-19/s150x150/21042395_1008568329284910_7661874025706029056_a.jpg</v>
      </c>
    </row>
    <row r="1297" spans="1:31" ht="15" x14ac:dyDescent="0.25">
      <c r="A1297" t="s">
        <v>2474</v>
      </c>
      <c r="B1297" t="s">
        <v>4132</v>
      </c>
      <c r="C1297" s="221">
        <v>42964.633680555555</v>
      </c>
      <c r="D1297" t="s">
        <v>9664</v>
      </c>
      <c r="E1297" s="249" t="str">
        <f>HYPERLINK("https://www.instagram.com/p/BX5_zHzFyr3/")</f>
        <v>https://www.instagram.com/p/BX5_zHzFyr3/</v>
      </c>
      <c r="F1297" t="s">
        <v>9665</v>
      </c>
      <c r="G1297" t="s">
        <v>2478</v>
      </c>
      <c r="H1297">
        <v>6882</v>
      </c>
      <c r="I1297" t="s">
        <v>2479</v>
      </c>
      <c r="J1297">
        <v>1</v>
      </c>
      <c r="K1297">
        <v>25</v>
      </c>
      <c r="L1297">
        <v>26</v>
      </c>
      <c r="Q1297">
        <v>0</v>
      </c>
      <c r="R1297">
        <v>0</v>
      </c>
      <c r="S1297">
        <v>26</v>
      </c>
      <c r="Y1297" t="s">
        <v>5727</v>
      </c>
      <c r="Z1297" t="s">
        <v>4755</v>
      </c>
      <c r="AA1297" t="s">
        <v>2838</v>
      </c>
      <c r="AB1297" t="s">
        <v>2497</v>
      </c>
      <c r="AC1297" t="s">
        <v>4136</v>
      </c>
      <c r="AD1297" s="249" t="str">
        <f>HYPERLINK("https://scontent.cdninstagram.com/t51.2885-15/s320x320/e35/c3.0.633.633/20902757_804422743065746_724935345069621248_n.jpg")</f>
        <v>https://scontent.cdninstagram.com/t51.2885-15/s320x320/e35/c3.0.633.633/20902757_804422743065746_724935345069621248_n.jpg</v>
      </c>
      <c r="AE1297" s="249" t="str">
        <f>HYPERLINK("https://scontent.cdninstagram.com/t51.2885-19/s150x150/15306012_1834743390099693_621234283125669888_a.jpg")</f>
        <v>https://scontent.cdninstagram.com/t51.2885-19/s150x150/15306012_1834743390099693_621234283125669888_a.jpg</v>
      </c>
    </row>
    <row r="1298" spans="1:31" ht="15" x14ac:dyDescent="0.25">
      <c r="A1298" t="s">
        <v>2474</v>
      </c>
      <c r="B1298" t="s">
        <v>9666</v>
      </c>
      <c r="C1298" s="221">
        <v>42964.640682870369</v>
      </c>
      <c r="D1298" t="s">
        <v>9667</v>
      </c>
      <c r="E1298" s="249" t="str">
        <f>HYPERLINK("https://www.instagram.com/p/BX6A8_3BODn/")</f>
        <v>https://www.instagram.com/p/BX6A8_3BODn/</v>
      </c>
      <c r="F1298" t="s">
        <v>9668</v>
      </c>
      <c r="G1298" t="s">
        <v>2478</v>
      </c>
      <c r="H1298">
        <v>165</v>
      </c>
      <c r="I1298" t="s">
        <v>2479</v>
      </c>
      <c r="J1298">
        <v>2</v>
      </c>
      <c r="K1298">
        <v>38</v>
      </c>
      <c r="L1298">
        <v>40</v>
      </c>
      <c r="Q1298">
        <v>0</v>
      </c>
      <c r="R1298">
        <v>0</v>
      </c>
      <c r="S1298">
        <v>40</v>
      </c>
      <c r="Y1298" t="s">
        <v>9669</v>
      </c>
      <c r="Z1298" t="s">
        <v>9670</v>
      </c>
      <c r="AA1298" t="s">
        <v>9671</v>
      </c>
      <c r="AB1298" t="s">
        <v>9672</v>
      </c>
      <c r="AC1298" t="s">
        <v>9673</v>
      </c>
      <c r="AD1298" s="249" t="str">
        <f>HYPERLINK("https://scontent.cdninstagram.com/t51.2885-15/s320x320/e35/20901937_1563294050396072_837384181653700608_n.jpg")</f>
        <v>https://scontent.cdninstagram.com/t51.2885-15/s320x320/e35/20901937_1563294050396072_837384181653700608_n.jpg</v>
      </c>
      <c r="AE1298" s="249" t="str">
        <f>HYPERLINK("https://scontent.cdninstagram.com/t51.2885-19/s150x150/17439305_1172816279507460_1249380362631512064_a.jpg")</f>
        <v>https://scontent.cdninstagram.com/t51.2885-19/s150x150/17439305_1172816279507460_1249380362631512064_a.jpg</v>
      </c>
    </row>
    <row r="1299" spans="1:31" ht="15" x14ac:dyDescent="0.25">
      <c r="A1299" t="s">
        <v>2474</v>
      </c>
      <c r="B1299" t="s">
        <v>9674</v>
      </c>
      <c r="C1299" s="221">
        <v>42964.641851851855</v>
      </c>
      <c r="D1299" t="s">
        <v>9675</v>
      </c>
      <c r="E1299" s="249" t="str">
        <f>HYPERLINK("https://www.instagram.com/p/BX6BJTrl262/")</f>
        <v>https://www.instagram.com/p/BX6BJTrl262/</v>
      </c>
      <c r="F1299" t="s">
        <v>9676</v>
      </c>
      <c r="G1299" t="s">
        <v>2478</v>
      </c>
      <c r="H1299">
        <v>405</v>
      </c>
      <c r="I1299" t="s">
        <v>2479</v>
      </c>
      <c r="J1299">
        <v>1</v>
      </c>
      <c r="K1299">
        <v>59</v>
      </c>
      <c r="L1299">
        <v>60</v>
      </c>
      <c r="Q1299">
        <v>0</v>
      </c>
      <c r="R1299">
        <v>0</v>
      </c>
      <c r="S1299">
        <v>60</v>
      </c>
      <c r="Y1299" t="s">
        <v>4514</v>
      </c>
      <c r="Z1299" t="s">
        <v>9677</v>
      </c>
      <c r="AA1299" t="s">
        <v>3384</v>
      </c>
      <c r="AB1299" t="s">
        <v>9678</v>
      </c>
      <c r="AC1299" t="s">
        <v>9679</v>
      </c>
      <c r="AD1299" s="249" t="str">
        <f>HYPERLINK("https://scontent.cdninstagram.com/t51.2885-15/s320x320/e35/c135.0.810.810/20838701_486320625077248_7078097891830530048_n.jpg")</f>
        <v>https://scontent.cdninstagram.com/t51.2885-15/s320x320/e35/c135.0.810.810/20838701_486320625077248_7078097891830530048_n.jpg</v>
      </c>
      <c r="AE1299" s="249" t="str">
        <f>HYPERLINK("https://scontent.cdninstagram.com/t51.2885-19/s150x150/14278927_1762176354055836_1311878102_a.jpg")</f>
        <v>https://scontent.cdninstagram.com/t51.2885-19/s150x150/14278927_1762176354055836_1311878102_a.jpg</v>
      </c>
    </row>
    <row r="1300" spans="1:31" ht="15" x14ac:dyDescent="0.25">
      <c r="A1300" t="s">
        <v>2474</v>
      </c>
      <c r="B1300" t="s">
        <v>3154</v>
      </c>
      <c r="C1300" s="221">
        <v>42964.643564814818</v>
      </c>
      <c r="D1300" t="s">
        <v>9680</v>
      </c>
      <c r="E1300" s="249" t="str">
        <f>HYPERLINK("https://www.instagram.com/p/BX6BbVODBLG/")</f>
        <v>https://www.instagram.com/p/BX6BbVODBLG/</v>
      </c>
      <c r="F1300" t="s">
        <v>9681</v>
      </c>
      <c r="G1300" t="s">
        <v>2488</v>
      </c>
      <c r="H1300">
        <v>858</v>
      </c>
      <c r="I1300" t="s">
        <v>2479</v>
      </c>
      <c r="J1300">
        <v>2</v>
      </c>
      <c r="K1300">
        <v>110</v>
      </c>
      <c r="L1300">
        <v>112</v>
      </c>
      <c r="Q1300">
        <v>0</v>
      </c>
      <c r="R1300">
        <v>0</v>
      </c>
      <c r="S1300">
        <v>112</v>
      </c>
      <c r="Y1300" t="s">
        <v>9682</v>
      </c>
      <c r="Z1300" t="s">
        <v>2497</v>
      </c>
      <c r="AA1300" t="s">
        <v>7393</v>
      </c>
      <c r="AB1300" t="s">
        <v>3158</v>
      </c>
      <c r="AC1300" t="s">
        <v>3159</v>
      </c>
      <c r="AD1300" s="249" t="str">
        <f>HYPERLINK("https://scontent.cdninstagram.com/t51.2885-15/s320x320/e35/20837131_325995211144987_863562535603798016_n.jpg")</f>
        <v>https://scontent.cdninstagram.com/t51.2885-15/s320x320/e35/20837131_325995211144987_863562535603798016_n.jpg</v>
      </c>
      <c r="AE1300" s="249" t="str">
        <f>HYPERLINK("https://scontent.cdninstagram.com/t51.2885-19/s150x150/19985569_317129912066691_5696369542196887552_a.jpg")</f>
        <v>https://scontent.cdninstagram.com/t51.2885-19/s150x150/19985569_317129912066691_5696369542196887552_a.jpg</v>
      </c>
    </row>
    <row r="1301" spans="1:31" ht="15" x14ac:dyDescent="0.25">
      <c r="A1301" t="s">
        <v>2474</v>
      </c>
      <c r="B1301" t="s">
        <v>4616</v>
      </c>
      <c r="C1301" s="221">
        <v>42964.646192129629</v>
      </c>
      <c r="D1301" t="s">
        <v>9683</v>
      </c>
      <c r="E1301" s="249" t="str">
        <f>HYPERLINK("https://www.instagram.com/p/BX6B3BuhN7_/")</f>
        <v>https://www.instagram.com/p/BX6B3BuhN7_/</v>
      </c>
      <c r="F1301" t="s">
        <v>9684</v>
      </c>
      <c r="G1301" t="s">
        <v>2478</v>
      </c>
      <c r="H1301">
        <v>116</v>
      </c>
      <c r="I1301" t="s">
        <v>2479</v>
      </c>
      <c r="J1301">
        <v>2</v>
      </c>
      <c r="K1301">
        <v>38</v>
      </c>
      <c r="L1301">
        <v>40</v>
      </c>
      <c r="Q1301">
        <v>0</v>
      </c>
      <c r="R1301">
        <v>0</v>
      </c>
      <c r="S1301">
        <v>40</v>
      </c>
      <c r="T1301" t="s">
        <v>9685</v>
      </c>
      <c r="V1301" t="s">
        <v>2125</v>
      </c>
      <c r="W1301">
        <v>43.557620537727999</v>
      </c>
      <c r="X1301">
        <v>-80.097813321025995</v>
      </c>
      <c r="Y1301" t="s">
        <v>5210</v>
      </c>
      <c r="Z1301" t="s">
        <v>4620</v>
      </c>
      <c r="AA1301" t="s">
        <v>2497</v>
      </c>
      <c r="AB1301" t="s">
        <v>9549</v>
      </c>
      <c r="AC1301" t="s">
        <v>5586</v>
      </c>
      <c r="AD1301" s="249" t="str">
        <f>HYPERLINK("https://scontent.cdninstagram.com/t51.2885-15/s320x320/e35/c135.0.810.810/20838777_1392207827565190_3186921868854558720_n.jpg")</f>
        <v>https://scontent.cdninstagram.com/t51.2885-15/s320x320/e35/c135.0.810.810/20838777_1392207827565190_3186921868854558720_n.jpg</v>
      </c>
      <c r="AE1301" s="249" t="str">
        <f>HYPERLINK("https://scontent.cdninstagram.com/t51.2885-19/s150x150/17494353_1347957098574282_2527511313651859456_a.jpg")</f>
        <v>https://scontent.cdninstagram.com/t51.2885-19/s150x150/17494353_1347957098574282_2527511313651859456_a.jpg</v>
      </c>
    </row>
    <row r="1302" spans="1:31" ht="15" x14ac:dyDescent="0.25">
      <c r="A1302" t="s">
        <v>2474</v>
      </c>
      <c r="B1302" t="s">
        <v>3846</v>
      </c>
      <c r="C1302" s="221">
        <v>42964.647557870368</v>
      </c>
      <c r="D1302" t="s">
        <v>9686</v>
      </c>
      <c r="E1302" s="249" t="str">
        <f>HYPERLINK("https://www.instagram.com/p/BX6CFhKgoMy/")</f>
        <v>https://www.instagram.com/p/BX6CFhKgoMy/</v>
      </c>
      <c r="F1302" t="s">
        <v>9687</v>
      </c>
      <c r="G1302" t="s">
        <v>2478</v>
      </c>
      <c r="H1302">
        <v>978</v>
      </c>
      <c r="I1302" t="s">
        <v>2479</v>
      </c>
      <c r="J1302">
        <v>3</v>
      </c>
      <c r="K1302">
        <v>108</v>
      </c>
      <c r="L1302">
        <v>111</v>
      </c>
      <c r="Q1302">
        <v>0</v>
      </c>
      <c r="R1302">
        <v>0</v>
      </c>
      <c r="S1302">
        <v>111</v>
      </c>
      <c r="Y1302" t="s">
        <v>3850</v>
      </c>
      <c r="Z1302" t="s">
        <v>3846</v>
      </c>
      <c r="AA1302" t="s">
        <v>9688</v>
      </c>
      <c r="AB1302" t="s">
        <v>4620</v>
      </c>
      <c r="AC1302" t="s">
        <v>2497</v>
      </c>
      <c r="AD1302" s="249" t="str">
        <f>HYPERLINK("https://scontent.cdninstagram.com/t51.2885-15/s320x320/e35/c0.77.1080.1080/20838230_1625852227445350_6677602744213176320_n.jpg")</f>
        <v>https://scontent.cdninstagram.com/t51.2885-15/s320x320/e35/c0.77.1080.1080/20838230_1625852227445350_6677602744213176320_n.jpg</v>
      </c>
      <c r="AE1302" s="249" t="str">
        <f>HYPERLINK("https://scontent.cdninstagram.com/t51.2885-19/11313229_1459878014310621_82799200_a.jpg")</f>
        <v>https://scontent.cdninstagram.com/t51.2885-19/11313229_1459878014310621_82799200_a.jpg</v>
      </c>
    </row>
    <row r="1303" spans="1:31" ht="15" x14ac:dyDescent="0.25">
      <c r="A1303" t="s">
        <v>2474</v>
      </c>
      <c r="B1303" t="s">
        <v>9689</v>
      </c>
      <c r="C1303" s="221">
        <v>42964.648773148147</v>
      </c>
      <c r="D1303" t="s">
        <v>9690</v>
      </c>
      <c r="E1303" s="249" t="str">
        <f>HYPERLINK("https://www.instagram.com/p/BX6CSQnhyK4/")</f>
        <v>https://www.instagram.com/p/BX6CSQnhyK4/</v>
      </c>
      <c r="F1303" t="s">
        <v>9691</v>
      </c>
      <c r="G1303" t="s">
        <v>2631</v>
      </c>
      <c r="H1303">
        <v>253</v>
      </c>
      <c r="I1303" t="s">
        <v>2479</v>
      </c>
      <c r="J1303">
        <v>0</v>
      </c>
      <c r="K1303">
        <v>7</v>
      </c>
      <c r="L1303">
        <v>7</v>
      </c>
      <c r="Q1303">
        <v>0</v>
      </c>
      <c r="R1303">
        <v>0</v>
      </c>
      <c r="S1303">
        <v>7</v>
      </c>
      <c r="Y1303" t="s">
        <v>2497</v>
      </c>
      <c r="Z1303" t="s">
        <v>9692</v>
      </c>
      <c r="AD1303" s="249" t="str">
        <f>HYPERLINK("https://scontent.cdninstagram.com/t51.2885-15/s320x320/e15/20838437_115093292486274_5500553960173338624_n.jpg")</f>
        <v>https://scontent.cdninstagram.com/t51.2885-15/s320x320/e15/20838437_115093292486274_5500553960173338624_n.jpg</v>
      </c>
      <c r="AE1303" s="249" t="str">
        <f>HYPERLINK("https://scontent.cdninstagram.com/t51.2885-19/924049_741385415981906_803612953_a.jpg")</f>
        <v>https://scontent.cdninstagram.com/t51.2885-19/924049_741385415981906_803612953_a.jpg</v>
      </c>
    </row>
    <row r="1304" spans="1:31" ht="15" x14ac:dyDescent="0.25">
      <c r="A1304" t="s">
        <v>2474</v>
      </c>
      <c r="B1304" t="s">
        <v>9693</v>
      </c>
      <c r="C1304" s="221">
        <v>42964.656956018516</v>
      </c>
      <c r="D1304" t="s">
        <v>9694</v>
      </c>
      <c r="E1304" s="249" t="str">
        <f>HYPERLINK("https://www.instagram.com/p/BX6Dojqn8Mu/")</f>
        <v>https://www.instagram.com/p/BX6Dojqn8Mu/</v>
      </c>
      <c r="F1304" t="s">
        <v>9695</v>
      </c>
      <c r="G1304" t="s">
        <v>2478</v>
      </c>
      <c r="H1304">
        <v>1411</v>
      </c>
      <c r="I1304" t="s">
        <v>4052</v>
      </c>
      <c r="J1304">
        <v>5</v>
      </c>
      <c r="K1304">
        <v>117</v>
      </c>
      <c r="L1304">
        <v>122</v>
      </c>
      <c r="Q1304">
        <v>0</v>
      </c>
      <c r="R1304">
        <v>0</v>
      </c>
      <c r="S1304">
        <v>122</v>
      </c>
      <c r="Y1304" t="s">
        <v>2497</v>
      </c>
      <c r="Z1304" t="s">
        <v>2734</v>
      </c>
      <c r="AA1304" t="s">
        <v>9696</v>
      </c>
      <c r="AB1304" t="s">
        <v>9697</v>
      </c>
      <c r="AC1304" t="s">
        <v>9698</v>
      </c>
      <c r="AD1304" s="249" t="str">
        <f>HYPERLINK("https://scontent.cdninstagram.com/t51.2885-15/s320x320/e35/20904941_1737080449683981_1066188960801226752_n.jpg")</f>
        <v>https://scontent.cdninstagram.com/t51.2885-15/s320x320/e35/20904941_1737080449683981_1066188960801226752_n.jpg</v>
      </c>
      <c r="AE1304" s="249" t="str">
        <f>HYPERLINK("https://scontent.cdninstagram.com/t51.2885-19/s150x150/18299314_1943642379203612_1982748648353562624_a.jpg")</f>
        <v>https://scontent.cdninstagram.com/t51.2885-19/s150x150/18299314_1943642379203612_1982748648353562624_a.jpg</v>
      </c>
    </row>
    <row r="1305" spans="1:31" ht="15" x14ac:dyDescent="0.25">
      <c r="A1305" t="s">
        <v>2474</v>
      </c>
      <c r="B1305" t="s">
        <v>9699</v>
      </c>
      <c r="C1305" s="221">
        <v>42964.658055555556</v>
      </c>
      <c r="D1305" t="s">
        <v>9700</v>
      </c>
      <c r="E1305" s="249" t="str">
        <f>HYPERLINK("https://www.instagram.com/p/BX6D0NMAlkq/")</f>
        <v>https://www.instagram.com/p/BX6D0NMAlkq/</v>
      </c>
      <c r="F1305" t="s">
        <v>9701</v>
      </c>
      <c r="G1305" t="s">
        <v>2478</v>
      </c>
      <c r="H1305">
        <v>879</v>
      </c>
      <c r="I1305" t="s">
        <v>3186</v>
      </c>
      <c r="J1305">
        <v>0</v>
      </c>
      <c r="K1305">
        <v>71</v>
      </c>
      <c r="L1305">
        <v>71</v>
      </c>
      <c r="Q1305">
        <v>0</v>
      </c>
      <c r="R1305">
        <v>0</v>
      </c>
      <c r="S1305">
        <v>71</v>
      </c>
      <c r="Y1305" t="s">
        <v>2497</v>
      </c>
      <c r="Z1305" t="s">
        <v>9702</v>
      </c>
      <c r="AA1305" t="s">
        <v>9703</v>
      </c>
      <c r="AB1305" t="s">
        <v>9704</v>
      </c>
      <c r="AC1305" t="s">
        <v>3316</v>
      </c>
      <c r="AD1305" s="249" t="str">
        <f>HYPERLINK("https://scontent.cdninstagram.com/t51.2885-15/s320x320/e35/20838112_1511515078891797_3862718798033321984_n.jpg")</f>
        <v>https://scontent.cdninstagram.com/t51.2885-15/s320x320/e35/20838112_1511515078891797_3862718798033321984_n.jpg</v>
      </c>
      <c r="AE1305" s="249" t="str">
        <f>HYPERLINK("https://scontent.cdninstagram.com/t51.2885-19/s150x150/18809697_1920063831616553_4806370288885301248_a.jpg")</f>
        <v>https://scontent.cdninstagram.com/t51.2885-19/s150x150/18809697_1920063831616553_4806370288885301248_a.jpg</v>
      </c>
    </row>
    <row r="1306" spans="1:31" ht="15" x14ac:dyDescent="0.25">
      <c r="A1306" t="s">
        <v>2474</v>
      </c>
      <c r="B1306" t="s">
        <v>9705</v>
      </c>
      <c r="C1306" s="221">
        <v>42964.661053240743</v>
      </c>
      <c r="D1306" t="s">
        <v>9706</v>
      </c>
      <c r="E1306" s="249" t="str">
        <f>HYPERLINK("https://www.instagram.com/p/BX6ETzXAmmc/")</f>
        <v>https://www.instagram.com/p/BX6ETzXAmmc/</v>
      </c>
      <c r="F1306" t="s">
        <v>9707</v>
      </c>
      <c r="G1306" t="s">
        <v>2478</v>
      </c>
      <c r="I1306" t="s">
        <v>2479</v>
      </c>
      <c r="J1306">
        <v>1</v>
      </c>
      <c r="K1306">
        <v>49</v>
      </c>
      <c r="L1306">
        <v>50</v>
      </c>
      <c r="Q1306">
        <v>0</v>
      </c>
      <c r="R1306">
        <v>0</v>
      </c>
      <c r="S1306">
        <v>50</v>
      </c>
      <c r="T1306" t="s">
        <v>9708</v>
      </c>
      <c r="V1306" t="s">
        <v>2161</v>
      </c>
      <c r="W1306">
        <v>50.593330000000002</v>
      </c>
      <c r="X1306">
        <v>8.6574399999999994</v>
      </c>
      <c r="Y1306" t="s">
        <v>9709</v>
      </c>
      <c r="Z1306" t="s">
        <v>7696</v>
      </c>
      <c r="AA1306" t="s">
        <v>9710</v>
      </c>
      <c r="AB1306" t="s">
        <v>2730</v>
      </c>
      <c r="AC1306" t="s">
        <v>3117</v>
      </c>
      <c r="AD1306" s="249" t="str">
        <f>HYPERLINK("https://scontent.cdninstagram.com/t51.2885-15/s320x320/e35/20837182_137482713522851_7084595571758989312_n.jpg")</f>
        <v>https://scontent.cdninstagram.com/t51.2885-15/s320x320/e35/20837182_137482713522851_7084595571758989312_n.jpg</v>
      </c>
      <c r="AE1306" s="249" t="str">
        <f>HYPERLINK("https://scontent.cdninstagram.com/t51.2885-19/s150x150/20398624_1761760887171399_8594475910030163968_a.jpg")</f>
        <v>https://scontent.cdninstagram.com/t51.2885-19/s150x150/20398624_1761760887171399_8594475910030163968_a.jpg</v>
      </c>
    </row>
    <row r="1307" spans="1:31" ht="15" x14ac:dyDescent="0.25">
      <c r="A1307" t="s">
        <v>2474</v>
      </c>
      <c r="B1307" t="s">
        <v>9711</v>
      </c>
      <c r="C1307" s="221">
        <v>42964.665370370371</v>
      </c>
      <c r="D1307" t="s">
        <v>9712</v>
      </c>
      <c r="E1307" s="249" t="str">
        <f>HYPERLINK("https://www.instagram.com/p/BX6FBUel3ZL/")</f>
        <v>https://www.instagram.com/p/BX6FBUel3ZL/</v>
      </c>
      <c r="F1307" t="s">
        <v>9713</v>
      </c>
      <c r="G1307" t="s">
        <v>2478</v>
      </c>
      <c r="H1307">
        <v>113</v>
      </c>
      <c r="I1307" t="s">
        <v>3273</v>
      </c>
      <c r="J1307">
        <v>0</v>
      </c>
      <c r="K1307">
        <v>23</v>
      </c>
      <c r="L1307">
        <v>23</v>
      </c>
      <c r="Q1307">
        <v>0</v>
      </c>
      <c r="R1307">
        <v>0</v>
      </c>
      <c r="S1307">
        <v>23</v>
      </c>
      <c r="T1307" t="s">
        <v>9714</v>
      </c>
      <c r="V1307" t="s">
        <v>2271</v>
      </c>
      <c r="W1307">
        <v>46.507555555556003</v>
      </c>
      <c r="X1307">
        <v>9.8190000000000008</v>
      </c>
      <c r="Y1307" t="s">
        <v>2497</v>
      </c>
      <c r="Z1307" t="s">
        <v>9715</v>
      </c>
      <c r="AA1307" t="s">
        <v>9716</v>
      </c>
      <c r="AB1307" t="s">
        <v>9385</v>
      </c>
      <c r="AC1307" t="s">
        <v>9717</v>
      </c>
      <c r="AD1307" s="249" t="str">
        <f>HYPERLINK("https://scontent.cdninstagram.com/t51.2885-15/s320x320/e35/c0.112.899.899/20901873_199797633890340_4202231895448092672_n.jpg")</f>
        <v>https://scontent.cdninstagram.com/t51.2885-15/s320x320/e35/c0.112.899.899/20901873_199797633890340_4202231895448092672_n.jpg</v>
      </c>
      <c r="AE1307" s="249" t="str">
        <f>HYPERLINK("https://scontent.cdninstagram.com/t51.2885-19/s150x150/19436392_1371399682944070_8500546603059249152_a.jpg")</f>
        <v>https://scontent.cdninstagram.com/t51.2885-19/s150x150/19436392_1371399682944070_8500546603059249152_a.jpg</v>
      </c>
    </row>
    <row r="1308" spans="1:31" ht="15" x14ac:dyDescent="0.25">
      <c r="A1308" t="s">
        <v>2474</v>
      </c>
      <c r="B1308" t="s">
        <v>6899</v>
      </c>
      <c r="C1308" s="221">
        <v>42964.672662037039</v>
      </c>
      <c r="D1308" t="s">
        <v>9718</v>
      </c>
      <c r="E1308" s="249" t="str">
        <f>HYPERLINK("https://www.instagram.com/p/BX6GOQJgJ9R/")</f>
        <v>https://www.instagram.com/p/BX6GOQJgJ9R/</v>
      </c>
      <c r="F1308" t="s">
        <v>9719</v>
      </c>
      <c r="G1308" t="s">
        <v>2478</v>
      </c>
      <c r="H1308">
        <v>34710</v>
      </c>
      <c r="I1308" t="s">
        <v>2479</v>
      </c>
      <c r="J1308">
        <v>5</v>
      </c>
      <c r="K1308">
        <v>470</v>
      </c>
      <c r="L1308">
        <v>475</v>
      </c>
      <c r="Q1308">
        <v>0</v>
      </c>
      <c r="R1308">
        <v>0</v>
      </c>
      <c r="S1308">
        <v>475</v>
      </c>
      <c r="AD1308" s="249" t="str">
        <f>HYPERLINK("https://scontent.cdninstagram.com/t51.2885-15/s320x320/e35/20838430_1976866462595251_3400122567959248896_n.jpg")</f>
        <v>https://scontent.cdninstagram.com/t51.2885-15/s320x320/e35/20838430_1976866462595251_3400122567959248896_n.jpg</v>
      </c>
      <c r="AE1308" s="249" t="str">
        <f>HYPERLINK("https://scontent.cdninstagram.com/t51.2885-19/s150x150/17493776_1474371442636277_6993911971573661696_n.jpg")</f>
        <v>https://scontent.cdninstagram.com/t51.2885-19/s150x150/17493776_1474371442636277_6993911971573661696_n.jpg</v>
      </c>
    </row>
    <row r="1309" spans="1:31" ht="15" x14ac:dyDescent="0.25">
      <c r="A1309" t="s">
        <v>2474</v>
      </c>
      <c r="B1309" t="s">
        <v>9720</v>
      </c>
      <c r="C1309" s="221">
        <v>42964.679872685185</v>
      </c>
      <c r="D1309" t="s">
        <v>9721</v>
      </c>
      <c r="E1309" s="249" t="str">
        <f>HYPERLINK("https://www.instagram.com/p/BX6HaU8hLCm/")</f>
        <v>https://www.instagram.com/p/BX6HaU8hLCm/</v>
      </c>
      <c r="F1309" t="s">
        <v>9722</v>
      </c>
      <c r="G1309" t="s">
        <v>2478</v>
      </c>
      <c r="H1309">
        <v>287</v>
      </c>
      <c r="I1309" t="s">
        <v>2479</v>
      </c>
      <c r="J1309">
        <v>0</v>
      </c>
      <c r="K1309">
        <v>20</v>
      </c>
      <c r="L1309">
        <v>20</v>
      </c>
      <c r="Q1309">
        <v>0</v>
      </c>
      <c r="R1309">
        <v>0</v>
      </c>
      <c r="S1309">
        <v>20</v>
      </c>
      <c r="Y1309" t="s">
        <v>2497</v>
      </c>
      <c r="Z1309" t="s">
        <v>2483</v>
      </c>
      <c r="AA1309" t="s">
        <v>2554</v>
      </c>
      <c r="AB1309" t="s">
        <v>2513</v>
      </c>
      <c r="AC1309" t="s">
        <v>9723</v>
      </c>
      <c r="AD1309" s="249" t="str">
        <f>HYPERLINK("https://scontent.cdninstagram.com/t51.2885-15/s320x320/e35/c0.112.899.899/20838787_1954188044828803_394546755351347200_n.jpg")</f>
        <v>https://scontent.cdninstagram.com/t51.2885-15/s320x320/e35/c0.112.899.899/20838787_1954188044828803_394546755351347200_n.jpg</v>
      </c>
      <c r="AE1309" s="249" t="str">
        <f>HYPERLINK("https://scontent.cdninstagram.com/t51.2885-19/s150x150/20688681_2025291801039889_1192779522668232704_a.jpg")</f>
        <v>https://scontent.cdninstagram.com/t51.2885-19/s150x150/20688681_2025291801039889_1192779522668232704_a.jpg</v>
      </c>
    </row>
    <row r="1310" spans="1:31" ht="15" x14ac:dyDescent="0.25">
      <c r="A1310" t="s">
        <v>2474</v>
      </c>
      <c r="B1310" t="s">
        <v>9724</v>
      </c>
      <c r="C1310" s="221">
        <v>42964.687037037038</v>
      </c>
      <c r="D1310" t="s">
        <v>9725</v>
      </c>
      <c r="E1310" s="249" t="str">
        <f>HYPERLINK("https://www.instagram.com/p/BX6Il5ugoc7/")</f>
        <v>https://www.instagram.com/p/BX6Il5ugoc7/</v>
      </c>
      <c r="F1310" t="s">
        <v>9726</v>
      </c>
      <c r="G1310" t="s">
        <v>2478</v>
      </c>
      <c r="H1310">
        <v>6</v>
      </c>
      <c r="I1310" t="s">
        <v>4523</v>
      </c>
      <c r="J1310">
        <v>0</v>
      </c>
      <c r="K1310">
        <v>3</v>
      </c>
      <c r="L1310">
        <v>3</v>
      </c>
      <c r="Q1310">
        <v>0</v>
      </c>
      <c r="R1310">
        <v>0</v>
      </c>
      <c r="S1310">
        <v>3</v>
      </c>
      <c r="T1310" t="s">
        <v>9727</v>
      </c>
      <c r="V1310" t="s">
        <v>2239</v>
      </c>
      <c r="W1310">
        <v>53.116700000000002</v>
      </c>
      <c r="X1310">
        <v>23.15</v>
      </c>
      <c r="Y1310" t="s">
        <v>2497</v>
      </c>
      <c r="Z1310" t="s">
        <v>9728</v>
      </c>
      <c r="AA1310" t="s">
        <v>9729</v>
      </c>
      <c r="AD1310" s="249" t="str">
        <f>HYPERLINK("https://scontent.cdninstagram.com/t51.2885-15/s320x320/e35/20968780_110810246307279_546800476956393472_n.jpg")</f>
        <v>https://scontent.cdninstagram.com/t51.2885-15/s320x320/e35/20968780_110810246307279_546800476956393472_n.jpg</v>
      </c>
      <c r="AE1310" s="249" t="str">
        <f>HYPERLINK("https://scontent.cdninstagram.com/t51.2885-19/s150x150/19429395_1199367286875609_2551128883546030080_a.jpg")</f>
        <v>https://scontent.cdninstagram.com/t51.2885-19/s150x150/19429395_1199367286875609_2551128883546030080_a.jpg</v>
      </c>
    </row>
    <row r="1311" spans="1:31" ht="15" x14ac:dyDescent="0.25">
      <c r="A1311" t="s">
        <v>2474</v>
      </c>
      <c r="B1311" t="s">
        <v>3055</v>
      </c>
      <c r="C1311" s="221">
        <v>42964.692361111112</v>
      </c>
      <c r="D1311" t="s">
        <v>9730</v>
      </c>
      <c r="E1311" s="249" t="str">
        <f>HYPERLINK("https://www.instagram.com/p/BX6JeBRnQ0y/")</f>
        <v>https://www.instagram.com/p/BX6JeBRnQ0y/</v>
      </c>
      <c r="F1311" t="s">
        <v>9731</v>
      </c>
      <c r="G1311" t="s">
        <v>2478</v>
      </c>
      <c r="H1311">
        <v>157</v>
      </c>
      <c r="I1311" t="s">
        <v>2479</v>
      </c>
      <c r="J1311">
        <v>1</v>
      </c>
      <c r="K1311">
        <v>30</v>
      </c>
      <c r="L1311">
        <v>31</v>
      </c>
      <c r="Q1311">
        <v>0</v>
      </c>
      <c r="R1311">
        <v>0</v>
      </c>
      <c r="S1311">
        <v>31</v>
      </c>
      <c r="Y1311" t="s">
        <v>9732</v>
      </c>
      <c r="Z1311" t="s">
        <v>3144</v>
      </c>
      <c r="AA1311" t="s">
        <v>2497</v>
      </c>
      <c r="AB1311" t="s">
        <v>9733</v>
      </c>
      <c r="AC1311" t="s">
        <v>9734</v>
      </c>
      <c r="AD1311" s="249" t="str">
        <f>HYPERLINK("https://scontent.cdninstagram.com/t51.2885-15/s320x320/e35/20902480_317822058680746_4854001158370361344_n.jpg")</f>
        <v>https://scontent.cdninstagram.com/t51.2885-15/s320x320/e35/20902480_317822058680746_4854001158370361344_n.jpg</v>
      </c>
      <c r="AE1311" s="249" t="str">
        <f>HYPERLINK("https://scontent.cdninstagram.com/t51.2885-19/s150x150/12534162_1031877433501510_1281420640_a.jpg")</f>
        <v>https://scontent.cdninstagram.com/t51.2885-19/s150x150/12534162_1031877433501510_1281420640_a.jpg</v>
      </c>
    </row>
    <row r="1312" spans="1:31" ht="15" x14ac:dyDescent="0.25">
      <c r="A1312" t="s">
        <v>2474</v>
      </c>
      <c r="B1312" t="s">
        <v>5486</v>
      </c>
      <c r="C1312" s="221">
        <v>42964.703275462962</v>
      </c>
      <c r="D1312" t="s">
        <v>9735</v>
      </c>
      <c r="E1312" s="249" t="str">
        <f>HYPERLINK("https://www.instagram.com/p/BX6LRH4jjH5/")</f>
        <v>https://www.instagram.com/p/BX6LRH4jjH5/</v>
      </c>
      <c r="G1312" t="s">
        <v>2478</v>
      </c>
      <c r="H1312">
        <v>32364</v>
      </c>
      <c r="I1312" t="s">
        <v>2479</v>
      </c>
      <c r="J1312">
        <v>8</v>
      </c>
      <c r="K1312">
        <v>887</v>
      </c>
      <c r="L1312">
        <v>895</v>
      </c>
      <c r="Q1312">
        <v>0</v>
      </c>
      <c r="R1312">
        <v>0</v>
      </c>
      <c r="S1312">
        <v>895</v>
      </c>
      <c r="AD1312" s="249" t="str">
        <f>HYPERLINK("https://scontent.cdninstagram.com/t51.2885-15/s320x320/e35/c0.105.921.921/20836903_691038447688195_9020859269376901120_n.jpg")</f>
        <v>https://scontent.cdninstagram.com/t51.2885-15/s320x320/e35/c0.105.921.921/20836903_691038447688195_9020859269376901120_n.jpg</v>
      </c>
      <c r="AE1312" s="249" t="str">
        <f>HYPERLINK("https://scontent.cdninstagram.com/t51.2885-19/18096331_1858853611040874_8999714561263140864_n.jpg")</f>
        <v>https://scontent.cdninstagram.com/t51.2885-19/18096331_1858853611040874_8999714561263140864_n.jpg</v>
      </c>
    </row>
    <row r="1313" spans="1:31" ht="15" x14ac:dyDescent="0.25">
      <c r="A1313" t="s">
        <v>2474</v>
      </c>
      <c r="B1313" t="s">
        <v>4990</v>
      </c>
      <c r="C1313" s="221">
        <v>42964.703541666669</v>
      </c>
      <c r="D1313" t="s">
        <v>9736</v>
      </c>
      <c r="E1313" s="249" t="str">
        <f>HYPERLINK("https://www.instagram.com/p/BX6LT-MFKO4/")</f>
        <v>https://www.instagram.com/p/BX6LT-MFKO4/</v>
      </c>
      <c r="F1313" t="s">
        <v>9737</v>
      </c>
      <c r="G1313" t="s">
        <v>2478</v>
      </c>
      <c r="H1313">
        <v>296</v>
      </c>
      <c r="I1313" t="s">
        <v>2479</v>
      </c>
      <c r="J1313">
        <v>1</v>
      </c>
      <c r="K1313">
        <v>71</v>
      </c>
      <c r="L1313">
        <v>72</v>
      </c>
      <c r="Q1313">
        <v>0</v>
      </c>
      <c r="R1313">
        <v>0</v>
      </c>
      <c r="S1313">
        <v>72</v>
      </c>
      <c r="Y1313" t="s">
        <v>9738</v>
      </c>
      <c r="Z1313" t="s">
        <v>3937</v>
      </c>
      <c r="AA1313" t="s">
        <v>9739</v>
      </c>
      <c r="AB1313" t="s">
        <v>3671</v>
      </c>
      <c r="AC1313" t="s">
        <v>9740</v>
      </c>
      <c r="AD1313" s="249" t="str">
        <f>HYPERLINK("https://scontent.cdninstagram.com/t51.2885-15/s320x320/e35/20837314_117621085562765_3091699634993627136_n.jpg")</f>
        <v>https://scontent.cdninstagram.com/t51.2885-15/s320x320/e35/20837314_117621085562765_3091699634993627136_n.jpg</v>
      </c>
      <c r="AE1313" s="249" t="str">
        <f>HYPERLINK("https://scontent.cdninstagram.com/t51.2885-19/s150x150/18251831_459768434414625_7947764207322136576_a.jpg")</f>
        <v>https://scontent.cdninstagram.com/t51.2885-19/s150x150/18251831_459768434414625_7947764207322136576_a.jpg</v>
      </c>
    </row>
    <row r="1314" spans="1:31" ht="15" x14ac:dyDescent="0.25">
      <c r="A1314" t="s">
        <v>2474</v>
      </c>
      <c r="B1314" t="s">
        <v>9741</v>
      </c>
      <c r="C1314" s="221">
        <v>42964.718043981484</v>
      </c>
      <c r="D1314" t="s">
        <v>9742</v>
      </c>
      <c r="E1314" s="249" t="str">
        <f>HYPERLINK("https://www.instagram.com/p/BX6Ns4NgJKP/")</f>
        <v>https://www.instagram.com/p/BX6Ns4NgJKP/</v>
      </c>
      <c r="F1314" t="s">
        <v>9743</v>
      </c>
      <c r="G1314" t="s">
        <v>2478</v>
      </c>
      <c r="H1314">
        <v>4846</v>
      </c>
      <c r="I1314" t="s">
        <v>2479</v>
      </c>
      <c r="J1314">
        <v>5</v>
      </c>
      <c r="K1314">
        <v>69</v>
      </c>
      <c r="L1314">
        <v>74</v>
      </c>
      <c r="Q1314">
        <v>0</v>
      </c>
      <c r="R1314">
        <v>0</v>
      </c>
      <c r="S1314">
        <v>74</v>
      </c>
      <c r="AD1314" s="249" t="str">
        <f>HYPERLINK("https://scontent.cdninstagram.com/t51.2885-15/s320x320/e35/c0.135.1080.1080/20837699_1334376343340105_7579381937471488000_n.jpg")</f>
        <v>https://scontent.cdninstagram.com/t51.2885-15/s320x320/e35/c0.135.1080.1080/20837699_1334376343340105_7579381937471488000_n.jpg</v>
      </c>
      <c r="AE1314" s="249" t="str">
        <f>HYPERLINK("https://scontent.cdninstagram.com/t51.2885-19/s150x150/20065626_1711338229168965_4653293363783532544_a.jpg")</f>
        <v>https://scontent.cdninstagram.com/t51.2885-19/s150x150/20065626_1711338229168965_4653293363783532544_a.jpg</v>
      </c>
    </row>
    <row r="1315" spans="1:31" ht="15" x14ac:dyDescent="0.25">
      <c r="A1315" t="s">
        <v>2474</v>
      </c>
      <c r="B1315" t="s">
        <v>9744</v>
      </c>
      <c r="C1315" s="221">
        <v>42964.7184837963</v>
      </c>
      <c r="D1315" t="s">
        <v>9745</v>
      </c>
      <c r="E1315" s="249" t="str">
        <f>HYPERLINK("https://www.instagram.com/p/BX6Nxj1lLxY/")</f>
        <v>https://www.instagram.com/p/BX6Nxj1lLxY/</v>
      </c>
      <c r="F1315" t="s">
        <v>9746</v>
      </c>
      <c r="G1315" t="s">
        <v>2478</v>
      </c>
      <c r="H1315">
        <v>155</v>
      </c>
      <c r="I1315" t="s">
        <v>2519</v>
      </c>
      <c r="J1315">
        <v>0</v>
      </c>
      <c r="K1315">
        <v>11</v>
      </c>
      <c r="L1315">
        <v>11</v>
      </c>
      <c r="Q1315">
        <v>0</v>
      </c>
      <c r="R1315">
        <v>0</v>
      </c>
      <c r="S1315">
        <v>11</v>
      </c>
      <c r="Y1315" t="s">
        <v>9747</v>
      </c>
      <c r="Z1315" t="s">
        <v>9748</v>
      </c>
      <c r="AA1315" t="s">
        <v>9749</v>
      </c>
      <c r="AB1315" t="s">
        <v>2497</v>
      </c>
      <c r="AC1315" t="s">
        <v>9750</v>
      </c>
      <c r="AD1315" s="249" t="str">
        <f>HYPERLINK("https://scontent.cdninstagram.com/t51.2885-15/s320x320/e35/20838341_1999669466936914_5702156851714457600_n.jpg")</f>
        <v>https://scontent.cdninstagram.com/t51.2885-15/s320x320/e35/20838341_1999669466936914_5702156851714457600_n.jpg</v>
      </c>
      <c r="AE1315" s="249" t="str">
        <f>HYPERLINK("https://scontent.cdninstagram.com/t51.2885-19/s150x150/15043655_161516384323054_1161947563062984704_a.jpg")</f>
        <v>https://scontent.cdninstagram.com/t51.2885-19/s150x150/15043655_161516384323054_1161947563062984704_a.jpg</v>
      </c>
    </row>
    <row r="1316" spans="1:31" ht="15" x14ac:dyDescent="0.25">
      <c r="A1316" t="s">
        <v>2474</v>
      </c>
      <c r="B1316" t="s">
        <v>5409</v>
      </c>
      <c r="C1316" s="221">
        <v>42964.721516203703</v>
      </c>
      <c r="D1316" t="s">
        <v>9751</v>
      </c>
      <c r="E1316" s="249" t="str">
        <f>HYPERLINK("https://www.instagram.com/p/BX6ORjHhCQj/")</f>
        <v>https://www.instagram.com/p/BX6ORjHhCQj/</v>
      </c>
      <c r="F1316" t="s">
        <v>9752</v>
      </c>
      <c r="G1316" t="s">
        <v>2478</v>
      </c>
      <c r="H1316">
        <v>645</v>
      </c>
      <c r="I1316" t="s">
        <v>2479</v>
      </c>
      <c r="J1316">
        <v>2</v>
      </c>
      <c r="K1316">
        <v>51</v>
      </c>
      <c r="L1316">
        <v>53</v>
      </c>
      <c r="Q1316">
        <v>0</v>
      </c>
      <c r="R1316">
        <v>0</v>
      </c>
      <c r="S1316">
        <v>53</v>
      </c>
      <c r="Y1316" t="s">
        <v>9753</v>
      </c>
      <c r="Z1316" t="s">
        <v>5414</v>
      </c>
      <c r="AA1316" t="s">
        <v>3006</v>
      </c>
      <c r="AB1316" t="s">
        <v>9754</v>
      </c>
      <c r="AC1316" t="s">
        <v>9755</v>
      </c>
      <c r="AD1316" s="249" t="str">
        <f>HYPERLINK("https://scontent.cdninstagram.com/t51.2885-15/s320x320/e35/20905369_109950349720569_8774130436356964352_n.jpg")</f>
        <v>https://scontent.cdninstagram.com/t51.2885-15/s320x320/e35/20905369_109950349720569_8774130436356964352_n.jpg</v>
      </c>
      <c r="AE1316" s="249" t="str">
        <f>HYPERLINK("https://scontent.cdninstagram.com/t51.2885-19/s150x150/20482666_330708970704858_7693193017422774272_a.jpg")</f>
        <v>https://scontent.cdninstagram.com/t51.2885-19/s150x150/20482666_330708970704858_7693193017422774272_a.jpg</v>
      </c>
    </row>
    <row r="1317" spans="1:31" ht="15" x14ac:dyDescent="0.25">
      <c r="A1317" t="s">
        <v>2474</v>
      </c>
      <c r="B1317" t="s">
        <v>9756</v>
      </c>
      <c r="C1317" s="221">
        <v>42964.726018518515</v>
      </c>
      <c r="D1317" t="s">
        <v>9757</v>
      </c>
      <c r="E1317" s="249" t="str">
        <f>HYPERLINK("https://www.instagram.com/p/BX6PA9BlRHW/")</f>
        <v>https://www.instagram.com/p/BX6PA9BlRHW/</v>
      </c>
      <c r="F1317" t="s">
        <v>9758</v>
      </c>
      <c r="G1317" t="s">
        <v>2478</v>
      </c>
      <c r="H1317">
        <v>55</v>
      </c>
      <c r="I1317" t="s">
        <v>2542</v>
      </c>
      <c r="J1317">
        <v>2</v>
      </c>
      <c r="K1317">
        <v>31</v>
      </c>
      <c r="L1317">
        <v>33</v>
      </c>
      <c r="Q1317">
        <v>0</v>
      </c>
      <c r="R1317">
        <v>0</v>
      </c>
      <c r="S1317">
        <v>33</v>
      </c>
      <c r="T1317" t="s">
        <v>9759</v>
      </c>
      <c r="V1317" t="s">
        <v>2177</v>
      </c>
      <c r="W1317">
        <v>-8.6461956811819007</v>
      </c>
      <c r="X1317">
        <v>115.1806640625</v>
      </c>
      <c r="Y1317" t="s">
        <v>9760</v>
      </c>
      <c r="Z1317" t="s">
        <v>2696</v>
      </c>
      <c r="AA1317" t="s">
        <v>9761</v>
      </c>
      <c r="AB1317" t="s">
        <v>5006</v>
      </c>
      <c r="AC1317" t="s">
        <v>9762</v>
      </c>
      <c r="AD1317" s="249" t="str">
        <f>HYPERLINK("https://scontent.cdninstagram.com/t51.2885-15/s320x320/e35/c141.0.798.798/20969304_1626346230720458_8149165020651978752_n.jpg")</f>
        <v>https://scontent.cdninstagram.com/t51.2885-15/s320x320/e35/c141.0.798.798/20969304_1626346230720458_8149165020651978752_n.jpg</v>
      </c>
      <c r="AE1317" s="249" t="str">
        <f>HYPERLINK("https://scontent.cdninstagram.com/t51.2885-19/s150x150/18161665_299430943814955_114544810689298432_a.jpg")</f>
        <v>https://scontent.cdninstagram.com/t51.2885-19/s150x150/18161665_299430943814955_114544810689298432_a.jpg</v>
      </c>
    </row>
    <row r="1318" spans="1:31" ht="15" x14ac:dyDescent="0.25">
      <c r="A1318" t="s">
        <v>2474</v>
      </c>
      <c r="B1318" t="s">
        <v>9763</v>
      </c>
      <c r="C1318" s="221">
        <v>42964.732256944444</v>
      </c>
      <c r="D1318" t="s">
        <v>9764</v>
      </c>
      <c r="E1318" s="249" t="str">
        <f>HYPERLINK("https://www.instagram.com/p/BX6QCvVF-_j/")</f>
        <v>https://www.instagram.com/p/BX6QCvVF-_j/</v>
      </c>
      <c r="F1318" t="s">
        <v>9765</v>
      </c>
      <c r="G1318" t="s">
        <v>2478</v>
      </c>
      <c r="H1318">
        <v>3836</v>
      </c>
      <c r="I1318" t="s">
        <v>2479</v>
      </c>
      <c r="J1318">
        <v>0</v>
      </c>
      <c r="K1318">
        <v>38</v>
      </c>
      <c r="L1318">
        <v>38</v>
      </c>
      <c r="Q1318">
        <v>0</v>
      </c>
      <c r="R1318">
        <v>0</v>
      </c>
      <c r="S1318">
        <v>38</v>
      </c>
      <c r="Y1318" t="s">
        <v>5989</v>
      </c>
      <c r="Z1318" t="s">
        <v>9766</v>
      </c>
      <c r="AA1318" t="s">
        <v>5521</v>
      </c>
      <c r="AB1318" t="s">
        <v>2492</v>
      </c>
      <c r="AC1318" t="s">
        <v>3277</v>
      </c>
      <c r="AD1318" s="249" t="str">
        <f>HYPERLINK("https://scontent.cdninstagram.com/t51.2885-15/s320x320/e35/20902149_106817846713297_999302722136047616_n.jpg")</f>
        <v>https://scontent.cdninstagram.com/t51.2885-15/s320x320/e35/20902149_106817846713297_999302722136047616_n.jpg</v>
      </c>
      <c r="AE1318" s="249" t="str">
        <f>HYPERLINK("https://scontent.cdninstagram.com/t51.2885-19/s150x150/20589766_1690084424632944_7116604988058501120_a.jpg")</f>
        <v>https://scontent.cdninstagram.com/t51.2885-19/s150x150/20589766_1690084424632944_7116604988058501120_a.jpg</v>
      </c>
    </row>
    <row r="1319" spans="1:31" ht="15" x14ac:dyDescent="0.25">
      <c r="A1319" t="s">
        <v>2474</v>
      </c>
      <c r="B1319" t="s">
        <v>9767</v>
      </c>
      <c r="C1319" s="221">
        <v>42964.73238425926</v>
      </c>
      <c r="D1319" t="s">
        <v>9768</v>
      </c>
      <c r="E1319" s="249" t="str">
        <f>HYPERLINK("https://www.instagram.com/p/BX6QEIUl1HM/")</f>
        <v>https://www.instagram.com/p/BX6QEIUl1HM/</v>
      </c>
      <c r="F1319" t="s">
        <v>9769</v>
      </c>
      <c r="G1319" t="s">
        <v>2478</v>
      </c>
      <c r="H1319">
        <v>710</v>
      </c>
      <c r="I1319" t="s">
        <v>2479</v>
      </c>
      <c r="J1319">
        <v>3</v>
      </c>
      <c r="K1319">
        <v>73</v>
      </c>
      <c r="L1319">
        <v>76</v>
      </c>
      <c r="Q1319">
        <v>0</v>
      </c>
      <c r="R1319">
        <v>0</v>
      </c>
      <c r="S1319">
        <v>76</v>
      </c>
      <c r="T1319" t="s">
        <v>9770</v>
      </c>
      <c r="U1319" t="s">
        <v>99</v>
      </c>
      <c r="V1319" t="s">
        <v>2299</v>
      </c>
      <c r="W1319">
        <v>40.862873334547999</v>
      </c>
      <c r="X1319">
        <v>-74.055539709658007</v>
      </c>
      <c r="Y1319" t="s">
        <v>9771</v>
      </c>
      <c r="Z1319" t="s">
        <v>9772</v>
      </c>
      <c r="AA1319" t="s">
        <v>4802</v>
      </c>
      <c r="AB1319" t="s">
        <v>9773</v>
      </c>
      <c r="AC1319" t="s">
        <v>9774</v>
      </c>
      <c r="AD1319" s="249" t="str">
        <f>HYPERLINK("https://scontent.cdninstagram.com/t51.2885-15/s320x320/e35/c0.71.1080.1080/20838650_1277823752346410_4496675667642941440_n.jpg")</f>
        <v>https://scontent.cdninstagram.com/t51.2885-15/s320x320/e35/c0.71.1080.1080/20838650_1277823752346410_4496675667642941440_n.jpg</v>
      </c>
      <c r="AE1319" s="249" t="str">
        <f>HYPERLINK("https://scontent.cdninstagram.com/t51.2885-19/s150x150/20394040_251186038720803_706451485159849984_a.jpg")</f>
        <v>https://scontent.cdninstagram.com/t51.2885-19/s150x150/20394040_251186038720803_706451485159849984_a.jpg</v>
      </c>
    </row>
    <row r="1320" spans="1:31" ht="15" x14ac:dyDescent="0.25">
      <c r="A1320" t="s">
        <v>2474</v>
      </c>
      <c r="B1320" t="s">
        <v>9775</v>
      </c>
      <c r="C1320" s="221">
        <v>42964.738368055558</v>
      </c>
      <c r="D1320" t="s">
        <v>9776</v>
      </c>
      <c r="E1320" s="249" t="str">
        <f>HYPERLINK("https://www.instagram.com/p/BX6RDMaF2Co/")</f>
        <v>https://www.instagram.com/p/BX6RDMaF2Co/</v>
      </c>
      <c r="F1320" t="s">
        <v>9777</v>
      </c>
      <c r="G1320" t="s">
        <v>2478</v>
      </c>
      <c r="H1320">
        <v>418</v>
      </c>
      <c r="I1320" t="s">
        <v>2479</v>
      </c>
      <c r="J1320">
        <v>2</v>
      </c>
      <c r="K1320">
        <v>26</v>
      </c>
      <c r="L1320">
        <v>28</v>
      </c>
      <c r="Q1320">
        <v>0</v>
      </c>
      <c r="R1320">
        <v>0</v>
      </c>
      <c r="S1320">
        <v>28</v>
      </c>
      <c r="Y1320" t="s">
        <v>2497</v>
      </c>
      <c r="AD1320" s="249" t="str">
        <f>HYPERLINK("https://scontent.cdninstagram.com/t51.2885-15/s320x320/e35/20838108_106785180050056_5866952285845716992_n.jpg")</f>
        <v>https://scontent.cdninstagram.com/t51.2885-15/s320x320/e35/20838108_106785180050056_5866952285845716992_n.jpg</v>
      </c>
      <c r="AE1320" s="249" t="str">
        <f>HYPERLINK("https://scontent.cdninstagram.com/t51.2885-19/s150x150/15625267_1195794007200546_3857062824320696320_a.jpg")</f>
        <v>https://scontent.cdninstagram.com/t51.2885-19/s150x150/15625267_1195794007200546_3857062824320696320_a.jpg</v>
      </c>
    </row>
    <row r="1321" spans="1:31" ht="15" x14ac:dyDescent="0.25">
      <c r="A1321" t="s">
        <v>2474</v>
      </c>
      <c r="B1321" t="s">
        <v>9778</v>
      </c>
      <c r="C1321" s="221">
        <v>42964.740601851852</v>
      </c>
      <c r="D1321" t="s">
        <v>9779</v>
      </c>
      <c r="E1321" s="249" t="str">
        <f>HYPERLINK("https://www.instagram.com/p/BX6Ra2GFsG_/")</f>
        <v>https://www.instagram.com/p/BX6Ra2GFsG_/</v>
      </c>
      <c r="F1321" t="s">
        <v>9780</v>
      </c>
      <c r="G1321" t="s">
        <v>2478</v>
      </c>
      <c r="H1321">
        <v>842</v>
      </c>
      <c r="I1321" t="s">
        <v>2479</v>
      </c>
      <c r="J1321">
        <v>6</v>
      </c>
      <c r="K1321">
        <v>66</v>
      </c>
      <c r="L1321">
        <v>72</v>
      </c>
      <c r="Q1321">
        <v>0</v>
      </c>
      <c r="R1321">
        <v>0</v>
      </c>
      <c r="S1321">
        <v>72</v>
      </c>
      <c r="Y1321" t="s">
        <v>7374</v>
      </c>
      <c r="Z1321" t="s">
        <v>4987</v>
      </c>
      <c r="AA1321" t="s">
        <v>9781</v>
      </c>
      <c r="AB1321" t="s">
        <v>9782</v>
      </c>
      <c r="AC1321" t="s">
        <v>2497</v>
      </c>
      <c r="AD1321" s="249" t="str">
        <f>HYPERLINK("https://scontent.cdninstagram.com/t51.2885-15/s320x320/e35/20837206_701980840010896_7782662791130775552_n.jpg")</f>
        <v>https://scontent.cdninstagram.com/t51.2885-15/s320x320/e35/20837206_701980840010896_7782662791130775552_n.jpg</v>
      </c>
      <c r="AE1321" s="249" t="str">
        <f>HYPERLINK("https://scontent.cdninstagram.com/t51.2885-19/s150x150/20687894_1439734502748568_1897673888909754368_a.jpg")</f>
        <v>https://scontent.cdninstagram.com/t51.2885-19/s150x150/20687894_1439734502748568_1897673888909754368_a.jpg</v>
      </c>
    </row>
    <row r="1322" spans="1:31" ht="15" x14ac:dyDescent="0.25">
      <c r="A1322" t="s">
        <v>2474</v>
      </c>
      <c r="B1322" t="s">
        <v>9783</v>
      </c>
      <c r="C1322" s="221">
        <v>42964.740706018521</v>
      </c>
      <c r="D1322" t="s">
        <v>9784</v>
      </c>
      <c r="E1322" s="249" t="str">
        <f>HYPERLINK("https://www.instagram.com/p/BX6Rb5iDztn/")</f>
        <v>https://www.instagram.com/p/BX6Rb5iDztn/</v>
      </c>
      <c r="F1322" t="s">
        <v>9785</v>
      </c>
      <c r="G1322" t="s">
        <v>2478</v>
      </c>
      <c r="H1322">
        <v>171</v>
      </c>
      <c r="I1322" t="s">
        <v>2479</v>
      </c>
      <c r="J1322">
        <v>3</v>
      </c>
      <c r="K1322">
        <v>12</v>
      </c>
      <c r="L1322">
        <v>15</v>
      </c>
      <c r="Q1322">
        <v>0</v>
      </c>
      <c r="R1322">
        <v>0</v>
      </c>
      <c r="S1322">
        <v>15</v>
      </c>
      <c r="Y1322" t="s">
        <v>5728</v>
      </c>
      <c r="Z1322" t="s">
        <v>9786</v>
      </c>
      <c r="AA1322" t="s">
        <v>9787</v>
      </c>
      <c r="AB1322" t="s">
        <v>9788</v>
      </c>
      <c r="AC1322" t="s">
        <v>4826</v>
      </c>
      <c r="AD1322" s="249" t="str">
        <f>HYPERLINK("https://scontent.cdninstagram.com/t51.2885-15/s320x320/e35/20838385_277200972761709_6103329534717722624_n.jpg")</f>
        <v>https://scontent.cdninstagram.com/t51.2885-15/s320x320/e35/20838385_277200972761709_6103329534717722624_n.jpg</v>
      </c>
      <c r="AE1322" s="249" t="str">
        <f>HYPERLINK("https://scontent.cdninstagram.com/t51.2885-19/s150x150/17819311_304880783277204_2171972383290687488_a.jpg")</f>
        <v>https://scontent.cdninstagram.com/t51.2885-19/s150x150/17819311_304880783277204_2171972383290687488_a.jpg</v>
      </c>
    </row>
    <row r="1323" spans="1:31" ht="15" x14ac:dyDescent="0.25">
      <c r="A1323" t="s">
        <v>2474</v>
      </c>
      <c r="B1323" t="s">
        <v>2588</v>
      </c>
      <c r="C1323" s="221">
        <v>42964.745405092595</v>
      </c>
      <c r="D1323" t="s">
        <v>9789</v>
      </c>
      <c r="E1323" s="249" t="str">
        <f>HYPERLINK("https://www.instagram.com/p/BX6SNbUgzI_/")</f>
        <v>https://www.instagram.com/p/BX6SNbUgzI_/</v>
      </c>
      <c r="F1323" t="s">
        <v>9790</v>
      </c>
      <c r="G1323" t="s">
        <v>2478</v>
      </c>
      <c r="H1323">
        <v>309</v>
      </c>
      <c r="I1323" t="s">
        <v>2479</v>
      </c>
      <c r="J1323">
        <v>17</v>
      </c>
      <c r="K1323">
        <v>962</v>
      </c>
      <c r="L1323">
        <v>979</v>
      </c>
      <c r="Q1323">
        <v>0</v>
      </c>
      <c r="R1323">
        <v>0</v>
      </c>
      <c r="S1323">
        <v>979</v>
      </c>
      <c r="Y1323" t="s">
        <v>2588</v>
      </c>
      <c r="AD1323" s="249" t="str">
        <f>HYPERLINK("https://scontent.cdninstagram.com/t51.2885-15/s320x320/e35/c92.0.455.455/20838526_117993638859763_8543101233517297664_n.jpg")</f>
        <v>https://scontent.cdninstagram.com/t51.2885-15/s320x320/e35/c92.0.455.455/20838526_117993638859763_8543101233517297664_n.jpg</v>
      </c>
      <c r="AE1323" s="249" t="str">
        <f>HYPERLINK("https://scontent.cdninstagram.com/t51.2885-19/s150x150/20633561_108840983138666_5897549723056734208_a.jpg")</f>
        <v>https://scontent.cdninstagram.com/t51.2885-19/s150x150/20633561_108840983138666_5897549723056734208_a.jpg</v>
      </c>
    </row>
    <row r="1324" spans="1:31" ht="15" x14ac:dyDescent="0.25">
      <c r="A1324" t="s">
        <v>2474</v>
      </c>
      <c r="B1324" t="s">
        <v>9791</v>
      </c>
      <c r="C1324" s="221">
        <v>42964.754120370373</v>
      </c>
      <c r="D1324" t="s">
        <v>9792</v>
      </c>
      <c r="E1324" s="249" t="str">
        <f>HYPERLINK("https://www.instagram.com/p/BX6TpT1B55F/")</f>
        <v>https://www.instagram.com/p/BX6TpT1B55F/</v>
      </c>
      <c r="F1324" t="s">
        <v>9793</v>
      </c>
      <c r="G1324" t="s">
        <v>2478</v>
      </c>
      <c r="H1324">
        <v>483</v>
      </c>
      <c r="I1324" t="s">
        <v>2519</v>
      </c>
      <c r="J1324">
        <v>4</v>
      </c>
      <c r="K1324">
        <v>23</v>
      </c>
      <c r="L1324">
        <v>27</v>
      </c>
      <c r="Q1324">
        <v>0</v>
      </c>
      <c r="R1324">
        <v>0</v>
      </c>
      <c r="S1324">
        <v>27</v>
      </c>
      <c r="Y1324" t="s">
        <v>9794</v>
      </c>
      <c r="Z1324" t="s">
        <v>3813</v>
      </c>
      <c r="AA1324" t="s">
        <v>9795</v>
      </c>
      <c r="AB1324" t="s">
        <v>2497</v>
      </c>
      <c r="AC1324" t="s">
        <v>4154</v>
      </c>
      <c r="AD1324" s="249" t="str">
        <f>HYPERLINK("https://scontent.cdninstagram.com/t51.2885-15/s320x320/e35/c0.117.937.937/20902093_1410678345722311_1697491364528259072_n.jpg")</f>
        <v>https://scontent.cdninstagram.com/t51.2885-15/s320x320/e35/c0.117.937.937/20902093_1410678345722311_1697491364528259072_n.jpg</v>
      </c>
      <c r="AE1324" s="249" t="str">
        <f>HYPERLINK("https://scontent.cdninstagram.com/t51.2885-19/s150x150/19624838_2005203439703433_6052938238211915776_a.jpg")</f>
        <v>https://scontent.cdninstagram.com/t51.2885-19/s150x150/19624838_2005203439703433_6052938238211915776_a.jpg</v>
      </c>
    </row>
    <row r="1325" spans="1:31" ht="15" x14ac:dyDescent="0.25">
      <c r="A1325" t="s">
        <v>2474</v>
      </c>
      <c r="B1325" t="s">
        <v>4941</v>
      </c>
      <c r="C1325" s="221">
        <v>42964.758761574078</v>
      </c>
      <c r="D1325" t="s">
        <v>9796</v>
      </c>
      <c r="E1325" s="249" t="str">
        <f>HYPERLINK("https://www.instagram.com/p/BX6UaWZhpl8/")</f>
        <v>https://www.instagram.com/p/BX6UaWZhpl8/</v>
      </c>
      <c r="F1325" t="s">
        <v>9797</v>
      </c>
      <c r="G1325" t="s">
        <v>2478</v>
      </c>
      <c r="H1325">
        <v>41276</v>
      </c>
      <c r="I1325" t="s">
        <v>2479</v>
      </c>
      <c r="J1325">
        <v>19</v>
      </c>
      <c r="K1325">
        <v>919</v>
      </c>
      <c r="L1325">
        <v>938</v>
      </c>
      <c r="Q1325">
        <v>0</v>
      </c>
      <c r="R1325">
        <v>0</v>
      </c>
      <c r="S1325">
        <v>938</v>
      </c>
      <c r="Y1325" t="s">
        <v>6824</v>
      </c>
      <c r="Z1325" t="s">
        <v>7217</v>
      </c>
      <c r="AA1325" t="s">
        <v>9798</v>
      </c>
      <c r="AB1325" t="s">
        <v>6449</v>
      </c>
      <c r="AC1325" t="s">
        <v>6809</v>
      </c>
      <c r="AD1325" s="249" t="str">
        <f>HYPERLINK("https://scontent.cdninstagram.com/t51.2885-15/s320x320/e35/c0.134.1080.1080/20838139_244418512735204_6629552793294209024_n.jpg")</f>
        <v>https://scontent.cdninstagram.com/t51.2885-15/s320x320/e35/c0.134.1080.1080/20838139_244418512735204_6629552793294209024_n.jpg</v>
      </c>
      <c r="AE1325" s="249" t="str">
        <f>HYPERLINK("https://scontent.cdninstagram.com/t51.2885-19/14624229_1857850484502104_5357040355281731584_a.jpg")</f>
        <v>https://scontent.cdninstagram.com/t51.2885-19/14624229_1857850484502104_5357040355281731584_a.jpg</v>
      </c>
    </row>
    <row r="1326" spans="1:31" ht="15" x14ac:dyDescent="0.25">
      <c r="A1326" t="s">
        <v>2474</v>
      </c>
      <c r="B1326" t="s">
        <v>9799</v>
      </c>
      <c r="C1326" s="221">
        <v>42964.759432870371</v>
      </c>
      <c r="D1326" t="s">
        <v>9800</v>
      </c>
      <c r="E1326" s="249" t="str">
        <f>HYPERLINK("https://www.instagram.com/p/BX6UhV7DF7t/")</f>
        <v>https://www.instagram.com/p/BX6UhV7DF7t/</v>
      </c>
      <c r="F1326" t="s">
        <v>9801</v>
      </c>
      <c r="G1326" t="s">
        <v>2478</v>
      </c>
      <c r="H1326">
        <v>122</v>
      </c>
      <c r="I1326" t="s">
        <v>2479</v>
      </c>
      <c r="J1326">
        <v>4</v>
      </c>
      <c r="K1326">
        <v>106</v>
      </c>
      <c r="L1326">
        <v>110</v>
      </c>
      <c r="Q1326">
        <v>0</v>
      </c>
      <c r="R1326">
        <v>0</v>
      </c>
      <c r="S1326">
        <v>110</v>
      </c>
      <c r="T1326" t="s">
        <v>9802</v>
      </c>
      <c r="V1326" t="s">
        <v>2230</v>
      </c>
      <c r="W1326">
        <v>60.073055555556003</v>
      </c>
      <c r="X1326">
        <v>10.872222222222</v>
      </c>
      <c r="Y1326" t="s">
        <v>9803</v>
      </c>
      <c r="Z1326" t="s">
        <v>9804</v>
      </c>
      <c r="AA1326" t="s">
        <v>7547</v>
      </c>
      <c r="AB1326" t="s">
        <v>9805</v>
      </c>
      <c r="AC1326" t="s">
        <v>9806</v>
      </c>
      <c r="AD1326" s="249" t="str">
        <f>HYPERLINK("https://scontent.cdninstagram.com/t51.2885-15/s320x320/e35/20837331_287229695018146_1045845040749871104_n.jpg")</f>
        <v>https://scontent.cdninstagram.com/t51.2885-15/s320x320/e35/20837331_287229695018146_1045845040749871104_n.jpg</v>
      </c>
      <c r="AE1326" s="249" t="str">
        <f>HYPERLINK("https://scontent.cdninstagram.com/t51.2885-19/s150x150/20987414_355295844901159_1824636630011478016_a.jpg")</f>
        <v>https://scontent.cdninstagram.com/t51.2885-19/s150x150/20987414_355295844901159_1824636630011478016_a.jpg</v>
      </c>
    </row>
    <row r="1327" spans="1:31" ht="15" x14ac:dyDescent="0.25">
      <c r="A1327" t="s">
        <v>2474</v>
      </c>
      <c r="B1327" t="s">
        <v>9807</v>
      </c>
      <c r="C1327" s="221">
        <v>42964.765717592592</v>
      </c>
      <c r="D1327" t="s">
        <v>9808</v>
      </c>
      <c r="E1327" s="249" t="str">
        <f>HYPERLINK("https://www.instagram.com/p/BX6VjsljC3Q/")</f>
        <v>https://www.instagram.com/p/BX6VjsljC3Q/</v>
      </c>
      <c r="F1327" t="s">
        <v>9809</v>
      </c>
      <c r="G1327" t="s">
        <v>2478</v>
      </c>
      <c r="H1327">
        <v>58</v>
      </c>
      <c r="I1327" t="s">
        <v>3273</v>
      </c>
      <c r="J1327">
        <v>0</v>
      </c>
      <c r="K1327">
        <v>11</v>
      </c>
      <c r="L1327">
        <v>11</v>
      </c>
      <c r="Q1327">
        <v>0</v>
      </c>
      <c r="R1327">
        <v>0</v>
      </c>
      <c r="S1327">
        <v>11</v>
      </c>
      <c r="Y1327" t="s">
        <v>9810</v>
      </c>
      <c r="Z1327" t="s">
        <v>9811</v>
      </c>
      <c r="AA1327" t="s">
        <v>9812</v>
      </c>
      <c r="AB1327" t="s">
        <v>2741</v>
      </c>
      <c r="AC1327" t="s">
        <v>9813</v>
      </c>
      <c r="AD1327" s="249" t="str">
        <f>HYPERLINK("https://scontent.cdninstagram.com/t51.2885-15/s320x320/e35/c0.112.900.900/20837542_313706272424472_8996177114529005568_n.jpg")</f>
        <v>https://scontent.cdninstagram.com/t51.2885-15/s320x320/e35/c0.112.900.900/20837542_313706272424472_8996177114529005568_n.jpg</v>
      </c>
      <c r="AE1327" s="249" t="str">
        <f>HYPERLINK("https://scontent.cdninstagram.com/t51.2885-19/s150x150/19228835_158292771380699_8501274346612850688_a.jpg")</f>
        <v>https://scontent.cdninstagram.com/t51.2885-19/s150x150/19228835_158292771380699_8501274346612850688_a.jpg</v>
      </c>
    </row>
    <row r="1328" spans="1:31" ht="15" x14ac:dyDescent="0.25">
      <c r="A1328" t="s">
        <v>2474</v>
      </c>
      <c r="B1328" t="s">
        <v>9814</v>
      </c>
      <c r="C1328" s="221">
        <v>42964.768738425926</v>
      </c>
      <c r="D1328" t="s">
        <v>9815</v>
      </c>
      <c r="E1328" s="249" t="str">
        <f>HYPERLINK("https://www.instagram.com/p/BX6WDkkBo54/")</f>
        <v>https://www.instagram.com/p/BX6WDkkBo54/</v>
      </c>
      <c r="F1328" t="s">
        <v>9816</v>
      </c>
      <c r="G1328" t="s">
        <v>2488</v>
      </c>
      <c r="H1328">
        <v>1256</v>
      </c>
      <c r="I1328" t="s">
        <v>2479</v>
      </c>
      <c r="J1328">
        <v>4</v>
      </c>
      <c r="K1328">
        <v>94</v>
      </c>
      <c r="L1328">
        <v>98</v>
      </c>
      <c r="Q1328">
        <v>0</v>
      </c>
      <c r="R1328">
        <v>0</v>
      </c>
      <c r="S1328">
        <v>98</v>
      </c>
      <c r="Y1328" t="s">
        <v>2696</v>
      </c>
      <c r="Z1328" t="s">
        <v>9817</v>
      </c>
      <c r="AA1328" t="s">
        <v>9818</v>
      </c>
      <c r="AB1328" t="s">
        <v>2492</v>
      </c>
      <c r="AC1328" t="s">
        <v>2544</v>
      </c>
      <c r="AD1328" s="249" t="str">
        <f>HYPERLINK("https://scontent.cdninstagram.com/t51.2885-15/s320x320/e35/20902030_1940533156204594_2453054404853497856_n.jpg")</f>
        <v>https://scontent.cdninstagram.com/t51.2885-15/s320x320/e35/20902030_1940533156204594_2453054404853497856_n.jpg</v>
      </c>
      <c r="AE1328" s="249" t="str">
        <f>HYPERLINK("https://scontent.cdninstagram.com/t51.2885-19/s150x150/20968905_112389022795304_534443705721946112_a.jpg")</f>
        <v>https://scontent.cdninstagram.com/t51.2885-19/s150x150/20968905_112389022795304_534443705721946112_a.jpg</v>
      </c>
    </row>
    <row r="1329" spans="1:31" ht="15" x14ac:dyDescent="0.25">
      <c r="A1329" t="s">
        <v>2474</v>
      </c>
      <c r="B1329" t="s">
        <v>9819</v>
      </c>
      <c r="C1329" s="221">
        <v>42964.772499999999</v>
      </c>
      <c r="D1329" t="s">
        <v>9820</v>
      </c>
      <c r="E1329" s="249" t="str">
        <f>HYPERLINK("https://www.instagram.com/p/BX6WrLhlIfi/")</f>
        <v>https://www.instagram.com/p/BX6WrLhlIfi/</v>
      </c>
      <c r="F1329" t="s">
        <v>9821</v>
      </c>
      <c r="G1329" t="s">
        <v>2478</v>
      </c>
      <c r="H1329">
        <v>579</v>
      </c>
      <c r="I1329" t="s">
        <v>2542</v>
      </c>
      <c r="J1329">
        <v>1</v>
      </c>
      <c r="K1329">
        <v>14</v>
      </c>
      <c r="L1329">
        <v>15</v>
      </c>
      <c r="Q1329">
        <v>0</v>
      </c>
      <c r="R1329">
        <v>0</v>
      </c>
      <c r="S1329">
        <v>15</v>
      </c>
      <c r="Y1329" t="s">
        <v>2497</v>
      </c>
      <c r="Z1329" t="s">
        <v>9108</v>
      </c>
      <c r="AA1329" t="s">
        <v>3706</v>
      </c>
      <c r="AB1329" t="s">
        <v>9822</v>
      </c>
      <c r="AC1329" t="s">
        <v>3157</v>
      </c>
      <c r="AD1329" s="249" t="str">
        <f>HYPERLINK("https://scontent.cdninstagram.com/t51.2885-15/s320x320/e35/20986611_328765360908161_3077728991143002112_n.jpg")</f>
        <v>https://scontent.cdninstagram.com/t51.2885-15/s320x320/e35/20986611_328765360908161_3077728991143002112_n.jpg</v>
      </c>
      <c r="AE1329" s="249" t="str">
        <f>HYPERLINK("https://scontent.cdninstagram.com/t51.2885-19/11355057_865863676840165_1934123932_a.jpg")</f>
        <v>https://scontent.cdninstagram.com/t51.2885-19/11355057_865863676840165_1934123932_a.jpg</v>
      </c>
    </row>
    <row r="1330" spans="1:31" ht="15" x14ac:dyDescent="0.25">
      <c r="A1330" t="s">
        <v>2474</v>
      </c>
      <c r="B1330" t="s">
        <v>9823</v>
      </c>
      <c r="C1330" s="221">
        <v>42964.772650462961</v>
      </c>
      <c r="D1330" t="s">
        <v>9824</v>
      </c>
      <c r="E1330" s="249" t="str">
        <f>HYPERLINK("https://www.instagram.com/p/BX6Ws11AGJp/")</f>
        <v>https://www.instagram.com/p/BX6Ws11AGJp/</v>
      </c>
      <c r="F1330" t="s">
        <v>9825</v>
      </c>
      <c r="G1330" t="s">
        <v>2478</v>
      </c>
      <c r="H1330">
        <v>670</v>
      </c>
      <c r="I1330" t="s">
        <v>2510</v>
      </c>
      <c r="J1330">
        <v>8</v>
      </c>
      <c r="K1330">
        <v>61</v>
      </c>
      <c r="L1330">
        <v>69</v>
      </c>
      <c r="Q1330">
        <v>0</v>
      </c>
      <c r="R1330">
        <v>0</v>
      </c>
      <c r="S1330">
        <v>69</v>
      </c>
      <c r="Y1330" t="s">
        <v>9826</v>
      </c>
      <c r="Z1330" t="s">
        <v>2906</v>
      </c>
      <c r="AA1330" t="s">
        <v>2497</v>
      </c>
      <c r="AB1330" t="s">
        <v>3662</v>
      </c>
      <c r="AD1330" s="249" t="str">
        <f>HYPERLINK("https://scontent.cdninstagram.com/t51.2885-15/s320x320/e35/c0.54.1080.1080/20901939_318876308523410_3300551941704122368_n.jpg")</f>
        <v>https://scontent.cdninstagram.com/t51.2885-15/s320x320/e35/c0.54.1080.1080/20901939_318876308523410_3300551941704122368_n.jpg</v>
      </c>
      <c r="AE1330" s="249" t="str">
        <f>HYPERLINK("https://scontent.cdninstagram.com/t51.2885-19/s150x150/20589575_477021202670898_6056020847909404672_a.jpg")</f>
        <v>https://scontent.cdninstagram.com/t51.2885-19/s150x150/20589575_477021202670898_6056020847909404672_a.jpg</v>
      </c>
    </row>
    <row r="1331" spans="1:31" ht="15" x14ac:dyDescent="0.25">
      <c r="A1331" t="s">
        <v>2474</v>
      </c>
      <c r="B1331" t="s">
        <v>9827</v>
      </c>
      <c r="C1331" s="221">
        <v>42964.780844907407</v>
      </c>
      <c r="D1331" t="s">
        <v>9828</v>
      </c>
      <c r="E1331" s="249" t="str">
        <f>HYPERLINK("https://www.instagram.com/p/BX6YDRRB_L9/")</f>
        <v>https://www.instagram.com/p/BX6YDRRB_L9/</v>
      </c>
      <c r="F1331" t="s">
        <v>9829</v>
      </c>
      <c r="G1331" t="s">
        <v>2478</v>
      </c>
      <c r="H1331">
        <v>533</v>
      </c>
      <c r="I1331" t="s">
        <v>2479</v>
      </c>
      <c r="J1331">
        <v>0</v>
      </c>
      <c r="K1331">
        <v>11</v>
      </c>
      <c r="L1331">
        <v>11</v>
      </c>
      <c r="Q1331">
        <v>0</v>
      </c>
      <c r="R1331">
        <v>0</v>
      </c>
      <c r="S1331">
        <v>11</v>
      </c>
      <c r="Y1331" t="s">
        <v>5787</v>
      </c>
      <c r="Z1331" t="s">
        <v>4253</v>
      </c>
      <c r="AA1331" t="s">
        <v>9830</v>
      </c>
      <c r="AB1331" t="s">
        <v>9831</v>
      </c>
      <c r="AC1331" t="s">
        <v>9832</v>
      </c>
      <c r="AD1331" s="249" t="str">
        <f>HYPERLINK("https://scontent.cdninstagram.com/t51.2885-15/s320x320/e35/c0.135.1080.1080/20837497_445766679156436_6961695791253553152_n.jpg")</f>
        <v>https://scontent.cdninstagram.com/t51.2885-15/s320x320/e35/c0.135.1080.1080/20837497_445766679156436_6961695791253553152_n.jpg</v>
      </c>
      <c r="AE1331" s="249" t="str">
        <f>HYPERLINK("https://scontent.cdninstagram.com/t51.2885-19/s150x150/10401683_768992196535522_394515664_a.jpg")</f>
        <v>https://scontent.cdninstagram.com/t51.2885-19/s150x150/10401683_768992196535522_394515664_a.jpg</v>
      </c>
    </row>
    <row r="1332" spans="1:31" ht="15" x14ac:dyDescent="0.25">
      <c r="A1332" t="s">
        <v>2474</v>
      </c>
      <c r="B1332" t="s">
        <v>7844</v>
      </c>
      <c r="C1332" s="221">
        <v>42964.783877314818</v>
      </c>
      <c r="D1332" t="s">
        <v>9833</v>
      </c>
      <c r="E1332" s="249" t="str">
        <f>HYPERLINK("https://www.instagram.com/p/BX6YjLnBWZj/")</f>
        <v>https://www.instagram.com/p/BX6YjLnBWZj/</v>
      </c>
      <c r="F1332" t="s">
        <v>9834</v>
      </c>
      <c r="G1332" t="s">
        <v>2478</v>
      </c>
      <c r="H1332">
        <v>425</v>
      </c>
      <c r="I1332" t="s">
        <v>2479</v>
      </c>
      <c r="J1332">
        <v>1</v>
      </c>
      <c r="K1332">
        <v>44</v>
      </c>
      <c r="L1332">
        <v>45</v>
      </c>
      <c r="Q1332">
        <v>0</v>
      </c>
      <c r="R1332">
        <v>0</v>
      </c>
      <c r="S1332">
        <v>45</v>
      </c>
      <c r="Y1332" t="s">
        <v>2696</v>
      </c>
      <c r="Z1332" t="s">
        <v>9835</v>
      </c>
      <c r="AA1332" t="s">
        <v>4388</v>
      </c>
      <c r="AB1332" t="s">
        <v>9836</v>
      </c>
      <c r="AC1332" t="s">
        <v>3174</v>
      </c>
      <c r="AD1332" s="249" t="str">
        <f>HYPERLINK("https://scontent.cdninstagram.com/t51.2885-15/s320x320/e35/c0.117.937.937/20838143_266249253781228_7745602269952868352_n.jpg")</f>
        <v>https://scontent.cdninstagram.com/t51.2885-15/s320x320/e35/c0.117.937.937/20838143_266249253781228_7745602269952868352_n.jpg</v>
      </c>
      <c r="AE1332" s="249" t="str">
        <f>HYPERLINK("https://scontent.cdninstagram.com/t51.2885-19/s150x150/14659433_124185214720398_460441517996113920_a.jpg")</f>
        <v>https://scontent.cdninstagram.com/t51.2885-19/s150x150/14659433_124185214720398_460441517996113920_a.jpg</v>
      </c>
    </row>
    <row r="1333" spans="1:31" ht="15" x14ac:dyDescent="0.25">
      <c r="A1333" t="s">
        <v>2474</v>
      </c>
      <c r="B1333" t="s">
        <v>9837</v>
      </c>
      <c r="C1333" s="221">
        <v>42964.793495370373</v>
      </c>
      <c r="D1333" t="s">
        <v>9838</v>
      </c>
      <c r="E1333" s="249" t="str">
        <f>HYPERLINK("https://www.instagram.com/p/BX6aIqrhIFd/")</f>
        <v>https://www.instagram.com/p/BX6aIqrhIFd/</v>
      </c>
      <c r="F1333" t="s">
        <v>9839</v>
      </c>
      <c r="G1333" t="s">
        <v>2478</v>
      </c>
      <c r="H1333">
        <v>311</v>
      </c>
      <c r="I1333" t="s">
        <v>2479</v>
      </c>
      <c r="J1333">
        <v>3</v>
      </c>
      <c r="K1333">
        <v>59</v>
      </c>
      <c r="L1333">
        <v>62</v>
      </c>
      <c r="Q1333">
        <v>0</v>
      </c>
      <c r="R1333">
        <v>0</v>
      </c>
      <c r="S1333">
        <v>62</v>
      </c>
      <c r="T1333" t="s">
        <v>9840</v>
      </c>
      <c r="U1333" t="s">
        <v>900</v>
      </c>
      <c r="V1333" t="s">
        <v>2299</v>
      </c>
      <c r="W1333">
        <v>40.742820000000002</v>
      </c>
      <c r="X1333">
        <v>-84.116839999999996</v>
      </c>
      <c r="Y1333" t="s">
        <v>2696</v>
      </c>
      <c r="Z1333" t="s">
        <v>2651</v>
      </c>
      <c r="AA1333" t="s">
        <v>4778</v>
      </c>
      <c r="AB1333" t="s">
        <v>3569</v>
      </c>
      <c r="AC1333" t="s">
        <v>9841</v>
      </c>
      <c r="AD1333" s="249" t="str">
        <f>HYPERLINK("https://scontent.cdninstagram.com/t51.2885-15/s320x320/e35/c0.135.1080.1080/20838330_124109188222368_4721414783503433728_n.jpg")</f>
        <v>https://scontent.cdninstagram.com/t51.2885-15/s320x320/e35/c0.135.1080.1080/20838330_124109188222368_4721414783503433728_n.jpg</v>
      </c>
      <c r="AE1333" s="249" t="str">
        <f>HYPERLINK("https://scontent.cdninstagram.com/t51.2885-19/s150x150/19535359_471528146528936_7441168665820528640_a.jpg")</f>
        <v>https://scontent.cdninstagram.com/t51.2885-19/s150x150/19535359_471528146528936_7441168665820528640_a.jpg</v>
      </c>
    </row>
    <row r="1334" spans="1:31" ht="15" x14ac:dyDescent="0.25">
      <c r="A1334" t="s">
        <v>2474</v>
      </c>
      <c r="B1334" t="s">
        <v>9842</v>
      </c>
      <c r="C1334" s="221">
        <v>42964.796956018516</v>
      </c>
      <c r="D1334" t="s">
        <v>9843</v>
      </c>
      <c r="E1334" s="249" t="str">
        <f>HYPERLINK("https://www.instagram.com/p/BX6atM6FWwI/")</f>
        <v>https://www.instagram.com/p/BX6atM6FWwI/</v>
      </c>
      <c r="F1334" t="s">
        <v>9844</v>
      </c>
      <c r="G1334" t="s">
        <v>2478</v>
      </c>
      <c r="I1334" t="s">
        <v>2479</v>
      </c>
      <c r="J1334">
        <v>0</v>
      </c>
      <c r="K1334">
        <v>12</v>
      </c>
      <c r="L1334">
        <v>12</v>
      </c>
      <c r="Q1334">
        <v>0</v>
      </c>
      <c r="R1334">
        <v>0</v>
      </c>
      <c r="S1334">
        <v>12</v>
      </c>
      <c r="Y1334" t="s">
        <v>2696</v>
      </c>
      <c r="Z1334" t="s">
        <v>5629</v>
      </c>
      <c r="AA1334" t="s">
        <v>2497</v>
      </c>
      <c r="AB1334" t="s">
        <v>2554</v>
      </c>
      <c r="AD1334" s="249" t="str">
        <f>HYPERLINK("https://scontent.cdninstagram.com/t51.2885-15/s320x320/e35/20837551_1519228928097424_1386398061416153088_n.jpg")</f>
        <v>https://scontent.cdninstagram.com/t51.2885-15/s320x320/e35/20837551_1519228928097424_1386398061416153088_n.jpg</v>
      </c>
      <c r="AE1334" s="249" t="str">
        <f>HYPERLINK("https://scontent.cdninstagram.com/t51.2885-19/s150x150/20902402_110661642979958_6519441926452674560_a.jpg")</f>
        <v>https://scontent.cdninstagram.com/t51.2885-19/s150x150/20902402_110661642979958_6519441926452674560_a.jpg</v>
      </c>
    </row>
    <row r="1335" spans="1:31" ht="15" x14ac:dyDescent="0.25">
      <c r="A1335" t="s">
        <v>2474</v>
      </c>
      <c r="B1335" t="s">
        <v>9845</v>
      </c>
      <c r="C1335" s="221">
        <v>42964.816817129627</v>
      </c>
      <c r="D1335" t="s">
        <v>9846</v>
      </c>
      <c r="E1335" s="249" t="str">
        <f>HYPERLINK("https://www.instagram.com/p/BX6d-rXAkD7/")</f>
        <v>https://www.instagram.com/p/BX6d-rXAkD7/</v>
      </c>
      <c r="F1335" t="s">
        <v>9847</v>
      </c>
      <c r="G1335" t="s">
        <v>2478</v>
      </c>
      <c r="H1335">
        <v>277</v>
      </c>
      <c r="I1335" t="s">
        <v>2479</v>
      </c>
      <c r="J1335">
        <v>0</v>
      </c>
      <c r="K1335">
        <v>20</v>
      </c>
      <c r="L1335">
        <v>20</v>
      </c>
      <c r="Q1335">
        <v>0</v>
      </c>
      <c r="R1335">
        <v>0</v>
      </c>
      <c r="S1335">
        <v>20</v>
      </c>
      <c r="T1335" t="s">
        <v>9848</v>
      </c>
      <c r="U1335" t="s">
        <v>106</v>
      </c>
      <c r="V1335" t="s">
        <v>2299</v>
      </c>
      <c r="W1335">
        <v>26.124354</v>
      </c>
      <c r="X1335">
        <v>-80.249503000000004</v>
      </c>
      <c r="Y1335" t="s">
        <v>9849</v>
      </c>
      <c r="Z1335" t="s">
        <v>2696</v>
      </c>
      <c r="AA1335" t="s">
        <v>4388</v>
      </c>
      <c r="AB1335" t="s">
        <v>5328</v>
      </c>
      <c r="AC1335" t="s">
        <v>9850</v>
      </c>
      <c r="AD1335" s="249" t="str">
        <f>HYPERLINK("https://scontent.cdninstagram.com/t51.2885-15/s320x320/e35/c147.0.706.706/20838432_1920306818186152_6747525271353556992_n.jpg")</f>
        <v>https://scontent.cdninstagram.com/t51.2885-15/s320x320/e35/c147.0.706.706/20838432_1920306818186152_6747525271353556992_n.jpg</v>
      </c>
      <c r="AE1335" s="249" t="str">
        <f>HYPERLINK("https://scontent.cdninstagram.com/t51.2885-19/11311428_871526246228986_1223627963_a.jpg")</f>
        <v>https://scontent.cdninstagram.com/t51.2885-19/11311428_871526246228986_1223627963_a.jpg</v>
      </c>
    </row>
    <row r="1336" spans="1:31" ht="15" x14ac:dyDescent="0.25">
      <c r="A1336" t="s">
        <v>2474</v>
      </c>
      <c r="B1336" t="s">
        <v>9851</v>
      </c>
      <c r="C1336" s="221">
        <v>42964.82476851852</v>
      </c>
      <c r="D1336" t="s">
        <v>9852</v>
      </c>
      <c r="E1336" s="249" t="str">
        <f>HYPERLINK("https://www.instagram.com/p/BX6fSg6D83A/")</f>
        <v>https://www.instagram.com/p/BX6fSg6D83A/</v>
      </c>
      <c r="F1336" t="s">
        <v>9853</v>
      </c>
      <c r="G1336" t="s">
        <v>2478</v>
      </c>
      <c r="H1336">
        <v>188</v>
      </c>
      <c r="I1336" t="s">
        <v>2510</v>
      </c>
      <c r="J1336">
        <v>2</v>
      </c>
      <c r="K1336">
        <v>28</v>
      </c>
      <c r="L1336">
        <v>30</v>
      </c>
      <c r="Q1336">
        <v>0</v>
      </c>
      <c r="R1336">
        <v>0</v>
      </c>
      <c r="S1336">
        <v>30</v>
      </c>
      <c r="Y1336" t="s">
        <v>9854</v>
      </c>
      <c r="Z1336" t="s">
        <v>9855</v>
      </c>
      <c r="AA1336" t="s">
        <v>4778</v>
      </c>
      <c r="AB1336" t="s">
        <v>9856</v>
      </c>
      <c r="AC1336" t="s">
        <v>3195</v>
      </c>
      <c r="AD1336" s="249" t="str">
        <f>HYPERLINK("https://scontent.cdninstagram.com/t51.2885-15/s320x320/e35/20838339_163070217576718_124516809922576384_n.jpg")</f>
        <v>https://scontent.cdninstagram.com/t51.2885-15/s320x320/e35/20838339_163070217576718_124516809922576384_n.jpg</v>
      </c>
      <c r="AE1336" s="249" t="str">
        <f>HYPERLINK("https://scontent.cdninstagram.com/t51.2885-19/s150x150/20589602_368943990191810_4157070052337647616_a.jpg")</f>
        <v>https://scontent.cdninstagram.com/t51.2885-19/s150x150/20589602_368943990191810_4157070052337647616_a.jpg</v>
      </c>
    </row>
    <row r="1337" spans="1:31" ht="15" x14ac:dyDescent="0.25">
      <c r="A1337" t="s">
        <v>2474</v>
      </c>
      <c r="B1337" t="s">
        <v>8408</v>
      </c>
      <c r="C1337" s="221">
        <v>42964.825844907406</v>
      </c>
      <c r="D1337" t="s">
        <v>9857</v>
      </c>
      <c r="E1337" s="249" t="str">
        <f>HYPERLINK("https://www.instagram.com/p/BX6fd2rAkbm/")</f>
        <v>https://www.instagram.com/p/BX6fd2rAkbm/</v>
      </c>
      <c r="F1337" t="s">
        <v>9858</v>
      </c>
      <c r="G1337" t="s">
        <v>2478</v>
      </c>
      <c r="H1337">
        <v>28755</v>
      </c>
      <c r="I1337" t="s">
        <v>2479</v>
      </c>
      <c r="J1337">
        <v>7</v>
      </c>
      <c r="K1337">
        <v>605</v>
      </c>
      <c r="L1337">
        <v>612</v>
      </c>
      <c r="Q1337">
        <v>0</v>
      </c>
      <c r="R1337">
        <v>0</v>
      </c>
      <c r="S1337">
        <v>612</v>
      </c>
      <c r="AD1337" s="249" t="str">
        <f>HYPERLINK("https://scontent.cdninstagram.com/t51.2885-15/s320x320/e35/20902251_337646880021863_7858795020642418688_n.jpg")</f>
        <v>https://scontent.cdninstagram.com/t51.2885-15/s320x320/e35/20902251_337646880021863_7858795020642418688_n.jpg</v>
      </c>
      <c r="AE1337" s="249" t="str">
        <f>HYPERLINK("https://scontent.cdninstagram.com/t51.2885-19/s150x150/20837808_110923942961707_7810288888362041344_n.jpg")</f>
        <v>https://scontent.cdninstagram.com/t51.2885-19/s150x150/20837808_110923942961707_7810288888362041344_n.jpg</v>
      </c>
    </row>
    <row r="1338" spans="1:31" ht="15" x14ac:dyDescent="0.25">
      <c r="A1338" t="s">
        <v>2474</v>
      </c>
      <c r="B1338" t="s">
        <v>9859</v>
      </c>
      <c r="C1338" s="221">
        <v>42964.826377314814</v>
      </c>
      <c r="D1338" t="s">
        <v>9860</v>
      </c>
      <c r="E1338" s="249" t="str">
        <f>HYPERLINK("https://www.instagram.com/p/BX6fjdhlZij/")</f>
        <v>https://www.instagram.com/p/BX6fjdhlZij/</v>
      </c>
      <c r="F1338" t="s">
        <v>9861</v>
      </c>
      <c r="G1338" t="s">
        <v>2488</v>
      </c>
      <c r="H1338">
        <v>532</v>
      </c>
      <c r="I1338" t="s">
        <v>2479</v>
      </c>
      <c r="J1338">
        <v>0</v>
      </c>
      <c r="K1338">
        <v>30</v>
      </c>
      <c r="L1338">
        <v>30</v>
      </c>
      <c r="Q1338">
        <v>0</v>
      </c>
      <c r="R1338">
        <v>0</v>
      </c>
      <c r="S1338">
        <v>30</v>
      </c>
      <c r="T1338" t="s">
        <v>2936</v>
      </c>
      <c r="V1338" t="s">
        <v>2288</v>
      </c>
      <c r="W1338">
        <v>51.507114863623997</v>
      </c>
      <c r="X1338">
        <v>-0.12731805236353</v>
      </c>
      <c r="Y1338" t="s">
        <v>9862</v>
      </c>
      <c r="Z1338" t="s">
        <v>9863</v>
      </c>
      <c r="AA1338" t="s">
        <v>5809</v>
      </c>
      <c r="AB1338" t="s">
        <v>9864</v>
      </c>
      <c r="AC1338" t="s">
        <v>9865</v>
      </c>
      <c r="AD1338" s="249" t="str">
        <f>HYPERLINK("https://scontent.cdninstagram.com/t51.2885-15/s320x320/e35/20838827_130885320862727_8763040096359284736_n.jpg")</f>
        <v>https://scontent.cdninstagram.com/t51.2885-15/s320x320/e35/20838827_130885320862727_8763040096359284736_n.jpg</v>
      </c>
      <c r="AE1338" s="249" t="str">
        <f>HYPERLINK("https://scontent.cdninstagram.com/t51.2885-19/s150x150/14659441_1428359047193082_3327022426444791808_a.jpg")</f>
        <v>https://scontent.cdninstagram.com/t51.2885-19/s150x150/14659441_1428359047193082_3327022426444791808_a.jpg</v>
      </c>
    </row>
    <row r="1339" spans="1:31" ht="15" x14ac:dyDescent="0.25">
      <c r="A1339" t="s">
        <v>2474</v>
      </c>
      <c r="B1339" t="s">
        <v>9866</v>
      </c>
      <c r="C1339" s="221">
        <v>42964.8283912037</v>
      </c>
      <c r="D1339" t="s">
        <v>9867</v>
      </c>
      <c r="E1339" s="249" t="str">
        <f>HYPERLINK("https://www.instagram.com/p/BX6f4paF8fm/")</f>
        <v>https://www.instagram.com/p/BX6f4paF8fm/</v>
      </c>
      <c r="F1339" t="s">
        <v>9868</v>
      </c>
      <c r="G1339" t="s">
        <v>2631</v>
      </c>
      <c r="H1339">
        <v>1191</v>
      </c>
      <c r="I1339" t="s">
        <v>2510</v>
      </c>
      <c r="J1339">
        <v>0</v>
      </c>
      <c r="K1339">
        <v>9</v>
      </c>
      <c r="L1339">
        <v>9</v>
      </c>
      <c r="Q1339">
        <v>0</v>
      </c>
      <c r="R1339">
        <v>0</v>
      </c>
      <c r="S1339">
        <v>9</v>
      </c>
      <c r="Y1339" t="s">
        <v>2497</v>
      </c>
      <c r="Z1339" t="s">
        <v>9869</v>
      </c>
      <c r="AA1339" t="s">
        <v>9870</v>
      </c>
      <c r="AD1339" s="249" t="str">
        <f>HYPERLINK("https://scontent.cdninstagram.com/t51.2885-15/s320x320/e15/c0.90.720.720/20838609_150499095533226_718699391858245632_n.jpg")</f>
        <v>https://scontent.cdninstagram.com/t51.2885-15/s320x320/e15/c0.90.720.720/20838609_150499095533226_718699391858245632_n.jpg</v>
      </c>
      <c r="AE1339" s="249" t="str">
        <f>HYPERLINK("https://scontent.cdninstagram.com/t51.2885-19/s150x150/12918603_500053096862718_186867815_a.jpg")</f>
        <v>https://scontent.cdninstagram.com/t51.2885-19/s150x150/12918603_500053096862718_186867815_a.jpg</v>
      </c>
    </row>
    <row r="1340" spans="1:31" ht="15" x14ac:dyDescent="0.25">
      <c r="A1340" t="s">
        <v>2474</v>
      </c>
      <c r="B1340" t="s">
        <v>3015</v>
      </c>
      <c r="C1340" s="221">
        <v>42964.84033564815</v>
      </c>
      <c r="D1340" t="s">
        <v>9871</v>
      </c>
      <c r="E1340" s="249" t="str">
        <f>HYPERLINK("https://www.instagram.com/p/BX6h2p0gka3/")</f>
        <v>https://www.instagram.com/p/BX6h2p0gka3/</v>
      </c>
      <c r="F1340" t="s">
        <v>9872</v>
      </c>
      <c r="G1340" t="s">
        <v>2488</v>
      </c>
      <c r="H1340">
        <v>183</v>
      </c>
      <c r="I1340" t="s">
        <v>2479</v>
      </c>
      <c r="J1340">
        <v>0</v>
      </c>
      <c r="K1340">
        <v>11</v>
      </c>
      <c r="L1340">
        <v>11</v>
      </c>
      <c r="Q1340">
        <v>0</v>
      </c>
      <c r="R1340">
        <v>0</v>
      </c>
      <c r="S1340">
        <v>11</v>
      </c>
      <c r="Y1340" t="s">
        <v>3571</v>
      </c>
      <c r="Z1340" t="s">
        <v>4127</v>
      </c>
      <c r="AA1340" t="s">
        <v>3727</v>
      </c>
      <c r="AB1340" t="s">
        <v>3020</v>
      </c>
      <c r="AC1340" t="s">
        <v>2497</v>
      </c>
      <c r="AD1340" s="249" t="str">
        <f>HYPERLINK("https://scontent.cdninstagram.com/t51.2885-15/s320x320/e35/20838608_1744117125887394_8412750904524013568_n.jpg")</f>
        <v>https://scontent.cdninstagram.com/t51.2885-15/s320x320/e35/20838608_1744117125887394_8412750904524013568_n.jpg</v>
      </c>
      <c r="AE1340" s="249" t="str">
        <f>HYPERLINK("https://scontent.cdninstagram.com/t51.2885-19/s150x150/19761452_1876060406050696_4275948751316582400_a.jpg")</f>
        <v>https://scontent.cdninstagram.com/t51.2885-19/s150x150/19761452_1876060406050696_4275948751316582400_a.jpg</v>
      </c>
    </row>
    <row r="1341" spans="1:31" ht="15" x14ac:dyDescent="0.25">
      <c r="A1341" t="s">
        <v>2474</v>
      </c>
      <c r="B1341" t="s">
        <v>9873</v>
      </c>
      <c r="C1341" s="221">
        <v>42964.841863425929</v>
      </c>
      <c r="D1341" t="s">
        <v>9874</v>
      </c>
      <c r="E1341" s="249" t="str">
        <f>HYPERLINK("https://www.instagram.com/p/BX6iGxWlqbf/")</f>
        <v>https://www.instagram.com/p/BX6iGxWlqbf/</v>
      </c>
      <c r="F1341" t="s">
        <v>9875</v>
      </c>
      <c r="G1341" t="s">
        <v>2478</v>
      </c>
      <c r="H1341">
        <v>1714</v>
      </c>
      <c r="I1341" t="s">
        <v>2599</v>
      </c>
      <c r="J1341">
        <v>2</v>
      </c>
      <c r="K1341">
        <v>93</v>
      </c>
      <c r="L1341">
        <v>95</v>
      </c>
      <c r="Q1341">
        <v>0</v>
      </c>
      <c r="R1341">
        <v>0</v>
      </c>
      <c r="S1341">
        <v>95</v>
      </c>
      <c r="Y1341" t="s">
        <v>2641</v>
      </c>
      <c r="Z1341" t="s">
        <v>4761</v>
      </c>
      <c r="AA1341" t="s">
        <v>2492</v>
      </c>
      <c r="AB1341" t="s">
        <v>9876</v>
      </c>
      <c r="AC1341" t="s">
        <v>2543</v>
      </c>
      <c r="AD1341" s="249" t="str">
        <f>HYPERLINK("https://scontent.cdninstagram.com/t51.2885-15/s320x320/e35/20969127_337378206720738_7224924995271524352_n.jpg")</f>
        <v>https://scontent.cdninstagram.com/t51.2885-15/s320x320/e35/20969127_337378206720738_7224924995271524352_n.jpg</v>
      </c>
      <c r="AE1341" s="249" t="str">
        <f>HYPERLINK("https://scontent.cdninstagram.com/t51.2885-19/s150x150/19120424_1851523518508236_787453640649474048_a.jpg")</f>
        <v>https://scontent.cdninstagram.com/t51.2885-19/s150x150/19120424_1851523518508236_787453640649474048_a.jpg</v>
      </c>
    </row>
    <row r="1342" spans="1:31" ht="15" x14ac:dyDescent="0.25">
      <c r="A1342" t="s">
        <v>2474</v>
      </c>
      <c r="B1342" t="s">
        <v>7152</v>
      </c>
      <c r="C1342" s="221">
        <v>42964.843680555554</v>
      </c>
      <c r="D1342" t="s">
        <v>9877</v>
      </c>
      <c r="E1342" s="249" t="str">
        <f>HYPERLINK("https://www.instagram.com/p/BX6iaAVDknT/")</f>
        <v>https://www.instagram.com/p/BX6iaAVDknT/</v>
      </c>
      <c r="F1342" t="s">
        <v>9878</v>
      </c>
      <c r="G1342" t="s">
        <v>2478</v>
      </c>
      <c r="H1342">
        <v>110</v>
      </c>
      <c r="I1342" t="s">
        <v>5670</v>
      </c>
      <c r="J1342">
        <v>1</v>
      </c>
      <c r="K1342">
        <v>23</v>
      </c>
      <c r="L1342">
        <v>24</v>
      </c>
      <c r="Q1342">
        <v>0</v>
      </c>
      <c r="R1342">
        <v>0</v>
      </c>
      <c r="S1342">
        <v>24</v>
      </c>
      <c r="Y1342" t="s">
        <v>8213</v>
      </c>
      <c r="Z1342" t="s">
        <v>7152</v>
      </c>
      <c r="AA1342" t="s">
        <v>7286</v>
      </c>
      <c r="AB1342" t="s">
        <v>4582</v>
      </c>
      <c r="AC1342" t="s">
        <v>2660</v>
      </c>
      <c r="AD1342" s="249" t="str">
        <f>HYPERLINK("https://scontent.cdninstagram.com/t51.2885-15/s320x320/e35/20838382_201031223767905_7610207209812656128_n.jpg")</f>
        <v>https://scontent.cdninstagram.com/t51.2885-15/s320x320/e35/20838382_201031223767905_7610207209812656128_n.jpg</v>
      </c>
      <c r="AE1342" s="249" t="str">
        <f>HYPERLINK("https://scontent.cdninstagram.com/t51.2885-19/s150x150/20181062_1791856511105718_4709893984703479808_a.jpg")</f>
        <v>https://scontent.cdninstagram.com/t51.2885-19/s150x150/20181062_1791856511105718_4709893984703479808_a.jpg</v>
      </c>
    </row>
    <row r="1343" spans="1:31" ht="15" x14ac:dyDescent="0.25">
      <c r="A1343" t="s">
        <v>2474</v>
      </c>
      <c r="B1343" t="s">
        <v>9879</v>
      </c>
      <c r="C1343" s="221">
        <v>42964.844733796293</v>
      </c>
      <c r="D1343" t="s">
        <v>9880</v>
      </c>
      <c r="E1343" s="249" t="str">
        <f>HYPERLINK("https://www.instagram.com/p/BX6ilGADZc9/")</f>
        <v>https://www.instagram.com/p/BX6ilGADZc9/</v>
      </c>
      <c r="F1343" t="s">
        <v>9881</v>
      </c>
      <c r="G1343" t="s">
        <v>2478</v>
      </c>
      <c r="H1343">
        <v>376</v>
      </c>
      <c r="I1343" t="s">
        <v>2542</v>
      </c>
      <c r="J1343">
        <v>1</v>
      </c>
      <c r="K1343">
        <v>20</v>
      </c>
      <c r="L1343">
        <v>21</v>
      </c>
      <c r="Q1343">
        <v>0</v>
      </c>
      <c r="R1343">
        <v>0</v>
      </c>
      <c r="S1343">
        <v>21</v>
      </c>
      <c r="Y1343" t="s">
        <v>9882</v>
      </c>
      <c r="Z1343" t="s">
        <v>9883</v>
      </c>
      <c r="AA1343" t="s">
        <v>9884</v>
      </c>
      <c r="AB1343" t="s">
        <v>5168</v>
      </c>
      <c r="AC1343" t="s">
        <v>9885</v>
      </c>
      <c r="AD1343" s="249" t="str">
        <f>HYPERLINK("https://scontent.cdninstagram.com/t51.2885-15/s320x320/e35/c27.0.654.654/20837601_1967929463492248_6396159880972992512_n.jpg")</f>
        <v>https://scontent.cdninstagram.com/t51.2885-15/s320x320/e35/c27.0.654.654/20837601_1967929463492248_6396159880972992512_n.jpg</v>
      </c>
      <c r="AE1343" s="249" t="str">
        <f>HYPERLINK("https://scontent.cdninstagram.com/t51.2885-19/s150x150/20905377_1853440041637051_5012598044160425984_a.jpg")</f>
        <v>https://scontent.cdninstagram.com/t51.2885-19/s150x150/20905377_1853440041637051_5012598044160425984_a.jpg</v>
      </c>
    </row>
    <row r="1344" spans="1:31" ht="15" x14ac:dyDescent="0.25">
      <c r="A1344" t="s">
        <v>2474</v>
      </c>
      <c r="B1344" t="s">
        <v>8588</v>
      </c>
      <c r="C1344" s="221">
        <v>42964.845659722225</v>
      </c>
      <c r="D1344" t="s">
        <v>9886</v>
      </c>
      <c r="E1344" s="249" t="str">
        <f>HYPERLINK("https://www.instagram.com/p/BX6iuyDn6cr/")</f>
        <v>https://www.instagram.com/p/BX6iuyDn6cr/</v>
      </c>
      <c r="F1344" t="s">
        <v>9887</v>
      </c>
      <c r="G1344" t="s">
        <v>2478</v>
      </c>
      <c r="H1344">
        <v>111</v>
      </c>
      <c r="I1344" t="s">
        <v>2542</v>
      </c>
      <c r="J1344">
        <v>0</v>
      </c>
      <c r="K1344">
        <v>59</v>
      </c>
      <c r="L1344">
        <v>59</v>
      </c>
      <c r="Q1344">
        <v>0</v>
      </c>
      <c r="R1344">
        <v>0</v>
      </c>
      <c r="S1344">
        <v>59</v>
      </c>
      <c r="Y1344" t="s">
        <v>8592</v>
      </c>
      <c r="Z1344" t="s">
        <v>2696</v>
      </c>
      <c r="AA1344" t="s">
        <v>2767</v>
      </c>
      <c r="AB1344" t="s">
        <v>9888</v>
      </c>
      <c r="AC1344" t="s">
        <v>4620</v>
      </c>
      <c r="AD1344" s="249" t="str">
        <f>HYPERLINK("https://scontent.cdninstagram.com/t51.2885-15/s320x320/e35/c0.135.1080.1080/20905206_131855714098141_5759385895069286400_n.jpg")</f>
        <v>https://scontent.cdninstagram.com/t51.2885-15/s320x320/e35/c0.135.1080.1080/20905206_131855714098141_5759385895069286400_n.jpg</v>
      </c>
      <c r="AE1344" s="249" t="str">
        <f>HYPERLINK("https://scontent.cdninstagram.com/t51.2885-19/s150x150/20635188_109311796418036_6462664254095884288_a.jpg")</f>
        <v>https://scontent.cdninstagram.com/t51.2885-19/s150x150/20635188_109311796418036_6462664254095884288_a.jpg</v>
      </c>
    </row>
    <row r="1345" spans="1:31" ht="15" x14ac:dyDescent="0.25">
      <c r="A1345" t="s">
        <v>2474</v>
      </c>
      <c r="B1345" t="s">
        <v>5657</v>
      </c>
      <c r="C1345" s="221">
        <v>42964.857256944444</v>
      </c>
      <c r="D1345" t="s">
        <v>9889</v>
      </c>
      <c r="E1345" s="249" t="str">
        <f>HYPERLINK("https://www.instagram.com/p/BX6kpIWg8RU/")</f>
        <v>https://www.instagram.com/p/BX6kpIWg8RU/</v>
      </c>
      <c r="F1345" t="s">
        <v>9890</v>
      </c>
      <c r="G1345" t="s">
        <v>2478</v>
      </c>
      <c r="H1345">
        <v>72</v>
      </c>
      <c r="I1345" t="s">
        <v>3025</v>
      </c>
      <c r="J1345">
        <v>10</v>
      </c>
      <c r="K1345">
        <v>30</v>
      </c>
      <c r="L1345">
        <v>40</v>
      </c>
      <c r="Q1345">
        <v>0</v>
      </c>
      <c r="R1345">
        <v>0</v>
      </c>
      <c r="S1345">
        <v>40</v>
      </c>
      <c r="Y1345" t="s">
        <v>5660</v>
      </c>
      <c r="Z1345" t="s">
        <v>6172</v>
      </c>
      <c r="AA1345" t="s">
        <v>4839</v>
      </c>
      <c r="AB1345" t="s">
        <v>5662</v>
      </c>
      <c r="AC1345" t="s">
        <v>2492</v>
      </c>
      <c r="AD1345" s="249" t="str">
        <f>HYPERLINK("https://scontent.cdninstagram.com/t51.2885-15/s320x320/e35/c0.135.1080.1080/20902126_1592550880794952_8329312763843182592_n.jpg")</f>
        <v>https://scontent.cdninstagram.com/t51.2885-15/s320x320/e35/c0.135.1080.1080/20902126_1592550880794952_8329312763843182592_n.jpg</v>
      </c>
      <c r="AE1345" s="249" t="str">
        <f>HYPERLINK("https://scontent.cdninstagram.com/t51.2885-19/s150x150/18722414_1929874740617287_7467972564577419264_a.jpg")</f>
        <v>https://scontent.cdninstagram.com/t51.2885-19/s150x150/18722414_1929874740617287_7467972564577419264_a.jpg</v>
      </c>
    </row>
    <row r="1346" spans="1:31" ht="15" x14ac:dyDescent="0.25">
      <c r="A1346" t="s">
        <v>2474</v>
      </c>
      <c r="B1346" t="s">
        <v>9891</v>
      </c>
      <c r="C1346" s="221">
        <v>42964.858634259261</v>
      </c>
      <c r="D1346" t="s">
        <v>9892</v>
      </c>
      <c r="E1346" s="249" t="str">
        <f>HYPERLINK("https://www.instagram.com/p/BX6k3tnl3pM/")</f>
        <v>https://www.instagram.com/p/BX6k3tnl3pM/</v>
      </c>
      <c r="F1346" t="s">
        <v>9893</v>
      </c>
      <c r="G1346" t="s">
        <v>2478</v>
      </c>
      <c r="H1346">
        <v>365</v>
      </c>
      <c r="I1346" t="s">
        <v>2510</v>
      </c>
      <c r="J1346">
        <v>0</v>
      </c>
      <c r="K1346">
        <v>41</v>
      </c>
      <c r="L1346">
        <v>41</v>
      </c>
      <c r="Q1346">
        <v>0</v>
      </c>
      <c r="R1346">
        <v>0</v>
      </c>
      <c r="S1346">
        <v>41</v>
      </c>
      <c r="Y1346" t="s">
        <v>9894</v>
      </c>
      <c r="Z1346" t="s">
        <v>9895</v>
      </c>
      <c r="AA1346" t="s">
        <v>9896</v>
      </c>
      <c r="AB1346" t="s">
        <v>6698</v>
      </c>
      <c r="AC1346" t="s">
        <v>9897</v>
      </c>
      <c r="AD1346" s="249" t="str">
        <f>HYPERLINK("https://scontent.cdninstagram.com/t51.2885-15/s320x320/e35/20839034_836290493214228_2458207467960532992_n.jpg")</f>
        <v>https://scontent.cdninstagram.com/t51.2885-15/s320x320/e35/20839034_836290493214228_2458207467960532992_n.jpg</v>
      </c>
      <c r="AE1346" s="249" t="str">
        <f>HYPERLINK("https://scontent.cdninstagram.com/t51.2885-19/11821266_1481991492113641_1416735938_a.jpg")</f>
        <v>https://scontent.cdninstagram.com/t51.2885-19/11821266_1481991492113641_1416735938_a.jpg</v>
      </c>
    </row>
    <row r="1347" spans="1:31" ht="15" x14ac:dyDescent="0.25">
      <c r="A1347" t="s">
        <v>2474</v>
      </c>
      <c r="B1347" t="s">
        <v>5657</v>
      </c>
      <c r="C1347" s="221">
        <v>42964.860486111109</v>
      </c>
      <c r="D1347" t="s">
        <v>9898</v>
      </c>
      <c r="E1347" s="249" t="str">
        <f>HYPERLINK("https://www.instagram.com/p/BX6lLOSg1YG/")</f>
        <v>https://www.instagram.com/p/BX6lLOSg1YG/</v>
      </c>
      <c r="F1347" t="s">
        <v>9899</v>
      </c>
      <c r="G1347" t="s">
        <v>2478</v>
      </c>
      <c r="H1347">
        <v>72</v>
      </c>
      <c r="I1347" t="s">
        <v>2910</v>
      </c>
      <c r="J1347">
        <v>4</v>
      </c>
      <c r="K1347">
        <v>35</v>
      </c>
      <c r="L1347">
        <v>39</v>
      </c>
      <c r="Q1347">
        <v>0</v>
      </c>
      <c r="R1347">
        <v>0</v>
      </c>
      <c r="S1347">
        <v>39</v>
      </c>
      <c r="Y1347" t="s">
        <v>5660</v>
      </c>
      <c r="Z1347" t="s">
        <v>6172</v>
      </c>
      <c r="AA1347" t="s">
        <v>4839</v>
      </c>
      <c r="AB1347" t="s">
        <v>6678</v>
      </c>
      <c r="AC1347" t="s">
        <v>2492</v>
      </c>
      <c r="AD1347" s="249" t="str">
        <f>HYPERLINK("https://scontent.cdninstagram.com/t51.2885-15/s320x320/e35/20837475_1843594148988131_6929124842339827712_n.jpg")</f>
        <v>https://scontent.cdninstagram.com/t51.2885-15/s320x320/e35/20837475_1843594148988131_6929124842339827712_n.jpg</v>
      </c>
      <c r="AE1347" s="249" t="str">
        <f>HYPERLINK("https://scontent.cdninstagram.com/t51.2885-19/s150x150/18722414_1929874740617287_7467972564577419264_a.jpg")</f>
        <v>https://scontent.cdninstagram.com/t51.2885-19/s150x150/18722414_1929874740617287_7467972564577419264_a.jpg</v>
      </c>
    </row>
    <row r="1348" spans="1:31" ht="15" x14ac:dyDescent="0.25">
      <c r="A1348" t="s">
        <v>2474</v>
      </c>
      <c r="B1348" t="s">
        <v>9900</v>
      </c>
      <c r="C1348" s="221">
        <v>42964.86954861111</v>
      </c>
      <c r="D1348" t="s">
        <v>9901</v>
      </c>
      <c r="E1348" s="249" t="str">
        <f>HYPERLINK("https://www.instagram.com/p/BX6mqv9n5Gx/")</f>
        <v>https://www.instagram.com/p/BX6mqv9n5Gx/</v>
      </c>
      <c r="F1348" t="s">
        <v>9902</v>
      </c>
      <c r="G1348" t="s">
        <v>2478</v>
      </c>
      <c r="H1348">
        <v>412</v>
      </c>
      <c r="I1348" t="s">
        <v>2479</v>
      </c>
      <c r="J1348">
        <v>0</v>
      </c>
      <c r="K1348">
        <v>48</v>
      </c>
      <c r="L1348">
        <v>48</v>
      </c>
      <c r="Q1348">
        <v>0</v>
      </c>
      <c r="R1348">
        <v>0</v>
      </c>
      <c r="S1348">
        <v>48</v>
      </c>
      <c r="Y1348" t="s">
        <v>9903</v>
      </c>
      <c r="Z1348" t="s">
        <v>5662</v>
      </c>
      <c r="AA1348" t="s">
        <v>9904</v>
      </c>
      <c r="AB1348" t="s">
        <v>8831</v>
      </c>
      <c r="AC1348" t="s">
        <v>3262</v>
      </c>
      <c r="AD1348" s="249" t="str">
        <f>HYPERLINK("https://scontent.cdninstagram.com/t51.2885-15/s320x320/e35/20905258_1610261875711935_4936903321492389888_n.jpg")</f>
        <v>https://scontent.cdninstagram.com/t51.2885-15/s320x320/e35/20905258_1610261875711935_4936903321492389888_n.jpg</v>
      </c>
      <c r="AE1348" s="249" t="str">
        <f>HYPERLINK("https://scontent.cdninstagram.com/t51.2885-19/s150x150/20838948_128780851074954_2792352796853141504_a.jpg")</f>
        <v>https://scontent.cdninstagram.com/t51.2885-19/s150x150/20838948_128780851074954_2792352796853141504_a.jpg</v>
      </c>
    </row>
    <row r="1349" spans="1:31" ht="15" x14ac:dyDescent="0.25">
      <c r="A1349" t="s">
        <v>2474</v>
      </c>
      <c r="B1349" t="s">
        <v>3471</v>
      </c>
      <c r="C1349" s="221">
        <v>42964.870115740741</v>
      </c>
      <c r="D1349" t="s">
        <v>9905</v>
      </c>
      <c r="E1349" s="249" t="str">
        <f>HYPERLINK("https://www.instagram.com/p/BX6mwz0HfV8/")</f>
        <v>https://www.instagram.com/p/BX6mwz0HfV8/</v>
      </c>
      <c r="F1349" t="s">
        <v>9906</v>
      </c>
      <c r="G1349" t="s">
        <v>2488</v>
      </c>
      <c r="H1349">
        <v>182</v>
      </c>
      <c r="I1349" t="s">
        <v>2479</v>
      </c>
      <c r="J1349">
        <v>3</v>
      </c>
      <c r="K1349">
        <v>25</v>
      </c>
      <c r="L1349">
        <v>28</v>
      </c>
      <c r="Q1349">
        <v>0</v>
      </c>
      <c r="R1349">
        <v>0</v>
      </c>
      <c r="S1349">
        <v>28</v>
      </c>
      <c r="T1349" t="s">
        <v>3474</v>
      </c>
      <c r="V1349" t="s">
        <v>2258</v>
      </c>
      <c r="W1349">
        <v>1.2930600000000001</v>
      </c>
      <c r="X1349">
        <v>103.85599999999999</v>
      </c>
      <c r="Y1349" t="s">
        <v>6775</v>
      </c>
      <c r="Z1349" t="s">
        <v>5702</v>
      </c>
      <c r="AA1349" t="s">
        <v>9907</v>
      </c>
      <c r="AB1349" t="s">
        <v>5841</v>
      </c>
      <c r="AC1349" t="s">
        <v>3851</v>
      </c>
      <c r="AD1349" s="249" t="str">
        <f>HYPERLINK("https://scontent.cdninstagram.com/t51.2885-15/s320x320/e35/20837559_1437399269684647_6158281510966263808_n.jpg")</f>
        <v>https://scontent.cdninstagram.com/t51.2885-15/s320x320/e35/20837559_1437399269684647_6158281510966263808_n.jpg</v>
      </c>
      <c r="AE1349" s="249" t="str">
        <f>HYPERLINK("https://scontent.cdninstagram.com/t51.2885-19/s150x150/19986209_741127056067001_1270489010199855104_a.jpg")</f>
        <v>https://scontent.cdninstagram.com/t51.2885-19/s150x150/19986209_741127056067001_1270489010199855104_a.jpg</v>
      </c>
    </row>
    <row r="1350" spans="1:31" ht="15" x14ac:dyDescent="0.25">
      <c r="A1350" t="s">
        <v>2474</v>
      </c>
      <c r="B1350" t="s">
        <v>3393</v>
      </c>
      <c r="C1350" s="221">
        <v>42964.870497685188</v>
      </c>
      <c r="D1350" t="s">
        <v>9908</v>
      </c>
      <c r="E1350" s="249" t="str">
        <f>HYPERLINK("https://www.instagram.com/p/BX6m0vGnSQ1/")</f>
        <v>https://www.instagram.com/p/BX6m0vGnSQ1/</v>
      </c>
      <c r="F1350" t="s">
        <v>9909</v>
      </c>
      <c r="G1350" t="s">
        <v>2478</v>
      </c>
      <c r="H1350">
        <v>16554</v>
      </c>
      <c r="I1350" t="s">
        <v>2479</v>
      </c>
      <c r="J1350">
        <v>1</v>
      </c>
      <c r="K1350">
        <v>467</v>
      </c>
      <c r="L1350">
        <v>468</v>
      </c>
      <c r="Q1350">
        <v>0</v>
      </c>
      <c r="R1350">
        <v>0</v>
      </c>
      <c r="S1350">
        <v>468</v>
      </c>
      <c r="Y1350" t="s">
        <v>9910</v>
      </c>
      <c r="Z1350" t="s">
        <v>9911</v>
      </c>
      <c r="AA1350" t="s">
        <v>9912</v>
      </c>
      <c r="AB1350" t="s">
        <v>9913</v>
      </c>
      <c r="AC1350" t="s">
        <v>9914</v>
      </c>
      <c r="AD1350" s="249" t="str">
        <f>HYPERLINK("https://scontent.cdninstagram.com/t51.2885-15/s320x320/e35/21042607_114359559264745_977612896773079040_n.jpg")</f>
        <v>https://scontent.cdninstagram.com/t51.2885-15/s320x320/e35/21042607_114359559264745_977612896773079040_n.jpg</v>
      </c>
      <c r="AE1350" s="249" t="str">
        <f>HYPERLINK("https://scontent.cdninstagram.com/t51.2885-19/s150x150/20969318_163506604224066_8451668608215416832_n.jpg")</f>
        <v>https://scontent.cdninstagram.com/t51.2885-19/s150x150/20969318_163506604224066_8451668608215416832_n.jpg</v>
      </c>
    </row>
    <row r="1351" spans="1:31" ht="15" x14ac:dyDescent="0.25">
      <c r="A1351" t="s">
        <v>2474</v>
      </c>
      <c r="B1351" t="s">
        <v>9915</v>
      </c>
      <c r="C1351" s="221">
        <v>42964.871018518519</v>
      </c>
      <c r="D1351" t="s">
        <v>9916</v>
      </c>
      <c r="E1351" s="249" t="str">
        <f>HYPERLINK("https://www.instagram.com/p/BX6m6UaFEB7/")</f>
        <v>https://www.instagram.com/p/BX6m6UaFEB7/</v>
      </c>
      <c r="F1351" t="s">
        <v>9917</v>
      </c>
      <c r="G1351" t="s">
        <v>2478</v>
      </c>
      <c r="H1351">
        <v>234</v>
      </c>
      <c r="I1351" t="s">
        <v>2479</v>
      </c>
      <c r="J1351">
        <v>2</v>
      </c>
      <c r="K1351">
        <v>31</v>
      </c>
      <c r="L1351">
        <v>33</v>
      </c>
      <c r="Q1351">
        <v>0</v>
      </c>
      <c r="R1351">
        <v>0</v>
      </c>
      <c r="S1351">
        <v>33</v>
      </c>
      <c r="Y1351" t="s">
        <v>2497</v>
      </c>
      <c r="Z1351" t="s">
        <v>4104</v>
      </c>
      <c r="AA1351" t="s">
        <v>9918</v>
      </c>
      <c r="AB1351" t="s">
        <v>4369</v>
      </c>
      <c r="AC1351" t="s">
        <v>9919</v>
      </c>
      <c r="AD1351" s="249" t="str">
        <f>HYPERLINK("https://scontent.cdninstagram.com/t51.2885-15/s320x320/e35/20902061_117708472219955_3379067955374456832_n.jpg")</f>
        <v>https://scontent.cdninstagram.com/t51.2885-15/s320x320/e35/20902061_117708472219955_3379067955374456832_n.jpg</v>
      </c>
      <c r="AE1351" s="249" t="str">
        <f>HYPERLINK("https://scontent.cdninstagram.com/t51.2885-19/s150x150/18879792_137504060132901_5021204183664033792_a.jpg")</f>
        <v>https://scontent.cdninstagram.com/t51.2885-19/s150x150/18879792_137504060132901_5021204183664033792_a.jpg</v>
      </c>
    </row>
    <row r="1352" spans="1:31" ht="15" x14ac:dyDescent="0.25">
      <c r="A1352" t="s">
        <v>2474</v>
      </c>
      <c r="B1352" t="s">
        <v>7793</v>
      </c>
      <c r="C1352" s="221">
        <v>42964.883645833332</v>
      </c>
      <c r="D1352" t="s">
        <v>9920</v>
      </c>
      <c r="E1352" s="249" t="str">
        <f>HYPERLINK("https://www.instagram.com/p/BX6o_ZulL6y/")</f>
        <v>https://www.instagram.com/p/BX6o_ZulL6y/</v>
      </c>
      <c r="F1352" t="s">
        <v>9921</v>
      </c>
      <c r="G1352" t="s">
        <v>2478</v>
      </c>
      <c r="H1352">
        <v>5760</v>
      </c>
      <c r="I1352" t="s">
        <v>2479</v>
      </c>
      <c r="J1352">
        <v>2</v>
      </c>
      <c r="K1352">
        <v>123</v>
      </c>
      <c r="L1352">
        <v>125</v>
      </c>
      <c r="Q1352">
        <v>0</v>
      </c>
      <c r="R1352">
        <v>0</v>
      </c>
      <c r="S1352">
        <v>125</v>
      </c>
      <c r="T1352" t="s">
        <v>9922</v>
      </c>
      <c r="V1352" t="s">
        <v>2102</v>
      </c>
      <c r="W1352">
        <v>-33.888910000000003</v>
      </c>
      <c r="X1352">
        <v>151.26064</v>
      </c>
      <c r="Y1352" t="s">
        <v>4620</v>
      </c>
      <c r="Z1352" t="s">
        <v>4174</v>
      </c>
      <c r="AA1352" t="s">
        <v>6578</v>
      </c>
      <c r="AB1352" t="s">
        <v>3174</v>
      </c>
      <c r="AC1352" t="s">
        <v>3075</v>
      </c>
      <c r="AD1352" s="249" t="str">
        <f>HYPERLINK("https://scontent.cdninstagram.com/t51.2885-15/s320x320/e35/20902340_1208937402584816_8710982434147008512_n.jpg")</f>
        <v>https://scontent.cdninstagram.com/t51.2885-15/s320x320/e35/20902340_1208937402584816_8710982434147008512_n.jpg</v>
      </c>
      <c r="AE1352" s="249" t="str">
        <f>HYPERLINK("https://scontent.cdninstagram.com/t51.2885-19/s150x150/14295311_507350922808081_1928455761_a.jpg")</f>
        <v>https://scontent.cdninstagram.com/t51.2885-19/s150x150/14295311_507350922808081_1928455761_a.jpg</v>
      </c>
    </row>
    <row r="1353" spans="1:31" ht="15" x14ac:dyDescent="0.25">
      <c r="A1353" t="s">
        <v>2474</v>
      </c>
      <c r="B1353" t="s">
        <v>8943</v>
      </c>
      <c r="C1353" s="221">
        <v>42964.886423611111</v>
      </c>
      <c r="D1353" t="s">
        <v>9923</v>
      </c>
      <c r="E1353" s="249" t="str">
        <f>HYPERLINK("https://www.instagram.com/p/BX6pcsoFsnN/")</f>
        <v>https://www.instagram.com/p/BX6pcsoFsnN/</v>
      </c>
      <c r="F1353" t="s">
        <v>9924</v>
      </c>
      <c r="G1353" t="s">
        <v>2478</v>
      </c>
      <c r="H1353">
        <v>137</v>
      </c>
      <c r="I1353" t="s">
        <v>2639</v>
      </c>
      <c r="J1353">
        <v>1</v>
      </c>
      <c r="K1353">
        <v>34</v>
      </c>
      <c r="L1353">
        <v>35</v>
      </c>
      <c r="Q1353">
        <v>0</v>
      </c>
      <c r="R1353">
        <v>0</v>
      </c>
      <c r="S1353">
        <v>35</v>
      </c>
      <c r="Y1353" t="s">
        <v>9925</v>
      </c>
      <c r="Z1353" t="s">
        <v>9926</v>
      </c>
      <c r="AA1353" t="s">
        <v>2576</v>
      </c>
      <c r="AB1353" t="s">
        <v>2734</v>
      </c>
      <c r="AC1353" t="s">
        <v>2833</v>
      </c>
      <c r="AD1353" s="249" t="str">
        <f>HYPERLINK("https://scontent.cdninstagram.com/t51.2885-15/s320x320/e35/20905129_113703655938973_1334459094920069120_n.jpg")</f>
        <v>https://scontent.cdninstagram.com/t51.2885-15/s320x320/e35/20905129_113703655938973_1334459094920069120_n.jpg</v>
      </c>
      <c r="AE1353" s="249" t="str">
        <f>HYPERLINK("https://scontent.cdninstagram.com/t51.2885-19/s150x150/17662682_150852205442304_2991180435146407936_a.jpg")</f>
        <v>https://scontent.cdninstagram.com/t51.2885-19/s150x150/17662682_150852205442304_2991180435146407936_a.jpg</v>
      </c>
    </row>
    <row r="1354" spans="1:31" ht="15" x14ac:dyDescent="0.25">
      <c r="A1354" t="s">
        <v>2474</v>
      </c>
      <c r="B1354" t="s">
        <v>9927</v>
      </c>
      <c r="C1354" s="221">
        <v>42964.889780092592</v>
      </c>
      <c r="D1354" t="s">
        <v>9928</v>
      </c>
      <c r="E1354" s="249" t="str">
        <f>HYPERLINK("https://www.instagram.com/p/BX6qAGOAplj/")</f>
        <v>https://www.instagram.com/p/BX6qAGOAplj/</v>
      </c>
      <c r="F1354" t="s">
        <v>9929</v>
      </c>
      <c r="G1354" t="s">
        <v>2631</v>
      </c>
      <c r="H1354">
        <v>481</v>
      </c>
      <c r="I1354" t="s">
        <v>2510</v>
      </c>
      <c r="J1354">
        <v>7</v>
      </c>
      <c r="K1354">
        <v>47</v>
      </c>
      <c r="L1354">
        <v>54</v>
      </c>
      <c r="Q1354">
        <v>0</v>
      </c>
      <c r="R1354">
        <v>0</v>
      </c>
      <c r="S1354">
        <v>54</v>
      </c>
      <c r="T1354" t="s">
        <v>6459</v>
      </c>
      <c r="U1354" t="s">
        <v>97</v>
      </c>
      <c r="V1354" t="s">
        <v>2299</v>
      </c>
      <c r="W1354">
        <v>34.052199999999999</v>
      </c>
      <c r="X1354">
        <v>-118.24299999999999</v>
      </c>
      <c r="Y1354" t="s">
        <v>9930</v>
      </c>
      <c r="Z1354" t="s">
        <v>9931</v>
      </c>
      <c r="AA1354" t="s">
        <v>9932</v>
      </c>
      <c r="AB1354" t="s">
        <v>2497</v>
      </c>
      <c r="AC1354" t="s">
        <v>2524</v>
      </c>
      <c r="AD1354" s="249" t="str">
        <f>HYPERLINK("https://scontent.cdninstagram.com/t51.2885-15/s320x320/e15/20838784_464176267303004_1547183323237842944_n.jpg")</f>
        <v>https://scontent.cdninstagram.com/t51.2885-15/s320x320/e15/20838784_464176267303004_1547183323237842944_n.jpg</v>
      </c>
      <c r="AE1354" s="249" t="str">
        <f>HYPERLINK("https://scontent.cdninstagram.com/t51.2885-19/s150x150/19932184_2044121449154188_5809765552213721088_a.jpg")</f>
        <v>https://scontent.cdninstagram.com/t51.2885-19/s150x150/19932184_2044121449154188_5809765552213721088_a.jpg</v>
      </c>
    </row>
    <row r="1355" spans="1:31" ht="15" x14ac:dyDescent="0.25">
      <c r="A1355" t="s">
        <v>2474</v>
      </c>
      <c r="B1355" t="s">
        <v>9933</v>
      </c>
      <c r="C1355" s="221">
        <v>42964.890706018516</v>
      </c>
      <c r="D1355" t="s">
        <v>9934</v>
      </c>
      <c r="E1355" s="249" t="str">
        <f>HYPERLINK("https://www.instagram.com/p/BX6qJ5ZA3JH/")</f>
        <v>https://www.instagram.com/p/BX6qJ5ZA3JH/</v>
      </c>
      <c r="F1355" t="s">
        <v>9935</v>
      </c>
      <c r="G1355" t="s">
        <v>2478</v>
      </c>
      <c r="H1355">
        <v>133</v>
      </c>
      <c r="I1355" t="s">
        <v>2542</v>
      </c>
      <c r="J1355">
        <v>5</v>
      </c>
      <c r="K1355">
        <v>47</v>
      </c>
      <c r="L1355">
        <v>52</v>
      </c>
      <c r="Q1355">
        <v>0</v>
      </c>
      <c r="R1355">
        <v>0</v>
      </c>
      <c r="S1355">
        <v>52</v>
      </c>
      <c r="AD1355" s="249" t="str">
        <f>HYPERLINK("https://scontent.cdninstagram.com/t51.2885-15/s320x320/e35/20838585_545501595841341_2256969004394479616_n.jpg")</f>
        <v>https://scontent.cdninstagram.com/t51.2885-15/s320x320/e35/20838585_545501595841341_2256969004394479616_n.jpg</v>
      </c>
      <c r="AE1355" s="249" t="str">
        <f>HYPERLINK("https://scontent.cdninstagram.com/t51.2885-19/s150x150/18809651_442406769466312_3479450751355322368_a.jpg")</f>
        <v>https://scontent.cdninstagram.com/t51.2885-19/s150x150/18809651_442406769466312_3479450751355322368_a.jpg</v>
      </c>
    </row>
    <row r="1356" spans="1:31" ht="15" x14ac:dyDescent="0.25">
      <c r="A1356" t="s">
        <v>2474</v>
      </c>
      <c r="B1356" t="s">
        <v>4616</v>
      </c>
      <c r="C1356" s="221">
        <v>42964.892557870371</v>
      </c>
      <c r="D1356" t="s">
        <v>9936</v>
      </c>
      <c r="E1356" s="249" t="str">
        <f>HYPERLINK("https://www.instagram.com/p/BX6qdc2B7Vk/")</f>
        <v>https://www.instagram.com/p/BX6qdc2B7Vk/</v>
      </c>
      <c r="F1356" t="s">
        <v>9937</v>
      </c>
      <c r="G1356" t="s">
        <v>2478</v>
      </c>
      <c r="H1356">
        <v>118</v>
      </c>
      <c r="I1356" t="s">
        <v>2479</v>
      </c>
      <c r="J1356">
        <v>0</v>
      </c>
      <c r="K1356">
        <v>21</v>
      </c>
      <c r="L1356">
        <v>21</v>
      </c>
      <c r="Q1356">
        <v>0</v>
      </c>
      <c r="R1356">
        <v>0</v>
      </c>
      <c r="S1356">
        <v>21</v>
      </c>
      <c r="T1356" t="s">
        <v>9685</v>
      </c>
      <c r="V1356" t="s">
        <v>2125</v>
      </c>
      <c r="W1356">
        <v>43.557620537727999</v>
      </c>
      <c r="X1356">
        <v>-80.097813321025995</v>
      </c>
      <c r="Y1356" t="s">
        <v>5006</v>
      </c>
      <c r="Z1356" t="s">
        <v>4620</v>
      </c>
      <c r="AA1356" t="s">
        <v>9938</v>
      </c>
      <c r="AB1356" t="s">
        <v>3174</v>
      </c>
      <c r="AC1356" t="s">
        <v>4623</v>
      </c>
      <c r="AD1356" s="249" t="str">
        <f>HYPERLINK("https://scontent.cdninstagram.com/t51.2885-15/s320x320/e35/c135.0.810.810/20905210_138268310111197_4917797992699789312_n.jpg")</f>
        <v>https://scontent.cdninstagram.com/t51.2885-15/s320x320/e35/c135.0.810.810/20905210_138268310111197_4917797992699789312_n.jpg</v>
      </c>
      <c r="AE1356" s="249" t="str">
        <f>HYPERLINK("https://scontent.cdninstagram.com/t51.2885-19/s150x150/17494353_1347957098574282_2527511313651859456_a.jpg")</f>
        <v>https://scontent.cdninstagram.com/t51.2885-19/s150x150/17494353_1347957098574282_2527511313651859456_a.jpg</v>
      </c>
    </row>
    <row r="1357" spans="1:31" ht="15" x14ac:dyDescent="0.25">
      <c r="A1357" t="s">
        <v>2474</v>
      </c>
      <c r="B1357" t="s">
        <v>7802</v>
      </c>
      <c r="C1357" s="221">
        <v>42964.893842592595</v>
      </c>
      <c r="D1357" t="s">
        <v>9939</v>
      </c>
      <c r="E1357" s="249" t="str">
        <f>HYPERLINK("https://www.instagram.com/p/BX6qrCpBlti/")</f>
        <v>https://www.instagram.com/p/BX6qrCpBlti/</v>
      </c>
      <c r="F1357" t="s">
        <v>9940</v>
      </c>
      <c r="G1357" t="s">
        <v>2478</v>
      </c>
      <c r="H1357">
        <v>190</v>
      </c>
      <c r="I1357" t="s">
        <v>2542</v>
      </c>
      <c r="J1357">
        <v>0</v>
      </c>
      <c r="K1357">
        <v>13</v>
      </c>
      <c r="L1357">
        <v>13</v>
      </c>
      <c r="Q1357">
        <v>0</v>
      </c>
      <c r="R1357">
        <v>0</v>
      </c>
      <c r="S1357">
        <v>13</v>
      </c>
      <c r="T1357" t="s">
        <v>7805</v>
      </c>
      <c r="U1357" t="s">
        <v>202</v>
      </c>
      <c r="V1357" t="s">
        <v>2299</v>
      </c>
      <c r="W1357">
        <v>39.86504</v>
      </c>
      <c r="X1357">
        <v>-84.11721</v>
      </c>
      <c r="Y1357" t="s">
        <v>9941</v>
      </c>
      <c r="Z1357" t="s">
        <v>4036</v>
      </c>
      <c r="AA1357" t="s">
        <v>4591</v>
      </c>
      <c r="AB1357" t="s">
        <v>5147</v>
      </c>
      <c r="AC1357" t="s">
        <v>9942</v>
      </c>
      <c r="AD1357" s="249" t="str">
        <f>HYPERLINK("https://scontent.cdninstagram.com/t51.2885-15/s320x320/e35/20902479_259261867925387_2130905684122796032_n.jpg")</f>
        <v>https://scontent.cdninstagram.com/t51.2885-15/s320x320/e35/20902479_259261867925387_2130905684122796032_n.jpg</v>
      </c>
      <c r="AE1357" s="249" t="str">
        <f>HYPERLINK("https://scontent.cdninstagram.com/t51.2885-19/s150x150/18879149_1471896259560338_6915572966390497280_a.jpg")</f>
        <v>https://scontent.cdninstagram.com/t51.2885-19/s150x150/18879149_1471896259560338_6915572966390497280_a.jpg</v>
      </c>
    </row>
    <row r="1358" spans="1:31" ht="15" x14ac:dyDescent="0.25">
      <c r="A1358" t="s">
        <v>2474</v>
      </c>
      <c r="B1358" t="s">
        <v>9943</v>
      </c>
      <c r="C1358" s="221">
        <v>42964.895879629628</v>
      </c>
      <c r="D1358" t="s">
        <v>9944</v>
      </c>
      <c r="E1358" s="249" t="str">
        <f>HYPERLINK("https://www.instagram.com/p/BX6rAdWgST-/")</f>
        <v>https://www.instagram.com/p/BX6rAdWgST-/</v>
      </c>
      <c r="F1358" t="s">
        <v>9945</v>
      </c>
      <c r="G1358" t="s">
        <v>2478</v>
      </c>
      <c r="H1358">
        <v>336</v>
      </c>
      <c r="I1358" t="s">
        <v>2479</v>
      </c>
      <c r="J1358">
        <v>3</v>
      </c>
      <c r="K1358">
        <v>32</v>
      </c>
      <c r="L1358">
        <v>35</v>
      </c>
      <c r="Q1358">
        <v>0</v>
      </c>
      <c r="R1358">
        <v>0</v>
      </c>
      <c r="S1358">
        <v>35</v>
      </c>
      <c r="Y1358" t="s">
        <v>9946</v>
      </c>
      <c r="Z1358" t="s">
        <v>3998</v>
      </c>
      <c r="AA1358" t="s">
        <v>9947</v>
      </c>
      <c r="AB1358" t="s">
        <v>9948</v>
      </c>
      <c r="AC1358" t="s">
        <v>9949</v>
      </c>
      <c r="AD1358" s="249" t="str">
        <f>HYPERLINK("https://scontent.cdninstagram.com/t51.2885-15/s320x320/e35/20838959_161688221054205_2706653742438023168_n.jpg")</f>
        <v>https://scontent.cdninstagram.com/t51.2885-15/s320x320/e35/20838959_161688221054205_2706653742438023168_n.jpg</v>
      </c>
      <c r="AE1358" s="249" t="str">
        <f>HYPERLINK("https://scontent.cdninstagram.com/t51.2885-19/s150x150/20969299_653402734861908_4725506392687902720_a.jpg")</f>
        <v>https://scontent.cdninstagram.com/t51.2885-19/s150x150/20969299_653402734861908_4725506392687902720_a.jpg</v>
      </c>
    </row>
    <row r="1359" spans="1:31" ht="15" x14ac:dyDescent="0.25">
      <c r="A1359" t="s">
        <v>2474</v>
      </c>
      <c r="B1359" t="s">
        <v>9950</v>
      </c>
      <c r="C1359" s="221">
        <v>42964.895983796298</v>
      </c>
      <c r="D1359" t="s">
        <v>9951</v>
      </c>
      <c r="E1359" s="249" t="str">
        <f>HYPERLINK("https://www.instagram.com/p/BX6rBm8FwAz/")</f>
        <v>https://www.instagram.com/p/BX6rBm8FwAz/</v>
      </c>
      <c r="F1359" t="s">
        <v>9952</v>
      </c>
      <c r="G1359" t="s">
        <v>2478</v>
      </c>
      <c r="H1359">
        <v>3233</v>
      </c>
      <c r="I1359" t="s">
        <v>2479</v>
      </c>
      <c r="J1359">
        <v>2</v>
      </c>
      <c r="K1359">
        <v>38</v>
      </c>
      <c r="L1359">
        <v>40</v>
      </c>
      <c r="Q1359">
        <v>0</v>
      </c>
      <c r="R1359">
        <v>0</v>
      </c>
      <c r="S1359">
        <v>40</v>
      </c>
      <c r="Y1359" t="s">
        <v>3246</v>
      </c>
      <c r="Z1359" t="s">
        <v>9953</v>
      </c>
      <c r="AA1359" t="s">
        <v>8178</v>
      </c>
      <c r="AB1359" t="s">
        <v>9954</v>
      </c>
      <c r="AC1359" t="s">
        <v>9955</v>
      </c>
      <c r="AD1359" s="249" t="str">
        <f>HYPERLINK("https://scontent.cdninstagram.com/t51.2885-15/s320x320/e35/20839096_341751122931827_820992164090609664_n.jpg")</f>
        <v>https://scontent.cdninstagram.com/t51.2885-15/s320x320/e35/20839096_341751122931827_820992164090609664_n.jpg</v>
      </c>
      <c r="AE1359" s="249" t="str">
        <f>HYPERLINK("https://scontent.cdninstagram.com/t51.2885-19/s150x150/19931958_358072331273930_3807816660585283584_a.jpg")</f>
        <v>https://scontent.cdninstagram.com/t51.2885-19/s150x150/19931958_358072331273930_3807816660585283584_a.jpg</v>
      </c>
    </row>
    <row r="1360" spans="1:31" ht="15" x14ac:dyDescent="0.25">
      <c r="A1360" t="s">
        <v>2474</v>
      </c>
      <c r="B1360" t="s">
        <v>9956</v>
      </c>
      <c r="C1360" s="221">
        <v>42964.899467592593</v>
      </c>
      <c r="D1360" t="s">
        <v>9957</v>
      </c>
      <c r="E1360" s="249" t="str">
        <f>HYPERLINK("https://www.instagram.com/p/BX6rmX8FyAn/")</f>
        <v>https://www.instagram.com/p/BX6rmX8FyAn/</v>
      </c>
      <c r="F1360" t="s">
        <v>9958</v>
      </c>
      <c r="G1360" t="s">
        <v>2478</v>
      </c>
      <c r="H1360">
        <v>4957</v>
      </c>
      <c r="I1360" t="s">
        <v>4523</v>
      </c>
      <c r="J1360">
        <v>6</v>
      </c>
      <c r="K1360">
        <v>201</v>
      </c>
      <c r="L1360">
        <v>207</v>
      </c>
      <c r="Q1360">
        <v>0</v>
      </c>
      <c r="R1360">
        <v>0</v>
      </c>
      <c r="S1360">
        <v>207</v>
      </c>
      <c r="T1360" t="s">
        <v>9959</v>
      </c>
      <c r="V1360" t="s">
        <v>2177</v>
      </c>
      <c r="W1360">
        <v>-8.7225748182509992</v>
      </c>
      <c r="X1360">
        <v>115.1719773052</v>
      </c>
      <c r="Y1360" t="s">
        <v>9960</v>
      </c>
      <c r="Z1360" t="s">
        <v>9961</v>
      </c>
      <c r="AA1360" t="s">
        <v>9962</v>
      </c>
      <c r="AB1360" t="s">
        <v>9963</v>
      </c>
      <c r="AC1360" t="s">
        <v>9964</v>
      </c>
      <c r="AD1360" s="249" t="str">
        <f>HYPERLINK("https://scontent.cdninstagram.com/t51.2885-15/s320x320/e35/c135.0.810.810/20838280_307785833026677_3568667714698346496_n.jpg")</f>
        <v>https://scontent.cdninstagram.com/t51.2885-15/s320x320/e35/c135.0.810.810/20838280_307785833026677_3568667714698346496_n.jpg</v>
      </c>
      <c r="AE1360" s="249" t="str">
        <f>HYPERLINK("https://scontent.cdninstagram.com/t51.2885-19/s150x150/13703189_1717373015190048_683973458_a.jpg")</f>
        <v>https://scontent.cdninstagram.com/t51.2885-19/s150x150/13703189_1717373015190048_683973458_a.jpg</v>
      </c>
    </row>
    <row r="1361" spans="1:31" ht="15" x14ac:dyDescent="0.25">
      <c r="A1361" t="s">
        <v>2474</v>
      </c>
      <c r="B1361" t="s">
        <v>9933</v>
      </c>
      <c r="C1361" s="221">
        <v>42964.914178240739</v>
      </c>
      <c r="D1361" t="s">
        <v>9965</v>
      </c>
      <c r="E1361" s="249" t="str">
        <f>HYPERLINK("https://www.instagram.com/p/BX6uBiAgMBC/")</f>
        <v>https://www.instagram.com/p/BX6uBiAgMBC/</v>
      </c>
      <c r="F1361" t="s">
        <v>9966</v>
      </c>
      <c r="G1361" t="s">
        <v>2478</v>
      </c>
      <c r="H1361">
        <v>133</v>
      </c>
      <c r="I1361" t="s">
        <v>2542</v>
      </c>
      <c r="J1361">
        <v>1</v>
      </c>
      <c r="K1361">
        <v>35</v>
      </c>
      <c r="L1361">
        <v>36</v>
      </c>
      <c r="Q1361">
        <v>0</v>
      </c>
      <c r="R1361">
        <v>0</v>
      </c>
      <c r="S1361">
        <v>36</v>
      </c>
      <c r="Y1361" t="s">
        <v>9967</v>
      </c>
      <c r="Z1361" t="s">
        <v>9968</v>
      </c>
      <c r="AA1361" t="s">
        <v>9969</v>
      </c>
      <c r="AB1361" t="s">
        <v>9970</v>
      </c>
      <c r="AC1361" t="s">
        <v>9971</v>
      </c>
      <c r="AD1361" s="249" t="str">
        <f>HYPERLINK("https://scontent.cdninstagram.com/t51.2885-15/s320x320/e35/c3.0.1074.1074/20837645_281597828984923_5608646196680720384_n.jpg")</f>
        <v>https://scontent.cdninstagram.com/t51.2885-15/s320x320/e35/c3.0.1074.1074/20837645_281597828984923_5608646196680720384_n.jpg</v>
      </c>
      <c r="AE1361" s="249" t="str">
        <f>HYPERLINK("https://scontent.cdninstagram.com/t51.2885-19/s150x150/18809651_442406769466312_3479450751355322368_a.jpg")</f>
        <v>https://scontent.cdninstagram.com/t51.2885-19/s150x150/18809651_442406769466312_3479450751355322368_a.jpg</v>
      </c>
    </row>
    <row r="1362" spans="1:31" ht="15" x14ac:dyDescent="0.25">
      <c r="A1362" t="s">
        <v>2474</v>
      </c>
      <c r="B1362" t="s">
        <v>9972</v>
      </c>
      <c r="C1362" s="221">
        <v>42964.93178240741</v>
      </c>
      <c r="D1362" t="s">
        <v>9973</v>
      </c>
      <c r="E1362" s="249" t="str">
        <f>HYPERLINK("https://www.instagram.com/p/BX6w7LxHXkR/")</f>
        <v>https://www.instagram.com/p/BX6w7LxHXkR/</v>
      </c>
      <c r="F1362" t="s">
        <v>9974</v>
      </c>
      <c r="G1362" t="s">
        <v>2488</v>
      </c>
      <c r="H1362">
        <v>154</v>
      </c>
      <c r="I1362" t="s">
        <v>2479</v>
      </c>
      <c r="J1362">
        <v>1</v>
      </c>
      <c r="K1362">
        <v>40</v>
      </c>
      <c r="L1362">
        <v>41</v>
      </c>
      <c r="Q1362">
        <v>0</v>
      </c>
      <c r="R1362">
        <v>0</v>
      </c>
      <c r="S1362">
        <v>41</v>
      </c>
      <c r="Y1362" t="s">
        <v>9975</v>
      </c>
      <c r="Z1362" t="s">
        <v>9976</v>
      </c>
      <c r="AA1362" t="s">
        <v>9977</v>
      </c>
      <c r="AB1362" t="s">
        <v>9978</v>
      </c>
      <c r="AC1362" t="s">
        <v>9979</v>
      </c>
      <c r="AD1362" s="249" t="str">
        <f>HYPERLINK("https://scontent.cdninstagram.com/t51.2885-15/s320x320/e35/20905076_946145958858169_6664273326094942208_n.jpg")</f>
        <v>https://scontent.cdninstagram.com/t51.2885-15/s320x320/e35/20905076_946145958858169_6664273326094942208_n.jpg</v>
      </c>
      <c r="AE1362" s="249" t="str">
        <f>HYPERLINK("https://scontent.cdninstagram.com/t51.2885-19/s150x150/18011386_881774715296007_6767375862871359488_a.jpg")</f>
        <v>https://scontent.cdninstagram.com/t51.2885-19/s150x150/18011386_881774715296007_6767375862871359488_a.jpg</v>
      </c>
    </row>
    <row r="1363" spans="1:31" ht="15" x14ac:dyDescent="0.25">
      <c r="A1363" t="s">
        <v>2474</v>
      </c>
      <c r="B1363" t="s">
        <v>9980</v>
      </c>
      <c r="C1363" s="221">
        <v>42964.937719907408</v>
      </c>
      <c r="D1363" t="s">
        <v>9981</v>
      </c>
      <c r="E1363" s="249" t="str">
        <f>HYPERLINK("https://www.instagram.com/p/BX6x5u9H6yW/")</f>
        <v>https://www.instagram.com/p/BX6x5u9H6yW/</v>
      </c>
      <c r="F1363" t="s">
        <v>9982</v>
      </c>
      <c r="G1363" t="s">
        <v>2478</v>
      </c>
      <c r="H1363">
        <v>376</v>
      </c>
      <c r="I1363" t="s">
        <v>2542</v>
      </c>
      <c r="J1363">
        <v>0</v>
      </c>
      <c r="K1363">
        <v>21</v>
      </c>
      <c r="L1363">
        <v>21</v>
      </c>
      <c r="Q1363">
        <v>0</v>
      </c>
      <c r="R1363">
        <v>0</v>
      </c>
      <c r="S1363">
        <v>21</v>
      </c>
      <c r="T1363" t="s">
        <v>9983</v>
      </c>
      <c r="U1363" t="s">
        <v>1760</v>
      </c>
      <c r="V1363" t="s">
        <v>2299</v>
      </c>
      <c r="W1363">
        <v>48.157133714925997</v>
      </c>
      <c r="X1363">
        <v>-103.64600076972999</v>
      </c>
      <c r="Y1363" t="s">
        <v>2497</v>
      </c>
      <c r="Z1363" t="s">
        <v>4779</v>
      </c>
      <c r="AA1363" t="s">
        <v>9984</v>
      </c>
      <c r="AB1363" t="s">
        <v>9985</v>
      </c>
      <c r="AC1363" t="s">
        <v>2617</v>
      </c>
      <c r="AD1363" s="249" t="str">
        <f>HYPERLINK("https://scontent.cdninstagram.com/t51.2885-15/s320x320/e35/c178.0.723.723/20837654_1738791976148566_6379599273058631680_n.jpg")</f>
        <v>https://scontent.cdninstagram.com/t51.2885-15/s320x320/e35/c178.0.723.723/20837654_1738791976148566_6379599273058631680_n.jpg</v>
      </c>
      <c r="AE1363" s="249" t="str">
        <f>HYPERLINK("https://scontent.cdninstagram.com/t51.2885-19/s150x150/20688436_474127376283732_205842621262725120_a.jpg")</f>
        <v>https://scontent.cdninstagram.com/t51.2885-19/s150x150/20688436_474127376283732_205842621262725120_a.jpg</v>
      </c>
    </row>
    <row r="1364" spans="1:31" ht="15" x14ac:dyDescent="0.25">
      <c r="A1364" t="s">
        <v>2474</v>
      </c>
      <c r="B1364" t="s">
        <v>5699</v>
      </c>
      <c r="C1364" s="221">
        <v>42964.940775462965</v>
      </c>
      <c r="D1364" t="s">
        <v>9986</v>
      </c>
      <c r="E1364" s="249" t="str">
        <f>HYPERLINK("https://www.instagram.com/p/BX6yZ_alU09/")</f>
        <v>https://www.instagram.com/p/BX6yZ_alU09/</v>
      </c>
      <c r="F1364" t="s">
        <v>9987</v>
      </c>
      <c r="G1364" t="s">
        <v>2478</v>
      </c>
      <c r="H1364">
        <v>93</v>
      </c>
      <c r="I1364" t="s">
        <v>2479</v>
      </c>
      <c r="J1364">
        <v>1</v>
      </c>
      <c r="K1364">
        <v>22</v>
      </c>
      <c r="L1364">
        <v>23</v>
      </c>
      <c r="Q1364">
        <v>0</v>
      </c>
      <c r="R1364">
        <v>0</v>
      </c>
      <c r="S1364">
        <v>23</v>
      </c>
      <c r="T1364" t="s">
        <v>3474</v>
      </c>
      <c r="V1364" t="s">
        <v>2258</v>
      </c>
      <c r="W1364">
        <v>1.2930600000000001</v>
      </c>
      <c r="X1364">
        <v>103.85599999999999</v>
      </c>
      <c r="Y1364" t="s">
        <v>6775</v>
      </c>
      <c r="Z1364" t="s">
        <v>5702</v>
      </c>
      <c r="AA1364" t="s">
        <v>9907</v>
      </c>
      <c r="AB1364" t="s">
        <v>5841</v>
      </c>
      <c r="AC1364" t="s">
        <v>3851</v>
      </c>
      <c r="AD1364" s="249" t="str">
        <f>HYPERLINK("https://scontent.cdninstagram.com/t51.2885-15/s320x320/e35/20838659_1132877146856334_5638812646808485888_n.jpg")</f>
        <v>https://scontent.cdninstagram.com/t51.2885-15/s320x320/e35/20838659_1132877146856334_5638812646808485888_n.jpg</v>
      </c>
      <c r="AE1364" s="249" t="str">
        <f>HYPERLINK("https://scontent.cdninstagram.com/t51.2885-19/s150x150/18252635_446319085720165_2717160400675143680_a.jpg")</f>
        <v>https://scontent.cdninstagram.com/t51.2885-19/s150x150/18252635_446319085720165_2717160400675143680_a.jpg</v>
      </c>
    </row>
    <row r="1365" spans="1:31" ht="15" x14ac:dyDescent="0.25">
      <c r="A1365" t="s">
        <v>2474</v>
      </c>
      <c r="B1365" t="s">
        <v>9988</v>
      </c>
      <c r="C1365" s="221">
        <v>42964.944247685184</v>
      </c>
      <c r="D1365" t="s">
        <v>9989</v>
      </c>
      <c r="E1365" s="249" t="str">
        <f>HYPERLINK("https://www.instagram.com/p/BX6y-pfls7m/")</f>
        <v>https://www.instagram.com/p/BX6y-pfls7m/</v>
      </c>
      <c r="F1365" t="s">
        <v>9990</v>
      </c>
      <c r="G1365" t="s">
        <v>2478</v>
      </c>
      <c r="H1365">
        <v>265</v>
      </c>
      <c r="I1365" t="s">
        <v>2748</v>
      </c>
      <c r="J1365">
        <v>3</v>
      </c>
      <c r="K1365">
        <v>29</v>
      </c>
      <c r="L1365">
        <v>32</v>
      </c>
      <c r="Q1365">
        <v>0</v>
      </c>
      <c r="R1365">
        <v>0</v>
      </c>
      <c r="S1365">
        <v>32</v>
      </c>
      <c r="Y1365" t="s">
        <v>7558</v>
      </c>
      <c r="Z1365" t="s">
        <v>9991</v>
      </c>
      <c r="AA1365" t="s">
        <v>9992</v>
      </c>
      <c r="AB1365" t="s">
        <v>9993</v>
      </c>
      <c r="AC1365" t="s">
        <v>8072</v>
      </c>
      <c r="AD1365" s="249" t="str">
        <f>HYPERLINK("https://scontent.cdninstagram.com/t51.2885-15/s320x320/e35/20902169_1103645146438609_6158445544357232640_n.jpg")</f>
        <v>https://scontent.cdninstagram.com/t51.2885-15/s320x320/e35/20902169_1103645146438609_6158445544357232640_n.jpg</v>
      </c>
      <c r="AE1365" s="249" t="str">
        <f>HYPERLINK("https://scontent.cdninstagram.com/t51.2885-19/s150x150/12599449_966051166843977_1471221583_a.jpg")</f>
        <v>https://scontent.cdninstagram.com/t51.2885-19/s150x150/12599449_966051166843977_1471221583_a.jpg</v>
      </c>
    </row>
    <row r="1366" spans="1:31" ht="15" x14ac:dyDescent="0.25">
      <c r="A1366" t="s">
        <v>2474</v>
      </c>
      <c r="B1366" t="s">
        <v>4616</v>
      </c>
      <c r="C1366" s="221">
        <v>42964.964155092595</v>
      </c>
      <c r="D1366" t="s">
        <v>9994</v>
      </c>
      <c r="E1366" s="249" t="str">
        <f>HYPERLINK("https://www.instagram.com/p/BX62QhdB7uB/")</f>
        <v>https://www.instagram.com/p/BX62QhdB7uB/</v>
      </c>
      <c r="F1366" t="s">
        <v>9995</v>
      </c>
      <c r="G1366" t="s">
        <v>2478</v>
      </c>
      <c r="H1366">
        <v>119</v>
      </c>
      <c r="I1366" t="s">
        <v>2479</v>
      </c>
      <c r="J1366">
        <v>4</v>
      </c>
      <c r="K1366">
        <v>37</v>
      </c>
      <c r="L1366">
        <v>41</v>
      </c>
      <c r="Q1366">
        <v>0</v>
      </c>
      <c r="R1366">
        <v>0</v>
      </c>
      <c r="S1366">
        <v>41</v>
      </c>
      <c r="T1366" t="s">
        <v>5004</v>
      </c>
      <c r="W1366">
        <v>56</v>
      </c>
      <c r="X1366">
        <v>-109</v>
      </c>
      <c r="Y1366" t="s">
        <v>5005</v>
      </c>
      <c r="Z1366" t="s">
        <v>5006</v>
      </c>
      <c r="AA1366" t="s">
        <v>4620</v>
      </c>
      <c r="AB1366" t="s">
        <v>9938</v>
      </c>
      <c r="AC1366" t="s">
        <v>3174</v>
      </c>
      <c r="AD1366" s="249" t="str">
        <f>HYPERLINK("https://scontent.cdninstagram.com/t51.2885-15/s320x320/e35/c135.0.810.810/20838384_132950000647908_6864354051161587712_n.jpg")</f>
        <v>https://scontent.cdninstagram.com/t51.2885-15/s320x320/e35/c135.0.810.810/20838384_132950000647908_6864354051161587712_n.jpg</v>
      </c>
      <c r="AE1366" s="249" t="str">
        <f>HYPERLINK("https://scontent.cdninstagram.com/t51.2885-19/s150x150/17494353_1347957098574282_2527511313651859456_a.jpg")</f>
        <v>https://scontent.cdninstagram.com/t51.2885-19/s150x150/17494353_1347957098574282_2527511313651859456_a.jpg</v>
      </c>
    </row>
    <row r="1367" spans="1:31" ht="15" x14ac:dyDescent="0.25">
      <c r="A1367" t="s">
        <v>2474</v>
      </c>
      <c r="B1367" t="s">
        <v>6819</v>
      </c>
      <c r="C1367" s="221">
        <v>42964.986226851855</v>
      </c>
      <c r="D1367" t="s">
        <v>9996</v>
      </c>
      <c r="E1367" s="249" t="str">
        <f>HYPERLINK("https://www.instagram.com/p/BX655WcFRXN/")</f>
        <v>https://www.instagram.com/p/BX655WcFRXN/</v>
      </c>
      <c r="F1367" t="s">
        <v>9997</v>
      </c>
      <c r="G1367" t="s">
        <v>2478</v>
      </c>
      <c r="H1367">
        <v>43035</v>
      </c>
      <c r="I1367" t="s">
        <v>2479</v>
      </c>
      <c r="J1367">
        <v>38</v>
      </c>
      <c r="K1367">
        <v>1456</v>
      </c>
      <c r="L1367">
        <v>1494</v>
      </c>
      <c r="Q1367">
        <v>0</v>
      </c>
      <c r="R1367">
        <v>0</v>
      </c>
      <c r="S1367">
        <v>1494</v>
      </c>
      <c r="Y1367" t="s">
        <v>6277</v>
      </c>
      <c r="Z1367" t="s">
        <v>9998</v>
      </c>
      <c r="AA1367" t="s">
        <v>9999</v>
      </c>
      <c r="AB1367" t="s">
        <v>10000</v>
      </c>
      <c r="AC1367" t="s">
        <v>10001</v>
      </c>
      <c r="AD1367" s="249" t="str">
        <f>HYPERLINK("https://scontent.cdninstagram.com/t51.2885-15/s320x320/e35/c0.135.1080.1080/20837707_111329199570335_3570235695588966400_n.jpg")</f>
        <v>https://scontent.cdninstagram.com/t51.2885-15/s320x320/e35/c0.135.1080.1080/20837707_111329199570335_3570235695588966400_n.jpg</v>
      </c>
      <c r="AE1367" s="249" t="str">
        <f>HYPERLINK("https://scontent.cdninstagram.com/t51.2885-19/s150x150/19932754_334176993683769_2034620166683230208_n.jpg")</f>
        <v>https://scontent.cdninstagram.com/t51.2885-19/s150x150/19932754_334176993683769_2034620166683230208_n.jpg</v>
      </c>
    </row>
    <row r="1368" spans="1:31" ht="15" x14ac:dyDescent="0.25">
      <c r="A1368" t="s">
        <v>2474</v>
      </c>
      <c r="B1368" t="s">
        <v>3154</v>
      </c>
      <c r="C1368" s="221">
        <v>42964.989282407405</v>
      </c>
      <c r="D1368" t="s">
        <v>10002</v>
      </c>
      <c r="E1368" s="249" t="str">
        <f>HYPERLINK("https://www.instagram.com/p/BX66Zpij32l/")</f>
        <v>https://www.instagram.com/p/BX66Zpij32l/</v>
      </c>
      <c r="F1368" t="s">
        <v>10003</v>
      </c>
      <c r="G1368" t="s">
        <v>2631</v>
      </c>
      <c r="H1368">
        <v>860</v>
      </c>
      <c r="I1368" t="s">
        <v>2479</v>
      </c>
      <c r="J1368">
        <v>2</v>
      </c>
      <c r="K1368">
        <v>65</v>
      </c>
      <c r="L1368">
        <v>67</v>
      </c>
      <c r="Q1368">
        <v>0</v>
      </c>
      <c r="R1368">
        <v>0</v>
      </c>
      <c r="S1368">
        <v>67</v>
      </c>
      <c r="Y1368" t="s">
        <v>10004</v>
      </c>
      <c r="Z1368" t="s">
        <v>2906</v>
      </c>
      <c r="AA1368" t="s">
        <v>2833</v>
      </c>
      <c r="AB1368" t="s">
        <v>10005</v>
      </c>
      <c r="AC1368" t="s">
        <v>5457</v>
      </c>
      <c r="AD1368" s="249" t="str">
        <f>HYPERLINK("https://scontent.cdninstagram.com/t51.2885-15/s320x320/e15/c0.76.612.612/20969365_1603543569687192_3501957320584200192_n.jpg")</f>
        <v>https://scontent.cdninstagram.com/t51.2885-15/s320x320/e15/c0.76.612.612/20969365_1603543569687192_3501957320584200192_n.jpg</v>
      </c>
      <c r="AE1368" s="249" t="str">
        <f>HYPERLINK("https://scontent.cdninstagram.com/t51.2885-19/s150x150/19985569_317129912066691_5696369542196887552_a.jpg")</f>
        <v>https://scontent.cdninstagram.com/t51.2885-19/s150x150/19985569_317129912066691_5696369542196887552_a.jpg</v>
      </c>
    </row>
    <row r="1369" spans="1:31" ht="15" x14ac:dyDescent="0.25">
      <c r="A1369" t="s">
        <v>2474</v>
      </c>
      <c r="B1369" t="s">
        <v>10006</v>
      </c>
      <c r="C1369" s="221">
        <v>42965.005173611113</v>
      </c>
      <c r="D1369" t="s">
        <v>10007</v>
      </c>
      <c r="E1369" s="249" t="str">
        <f>HYPERLINK("https://www.instagram.com/p/BX69BIjBJrS/")</f>
        <v>https://www.instagram.com/p/BX69BIjBJrS/</v>
      </c>
      <c r="F1369" t="s">
        <v>10008</v>
      </c>
      <c r="G1369" t="s">
        <v>2478</v>
      </c>
      <c r="H1369">
        <v>869</v>
      </c>
      <c r="I1369" t="s">
        <v>2479</v>
      </c>
      <c r="J1369">
        <v>3</v>
      </c>
      <c r="K1369">
        <v>126</v>
      </c>
      <c r="L1369">
        <v>129</v>
      </c>
      <c r="Q1369">
        <v>0</v>
      </c>
      <c r="R1369">
        <v>0</v>
      </c>
      <c r="S1369">
        <v>129</v>
      </c>
      <c r="Y1369" t="s">
        <v>10009</v>
      </c>
      <c r="Z1369" t="s">
        <v>2833</v>
      </c>
      <c r="AA1369" t="s">
        <v>10010</v>
      </c>
      <c r="AB1369" t="s">
        <v>10011</v>
      </c>
      <c r="AC1369" t="s">
        <v>10012</v>
      </c>
      <c r="AD1369" s="249" t="str">
        <f>HYPERLINK("https://scontent.cdninstagram.com/t51.2885-15/s320x320/e35/c0.105.1080.1080/20837542_162095654347649_5563212619579392000_n.jpg")</f>
        <v>https://scontent.cdninstagram.com/t51.2885-15/s320x320/e35/c0.105.1080.1080/20837542_162095654347649_5563212619579392000_n.jpg</v>
      </c>
      <c r="AE1369" s="249" t="str">
        <f>HYPERLINK("https://scontent.cdninstagram.com/t51.2885-19/s150x150/20902380_702663889935084_4419281168717840384_a.jpg")</f>
        <v>https://scontent.cdninstagram.com/t51.2885-19/s150x150/20902380_702663889935084_4419281168717840384_a.jpg</v>
      </c>
    </row>
    <row r="1370" spans="1:31" ht="15" x14ac:dyDescent="0.25">
      <c r="A1370" t="s">
        <v>2474</v>
      </c>
      <c r="B1370" t="s">
        <v>10013</v>
      </c>
      <c r="C1370" s="221">
        <v>42965.012291666666</v>
      </c>
      <c r="D1370" t="s">
        <v>10014</v>
      </c>
      <c r="E1370" s="249" t="str">
        <f>HYPERLINK("https://www.instagram.com/p/BX6-MQjDVIt/")</f>
        <v>https://www.instagram.com/p/BX6-MQjDVIt/</v>
      </c>
      <c r="F1370" t="s">
        <v>10015</v>
      </c>
      <c r="G1370" t="s">
        <v>2478</v>
      </c>
      <c r="H1370">
        <v>113</v>
      </c>
      <c r="I1370" t="s">
        <v>2479</v>
      </c>
      <c r="J1370">
        <v>0</v>
      </c>
      <c r="K1370">
        <v>24</v>
      </c>
      <c r="L1370">
        <v>24</v>
      </c>
      <c r="Q1370">
        <v>0</v>
      </c>
      <c r="R1370">
        <v>0</v>
      </c>
      <c r="S1370">
        <v>24</v>
      </c>
      <c r="Y1370" t="s">
        <v>2497</v>
      </c>
      <c r="Z1370" t="s">
        <v>2562</v>
      </c>
      <c r="AA1370" t="s">
        <v>4253</v>
      </c>
      <c r="AB1370" t="s">
        <v>3706</v>
      </c>
      <c r="AC1370" t="s">
        <v>2667</v>
      </c>
      <c r="AD1370" s="249" t="str">
        <f>HYPERLINK("https://scontent.cdninstagram.com/t51.2885-15/s320x320/e35/c50.0.980.980/20905057_116623368997653_7089931527458390016_n.jpg")</f>
        <v>https://scontent.cdninstagram.com/t51.2885-15/s320x320/e35/c50.0.980.980/20905057_116623368997653_7089931527458390016_n.jpg</v>
      </c>
      <c r="AE1370" s="249" t="str">
        <f>HYPERLINK("https://scontent.cdninstagram.com/t51.2885-19/s150x150/14561892_1453516584677931_3185562176697925632_a.jpg")</f>
        <v>https://scontent.cdninstagram.com/t51.2885-19/s150x150/14561892_1453516584677931_3185562176697925632_a.jpg</v>
      </c>
    </row>
    <row r="1371" spans="1:31" ht="15" x14ac:dyDescent="0.25">
      <c r="A1371" t="s">
        <v>2474</v>
      </c>
      <c r="B1371" t="s">
        <v>10016</v>
      </c>
      <c r="C1371" s="221">
        <v>42965.015567129631</v>
      </c>
      <c r="D1371" t="s">
        <v>10017</v>
      </c>
      <c r="E1371" s="249" t="str">
        <f>HYPERLINK("https://www.instagram.com/p/BX6-uw2jAB3/")</f>
        <v>https://www.instagram.com/p/BX6-uw2jAB3/</v>
      </c>
      <c r="F1371" t="s">
        <v>10018</v>
      </c>
      <c r="G1371" t="s">
        <v>2478</v>
      </c>
      <c r="H1371">
        <v>164</v>
      </c>
      <c r="I1371" t="s">
        <v>2479</v>
      </c>
      <c r="J1371">
        <v>1</v>
      </c>
      <c r="K1371">
        <v>28</v>
      </c>
      <c r="L1371">
        <v>29</v>
      </c>
      <c r="Q1371">
        <v>0</v>
      </c>
      <c r="R1371">
        <v>0</v>
      </c>
      <c r="S1371">
        <v>29</v>
      </c>
      <c r="Y1371" t="s">
        <v>2497</v>
      </c>
      <c r="Z1371" t="s">
        <v>10019</v>
      </c>
      <c r="AA1371" t="s">
        <v>10020</v>
      </c>
      <c r="AB1371" t="s">
        <v>10021</v>
      </c>
      <c r="AC1371" t="s">
        <v>9978</v>
      </c>
      <c r="AD1371" s="249" t="str">
        <f>HYPERLINK("https://scontent.cdninstagram.com/t51.2885-15/s320x320/e35/c0.62.502.502/20902694_469454256767157_6760654771629064192_n.jpg")</f>
        <v>https://scontent.cdninstagram.com/t51.2885-15/s320x320/e35/c0.62.502.502/20902694_469454256767157_6760654771629064192_n.jpg</v>
      </c>
      <c r="AE1371" s="249" t="str">
        <f>HYPERLINK("https://scontent.cdninstagram.com/t51.2885-19/s150x150/20225273_1588956907803239_2891206678965911552_a.jpg")</f>
        <v>https://scontent.cdninstagram.com/t51.2885-19/s150x150/20225273_1588956907803239_2891206678965911552_a.jpg</v>
      </c>
    </row>
    <row r="1372" spans="1:31" ht="15" x14ac:dyDescent="0.25">
      <c r="A1372" t="s">
        <v>2474</v>
      </c>
      <c r="B1372" t="s">
        <v>10022</v>
      </c>
      <c r="C1372" s="221">
        <v>42965.028981481482</v>
      </c>
      <c r="D1372" t="s">
        <v>10023</v>
      </c>
      <c r="E1372" s="249" t="str">
        <f>HYPERLINK("https://www.instagram.com/p/BX7A8UhHyPv/")</f>
        <v>https://www.instagram.com/p/BX7A8UhHyPv/</v>
      </c>
      <c r="F1372" t="s">
        <v>10024</v>
      </c>
      <c r="G1372" t="s">
        <v>2478</v>
      </c>
      <c r="H1372">
        <v>46</v>
      </c>
      <c r="I1372" t="s">
        <v>2582</v>
      </c>
      <c r="J1372">
        <v>2</v>
      </c>
      <c r="K1372">
        <v>24</v>
      </c>
      <c r="L1372">
        <v>26</v>
      </c>
      <c r="Q1372">
        <v>0</v>
      </c>
      <c r="R1372">
        <v>0</v>
      </c>
      <c r="S1372">
        <v>26</v>
      </c>
      <c r="T1372" t="s">
        <v>10025</v>
      </c>
      <c r="V1372" t="s">
        <v>2110</v>
      </c>
      <c r="W1372">
        <v>50.633299999999998</v>
      </c>
      <c r="X1372">
        <v>5.5666700000000002</v>
      </c>
      <c r="Y1372" t="s">
        <v>10026</v>
      </c>
      <c r="Z1372" t="s">
        <v>10027</v>
      </c>
      <c r="AA1372" t="s">
        <v>2497</v>
      </c>
      <c r="AB1372" t="s">
        <v>10028</v>
      </c>
      <c r="AC1372" t="s">
        <v>10029</v>
      </c>
      <c r="AD1372" s="249" t="str">
        <f>HYPERLINK("https://scontent.cdninstagram.com/t51.2885-15/s320x320/e35/20838199_142510209671497_4735474719724142592_n.jpg")</f>
        <v>https://scontent.cdninstagram.com/t51.2885-15/s320x320/e35/20838199_142510209671497_4735474719724142592_n.jpg</v>
      </c>
      <c r="AE1372" s="249" t="str">
        <f>HYPERLINK("https://scontent.cdninstagram.com/t51.2885-19/s150x150/20634943_1969333370009211_3070590184266399744_a.jpg")</f>
        <v>https://scontent.cdninstagram.com/t51.2885-19/s150x150/20634943_1969333370009211_3070590184266399744_a.jpg</v>
      </c>
    </row>
    <row r="1373" spans="1:31" ht="15" x14ac:dyDescent="0.25">
      <c r="A1373" t="s">
        <v>2474</v>
      </c>
      <c r="B1373" t="s">
        <v>3015</v>
      </c>
      <c r="C1373" s="221">
        <v>42965.035486111112</v>
      </c>
      <c r="D1373" t="s">
        <v>10030</v>
      </c>
      <c r="E1373" s="249" t="str">
        <f>HYPERLINK("https://www.instagram.com/p/BX7CA5vgRk6/")</f>
        <v>https://www.instagram.com/p/BX7CA5vgRk6/</v>
      </c>
      <c r="F1373" t="s">
        <v>10031</v>
      </c>
      <c r="G1373" t="s">
        <v>2478</v>
      </c>
      <c r="H1373">
        <v>184</v>
      </c>
      <c r="I1373" t="s">
        <v>2479</v>
      </c>
      <c r="J1373">
        <v>0</v>
      </c>
      <c r="K1373">
        <v>32</v>
      </c>
      <c r="L1373">
        <v>32</v>
      </c>
      <c r="Q1373">
        <v>0</v>
      </c>
      <c r="R1373">
        <v>0</v>
      </c>
      <c r="S1373">
        <v>32</v>
      </c>
      <c r="Y1373" t="s">
        <v>3571</v>
      </c>
      <c r="Z1373" t="s">
        <v>3018</v>
      </c>
      <c r="AA1373" t="s">
        <v>4127</v>
      </c>
      <c r="AB1373" t="s">
        <v>3020</v>
      </c>
      <c r="AC1373" t="s">
        <v>10032</v>
      </c>
      <c r="AD1373" s="249" t="str">
        <f>HYPERLINK("https://scontent.cdninstagram.com/t51.2885-15/s320x320/e35/20837491_513517622336275_1554743101333962752_n.jpg")</f>
        <v>https://scontent.cdninstagram.com/t51.2885-15/s320x320/e35/20837491_513517622336275_1554743101333962752_n.jpg</v>
      </c>
      <c r="AE1373" s="249" t="str">
        <f>HYPERLINK("https://scontent.cdninstagram.com/t51.2885-19/s150x150/19761452_1876060406050696_4275948751316582400_a.jpg")</f>
        <v>https://scontent.cdninstagram.com/t51.2885-19/s150x150/19761452_1876060406050696_4275948751316582400_a.jpg</v>
      </c>
    </row>
    <row r="1374" spans="1:31" ht="15" x14ac:dyDescent="0.25">
      <c r="A1374" t="s">
        <v>2474</v>
      </c>
      <c r="B1374" t="s">
        <v>10033</v>
      </c>
      <c r="C1374" s="221">
        <v>42965.056296296294</v>
      </c>
      <c r="D1374" t="s">
        <v>10034</v>
      </c>
      <c r="E1374" s="249" t="str">
        <f>HYPERLINK("https://www.instagram.com/p/BX7FcXLDoAw/")</f>
        <v>https://www.instagram.com/p/BX7FcXLDoAw/</v>
      </c>
      <c r="F1374" t="s">
        <v>10035</v>
      </c>
      <c r="G1374" t="s">
        <v>2478</v>
      </c>
      <c r="H1374">
        <v>811</v>
      </c>
      <c r="I1374" t="s">
        <v>2479</v>
      </c>
      <c r="J1374">
        <v>4</v>
      </c>
      <c r="K1374">
        <v>46</v>
      </c>
      <c r="L1374">
        <v>50</v>
      </c>
      <c r="Q1374">
        <v>0</v>
      </c>
      <c r="R1374">
        <v>0</v>
      </c>
      <c r="S1374">
        <v>50</v>
      </c>
      <c r="Y1374" t="s">
        <v>3706</v>
      </c>
      <c r="Z1374" t="s">
        <v>2833</v>
      </c>
      <c r="AA1374" t="s">
        <v>5521</v>
      </c>
      <c r="AB1374" t="s">
        <v>10036</v>
      </c>
      <c r="AC1374" t="s">
        <v>7830</v>
      </c>
      <c r="AD1374" s="249" t="str">
        <f>HYPERLINK("https://scontent.cdninstagram.com/t51.2885-15/s320x320/e35/c0.50.400.400/20905111_267954653692708_9052168777805856768_n.jpg")</f>
        <v>https://scontent.cdninstagram.com/t51.2885-15/s320x320/e35/c0.50.400.400/20905111_267954653692708_9052168777805856768_n.jpg</v>
      </c>
      <c r="AE1374" s="249" t="str">
        <f>HYPERLINK("https://scontent.cdninstagram.com/t51.2885-19/s150x150/13731142_1128127230628861_1631822748_a.jpg")</f>
        <v>https://scontent.cdninstagram.com/t51.2885-19/s150x150/13731142_1128127230628861_1631822748_a.jpg</v>
      </c>
    </row>
    <row r="1375" spans="1:31" ht="15" x14ac:dyDescent="0.25">
      <c r="A1375" t="s">
        <v>2474</v>
      </c>
      <c r="B1375" t="s">
        <v>2548</v>
      </c>
      <c r="C1375" s="221">
        <v>42965.057951388888</v>
      </c>
      <c r="D1375" t="s">
        <v>10037</v>
      </c>
      <c r="E1375" s="249" t="str">
        <f>HYPERLINK("https://www.instagram.com/p/BX7FtzDnTBi/")</f>
        <v>https://www.instagram.com/p/BX7FtzDnTBi/</v>
      </c>
      <c r="F1375" t="s">
        <v>10038</v>
      </c>
      <c r="G1375" t="s">
        <v>2478</v>
      </c>
      <c r="H1375">
        <v>522</v>
      </c>
      <c r="I1375" t="s">
        <v>2479</v>
      </c>
      <c r="J1375">
        <v>0</v>
      </c>
      <c r="K1375">
        <v>35</v>
      </c>
      <c r="L1375">
        <v>35</v>
      </c>
      <c r="Q1375">
        <v>0</v>
      </c>
      <c r="R1375">
        <v>0</v>
      </c>
      <c r="S1375">
        <v>35</v>
      </c>
      <c r="Y1375" t="s">
        <v>3804</v>
      </c>
      <c r="Z1375" t="s">
        <v>2603</v>
      </c>
      <c r="AA1375" t="s">
        <v>2552</v>
      </c>
      <c r="AB1375" t="s">
        <v>2906</v>
      </c>
      <c r="AC1375" t="s">
        <v>2861</v>
      </c>
      <c r="AD1375" s="249" t="str">
        <f>HYPERLINK("https://scontent.cdninstagram.com/t51.2885-15/s320x320/e35/20902345_256630754843650_5043331502985707520_n.jpg")</f>
        <v>https://scontent.cdninstagram.com/t51.2885-15/s320x320/e35/20902345_256630754843650_5043331502985707520_n.jpg</v>
      </c>
      <c r="AE1375" s="249" t="str">
        <f>HYPERLINK("https://scontent.cdninstagram.com/t51.2885-19/s150x150/20902268_463519954020811_6603510379353997312_a.jpg")</f>
        <v>https://scontent.cdninstagram.com/t51.2885-19/s150x150/20902268_463519954020811_6603510379353997312_a.jpg</v>
      </c>
    </row>
    <row r="1376" spans="1:31" ht="15" x14ac:dyDescent="0.25">
      <c r="A1376" t="s">
        <v>2474</v>
      </c>
      <c r="B1376" t="s">
        <v>10039</v>
      </c>
      <c r="C1376" s="221">
        <v>42965.058032407411</v>
      </c>
      <c r="D1376" t="s">
        <v>10040</v>
      </c>
      <c r="E1376" s="249" t="str">
        <f>HYPERLINK("https://www.instagram.com/p/BX7Fup3AP7G/")</f>
        <v>https://www.instagram.com/p/BX7Fup3AP7G/</v>
      </c>
      <c r="F1376" t="s">
        <v>10041</v>
      </c>
      <c r="G1376" t="s">
        <v>2488</v>
      </c>
      <c r="H1376">
        <v>206</v>
      </c>
      <c r="I1376" t="s">
        <v>2479</v>
      </c>
      <c r="J1376">
        <v>0</v>
      </c>
      <c r="K1376">
        <v>16</v>
      </c>
      <c r="L1376">
        <v>16</v>
      </c>
      <c r="Q1376">
        <v>0</v>
      </c>
      <c r="R1376">
        <v>0</v>
      </c>
      <c r="S1376">
        <v>16</v>
      </c>
      <c r="Y1376" t="s">
        <v>2497</v>
      </c>
      <c r="Z1376" t="s">
        <v>10042</v>
      </c>
      <c r="AA1376" t="s">
        <v>2844</v>
      </c>
      <c r="AB1376" t="s">
        <v>10043</v>
      </c>
      <c r="AC1376" t="s">
        <v>10044</v>
      </c>
      <c r="AD1376" s="249" t="str">
        <f>HYPERLINK("https://scontent.cdninstagram.com/t51.2885-15/s320x320/e35/20901973_272437283258475_6553505140278558720_n.jpg")</f>
        <v>https://scontent.cdninstagram.com/t51.2885-15/s320x320/e35/20901973_272437283258475_6553505140278558720_n.jpg</v>
      </c>
      <c r="AE1376" s="249" t="str">
        <f>HYPERLINK("https://scontent.cdninstagram.com/t51.2885-19/s150x150/19120658_1379471325499721_1251556369157324800_a.jpg")</f>
        <v>https://scontent.cdninstagram.com/t51.2885-19/s150x150/19120658_1379471325499721_1251556369157324800_a.jpg</v>
      </c>
    </row>
    <row r="1377" spans="1:31" ht="15" x14ac:dyDescent="0.25">
      <c r="A1377" t="s">
        <v>2474</v>
      </c>
      <c r="B1377" t="s">
        <v>10045</v>
      </c>
      <c r="C1377" s="221">
        <v>42965.072905092595</v>
      </c>
      <c r="D1377" t="s">
        <v>10046</v>
      </c>
      <c r="E1377" s="249" t="str">
        <f>HYPERLINK("https://www.instagram.com/p/BX7ILlDhSlM/")</f>
        <v>https://www.instagram.com/p/BX7ILlDhSlM/</v>
      </c>
      <c r="F1377" t="s">
        <v>10047</v>
      </c>
      <c r="G1377" t="s">
        <v>2631</v>
      </c>
      <c r="H1377">
        <v>265</v>
      </c>
      <c r="I1377" t="s">
        <v>2479</v>
      </c>
      <c r="J1377">
        <v>0</v>
      </c>
      <c r="K1377">
        <v>31</v>
      </c>
      <c r="L1377">
        <v>31</v>
      </c>
      <c r="Q1377">
        <v>0</v>
      </c>
      <c r="R1377">
        <v>0</v>
      </c>
      <c r="S1377">
        <v>31</v>
      </c>
      <c r="T1377" t="s">
        <v>10048</v>
      </c>
      <c r="V1377" t="s">
        <v>2102</v>
      </c>
      <c r="W1377">
        <v>-33.960803206884002</v>
      </c>
      <c r="X1377">
        <v>151.13260746002001</v>
      </c>
      <c r="Y1377" t="s">
        <v>10049</v>
      </c>
      <c r="Z1377" t="s">
        <v>10050</v>
      </c>
      <c r="AA1377" t="s">
        <v>10051</v>
      </c>
      <c r="AB1377" t="s">
        <v>10052</v>
      </c>
      <c r="AC1377" t="s">
        <v>10053</v>
      </c>
      <c r="AD1377" s="249" t="str">
        <f>HYPERLINK("https://scontent.cdninstagram.com/t51.2885-15/s320x320/e15/20838917_235818276943099_9010064942820229120_n.jpg")</f>
        <v>https://scontent.cdninstagram.com/t51.2885-15/s320x320/e15/20838917_235818276943099_9010064942820229120_n.jpg</v>
      </c>
      <c r="AE1377" s="249" t="str">
        <f>HYPERLINK("https://scontent.cdninstagram.com/t51.2885-19/s150x150/12558675_933570386726090_478755304_a.jpg")</f>
        <v>https://scontent.cdninstagram.com/t51.2885-19/s150x150/12558675_933570386726090_478755304_a.jpg</v>
      </c>
    </row>
    <row r="1378" spans="1:31" ht="15" x14ac:dyDescent="0.25">
      <c r="A1378" t="s">
        <v>2474</v>
      </c>
      <c r="B1378" t="s">
        <v>5430</v>
      </c>
      <c r="C1378" s="221">
        <v>42965.092476851853</v>
      </c>
      <c r="D1378" t="s">
        <v>10054</v>
      </c>
      <c r="E1378" s="249" t="str">
        <f>HYPERLINK("https://www.instagram.com/p/BX7LZ77hyLQ/")</f>
        <v>https://www.instagram.com/p/BX7LZ77hyLQ/</v>
      </c>
      <c r="F1378" t="s">
        <v>10055</v>
      </c>
      <c r="G1378" t="s">
        <v>2478</v>
      </c>
      <c r="H1378">
        <v>310</v>
      </c>
      <c r="I1378" t="s">
        <v>2479</v>
      </c>
      <c r="J1378">
        <v>0</v>
      </c>
      <c r="K1378">
        <v>11</v>
      </c>
      <c r="L1378">
        <v>11</v>
      </c>
      <c r="Q1378">
        <v>0</v>
      </c>
      <c r="R1378">
        <v>0</v>
      </c>
      <c r="S1378">
        <v>11</v>
      </c>
      <c r="Y1378" t="s">
        <v>2497</v>
      </c>
      <c r="Z1378" t="s">
        <v>8516</v>
      </c>
      <c r="AD1378" s="249" t="str">
        <f>HYPERLINK("https://scontent.cdninstagram.com/t51.2885-15/s320x320/e35/20838388_1388659037889357_1430508432108027904_n.jpg")</f>
        <v>https://scontent.cdninstagram.com/t51.2885-15/s320x320/e35/20838388_1388659037889357_1430508432108027904_n.jpg</v>
      </c>
      <c r="AE1378" s="249" t="str">
        <f>HYPERLINK("https://scontent.cdninstagram.com/t51.2885-19/s150x150/14145485_1270343192996680_839379279_a.jpg")</f>
        <v>https://scontent.cdninstagram.com/t51.2885-19/s150x150/14145485_1270343192996680_839379279_a.jpg</v>
      </c>
    </row>
    <row r="1379" spans="1:31" ht="15" x14ac:dyDescent="0.25">
      <c r="A1379" t="s">
        <v>2474</v>
      </c>
      <c r="B1379" t="s">
        <v>6430</v>
      </c>
      <c r="C1379" s="221">
        <v>42965.099953703706</v>
      </c>
      <c r="D1379" t="s">
        <v>10056</v>
      </c>
      <c r="E1379" s="249" t="str">
        <f>HYPERLINK("https://www.instagram.com/p/BX7Mo1PDHmV/")</f>
        <v>https://www.instagram.com/p/BX7Mo1PDHmV/</v>
      </c>
      <c r="F1379" t="s">
        <v>10057</v>
      </c>
      <c r="G1379" t="s">
        <v>2478</v>
      </c>
      <c r="H1379">
        <v>548</v>
      </c>
      <c r="I1379" t="s">
        <v>2542</v>
      </c>
      <c r="J1379">
        <v>3</v>
      </c>
      <c r="K1379">
        <v>67</v>
      </c>
      <c r="L1379">
        <v>70</v>
      </c>
      <c r="Q1379">
        <v>0</v>
      </c>
      <c r="R1379">
        <v>0</v>
      </c>
      <c r="S1379">
        <v>70</v>
      </c>
      <c r="T1379" t="s">
        <v>6380</v>
      </c>
      <c r="V1379" t="s">
        <v>2161</v>
      </c>
      <c r="W1379">
        <v>50.116700000000002</v>
      </c>
      <c r="X1379">
        <v>8.6833299999999998</v>
      </c>
      <c r="Y1379" t="s">
        <v>10058</v>
      </c>
      <c r="Z1379" t="s">
        <v>10059</v>
      </c>
      <c r="AA1379" t="s">
        <v>10060</v>
      </c>
      <c r="AB1379" t="s">
        <v>9056</v>
      </c>
      <c r="AC1379" t="s">
        <v>10061</v>
      </c>
      <c r="AD1379" s="249" t="str">
        <f>HYPERLINK("https://scontent.cdninstagram.com/t51.2885-15/s320x320/e35/c136.0.808.808/20968778_1487586327955990_1984383665093738496_n.jpg")</f>
        <v>https://scontent.cdninstagram.com/t51.2885-15/s320x320/e35/c136.0.808.808/20968778_1487586327955990_1984383665093738496_n.jpg</v>
      </c>
      <c r="AE1379" s="249" t="str">
        <f>HYPERLINK("https://scontent.cdninstagram.com/t51.2885-19/s150x150/13398358_595469227288185_1591718638_a.jpg")</f>
        <v>https://scontent.cdninstagram.com/t51.2885-19/s150x150/13398358_595469227288185_1591718638_a.jpg</v>
      </c>
    </row>
    <row r="1380" spans="1:31" ht="15" x14ac:dyDescent="0.25">
      <c r="A1380" t="s">
        <v>2474</v>
      </c>
      <c r="B1380" t="s">
        <v>4320</v>
      </c>
      <c r="C1380" s="221">
        <v>42965.112696759257</v>
      </c>
      <c r="D1380" t="s">
        <v>10062</v>
      </c>
      <c r="E1380" s="249" t="str">
        <f>HYPERLINK("https://www.instagram.com/p/BX7OvNwAQgJ/")</f>
        <v>https://www.instagram.com/p/BX7OvNwAQgJ/</v>
      </c>
      <c r="F1380" t="s">
        <v>10063</v>
      </c>
      <c r="G1380" t="s">
        <v>2478</v>
      </c>
      <c r="H1380">
        <v>194</v>
      </c>
      <c r="I1380" t="s">
        <v>2479</v>
      </c>
      <c r="J1380">
        <v>0</v>
      </c>
      <c r="K1380">
        <v>51</v>
      </c>
      <c r="L1380">
        <v>51</v>
      </c>
      <c r="Q1380">
        <v>0</v>
      </c>
      <c r="R1380">
        <v>0</v>
      </c>
      <c r="S1380">
        <v>51</v>
      </c>
      <c r="Y1380" t="s">
        <v>10064</v>
      </c>
      <c r="Z1380" t="s">
        <v>4324</v>
      </c>
      <c r="AA1380" t="s">
        <v>6864</v>
      </c>
      <c r="AB1380" t="s">
        <v>2513</v>
      </c>
      <c r="AC1380" t="s">
        <v>10065</v>
      </c>
      <c r="AD1380" s="249" t="str">
        <f>HYPERLINK("https://scontent.cdninstagram.com/t51.2885-15/s320x320/e35/20968477_1409864195718003_4476591597407961088_n.jpg")</f>
        <v>https://scontent.cdninstagram.com/t51.2885-15/s320x320/e35/20968477_1409864195718003_4476591597407961088_n.jpg</v>
      </c>
      <c r="AE1380" s="249" t="str">
        <f>HYPERLINK("https://scontent.cdninstagram.com/t51.2885-19/s150x150/21042251_211233842744431_6961971055707553792_a.jpg")</f>
        <v>https://scontent.cdninstagram.com/t51.2885-19/s150x150/21042251_211233842744431_6961971055707553792_a.jpg</v>
      </c>
    </row>
    <row r="1381" spans="1:31" ht="15" x14ac:dyDescent="0.25">
      <c r="A1381" t="s">
        <v>2474</v>
      </c>
      <c r="B1381" t="s">
        <v>10066</v>
      </c>
      <c r="C1381" s="221">
        <v>42965.12363425926</v>
      </c>
      <c r="D1381" t="s">
        <v>10067</v>
      </c>
      <c r="E1381" s="249" t="str">
        <f>HYPERLINK("https://www.instagram.com/p/BX7QimShUq3/")</f>
        <v>https://www.instagram.com/p/BX7QimShUq3/</v>
      </c>
      <c r="F1381" t="s">
        <v>10068</v>
      </c>
      <c r="G1381" t="s">
        <v>2478</v>
      </c>
      <c r="H1381">
        <v>98</v>
      </c>
      <c r="I1381" t="s">
        <v>2479</v>
      </c>
      <c r="J1381">
        <v>1</v>
      </c>
      <c r="K1381">
        <v>9</v>
      </c>
      <c r="L1381">
        <v>10</v>
      </c>
      <c r="Q1381">
        <v>0</v>
      </c>
      <c r="R1381">
        <v>0</v>
      </c>
      <c r="S1381">
        <v>10</v>
      </c>
      <c r="Y1381" t="s">
        <v>2497</v>
      </c>
      <c r="Z1381" t="s">
        <v>10069</v>
      </c>
      <c r="AA1381" t="s">
        <v>3722</v>
      </c>
      <c r="AB1381" t="s">
        <v>6597</v>
      </c>
      <c r="AC1381" t="s">
        <v>10070</v>
      </c>
      <c r="AD1381" s="249" t="str">
        <f>HYPERLINK("https://scontent.cdninstagram.com/t51.2885-15/s320x320/e35/20838161_220829475111921_3729026778325319680_n.jpg")</f>
        <v>https://scontent.cdninstagram.com/t51.2885-15/s320x320/e35/20838161_220829475111921_3729026778325319680_n.jpg</v>
      </c>
      <c r="AE1381" s="249" t="str">
        <f>HYPERLINK("https://scontent.cdninstagram.com/t51.2885-19/s150x150/13150850_1718392271766433_1167377443_a.jpg")</f>
        <v>https://scontent.cdninstagram.com/t51.2885-19/s150x150/13150850_1718392271766433_1167377443_a.jpg</v>
      </c>
    </row>
    <row r="1382" spans="1:31" ht="15" x14ac:dyDescent="0.25">
      <c r="A1382" t="s">
        <v>2474</v>
      </c>
      <c r="B1382" t="s">
        <v>10071</v>
      </c>
      <c r="C1382" s="221">
        <v>42965.141550925924</v>
      </c>
      <c r="D1382" t="s">
        <v>10072</v>
      </c>
      <c r="E1382" s="249" t="str">
        <f>HYPERLINK("https://www.instagram.com/p/BX7TfklnUQY/")</f>
        <v>https://www.instagram.com/p/BX7TfklnUQY/</v>
      </c>
      <c r="F1382" t="s">
        <v>10073</v>
      </c>
      <c r="G1382" t="s">
        <v>2478</v>
      </c>
      <c r="I1382" t="s">
        <v>2479</v>
      </c>
      <c r="J1382">
        <v>1</v>
      </c>
      <c r="K1382">
        <v>38</v>
      </c>
      <c r="L1382">
        <v>39</v>
      </c>
      <c r="Q1382">
        <v>0</v>
      </c>
      <c r="R1382">
        <v>0</v>
      </c>
      <c r="S1382">
        <v>39</v>
      </c>
      <c r="Y1382" t="s">
        <v>2492</v>
      </c>
      <c r="Z1382" t="s">
        <v>10074</v>
      </c>
      <c r="AA1382" t="s">
        <v>2497</v>
      </c>
      <c r="AB1382" t="s">
        <v>3583</v>
      </c>
      <c r="AD1382" s="249" t="str">
        <f>HYPERLINK("https://scontent.cdninstagram.com/t51.2885-15/s320x320/e35/20905292_1953540594860259_5922196938345676800_n.jpg")</f>
        <v>https://scontent.cdninstagram.com/t51.2885-15/s320x320/e35/20905292_1953540594860259_5922196938345676800_n.jpg</v>
      </c>
      <c r="AE1382" s="249" t="str">
        <f>HYPERLINK("https://scontent.cdninstagram.com/t51.2885-19/s150x150/18580483_1966448080245797_3301401125458018304_a.jpg")</f>
        <v>https://scontent.cdninstagram.com/t51.2885-19/s150x150/18580483_1966448080245797_3301401125458018304_a.jpg</v>
      </c>
    </row>
    <row r="1383" spans="1:31" ht="15" x14ac:dyDescent="0.25">
      <c r="A1383" t="s">
        <v>2474</v>
      </c>
      <c r="B1383" t="s">
        <v>10075</v>
      </c>
      <c r="C1383" s="221">
        <v>42965.150694444441</v>
      </c>
      <c r="D1383" t="s">
        <v>10076</v>
      </c>
      <c r="E1383" s="249" t="str">
        <f>HYPERLINK("https://www.instagram.com/p/BX7U__qBrJn/")</f>
        <v>https://www.instagram.com/p/BX7U__qBrJn/</v>
      </c>
      <c r="F1383" t="s">
        <v>10077</v>
      </c>
      <c r="G1383" t="s">
        <v>2478</v>
      </c>
      <c r="H1383">
        <v>112</v>
      </c>
      <c r="I1383" t="s">
        <v>2519</v>
      </c>
      <c r="J1383">
        <v>1</v>
      </c>
      <c r="K1383">
        <v>7</v>
      </c>
      <c r="L1383">
        <v>8</v>
      </c>
      <c r="Q1383">
        <v>0</v>
      </c>
      <c r="R1383">
        <v>0</v>
      </c>
      <c r="S1383">
        <v>8</v>
      </c>
      <c r="Y1383" t="s">
        <v>7553</v>
      </c>
      <c r="Z1383" t="s">
        <v>10078</v>
      </c>
      <c r="AA1383" t="s">
        <v>10079</v>
      </c>
      <c r="AB1383" t="s">
        <v>10080</v>
      </c>
      <c r="AC1383" t="s">
        <v>2497</v>
      </c>
      <c r="AD1383" s="249" t="str">
        <f>HYPERLINK("https://scontent.cdninstagram.com/t51.2885-15/s320x320/e35/c0.56.465.465/20838491_344913939283982_1079706528551796736_n.jpg")</f>
        <v>https://scontent.cdninstagram.com/t51.2885-15/s320x320/e35/c0.56.465.465/20838491_344913939283982_1079706528551796736_n.jpg</v>
      </c>
      <c r="AE1383" s="249" t="str">
        <f>HYPERLINK("https://scontent.cdninstagram.com/t51.2885-19/s150x150/15802475_233593683749104_3188403576737103872_a.jpg")</f>
        <v>https://scontent.cdninstagram.com/t51.2885-19/s150x150/15802475_233593683749104_3188403576737103872_a.jpg</v>
      </c>
    </row>
    <row r="1384" spans="1:31" ht="15" x14ac:dyDescent="0.25">
      <c r="A1384" t="s">
        <v>2474</v>
      </c>
      <c r="B1384" t="s">
        <v>4685</v>
      </c>
      <c r="C1384" s="221">
        <v>42965.150925925926</v>
      </c>
      <c r="D1384" t="s">
        <v>10081</v>
      </c>
      <c r="E1384" s="249" t="str">
        <f>HYPERLINK("https://www.instagram.com/p/BX7VCabDwS0/")</f>
        <v>https://www.instagram.com/p/BX7VCabDwS0/</v>
      </c>
      <c r="F1384" t="s">
        <v>10082</v>
      </c>
      <c r="G1384" t="s">
        <v>2631</v>
      </c>
      <c r="H1384">
        <v>334</v>
      </c>
      <c r="I1384" t="s">
        <v>10083</v>
      </c>
      <c r="J1384">
        <v>0</v>
      </c>
      <c r="K1384">
        <v>23</v>
      </c>
      <c r="L1384">
        <v>23</v>
      </c>
      <c r="Q1384">
        <v>0</v>
      </c>
      <c r="R1384">
        <v>0</v>
      </c>
      <c r="S1384">
        <v>23</v>
      </c>
      <c r="Y1384" t="s">
        <v>10084</v>
      </c>
      <c r="Z1384" t="s">
        <v>10085</v>
      </c>
      <c r="AA1384" t="s">
        <v>10086</v>
      </c>
      <c r="AB1384" t="s">
        <v>10087</v>
      </c>
      <c r="AC1384" t="s">
        <v>10088</v>
      </c>
      <c r="AD1384" s="249" t="str">
        <f>HYPERLINK("https://scontent.cdninstagram.com/t51.2885-15/s320x320/e15/c0.90.720.720/20838711_1713686008655056_7004004582078545920_n.jpg")</f>
        <v>https://scontent.cdninstagram.com/t51.2885-15/s320x320/e15/c0.90.720.720/20838711_1713686008655056_7004004582078545920_n.jpg</v>
      </c>
      <c r="AE1384" s="249" t="str">
        <f>HYPERLINK("https://scontent.cdninstagram.com/t51.2885-19/s150x150/14498866_1223064704423042_5122473061462835200_a.jpg")</f>
        <v>https://scontent.cdninstagram.com/t51.2885-19/s150x150/14498866_1223064704423042_5122473061462835200_a.jpg</v>
      </c>
    </row>
    <row r="1385" spans="1:31" ht="15" x14ac:dyDescent="0.25">
      <c r="A1385" t="s">
        <v>2474</v>
      </c>
      <c r="B1385" t="s">
        <v>10089</v>
      </c>
      <c r="C1385" s="221">
        <v>42965.154999999999</v>
      </c>
      <c r="D1385" t="s">
        <v>10090</v>
      </c>
      <c r="E1385" s="249" t="str">
        <f>HYPERLINK("https://www.instagram.com/p/BX7VtcUFCcF/")</f>
        <v>https://www.instagram.com/p/BX7VtcUFCcF/</v>
      </c>
      <c r="F1385" t="s">
        <v>10091</v>
      </c>
      <c r="G1385" t="s">
        <v>2478</v>
      </c>
      <c r="H1385">
        <v>262</v>
      </c>
      <c r="I1385" t="s">
        <v>2479</v>
      </c>
      <c r="J1385">
        <v>0</v>
      </c>
      <c r="K1385">
        <v>37</v>
      </c>
      <c r="L1385">
        <v>37</v>
      </c>
      <c r="Q1385">
        <v>0</v>
      </c>
      <c r="R1385">
        <v>0</v>
      </c>
      <c r="S1385">
        <v>37</v>
      </c>
      <c r="T1385" t="s">
        <v>10092</v>
      </c>
      <c r="V1385" t="s">
        <v>2288</v>
      </c>
      <c r="W1385">
        <v>52.4</v>
      </c>
      <c r="X1385">
        <v>0.26666699999999999</v>
      </c>
      <c r="Y1385" t="s">
        <v>10093</v>
      </c>
      <c r="Z1385" t="s">
        <v>10094</v>
      </c>
      <c r="AA1385" t="s">
        <v>2497</v>
      </c>
      <c r="AB1385" t="s">
        <v>10095</v>
      </c>
      <c r="AC1385" t="s">
        <v>10096</v>
      </c>
      <c r="AD1385" s="249" t="str">
        <f>HYPERLINK("https://scontent.cdninstagram.com/t51.2885-15/s320x320/e35/20837722_487197668305239_2694439426678849536_n.jpg")</f>
        <v>https://scontent.cdninstagram.com/t51.2885-15/s320x320/e35/20837722_487197668305239_2694439426678849536_n.jpg</v>
      </c>
      <c r="AE1385" s="249" t="str">
        <f>HYPERLINK("https://scontent.cdninstagram.com/t51.2885-19/s150x150/17126569_296621100755790_4503940574759354368_a.jpg")</f>
        <v>https://scontent.cdninstagram.com/t51.2885-19/s150x150/17126569_296621100755790_4503940574759354368_a.jpg</v>
      </c>
    </row>
    <row r="1386" spans="1:31" ht="15" x14ac:dyDescent="0.25">
      <c r="A1386" t="s">
        <v>2474</v>
      </c>
      <c r="B1386" t="s">
        <v>10097</v>
      </c>
      <c r="C1386" s="221">
        <v>42965.15829861111</v>
      </c>
      <c r="D1386" t="s">
        <v>10098</v>
      </c>
      <c r="E1386" s="249" t="str">
        <f>HYPERLINK("https://www.instagram.com/p/BX7WQMxgvTf/")</f>
        <v>https://www.instagram.com/p/BX7WQMxgvTf/</v>
      </c>
      <c r="F1386" t="s">
        <v>10099</v>
      </c>
      <c r="G1386" t="s">
        <v>2478</v>
      </c>
      <c r="H1386">
        <v>199</v>
      </c>
      <c r="I1386" t="s">
        <v>4062</v>
      </c>
      <c r="J1386">
        <v>0</v>
      </c>
      <c r="K1386">
        <v>29</v>
      </c>
      <c r="L1386">
        <v>29</v>
      </c>
      <c r="Q1386">
        <v>0</v>
      </c>
      <c r="R1386">
        <v>0</v>
      </c>
      <c r="S1386">
        <v>29</v>
      </c>
      <c r="Y1386" t="s">
        <v>10100</v>
      </c>
      <c r="Z1386" t="s">
        <v>2497</v>
      </c>
      <c r="AA1386" t="s">
        <v>10101</v>
      </c>
      <c r="AB1386" t="s">
        <v>10102</v>
      </c>
      <c r="AC1386" t="s">
        <v>4180</v>
      </c>
      <c r="AD1386" s="249" t="str">
        <f>HYPERLINK("https://scontent.cdninstagram.com/t51.2885-15/s320x320/e35/20838900_111670902842189_922898900367441920_n.jpg")</f>
        <v>https://scontent.cdninstagram.com/t51.2885-15/s320x320/e35/20838900_111670902842189_922898900367441920_n.jpg</v>
      </c>
      <c r="AE1386" s="249" t="str">
        <f>HYPERLINK("https://scontent.cdninstagram.com/t51.2885-19/s150x150/17595870_1655098851466746_3283340697784025088_a.jpg")</f>
        <v>https://scontent.cdninstagram.com/t51.2885-19/s150x150/17595870_1655098851466746_3283340697784025088_a.jpg</v>
      </c>
    </row>
    <row r="1387" spans="1:31" ht="15" x14ac:dyDescent="0.25">
      <c r="A1387" t="s">
        <v>2474</v>
      </c>
      <c r="B1387" t="s">
        <v>6847</v>
      </c>
      <c r="C1387" s="221">
        <v>42965.158356481479</v>
      </c>
      <c r="D1387" t="s">
        <v>10103</v>
      </c>
      <c r="E1387" s="249" t="str">
        <f>HYPERLINK("https://www.instagram.com/p/BX7WQv_B5yO/")</f>
        <v>https://www.instagram.com/p/BX7WQv_B5yO/</v>
      </c>
      <c r="F1387" t="s">
        <v>10104</v>
      </c>
      <c r="G1387" t="s">
        <v>2478</v>
      </c>
      <c r="H1387">
        <v>136</v>
      </c>
      <c r="I1387" t="s">
        <v>3273</v>
      </c>
      <c r="J1387">
        <v>0</v>
      </c>
      <c r="K1387">
        <v>50</v>
      </c>
      <c r="L1387">
        <v>50</v>
      </c>
      <c r="Q1387">
        <v>0</v>
      </c>
      <c r="R1387">
        <v>0</v>
      </c>
      <c r="S1387">
        <v>50</v>
      </c>
      <c r="T1387" t="s">
        <v>7142</v>
      </c>
      <c r="V1387" t="s">
        <v>2161</v>
      </c>
      <c r="W1387">
        <v>50.963769900000003</v>
      </c>
      <c r="X1387">
        <v>6.9587399999999997</v>
      </c>
      <c r="Y1387" t="s">
        <v>10105</v>
      </c>
      <c r="Z1387" t="s">
        <v>3982</v>
      </c>
      <c r="AA1387" t="s">
        <v>2861</v>
      </c>
      <c r="AB1387" t="s">
        <v>3006</v>
      </c>
      <c r="AC1387" t="s">
        <v>7143</v>
      </c>
      <c r="AD1387" s="249" t="str">
        <f>HYPERLINK("https://scontent.cdninstagram.com/t51.2885-15/s320x320/e35/c0.135.1080.1080/20837806_879882138827848_551880061762928640_n.jpg")</f>
        <v>https://scontent.cdninstagram.com/t51.2885-15/s320x320/e35/c0.135.1080.1080/20837806_879882138827848_551880061762928640_n.jpg</v>
      </c>
      <c r="AE1387" s="249" t="str">
        <f>HYPERLINK("https://scontent.cdninstagram.com/t51.2885-19/s150x150/20759948_2040958986128138_1613724504230461440_a.jpg")</f>
        <v>https://scontent.cdninstagram.com/t51.2885-19/s150x150/20759948_2040958986128138_1613724504230461440_a.jpg</v>
      </c>
    </row>
    <row r="1388" spans="1:31" ht="15" x14ac:dyDescent="0.25">
      <c r="A1388" t="s">
        <v>2474</v>
      </c>
      <c r="B1388" t="s">
        <v>10106</v>
      </c>
      <c r="C1388" s="221">
        <v>42965.161412037036</v>
      </c>
      <c r="D1388" t="s">
        <v>10107</v>
      </c>
      <c r="E1388" s="249" t="str">
        <f>HYPERLINK("https://www.instagram.com/p/BX7Ww_fBiNx/")</f>
        <v>https://www.instagram.com/p/BX7Ww_fBiNx/</v>
      </c>
      <c r="F1388" t="s">
        <v>10108</v>
      </c>
      <c r="G1388" t="s">
        <v>2478</v>
      </c>
      <c r="H1388">
        <v>735</v>
      </c>
      <c r="I1388" t="s">
        <v>2479</v>
      </c>
      <c r="J1388">
        <v>1</v>
      </c>
      <c r="K1388">
        <v>26</v>
      </c>
      <c r="L1388">
        <v>27</v>
      </c>
      <c r="Q1388">
        <v>0</v>
      </c>
      <c r="R1388">
        <v>0</v>
      </c>
      <c r="S1388">
        <v>27</v>
      </c>
      <c r="Y1388" t="s">
        <v>10109</v>
      </c>
      <c r="Z1388" t="s">
        <v>10110</v>
      </c>
      <c r="AA1388" t="s">
        <v>10111</v>
      </c>
      <c r="AB1388" t="s">
        <v>2497</v>
      </c>
      <c r="AC1388" t="s">
        <v>10112</v>
      </c>
      <c r="AD1388" s="249" t="str">
        <f>HYPERLINK("https://scontent.cdninstagram.com/t51.2885-15/s320x320/e35/20838408_335034530272589_2365224398119501824_n.jpg")</f>
        <v>https://scontent.cdninstagram.com/t51.2885-15/s320x320/e35/20838408_335034530272589_2365224398119501824_n.jpg</v>
      </c>
      <c r="AE1388" s="249" t="str">
        <f>HYPERLINK("https://scontent.cdninstagram.com/t51.2885-19/s150x150/15624126_1808996922688166_2425440230451445760_a.jpg")</f>
        <v>https://scontent.cdninstagram.com/t51.2885-19/s150x150/15624126_1808996922688166_2425440230451445760_a.jpg</v>
      </c>
    </row>
    <row r="1389" spans="1:31" ht="15" x14ac:dyDescent="0.25">
      <c r="A1389" t="s">
        <v>2474</v>
      </c>
      <c r="B1389" t="s">
        <v>2636</v>
      </c>
      <c r="C1389" s="221">
        <v>42965.162395833337</v>
      </c>
      <c r="D1389" t="s">
        <v>10113</v>
      </c>
      <c r="E1389" s="249" t="str">
        <f>HYPERLINK("https://www.instagram.com/p/BX7W7YvH9zN/")</f>
        <v>https://www.instagram.com/p/BX7W7YvH9zN/</v>
      </c>
      <c r="F1389" t="s">
        <v>10114</v>
      </c>
      <c r="G1389" t="s">
        <v>2478</v>
      </c>
      <c r="H1389">
        <v>313</v>
      </c>
      <c r="I1389" t="s">
        <v>2927</v>
      </c>
      <c r="J1389">
        <v>6</v>
      </c>
      <c r="K1389">
        <v>87</v>
      </c>
      <c r="L1389">
        <v>93</v>
      </c>
      <c r="Q1389">
        <v>0</v>
      </c>
      <c r="R1389">
        <v>0</v>
      </c>
      <c r="S1389">
        <v>93</v>
      </c>
      <c r="Y1389" t="s">
        <v>3814</v>
      </c>
      <c r="Z1389" t="s">
        <v>9275</v>
      </c>
      <c r="AA1389" t="s">
        <v>8032</v>
      </c>
      <c r="AB1389" t="s">
        <v>10115</v>
      </c>
      <c r="AC1389" t="s">
        <v>2513</v>
      </c>
      <c r="AD1389" s="249" t="str">
        <f>HYPERLINK("https://scontent.cdninstagram.com/t51.2885-15/s320x320/e35/20839004_2172010903025528_4811669771722424320_n.jpg")</f>
        <v>https://scontent.cdninstagram.com/t51.2885-15/s320x320/e35/20839004_2172010903025528_4811669771722424320_n.jpg</v>
      </c>
      <c r="AE1389" s="249" t="str">
        <f>HYPERLINK("https://scontent.cdninstagram.com/t51.2885-19/s150x150/15802797_1331780626878656_4160680230047973376_a.jpg")</f>
        <v>https://scontent.cdninstagram.com/t51.2885-19/s150x150/15802797_1331780626878656_4160680230047973376_a.jpg</v>
      </c>
    </row>
    <row r="1390" spans="1:31" ht="15" x14ac:dyDescent="0.25">
      <c r="A1390" t="s">
        <v>2474</v>
      </c>
      <c r="B1390" t="s">
        <v>10116</v>
      </c>
      <c r="C1390" s="221">
        <v>42965.163449074076</v>
      </c>
      <c r="D1390" t="s">
        <v>10117</v>
      </c>
      <c r="E1390" s="249" t="str">
        <f>HYPERLINK("https://www.instagram.com/p/BX7XGdDA8Ab/")</f>
        <v>https://www.instagram.com/p/BX7XGdDA8Ab/</v>
      </c>
      <c r="F1390" t="s">
        <v>10118</v>
      </c>
      <c r="G1390" t="s">
        <v>2478</v>
      </c>
      <c r="H1390">
        <v>94</v>
      </c>
      <c r="I1390" t="s">
        <v>2479</v>
      </c>
      <c r="J1390">
        <v>1</v>
      </c>
      <c r="K1390">
        <v>29</v>
      </c>
      <c r="L1390">
        <v>30</v>
      </c>
      <c r="Q1390">
        <v>0</v>
      </c>
      <c r="R1390">
        <v>0</v>
      </c>
      <c r="S1390">
        <v>30</v>
      </c>
      <c r="Y1390" t="s">
        <v>10119</v>
      </c>
      <c r="Z1390" t="s">
        <v>10120</v>
      </c>
      <c r="AA1390" t="s">
        <v>6612</v>
      </c>
      <c r="AB1390" t="s">
        <v>10121</v>
      </c>
      <c r="AC1390" t="s">
        <v>10122</v>
      </c>
      <c r="AD1390" s="249" t="str">
        <f>HYPERLINK("https://scontent.cdninstagram.com/t51.2885-15/s320x320/e35/20837596_735417969963937_4709600836005658624_n.jpg")</f>
        <v>https://scontent.cdninstagram.com/t51.2885-15/s320x320/e35/20837596_735417969963937_4709600836005658624_n.jpg</v>
      </c>
      <c r="AE1390" s="249" t="str">
        <f>HYPERLINK("https://scontent.cdninstagram.com/t51.2885-19/s150x150/17819064_824011137750620_4020370052283891712_a.jpg")</f>
        <v>https://scontent.cdninstagram.com/t51.2885-19/s150x150/17819064_824011137750620_4020370052283891712_a.jpg</v>
      </c>
    </row>
    <row r="1391" spans="1:31" ht="15" x14ac:dyDescent="0.25">
      <c r="A1391" t="s">
        <v>2474</v>
      </c>
      <c r="B1391" t="s">
        <v>10123</v>
      </c>
      <c r="C1391" s="221">
        <v>42965.175659722219</v>
      </c>
      <c r="D1391" t="s">
        <v>10124</v>
      </c>
      <c r="E1391" s="249" t="str">
        <f>HYPERLINK("https://www.instagram.com/p/BX7ZHVUHHKG/")</f>
        <v>https://www.instagram.com/p/BX7ZHVUHHKG/</v>
      </c>
      <c r="F1391" t="s">
        <v>10125</v>
      </c>
      <c r="G1391" t="s">
        <v>2478</v>
      </c>
      <c r="H1391">
        <v>4415</v>
      </c>
      <c r="I1391" t="s">
        <v>2479</v>
      </c>
      <c r="J1391">
        <v>3</v>
      </c>
      <c r="K1391">
        <v>247</v>
      </c>
      <c r="L1391">
        <v>250</v>
      </c>
      <c r="Q1391">
        <v>0</v>
      </c>
      <c r="R1391">
        <v>0</v>
      </c>
      <c r="S1391">
        <v>250</v>
      </c>
      <c r="Y1391" t="s">
        <v>10126</v>
      </c>
      <c r="Z1391" t="s">
        <v>10127</v>
      </c>
      <c r="AA1391" t="s">
        <v>10128</v>
      </c>
      <c r="AB1391" t="s">
        <v>2497</v>
      </c>
      <c r="AC1391" t="s">
        <v>10129</v>
      </c>
      <c r="AD1391" s="249" t="str">
        <f>HYPERLINK("https://scontent.cdninstagram.com/t51.2885-15/s320x320/e35/c0.0.1080.1080/20902450_1626166004121920_322250245167644672_n.jpg")</f>
        <v>https://scontent.cdninstagram.com/t51.2885-15/s320x320/e35/c0.0.1080.1080/20902450_1626166004121920_322250245167644672_n.jpg</v>
      </c>
      <c r="AE1391" s="249" t="str">
        <f>HYPERLINK("https://scontent.cdninstagram.com/t51.2885-19/s150x150/18579593_172836989912241_4300792061927358464_a.jpg")</f>
        <v>https://scontent.cdninstagram.com/t51.2885-19/s150x150/18579593_172836989912241_4300792061927358464_a.jpg</v>
      </c>
    </row>
    <row r="1392" spans="1:31" ht="15" x14ac:dyDescent="0.25">
      <c r="A1392" t="s">
        <v>2474</v>
      </c>
      <c r="B1392" t="s">
        <v>10130</v>
      </c>
      <c r="C1392" s="221">
        <v>42965.18341435185</v>
      </c>
      <c r="D1392" t="s">
        <v>10131</v>
      </c>
      <c r="E1392" s="249" t="str">
        <f>HYPERLINK("https://www.instagram.com/p/BX7aZBLgO0v/")</f>
        <v>https://www.instagram.com/p/BX7aZBLgO0v/</v>
      </c>
      <c r="F1392" t="s">
        <v>10132</v>
      </c>
      <c r="G1392" t="s">
        <v>2631</v>
      </c>
      <c r="H1392">
        <v>2717</v>
      </c>
      <c r="I1392" t="s">
        <v>2479</v>
      </c>
      <c r="J1392">
        <v>0</v>
      </c>
      <c r="K1392">
        <v>26</v>
      </c>
      <c r="L1392">
        <v>26</v>
      </c>
      <c r="Q1392">
        <v>0</v>
      </c>
      <c r="R1392">
        <v>0</v>
      </c>
      <c r="S1392">
        <v>26</v>
      </c>
      <c r="T1392" t="s">
        <v>10133</v>
      </c>
      <c r="V1392" t="s">
        <v>2264</v>
      </c>
      <c r="W1392">
        <v>39.5</v>
      </c>
      <c r="X1392">
        <v>3</v>
      </c>
      <c r="Y1392" t="s">
        <v>10134</v>
      </c>
      <c r="Z1392" t="s">
        <v>10135</v>
      </c>
      <c r="AA1392" t="s">
        <v>5673</v>
      </c>
      <c r="AB1392" t="s">
        <v>10136</v>
      </c>
      <c r="AC1392" t="s">
        <v>4075</v>
      </c>
      <c r="AD1392" s="249" t="str">
        <f>HYPERLINK("https://scontent.cdninstagram.com/t51.2885-15/s320x320/e15/20905550_744359002403387_2933491237585420288_n.jpg")</f>
        <v>https://scontent.cdninstagram.com/t51.2885-15/s320x320/e15/20905550_744359002403387_2933491237585420288_n.jpg</v>
      </c>
      <c r="AE1392" s="249" t="str">
        <f>HYPERLINK("https://scontent.cdninstagram.com/t51.2885-19/s150x150/14564918_316583575382803_4487537802598154240_a.jpg")</f>
        <v>https://scontent.cdninstagram.com/t51.2885-19/s150x150/14564918_316583575382803_4487537802598154240_a.jpg</v>
      </c>
    </row>
    <row r="1393" spans="1:31" ht="15" x14ac:dyDescent="0.25">
      <c r="A1393" t="s">
        <v>2474</v>
      </c>
      <c r="B1393" t="s">
        <v>7793</v>
      </c>
      <c r="C1393" s="221">
        <v>42965.184016203704</v>
      </c>
      <c r="D1393" t="s">
        <v>10137</v>
      </c>
      <c r="E1393" s="249" t="str">
        <f>HYPERLINK("https://www.instagram.com/p/BX7afbNliUo/")</f>
        <v>https://www.instagram.com/p/BX7afbNliUo/</v>
      </c>
      <c r="F1393" t="s">
        <v>10138</v>
      </c>
      <c r="G1393" t="s">
        <v>2478</v>
      </c>
      <c r="H1393">
        <v>5829</v>
      </c>
      <c r="I1393" t="s">
        <v>2479</v>
      </c>
      <c r="J1393">
        <v>12</v>
      </c>
      <c r="K1393">
        <v>308</v>
      </c>
      <c r="L1393">
        <v>320</v>
      </c>
      <c r="Q1393">
        <v>0</v>
      </c>
      <c r="R1393">
        <v>0</v>
      </c>
      <c r="S1393">
        <v>320</v>
      </c>
      <c r="T1393" t="s">
        <v>9922</v>
      </c>
      <c r="V1393" t="s">
        <v>2102</v>
      </c>
      <c r="W1393">
        <v>-33.888910000000003</v>
      </c>
      <c r="X1393">
        <v>151.26064</v>
      </c>
      <c r="AD1393" s="249" t="str">
        <f>HYPERLINK("https://scontent.cdninstagram.com/t51.2885-15/s320x320/e35/20902686_1530478183680635_8837702596652171264_n.jpg")</f>
        <v>https://scontent.cdninstagram.com/t51.2885-15/s320x320/e35/20902686_1530478183680635_8837702596652171264_n.jpg</v>
      </c>
      <c r="AE1393" s="249" t="str">
        <f>HYPERLINK("https://scontent.cdninstagram.com/t51.2885-19/s150x150/14295311_507350922808081_1928455761_a.jpg")</f>
        <v>https://scontent.cdninstagram.com/t51.2885-19/s150x150/14295311_507350922808081_1928455761_a.jpg</v>
      </c>
    </row>
    <row r="1394" spans="1:31" ht="15" x14ac:dyDescent="0.25">
      <c r="A1394" t="s">
        <v>2474</v>
      </c>
      <c r="B1394" t="s">
        <v>10139</v>
      </c>
      <c r="C1394" s="221">
        <v>42965.194976851853</v>
      </c>
      <c r="D1394" t="s">
        <v>10140</v>
      </c>
      <c r="E1394" s="249" t="str">
        <f>HYPERLINK("https://www.instagram.com/p/BX7cS_7F4EM/")</f>
        <v>https://www.instagram.com/p/BX7cS_7F4EM/</v>
      </c>
      <c r="F1394" t="s">
        <v>10141</v>
      </c>
      <c r="G1394" t="s">
        <v>2478</v>
      </c>
      <c r="H1394">
        <v>32</v>
      </c>
      <c r="I1394" t="s">
        <v>2542</v>
      </c>
      <c r="J1394">
        <v>1</v>
      </c>
      <c r="K1394">
        <v>22</v>
      </c>
      <c r="L1394">
        <v>23</v>
      </c>
      <c r="Q1394">
        <v>0</v>
      </c>
      <c r="R1394">
        <v>0</v>
      </c>
      <c r="S1394">
        <v>23</v>
      </c>
      <c r="Y1394" t="s">
        <v>3196</v>
      </c>
      <c r="Z1394" t="s">
        <v>10142</v>
      </c>
      <c r="AA1394" t="s">
        <v>2730</v>
      </c>
      <c r="AB1394" t="s">
        <v>4994</v>
      </c>
      <c r="AC1394" t="s">
        <v>4833</v>
      </c>
      <c r="AD1394" s="249" t="str">
        <f>HYPERLINK("https://scontent.cdninstagram.com/t51.2885-15/s320x320/e35/c0.135.1080.1080/20838785_757491641120746_8333683051980652544_n.jpg")</f>
        <v>https://scontent.cdninstagram.com/t51.2885-15/s320x320/e35/c0.135.1080.1080/20838785_757491641120746_8333683051980652544_n.jpg</v>
      </c>
      <c r="AE1394" s="249" t="str">
        <f>HYPERLINK("https://scontent.cdninstagram.com/t51.2885-19/s150x150/20394375_162347231004260_540134026288037888_a.jpg")</f>
        <v>https://scontent.cdninstagram.com/t51.2885-19/s150x150/20394375_162347231004260_540134026288037888_a.jpg</v>
      </c>
    </row>
    <row r="1395" spans="1:31" ht="15" x14ac:dyDescent="0.25">
      <c r="A1395" t="s">
        <v>2474</v>
      </c>
      <c r="B1395" t="s">
        <v>10143</v>
      </c>
      <c r="C1395" s="221">
        <v>42965.197395833333</v>
      </c>
      <c r="D1395" t="s">
        <v>10144</v>
      </c>
      <c r="E1395" s="249" t="str">
        <f>HYPERLINK("https://www.instagram.com/p/BX7cse5na6X/")</f>
        <v>https://www.instagram.com/p/BX7cse5na6X/</v>
      </c>
      <c r="F1395" t="s">
        <v>10145</v>
      </c>
      <c r="G1395" t="s">
        <v>2478</v>
      </c>
      <c r="H1395">
        <v>114</v>
      </c>
      <c r="I1395" t="s">
        <v>2479</v>
      </c>
      <c r="J1395">
        <v>0</v>
      </c>
      <c r="K1395">
        <v>19</v>
      </c>
      <c r="L1395">
        <v>19</v>
      </c>
      <c r="Q1395">
        <v>0</v>
      </c>
      <c r="R1395">
        <v>0</v>
      </c>
      <c r="S1395">
        <v>19</v>
      </c>
      <c r="Y1395" t="s">
        <v>10146</v>
      </c>
      <c r="Z1395" t="s">
        <v>10147</v>
      </c>
      <c r="AA1395" t="s">
        <v>10148</v>
      </c>
      <c r="AB1395" t="s">
        <v>8250</v>
      </c>
      <c r="AC1395" t="s">
        <v>5980</v>
      </c>
      <c r="AD1395" s="249" t="str">
        <f>HYPERLINK("https://scontent.cdninstagram.com/t51.2885-15/s320x320/e35/20838538_257447998101637_7973134922736992256_n.jpg")</f>
        <v>https://scontent.cdninstagram.com/t51.2885-15/s320x320/e35/20838538_257447998101637_7973134922736992256_n.jpg</v>
      </c>
      <c r="AE1395" s="249" t="str">
        <f>HYPERLINK("https://scontent.cdninstagram.com/t51.2885-19/s150x150/19050746_1908791469368806_5888363784443002880_n.jpg")</f>
        <v>https://scontent.cdninstagram.com/t51.2885-19/s150x150/19050746_1908791469368806_5888363784443002880_n.jpg</v>
      </c>
    </row>
    <row r="1396" spans="1:31" ht="15" x14ac:dyDescent="0.25">
      <c r="A1396" t="s">
        <v>2474</v>
      </c>
      <c r="B1396" t="s">
        <v>10149</v>
      </c>
      <c r="C1396" s="221">
        <v>42965.198611111111</v>
      </c>
      <c r="D1396" t="s">
        <v>10150</v>
      </c>
      <c r="E1396" s="249" t="str">
        <f>HYPERLINK("https://www.instagram.com/p/BX7c5UeHZk2/")</f>
        <v>https://www.instagram.com/p/BX7c5UeHZk2/</v>
      </c>
      <c r="F1396" t="s">
        <v>10151</v>
      </c>
      <c r="G1396" t="s">
        <v>2478</v>
      </c>
      <c r="H1396">
        <v>215</v>
      </c>
      <c r="I1396" t="s">
        <v>2479</v>
      </c>
      <c r="J1396">
        <v>1</v>
      </c>
      <c r="K1396">
        <v>13</v>
      </c>
      <c r="L1396">
        <v>14</v>
      </c>
      <c r="Q1396">
        <v>0</v>
      </c>
      <c r="R1396">
        <v>0</v>
      </c>
      <c r="S1396">
        <v>14</v>
      </c>
      <c r="Y1396" t="s">
        <v>10152</v>
      </c>
      <c r="Z1396" t="s">
        <v>10153</v>
      </c>
      <c r="AA1396" t="s">
        <v>10154</v>
      </c>
      <c r="AB1396" t="s">
        <v>10155</v>
      </c>
      <c r="AC1396" t="s">
        <v>2497</v>
      </c>
      <c r="AD1396" s="249" t="str">
        <f>HYPERLINK("https://scontent.cdninstagram.com/t51.2885-15/s320x320/e35/20838129_401663293564871_1176560141315604480_n.jpg")</f>
        <v>https://scontent.cdninstagram.com/t51.2885-15/s320x320/e35/20838129_401663293564871_1176560141315604480_n.jpg</v>
      </c>
      <c r="AE1396" s="249" t="str">
        <f>HYPERLINK("https://scontent.cdninstagram.com/t51.2885-19/s150x150/20479156_176727682869485_130193859039723520_a.jpg")</f>
        <v>https://scontent.cdninstagram.com/t51.2885-19/s150x150/20479156_176727682869485_130193859039723520_a.jpg</v>
      </c>
    </row>
    <row r="1397" spans="1:31" ht="15" x14ac:dyDescent="0.25">
      <c r="A1397" t="s">
        <v>2474</v>
      </c>
      <c r="B1397" t="s">
        <v>10156</v>
      </c>
      <c r="C1397" s="221">
        <v>42965.209062499998</v>
      </c>
      <c r="D1397" t="s">
        <v>10157</v>
      </c>
      <c r="E1397" s="249" t="str">
        <f>HYPERLINK("https://www.instagram.com/p/BX7enlVH6h3/")</f>
        <v>https://www.instagram.com/p/BX7enlVH6h3/</v>
      </c>
      <c r="F1397" t="s">
        <v>10158</v>
      </c>
      <c r="G1397" t="s">
        <v>2478</v>
      </c>
      <c r="H1397">
        <v>61</v>
      </c>
      <c r="I1397" t="s">
        <v>5670</v>
      </c>
      <c r="J1397">
        <v>2</v>
      </c>
      <c r="K1397">
        <v>16</v>
      </c>
      <c r="L1397">
        <v>18</v>
      </c>
      <c r="Q1397">
        <v>0</v>
      </c>
      <c r="R1397">
        <v>0</v>
      </c>
      <c r="S1397">
        <v>18</v>
      </c>
      <c r="Y1397" t="s">
        <v>2497</v>
      </c>
      <c r="Z1397" t="s">
        <v>10159</v>
      </c>
      <c r="AA1397" t="s">
        <v>10160</v>
      </c>
      <c r="AB1397" t="s">
        <v>10161</v>
      </c>
      <c r="AC1397" t="s">
        <v>10162</v>
      </c>
      <c r="AD1397" s="249" t="str">
        <f>HYPERLINK("https://scontent.cdninstagram.com/t51.2885-15/s320x320/e35/20839038_1446468442105356_3261371261460152320_n.jpg")</f>
        <v>https://scontent.cdninstagram.com/t51.2885-15/s320x320/e35/20839038_1446468442105356_3261371261460152320_n.jpg</v>
      </c>
      <c r="AE1397" s="249" t="str">
        <f>HYPERLINK("https://scontent.cdninstagram.com/t51.2885-19/s150x150/20766247_1686551058082717_4652086323354533888_a.jpg")</f>
        <v>https://scontent.cdninstagram.com/t51.2885-19/s150x150/20766247_1686551058082717_4652086323354533888_a.jpg</v>
      </c>
    </row>
    <row r="1398" spans="1:31" ht="15" x14ac:dyDescent="0.25">
      <c r="A1398" t="s">
        <v>2474</v>
      </c>
      <c r="B1398" t="s">
        <v>10163</v>
      </c>
      <c r="C1398" s="221">
        <v>42965.2106712963</v>
      </c>
      <c r="D1398" t="s">
        <v>10164</v>
      </c>
      <c r="E1398" s="249" t="str">
        <f>HYPERLINK("https://www.instagram.com/p/BX7e4mIhuvb/")</f>
        <v>https://www.instagram.com/p/BX7e4mIhuvb/</v>
      </c>
      <c r="F1398" t="s">
        <v>10165</v>
      </c>
      <c r="G1398" t="s">
        <v>2478</v>
      </c>
      <c r="H1398">
        <v>41</v>
      </c>
      <c r="I1398" t="s">
        <v>2542</v>
      </c>
      <c r="J1398">
        <v>1</v>
      </c>
      <c r="K1398">
        <v>6</v>
      </c>
      <c r="L1398">
        <v>7</v>
      </c>
      <c r="Q1398">
        <v>0</v>
      </c>
      <c r="R1398">
        <v>0</v>
      </c>
      <c r="S1398">
        <v>7</v>
      </c>
      <c r="T1398" t="s">
        <v>10166</v>
      </c>
      <c r="V1398" t="s">
        <v>2222</v>
      </c>
      <c r="W1398">
        <v>52.454572828750003</v>
      </c>
      <c r="X1398">
        <v>6.0392441000000003</v>
      </c>
      <c r="Y1398" t="s">
        <v>7906</v>
      </c>
      <c r="Z1398" t="s">
        <v>10167</v>
      </c>
      <c r="AA1398" t="s">
        <v>10168</v>
      </c>
      <c r="AB1398" t="s">
        <v>6806</v>
      </c>
      <c r="AC1398" t="s">
        <v>2497</v>
      </c>
      <c r="AD1398" s="249" t="str">
        <f>HYPERLINK("https://scontent.cdninstagram.com/t51.2885-15/s320x320/e35/20905025_112045926165458_6602474673760370688_n.jpg")</f>
        <v>https://scontent.cdninstagram.com/t51.2885-15/s320x320/e35/20905025_112045926165458_6602474673760370688_n.jpg</v>
      </c>
      <c r="AE1398" s="249" t="str">
        <f>HYPERLINK("https://scontent.cdninstagram.com/t51.2885-19/s150x150/19051549_1334153390016682_8286504025940033536_a.jpg")</f>
        <v>https://scontent.cdninstagram.com/t51.2885-19/s150x150/19051549_1334153390016682_8286504025940033536_a.jpg</v>
      </c>
    </row>
    <row r="1399" spans="1:31" ht="15" x14ac:dyDescent="0.25">
      <c r="A1399" t="s">
        <v>2474</v>
      </c>
      <c r="B1399" t="s">
        <v>3644</v>
      </c>
      <c r="C1399" s="221">
        <v>42965.213194444441</v>
      </c>
      <c r="D1399" t="s">
        <v>10169</v>
      </c>
      <c r="E1399" s="249" t="str">
        <f>HYPERLINK("https://www.instagram.com/p/BX7fTOIlU2H/")</f>
        <v>https://www.instagram.com/p/BX7fTOIlU2H/</v>
      </c>
      <c r="F1399" t="s">
        <v>10170</v>
      </c>
      <c r="G1399" t="s">
        <v>2631</v>
      </c>
      <c r="H1399">
        <v>577</v>
      </c>
      <c r="I1399" t="s">
        <v>2479</v>
      </c>
      <c r="J1399">
        <v>4</v>
      </c>
      <c r="K1399">
        <v>47</v>
      </c>
      <c r="L1399">
        <v>51</v>
      </c>
      <c r="Q1399">
        <v>0</v>
      </c>
      <c r="R1399">
        <v>0</v>
      </c>
      <c r="S1399">
        <v>51</v>
      </c>
      <c r="T1399" t="s">
        <v>3647</v>
      </c>
      <c r="V1399" t="s">
        <v>2141</v>
      </c>
      <c r="W1399">
        <v>55.426879900000003</v>
      </c>
      <c r="X1399">
        <v>10.3903303</v>
      </c>
      <c r="Y1399" t="s">
        <v>10171</v>
      </c>
      <c r="Z1399" t="s">
        <v>3648</v>
      </c>
      <c r="AA1399" t="s">
        <v>3213</v>
      </c>
      <c r="AB1399" t="s">
        <v>10172</v>
      </c>
      <c r="AC1399" t="s">
        <v>3145</v>
      </c>
      <c r="AD1399" s="249" t="str">
        <f>HYPERLINK("https://scontent.cdninstagram.com/t51.2885-15/s320x320/e15/20905839_1290248391101767_7182299334644334592_n.jpg")</f>
        <v>https://scontent.cdninstagram.com/t51.2885-15/s320x320/e15/20905839_1290248391101767_7182299334644334592_n.jpg</v>
      </c>
      <c r="AE1399" s="249" t="str">
        <f>HYPERLINK("https://scontent.cdninstagram.com/t51.2885-19/s150x150/14714495_1790450111234953_7147855754219749376_a.jpg")</f>
        <v>https://scontent.cdninstagram.com/t51.2885-19/s150x150/14714495_1790450111234953_7147855754219749376_a.jpg</v>
      </c>
    </row>
    <row r="1400" spans="1:31" ht="15" x14ac:dyDescent="0.25">
      <c r="A1400" t="s">
        <v>2474</v>
      </c>
      <c r="B1400" t="s">
        <v>10173</v>
      </c>
      <c r="C1400" s="221">
        <v>42965.215763888889</v>
      </c>
      <c r="D1400" t="s">
        <v>10174</v>
      </c>
      <c r="E1400" s="249" t="str">
        <f>HYPERLINK("https://www.instagram.com/p/BX7fuP3AiPC/")</f>
        <v>https://www.instagram.com/p/BX7fuP3AiPC/</v>
      </c>
      <c r="F1400" t="s">
        <v>10175</v>
      </c>
      <c r="G1400" t="s">
        <v>2478</v>
      </c>
      <c r="H1400">
        <v>8</v>
      </c>
      <c r="I1400" t="s">
        <v>2479</v>
      </c>
      <c r="J1400">
        <v>0</v>
      </c>
      <c r="K1400">
        <v>0</v>
      </c>
      <c r="L1400">
        <v>0</v>
      </c>
      <c r="Q1400">
        <v>0</v>
      </c>
      <c r="R1400">
        <v>0</v>
      </c>
      <c r="S1400">
        <v>0</v>
      </c>
      <c r="Y1400" t="s">
        <v>2497</v>
      </c>
      <c r="Z1400" t="s">
        <v>2906</v>
      </c>
      <c r="AA1400" t="s">
        <v>10176</v>
      </c>
      <c r="AB1400" t="s">
        <v>10177</v>
      </c>
      <c r="AC1400" t="s">
        <v>5625</v>
      </c>
      <c r="AD1400" s="249" t="str">
        <f>HYPERLINK("https://scontent.cdninstagram.com/t51.2885-15/s320x320/e35/20838417_110882096299376_8894662654795186176_n.jpg")</f>
        <v>https://scontent.cdninstagram.com/t51.2885-15/s320x320/e35/20838417_110882096299376_8894662654795186176_n.jpg</v>
      </c>
      <c r="AE1400" s="249" t="str">
        <f>HYPERLINK("https://scontent.cdninstagram.com/t51.2885-19/s150x150/20180502_563073257416313_3014661352066121728_a.jpg")</f>
        <v>https://scontent.cdninstagram.com/t51.2885-19/s150x150/20180502_563073257416313_3014661352066121728_a.jpg</v>
      </c>
    </row>
    <row r="1401" spans="1:31" ht="15" x14ac:dyDescent="0.25">
      <c r="A1401" t="s">
        <v>2474</v>
      </c>
      <c r="B1401" t="s">
        <v>10178</v>
      </c>
      <c r="C1401" s="221">
        <v>42965.224849537037</v>
      </c>
      <c r="D1401" t="s">
        <v>10179</v>
      </c>
      <c r="E1401" s="249" t="str">
        <f>HYPERLINK("https://www.instagram.com/p/BX7hOC1lGz1/")</f>
        <v>https://www.instagram.com/p/BX7hOC1lGz1/</v>
      </c>
      <c r="F1401" t="s">
        <v>10180</v>
      </c>
      <c r="G1401" t="s">
        <v>2478</v>
      </c>
      <c r="H1401">
        <v>1077</v>
      </c>
      <c r="I1401" t="s">
        <v>2599</v>
      </c>
      <c r="J1401">
        <v>3</v>
      </c>
      <c r="K1401">
        <v>35</v>
      </c>
      <c r="L1401">
        <v>38</v>
      </c>
      <c r="Q1401">
        <v>0</v>
      </c>
      <c r="R1401">
        <v>0</v>
      </c>
      <c r="S1401">
        <v>38</v>
      </c>
      <c r="Y1401" t="s">
        <v>3446</v>
      </c>
      <c r="Z1401" t="s">
        <v>10181</v>
      </c>
      <c r="AA1401" t="s">
        <v>10182</v>
      </c>
      <c r="AB1401" t="s">
        <v>4761</v>
      </c>
      <c r="AC1401" t="s">
        <v>10183</v>
      </c>
      <c r="AD1401" s="249" t="str">
        <f>HYPERLINK("https://scontent.cdninstagram.com/t51.2885-15/s320x320/e35/c63.0.466.466/20902291_341664329588089_356103130150076416_n.jpg")</f>
        <v>https://scontent.cdninstagram.com/t51.2885-15/s320x320/e35/c63.0.466.466/20902291_341664329588089_356103130150076416_n.jpg</v>
      </c>
      <c r="AE1401" s="249" t="str">
        <f>HYPERLINK("https://scontent.cdninstagram.com/t51.2885-19/s150x150/18160245_1039520106149138_2922471154662768640_a.jpg")</f>
        <v>https://scontent.cdninstagram.com/t51.2885-19/s150x150/18160245_1039520106149138_2922471154662768640_a.jpg</v>
      </c>
    </row>
    <row r="1402" spans="1:31" ht="15" x14ac:dyDescent="0.25">
      <c r="A1402" t="s">
        <v>2474</v>
      </c>
      <c r="B1402" t="s">
        <v>3895</v>
      </c>
      <c r="C1402" s="221">
        <v>42965.231377314813</v>
      </c>
      <c r="D1402" t="s">
        <v>10184</v>
      </c>
      <c r="E1402" s="249" t="str">
        <f>HYPERLINK("https://www.instagram.com/p/BX7iS5TFG-X/")</f>
        <v>https://www.instagram.com/p/BX7iS5TFG-X/</v>
      </c>
      <c r="F1402" t="s">
        <v>10185</v>
      </c>
      <c r="G1402" t="s">
        <v>2478</v>
      </c>
      <c r="H1402">
        <v>409</v>
      </c>
      <c r="I1402" t="s">
        <v>2479</v>
      </c>
      <c r="J1402">
        <v>5</v>
      </c>
      <c r="K1402">
        <v>107</v>
      </c>
      <c r="L1402">
        <v>112</v>
      </c>
      <c r="Q1402">
        <v>0</v>
      </c>
      <c r="R1402">
        <v>0</v>
      </c>
      <c r="S1402">
        <v>112</v>
      </c>
      <c r="Y1402" t="s">
        <v>6746</v>
      </c>
      <c r="Z1402" t="s">
        <v>3899</v>
      </c>
      <c r="AA1402" t="s">
        <v>10186</v>
      </c>
      <c r="AB1402" t="s">
        <v>9108</v>
      </c>
      <c r="AC1402" t="s">
        <v>8007</v>
      </c>
      <c r="AD1402" s="249" t="str">
        <f>HYPERLINK("https://scontent.cdninstagram.com/t51.2885-15/s320x320/e35/20902271_111574646181311_6490628442562756608_n.jpg")</f>
        <v>https://scontent.cdninstagram.com/t51.2885-15/s320x320/e35/20902271_111574646181311_6490628442562756608_n.jpg</v>
      </c>
      <c r="AE1402" s="249" t="str">
        <f>HYPERLINK("https://scontent.cdninstagram.com/t51.2885-19/s150x150/20902130_1390331654386412_4188068892897181696_a.jpg")</f>
        <v>https://scontent.cdninstagram.com/t51.2885-19/s150x150/20902130_1390331654386412_4188068892897181696_a.jpg</v>
      </c>
    </row>
    <row r="1403" spans="1:31" ht="15" x14ac:dyDescent="0.25">
      <c r="A1403" t="s">
        <v>2474</v>
      </c>
      <c r="B1403" t="s">
        <v>2856</v>
      </c>
      <c r="C1403" s="221">
        <v>42965.233541666668</v>
      </c>
      <c r="D1403" t="s">
        <v>10187</v>
      </c>
      <c r="E1403" s="249" t="str">
        <f>HYPERLINK("https://www.instagram.com/p/BX7ipu7lhPy/")</f>
        <v>https://www.instagram.com/p/BX7ipu7lhPy/</v>
      </c>
      <c r="F1403" t="s">
        <v>10188</v>
      </c>
      <c r="G1403" t="s">
        <v>2631</v>
      </c>
      <c r="H1403">
        <v>305</v>
      </c>
      <c r="I1403" t="s">
        <v>2479</v>
      </c>
      <c r="J1403">
        <v>0</v>
      </c>
      <c r="K1403">
        <v>15</v>
      </c>
      <c r="L1403">
        <v>15</v>
      </c>
      <c r="Q1403">
        <v>0</v>
      </c>
      <c r="R1403">
        <v>0</v>
      </c>
      <c r="S1403">
        <v>15</v>
      </c>
      <c r="Y1403" t="s">
        <v>2861</v>
      </c>
      <c r="Z1403" t="s">
        <v>4584</v>
      </c>
      <c r="AA1403" t="s">
        <v>10189</v>
      </c>
      <c r="AB1403" t="s">
        <v>8619</v>
      </c>
      <c r="AC1403" t="s">
        <v>10190</v>
      </c>
      <c r="AD1403" s="249" t="str">
        <f>HYPERLINK("https://scontent.cdninstagram.com/t51.2885-15/s320x320/e15/c0.90.720.720/20902526_1711323925842493_5285915907313369088_n.jpg")</f>
        <v>https://scontent.cdninstagram.com/t51.2885-15/s320x320/e15/c0.90.720.720/20902526_1711323925842493_5285915907313369088_n.jpg</v>
      </c>
      <c r="AE1403" s="249" t="str">
        <f>HYPERLINK("https://scontent.cdninstagram.com/t51.2885-19/s150x150/20065705_1706576016312315_6418665848906448896_a.jpg")</f>
        <v>https://scontent.cdninstagram.com/t51.2885-19/s150x150/20065705_1706576016312315_6418665848906448896_a.jpg</v>
      </c>
    </row>
    <row r="1404" spans="1:31" ht="15" x14ac:dyDescent="0.25">
      <c r="A1404" t="s">
        <v>2474</v>
      </c>
      <c r="B1404" t="s">
        <v>7152</v>
      </c>
      <c r="C1404" s="221">
        <v>42965.236342592594</v>
      </c>
      <c r="D1404" t="s">
        <v>10191</v>
      </c>
      <c r="E1404" s="249" t="str">
        <f>HYPERLINK("https://www.instagram.com/p/BX7jHSwD5aU/")</f>
        <v>https://www.instagram.com/p/BX7jHSwD5aU/</v>
      </c>
      <c r="F1404" t="s">
        <v>10192</v>
      </c>
      <c r="G1404" t="s">
        <v>2478</v>
      </c>
      <c r="H1404">
        <v>110</v>
      </c>
      <c r="I1404" t="s">
        <v>2910</v>
      </c>
      <c r="J1404">
        <v>3</v>
      </c>
      <c r="K1404">
        <v>24</v>
      </c>
      <c r="L1404">
        <v>27</v>
      </c>
      <c r="Q1404">
        <v>0</v>
      </c>
      <c r="R1404">
        <v>0</v>
      </c>
      <c r="S1404">
        <v>27</v>
      </c>
      <c r="Y1404" t="s">
        <v>5383</v>
      </c>
      <c r="Z1404" t="s">
        <v>7900</v>
      </c>
      <c r="AA1404" t="s">
        <v>6391</v>
      </c>
      <c r="AB1404" t="s">
        <v>7418</v>
      </c>
      <c r="AC1404" t="s">
        <v>5147</v>
      </c>
      <c r="AD1404" s="249" t="str">
        <f>HYPERLINK("https://scontent.cdninstagram.com/t51.2885-15/s320x320/e35/20838989_1263164830472355_7146934612583776256_n.jpg")</f>
        <v>https://scontent.cdninstagram.com/t51.2885-15/s320x320/e35/20838989_1263164830472355_7146934612583776256_n.jpg</v>
      </c>
      <c r="AE1404" s="249" t="str">
        <f>HYPERLINK("https://scontent.cdninstagram.com/t51.2885-19/s150x150/20181062_1791856511105718_4709893984703479808_a.jpg")</f>
        <v>https://scontent.cdninstagram.com/t51.2885-19/s150x150/20181062_1791856511105718_4709893984703479808_a.jpg</v>
      </c>
    </row>
    <row r="1405" spans="1:31" ht="15" x14ac:dyDescent="0.25">
      <c r="A1405" t="s">
        <v>2474</v>
      </c>
      <c r="B1405" t="s">
        <v>4132</v>
      </c>
      <c r="C1405" s="221">
        <v>42965.246087962965</v>
      </c>
      <c r="D1405" t="s">
        <v>10193</v>
      </c>
      <c r="E1405" s="249" t="str">
        <f>HYPERLINK("https://www.instagram.com/p/BX7kuEEl6zr/")</f>
        <v>https://www.instagram.com/p/BX7kuEEl6zr/</v>
      </c>
      <c r="F1405" t="s">
        <v>10194</v>
      </c>
      <c r="G1405" t="s">
        <v>2478</v>
      </c>
      <c r="H1405">
        <v>6881</v>
      </c>
      <c r="I1405" t="s">
        <v>2479</v>
      </c>
      <c r="J1405">
        <v>1</v>
      </c>
      <c r="K1405">
        <v>28</v>
      </c>
      <c r="L1405">
        <v>29</v>
      </c>
      <c r="Q1405">
        <v>0</v>
      </c>
      <c r="R1405">
        <v>0</v>
      </c>
      <c r="S1405">
        <v>29</v>
      </c>
      <c r="Y1405" t="s">
        <v>4136</v>
      </c>
      <c r="Z1405" t="s">
        <v>5728</v>
      </c>
      <c r="AA1405" t="s">
        <v>3477</v>
      </c>
      <c r="AB1405" t="s">
        <v>10195</v>
      </c>
      <c r="AC1405" t="s">
        <v>3757</v>
      </c>
      <c r="AD1405" s="249" t="str">
        <f>HYPERLINK("https://scontent.cdninstagram.com/t51.2885-15/s320x320/e35/c35.0.570.570/20905842_264597064046618_6465114210815705088_n.jpg")</f>
        <v>https://scontent.cdninstagram.com/t51.2885-15/s320x320/e35/c35.0.570.570/20905842_264597064046618_6465114210815705088_n.jpg</v>
      </c>
      <c r="AE1405" s="249" t="str">
        <f>HYPERLINK("https://scontent.cdninstagram.com/t51.2885-19/s150x150/15306012_1834743390099693_621234283125669888_a.jpg")</f>
        <v>https://scontent.cdninstagram.com/t51.2885-19/s150x150/15306012_1834743390099693_621234283125669888_a.jpg</v>
      </c>
    </row>
    <row r="1406" spans="1:31" ht="15" x14ac:dyDescent="0.25">
      <c r="A1406" t="s">
        <v>2474</v>
      </c>
      <c r="B1406" t="s">
        <v>10196</v>
      </c>
      <c r="C1406" s="221">
        <v>42965.253009259257</v>
      </c>
      <c r="D1406" t="s">
        <v>10197</v>
      </c>
      <c r="E1406" s="249" t="str">
        <f>HYPERLINK("https://www.instagram.com/p/BX7l3GkAndA/")</f>
        <v>https://www.instagram.com/p/BX7l3GkAndA/</v>
      </c>
      <c r="F1406" t="s">
        <v>10198</v>
      </c>
      <c r="G1406" t="s">
        <v>2478</v>
      </c>
      <c r="H1406">
        <v>5056</v>
      </c>
      <c r="I1406" t="s">
        <v>2510</v>
      </c>
      <c r="J1406">
        <v>0</v>
      </c>
      <c r="K1406">
        <v>40</v>
      </c>
      <c r="L1406">
        <v>40</v>
      </c>
      <c r="Q1406">
        <v>0</v>
      </c>
      <c r="R1406">
        <v>0</v>
      </c>
      <c r="S1406">
        <v>40</v>
      </c>
      <c r="Y1406" t="s">
        <v>10199</v>
      </c>
      <c r="Z1406" t="s">
        <v>8654</v>
      </c>
      <c r="AA1406" t="s">
        <v>5196</v>
      </c>
      <c r="AB1406" t="s">
        <v>3760</v>
      </c>
      <c r="AC1406" t="s">
        <v>4803</v>
      </c>
      <c r="AD1406" s="249" t="str">
        <f>HYPERLINK("https://scontent.cdninstagram.com/t51.2885-15/s320x320/e35/20969022_110209506358967_8351497833295118336_n.jpg")</f>
        <v>https://scontent.cdninstagram.com/t51.2885-15/s320x320/e35/20969022_110209506358967_8351497833295118336_n.jpg</v>
      </c>
      <c r="AE1406" s="249" t="str">
        <f>HYPERLINK("https://scontent.cdninstagram.com/t51.2885-19/s150x150/19228065_103269493599306_1866515829617590272_a.jpg")</f>
        <v>https://scontent.cdninstagram.com/t51.2885-19/s150x150/19228065_103269493599306_1866515829617590272_a.jpg</v>
      </c>
    </row>
    <row r="1407" spans="1:31" ht="15" x14ac:dyDescent="0.25">
      <c r="A1407" t="s">
        <v>2474</v>
      </c>
      <c r="B1407" t="s">
        <v>2588</v>
      </c>
      <c r="C1407" s="221">
        <v>42965.25472222222</v>
      </c>
      <c r="D1407" t="s">
        <v>10200</v>
      </c>
      <c r="E1407" s="249" t="str">
        <f>HYPERLINK("https://www.instagram.com/p/BX7mJItg7km/")</f>
        <v>https://www.instagram.com/p/BX7mJItg7km/</v>
      </c>
      <c r="F1407" t="s">
        <v>10201</v>
      </c>
      <c r="G1407" t="s">
        <v>2478</v>
      </c>
      <c r="H1407">
        <v>306</v>
      </c>
      <c r="I1407" t="s">
        <v>2479</v>
      </c>
      <c r="J1407">
        <v>15</v>
      </c>
      <c r="K1407">
        <v>555</v>
      </c>
      <c r="L1407">
        <v>570</v>
      </c>
      <c r="Q1407">
        <v>0</v>
      </c>
      <c r="R1407">
        <v>0</v>
      </c>
      <c r="S1407">
        <v>570</v>
      </c>
      <c r="Y1407" t="s">
        <v>2588</v>
      </c>
      <c r="AD1407" s="249" t="str">
        <f>HYPERLINK("https://scontent.cdninstagram.com/t51.2885-15/s320x320/e35/20905137_261831557644422_2028064620660391936_n.jpg")</f>
        <v>https://scontent.cdninstagram.com/t51.2885-15/s320x320/e35/20905137_261831557644422_2028064620660391936_n.jpg</v>
      </c>
      <c r="AE1407" s="249" t="str">
        <f>HYPERLINK("https://scontent.cdninstagram.com/t51.2885-19/s150x150/20633561_108840983138666_5897549723056734208_a.jpg")</f>
        <v>https://scontent.cdninstagram.com/t51.2885-19/s150x150/20633561_108840983138666_5897549723056734208_a.jpg</v>
      </c>
    </row>
    <row r="1408" spans="1:31" ht="15" x14ac:dyDescent="0.25">
      <c r="A1408" t="s">
        <v>2474</v>
      </c>
      <c r="B1408" t="s">
        <v>10202</v>
      </c>
      <c r="C1408" s="221">
        <v>42965.255798611113</v>
      </c>
      <c r="D1408" t="s">
        <v>10203</v>
      </c>
      <c r="E1408" s="249" t="str">
        <f>HYPERLINK("https://www.instagram.com/p/BX7mUdhlYcs/")</f>
        <v>https://www.instagram.com/p/BX7mUdhlYcs/</v>
      </c>
      <c r="F1408" t="s">
        <v>10204</v>
      </c>
      <c r="G1408" t="s">
        <v>2478</v>
      </c>
      <c r="H1408">
        <v>149</v>
      </c>
      <c r="I1408" t="s">
        <v>2639</v>
      </c>
      <c r="J1408">
        <v>4</v>
      </c>
      <c r="K1408">
        <v>14</v>
      </c>
      <c r="L1408">
        <v>18</v>
      </c>
      <c r="Q1408">
        <v>0</v>
      </c>
      <c r="R1408">
        <v>0</v>
      </c>
      <c r="S1408">
        <v>18</v>
      </c>
      <c r="Y1408" t="s">
        <v>2737</v>
      </c>
      <c r="Z1408" t="s">
        <v>10205</v>
      </c>
      <c r="AA1408" t="s">
        <v>10206</v>
      </c>
      <c r="AB1408" t="s">
        <v>10207</v>
      </c>
      <c r="AC1408" t="s">
        <v>10208</v>
      </c>
      <c r="AD1408" s="249" t="str">
        <f>HYPERLINK("https://scontent.cdninstagram.com/t51.2885-15/s320x320/e35/20837687_870580169777041_3322273000069267456_n.jpg")</f>
        <v>https://scontent.cdninstagram.com/t51.2885-15/s320x320/e35/20837687_870580169777041_3322273000069267456_n.jpg</v>
      </c>
      <c r="AE1408" s="249" t="str">
        <f>HYPERLINK("https://scontent.cdninstagram.com/t51.2885-19/s150x150/18581366_299300387148729_4828102123323392000_a.jpg")</f>
        <v>https://scontent.cdninstagram.com/t51.2885-19/s150x150/18581366_299300387148729_4828102123323392000_a.jpg</v>
      </c>
    </row>
    <row r="1409" spans="1:31" ht="15" x14ac:dyDescent="0.25">
      <c r="A1409" t="s">
        <v>2474</v>
      </c>
      <c r="B1409" t="s">
        <v>10209</v>
      </c>
      <c r="C1409" s="221">
        <v>42965.258715277778</v>
      </c>
      <c r="D1409" t="s">
        <v>10210</v>
      </c>
      <c r="E1409" s="249" t="str">
        <f>HYPERLINK("https://www.instagram.com/p/BX7mzQYjY7h/")</f>
        <v>https://www.instagram.com/p/BX7mzQYjY7h/</v>
      </c>
      <c r="F1409" t="s">
        <v>10211</v>
      </c>
      <c r="G1409" t="s">
        <v>2478</v>
      </c>
      <c r="H1409">
        <v>856</v>
      </c>
      <c r="I1409" t="s">
        <v>3025</v>
      </c>
      <c r="J1409">
        <v>0</v>
      </c>
      <c r="K1409">
        <v>73</v>
      </c>
      <c r="L1409">
        <v>73</v>
      </c>
      <c r="Q1409">
        <v>0</v>
      </c>
      <c r="R1409">
        <v>0</v>
      </c>
      <c r="S1409">
        <v>73</v>
      </c>
      <c r="Y1409" t="s">
        <v>7098</v>
      </c>
      <c r="Z1409" t="s">
        <v>10212</v>
      </c>
      <c r="AA1409" t="s">
        <v>2497</v>
      </c>
      <c r="AD1409" s="249" t="str">
        <f>HYPERLINK("https://scontent.cdninstagram.com/t51.2885-15/s320x320/e35/c0.135.1080.1080/20837746_340986793026392_1420725797982830592_n.jpg")</f>
        <v>https://scontent.cdninstagram.com/t51.2885-15/s320x320/e35/c0.135.1080.1080/20837746_340986793026392_1420725797982830592_n.jpg</v>
      </c>
      <c r="AE1409" s="249" t="str">
        <f>HYPERLINK("https://scontent.cdninstagram.com/t51.2885-19/s150x150/18161300_787865471377902_5793417871598026752_a.jpg")</f>
        <v>https://scontent.cdninstagram.com/t51.2885-19/s150x150/18161300_787865471377902_5793417871598026752_a.jpg</v>
      </c>
    </row>
    <row r="1410" spans="1:31" ht="15" x14ac:dyDescent="0.25">
      <c r="A1410" t="s">
        <v>2474</v>
      </c>
      <c r="B1410" t="s">
        <v>10213</v>
      </c>
      <c r="C1410" s="221">
        <v>42965.266608796293</v>
      </c>
      <c r="D1410" t="s">
        <v>10214</v>
      </c>
      <c r="E1410" s="249" t="str">
        <f>HYPERLINK("https://www.instagram.com/p/BX7oGgOglF6/")</f>
        <v>https://www.instagram.com/p/BX7oGgOglF6/</v>
      </c>
      <c r="F1410" t="s">
        <v>10215</v>
      </c>
      <c r="G1410" t="s">
        <v>2478</v>
      </c>
      <c r="H1410">
        <v>1931</v>
      </c>
      <c r="I1410" t="s">
        <v>2479</v>
      </c>
      <c r="J1410">
        <v>1</v>
      </c>
      <c r="K1410">
        <v>61</v>
      </c>
      <c r="L1410">
        <v>62</v>
      </c>
      <c r="Q1410">
        <v>0</v>
      </c>
      <c r="R1410">
        <v>0</v>
      </c>
      <c r="S1410">
        <v>62</v>
      </c>
      <c r="Y1410" t="s">
        <v>10216</v>
      </c>
      <c r="Z1410" t="s">
        <v>10217</v>
      </c>
      <c r="AA1410" t="s">
        <v>10218</v>
      </c>
      <c r="AB1410" t="s">
        <v>10219</v>
      </c>
      <c r="AC1410" t="s">
        <v>2497</v>
      </c>
      <c r="AD1410" s="249" t="str">
        <f>HYPERLINK("https://scontent.cdninstagram.com/t51.2885-15/s320x320/e35/c0.75.1080.1080/20902467_802115059988461_1763770359242293248_n.jpg")</f>
        <v>https://scontent.cdninstagram.com/t51.2885-15/s320x320/e35/c0.75.1080.1080/20902467_802115059988461_1763770359242293248_n.jpg</v>
      </c>
      <c r="AE1410" s="249" t="str">
        <f>HYPERLINK("https://scontent.cdninstagram.com/t51.2885-19/s150x150/19226974_1855592548101242_4693571850553262080_a.jpg")</f>
        <v>https://scontent.cdninstagram.com/t51.2885-19/s150x150/19226974_1855592548101242_4693571850553262080_a.jpg</v>
      </c>
    </row>
    <row r="1411" spans="1:31" ht="15" x14ac:dyDescent="0.25">
      <c r="A1411" t="s">
        <v>2474</v>
      </c>
      <c r="B1411" t="s">
        <v>10220</v>
      </c>
      <c r="C1411" s="221">
        <v>42965.271493055552</v>
      </c>
      <c r="D1411" t="s">
        <v>10221</v>
      </c>
      <c r="E1411" s="249" t="str">
        <f>HYPERLINK("https://www.instagram.com/p/BX7o6AEAyb1/")</f>
        <v>https://www.instagram.com/p/BX7o6AEAyb1/</v>
      </c>
      <c r="F1411" t="s">
        <v>10222</v>
      </c>
      <c r="G1411" t="s">
        <v>2478</v>
      </c>
      <c r="H1411">
        <v>493</v>
      </c>
      <c r="I1411" t="s">
        <v>2479</v>
      </c>
      <c r="J1411">
        <v>0</v>
      </c>
      <c r="K1411">
        <v>16</v>
      </c>
      <c r="L1411">
        <v>16</v>
      </c>
      <c r="Q1411">
        <v>0</v>
      </c>
      <c r="R1411">
        <v>0</v>
      </c>
      <c r="S1411">
        <v>16</v>
      </c>
      <c r="Y1411" t="s">
        <v>10223</v>
      </c>
      <c r="Z1411" t="s">
        <v>2789</v>
      </c>
      <c r="AA1411" t="s">
        <v>10224</v>
      </c>
      <c r="AB1411" t="s">
        <v>3619</v>
      </c>
      <c r="AC1411" t="s">
        <v>10225</v>
      </c>
      <c r="AD1411" s="249" t="str">
        <f>HYPERLINK("https://scontent.cdninstagram.com/t51.2885-15/s320x320/e35/c135.0.810.810/20905740_1506024542768952_4753753671039188992_n.jpg")</f>
        <v>https://scontent.cdninstagram.com/t51.2885-15/s320x320/e35/c135.0.810.810/20905740_1506024542768952_4753753671039188992_n.jpg</v>
      </c>
      <c r="AE1411" s="249" t="str">
        <f>HYPERLINK("https://scontent.cdninstagram.com/t51.2885-19/s150x150/13437329_1073210882714597_1071317348_a.jpg")</f>
        <v>https://scontent.cdninstagram.com/t51.2885-19/s150x150/13437329_1073210882714597_1071317348_a.jpg</v>
      </c>
    </row>
    <row r="1412" spans="1:31" ht="15" x14ac:dyDescent="0.25">
      <c r="A1412" t="s">
        <v>2474</v>
      </c>
      <c r="B1412" t="s">
        <v>10226</v>
      </c>
      <c r="C1412" s="221">
        <v>42965.273854166669</v>
      </c>
      <c r="D1412" t="s">
        <v>10227</v>
      </c>
      <c r="E1412" s="249" t="str">
        <f>HYPERLINK("https://www.instagram.com/p/BX7pS5LlkKI/")</f>
        <v>https://www.instagram.com/p/BX7pS5LlkKI/</v>
      </c>
      <c r="F1412" t="s">
        <v>10228</v>
      </c>
      <c r="G1412" t="s">
        <v>2478</v>
      </c>
      <c r="H1412">
        <v>61</v>
      </c>
      <c r="I1412" t="s">
        <v>3186</v>
      </c>
      <c r="J1412">
        <v>0</v>
      </c>
      <c r="K1412">
        <v>18</v>
      </c>
      <c r="L1412">
        <v>18</v>
      </c>
      <c r="Q1412">
        <v>0</v>
      </c>
      <c r="R1412">
        <v>0</v>
      </c>
      <c r="S1412">
        <v>18</v>
      </c>
      <c r="Y1412" t="s">
        <v>10229</v>
      </c>
      <c r="Z1412" t="s">
        <v>10230</v>
      </c>
      <c r="AA1412" t="s">
        <v>10231</v>
      </c>
      <c r="AB1412" t="s">
        <v>10232</v>
      </c>
      <c r="AC1412" t="s">
        <v>10233</v>
      </c>
      <c r="AD1412" s="249" t="str">
        <f>HYPERLINK("https://scontent.cdninstagram.com/t51.2885-15/s320x320/e35/20838943_161651377719122_4361581036170117120_n.jpg")</f>
        <v>https://scontent.cdninstagram.com/t51.2885-15/s320x320/e35/20838943_161651377719122_4361581036170117120_n.jpg</v>
      </c>
      <c r="AE1412" s="249" t="str">
        <f>HYPERLINK("https://scontent.cdninstagram.com/t51.2885-19/s150x150/18811950_114960912425963_9101335725164462080_a.jpg")</f>
        <v>https://scontent.cdninstagram.com/t51.2885-19/s150x150/18811950_114960912425963_9101335725164462080_a.jpg</v>
      </c>
    </row>
    <row r="1413" spans="1:31" ht="15" x14ac:dyDescent="0.25">
      <c r="A1413" t="s">
        <v>2474</v>
      </c>
      <c r="B1413" t="s">
        <v>3471</v>
      </c>
      <c r="C1413" s="221">
        <v>42965.278715277775</v>
      </c>
      <c r="D1413" t="s">
        <v>10234</v>
      </c>
      <c r="E1413" s="249" t="str">
        <f>HYPERLINK("https://www.instagram.com/p/BX7qGOgH7oP/")</f>
        <v>https://www.instagram.com/p/BX7qGOgH7oP/</v>
      </c>
      <c r="F1413" t="s">
        <v>10235</v>
      </c>
      <c r="G1413" t="s">
        <v>2478</v>
      </c>
      <c r="H1413">
        <v>185</v>
      </c>
      <c r="I1413" t="s">
        <v>2479</v>
      </c>
      <c r="J1413">
        <v>2</v>
      </c>
      <c r="K1413">
        <v>26</v>
      </c>
      <c r="L1413">
        <v>28</v>
      </c>
      <c r="Q1413">
        <v>0</v>
      </c>
      <c r="R1413">
        <v>0</v>
      </c>
      <c r="S1413">
        <v>28</v>
      </c>
      <c r="T1413" t="s">
        <v>3474</v>
      </c>
      <c r="V1413" t="s">
        <v>2258</v>
      </c>
      <c r="W1413">
        <v>1.2930600000000001</v>
      </c>
      <c r="X1413">
        <v>103.85599999999999</v>
      </c>
      <c r="Y1413" t="s">
        <v>5884</v>
      </c>
      <c r="Z1413" t="s">
        <v>10236</v>
      </c>
      <c r="AA1413" t="s">
        <v>3477</v>
      </c>
      <c r="AB1413" t="s">
        <v>6775</v>
      </c>
      <c r="AC1413" t="s">
        <v>3851</v>
      </c>
      <c r="AD1413" s="249" t="str">
        <f>HYPERLINK("https://scontent.cdninstagram.com/t51.2885-15/s320x320/e35/20901904_478472759197874_7632544522970333184_n.jpg")</f>
        <v>https://scontent.cdninstagram.com/t51.2885-15/s320x320/e35/20901904_478472759197874_7632544522970333184_n.jpg</v>
      </c>
      <c r="AE1413" s="249" t="str">
        <f>HYPERLINK("https://scontent.cdninstagram.com/t51.2885-19/s150x150/19986209_741127056067001_1270489010199855104_a.jpg")</f>
        <v>https://scontent.cdninstagram.com/t51.2885-19/s150x150/19986209_741127056067001_1270489010199855104_a.jpg</v>
      </c>
    </row>
    <row r="1414" spans="1:31" ht="15" x14ac:dyDescent="0.25">
      <c r="A1414" t="s">
        <v>2474</v>
      </c>
      <c r="B1414" t="s">
        <v>10237</v>
      </c>
      <c r="C1414" s="221">
        <v>42965.278900462959</v>
      </c>
      <c r="D1414" t="s">
        <v>10238</v>
      </c>
      <c r="E1414" s="249" t="str">
        <f>HYPERLINK("https://www.instagram.com/p/BX7qIMrFTpn/")</f>
        <v>https://www.instagram.com/p/BX7qIMrFTpn/</v>
      </c>
      <c r="F1414" t="s">
        <v>10239</v>
      </c>
      <c r="G1414" t="s">
        <v>2478</v>
      </c>
      <c r="H1414">
        <v>103</v>
      </c>
      <c r="I1414" t="s">
        <v>3575</v>
      </c>
      <c r="J1414">
        <v>1</v>
      </c>
      <c r="K1414">
        <v>20</v>
      </c>
      <c r="L1414">
        <v>21</v>
      </c>
      <c r="Q1414">
        <v>0</v>
      </c>
      <c r="R1414">
        <v>0</v>
      </c>
      <c r="S1414">
        <v>21</v>
      </c>
      <c r="Y1414" t="s">
        <v>5778</v>
      </c>
      <c r="Z1414" t="s">
        <v>10240</v>
      </c>
      <c r="AA1414" t="s">
        <v>10241</v>
      </c>
      <c r="AB1414" t="s">
        <v>3937</v>
      </c>
      <c r="AC1414" t="s">
        <v>10242</v>
      </c>
      <c r="AD1414" s="249" t="str">
        <f>HYPERLINK("https://scontent.cdninstagram.com/t51.2885-15/s320x320/e35/20838723_1413092388757570_8500849690311393280_n.jpg")</f>
        <v>https://scontent.cdninstagram.com/t51.2885-15/s320x320/e35/20838723_1413092388757570_8500849690311393280_n.jpg</v>
      </c>
      <c r="AE1414" s="249" t="str">
        <f>HYPERLINK("https://scontent.cdninstagram.com/t51.2885-19/s150x150/19051075_1899070993668022_6323876573518757888_a.jpg")</f>
        <v>https://scontent.cdninstagram.com/t51.2885-19/s150x150/19051075_1899070993668022_6323876573518757888_a.jpg</v>
      </c>
    </row>
    <row r="1415" spans="1:31" ht="15" x14ac:dyDescent="0.25">
      <c r="A1415" t="s">
        <v>2474</v>
      </c>
      <c r="B1415" t="s">
        <v>10243</v>
      </c>
      <c r="C1415" s="221">
        <v>42965.281261574077</v>
      </c>
      <c r="D1415" t="s">
        <v>10244</v>
      </c>
      <c r="E1415" s="249" t="str">
        <f>HYPERLINK("https://www.instagram.com/p/BX7qhEQB8sU/")</f>
        <v>https://www.instagram.com/p/BX7qhEQB8sU/</v>
      </c>
      <c r="F1415" t="s">
        <v>10245</v>
      </c>
      <c r="G1415" t="s">
        <v>2478</v>
      </c>
      <c r="H1415">
        <v>19782</v>
      </c>
      <c r="I1415" t="s">
        <v>2542</v>
      </c>
      <c r="J1415">
        <v>0</v>
      </c>
      <c r="K1415">
        <v>193</v>
      </c>
      <c r="L1415">
        <v>193</v>
      </c>
      <c r="Q1415">
        <v>0</v>
      </c>
      <c r="R1415">
        <v>0</v>
      </c>
      <c r="S1415">
        <v>193</v>
      </c>
      <c r="Y1415" t="s">
        <v>10246</v>
      </c>
      <c r="Z1415" t="s">
        <v>10247</v>
      </c>
      <c r="AA1415" t="s">
        <v>10248</v>
      </c>
      <c r="AB1415" t="s">
        <v>10249</v>
      </c>
      <c r="AC1415" t="s">
        <v>10250</v>
      </c>
      <c r="AD1415" s="249" t="str">
        <f>HYPERLINK("https://scontent.cdninstagram.com/t51.2885-15/s320x320/e35/c0.12.485.485/20839038_111629209519044_5741469056741933056_n.jpg")</f>
        <v>https://scontent.cdninstagram.com/t51.2885-15/s320x320/e35/c0.12.485.485/20839038_111629209519044_5741469056741933056_n.jpg</v>
      </c>
      <c r="AE1415" s="249" t="str">
        <f>HYPERLINK("https://scontent.cdninstagram.com/t51.2885-19/s150x150/18889269_1405344412836938_1892648532360298496_a.jpg")</f>
        <v>https://scontent.cdninstagram.com/t51.2885-19/s150x150/18889269_1405344412836938_1892648532360298496_a.jpg</v>
      </c>
    </row>
    <row r="1416" spans="1:31" ht="15" x14ac:dyDescent="0.25">
      <c r="A1416" t="s">
        <v>2474</v>
      </c>
      <c r="B1416" t="s">
        <v>10251</v>
      </c>
      <c r="C1416" s="221">
        <v>42965.295254629629</v>
      </c>
      <c r="D1416" t="s">
        <v>10252</v>
      </c>
      <c r="E1416" s="249" t="str">
        <f>HYPERLINK("https://www.instagram.com/p/BX7s0rAAO9i/")</f>
        <v>https://www.instagram.com/p/BX7s0rAAO9i/</v>
      </c>
      <c r="F1416" t="s">
        <v>10253</v>
      </c>
      <c r="G1416" t="s">
        <v>2478</v>
      </c>
      <c r="H1416">
        <v>524</v>
      </c>
      <c r="I1416" t="s">
        <v>2479</v>
      </c>
      <c r="J1416">
        <v>2</v>
      </c>
      <c r="K1416">
        <v>13</v>
      </c>
      <c r="L1416">
        <v>15</v>
      </c>
      <c r="Q1416">
        <v>0</v>
      </c>
      <c r="R1416">
        <v>0</v>
      </c>
      <c r="S1416">
        <v>15</v>
      </c>
      <c r="Y1416" t="s">
        <v>10254</v>
      </c>
      <c r="Z1416" t="s">
        <v>2497</v>
      </c>
      <c r="AD1416" s="249" t="str">
        <f>HYPERLINK("https://scontent.cdninstagram.com/t51.2885-15/s320x320/e35/20905466_100131850719558_2843781808997269504_n.jpg")</f>
        <v>https://scontent.cdninstagram.com/t51.2885-15/s320x320/e35/20905466_100131850719558_2843781808997269504_n.jpg</v>
      </c>
      <c r="AE1416" s="249" t="str">
        <f>HYPERLINK("https://scontent.cdninstagram.com/t51.2885-19/s150x150/20633242_1932107953702262_2779130512399138816_a.jpg")</f>
        <v>https://scontent.cdninstagram.com/t51.2885-19/s150x150/20633242_1932107953702262_2779130512399138816_a.jpg</v>
      </c>
    </row>
    <row r="1417" spans="1:31" ht="15" x14ac:dyDescent="0.25">
      <c r="A1417" t="s">
        <v>2474</v>
      </c>
      <c r="B1417" t="s">
        <v>2685</v>
      </c>
      <c r="C1417" s="221">
        <v>42965.300740740742</v>
      </c>
      <c r="D1417" t="s">
        <v>10255</v>
      </c>
      <c r="E1417" s="249" t="str">
        <f>HYPERLINK("https://www.instagram.com/p/BX7tuhslbh8/")</f>
        <v>https://www.instagram.com/p/BX7tuhslbh8/</v>
      </c>
      <c r="F1417" t="s">
        <v>10256</v>
      </c>
      <c r="G1417" t="s">
        <v>2478</v>
      </c>
      <c r="H1417">
        <v>227</v>
      </c>
      <c r="I1417" t="s">
        <v>2479</v>
      </c>
      <c r="J1417">
        <v>6</v>
      </c>
      <c r="K1417">
        <v>52</v>
      </c>
      <c r="L1417">
        <v>58</v>
      </c>
      <c r="Q1417">
        <v>0</v>
      </c>
      <c r="R1417">
        <v>0</v>
      </c>
      <c r="S1417">
        <v>58</v>
      </c>
      <c r="Y1417" t="s">
        <v>7908</v>
      </c>
      <c r="Z1417" t="s">
        <v>10257</v>
      </c>
      <c r="AA1417" t="s">
        <v>2688</v>
      </c>
      <c r="AB1417" t="s">
        <v>9183</v>
      </c>
      <c r="AC1417" t="s">
        <v>7218</v>
      </c>
      <c r="AD1417" s="249" t="str">
        <f>HYPERLINK("https://scontent.cdninstagram.com/t51.2885-15/s320x320/e35/20902370_161800864375909_9028660849836818432_n.jpg")</f>
        <v>https://scontent.cdninstagram.com/t51.2885-15/s320x320/e35/20902370_161800864375909_9028660849836818432_n.jpg</v>
      </c>
      <c r="AE1417" s="249" t="str">
        <f>HYPERLINK("https://scontent.cdninstagram.com/t51.2885-19/s150x150/12339026_997056470351354_891418646_a.jpg")</f>
        <v>https://scontent.cdninstagram.com/t51.2885-19/s150x150/12339026_997056470351354_891418646_a.jpg</v>
      </c>
    </row>
    <row r="1418" spans="1:31" ht="15" x14ac:dyDescent="0.25">
      <c r="A1418" t="s">
        <v>2474</v>
      </c>
      <c r="B1418" t="s">
        <v>4811</v>
      </c>
      <c r="C1418" s="221">
        <v>42965.305659722224</v>
      </c>
      <c r="D1418" t="s">
        <v>10258</v>
      </c>
      <c r="E1418" s="249" t="str">
        <f>HYPERLINK("https://www.instagram.com/p/BX7uiY3Aq8D/")</f>
        <v>https://www.instagram.com/p/BX7uiY3Aq8D/</v>
      </c>
      <c r="F1418" t="s">
        <v>10259</v>
      </c>
      <c r="G1418" t="s">
        <v>2478</v>
      </c>
      <c r="H1418">
        <v>961</v>
      </c>
      <c r="I1418" t="s">
        <v>2479</v>
      </c>
      <c r="J1418">
        <v>3</v>
      </c>
      <c r="K1418">
        <v>100</v>
      </c>
      <c r="L1418">
        <v>103</v>
      </c>
      <c r="Q1418">
        <v>0</v>
      </c>
      <c r="R1418">
        <v>0</v>
      </c>
      <c r="S1418">
        <v>103</v>
      </c>
      <c r="Y1418" t="s">
        <v>5168</v>
      </c>
      <c r="Z1418" t="s">
        <v>3006</v>
      </c>
      <c r="AA1418" t="s">
        <v>7236</v>
      </c>
      <c r="AB1418" t="s">
        <v>5287</v>
      </c>
      <c r="AC1418" t="s">
        <v>3246</v>
      </c>
      <c r="AD1418" s="249" t="str">
        <f>HYPERLINK("https://scontent.cdninstagram.com/t51.2885-15/s320x320/e35/20838979_112293156142379_3927741175510859776_n.jpg")</f>
        <v>https://scontent.cdninstagram.com/t51.2885-15/s320x320/e35/20838979_112293156142379_3927741175510859776_n.jpg</v>
      </c>
      <c r="AE1418" s="249" t="str">
        <f>HYPERLINK("https://scontent.cdninstagram.com/t51.2885-19/s150x150/16124251_1913091765603634_8004330562992996352_a.jpg")</f>
        <v>https://scontent.cdninstagram.com/t51.2885-19/s150x150/16124251_1913091765603634_8004330562992996352_a.jpg</v>
      </c>
    </row>
    <row r="1419" spans="1:31" ht="15" x14ac:dyDescent="0.25">
      <c r="A1419" t="s">
        <v>2474</v>
      </c>
      <c r="B1419" t="s">
        <v>10260</v>
      </c>
      <c r="C1419" s="221">
        <v>42965.317372685182</v>
      </c>
      <c r="D1419" t="s">
        <v>10261</v>
      </c>
      <c r="E1419" s="249" t="str">
        <f>HYPERLINK("https://www.instagram.com/p/BX7wd4HjqP1/")</f>
        <v>https://www.instagram.com/p/BX7wd4HjqP1/</v>
      </c>
      <c r="F1419" t="s">
        <v>10262</v>
      </c>
      <c r="G1419" t="s">
        <v>2478</v>
      </c>
      <c r="H1419">
        <v>1745</v>
      </c>
      <c r="I1419" t="s">
        <v>2479</v>
      </c>
      <c r="J1419">
        <v>0</v>
      </c>
      <c r="K1419">
        <v>98</v>
      </c>
      <c r="L1419">
        <v>98</v>
      </c>
      <c r="Q1419">
        <v>0</v>
      </c>
      <c r="R1419">
        <v>0</v>
      </c>
      <c r="S1419">
        <v>98</v>
      </c>
      <c r="T1419" t="s">
        <v>10263</v>
      </c>
      <c r="V1419" t="s">
        <v>2161</v>
      </c>
      <c r="W1419">
        <v>48.9</v>
      </c>
      <c r="X1419">
        <v>9.1833299999999998</v>
      </c>
      <c r="Y1419" t="s">
        <v>3006</v>
      </c>
      <c r="Z1419" t="s">
        <v>10264</v>
      </c>
      <c r="AA1419" t="s">
        <v>6922</v>
      </c>
      <c r="AB1419" t="s">
        <v>8178</v>
      </c>
      <c r="AC1419" t="s">
        <v>9108</v>
      </c>
      <c r="AD1419" s="249" t="str">
        <f>HYPERLINK("https://scontent.cdninstagram.com/t51.2885-15/s320x320/e35/20901950_1400273156687604_2797459951054749696_n.jpg")</f>
        <v>https://scontent.cdninstagram.com/t51.2885-15/s320x320/e35/20901950_1400273156687604_2797459951054749696_n.jpg</v>
      </c>
      <c r="AE1419" s="249" t="str">
        <f>HYPERLINK("https://scontent.cdninstagram.com/t51.2885-19/s150x150/19985899_1452269871506988_7530677343342297088_a.jpg")</f>
        <v>https://scontent.cdninstagram.com/t51.2885-19/s150x150/19985899_1452269871506988_7530677343342297088_a.jpg</v>
      </c>
    </row>
    <row r="1420" spans="1:31" ht="15" x14ac:dyDescent="0.25">
      <c r="A1420" t="s">
        <v>2474</v>
      </c>
      <c r="B1420" t="s">
        <v>10265</v>
      </c>
      <c r="C1420" s="221">
        <v>42965.320520833331</v>
      </c>
      <c r="D1420" t="s">
        <v>10266</v>
      </c>
      <c r="E1420" s="249" t="str">
        <f>HYPERLINK("https://www.instagram.com/p/BX7w_H3AcUv/")</f>
        <v>https://www.instagram.com/p/BX7w_H3AcUv/</v>
      </c>
      <c r="F1420" t="s">
        <v>10267</v>
      </c>
      <c r="G1420" t="s">
        <v>2478</v>
      </c>
      <c r="H1420">
        <v>491</v>
      </c>
      <c r="I1420" t="s">
        <v>2479</v>
      </c>
      <c r="J1420">
        <v>0</v>
      </c>
      <c r="K1420">
        <v>28</v>
      </c>
      <c r="L1420">
        <v>28</v>
      </c>
      <c r="Q1420">
        <v>0</v>
      </c>
      <c r="R1420">
        <v>0</v>
      </c>
      <c r="S1420">
        <v>28</v>
      </c>
      <c r="Y1420" t="s">
        <v>10268</v>
      </c>
      <c r="Z1420" t="s">
        <v>10269</v>
      </c>
      <c r="AA1420" t="s">
        <v>7236</v>
      </c>
      <c r="AB1420" t="s">
        <v>3262</v>
      </c>
      <c r="AC1420" t="s">
        <v>6294</v>
      </c>
      <c r="AD1420" s="249" t="str">
        <f>HYPERLINK("https://scontent.cdninstagram.com/t51.2885-15/s320x320/e35/20837154_260767621108767_5192986434369224704_n.jpg")</f>
        <v>https://scontent.cdninstagram.com/t51.2885-15/s320x320/e35/20837154_260767621108767_5192986434369224704_n.jpg</v>
      </c>
      <c r="AE1420" s="249" t="str">
        <f>HYPERLINK("https://scontent.cdninstagram.com/t51.2885-19/s150x150/14597413_1814538825471442_7932041096555659264_a.jpg")</f>
        <v>https://scontent.cdninstagram.com/t51.2885-19/s150x150/14597413_1814538825471442_7932041096555659264_a.jpg</v>
      </c>
    </row>
    <row r="1421" spans="1:31" ht="15" x14ac:dyDescent="0.25">
      <c r="A1421" t="s">
        <v>2474</v>
      </c>
      <c r="B1421" t="s">
        <v>2628</v>
      </c>
      <c r="C1421" s="221">
        <v>42965.322500000002</v>
      </c>
      <c r="D1421" t="s">
        <v>10270</v>
      </c>
      <c r="E1421" s="249" t="str">
        <f>HYPERLINK("https://www.instagram.com/p/BX7xUC7gNqX/")</f>
        <v>https://www.instagram.com/p/BX7xUC7gNqX/</v>
      </c>
      <c r="F1421" t="s">
        <v>6303</v>
      </c>
      <c r="G1421" t="s">
        <v>2631</v>
      </c>
      <c r="H1421">
        <v>178</v>
      </c>
      <c r="I1421" t="s">
        <v>2479</v>
      </c>
      <c r="J1421">
        <v>0</v>
      </c>
      <c r="K1421">
        <v>22</v>
      </c>
      <c r="L1421">
        <v>22</v>
      </c>
      <c r="Q1421">
        <v>0</v>
      </c>
      <c r="R1421">
        <v>0</v>
      </c>
      <c r="S1421">
        <v>22</v>
      </c>
      <c r="Y1421" t="s">
        <v>5884</v>
      </c>
      <c r="Z1421" t="s">
        <v>3477</v>
      </c>
      <c r="AA1421" t="s">
        <v>6746</v>
      </c>
      <c r="AB1421" t="s">
        <v>7225</v>
      </c>
      <c r="AC1421" t="s">
        <v>8086</v>
      </c>
      <c r="AD1421" s="249" t="str">
        <f>HYPERLINK("https://scontent.cdninstagram.com/t51.2885-15/s320x320/e15/20838515_1426452267442996_533395364334534656_n.jpg")</f>
        <v>https://scontent.cdninstagram.com/t51.2885-15/s320x320/e15/20838515_1426452267442996_533395364334534656_n.jpg</v>
      </c>
      <c r="AE1421" s="249" t="str">
        <f>HYPERLINK("https://scontent.cdninstagram.com/t51.2885-19/s150x150/13739472_923311071148595_1681273203_a.jpg")</f>
        <v>https://scontent.cdninstagram.com/t51.2885-19/s150x150/13739472_923311071148595_1681273203_a.jpg</v>
      </c>
    </row>
    <row r="1422" spans="1:31" ht="15" x14ac:dyDescent="0.25">
      <c r="A1422" t="s">
        <v>2474</v>
      </c>
      <c r="B1422" t="s">
        <v>7152</v>
      </c>
      <c r="C1422" s="221">
        <v>42965.324212962965</v>
      </c>
      <c r="D1422" t="s">
        <v>10271</v>
      </c>
      <c r="E1422" s="249" t="str">
        <f>HYPERLINK("https://www.instagram.com/p/BX7xmEiDbuv/")</f>
        <v>https://www.instagram.com/p/BX7xmEiDbuv/</v>
      </c>
      <c r="F1422" t="s">
        <v>10272</v>
      </c>
      <c r="G1422" t="s">
        <v>2478</v>
      </c>
      <c r="H1422">
        <v>111</v>
      </c>
      <c r="I1422" t="s">
        <v>2542</v>
      </c>
      <c r="J1422">
        <v>1</v>
      </c>
      <c r="K1422">
        <v>16</v>
      </c>
      <c r="L1422">
        <v>17</v>
      </c>
      <c r="Q1422">
        <v>0</v>
      </c>
      <c r="R1422">
        <v>0</v>
      </c>
      <c r="S1422">
        <v>17</v>
      </c>
      <c r="Y1422" t="s">
        <v>5884</v>
      </c>
      <c r="Z1422" t="s">
        <v>7900</v>
      </c>
      <c r="AA1422" t="s">
        <v>5383</v>
      </c>
      <c r="AB1422" t="s">
        <v>4419</v>
      </c>
      <c r="AC1422" t="s">
        <v>6391</v>
      </c>
      <c r="AD1422" s="249" t="str">
        <f>HYPERLINK("https://scontent.cdninstagram.com/t51.2885-15/s320x320/e35/20968463_163580620865387_1450403545256820736_n.jpg")</f>
        <v>https://scontent.cdninstagram.com/t51.2885-15/s320x320/e35/20968463_163580620865387_1450403545256820736_n.jpg</v>
      </c>
      <c r="AE1422" s="249" t="str">
        <f>HYPERLINK("https://scontent.cdninstagram.com/t51.2885-19/s150x150/20181062_1791856511105718_4709893984703479808_a.jpg")</f>
        <v>https://scontent.cdninstagram.com/t51.2885-19/s150x150/20181062_1791856511105718_4709893984703479808_a.jpg</v>
      </c>
    </row>
    <row r="1423" spans="1:31" ht="15" x14ac:dyDescent="0.25">
      <c r="A1423" t="s">
        <v>2474</v>
      </c>
      <c r="B1423" t="s">
        <v>2907</v>
      </c>
      <c r="C1423" s="221">
        <v>42965.329606481479</v>
      </c>
      <c r="D1423" t="s">
        <v>10273</v>
      </c>
      <c r="E1423" s="249" t="str">
        <f>HYPERLINK("https://www.instagram.com/p/BX7ye-agabP/")</f>
        <v>https://www.instagram.com/p/BX7ye-agabP/</v>
      </c>
      <c r="F1423" t="s">
        <v>10274</v>
      </c>
      <c r="G1423" t="s">
        <v>2478</v>
      </c>
      <c r="H1423">
        <v>78</v>
      </c>
      <c r="I1423" t="s">
        <v>2639</v>
      </c>
      <c r="J1423">
        <v>2</v>
      </c>
      <c r="K1423">
        <v>24</v>
      </c>
      <c r="L1423">
        <v>26</v>
      </c>
      <c r="Q1423">
        <v>0</v>
      </c>
      <c r="R1423">
        <v>0</v>
      </c>
      <c r="S1423">
        <v>26</v>
      </c>
      <c r="Y1423" t="s">
        <v>6043</v>
      </c>
      <c r="Z1423" t="s">
        <v>2911</v>
      </c>
      <c r="AA1423" t="s">
        <v>8587</v>
      </c>
      <c r="AB1423" t="s">
        <v>10275</v>
      </c>
      <c r="AC1423" t="s">
        <v>10276</v>
      </c>
      <c r="AD1423" s="249" t="str">
        <f>HYPERLINK("https://scontent.cdninstagram.com/t51.2885-15/s320x320/e35/20969101_347807522307500_7798021297828528128_n.jpg")</f>
        <v>https://scontent.cdninstagram.com/t51.2885-15/s320x320/e35/20969101_347807522307500_7798021297828528128_n.jpg</v>
      </c>
      <c r="AE1423" s="249" t="str">
        <f>HYPERLINK("https://scontent.cdninstagram.com/t51.2885-19/s150x150/12357630_513986308780959_401409989_a.jpg")</f>
        <v>https://scontent.cdninstagram.com/t51.2885-19/s150x150/12357630_513986308780959_401409989_a.jpg</v>
      </c>
    </row>
    <row r="1424" spans="1:31" ht="15" x14ac:dyDescent="0.25">
      <c r="A1424" t="s">
        <v>2474</v>
      </c>
      <c r="B1424" t="s">
        <v>10277</v>
      </c>
      <c r="C1424" s="221">
        <v>42965.329965277779</v>
      </c>
      <c r="D1424" t="s">
        <v>10278</v>
      </c>
      <c r="E1424" s="249" t="str">
        <f>HYPERLINK("https://www.instagram.com/p/BX7yiwsg8oT/")</f>
        <v>https://www.instagram.com/p/BX7yiwsg8oT/</v>
      </c>
      <c r="F1424" t="s">
        <v>10279</v>
      </c>
      <c r="G1424" t="s">
        <v>2478</v>
      </c>
      <c r="H1424">
        <v>948</v>
      </c>
      <c r="I1424" t="s">
        <v>2896</v>
      </c>
      <c r="J1424">
        <v>0</v>
      </c>
      <c r="K1424">
        <v>6</v>
      </c>
      <c r="L1424">
        <v>6</v>
      </c>
      <c r="Q1424">
        <v>0</v>
      </c>
      <c r="R1424">
        <v>0</v>
      </c>
      <c r="S1424">
        <v>6</v>
      </c>
      <c r="Y1424" t="s">
        <v>2497</v>
      </c>
      <c r="AD1424" s="249" t="str">
        <f>HYPERLINK("https://scontent.cdninstagram.com/t51.2885-15/s320x320/e35/20904991_672318466294454_239121337837158400_n.jpg")</f>
        <v>https://scontent.cdninstagram.com/t51.2885-15/s320x320/e35/20904991_672318466294454_239121337837158400_n.jpg</v>
      </c>
      <c r="AE1424" s="249" t="str">
        <f>HYPERLINK("https://scontent.cdninstagram.com/t51.2885-19/s150x150/16583343_362975137418809_4630119249262673920_a.jpg")</f>
        <v>https://scontent.cdninstagram.com/t51.2885-19/s150x150/16583343_362975137418809_4630119249262673920_a.jpg</v>
      </c>
    </row>
    <row r="1425" spans="1:31" ht="15" x14ac:dyDescent="0.25">
      <c r="A1425" t="s">
        <v>2474</v>
      </c>
      <c r="B1425" t="s">
        <v>3015</v>
      </c>
      <c r="C1425" s="221">
        <v>42965.330682870372</v>
      </c>
      <c r="D1425" t="s">
        <v>10280</v>
      </c>
      <c r="E1425" s="249" t="str">
        <f>HYPERLINK("https://www.instagram.com/p/BX7yqUlg71L/")</f>
        <v>https://www.instagram.com/p/BX7yqUlg71L/</v>
      </c>
      <c r="F1425" t="s">
        <v>10281</v>
      </c>
      <c r="G1425" t="s">
        <v>2478</v>
      </c>
      <c r="H1425">
        <v>186</v>
      </c>
      <c r="I1425" t="s">
        <v>2479</v>
      </c>
      <c r="J1425">
        <v>1</v>
      </c>
      <c r="K1425">
        <v>28</v>
      </c>
      <c r="L1425">
        <v>29</v>
      </c>
      <c r="Q1425">
        <v>0</v>
      </c>
      <c r="R1425">
        <v>0</v>
      </c>
      <c r="S1425">
        <v>29</v>
      </c>
      <c r="Y1425" t="s">
        <v>3728</v>
      </c>
      <c r="Z1425" t="s">
        <v>3493</v>
      </c>
      <c r="AA1425" t="s">
        <v>10032</v>
      </c>
      <c r="AB1425" t="s">
        <v>3856</v>
      </c>
      <c r="AC1425" t="s">
        <v>3725</v>
      </c>
      <c r="AD1425" s="249" t="str">
        <f>HYPERLINK("https://scontent.cdninstagram.com/t51.2885-15/s320x320/e35/20838801_490610207957315_82194897972494336_n.jpg")</f>
        <v>https://scontent.cdninstagram.com/t51.2885-15/s320x320/e35/20838801_490610207957315_82194897972494336_n.jpg</v>
      </c>
      <c r="AE1425" s="249" t="str">
        <f>HYPERLINK("https://scontent.cdninstagram.com/t51.2885-19/s150x150/19761452_1876060406050696_4275948751316582400_a.jpg")</f>
        <v>https://scontent.cdninstagram.com/t51.2885-19/s150x150/19761452_1876060406050696_4275948751316582400_a.jpg</v>
      </c>
    </row>
    <row r="1426" spans="1:31" ht="15" x14ac:dyDescent="0.25">
      <c r="A1426" t="s">
        <v>2474</v>
      </c>
      <c r="B1426" t="s">
        <v>10282</v>
      </c>
      <c r="C1426" s="221">
        <v>42965.334363425929</v>
      </c>
      <c r="D1426" t="s">
        <v>10283</v>
      </c>
      <c r="E1426" s="249" t="str">
        <f>HYPERLINK("https://www.instagram.com/p/BX7zRE4hcXE/")</f>
        <v>https://www.instagram.com/p/BX7zRE4hcXE/</v>
      </c>
      <c r="F1426" t="s">
        <v>10284</v>
      </c>
      <c r="G1426" t="s">
        <v>2631</v>
      </c>
      <c r="H1426">
        <v>12</v>
      </c>
      <c r="I1426" t="s">
        <v>2748</v>
      </c>
      <c r="J1426">
        <v>4</v>
      </c>
      <c r="K1426">
        <v>24</v>
      </c>
      <c r="L1426">
        <v>28</v>
      </c>
      <c r="Q1426">
        <v>0</v>
      </c>
      <c r="R1426">
        <v>0</v>
      </c>
      <c r="S1426">
        <v>28</v>
      </c>
      <c r="Y1426" t="s">
        <v>3225</v>
      </c>
      <c r="Z1426" t="s">
        <v>10285</v>
      </c>
      <c r="AA1426" t="s">
        <v>9673</v>
      </c>
      <c r="AB1426" t="s">
        <v>6760</v>
      </c>
      <c r="AC1426" t="s">
        <v>10286</v>
      </c>
      <c r="AD1426" s="249" t="str">
        <f>HYPERLINK("https://scontent.cdninstagram.com/t51.2885-15/s320x320/e15/c0.90.720.720/20838825_1437388986296809_3237781681867849728_n.jpg")</f>
        <v>https://scontent.cdninstagram.com/t51.2885-15/s320x320/e15/c0.90.720.720/20838825_1437388986296809_3237781681867849728_n.jpg</v>
      </c>
      <c r="AE1426" s="249" t="str">
        <f>HYPERLINK("https://scontent.cdninstagram.com/t51.2885-19/s150x150/20837796_507763272905400_2929252993922498560_a.jpg")</f>
        <v>https://scontent.cdninstagram.com/t51.2885-19/s150x150/20837796_507763272905400_2929252993922498560_a.jpg</v>
      </c>
    </row>
    <row r="1427" spans="1:31" ht="15" x14ac:dyDescent="0.25">
      <c r="A1427" t="s">
        <v>2474</v>
      </c>
      <c r="B1427" t="s">
        <v>10287</v>
      </c>
      <c r="C1427" s="221">
        <v>42965.341458333336</v>
      </c>
      <c r="D1427" t="s">
        <v>10288</v>
      </c>
      <c r="E1427" s="249" t="str">
        <f>HYPERLINK("https://www.instagram.com/p/BX70b6Ij-2N/")</f>
        <v>https://www.instagram.com/p/BX70b6Ij-2N/</v>
      </c>
      <c r="F1427" t="s">
        <v>10289</v>
      </c>
      <c r="G1427" t="s">
        <v>2478</v>
      </c>
      <c r="H1427">
        <v>116</v>
      </c>
      <c r="I1427" t="s">
        <v>2786</v>
      </c>
      <c r="J1427">
        <v>0</v>
      </c>
      <c r="K1427">
        <v>11</v>
      </c>
      <c r="L1427">
        <v>11</v>
      </c>
      <c r="Q1427">
        <v>0</v>
      </c>
      <c r="R1427">
        <v>0</v>
      </c>
      <c r="S1427">
        <v>11</v>
      </c>
      <c r="Y1427" t="s">
        <v>2562</v>
      </c>
      <c r="Z1427" t="s">
        <v>2767</v>
      </c>
      <c r="AA1427" t="s">
        <v>10290</v>
      </c>
      <c r="AB1427" t="s">
        <v>10291</v>
      </c>
      <c r="AC1427" t="s">
        <v>2497</v>
      </c>
      <c r="AD1427" s="249" t="str">
        <f>HYPERLINK("https://scontent.cdninstagram.com/t51.2885-15/s320x320/e35/20986653_118088602180492_3365408889926320128_n.jpg")</f>
        <v>https://scontent.cdninstagram.com/t51.2885-15/s320x320/e35/20986653_118088602180492_3365408889926320128_n.jpg</v>
      </c>
      <c r="AE1427" s="249" t="str">
        <f>HYPERLINK("https://scontent.cdninstagram.com/t51.2885-19/s150x150/20838874_127683117854647_3940732150206169088_a.jpg")</f>
        <v>https://scontent.cdninstagram.com/t51.2885-19/s150x150/20838874_127683117854647_3940732150206169088_a.jpg</v>
      </c>
    </row>
    <row r="1428" spans="1:31" ht="15" x14ac:dyDescent="0.25">
      <c r="A1428" t="s">
        <v>2474</v>
      </c>
      <c r="B1428" t="s">
        <v>10292</v>
      </c>
      <c r="C1428" s="221">
        <v>42965.344537037039</v>
      </c>
      <c r="D1428" t="s">
        <v>10293</v>
      </c>
      <c r="E1428" s="249" t="str">
        <f>HYPERLINK("https://www.instagram.com/p/BX708bWgimZ/")</f>
        <v>https://www.instagram.com/p/BX708bWgimZ/</v>
      </c>
      <c r="F1428" t="s">
        <v>10294</v>
      </c>
      <c r="G1428" t="s">
        <v>2478</v>
      </c>
      <c r="H1428">
        <v>165</v>
      </c>
      <c r="I1428" t="s">
        <v>4523</v>
      </c>
      <c r="J1428">
        <v>0</v>
      </c>
      <c r="K1428">
        <v>8</v>
      </c>
      <c r="L1428">
        <v>8</v>
      </c>
      <c r="Q1428">
        <v>0</v>
      </c>
      <c r="R1428">
        <v>0</v>
      </c>
      <c r="S1428">
        <v>8</v>
      </c>
      <c r="Y1428" t="s">
        <v>10295</v>
      </c>
      <c r="Z1428" t="s">
        <v>10296</v>
      </c>
      <c r="AA1428" t="s">
        <v>10297</v>
      </c>
      <c r="AB1428" t="s">
        <v>10298</v>
      </c>
      <c r="AC1428" t="s">
        <v>10299</v>
      </c>
      <c r="AD1428" s="249" t="str">
        <f>HYPERLINK("https://scontent.cdninstagram.com/t51.2885-15/s320x320/e35/20837702_111535936180983_8592844217594675200_n.jpg")</f>
        <v>https://scontent.cdninstagram.com/t51.2885-15/s320x320/e35/20837702_111535936180983_8592844217594675200_n.jpg</v>
      </c>
      <c r="AE1428" s="249" t="str">
        <f>HYPERLINK("https://scontent.cdninstagram.com/t51.2885-19/s150x150/19932600_245912292581729_6650553130377281536_a.jpg")</f>
        <v>https://scontent.cdninstagram.com/t51.2885-19/s150x150/19932600_245912292581729_6650553130377281536_a.jpg</v>
      </c>
    </row>
    <row r="1429" spans="1:31" ht="15" x14ac:dyDescent="0.25">
      <c r="A1429" t="s">
        <v>2474</v>
      </c>
      <c r="B1429" t="s">
        <v>9900</v>
      </c>
      <c r="C1429" s="221">
        <v>42965.357569444444</v>
      </c>
      <c r="D1429" t="s">
        <v>10300</v>
      </c>
      <c r="E1429" s="249" t="str">
        <f>HYPERLINK("https://www.instagram.com/p/BX73F2nnf5s/")</f>
        <v>https://www.instagram.com/p/BX73F2nnf5s/</v>
      </c>
      <c r="F1429" t="s">
        <v>10301</v>
      </c>
      <c r="G1429" t="s">
        <v>2488</v>
      </c>
      <c r="H1429">
        <v>410</v>
      </c>
      <c r="I1429" t="s">
        <v>2479</v>
      </c>
      <c r="J1429">
        <v>0</v>
      </c>
      <c r="K1429">
        <v>27</v>
      </c>
      <c r="L1429">
        <v>27</v>
      </c>
      <c r="Q1429">
        <v>0</v>
      </c>
      <c r="R1429">
        <v>0</v>
      </c>
      <c r="S1429">
        <v>27</v>
      </c>
      <c r="Y1429" t="s">
        <v>10302</v>
      </c>
      <c r="Z1429" t="s">
        <v>10303</v>
      </c>
      <c r="AA1429" t="s">
        <v>3399</v>
      </c>
      <c r="AB1429" t="s">
        <v>10304</v>
      </c>
      <c r="AC1429" t="s">
        <v>3262</v>
      </c>
      <c r="AD1429" s="249" t="str">
        <f>HYPERLINK("https://scontent.cdninstagram.com/t51.2885-15/s320x320/e35/20902025_335047226945780_3114587498534141952_n.jpg")</f>
        <v>https://scontent.cdninstagram.com/t51.2885-15/s320x320/e35/20902025_335047226945780_3114587498534141952_n.jpg</v>
      </c>
      <c r="AE1429" s="249" t="str">
        <f>HYPERLINK("https://scontent.cdninstagram.com/t51.2885-19/s150x150/20838948_128780851074954_2792352796853141504_a.jpg")</f>
        <v>https://scontent.cdninstagram.com/t51.2885-19/s150x150/20838948_128780851074954_2792352796853141504_a.jpg</v>
      </c>
    </row>
    <row r="1430" spans="1:31" ht="15" x14ac:dyDescent="0.25">
      <c r="A1430" t="s">
        <v>2474</v>
      </c>
      <c r="B1430" t="s">
        <v>4616</v>
      </c>
      <c r="C1430" s="221">
        <v>42965.361875000002</v>
      </c>
      <c r="D1430" t="s">
        <v>10305</v>
      </c>
      <c r="E1430" s="249" t="str">
        <f>HYPERLINK("https://www.instagram.com/p/BX73zPfBQ89/")</f>
        <v>https://www.instagram.com/p/BX73zPfBQ89/</v>
      </c>
      <c r="F1430" t="s">
        <v>10306</v>
      </c>
      <c r="G1430" t="s">
        <v>2478</v>
      </c>
      <c r="H1430">
        <v>119</v>
      </c>
      <c r="I1430" t="s">
        <v>2479</v>
      </c>
      <c r="J1430">
        <v>0</v>
      </c>
      <c r="K1430">
        <v>39</v>
      </c>
      <c r="L1430">
        <v>39</v>
      </c>
      <c r="Q1430">
        <v>0</v>
      </c>
      <c r="R1430">
        <v>0</v>
      </c>
      <c r="S1430">
        <v>39</v>
      </c>
      <c r="T1430" t="s">
        <v>10307</v>
      </c>
      <c r="V1430" t="s">
        <v>2293</v>
      </c>
      <c r="W1430">
        <v>22.332725832857001</v>
      </c>
      <c r="X1430">
        <v>103.84221266</v>
      </c>
      <c r="Y1430" t="s">
        <v>5211</v>
      </c>
      <c r="Z1430" t="s">
        <v>2730</v>
      </c>
      <c r="AA1430" t="s">
        <v>6294</v>
      </c>
      <c r="AB1430" t="s">
        <v>4622</v>
      </c>
      <c r="AC1430" t="s">
        <v>5586</v>
      </c>
      <c r="AD1430" s="249" t="str">
        <f>HYPERLINK("https://scontent.cdninstagram.com/t51.2885-15/s320x320/e35/c135.0.810.810/20838373_356037004826515_5448543091629752320_n.jpg")</f>
        <v>https://scontent.cdninstagram.com/t51.2885-15/s320x320/e35/c135.0.810.810/20838373_356037004826515_5448543091629752320_n.jpg</v>
      </c>
      <c r="AE1430" s="249" t="str">
        <f>HYPERLINK("https://scontent.cdninstagram.com/t51.2885-19/s150x150/17494353_1347957098574282_2527511313651859456_a.jpg")</f>
        <v>https://scontent.cdninstagram.com/t51.2885-19/s150x150/17494353_1347957098574282_2527511313651859456_a.jpg</v>
      </c>
    </row>
    <row r="1431" spans="1:31" ht="15" x14ac:dyDescent="0.25">
      <c r="A1431" t="s">
        <v>2474</v>
      </c>
      <c r="B1431" t="s">
        <v>10308</v>
      </c>
      <c r="C1431" s="221">
        <v>42965.363368055558</v>
      </c>
      <c r="D1431" t="s">
        <v>10309</v>
      </c>
      <c r="E1431" s="249" t="str">
        <f>HYPERLINK("https://www.instagram.com/p/BX74DBZhKXH/")</f>
        <v>https://www.instagram.com/p/BX74DBZhKXH/</v>
      </c>
      <c r="F1431" t="s">
        <v>10310</v>
      </c>
      <c r="G1431" t="s">
        <v>2478</v>
      </c>
      <c r="H1431">
        <v>271</v>
      </c>
      <c r="I1431" t="s">
        <v>2542</v>
      </c>
      <c r="J1431">
        <v>6</v>
      </c>
      <c r="K1431">
        <v>81</v>
      </c>
      <c r="L1431">
        <v>87</v>
      </c>
      <c r="Q1431">
        <v>0</v>
      </c>
      <c r="R1431">
        <v>0</v>
      </c>
      <c r="S1431">
        <v>87</v>
      </c>
      <c r="Y1431" t="s">
        <v>10311</v>
      </c>
      <c r="Z1431" t="s">
        <v>3535</v>
      </c>
      <c r="AA1431" t="s">
        <v>10312</v>
      </c>
      <c r="AB1431" t="s">
        <v>3982</v>
      </c>
      <c r="AC1431" t="s">
        <v>4779</v>
      </c>
      <c r="AD1431" s="249" t="str">
        <f>HYPERLINK("https://scontent.cdninstagram.com/t51.2885-15/s320x320/e35/20901983_166026223969395_3213466489025724416_n.jpg")</f>
        <v>https://scontent.cdninstagram.com/t51.2885-15/s320x320/e35/20901983_166026223969395_3213466489025724416_n.jpg</v>
      </c>
      <c r="AE1431" s="249" t="str">
        <f>HYPERLINK("https://scontent.cdninstagram.com/t51.2885-19/s150x150/17438246_1403934823002273_8139409663864078336_a.jpg")</f>
        <v>https://scontent.cdninstagram.com/t51.2885-19/s150x150/17438246_1403934823002273_8139409663864078336_a.jpg</v>
      </c>
    </row>
    <row r="1432" spans="1:31" ht="15" x14ac:dyDescent="0.25">
      <c r="A1432" t="s">
        <v>2474</v>
      </c>
      <c r="B1432" t="s">
        <v>10313</v>
      </c>
      <c r="C1432" s="221">
        <v>42965.364432870374</v>
      </c>
      <c r="D1432" t="s">
        <v>10314</v>
      </c>
      <c r="E1432" s="249" t="str">
        <f>HYPERLINK("https://www.instagram.com/p/BX74OOGFqvi/")</f>
        <v>https://www.instagram.com/p/BX74OOGFqvi/</v>
      </c>
      <c r="F1432" t="s">
        <v>10315</v>
      </c>
      <c r="G1432" t="s">
        <v>2478</v>
      </c>
      <c r="H1432">
        <v>1029</v>
      </c>
      <c r="I1432" t="s">
        <v>2479</v>
      </c>
      <c r="J1432">
        <v>9</v>
      </c>
      <c r="K1432">
        <v>49</v>
      </c>
      <c r="L1432">
        <v>58</v>
      </c>
      <c r="Q1432">
        <v>0</v>
      </c>
      <c r="R1432">
        <v>0</v>
      </c>
      <c r="S1432">
        <v>58</v>
      </c>
      <c r="Y1432" t="s">
        <v>2497</v>
      </c>
      <c r="AD1432" s="249" t="str">
        <f>HYPERLINK("https://scontent.cdninstagram.com/t51.2885-15/s320x320/e35/20837688_703969303132716_1697672487594098688_n.jpg")</f>
        <v>https://scontent.cdninstagram.com/t51.2885-15/s320x320/e35/20837688_703969303132716_1697672487594098688_n.jpg</v>
      </c>
      <c r="AE1432" s="249" t="str">
        <f>HYPERLINK("https://scontent.cdninstagram.com/t51.2885-19/s150x150/20633444_1912629662287391_5187540244039204864_a.jpg")</f>
        <v>https://scontent.cdninstagram.com/t51.2885-19/s150x150/20633444_1912629662287391_5187540244039204864_a.jpg</v>
      </c>
    </row>
    <row r="1433" spans="1:31" ht="15" x14ac:dyDescent="0.25">
      <c r="A1433" t="s">
        <v>2474</v>
      </c>
      <c r="B1433" t="s">
        <v>10316</v>
      </c>
      <c r="C1433" s="221">
        <v>42965.373414351852</v>
      </c>
      <c r="D1433" t="s">
        <v>10317</v>
      </c>
      <c r="E1433" s="249" t="str">
        <f>HYPERLINK("https://www.instagram.com/p/BX75tAWFGQl/")</f>
        <v>https://www.instagram.com/p/BX75tAWFGQl/</v>
      </c>
      <c r="F1433" t="s">
        <v>10318</v>
      </c>
      <c r="G1433" t="s">
        <v>2478</v>
      </c>
      <c r="H1433">
        <v>114</v>
      </c>
      <c r="I1433" t="s">
        <v>2479</v>
      </c>
      <c r="J1433">
        <v>2</v>
      </c>
      <c r="K1433">
        <v>11</v>
      </c>
      <c r="L1433">
        <v>13</v>
      </c>
      <c r="Q1433">
        <v>0</v>
      </c>
      <c r="R1433">
        <v>0</v>
      </c>
      <c r="S1433">
        <v>13</v>
      </c>
      <c r="Y1433" t="s">
        <v>10319</v>
      </c>
      <c r="Z1433" t="s">
        <v>10320</v>
      </c>
      <c r="AA1433" t="s">
        <v>3937</v>
      </c>
      <c r="AB1433" t="s">
        <v>10321</v>
      </c>
      <c r="AC1433" t="s">
        <v>3571</v>
      </c>
      <c r="AD1433" s="249" t="str">
        <f>HYPERLINK("https://scontent.cdninstagram.com/t51.2885-15/s320x320/e15/c236.0.607.607/20969268_856855807804354_4457640131523772416_n.jpg")</f>
        <v>https://scontent.cdninstagram.com/t51.2885-15/s320x320/e15/c236.0.607.607/20969268_856855807804354_4457640131523772416_n.jpg</v>
      </c>
      <c r="AE1433" s="249" t="str">
        <f>HYPERLINK("https://scontent.cdninstagram.com/t51.2885-19/s150x150/20478732_351877431899738_5632944372862418944_a.jpg")</f>
        <v>https://scontent.cdninstagram.com/t51.2885-19/s150x150/20478732_351877431899738_5632944372862418944_a.jpg</v>
      </c>
    </row>
    <row r="1434" spans="1:31" ht="15" x14ac:dyDescent="0.25">
      <c r="A1434" t="s">
        <v>2474</v>
      </c>
      <c r="B1434" t="s">
        <v>10322</v>
      </c>
      <c r="C1434" s="221">
        <v>42965.374513888892</v>
      </c>
      <c r="D1434" t="s">
        <v>10323</v>
      </c>
      <c r="E1434" s="249" t="str">
        <f>HYPERLINK("https://www.instagram.com/p/BX754o_BbgV/")</f>
        <v>https://www.instagram.com/p/BX754o_BbgV/</v>
      </c>
      <c r="F1434" t="s">
        <v>10324</v>
      </c>
      <c r="G1434" t="s">
        <v>2488</v>
      </c>
      <c r="H1434">
        <v>286</v>
      </c>
      <c r="I1434" t="s">
        <v>2479</v>
      </c>
      <c r="J1434">
        <v>0</v>
      </c>
      <c r="K1434">
        <v>41</v>
      </c>
      <c r="L1434">
        <v>41</v>
      </c>
      <c r="Q1434">
        <v>0</v>
      </c>
      <c r="R1434">
        <v>0</v>
      </c>
      <c r="S1434">
        <v>41</v>
      </c>
      <c r="Y1434" t="s">
        <v>3829</v>
      </c>
      <c r="Z1434" t="s">
        <v>4295</v>
      </c>
      <c r="AA1434" t="s">
        <v>3446</v>
      </c>
      <c r="AB1434" t="s">
        <v>10325</v>
      </c>
      <c r="AC1434" t="s">
        <v>10326</v>
      </c>
      <c r="AD1434" s="249" t="str">
        <f>HYPERLINK("https://scontent.cdninstagram.com/t51.2885-15/s320x320/e35/20838766_339367869819329_1921080343981457408_n.jpg")</f>
        <v>https://scontent.cdninstagram.com/t51.2885-15/s320x320/e35/20838766_339367869819329_1921080343981457408_n.jpg</v>
      </c>
      <c r="AE1434" s="249" t="str">
        <f>HYPERLINK("https://scontent.cdninstagram.com/t51.2885-19/s150x150/20902239_111730692836772_5353984215467687936_a.jpg")</f>
        <v>https://scontent.cdninstagram.com/t51.2885-19/s150x150/20902239_111730692836772_5353984215467687936_a.jpg</v>
      </c>
    </row>
    <row r="1435" spans="1:31" ht="15" x14ac:dyDescent="0.25">
      <c r="A1435" t="s">
        <v>2474</v>
      </c>
      <c r="B1435" t="s">
        <v>8312</v>
      </c>
      <c r="C1435" s="221">
        <v>42965.374618055554</v>
      </c>
      <c r="D1435" t="s">
        <v>10327</v>
      </c>
      <c r="E1435" s="249" t="str">
        <f>HYPERLINK("https://www.instagram.com/p/BX755uqlkyj/")</f>
        <v>https://www.instagram.com/p/BX755uqlkyj/</v>
      </c>
      <c r="F1435" t="s">
        <v>10328</v>
      </c>
      <c r="G1435" t="s">
        <v>2478</v>
      </c>
      <c r="H1435">
        <v>12</v>
      </c>
      <c r="I1435" t="s">
        <v>2599</v>
      </c>
      <c r="J1435">
        <v>0</v>
      </c>
      <c r="K1435">
        <v>21</v>
      </c>
      <c r="L1435">
        <v>21</v>
      </c>
      <c r="Q1435">
        <v>0</v>
      </c>
      <c r="R1435">
        <v>0</v>
      </c>
      <c r="S1435">
        <v>21</v>
      </c>
      <c r="T1435" t="s">
        <v>10329</v>
      </c>
      <c r="V1435" t="s">
        <v>2264</v>
      </c>
      <c r="W1435">
        <v>42.764014243490003</v>
      </c>
      <c r="X1435">
        <v>-7.9069180053236003</v>
      </c>
      <c r="Y1435" t="s">
        <v>9075</v>
      </c>
      <c r="Z1435" t="s">
        <v>10330</v>
      </c>
      <c r="AA1435" t="s">
        <v>10331</v>
      </c>
      <c r="AB1435" t="s">
        <v>9073</v>
      </c>
      <c r="AC1435" t="s">
        <v>2497</v>
      </c>
      <c r="AD1435" s="249" t="str">
        <f>HYPERLINK("https://scontent.cdninstagram.com/t51.2885-15/s320x320/e35/20838591_324257878019605_1253916028484714496_n.jpg")</f>
        <v>https://scontent.cdninstagram.com/t51.2885-15/s320x320/e35/20838591_324257878019605_1253916028484714496_n.jpg</v>
      </c>
      <c r="AE1435" s="249" t="str">
        <f>HYPERLINK("https://scontent.cdninstagram.com/t51.2885-19/s150x150/20347739_515336592144896_3974966673097621504_a.jpg")</f>
        <v>https://scontent.cdninstagram.com/t51.2885-19/s150x150/20347739_515336592144896_3974966673097621504_a.jpg</v>
      </c>
    </row>
    <row r="1436" spans="1:31" ht="15" x14ac:dyDescent="0.25">
      <c r="A1436" t="s">
        <v>2474</v>
      </c>
      <c r="B1436" t="s">
        <v>10332</v>
      </c>
      <c r="C1436" s="221">
        <v>42965.378182870372</v>
      </c>
      <c r="D1436" t="s">
        <v>10333</v>
      </c>
      <c r="E1436" s="249" t="str">
        <f>HYPERLINK("https://www.instagram.com/p/BX76fRCAtzH/")</f>
        <v>https://www.instagram.com/p/BX76fRCAtzH/</v>
      </c>
      <c r="F1436" t="s">
        <v>10334</v>
      </c>
      <c r="G1436" t="s">
        <v>2488</v>
      </c>
      <c r="H1436">
        <v>1111</v>
      </c>
      <c r="I1436" t="s">
        <v>2479</v>
      </c>
      <c r="J1436">
        <v>24</v>
      </c>
      <c r="K1436">
        <v>231</v>
      </c>
      <c r="L1436">
        <v>255</v>
      </c>
      <c r="Q1436">
        <v>0</v>
      </c>
      <c r="R1436">
        <v>0</v>
      </c>
      <c r="S1436">
        <v>255</v>
      </c>
      <c r="Y1436" t="s">
        <v>2497</v>
      </c>
      <c r="Z1436" t="s">
        <v>10335</v>
      </c>
      <c r="AA1436" t="s">
        <v>10336</v>
      </c>
      <c r="AB1436" t="s">
        <v>10337</v>
      </c>
      <c r="AC1436" t="s">
        <v>10338</v>
      </c>
      <c r="AD1436" s="249" t="str">
        <f>HYPERLINK("https://scontent.cdninstagram.com/t51.2885-15/s320x320/e35/c0.0.1079.1079/20837736_2109741009262190_6955469020682256384_n.jpg")</f>
        <v>https://scontent.cdninstagram.com/t51.2885-15/s320x320/e35/c0.0.1079.1079/20837736_2109741009262190_6955469020682256384_n.jpg</v>
      </c>
      <c r="AE1436" s="249" t="str">
        <f>HYPERLINK("https://scontent.cdninstagram.com/t51.2885-19/s150x150/20837068_801203706728041_3291593193975447552_a.jpg")</f>
        <v>https://scontent.cdninstagram.com/t51.2885-19/s150x150/20837068_801203706728041_3291593193975447552_a.jpg</v>
      </c>
    </row>
    <row r="1437" spans="1:31" ht="15" x14ac:dyDescent="0.25">
      <c r="A1437" t="s">
        <v>2474</v>
      </c>
      <c r="B1437" t="s">
        <v>2588</v>
      </c>
      <c r="C1437" s="221">
        <v>42965.380127314813</v>
      </c>
      <c r="D1437" t="s">
        <v>10339</v>
      </c>
      <c r="E1437" s="249" t="str">
        <f>HYPERLINK("https://www.instagram.com/p/BX76zvWgoum/")</f>
        <v>https://www.instagram.com/p/BX76zvWgoum/</v>
      </c>
      <c r="F1437" t="s">
        <v>10340</v>
      </c>
      <c r="G1437" t="s">
        <v>2478</v>
      </c>
      <c r="H1437">
        <v>306</v>
      </c>
      <c r="I1437" t="s">
        <v>2479</v>
      </c>
      <c r="J1437">
        <v>12</v>
      </c>
      <c r="K1437">
        <v>659</v>
      </c>
      <c r="L1437">
        <v>671</v>
      </c>
      <c r="Q1437">
        <v>0</v>
      </c>
      <c r="R1437">
        <v>0</v>
      </c>
      <c r="S1437">
        <v>671</v>
      </c>
      <c r="Y1437" t="s">
        <v>2588</v>
      </c>
      <c r="AD1437" s="249" t="str">
        <f>HYPERLINK("https://scontent.cdninstagram.com/t51.2885-15/s320x320/e35/c35.0.570.570/20968703_346242602471811_1511270533285543936_n.jpg")</f>
        <v>https://scontent.cdninstagram.com/t51.2885-15/s320x320/e35/c35.0.570.570/20968703_346242602471811_1511270533285543936_n.jpg</v>
      </c>
      <c r="AE1437" s="249" t="str">
        <f>HYPERLINK("https://scontent.cdninstagram.com/t51.2885-19/s150x150/20633561_108840983138666_5897549723056734208_a.jpg")</f>
        <v>https://scontent.cdninstagram.com/t51.2885-19/s150x150/20633561_108840983138666_5897549723056734208_a.jpg</v>
      </c>
    </row>
    <row r="1438" spans="1:31" ht="15" x14ac:dyDescent="0.25">
      <c r="A1438" t="s">
        <v>2474</v>
      </c>
      <c r="B1438" t="s">
        <v>10341</v>
      </c>
      <c r="C1438" s="221">
        <v>42965.381481481483</v>
      </c>
      <c r="D1438" t="s">
        <v>10342</v>
      </c>
      <c r="E1438" s="249" t="str">
        <f>HYPERLINK("https://www.instagram.com/p/BX77CEEBWsr/")</f>
        <v>https://www.instagram.com/p/BX77CEEBWsr/</v>
      </c>
      <c r="F1438" t="s">
        <v>10343</v>
      </c>
      <c r="G1438" t="s">
        <v>2478</v>
      </c>
      <c r="H1438">
        <v>762</v>
      </c>
      <c r="I1438" t="s">
        <v>2479</v>
      </c>
      <c r="J1438">
        <v>2</v>
      </c>
      <c r="K1438">
        <v>130</v>
      </c>
      <c r="L1438">
        <v>132</v>
      </c>
      <c r="Q1438">
        <v>0</v>
      </c>
      <c r="R1438">
        <v>0</v>
      </c>
      <c r="S1438">
        <v>132</v>
      </c>
      <c r="Y1438" t="s">
        <v>2497</v>
      </c>
      <c r="Z1438" t="s">
        <v>10344</v>
      </c>
      <c r="AA1438" t="s">
        <v>10345</v>
      </c>
      <c r="AB1438" t="s">
        <v>10346</v>
      </c>
      <c r="AC1438" t="s">
        <v>4863</v>
      </c>
      <c r="AD1438" s="249" t="str">
        <f>HYPERLINK("https://scontent.cdninstagram.com/t51.2885-15/s320x320/e35/c38.0.1003.1003/20902755_1083606851772458_6277193556071284736_n.jpg")</f>
        <v>https://scontent.cdninstagram.com/t51.2885-15/s320x320/e35/c38.0.1003.1003/20902755_1083606851772458_6277193556071284736_n.jpg</v>
      </c>
      <c r="AE1438" s="249" t="str">
        <f>HYPERLINK("https://scontent.cdninstagram.com/t51.2885-19/s150x150/20987423_253963271780555_4185257372945481728_a.jpg")</f>
        <v>https://scontent.cdninstagram.com/t51.2885-19/s150x150/20987423_253963271780555_4185257372945481728_a.jpg</v>
      </c>
    </row>
    <row r="1439" spans="1:31" ht="15" x14ac:dyDescent="0.25">
      <c r="A1439" t="s">
        <v>2474</v>
      </c>
      <c r="B1439" t="s">
        <v>10347</v>
      </c>
      <c r="C1439" s="221">
        <v>42965.384918981479</v>
      </c>
      <c r="D1439" t="s">
        <v>10348</v>
      </c>
      <c r="E1439" s="249" t="str">
        <f>HYPERLINK("https://www.instagram.com/p/BX77mVjgUle/")</f>
        <v>https://www.instagram.com/p/BX77mVjgUle/</v>
      </c>
      <c r="F1439" t="s">
        <v>10349</v>
      </c>
      <c r="G1439" t="s">
        <v>2478</v>
      </c>
      <c r="H1439">
        <v>6679</v>
      </c>
      <c r="I1439" t="s">
        <v>2479</v>
      </c>
      <c r="J1439">
        <v>2</v>
      </c>
      <c r="K1439">
        <v>138</v>
      </c>
      <c r="L1439">
        <v>140</v>
      </c>
      <c r="Q1439">
        <v>0</v>
      </c>
      <c r="R1439">
        <v>0</v>
      </c>
      <c r="S1439">
        <v>140</v>
      </c>
      <c r="T1439" t="s">
        <v>10350</v>
      </c>
      <c r="U1439" t="s">
        <v>1438</v>
      </c>
      <c r="V1439" t="s">
        <v>2299</v>
      </c>
      <c r="W1439">
        <v>41</v>
      </c>
      <c r="X1439">
        <v>-77.5</v>
      </c>
      <c r="Y1439" t="s">
        <v>2497</v>
      </c>
      <c r="Z1439" t="s">
        <v>10351</v>
      </c>
      <c r="AA1439" t="s">
        <v>4620</v>
      </c>
      <c r="AB1439" t="s">
        <v>10352</v>
      </c>
      <c r="AC1439" t="s">
        <v>10353</v>
      </c>
      <c r="AD1439" s="249" t="str">
        <f>HYPERLINK("https://scontent.cdninstagram.com/t51.2885-15/s320x320/e35/c0.135.1080.1080/20901888_112183886121558_3147044871332691968_n.jpg")</f>
        <v>https://scontent.cdninstagram.com/t51.2885-15/s320x320/e35/c0.135.1080.1080/20901888_112183886121558_3147044871332691968_n.jpg</v>
      </c>
      <c r="AE1439" s="249" t="str">
        <f>HYPERLINK("https://scontent.cdninstagram.com/t51.2885-19/s150x150/18812096_1273607799424638_5713563009247346688_a.jpg")</f>
        <v>https://scontent.cdninstagram.com/t51.2885-19/s150x150/18812096_1273607799424638_5713563009247346688_a.jpg</v>
      </c>
    </row>
    <row r="1440" spans="1:31" ht="15" x14ac:dyDescent="0.25">
      <c r="A1440" t="s">
        <v>2474</v>
      </c>
      <c r="B1440" t="s">
        <v>10354</v>
      </c>
      <c r="C1440" s="221">
        <v>42965.394189814811</v>
      </c>
      <c r="D1440" t="s">
        <v>10355</v>
      </c>
      <c r="E1440" s="249" t="str">
        <f>HYPERLINK("https://www.instagram.com/p/BX79IHpAxt0/")</f>
        <v>https://www.instagram.com/p/BX79IHpAxt0/</v>
      </c>
      <c r="F1440" t="s">
        <v>10356</v>
      </c>
      <c r="G1440" t="s">
        <v>2478</v>
      </c>
      <c r="H1440">
        <v>410</v>
      </c>
      <c r="I1440" t="s">
        <v>2479</v>
      </c>
      <c r="J1440">
        <v>0</v>
      </c>
      <c r="K1440">
        <v>0</v>
      </c>
      <c r="L1440">
        <v>0</v>
      </c>
      <c r="Q1440">
        <v>0</v>
      </c>
      <c r="R1440">
        <v>0</v>
      </c>
      <c r="S1440">
        <v>0</v>
      </c>
      <c r="T1440" t="s">
        <v>10357</v>
      </c>
      <c r="V1440" t="s">
        <v>2264</v>
      </c>
      <c r="W1440">
        <v>41.394154569340003</v>
      </c>
      <c r="X1440">
        <v>2.1499363690437998</v>
      </c>
      <c r="Y1440" t="s">
        <v>3174</v>
      </c>
      <c r="Z1440" t="s">
        <v>9926</v>
      </c>
      <c r="AA1440" t="s">
        <v>4833</v>
      </c>
      <c r="AB1440" t="s">
        <v>10358</v>
      </c>
      <c r="AC1440" t="s">
        <v>10359</v>
      </c>
      <c r="AD1440" s="249" t="str">
        <f>HYPERLINK("https://scontent.cdninstagram.com/t51.2885-15/s320x320/e35/20902407_830592340430096_7695826227512213504_n.jpg")</f>
        <v>https://scontent.cdninstagram.com/t51.2885-15/s320x320/e35/20902407_830592340430096_7695826227512213504_n.jpg</v>
      </c>
      <c r="AE1440" s="249" t="str">
        <f>HYPERLINK("https://scontent.cdninstagram.com/t51.2885-19/s150x150/20583248_1692625917712982_901155645611311104_a.jpg")</f>
        <v>https://scontent.cdninstagram.com/t51.2885-19/s150x150/20583248_1692625917712982_901155645611311104_a.jpg</v>
      </c>
    </row>
    <row r="1441" spans="1:31" ht="15" x14ac:dyDescent="0.25">
      <c r="A1441" t="s">
        <v>2474</v>
      </c>
      <c r="B1441" t="s">
        <v>10360</v>
      </c>
      <c r="C1441" s="221">
        <v>42965.394756944443</v>
      </c>
      <c r="D1441" t="s">
        <v>10361</v>
      </c>
      <c r="E1441" s="249" t="str">
        <f>HYPERLINK("https://www.instagram.com/p/BX79OHeHUIT/")</f>
        <v>https://www.instagram.com/p/BX79OHeHUIT/</v>
      </c>
      <c r="F1441" t="s">
        <v>10362</v>
      </c>
      <c r="G1441" t="s">
        <v>2478</v>
      </c>
      <c r="H1441">
        <v>365</v>
      </c>
      <c r="I1441" t="s">
        <v>2479</v>
      </c>
      <c r="J1441">
        <v>2</v>
      </c>
      <c r="K1441">
        <v>44</v>
      </c>
      <c r="L1441">
        <v>46</v>
      </c>
      <c r="Q1441">
        <v>0</v>
      </c>
      <c r="R1441">
        <v>0</v>
      </c>
      <c r="S1441">
        <v>46</v>
      </c>
      <c r="T1441" t="s">
        <v>10363</v>
      </c>
      <c r="V1441" t="s">
        <v>2182</v>
      </c>
      <c r="W1441">
        <v>45.933543295</v>
      </c>
      <c r="X1441">
        <v>9.5263788999999992</v>
      </c>
      <c r="Y1441" t="s">
        <v>10364</v>
      </c>
      <c r="Z1441" t="s">
        <v>2497</v>
      </c>
      <c r="AA1441" t="s">
        <v>2567</v>
      </c>
      <c r="AB1441" t="s">
        <v>4075</v>
      </c>
      <c r="AC1441" t="s">
        <v>8564</v>
      </c>
      <c r="AD1441" s="249" t="str">
        <f>HYPERLINK("https://scontent.cdninstagram.com/t51.2885-15/s320x320/e35/20905345_110869432935843_7730884391987052544_n.jpg")</f>
        <v>https://scontent.cdninstagram.com/t51.2885-15/s320x320/e35/20905345_110869432935843_7730884391987052544_n.jpg</v>
      </c>
      <c r="AE1441" s="249" t="str">
        <f>HYPERLINK("https://scontent.cdninstagram.com/t51.2885-19/s150x150/18380689_223648654796930_8008026713063686144_a.jpg")</f>
        <v>https://scontent.cdninstagram.com/t51.2885-19/s150x150/18380689_223648654796930_8008026713063686144_a.jpg</v>
      </c>
    </row>
    <row r="1442" spans="1:31" ht="15" x14ac:dyDescent="0.25">
      <c r="A1442" t="s">
        <v>2474</v>
      </c>
      <c r="B1442" t="s">
        <v>9252</v>
      </c>
      <c r="C1442" s="221">
        <v>42965.4062037037</v>
      </c>
      <c r="D1442" t="s">
        <v>10365</v>
      </c>
      <c r="E1442" s="249" t="str">
        <f>HYPERLINK("https://www.instagram.com/p/BX7_GzKD9PR/")</f>
        <v>https://www.instagram.com/p/BX7_GzKD9PR/</v>
      </c>
      <c r="F1442" t="s">
        <v>10366</v>
      </c>
      <c r="G1442" t="s">
        <v>2478</v>
      </c>
      <c r="H1442">
        <v>814</v>
      </c>
      <c r="I1442" t="s">
        <v>2479</v>
      </c>
      <c r="J1442">
        <v>1</v>
      </c>
      <c r="K1442">
        <v>63</v>
      </c>
      <c r="L1442">
        <v>64</v>
      </c>
      <c r="Q1442">
        <v>0</v>
      </c>
      <c r="R1442">
        <v>0</v>
      </c>
      <c r="S1442">
        <v>64</v>
      </c>
      <c r="Y1442" t="s">
        <v>2497</v>
      </c>
      <c r="Z1442" t="s">
        <v>10367</v>
      </c>
      <c r="AA1442" t="s">
        <v>10368</v>
      </c>
      <c r="AB1442" t="s">
        <v>10369</v>
      </c>
      <c r="AC1442" t="s">
        <v>3006</v>
      </c>
      <c r="AD1442" s="249" t="str">
        <f>HYPERLINK("https://scontent.cdninstagram.com/t51.2885-15/s320x320/e35/c0.135.1080.1080/20837683_125185021444414_4409404698147160064_n.jpg")</f>
        <v>https://scontent.cdninstagram.com/t51.2885-15/s320x320/e35/c0.135.1080.1080/20837683_125185021444414_4409404698147160064_n.jpg</v>
      </c>
      <c r="AE1442" s="249" t="str">
        <f>HYPERLINK("https://scontent.cdninstagram.com/t51.2885-19/s150x150/11249866_1639249842955071_1275285948_a.jpg")</f>
        <v>https://scontent.cdninstagram.com/t51.2885-19/s150x150/11249866_1639249842955071_1275285948_a.jpg</v>
      </c>
    </row>
    <row r="1443" spans="1:31" ht="15" x14ac:dyDescent="0.25">
      <c r="A1443" t="s">
        <v>2474</v>
      </c>
      <c r="B1443" t="s">
        <v>10370</v>
      </c>
      <c r="C1443" s="221">
        <v>42965.409259259257</v>
      </c>
      <c r="D1443" t="s">
        <v>10371</v>
      </c>
      <c r="E1443" s="249" t="str">
        <f>HYPERLINK("https://www.instagram.com/p/BX7_nD0B6Ed/")</f>
        <v>https://www.instagram.com/p/BX7_nD0B6Ed/</v>
      </c>
      <c r="F1443" t="s">
        <v>10372</v>
      </c>
      <c r="G1443" t="s">
        <v>2478</v>
      </c>
      <c r="I1443" t="s">
        <v>2479</v>
      </c>
      <c r="J1443">
        <v>0</v>
      </c>
      <c r="K1443">
        <v>14</v>
      </c>
      <c r="L1443">
        <v>14</v>
      </c>
      <c r="Q1443">
        <v>0</v>
      </c>
      <c r="R1443">
        <v>0</v>
      </c>
      <c r="S1443">
        <v>14</v>
      </c>
      <c r="Y1443" t="s">
        <v>2497</v>
      </c>
      <c r="Z1443" t="s">
        <v>10373</v>
      </c>
      <c r="AA1443" t="s">
        <v>10374</v>
      </c>
      <c r="AB1443" t="s">
        <v>10375</v>
      </c>
      <c r="AC1443" t="s">
        <v>10376</v>
      </c>
      <c r="AD1443" s="249" t="str">
        <f>HYPERLINK("https://scontent.cdninstagram.com/t51.2885-15/s320x320/e35/c134.0.811.811/20904883_783412681830582_6034218361259294720_n.jpg")</f>
        <v>https://scontent.cdninstagram.com/t51.2885-15/s320x320/e35/c134.0.811.811/20904883_783412681830582_6034218361259294720_n.jpg</v>
      </c>
      <c r="AE1443" s="249" t="str">
        <f>HYPERLINK("https://scontent.cdninstagram.com/t51.2885-19/s150x150/15538933_1610810689228672_6880479544529125376_a.jpg")</f>
        <v>https://scontent.cdninstagram.com/t51.2885-19/s150x150/15538933_1610810689228672_6880479544529125376_a.jpg</v>
      </c>
    </row>
    <row r="1444" spans="1:31" ht="15" x14ac:dyDescent="0.25">
      <c r="A1444" t="s">
        <v>2474</v>
      </c>
      <c r="B1444" t="s">
        <v>10377</v>
      </c>
      <c r="C1444" s="221">
        <v>42965.420694444445</v>
      </c>
      <c r="D1444" t="s">
        <v>10378</v>
      </c>
      <c r="E1444" s="249" t="str">
        <f>HYPERLINK("https://www.instagram.com/p/BX8BfmRgUJq/")</f>
        <v>https://www.instagram.com/p/BX8BfmRgUJq/</v>
      </c>
      <c r="F1444" t="s">
        <v>10379</v>
      </c>
      <c r="G1444" t="s">
        <v>2478</v>
      </c>
      <c r="H1444">
        <v>189</v>
      </c>
      <c r="I1444" t="s">
        <v>2479</v>
      </c>
      <c r="J1444">
        <v>0</v>
      </c>
      <c r="K1444">
        <v>17</v>
      </c>
      <c r="L1444">
        <v>17</v>
      </c>
      <c r="Q1444">
        <v>0</v>
      </c>
      <c r="R1444">
        <v>0</v>
      </c>
      <c r="S1444">
        <v>17</v>
      </c>
      <c r="Y1444" t="s">
        <v>3543</v>
      </c>
      <c r="Z1444" t="s">
        <v>2497</v>
      </c>
      <c r="AA1444" t="s">
        <v>7225</v>
      </c>
      <c r="AB1444" t="s">
        <v>5843</v>
      </c>
      <c r="AC1444" t="s">
        <v>10380</v>
      </c>
      <c r="AD1444" s="249" t="str">
        <f>HYPERLINK("https://scontent.cdninstagram.com/t51.2885-15/s320x320/e35/c3.0.444.444/20902643_301192740352656_8841374334128750592_n.jpg")</f>
        <v>https://scontent.cdninstagram.com/t51.2885-15/s320x320/e35/c3.0.444.444/20902643_301192740352656_8841374334128750592_n.jpg</v>
      </c>
      <c r="AE1444" s="249" t="str">
        <f>HYPERLINK("https://scontent.cdninstagram.com/t51.2885-19/s150x150/20759632_1412289272225077_248404458675896320_a.jpg")</f>
        <v>https://scontent.cdninstagram.com/t51.2885-19/s150x150/20759632_1412289272225077_248404458675896320_a.jpg</v>
      </c>
    </row>
    <row r="1445" spans="1:31" ht="15" x14ac:dyDescent="0.25">
      <c r="A1445" t="s">
        <v>2474</v>
      </c>
      <c r="B1445" t="s">
        <v>10381</v>
      </c>
      <c r="C1445" s="221">
        <v>42965.443495370368</v>
      </c>
      <c r="D1445" t="s">
        <v>10382</v>
      </c>
      <c r="E1445" s="249" t="str">
        <f>HYPERLINK("https://www.instagram.com/p/BX8FQFZF9DH/")</f>
        <v>https://www.instagram.com/p/BX8FQFZF9DH/</v>
      </c>
      <c r="F1445" t="s">
        <v>10383</v>
      </c>
      <c r="G1445" t="s">
        <v>2478</v>
      </c>
      <c r="H1445">
        <v>534</v>
      </c>
      <c r="I1445" t="s">
        <v>2542</v>
      </c>
      <c r="J1445">
        <v>0</v>
      </c>
      <c r="K1445">
        <v>72</v>
      </c>
      <c r="L1445">
        <v>72</v>
      </c>
      <c r="Q1445">
        <v>0</v>
      </c>
      <c r="R1445">
        <v>0</v>
      </c>
      <c r="S1445">
        <v>72</v>
      </c>
      <c r="T1445" t="s">
        <v>10384</v>
      </c>
      <c r="V1445" t="s">
        <v>2154</v>
      </c>
      <c r="W1445">
        <v>48.883299999999998</v>
      </c>
      <c r="X1445">
        <v>2.26667</v>
      </c>
      <c r="Y1445" t="s">
        <v>2673</v>
      </c>
      <c r="Z1445" t="s">
        <v>2497</v>
      </c>
      <c r="AA1445" t="s">
        <v>10385</v>
      </c>
      <c r="AB1445" t="s">
        <v>10386</v>
      </c>
      <c r="AC1445" t="s">
        <v>10387</v>
      </c>
      <c r="AD1445" s="249" t="str">
        <f>HYPERLINK("https://scontent.cdninstagram.com/t51.2885-15/s320x320/e35/c135.0.809.809/20969054_466295160404338_1586288416352370688_n.jpg")</f>
        <v>https://scontent.cdninstagram.com/t51.2885-15/s320x320/e35/c135.0.809.809/20969054_466295160404338_1586288416352370688_n.jpg</v>
      </c>
      <c r="AE1445" s="249" t="str">
        <f>HYPERLINK("https://scontent.cdninstagram.com/t51.2885-19/s150x150/19425545_1147754195328567_2612270723711893504_a.jpg")</f>
        <v>https://scontent.cdninstagram.com/t51.2885-19/s150x150/19425545_1147754195328567_2612270723711893504_a.jpg</v>
      </c>
    </row>
    <row r="1446" spans="1:31" ht="15" x14ac:dyDescent="0.25">
      <c r="A1446" t="s">
        <v>2474</v>
      </c>
      <c r="B1446" t="s">
        <v>10388</v>
      </c>
      <c r="C1446" s="221">
        <v>42965.446689814817</v>
      </c>
      <c r="D1446" t="s">
        <v>10389</v>
      </c>
      <c r="E1446" s="249" t="str">
        <f>HYPERLINK("https://www.instagram.com/p/BX8FxyEnZ2s/")</f>
        <v>https://www.instagram.com/p/BX8FxyEnZ2s/</v>
      </c>
      <c r="F1446" t="s">
        <v>10390</v>
      </c>
      <c r="G1446" t="s">
        <v>2478</v>
      </c>
      <c r="H1446">
        <v>266</v>
      </c>
      <c r="I1446" t="s">
        <v>2542</v>
      </c>
      <c r="J1446">
        <v>2</v>
      </c>
      <c r="K1446">
        <v>24</v>
      </c>
      <c r="L1446">
        <v>26</v>
      </c>
      <c r="Q1446">
        <v>0</v>
      </c>
      <c r="R1446">
        <v>0</v>
      </c>
      <c r="S1446">
        <v>26</v>
      </c>
      <c r="Y1446" t="s">
        <v>2497</v>
      </c>
      <c r="Z1446" t="s">
        <v>2890</v>
      </c>
      <c r="AA1446" t="s">
        <v>10391</v>
      </c>
      <c r="AB1446" t="s">
        <v>8753</v>
      </c>
      <c r="AC1446" t="s">
        <v>10392</v>
      </c>
      <c r="AD1446" s="249" t="str">
        <f>HYPERLINK("https://scontent.cdninstagram.com/t51.2885-15/s320x320/e35/20905653_111085802903973_615129644244402176_n.jpg")</f>
        <v>https://scontent.cdninstagram.com/t51.2885-15/s320x320/e35/20905653_111085802903973_615129644244402176_n.jpg</v>
      </c>
      <c r="AE1446" s="249" t="str">
        <f>HYPERLINK("https://scontent.cdninstagram.com/t51.2885-19/s150x150/16463995_246291615824475_7975629800519761920_a.jpg")</f>
        <v>https://scontent.cdninstagram.com/t51.2885-19/s150x150/16463995_246291615824475_7975629800519761920_a.jpg</v>
      </c>
    </row>
    <row r="1447" spans="1:31" ht="15" x14ac:dyDescent="0.25">
      <c r="A1447" t="s">
        <v>2474</v>
      </c>
      <c r="B1447" t="s">
        <v>6260</v>
      </c>
      <c r="C1447" s="221">
        <v>42965.453020833331</v>
      </c>
      <c r="D1447" t="s">
        <v>10393</v>
      </c>
      <c r="E1447" s="249" t="str">
        <f>HYPERLINK("https://www.instagram.com/p/BX8G0j6BLM6/")</f>
        <v>https://www.instagram.com/p/BX8G0j6BLM6/</v>
      </c>
      <c r="F1447" t="s">
        <v>10394</v>
      </c>
      <c r="G1447" t="s">
        <v>2478</v>
      </c>
      <c r="H1447">
        <v>737</v>
      </c>
      <c r="I1447" t="s">
        <v>3575</v>
      </c>
      <c r="J1447">
        <v>0</v>
      </c>
      <c r="K1447">
        <v>41</v>
      </c>
      <c r="L1447">
        <v>41</v>
      </c>
      <c r="Q1447">
        <v>0</v>
      </c>
      <c r="R1447">
        <v>0</v>
      </c>
      <c r="S1447">
        <v>41</v>
      </c>
      <c r="Y1447" t="s">
        <v>2497</v>
      </c>
      <c r="Z1447" t="s">
        <v>7762</v>
      </c>
      <c r="AA1447" t="s">
        <v>7765</v>
      </c>
      <c r="AB1447" t="s">
        <v>10395</v>
      </c>
      <c r="AC1447" t="s">
        <v>3399</v>
      </c>
      <c r="AD1447" s="249" t="str">
        <f>HYPERLINK("https://scontent.cdninstagram.com/t51.2885-15/s320x320/e35/20838148_164804610745452_7707893135698821120_n.jpg")</f>
        <v>https://scontent.cdninstagram.com/t51.2885-15/s320x320/e35/20838148_164804610745452_7707893135698821120_n.jpg</v>
      </c>
      <c r="AE1447" s="249" t="str">
        <f>HYPERLINK("https://scontent.cdninstagram.com/t51.2885-19/s150x150/20180716_328101890948546_8277557755091353600_a.jpg")</f>
        <v>https://scontent.cdninstagram.com/t51.2885-19/s150x150/20180716_328101890948546_8277557755091353600_a.jpg</v>
      </c>
    </row>
    <row r="1448" spans="1:31" ht="15" x14ac:dyDescent="0.25">
      <c r="A1448" t="s">
        <v>2474</v>
      </c>
      <c r="B1448" t="s">
        <v>10396</v>
      </c>
      <c r="C1448" s="221">
        <v>42965.455092592594</v>
      </c>
      <c r="D1448" t="s">
        <v>10397</v>
      </c>
      <c r="E1448" s="249" t="str">
        <f>HYPERLINK("https://www.instagram.com/p/BX8HKZ3ALJB/")</f>
        <v>https://www.instagram.com/p/BX8HKZ3ALJB/</v>
      </c>
      <c r="F1448" t="s">
        <v>10398</v>
      </c>
      <c r="G1448" t="s">
        <v>2478</v>
      </c>
      <c r="H1448">
        <v>121</v>
      </c>
      <c r="I1448" t="s">
        <v>2582</v>
      </c>
      <c r="J1448">
        <v>2</v>
      </c>
      <c r="K1448">
        <v>38</v>
      </c>
      <c r="L1448">
        <v>40</v>
      </c>
      <c r="Q1448">
        <v>0</v>
      </c>
      <c r="R1448">
        <v>0</v>
      </c>
      <c r="S1448">
        <v>40</v>
      </c>
      <c r="Y1448" t="s">
        <v>2497</v>
      </c>
      <c r="Z1448" t="s">
        <v>10399</v>
      </c>
      <c r="AA1448" t="s">
        <v>10400</v>
      </c>
      <c r="AB1448" t="s">
        <v>10401</v>
      </c>
      <c r="AC1448" t="s">
        <v>2767</v>
      </c>
      <c r="AD1448" s="249" t="str">
        <f>HYPERLINK("https://scontent.cdninstagram.com/t51.2885-15/s320x320/e35/20901932_499792423699184_7678261439064178688_n.jpg")</f>
        <v>https://scontent.cdninstagram.com/t51.2885-15/s320x320/e35/20901932_499792423699184_7678261439064178688_n.jpg</v>
      </c>
      <c r="AE1448" s="249" t="str">
        <f>HYPERLINK("https://scontent.cdninstagram.com/t51.2885-19/s150x150/20482542_2117510404941337_4600194580023869440_a.jpg")</f>
        <v>https://scontent.cdninstagram.com/t51.2885-19/s150x150/20482542_2117510404941337_4600194580023869440_a.jpg</v>
      </c>
    </row>
    <row r="1449" spans="1:31" ht="15" x14ac:dyDescent="0.25">
      <c r="A1449" t="s">
        <v>2474</v>
      </c>
      <c r="B1449" t="s">
        <v>10402</v>
      </c>
      <c r="C1449" s="221">
        <v>42965.460300925923</v>
      </c>
      <c r="D1449" t="s">
        <v>10403</v>
      </c>
      <c r="E1449" s="249" t="str">
        <f>HYPERLINK("https://www.instagram.com/p/BX8IBWHjo06/")</f>
        <v>https://www.instagram.com/p/BX8IBWHjo06/</v>
      </c>
      <c r="F1449" t="s">
        <v>10404</v>
      </c>
      <c r="G1449" t="s">
        <v>2478</v>
      </c>
      <c r="H1449">
        <v>85</v>
      </c>
      <c r="I1449" t="s">
        <v>2479</v>
      </c>
      <c r="J1449">
        <v>0</v>
      </c>
      <c r="K1449">
        <v>9</v>
      </c>
      <c r="L1449">
        <v>9</v>
      </c>
      <c r="Q1449">
        <v>0</v>
      </c>
      <c r="R1449">
        <v>0</v>
      </c>
      <c r="S1449">
        <v>9</v>
      </c>
      <c r="Y1449" t="s">
        <v>2497</v>
      </c>
      <c r="Z1449" t="s">
        <v>2735</v>
      </c>
      <c r="AA1449" t="s">
        <v>4833</v>
      </c>
      <c r="AB1449" t="s">
        <v>10405</v>
      </c>
      <c r="AC1449" t="s">
        <v>10406</v>
      </c>
      <c r="AD1449" s="249" t="str">
        <f>HYPERLINK("https://scontent.cdninstagram.com/t51.2885-15/s320x320/e35/20838886_1818682314814179_791652585361637376_n.jpg")</f>
        <v>https://scontent.cdninstagram.com/t51.2885-15/s320x320/e35/20838886_1818682314814179_791652585361637376_n.jpg</v>
      </c>
      <c r="AE1449" s="249" t="str">
        <f>HYPERLINK("https://scontent.cdninstagram.com/t51.2885-19/s150x150/20838672_164477384119622_4588033526154133504_a.jpg")</f>
        <v>https://scontent.cdninstagram.com/t51.2885-19/s150x150/20838672_164477384119622_4588033526154133504_a.jpg</v>
      </c>
    </row>
    <row r="1450" spans="1:31" ht="15" x14ac:dyDescent="0.25">
      <c r="A1450" t="s">
        <v>2474</v>
      </c>
      <c r="B1450" t="s">
        <v>6377</v>
      </c>
      <c r="C1450" s="221">
        <v>42965.467233796298</v>
      </c>
      <c r="D1450" t="s">
        <v>10407</v>
      </c>
      <c r="E1450" s="249" t="str">
        <f>HYPERLINK("https://www.instagram.com/p/BX8JKcsgfvr/")</f>
        <v>https://www.instagram.com/p/BX8JKcsgfvr/</v>
      </c>
      <c r="F1450" t="s">
        <v>10408</v>
      </c>
      <c r="G1450" t="s">
        <v>2631</v>
      </c>
      <c r="H1450">
        <v>1513</v>
      </c>
      <c r="I1450" t="s">
        <v>2599</v>
      </c>
      <c r="J1450">
        <v>3</v>
      </c>
      <c r="K1450">
        <v>190</v>
      </c>
      <c r="L1450">
        <v>193</v>
      </c>
      <c r="Q1450">
        <v>0</v>
      </c>
      <c r="R1450">
        <v>0</v>
      </c>
      <c r="S1450">
        <v>193</v>
      </c>
      <c r="T1450" t="s">
        <v>10409</v>
      </c>
      <c r="V1450" t="s">
        <v>2161</v>
      </c>
      <c r="W1450">
        <v>50.116529999999997</v>
      </c>
      <c r="X1450">
        <v>8.72621</v>
      </c>
      <c r="Y1450" t="s">
        <v>2497</v>
      </c>
      <c r="Z1450" t="s">
        <v>10410</v>
      </c>
      <c r="AA1450" t="s">
        <v>2730</v>
      </c>
      <c r="AB1450" t="s">
        <v>2832</v>
      </c>
      <c r="AC1450" t="s">
        <v>10411</v>
      </c>
      <c r="AD1450" s="249" t="str">
        <f>HYPERLINK("https://scontent.cdninstagram.com/t51.2885-15/s320x320/e15/20838382_112600376082649_3113572906999742464_n.jpg")</f>
        <v>https://scontent.cdninstagram.com/t51.2885-15/s320x320/e15/20838382_112600376082649_3113572906999742464_n.jpg</v>
      </c>
      <c r="AE1450" s="249" t="str">
        <f>HYPERLINK("https://scontent.cdninstagram.com/t51.2885-19/10946454_719247041522693_1382264538_a.jpg")</f>
        <v>https://scontent.cdninstagram.com/t51.2885-19/10946454_719247041522693_1382264538_a.jpg</v>
      </c>
    </row>
    <row r="1451" spans="1:31" ht="15" x14ac:dyDescent="0.25">
      <c r="A1451" t="s">
        <v>2474</v>
      </c>
      <c r="B1451" t="s">
        <v>7232</v>
      </c>
      <c r="C1451" s="221">
        <v>42965.474583333336</v>
      </c>
      <c r="D1451" t="s">
        <v>10412</v>
      </c>
      <c r="E1451" s="249" t="str">
        <f>HYPERLINK("https://www.instagram.com/p/BX8KX-0A8YM/")</f>
        <v>https://www.instagram.com/p/BX8KX-0A8YM/</v>
      </c>
      <c r="F1451" t="s">
        <v>10413</v>
      </c>
      <c r="G1451" t="s">
        <v>2631</v>
      </c>
      <c r="H1451">
        <v>512</v>
      </c>
      <c r="I1451" t="s">
        <v>4052</v>
      </c>
      <c r="J1451">
        <v>0</v>
      </c>
      <c r="K1451">
        <v>14</v>
      </c>
      <c r="L1451">
        <v>14</v>
      </c>
      <c r="Q1451">
        <v>0</v>
      </c>
      <c r="R1451">
        <v>0</v>
      </c>
      <c r="S1451">
        <v>14</v>
      </c>
      <c r="Y1451" t="s">
        <v>10414</v>
      </c>
      <c r="Z1451" t="s">
        <v>4620</v>
      </c>
      <c r="AA1451" t="s">
        <v>2497</v>
      </c>
      <c r="AB1451" t="s">
        <v>10415</v>
      </c>
      <c r="AC1451" t="s">
        <v>10416</v>
      </c>
      <c r="AD1451" s="249" t="str">
        <f>HYPERLINK("https://scontent.cdninstagram.com/t51.2885-15/s320x320/e15/c0.90.720.720/20902363_1962257237321184_7774772450876719104_n.jpg")</f>
        <v>https://scontent.cdninstagram.com/t51.2885-15/s320x320/e15/c0.90.720.720/20902363_1962257237321184_7774772450876719104_n.jpg</v>
      </c>
      <c r="AE1451" s="249" t="str">
        <f>HYPERLINK("https://scontent.cdninstagram.com/t51.2885-19/s150x150/14482263_1660577494243200_2334360342223650816_a.jpg")</f>
        <v>https://scontent.cdninstagram.com/t51.2885-19/s150x150/14482263_1660577494243200_2334360342223650816_a.jpg</v>
      </c>
    </row>
    <row r="1452" spans="1:31" ht="15" x14ac:dyDescent="0.25">
      <c r="A1452" t="s">
        <v>2474</v>
      </c>
      <c r="B1452" t="s">
        <v>7121</v>
      </c>
      <c r="C1452" s="221">
        <v>42965.483090277776</v>
      </c>
      <c r="D1452" t="s">
        <v>10417</v>
      </c>
      <c r="E1452" s="249" t="str">
        <f>HYPERLINK("https://www.instagram.com/p/BX8Lxtvh06v/")</f>
        <v>https://www.instagram.com/p/BX8Lxtvh06v/</v>
      </c>
      <c r="F1452" t="s">
        <v>10418</v>
      </c>
      <c r="G1452" t="s">
        <v>2478</v>
      </c>
      <c r="H1452">
        <v>322</v>
      </c>
      <c r="I1452" t="s">
        <v>2479</v>
      </c>
      <c r="J1452">
        <v>0</v>
      </c>
      <c r="K1452">
        <v>63</v>
      </c>
      <c r="L1452">
        <v>63</v>
      </c>
      <c r="Q1452">
        <v>0</v>
      </c>
      <c r="R1452">
        <v>0</v>
      </c>
      <c r="S1452">
        <v>63</v>
      </c>
      <c r="T1452" t="s">
        <v>10419</v>
      </c>
      <c r="V1452" t="s">
        <v>2264</v>
      </c>
      <c r="W1452">
        <v>41.388005999999997</v>
      </c>
      <c r="X1452">
        <v>2.187408</v>
      </c>
      <c r="Y1452" t="s">
        <v>2497</v>
      </c>
      <c r="Z1452" t="s">
        <v>10420</v>
      </c>
      <c r="AA1452" t="s">
        <v>9672</v>
      </c>
      <c r="AB1452" t="s">
        <v>10421</v>
      </c>
      <c r="AC1452" t="s">
        <v>10422</v>
      </c>
      <c r="AD1452" s="249" t="str">
        <f>HYPERLINK("https://scontent.cdninstagram.com/t51.2885-15/s320x320/e35/c0.91.730.730/20838406_117869178872412_6956870404086431744_n.jpg")</f>
        <v>https://scontent.cdninstagram.com/t51.2885-15/s320x320/e35/c0.91.730.730/20838406_117869178872412_6956870404086431744_n.jpg</v>
      </c>
      <c r="AE1452" s="249" t="str">
        <f>HYPERLINK("https://scontent.cdninstagram.com/t51.2885-19/s150x150/19533604_480112205664824_1564293601066745856_a.jpg")</f>
        <v>https://scontent.cdninstagram.com/t51.2885-19/s150x150/19533604_480112205664824_1564293601066745856_a.jpg</v>
      </c>
    </row>
    <row r="1453" spans="1:31" ht="15" x14ac:dyDescent="0.25">
      <c r="A1453" t="s">
        <v>2474</v>
      </c>
      <c r="B1453" t="s">
        <v>10423</v>
      </c>
      <c r="C1453" s="221">
        <v>42965.489502314813</v>
      </c>
      <c r="D1453" t="s">
        <v>10424</v>
      </c>
      <c r="E1453" s="249" t="str">
        <f>HYPERLINK("https://www.instagram.com/p/BX8M1ZSgoJE/")</f>
        <v>https://www.instagram.com/p/BX8M1ZSgoJE/</v>
      </c>
      <c r="F1453" t="s">
        <v>10425</v>
      </c>
      <c r="G1453" t="s">
        <v>2478</v>
      </c>
      <c r="H1453">
        <v>19716</v>
      </c>
      <c r="I1453" t="s">
        <v>2479</v>
      </c>
      <c r="J1453">
        <v>7</v>
      </c>
      <c r="K1453">
        <v>997</v>
      </c>
      <c r="L1453">
        <v>1004</v>
      </c>
      <c r="Q1453">
        <v>0</v>
      </c>
      <c r="R1453">
        <v>0</v>
      </c>
      <c r="S1453">
        <v>1004</v>
      </c>
      <c r="AD1453" s="249" t="str">
        <f>HYPERLINK("https://scontent.cdninstagram.com/t51.2885-15/s320x320/e35/c0.73.874.874/20838643_254883558365386_3756234678885941248_n.jpg")</f>
        <v>https://scontent.cdninstagram.com/t51.2885-15/s320x320/e35/c0.73.874.874/20838643_254883558365386_3756234678885941248_n.jpg</v>
      </c>
      <c r="AE1453" s="249" t="str">
        <f>HYPERLINK("https://scontent.cdninstagram.com/t51.2885-19/15623907_313482635712930_8946707745638187008_a.jpg")</f>
        <v>https://scontent.cdninstagram.com/t51.2885-19/15623907_313482635712930_8946707745638187008_a.jpg</v>
      </c>
    </row>
    <row r="1454" spans="1:31" ht="15" x14ac:dyDescent="0.25">
      <c r="A1454" t="s">
        <v>2474</v>
      </c>
      <c r="B1454" t="s">
        <v>2644</v>
      </c>
      <c r="C1454" s="221">
        <v>42965.500462962962</v>
      </c>
      <c r="D1454" t="s">
        <v>10426</v>
      </c>
      <c r="E1454" s="249" t="str">
        <f>HYPERLINK("https://www.instagram.com/p/BX8Oo_jAw6v/")</f>
        <v>https://www.instagram.com/p/BX8Oo_jAw6v/</v>
      </c>
      <c r="F1454" t="s">
        <v>10427</v>
      </c>
      <c r="G1454" t="s">
        <v>2478</v>
      </c>
      <c r="H1454">
        <v>1754</v>
      </c>
      <c r="I1454" t="s">
        <v>2479</v>
      </c>
      <c r="J1454">
        <v>2</v>
      </c>
      <c r="K1454">
        <v>45</v>
      </c>
      <c r="L1454">
        <v>47</v>
      </c>
      <c r="Q1454">
        <v>0</v>
      </c>
      <c r="R1454">
        <v>0</v>
      </c>
      <c r="S1454">
        <v>47</v>
      </c>
      <c r="T1454" t="s">
        <v>10428</v>
      </c>
      <c r="V1454" t="s">
        <v>2648</v>
      </c>
      <c r="W1454">
        <v>54.782719999999998</v>
      </c>
      <c r="X1454">
        <v>32.046300000000002</v>
      </c>
      <c r="Y1454" t="s">
        <v>3077</v>
      </c>
      <c r="Z1454" t="s">
        <v>5902</v>
      </c>
      <c r="AA1454" t="s">
        <v>5928</v>
      </c>
      <c r="AB1454" t="s">
        <v>10429</v>
      </c>
      <c r="AC1454" t="s">
        <v>5796</v>
      </c>
      <c r="AD1454" s="249" t="str">
        <f>HYPERLINK("https://scontent.cdninstagram.com/t51.2885-15/s320x320/e35/20838139_1529400447120411_6821677520941744128_n.jpg")</f>
        <v>https://scontent.cdninstagram.com/t51.2885-15/s320x320/e35/20838139_1529400447120411_6821677520941744128_n.jpg</v>
      </c>
      <c r="AE1454" s="249" t="str">
        <f>HYPERLINK("https://scontent.cdninstagram.com/t51.2885-19/11372086_1598451257062069_1320225693_a.jpg")</f>
        <v>https://scontent.cdninstagram.com/t51.2885-19/11372086_1598451257062069_1320225693_a.jpg</v>
      </c>
    </row>
    <row r="1455" spans="1:31" ht="15" x14ac:dyDescent="0.25">
      <c r="A1455" t="s">
        <v>2474</v>
      </c>
      <c r="B1455" t="s">
        <v>10430</v>
      </c>
      <c r="C1455" s="221">
        <v>42965.500763888886</v>
      </c>
      <c r="D1455" t="s">
        <v>10431</v>
      </c>
      <c r="E1455" s="249" t="str">
        <f>HYPERLINK("https://www.instagram.com/p/BX8OsJdg0AV/")</f>
        <v>https://www.instagram.com/p/BX8OsJdg0AV/</v>
      </c>
      <c r="F1455" t="s">
        <v>10432</v>
      </c>
      <c r="G1455" t="s">
        <v>2478</v>
      </c>
      <c r="H1455">
        <v>740</v>
      </c>
      <c r="I1455" t="s">
        <v>3170</v>
      </c>
      <c r="J1455">
        <v>1</v>
      </c>
      <c r="K1455">
        <v>24</v>
      </c>
      <c r="L1455">
        <v>25</v>
      </c>
      <c r="Q1455">
        <v>0</v>
      </c>
      <c r="R1455">
        <v>0</v>
      </c>
      <c r="S1455">
        <v>25</v>
      </c>
      <c r="Y1455" t="s">
        <v>2497</v>
      </c>
      <c r="Z1455" t="s">
        <v>2523</v>
      </c>
      <c r="AA1455" t="s">
        <v>2730</v>
      </c>
      <c r="AB1455" t="s">
        <v>4026</v>
      </c>
      <c r="AD1455" s="249" t="str">
        <f>HYPERLINK("https://scontent.cdninstagram.com/t51.2885-15/s320x320/e35/c166.0.747.747/20901946_1971774283103871_2271359262254956544_n.jpg")</f>
        <v>https://scontent.cdninstagram.com/t51.2885-15/s320x320/e35/c166.0.747.747/20901946_1971774283103871_2271359262254956544_n.jpg</v>
      </c>
      <c r="AE1455" s="249" t="str">
        <f>HYPERLINK("https://scontent.cdninstagram.com/t51.2885-19/s150x150/14278929_1980964145463269_2050209835_a.jpg")</f>
        <v>https://scontent.cdninstagram.com/t51.2885-19/s150x150/14278929_1980964145463269_2050209835_a.jpg</v>
      </c>
    </row>
    <row r="1456" spans="1:31" ht="15" x14ac:dyDescent="0.25">
      <c r="A1456" t="s">
        <v>2474</v>
      </c>
      <c r="B1456" t="s">
        <v>10433</v>
      </c>
      <c r="C1456" s="221">
        <v>42965.504305555558</v>
      </c>
      <c r="D1456" t="s">
        <v>10434</v>
      </c>
      <c r="E1456" s="249" t="str">
        <f>HYPERLINK("https://www.instagram.com/p/BX8PRg8jzqN/")</f>
        <v>https://www.instagram.com/p/BX8PRg8jzqN/</v>
      </c>
      <c r="F1456" t="s">
        <v>10435</v>
      </c>
      <c r="G1456" t="s">
        <v>2478</v>
      </c>
      <c r="H1456">
        <v>1484</v>
      </c>
      <c r="I1456" t="s">
        <v>2896</v>
      </c>
      <c r="J1456">
        <v>4</v>
      </c>
      <c r="K1456">
        <v>86</v>
      </c>
      <c r="L1456">
        <v>90</v>
      </c>
      <c r="Q1456">
        <v>0</v>
      </c>
      <c r="R1456">
        <v>0</v>
      </c>
      <c r="S1456">
        <v>90</v>
      </c>
      <c r="T1456" t="s">
        <v>10436</v>
      </c>
      <c r="V1456" t="s">
        <v>2222</v>
      </c>
      <c r="W1456">
        <v>52.086320000000001</v>
      </c>
      <c r="X1456">
        <v>5.2329299999999996</v>
      </c>
      <c r="Y1456" t="s">
        <v>2497</v>
      </c>
      <c r="Z1456" t="s">
        <v>10437</v>
      </c>
      <c r="AA1456" t="s">
        <v>7589</v>
      </c>
      <c r="AB1456" t="s">
        <v>5274</v>
      </c>
      <c r="AC1456" t="s">
        <v>10438</v>
      </c>
      <c r="AD1456" s="249" t="str">
        <f>HYPERLINK("https://scontent.cdninstagram.com/t51.2885-15/s320x320/e35/c0.75.601.601/20839028_1567348989963025_2428832112153985024_n.jpg")</f>
        <v>https://scontent.cdninstagram.com/t51.2885-15/s320x320/e35/c0.75.601.601/20839028_1567348989963025_2428832112153985024_n.jpg</v>
      </c>
      <c r="AE1456" s="249" t="str">
        <f>HYPERLINK("https://scontent.cdninstagram.com/t51.2885-19/s150x150/13473096_252391908469854_403008385_a.jpg")</f>
        <v>https://scontent.cdninstagram.com/t51.2885-19/s150x150/13473096_252391908469854_403008385_a.jpg</v>
      </c>
    </row>
    <row r="1457" spans="1:31" ht="15" x14ac:dyDescent="0.25">
      <c r="A1457" t="s">
        <v>2474</v>
      </c>
      <c r="B1457" t="s">
        <v>4982</v>
      </c>
      <c r="C1457" s="221">
        <v>42965.506539351853</v>
      </c>
      <c r="D1457" t="s">
        <v>10439</v>
      </c>
      <c r="E1457" s="249" t="str">
        <f>HYPERLINK("https://www.instagram.com/p/BX8PpAzDeVf/")</f>
        <v>https://www.instagram.com/p/BX8PpAzDeVf/</v>
      </c>
      <c r="F1457" t="s">
        <v>10440</v>
      </c>
      <c r="G1457" t="s">
        <v>2478</v>
      </c>
      <c r="H1457">
        <v>828</v>
      </c>
      <c r="I1457" t="s">
        <v>2479</v>
      </c>
      <c r="J1457">
        <v>0</v>
      </c>
      <c r="K1457">
        <v>37</v>
      </c>
      <c r="L1457">
        <v>37</v>
      </c>
      <c r="Q1457">
        <v>0</v>
      </c>
      <c r="R1457">
        <v>0</v>
      </c>
      <c r="S1457">
        <v>37</v>
      </c>
      <c r="Y1457" t="s">
        <v>10223</v>
      </c>
      <c r="Z1457" t="s">
        <v>5734</v>
      </c>
      <c r="AA1457" t="s">
        <v>6806</v>
      </c>
      <c r="AB1457" t="s">
        <v>4988</v>
      </c>
      <c r="AC1457" t="s">
        <v>4514</v>
      </c>
      <c r="AD1457" s="249" t="str">
        <f>HYPERLINK("https://scontent.cdninstagram.com/t51.2885-15/s320x320/e35/c120.0.720.720/20902018_179742779235766_3946079990080077824_n.jpg")</f>
        <v>https://scontent.cdninstagram.com/t51.2885-15/s320x320/e35/c120.0.720.720/20902018_179742779235766_3946079990080077824_n.jpg</v>
      </c>
      <c r="AE1457" s="249" t="str">
        <f>HYPERLINK("https://scontent.cdninstagram.com/t51.2885-19/s150x150/20837251_299121970554939_1401977110389587968_a.jpg")</f>
        <v>https://scontent.cdninstagram.com/t51.2885-19/s150x150/20837251_299121970554939_1401977110389587968_a.jpg</v>
      </c>
    </row>
    <row r="1458" spans="1:31" ht="15" x14ac:dyDescent="0.25">
      <c r="A1458" t="s">
        <v>2474</v>
      </c>
      <c r="B1458" t="s">
        <v>2588</v>
      </c>
      <c r="C1458" s="221">
        <v>42965.507847222223</v>
      </c>
      <c r="D1458" t="s">
        <v>10441</v>
      </c>
      <c r="E1458" s="249" t="str">
        <f>HYPERLINK("https://www.instagram.com/p/BX8P2zsgYth/")</f>
        <v>https://www.instagram.com/p/BX8P2zsgYth/</v>
      </c>
      <c r="F1458" t="s">
        <v>10442</v>
      </c>
      <c r="G1458" t="s">
        <v>2478</v>
      </c>
      <c r="H1458">
        <v>307</v>
      </c>
      <c r="I1458" t="s">
        <v>2479</v>
      </c>
      <c r="J1458">
        <v>10</v>
      </c>
      <c r="K1458">
        <v>598</v>
      </c>
      <c r="L1458">
        <v>608</v>
      </c>
      <c r="Q1458">
        <v>0</v>
      </c>
      <c r="R1458">
        <v>0</v>
      </c>
      <c r="S1458">
        <v>608</v>
      </c>
      <c r="Y1458" t="s">
        <v>2588</v>
      </c>
      <c r="AD1458" s="249" t="str">
        <f>HYPERLINK("https://scontent.cdninstagram.com/t51.2885-15/s320x320/e35/c34.0.571.571/20839087_126698514623573_2053620384741195776_n.jpg")</f>
        <v>https://scontent.cdninstagram.com/t51.2885-15/s320x320/e35/c34.0.571.571/20839087_126698514623573_2053620384741195776_n.jpg</v>
      </c>
      <c r="AE1458" s="249" t="str">
        <f>HYPERLINK("https://scontent.cdninstagram.com/t51.2885-19/s150x150/20633561_108840983138666_5897549723056734208_a.jpg")</f>
        <v>https://scontent.cdninstagram.com/t51.2885-19/s150x150/20633561_108840983138666_5897549723056734208_a.jpg</v>
      </c>
    </row>
    <row r="1459" spans="1:31" ht="15" x14ac:dyDescent="0.25">
      <c r="A1459" t="s">
        <v>2474</v>
      </c>
      <c r="B1459" t="s">
        <v>10443</v>
      </c>
      <c r="C1459" s="221">
        <v>42965.531504629631</v>
      </c>
      <c r="D1459" t="s">
        <v>10444</v>
      </c>
      <c r="E1459" s="249" t="str">
        <f>HYPERLINK("https://www.instagram.com/p/BX8TwZnF4e7/")</f>
        <v>https://www.instagram.com/p/BX8TwZnF4e7/</v>
      </c>
      <c r="F1459" t="s">
        <v>10445</v>
      </c>
      <c r="G1459" t="s">
        <v>2478</v>
      </c>
      <c r="H1459">
        <v>116</v>
      </c>
      <c r="I1459" t="s">
        <v>2896</v>
      </c>
      <c r="J1459">
        <v>2</v>
      </c>
      <c r="K1459">
        <v>33</v>
      </c>
      <c r="L1459">
        <v>35</v>
      </c>
      <c r="Q1459">
        <v>0</v>
      </c>
      <c r="R1459">
        <v>0</v>
      </c>
      <c r="S1459">
        <v>35</v>
      </c>
      <c r="Y1459" t="s">
        <v>8760</v>
      </c>
      <c r="Z1459" t="s">
        <v>2497</v>
      </c>
      <c r="AA1459" t="s">
        <v>10446</v>
      </c>
      <c r="AB1459" t="s">
        <v>10447</v>
      </c>
      <c r="AC1459" t="s">
        <v>3655</v>
      </c>
      <c r="AD1459" s="249" t="str">
        <f>HYPERLINK("https://scontent.cdninstagram.com/t51.2885-15/s320x320/e35/c83.0.914.914/20901867_780855382096667_870150551579394048_n.jpg")</f>
        <v>https://scontent.cdninstagram.com/t51.2885-15/s320x320/e35/c83.0.914.914/20901867_780855382096667_870150551579394048_n.jpg</v>
      </c>
      <c r="AE1459" s="249" t="str">
        <f>HYPERLINK("https://scontent.cdninstagram.com/t51.2885-19/s150x150/20905476_473128009725941_7510330356684292096_a.jpg")</f>
        <v>https://scontent.cdninstagram.com/t51.2885-19/s150x150/20905476_473128009725941_7510330356684292096_a.jpg</v>
      </c>
    </row>
    <row r="1460" spans="1:31" ht="15" x14ac:dyDescent="0.25">
      <c r="A1460" t="s">
        <v>2474</v>
      </c>
      <c r="B1460" t="s">
        <v>10448</v>
      </c>
      <c r="C1460" s="221">
        <v>42965.532743055555</v>
      </c>
      <c r="D1460" t="s">
        <v>10449</v>
      </c>
      <c r="E1460" s="249" t="str">
        <f>HYPERLINK("https://www.instagram.com/p/BX8T9W8AjV_/")</f>
        <v>https://www.instagram.com/p/BX8T9W8AjV_/</v>
      </c>
      <c r="F1460" t="s">
        <v>10450</v>
      </c>
      <c r="G1460" t="s">
        <v>2478</v>
      </c>
      <c r="H1460">
        <v>14674</v>
      </c>
      <c r="I1460" t="s">
        <v>2479</v>
      </c>
      <c r="J1460">
        <v>2</v>
      </c>
      <c r="K1460">
        <v>58</v>
      </c>
      <c r="L1460">
        <v>60</v>
      </c>
      <c r="Q1460">
        <v>0</v>
      </c>
      <c r="R1460">
        <v>0</v>
      </c>
      <c r="S1460">
        <v>60</v>
      </c>
      <c r="Y1460" t="s">
        <v>2497</v>
      </c>
      <c r="Z1460" t="s">
        <v>10451</v>
      </c>
      <c r="AA1460" t="s">
        <v>10452</v>
      </c>
      <c r="AB1460" t="s">
        <v>10453</v>
      </c>
      <c r="AC1460" t="s">
        <v>9090</v>
      </c>
      <c r="AD1460" s="249" t="str">
        <f>HYPERLINK("https://scontent.cdninstagram.com/t51.2885-15/s320x320/e35/c0.120.997.997/20838498_458350737857090_1573863406677524480_n.jpg")</f>
        <v>https://scontent.cdninstagram.com/t51.2885-15/s320x320/e35/c0.120.997.997/20838498_458350737857090_1573863406677524480_n.jpg</v>
      </c>
      <c r="AE1460" s="249" t="str">
        <f>HYPERLINK("https://scontent.cdninstagram.com/t51.2885-19/s150x150/15624146_1648118035488957_1518102370259566592_a.jpg")</f>
        <v>https://scontent.cdninstagram.com/t51.2885-19/s150x150/15624146_1648118035488957_1518102370259566592_a.jpg</v>
      </c>
    </row>
    <row r="1461" spans="1:31" ht="15" x14ac:dyDescent="0.25">
      <c r="A1461" t="s">
        <v>2474</v>
      </c>
      <c r="B1461" t="s">
        <v>10454</v>
      </c>
      <c r="C1461" s="221">
        <v>42965.536145833335</v>
      </c>
      <c r="D1461" t="s">
        <v>10455</v>
      </c>
      <c r="E1461" s="249" t="str">
        <f>HYPERLINK("https://www.instagram.com/p/BX8UhSvg53a/")</f>
        <v>https://www.instagram.com/p/BX8UhSvg53a/</v>
      </c>
      <c r="F1461" t="s">
        <v>10456</v>
      </c>
      <c r="G1461" t="s">
        <v>2478</v>
      </c>
      <c r="H1461">
        <v>85</v>
      </c>
      <c r="I1461" t="s">
        <v>3575</v>
      </c>
      <c r="J1461">
        <v>2</v>
      </c>
      <c r="K1461">
        <v>24</v>
      </c>
      <c r="L1461">
        <v>26</v>
      </c>
      <c r="Q1461">
        <v>0</v>
      </c>
      <c r="R1461">
        <v>0</v>
      </c>
      <c r="S1461">
        <v>26</v>
      </c>
      <c r="T1461" t="s">
        <v>10457</v>
      </c>
      <c r="U1461" t="s">
        <v>138</v>
      </c>
      <c r="V1461" t="s">
        <v>2299</v>
      </c>
      <c r="W1461">
        <v>39.332099999999997</v>
      </c>
      <c r="X1461">
        <v>-84.407200000000003</v>
      </c>
      <c r="Y1461" t="s">
        <v>2497</v>
      </c>
      <c r="Z1461" t="s">
        <v>9991</v>
      </c>
      <c r="AA1461" t="s">
        <v>10458</v>
      </c>
      <c r="AB1461" t="s">
        <v>3262</v>
      </c>
      <c r="AC1461" t="s">
        <v>10459</v>
      </c>
      <c r="AD1461" s="249" t="str">
        <f>HYPERLINK("https://scontent.cdninstagram.com/t51.2885-15/s320x320/e35/c0.135.1080.1080/20905017_126544391313534_2885608957894721536_n.jpg")</f>
        <v>https://scontent.cdninstagram.com/t51.2885-15/s320x320/e35/c0.135.1080.1080/20905017_126544391313534_2885608957894721536_n.jpg</v>
      </c>
      <c r="AE1461" s="249" t="str">
        <f>HYPERLINK("https://scontent.cdninstagram.com/t51.2885-19/s150x150/20398846_492494114435048_3381000231096156160_a.jpg")</f>
        <v>https://scontent.cdninstagram.com/t51.2885-19/s150x150/20398846_492494114435048_3381000231096156160_a.jpg</v>
      </c>
    </row>
    <row r="1462" spans="1:31" ht="15" x14ac:dyDescent="0.25">
      <c r="A1462" t="s">
        <v>2474</v>
      </c>
      <c r="B1462" t="s">
        <v>10460</v>
      </c>
      <c r="C1462" s="221">
        <v>42965.536354166667</v>
      </c>
      <c r="D1462" t="s">
        <v>10461</v>
      </c>
      <c r="E1462" s="249" t="str">
        <f>HYPERLINK("https://www.instagram.com/p/BX8UjhXlZHJ/")</f>
        <v>https://www.instagram.com/p/BX8UjhXlZHJ/</v>
      </c>
      <c r="F1462" t="s">
        <v>10462</v>
      </c>
      <c r="G1462" t="s">
        <v>2478</v>
      </c>
      <c r="H1462">
        <v>17774</v>
      </c>
      <c r="I1462" t="s">
        <v>2542</v>
      </c>
      <c r="J1462">
        <v>24</v>
      </c>
      <c r="K1462">
        <v>1678</v>
      </c>
      <c r="L1462">
        <v>1702</v>
      </c>
      <c r="Q1462">
        <v>0</v>
      </c>
      <c r="R1462">
        <v>0</v>
      </c>
      <c r="S1462">
        <v>1702</v>
      </c>
      <c r="Y1462" t="s">
        <v>2497</v>
      </c>
      <c r="Z1462" t="s">
        <v>10463</v>
      </c>
      <c r="AA1462" t="s">
        <v>3446</v>
      </c>
      <c r="AB1462" t="s">
        <v>10464</v>
      </c>
      <c r="AC1462" t="s">
        <v>10465</v>
      </c>
      <c r="AD1462" s="249" t="str">
        <f>HYPERLINK("https://scontent.cdninstagram.com/t51.2885-15/s320x320/e35/c0.52.1080.1080/20901857_1656678964351019_7729002113979645952_n.jpg")</f>
        <v>https://scontent.cdninstagram.com/t51.2885-15/s320x320/e35/c0.52.1080.1080/20901857_1656678964351019_7729002113979645952_n.jpg</v>
      </c>
      <c r="AE1462" s="249" t="str">
        <f>HYPERLINK("https://scontent.cdninstagram.com/t51.2885-19/s150x150/20986888_168229357059782_5734013934113914880_a.jpg")</f>
        <v>https://scontent.cdninstagram.com/t51.2885-19/s150x150/20986888_168229357059782_5734013934113914880_a.jpg</v>
      </c>
    </row>
    <row r="1463" spans="1:31" ht="15" x14ac:dyDescent="0.25">
      <c r="A1463" t="s">
        <v>2474</v>
      </c>
      <c r="B1463" t="s">
        <v>3015</v>
      </c>
      <c r="C1463" s="221">
        <v>42965.536840277775</v>
      </c>
      <c r="D1463" t="s">
        <v>10466</v>
      </c>
      <c r="E1463" s="249" t="str">
        <f>HYPERLINK("https://www.instagram.com/p/BX8UopUAuzm/")</f>
        <v>https://www.instagram.com/p/BX8UopUAuzm/</v>
      </c>
      <c r="F1463" t="s">
        <v>10467</v>
      </c>
      <c r="G1463" t="s">
        <v>2488</v>
      </c>
      <c r="H1463">
        <v>184</v>
      </c>
      <c r="I1463" t="s">
        <v>2479</v>
      </c>
      <c r="J1463">
        <v>1</v>
      </c>
      <c r="K1463">
        <v>28</v>
      </c>
      <c r="L1463">
        <v>29</v>
      </c>
      <c r="Q1463">
        <v>0</v>
      </c>
      <c r="R1463">
        <v>0</v>
      </c>
      <c r="S1463">
        <v>29</v>
      </c>
      <c r="Y1463" t="s">
        <v>3571</v>
      </c>
      <c r="Z1463" t="s">
        <v>10032</v>
      </c>
      <c r="AA1463" t="s">
        <v>10468</v>
      </c>
      <c r="AB1463" t="s">
        <v>2497</v>
      </c>
      <c r="AC1463" t="s">
        <v>3493</v>
      </c>
      <c r="AD1463" s="249" t="str">
        <f>HYPERLINK("https://scontent.cdninstagram.com/t51.2885-15/s320x320/e35/20968803_116796588981562_2695129898506256384_n.jpg")</f>
        <v>https://scontent.cdninstagram.com/t51.2885-15/s320x320/e35/20968803_116796588981562_2695129898506256384_n.jpg</v>
      </c>
      <c r="AE1463" s="249" t="str">
        <f>HYPERLINK("https://scontent.cdninstagram.com/t51.2885-19/s150x150/19761452_1876060406050696_4275948751316582400_a.jpg")</f>
        <v>https://scontent.cdninstagram.com/t51.2885-19/s150x150/19761452_1876060406050696_4275948751316582400_a.jpg</v>
      </c>
    </row>
    <row r="1464" spans="1:31" ht="15" x14ac:dyDescent="0.25">
      <c r="A1464" t="s">
        <v>2474</v>
      </c>
      <c r="B1464" t="s">
        <v>10469</v>
      </c>
      <c r="C1464" s="221">
        <v>42965.538229166668</v>
      </c>
      <c r="D1464" t="s">
        <v>10470</v>
      </c>
      <c r="E1464" s="249" t="str">
        <f>HYPERLINK("https://www.instagram.com/p/BX8U3PqBG9S/")</f>
        <v>https://www.instagram.com/p/BX8U3PqBG9S/</v>
      </c>
      <c r="F1464" t="s">
        <v>10471</v>
      </c>
      <c r="G1464" t="s">
        <v>2631</v>
      </c>
      <c r="H1464">
        <v>534</v>
      </c>
      <c r="I1464" t="s">
        <v>2479</v>
      </c>
      <c r="J1464">
        <v>0</v>
      </c>
      <c r="K1464">
        <v>14</v>
      </c>
      <c r="L1464">
        <v>14</v>
      </c>
      <c r="Q1464">
        <v>0</v>
      </c>
      <c r="R1464">
        <v>0</v>
      </c>
      <c r="S1464">
        <v>14</v>
      </c>
      <c r="Y1464" t="s">
        <v>2497</v>
      </c>
      <c r="Z1464" t="s">
        <v>10472</v>
      </c>
      <c r="AA1464" t="s">
        <v>8449</v>
      </c>
      <c r="AB1464" t="s">
        <v>10473</v>
      </c>
      <c r="AC1464" t="s">
        <v>7772</v>
      </c>
      <c r="AD1464" s="249" t="str">
        <f>HYPERLINK("https://scontent.cdninstagram.com/t51.2885-15/s320x320/e15/20905405_463637867352060_1533472009512550400_n.jpg")</f>
        <v>https://scontent.cdninstagram.com/t51.2885-15/s320x320/e15/20905405_463637867352060_1533472009512550400_n.jpg</v>
      </c>
      <c r="AE1464" s="249" t="str">
        <f>HYPERLINK("https://scontent.cdninstagram.com/t51.2885-19/11906351_1539859146255926_624363525_a.jpg")</f>
        <v>https://scontent.cdninstagram.com/t51.2885-19/11906351_1539859146255926_624363525_a.jpg</v>
      </c>
    </row>
    <row r="1465" spans="1:31" ht="15" x14ac:dyDescent="0.25">
      <c r="A1465" t="s">
        <v>2474</v>
      </c>
      <c r="B1465" t="s">
        <v>6899</v>
      </c>
      <c r="C1465" s="221">
        <v>42965.541759259257</v>
      </c>
      <c r="D1465" t="s">
        <v>10474</v>
      </c>
      <c r="E1465" s="249" t="str">
        <f>HYPERLINK("https://www.instagram.com/p/BX8VceRgOic/")</f>
        <v>https://www.instagram.com/p/BX8VceRgOic/</v>
      </c>
      <c r="F1465" t="s">
        <v>10475</v>
      </c>
      <c r="G1465" t="s">
        <v>2478</v>
      </c>
      <c r="H1465">
        <v>34885</v>
      </c>
      <c r="I1465" t="s">
        <v>2479</v>
      </c>
      <c r="J1465">
        <v>7</v>
      </c>
      <c r="K1465">
        <v>797</v>
      </c>
      <c r="L1465">
        <v>804</v>
      </c>
      <c r="Q1465">
        <v>0</v>
      </c>
      <c r="R1465">
        <v>0</v>
      </c>
      <c r="S1465">
        <v>804</v>
      </c>
      <c r="AD1465" s="249" t="str">
        <f>HYPERLINK("https://scontent.cdninstagram.com/t51.2885-15/s320x320/e35/c0.64.861.861/20838855_1967476113529081_572983332032217088_n.jpg")</f>
        <v>https://scontent.cdninstagram.com/t51.2885-15/s320x320/e35/c0.64.861.861/20838855_1967476113529081_572983332032217088_n.jpg</v>
      </c>
      <c r="AE1465" s="249" t="str">
        <f>HYPERLINK("https://scontent.cdninstagram.com/t51.2885-19/s150x150/17493776_1474371442636277_6993911971573661696_n.jpg")</f>
        <v>https://scontent.cdninstagram.com/t51.2885-19/s150x150/17493776_1474371442636277_6993911971573661696_n.jpg</v>
      </c>
    </row>
    <row r="1466" spans="1:31" ht="15" x14ac:dyDescent="0.25">
      <c r="A1466" t="s">
        <v>2474</v>
      </c>
      <c r="B1466" t="s">
        <v>10476</v>
      </c>
      <c r="C1466" s="221">
        <v>42965.541805555556</v>
      </c>
      <c r="D1466" t="s">
        <v>10477</v>
      </c>
      <c r="E1466" s="249" t="str">
        <f>HYPERLINK("https://www.instagram.com/p/BX8VdCZAg9i/")</f>
        <v>https://www.instagram.com/p/BX8VdCZAg9i/</v>
      </c>
      <c r="F1466" t="s">
        <v>10478</v>
      </c>
      <c r="G1466" t="s">
        <v>2631</v>
      </c>
      <c r="H1466">
        <v>27896</v>
      </c>
      <c r="I1466" t="s">
        <v>2542</v>
      </c>
      <c r="J1466">
        <v>17</v>
      </c>
      <c r="K1466">
        <v>407</v>
      </c>
      <c r="L1466">
        <v>424</v>
      </c>
      <c r="Q1466">
        <v>0</v>
      </c>
      <c r="R1466">
        <v>0</v>
      </c>
      <c r="S1466">
        <v>424</v>
      </c>
      <c r="Y1466" t="s">
        <v>2497</v>
      </c>
      <c r="Z1466" t="s">
        <v>10479</v>
      </c>
      <c r="AA1466" t="s">
        <v>7848</v>
      </c>
      <c r="AB1466" t="s">
        <v>10480</v>
      </c>
      <c r="AC1466" t="s">
        <v>10481</v>
      </c>
      <c r="AD1466" s="249" t="str">
        <f>HYPERLINK("https://scontent.cdninstagram.com/t51.2885-15/s320x320/e15/c0.90.720.720/20969069_141175439812825_7718411025275420672_n.jpg")</f>
        <v>https://scontent.cdninstagram.com/t51.2885-15/s320x320/e15/c0.90.720.720/20969069_141175439812825_7718411025275420672_n.jpg</v>
      </c>
      <c r="AE1466" s="249" t="str">
        <f>HYPERLINK("https://scontent.cdninstagram.com/t51.2885-19/s150x150/21041638_167925230432305_7245742985223077888_a.jpg")</f>
        <v>https://scontent.cdninstagram.com/t51.2885-19/s150x150/21041638_167925230432305_7245742985223077888_a.jpg</v>
      </c>
    </row>
    <row r="1467" spans="1:31" ht="15" x14ac:dyDescent="0.25">
      <c r="A1467" t="s">
        <v>2474</v>
      </c>
      <c r="B1467" t="s">
        <v>7421</v>
      </c>
      <c r="C1467" s="221">
        <v>42965.544178240743</v>
      </c>
      <c r="D1467" t="s">
        <v>10482</v>
      </c>
      <c r="E1467" s="249" t="str">
        <f>HYPERLINK("https://www.instagram.com/p/BX8V190jAwh/")</f>
        <v>https://www.instagram.com/p/BX8V190jAwh/</v>
      </c>
      <c r="F1467" t="s">
        <v>10483</v>
      </c>
      <c r="G1467" t="s">
        <v>2478</v>
      </c>
      <c r="H1467">
        <v>509</v>
      </c>
      <c r="I1467" t="s">
        <v>4052</v>
      </c>
      <c r="J1467">
        <v>6</v>
      </c>
      <c r="K1467">
        <v>91</v>
      </c>
      <c r="L1467">
        <v>97</v>
      </c>
      <c r="Q1467">
        <v>0</v>
      </c>
      <c r="R1467">
        <v>0</v>
      </c>
      <c r="S1467">
        <v>97</v>
      </c>
      <c r="T1467" t="s">
        <v>10484</v>
      </c>
      <c r="V1467" t="s">
        <v>2270</v>
      </c>
      <c r="W1467">
        <v>59.638873253333003</v>
      </c>
      <c r="X1467">
        <v>16.524349413332999</v>
      </c>
      <c r="Y1467" t="s">
        <v>10485</v>
      </c>
      <c r="Z1467" t="s">
        <v>10486</v>
      </c>
      <c r="AD1467" s="249" t="str">
        <f>HYPERLINK("https://scontent.cdninstagram.com/t51.2885-15/s320x320/e35/c92.0.565.565/20902679_2019295841683058_5220036245773615104_n.jpg")</f>
        <v>https://scontent.cdninstagram.com/t51.2885-15/s320x320/e35/c92.0.565.565/20902679_2019295841683058_5220036245773615104_n.jpg</v>
      </c>
      <c r="AE1467" s="249" t="str">
        <f>HYPERLINK("https://scontent.cdninstagram.com/t51.2885-19/s150x150/20837557_1615850301760486_1163425645993132032_a.jpg")</f>
        <v>https://scontent.cdninstagram.com/t51.2885-19/s150x150/20837557_1615850301760486_1163425645993132032_a.jpg</v>
      </c>
    </row>
    <row r="1468" spans="1:31" ht="15" x14ac:dyDescent="0.25">
      <c r="A1468" t="s">
        <v>2474</v>
      </c>
      <c r="B1468" t="s">
        <v>10487</v>
      </c>
      <c r="C1468" s="221">
        <v>42965.547743055555</v>
      </c>
      <c r="D1468" t="s">
        <v>10488</v>
      </c>
      <c r="E1468" s="249" t="str">
        <f>HYPERLINK("https://www.instagram.com/p/BX8WbpMlBFz/")</f>
        <v>https://www.instagram.com/p/BX8WbpMlBFz/</v>
      </c>
      <c r="F1468" t="s">
        <v>10489</v>
      </c>
      <c r="G1468" t="s">
        <v>2478</v>
      </c>
      <c r="H1468">
        <v>1493</v>
      </c>
      <c r="I1468" t="s">
        <v>2479</v>
      </c>
      <c r="J1468">
        <v>1</v>
      </c>
      <c r="K1468">
        <v>42</v>
      </c>
      <c r="L1468">
        <v>43</v>
      </c>
      <c r="Q1468">
        <v>0</v>
      </c>
      <c r="R1468">
        <v>0</v>
      </c>
      <c r="S1468">
        <v>43</v>
      </c>
      <c r="Y1468" t="s">
        <v>2497</v>
      </c>
      <c r="Z1468" t="s">
        <v>2730</v>
      </c>
      <c r="AA1468" t="s">
        <v>3982</v>
      </c>
      <c r="AB1468" t="s">
        <v>10490</v>
      </c>
      <c r="AC1468" t="s">
        <v>10491</v>
      </c>
      <c r="AD1468" s="249" t="str">
        <f>HYPERLINK("https://scontent.cdninstagram.com/t51.2885-15/s320x320/e35/c0.59.480.480/20838539_728358730697767_5992444903748009984_n.jpg")</f>
        <v>https://scontent.cdninstagram.com/t51.2885-15/s320x320/e35/c0.59.480.480/20838539_728358730697767_5992444903748009984_n.jpg</v>
      </c>
      <c r="AE1468" s="249" t="str">
        <f>HYPERLINK("https://scontent.cdninstagram.com/t51.2885-19/s150x150/20969261_1718237701803167_6797710649947324416_a.jpg")</f>
        <v>https://scontent.cdninstagram.com/t51.2885-19/s150x150/20969261_1718237701803167_6797710649947324416_a.jpg</v>
      </c>
    </row>
    <row r="1469" spans="1:31" ht="15" x14ac:dyDescent="0.25">
      <c r="A1469" t="s">
        <v>2474</v>
      </c>
      <c r="B1469" t="s">
        <v>6188</v>
      </c>
      <c r="C1469" s="221">
        <v>42965.551030092596</v>
      </c>
      <c r="D1469" t="s">
        <v>10492</v>
      </c>
      <c r="E1469" s="249" t="str">
        <f>HYPERLINK("https://www.instagram.com/p/BX8W-RvApnN/")</f>
        <v>https://www.instagram.com/p/BX8W-RvApnN/</v>
      </c>
      <c r="F1469" t="s">
        <v>10493</v>
      </c>
      <c r="G1469" t="s">
        <v>2631</v>
      </c>
      <c r="H1469">
        <v>108</v>
      </c>
      <c r="I1469" t="s">
        <v>4062</v>
      </c>
      <c r="J1469">
        <v>0</v>
      </c>
      <c r="K1469">
        <v>9</v>
      </c>
      <c r="L1469">
        <v>9</v>
      </c>
      <c r="Q1469">
        <v>0</v>
      </c>
      <c r="R1469">
        <v>0</v>
      </c>
      <c r="S1469">
        <v>9</v>
      </c>
      <c r="Y1469" t="s">
        <v>2497</v>
      </c>
      <c r="Z1469" t="s">
        <v>10494</v>
      </c>
      <c r="AA1469" t="s">
        <v>2673</v>
      </c>
      <c r="AB1469" t="s">
        <v>10495</v>
      </c>
      <c r="AD1469" s="249" t="str">
        <f>HYPERLINK("https://scontent.cdninstagram.com/t51.2885-15/s320x320/e15/c0.90.720.720/20838150_1417704725010671_2992596709202198528_n.jpg")</f>
        <v>https://scontent.cdninstagram.com/t51.2885-15/s320x320/e15/c0.90.720.720/20838150_1417704725010671_2992596709202198528_n.jpg</v>
      </c>
      <c r="AE1469" s="249" t="str">
        <f>HYPERLINK("https://scontent.cdninstagram.com/t51.2885-19/s150x150/19122185_680672912120695_2842338214654509056_a.jpg")</f>
        <v>https://scontent.cdninstagram.com/t51.2885-19/s150x150/19122185_680672912120695_2842338214654509056_a.jpg</v>
      </c>
    </row>
    <row r="1470" spans="1:31" ht="15" x14ac:dyDescent="0.25">
      <c r="A1470" t="s">
        <v>2474</v>
      </c>
      <c r="B1470" t="s">
        <v>2596</v>
      </c>
      <c r="C1470" s="221">
        <v>42965.553055555552</v>
      </c>
      <c r="D1470" t="s">
        <v>10496</v>
      </c>
      <c r="E1470" s="249" t="str">
        <f>HYPERLINK("https://www.instagram.com/p/BX8XTrpD5Sj/")</f>
        <v>https://www.instagram.com/p/BX8XTrpD5Sj/</v>
      </c>
      <c r="F1470" t="s">
        <v>10497</v>
      </c>
      <c r="G1470" t="s">
        <v>2478</v>
      </c>
      <c r="H1470">
        <v>221</v>
      </c>
      <c r="I1470" t="s">
        <v>2542</v>
      </c>
      <c r="J1470">
        <v>1</v>
      </c>
      <c r="K1470">
        <v>12</v>
      </c>
      <c r="L1470">
        <v>13</v>
      </c>
      <c r="Q1470">
        <v>0</v>
      </c>
      <c r="R1470">
        <v>0</v>
      </c>
      <c r="S1470">
        <v>13</v>
      </c>
      <c r="Y1470" t="s">
        <v>2497</v>
      </c>
      <c r="Z1470" t="s">
        <v>10498</v>
      </c>
      <c r="AA1470" t="s">
        <v>4253</v>
      </c>
      <c r="AB1470" t="s">
        <v>9850</v>
      </c>
      <c r="AC1470" t="s">
        <v>10499</v>
      </c>
      <c r="AD1470" s="249" t="str">
        <f>HYPERLINK("https://scontent.cdninstagram.com/t51.2885-15/s320x320/e35/c257.0.566.566/20838128_344725539299717_1997574441667657728_n.jpg")</f>
        <v>https://scontent.cdninstagram.com/t51.2885-15/s320x320/e35/c257.0.566.566/20838128_344725539299717_1997574441667657728_n.jpg</v>
      </c>
      <c r="AE1470" s="249" t="str">
        <f>HYPERLINK("https://scontent.cdninstagram.com/t51.2885-19/s150x150/12930891_702859196483243_1075444634_a.jpg")</f>
        <v>https://scontent.cdninstagram.com/t51.2885-19/s150x150/12930891_702859196483243_1075444634_a.jpg</v>
      </c>
    </row>
    <row r="1471" spans="1:31" ht="15" x14ac:dyDescent="0.25">
      <c r="A1471" t="s">
        <v>2474</v>
      </c>
      <c r="B1471" t="s">
        <v>10500</v>
      </c>
      <c r="C1471" s="221">
        <v>42965.564756944441</v>
      </c>
      <c r="D1471" t="s">
        <v>10501</v>
      </c>
      <c r="E1471" s="249" t="str">
        <f>HYPERLINK("https://www.instagram.com/p/BX8ZPGvFBye/")</f>
        <v>https://www.instagram.com/p/BX8ZPGvFBye/</v>
      </c>
      <c r="F1471" t="s">
        <v>10502</v>
      </c>
      <c r="G1471" t="s">
        <v>2478</v>
      </c>
      <c r="H1471">
        <v>217</v>
      </c>
      <c r="I1471" t="s">
        <v>2479</v>
      </c>
      <c r="J1471">
        <v>11</v>
      </c>
      <c r="K1471">
        <v>118</v>
      </c>
      <c r="L1471">
        <v>129</v>
      </c>
      <c r="Q1471">
        <v>0</v>
      </c>
      <c r="R1471">
        <v>0</v>
      </c>
      <c r="S1471">
        <v>129</v>
      </c>
      <c r="Y1471" t="s">
        <v>2497</v>
      </c>
      <c r="AD1471" s="249" t="str">
        <f>HYPERLINK("https://scontent.cdninstagram.com/t51.2885-15/s320x320/e35/c0.135.1080.1080/20838810_703581293166238_8119578081871527936_n.jpg")</f>
        <v>https://scontent.cdninstagram.com/t51.2885-15/s320x320/e35/c0.135.1080.1080/20838810_703581293166238_8119578081871527936_n.jpg</v>
      </c>
      <c r="AE1471" s="249" t="str">
        <f>HYPERLINK("https://scontent.cdninstagram.com/t51.2885-19/s150x150/18645964_131681887387257_8684946046045913088_a.jpg")</f>
        <v>https://scontent.cdninstagram.com/t51.2885-19/s150x150/18645964_131681887387257_8684946046045913088_a.jpg</v>
      </c>
    </row>
    <row r="1472" spans="1:31" ht="15" x14ac:dyDescent="0.25">
      <c r="A1472" t="s">
        <v>2474</v>
      </c>
      <c r="B1472" t="s">
        <v>3993</v>
      </c>
      <c r="C1472" s="221">
        <v>42965.566354166665</v>
      </c>
      <c r="D1472" t="s">
        <v>10503</v>
      </c>
      <c r="E1472" s="249" t="str">
        <f>HYPERLINK("https://www.instagram.com/p/BX8Zf6cg-Eg/")</f>
        <v>https://www.instagram.com/p/BX8Zf6cg-Eg/</v>
      </c>
      <c r="F1472" t="s">
        <v>10504</v>
      </c>
      <c r="G1472" t="s">
        <v>2478</v>
      </c>
      <c r="H1472">
        <v>4986</v>
      </c>
      <c r="I1472" t="s">
        <v>2479</v>
      </c>
      <c r="J1472">
        <v>1</v>
      </c>
      <c r="K1472">
        <v>519</v>
      </c>
      <c r="L1472">
        <v>520</v>
      </c>
      <c r="Q1472">
        <v>0</v>
      </c>
      <c r="R1472">
        <v>0</v>
      </c>
      <c r="S1472">
        <v>520</v>
      </c>
      <c r="Y1472" t="s">
        <v>9403</v>
      </c>
      <c r="Z1472" t="s">
        <v>4350</v>
      </c>
      <c r="AA1472" t="s">
        <v>3996</v>
      </c>
      <c r="AB1472" t="s">
        <v>8400</v>
      </c>
      <c r="AC1472" t="s">
        <v>7942</v>
      </c>
      <c r="AD1472" s="249" t="str">
        <f>HYPERLINK("https://scontent.cdninstagram.com/t51.2885-15/s320x320/e35/20902722_1918174471754184_3321862929476747264_n.jpg")</f>
        <v>https://scontent.cdninstagram.com/t51.2885-15/s320x320/e35/20902722_1918174471754184_3321862929476747264_n.jpg</v>
      </c>
      <c r="AE1472" s="249" t="str">
        <f>HYPERLINK("https://scontent.cdninstagram.com/t51.2885-19/s150x150/20590168_732024603636467_1659654334738071552_a.jpg")</f>
        <v>https://scontent.cdninstagram.com/t51.2885-19/s150x150/20590168_732024603636467_1659654334738071552_a.jpg</v>
      </c>
    </row>
    <row r="1473" spans="1:31" ht="15" x14ac:dyDescent="0.25">
      <c r="A1473" t="s">
        <v>2474</v>
      </c>
      <c r="B1473" t="s">
        <v>10505</v>
      </c>
      <c r="C1473" s="221">
        <v>42965.581875000003</v>
      </c>
      <c r="D1473" t="s">
        <v>10506</v>
      </c>
      <c r="E1473" s="249" t="str">
        <f>HYPERLINK("https://www.instagram.com/p/BX8cDjcjsPB/")</f>
        <v>https://www.instagram.com/p/BX8cDjcjsPB/</v>
      </c>
      <c r="F1473" t="s">
        <v>10507</v>
      </c>
      <c r="G1473" t="s">
        <v>2478</v>
      </c>
      <c r="H1473">
        <v>451</v>
      </c>
      <c r="I1473" t="s">
        <v>2479</v>
      </c>
      <c r="J1473">
        <v>2</v>
      </c>
      <c r="K1473">
        <v>36</v>
      </c>
      <c r="L1473">
        <v>38</v>
      </c>
      <c r="Q1473">
        <v>0</v>
      </c>
      <c r="R1473">
        <v>0</v>
      </c>
      <c r="S1473">
        <v>38</v>
      </c>
      <c r="T1473" t="s">
        <v>10508</v>
      </c>
      <c r="V1473" t="s">
        <v>2264</v>
      </c>
      <c r="W1473">
        <v>43.316699999999997</v>
      </c>
      <c r="X1473">
        <v>-1.98333</v>
      </c>
      <c r="Y1473" t="s">
        <v>10509</v>
      </c>
      <c r="Z1473" t="s">
        <v>3549</v>
      </c>
      <c r="AA1473" t="s">
        <v>2820</v>
      </c>
      <c r="AB1473" t="s">
        <v>9243</v>
      </c>
      <c r="AC1473" t="s">
        <v>2734</v>
      </c>
      <c r="AD1473" s="249" t="str">
        <f>HYPERLINK("https://scontent.cdninstagram.com/t51.2885-15/s320x320/e35/c0.135.1080.1080/20904871_103677750363088_4318980075899846656_n.jpg")</f>
        <v>https://scontent.cdninstagram.com/t51.2885-15/s320x320/e35/c0.135.1080.1080/20904871_103677750363088_4318980075899846656_n.jpg</v>
      </c>
      <c r="AE1473" s="249" t="str">
        <f>HYPERLINK("https://scontent.cdninstagram.com/t51.2885-19/s150x150/19429422_785095418334391_178706657109344256_a.jpg")</f>
        <v>https://scontent.cdninstagram.com/t51.2885-19/s150x150/19429422_785095418334391_178706657109344256_a.jpg</v>
      </c>
    </row>
    <row r="1474" spans="1:31" ht="15" x14ac:dyDescent="0.25">
      <c r="A1474" t="s">
        <v>2474</v>
      </c>
      <c r="B1474" t="s">
        <v>10510</v>
      </c>
      <c r="C1474" s="221">
        <v>42965.587835648148</v>
      </c>
      <c r="D1474" t="s">
        <v>10511</v>
      </c>
      <c r="E1474" s="249" t="str">
        <f>HYPERLINK("https://www.instagram.com/p/BX8dCfVn8_i/")</f>
        <v>https://www.instagram.com/p/BX8dCfVn8_i/</v>
      </c>
      <c r="F1474" t="s">
        <v>10512</v>
      </c>
      <c r="G1474" t="s">
        <v>2631</v>
      </c>
      <c r="H1474">
        <v>257</v>
      </c>
      <c r="I1474" t="s">
        <v>2479</v>
      </c>
      <c r="J1474">
        <v>0</v>
      </c>
      <c r="K1474">
        <v>6</v>
      </c>
      <c r="L1474">
        <v>6</v>
      </c>
      <c r="Q1474">
        <v>0</v>
      </c>
      <c r="R1474">
        <v>0</v>
      </c>
      <c r="S1474">
        <v>6</v>
      </c>
      <c r="T1474" t="s">
        <v>10513</v>
      </c>
      <c r="V1474" t="s">
        <v>2176</v>
      </c>
      <c r="W1474">
        <v>28.64602</v>
      </c>
      <c r="X1474">
        <v>77.178979999999996</v>
      </c>
      <c r="Y1474" t="s">
        <v>10514</v>
      </c>
      <c r="Z1474" t="s">
        <v>10515</v>
      </c>
      <c r="AA1474" t="s">
        <v>10516</v>
      </c>
      <c r="AB1474" t="s">
        <v>4354</v>
      </c>
      <c r="AC1474" t="s">
        <v>5554</v>
      </c>
      <c r="AD1474" s="249" t="str">
        <f>HYPERLINK("https://scontent.cdninstagram.com/t51.2885-15/s320x320/e15/20838302_159849607899388_8668627768776327168_n.jpg")</f>
        <v>https://scontent.cdninstagram.com/t51.2885-15/s320x320/e15/20838302_159849607899388_8668627768776327168_n.jpg</v>
      </c>
      <c r="AE1474" s="249" t="str">
        <f>HYPERLINK("https://scontent.cdninstagram.com/t51.2885-19/s150x150/20686853_260022474495573_635141438769725440_a.jpg")</f>
        <v>https://scontent.cdninstagram.com/t51.2885-19/s150x150/20686853_260022474495573_635141438769725440_a.jpg</v>
      </c>
    </row>
    <row r="1475" spans="1:31" ht="15" x14ac:dyDescent="0.25">
      <c r="A1475" t="s">
        <v>2474</v>
      </c>
      <c r="B1475" t="s">
        <v>2644</v>
      </c>
      <c r="C1475" s="221">
        <v>42965.590208333335</v>
      </c>
      <c r="D1475" t="s">
        <v>10517</v>
      </c>
      <c r="E1475" s="249" t="str">
        <f>HYPERLINK("https://www.instagram.com/p/BX8dbdSAOVK/")</f>
        <v>https://www.instagram.com/p/BX8dbdSAOVK/</v>
      </c>
      <c r="F1475" t="s">
        <v>10518</v>
      </c>
      <c r="G1475" t="s">
        <v>2478</v>
      </c>
      <c r="H1475">
        <v>1754</v>
      </c>
      <c r="I1475" t="s">
        <v>2479</v>
      </c>
      <c r="J1475">
        <v>0</v>
      </c>
      <c r="K1475">
        <v>65</v>
      </c>
      <c r="L1475">
        <v>65</v>
      </c>
      <c r="Q1475">
        <v>0</v>
      </c>
      <c r="R1475">
        <v>0</v>
      </c>
      <c r="S1475">
        <v>65</v>
      </c>
      <c r="T1475" t="s">
        <v>10428</v>
      </c>
      <c r="V1475" t="s">
        <v>2648</v>
      </c>
      <c r="W1475">
        <v>54.782719999999998</v>
      </c>
      <c r="X1475">
        <v>32.046300000000002</v>
      </c>
      <c r="Y1475" t="s">
        <v>2529</v>
      </c>
      <c r="Z1475" t="s">
        <v>3343</v>
      </c>
      <c r="AA1475" t="s">
        <v>2651</v>
      </c>
      <c r="AB1475" t="s">
        <v>3635</v>
      </c>
      <c r="AC1475" t="s">
        <v>5902</v>
      </c>
      <c r="AD1475" s="249" t="str">
        <f>HYPERLINK("https://scontent.cdninstagram.com/t51.2885-15/s320x320/e35/20838181_1594156093938148_166990415822585856_n.jpg")</f>
        <v>https://scontent.cdninstagram.com/t51.2885-15/s320x320/e35/20838181_1594156093938148_166990415822585856_n.jpg</v>
      </c>
      <c r="AE1475" s="249" t="str">
        <f>HYPERLINK("https://scontent.cdninstagram.com/t51.2885-19/11372086_1598451257062069_1320225693_a.jpg")</f>
        <v>https://scontent.cdninstagram.com/t51.2885-19/11372086_1598451257062069_1320225693_a.jpg</v>
      </c>
    </row>
    <row r="1476" spans="1:31" ht="15" x14ac:dyDescent="0.25">
      <c r="A1476" t="s">
        <v>2474</v>
      </c>
      <c r="B1476" t="s">
        <v>3393</v>
      </c>
      <c r="C1476" s="221">
        <v>42965.594560185185</v>
      </c>
      <c r="D1476" t="s">
        <v>10519</v>
      </c>
      <c r="E1476" s="249" t="str">
        <f>HYPERLINK("https://www.instagram.com/p/BX8eJY0nhil/")</f>
        <v>https://www.instagram.com/p/BX8eJY0nhil/</v>
      </c>
      <c r="F1476" t="s">
        <v>10520</v>
      </c>
      <c r="G1476" t="s">
        <v>2478</v>
      </c>
      <c r="H1476">
        <v>16653</v>
      </c>
      <c r="I1476" t="s">
        <v>2479</v>
      </c>
      <c r="J1476">
        <v>5</v>
      </c>
      <c r="K1476">
        <v>530</v>
      </c>
      <c r="L1476">
        <v>535</v>
      </c>
      <c r="Q1476">
        <v>0</v>
      </c>
      <c r="R1476">
        <v>0</v>
      </c>
      <c r="S1476">
        <v>535</v>
      </c>
      <c r="AD1476" s="249" t="str">
        <f>HYPERLINK("https://scontent.cdninstagram.com/t51.2885-15/s320x320/e35/20986744_167653400465232_1274186740818509824_n.jpg")</f>
        <v>https://scontent.cdninstagram.com/t51.2885-15/s320x320/e35/20986744_167653400465232_1274186740818509824_n.jpg</v>
      </c>
      <c r="AE1476" s="249" t="str">
        <f>HYPERLINK("https://scontent.cdninstagram.com/t51.2885-19/s150x150/20969318_163506604224066_8451668608215416832_n.jpg")</f>
        <v>https://scontent.cdninstagram.com/t51.2885-19/s150x150/20969318_163506604224066_8451668608215416832_n.jpg</v>
      </c>
    </row>
    <row r="1477" spans="1:31" ht="15" x14ac:dyDescent="0.25">
      <c r="A1477" t="s">
        <v>2474</v>
      </c>
      <c r="B1477" t="s">
        <v>10521</v>
      </c>
      <c r="C1477" s="221">
        <v>42965.598958333336</v>
      </c>
      <c r="D1477" t="s">
        <v>10522</v>
      </c>
      <c r="E1477" s="249" t="str">
        <f>HYPERLINK("https://www.instagram.com/p/BX8e3w0D3Z7/")</f>
        <v>https://www.instagram.com/p/BX8e3w0D3Z7/</v>
      </c>
      <c r="F1477" t="s">
        <v>10523</v>
      </c>
      <c r="G1477" t="s">
        <v>2478</v>
      </c>
      <c r="H1477">
        <v>297</v>
      </c>
      <c r="I1477" t="s">
        <v>2927</v>
      </c>
      <c r="J1477">
        <v>0</v>
      </c>
      <c r="K1477">
        <v>13</v>
      </c>
      <c r="L1477">
        <v>13</v>
      </c>
      <c r="Q1477">
        <v>0</v>
      </c>
      <c r="R1477">
        <v>0</v>
      </c>
      <c r="S1477">
        <v>13</v>
      </c>
      <c r="Y1477" t="s">
        <v>4180</v>
      </c>
      <c r="Z1477" t="s">
        <v>10524</v>
      </c>
      <c r="AA1477" t="s">
        <v>10525</v>
      </c>
      <c r="AB1477" t="s">
        <v>10526</v>
      </c>
      <c r="AC1477" t="s">
        <v>10527</v>
      </c>
      <c r="AD1477" s="249" t="str">
        <f>HYPERLINK("https://scontent.cdninstagram.com/t51.2885-15/s320x320/e35/c0.0.1079.1079/20838842_1722232154748104_2778774193322328064_n.jpg")</f>
        <v>https://scontent.cdninstagram.com/t51.2885-15/s320x320/e35/c0.0.1079.1079/20838842_1722232154748104_2778774193322328064_n.jpg</v>
      </c>
      <c r="AE1477" s="249" t="str">
        <f>HYPERLINK("https://scontent.cdninstagram.com/t51.2885-19/s150x150/16124364_1518761978148856_8018118228351909888_a.jpg")</f>
        <v>https://scontent.cdninstagram.com/t51.2885-19/s150x150/16124364_1518761978148856_8018118228351909888_a.jpg</v>
      </c>
    </row>
    <row r="1478" spans="1:31" ht="15" x14ac:dyDescent="0.25">
      <c r="A1478" t="s">
        <v>2474</v>
      </c>
      <c r="B1478" t="s">
        <v>10528</v>
      </c>
      <c r="C1478" s="221">
        <v>42965.599641203706</v>
      </c>
      <c r="D1478" t="s">
        <v>10529</v>
      </c>
      <c r="E1478" s="249" t="str">
        <f>HYPERLINK("https://www.instagram.com/p/BX8e-_qgQKl/")</f>
        <v>https://www.instagram.com/p/BX8e-_qgQKl/</v>
      </c>
      <c r="F1478" t="s">
        <v>10530</v>
      </c>
      <c r="G1478" t="s">
        <v>2478</v>
      </c>
      <c r="H1478">
        <v>470</v>
      </c>
      <c r="I1478" t="s">
        <v>2479</v>
      </c>
      <c r="J1478">
        <v>2</v>
      </c>
      <c r="K1478">
        <v>44</v>
      </c>
      <c r="L1478">
        <v>46</v>
      </c>
      <c r="Q1478">
        <v>0</v>
      </c>
      <c r="R1478">
        <v>0</v>
      </c>
      <c r="S1478">
        <v>46</v>
      </c>
      <c r="Y1478" t="s">
        <v>10531</v>
      </c>
      <c r="Z1478" t="s">
        <v>7136</v>
      </c>
      <c r="AA1478" t="s">
        <v>2497</v>
      </c>
      <c r="AB1478" t="s">
        <v>7225</v>
      </c>
      <c r="AC1478" t="s">
        <v>10532</v>
      </c>
      <c r="AD1478" s="249" t="str">
        <f>HYPERLINK("https://scontent.cdninstagram.com/t51.2885-15/s320x320/e35/c0.113.902.902/20969153_111642792854039_8364253177494634496_n.jpg")</f>
        <v>https://scontent.cdninstagram.com/t51.2885-15/s320x320/e35/c0.113.902.902/20969153_111642792854039_8364253177494634496_n.jpg</v>
      </c>
      <c r="AE1478" s="249" t="str">
        <f>HYPERLINK("https://scontent.cdninstagram.com/t51.2885-19/s150x150/18513192_1519605938052366_407805100350767104_a.jpg")</f>
        <v>https://scontent.cdninstagram.com/t51.2885-19/s150x150/18513192_1519605938052366_407805100350767104_a.jpg</v>
      </c>
    </row>
    <row r="1479" spans="1:31" ht="15" x14ac:dyDescent="0.25">
      <c r="A1479" t="s">
        <v>2474</v>
      </c>
      <c r="B1479" t="s">
        <v>10533</v>
      </c>
      <c r="C1479" s="221">
        <v>42965.601238425923</v>
      </c>
      <c r="D1479" t="s">
        <v>10534</v>
      </c>
      <c r="E1479" s="249" t="str">
        <f>HYPERLINK("https://www.instagram.com/p/BX8fP1aBZ6D/")</f>
        <v>https://www.instagram.com/p/BX8fP1aBZ6D/</v>
      </c>
      <c r="F1479" t="s">
        <v>10535</v>
      </c>
      <c r="G1479" t="s">
        <v>2478</v>
      </c>
      <c r="H1479">
        <v>242</v>
      </c>
      <c r="I1479" t="s">
        <v>2479</v>
      </c>
      <c r="J1479">
        <v>1</v>
      </c>
      <c r="K1479">
        <v>50</v>
      </c>
      <c r="L1479">
        <v>51</v>
      </c>
      <c r="Q1479">
        <v>0</v>
      </c>
      <c r="R1479">
        <v>0</v>
      </c>
      <c r="S1479">
        <v>51</v>
      </c>
      <c r="Y1479" t="s">
        <v>10536</v>
      </c>
      <c r="Z1479" t="s">
        <v>10537</v>
      </c>
      <c r="AA1479" t="s">
        <v>10538</v>
      </c>
      <c r="AB1479" t="s">
        <v>2497</v>
      </c>
      <c r="AD1479" s="249" t="str">
        <f>HYPERLINK("https://scontent.cdninstagram.com/t51.2885-15/s320x320/e35/20838848_327186934396948_9090177756611739648_n.jpg")</f>
        <v>https://scontent.cdninstagram.com/t51.2885-15/s320x320/e35/20838848_327186934396948_9090177756611739648_n.jpg</v>
      </c>
      <c r="AE1479" s="249" t="str">
        <f>HYPERLINK("https://scontent.cdninstagram.com/t51.2885-19/s150x150/13743398_812252962236933_1046641289_a.jpg")</f>
        <v>https://scontent.cdninstagram.com/t51.2885-19/s150x150/13743398_812252962236933_1046641289_a.jpg</v>
      </c>
    </row>
    <row r="1480" spans="1:31" ht="15" x14ac:dyDescent="0.25">
      <c r="A1480" t="s">
        <v>2474</v>
      </c>
      <c r="B1480" t="s">
        <v>10539</v>
      </c>
      <c r="C1480" s="221">
        <v>42965.603634259256</v>
      </c>
      <c r="D1480" t="s">
        <v>10540</v>
      </c>
      <c r="E1480" s="249" t="str">
        <f>HYPERLINK("https://www.instagram.com/p/BX8fpHnlzHY/")</f>
        <v>https://www.instagram.com/p/BX8fpHnlzHY/</v>
      </c>
      <c r="F1480" t="s">
        <v>10541</v>
      </c>
      <c r="G1480" t="s">
        <v>2478</v>
      </c>
      <c r="H1480">
        <v>233</v>
      </c>
      <c r="I1480" t="s">
        <v>2479</v>
      </c>
      <c r="J1480">
        <v>1</v>
      </c>
      <c r="K1480">
        <v>26</v>
      </c>
      <c r="L1480">
        <v>27</v>
      </c>
      <c r="Q1480">
        <v>0</v>
      </c>
      <c r="R1480">
        <v>0</v>
      </c>
      <c r="S1480">
        <v>27</v>
      </c>
      <c r="Y1480" t="s">
        <v>2861</v>
      </c>
      <c r="Z1480" t="s">
        <v>2492</v>
      </c>
      <c r="AA1480" t="s">
        <v>10542</v>
      </c>
      <c r="AB1480" t="s">
        <v>2899</v>
      </c>
      <c r="AC1480" t="s">
        <v>4779</v>
      </c>
      <c r="AD1480" s="249" t="str">
        <f>HYPERLINK("https://scontent.cdninstagram.com/t51.2885-15/s320x320/e35/c135.0.810.810/20902213_263400120842486_5799280549201707008_n.jpg")</f>
        <v>https://scontent.cdninstagram.com/t51.2885-15/s320x320/e35/c135.0.810.810/20902213_263400120842486_5799280549201707008_n.jpg</v>
      </c>
      <c r="AE1480" s="249" t="str">
        <f>HYPERLINK("https://scontent.cdninstagram.com/t51.2885-19/s150x150/12338970_780018338776920_1426046864_a.jpg")</f>
        <v>https://scontent.cdninstagram.com/t51.2885-19/s150x150/12338970_780018338776920_1426046864_a.jpg</v>
      </c>
    </row>
    <row r="1481" spans="1:31" ht="15" x14ac:dyDescent="0.25">
      <c r="A1481" t="s">
        <v>2474</v>
      </c>
      <c r="B1481" t="s">
        <v>10543</v>
      </c>
      <c r="C1481" s="221">
        <v>42965.606203703705</v>
      </c>
      <c r="D1481" t="s">
        <v>10544</v>
      </c>
      <c r="E1481" s="249" t="str">
        <f>HYPERLINK("https://www.instagram.com/p/BX8gEPPlSpb/")</f>
        <v>https://www.instagram.com/p/BX8gEPPlSpb/</v>
      </c>
      <c r="F1481" t="s">
        <v>10545</v>
      </c>
      <c r="G1481" t="s">
        <v>2478</v>
      </c>
      <c r="H1481">
        <v>654</v>
      </c>
      <c r="I1481" t="s">
        <v>2599</v>
      </c>
      <c r="J1481">
        <v>1</v>
      </c>
      <c r="K1481">
        <v>88</v>
      </c>
      <c r="L1481">
        <v>89</v>
      </c>
      <c r="Q1481">
        <v>0</v>
      </c>
      <c r="R1481">
        <v>0</v>
      </c>
      <c r="S1481">
        <v>89</v>
      </c>
      <c r="Y1481" t="s">
        <v>10546</v>
      </c>
      <c r="Z1481" t="s">
        <v>9941</v>
      </c>
      <c r="AA1481" t="s">
        <v>2529</v>
      </c>
      <c r="AB1481" t="s">
        <v>2497</v>
      </c>
      <c r="AC1481" t="s">
        <v>10547</v>
      </c>
      <c r="AD1481" s="249" t="str">
        <f>HYPERLINK("https://scontent.cdninstagram.com/t51.2885-15/s320x320/e35/c0.135.1080.1080/20838692_1926222324314283_5542567987392806912_n.jpg")</f>
        <v>https://scontent.cdninstagram.com/t51.2885-15/s320x320/e35/c0.135.1080.1080/20838692_1926222324314283_5542567987392806912_n.jpg</v>
      </c>
      <c r="AE1481" s="249" t="str">
        <f>HYPERLINK("https://scontent.cdninstagram.com/t51.2885-19/s150x150/20837074_910792379076575_2383585610943168512_a.jpg")</f>
        <v>https://scontent.cdninstagram.com/t51.2885-19/s150x150/20837074_910792379076575_2383585610943168512_a.jpg</v>
      </c>
    </row>
    <row r="1482" spans="1:31" ht="15" x14ac:dyDescent="0.25">
      <c r="A1482" t="s">
        <v>2474</v>
      </c>
      <c r="B1482" t="s">
        <v>5225</v>
      </c>
      <c r="C1482" s="221">
        <v>42965.607858796298</v>
      </c>
      <c r="D1482" t="s">
        <v>10548</v>
      </c>
      <c r="E1482" s="249" t="str">
        <f>HYPERLINK("https://www.instagram.com/p/BX8gVnyAvyB/")</f>
        <v>https://www.instagram.com/p/BX8gVnyAvyB/</v>
      </c>
      <c r="F1482" t="s">
        <v>10549</v>
      </c>
      <c r="G1482" t="s">
        <v>2478</v>
      </c>
      <c r="H1482">
        <v>51</v>
      </c>
      <c r="I1482" t="s">
        <v>2479</v>
      </c>
      <c r="J1482">
        <v>0</v>
      </c>
      <c r="K1482">
        <v>19</v>
      </c>
      <c r="L1482">
        <v>19</v>
      </c>
      <c r="Q1482">
        <v>0</v>
      </c>
      <c r="R1482">
        <v>0</v>
      </c>
      <c r="S1482">
        <v>19</v>
      </c>
      <c r="T1482" t="s">
        <v>5228</v>
      </c>
      <c r="V1482" t="s">
        <v>2154</v>
      </c>
      <c r="W1482">
        <v>47.498634698221998</v>
      </c>
      <c r="X1482">
        <v>-0.50784128552246999</v>
      </c>
      <c r="Y1482" t="s">
        <v>2861</v>
      </c>
      <c r="Z1482" t="s">
        <v>5231</v>
      </c>
      <c r="AA1482" t="s">
        <v>4779</v>
      </c>
      <c r="AB1482" t="s">
        <v>5232</v>
      </c>
      <c r="AC1482" t="s">
        <v>2513</v>
      </c>
      <c r="AD1482" s="249" t="str">
        <f>HYPERLINK("https://scontent.cdninstagram.com/t51.2885-15/s320x320/e35/20902720_111769016193807_7766660211137314816_n.jpg")</f>
        <v>https://scontent.cdninstagram.com/t51.2885-15/s320x320/e35/20902720_111769016193807_7766660211137314816_n.jpg</v>
      </c>
      <c r="AE1482" s="249" t="str">
        <f>HYPERLINK("https://scontent.cdninstagram.com/t51.2885-19/s150x150/18949503_1122155304550657_4049188449616396288_a.jpg")</f>
        <v>https://scontent.cdninstagram.com/t51.2885-19/s150x150/18949503_1122155304550657_4049188449616396288_a.jpg</v>
      </c>
    </row>
    <row r="1483" spans="1:31" ht="15" x14ac:dyDescent="0.25">
      <c r="A1483" t="s">
        <v>2474</v>
      </c>
      <c r="B1483" t="s">
        <v>10550</v>
      </c>
      <c r="C1483" s="221">
        <v>42965.6093287037</v>
      </c>
      <c r="D1483" t="s">
        <v>10551</v>
      </c>
      <c r="E1483" s="249" t="str">
        <f>HYPERLINK("https://www.instagram.com/p/BX8glKAHq5M/")</f>
        <v>https://www.instagram.com/p/BX8glKAHq5M/</v>
      </c>
      <c r="F1483" t="s">
        <v>10552</v>
      </c>
      <c r="G1483" t="s">
        <v>2478</v>
      </c>
      <c r="H1483">
        <v>706</v>
      </c>
      <c r="I1483" t="s">
        <v>3575</v>
      </c>
      <c r="J1483">
        <v>3</v>
      </c>
      <c r="K1483">
        <v>59</v>
      </c>
      <c r="L1483">
        <v>62</v>
      </c>
      <c r="Q1483">
        <v>0</v>
      </c>
      <c r="R1483">
        <v>0</v>
      </c>
      <c r="S1483">
        <v>62</v>
      </c>
      <c r="Y1483" t="s">
        <v>9926</v>
      </c>
      <c r="Z1483" t="s">
        <v>10553</v>
      </c>
      <c r="AA1483" t="s">
        <v>2696</v>
      </c>
      <c r="AB1483" t="s">
        <v>7773</v>
      </c>
      <c r="AC1483" t="s">
        <v>2734</v>
      </c>
      <c r="AD1483" s="249" t="str">
        <f>HYPERLINK("https://scontent.cdninstagram.com/t51.2885-15/s320x320/e35/20838835_2013743002193066_4171236941833961472_n.jpg")</f>
        <v>https://scontent.cdninstagram.com/t51.2885-15/s320x320/e35/20838835_2013743002193066_4171236941833961472_n.jpg</v>
      </c>
      <c r="AE1483" s="249" t="str">
        <f>HYPERLINK("https://scontent.cdninstagram.com/t51.2885-19/s150x150/20065626_297028374093396_9008886004362248192_a.jpg")</f>
        <v>https://scontent.cdninstagram.com/t51.2885-19/s150x150/20065626_297028374093396_9008886004362248192_a.jpg</v>
      </c>
    </row>
    <row r="1484" spans="1:31" ht="15" x14ac:dyDescent="0.25">
      <c r="A1484" t="s">
        <v>2474</v>
      </c>
      <c r="B1484" t="s">
        <v>10554</v>
      </c>
      <c r="C1484" s="221">
        <v>42965.611585648148</v>
      </c>
      <c r="D1484" t="s">
        <v>10555</v>
      </c>
      <c r="E1484" s="249" t="str">
        <f>HYPERLINK("https://www.instagram.com/p/BX8g8__l3Xc/")</f>
        <v>https://www.instagram.com/p/BX8g8__l3Xc/</v>
      </c>
      <c r="F1484" t="s">
        <v>10556</v>
      </c>
      <c r="G1484" t="s">
        <v>2478</v>
      </c>
      <c r="H1484">
        <v>149</v>
      </c>
      <c r="I1484" t="s">
        <v>2479</v>
      </c>
      <c r="J1484">
        <v>0</v>
      </c>
      <c r="K1484">
        <v>35</v>
      </c>
      <c r="L1484">
        <v>35</v>
      </c>
      <c r="Q1484">
        <v>0</v>
      </c>
      <c r="R1484">
        <v>0</v>
      </c>
      <c r="S1484">
        <v>35</v>
      </c>
      <c r="Y1484" t="s">
        <v>10421</v>
      </c>
      <c r="Z1484" t="s">
        <v>2601</v>
      </c>
      <c r="AA1484" t="s">
        <v>2529</v>
      </c>
      <c r="AB1484" t="s">
        <v>2513</v>
      </c>
      <c r="AC1484" t="s">
        <v>10557</v>
      </c>
      <c r="AD1484" s="249" t="str">
        <f>HYPERLINK("https://scontent.cdninstagram.com/t51.2885-15/s320x320/e35/20986805_113117112747109_2601242063739551744_n.jpg")</f>
        <v>https://scontent.cdninstagram.com/t51.2885-15/s320x320/e35/20986805_113117112747109_2601242063739551744_n.jpg</v>
      </c>
      <c r="AE1484" s="249" t="str">
        <f>HYPERLINK("https://scontent.cdninstagram.com/t51.2885-19/s150x150/18948145_237408563428034_813367471858778112_a.jpg")</f>
        <v>https://scontent.cdninstagram.com/t51.2885-19/s150x150/18948145_237408563428034_813367471858778112_a.jpg</v>
      </c>
    </row>
    <row r="1485" spans="1:31" ht="15" x14ac:dyDescent="0.25">
      <c r="A1485" t="s">
        <v>2474</v>
      </c>
      <c r="B1485" t="s">
        <v>10558</v>
      </c>
      <c r="C1485" s="221">
        <v>42965.614062499997</v>
      </c>
      <c r="D1485" t="s">
        <v>10559</v>
      </c>
      <c r="E1485" s="249" t="str">
        <f>HYPERLINK("https://www.instagram.com/p/BX8hXCwAXb7/")</f>
        <v>https://www.instagram.com/p/BX8hXCwAXb7/</v>
      </c>
      <c r="F1485" t="s">
        <v>10560</v>
      </c>
      <c r="G1485" t="s">
        <v>2478</v>
      </c>
      <c r="H1485">
        <v>236</v>
      </c>
      <c r="I1485" t="s">
        <v>2479</v>
      </c>
      <c r="J1485">
        <v>3</v>
      </c>
      <c r="K1485">
        <v>25</v>
      </c>
      <c r="L1485">
        <v>28</v>
      </c>
      <c r="Q1485">
        <v>0</v>
      </c>
      <c r="R1485">
        <v>0</v>
      </c>
      <c r="S1485">
        <v>28</v>
      </c>
      <c r="Y1485" t="s">
        <v>10561</v>
      </c>
      <c r="Z1485" t="s">
        <v>10562</v>
      </c>
      <c r="AA1485" t="s">
        <v>10563</v>
      </c>
      <c r="AB1485" t="s">
        <v>2497</v>
      </c>
      <c r="AC1485" t="s">
        <v>10564</v>
      </c>
      <c r="AD1485" s="249" t="str">
        <f>HYPERLINK("https://scontent.cdninstagram.com/t51.2885-15/s320x320/e35/c0.60.480.480/20902697_221794058348832_5422641355048353792_n.jpg")</f>
        <v>https://scontent.cdninstagram.com/t51.2885-15/s320x320/e35/c0.60.480.480/20902697_221794058348832_5422641355048353792_n.jpg</v>
      </c>
      <c r="AE1485" s="249" t="str">
        <f>HYPERLINK("https://scontent.cdninstagram.com/t51.2885-19/s150x150/20589817_121556285141868_8984288718068121600_a.jpg")</f>
        <v>https://scontent.cdninstagram.com/t51.2885-19/s150x150/20589817_121556285141868_8984288718068121600_a.jpg</v>
      </c>
    </row>
    <row r="1486" spans="1:31" ht="15" x14ac:dyDescent="0.25">
      <c r="A1486" t="s">
        <v>2474</v>
      </c>
      <c r="B1486" t="s">
        <v>10565</v>
      </c>
      <c r="C1486" s="221">
        <v>42965.61791666667</v>
      </c>
      <c r="D1486" t="s">
        <v>10566</v>
      </c>
      <c r="E1486" s="249" t="str">
        <f>HYPERLINK("https://www.instagram.com/p/BX8h_rbnCrs/")</f>
        <v>https://www.instagram.com/p/BX8h_rbnCrs/</v>
      </c>
      <c r="F1486" t="s">
        <v>10567</v>
      </c>
      <c r="G1486" t="s">
        <v>2478</v>
      </c>
      <c r="H1486">
        <v>328</v>
      </c>
      <c r="I1486" t="s">
        <v>3575</v>
      </c>
      <c r="J1486">
        <v>4</v>
      </c>
      <c r="K1486">
        <v>15</v>
      </c>
      <c r="L1486">
        <v>19</v>
      </c>
      <c r="Q1486">
        <v>0</v>
      </c>
      <c r="R1486">
        <v>0</v>
      </c>
      <c r="S1486">
        <v>19</v>
      </c>
      <c r="T1486" t="s">
        <v>10568</v>
      </c>
      <c r="V1486" t="s">
        <v>2125</v>
      </c>
      <c r="W1486">
        <v>48.419940520590004</v>
      </c>
      <c r="X1486">
        <v>-123.36767614137</v>
      </c>
      <c r="Y1486" t="s">
        <v>10569</v>
      </c>
      <c r="Z1486" t="s">
        <v>10570</v>
      </c>
      <c r="AA1486" t="s">
        <v>10571</v>
      </c>
      <c r="AB1486" t="s">
        <v>6294</v>
      </c>
      <c r="AC1486" t="s">
        <v>2497</v>
      </c>
      <c r="AD1486" s="249" t="str">
        <f>HYPERLINK("https://scontent.cdninstagram.com/t51.2885-15/s320x320/e35/20839067_152704711976811_7908660278143746048_n.jpg")</f>
        <v>https://scontent.cdninstagram.com/t51.2885-15/s320x320/e35/20839067_152704711976811_7908660278143746048_n.jpg</v>
      </c>
      <c r="AE1486" s="249" t="str">
        <f>HYPERLINK("https://scontent.cdninstagram.com/t51.2885-19/s150x150/18011287_1754671301491273_4808948892760539136_a.jpg")</f>
        <v>https://scontent.cdninstagram.com/t51.2885-19/s150x150/18011287_1754671301491273_4808948892760539136_a.jpg</v>
      </c>
    </row>
    <row r="1487" spans="1:31" ht="15" x14ac:dyDescent="0.25">
      <c r="A1487" t="s">
        <v>2474</v>
      </c>
      <c r="B1487" t="s">
        <v>3301</v>
      </c>
      <c r="C1487" s="221">
        <v>42965.620706018519</v>
      </c>
      <c r="D1487" t="s">
        <v>10572</v>
      </c>
      <c r="E1487" s="249" t="str">
        <f>HYPERLINK("https://www.instagram.com/p/BX8idKKDodo/")</f>
        <v>https://www.instagram.com/p/BX8idKKDodo/</v>
      </c>
      <c r="F1487" t="s">
        <v>10573</v>
      </c>
      <c r="G1487" t="s">
        <v>2478</v>
      </c>
      <c r="H1487">
        <v>594</v>
      </c>
      <c r="I1487" t="s">
        <v>2599</v>
      </c>
      <c r="J1487">
        <v>4</v>
      </c>
      <c r="K1487">
        <v>89</v>
      </c>
      <c r="L1487">
        <v>93</v>
      </c>
      <c r="Q1487">
        <v>0</v>
      </c>
      <c r="R1487">
        <v>0</v>
      </c>
      <c r="S1487">
        <v>93</v>
      </c>
      <c r="Y1487" t="s">
        <v>3305</v>
      </c>
      <c r="Z1487" t="s">
        <v>7350</v>
      </c>
      <c r="AA1487" t="s">
        <v>2513</v>
      </c>
      <c r="AB1487" t="s">
        <v>6528</v>
      </c>
      <c r="AC1487" t="s">
        <v>2497</v>
      </c>
      <c r="AD1487" s="249" t="str">
        <f>HYPERLINK("https://scontent.cdninstagram.com/t51.2885-15/s320x320/e35/c1.0.960.960/20904867_501032993576332_4408971232867778560_n.jpg")</f>
        <v>https://scontent.cdninstagram.com/t51.2885-15/s320x320/e35/c1.0.960.960/20904867_501032993576332_4408971232867778560_n.jpg</v>
      </c>
      <c r="AE1487" s="249" t="str">
        <f>HYPERLINK("https://scontent.cdninstagram.com/t51.2885-19/s150x150/19228478_370974479971900_5746578409966796800_a.jpg")</f>
        <v>https://scontent.cdninstagram.com/t51.2885-19/s150x150/19228478_370974479971900_5746578409966796800_a.jpg</v>
      </c>
    </row>
    <row r="1488" spans="1:31" ht="15" x14ac:dyDescent="0.25">
      <c r="A1488" t="s">
        <v>2474</v>
      </c>
      <c r="B1488" t="s">
        <v>10574</v>
      </c>
      <c r="C1488" s="221">
        <v>42965.622303240743</v>
      </c>
      <c r="D1488" t="s">
        <v>10575</v>
      </c>
      <c r="E1488" s="249" t="str">
        <f>HYPERLINK("https://www.instagram.com/p/BX8it_MgynJ/")</f>
        <v>https://www.instagram.com/p/BX8it_MgynJ/</v>
      </c>
      <c r="F1488" t="s">
        <v>10576</v>
      </c>
      <c r="G1488" t="s">
        <v>2488</v>
      </c>
      <c r="H1488">
        <v>1239</v>
      </c>
      <c r="I1488" t="s">
        <v>2479</v>
      </c>
      <c r="J1488">
        <v>1</v>
      </c>
      <c r="K1488">
        <v>193</v>
      </c>
      <c r="L1488">
        <v>194</v>
      </c>
      <c r="Q1488">
        <v>0</v>
      </c>
      <c r="R1488">
        <v>0</v>
      </c>
      <c r="S1488">
        <v>194</v>
      </c>
      <c r="T1488" t="s">
        <v>10577</v>
      </c>
      <c r="V1488" t="s">
        <v>2193</v>
      </c>
      <c r="W1488">
        <v>56.960799999999999</v>
      </c>
      <c r="X1488">
        <v>23.75</v>
      </c>
      <c r="Y1488" t="s">
        <v>10578</v>
      </c>
      <c r="Z1488" t="s">
        <v>10579</v>
      </c>
      <c r="AA1488" t="s">
        <v>2497</v>
      </c>
      <c r="AD1488" s="249" t="str">
        <f>HYPERLINK("https://scontent.cdninstagram.com/t51.2885-15/s320x320/e35/20902392_299091653891197_2687249402317242368_n.jpg")</f>
        <v>https://scontent.cdninstagram.com/t51.2885-15/s320x320/e35/20902392_299091653891197_2687249402317242368_n.jpg</v>
      </c>
      <c r="AE1488" s="249" t="str">
        <f>HYPERLINK("https://scontent.cdninstagram.com/t51.2885-19/s150x150/13696560_546763495509313_567946535_a.jpg")</f>
        <v>https://scontent.cdninstagram.com/t51.2885-19/s150x150/13696560_546763495509313_567946535_a.jpg</v>
      </c>
    </row>
    <row r="1489" spans="1:31" ht="15" x14ac:dyDescent="0.25">
      <c r="A1489" t="s">
        <v>2474</v>
      </c>
      <c r="B1489" t="s">
        <v>10580</v>
      </c>
      <c r="C1489" s="221">
        <v>42965.62604166667</v>
      </c>
      <c r="D1489" t="s">
        <v>10581</v>
      </c>
      <c r="E1489" s="249" t="str">
        <f>HYPERLINK("https://www.instagram.com/p/BX8jVa-A2y3/")</f>
        <v>https://www.instagram.com/p/BX8jVa-A2y3/</v>
      </c>
      <c r="F1489" t="s">
        <v>10582</v>
      </c>
      <c r="G1489" t="s">
        <v>2478</v>
      </c>
      <c r="H1489">
        <v>348</v>
      </c>
      <c r="I1489" t="s">
        <v>2479</v>
      </c>
      <c r="J1489">
        <v>0</v>
      </c>
      <c r="K1489">
        <v>30</v>
      </c>
      <c r="L1489">
        <v>30</v>
      </c>
      <c r="Q1489">
        <v>0</v>
      </c>
      <c r="R1489">
        <v>0</v>
      </c>
      <c r="S1489">
        <v>30</v>
      </c>
      <c r="Y1489" t="s">
        <v>10583</v>
      </c>
      <c r="Z1489" t="s">
        <v>10584</v>
      </c>
      <c r="AA1489" t="s">
        <v>10585</v>
      </c>
      <c r="AB1489" t="s">
        <v>10586</v>
      </c>
      <c r="AC1489" t="s">
        <v>2743</v>
      </c>
      <c r="AD1489" s="249" t="str">
        <f>HYPERLINK("https://scontent.cdninstagram.com/t51.2885-15/s320x320/e35/20968473_340453399735778_655541339424817152_n.jpg")</f>
        <v>https://scontent.cdninstagram.com/t51.2885-15/s320x320/e35/20968473_340453399735778_655541339424817152_n.jpg</v>
      </c>
      <c r="AE1489" s="249" t="str">
        <f>HYPERLINK("https://scontent.cdninstagram.com/t51.2885-19/s150x150/19985742_138408010076430_4493713110871310336_a.jpg")</f>
        <v>https://scontent.cdninstagram.com/t51.2885-19/s150x150/19985742_138408010076430_4493713110871310336_a.jpg</v>
      </c>
    </row>
    <row r="1490" spans="1:31" ht="15" x14ac:dyDescent="0.25">
      <c r="A1490" t="s">
        <v>2474</v>
      </c>
      <c r="B1490" t="s">
        <v>10587</v>
      </c>
      <c r="C1490" s="221">
        <v>42965.626203703701</v>
      </c>
      <c r="D1490" t="s">
        <v>10588</v>
      </c>
      <c r="E1490" s="249" t="str">
        <f>HYPERLINK("https://www.instagram.com/p/BX8jXJmFlea/")</f>
        <v>https://www.instagram.com/p/BX8jXJmFlea/</v>
      </c>
      <c r="F1490" t="s">
        <v>10589</v>
      </c>
      <c r="G1490" t="s">
        <v>2478</v>
      </c>
      <c r="H1490">
        <v>385</v>
      </c>
      <c r="I1490" t="s">
        <v>2479</v>
      </c>
      <c r="J1490">
        <v>0</v>
      </c>
      <c r="K1490">
        <v>2</v>
      </c>
      <c r="L1490">
        <v>2</v>
      </c>
      <c r="Q1490">
        <v>0</v>
      </c>
      <c r="R1490">
        <v>0</v>
      </c>
      <c r="S1490">
        <v>2</v>
      </c>
      <c r="Y1490" t="s">
        <v>4174</v>
      </c>
      <c r="Z1490" t="s">
        <v>2601</v>
      </c>
      <c r="AA1490" t="s">
        <v>2497</v>
      </c>
      <c r="AB1490" t="s">
        <v>4831</v>
      </c>
      <c r="AC1490" t="s">
        <v>10590</v>
      </c>
      <c r="AD1490" s="249" t="str">
        <f>HYPERLINK("https://scontent.cdninstagram.com/t51.2885-15/s320x320/e35/c0.112.898.898/20838242_112064089460499_8438675932713058304_n.jpg")</f>
        <v>https://scontent.cdninstagram.com/t51.2885-15/s320x320/e35/c0.112.898.898/20838242_112064089460499_8438675932713058304_n.jpg</v>
      </c>
      <c r="AE1490" s="249" t="str">
        <f>HYPERLINK("https://scontent.cdninstagram.com/t51.2885-19/s150x150/12750328_1126907957321376_632654108_a.jpg")</f>
        <v>https://scontent.cdninstagram.com/t51.2885-19/s150x150/12750328_1126907957321376_632654108_a.jpg</v>
      </c>
    </row>
    <row r="1491" spans="1:31" ht="15" x14ac:dyDescent="0.25">
      <c r="A1491" t="s">
        <v>2474</v>
      </c>
      <c r="B1491" t="s">
        <v>10591</v>
      </c>
      <c r="C1491" s="221">
        <v>42965.635451388887</v>
      </c>
      <c r="D1491" t="s">
        <v>10592</v>
      </c>
      <c r="E1491" s="249" t="str">
        <f>HYPERLINK("https://www.instagram.com/p/BX8k4pFAOfC/")</f>
        <v>https://www.instagram.com/p/BX8k4pFAOfC/</v>
      </c>
      <c r="F1491" t="s">
        <v>10593</v>
      </c>
      <c r="G1491" t="s">
        <v>2478</v>
      </c>
      <c r="H1491">
        <v>272</v>
      </c>
      <c r="I1491" t="s">
        <v>2479</v>
      </c>
      <c r="J1491">
        <v>0</v>
      </c>
      <c r="K1491">
        <v>2</v>
      </c>
      <c r="L1491">
        <v>2</v>
      </c>
      <c r="Q1491">
        <v>0</v>
      </c>
      <c r="R1491">
        <v>0</v>
      </c>
      <c r="S1491">
        <v>2</v>
      </c>
      <c r="T1491" t="s">
        <v>10594</v>
      </c>
      <c r="U1491" t="s">
        <v>856</v>
      </c>
      <c r="V1491" t="s">
        <v>2299</v>
      </c>
      <c r="W1491">
        <v>35.215800000000002</v>
      </c>
      <c r="X1491">
        <v>-86.0792</v>
      </c>
      <c r="Y1491" t="s">
        <v>10595</v>
      </c>
      <c r="Z1491" t="s">
        <v>10596</v>
      </c>
      <c r="AA1491" t="s">
        <v>10597</v>
      </c>
      <c r="AB1491" t="s">
        <v>10598</v>
      </c>
      <c r="AC1491" t="s">
        <v>10599</v>
      </c>
      <c r="AD1491" s="249" t="str">
        <f>HYPERLINK("https://scontent.cdninstagram.com/t51.2885-15/s320x320/e35/20838670_165800500647324_7629265139346178048_n.jpg")</f>
        <v>https://scontent.cdninstagram.com/t51.2885-15/s320x320/e35/20838670_165800500647324_7629265139346178048_n.jpg</v>
      </c>
      <c r="AE1491" s="249" t="str">
        <f>HYPERLINK("https://scontent.cdninstagram.com/t51.2885-19/s150x150/18513254_677435289118248_1169465233299734528_a.jpg")</f>
        <v>https://scontent.cdninstagram.com/t51.2885-19/s150x150/18513254_677435289118248_1169465233299734528_a.jpg</v>
      </c>
    </row>
    <row r="1492" spans="1:31" ht="15" x14ac:dyDescent="0.25">
      <c r="A1492" t="s">
        <v>2474</v>
      </c>
      <c r="B1492" t="s">
        <v>2588</v>
      </c>
      <c r="C1492" s="221">
        <v>42965.636689814812</v>
      </c>
      <c r="D1492" t="s">
        <v>10600</v>
      </c>
      <c r="E1492" s="249" t="str">
        <f>HYPERLINK("https://www.instagram.com/p/BX8lFqbAPpe/")</f>
        <v>https://www.instagram.com/p/BX8lFqbAPpe/</v>
      </c>
      <c r="F1492" t="s">
        <v>10601</v>
      </c>
      <c r="G1492" t="s">
        <v>2478</v>
      </c>
      <c r="H1492">
        <v>308</v>
      </c>
      <c r="I1492" t="s">
        <v>2479</v>
      </c>
      <c r="J1492">
        <v>11</v>
      </c>
      <c r="K1492">
        <v>1176</v>
      </c>
      <c r="L1492">
        <v>1187</v>
      </c>
      <c r="Q1492">
        <v>0</v>
      </c>
      <c r="R1492">
        <v>0</v>
      </c>
      <c r="S1492">
        <v>1187</v>
      </c>
      <c r="Y1492" t="s">
        <v>2588</v>
      </c>
      <c r="AD1492" s="249" t="str">
        <f>HYPERLINK("https://scontent.cdninstagram.com/t51.2885-15/s320x320/e35/c33.0.574.574/20905744_1959635457614888_4273748662909140992_n.jpg")</f>
        <v>https://scontent.cdninstagram.com/t51.2885-15/s320x320/e35/c33.0.574.574/20905744_1959635457614888_4273748662909140992_n.jpg</v>
      </c>
      <c r="AE1492" s="249" t="str">
        <f>HYPERLINK("https://scontent.cdninstagram.com/t51.2885-19/s150x150/20633561_108840983138666_5897549723056734208_a.jpg")</f>
        <v>https://scontent.cdninstagram.com/t51.2885-19/s150x150/20633561_108840983138666_5897549723056734208_a.jpg</v>
      </c>
    </row>
    <row r="1493" spans="1:31" ht="15" x14ac:dyDescent="0.25">
      <c r="A1493" t="s">
        <v>2474</v>
      </c>
      <c r="B1493" t="s">
        <v>10602</v>
      </c>
      <c r="C1493" s="221">
        <v>42965.642453703702</v>
      </c>
      <c r="D1493" t="s">
        <v>10603</v>
      </c>
      <c r="E1493" s="249" t="str">
        <f>HYPERLINK("https://www.instagram.com/p/BX8mCewnPJ2/")</f>
        <v>https://www.instagram.com/p/BX8mCewnPJ2/</v>
      </c>
      <c r="F1493" t="s">
        <v>10604</v>
      </c>
      <c r="G1493" t="s">
        <v>2478</v>
      </c>
      <c r="H1493">
        <v>5216</v>
      </c>
      <c r="I1493" t="s">
        <v>2479</v>
      </c>
      <c r="J1493">
        <v>2</v>
      </c>
      <c r="K1493">
        <v>256</v>
      </c>
      <c r="L1493">
        <v>258</v>
      </c>
      <c r="Q1493">
        <v>0</v>
      </c>
      <c r="R1493">
        <v>0</v>
      </c>
      <c r="S1493">
        <v>258</v>
      </c>
      <c r="Y1493" t="s">
        <v>10605</v>
      </c>
      <c r="Z1493" t="s">
        <v>10606</v>
      </c>
      <c r="AA1493" t="s">
        <v>10607</v>
      </c>
      <c r="AB1493" t="s">
        <v>3446</v>
      </c>
      <c r="AC1493" t="s">
        <v>10128</v>
      </c>
      <c r="AD1493" s="249" t="str">
        <f>HYPERLINK("https://scontent.cdninstagram.com/t51.2885-15/s320x320/e35/c0.135.1080.1080/20905386_303254370141665_7251041858174844928_n.jpg")</f>
        <v>https://scontent.cdninstagram.com/t51.2885-15/s320x320/e35/c0.135.1080.1080/20905386_303254370141665_7251041858174844928_n.jpg</v>
      </c>
      <c r="AE1493" s="249" t="str">
        <f>HYPERLINK("https://scontent.cdninstagram.com/t51.2885-19/s150x150/12328396_1150726241628627_1403746600_a.jpg")</f>
        <v>https://scontent.cdninstagram.com/t51.2885-19/s150x150/12328396_1150726241628627_1403746600_a.jpg</v>
      </c>
    </row>
    <row r="1494" spans="1:31" ht="15" x14ac:dyDescent="0.25">
      <c r="A1494" t="s">
        <v>2474</v>
      </c>
      <c r="B1494" t="s">
        <v>10608</v>
      </c>
      <c r="C1494" s="221">
        <v>42965.648657407408</v>
      </c>
      <c r="D1494" t="s">
        <v>10609</v>
      </c>
      <c r="E1494" s="249" t="str">
        <f>HYPERLINK("https://www.instagram.com/p/BX8nD5MgNb_/")</f>
        <v>https://www.instagram.com/p/BX8nD5MgNb_/</v>
      </c>
      <c r="F1494" t="s">
        <v>10610</v>
      </c>
      <c r="G1494" t="s">
        <v>2478</v>
      </c>
      <c r="H1494">
        <v>381</v>
      </c>
      <c r="I1494" t="s">
        <v>2479</v>
      </c>
      <c r="J1494">
        <v>2</v>
      </c>
      <c r="K1494">
        <v>30</v>
      </c>
      <c r="L1494">
        <v>32</v>
      </c>
      <c r="Q1494">
        <v>0</v>
      </c>
      <c r="R1494">
        <v>0</v>
      </c>
      <c r="S1494">
        <v>32</v>
      </c>
      <c r="Y1494" t="s">
        <v>10611</v>
      </c>
      <c r="Z1494" t="s">
        <v>10612</v>
      </c>
      <c r="AA1494" t="s">
        <v>10613</v>
      </c>
      <c r="AB1494" t="s">
        <v>2513</v>
      </c>
      <c r="AC1494" t="s">
        <v>2497</v>
      </c>
      <c r="AD1494" s="249" t="str">
        <f>HYPERLINK("https://scontent.cdninstagram.com/t51.2885-15/s320x320/e35/20969172_131120800834700_7869545177755418624_n.jpg")</f>
        <v>https://scontent.cdninstagram.com/t51.2885-15/s320x320/e35/20969172_131120800834700_7869545177755418624_n.jpg</v>
      </c>
      <c r="AE1494" s="249" t="str">
        <f>HYPERLINK("https://scontent.cdninstagram.com/t51.2885-19/s150x150/12362315_1651864701737883_1080680403_a.jpg")</f>
        <v>https://scontent.cdninstagram.com/t51.2885-19/s150x150/12362315_1651864701737883_1080680403_a.jpg</v>
      </c>
    </row>
    <row r="1495" spans="1:31" ht="15" x14ac:dyDescent="0.25">
      <c r="A1495" t="s">
        <v>2474</v>
      </c>
      <c r="B1495" t="s">
        <v>3993</v>
      </c>
      <c r="C1495" s="221">
        <v>42965.649583333332</v>
      </c>
      <c r="D1495" t="s">
        <v>10614</v>
      </c>
      <c r="E1495" s="249" t="str">
        <f>HYPERLINK("https://www.instagram.com/p/BX8nNtwgLAF/")</f>
        <v>https://www.instagram.com/p/BX8nNtwgLAF/</v>
      </c>
      <c r="F1495" t="s">
        <v>10615</v>
      </c>
      <c r="G1495" t="s">
        <v>2478</v>
      </c>
      <c r="H1495">
        <v>4985</v>
      </c>
      <c r="I1495" t="s">
        <v>2582</v>
      </c>
      <c r="J1495">
        <v>4</v>
      </c>
      <c r="K1495">
        <v>936</v>
      </c>
      <c r="L1495">
        <v>940</v>
      </c>
      <c r="Q1495">
        <v>0</v>
      </c>
      <c r="R1495">
        <v>0</v>
      </c>
      <c r="S1495">
        <v>940</v>
      </c>
      <c r="Y1495" t="s">
        <v>9403</v>
      </c>
      <c r="Z1495" t="s">
        <v>4350</v>
      </c>
      <c r="AA1495" t="s">
        <v>3996</v>
      </c>
      <c r="AB1495" t="s">
        <v>8400</v>
      </c>
      <c r="AC1495" t="s">
        <v>7942</v>
      </c>
      <c r="AD1495" s="249" t="str">
        <f>HYPERLINK("https://scontent.cdninstagram.com/t51.2885-15/s320x320/e35/20905298_359660591135950_6473971318143320064_n.jpg")</f>
        <v>https://scontent.cdninstagram.com/t51.2885-15/s320x320/e35/20905298_359660591135950_6473971318143320064_n.jpg</v>
      </c>
      <c r="AE1495" s="249" t="str">
        <f>HYPERLINK("https://scontent.cdninstagram.com/t51.2885-19/s150x150/20590168_732024603636467_1659654334738071552_a.jpg")</f>
        <v>https://scontent.cdninstagram.com/t51.2885-19/s150x150/20590168_732024603636467_1659654334738071552_a.jpg</v>
      </c>
    </row>
    <row r="1496" spans="1:31" ht="15" x14ac:dyDescent="0.25">
      <c r="A1496" t="s">
        <v>2474</v>
      </c>
      <c r="B1496" t="s">
        <v>10616</v>
      </c>
      <c r="C1496" s="221">
        <v>42965.650740740741</v>
      </c>
      <c r="D1496" t="s">
        <v>10617</v>
      </c>
      <c r="E1496" s="249" t="str">
        <f>HYPERLINK("https://www.instagram.com/p/BX8nZ2jjFHX/")</f>
        <v>https://www.instagram.com/p/BX8nZ2jjFHX/</v>
      </c>
      <c r="F1496" t="s">
        <v>10618</v>
      </c>
      <c r="G1496" t="s">
        <v>2478</v>
      </c>
      <c r="H1496">
        <v>1706</v>
      </c>
      <c r="I1496" t="s">
        <v>2479</v>
      </c>
      <c r="J1496">
        <v>7</v>
      </c>
      <c r="K1496">
        <v>241</v>
      </c>
      <c r="L1496">
        <v>248</v>
      </c>
      <c r="Q1496">
        <v>0</v>
      </c>
      <c r="R1496">
        <v>0</v>
      </c>
      <c r="S1496">
        <v>248</v>
      </c>
      <c r="Y1496" t="s">
        <v>10619</v>
      </c>
      <c r="Z1496" t="s">
        <v>10620</v>
      </c>
      <c r="AA1496" t="s">
        <v>4937</v>
      </c>
      <c r="AB1496" t="s">
        <v>2497</v>
      </c>
      <c r="AD1496" s="249" t="str">
        <f>HYPERLINK("https://scontent.cdninstagram.com/t51.2885-15/s320x320/e35/20905417_2416566861815211_1108970082064662528_n.jpg")</f>
        <v>https://scontent.cdninstagram.com/t51.2885-15/s320x320/e35/20905417_2416566861815211_1108970082064662528_n.jpg</v>
      </c>
      <c r="AE1496" s="249" t="str">
        <f>HYPERLINK("https://scontent.cdninstagram.com/t51.2885-19/s150x150/15535184_1706652832980662_1279171063250419712_a.jpg")</f>
        <v>https://scontent.cdninstagram.com/t51.2885-19/s150x150/15535184_1706652832980662_1279171063250419712_a.jpg</v>
      </c>
    </row>
    <row r="1497" spans="1:31" ht="15" x14ac:dyDescent="0.25">
      <c r="A1497" t="s">
        <v>2474</v>
      </c>
      <c r="B1497" t="s">
        <v>10621</v>
      </c>
      <c r="C1497" s="221">
        <v>42965.651574074072</v>
      </c>
      <c r="D1497" t="s">
        <v>10622</v>
      </c>
      <c r="E1497" s="249" t="str">
        <f>HYPERLINK("https://www.instagram.com/p/BX8niwNBcWA/")</f>
        <v>https://www.instagram.com/p/BX8niwNBcWA/</v>
      </c>
      <c r="F1497" t="s">
        <v>10623</v>
      </c>
      <c r="G1497" t="s">
        <v>2478</v>
      </c>
      <c r="H1497">
        <v>219</v>
      </c>
      <c r="I1497" t="s">
        <v>2479</v>
      </c>
      <c r="J1497">
        <v>0</v>
      </c>
      <c r="K1497">
        <v>19</v>
      </c>
      <c r="L1497">
        <v>19</v>
      </c>
      <c r="Q1497">
        <v>0</v>
      </c>
      <c r="R1497">
        <v>0</v>
      </c>
      <c r="S1497">
        <v>19</v>
      </c>
      <c r="Y1497" t="s">
        <v>10624</v>
      </c>
      <c r="Z1497" t="s">
        <v>10625</v>
      </c>
      <c r="AA1497" t="s">
        <v>10626</v>
      </c>
      <c r="AB1497" t="s">
        <v>2497</v>
      </c>
      <c r="AC1497" t="s">
        <v>10627</v>
      </c>
      <c r="AD1497" s="249" t="str">
        <f>HYPERLINK("https://scontent.cdninstagram.com/t51.2885-15/s320x320/e35/20902066_1932508843671828_877978266915307520_n.jpg")</f>
        <v>https://scontent.cdninstagram.com/t51.2885-15/s320x320/e35/20902066_1932508843671828_877978266915307520_n.jpg</v>
      </c>
      <c r="AE1497" s="249" t="str">
        <f>HYPERLINK("https://scontent.cdninstagram.com/t51.2885-19/s150x150/18298512_1873539392911545_205159687102922752_a.jpg")</f>
        <v>https://scontent.cdninstagram.com/t51.2885-19/s150x150/18298512_1873539392911545_205159687102922752_a.jpg</v>
      </c>
    </row>
    <row r="1498" spans="1:31" ht="15" x14ac:dyDescent="0.25">
      <c r="A1498" t="s">
        <v>2474</v>
      </c>
      <c r="B1498" t="s">
        <v>10628</v>
      </c>
      <c r="C1498" s="221">
        <v>42965.655648148146</v>
      </c>
      <c r="D1498" t="s">
        <v>10629</v>
      </c>
      <c r="E1498" s="249" t="str">
        <f>HYPERLINK("https://www.instagram.com/p/BX8oNnNn9IG/")</f>
        <v>https://www.instagram.com/p/BX8oNnNn9IG/</v>
      </c>
      <c r="F1498" t="s">
        <v>10630</v>
      </c>
      <c r="G1498" t="s">
        <v>2478</v>
      </c>
      <c r="H1498">
        <v>18</v>
      </c>
      <c r="I1498" t="s">
        <v>2910</v>
      </c>
      <c r="J1498">
        <v>1</v>
      </c>
      <c r="K1498">
        <v>18</v>
      </c>
      <c r="L1498">
        <v>19</v>
      </c>
      <c r="Q1498">
        <v>0</v>
      </c>
      <c r="R1498">
        <v>0</v>
      </c>
      <c r="S1498">
        <v>19</v>
      </c>
      <c r="Y1498" t="s">
        <v>10631</v>
      </c>
      <c r="Z1498" t="s">
        <v>10632</v>
      </c>
      <c r="AA1498" t="s">
        <v>10633</v>
      </c>
      <c r="AB1498" t="s">
        <v>10634</v>
      </c>
      <c r="AC1498" t="s">
        <v>10635</v>
      </c>
      <c r="AD1498" s="249" t="str">
        <f>HYPERLINK("https://scontent.cdninstagram.com/t51.2885-15/s320x320/e35/c0.135.1080.1080/20902638_500064137052560_5816753356630130688_n.jpg")</f>
        <v>https://scontent.cdninstagram.com/t51.2885-15/s320x320/e35/c0.135.1080.1080/20902638_500064137052560_5816753356630130688_n.jpg</v>
      </c>
      <c r="AE1498" s="249" t="str">
        <f>HYPERLINK("https://scontent.cdninstagram.com/t51.2885-19/s150x150/20686823_134732927134593_5881746360826331136_a.jpg")</f>
        <v>https://scontent.cdninstagram.com/t51.2885-19/s150x150/20686823_134732927134593_5881746360826331136_a.jpg</v>
      </c>
    </row>
    <row r="1499" spans="1:31" ht="15" x14ac:dyDescent="0.25">
      <c r="A1499" t="s">
        <v>2474</v>
      </c>
      <c r="B1499" t="s">
        <v>7844</v>
      </c>
      <c r="C1499" s="221">
        <v>42965.673645833333</v>
      </c>
      <c r="D1499" t="s">
        <v>10636</v>
      </c>
      <c r="E1499" s="249" t="str">
        <f>HYPERLINK("https://www.instagram.com/p/BX8rLeNhcFO/")</f>
        <v>https://www.instagram.com/p/BX8rLeNhcFO/</v>
      </c>
      <c r="F1499" t="s">
        <v>10637</v>
      </c>
      <c r="G1499" t="s">
        <v>2478</v>
      </c>
      <c r="H1499">
        <v>425</v>
      </c>
      <c r="I1499" t="s">
        <v>2479</v>
      </c>
      <c r="J1499">
        <v>0</v>
      </c>
      <c r="K1499">
        <v>39</v>
      </c>
      <c r="L1499">
        <v>39</v>
      </c>
      <c r="Q1499">
        <v>0</v>
      </c>
      <c r="R1499">
        <v>0</v>
      </c>
      <c r="S1499">
        <v>39</v>
      </c>
      <c r="Y1499" t="s">
        <v>10638</v>
      </c>
      <c r="Z1499" t="s">
        <v>10639</v>
      </c>
      <c r="AA1499" t="s">
        <v>10640</v>
      </c>
      <c r="AB1499" t="s">
        <v>3549</v>
      </c>
      <c r="AC1499" t="s">
        <v>7847</v>
      </c>
      <c r="AD1499" s="249" t="str">
        <f>HYPERLINK("https://scontent.cdninstagram.com/t51.2885-15/s320x320/e35/c135.0.809.809/20901911_360003761086055_1276601148094021632_n.jpg")</f>
        <v>https://scontent.cdninstagram.com/t51.2885-15/s320x320/e35/c135.0.809.809/20901911_360003761086055_1276601148094021632_n.jpg</v>
      </c>
      <c r="AE1499" s="249" t="str">
        <f>HYPERLINK("https://scontent.cdninstagram.com/t51.2885-19/s150x150/14659433_124185214720398_460441517996113920_a.jpg")</f>
        <v>https://scontent.cdninstagram.com/t51.2885-19/s150x150/14659433_124185214720398_460441517996113920_a.jpg</v>
      </c>
    </row>
    <row r="1500" spans="1:31" ht="15" x14ac:dyDescent="0.25">
      <c r="A1500" t="s">
        <v>2474</v>
      </c>
      <c r="B1500" t="s">
        <v>10641</v>
      </c>
      <c r="C1500" s="221">
        <v>42965.677476851852</v>
      </c>
      <c r="D1500" t="s">
        <v>10642</v>
      </c>
      <c r="E1500" s="249" t="str">
        <f>HYPERLINK("https://www.instagram.com/p/BX8rz15HBVU/")</f>
        <v>https://www.instagram.com/p/BX8rz15HBVU/</v>
      </c>
      <c r="F1500" t="s">
        <v>10643</v>
      </c>
      <c r="G1500" t="s">
        <v>2478</v>
      </c>
      <c r="H1500">
        <v>45200</v>
      </c>
      <c r="I1500" t="s">
        <v>2479</v>
      </c>
      <c r="J1500">
        <v>1</v>
      </c>
      <c r="K1500">
        <v>240</v>
      </c>
      <c r="L1500">
        <v>241</v>
      </c>
      <c r="Q1500">
        <v>0</v>
      </c>
      <c r="R1500">
        <v>0</v>
      </c>
      <c r="S1500">
        <v>241</v>
      </c>
      <c r="Y1500" t="s">
        <v>10644</v>
      </c>
      <c r="Z1500" t="s">
        <v>8481</v>
      </c>
      <c r="AA1500" t="s">
        <v>2601</v>
      </c>
      <c r="AB1500" t="s">
        <v>2898</v>
      </c>
      <c r="AC1500" t="s">
        <v>3600</v>
      </c>
      <c r="AD1500" s="249" t="str">
        <f>HYPERLINK("https://scontent.cdninstagram.com/t51.2885-15/s320x320/e35/20838855_1835230650124724_7295286021392957440_n.jpg")</f>
        <v>https://scontent.cdninstagram.com/t51.2885-15/s320x320/e35/20838855_1835230650124724_7295286021392957440_n.jpg</v>
      </c>
      <c r="AE1500" s="249" t="str">
        <f>HYPERLINK("https://scontent.cdninstagram.com/t51.2885-19/s150x150/13774754_635468466611983_1463153003_a.jpg")</f>
        <v>https://scontent.cdninstagram.com/t51.2885-19/s150x150/13774754_635468466611983_1463153003_a.jpg</v>
      </c>
    </row>
    <row r="1501" spans="1:31" ht="15" x14ac:dyDescent="0.25">
      <c r="A1501" t="s">
        <v>2474</v>
      </c>
      <c r="B1501" t="s">
        <v>10645</v>
      </c>
      <c r="C1501" s="221">
        <v>42965.682199074072</v>
      </c>
      <c r="D1501" t="s">
        <v>10646</v>
      </c>
      <c r="E1501" s="249" t="str">
        <f>HYPERLINK("https://www.instagram.com/p/BX8slvClNGS/")</f>
        <v>https://www.instagram.com/p/BX8slvClNGS/</v>
      </c>
      <c r="F1501" t="s">
        <v>10647</v>
      </c>
      <c r="G1501" t="s">
        <v>2478</v>
      </c>
      <c r="H1501">
        <v>433</v>
      </c>
      <c r="I1501" t="s">
        <v>2542</v>
      </c>
      <c r="J1501">
        <v>0</v>
      </c>
      <c r="K1501">
        <v>7</v>
      </c>
      <c r="L1501">
        <v>7</v>
      </c>
      <c r="Q1501">
        <v>0</v>
      </c>
      <c r="R1501">
        <v>0</v>
      </c>
      <c r="S1501">
        <v>7</v>
      </c>
      <c r="Y1501" t="s">
        <v>10648</v>
      </c>
      <c r="Z1501" t="s">
        <v>4833</v>
      </c>
      <c r="AA1501" t="s">
        <v>10649</v>
      </c>
      <c r="AB1501" t="s">
        <v>10650</v>
      </c>
      <c r="AC1501" t="s">
        <v>10651</v>
      </c>
      <c r="AD1501" s="249" t="str">
        <f>HYPERLINK("https://scontent.cdninstagram.com/t51.2885-15/s320x320/e35/c130.0.488.488/20904928_137269503541566_4248539494099189760_n.jpg")</f>
        <v>https://scontent.cdninstagram.com/t51.2885-15/s320x320/e35/c130.0.488.488/20904928_137269503541566_4248539494099189760_n.jpg</v>
      </c>
      <c r="AE1501" s="249" t="str">
        <f>HYPERLINK("https://scontent.cdninstagram.com/t51.2885-19/s150x150/20902825_1154678744632990_1583706393683165184_a.jpg")</f>
        <v>https://scontent.cdninstagram.com/t51.2885-19/s150x150/20902825_1154678744632990_1583706393683165184_a.jpg</v>
      </c>
    </row>
    <row r="1502" spans="1:31" ht="15" x14ac:dyDescent="0.25">
      <c r="A1502" t="s">
        <v>2474</v>
      </c>
      <c r="B1502" t="s">
        <v>10652</v>
      </c>
      <c r="C1502" s="221">
        <v>42965.682812500003</v>
      </c>
      <c r="D1502" t="s">
        <v>10653</v>
      </c>
      <c r="E1502" s="249" t="str">
        <f>HYPERLINK("https://www.instagram.com/p/BX8ssLpjUAQ/")</f>
        <v>https://www.instagram.com/p/BX8ssLpjUAQ/</v>
      </c>
      <c r="F1502" t="s">
        <v>10654</v>
      </c>
      <c r="G1502" t="s">
        <v>2478</v>
      </c>
      <c r="H1502">
        <v>200</v>
      </c>
      <c r="I1502" t="s">
        <v>2479</v>
      </c>
      <c r="J1502">
        <v>1</v>
      </c>
      <c r="K1502">
        <v>59</v>
      </c>
      <c r="L1502">
        <v>60</v>
      </c>
      <c r="Q1502">
        <v>0</v>
      </c>
      <c r="R1502">
        <v>0</v>
      </c>
      <c r="S1502">
        <v>60</v>
      </c>
      <c r="Y1502" t="s">
        <v>10655</v>
      </c>
      <c r="Z1502" t="s">
        <v>10656</v>
      </c>
      <c r="AA1502" t="s">
        <v>10657</v>
      </c>
      <c r="AB1502" t="s">
        <v>10658</v>
      </c>
      <c r="AC1502" t="s">
        <v>10659</v>
      </c>
      <c r="AD1502" s="249" t="str">
        <f>HYPERLINK("https://scontent.cdninstagram.com/t51.2885-15/s320x320/e35/c0.135.1080.1080/20902428_524544057885133_9205677372890677248_n.jpg")</f>
        <v>https://scontent.cdninstagram.com/t51.2885-15/s320x320/e35/c0.135.1080.1080/20902428_524544057885133_9205677372890677248_n.jpg</v>
      </c>
      <c r="AE1502" s="249" t="str">
        <f>HYPERLINK("https://scontent.cdninstagram.com/t51.2885-19/s150x150/19051980_612955695578693_3455258467592306688_a.jpg")</f>
        <v>https://scontent.cdninstagram.com/t51.2885-19/s150x150/19051980_612955695578693_3455258467592306688_a.jpg</v>
      </c>
    </row>
    <row r="1503" spans="1:31" ht="15" x14ac:dyDescent="0.25">
      <c r="A1503" t="s">
        <v>2474</v>
      </c>
      <c r="B1503" t="s">
        <v>6529</v>
      </c>
      <c r="C1503" s="221">
        <v>42965.683946759258</v>
      </c>
      <c r="D1503" t="s">
        <v>10660</v>
      </c>
      <c r="E1503" s="249" t="str">
        <f>HYPERLINK("https://www.instagram.com/p/BX8s4GGjDVk/")</f>
        <v>https://www.instagram.com/p/BX8s4GGjDVk/</v>
      </c>
      <c r="F1503" t="s">
        <v>10661</v>
      </c>
      <c r="G1503" t="s">
        <v>2478</v>
      </c>
      <c r="H1503">
        <v>2236</v>
      </c>
      <c r="I1503" t="s">
        <v>2542</v>
      </c>
      <c r="J1503">
        <v>9</v>
      </c>
      <c r="K1503">
        <v>65</v>
      </c>
      <c r="L1503">
        <v>74</v>
      </c>
      <c r="Q1503">
        <v>0</v>
      </c>
      <c r="R1503">
        <v>0</v>
      </c>
      <c r="S1503">
        <v>74</v>
      </c>
      <c r="Y1503" t="s">
        <v>10662</v>
      </c>
      <c r="Z1503" t="s">
        <v>6533</v>
      </c>
      <c r="AA1503" t="s">
        <v>2497</v>
      </c>
      <c r="AD1503" s="249" t="str">
        <f>HYPERLINK("https://scontent.cdninstagram.com/t51.2885-15/s320x320/e35/20838980_111289469549199_5704666521364594688_n.jpg")</f>
        <v>https://scontent.cdninstagram.com/t51.2885-15/s320x320/e35/20838980_111289469549199_5704666521364594688_n.jpg</v>
      </c>
      <c r="AE1503" s="249" t="str">
        <f>HYPERLINK("https://scontent.cdninstagram.com/t51.2885-19/s150x150/20225746_123166418303180_1439482628834066432_a.jpg")</f>
        <v>https://scontent.cdninstagram.com/t51.2885-19/s150x150/20225746_123166418303180_1439482628834066432_a.jpg</v>
      </c>
    </row>
    <row r="1504" spans="1:31" ht="15" x14ac:dyDescent="0.25">
      <c r="A1504" t="s">
        <v>2474</v>
      </c>
      <c r="B1504" t="s">
        <v>10663</v>
      </c>
      <c r="C1504" s="221">
        <v>42965.690613425926</v>
      </c>
      <c r="D1504" t="s">
        <v>10664</v>
      </c>
      <c r="E1504" s="249" t="str">
        <f>HYPERLINK("https://www.instagram.com/p/BX8t-ZJjRvH/")</f>
        <v>https://www.instagram.com/p/BX8t-ZJjRvH/</v>
      </c>
      <c r="F1504" t="s">
        <v>10665</v>
      </c>
      <c r="G1504" t="s">
        <v>2631</v>
      </c>
      <c r="H1504">
        <v>6294</v>
      </c>
      <c r="I1504" t="s">
        <v>4052</v>
      </c>
      <c r="J1504">
        <v>3</v>
      </c>
      <c r="K1504">
        <v>64</v>
      </c>
      <c r="L1504">
        <v>67</v>
      </c>
      <c r="Q1504">
        <v>0</v>
      </c>
      <c r="R1504">
        <v>0</v>
      </c>
      <c r="S1504">
        <v>67</v>
      </c>
      <c r="T1504" t="s">
        <v>10666</v>
      </c>
      <c r="U1504" t="s">
        <v>130</v>
      </c>
      <c r="V1504" t="s">
        <v>2299</v>
      </c>
      <c r="W1504">
        <v>38.614899999999999</v>
      </c>
      <c r="X1504">
        <v>-90.207740000000001</v>
      </c>
      <c r="Y1504" t="s">
        <v>10667</v>
      </c>
      <c r="Z1504" t="s">
        <v>10668</v>
      </c>
      <c r="AA1504" t="s">
        <v>5170</v>
      </c>
      <c r="AB1504" t="s">
        <v>10669</v>
      </c>
      <c r="AC1504" t="s">
        <v>10670</v>
      </c>
      <c r="AD1504" s="249" t="str">
        <f>HYPERLINK("https://scontent.cdninstagram.com/t51.2885-15/s320x320/e15/20904967_1510217492395725_6292564062907662336_n.jpg")</f>
        <v>https://scontent.cdninstagram.com/t51.2885-15/s320x320/e15/20904967_1510217492395725_6292564062907662336_n.jpg</v>
      </c>
      <c r="AE1504" s="249" t="str">
        <f>HYPERLINK("https://scontent.cdninstagram.com/t51.2885-19/s150x150/17596052_1885550581702390_5944765733060739072_a.jpg")</f>
        <v>https://scontent.cdninstagram.com/t51.2885-19/s150x150/17596052_1885550581702390_5944765733060739072_a.jpg</v>
      </c>
    </row>
    <row r="1505" spans="1:31" ht="15" x14ac:dyDescent="0.25">
      <c r="A1505" t="s">
        <v>2474</v>
      </c>
      <c r="B1505" t="s">
        <v>4535</v>
      </c>
      <c r="C1505" s="221">
        <v>42965.691145833334</v>
      </c>
      <c r="D1505" t="s">
        <v>10671</v>
      </c>
      <c r="E1505" s="249" t="str">
        <f>HYPERLINK("https://www.instagram.com/p/BX8uEDglwZY/")</f>
        <v>https://www.instagram.com/p/BX8uEDglwZY/</v>
      </c>
      <c r="F1505" t="s">
        <v>10672</v>
      </c>
      <c r="G1505" t="s">
        <v>2478</v>
      </c>
      <c r="H1505">
        <v>166</v>
      </c>
      <c r="I1505" t="s">
        <v>2479</v>
      </c>
      <c r="J1505">
        <v>0</v>
      </c>
      <c r="K1505">
        <v>38</v>
      </c>
      <c r="L1505">
        <v>38</v>
      </c>
      <c r="Q1505">
        <v>0</v>
      </c>
      <c r="R1505">
        <v>0</v>
      </c>
      <c r="S1505">
        <v>38</v>
      </c>
      <c r="Y1505" t="s">
        <v>8845</v>
      </c>
      <c r="Z1505" t="s">
        <v>5605</v>
      </c>
      <c r="AA1505" t="s">
        <v>10673</v>
      </c>
      <c r="AB1505" t="s">
        <v>2497</v>
      </c>
      <c r="AC1505" t="s">
        <v>5608</v>
      </c>
      <c r="AD1505" s="249" t="str">
        <f>HYPERLINK("https://scontent.cdninstagram.com/t51.2885-15/s320x320/e35/c88.0.464.464/20901892_337159896723284_6826714516852572160_n.jpg")</f>
        <v>https://scontent.cdninstagram.com/t51.2885-15/s320x320/e35/c88.0.464.464/20901892_337159896723284_6826714516852572160_n.jpg</v>
      </c>
      <c r="AE1505" s="249" t="str">
        <f>HYPERLINK("https://scontent.cdninstagram.com/t51.2885-19/s150x150/20399028_1624608414236560_533007696291430400_a.jpg")</f>
        <v>https://scontent.cdninstagram.com/t51.2885-19/s150x150/20399028_1624608414236560_533007696291430400_a.jpg</v>
      </c>
    </row>
    <row r="1506" spans="1:31" ht="15" x14ac:dyDescent="0.25">
      <c r="A1506" t="s">
        <v>2474</v>
      </c>
      <c r="B1506" t="s">
        <v>10674</v>
      </c>
      <c r="C1506" s="221">
        <v>42965.692708333336</v>
      </c>
      <c r="D1506" t="s">
        <v>10675</v>
      </c>
      <c r="E1506" s="249" t="str">
        <f>HYPERLINK("https://www.instagram.com/p/BX8uUkOB8xF/")</f>
        <v>https://www.instagram.com/p/BX8uUkOB8xF/</v>
      </c>
      <c r="F1506" t="s">
        <v>10676</v>
      </c>
      <c r="G1506" t="s">
        <v>2478</v>
      </c>
      <c r="H1506">
        <v>214</v>
      </c>
      <c r="I1506" t="s">
        <v>2510</v>
      </c>
      <c r="J1506">
        <v>1</v>
      </c>
      <c r="K1506">
        <v>25</v>
      </c>
      <c r="L1506">
        <v>26</v>
      </c>
      <c r="Q1506">
        <v>0</v>
      </c>
      <c r="R1506">
        <v>0</v>
      </c>
      <c r="S1506">
        <v>26</v>
      </c>
      <c r="Y1506" t="s">
        <v>10677</v>
      </c>
      <c r="Z1506" t="s">
        <v>10678</v>
      </c>
      <c r="AA1506" t="s">
        <v>10679</v>
      </c>
      <c r="AB1506" t="s">
        <v>10680</v>
      </c>
      <c r="AC1506" t="s">
        <v>10681</v>
      </c>
      <c r="AD1506" s="249" t="str">
        <f>HYPERLINK("https://scontent.cdninstagram.com/t51.2885-15/s320x320/e35/20905097_1639532166089181_4070615891132284928_n.jpg")</f>
        <v>https://scontent.cdninstagram.com/t51.2885-15/s320x320/e35/20905097_1639532166089181_4070615891132284928_n.jpg</v>
      </c>
      <c r="AE1506" s="249" t="str">
        <f>HYPERLINK("https://scontent.cdninstagram.com/t51.2885-19/s150x150/17934329_153893058473390_7565300904371421184_a.jpg")</f>
        <v>https://scontent.cdninstagram.com/t51.2885-19/s150x150/17934329_153893058473390_7565300904371421184_a.jpg</v>
      </c>
    </row>
    <row r="1507" spans="1:31" ht="15" x14ac:dyDescent="0.25">
      <c r="A1507" t="s">
        <v>2474</v>
      </c>
      <c r="B1507" t="s">
        <v>4535</v>
      </c>
      <c r="C1507" s="221">
        <v>42965.693923611114</v>
      </c>
      <c r="D1507" t="s">
        <v>10682</v>
      </c>
      <c r="E1507" s="249" t="str">
        <f>HYPERLINK("https://www.instagram.com/p/BX8uhW3FOhX/")</f>
        <v>https://www.instagram.com/p/BX8uhW3FOhX/</v>
      </c>
      <c r="F1507" t="s">
        <v>10683</v>
      </c>
      <c r="G1507" t="s">
        <v>2478</v>
      </c>
      <c r="H1507">
        <v>166</v>
      </c>
      <c r="I1507" t="s">
        <v>2479</v>
      </c>
      <c r="J1507">
        <v>0</v>
      </c>
      <c r="K1507">
        <v>22</v>
      </c>
      <c r="L1507">
        <v>22</v>
      </c>
      <c r="Q1507">
        <v>0</v>
      </c>
      <c r="R1507">
        <v>0</v>
      </c>
      <c r="S1507">
        <v>22</v>
      </c>
      <c r="Y1507" t="s">
        <v>3174</v>
      </c>
      <c r="Z1507" t="s">
        <v>10684</v>
      </c>
      <c r="AA1507" t="s">
        <v>5606</v>
      </c>
      <c r="AB1507" t="s">
        <v>4541</v>
      </c>
      <c r="AC1507" t="s">
        <v>4538</v>
      </c>
      <c r="AD1507" s="249" t="str">
        <f>HYPERLINK("https://scontent.cdninstagram.com/t51.2885-15/s320x320/e35/20837667_1462737653819595_3732576865148207104_n.jpg")</f>
        <v>https://scontent.cdninstagram.com/t51.2885-15/s320x320/e35/20837667_1462737653819595_3732576865148207104_n.jpg</v>
      </c>
      <c r="AE1507" s="249" t="str">
        <f>HYPERLINK("https://scontent.cdninstagram.com/t51.2885-19/s150x150/20399028_1624608414236560_533007696291430400_a.jpg")</f>
        <v>https://scontent.cdninstagram.com/t51.2885-19/s150x150/20399028_1624608414236560_533007696291430400_a.jpg</v>
      </c>
    </row>
    <row r="1508" spans="1:31" ht="15" x14ac:dyDescent="0.25">
      <c r="A1508" t="s">
        <v>2474</v>
      </c>
      <c r="B1508" t="s">
        <v>10685</v>
      </c>
      <c r="C1508" s="221">
        <v>42965.701053240744</v>
      </c>
      <c r="D1508" t="s">
        <v>10686</v>
      </c>
      <c r="E1508" s="249" t="str">
        <f>HYPERLINK("https://www.instagram.com/p/BX8vsgwhIcX/")</f>
        <v>https://www.instagram.com/p/BX8vsgwhIcX/</v>
      </c>
      <c r="F1508" t="s">
        <v>10687</v>
      </c>
      <c r="G1508" t="s">
        <v>2478</v>
      </c>
      <c r="H1508">
        <v>132</v>
      </c>
      <c r="I1508" t="s">
        <v>3898</v>
      </c>
      <c r="J1508">
        <v>0</v>
      </c>
      <c r="K1508">
        <v>6</v>
      </c>
      <c r="L1508">
        <v>6</v>
      </c>
      <c r="Q1508">
        <v>0</v>
      </c>
      <c r="R1508">
        <v>0</v>
      </c>
      <c r="S1508">
        <v>6</v>
      </c>
      <c r="Y1508" t="s">
        <v>10688</v>
      </c>
      <c r="Z1508" t="s">
        <v>10689</v>
      </c>
      <c r="AA1508" t="s">
        <v>2575</v>
      </c>
      <c r="AB1508" t="s">
        <v>10690</v>
      </c>
      <c r="AC1508" t="s">
        <v>2497</v>
      </c>
      <c r="AD1508" s="249" t="str">
        <f>HYPERLINK("https://scontent.cdninstagram.com/t51.2885-15/s320x320/e35/20969179_273620543121088_2892455277498466304_n.jpg")</f>
        <v>https://scontent.cdninstagram.com/t51.2885-15/s320x320/e35/20969179_273620543121088_2892455277498466304_n.jpg</v>
      </c>
      <c r="AE1508" s="249" t="str">
        <f>HYPERLINK("https://scontent.cdninstagram.com/t51.2885-19/s150x150/14498953_572704416251770_521452533458141184_a.jpg")</f>
        <v>https://scontent.cdninstagram.com/t51.2885-19/s150x150/14498953_572704416251770_521452533458141184_a.jpg</v>
      </c>
    </row>
    <row r="1509" spans="1:31" ht="15" x14ac:dyDescent="0.25">
      <c r="A1509" t="s">
        <v>2474</v>
      </c>
      <c r="B1509" t="s">
        <v>4616</v>
      </c>
      <c r="C1509" s="221">
        <v>42965.705208333333</v>
      </c>
      <c r="D1509" t="s">
        <v>10691</v>
      </c>
      <c r="E1509" s="249" t="str">
        <f>HYPERLINK("https://www.instagram.com/p/BX8wYZABnBE/")</f>
        <v>https://www.instagram.com/p/BX8wYZABnBE/</v>
      </c>
      <c r="F1509" t="s">
        <v>10692</v>
      </c>
      <c r="G1509" t="s">
        <v>2478</v>
      </c>
      <c r="H1509">
        <v>117</v>
      </c>
      <c r="I1509" t="s">
        <v>2479</v>
      </c>
      <c r="J1509">
        <v>0</v>
      </c>
      <c r="K1509">
        <v>30</v>
      </c>
      <c r="L1509">
        <v>30</v>
      </c>
      <c r="Q1509">
        <v>0</v>
      </c>
      <c r="R1509">
        <v>0</v>
      </c>
      <c r="S1509">
        <v>30</v>
      </c>
      <c r="T1509" t="s">
        <v>7823</v>
      </c>
      <c r="V1509" t="s">
        <v>2125</v>
      </c>
      <c r="W1509">
        <v>45</v>
      </c>
      <c r="X1509">
        <v>-79.3</v>
      </c>
      <c r="Y1509" t="s">
        <v>3174</v>
      </c>
      <c r="Z1509" t="s">
        <v>4620</v>
      </c>
      <c r="AA1509" t="s">
        <v>4623</v>
      </c>
      <c r="AB1509" t="s">
        <v>2944</v>
      </c>
      <c r="AC1509" t="s">
        <v>2866</v>
      </c>
      <c r="AD1509" s="249" t="str">
        <f>HYPERLINK("https://scontent.cdninstagram.com/t51.2885-15/s320x320/e35/c135.0.810.810/20838894_474863236221010_5358245475860348928_n.jpg")</f>
        <v>https://scontent.cdninstagram.com/t51.2885-15/s320x320/e35/c135.0.810.810/20838894_474863236221010_5358245475860348928_n.jpg</v>
      </c>
      <c r="AE1509" s="249" t="str">
        <f>HYPERLINK("https://scontent.cdninstagram.com/t51.2885-19/s150x150/17494353_1347957098574282_2527511313651859456_a.jpg")</f>
        <v>https://scontent.cdninstagram.com/t51.2885-19/s150x150/17494353_1347957098574282_2527511313651859456_a.jpg</v>
      </c>
    </row>
    <row r="1510" spans="1:31" ht="15" x14ac:dyDescent="0.25">
      <c r="A1510" t="s">
        <v>2474</v>
      </c>
      <c r="B1510" t="s">
        <v>10693</v>
      </c>
      <c r="C1510" s="221">
        <v>42965.711388888885</v>
      </c>
      <c r="D1510" t="s">
        <v>10694</v>
      </c>
      <c r="E1510" s="249" t="str">
        <f>HYPERLINK("https://www.instagram.com/p/BX8xZl8DCPD/")</f>
        <v>https://www.instagram.com/p/BX8xZl8DCPD/</v>
      </c>
      <c r="F1510" t="s">
        <v>10695</v>
      </c>
      <c r="G1510" t="s">
        <v>2478</v>
      </c>
      <c r="H1510">
        <v>215</v>
      </c>
      <c r="I1510" t="s">
        <v>2479</v>
      </c>
      <c r="J1510">
        <v>0</v>
      </c>
      <c r="K1510">
        <v>14</v>
      </c>
      <c r="L1510">
        <v>14</v>
      </c>
      <c r="Q1510">
        <v>0</v>
      </c>
      <c r="R1510">
        <v>0</v>
      </c>
      <c r="S1510">
        <v>14</v>
      </c>
      <c r="Y1510" t="s">
        <v>5706</v>
      </c>
      <c r="Z1510" t="s">
        <v>10696</v>
      </c>
      <c r="AA1510" t="s">
        <v>4645</v>
      </c>
      <c r="AB1510" t="s">
        <v>10697</v>
      </c>
      <c r="AC1510" t="s">
        <v>10698</v>
      </c>
      <c r="AD1510" s="249" t="str">
        <f>HYPERLINK("https://scontent.cdninstagram.com/t51.2885-15/s320x320/e35/20839037_1967827046808298_8535699398548520960_n.jpg")</f>
        <v>https://scontent.cdninstagram.com/t51.2885-15/s320x320/e35/20839037_1967827046808298_8535699398548520960_n.jpg</v>
      </c>
      <c r="AE1510" s="249" t="str">
        <f>HYPERLINK("https://scontent.cdninstagram.com/t51.2885-19/s150x150/14515772_196944714089653_4406796347328430080_a.jpg")</f>
        <v>https://scontent.cdninstagram.com/t51.2885-19/s150x150/14515772_196944714089653_4406796347328430080_a.jpg</v>
      </c>
    </row>
    <row r="1511" spans="1:31" ht="15" x14ac:dyDescent="0.25">
      <c r="A1511" t="s">
        <v>2474</v>
      </c>
      <c r="B1511" t="s">
        <v>10699</v>
      </c>
      <c r="C1511" s="221">
        <v>42965.717210648145</v>
      </c>
      <c r="D1511" t="s">
        <v>10700</v>
      </c>
      <c r="E1511" s="249" t="str">
        <f>HYPERLINK("https://www.instagram.com/p/BX8yW7XgDtY/")</f>
        <v>https://www.instagram.com/p/BX8yW7XgDtY/</v>
      </c>
      <c r="F1511" t="s">
        <v>10701</v>
      </c>
      <c r="G1511" t="s">
        <v>2478</v>
      </c>
      <c r="H1511">
        <v>42</v>
      </c>
      <c r="I1511" t="s">
        <v>2542</v>
      </c>
      <c r="J1511">
        <v>5</v>
      </c>
      <c r="K1511">
        <v>17</v>
      </c>
      <c r="L1511">
        <v>22</v>
      </c>
      <c r="Q1511">
        <v>0</v>
      </c>
      <c r="R1511">
        <v>0</v>
      </c>
      <c r="S1511">
        <v>22</v>
      </c>
      <c r="Y1511" t="s">
        <v>3132</v>
      </c>
      <c r="Z1511" t="s">
        <v>10702</v>
      </c>
      <c r="AA1511" t="s">
        <v>10703</v>
      </c>
      <c r="AB1511" t="s">
        <v>2497</v>
      </c>
      <c r="AD1511" s="249" t="str">
        <f>HYPERLINK("https://scontent.cdninstagram.com/t51.2885-15/s320x320/e35/c0.135.1080.1080/20838358_355002251586706_6439566809036226560_n.jpg")</f>
        <v>https://scontent.cdninstagram.com/t51.2885-15/s320x320/e35/c0.135.1080.1080/20838358_355002251586706_6439566809036226560_n.jpg</v>
      </c>
      <c r="AE1511" s="249" t="str">
        <f>HYPERLINK("https://scontent.cdninstagram.com/t51.2885-19/s150x150/20634623_1543513402353370_5627569637903302656_a.jpg")</f>
        <v>https://scontent.cdninstagram.com/t51.2885-19/s150x150/20634623_1543513402353370_5627569637903302656_a.jpg</v>
      </c>
    </row>
    <row r="1512" spans="1:31" ht="15" x14ac:dyDescent="0.25">
      <c r="A1512" t="s">
        <v>2474</v>
      </c>
      <c r="B1512" t="s">
        <v>10704</v>
      </c>
      <c r="C1512" s="221">
        <v>42965.7341087963</v>
      </c>
      <c r="D1512" t="s">
        <v>10705</v>
      </c>
      <c r="E1512" s="249" t="str">
        <f>HYPERLINK("https://www.instagram.com/p/BX81JH-DzIk/")</f>
        <v>https://www.instagram.com/p/BX81JH-DzIk/</v>
      </c>
      <c r="F1512" t="s">
        <v>10706</v>
      </c>
      <c r="G1512" t="s">
        <v>2478</v>
      </c>
      <c r="H1512">
        <v>134</v>
      </c>
      <c r="I1512" t="s">
        <v>2479</v>
      </c>
      <c r="J1512">
        <v>2</v>
      </c>
      <c r="K1512">
        <v>14</v>
      </c>
      <c r="L1512">
        <v>16</v>
      </c>
      <c r="Q1512">
        <v>0</v>
      </c>
      <c r="R1512">
        <v>0</v>
      </c>
      <c r="S1512">
        <v>16</v>
      </c>
      <c r="Y1512" t="s">
        <v>2497</v>
      </c>
      <c r="Z1512" t="s">
        <v>2673</v>
      </c>
      <c r="AD1512" s="249" t="str">
        <f>HYPERLINK("https://scontent.cdninstagram.com/t51.2885-15/s320x320/e35/c0.112.898.898/20969231_230850560771971_1716138330116063232_n.jpg")</f>
        <v>https://scontent.cdninstagram.com/t51.2885-15/s320x320/e35/c0.112.898.898/20969231_230850560771971_1716138330116063232_n.jpg</v>
      </c>
      <c r="AE1512" s="249" t="str">
        <f>HYPERLINK("https://scontent.cdninstagram.com/t51.2885-19/s150x150/14515866_672004693010489_4184949896236761088_a.jpg")</f>
        <v>https://scontent.cdninstagram.com/t51.2885-19/s150x150/14515866_672004693010489_4184949896236761088_a.jpg</v>
      </c>
    </row>
    <row r="1513" spans="1:31" ht="15" x14ac:dyDescent="0.25">
      <c r="A1513" t="s">
        <v>2474</v>
      </c>
      <c r="B1513" t="s">
        <v>10707</v>
      </c>
      <c r="C1513" s="221">
        <v>42965.735914351855</v>
      </c>
      <c r="D1513" t="s">
        <v>10708</v>
      </c>
      <c r="E1513" s="249" t="str">
        <f>HYPERLINK("https://www.instagram.com/p/BX81cMzHMbm/")</f>
        <v>https://www.instagram.com/p/BX81cMzHMbm/</v>
      </c>
      <c r="F1513" t="s">
        <v>10709</v>
      </c>
      <c r="G1513" t="s">
        <v>2478</v>
      </c>
      <c r="I1513" t="s">
        <v>3575</v>
      </c>
      <c r="J1513">
        <v>1</v>
      </c>
      <c r="K1513">
        <v>134</v>
      </c>
      <c r="L1513">
        <v>135</v>
      </c>
      <c r="Q1513">
        <v>0</v>
      </c>
      <c r="R1513">
        <v>0</v>
      </c>
      <c r="S1513">
        <v>135</v>
      </c>
      <c r="T1513" t="s">
        <v>10710</v>
      </c>
      <c r="V1513" t="s">
        <v>2264</v>
      </c>
      <c r="W1513">
        <v>37.377200000000002</v>
      </c>
      <c r="X1513">
        <v>-5.9869399999999997</v>
      </c>
      <c r="Y1513" t="s">
        <v>10711</v>
      </c>
      <c r="Z1513" t="s">
        <v>10712</v>
      </c>
      <c r="AA1513" t="s">
        <v>10713</v>
      </c>
      <c r="AB1513" t="s">
        <v>2497</v>
      </c>
      <c r="AC1513" t="s">
        <v>10714</v>
      </c>
      <c r="AD1513" s="249" t="str">
        <f>HYPERLINK("https://scontent.cdninstagram.com/t51.2885-15/s320x320/e35/c0.134.1080.1080/20839075_1385103298275677_5035300932049436672_n.jpg")</f>
        <v>https://scontent.cdninstagram.com/t51.2885-15/s320x320/e35/c0.134.1080.1080/20839075_1385103298275677_5035300932049436672_n.jpg</v>
      </c>
      <c r="AE1513" s="249" t="str">
        <f>HYPERLINK("https://scontent.cdninstagram.com/t51.2885-19/s150x150/18013245_125575667988939_8233792119949492224_a.jpg")</f>
        <v>https://scontent.cdninstagram.com/t51.2885-19/s150x150/18013245_125575667988939_8233792119949492224_a.jpg</v>
      </c>
    </row>
    <row r="1514" spans="1:31" ht="15" x14ac:dyDescent="0.25">
      <c r="A1514" t="s">
        <v>2474</v>
      </c>
      <c r="B1514" t="s">
        <v>10715</v>
      </c>
      <c r="C1514" s="221">
        <v>42965.736643518518</v>
      </c>
      <c r="D1514" t="s">
        <v>10716</v>
      </c>
      <c r="E1514" s="249" t="str">
        <f>HYPERLINK("https://www.instagram.com/p/BX81j8vgFMx/")</f>
        <v>https://www.instagram.com/p/BX81j8vgFMx/</v>
      </c>
      <c r="F1514" t="s">
        <v>10717</v>
      </c>
      <c r="G1514" t="s">
        <v>2488</v>
      </c>
      <c r="H1514">
        <v>208</v>
      </c>
      <c r="I1514" t="s">
        <v>2479</v>
      </c>
      <c r="J1514">
        <v>1</v>
      </c>
      <c r="K1514">
        <v>41</v>
      </c>
      <c r="L1514">
        <v>42</v>
      </c>
      <c r="Q1514">
        <v>0</v>
      </c>
      <c r="R1514">
        <v>0</v>
      </c>
      <c r="S1514">
        <v>42</v>
      </c>
      <c r="Y1514" t="s">
        <v>10718</v>
      </c>
      <c r="Z1514" t="s">
        <v>10719</v>
      </c>
      <c r="AA1514" t="s">
        <v>10720</v>
      </c>
      <c r="AB1514" t="s">
        <v>10721</v>
      </c>
      <c r="AC1514" t="s">
        <v>2497</v>
      </c>
      <c r="AD1514" s="249" t="str">
        <f>HYPERLINK("https://scontent.cdninstagram.com/t51.2885-15/s320x320/e35/20902016_1960742317527860_6171655313276534784_n.jpg")</f>
        <v>https://scontent.cdninstagram.com/t51.2885-15/s320x320/e35/20902016_1960742317527860_6171655313276534784_n.jpg</v>
      </c>
      <c r="AE1514" s="249" t="str">
        <f>HYPERLINK("https://scontent.cdninstagram.com/t51.2885-19/s150x150/20986786_1674877782524790_247375268547657728_a.jpg")</f>
        <v>https://scontent.cdninstagram.com/t51.2885-19/s150x150/20986786_1674877782524790_247375268547657728_a.jpg</v>
      </c>
    </row>
    <row r="1515" spans="1:31" ht="15" x14ac:dyDescent="0.25">
      <c r="A1515" t="s">
        <v>2474</v>
      </c>
      <c r="B1515" t="s">
        <v>10722</v>
      </c>
      <c r="C1515" s="221">
        <v>42965.744340277779</v>
      </c>
      <c r="D1515" t="s">
        <v>10723</v>
      </c>
      <c r="E1515" s="249" t="str">
        <f>HYPERLINK("https://www.instagram.com/p/BX821JFhtV1/")</f>
        <v>https://www.instagram.com/p/BX821JFhtV1/</v>
      </c>
      <c r="F1515" t="s">
        <v>10724</v>
      </c>
      <c r="G1515" t="s">
        <v>2478</v>
      </c>
      <c r="H1515">
        <v>1070</v>
      </c>
      <c r="I1515" t="s">
        <v>2479</v>
      </c>
      <c r="J1515">
        <v>1</v>
      </c>
      <c r="K1515">
        <v>73</v>
      </c>
      <c r="L1515">
        <v>74</v>
      </c>
      <c r="Q1515">
        <v>0</v>
      </c>
      <c r="R1515">
        <v>0</v>
      </c>
      <c r="S1515">
        <v>74</v>
      </c>
      <c r="T1515" t="s">
        <v>10725</v>
      </c>
      <c r="V1515" t="s">
        <v>2137</v>
      </c>
      <c r="W1515">
        <v>43.799744037220997</v>
      </c>
      <c r="X1515">
        <v>15.657738047775</v>
      </c>
      <c r="Y1515" t="s">
        <v>4043</v>
      </c>
      <c r="Z1515" t="s">
        <v>10726</v>
      </c>
      <c r="AA1515" t="s">
        <v>10727</v>
      </c>
      <c r="AB1515" t="s">
        <v>2497</v>
      </c>
      <c r="AC1515" t="s">
        <v>10728</v>
      </c>
      <c r="AD1515" s="249" t="str">
        <f>HYPERLINK("https://scontent.cdninstagram.com/t51.2885-15/s320x320/e35/20838269_258930287951980_7293938389504491520_n.jpg")</f>
        <v>https://scontent.cdninstagram.com/t51.2885-15/s320x320/e35/20838269_258930287951980_7293938389504491520_n.jpg</v>
      </c>
      <c r="AE1515" s="249" t="str">
        <f>HYPERLINK("https://scontent.cdninstagram.com/t51.2885-19/s150x150/16583131_697411357086227_3179589771269767168_a.jpg")</f>
        <v>https://scontent.cdninstagram.com/t51.2885-19/s150x150/16583131_697411357086227_3179589771269767168_a.jpg</v>
      </c>
    </row>
    <row r="1516" spans="1:31" ht="15" x14ac:dyDescent="0.25">
      <c r="A1516" t="s">
        <v>2474</v>
      </c>
      <c r="B1516" t="s">
        <v>10729</v>
      </c>
      <c r="C1516" s="221">
        <v>42965.755868055552</v>
      </c>
      <c r="D1516" t="s">
        <v>10730</v>
      </c>
      <c r="E1516" s="249" t="str">
        <f>HYPERLINK("https://www.instagram.com/p/BX84upGlH_2/")</f>
        <v>https://www.instagram.com/p/BX84upGlH_2/</v>
      </c>
      <c r="F1516" t="s">
        <v>10731</v>
      </c>
      <c r="G1516" t="s">
        <v>2478</v>
      </c>
      <c r="H1516">
        <v>1943</v>
      </c>
      <c r="I1516" t="s">
        <v>2479</v>
      </c>
      <c r="J1516">
        <v>4</v>
      </c>
      <c r="K1516">
        <v>83</v>
      </c>
      <c r="L1516">
        <v>87</v>
      </c>
      <c r="Q1516">
        <v>0</v>
      </c>
      <c r="R1516">
        <v>0</v>
      </c>
      <c r="S1516">
        <v>87</v>
      </c>
      <c r="Y1516" t="s">
        <v>4582</v>
      </c>
      <c r="Z1516" t="s">
        <v>10732</v>
      </c>
      <c r="AA1516" t="s">
        <v>10733</v>
      </c>
      <c r="AB1516" t="s">
        <v>10734</v>
      </c>
      <c r="AC1516" t="s">
        <v>10735</v>
      </c>
      <c r="AD1516" s="249" t="str">
        <f>HYPERLINK("https://scontent.cdninstagram.com/t51.2885-15/s320x320/e35/c68.0.614.614/20905102_1552155244806751_2158963013250449408_n.jpg")</f>
        <v>https://scontent.cdninstagram.com/t51.2885-15/s320x320/e35/c68.0.614.614/20905102_1552155244806751_2158963013250449408_n.jpg</v>
      </c>
      <c r="AE1516" s="249" t="str">
        <f>HYPERLINK("https://scontent.cdninstagram.com/t51.2885-19/s150x150/20986894_311816229228409_8496063331512090624_a.jpg")</f>
        <v>https://scontent.cdninstagram.com/t51.2885-19/s150x150/20986894_311816229228409_8496063331512090624_a.jpg</v>
      </c>
    </row>
    <row r="1517" spans="1:31" ht="15" x14ac:dyDescent="0.25">
      <c r="A1517" t="s">
        <v>2474</v>
      </c>
      <c r="B1517" t="s">
        <v>10736</v>
      </c>
      <c r="C1517" s="221">
        <v>42965.774456018517</v>
      </c>
      <c r="D1517" t="s">
        <v>10737</v>
      </c>
      <c r="E1517" s="249" t="str">
        <f>HYPERLINK("https://www.instagram.com/p/BX87ywuAxaD/")</f>
        <v>https://www.instagram.com/p/BX87ywuAxaD/</v>
      </c>
      <c r="F1517" t="s">
        <v>10738</v>
      </c>
      <c r="G1517" t="s">
        <v>2478</v>
      </c>
      <c r="H1517">
        <v>186</v>
      </c>
      <c r="I1517" t="s">
        <v>2479</v>
      </c>
      <c r="J1517">
        <v>0</v>
      </c>
      <c r="K1517">
        <v>9</v>
      </c>
      <c r="L1517">
        <v>9</v>
      </c>
      <c r="Q1517">
        <v>0</v>
      </c>
      <c r="R1517">
        <v>0</v>
      </c>
      <c r="S1517">
        <v>9</v>
      </c>
      <c r="Y1517" t="s">
        <v>2497</v>
      </c>
      <c r="Z1517" t="s">
        <v>10739</v>
      </c>
      <c r="AA1517" t="s">
        <v>10736</v>
      </c>
      <c r="AD1517" s="249" t="str">
        <f>HYPERLINK("https://scontent.cdninstagram.com/t51.2885-15/s320x320/e35/20839075_1634245036606154_4671044047006072832_n.jpg")</f>
        <v>https://scontent.cdninstagram.com/t51.2885-15/s320x320/e35/20839075_1634245036606154_4671044047006072832_n.jpg</v>
      </c>
      <c r="AE1517" s="249" t="str">
        <f>HYPERLINK("https://scontent.cdninstagram.com/t51.2885-19/s150x150/14099257_273302949721135_1868814294_a.jpg")</f>
        <v>https://scontent.cdninstagram.com/t51.2885-19/s150x150/14099257_273302949721135_1868814294_a.jpg</v>
      </c>
    </row>
    <row r="1518" spans="1:31" ht="15" x14ac:dyDescent="0.25">
      <c r="A1518" t="s">
        <v>2474</v>
      </c>
      <c r="B1518" t="s">
        <v>7152</v>
      </c>
      <c r="C1518" s="221">
        <v>42965.813877314817</v>
      </c>
      <c r="D1518" t="s">
        <v>10740</v>
      </c>
      <c r="E1518" s="249" t="str">
        <f>HYPERLINK("https://www.instagram.com/p/BX9CSgYjuxx/")</f>
        <v>https://www.instagram.com/p/BX9CSgYjuxx/</v>
      </c>
      <c r="F1518" t="s">
        <v>10741</v>
      </c>
      <c r="G1518" t="s">
        <v>2478</v>
      </c>
      <c r="H1518">
        <v>109</v>
      </c>
      <c r="I1518" t="s">
        <v>2479</v>
      </c>
      <c r="J1518">
        <v>2</v>
      </c>
      <c r="K1518">
        <v>18</v>
      </c>
      <c r="L1518">
        <v>20</v>
      </c>
      <c r="Q1518">
        <v>0</v>
      </c>
      <c r="R1518">
        <v>0</v>
      </c>
      <c r="S1518">
        <v>20</v>
      </c>
      <c r="Y1518" t="s">
        <v>7900</v>
      </c>
      <c r="Z1518" t="s">
        <v>4419</v>
      </c>
      <c r="AA1518" t="s">
        <v>6391</v>
      </c>
      <c r="AB1518" t="s">
        <v>5383</v>
      </c>
      <c r="AC1518" t="s">
        <v>2497</v>
      </c>
      <c r="AD1518" s="249" t="str">
        <f>HYPERLINK("https://scontent.cdninstagram.com/t51.2885-15/s320x320/e35/20902599_426882697707522_4833924170536452096_n.jpg")</f>
        <v>https://scontent.cdninstagram.com/t51.2885-15/s320x320/e35/20902599_426882697707522_4833924170536452096_n.jpg</v>
      </c>
      <c r="AE1518" s="249" t="str">
        <f>HYPERLINK("https://scontent.cdninstagram.com/t51.2885-19/s150x150/20181062_1791856511105718_4709893984703479808_a.jpg")</f>
        <v>https://scontent.cdninstagram.com/t51.2885-19/s150x150/20181062_1791856511105718_4709893984703479808_a.jpg</v>
      </c>
    </row>
    <row r="1519" spans="1:31" ht="15" x14ac:dyDescent="0.25">
      <c r="A1519" t="s">
        <v>2474</v>
      </c>
      <c r="B1519" t="s">
        <v>3248</v>
      </c>
      <c r="C1519" s="221">
        <v>42965.828113425923</v>
      </c>
      <c r="D1519" t="s">
        <v>10742</v>
      </c>
      <c r="E1519" s="249" t="str">
        <f>HYPERLINK("https://www.instagram.com/p/BX9Eom4HpTw/")</f>
        <v>https://www.instagram.com/p/BX9Eom4HpTw/</v>
      </c>
      <c r="F1519" t="s">
        <v>10743</v>
      </c>
      <c r="G1519" t="s">
        <v>2478</v>
      </c>
      <c r="H1519">
        <v>31394</v>
      </c>
      <c r="I1519" t="s">
        <v>2479</v>
      </c>
      <c r="J1519">
        <v>7</v>
      </c>
      <c r="K1519">
        <v>585</v>
      </c>
      <c r="L1519">
        <v>592</v>
      </c>
      <c r="Q1519">
        <v>0</v>
      </c>
      <c r="R1519">
        <v>0</v>
      </c>
      <c r="S1519">
        <v>592</v>
      </c>
      <c r="AD1519" s="249" t="str">
        <f>HYPERLINK("https://scontent.cdninstagram.com/t51.2885-15/s320x320/e35/c0.32.1080.1080/20838243_1567392349990270_4420442291651477504_n.jpg")</f>
        <v>https://scontent.cdninstagram.com/t51.2885-15/s320x320/e35/c0.32.1080.1080/20838243_1567392349990270_4420442291651477504_n.jpg</v>
      </c>
      <c r="AE1519" s="249" t="str">
        <f>HYPERLINK("https://scontent.cdninstagram.com/t51.2885-19/s150x150/16229301_1876915245885793_5124596849776263168_n.jpg")</f>
        <v>https://scontent.cdninstagram.com/t51.2885-19/s150x150/16229301_1876915245885793_5124596849776263168_n.jpg</v>
      </c>
    </row>
    <row r="1520" spans="1:31" ht="15" x14ac:dyDescent="0.25">
      <c r="A1520" t="s">
        <v>2474</v>
      </c>
      <c r="B1520" t="s">
        <v>10744</v>
      </c>
      <c r="C1520" s="221">
        <v>42965.850381944445</v>
      </c>
      <c r="D1520" t="s">
        <v>10745</v>
      </c>
      <c r="E1520" s="249" t="str">
        <f>HYPERLINK("https://www.instagram.com/p/BX9ITfUlNrN/")</f>
        <v>https://www.instagram.com/p/BX9ITfUlNrN/</v>
      </c>
      <c r="F1520" t="s">
        <v>10746</v>
      </c>
      <c r="G1520" t="s">
        <v>2478</v>
      </c>
      <c r="H1520">
        <v>187</v>
      </c>
      <c r="I1520" t="s">
        <v>2903</v>
      </c>
      <c r="J1520">
        <v>3</v>
      </c>
      <c r="K1520">
        <v>22</v>
      </c>
      <c r="L1520">
        <v>25</v>
      </c>
      <c r="Q1520">
        <v>0</v>
      </c>
      <c r="R1520">
        <v>0</v>
      </c>
      <c r="S1520">
        <v>25</v>
      </c>
      <c r="Y1520" t="s">
        <v>3110</v>
      </c>
      <c r="Z1520" t="s">
        <v>7490</v>
      </c>
      <c r="AA1520" t="s">
        <v>5924</v>
      </c>
      <c r="AB1520" t="s">
        <v>3885</v>
      </c>
      <c r="AC1520" t="s">
        <v>2696</v>
      </c>
      <c r="AD1520" s="249" t="str">
        <f>HYPERLINK("https://scontent.cdninstagram.com/t51.2885-15/s320x320/e35/20905378_1903265726590323_2039321485130072064_n.jpg")</f>
        <v>https://scontent.cdninstagram.com/t51.2885-15/s320x320/e35/20905378_1903265726590323_2039321485130072064_n.jpg</v>
      </c>
      <c r="AE1520" s="249" t="str">
        <f>HYPERLINK("https://scontent.cdninstagram.com/t51.2885-19/s150x150/20213813_344846052612243_1171122777143377920_a.jpg")</f>
        <v>https://scontent.cdninstagram.com/t51.2885-19/s150x150/20213813_344846052612243_1171122777143377920_a.jpg</v>
      </c>
    </row>
    <row r="1521" spans="1:31" ht="15" x14ac:dyDescent="0.25">
      <c r="A1521" t="s">
        <v>2474</v>
      </c>
      <c r="B1521" t="s">
        <v>10747</v>
      </c>
      <c r="C1521" s="221">
        <v>42965.869791666664</v>
      </c>
      <c r="D1521" t="s">
        <v>10748</v>
      </c>
      <c r="E1521" s="249" t="str">
        <f>HYPERLINK("https://www.instagram.com/p/BX9LgJ-DaZN/")</f>
        <v>https://www.instagram.com/p/BX9LgJ-DaZN/</v>
      </c>
      <c r="F1521" t="s">
        <v>10749</v>
      </c>
      <c r="G1521" t="s">
        <v>2478</v>
      </c>
      <c r="H1521">
        <v>458</v>
      </c>
      <c r="I1521" t="s">
        <v>2479</v>
      </c>
      <c r="J1521">
        <v>0</v>
      </c>
      <c r="K1521">
        <v>9</v>
      </c>
      <c r="L1521">
        <v>9</v>
      </c>
      <c r="Q1521">
        <v>0</v>
      </c>
      <c r="R1521">
        <v>0</v>
      </c>
      <c r="S1521">
        <v>9</v>
      </c>
      <c r="T1521" t="s">
        <v>10750</v>
      </c>
      <c r="U1521" t="s">
        <v>306</v>
      </c>
      <c r="V1521" t="s">
        <v>2299</v>
      </c>
      <c r="W1521">
        <v>35.019085994039997</v>
      </c>
      <c r="X1521">
        <v>-85.263054699964002</v>
      </c>
      <c r="Y1521" t="s">
        <v>4939</v>
      </c>
      <c r="Z1521" t="s">
        <v>10751</v>
      </c>
      <c r="AA1521" t="s">
        <v>2497</v>
      </c>
      <c r="AB1521" t="s">
        <v>10752</v>
      </c>
      <c r="AC1521" t="s">
        <v>5108</v>
      </c>
      <c r="AD1521" s="249" t="str">
        <f>HYPERLINK("https://scontent.cdninstagram.com/t51.2885-15/s320x320/e35/20902531_462040654158424_5289755620960894976_n.jpg")</f>
        <v>https://scontent.cdninstagram.com/t51.2885-15/s320x320/e35/20902531_462040654158424_5289755620960894976_n.jpg</v>
      </c>
      <c r="AE1521" s="249" t="str">
        <f>HYPERLINK("https://scontent.cdninstagram.com/t51.2885-19/s150x150/20837064_1380805861968290_3841903672824954880_a.jpg")</f>
        <v>https://scontent.cdninstagram.com/t51.2885-19/s150x150/20837064_1380805861968290_3841903672824954880_a.jpg</v>
      </c>
    </row>
    <row r="1522" spans="1:31" ht="15" x14ac:dyDescent="0.25">
      <c r="A1522" t="s">
        <v>2474</v>
      </c>
      <c r="B1522" t="s">
        <v>10753</v>
      </c>
      <c r="C1522" s="221">
        <v>42965.87228009259</v>
      </c>
      <c r="D1522" t="s">
        <v>10754</v>
      </c>
      <c r="E1522" s="249" t="str">
        <f>HYPERLINK("https://www.instagram.com/p/BX9L6aRlsVF/")</f>
        <v>https://www.instagram.com/p/BX9L6aRlsVF/</v>
      </c>
      <c r="F1522" t="s">
        <v>10755</v>
      </c>
      <c r="G1522" t="s">
        <v>2478</v>
      </c>
      <c r="H1522">
        <v>336</v>
      </c>
      <c r="I1522" t="s">
        <v>3898</v>
      </c>
      <c r="J1522">
        <v>0</v>
      </c>
      <c r="K1522">
        <v>14</v>
      </c>
      <c r="L1522">
        <v>14</v>
      </c>
      <c r="Q1522">
        <v>0</v>
      </c>
      <c r="R1522">
        <v>0</v>
      </c>
      <c r="S1522">
        <v>14</v>
      </c>
      <c r="Y1522" t="s">
        <v>3174</v>
      </c>
      <c r="Z1522" t="s">
        <v>4620</v>
      </c>
      <c r="AA1522" t="s">
        <v>2735</v>
      </c>
      <c r="AB1522" t="s">
        <v>6890</v>
      </c>
      <c r="AC1522" t="s">
        <v>6922</v>
      </c>
      <c r="AD1522" s="249" t="str">
        <f>HYPERLINK("https://scontent.cdninstagram.com/t51.2885-15/s320x320/e35/20968542_277328496078021_4169045430476210176_n.jpg")</f>
        <v>https://scontent.cdninstagram.com/t51.2885-15/s320x320/e35/20968542_277328496078021_4169045430476210176_n.jpg</v>
      </c>
      <c r="AE1522" s="249" t="str">
        <f>HYPERLINK("https://scontent.cdninstagram.com/t51.2885-19/s150x150/21107184_879230492225259_4490052836662444032_a.jpg")</f>
        <v>https://scontent.cdninstagram.com/t51.2885-19/s150x150/21107184_879230492225259_4490052836662444032_a.jpg</v>
      </c>
    </row>
    <row r="1523" spans="1:31" ht="15" x14ac:dyDescent="0.25">
      <c r="A1523" t="s">
        <v>2474</v>
      </c>
      <c r="B1523" t="s">
        <v>10756</v>
      </c>
      <c r="C1523" s="221">
        <v>42965.872650462959</v>
      </c>
      <c r="D1523" t="s">
        <v>10757</v>
      </c>
      <c r="E1523" s="249" t="str">
        <f>HYPERLINK("https://www.instagram.com/p/BX9L-bFFLGb/")</f>
        <v>https://www.instagram.com/p/BX9L-bFFLGb/</v>
      </c>
      <c r="F1523" t="s">
        <v>10758</v>
      </c>
      <c r="G1523" t="s">
        <v>2478</v>
      </c>
      <c r="H1523">
        <v>315</v>
      </c>
      <c r="I1523" t="s">
        <v>2479</v>
      </c>
      <c r="J1523">
        <v>1</v>
      </c>
      <c r="K1523">
        <v>11</v>
      </c>
      <c r="L1523">
        <v>12</v>
      </c>
      <c r="Q1523">
        <v>0</v>
      </c>
      <c r="R1523">
        <v>0</v>
      </c>
      <c r="S1523">
        <v>12</v>
      </c>
      <c r="Y1523" t="s">
        <v>2575</v>
      </c>
      <c r="Z1523" t="s">
        <v>6628</v>
      </c>
      <c r="AA1523" t="s">
        <v>9717</v>
      </c>
      <c r="AB1523" t="s">
        <v>10759</v>
      </c>
      <c r="AC1523" t="s">
        <v>3990</v>
      </c>
      <c r="AD1523" s="249" t="str">
        <f>HYPERLINK("https://scontent.cdninstagram.com/t51.2885-15/s320x320/e35/20986714_1929041024029330_3938831562753179648_n.jpg")</f>
        <v>https://scontent.cdninstagram.com/t51.2885-15/s320x320/e35/20986714_1929041024029330_3938831562753179648_n.jpg</v>
      </c>
      <c r="AE1523" s="249" t="str">
        <f>HYPERLINK("https://scontent.cdninstagram.com/t51.2885-19/s150x150/15403534_1200218303405300_99815520995377152_a.jpg")</f>
        <v>https://scontent.cdninstagram.com/t51.2885-19/s150x150/15403534_1200218303405300_99815520995377152_a.jpg</v>
      </c>
    </row>
    <row r="1524" spans="1:31" ht="15" x14ac:dyDescent="0.25">
      <c r="A1524" t="s">
        <v>2474</v>
      </c>
      <c r="B1524" t="s">
        <v>10760</v>
      </c>
      <c r="C1524" s="221">
        <v>42965.885324074072</v>
      </c>
      <c r="D1524" t="s">
        <v>10761</v>
      </c>
      <c r="E1524" s="249" t="str">
        <f>HYPERLINK("https://www.instagram.com/p/BX9OECTABhU/")</f>
        <v>https://www.instagram.com/p/BX9OECTABhU/</v>
      </c>
      <c r="F1524" t="s">
        <v>10762</v>
      </c>
      <c r="G1524" t="s">
        <v>2478</v>
      </c>
      <c r="H1524">
        <v>52</v>
      </c>
      <c r="I1524" t="s">
        <v>2479</v>
      </c>
      <c r="J1524">
        <v>6</v>
      </c>
      <c r="K1524">
        <v>64</v>
      </c>
      <c r="L1524">
        <v>70</v>
      </c>
      <c r="Q1524">
        <v>0</v>
      </c>
      <c r="R1524">
        <v>0</v>
      </c>
      <c r="S1524">
        <v>70</v>
      </c>
      <c r="Y1524" t="s">
        <v>5706</v>
      </c>
      <c r="Z1524" t="s">
        <v>3069</v>
      </c>
      <c r="AA1524" t="s">
        <v>2861</v>
      </c>
      <c r="AB1524" t="s">
        <v>10763</v>
      </c>
      <c r="AC1524" t="s">
        <v>2737</v>
      </c>
      <c r="AD1524" s="249" t="str">
        <f>HYPERLINK("https://scontent.cdninstagram.com/t51.2885-15/s320x320/e35/c0.135.1080.1080/20901990_110678822957018_7921584165449891840_n.jpg")</f>
        <v>https://scontent.cdninstagram.com/t51.2885-15/s320x320/e35/c0.135.1080.1080/20901990_110678822957018_7921584165449891840_n.jpg</v>
      </c>
      <c r="AE1524" s="249" t="str">
        <f>HYPERLINK("https://scontent.cdninstagram.com/t51.2885-19/s150x150/20184410_903575349781445_1842717196787122176_a.jpg")</f>
        <v>https://scontent.cdninstagram.com/t51.2885-19/s150x150/20184410_903575349781445_1842717196787122176_a.jpg</v>
      </c>
    </row>
    <row r="1525" spans="1:31" ht="15" x14ac:dyDescent="0.25">
      <c r="A1525" t="s">
        <v>2474</v>
      </c>
      <c r="B1525" t="s">
        <v>10764</v>
      </c>
      <c r="C1525" s="221">
        <v>42965.895914351851</v>
      </c>
      <c r="D1525" t="s">
        <v>10765</v>
      </c>
      <c r="E1525" s="249" t="str">
        <f>HYPERLINK("https://www.instagram.com/p/BX9PzusnAxH/")</f>
        <v>https://www.instagram.com/p/BX9PzusnAxH/</v>
      </c>
      <c r="F1525" t="s">
        <v>10766</v>
      </c>
      <c r="G1525" t="s">
        <v>2478</v>
      </c>
      <c r="H1525">
        <v>2172</v>
      </c>
      <c r="I1525" t="s">
        <v>2542</v>
      </c>
      <c r="J1525">
        <v>3</v>
      </c>
      <c r="K1525">
        <v>118</v>
      </c>
      <c r="L1525">
        <v>121</v>
      </c>
      <c r="Q1525">
        <v>0</v>
      </c>
      <c r="R1525">
        <v>0</v>
      </c>
      <c r="S1525">
        <v>121</v>
      </c>
      <c r="Y1525" t="s">
        <v>10767</v>
      </c>
      <c r="Z1525" t="s">
        <v>10768</v>
      </c>
      <c r="AA1525" t="s">
        <v>10769</v>
      </c>
      <c r="AB1525" t="s">
        <v>10770</v>
      </c>
      <c r="AC1525" t="s">
        <v>9011</v>
      </c>
      <c r="AD1525" s="249" t="str">
        <f>HYPERLINK("https://scontent.cdninstagram.com/t51.2885-15/s320x320/e35/c125.0.830.830/20905430_122275375085695_1590981076145143808_n.jpg")</f>
        <v>https://scontent.cdninstagram.com/t51.2885-15/s320x320/e35/c125.0.830.830/20905430_122275375085695_1590981076145143808_n.jpg</v>
      </c>
      <c r="AE1525" s="249" t="str">
        <f>HYPERLINK("https://scontent.cdninstagram.com/t51.2885-19/10946406_689820014471149_10669015_a.jpg")</f>
        <v>https://scontent.cdninstagram.com/t51.2885-19/10946406_689820014471149_10669015_a.jpg</v>
      </c>
    </row>
    <row r="1526" spans="1:31" ht="15" x14ac:dyDescent="0.25">
      <c r="A1526" t="s">
        <v>2474</v>
      </c>
      <c r="B1526" t="s">
        <v>10771</v>
      </c>
      <c r="C1526" s="221">
        <v>42965.897916666669</v>
      </c>
      <c r="D1526" t="s">
        <v>10772</v>
      </c>
      <c r="E1526" s="249" t="str">
        <f>HYPERLINK("https://www.instagram.com/p/BX9QIzXnl0C/")</f>
        <v>https://www.instagram.com/p/BX9QIzXnl0C/</v>
      </c>
      <c r="F1526" t="s">
        <v>10773</v>
      </c>
      <c r="G1526" t="s">
        <v>2478</v>
      </c>
      <c r="I1526" t="s">
        <v>2479</v>
      </c>
      <c r="J1526">
        <v>0</v>
      </c>
      <c r="K1526">
        <v>28</v>
      </c>
      <c r="L1526">
        <v>28</v>
      </c>
      <c r="Q1526">
        <v>0</v>
      </c>
      <c r="R1526">
        <v>0</v>
      </c>
      <c r="S1526">
        <v>28</v>
      </c>
      <c r="T1526" t="s">
        <v>10774</v>
      </c>
      <c r="U1526" t="s">
        <v>122</v>
      </c>
      <c r="V1526" t="s">
        <v>2299</v>
      </c>
      <c r="W1526">
        <v>37.775799900000003</v>
      </c>
      <c r="X1526">
        <v>-122.42596</v>
      </c>
      <c r="Y1526" t="s">
        <v>10775</v>
      </c>
      <c r="Z1526" t="s">
        <v>10776</v>
      </c>
      <c r="AA1526" t="s">
        <v>10777</v>
      </c>
      <c r="AB1526" t="s">
        <v>10778</v>
      </c>
      <c r="AC1526" t="s">
        <v>10779</v>
      </c>
      <c r="AD1526" s="249" t="str">
        <f>HYPERLINK("https://scontent.cdninstagram.com/t51.2885-15/s320x320/e35/c135.0.810.810/20838870_165027874057075_3435535260509536256_n.jpg")</f>
        <v>https://scontent.cdninstagram.com/t51.2885-15/s320x320/e35/c135.0.810.810/20838870_165027874057075_3435535260509536256_n.jpg</v>
      </c>
      <c r="AE1526" s="249" t="str">
        <f>HYPERLINK("https://scontent.cdninstagram.com/t51.2885-19/10326611_765753803469736_477980676_a.jpg")</f>
        <v>https://scontent.cdninstagram.com/t51.2885-19/10326611_765753803469736_477980676_a.jpg</v>
      </c>
    </row>
    <row r="1527" spans="1:31" ht="15" x14ac:dyDescent="0.25">
      <c r="A1527" t="s">
        <v>2474</v>
      </c>
      <c r="B1527" t="s">
        <v>9035</v>
      </c>
      <c r="C1527" s="221">
        <v>42965.899270833332</v>
      </c>
      <c r="D1527" t="s">
        <v>10780</v>
      </c>
      <c r="E1527" s="249" t="str">
        <f>HYPERLINK("https://www.instagram.com/p/BX9QXJCAIAr/")</f>
        <v>https://www.instagram.com/p/BX9QXJCAIAr/</v>
      </c>
      <c r="F1527" t="s">
        <v>10781</v>
      </c>
      <c r="G1527" t="s">
        <v>2478</v>
      </c>
      <c r="H1527">
        <v>699</v>
      </c>
      <c r="I1527" t="s">
        <v>2510</v>
      </c>
      <c r="J1527">
        <v>1</v>
      </c>
      <c r="K1527">
        <v>13</v>
      </c>
      <c r="L1527">
        <v>14</v>
      </c>
      <c r="Q1527">
        <v>0</v>
      </c>
      <c r="R1527">
        <v>0</v>
      </c>
      <c r="S1527">
        <v>14</v>
      </c>
      <c r="Y1527" t="s">
        <v>10782</v>
      </c>
      <c r="Z1527" t="s">
        <v>10783</v>
      </c>
      <c r="AA1527" t="s">
        <v>3843</v>
      </c>
      <c r="AB1527" t="s">
        <v>10784</v>
      </c>
      <c r="AC1527" t="s">
        <v>2668</v>
      </c>
      <c r="AD1527" s="249" t="str">
        <f>HYPERLINK("https://scontent.cdninstagram.com/t51.2885-15/s320x320/e35/20905717_817644305068638_2675917917085761536_n.jpg")</f>
        <v>https://scontent.cdninstagram.com/t51.2885-15/s320x320/e35/20905717_817644305068638_2675917917085761536_n.jpg</v>
      </c>
      <c r="AE1527" s="249" t="str">
        <f>HYPERLINK("https://scontent.cdninstagram.com/t51.2885-19/s150x150/20837140_158461924709521_656414605060341760_a.jpg")</f>
        <v>https://scontent.cdninstagram.com/t51.2885-19/s150x150/20837140_158461924709521_656414605060341760_a.jpg</v>
      </c>
    </row>
    <row r="1528" spans="1:31" ht="15" x14ac:dyDescent="0.25">
      <c r="A1528" t="s">
        <v>2474</v>
      </c>
      <c r="B1528" t="s">
        <v>10785</v>
      </c>
      <c r="C1528" s="221">
        <v>42965.90792824074</v>
      </c>
      <c r="D1528" t="s">
        <v>10786</v>
      </c>
      <c r="E1528" s="249" t="str">
        <f>HYPERLINK("https://www.instagram.com/p/BX9RyYEBCjx/")</f>
        <v>https://www.instagram.com/p/BX9RyYEBCjx/</v>
      </c>
      <c r="F1528" t="s">
        <v>10787</v>
      </c>
      <c r="G1528" t="s">
        <v>2478</v>
      </c>
      <c r="H1528">
        <v>10475</v>
      </c>
      <c r="I1528" t="s">
        <v>2479</v>
      </c>
      <c r="J1528">
        <v>0</v>
      </c>
      <c r="K1528">
        <v>55</v>
      </c>
      <c r="L1528">
        <v>55</v>
      </c>
      <c r="Q1528">
        <v>0</v>
      </c>
      <c r="R1528">
        <v>0</v>
      </c>
      <c r="S1528">
        <v>55</v>
      </c>
      <c r="Y1528" t="s">
        <v>2615</v>
      </c>
      <c r="Z1528" t="s">
        <v>3571</v>
      </c>
      <c r="AA1528" t="s">
        <v>10788</v>
      </c>
      <c r="AB1528" t="s">
        <v>4886</v>
      </c>
      <c r="AC1528" t="s">
        <v>5307</v>
      </c>
      <c r="AD1528" s="249" t="str">
        <f>HYPERLINK("https://scontent.cdninstagram.com/t51.2885-15/s320x320/e35/20902391_120575168533681_8915896766948179968_n.jpg")</f>
        <v>https://scontent.cdninstagram.com/t51.2885-15/s320x320/e35/20902391_120575168533681_8915896766948179968_n.jpg</v>
      </c>
      <c r="AE1528" s="249" t="str">
        <f>HYPERLINK("https://scontent.cdninstagram.com/t51.2885-19/s150x150/12797604_1730178113881106_560369522_a.jpg")</f>
        <v>https://scontent.cdninstagram.com/t51.2885-19/s150x150/12797604_1730178113881106_560369522_a.jpg</v>
      </c>
    </row>
    <row r="1529" spans="1:31" ht="15" x14ac:dyDescent="0.25">
      <c r="A1529" t="s">
        <v>2474</v>
      </c>
      <c r="B1529" t="s">
        <v>3015</v>
      </c>
      <c r="C1529" s="221">
        <v>42965.909375000003</v>
      </c>
      <c r="D1529" t="s">
        <v>10789</v>
      </c>
      <c r="E1529" s="249" t="str">
        <f>HYPERLINK("https://www.instagram.com/p/BX9SBt3g-cE/")</f>
        <v>https://www.instagram.com/p/BX9SBt3g-cE/</v>
      </c>
      <c r="F1529" t="s">
        <v>10790</v>
      </c>
      <c r="G1529" t="s">
        <v>2478</v>
      </c>
      <c r="H1529">
        <v>192</v>
      </c>
      <c r="I1529" t="s">
        <v>2479</v>
      </c>
      <c r="J1529">
        <v>2</v>
      </c>
      <c r="K1529">
        <v>37</v>
      </c>
      <c r="L1529">
        <v>39</v>
      </c>
      <c r="Q1529">
        <v>0</v>
      </c>
      <c r="R1529">
        <v>0</v>
      </c>
      <c r="S1529">
        <v>39</v>
      </c>
      <c r="Y1529" t="s">
        <v>3855</v>
      </c>
      <c r="Z1529" t="s">
        <v>3571</v>
      </c>
      <c r="AA1529" t="s">
        <v>4128</v>
      </c>
      <c r="AB1529" t="s">
        <v>4127</v>
      </c>
      <c r="AC1529" t="s">
        <v>3856</v>
      </c>
      <c r="AD1529" s="249" t="str">
        <f>HYPERLINK("https://scontent.cdninstagram.com/t51.2885-15/s320x320/e35/c0.57.540.540/20905195_111694922849339_3139373754799357952_n.jpg")</f>
        <v>https://scontent.cdninstagram.com/t51.2885-15/s320x320/e35/c0.57.540.540/20905195_111694922849339_3139373754799357952_n.jpg</v>
      </c>
      <c r="AE1529" s="249" t="str">
        <f>HYPERLINK("https://scontent.cdninstagram.com/t51.2885-19/s150x150/19761452_1876060406050696_4275948751316582400_a.jpg")</f>
        <v>https://scontent.cdninstagram.com/t51.2885-19/s150x150/19761452_1876060406050696_4275948751316582400_a.jpg</v>
      </c>
    </row>
    <row r="1530" spans="1:31" ht="15" x14ac:dyDescent="0.25">
      <c r="A1530" t="s">
        <v>2474</v>
      </c>
      <c r="B1530" t="s">
        <v>10791</v>
      </c>
      <c r="C1530" s="221">
        <v>42965.913518518515</v>
      </c>
      <c r="D1530" t="s">
        <v>10792</v>
      </c>
      <c r="E1530" s="249" t="str">
        <f>HYPERLINK("https://www.instagram.com/p/BX9StcenRaL/")</f>
        <v>https://www.instagram.com/p/BX9StcenRaL/</v>
      </c>
      <c r="F1530" t="s">
        <v>10793</v>
      </c>
      <c r="G1530" t="s">
        <v>2478</v>
      </c>
      <c r="H1530">
        <v>1244</v>
      </c>
      <c r="I1530" t="s">
        <v>2479</v>
      </c>
      <c r="J1530">
        <v>8</v>
      </c>
      <c r="K1530">
        <v>81</v>
      </c>
      <c r="L1530">
        <v>89</v>
      </c>
      <c r="Q1530">
        <v>0</v>
      </c>
      <c r="R1530">
        <v>0</v>
      </c>
      <c r="S1530">
        <v>89</v>
      </c>
      <c r="Y1530" t="s">
        <v>10794</v>
      </c>
      <c r="Z1530" t="s">
        <v>10795</v>
      </c>
      <c r="AA1530" t="s">
        <v>10796</v>
      </c>
      <c r="AB1530" t="s">
        <v>10797</v>
      </c>
      <c r="AC1530" t="s">
        <v>6128</v>
      </c>
      <c r="AD1530" s="249" t="str">
        <f>HYPERLINK("https://scontent.cdninstagram.com/t51.2885-15/s320x320/e35/c0.135.1080.1080/20902733_228938284298261_8940982395318829056_n.jpg")</f>
        <v>https://scontent.cdninstagram.com/t51.2885-15/s320x320/e35/c0.135.1080.1080/20902733_228938284298261_8940982395318829056_n.jpg</v>
      </c>
      <c r="AE1530" s="249" t="str">
        <f>HYPERLINK("https://scontent.cdninstagram.com/t51.2885-19/s150x150/20398638_127972847814071_373512677005197312_a.jpg")</f>
        <v>https://scontent.cdninstagram.com/t51.2885-19/s150x150/20398638_127972847814071_373512677005197312_a.jpg</v>
      </c>
    </row>
    <row r="1531" spans="1:31" ht="15" x14ac:dyDescent="0.25">
      <c r="A1531" t="s">
        <v>2474</v>
      </c>
      <c r="B1531" t="s">
        <v>3015</v>
      </c>
      <c r="C1531" s="221">
        <v>42965.920578703706</v>
      </c>
      <c r="D1531" t="s">
        <v>10798</v>
      </c>
      <c r="E1531" s="249" t="str">
        <f>HYPERLINK("https://www.instagram.com/p/BX9T30ggY-X/")</f>
        <v>https://www.instagram.com/p/BX9T30ggY-X/</v>
      </c>
      <c r="F1531" t="s">
        <v>10799</v>
      </c>
      <c r="G1531" t="s">
        <v>2478</v>
      </c>
      <c r="H1531">
        <v>192</v>
      </c>
      <c r="I1531" t="s">
        <v>2479</v>
      </c>
      <c r="J1531">
        <v>0</v>
      </c>
      <c r="K1531">
        <v>46</v>
      </c>
      <c r="L1531">
        <v>46</v>
      </c>
      <c r="Q1531">
        <v>0</v>
      </c>
      <c r="R1531">
        <v>0</v>
      </c>
      <c r="S1531">
        <v>46</v>
      </c>
      <c r="Y1531" t="s">
        <v>3571</v>
      </c>
      <c r="Z1531" t="s">
        <v>2492</v>
      </c>
      <c r="AA1531" t="s">
        <v>3855</v>
      </c>
      <c r="AB1531" t="s">
        <v>3494</v>
      </c>
      <c r="AC1531" t="s">
        <v>4615</v>
      </c>
      <c r="AD1531" s="249" t="str">
        <f>HYPERLINK("https://scontent.cdninstagram.com/t51.2885-15/s320x320/e35/20838834_1909602479306012_1841709275336933376_n.jpg")</f>
        <v>https://scontent.cdninstagram.com/t51.2885-15/s320x320/e35/20838834_1909602479306012_1841709275336933376_n.jpg</v>
      </c>
      <c r="AE1531" s="249" t="str">
        <f>HYPERLINK("https://scontent.cdninstagram.com/t51.2885-19/s150x150/19761452_1876060406050696_4275948751316582400_a.jpg")</f>
        <v>https://scontent.cdninstagram.com/t51.2885-19/s150x150/19761452_1876060406050696_4275948751316582400_a.jpg</v>
      </c>
    </row>
    <row r="1532" spans="1:31" ht="15" x14ac:dyDescent="0.25">
      <c r="A1532" t="s">
        <v>2474</v>
      </c>
      <c r="B1532" t="s">
        <v>10800</v>
      </c>
      <c r="C1532" s="221">
        <v>42965.924085648148</v>
      </c>
      <c r="D1532" t="s">
        <v>10801</v>
      </c>
      <c r="E1532" s="249" t="str">
        <f>HYPERLINK("https://www.instagram.com/p/BX9Uc1OHCya/")</f>
        <v>https://www.instagram.com/p/BX9Uc1OHCya/</v>
      </c>
      <c r="F1532" t="s">
        <v>10802</v>
      </c>
      <c r="G1532" t="s">
        <v>2478</v>
      </c>
      <c r="H1532">
        <v>501</v>
      </c>
      <c r="I1532" t="s">
        <v>2542</v>
      </c>
      <c r="J1532">
        <v>0</v>
      </c>
      <c r="K1532">
        <v>89</v>
      </c>
      <c r="L1532">
        <v>89</v>
      </c>
      <c r="Q1532">
        <v>0</v>
      </c>
      <c r="R1532">
        <v>0</v>
      </c>
      <c r="S1532">
        <v>89</v>
      </c>
      <c r="Y1532" t="s">
        <v>10803</v>
      </c>
      <c r="Z1532" t="s">
        <v>10804</v>
      </c>
      <c r="AA1532" t="s">
        <v>10805</v>
      </c>
      <c r="AB1532" t="s">
        <v>6597</v>
      </c>
      <c r="AC1532" t="s">
        <v>10806</v>
      </c>
      <c r="AD1532" s="249" t="str">
        <f>HYPERLINK("https://scontent.cdninstagram.com/t51.2885-15/s320x320/e35/c0.135.1080.1080/20904882_260531674455610_7908351439930392576_n.jpg")</f>
        <v>https://scontent.cdninstagram.com/t51.2885-15/s320x320/e35/c0.135.1080.1080/20904882_260531674455610_7908351439930392576_n.jpg</v>
      </c>
      <c r="AE1532" s="249" t="str">
        <f>HYPERLINK("https://scontent.cdninstagram.com/t51.2885-19/s150x150/18580689_432113353833280_4441685573559648256_a.jpg")</f>
        <v>https://scontent.cdninstagram.com/t51.2885-19/s150x150/18580689_432113353833280_4441685573559648256_a.jpg</v>
      </c>
    </row>
    <row r="1533" spans="1:31" ht="15" x14ac:dyDescent="0.25">
      <c r="A1533" t="s">
        <v>2474</v>
      </c>
      <c r="B1533" t="s">
        <v>10807</v>
      </c>
      <c r="C1533" s="221">
        <v>42965.930335648147</v>
      </c>
      <c r="D1533" t="s">
        <v>10808</v>
      </c>
      <c r="E1533" s="249" t="str">
        <f>HYPERLINK("https://www.instagram.com/p/BX9VeyVgaMy/")</f>
        <v>https://www.instagram.com/p/BX9VeyVgaMy/</v>
      </c>
      <c r="F1533" t="s">
        <v>10809</v>
      </c>
      <c r="G1533" t="s">
        <v>2478</v>
      </c>
      <c r="H1533">
        <v>814</v>
      </c>
      <c r="I1533" t="s">
        <v>2479</v>
      </c>
      <c r="J1533">
        <v>0</v>
      </c>
      <c r="K1533">
        <v>21</v>
      </c>
      <c r="L1533">
        <v>21</v>
      </c>
      <c r="Q1533">
        <v>0</v>
      </c>
      <c r="R1533">
        <v>0</v>
      </c>
      <c r="S1533">
        <v>21</v>
      </c>
      <c r="Y1533" t="s">
        <v>2497</v>
      </c>
      <c r="Z1533" t="s">
        <v>2492</v>
      </c>
      <c r="AA1533" t="s">
        <v>3535</v>
      </c>
      <c r="AD1533" s="249" t="str">
        <f>HYPERLINK("https://scontent.cdninstagram.com/t51.2885-15/s320x320/e35/20838882_1031982306944132_8451188899023159296_n.jpg")</f>
        <v>https://scontent.cdninstagram.com/t51.2885-15/s320x320/e35/20838882_1031982306944132_8451188899023159296_n.jpg</v>
      </c>
      <c r="AE1533" s="249" t="str">
        <f>HYPERLINK("https://scontent.cdninstagram.com/t51.2885-19/s150x150/19228181_324615477970045_5768964763061059584_a.jpg")</f>
        <v>https://scontent.cdninstagram.com/t51.2885-19/s150x150/19228181_324615477970045_5768964763061059584_a.jpg</v>
      </c>
    </row>
    <row r="1534" spans="1:31" ht="15" x14ac:dyDescent="0.25">
      <c r="A1534" t="s">
        <v>2474</v>
      </c>
      <c r="B1534" t="s">
        <v>10810</v>
      </c>
      <c r="C1534" s="221">
        <v>42965.930555555555</v>
      </c>
      <c r="D1534" t="s">
        <v>10811</v>
      </c>
      <c r="E1534" s="249" t="str">
        <f>HYPERLINK("https://www.instagram.com/p/BX9VhCWAjFH/")</f>
        <v>https://www.instagram.com/p/BX9VhCWAjFH/</v>
      </c>
      <c r="F1534" t="s">
        <v>10812</v>
      </c>
      <c r="G1534" t="s">
        <v>2631</v>
      </c>
      <c r="H1534">
        <v>559</v>
      </c>
      <c r="I1534" t="s">
        <v>2479</v>
      </c>
      <c r="J1534">
        <v>4</v>
      </c>
      <c r="K1534">
        <v>55</v>
      </c>
      <c r="L1534">
        <v>59</v>
      </c>
      <c r="Q1534">
        <v>0</v>
      </c>
      <c r="R1534">
        <v>0</v>
      </c>
      <c r="S1534">
        <v>59</v>
      </c>
      <c r="T1534" t="s">
        <v>10813</v>
      </c>
      <c r="V1534" t="s">
        <v>2125</v>
      </c>
      <c r="W1534">
        <v>53.533299999999997</v>
      </c>
      <c r="X1534">
        <v>-113.917</v>
      </c>
      <c r="Y1534" t="s">
        <v>10814</v>
      </c>
      <c r="Z1534" t="s">
        <v>4902</v>
      </c>
      <c r="AA1534" t="s">
        <v>10815</v>
      </c>
      <c r="AB1534" t="s">
        <v>2497</v>
      </c>
      <c r="AC1534" t="s">
        <v>10816</v>
      </c>
      <c r="AD1534" s="249" t="str">
        <f>HYPERLINK("https://scontent.cdninstagram.com/t51.2885-15/s320x320/e15/c0.90.720.720/20968451_476756009347844_2956113633492336640_n.jpg")</f>
        <v>https://scontent.cdninstagram.com/t51.2885-15/s320x320/e15/c0.90.720.720/20968451_476756009347844_2956113633492336640_n.jpg</v>
      </c>
      <c r="AE1534" s="249" t="str">
        <f>HYPERLINK("https://scontent.cdninstagram.com/t51.2885-19/s150x150/14350641_1787632264812957_269381173438840832_a.jpg")</f>
        <v>https://scontent.cdninstagram.com/t51.2885-19/s150x150/14350641_1787632264812957_269381173438840832_a.jpg</v>
      </c>
    </row>
    <row r="1535" spans="1:31" ht="15" x14ac:dyDescent="0.25">
      <c r="A1535" t="s">
        <v>2474</v>
      </c>
      <c r="B1535" t="s">
        <v>3471</v>
      </c>
      <c r="C1535" s="221">
        <v>42965.931250000001</v>
      </c>
      <c r="D1535" t="s">
        <v>10817</v>
      </c>
      <c r="E1535" s="249" t="str">
        <f>HYPERLINK("https://www.instagram.com/p/BX9VoXTnMwd/")</f>
        <v>https://www.instagram.com/p/BX9VoXTnMwd/</v>
      </c>
      <c r="F1535" t="s">
        <v>10818</v>
      </c>
      <c r="G1535" t="s">
        <v>2478</v>
      </c>
      <c r="H1535">
        <v>186</v>
      </c>
      <c r="I1535" t="s">
        <v>2479</v>
      </c>
      <c r="J1535">
        <v>2</v>
      </c>
      <c r="K1535">
        <v>43</v>
      </c>
      <c r="L1535">
        <v>45</v>
      </c>
      <c r="Q1535">
        <v>0</v>
      </c>
      <c r="R1535">
        <v>0</v>
      </c>
      <c r="S1535">
        <v>45</v>
      </c>
      <c r="T1535" t="s">
        <v>3474</v>
      </c>
      <c r="V1535" t="s">
        <v>2258</v>
      </c>
      <c r="W1535">
        <v>1.2930600000000001</v>
      </c>
      <c r="X1535">
        <v>103.85599999999999</v>
      </c>
      <c r="Y1535" t="s">
        <v>5706</v>
      </c>
      <c r="Z1535" t="s">
        <v>5705</v>
      </c>
      <c r="AA1535" t="s">
        <v>6773</v>
      </c>
      <c r="AB1535" t="s">
        <v>6772</v>
      </c>
      <c r="AC1535" t="s">
        <v>6957</v>
      </c>
      <c r="AD1535" s="249" t="str">
        <f>HYPERLINK("https://scontent.cdninstagram.com/t51.2885-15/s320x320/e35/20839010_112398019450141_3991967472210149376_n.jpg")</f>
        <v>https://scontent.cdninstagram.com/t51.2885-15/s320x320/e35/20839010_112398019450141_3991967472210149376_n.jpg</v>
      </c>
      <c r="AE1535" s="249" t="str">
        <f>HYPERLINK("https://scontent.cdninstagram.com/t51.2885-19/s150x150/19986209_741127056067001_1270489010199855104_a.jpg")</f>
        <v>https://scontent.cdninstagram.com/t51.2885-19/s150x150/19986209_741127056067001_1270489010199855104_a.jpg</v>
      </c>
    </row>
    <row r="1536" spans="1:31" ht="15" x14ac:dyDescent="0.25">
      <c r="A1536" t="s">
        <v>2474</v>
      </c>
      <c r="B1536" t="s">
        <v>10819</v>
      </c>
      <c r="C1536" s="221">
        <v>42965.947592592594</v>
      </c>
      <c r="D1536" t="s">
        <v>10820</v>
      </c>
      <c r="E1536" s="249" t="str">
        <f>HYPERLINK("https://www.instagram.com/p/BX9YUzXDrxH/")</f>
        <v>https://www.instagram.com/p/BX9YUzXDrxH/</v>
      </c>
      <c r="F1536" t="s">
        <v>10821</v>
      </c>
      <c r="G1536" t="s">
        <v>2478</v>
      </c>
      <c r="H1536">
        <v>556</v>
      </c>
      <c r="I1536" t="s">
        <v>2542</v>
      </c>
      <c r="J1536">
        <v>2</v>
      </c>
      <c r="K1536">
        <v>31</v>
      </c>
      <c r="L1536">
        <v>33</v>
      </c>
      <c r="Q1536">
        <v>0</v>
      </c>
      <c r="R1536">
        <v>0</v>
      </c>
      <c r="S1536">
        <v>33</v>
      </c>
      <c r="Y1536" t="s">
        <v>10822</v>
      </c>
      <c r="Z1536" t="s">
        <v>10823</v>
      </c>
      <c r="AA1536" t="s">
        <v>10824</v>
      </c>
      <c r="AB1536" t="s">
        <v>10825</v>
      </c>
      <c r="AC1536" t="s">
        <v>10826</v>
      </c>
      <c r="AD1536" s="249" t="str">
        <f>HYPERLINK("https://scontent.cdninstagram.com/t51.2885-15/s320x320/e35/20902169_111241082918171_8509204840516157440_n.jpg")</f>
        <v>https://scontent.cdninstagram.com/t51.2885-15/s320x320/e35/20902169_111241082918171_8509204840516157440_n.jpg</v>
      </c>
      <c r="AE1536" s="249" t="str">
        <f>HYPERLINK("https://scontent.cdninstagram.com/t51.2885-19/s150x150/14718061_1773534752894554_8540968425772548096_a.jpg")</f>
        <v>https://scontent.cdninstagram.com/t51.2885-19/s150x150/14718061_1773534752894554_8540968425772548096_a.jpg</v>
      </c>
    </row>
    <row r="1537" spans="1:31" ht="15" x14ac:dyDescent="0.25">
      <c r="A1537" t="s">
        <v>2474</v>
      </c>
      <c r="B1537" t="s">
        <v>10827</v>
      </c>
      <c r="C1537" s="221">
        <v>42965.954479166663</v>
      </c>
      <c r="D1537" t="s">
        <v>10828</v>
      </c>
      <c r="E1537" s="249" t="str">
        <f>HYPERLINK("https://www.instagram.com/p/BX9Zdb0lQng/")</f>
        <v>https://www.instagram.com/p/BX9Zdb0lQng/</v>
      </c>
      <c r="F1537" t="s">
        <v>10829</v>
      </c>
      <c r="G1537" t="s">
        <v>2478</v>
      </c>
      <c r="H1537">
        <v>2171</v>
      </c>
      <c r="I1537" t="s">
        <v>2479</v>
      </c>
      <c r="J1537">
        <v>0</v>
      </c>
      <c r="K1537">
        <v>27</v>
      </c>
      <c r="L1537">
        <v>27</v>
      </c>
      <c r="Q1537">
        <v>0</v>
      </c>
      <c r="R1537">
        <v>0</v>
      </c>
      <c r="S1537">
        <v>27</v>
      </c>
      <c r="Y1537" t="s">
        <v>3196</v>
      </c>
      <c r="Z1537" t="s">
        <v>10830</v>
      </c>
      <c r="AA1537" t="s">
        <v>2832</v>
      </c>
      <c r="AB1537" t="s">
        <v>2734</v>
      </c>
      <c r="AC1537" t="s">
        <v>2696</v>
      </c>
      <c r="AD1537" s="249" t="str">
        <f>HYPERLINK("https://scontent.cdninstagram.com/t51.2885-15/s320x320/e35/20838642_111786022824868_6619425251820306432_n.jpg")</f>
        <v>https://scontent.cdninstagram.com/t51.2885-15/s320x320/e35/20838642_111786022824868_6619425251820306432_n.jpg</v>
      </c>
      <c r="AE1537" s="249" t="str">
        <f>HYPERLINK("https://scontent.cdninstagram.com/t51.2885-19/s150x150/12818882_528962353950819_1659789532_a.jpg")</f>
        <v>https://scontent.cdninstagram.com/t51.2885-19/s150x150/12818882_528962353950819_1659789532_a.jpg</v>
      </c>
    </row>
    <row r="1538" spans="1:31" ht="15" x14ac:dyDescent="0.25">
      <c r="A1538" t="s">
        <v>2474</v>
      </c>
      <c r="B1538" t="s">
        <v>10831</v>
      </c>
      <c r="C1538" s="221">
        <v>42965.960810185185</v>
      </c>
      <c r="D1538" t="s">
        <v>10832</v>
      </c>
      <c r="E1538" s="249" t="str">
        <f>HYPERLINK("https://www.instagram.com/p/BX9agO2BopK/")</f>
        <v>https://www.instagram.com/p/BX9agO2BopK/</v>
      </c>
      <c r="F1538" t="s">
        <v>10833</v>
      </c>
      <c r="G1538" t="s">
        <v>2478</v>
      </c>
      <c r="H1538">
        <v>87</v>
      </c>
      <c r="I1538" t="s">
        <v>2903</v>
      </c>
      <c r="J1538">
        <v>0</v>
      </c>
      <c r="K1538">
        <v>12</v>
      </c>
      <c r="L1538">
        <v>12</v>
      </c>
      <c r="Q1538">
        <v>0</v>
      </c>
      <c r="R1538">
        <v>0</v>
      </c>
      <c r="S1538">
        <v>12</v>
      </c>
      <c r="Y1538" t="s">
        <v>2497</v>
      </c>
      <c r="Z1538" t="s">
        <v>2696</v>
      </c>
      <c r="AA1538" t="s">
        <v>2753</v>
      </c>
      <c r="AB1538" t="s">
        <v>4388</v>
      </c>
      <c r="AD1538" s="249" t="str">
        <f>HYPERLINK("https://scontent.cdninstagram.com/t51.2885-15/s320x320/e35/20905318_111552642886067_1910300220881633280_n.jpg")</f>
        <v>https://scontent.cdninstagram.com/t51.2885-15/s320x320/e35/20905318_111552642886067_1910300220881633280_n.jpg</v>
      </c>
      <c r="AE1538" s="249" t="str">
        <f>HYPERLINK("https://scontent.cdninstagram.com/t51.2885-19/s150x150/13712226_1813695902183363_1720354654_a.jpg")</f>
        <v>https://scontent.cdninstagram.com/t51.2885-19/s150x150/13712226_1813695902183363_1720354654_a.jpg</v>
      </c>
    </row>
    <row r="1539" spans="1:31" ht="15" x14ac:dyDescent="0.25">
      <c r="A1539" t="s">
        <v>2474</v>
      </c>
      <c r="B1539" t="s">
        <v>10834</v>
      </c>
      <c r="C1539" s="221">
        <v>42965.983020833337</v>
      </c>
      <c r="D1539" t="s">
        <v>10835</v>
      </c>
      <c r="E1539" s="249" t="str">
        <f>HYPERLINK("https://www.instagram.com/p/BX9eKZ9hdXa/")</f>
        <v>https://www.instagram.com/p/BX9eKZ9hdXa/</v>
      </c>
      <c r="F1539" t="s">
        <v>10836</v>
      </c>
      <c r="G1539" t="s">
        <v>2478</v>
      </c>
      <c r="H1539">
        <v>1003</v>
      </c>
      <c r="I1539" t="s">
        <v>2479</v>
      </c>
      <c r="J1539">
        <v>0</v>
      </c>
      <c r="K1539">
        <v>49</v>
      </c>
      <c r="L1539">
        <v>49</v>
      </c>
      <c r="Q1539">
        <v>0</v>
      </c>
      <c r="R1539">
        <v>0</v>
      </c>
      <c r="S1539">
        <v>49</v>
      </c>
      <c r="Y1539" t="s">
        <v>10837</v>
      </c>
      <c r="Z1539" t="s">
        <v>10838</v>
      </c>
      <c r="AA1539" t="s">
        <v>10839</v>
      </c>
      <c r="AB1539" t="s">
        <v>10840</v>
      </c>
      <c r="AC1539" t="s">
        <v>10841</v>
      </c>
      <c r="AD1539" s="249" t="str">
        <f>HYPERLINK("https://scontent.cdninstagram.com/t51.2885-15/s320x320/e35/c0.125.999.999/20838618_1618991511505931_6630691230210588672_n.jpg")</f>
        <v>https://scontent.cdninstagram.com/t51.2885-15/s320x320/e35/c0.125.999.999/20838618_1618991511505931_6630691230210588672_n.jpg</v>
      </c>
      <c r="AE1539" s="249" t="str">
        <f>HYPERLINK("https://scontent.cdninstagram.com/t51.2885-19/s150x150/18646202_1891582044418059_4124293786807304192_a.jpg")</f>
        <v>https://scontent.cdninstagram.com/t51.2885-19/s150x150/18646202_1891582044418059_4124293786807304192_a.jpg</v>
      </c>
    </row>
    <row r="1540" spans="1:31" ht="15" x14ac:dyDescent="0.25">
      <c r="A1540" t="s">
        <v>2474</v>
      </c>
      <c r="B1540" t="s">
        <v>10842</v>
      </c>
      <c r="C1540" s="221">
        <v>42965.985173611109</v>
      </c>
      <c r="D1540" t="s">
        <v>10843</v>
      </c>
      <c r="E1540" s="249" t="str">
        <f>HYPERLINK("https://www.instagram.com/p/BX9ehFKjD75/")</f>
        <v>https://www.instagram.com/p/BX9ehFKjD75/</v>
      </c>
      <c r="F1540" t="s">
        <v>10844</v>
      </c>
      <c r="G1540" t="s">
        <v>2478</v>
      </c>
      <c r="H1540">
        <v>163</v>
      </c>
      <c r="I1540" t="s">
        <v>2479</v>
      </c>
      <c r="J1540">
        <v>2</v>
      </c>
      <c r="K1540">
        <v>38</v>
      </c>
      <c r="L1540">
        <v>40</v>
      </c>
      <c r="Q1540">
        <v>0</v>
      </c>
      <c r="R1540">
        <v>0</v>
      </c>
      <c r="S1540">
        <v>40</v>
      </c>
      <c r="Y1540" t="s">
        <v>10845</v>
      </c>
      <c r="Z1540" t="s">
        <v>2952</v>
      </c>
      <c r="AA1540" t="s">
        <v>10846</v>
      </c>
      <c r="AB1540" t="s">
        <v>2673</v>
      </c>
      <c r="AC1540" t="s">
        <v>4525</v>
      </c>
      <c r="AD1540" s="249" t="str">
        <f>HYPERLINK("https://scontent.cdninstagram.com/t51.2885-15/s320x320/e35/20905183_124151794894237_3484163404220858368_n.jpg")</f>
        <v>https://scontent.cdninstagram.com/t51.2885-15/s320x320/e35/20905183_124151794894237_3484163404220858368_n.jpg</v>
      </c>
      <c r="AE1540" s="249" t="str">
        <f>HYPERLINK("https://scontent.cdninstagram.com/t51.2885-19/s150x150/18095042_408023269553738_1962483193059737600_a.jpg")</f>
        <v>https://scontent.cdninstagram.com/t51.2885-19/s150x150/18095042_408023269553738_1962483193059737600_a.jpg</v>
      </c>
    </row>
    <row r="1541" spans="1:31" ht="15" x14ac:dyDescent="0.25">
      <c r="A1541" t="s">
        <v>2474</v>
      </c>
      <c r="B1541" t="s">
        <v>3777</v>
      </c>
      <c r="C1541" s="221">
        <v>42965.998043981483</v>
      </c>
      <c r="D1541" t="s">
        <v>10847</v>
      </c>
      <c r="E1541" s="249" t="str">
        <f>HYPERLINK("https://www.instagram.com/p/BX9go5KnBxh/")</f>
        <v>https://www.instagram.com/p/BX9go5KnBxh/</v>
      </c>
      <c r="F1541" t="s">
        <v>10848</v>
      </c>
      <c r="G1541" t="s">
        <v>2478</v>
      </c>
      <c r="H1541">
        <v>182</v>
      </c>
      <c r="I1541" t="s">
        <v>2542</v>
      </c>
      <c r="J1541">
        <v>0</v>
      </c>
      <c r="K1541">
        <v>39</v>
      </c>
      <c r="L1541">
        <v>39</v>
      </c>
      <c r="Q1541">
        <v>0</v>
      </c>
      <c r="R1541">
        <v>0</v>
      </c>
      <c r="S1541">
        <v>39</v>
      </c>
      <c r="T1541" t="s">
        <v>4015</v>
      </c>
      <c r="V1541" t="s">
        <v>2273</v>
      </c>
      <c r="W1541">
        <v>24.168710835128</v>
      </c>
      <c r="X1541">
        <v>120.63353061676</v>
      </c>
      <c r="Y1541" t="s">
        <v>10849</v>
      </c>
      <c r="Z1541" t="s">
        <v>10850</v>
      </c>
      <c r="AA1541" t="s">
        <v>3783</v>
      </c>
      <c r="AB1541" t="s">
        <v>10851</v>
      </c>
      <c r="AC1541" t="s">
        <v>10852</v>
      </c>
      <c r="AD1541" s="249" t="str">
        <f>HYPERLINK("https://scontent.cdninstagram.com/t51.2885-15/s320x320/e35/20987250_2133781373515543_7083948680964734976_n.jpg")</f>
        <v>https://scontent.cdninstagram.com/t51.2885-15/s320x320/e35/20987250_2133781373515543_7083948680964734976_n.jpg</v>
      </c>
      <c r="AE1541" s="249" t="str">
        <f>HYPERLINK("https://scontent.cdninstagram.com/t51.2885-19/s150x150/18512804_1842867552632361_1335613925726617600_a.jpg")</f>
        <v>https://scontent.cdninstagram.com/t51.2885-19/s150x150/18512804_1842867552632361_1335613925726617600_a.jpg</v>
      </c>
    </row>
    <row r="1542" spans="1:31" ht="15" x14ac:dyDescent="0.25">
      <c r="A1542" t="s">
        <v>2474</v>
      </c>
      <c r="B1542" t="s">
        <v>5657</v>
      </c>
      <c r="C1542" s="221">
        <v>42965.998611111114</v>
      </c>
      <c r="D1542" t="s">
        <v>10853</v>
      </c>
      <c r="E1542" s="249" t="str">
        <f>HYPERLINK("https://www.instagram.com/p/BX9gu13ATyZ/")</f>
        <v>https://www.instagram.com/p/BX9gu13ATyZ/</v>
      </c>
      <c r="F1542" t="s">
        <v>10854</v>
      </c>
      <c r="G1542" t="s">
        <v>2478</v>
      </c>
      <c r="H1542">
        <v>82</v>
      </c>
      <c r="I1542" t="s">
        <v>3025</v>
      </c>
      <c r="J1542">
        <v>2</v>
      </c>
      <c r="K1542">
        <v>22</v>
      </c>
      <c r="L1542">
        <v>24</v>
      </c>
      <c r="Q1542">
        <v>0</v>
      </c>
      <c r="R1542">
        <v>0</v>
      </c>
      <c r="S1542">
        <v>24</v>
      </c>
      <c r="Y1542" t="s">
        <v>4582</v>
      </c>
      <c r="Z1542" t="s">
        <v>2492</v>
      </c>
      <c r="AA1542" t="s">
        <v>10855</v>
      </c>
      <c r="AB1542" t="s">
        <v>4839</v>
      </c>
      <c r="AC1542" t="s">
        <v>2551</v>
      </c>
      <c r="AD1542" s="249" t="str">
        <f>HYPERLINK("https://scontent.cdninstagram.com/t51.2885-15/s320x320/e35/c0.135.1080.1080/20905698_273395593143758_6879183370643832832_n.jpg")</f>
        <v>https://scontent.cdninstagram.com/t51.2885-15/s320x320/e35/c0.135.1080.1080/20905698_273395593143758_6879183370643832832_n.jpg</v>
      </c>
      <c r="AE1542" s="249" t="str">
        <f>HYPERLINK("https://scontent.cdninstagram.com/t51.2885-19/s150x150/18722414_1929874740617287_7467972564577419264_a.jpg")</f>
        <v>https://scontent.cdninstagram.com/t51.2885-19/s150x150/18722414_1929874740617287_7467972564577419264_a.jpg</v>
      </c>
    </row>
    <row r="1543" spans="1:31" ht="15" x14ac:dyDescent="0.25">
      <c r="A1543" t="s">
        <v>2474</v>
      </c>
      <c r="B1543" t="s">
        <v>5657</v>
      </c>
      <c r="C1543" s="221">
        <v>42965.999363425923</v>
      </c>
      <c r="D1543" t="s">
        <v>10856</v>
      </c>
      <c r="E1543" s="249" t="str">
        <f>HYPERLINK("https://www.instagram.com/p/BX9g2vygaEA/")</f>
        <v>https://www.instagram.com/p/BX9g2vygaEA/</v>
      </c>
      <c r="F1543" t="s">
        <v>10857</v>
      </c>
      <c r="G1543" t="s">
        <v>2478</v>
      </c>
      <c r="H1543">
        <v>82</v>
      </c>
      <c r="I1543" t="s">
        <v>2786</v>
      </c>
      <c r="J1543">
        <v>2</v>
      </c>
      <c r="K1543">
        <v>32</v>
      </c>
      <c r="L1543">
        <v>34</v>
      </c>
      <c r="Q1543">
        <v>0</v>
      </c>
      <c r="R1543">
        <v>0</v>
      </c>
      <c r="S1543">
        <v>34</v>
      </c>
      <c r="Y1543" t="s">
        <v>4582</v>
      </c>
      <c r="Z1543" t="s">
        <v>2492</v>
      </c>
      <c r="AA1543" t="s">
        <v>10855</v>
      </c>
      <c r="AB1543" t="s">
        <v>4839</v>
      </c>
      <c r="AC1543" t="s">
        <v>2551</v>
      </c>
      <c r="AD1543" s="249" t="str">
        <f>HYPERLINK("https://scontent.cdninstagram.com/t51.2885-15/s320x320/e35/c47.0.986.986/20904848_1880626102264988_3536033140139098112_n.jpg")</f>
        <v>https://scontent.cdninstagram.com/t51.2885-15/s320x320/e35/c47.0.986.986/20904848_1880626102264988_3536033140139098112_n.jpg</v>
      </c>
      <c r="AE1543" s="249" t="str">
        <f>HYPERLINK("https://scontent.cdninstagram.com/t51.2885-19/s150x150/18722414_1929874740617287_7467972564577419264_a.jpg")</f>
        <v>https://scontent.cdninstagram.com/t51.2885-19/s150x150/18722414_1929874740617287_7467972564577419264_a.jpg</v>
      </c>
    </row>
    <row r="1544" spans="1:31" ht="15" x14ac:dyDescent="0.25">
      <c r="A1544" t="s">
        <v>2474</v>
      </c>
      <c r="B1544" t="s">
        <v>5657</v>
      </c>
      <c r="C1544" s="221">
        <v>42966.001076388886</v>
      </c>
      <c r="D1544" t="s">
        <v>10858</v>
      </c>
      <c r="E1544" s="249" t="str">
        <f>HYPERLINK("https://www.instagram.com/p/BX9hIzBg2Kz/")</f>
        <v>https://www.instagram.com/p/BX9hIzBg2Kz/</v>
      </c>
      <c r="F1544" t="s">
        <v>10859</v>
      </c>
      <c r="G1544" t="s">
        <v>2478</v>
      </c>
      <c r="H1544">
        <v>82</v>
      </c>
      <c r="I1544" t="s">
        <v>2519</v>
      </c>
      <c r="J1544">
        <v>2</v>
      </c>
      <c r="K1544">
        <v>35</v>
      </c>
      <c r="L1544">
        <v>37</v>
      </c>
      <c r="Q1544">
        <v>0</v>
      </c>
      <c r="R1544">
        <v>0</v>
      </c>
      <c r="S1544">
        <v>37</v>
      </c>
      <c r="Y1544" t="s">
        <v>4582</v>
      </c>
      <c r="Z1544" t="s">
        <v>2492</v>
      </c>
      <c r="AA1544" t="s">
        <v>10855</v>
      </c>
      <c r="AB1544" t="s">
        <v>4839</v>
      </c>
      <c r="AC1544" t="s">
        <v>2551</v>
      </c>
      <c r="AD1544" s="249" t="str">
        <f>HYPERLINK("https://scontent.cdninstagram.com/t51.2885-15/s320x320/e35/c0.112.900.900/20838451_349069618855601_4434238654319165440_n.jpg")</f>
        <v>https://scontent.cdninstagram.com/t51.2885-15/s320x320/e35/c0.112.900.900/20838451_349069618855601_4434238654319165440_n.jpg</v>
      </c>
      <c r="AE1544" s="249" t="str">
        <f>HYPERLINK("https://scontent.cdninstagram.com/t51.2885-19/s150x150/18722414_1929874740617287_7467972564577419264_a.jpg")</f>
        <v>https://scontent.cdninstagram.com/t51.2885-19/s150x150/18722414_1929874740617287_7467972564577419264_a.jpg</v>
      </c>
    </row>
    <row r="1545" spans="1:31" ht="15" x14ac:dyDescent="0.25">
      <c r="A1545" t="s">
        <v>2474</v>
      </c>
      <c r="B1545" t="s">
        <v>10860</v>
      </c>
      <c r="C1545" s="221">
        <v>42966.01190972222</v>
      </c>
      <c r="D1545" t="s">
        <v>10861</v>
      </c>
      <c r="E1545" s="249" t="str">
        <f>HYPERLINK("https://www.instagram.com/p/BX9i7Fulk9G/")</f>
        <v>https://www.instagram.com/p/BX9i7Fulk9G/</v>
      </c>
      <c r="F1545" t="s">
        <v>10862</v>
      </c>
      <c r="G1545" t="s">
        <v>2478</v>
      </c>
      <c r="H1545">
        <v>1264</v>
      </c>
      <c r="I1545" t="s">
        <v>4052</v>
      </c>
      <c r="J1545">
        <v>2</v>
      </c>
      <c r="K1545">
        <v>59</v>
      </c>
      <c r="L1545">
        <v>61</v>
      </c>
      <c r="Q1545">
        <v>0</v>
      </c>
      <c r="R1545">
        <v>0</v>
      </c>
      <c r="S1545">
        <v>61</v>
      </c>
      <c r="Y1545" t="s">
        <v>10863</v>
      </c>
      <c r="Z1545" t="s">
        <v>10864</v>
      </c>
      <c r="AA1545" t="s">
        <v>2734</v>
      </c>
      <c r="AB1545" t="s">
        <v>10865</v>
      </c>
      <c r="AC1545" t="s">
        <v>5924</v>
      </c>
      <c r="AD1545" s="249" t="str">
        <f>HYPERLINK("https://scontent.cdninstagram.com/t51.2885-15/s320x320/e35/c103.0.873.873/20902374_1162998057177030_5933097900350373888_n.jpg")</f>
        <v>https://scontent.cdninstagram.com/t51.2885-15/s320x320/e35/c103.0.873.873/20902374_1162998057177030_5933097900350373888_n.jpg</v>
      </c>
      <c r="AE1545" s="249" t="str">
        <f>HYPERLINK("https://scontent.cdninstagram.com/t51.2885-19/10598192_1449375108681788_1933536093_a.jpg")</f>
        <v>https://scontent.cdninstagram.com/t51.2885-19/10598192_1449375108681788_1933536093_a.jpg</v>
      </c>
    </row>
    <row r="1546" spans="1:31" ht="15" x14ac:dyDescent="0.25">
      <c r="A1546" t="s">
        <v>2474</v>
      </c>
      <c r="B1546" t="s">
        <v>10866</v>
      </c>
      <c r="C1546" s="221">
        <v>42966.014664351853</v>
      </c>
      <c r="D1546" t="s">
        <v>10867</v>
      </c>
      <c r="E1546" s="249" t="str">
        <f>HYPERLINK("https://www.instagram.com/p/BX9jYIxHkP7/")</f>
        <v>https://www.instagram.com/p/BX9jYIxHkP7/</v>
      </c>
      <c r="F1546" t="s">
        <v>10868</v>
      </c>
      <c r="G1546" t="s">
        <v>2631</v>
      </c>
      <c r="H1546">
        <v>823</v>
      </c>
      <c r="I1546" t="s">
        <v>3170</v>
      </c>
      <c r="J1546">
        <v>2</v>
      </c>
      <c r="K1546">
        <v>30</v>
      </c>
      <c r="L1546">
        <v>32</v>
      </c>
      <c r="Q1546">
        <v>0</v>
      </c>
      <c r="R1546">
        <v>0</v>
      </c>
      <c r="S1546">
        <v>32</v>
      </c>
      <c r="Y1546" t="s">
        <v>10869</v>
      </c>
      <c r="Z1546" t="s">
        <v>10870</v>
      </c>
      <c r="AA1546" t="s">
        <v>10871</v>
      </c>
      <c r="AB1546" t="s">
        <v>10872</v>
      </c>
      <c r="AC1546" t="s">
        <v>10873</v>
      </c>
      <c r="AD1546" s="249" t="str">
        <f>HYPERLINK("https://scontent.cdninstagram.com/t51.2885-15/s320x320/e15/c0.90.720.720/20838702_135801363694683_835920890590920704_n.jpg")</f>
        <v>https://scontent.cdninstagram.com/t51.2885-15/s320x320/e15/c0.90.720.720/20838702_135801363694683_835920890590920704_n.jpg</v>
      </c>
      <c r="AE1546" s="249" t="str">
        <f>HYPERLINK("https://scontent.cdninstagram.com/t51.2885-19/s150x150/20901855_263787104127497_442950409712041984_a.jpg")</f>
        <v>https://scontent.cdninstagram.com/t51.2885-19/s150x150/20901855_263787104127497_442950409712041984_a.jpg</v>
      </c>
    </row>
    <row r="1547" spans="1:31" ht="15" x14ac:dyDescent="0.25">
      <c r="A1547" t="s">
        <v>2474</v>
      </c>
      <c r="B1547" t="s">
        <v>3015</v>
      </c>
      <c r="C1547" s="221">
        <v>42966.031342592592</v>
      </c>
      <c r="D1547" t="s">
        <v>10874</v>
      </c>
      <c r="E1547" s="249" t="str">
        <f>HYPERLINK("https://www.instagram.com/p/BX9mIE3AgM5/")</f>
        <v>https://www.instagram.com/p/BX9mIE3AgM5/</v>
      </c>
      <c r="F1547" t="s">
        <v>10875</v>
      </c>
      <c r="G1547" t="s">
        <v>2478</v>
      </c>
      <c r="H1547">
        <v>193</v>
      </c>
      <c r="I1547" t="s">
        <v>2479</v>
      </c>
      <c r="J1547">
        <v>0</v>
      </c>
      <c r="K1547">
        <v>28</v>
      </c>
      <c r="L1547">
        <v>28</v>
      </c>
      <c r="Q1547">
        <v>0</v>
      </c>
      <c r="R1547">
        <v>0</v>
      </c>
      <c r="S1547">
        <v>28</v>
      </c>
      <c r="Y1547" t="s">
        <v>3018</v>
      </c>
      <c r="Z1547" t="s">
        <v>6259</v>
      </c>
      <c r="AA1547" t="s">
        <v>2497</v>
      </c>
      <c r="AB1547" t="s">
        <v>3726</v>
      </c>
      <c r="AC1547" t="s">
        <v>7275</v>
      </c>
      <c r="AD1547" s="249" t="str">
        <f>HYPERLINK("https://scontent.cdninstagram.com/t51.2885-15/s320x320/e35/20969158_823216214505978_3685954896365879296_n.jpg")</f>
        <v>https://scontent.cdninstagram.com/t51.2885-15/s320x320/e35/20969158_823216214505978_3685954896365879296_n.jpg</v>
      </c>
      <c r="AE1547" s="249" t="str">
        <f>HYPERLINK("https://scontent.cdninstagram.com/t51.2885-19/s150x150/19761452_1876060406050696_4275948751316582400_a.jpg")</f>
        <v>https://scontent.cdninstagram.com/t51.2885-19/s150x150/19761452_1876060406050696_4275948751316582400_a.jpg</v>
      </c>
    </row>
    <row r="1548" spans="1:31" ht="15" x14ac:dyDescent="0.25">
      <c r="A1548" t="s">
        <v>2474</v>
      </c>
      <c r="B1548" t="s">
        <v>3301</v>
      </c>
      <c r="C1548" s="221">
        <v>42966.041770833333</v>
      </c>
      <c r="D1548" t="s">
        <v>10876</v>
      </c>
      <c r="E1548" s="249" t="str">
        <f>HYPERLINK("https://www.instagram.com/p/BX9n2ECj0s3/")</f>
        <v>https://www.instagram.com/p/BX9n2ECj0s3/</v>
      </c>
      <c r="F1548" t="s">
        <v>10877</v>
      </c>
      <c r="G1548" t="s">
        <v>2478</v>
      </c>
      <c r="H1548">
        <v>594</v>
      </c>
      <c r="I1548" t="s">
        <v>2542</v>
      </c>
      <c r="J1548">
        <v>0</v>
      </c>
      <c r="K1548">
        <v>92</v>
      </c>
      <c r="L1548">
        <v>92</v>
      </c>
      <c r="Q1548">
        <v>0</v>
      </c>
      <c r="R1548">
        <v>0</v>
      </c>
      <c r="S1548">
        <v>92</v>
      </c>
      <c r="Y1548" t="s">
        <v>4157</v>
      </c>
      <c r="Z1548" t="s">
        <v>3304</v>
      </c>
      <c r="AA1548" t="s">
        <v>4159</v>
      </c>
      <c r="AB1548" t="s">
        <v>4158</v>
      </c>
      <c r="AC1548" t="s">
        <v>10878</v>
      </c>
      <c r="AD1548" s="249" t="str">
        <f>HYPERLINK("https://scontent.cdninstagram.com/t51.2885-15/s320x320/e35/20902280_1445751175515488_8091789918344314880_n.jpg")</f>
        <v>https://scontent.cdninstagram.com/t51.2885-15/s320x320/e35/20902280_1445751175515488_8091789918344314880_n.jpg</v>
      </c>
      <c r="AE1548" s="249" t="str">
        <f>HYPERLINK("https://scontent.cdninstagram.com/t51.2885-19/s150x150/19228478_370974479971900_5746578409966796800_a.jpg")</f>
        <v>https://scontent.cdninstagram.com/t51.2885-19/s150x150/19228478_370974479971900_5746578409966796800_a.jpg</v>
      </c>
    </row>
    <row r="1549" spans="1:31" ht="15" x14ac:dyDescent="0.25">
      <c r="A1549" t="s">
        <v>2474</v>
      </c>
      <c r="B1549" t="s">
        <v>10879</v>
      </c>
      <c r="C1549" s="221">
        <v>42966.043645833335</v>
      </c>
      <c r="D1549" t="s">
        <v>10880</v>
      </c>
      <c r="E1549" s="249" t="str">
        <f>HYPERLINK("https://www.instagram.com/p/BX9oJx4hyDo/")</f>
        <v>https://www.instagram.com/p/BX9oJx4hyDo/</v>
      </c>
      <c r="F1549" t="s">
        <v>10881</v>
      </c>
      <c r="G1549" t="s">
        <v>2478</v>
      </c>
      <c r="H1549">
        <v>873</v>
      </c>
      <c r="I1549" t="s">
        <v>2479</v>
      </c>
      <c r="J1549">
        <v>0</v>
      </c>
      <c r="K1549">
        <v>77</v>
      </c>
      <c r="L1549">
        <v>77</v>
      </c>
      <c r="Q1549">
        <v>0</v>
      </c>
      <c r="R1549">
        <v>0</v>
      </c>
      <c r="S1549">
        <v>77</v>
      </c>
      <c r="T1549" t="s">
        <v>10882</v>
      </c>
      <c r="V1549" t="s">
        <v>2141</v>
      </c>
      <c r="W1549">
        <v>57.466700000000003</v>
      </c>
      <c r="X1549">
        <v>10.216699999999999</v>
      </c>
      <c r="Y1549" t="s">
        <v>10883</v>
      </c>
      <c r="Z1549" t="s">
        <v>10884</v>
      </c>
      <c r="AA1549" t="s">
        <v>10885</v>
      </c>
      <c r="AB1549" t="s">
        <v>3399</v>
      </c>
      <c r="AC1549" t="s">
        <v>10886</v>
      </c>
      <c r="AD1549" s="249" t="str">
        <f>HYPERLINK("https://scontent.cdninstagram.com/t51.2885-15/s320x320/e35/20839014_158849734668626_4913084394941448192_n.jpg")</f>
        <v>https://scontent.cdninstagram.com/t51.2885-15/s320x320/e35/20839014_158849734668626_4913084394941448192_n.jpg</v>
      </c>
      <c r="AE1549" s="249" t="str">
        <f>HYPERLINK("https://scontent.cdninstagram.com/t51.2885-19/s150x150/20838174_111296949544507_4583807763666173952_a.jpg")</f>
        <v>https://scontent.cdninstagram.com/t51.2885-19/s150x150/20838174_111296949544507_4583807763666173952_a.jpg</v>
      </c>
    </row>
    <row r="1550" spans="1:31" ht="15" x14ac:dyDescent="0.25">
      <c r="A1550" t="s">
        <v>2474</v>
      </c>
      <c r="B1550" t="s">
        <v>2644</v>
      </c>
      <c r="C1550" s="221">
        <v>42966.067210648151</v>
      </c>
      <c r="D1550" t="s">
        <v>10887</v>
      </c>
      <c r="E1550" s="249" t="str">
        <f>HYPERLINK("https://www.instagram.com/p/BX9sCa-AhzM/")</f>
        <v>https://www.instagram.com/p/BX9sCa-AhzM/</v>
      </c>
      <c r="F1550" t="s">
        <v>10888</v>
      </c>
      <c r="G1550" t="s">
        <v>2478</v>
      </c>
      <c r="H1550">
        <v>1749</v>
      </c>
      <c r="I1550" t="s">
        <v>2479</v>
      </c>
      <c r="J1550">
        <v>0</v>
      </c>
      <c r="K1550">
        <v>79</v>
      </c>
      <c r="L1550">
        <v>79</v>
      </c>
      <c r="Q1550">
        <v>0</v>
      </c>
      <c r="R1550">
        <v>0</v>
      </c>
      <c r="S1550">
        <v>79</v>
      </c>
      <c r="T1550" t="s">
        <v>10889</v>
      </c>
      <c r="V1550" t="s">
        <v>2648</v>
      </c>
      <c r="W1550">
        <v>54.781752092909002</v>
      </c>
      <c r="X1550">
        <v>32.047426536320003</v>
      </c>
      <c r="Y1550" t="s">
        <v>3635</v>
      </c>
      <c r="Z1550" t="s">
        <v>3742</v>
      </c>
      <c r="AA1550" t="s">
        <v>5928</v>
      </c>
      <c r="AB1550" t="s">
        <v>2844</v>
      </c>
      <c r="AC1550" t="s">
        <v>2651</v>
      </c>
      <c r="AD1550" s="249" t="str">
        <f>HYPERLINK("https://scontent.cdninstagram.com/t51.2885-15/s320x320/e35/c0.135.1080.1080/20905517_296561737479109_6858754685117923328_n.jpg")</f>
        <v>https://scontent.cdninstagram.com/t51.2885-15/s320x320/e35/c0.135.1080.1080/20905517_296561737479109_6858754685117923328_n.jpg</v>
      </c>
      <c r="AE1550" s="249" t="str">
        <f>HYPERLINK("https://scontent.cdninstagram.com/t51.2885-19/11372086_1598451257062069_1320225693_a.jpg")</f>
        <v>https://scontent.cdninstagram.com/t51.2885-19/11372086_1598451257062069_1320225693_a.jpg</v>
      </c>
    </row>
    <row r="1551" spans="1:31" ht="15" x14ac:dyDescent="0.25">
      <c r="A1551" t="s">
        <v>2474</v>
      </c>
      <c r="B1551" t="s">
        <v>10890</v>
      </c>
      <c r="C1551" s="221">
        <v>42966.09138888889</v>
      </c>
      <c r="D1551" t="s">
        <v>10891</v>
      </c>
      <c r="E1551" s="249" t="str">
        <f>HYPERLINK("https://www.instagram.com/p/BX9wBWenP5L/")</f>
        <v>https://www.instagram.com/p/BX9wBWenP5L/</v>
      </c>
      <c r="F1551" t="s">
        <v>10892</v>
      </c>
      <c r="G1551" t="s">
        <v>2478</v>
      </c>
      <c r="H1551">
        <v>659</v>
      </c>
      <c r="I1551" t="s">
        <v>2479</v>
      </c>
      <c r="J1551">
        <v>1</v>
      </c>
      <c r="K1551">
        <v>14</v>
      </c>
      <c r="L1551">
        <v>15</v>
      </c>
      <c r="Q1551">
        <v>0</v>
      </c>
      <c r="R1551">
        <v>0</v>
      </c>
      <c r="S1551">
        <v>15</v>
      </c>
      <c r="Y1551" t="s">
        <v>8732</v>
      </c>
      <c r="Z1551" t="s">
        <v>5629</v>
      </c>
      <c r="AA1551" t="s">
        <v>2497</v>
      </c>
      <c r="AB1551" t="s">
        <v>8733</v>
      </c>
      <c r="AC1551" t="s">
        <v>8734</v>
      </c>
      <c r="AD1551" s="249" t="str">
        <f>HYPERLINK("https://scontent.cdninstagram.com/t51.2885-15/s320x320/e35/c0.79.640.640/20902536_256033854905003_5652432898637168640_n.jpg")</f>
        <v>https://scontent.cdninstagram.com/t51.2885-15/s320x320/e35/c0.79.640.640/20902536_256033854905003_5652432898637168640_n.jpg</v>
      </c>
      <c r="AE1551" s="249" t="str">
        <f>HYPERLINK("https://scontent.cdninstagram.com/t51.2885-19/s150x150/12818890_567005323469046_64869772_a.jpg")</f>
        <v>https://scontent.cdninstagram.com/t51.2885-19/s150x150/12818890_567005323469046_64869772_a.jpg</v>
      </c>
    </row>
    <row r="1552" spans="1:31" ht="15" x14ac:dyDescent="0.25">
      <c r="A1552" t="s">
        <v>2474</v>
      </c>
      <c r="B1552" t="s">
        <v>7793</v>
      </c>
      <c r="C1552" s="221">
        <v>42966.100416666668</v>
      </c>
      <c r="D1552" t="s">
        <v>10893</v>
      </c>
      <c r="E1552" s="249" t="str">
        <f>HYPERLINK("https://www.instagram.com/p/BX9xgirFTiQ/")</f>
        <v>https://www.instagram.com/p/BX9xgirFTiQ/</v>
      </c>
      <c r="F1552" t="s">
        <v>10894</v>
      </c>
      <c r="G1552" t="s">
        <v>2478</v>
      </c>
      <c r="H1552">
        <v>5813</v>
      </c>
      <c r="I1552" t="s">
        <v>2479</v>
      </c>
      <c r="J1552">
        <v>3</v>
      </c>
      <c r="K1552">
        <v>108</v>
      </c>
      <c r="L1552">
        <v>111</v>
      </c>
      <c r="Q1552">
        <v>0</v>
      </c>
      <c r="R1552">
        <v>0</v>
      </c>
      <c r="S1552">
        <v>111</v>
      </c>
      <c r="Y1552" t="s">
        <v>6806</v>
      </c>
      <c r="Z1552" t="s">
        <v>10895</v>
      </c>
      <c r="AA1552" t="s">
        <v>2696</v>
      </c>
      <c r="AB1552" t="s">
        <v>10896</v>
      </c>
      <c r="AC1552" t="s">
        <v>3174</v>
      </c>
      <c r="AD1552" s="249" t="str">
        <f>HYPERLINK("https://scontent.cdninstagram.com/t51.2885-15/s320x320/e35/20902011_472097526498448_6857775853481230336_n.jpg")</f>
        <v>https://scontent.cdninstagram.com/t51.2885-15/s320x320/e35/20902011_472097526498448_6857775853481230336_n.jpg</v>
      </c>
      <c r="AE1552" s="249" t="str">
        <f>HYPERLINK("https://scontent.cdninstagram.com/t51.2885-19/s150x150/14295311_507350922808081_1928455761_a.jpg")</f>
        <v>https://scontent.cdninstagram.com/t51.2885-19/s150x150/14295311_507350922808081_1928455761_a.jpg</v>
      </c>
    </row>
    <row r="1553" spans="1:31" ht="15" x14ac:dyDescent="0.25">
      <c r="A1553" t="s">
        <v>2474</v>
      </c>
      <c r="B1553" t="s">
        <v>10897</v>
      </c>
      <c r="C1553" s="221">
        <v>42966.103136574071</v>
      </c>
      <c r="D1553" t="s">
        <v>10898</v>
      </c>
      <c r="E1553" s="249" t="str">
        <f>HYPERLINK("https://www.instagram.com/p/BX9x9U4Fsa_/")</f>
        <v>https://www.instagram.com/p/BX9x9U4Fsa_/</v>
      </c>
      <c r="F1553" t="s">
        <v>10899</v>
      </c>
      <c r="G1553" t="s">
        <v>2478</v>
      </c>
      <c r="H1553">
        <v>479</v>
      </c>
      <c r="I1553" t="s">
        <v>2542</v>
      </c>
      <c r="J1553">
        <v>3</v>
      </c>
      <c r="K1553">
        <v>26</v>
      </c>
      <c r="L1553">
        <v>29</v>
      </c>
      <c r="Q1553">
        <v>0</v>
      </c>
      <c r="R1553">
        <v>0</v>
      </c>
      <c r="S1553">
        <v>29</v>
      </c>
      <c r="Y1553" t="s">
        <v>4026</v>
      </c>
      <c r="Z1553" t="s">
        <v>10900</v>
      </c>
      <c r="AA1553" t="s">
        <v>2497</v>
      </c>
      <c r="AB1553" t="s">
        <v>10901</v>
      </c>
      <c r="AC1553" t="s">
        <v>2492</v>
      </c>
      <c r="AD1553" s="249" t="str">
        <f>HYPERLINK("https://scontent.cdninstagram.com/t51.2885-15/s320x320/e35/20902827_195090464362553_4566012086366240768_n.jpg")</f>
        <v>https://scontent.cdninstagram.com/t51.2885-15/s320x320/e35/20902827_195090464362553_4566012086366240768_n.jpg</v>
      </c>
      <c r="AE1553" s="249" t="str">
        <f>HYPERLINK("https://scontent.cdninstagram.com/t51.2885-19/s150x150/17076150_1275998645815918_4466994338366226432_a.jpg")</f>
        <v>https://scontent.cdninstagram.com/t51.2885-19/s150x150/17076150_1275998645815918_4466994338366226432_a.jpg</v>
      </c>
    </row>
    <row r="1554" spans="1:31" ht="15" x14ac:dyDescent="0.25">
      <c r="A1554" t="s">
        <v>2474</v>
      </c>
      <c r="B1554" t="s">
        <v>10902</v>
      </c>
      <c r="C1554" s="221">
        <v>42966.108587962961</v>
      </c>
      <c r="D1554" t="s">
        <v>10903</v>
      </c>
      <c r="E1554" s="249" t="str">
        <f>HYPERLINK("https://www.instagram.com/p/BX9y2vgFMar/")</f>
        <v>https://www.instagram.com/p/BX9y2vgFMar/</v>
      </c>
      <c r="F1554" t="s">
        <v>10904</v>
      </c>
      <c r="G1554" t="s">
        <v>2478</v>
      </c>
      <c r="H1554">
        <v>189</v>
      </c>
      <c r="I1554" t="s">
        <v>2479</v>
      </c>
      <c r="J1554">
        <v>2</v>
      </c>
      <c r="K1554">
        <v>20</v>
      </c>
      <c r="L1554">
        <v>22</v>
      </c>
      <c r="Q1554">
        <v>0</v>
      </c>
      <c r="R1554">
        <v>0</v>
      </c>
      <c r="S1554">
        <v>22</v>
      </c>
      <c r="Y1554" t="s">
        <v>10905</v>
      </c>
      <c r="Z1554" t="s">
        <v>2803</v>
      </c>
      <c r="AA1554" t="s">
        <v>3262</v>
      </c>
      <c r="AB1554" t="s">
        <v>2968</v>
      </c>
      <c r="AC1554" t="s">
        <v>10906</v>
      </c>
      <c r="AD1554" s="249" t="str">
        <f>HYPERLINK("https://scontent.cdninstagram.com/t51.2885-15/s320x320/e35/20838590_1867084963557237_6999252376859181056_n.jpg")</f>
        <v>https://scontent.cdninstagram.com/t51.2885-15/s320x320/e35/20838590_1867084963557237_6999252376859181056_n.jpg</v>
      </c>
      <c r="AE1554" s="249" t="str">
        <f>HYPERLINK("https://scontent.cdninstagram.com/t51.2885-19/s150x150/20590320_346205495814037_4554793919551897600_a.jpg")</f>
        <v>https://scontent.cdninstagram.com/t51.2885-19/s150x150/20590320_346205495814037_4554793919551897600_a.jpg</v>
      </c>
    </row>
    <row r="1555" spans="1:31" ht="15" x14ac:dyDescent="0.25">
      <c r="A1555" t="s">
        <v>2474</v>
      </c>
      <c r="B1555" t="s">
        <v>10907</v>
      </c>
      <c r="C1555" s="221">
        <v>42966.111111111109</v>
      </c>
      <c r="D1555" t="s">
        <v>10908</v>
      </c>
      <c r="E1555" s="249" t="str">
        <f>HYPERLINK("https://www.instagram.com/p/BX9zRYMhz14/")</f>
        <v>https://www.instagram.com/p/BX9zRYMhz14/</v>
      </c>
      <c r="F1555" t="s">
        <v>10909</v>
      </c>
      <c r="G1555" t="s">
        <v>2478</v>
      </c>
      <c r="H1555">
        <v>356</v>
      </c>
      <c r="I1555" t="s">
        <v>2910</v>
      </c>
      <c r="J1555">
        <v>2</v>
      </c>
      <c r="K1555">
        <v>90</v>
      </c>
      <c r="L1555">
        <v>92</v>
      </c>
      <c r="Q1555">
        <v>0</v>
      </c>
      <c r="R1555">
        <v>0</v>
      </c>
      <c r="S1555">
        <v>92</v>
      </c>
      <c r="Y1555" t="s">
        <v>3590</v>
      </c>
      <c r="Z1555" t="s">
        <v>10387</v>
      </c>
      <c r="AA1555" t="s">
        <v>2493</v>
      </c>
      <c r="AB1555" t="s">
        <v>10910</v>
      </c>
      <c r="AC1555" t="s">
        <v>10911</v>
      </c>
      <c r="AD1555" s="249" t="str">
        <f>HYPERLINK("https://scontent.cdninstagram.com/t51.2885-15/s320x320/e35/c0.135.1080.1080/20838449_156598384917881_470028524950913024_n.jpg")</f>
        <v>https://scontent.cdninstagram.com/t51.2885-15/s320x320/e35/c0.135.1080.1080/20838449_156598384917881_470028524950913024_n.jpg</v>
      </c>
      <c r="AE1555" s="249" t="str">
        <f>HYPERLINK("https://scontent.cdninstagram.com/t51.2885-19/s150x150/19227468_1974651179421681_8489050057939615744_a.jpg")</f>
        <v>https://scontent.cdninstagram.com/t51.2885-19/s150x150/19227468_1974651179421681_8489050057939615744_a.jpg</v>
      </c>
    </row>
    <row r="1556" spans="1:31" ht="15" x14ac:dyDescent="0.25">
      <c r="A1556" t="s">
        <v>2474</v>
      </c>
      <c r="B1556" t="s">
        <v>10912</v>
      </c>
      <c r="C1556" s="221">
        <v>42966.118634259263</v>
      </c>
      <c r="D1556" t="s">
        <v>10913</v>
      </c>
      <c r="E1556" s="249" t="str">
        <f>HYPERLINK("https://www.instagram.com/p/BX90grglG8s/")</f>
        <v>https://www.instagram.com/p/BX90grglG8s/</v>
      </c>
      <c r="F1556" t="s">
        <v>10914</v>
      </c>
      <c r="G1556" t="s">
        <v>2478</v>
      </c>
      <c r="H1556">
        <v>263</v>
      </c>
      <c r="I1556" t="s">
        <v>2479</v>
      </c>
      <c r="J1556">
        <v>0</v>
      </c>
      <c r="K1556">
        <v>13</v>
      </c>
      <c r="L1556">
        <v>13</v>
      </c>
      <c r="Q1556">
        <v>0</v>
      </c>
      <c r="R1556">
        <v>0</v>
      </c>
      <c r="S1556">
        <v>13</v>
      </c>
      <c r="Y1556" t="s">
        <v>4826</v>
      </c>
      <c r="Z1556" t="s">
        <v>2497</v>
      </c>
      <c r="AA1556" t="s">
        <v>10915</v>
      </c>
      <c r="AB1556" t="s">
        <v>10916</v>
      </c>
      <c r="AD1556" s="249" t="str">
        <f>HYPERLINK("https://scontent.cdninstagram.com/t51.2885-15/s320x320/e35/20902102_496932930650742_1208168222986076160_n.jpg")</f>
        <v>https://scontent.cdninstagram.com/t51.2885-15/s320x320/e35/20902102_496932930650742_1208168222986076160_n.jpg</v>
      </c>
      <c r="AE1556" s="249" t="str">
        <f>HYPERLINK("https://scontent.cdninstagram.com/t51.2885-19/s150x150/20902829_345131569234228_5727376418640232448_a.jpg")</f>
        <v>https://scontent.cdninstagram.com/t51.2885-19/s150x150/20902829_345131569234228_5727376418640232448_a.jpg</v>
      </c>
    </row>
    <row r="1557" spans="1:31" ht="15" x14ac:dyDescent="0.25">
      <c r="A1557" t="s">
        <v>2474</v>
      </c>
      <c r="B1557" t="s">
        <v>3679</v>
      </c>
      <c r="C1557" s="221">
        <v>42966.144861111112</v>
      </c>
      <c r="D1557" t="s">
        <v>10917</v>
      </c>
      <c r="E1557" s="249" t="str">
        <f>HYPERLINK("https://www.instagram.com/p/BX941YqDoUV/")</f>
        <v>https://www.instagram.com/p/BX941YqDoUV/</v>
      </c>
      <c r="F1557" t="s">
        <v>10918</v>
      </c>
      <c r="G1557" t="s">
        <v>2478</v>
      </c>
      <c r="H1557">
        <v>229</v>
      </c>
      <c r="I1557" t="s">
        <v>2542</v>
      </c>
      <c r="J1557">
        <v>6</v>
      </c>
      <c r="K1557">
        <v>18</v>
      </c>
      <c r="L1557">
        <v>24</v>
      </c>
      <c r="Q1557">
        <v>0</v>
      </c>
      <c r="R1557">
        <v>0</v>
      </c>
      <c r="S1557">
        <v>24</v>
      </c>
      <c r="Y1557" t="s">
        <v>10919</v>
      </c>
      <c r="Z1557" t="s">
        <v>10920</v>
      </c>
      <c r="AA1557" t="s">
        <v>3684</v>
      </c>
      <c r="AB1557" t="s">
        <v>10921</v>
      </c>
      <c r="AC1557" t="s">
        <v>10922</v>
      </c>
      <c r="AD1557" s="249" t="str">
        <f>HYPERLINK("https://scontent.cdninstagram.com/t51.2885-15/s320x320/e35/20969056_1711283709177350_3464610063094644736_n.jpg")</f>
        <v>https://scontent.cdninstagram.com/t51.2885-15/s320x320/e35/20969056_1711283709177350_3464610063094644736_n.jpg</v>
      </c>
      <c r="AE1557" s="249" t="str">
        <f>HYPERLINK("https://scontent.cdninstagram.com/t51.2885-19/s150x150/18444007_124322141455729_5810805608609218560_a.jpg")</f>
        <v>https://scontent.cdninstagram.com/t51.2885-19/s150x150/18444007_124322141455729_5810805608609218560_a.jpg</v>
      </c>
    </row>
    <row r="1558" spans="1:31" ht="15" x14ac:dyDescent="0.25">
      <c r="A1558" t="s">
        <v>2474</v>
      </c>
      <c r="B1558" t="s">
        <v>2636</v>
      </c>
      <c r="C1558" s="221">
        <v>42966.150914351849</v>
      </c>
      <c r="D1558" t="s">
        <v>10923</v>
      </c>
      <c r="E1558" s="249" t="str">
        <f>HYPERLINK("https://www.instagram.com/p/BX951OBnypC/")</f>
        <v>https://www.instagram.com/p/BX951OBnypC/</v>
      </c>
      <c r="F1558" t="s">
        <v>10924</v>
      </c>
      <c r="G1558" t="s">
        <v>2478</v>
      </c>
      <c r="H1558">
        <v>313</v>
      </c>
      <c r="I1558" t="s">
        <v>2479</v>
      </c>
      <c r="J1558">
        <v>3</v>
      </c>
      <c r="K1558">
        <v>61</v>
      </c>
      <c r="L1558">
        <v>64</v>
      </c>
      <c r="Q1558">
        <v>0</v>
      </c>
      <c r="R1558">
        <v>0</v>
      </c>
      <c r="S1558">
        <v>64</v>
      </c>
      <c r="Y1558" t="s">
        <v>7252</v>
      </c>
      <c r="Z1558" t="s">
        <v>8032</v>
      </c>
      <c r="AA1558" t="s">
        <v>2641</v>
      </c>
      <c r="AB1558" t="s">
        <v>3982</v>
      </c>
      <c r="AC1558" t="s">
        <v>7040</v>
      </c>
      <c r="AD1558" s="249" t="str">
        <f>HYPERLINK("https://scontent.cdninstagram.com/t51.2885-15/s320x320/e35/20902300_284404235372180_4410155634524160000_n.jpg")</f>
        <v>https://scontent.cdninstagram.com/t51.2885-15/s320x320/e35/20902300_284404235372180_4410155634524160000_n.jpg</v>
      </c>
      <c r="AE1558" s="249" t="str">
        <f>HYPERLINK("https://scontent.cdninstagram.com/t51.2885-19/s150x150/15802797_1331780626878656_4160680230047973376_a.jpg")</f>
        <v>https://scontent.cdninstagram.com/t51.2885-19/s150x150/15802797_1331780626878656_4160680230047973376_a.jpg</v>
      </c>
    </row>
    <row r="1559" spans="1:31" ht="15" x14ac:dyDescent="0.25">
      <c r="A1559" t="s">
        <v>2474</v>
      </c>
      <c r="B1559" t="s">
        <v>2619</v>
      </c>
      <c r="C1559" s="221">
        <v>42966.157233796293</v>
      </c>
      <c r="D1559" t="s">
        <v>10925</v>
      </c>
      <c r="E1559" s="249" t="str">
        <f>HYPERLINK("https://www.instagram.com/p/BX9631wDQVs/")</f>
        <v>https://www.instagram.com/p/BX9631wDQVs/</v>
      </c>
      <c r="F1559" t="s">
        <v>10926</v>
      </c>
      <c r="G1559" t="s">
        <v>2478</v>
      </c>
      <c r="H1559">
        <v>817</v>
      </c>
      <c r="I1559" t="s">
        <v>2748</v>
      </c>
      <c r="J1559">
        <v>2</v>
      </c>
      <c r="K1559">
        <v>57</v>
      </c>
      <c r="L1559">
        <v>59</v>
      </c>
      <c r="Q1559">
        <v>0</v>
      </c>
      <c r="R1559">
        <v>0</v>
      </c>
      <c r="S1559">
        <v>59</v>
      </c>
      <c r="T1559" t="s">
        <v>2623</v>
      </c>
      <c r="V1559" t="s">
        <v>2102</v>
      </c>
      <c r="W1559">
        <v>-34.316699999999997</v>
      </c>
      <c r="X1559">
        <v>142.18299999999999</v>
      </c>
      <c r="Y1559" t="s">
        <v>10927</v>
      </c>
      <c r="Z1559" t="s">
        <v>10928</v>
      </c>
      <c r="AA1559" t="s">
        <v>10712</v>
      </c>
      <c r="AB1559" t="s">
        <v>2497</v>
      </c>
      <c r="AC1559" t="s">
        <v>2626</v>
      </c>
      <c r="AD1559" s="249" t="str">
        <f>HYPERLINK("https://scontent.cdninstagram.com/t51.2885-15/s320x320/e35/c0.135.1080.1080/20902351_111412619549011_2898892316783673344_n.jpg")</f>
        <v>https://scontent.cdninstagram.com/t51.2885-15/s320x320/e35/c0.135.1080.1080/20902351_111412619549011_2898892316783673344_n.jpg</v>
      </c>
      <c r="AE1559" s="249" t="str">
        <f>HYPERLINK("https://scontent.cdninstagram.com/t51.2885-19/s150x150/14719583_1073368536093824_6781485298590154752_a.jpg")</f>
        <v>https://scontent.cdninstagram.com/t51.2885-19/s150x150/14719583_1073368536093824_6781485298590154752_a.jpg</v>
      </c>
    </row>
    <row r="1560" spans="1:31" ht="15" x14ac:dyDescent="0.25">
      <c r="A1560" t="s">
        <v>2474</v>
      </c>
      <c r="B1560" t="s">
        <v>10929</v>
      </c>
      <c r="C1560" s="221">
        <v>42966.16878472222</v>
      </c>
      <c r="D1560" t="s">
        <v>10930</v>
      </c>
      <c r="E1560" s="249" t="str">
        <f>HYPERLINK("https://www.instagram.com/p/BX98xqpjyPy/")</f>
        <v>https://www.instagram.com/p/BX98xqpjyPy/</v>
      </c>
      <c r="F1560" t="s">
        <v>10931</v>
      </c>
      <c r="G1560" t="s">
        <v>2478</v>
      </c>
      <c r="H1560">
        <v>356</v>
      </c>
      <c r="I1560" t="s">
        <v>2910</v>
      </c>
      <c r="J1560">
        <v>0</v>
      </c>
      <c r="K1560">
        <v>34</v>
      </c>
      <c r="L1560">
        <v>34</v>
      </c>
      <c r="Q1560">
        <v>0</v>
      </c>
      <c r="R1560">
        <v>0</v>
      </c>
      <c r="S1560">
        <v>34</v>
      </c>
      <c r="Y1560" t="s">
        <v>10932</v>
      </c>
      <c r="Z1560" t="s">
        <v>10933</v>
      </c>
      <c r="AA1560" t="s">
        <v>10934</v>
      </c>
      <c r="AB1560" t="s">
        <v>2666</v>
      </c>
      <c r="AC1560" t="s">
        <v>10935</v>
      </c>
      <c r="AD1560" s="249" t="str">
        <f>HYPERLINK("https://scontent.cdninstagram.com/t51.2885-15/s320x320/e35/c0.101.810.810/20905746_423687174698735_4149653081904119808_n.jpg")</f>
        <v>https://scontent.cdninstagram.com/t51.2885-15/s320x320/e35/c0.101.810.810/20905746_423687174698735_4149653081904119808_n.jpg</v>
      </c>
      <c r="AE1560" s="249" t="str">
        <f>HYPERLINK("https://scontent.cdninstagram.com/t51.2885-19/s150x150/20968700_500798626941803_4961270779791540224_a.jpg")</f>
        <v>https://scontent.cdninstagram.com/t51.2885-19/s150x150/20968700_500798626941803_4961270779791540224_a.jpg</v>
      </c>
    </row>
    <row r="1561" spans="1:31" ht="15" x14ac:dyDescent="0.25">
      <c r="A1561" t="s">
        <v>2474</v>
      </c>
      <c r="B1561" t="s">
        <v>10936</v>
      </c>
      <c r="C1561" s="221">
        <v>42966.176261574074</v>
      </c>
      <c r="D1561" t="s">
        <v>10937</v>
      </c>
      <c r="E1561" s="249" t="str">
        <f>HYPERLINK("https://www.instagram.com/p/BX9-AfZjpgk/")</f>
        <v>https://www.instagram.com/p/BX9-AfZjpgk/</v>
      </c>
      <c r="F1561" t="s">
        <v>10938</v>
      </c>
      <c r="G1561" t="s">
        <v>2478</v>
      </c>
      <c r="H1561">
        <v>338</v>
      </c>
      <c r="I1561" t="s">
        <v>2479</v>
      </c>
      <c r="J1561">
        <v>0</v>
      </c>
      <c r="K1561">
        <v>86</v>
      </c>
      <c r="L1561">
        <v>86</v>
      </c>
      <c r="Q1561">
        <v>0</v>
      </c>
      <c r="R1561">
        <v>0</v>
      </c>
      <c r="S1561">
        <v>86</v>
      </c>
      <c r="Y1561" t="s">
        <v>10939</v>
      </c>
      <c r="Z1561" t="s">
        <v>10940</v>
      </c>
      <c r="AA1561" t="s">
        <v>10941</v>
      </c>
      <c r="AB1561" t="s">
        <v>10942</v>
      </c>
      <c r="AC1561" t="s">
        <v>4011</v>
      </c>
      <c r="AD1561" s="249" t="str">
        <f>HYPERLINK("https://scontent.cdninstagram.com/t51.2885-15/s320x320/e35/20838259_922462601226262_6416978231701798912_n.jpg")</f>
        <v>https://scontent.cdninstagram.com/t51.2885-15/s320x320/e35/20838259_922462601226262_6416978231701798912_n.jpg</v>
      </c>
      <c r="AE1561" s="249" t="str">
        <f>HYPERLINK("https://scontent.cdninstagram.com/t51.2885-19/s150x150/18299870_776122302550502_1300624991829622784_a.jpg")</f>
        <v>https://scontent.cdninstagram.com/t51.2885-19/s150x150/18299870_776122302550502_1300624991829622784_a.jpg</v>
      </c>
    </row>
    <row r="1562" spans="1:31" ht="15" x14ac:dyDescent="0.25">
      <c r="A1562" t="s">
        <v>2474</v>
      </c>
      <c r="B1562" t="s">
        <v>10943</v>
      </c>
      <c r="C1562" s="221">
        <v>42966.181296296294</v>
      </c>
      <c r="D1562" t="s">
        <v>10944</v>
      </c>
      <c r="E1562" s="249" t="str">
        <f>HYPERLINK("https://www.instagram.com/p/BX9-1kPh7aE/")</f>
        <v>https://www.instagram.com/p/BX9-1kPh7aE/</v>
      </c>
      <c r="F1562" t="s">
        <v>10945</v>
      </c>
      <c r="G1562" t="s">
        <v>2478</v>
      </c>
      <c r="H1562">
        <v>223</v>
      </c>
      <c r="I1562" t="s">
        <v>2479</v>
      </c>
      <c r="J1562">
        <v>2</v>
      </c>
      <c r="K1562">
        <v>67</v>
      </c>
      <c r="L1562">
        <v>69</v>
      </c>
      <c r="Q1562">
        <v>0</v>
      </c>
      <c r="R1562">
        <v>0</v>
      </c>
      <c r="S1562">
        <v>69</v>
      </c>
      <c r="Y1562" t="s">
        <v>10946</v>
      </c>
      <c r="Z1562" t="s">
        <v>2529</v>
      </c>
      <c r="AA1562" t="s">
        <v>10947</v>
      </c>
      <c r="AB1562" t="s">
        <v>10948</v>
      </c>
      <c r="AC1562" t="s">
        <v>5644</v>
      </c>
      <c r="AD1562" s="249" t="str">
        <f>HYPERLINK("https://scontent.cdninstagram.com/t51.2885-15/s320x320/e35/c0.24.976.976/20838732_1708140339493362_4397103701358018560_n.jpg")</f>
        <v>https://scontent.cdninstagram.com/t51.2885-15/s320x320/e35/c0.24.976.976/20838732_1708140339493362_4397103701358018560_n.jpg</v>
      </c>
      <c r="AE1562" s="249" t="str">
        <f>HYPERLINK("https://scontent.cdninstagram.com/t51.2885-19/s150x150/14733609_1737993733190022_2327287175332233216_a.jpg")</f>
        <v>https://scontent.cdninstagram.com/t51.2885-19/s150x150/14733609_1737993733190022_2327287175332233216_a.jpg</v>
      </c>
    </row>
    <row r="1563" spans="1:31" ht="15" x14ac:dyDescent="0.25">
      <c r="A1563" t="s">
        <v>2474</v>
      </c>
      <c r="B1563" t="s">
        <v>10949</v>
      </c>
      <c r="C1563" s="221">
        <v>42966.210034722222</v>
      </c>
      <c r="D1563" t="s">
        <v>10950</v>
      </c>
      <c r="E1563" s="249" t="str">
        <f>HYPERLINK("https://www.instagram.com/p/BX-DktRnjsr/")</f>
        <v>https://www.instagram.com/p/BX-DktRnjsr/</v>
      </c>
      <c r="F1563" t="s">
        <v>10951</v>
      </c>
      <c r="G1563" t="s">
        <v>2478</v>
      </c>
      <c r="I1563" t="s">
        <v>2896</v>
      </c>
      <c r="J1563">
        <v>3</v>
      </c>
      <c r="K1563">
        <v>55</v>
      </c>
      <c r="L1563">
        <v>58</v>
      </c>
      <c r="Q1563">
        <v>0</v>
      </c>
      <c r="R1563">
        <v>0</v>
      </c>
      <c r="S1563">
        <v>58</v>
      </c>
      <c r="T1563" t="s">
        <v>10952</v>
      </c>
      <c r="V1563" t="s">
        <v>2182</v>
      </c>
      <c r="W1563">
        <v>45.716666666667003</v>
      </c>
      <c r="X1563">
        <v>7.3666666666667</v>
      </c>
      <c r="Y1563" t="s">
        <v>10953</v>
      </c>
      <c r="Z1563" t="s">
        <v>10954</v>
      </c>
      <c r="AA1563" t="s">
        <v>4075</v>
      </c>
      <c r="AB1563" t="s">
        <v>10955</v>
      </c>
      <c r="AC1563" t="s">
        <v>4656</v>
      </c>
      <c r="AD1563" s="249" t="str">
        <f>HYPERLINK("https://scontent.cdninstagram.com/t51.2885-15/s320x320/e35/c0.112.899.899/20902096_1413007125480966_1199115763365969920_n.jpg")</f>
        <v>https://scontent.cdninstagram.com/t51.2885-15/s320x320/e35/c0.112.899.899/20902096_1413007125480966_1199115763365969920_n.jpg</v>
      </c>
      <c r="AE1563" s="249" t="str">
        <f>HYPERLINK("https://scontent.cdninstagram.com/t51.2885-19/s150x150/18581238_135736840306263_2581221769473949696_a.jpg")</f>
        <v>https://scontent.cdninstagram.com/t51.2885-19/s150x150/18581238_135736840306263_2581221769473949696_a.jpg</v>
      </c>
    </row>
    <row r="1564" spans="1:31" ht="15" x14ac:dyDescent="0.25">
      <c r="A1564" t="s">
        <v>2474</v>
      </c>
      <c r="B1564" t="s">
        <v>8202</v>
      </c>
      <c r="C1564" s="221">
        <v>42966.218252314815</v>
      </c>
      <c r="D1564" t="s">
        <v>10956</v>
      </c>
      <c r="E1564" s="249" t="str">
        <f>HYPERLINK("https://www.instagram.com/p/BX-E7bZDxsB/")</f>
        <v>https://www.instagram.com/p/BX-E7bZDxsB/</v>
      </c>
      <c r="F1564" t="s">
        <v>10957</v>
      </c>
      <c r="G1564" t="s">
        <v>2478</v>
      </c>
      <c r="H1564">
        <v>42680</v>
      </c>
      <c r="I1564" t="s">
        <v>2479</v>
      </c>
      <c r="J1564">
        <v>27</v>
      </c>
      <c r="K1564">
        <v>1355</v>
      </c>
      <c r="L1564">
        <v>1382</v>
      </c>
      <c r="Q1564">
        <v>0</v>
      </c>
      <c r="R1564">
        <v>0</v>
      </c>
      <c r="S1564">
        <v>1382</v>
      </c>
      <c r="Y1564" t="s">
        <v>10958</v>
      </c>
      <c r="Z1564" t="s">
        <v>10959</v>
      </c>
      <c r="AA1564" t="s">
        <v>10960</v>
      </c>
      <c r="AB1564" t="s">
        <v>10961</v>
      </c>
      <c r="AC1564" t="s">
        <v>10962</v>
      </c>
      <c r="AD1564" s="249" t="str">
        <f>HYPERLINK("https://scontent.cdninstagram.com/t51.2885-15/s320x320/e35/c0.135.1080.1080/20986883_499818113706043_3946615744300580864_n.jpg")</f>
        <v>https://scontent.cdninstagram.com/t51.2885-15/s320x320/e35/c0.135.1080.1080/20986883_499818113706043_3946615744300580864_n.jpg</v>
      </c>
      <c r="AE1564" s="249" t="str">
        <f>HYPERLINK("https://scontent.cdninstagram.com/t51.2885-19/s150x150/20479365_288964168246039_8270596716911132672_a.jpg")</f>
        <v>https://scontent.cdninstagram.com/t51.2885-19/s150x150/20479365_288964168246039_8270596716911132672_a.jpg</v>
      </c>
    </row>
    <row r="1565" spans="1:31" ht="15" x14ac:dyDescent="0.25">
      <c r="A1565" t="s">
        <v>2474</v>
      </c>
      <c r="B1565" t="s">
        <v>10963</v>
      </c>
      <c r="C1565" s="221">
        <v>42966.220868055556</v>
      </c>
      <c r="D1565" t="s">
        <v>10964</v>
      </c>
      <c r="E1565" s="249" t="str">
        <f>HYPERLINK("https://www.instagram.com/p/BX-FW78jfJz/")</f>
        <v>https://www.instagram.com/p/BX-FW78jfJz/</v>
      </c>
      <c r="F1565" t="s">
        <v>10965</v>
      </c>
      <c r="G1565" t="s">
        <v>2488</v>
      </c>
      <c r="H1565">
        <v>40</v>
      </c>
      <c r="I1565" t="s">
        <v>2479</v>
      </c>
      <c r="J1565">
        <v>0</v>
      </c>
      <c r="K1565">
        <v>4</v>
      </c>
      <c r="L1565">
        <v>4</v>
      </c>
      <c r="Q1565">
        <v>0</v>
      </c>
      <c r="R1565">
        <v>0</v>
      </c>
      <c r="S1565">
        <v>4</v>
      </c>
      <c r="Y1565" t="s">
        <v>10966</v>
      </c>
      <c r="Z1565" t="s">
        <v>2497</v>
      </c>
      <c r="AA1565" t="s">
        <v>10967</v>
      </c>
      <c r="AD1565" s="249" t="str">
        <f>HYPERLINK("https://scontent.cdninstagram.com/t51.2885-15/s320x320/e35/20904888_497718773899001_7628840525994393600_n.jpg")</f>
        <v>https://scontent.cdninstagram.com/t51.2885-15/s320x320/e35/20904888_497718773899001_7628840525994393600_n.jpg</v>
      </c>
      <c r="AE1565" s="249" t="str">
        <f>HYPERLINK("https://scontent.cdninstagram.com/t51.2885-19/s150x150/20986689_316387198833047_9054993878444146688_a.jpg")</f>
        <v>https://scontent.cdninstagram.com/t51.2885-19/s150x150/20986689_316387198833047_9054993878444146688_a.jpg</v>
      </c>
    </row>
    <row r="1566" spans="1:31" ht="15" x14ac:dyDescent="0.25">
      <c r="A1566" t="s">
        <v>2474</v>
      </c>
      <c r="B1566" t="s">
        <v>10968</v>
      </c>
      <c r="C1566" s="221">
        <v>42966.22996527778</v>
      </c>
      <c r="D1566" t="s">
        <v>10969</v>
      </c>
      <c r="E1566" s="249" t="str">
        <f>HYPERLINK("https://www.instagram.com/p/BX-G26ag4h6/")</f>
        <v>https://www.instagram.com/p/BX-G26ag4h6/</v>
      </c>
      <c r="F1566" t="s">
        <v>10970</v>
      </c>
      <c r="G1566" t="s">
        <v>2631</v>
      </c>
      <c r="H1566">
        <v>299</v>
      </c>
      <c r="I1566" t="s">
        <v>2542</v>
      </c>
      <c r="J1566">
        <v>0</v>
      </c>
      <c r="K1566">
        <v>33</v>
      </c>
      <c r="L1566">
        <v>33</v>
      </c>
      <c r="Q1566">
        <v>0</v>
      </c>
      <c r="R1566">
        <v>0</v>
      </c>
      <c r="S1566">
        <v>33</v>
      </c>
      <c r="T1566" t="s">
        <v>10971</v>
      </c>
      <c r="V1566" t="s">
        <v>2264</v>
      </c>
      <c r="W1566">
        <v>41.572980786594002</v>
      </c>
      <c r="X1566">
        <v>2.5275635719299001</v>
      </c>
      <c r="Y1566" t="s">
        <v>10972</v>
      </c>
      <c r="Z1566" t="s">
        <v>10973</v>
      </c>
      <c r="AA1566" t="s">
        <v>2497</v>
      </c>
      <c r="AB1566" t="s">
        <v>10974</v>
      </c>
      <c r="AC1566" t="s">
        <v>10975</v>
      </c>
      <c r="AD1566" s="249" t="str">
        <f>HYPERLINK("https://scontent.cdninstagram.com/t51.2885-15/s320x320/e15/20968683_142699589657256_1110230212584407040_n.jpg")</f>
        <v>https://scontent.cdninstagram.com/t51.2885-15/s320x320/e15/20968683_142699589657256_1110230212584407040_n.jpg</v>
      </c>
      <c r="AE1566" s="249" t="str">
        <f>HYPERLINK("https://scontent.cdninstagram.com/t51.2885-19/s150x150/17596813_738567516323528_1380521296319741952_n.jpg")</f>
        <v>https://scontent.cdninstagram.com/t51.2885-19/s150x150/17596813_738567516323528_1380521296319741952_n.jpg</v>
      </c>
    </row>
    <row r="1567" spans="1:31" ht="15" x14ac:dyDescent="0.25">
      <c r="A1567" t="s">
        <v>2474</v>
      </c>
      <c r="B1567" t="s">
        <v>7152</v>
      </c>
      <c r="C1567" s="221">
        <v>42966.236550925925</v>
      </c>
      <c r="D1567" t="s">
        <v>10976</v>
      </c>
      <c r="E1567" s="249" t="str">
        <f>HYPERLINK("https://www.instagram.com/p/BX-H8V9DvxH/")</f>
        <v>https://www.instagram.com/p/BX-H8V9DvxH/</v>
      </c>
      <c r="F1567" t="s">
        <v>10977</v>
      </c>
      <c r="G1567" t="s">
        <v>2478</v>
      </c>
      <c r="H1567">
        <v>108</v>
      </c>
      <c r="I1567" t="s">
        <v>2542</v>
      </c>
      <c r="J1567">
        <v>1</v>
      </c>
      <c r="K1567">
        <v>20</v>
      </c>
      <c r="L1567">
        <v>21</v>
      </c>
      <c r="Q1567">
        <v>0</v>
      </c>
      <c r="R1567">
        <v>0</v>
      </c>
      <c r="S1567">
        <v>21</v>
      </c>
      <c r="Y1567" t="s">
        <v>5981</v>
      </c>
      <c r="Z1567" t="s">
        <v>7901</v>
      </c>
      <c r="AA1567" t="s">
        <v>10978</v>
      </c>
      <c r="AB1567" t="s">
        <v>10979</v>
      </c>
      <c r="AC1567" t="s">
        <v>6391</v>
      </c>
      <c r="AD1567" s="249" t="str">
        <f>HYPERLINK("https://scontent.cdninstagram.com/t51.2885-15/s320x320/e35/20902384_1649381511760884_5530056421242044416_n.jpg")</f>
        <v>https://scontent.cdninstagram.com/t51.2885-15/s320x320/e35/20902384_1649381511760884_5530056421242044416_n.jpg</v>
      </c>
      <c r="AE1567" s="249" t="str">
        <f>HYPERLINK("https://scontent.cdninstagram.com/t51.2885-19/s150x150/20181062_1791856511105718_4709893984703479808_a.jpg")</f>
        <v>https://scontent.cdninstagram.com/t51.2885-19/s150x150/20181062_1791856511105718_4709893984703479808_a.jpg</v>
      </c>
    </row>
    <row r="1568" spans="1:31" ht="15" x14ac:dyDescent="0.25">
      <c r="A1568" t="s">
        <v>2474</v>
      </c>
      <c r="B1568" t="s">
        <v>3133</v>
      </c>
      <c r="C1568" s="221">
        <v>42966.236805555556</v>
      </c>
      <c r="D1568" t="s">
        <v>10980</v>
      </c>
      <c r="E1568" s="249" t="str">
        <f>HYPERLINK("https://www.instagram.com/p/BX-H_BnFnDt/")</f>
        <v>https://www.instagram.com/p/BX-H_BnFnDt/</v>
      </c>
      <c r="F1568" t="s">
        <v>10981</v>
      </c>
      <c r="G1568" t="s">
        <v>2478</v>
      </c>
      <c r="H1568">
        <v>319</v>
      </c>
      <c r="I1568" t="s">
        <v>2479</v>
      </c>
      <c r="J1568">
        <v>2</v>
      </c>
      <c r="K1568">
        <v>47</v>
      </c>
      <c r="L1568">
        <v>49</v>
      </c>
      <c r="Q1568">
        <v>0</v>
      </c>
      <c r="R1568">
        <v>0</v>
      </c>
      <c r="S1568">
        <v>49</v>
      </c>
      <c r="Y1568" t="s">
        <v>2778</v>
      </c>
      <c r="Z1568" t="s">
        <v>5325</v>
      </c>
      <c r="AA1568" t="s">
        <v>6507</v>
      </c>
      <c r="AB1568" t="s">
        <v>2730</v>
      </c>
      <c r="AC1568" t="s">
        <v>2492</v>
      </c>
      <c r="AD1568" s="249" t="str">
        <f>HYPERLINK("https://scontent.cdninstagram.com/t51.2885-15/s320x320/e35/c134.0.812.812/20905132_161613681055380_7100255297398112256_n.jpg")</f>
        <v>https://scontent.cdninstagram.com/t51.2885-15/s320x320/e35/c134.0.812.812/20905132_161613681055380_7100255297398112256_n.jpg</v>
      </c>
      <c r="AE1568" s="249" t="str">
        <f>HYPERLINK("https://scontent.cdninstagram.com/t51.2885-19/s150x150/20986643_111635112861159_488548642974597120_a.jpg")</f>
        <v>https://scontent.cdninstagram.com/t51.2885-19/s150x150/20986643_111635112861159_488548642974597120_a.jpg</v>
      </c>
    </row>
    <row r="1569" spans="1:31" ht="15" x14ac:dyDescent="0.25">
      <c r="A1569" t="s">
        <v>2474</v>
      </c>
      <c r="B1569" t="s">
        <v>8219</v>
      </c>
      <c r="C1569" s="221">
        <v>42966.241597222222</v>
      </c>
      <c r="D1569" t="s">
        <v>10982</v>
      </c>
      <c r="E1569" s="249" t="str">
        <f>HYPERLINK("https://www.instagram.com/p/BX-IxougV6G/")</f>
        <v>https://www.instagram.com/p/BX-IxougV6G/</v>
      </c>
      <c r="F1569" t="s">
        <v>10983</v>
      </c>
      <c r="G1569" t="s">
        <v>2478</v>
      </c>
      <c r="H1569">
        <v>357</v>
      </c>
      <c r="I1569" t="s">
        <v>2896</v>
      </c>
      <c r="J1569">
        <v>3</v>
      </c>
      <c r="K1569">
        <v>75</v>
      </c>
      <c r="L1569">
        <v>78</v>
      </c>
      <c r="Q1569">
        <v>0</v>
      </c>
      <c r="R1569">
        <v>0</v>
      </c>
      <c r="S1569">
        <v>78</v>
      </c>
      <c r="Y1569" t="s">
        <v>2497</v>
      </c>
      <c r="Z1569" t="s">
        <v>10984</v>
      </c>
      <c r="AA1569" t="s">
        <v>10985</v>
      </c>
      <c r="AB1569" t="s">
        <v>10986</v>
      </c>
      <c r="AC1569" t="s">
        <v>6628</v>
      </c>
      <c r="AD1569" s="249" t="str">
        <f>HYPERLINK("https://scontent.cdninstagram.com/t51.2885-15/s320x320/e35/20902529_1248406088604304_7037527583507873792_n.jpg")</f>
        <v>https://scontent.cdninstagram.com/t51.2885-15/s320x320/e35/20902529_1248406088604304_7037527583507873792_n.jpg</v>
      </c>
      <c r="AE1569" s="249" t="str">
        <f>HYPERLINK("https://scontent.cdninstagram.com/t51.2885-19/s150x150/14733200_1840337686177813_3186959381098921984_a.jpg")</f>
        <v>https://scontent.cdninstagram.com/t51.2885-19/s150x150/14733200_1840337686177813_3186959381098921984_a.jpg</v>
      </c>
    </row>
    <row r="1570" spans="1:31" ht="15" x14ac:dyDescent="0.25">
      <c r="A1570" t="s">
        <v>2474</v>
      </c>
      <c r="B1570" t="s">
        <v>10987</v>
      </c>
      <c r="C1570" s="221">
        <v>42966.244305555556</v>
      </c>
      <c r="D1570" t="s">
        <v>10988</v>
      </c>
      <c r="E1570" s="249" t="str">
        <f>HYPERLINK("https://www.instagram.com/p/BX-JOI1B2xa/")</f>
        <v>https://www.instagram.com/p/BX-JOI1B2xa/</v>
      </c>
      <c r="F1570" t="s">
        <v>10989</v>
      </c>
      <c r="G1570" t="s">
        <v>2478</v>
      </c>
      <c r="H1570">
        <v>77</v>
      </c>
      <c r="I1570" t="s">
        <v>2479</v>
      </c>
      <c r="J1570">
        <v>0</v>
      </c>
      <c r="K1570">
        <v>4</v>
      </c>
      <c r="L1570">
        <v>4</v>
      </c>
      <c r="Q1570">
        <v>0</v>
      </c>
      <c r="R1570">
        <v>0</v>
      </c>
      <c r="S1570">
        <v>4</v>
      </c>
      <c r="Y1570" t="s">
        <v>10990</v>
      </c>
      <c r="Z1570" t="s">
        <v>2497</v>
      </c>
      <c r="AA1570" t="s">
        <v>10991</v>
      </c>
      <c r="AB1570" t="s">
        <v>10992</v>
      </c>
      <c r="AC1570" t="s">
        <v>10993</v>
      </c>
      <c r="AD1570" s="249" t="str">
        <f>HYPERLINK("https://scontent.cdninstagram.com/t51.2885-15/s320x320/e35/c67.0.399.399/20905451_111546056181059_3292856459821318144_n.jpg")</f>
        <v>https://scontent.cdninstagram.com/t51.2885-15/s320x320/e35/c67.0.399.399/20905451_111546056181059_3292856459821318144_n.jpg</v>
      </c>
      <c r="AE1570" s="249" t="str">
        <f>HYPERLINK("https://scontent.cdninstagram.com/t51.2885-19/s150x150/20902114_1410924075695958_2034334766106411008_a.jpg")</f>
        <v>https://scontent.cdninstagram.com/t51.2885-19/s150x150/20902114_1410924075695958_2034334766106411008_a.jpg</v>
      </c>
    </row>
    <row r="1571" spans="1:31" ht="15" x14ac:dyDescent="0.25">
      <c r="A1571" t="s">
        <v>2474</v>
      </c>
      <c r="B1571" t="s">
        <v>10994</v>
      </c>
      <c r="C1571" s="221">
        <v>42966.256712962961</v>
      </c>
      <c r="D1571" t="s">
        <v>10995</v>
      </c>
      <c r="E1571" s="249" t="str">
        <f>HYPERLINK("https://www.instagram.com/p/BX-LRB2nYps/")</f>
        <v>https://www.instagram.com/p/BX-LRB2nYps/</v>
      </c>
      <c r="F1571" t="s">
        <v>10996</v>
      </c>
      <c r="G1571" t="s">
        <v>2478</v>
      </c>
      <c r="H1571">
        <v>119</v>
      </c>
      <c r="I1571" t="s">
        <v>2479</v>
      </c>
      <c r="J1571">
        <v>1</v>
      </c>
      <c r="K1571">
        <v>32</v>
      </c>
      <c r="L1571">
        <v>33</v>
      </c>
      <c r="Q1571">
        <v>0</v>
      </c>
      <c r="R1571">
        <v>0</v>
      </c>
      <c r="S1571">
        <v>33</v>
      </c>
      <c r="Y1571" t="s">
        <v>2497</v>
      </c>
      <c r="Z1571" t="s">
        <v>10997</v>
      </c>
      <c r="AA1571" t="s">
        <v>10998</v>
      </c>
      <c r="AB1571" t="s">
        <v>10999</v>
      </c>
      <c r="AD1571" s="249" t="str">
        <f>HYPERLINK("https://scontent.cdninstagram.com/t51.2885-15/s320x320/e35/20902204_1093246644142311_5859284729840271360_n.jpg")</f>
        <v>https://scontent.cdninstagram.com/t51.2885-15/s320x320/e35/20902204_1093246644142311_5859284729840271360_n.jpg</v>
      </c>
      <c r="AE1571" s="249" t="str">
        <f>HYPERLINK("https://scontent.cdninstagram.com/t51.2885-19/s150x150/20398637_122545125034099_6862195572397309952_a.jpg")</f>
        <v>https://scontent.cdninstagram.com/t51.2885-19/s150x150/20398637_122545125034099_6862195572397309952_a.jpg</v>
      </c>
    </row>
    <row r="1572" spans="1:31" ht="15" x14ac:dyDescent="0.25">
      <c r="A1572" t="s">
        <v>2474</v>
      </c>
      <c r="B1572" t="s">
        <v>11000</v>
      </c>
      <c r="C1572" s="221">
        <v>42966.259745370371</v>
      </c>
      <c r="D1572" t="s">
        <v>11001</v>
      </c>
      <c r="E1572" s="249" t="str">
        <f>HYPERLINK("https://www.instagram.com/p/BX-LxDXjbjr/")</f>
        <v>https://www.instagram.com/p/BX-LxDXjbjr/</v>
      </c>
      <c r="F1572" t="s">
        <v>11002</v>
      </c>
      <c r="G1572" t="s">
        <v>2478</v>
      </c>
      <c r="H1572">
        <v>198</v>
      </c>
      <c r="I1572" t="s">
        <v>2542</v>
      </c>
      <c r="J1572">
        <v>0</v>
      </c>
      <c r="K1572">
        <v>17</v>
      </c>
      <c r="L1572">
        <v>17</v>
      </c>
      <c r="Q1572">
        <v>0</v>
      </c>
      <c r="R1572">
        <v>0</v>
      </c>
      <c r="S1572">
        <v>17</v>
      </c>
      <c r="Y1572" t="s">
        <v>5884</v>
      </c>
      <c r="Z1572" t="s">
        <v>2497</v>
      </c>
      <c r="AD1572" s="249" t="str">
        <f>HYPERLINK("https://scontent.cdninstagram.com/t51.2885-15/s320x320/e35/20839062_125844131378814_5626500959845744640_n.jpg")</f>
        <v>https://scontent.cdninstagram.com/t51.2885-15/s320x320/e35/20839062_125844131378814_5626500959845744640_n.jpg</v>
      </c>
      <c r="AE1572" s="249" t="str">
        <f>HYPERLINK("https://scontent.cdninstagram.com/t51.2885-19/s150x150/20905480_473278266362704_1047572656984948736_a.jpg")</f>
        <v>https://scontent.cdninstagram.com/t51.2885-19/s150x150/20905480_473278266362704_1047572656984948736_a.jpg</v>
      </c>
    </row>
    <row r="1573" spans="1:31" ht="15" x14ac:dyDescent="0.25">
      <c r="A1573" t="s">
        <v>2474</v>
      </c>
      <c r="B1573" t="s">
        <v>11003</v>
      </c>
      <c r="C1573" s="221">
        <v>42966.261979166666</v>
      </c>
      <c r="D1573" t="s">
        <v>11004</v>
      </c>
      <c r="E1573" s="249" t="str">
        <f>HYPERLINK("https://www.instagram.com/p/BX-MIiJnE_N/")</f>
        <v>https://www.instagram.com/p/BX-MIiJnE_N/</v>
      </c>
      <c r="F1573" t="s">
        <v>11005</v>
      </c>
      <c r="G1573" t="s">
        <v>2478</v>
      </c>
      <c r="H1573">
        <v>372</v>
      </c>
      <c r="I1573" t="s">
        <v>2479</v>
      </c>
      <c r="J1573">
        <v>0</v>
      </c>
      <c r="K1573">
        <v>9</v>
      </c>
      <c r="L1573">
        <v>9</v>
      </c>
      <c r="Q1573">
        <v>0</v>
      </c>
      <c r="R1573">
        <v>0</v>
      </c>
      <c r="S1573">
        <v>9</v>
      </c>
      <c r="Y1573" t="s">
        <v>11006</v>
      </c>
      <c r="Z1573" t="s">
        <v>2497</v>
      </c>
      <c r="AA1573" t="s">
        <v>11007</v>
      </c>
      <c r="AB1573" t="s">
        <v>3708</v>
      </c>
      <c r="AC1573" t="s">
        <v>3706</v>
      </c>
      <c r="AD1573" s="249" t="str">
        <f>HYPERLINK("https://scontent.cdninstagram.com/t51.2885-15/s320x320/e35/c0.34.631.631/20901933_1968038426811757_2645655800856444928_n.jpg")</f>
        <v>https://scontent.cdninstagram.com/t51.2885-15/s320x320/e35/c0.34.631.631/20901933_1968038426811757_2645655800856444928_n.jpg</v>
      </c>
      <c r="AE1573" s="249" t="str">
        <f>HYPERLINK("https://scontent.cdninstagram.com/t51.2885-19/s150x150/19227584_130047337575416_1165620692108967936_a.jpg")</f>
        <v>https://scontent.cdninstagram.com/t51.2885-19/s150x150/19227584_130047337575416_1165620692108967936_a.jpg</v>
      </c>
    </row>
    <row r="1574" spans="1:31" ht="15" x14ac:dyDescent="0.25">
      <c r="A1574" t="s">
        <v>2474</v>
      </c>
      <c r="B1574" t="s">
        <v>11008</v>
      </c>
      <c r="C1574" s="221">
        <v>42966.262476851851</v>
      </c>
      <c r="D1574" t="s">
        <v>11009</v>
      </c>
      <c r="E1574" s="249" t="str">
        <f>HYPERLINK("https://www.instagram.com/p/BX-MN07nRgD/")</f>
        <v>https://www.instagram.com/p/BX-MN07nRgD/</v>
      </c>
      <c r="F1574" t="s">
        <v>11010</v>
      </c>
      <c r="G1574" t="s">
        <v>2478</v>
      </c>
      <c r="H1574">
        <v>182</v>
      </c>
      <c r="I1574" t="s">
        <v>2479</v>
      </c>
      <c r="J1574">
        <v>0</v>
      </c>
      <c r="K1574">
        <v>35</v>
      </c>
      <c r="L1574">
        <v>35</v>
      </c>
      <c r="Q1574">
        <v>0</v>
      </c>
      <c r="R1574">
        <v>0</v>
      </c>
      <c r="S1574">
        <v>35</v>
      </c>
      <c r="Y1574" t="s">
        <v>11011</v>
      </c>
      <c r="Z1574" t="s">
        <v>11012</v>
      </c>
      <c r="AA1574" t="s">
        <v>11013</v>
      </c>
      <c r="AB1574" t="s">
        <v>8473</v>
      </c>
      <c r="AC1574" t="s">
        <v>11014</v>
      </c>
      <c r="AD1574" s="249" t="str">
        <f>HYPERLINK("https://scontent.cdninstagram.com/t51.2885-15/s320x320/e35/c0.135.1080.1080/20838477_1635437026497908_3798320934570426368_n.jpg")</f>
        <v>https://scontent.cdninstagram.com/t51.2885-15/s320x320/e35/c0.135.1080.1080/20838477_1635437026497908_3798320934570426368_n.jpg</v>
      </c>
      <c r="AE1574" s="249" t="str">
        <f>HYPERLINK("https://scontent.cdninstagram.com/t51.2885-19/s150x150/19436349_1968498120074624_4978730401670365184_a.jpg")</f>
        <v>https://scontent.cdninstagram.com/t51.2885-19/s150x150/19436349_1968498120074624_4978730401670365184_a.jpg</v>
      </c>
    </row>
    <row r="1575" spans="1:31" ht="15" x14ac:dyDescent="0.25">
      <c r="A1575" t="s">
        <v>2474</v>
      </c>
      <c r="B1575" t="s">
        <v>9410</v>
      </c>
      <c r="C1575" s="221">
        <v>42966.26284722222</v>
      </c>
      <c r="D1575" t="s">
        <v>11015</v>
      </c>
      <c r="E1575" s="249" t="str">
        <f>HYPERLINK("https://www.instagram.com/p/BX-MRu7DBY8/")</f>
        <v>https://www.instagram.com/p/BX-MRu7DBY8/</v>
      </c>
      <c r="F1575" t="s">
        <v>11016</v>
      </c>
      <c r="G1575" t="s">
        <v>2478</v>
      </c>
      <c r="H1575">
        <v>1177</v>
      </c>
      <c r="I1575" t="s">
        <v>2910</v>
      </c>
      <c r="J1575">
        <v>2</v>
      </c>
      <c r="K1575">
        <v>158</v>
      </c>
      <c r="L1575">
        <v>160</v>
      </c>
      <c r="Q1575">
        <v>0</v>
      </c>
      <c r="R1575">
        <v>0</v>
      </c>
      <c r="S1575">
        <v>160</v>
      </c>
      <c r="Y1575" t="s">
        <v>11017</v>
      </c>
      <c r="Z1575" t="s">
        <v>4620</v>
      </c>
      <c r="AA1575" t="s">
        <v>4645</v>
      </c>
      <c r="AB1575" t="s">
        <v>2778</v>
      </c>
      <c r="AC1575" t="s">
        <v>11018</v>
      </c>
      <c r="AD1575" s="249" t="str">
        <f>HYPERLINK("https://scontent.cdninstagram.com/t51.2885-15/s320x320/e35/c0.135.1080.1080/20968539_1729659100663658_7691061579772592128_n.jpg")</f>
        <v>https://scontent.cdninstagram.com/t51.2885-15/s320x320/e35/c0.135.1080.1080/20968539_1729659100663658_7691061579772592128_n.jpg</v>
      </c>
      <c r="AE1575" s="249" t="str">
        <f>HYPERLINK("https://scontent.cdninstagram.com/t51.2885-19/s150x150/20583013_189512468255138_93716023189962752_a.jpg")</f>
        <v>https://scontent.cdninstagram.com/t51.2885-19/s150x150/20583013_189512468255138_93716023189962752_a.jpg</v>
      </c>
    </row>
    <row r="1576" spans="1:31" ht="15" x14ac:dyDescent="0.25">
      <c r="A1576" t="s">
        <v>2474</v>
      </c>
      <c r="B1576" t="s">
        <v>3251</v>
      </c>
      <c r="C1576" s="221">
        <v>42966.271377314813</v>
      </c>
      <c r="D1576" t="s">
        <v>11019</v>
      </c>
      <c r="E1576" s="249" t="str">
        <f>HYPERLINK("https://www.instagram.com/p/BX-Nrp5HHlZ/")</f>
        <v>https://www.instagram.com/p/BX-Nrp5HHlZ/</v>
      </c>
      <c r="F1576" t="s">
        <v>11020</v>
      </c>
      <c r="G1576" t="s">
        <v>2478</v>
      </c>
      <c r="H1576">
        <v>295</v>
      </c>
      <c r="I1576" t="s">
        <v>2599</v>
      </c>
      <c r="J1576">
        <v>0</v>
      </c>
      <c r="K1576">
        <v>27</v>
      </c>
      <c r="L1576">
        <v>27</v>
      </c>
      <c r="Q1576">
        <v>0</v>
      </c>
      <c r="R1576">
        <v>0</v>
      </c>
      <c r="S1576">
        <v>27</v>
      </c>
      <c r="Y1576" t="s">
        <v>4058</v>
      </c>
      <c r="Z1576" t="s">
        <v>3255</v>
      </c>
      <c r="AA1576" t="s">
        <v>5943</v>
      </c>
      <c r="AB1576" t="s">
        <v>2778</v>
      </c>
      <c r="AC1576" t="s">
        <v>3254</v>
      </c>
      <c r="AD1576" s="249" t="str">
        <f>HYPERLINK("https://scontent.cdninstagram.com/t51.2885-15/s320x320/e35/c0.29.1080.1080/20838805_2011580599128806_6734553546701668352_n.jpg")</f>
        <v>https://scontent.cdninstagram.com/t51.2885-15/s320x320/e35/c0.29.1080.1080/20838805_2011580599128806_6734553546701668352_n.jpg</v>
      </c>
      <c r="AE1576" s="249" t="str">
        <f>HYPERLINK("https://scontent.cdninstagram.com/t51.2885-19/s150x150/20986614_891746094322067_1272495017625124864_a.jpg")</f>
        <v>https://scontent.cdninstagram.com/t51.2885-19/s150x150/20986614_891746094322067_1272495017625124864_a.jpg</v>
      </c>
    </row>
    <row r="1577" spans="1:31" ht="15" x14ac:dyDescent="0.25">
      <c r="A1577" t="s">
        <v>2474</v>
      </c>
      <c r="B1577" t="s">
        <v>7042</v>
      </c>
      <c r="C1577" s="221">
        <v>42966.274340277778</v>
      </c>
      <c r="D1577" t="s">
        <v>11021</v>
      </c>
      <c r="E1577" s="249" t="str">
        <f>HYPERLINK("https://www.instagram.com/p/BX-OK9jgNB3/")</f>
        <v>https://www.instagram.com/p/BX-OK9jgNB3/</v>
      </c>
      <c r="F1577" t="s">
        <v>11022</v>
      </c>
      <c r="G1577" t="s">
        <v>2478</v>
      </c>
      <c r="H1577">
        <v>93</v>
      </c>
      <c r="I1577" t="s">
        <v>2542</v>
      </c>
      <c r="J1577">
        <v>1</v>
      </c>
      <c r="K1577">
        <v>18</v>
      </c>
      <c r="L1577">
        <v>19</v>
      </c>
      <c r="Q1577">
        <v>0</v>
      </c>
      <c r="R1577">
        <v>0</v>
      </c>
      <c r="S1577">
        <v>19</v>
      </c>
      <c r="Y1577" t="s">
        <v>5383</v>
      </c>
      <c r="Z1577" t="s">
        <v>2497</v>
      </c>
      <c r="AA1577" t="s">
        <v>2609</v>
      </c>
      <c r="AB1577" t="s">
        <v>11023</v>
      </c>
      <c r="AD1577" s="249" t="str">
        <f>HYPERLINK("https://scontent.cdninstagram.com/t51.2885-15/s320x320/e35/20902110_1610129229018541_1531561092663214080_n.jpg")</f>
        <v>https://scontent.cdninstagram.com/t51.2885-15/s320x320/e35/20902110_1610129229018541_1531561092663214080_n.jpg</v>
      </c>
      <c r="AE1577" s="249" t="str">
        <f>HYPERLINK("https://scontent.cdninstagram.com/t51.2885-19/s150x150/20968455_126301104661065_8853621218624929792_a.jpg")</f>
        <v>https://scontent.cdninstagram.com/t51.2885-19/s150x150/20968455_126301104661065_8853621218624929792_a.jpg</v>
      </c>
    </row>
    <row r="1578" spans="1:31" ht="15" x14ac:dyDescent="0.25">
      <c r="A1578" t="s">
        <v>2474</v>
      </c>
      <c r="B1578" t="s">
        <v>8015</v>
      </c>
      <c r="C1578" s="221">
        <v>42966.280347222222</v>
      </c>
      <c r="D1578" t="s">
        <v>11024</v>
      </c>
      <c r="E1578" s="249" t="str">
        <f>HYPERLINK("https://www.instagram.com/p/BX-PKPgFd21/")</f>
        <v>https://www.instagram.com/p/BX-PKPgFd21/</v>
      </c>
      <c r="F1578" t="s">
        <v>11025</v>
      </c>
      <c r="G1578" t="s">
        <v>2478</v>
      </c>
      <c r="H1578">
        <v>387</v>
      </c>
      <c r="I1578" t="s">
        <v>2479</v>
      </c>
      <c r="J1578">
        <v>0</v>
      </c>
      <c r="K1578">
        <v>58</v>
      </c>
      <c r="L1578">
        <v>58</v>
      </c>
      <c r="Q1578">
        <v>0</v>
      </c>
      <c r="R1578">
        <v>0</v>
      </c>
      <c r="S1578">
        <v>58</v>
      </c>
      <c r="T1578" t="s">
        <v>11026</v>
      </c>
      <c r="V1578" t="s">
        <v>2264</v>
      </c>
      <c r="W1578">
        <v>40.5</v>
      </c>
      <c r="X1578">
        <v>-3.6666666666666998</v>
      </c>
      <c r="Y1578" t="s">
        <v>2497</v>
      </c>
      <c r="Z1578" t="s">
        <v>6018</v>
      </c>
      <c r="AA1578" t="s">
        <v>4827</v>
      </c>
      <c r="AB1578" t="s">
        <v>11027</v>
      </c>
      <c r="AC1578" t="s">
        <v>8020</v>
      </c>
      <c r="AD1578" s="249" t="str">
        <f>HYPERLINK("https://scontent.cdninstagram.com/t51.2885-15/s320x320/e35/c84.0.912.912/20902296_1298476893615259_3422703964108357632_n.jpg")</f>
        <v>https://scontent.cdninstagram.com/t51.2885-15/s320x320/e35/c84.0.912.912/20902296_1298476893615259_3422703964108357632_n.jpg</v>
      </c>
      <c r="AE1578" s="249" t="str">
        <f>HYPERLINK("https://scontent.cdninstagram.com/t51.2885-19/10725092_1500831486834757_1059755663_a.jpg")</f>
        <v>https://scontent.cdninstagram.com/t51.2885-19/10725092_1500831486834757_1059755663_a.jpg</v>
      </c>
    </row>
    <row r="1579" spans="1:31" ht="15" x14ac:dyDescent="0.25">
      <c r="A1579" t="s">
        <v>2474</v>
      </c>
      <c r="B1579" t="s">
        <v>11028</v>
      </c>
      <c r="C1579" s="221">
        <v>42966.286793981482</v>
      </c>
      <c r="D1579" t="s">
        <v>11029</v>
      </c>
      <c r="E1579" s="249" t="str">
        <f>HYPERLINK("https://www.instagram.com/p/BX-QOO5gXT5/")</f>
        <v>https://www.instagram.com/p/BX-QOO5gXT5/</v>
      </c>
      <c r="F1579" t="s">
        <v>11030</v>
      </c>
      <c r="G1579" t="s">
        <v>2478</v>
      </c>
      <c r="H1579">
        <v>53</v>
      </c>
      <c r="I1579" t="s">
        <v>2479</v>
      </c>
      <c r="J1579">
        <v>1</v>
      </c>
      <c r="K1579">
        <v>14</v>
      </c>
      <c r="L1579">
        <v>15</v>
      </c>
      <c r="Q1579">
        <v>0</v>
      </c>
      <c r="R1579">
        <v>0</v>
      </c>
      <c r="S1579">
        <v>15</v>
      </c>
      <c r="Y1579" t="s">
        <v>11031</v>
      </c>
      <c r="Z1579" t="s">
        <v>11032</v>
      </c>
      <c r="AA1579" t="s">
        <v>11033</v>
      </c>
      <c r="AB1579" t="s">
        <v>11034</v>
      </c>
      <c r="AC1579" t="s">
        <v>11035</v>
      </c>
      <c r="AD1579" s="249" t="str">
        <f>HYPERLINK("https://scontent.cdninstagram.com/t51.2885-15/s320x320/e35/20838762_268593746974901_6739453949767581696_n.jpg")</f>
        <v>https://scontent.cdninstagram.com/t51.2885-15/s320x320/e35/20838762_268593746974901_6739453949767581696_n.jpg</v>
      </c>
      <c r="AE1579" s="249" t="str">
        <f>HYPERLINK("https://scontent.cdninstagram.com/t51.2885-19/s150x150/20838401_1549957795042895_1788670483680460800_a.jpg")</f>
        <v>https://scontent.cdninstagram.com/t51.2885-19/s150x150/20838401_1549957795042895_1788670483680460800_a.jpg</v>
      </c>
    </row>
    <row r="1580" spans="1:31" ht="15" x14ac:dyDescent="0.25">
      <c r="A1580" t="s">
        <v>2474</v>
      </c>
      <c r="B1580" t="s">
        <v>11036</v>
      </c>
      <c r="C1580" s="221">
        <v>42966.288634259261</v>
      </c>
      <c r="D1580" t="s">
        <v>11037</v>
      </c>
      <c r="E1580" s="249" t="str">
        <f>HYPERLINK("https://www.instagram.com/p/BX-QhvUBAdL/")</f>
        <v>https://www.instagram.com/p/BX-QhvUBAdL/</v>
      </c>
      <c r="F1580" t="s">
        <v>11038</v>
      </c>
      <c r="G1580" t="s">
        <v>2478</v>
      </c>
      <c r="H1580">
        <v>325</v>
      </c>
      <c r="I1580" t="s">
        <v>4062</v>
      </c>
      <c r="J1580">
        <v>0</v>
      </c>
      <c r="K1580">
        <v>104</v>
      </c>
      <c r="L1580">
        <v>104</v>
      </c>
      <c r="Q1580">
        <v>0</v>
      </c>
      <c r="R1580">
        <v>0</v>
      </c>
      <c r="S1580">
        <v>104</v>
      </c>
      <c r="Y1580" t="s">
        <v>11039</v>
      </c>
      <c r="Z1580" t="s">
        <v>11040</v>
      </c>
      <c r="AA1580" t="s">
        <v>11041</v>
      </c>
      <c r="AB1580" t="s">
        <v>11042</v>
      </c>
      <c r="AC1580" t="s">
        <v>11043</v>
      </c>
      <c r="AD1580" s="249" t="str">
        <f>HYPERLINK("https://scontent.cdninstagram.com/t51.2885-15/s320x320/e35/20839081_130908607524483_1631789901181616128_n.jpg")</f>
        <v>https://scontent.cdninstagram.com/t51.2885-15/s320x320/e35/20839081_130908607524483_1631789901181616128_n.jpg</v>
      </c>
      <c r="AE1580" s="249" t="str">
        <f>HYPERLINK("https://scontent.cdninstagram.com/t51.2885-19/s150x150/16788559_1395874397110148_208912586576494592_n.jpg")</f>
        <v>https://scontent.cdninstagram.com/t51.2885-19/s150x150/16788559_1395874397110148_208912586576494592_n.jpg</v>
      </c>
    </row>
    <row r="1581" spans="1:31" ht="15" x14ac:dyDescent="0.25">
      <c r="A1581" t="s">
        <v>2474</v>
      </c>
      <c r="B1581" t="s">
        <v>10292</v>
      </c>
      <c r="C1581" s="221">
        <v>42966.290578703702</v>
      </c>
      <c r="D1581" t="s">
        <v>11044</v>
      </c>
      <c r="E1581" s="249" t="str">
        <f>HYPERLINK("https://www.instagram.com/p/BX-Q2LWAC5B/")</f>
        <v>https://www.instagram.com/p/BX-Q2LWAC5B/</v>
      </c>
      <c r="F1581" t="s">
        <v>11045</v>
      </c>
      <c r="G1581" t="s">
        <v>2478</v>
      </c>
      <c r="H1581">
        <v>164</v>
      </c>
      <c r="I1581" t="s">
        <v>4963</v>
      </c>
      <c r="J1581">
        <v>0</v>
      </c>
      <c r="K1581">
        <v>9</v>
      </c>
      <c r="L1581">
        <v>9</v>
      </c>
      <c r="Q1581">
        <v>0</v>
      </c>
      <c r="R1581">
        <v>0</v>
      </c>
      <c r="S1581">
        <v>9</v>
      </c>
      <c r="Y1581" t="s">
        <v>2497</v>
      </c>
      <c r="Z1581" t="s">
        <v>3153</v>
      </c>
      <c r="AA1581" t="s">
        <v>10299</v>
      </c>
      <c r="AB1581" t="s">
        <v>11046</v>
      </c>
      <c r="AC1581" t="s">
        <v>3132</v>
      </c>
      <c r="AD1581" s="249" t="str">
        <f>HYPERLINK("https://scontent.cdninstagram.com/t51.2885-15/s320x320/e35/c0.135.1080.1080/20969213_1942307452659988_3053040685901938688_n.jpg")</f>
        <v>https://scontent.cdninstagram.com/t51.2885-15/s320x320/e35/c0.135.1080.1080/20969213_1942307452659988_3053040685901938688_n.jpg</v>
      </c>
      <c r="AE1581" s="249" t="str">
        <f>HYPERLINK("https://scontent.cdninstagram.com/t51.2885-19/s150x150/19932600_245912292581729_6650553130377281536_a.jpg")</f>
        <v>https://scontent.cdninstagram.com/t51.2885-19/s150x150/19932600_245912292581729_6650553130377281536_a.jpg</v>
      </c>
    </row>
    <row r="1582" spans="1:31" ht="15" x14ac:dyDescent="0.25">
      <c r="A1582" t="s">
        <v>2474</v>
      </c>
      <c r="B1582" t="s">
        <v>10292</v>
      </c>
      <c r="C1582" s="221">
        <v>42966.293761574074</v>
      </c>
      <c r="D1582" t="s">
        <v>11047</v>
      </c>
      <c r="E1582" s="249" t="str">
        <f>HYPERLINK("https://www.instagram.com/p/BX-RXwOgIMl/")</f>
        <v>https://www.instagram.com/p/BX-RXwOgIMl/</v>
      </c>
      <c r="F1582" t="s">
        <v>11048</v>
      </c>
      <c r="G1582" t="s">
        <v>2478</v>
      </c>
      <c r="H1582">
        <v>164</v>
      </c>
      <c r="I1582" t="s">
        <v>4523</v>
      </c>
      <c r="J1582">
        <v>3</v>
      </c>
      <c r="K1582">
        <v>9</v>
      </c>
      <c r="L1582">
        <v>12</v>
      </c>
      <c r="Q1582">
        <v>0</v>
      </c>
      <c r="R1582">
        <v>0</v>
      </c>
      <c r="S1582">
        <v>12</v>
      </c>
      <c r="Y1582" t="s">
        <v>2497</v>
      </c>
      <c r="Z1582" t="s">
        <v>3153</v>
      </c>
      <c r="AA1582" t="s">
        <v>11049</v>
      </c>
      <c r="AB1582" t="s">
        <v>10299</v>
      </c>
      <c r="AC1582" t="s">
        <v>10297</v>
      </c>
      <c r="AD1582" s="249" t="str">
        <f>HYPERLINK("https://scontent.cdninstagram.com/t51.2885-15/s320x320/e35/c236.0.607.607/20968567_140523176540285_1605834962840322048_n.jpg")</f>
        <v>https://scontent.cdninstagram.com/t51.2885-15/s320x320/e35/c236.0.607.607/20968567_140523176540285_1605834962840322048_n.jpg</v>
      </c>
      <c r="AE1582" s="249" t="str">
        <f>HYPERLINK("https://scontent.cdninstagram.com/t51.2885-19/s150x150/19932600_245912292581729_6650553130377281536_a.jpg")</f>
        <v>https://scontent.cdninstagram.com/t51.2885-19/s150x150/19932600_245912292581729_6650553130377281536_a.jpg</v>
      </c>
    </row>
    <row r="1583" spans="1:31" ht="15" x14ac:dyDescent="0.25">
      <c r="A1583" t="s">
        <v>2474</v>
      </c>
      <c r="B1583" t="s">
        <v>11050</v>
      </c>
      <c r="C1583" s="221">
        <v>42966.295613425929</v>
      </c>
      <c r="D1583" t="s">
        <v>11051</v>
      </c>
      <c r="E1583" s="249" t="str">
        <f>HYPERLINK("https://www.instagram.com/p/BX-RrR3ApBS/")</f>
        <v>https://www.instagram.com/p/BX-RrR3ApBS/</v>
      </c>
      <c r="F1583" t="s">
        <v>11052</v>
      </c>
      <c r="G1583" t="s">
        <v>2488</v>
      </c>
      <c r="H1583">
        <v>426</v>
      </c>
      <c r="I1583" t="s">
        <v>2479</v>
      </c>
      <c r="J1583">
        <v>3</v>
      </c>
      <c r="K1583">
        <v>77</v>
      </c>
      <c r="L1583">
        <v>80</v>
      </c>
      <c r="Q1583">
        <v>0</v>
      </c>
      <c r="R1583">
        <v>0</v>
      </c>
      <c r="S1583">
        <v>80</v>
      </c>
      <c r="T1583" t="s">
        <v>11053</v>
      </c>
      <c r="V1583" t="s">
        <v>2103</v>
      </c>
      <c r="W1583">
        <v>47.972366393332997</v>
      </c>
      <c r="X1583">
        <v>13.60509369</v>
      </c>
      <c r="Y1583" t="s">
        <v>4514</v>
      </c>
      <c r="Z1583" t="s">
        <v>11054</v>
      </c>
      <c r="AA1583" t="s">
        <v>11055</v>
      </c>
      <c r="AB1583" t="s">
        <v>4863</v>
      </c>
      <c r="AC1583" t="s">
        <v>11056</v>
      </c>
      <c r="AD1583" s="249" t="str">
        <f>HYPERLINK("https://scontent.cdninstagram.com/t51.2885-15/s320x320/e35/20902242_194151037791455_7958049481469984768_n.jpg")</f>
        <v>https://scontent.cdninstagram.com/t51.2885-15/s320x320/e35/20902242_194151037791455_7958049481469984768_n.jpg</v>
      </c>
      <c r="AE1583" s="249" t="str">
        <f>HYPERLINK("https://scontent.cdninstagram.com/t51.2885-19/s150x150/17439169_1944048652494350_955076722334629888_a.jpg")</f>
        <v>https://scontent.cdninstagram.com/t51.2885-19/s150x150/17439169_1944048652494350_955076722334629888_a.jpg</v>
      </c>
    </row>
    <row r="1584" spans="1:31" ht="15" x14ac:dyDescent="0.25">
      <c r="A1584" t="s">
        <v>2474</v>
      </c>
      <c r="B1584" t="s">
        <v>11057</v>
      </c>
      <c r="C1584" s="221">
        <v>42966.302939814814</v>
      </c>
      <c r="D1584" t="s">
        <v>11058</v>
      </c>
      <c r="E1584" s="249" t="str">
        <f>HYPERLINK("https://www.instagram.com/p/BX-S4hTAf0v/")</f>
        <v>https://www.instagram.com/p/BX-S4hTAf0v/</v>
      </c>
      <c r="F1584" t="s">
        <v>11059</v>
      </c>
      <c r="G1584" t="s">
        <v>2478</v>
      </c>
      <c r="H1584">
        <v>1298</v>
      </c>
      <c r="I1584" t="s">
        <v>5670</v>
      </c>
      <c r="J1584">
        <v>12</v>
      </c>
      <c r="K1584">
        <v>125</v>
      </c>
      <c r="L1584">
        <v>137</v>
      </c>
      <c r="Q1584">
        <v>0</v>
      </c>
      <c r="R1584">
        <v>0</v>
      </c>
      <c r="S1584">
        <v>137</v>
      </c>
      <c r="T1584" t="s">
        <v>11060</v>
      </c>
      <c r="V1584" t="s">
        <v>2264</v>
      </c>
      <c r="W1584">
        <v>38.979999999999997</v>
      </c>
      <c r="X1584">
        <v>1.43</v>
      </c>
      <c r="Y1584" t="s">
        <v>2497</v>
      </c>
      <c r="Z1584" t="s">
        <v>11061</v>
      </c>
      <c r="AA1584" t="s">
        <v>11062</v>
      </c>
      <c r="AB1584" t="s">
        <v>11063</v>
      </c>
      <c r="AC1584" t="s">
        <v>3708</v>
      </c>
      <c r="AD1584" s="249" t="str">
        <f>HYPERLINK("https://scontent.cdninstagram.com/t51.2885-15/s320x320/e35/20968539_124036644903521_7600673791164809216_n.jpg")</f>
        <v>https://scontent.cdninstagram.com/t51.2885-15/s320x320/e35/20968539_124036644903521_7600673791164809216_n.jpg</v>
      </c>
      <c r="AE1584" s="249" t="str">
        <f>HYPERLINK("https://scontent.cdninstagram.com/t51.2885-19/s150x150/14487446_1858155097762911_7426487844832542720_a.jpg")</f>
        <v>https://scontent.cdninstagram.com/t51.2885-19/s150x150/14487446_1858155097762911_7426487844832542720_a.jpg</v>
      </c>
    </row>
    <row r="1585" spans="1:31" ht="15" x14ac:dyDescent="0.25">
      <c r="A1585" t="s">
        <v>2474</v>
      </c>
      <c r="B1585" t="s">
        <v>11064</v>
      </c>
      <c r="C1585" s="221">
        <v>42966.313321759262</v>
      </c>
      <c r="D1585" t="s">
        <v>11065</v>
      </c>
      <c r="E1585" s="249" t="str">
        <f>HYPERLINK("https://www.instagram.com/p/BX-UmHtjhjY/")</f>
        <v>https://www.instagram.com/p/BX-UmHtjhjY/</v>
      </c>
      <c r="F1585" t="s">
        <v>11066</v>
      </c>
      <c r="G1585" t="s">
        <v>2478</v>
      </c>
      <c r="H1585">
        <v>458</v>
      </c>
      <c r="I1585" t="s">
        <v>2479</v>
      </c>
      <c r="J1585">
        <v>10</v>
      </c>
      <c r="K1585">
        <v>90</v>
      </c>
      <c r="L1585">
        <v>100</v>
      </c>
      <c r="Q1585">
        <v>0</v>
      </c>
      <c r="R1585">
        <v>0</v>
      </c>
      <c r="S1585">
        <v>100</v>
      </c>
      <c r="T1585" t="s">
        <v>11067</v>
      </c>
      <c r="V1585" t="s">
        <v>2204</v>
      </c>
      <c r="W1585">
        <v>3.1485733789775998</v>
      </c>
      <c r="X1585">
        <v>101.71279836168</v>
      </c>
      <c r="Y1585" t="s">
        <v>11068</v>
      </c>
      <c r="Z1585" t="s">
        <v>11069</v>
      </c>
      <c r="AA1585" t="s">
        <v>2570</v>
      </c>
      <c r="AB1585" t="s">
        <v>7103</v>
      </c>
      <c r="AC1585" t="s">
        <v>5202</v>
      </c>
      <c r="AD1585" s="249" t="str">
        <f>HYPERLINK("https://scontent.cdninstagram.com/t51.2885-15/s320x320/e35/c0.135.1080.1080/20902511_685639678303520_6605369919804538880_n.jpg")</f>
        <v>https://scontent.cdninstagram.com/t51.2885-15/s320x320/e35/c0.135.1080.1080/20902511_685639678303520_6605369919804538880_n.jpg</v>
      </c>
      <c r="AE1585" s="249" t="str">
        <f>HYPERLINK("https://scontent.cdninstagram.com/t51.2885-19/s150x150/19425308_1900477263560446_6820227866400129024_a.jpg")</f>
        <v>https://scontent.cdninstagram.com/t51.2885-19/s150x150/19425308_1900477263560446_6820227866400129024_a.jpg</v>
      </c>
    </row>
    <row r="1586" spans="1:31" ht="15" x14ac:dyDescent="0.25">
      <c r="A1586" t="s">
        <v>2474</v>
      </c>
      <c r="B1586" t="s">
        <v>11070</v>
      </c>
      <c r="C1586" s="221">
        <v>42966.314479166664</v>
      </c>
      <c r="D1586" t="s">
        <v>11071</v>
      </c>
      <c r="E1586" s="249" t="str">
        <f>HYPERLINK("https://www.instagram.com/p/BX-UySalmUy/")</f>
        <v>https://www.instagram.com/p/BX-UySalmUy/</v>
      </c>
      <c r="F1586" t="s">
        <v>11072</v>
      </c>
      <c r="G1586" t="s">
        <v>2478</v>
      </c>
      <c r="H1586">
        <v>459</v>
      </c>
      <c r="I1586" t="s">
        <v>2479</v>
      </c>
      <c r="J1586">
        <v>1</v>
      </c>
      <c r="K1586">
        <v>20</v>
      </c>
      <c r="L1586">
        <v>21</v>
      </c>
      <c r="Q1586">
        <v>0</v>
      </c>
      <c r="R1586">
        <v>0</v>
      </c>
      <c r="S1586">
        <v>21</v>
      </c>
      <c r="Y1586" t="s">
        <v>11073</v>
      </c>
      <c r="Z1586" t="s">
        <v>11074</v>
      </c>
      <c r="AA1586" t="s">
        <v>5162</v>
      </c>
      <c r="AB1586" t="s">
        <v>11075</v>
      </c>
      <c r="AC1586" t="s">
        <v>3476</v>
      </c>
      <c r="AD1586" s="249" t="str">
        <f>HYPERLINK("https://scontent.cdninstagram.com/t51.2885-15/s320x320/e35/20905478_1724170481218522_3260809436788162560_n.jpg")</f>
        <v>https://scontent.cdninstagram.com/t51.2885-15/s320x320/e35/20905478_1724170481218522_3260809436788162560_n.jpg</v>
      </c>
      <c r="AE1586" s="249" t="str">
        <f>HYPERLINK("https://scontent.cdninstagram.com/t51.2885-19/s150x150/13774589_1772394823030517_1108924459_a.jpg")</f>
        <v>https://scontent.cdninstagram.com/t51.2885-19/s150x150/13774589_1772394823030517_1108924459_a.jpg</v>
      </c>
    </row>
    <row r="1587" spans="1:31" ht="15" x14ac:dyDescent="0.25">
      <c r="A1587" t="s">
        <v>2474</v>
      </c>
      <c r="B1587" t="s">
        <v>11076</v>
      </c>
      <c r="C1587" s="221">
        <v>42966.314826388887</v>
      </c>
      <c r="D1587" t="s">
        <v>11077</v>
      </c>
      <c r="E1587" s="249" t="str">
        <f>HYPERLINK("https://www.instagram.com/p/BX-U159B-e5/")</f>
        <v>https://www.instagram.com/p/BX-U159B-e5/</v>
      </c>
      <c r="F1587" t="s">
        <v>11078</v>
      </c>
      <c r="G1587" t="s">
        <v>2478</v>
      </c>
      <c r="H1587">
        <v>888</v>
      </c>
      <c r="I1587" t="s">
        <v>2479</v>
      </c>
      <c r="J1587">
        <v>7</v>
      </c>
      <c r="K1587">
        <v>77</v>
      </c>
      <c r="L1587">
        <v>84</v>
      </c>
      <c r="Q1587">
        <v>0</v>
      </c>
      <c r="R1587">
        <v>0</v>
      </c>
      <c r="S1587">
        <v>84</v>
      </c>
      <c r="Y1587" t="s">
        <v>5672</v>
      </c>
      <c r="Z1587" t="s">
        <v>11079</v>
      </c>
      <c r="AA1587" t="s">
        <v>11080</v>
      </c>
      <c r="AB1587" t="s">
        <v>2497</v>
      </c>
      <c r="AC1587" t="s">
        <v>11081</v>
      </c>
      <c r="AD1587" s="249" t="str">
        <f>HYPERLINK("https://scontent.cdninstagram.com/t51.2885-15/s320x320/e15/c0.90.720.720/20905039_2020244874865548_5453780963161014272_n.jpg")</f>
        <v>https://scontent.cdninstagram.com/t51.2885-15/s320x320/e15/c0.90.720.720/20905039_2020244874865548_5453780963161014272_n.jpg</v>
      </c>
      <c r="AE1587" s="249" t="str">
        <f>HYPERLINK("https://scontent.cdninstagram.com/t51.2885-19/s150x150/20482155_1149307098503803_8810984678845579264_a.jpg")</f>
        <v>https://scontent.cdninstagram.com/t51.2885-19/s150x150/20482155_1149307098503803_8810984678845579264_a.jpg</v>
      </c>
    </row>
    <row r="1588" spans="1:31" ht="15" x14ac:dyDescent="0.25">
      <c r="A1588" t="s">
        <v>2474</v>
      </c>
      <c r="B1588" t="s">
        <v>11082</v>
      </c>
      <c r="C1588" s="221">
        <v>42966.317812499998</v>
      </c>
      <c r="D1588" t="s">
        <v>11083</v>
      </c>
      <c r="E1588" s="249" t="str">
        <f>HYPERLINK("https://www.instagram.com/p/BX-VVabjC6d/")</f>
        <v>https://www.instagram.com/p/BX-VVabjC6d/</v>
      </c>
      <c r="F1588" t="s">
        <v>11084</v>
      </c>
      <c r="G1588" t="s">
        <v>2478</v>
      </c>
      <c r="H1588">
        <v>1010</v>
      </c>
      <c r="I1588" t="s">
        <v>2479</v>
      </c>
      <c r="J1588">
        <v>8</v>
      </c>
      <c r="K1588">
        <v>90</v>
      </c>
      <c r="L1588">
        <v>98</v>
      </c>
      <c r="Q1588">
        <v>0</v>
      </c>
      <c r="R1588">
        <v>0</v>
      </c>
      <c r="S1588">
        <v>98</v>
      </c>
      <c r="T1588" t="s">
        <v>11053</v>
      </c>
      <c r="V1588" t="s">
        <v>2103</v>
      </c>
      <c r="W1588">
        <v>47.972366393332997</v>
      </c>
      <c r="X1588">
        <v>13.60509369</v>
      </c>
      <c r="Y1588" t="s">
        <v>10223</v>
      </c>
      <c r="Z1588" t="s">
        <v>11085</v>
      </c>
      <c r="AA1588" t="s">
        <v>2766</v>
      </c>
      <c r="AB1588" t="s">
        <v>11086</v>
      </c>
      <c r="AC1588" t="s">
        <v>11056</v>
      </c>
      <c r="AD1588" s="249" t="str">
        <f>HYPERLINK("https://scontent.cdninstagram.com/t51.2885-15/s320x320/e35/c181.0.718.718/20839050_714751182028454_3833885514344169472_n.jpg")</f>
        <v>https://scontent.cdninstagram.com/t51.2885-15/s320x320/e35/c181.0.718.718/20839050_714751182028454_3833885514344169472_n.jpg</v>
      </c>
      <c r="AE1588" s="249" t="str">
        <f>HYPERLINK("https://scontent.cdninstagram.com/t51.2885-19/s150x150/16790256_1252551118168038_8589117040680239104_a.jpg")</f>
        <v>https://scontent.cdninstagram.com/t51.2885-19/s150x150/16790256_1252551118168038_8589117040680239104_a.jpg</v>
      </c>
    </row>
    <row r="1589" spans="1:31" ht="15" x14ac:dyDescent="0.25">
      <c r="A1589" t="s">
        <v>2474</v>
      </c>
      <c r="B1589" t="s">
        <v>8538</v>
      </c>
      <c r="C1589" s="221">
        <v>42966.318055555559</v>
      </c>
      <c r="D1589" t="s">
        <v>11087</v>
      </c>
      <c r="E1589" s="249" t="str">
        <f>HYPERLINK("https://www.instagram.com/p/BX-VYA0gn0T/")</f>
        <v>https://www.instagram.com/p/BX-VYA0gn0T/</v>
      </c>
      <c r="F1589" t="s">
        <v>11088</v>
      </c>
      <c r="G1589" t="s">
        <v>2478</v>
      </c>
      <c r="H1589">
        <v>5491</v>
      </c>
      <c r="I1589" t="s">
        <v>2479</v>
      </c>
      <c r="J1589">
        <v>7</v>
      </c>
      <c r="K1589">
        <v>393</v>
      </c>
      <c r="L1589">
        <v>400</v>
      </c>
      <c r="Q1589">
        <v>0</v>
      </c>
      <c r="R1589">
        <v>0</v>
      </c>
      <c r="S1589">
        <v>400</v>
      </c>
      <c r="Y1589" t="s">
        <v>11089</v>
      </c>
      <c r="Z1589" t="s">
        <v>2497</v>
      </c>
      <c r="AA1589" t="s">
        <v>8541</v>
      </c>
      <c r="AB1589" t="s">
        <v>11090</v>
      </c>
      <c r="AD1589" s="249" t="str">
        <f>HYPERLINK("https://scontent.cdninstagram.com/t51.2885-15/s320x320/e35/20968551_157726151449890_8961487093175943168_n.jpg")</f>
        <v>https://scontent.cdninstagram.com/t51.2885-15/s320x320/e35/20968551_157726151449890_8961487093175943168_n.jpg</v>
      </c>
      <c r="AE1589" s="249" t="str">
        <f>HYPERLINK("https://scontent.cdninstagram.com/t51.2885-19/s150x150/18950246_1127968397303807_6772371073045364736_a.jpg")</f>
        <v>https://scontent.cdninstagram.com/t51.2885-19/s150x150/18950246_1127968397303807_6772371073045364736_a.jpg</v>
      </c>
    </row>
    <row r="1590" spans="1:31" ht="15" x14ac:dyDescent="0.25">
      <c r="A1590" t="s">
        <v>2474</v>
      </c>
      <c r="B1590" t="s">
        <v>6847</v>
      </c>
      <c r="C1590" s="221">
        <v>42966.321111111109</v>
      </c>
      <c r="D1590" t="s">
        <v>11091</v>
      </c>
      <c r="E1590" s="249" t="str">
        <f>HYPERLINK("https://www.instagram.com/p/BX-V4MuhfLt/")</f>
        <v>https://www.instagram.com/p/BX-V4MuhfLt/</v>
      </c>
      <c r="F1590" t="s">
        <v>11092</v>
      </c>
      <c r="G1590" t="s">
        <v>2478</v>
      </c>
      <c r="H1590">
        <v>132</v>
      </c>
      <c r="I1590" t="s">
        <v>2582</v>
      </c>
      <c r="J1590">
        <v>6</v>
      </c>
      <c r="K1590">
        <v>54</v>
      </c>
      <c r="L1590">
        <v>60</v>
      </c>
      <c r="Q1590">
        <v>0</v>
      </c>
      <c r="R1590">
        <v>0</v>
      </c>
      <c r="S1590">
        <v>60</v>
      </c>
      <c r="T1590" t="s">
        <v>6850</v>
      </c>
      <c r="V1590" t="s">
        <v>2161</v>
      </c>
      <c r="W1590">
        <v>50.95</v>
      </c>
      <c r="X1590">
        <v>6.9667000000000003</v>
      </c>
      <c r="Y1590" t="s">
        <v>10105</v>
      </c>
      <c r="Z1590" t="s">
        <v>4701</v>
      </c>
      <c r="AA1590" t="s">
        <v>11093</v>
      </c>
      <c r="AB1590" t="s">
        <v>4026</v>
      </c>
      <c r="AC1590" t="s">
        <v>7144</v>
      </c>
      <c r="AD1590" s="249" t="str">
        <f>HYPERLINK("https://scontent.cdninstagram.com/t51.2885-15/s320x320/e35/20968706_521130944886981_3389443965001400320_n.jpg")</f>
        <v>https://scontent.cdninstagram.com/t51.2885-15/s320x320/e35/20968706_521130944886981_3389443965001400320_n.jpg</v>
      </c>
      <c r="AE1590" s="249" t="str">
        <f>HYPERLINK("https://scontent.cdninstagram.com/t51.2885-19/s150x150/20759948_2040958986128138_1613724504230461440_a.jpg")</f>
        <v>https://scontent.cdninstagram.com/t51.2885-19/s150x150/20759948_2040958986128138_1613724504230461440_a.jpg</v>
      </c>
    </row>
    <row r="1591" spans="1:31" ht="15" x14ac:dyDescent="0.25">
      <c r="A1591" t="s">
        <v>2474</v>
      </c>
      <c r="B1591" t="s">
        <v>3895</v>
      </c>
      <c r="C1591" s="221">
        <v>42966.321631944447</v>
      </c>
      <c r="D1591" t="s">
        <v>11094</v>
      </c>
      <c r="E1591" s="249" t="str">
        <f>HYPERLINK("https://www.instagram.com/p/BX-V9v0FWCJ/")</f>
        <v>https://www.instagram.com/p/BX-V9v0FWCJ/</v>
      </c>
      <c r="F1591" t="s">
        <v>11095</v>
      </c>
      <c r="G1591" t="s">
        <v>2478</v>
      </c>
      <c r="H1591">
        <v>416</v>
      </c>
      <c r="I1591" t="s">
        <v>2748</v>
      </c>
      <c r="J1591">
        <v>8</v>
      </c>
      <c r="K1591">
        <v>93</v>
      </c>
      <c r="L1591">
        <v>101</v>
      </c>
      <c r="Q1591">
        <v>0</v>
      </c>
      <c r="R1591">
        <v>0</v>
      </c>
      <c r="S1591">
        <v>101</v>
      </c>
      <c r="Y1591" t="s">
        <v>3901</v>
      </c>
      <c r="Z1591" t="s">
        <v>7905</v>
      </c>
      <c r="AA1591" t="s">
        <v>11096</v>
      </c>
      <c r="AB1591" t="s">
        <v>3965</v>
      </c>
      <c r="AC1591" t="s">
        <v>11097</v>
      </c>
      <c r="AD1591" s="249" t="str">
        <f>HYPERLINK("https://scontent.cdninstagram.com/t51.2885-15/s320x320/e35/c0.0.947.947/20905068_328991044194713_3797836277575843840_n.jpg")</f>
        <v>https://scontent.cdninstagram.com/t51.2885-15/s320x320/e35/c0.0.947.947/20905068_328991044194713_3797836277575843840_n.jpg</v>
      </c>
      <c r="AE1591" s="249" t="str">
        <f>HYPERLINK("https://scontent.cdninstagram.com/t51.2885-19/s150x150/20902130_1390331654386412_4188068892897181696_a.jpg")</f>
        <v>https://scontent.cdninstagram.com/t51.2885-19/s150x150/20902130_1390331654386412_4188068892897181696_a.jpg</v>
      </c>
    </row>
    <row r="1592" spans="1:31" ht="15" x14ac:dyDescent="0.25">
      <c r="A1592" t="s">
        <v>2474</v>
      </c>
      <c r="B1592" t="s">
        <v>11098</v>
      </c>
      <c r="C1592" s="221">
        <v>42966.324074074073</v>
      </c>
      <c r="D1592" t="s">
        <v>11099</v>
      </c>
      <c r="E1592" s="249" t="str">
        <f>HYPERLINK("https://www.instagram.com/p/BX-WXhogK5K/")</f>
        <v>https://www.instagram.com/p/BX-WXhogK5K/</v>
      </c>
      <c r="F1592" t="s">
        <v>11100</v>
      </c>
      <c r="G1592" t="s">
        <v>2478</v>
      </c>
      <c r="H1592">
        <v>522</v>
      </c>
      <c r="I1592" t="s">
        <v>2542</v>
      </c>
      <c r="J1592">
        <v>3</v>
      </c>
      <c r="K1592">
        <v>45</v>
      </c>
      <c r="L1592">
        <v>48</v>
      </c>
      <c r="Q1592">
        <v>0</v>
      </c>
      <c r="R1592">
        <v>0</v>
      </c>
      <c r="S1592">
        <v>48</v>
      </c>
      <c r="T1592" t="s">
        <v>6644</v>
      </c>
      <c r="U1592" t="s">
        <v>99</v>
      </c>
      <c r="V1592" t="s">
        <v>2299</v>
      </c>
      <c r="W1592">
        <v>40.714199999999998</v>
      </c>
      <c r="X1592">
        <v>-74.006399999999999</v>
      </c>
      <c r="Y1592" t="s">
        <v>4154</v>
      </c>
      <c r="Z1592" t="s">
        <v>2497</v>
      </c>
      <c r="AA1592" t="s">
        <v>2832</v>
      </c>
      <c r="AD1592" s="249" t="str">
        <f>HYPERLINK("https://scontent.cdninstagram.com/t51.2885-15/s320x320/e35/20838942_125829481381868_3244285920211369984_n.jpg")</f>
        <v>https://scontent.cdninstagram.com/t51.2885-15/s320x320/e35/20838942_125829481381868_3244285920211369984_n.jpg</v>
      </c>
      <c r="AE1592" s="249" t="str">
        <f>HYPERLINK("https://scontent.cdninstagram.com/t51.2885-19/s150x150/20633452_160386474524784_3463740306447400960_a.jpg")</f>
        <v>https://scontent.cdninstagram.com/t51.2885-19/s150x150/20633452_160386474524784_3463740306447400960_a.jpg</v>
      </c>
    </row>
    <row r="1593" spans="1:31" ht="15" x14ac:dyDescent="0.25">
      <c r="A1593" t="s">
        <v>2474</v>
      </c>
      <c r="B1593" t="s">
        <v>11101</v>
      </c>
      <c r="C1593" s="221">
        <v>42966.327777777777</v>
      </c>
      <c r="D1593" t="s">
        <v>11102</v>
      </c>
      <c r="E1593" s="249" t="str">
        <f>HYPERLINK("https://www.instagram.com/p/BX-W-i-j5vj/")</f>
        <v>https://www.instagram.com/p/BX-W-i-j5vj/</v>
      </c>
      <c r="F1593" t="s">
        <v>11103</v>
      </c>
      <c r="G1593" t="s">
        <v>2631</v>
      </c>
      <c r="H1593">
        <v>1262</v>
      </c>
      <c r="I1593" t="s">
        <v>2479</v>
      </c>
      <c r="J1593">
        <v>6</v>
      </c>
      <c r="K1593">
        <v>91</v>
      </c>
      <c r="L1593">
        <v>97</v>
      </c>
      <c r="Q1593">
        <v>0</v>
      </c>
      <c r="R1593">
        <v>0</v>
      </c>
      <c r="S1593">
        <v>97</v>
      </c>
      <c r="T1593" t="s">
        <v>11104</v>
      </c>
      <c r="V1593" t="s">
        <v>2264</v>
      </c>
      <c r="W1593">
        <v>41.419114999999998</v>
      </c>
      <c r="X1593">
        <v>2.1000160000000001</v>
      </c>
      <c r="Y1593" t="s">
        <v>11105</v>
      </c>
      <c r="Z1593" t="s">
        <v>11106</v>
      </c>
      <c r="AA1593" t="s">
        <v>11107</v>
      </c>
      <c r="AB1593" t="s">
        <v>4348</v>
      </c>
      <c r="AC1593" t="s">
        <v>11108</v>
      </c>
      <c r="AD1593" s="249" t="str">
        <f>HYPERLINK("https://scontent.cdninstagram.com/t51.2885-15/s320x320/e15/c0.76.612.612/20839069_500858856930283_5864015447338254336_n.jpg")</f>
        <v>https://scontent.cdninstagram.com/t51.2885-15/s320x320/e15/c0.76.612.612/20839069_500858856930283_5864015447338254336_n.jpg</v>
      </c>
      <c r="AE1593" s="249" t="str">
        <f>HYPERLINK("https://scontent.cdninstagram.com/t51.2885-19/s150x150/18300145_672918292905365_5818655503156248576_a.jpg")</f>
        <v>https://scontent.cdninstagram.com/t51.2885-19/s150x150/18300145_672918292905365_5818655503156248576_a.jpg</v>
      </c>
    </row>
    <row r="1594" spans="1:31" ht="15" x14ac:dyDescent="0.25">
      <c r="A1594" t="s">
        <v>2474</v>
      </c>
      <c r="B1594" t="s">
        <v>3993</v>
      </c>
      <c r="C1594" s="221">
        <v>42966.335081018522</v>
      </c>
      <c r="D1594" t="s">
        <v>11109</v>
      </c>
      <c r="E1594" s="249" t="str">
        <f>HYPERLINK("https://www.instagram.com/p/BX-YLgzA4lF/")</f>
        <v>https://www.instagram.com/p/BX-YLgzA4lF/</v>
      </c>
      <c r="F1594" t="s">
        <v>11110</v>
      </c>
      <c r="G1594" t="s">
        <v>2478</v>
      </c>
      <c r="H1594">
        <v>4984</v>
      </c>
      <c r="I1594" t="s">
        <v>2479</v>
      </c>
      <c r="J1594">
        <v>12</v>
      </c>
      <c r="K1594">
        <v>642</v>
      </c>
      <c r="L1594">
        <v>654</v>
      </c>
      <c r="Q1594">
        <v>0</v>
      </c>
      <c r="R1594">
        <v>0</v>
      </c>
      <c r="S1594">
        <v>654</v>
      </c>
      <c r="Y1594" t="s">
        <v>4381</v>
      </c>
      <c r="Z1594" t="s">
        <v>4379</v>
      </c>
      <c r="AA1594" t="s">
        <v>7942</v>
      </c>
      <c r="AB1594" t="s">
        <v>8401</v>
      </c>
      <c r="AC1594" t="s">
        <v>3999</v>
      </c>
      <c r="AD1594" s="249" t="str">
        <f>HYPERLINK("https://scontent.cdninstagram.com/t51.2885-15/s320x320/e35/20902088_1458101160941622_1977522802730729472_n.jpg")</f>
        <v>https://scontent.cdninstagram.com/t51.2885-15/s320x320/e35/20902088_1458101160941622_1977522802730729472_n.jpg</v>
      </c>
      <c r="AE1594" s="249" t="str">
        <f>HYPERLINK("https://scontent.cdninstagram.com/t51.2885-19/s150x150/20590168_732024603636467_1659654334738071552_a.jpg")</f>
        <v>https://scontent.cdninstagram.com/t51.2885-19/s150x150/20590168_732024603636467_1659654334738071552_a.jpg</v>
      </c>
    </row>
    <row r="1595" spans="1:31" ht="15" x14ac:dyDescent="0.25">
      <c r="A1595" t="s">
        <v>2474</v>
      </c>
      <c r="B1595" t="s">
        <v>7152</v>
      </c>
      <c r="C1595" s="221">
        <v>42966.350729166668</v>
      </c>
      <c r="D1595" t="s">
        <v>11111</v>
      </c>
      <c r="E1595" s="249" t="str">
        <f>HYPERLINK("https://www.instagram.com/p/BX-awkBjWqQ/")</f>
        <v>https://www.instagram.com/p/BX-awkBjWqQ/</v>
      </c>
      <c r="F1595" t="s">
        <v>11112</v>
      </c>
      <c r="G1595" t="s">
        <v>2478</v>
      </c>
      <c r="H1595">
        <v>108</v>
      </c>
      <c r="I1595" t="s">
        <v>2542</v>
      </c>
      <c r="J1595">
        <v>2</v>
      </c>
      <c r="K1595">
        <v>12</v>
      </c>
      <c r="L1595">
        <v>14</v>
      </c>
      <c r="Q1595">
        <v>0</v>
      </c>
      <c r="R1595">
        <v>0</v>
      </c>
      <c r="S1595">
        <v>14</v>
      </c>
      <c r="Y1595" t="s">
        <v>11113</v>
      </c>
      <c r="Z1595" t="s">
        <v>7901</v>
      </c>
      <c r="AA1595" t="s">
        <v>4827</v>
      </c>
      <c r="AB1595" t="s">
        <v>6299</v>
      </c>
      <c r="AC1595" t="s">
        <v>7898</v>
      </c>
      <c r="AD1595" s="249" t="str">
        <f>HYPERLINK("https://scontent.cdninstagram.com/t51.2885-15/s320x320/e35/20902206_255123128339695_5153389331276103680_n.jpg")</f>
        <v>https://scontent.cdninstagram.com/t51.2885-15/s320x320/e35/20902206_255123128339695_5153389331276103680_n.jpg</v>
      </c>
      <c r="AE1595" s="249" t="str">
        <f>HYPERLINK("https://scontent.cdninstagram.com/t51.2885-19/s150x150/20181062_1791856511105718_4709893984703479808_a.jpg")</f>
        <v>https://scontent.cdninstagram.com/t51.2885-19/s150x150/20181062_1791856511105718_4709893984703479808_a.jpg</v>
      </c>
    </row>
    <row r="1596" spans="1:31" ht="15" x14ac:dyDescent="0.25">
      <c r="A1596" t="s">
        <v>2474</v>
      </c>
      <c r="B1596" t="s">
        <v>11114</v>
      </c>
      <c r="C1596" s="221">
        <v>42966.354166666664</v>
      </c>
      <c r="D1596" t="s">
        <v>11115</v>
      </c>
      <c r="E1596" s="249" t="str">
        <f>HYPERLINK("https://www.instagram.com/p/BX-bU0BHtE3/")</f>
        <v>https://www.instagram.com/p/BX-bU0BHtE3/</v>
      </c>
      <c r="F1596" t="s">
        <v>11116</v>
      </c>
      <c r="G1596" t="s">
        <v>2488</v>
      </c>
      <c r="H1596">
        <v>161</v>
      </c>
      <c r="I1596" t="s">
        <v>2479</v>
      </c>
      <c r="J1596">
        <v>4</v>
      </c>
      <c r="K1596">
        <v>32</v>
      </c>
      <c r="L1596">
        <v>36</v>
      </c>
      <c r="Q1596">
        <v>0</v>
      </c>
      <c r="R1596">
        <v>0</v>
      </c>
      <c r="S1596">
        <v>36</v>
      </c>
      <c r="Y1596" t="s">
        <v>11117</v>
      </c>
      <c r="Z1596" t="s">
        <v>2497</v>
      </c>
      <c r="AA1596" t="s">
        <v>2673</v>
      </c>
      <c r="AB1596" t="s">
        <v>9112</v>
      </c>
      <c r="AC1596" t="s">
        <v>2949</v>
      </c>
      <c r="AD1596" s="249" t="str">
        <f>HYPERLINK("https://scontent.cdninstagram.com/t51.2885-15/s320x320/e35/20902591_843671102467463_8994953761814216704_n.jpg")</f>
        <v>https://scontent.cdninstagram.com/t51.2885-15/s320x320/e35/20902591_843671102467463_8994953761814216704_n.jpg</v>
      </c>
      <c r="AE1596" s="249" t="str">
        <f>HYPERLINK("https://scontent.cdninstagram.com/t51.2885-19/11373916_1617016725223787_877315389_a.jpg")</f>
        <v>https://scontent.cdninstagram.com/t51.2885-19/11373916_1617016725223787_877315389_a.jpg</v>
      </c>
    </row>
    <row r="1597" spans="1:31" ht="15" x14ac:dyDescent="0.25">
      <c r="A1597" t="s">
        <v>2474</v>
      </c>
      <c r="B1597" t="s">
        <v>11118</v>
      </c>
      <c r="C1597" s="221">
        <v>42966.355497685188</v>
      </c>
      <c r="D1597" t="s">
        <v>11119</v>
      </c>
      <c r="E1597" s="249" t="str">
        <f>HYPERLINK("https://www.instagram.com/p/BX-bi2BHINc/")</f>
        <v>https://www.instagram.com/p/BX-bi2BHINc/</v>
      </c>
      <c r="F1597" t="s">
        <v>11120</v>
      </c>
      <c r="G1597" t="s">
        <v>2478</v>
      </c>
      <c r="H1597">
        <v>83</v>
      </c>
      <c r="I1597" t="s">
        <v>2542</v>
      </c>
      <c r="J1597">
        <v>1</v>
      </c>
      <c r="K1597">
        <v>6</v>
      </c>
      <c r="L1597">
        <v>7</v>
      </c>
      <c r="Q1597">
        <v>0</v>
      </c>
      <c r="R1597">
        <v>0</v>
      </c>
      <c r="S1597">
        <v>7</v>
      </c>
      <c r="Y1597" t="s">
        <v>2497</v>
      </c>
      <c r="Z1597" t="s">
        <v>11121</v>
      </c>
      <c r="AA1597" t="s">
        <v>3513</v>
      </c>
      <c r="AD1597" s="249" t="str">
        <f>HYPERLINK("https://scontent.cdninstagram.com/t51.2885-15/s320x320/e35/20901979_113823089266373_5629252556413730816_n.jpg")</f>
        <v>https://scontent.cdninstagram.com/t51.2885-15/s320x320/e35/20901979_113823089266373_5629252556413730816_n.jpg</v>
      </c>
      <c r="AE1597" s="249" t="str">
        <f>HYPERLINK("https://scontent.cdninstagram.com/t51.2885-19/s150x150/20214406_1830658866951770_5319990313824026624_a.jpg")</f>
        <v>https://scontent.cdninstagram.com/t51.2885-19/s150x150/20214406_1830658866951770_5319990313824026624_a.jpg</v>
      </c>
    </row>
    <row r="1598" spans="1:31" ht="15" x14ac:dyDescent="0.25">
      <c r="A1598" t="s">
        <v>2474</v>
      </c>
      <c r="B1598" t="s">
        <v>11122</v>
      </c>
      <c r="C1598" s="221">
        <v>42966.36446759259</v>
      </c>
      <c r="D1598" t="s">
        <v>11123</v>
      </c>
      <c r="E1598" s="249" t="str">
        <f>HYPERLINK("https://www.instagram.com/p/BX-dBcsAnvu/")</f>
        <v>https://www.instagram.com/p/BX-dBcsAnvu/</v>
      </c>
      <c r="F1598" t="s">
        <v>11124</v>
      </c>
      <c r="G1598" t="s">
        <v>2478</v>
      </c>
      <c r="H1598">
        <v>803</v>
      </c>
      <c r="I1598" t="s">
        <v>2479</v>
      </c>
      <c r="J1598">
        <v>11</v>
      </c>
      <c r="K1598">
        <v>39</v>
      </c>
      <c r="L1598">
        <v>50</v>
      </c>
      <c r="Q1598">
        <v>0</v>
      </c>
      <c r="R1598">
        <v>0</v>
      </c>
      <c r="S1598">
        <v>50</v>
      </c>
      <c r="Y1598" t="s">
        <v>2497</v>
      </c>
      <c r="Z1598" t="s">
        <v>11125</v>
      </c>
      <c r="AA1598" t="s">
        <v>7830</v>
      </c>
      <c r="AB1598" t="s">
        <v>11126</v>
      </c>
      <c r="AC1598" t="s">
        <v>11127</v>
      </c>
      <c r="AD1598" s="249" t="str">
        <f>HYPERLINK("https://scontent.cdninstagram.com/t51.2885-15/s320x320/e35/20905401_166513283896447_2697575482949369856_n.jpg")</f>
        <v>https://scontent.cdninstagram.com/t51.2885-15/s320x320/e35/20905401_166513283896447_2697575482949369856_n.jpg</v>
      </c>
      <c r="AE1598" s="249" t="str">
        <f>HYPERLINK("https://scontent.cdninstagram.com/t51.2885-19/s150x150/13256785_1333177843362264_1113973336_a.jpg")</f>
        <v>https://scontent.cdninstagram.com/t51.2885-19/s150x150/13256785_1333177843362264_1113973336_a.jpg</v>
      </c>
    </row>
    <row r="1599" spans="1:31" ht="15" x14ac:dyDescent="0.25">
      <c r="A1599" t="s">
        <v>2474</v>
      </c>
      <c r="B1599" t="s">
        <v>11128</v>
      </c>
      <c r="C1599" s="221">
        <v>42966.366608796299</v>
      </c>
      <c r="D1599" t="s">
        <v>11129</v>
      </c>
      <c r="E1599" s="249" t="str">
        <f>HYPERLINK("https://www.instagram.com/p/BX-dYDYgSwC/")</f>
        <v>https://www.instagram.com/p/BX-dYDYgSwC/</v>
      </c>
      <c r="F1599" t="s">
        <v>11130</v>
      </c>
      <c r="G1599" t="s">
        <v>2488</v>
      </c>
      <c r="H1599">
        <v>27</v>
      </c>
      <c r="I1599" t="s">
        <v>2479</v>
      </c>
      <c r="J1599">
        <v>0</v>
      </c>
      <c r="K1599">
        <v>4</v>
      </c>
      <c r="L1599">
        <v>4</v>
      </c>
      <c r="Q1599">
        <v>0</v>
      </c>
      <c r="R1599">
        <v>0</v>
      </c>
      <c r="S1599">
        <v>4</v>
      </c>
      <c r="Y1599" t="s">
        <v>3535</v>
      </c>
      <c r="Z1599" t="s">
        <v>11131</v>
      </c>
      <c r="AA1599" t="s">
        <v>2906</v>
      </c>
      <c r="AB1599" t="s">
        <v>9092</v>
      </c>
      <c r="AC1599" t="s">
        <v>3262</v>
      </c>
      <c r="AD1599" s="249" t="str">
        <f>HYPERLINK("https://scontent.cdninstagram.com/t51.2885-15/s320x320/e35/20905038_112495602771398_7246941946818592768_n.jpg")</f>
        <v>https://scontent.cdninstagram.com/t51.2885-15/s320x320/e35/20905038_112495602771398_7246941946818592768_n.jpg</v>
      </c>
      <c r="AE1599" s="249" t="str">
        <f>HYPERLINK("https://scontent.cdninstagram.com/t51.2885-19/s150x150/20905843_481230405573978_1726589725008986112_a.jpg")</f>
        <v>https://scontent.cdninstagram.com/t51.2885-19/s150x150/20905843_481230405573978_1726589725008986112_a.jpg</v>
      </c>
    </row>
    <row r="1600" spans="1:31" ht="15" x14ac:dyDescent="0.25">
      <c r="A1600" t="s">
        <v>2474</v>
      </c>
      <c r="B1600" t="s">
        <v>11132</v>
      </c>
      <c r="C1600" s="221">
        <v>42966.371782407405</v>
      </c>
      <c r="D1600" t="s">
        <v>11133</v>
      </c>
      <c r="E1600" s="249" t="str">
        <f>HYPERLINK("https://www.instagram.com/p/BX-eOpFFCLJ/")</f>
        <v>https://www.instagram.com/p/BX-eOpFFCLJ/</v>
      </c>
      <c r="F1600" t="s">
        <v>11134</v>
      </c>
      <c r="G1600" t="s">
        <v>2478</v>
      </c>
      <c r="H1600">
        <v>1040</v>
      </c>
      <c r="I1600" t="s">
        <v>2479</v>
      </c>
      <c r="J1600">
        <v>0</v>
      </c>
      <c r="K1600">
        <v>43</v>
      </c>
      <c r="L1600">
        <v>43</v>
      </c>
      <c r="Q1600">
        <v>0</v>
      </c>
      <c r="R1600">
        <v>0</v>
      </c>
      <c r="S1600">
        <v>43</v>
      </c>
      <c r="T1600" t="s">
        <v>11135</v>
      </c>
      <c r="V1600" t="s">
        <v>2288</v>
      </c>
      <c r="W1600">
        <v>51.548055555555997</v>
      </c>
      <c r="X1600">
        <v>-0.51777777777778</v>
      </c>
      <c r="Y1600" t="s">
        <v>5950</v>
      </c>
      <c r="Z1600" t="s">
        <v>4295</v>
      </c>
      <c r="AA1600" t="s">
        <v>2497</v>
      </c>
      <c r="AB1600" t="s">
        <v>11136</v>
      </c>
      <c r="AC1600" t="s">
        <v>11137</v>
      </c>
      <c r="AD1600" s="249" t="str">
        <f>HYPERLINK("https://scontent.cdninstagram.com/t51.2885-15/s320x320/e35/20968438_1571451666238183_6530953645691764736_n.jpg")</f>
        <v>https://scontent.cdninstagram.com/t51.2885-15/s320x320/e35/20968438_1571451666238183_6530953645691764736_n.jpg</v>
      </c>
      <c r="AE1600" s="249" t="str">
        <f>HYPERLINK("https://scontent.cdninstagram.com/t51.2885-19/s150x150/18300132_130894844126279_8438538321960894464_a.jpg")</f>
        <v>https://scontent.cdninstagram.com/t51.2885-19/s150x150/18300132_130894844126279_8438538321960894464_a.jpg</v>
      </c>
    </row>
    <row r="1601" spans="1:31" ht="15" x14ac:dyDescent="0.25">
      <c r="A1601" t="s">
        <v>2474</v>
      </c>
      <c r="B1601" t="s">
        <v>11138</v>
      </c>
      <c r="C1601" s="221">
        <v>42966.373240740744</v>
      </c>
      <c r="D1601" t="s">
        <v>11139</v>
      </c>
      <c r="E1601" s="249" t="str">
        <f>HYPERLINK("https://www.instagram.com/p/BX-eeBRAeXz/")</f>
        <v>https://www.instagram.com/p/BX-eeBRAeXz/</v>
      </c>
      <c r="F1601" t="s">
        <v>11140</v>
      </c>
      <c r="G1601" t="s">
        <v>2478</v>
      </c>
      <c r="H1601">
        <v>102</v>
      </c>
      <c r="I1601" t="s">
        <v>2479</v>
      </c>
      <c r="J1601">
        <v>1</v>
      </c>
      <c r="K1601">
        <v>4</v>
      </c>
      <c r="L1601">
        <v>5</v>
      </c>
      <c r="Q1601">
        <v>0</v>
      </c>
      <c r="R1601">
        <v>0</v>
      </c>
      <c r="S1601">
        <v>5</v>
      </c>
      <c r="Y1601" t="s">
        <v>4993</v>
      </c>
      <c r="Z1601" t="s">
        <v>2497</v>
      </c>
      <c r="AA1601" t="s">
        <v>2906</v>
      </c>
      <c r="AB1601" t="s">
        <v>11141</v>
      </c>
      <c r="AD1601" s="249" t="str">
        <f>HYPERLINK("https://scontent.cdninstagram.com/t51.2885-15/s320x320/e35/20905258_305818016494660_8493969638034505728_n.jpg")</f>
        <v>https://scontent.cdninstagram.com/t51.2885-15/s320x320/e35/20905258_305818016494660_8493969638034505728_n.jpg</v>
      </c>
      <c r="AE1601" s="249" t="str">
        <f>HYPERLINK("https://scontent.cdninstagram.com/t51.2885-19/s150x150/19955367_520354551628945_1350370870714957824_a.jpg")</f>
        <v>https://scontent.cdninstagram.com/t51.2885-19/s150x150/19955367_520354551628945_1350370870714957824_a.jpg</v>
      </c>
    </row>
    <row r="1602" spans="1:31" ht="15" x14ac:dyDescent="0.25">
      <c r="A1602" t="s">
        <v>2474</v>
      </c>
      <c r="B1602" t="s">
        <v>6443</v>
      </c>
      <c r="C1602" s="221">
        <v>42966.375081018516</v>
      </c>
      <c r="D1602" t="s">
        <v>11142</v>
      </c>
      <c r="E1602" s="249" t="str">
        <f>HYPERLINK("https://www.instagram.com/p/BX-exeqg7T2/")</f>
        <v>https://www.instagram.com/p/BX-exeqg7T2/</v>
      </c>
      <c r="F1602" t="s">
        <v>11143</v>
      </c>
      <c r="G1602" t="s">
        <v>2478</v>
      </c>
      <c r="H1602">
        <v>58467</v>
      </c>
      <c r="I1602" t="s">
        <v>2479</v>
      </c>
      <c r="J1602">
        <v>27</v>
      </c>
      <c r="K1602">
        <v>1535</v>
      </c>
      <c r="L1602">
        <v>1562</v>
      </c>
      <c r="Q1602">
        <v>0</v>
      </c>
      <c r="R1602">
        <v>0</v>
      </c>
      <c r="S1602">
        <v>1562</v>
      </c>
      <c r="Y1602" t="s">
        <v>10905</v>
      </c>
      <c r="Z1602" t="s">
        <v>11144</v>
      </c>
      <c r="AA1602" t="s">
        <v>11145</v>
      </c>
      <c r="AB1602" t="s">
        <v>4946</v>
      </c>
      <c r="AC1602" t="s">
        <v>11146</v>
      </c>
      <c r="AD1602" s="249" t="str">
        <f>HYPERLINK("https://scontent.cdninstagram.com/t51.2885-15/s320x320/e35/20839006_120379798615146_982529891297656832_n.jpg")</f>
        <v>https://scontent.cdninstagram.com/t51.2885-15/s320x320/e35/20839006_120379798615146_982529891297656832_n.jpg</v>
      </c>
      <c r="AE1602" s="249" t="str">
        <f>HYPERLINK("https://scontent.cdninstagram.com/t51.2885-19/s150x150/18011200_1823639797956189_2351181908055949312_a.jpg")</f>
        <v>https://scontent.cdninstagram.com/t51.2885-19/s150x150/18011200_1823639797956189_2351181908055949312_a.jpg</v>
      </c>
    </row>
    <row r="1603" spans="1:31" ht="15" x14ac:dyDescent="0.25">
      <c r="A1603" t="s">
        <v>2474</v>
      </c>
      <c r="B1603" t="s">
        <v>11147</v>
      </c>
      <c r="C1603" s="221">
        <v>42966.375821759262</v>
      </c>
      <c r="D1603" t="s">
        <v>11148</v>
      </c>
      <c r="E1603" s="249" t="str">
        <f>HYPERLINK("https://www.instagram.com/p/BX-e5QCh74n/")</f>
        <v>https://www.instagram.com/p/BX-e5QCh74n/</v>
      </c>
      <c r="F1603" t="s">
        <v>11149</v>
      </c>
      <c r="G1603" t="s">
        <v>2478</v>
      </c>
      <c r="H1603">
        <v>214</v>
      </c>
      <c r="I1603" t="s">
        <v>2479</v>
      </c>
      <c r="J1603">
        <v>0</v>
      </c>
      <c r="K1603">
        <v>37</v>
      </c>
      <c r="L1603">
        <v>37</v>
      </c>
      <c r="Q1603">
        <v>0</v>
      </c>
      <c r="R1603">
        <v>0</v>
      </c>
      <c r="S1603">
        <v>37</v>
      </c>
      <c r="Y1603" t="s">
        <v>11150</v>
      </c>
      <c r="Z1603" t="s">
        <v>4295</v>
      </c>
      <c r="AA1603" t="s">
        <v>11151</v>
      </c>
      <c r="AB1603" t="s">
        <v>11152</v>
      </c>
      <c r="AC1603" t="s">
        <v>11153</v>
      </c>
      <c r="AD1603" s="249" t="str">
        <f>HYPERLINK("https://scontent.cdninstagram.com/t51.2885-15/s320x320/e35/c0.135.1080.1080/20838817_122611258381005_2532326873933807616_n.jpg")</f>
        <v>https://scontent.cdninstagram.com/t51.2885-15/s320x320/e35/c0.135.1080.1080/20838817_122611258381005_2532326873933807616_n.jpg</v>
      </c>
      <c r="AE1603" s="249" t="str">
        <f>HYPERLINK("https://scontent.cdninstagram.com/t51.2885-19/s150x150/18723368_120619718517661_6154048197925797888_a.jpg")</f>
        <v>https://scontent.cdninstagram.com/t51.2885-19/s150x150/18723368_120619718517661_6154048197925797888_a.jpg</v>
      </c>
    </row>
    <row r="1604" spans="1:31" ht="15" x14ac:dyDescent="0.25">
      <c r="A1604" t="s">
        <v>2474</v>
      </c>
      <c r="B1604" t="s">
        <v>11154</v>
      </c>
      <c r="C1604" s="221">
        <v>42966.380243055559</v>
      </c>
      <c r="D1604" t="s">
        <v>11155</v>
      </c>
      <c r="E1604" s="249" t="str">
        <f>HYPERLINK("https://www.instagram.com/p/BX-fn4lA7ey/")</f>
        <v>https://www.instagram.com/p/BX-fn4lA7ey/</v>
      </c>
      <c r="F1604" t="s">
        <v>11156</v>
      </c>
      <c r="G1604" t="s">
        <v>2478</v>
      </c>
      <c r="H1604">
        <v>161</v>
      </c>
      <c r="I1604" t="s">
        <v>2479</v>
      </c>
      <c r="J1604">
        <v>0</v>
      </c>
      <c r="K1604">
        <v>47</v>
      </c>
      <c r="L1604">
        <v>47</v>
      </c>
      <c r="Q1604">
        <v>0</v>
      </c>
      <c r="R1604">
        <v>0</v>
      </c>
      <c r="S1604">
        <v>47</v>
      </c>
      <c r="Y1604" t="s">
        <v>2497</v>
      </c>
      <c r="Z1604" t="s">
        <v>7418</v>
      </c>
      <c r="AA1604" t="s">
        <v>2730</v>
      </c>
      <c r="AB1604" t="s">
        <v>2984</v>
      </c>
      <c r="AC1604" t="s">
        <v>11157</v>
      </c>
      <c r="AD1604" s="249" t="str">
        <f>HYPERLINK("https://scontent.cdninstagram.com/t51.2885-15/s320x320/e35/c134.0.811.811/20905500_1575029712555927_8057470367985303552_n.jpg")</f>
        <v>https://scontent.cdninstagram.com/t51.2885-15/s320x320/e35/c134.0.811.811/20905500_1575029712555927_8057470367985303552_n.jpg</v>
      </c>
      <c r="AE1604" s="249" t="str">
        <f>HYPERLINK("https://scontent.cdninstagram.com/t51.2885-19/s150x150/19424759_1980106558886072_1621076423089324032_a.jpg")</f>
        <v>https://scontent.cdninstagram.com/t51.2885-19/s150x150/19424759_1980106558886072_1621076423089324032_a.jpg</v>
      </c>
    </row>
    <row r="1605" spans="1:31" ht="15" x14ac:dyDescent="0.25">
      <c r="A1605" t="s">
        <v>2474</v>
      </c>
      <c r="B1605" t="s">
        <v>11158</v>
      </c>
      <c r="C1605" s="221">
        <v>42966.380266203705</v>
      </c>
      <c r="D1605" t="s">
        <v>11159</v>
      </c>
      <c r="E1605" s="249" t="str">
        <f>HYPERLINK("https://www.instagram.com/p/BX-foFhFCP_/")</f>
        <v>https://www.instagram.com/p/BX-foFhFCP_/</v>
      </c>
      <c r="F1605" t="s">
        <v>11160</v>
      </c>
      <c r="G1605" t="s">
        <v>2478</v>
      </c>
      <c r="H1605">
        <v>233</v>
      </c>
      <c r="I1605" t="s">
        <v>2479</v>
      </c>
      <c r="J1605">
        <v>0</v>
      </c>
      <c r="K1605">
        <v>19</v>
      </c>
      <c r="L1605">
        <v>19</v>
      </c>
      <c r="Q1605">
        <v>0</v>
      </c>
      <c r="R1605">
        <v>0</v>
      </c>
      <c r="S1605">
        <v>19</v>
      </c>
      <c r="Y1605" t="s">
        <v>11161</v>
      </c>
      <c r="Z1605" t="s">
        <v>11162</v>
      </c>
      <c r="AA1605" t="s">
        <v>5644</v>
      </c>
      <c r="AB1605" t="s">
        <v>11163</v>
      </c>
      <c r="AC1605" t="s">
        <v>2497</v>
      </c>
      <c r="AD1605" s="249" t="str">
        <f>HYPERLINK("https://scontent.cdninstagram.com/t51.2885-15/s320x320/e35/c182.0.715.715/20968618_295401880866836_1045872653094617088_n.jpg")</f>
        <v>https://scontent.cdninstagram.com/t51.2885-15/s320x320/e35/c182.0.715.715/20968618_295401880866836_1045872653094617088_n.jpg</v>
      </c>
      <c r="AE1605" s="249" t="str">
        <f>HYPERLINK("https://scontent.cdninstagram.com/t51.2885-19/s150x150/20759596_162064934359889_2881576400215605248_a.jpg")</f>
        <v>https://scontent.cdninstagram.com/t51.2885-19/s150x150/20759596_162064934359889_2881576400215605248_a.jpg</v>
      </c>
    </row>
    <row r="1606" spans="1:31" ht="15" x14ac:dyDescent="0.25">
      <c r="A1606" t="s">
        <v>2474</v>
      </c>
      <c r="B1606" t="s">
        <v>11164</v>
      </c>
      <c r="C1606" s="221">
        <v>42966.381377314814</v>
      </c>
      <c r="D1606" t="s">
        <v>11165</v>
      </c>
      <c r="E1606" s="249" t="str">
        <f>HYPERLINK("https://www.instagram.com/p/BX-fz4ynOG9/")</f>
        <v>https://www.instagram.com/p/BX-fz4ynOG9/</v>
      </c>
      <c r="F1606" t="s">
        <v>11166</v>
      </c>
      <c r="G1606" t="s">
        <v>2478</v>
      </c>
      <c r="H1606">
        <v>205</v>
      </c>
      <c r="I1606" t="s">
        <v>2479</v>
      </c>
      <c r="J1606">
        <v>0</v>
      </c>
      <c r="K1606">
        <v>14</v>
      </c>
      <c r="L1606">
        <v>14</v>
      </c>
      <c r="Q1606">
        <v>0</v>
      </c>
      <c r="R1606">
        <v>0</v>
      </c>
      <c r="S1606">
        <v>14</v>
      </c>
      <c r="Y1606" t="s">
        <v>4074</v>
      </c>
      <c r="Z1606" t="s">
        <v>2820</v>
      </c>
      <c r="AA1606" t="s">
        <v>2497</v>
      </c>
      <c r="AB1606" t="s">
        <v>11167</v>
      </c>
      <c r="AC1606" t="s">
        <v>9137</v>
      </c>
      <c r="AD1606" s="249" t="str">
        <f>HYPERLINK("https://scontent.cdninstagram.com/t51.2885-15/s320x320/e35/20347699_279872779160187_7314893891423961088_n.jpg")</f>
        <v>https://scontent.cdninstagram.com/t51.2885-15/s320x320/e35/20347699_279872779160187_7314893891423961088_n.jpg</v>
      </c>
      <c r="AE1606" s="249" t="str">
        <f>HYPERLINK("https://scontent.cdninstagram.com/t51.2885-19/s150x150/19228769_1044214975710038_1057855543130980352_a.jpg")</f>
        <v>https://scontent.cdninstagram.com/t51.2885-19/s150x150/19228769_1044214975710038_1057855543130980352_a.jpg</v>
      </c>
    </row>
    <row r="1607" spans="1:31" ht="15" x14ac:dyDescent="0.25">
      <c r="A1607" t="s">
        <v>2474</v>
      </c>
      <c r="B1607" t="s">
        <v>11168</v>
      </c>
      <c r="C1607" s="221">
        <v>42966.384826388887</v>
      </c>
      <c r="D1607" t="s">
        <v>11169</v>
      </c>
      <c r="E1607" s="249" t="str">
        <f>HYPERLINK("https://www.instagram.com/p/BX-gYLuAh3Z/")</f>
        <v>https://www.instagram.com/p/BX-gYLuAh3Z/</v>
      </c>
      <c r="F1607" t="s">
        <v>11170</v>
      </c>
      <c r="G1607" t="s">
        <v>2478</v>
      </c>
      <c r="H1607">
        <v>428</v>
      </c>
      <c r="I1607" t="s">
        <v>2479</v>
      </c>
      <c r="J1607">
        <v>2</v>
      </c>
      <c r="K1607">
        <v>37</v>
      </c>
      <c r="L1607">
        <v>39</v>
      </c>
      <c r="Q1607">
        <v>0</v>
      </c>
      <c r="R1607">
        <v>0</v>
      </c>
      <c r="S1607">
        <v>39</v>
      </c>
      <c r="T1607" t="s">
        <v>11171</v>
      </c>
      <c r="V1607" t="s">
        <v>2110</v>
      </c>
      <c r="W1607">
        <v>50.959723487044997</v>
      </c>
      <c r="X1607">
        <v>5.3564449926361997</v>
      </c>
      <c r="Y1607" t="s">
        <v>11172</v>
      </c>
      <c r="Z1607" t="s">
        <v>3074</v>
      </c>
      <c r="AA1607" t="s">
        <v>11173</v>
      </c>
      <c r="AB1607" t="s">
        <v>2497</v>
      </c>
      <c r="AC1607" t="s">
        <v>11174</v>
      </c>
      <c r="AD1607" s="249" t="str">
        <f>HYPERLINK("https://scontent.cdninstagram.com/t51.2885-15/s320x320/e35/c3.0.1074.1074/20905752_2026342037586793_6402118972002533376_n.jpg")</f>
        <v>https://scontent.cdninstagram.com/t51.2885-15/s320x320/e35/c3.0.1074.1074/20905752_2026342037586793_6402118972002533376_n.jpg</v>
      </c>
      <c r="AE1607" s="249" t="str">
        <f>HYPERLINK("https://scontent.cdninstagram.com/t51.2885-19/s150x150/20589372_1407012709368540_3106903716142252032_a.jpg")</f>
        <v>https://scontent.cdninstagram.com/t51.2885-19/s150x150/20589372_1407012709368540_3106903716142252032_a.jpg</v>
      </c>
    </row>
    <row r="1608" spans="1:31" ht="15" x14ac:dyDescent="0.25">
      <c r="A1608" t="s">
        <v>2474</v>
      </c>
      <c r="B1608" t="s">
        <v>3015</v>
      </c>
      <c r="C1608" s="221">
        <v>42966.39099537037</v>
      </c>
      <c r="D1608" t="s">
        <v>11175</v>
      </c>
      <c r="E1608" s="249" t="str">
        <f>HYPERLINK("https://www.instagram.com/p/BX-hZVcAUT1/")</f>
        <v>https://www.instagram.com/p/BX-hZVcAUT1/</v>
      </c>
      <c r="F1608" t="s">
        <v>11176</v>
      </c>
      <c r="G1608" t="s">
        <v>2478</v>
      </c>
      <c r="H1608">
        <v>198</v>
      </c>
      <c r="I1608" t="s">
        <v>2479</v>
      </c>
      <c r="J1608">
        <v>1</v>
      </c>
      <c r="K1608">
        <v>28</v>
      </c>
      <c r="L1608">
        <v>29</v>
      </c>
      <c r="Q1608">
        <v>0</v>
      </c>
      <c r="R1608">
        <v>0</v>
      </c>
      <c r="S1608">
        <v>29</v>
      </c>
      <c r="Y1608" t="s">
        <v>2497</v>
      </c>
      <c r="Z1608" t="s">
        <v>3727</v>
      </c>
      <c r="AA1608" t="s">
        <v>3856</v>
      </c>
      <c r="AB1608" t="s">
        <v>3726</v>
      </c>
      <c r="AC1608" t="s">
        <v>3728</v>
      </c>
      <c r="AD1608" s="249" t="str">
        <f>HYPERLINK("https://scontent.cdninstagram.com/t51.2885-15/s320x320/e35/c47.0.445.445/20902565_1166013580208792_1996968301523107840_n.jpg")</f>
        <v>https://scontent.cdninstagram.com/t51.2885-15/s320x320/e35/c47.0.445.445/20902565_1166013580208792_1996968301523107840_n.jpg</v>
      </c>
      <c r="AE1608" s="249" t="str">
        <f>HYPERLINK("https://scontent.cdninstagram.com/t51.2885-19/s150x150/19761452_1876060406050696_4275948751316582400_a.jpg")</f>
        <v>https://scontent.cdninstagram.com/t51.2885-19/s150x150/19761452_1876060406050696_4275948751316582400_a.jpg</v>
      </c>
    </row>
    <row r="1609" spans="1:31" ht="15" x14ac:dyDescent="0.25">
      <c r="A1609" t="s">
        <v>2474</v>
      </c>
      <c r="B1609" t="s">
        <v>3251</v>
      </c>
      <c r="C1609" s="221">
        <v>42966.399398148147</v>
      </c>
      <c r="D1609" t="s">
        <v>11177</v>
      </c>
      <c r="E1609" s="249" t="str">
        <f>HYPERLINK("https://www.instagram.com/p/BX-ix77HyBv/")</f>
        <v>https://www.instagram.com/p/BX-ix77HyBv/</v>
      </c>
      <c r="F1609" t="s">
        <v>11178</v>
      </c>
      <c r="G1609" t="s">
        <v>2478</v>
      </c>
      <c r="H1609">
        <v>295</v>
      </c>
      <c r="I1609" t="s">
        <v>2542</v>
      </c>
      <c r="J1609">
        <v>1</v>
      </c>
      <c r="K1609">
        <v>19</v>
      </c>
      <c r="L1609">
        <v>20</v>
      </c>
      <c r="Q1609">
        <v>0</v>
      </c>
      <c r="R1609">
        <v>0</v>
      </c>
      <c r="S1609">
        <v>20</v>
      </c>
      <c r="Y1609" t="s">
        <v>3970</v>
      </c>
      <c r="Z1609" t="s">
        <v>2497</v>
      </c>
      <c r="AA1609" t="s">
        <v>3968</v>
      </c>
      <c r="AB1609" t="s">
        <v>5943</v>
      </c>
      <c r="AC1609" t="s">
        <v>3257</v>
      </c>
      <c r="AD1609" s="249" t="str">
        <f>HYPERLINK("https://scontent.cdninstagram.com/t51.2885-15/s320x320/e35/c135.0.809.809/20969358_1362229057217615_620950768039493632_n.jpg")</f>
        <v>https://scontent.cdninstagram.com/t51.2885-15/s320x320/e35/c135.0.809.809/20969358_1362229057217615_620950768039493632_n.jpg</v>
      </c>
      <c r="AE1609" s="249" t="str">
        <f>HYPERLINK("https://scontent.cdninstagram.com/t51.2885-19/s150x150/20986614_891746094322067_1272495017625124864_a.jpg")</f>
        <v>https://scontent.cdninstagram.com/t51.2885-19/s150x150/20986614_891746094322067_1272495017625124864_a.jpg</v>
      </c>
    </row>
    <row r="1610" spans="1:31" ht="15" x14ac:dyDescent="0.25">
      <c r="A1610" t="s">
        <v>2474</v>
      </c>
      <c r="B1610" t="s">
        <v>11179</v>
      </c>
      <c r="C1610" s="221">
        <v>42966.415000000001</v>
      </c>
      <c r="D1610" t="s">
        <v>11180</v>
      </c>
      <c r="E1610" s="249" t="str">
        <f>HYPERLINK("https://www.instagram.com/p/BX-lWdvHs6P/")</f>
        <v>https://www.instagram.com/p/BX-lWdvHs6P/</v>
      </c>
      <c r="F1610" t="s">
        <v>11181</v>
      </c>
      <c r="G1610" t="s">
        <v>2478</v>
      </c>
      <c r="H1610">
        <v>381</v>
      </c>
      <c r="I1610" t="s">
        <v>2479</v>
      </c>
      <c r="J1610">
        <v>5</v>
      </c>
      <c r="K1610">
        <v>92</v>
      </c>
      <c r="L1610">
        <v>97</v>
      </c>
      <c r="Q1610">
        <v>0</v>
      </c>
      <c r="R1610">
        <v>0</v>
      </c>
      <c r="S1610">
        <v>97</v>
      </c>
      <c r="T1610" t="s">
        <v>11182</v>
      </c>
      <c r="V1610" t="s">
        <v>2103</v>
      </c>
      <c r="W1610">
        <v>47.7</v>
      </c>
      <c r="X1610">
        <v>15.55</v>
      </c>
      <c r="AD1610" s="249" t="str">
        <f>HYPERLINK("https://scontent.cdninstagram.com/t51.2885-15/s320x320/e35/20902303_1158739767559586_5078653971158007808_n.jpg")</f>
        <v>https://scontent.cdninstagram.com/t51.2885-15/s320x320/e35/20902303_1158739767559586_5078653971158007808_n.jpg</v>
      </c>
      <c r="AE1610" s="249" t="str">
        <f>HYPERLINK("https://scontent.cdninstagram.com/t51.2885-19/s150x150/20902434_385094108571947_9206214544450387968_a.jpg")</f>
        <v>https://scontent.cdninstagram.com/t51.2885-19/s150x150/20902434_385094108571947_9206214544450387968_a.jpg</v>
      </c>
    </row>
    <row r="1611" spans="1:31" ht="15" x14ac:dyDescent="0.25">
      <c r="A1611" t="s">
        <v>2474</v>
      </c>
      <c r="B1611" t="s">
        <v>10260</v>
      </c>
      <c r="C1611" s="221">
        <v>42966.416643518518</v>
      </c>
      <c r="D1611" t="s">
        <v>11183</v>
      </c>
      <c r="E1611" s="249" t="str">
        <f>HYPERLINK("https://www.instagram.com/p/BX-lnxUjoo6/")</f>
        <v>https://www.instagram.com/p/BX-lnxUjoo6/</v>
      </c>
      <c r="F1611" t="s">
        <v>11184</v>
      </c>
      <c r="G1611" t="s">
        <v>2478</v>
      </c>
      <c r="H1611">
        <v>1731</v>
      </c>
      <c r="I1611" t="s">
        <v>2479</v>
      </c>
      <c r="J1611">
        <v>2</v>
      </c>
      <c r="K1611">
        <v>59</v>
      </c>
      <c r="L1611">
        <v>61</v>
      </c>
      <c r="Q1611">
        <v>0</v>
      </c>
      <c r="R1611">
        <v>0</v>
      </c>
      <c r="S1611">
        <v>61</v>
      </c>
      <c r="T1611" t="s">
        <v>10263</v>
      </c>
      <c r="V1611" t="s">
        <v>2161</v>
      </c>
      <c r="W1611">
        <v>48.9</v>
      </c>
      <c r="X1611">
        <v>9.1833299999999998</v>
      </c>
      <c r="Y1611" t="s">
        <v>7149</v>
      </c>
      <c r="Z1611" t="s">
        <v>3069</v>
      </c>
      <c r="AA1611" t="s">
        <v>11185</v>
      </c>
      <c r="AB1611" t="s">
        <v>11186</v>
      </c>
      <c r="AC1611" t="s">
        <v>6922</v>
      </c>
      <c r="AD1611" s="249" t="str">
        <f>HYPERLINK("https://scontent.cdninstagram.com/t51.2885-15/s320x320/e35/c232.0.616.616/20838647_1993981260889087_4884955211010932736_n.jpg")</f>
        <v>https://scontent.cdninstagram.com/t51.2885-15/s320x320/e35/c232.0.616.616/20838647_1993981260889087_4884955211010932736_n.jpg</v>
      </c>
      <c r="AE1611" s="249" t="str">
        <f>HYPERLINK("https://scontent.cdninstagram.com/t51.2885-19/s150x150/19985899_1452269871506988_7530677343342297088_a.jpg")</f>
        <v>https://scontent.cdninstagram.com/t51.2885-19/s150x150/19985899_1452269871506988_7530677343342297088_a.jpg</v>
      </c>
    </row>
    <row r="1612" spans="1:31" ht="15" x14ac:dyDescent="0.25">
      <c r="A1612" t="s">
        <v>2474</v>
      </c>
      <c r="B1612" t="s">
        <v>8312</v>
      </c>
      <c r="C1612" s="221">
        <v>42966.432708333334</v>
      </c>
      <c r="D1612" t="s">
        <v>11187</v>
      </c>
      <c r="E1612" s="249" t="str">
        <f>HYPERLINK("https://www.instagram.com/p/BX-oRPsl7Ea/")</f>
        <v>https://www.instagram.com/p/BX-oRPsl7Ea/</v>
      </c>
      <c r="F1612" t="s">
        <v>11188</v>
      </c>
      <c r="G1612" t="s">
        <v>2478</v>
      </c>
      <c r="H1612">
        <v>11</v>
      </c>
      <c r="I1612" t="s">
        <v>2599</v>
      </c>
      <c r="J1612">
        <v>0</v>
      </c>
      <c r="K1612">
        <v>23</v>
      </c>
      <c r="L1612">
        <v>23</v>
      </c>
      <c r="Q1612">
        <v>0</v>
      </c>
      <c r="R1612">
        <v>0</v>
      </c>
      <c r="S1612">
        <v>23</v>
      </c>
      <c r="T1612" t="s">
        <v>10329</v>
      </c>
      <c r="V1612" t="s">
        <v>2264</v>
      </c>
      <c r="W1612">
        <v>42.764014243490003</v>
      </c>
      <c r="X1612">
        <v>-7.9069180053236003</v>
      </c>
      <c r="Y1612" t="s">
        <v>6164</v>
      </c>
      <c r="Z1612" t="s">
        <v>11189</v>
      </c>
      <c r="AA1612" t="s">
        <v>3945</v>
      </c>
      <c r="AB1612" t="s">
        <v>11190</v>
      </c>
      <c r="AC1612" t="s">
        <v>6466</v>
      </c>
      <c r="AD1612" s="249" t="str">
        <f>HYPERLINK("https://scontent.cdninstagram.com/t51.2885-15/s320x320/e35/20839061_1894601277468579_1678524312207753216_n.jpg")</f>
        <v>https://scontent.cdninstagram.com/t51.2885-15/s320x320/e35/20839061_1894601277468579_1678524312207753216_n.jpg</v>
      </c>
      <c r="AE1612" s="249" t="str">
        <f>HYPERLINK("https://scontent.cdninstagram.com/t51.2885-19/s150x150/20347739_515336592144896_3974966673097621504_a.jpg")</f>
        <v>https://scontent.cdninstagram.com/t51.2885-19/s150x150/20347739_515336592144896_3974966673097621504_a.jpg</v>
      </c>
    </row>
    <row r="1613" spans="1:31" ht="15" x14ac:dyDescent="0.25">
      <c r="A1613" t="s">
        <v>2474</v>
      </c>
      <c r="B1613" t="s">
        <v>11191</v>
      </c>
      <c r="C1613" s="221">
        <v>42966.446446759262</v>
      </c>
      <c r="D1613" t="s">
        <v>11192</v>
      </c>
      <c r="E1613" s="249" t="str">
        <f>HYPERLINK("https://www.instagram.com/p/BX-qiJNltkL/")</f>
        <v>https://www.instagram.com/p/BX-qiJNltkL/</v>
      </c>
      <c r="F1613" t="s">
        <v>11193</v>
      </c>
      <c r="G1613" t="s">
        <v>2478</v>
      </c>
      <c r="H1613">
        <v>1285</v>
      </c>
      <c r="I1613" t="s">
        <v>2479</v>
      </c>
      <c r="J1613">
        <v>7</v>
      </c>
      <c r="K1613">
        <v>89</v>
      </c>
      <c r="L1613">
        <v>96</v>
      </c>
      <c r="Q1613">
        <v>0</v>
      </c>
      <c r="R1613">
        <v>0</v>
      </c>
      <c r="S1613">
        <v>96</v>
      </c>
      <c r="T1613" t="s">
        <v>11194</v>
      </c>
      <c r="V1613" t="s">
        <v>2180</v>
      </c>
      <c r="W1613">
        <v>53.190211057662999</v>
      </c>
      <c r="X1613">
        <v>-6.0838776826859</v>
      </c>
      <c r="Y1613" t="s">
        <v>11195</v>
      </c>
      <c r="Z1613" t="s">
        <v>2497</v>
      </c>
      <c r="AA1613" t="s">
        <v>11196</v>
      </c>
      <c r="AB1613" t="s">
        <v>11197</v>
      </c>
      <c r="AC1613" t="s">
        <v>11198</v>
      </c>
      <c r="AD1613" s="249" t="str">
        <f>HYPERLINK("https://scontent.cdninstagram.com/t51.2885-15/s320x320/e35/c135.0.809.809/20902530_447137572353428_1866014843157348352_n.jpg")</f>
        <v>https://scontent.cdninstagram.com/t51.2885-15/s320x320/e35/c135.0.809.809/20902530_447137572353428_1866014843157348352_n.jpg</v>
      </c>
      <c r="AE1613" s="249" t="str">
        <f>HYPERLINK("https://scontent.cdninstagram.com/t51.2885-19/s150x150/12717136_912725962158226_204688728_a.jpg")</f>
        <v>https://scontent.cdninstagram.com/t51.2885-19/s150x150/12717136_912725962158226_204688728_a.jpg</v>
      </c>
    </row>
    <row r="1614" spans="1:31" ht="15" x14ac:dyDescent="0.25">
      <c r="A1614" t="s">
        <v>2474</v>
      </c>
      <c r="B1614" t="s">
        <v>2644</v>
      </c>
      <c r="C1614" s="221">
        <v>42966.448391203703</v>
      </c>
      <c r="D1614" t="s">
        <v>11199</v>
      </c>
      <c r="E1614" s="249" t="str">
        <f>HYPERLINK("https://www.instagram.com/p/BX-q2nBAxwE/")</f>
        <v>https://www.instagram.com/p/BX-q2nBAxwE/</v>
      </c>
      <c r="F1614" t="s">
        <v>11200</v>
      </c>
      <c r="G1614" t="s">
        <v>2478</v>
      </c>
      <c r="H1614">
        <v>1749</v>
      </c>
      <c r="I1614" t="s">
        <v>2479</v>
      </c>
      <c r="J1614">
        <v>0</v>
      </c>
      <c r="K1614">
        <v>91</v>
      </c>
      <c r="L1614">
        <v>91</v>
      </c>
      <c r="Q1614">
        <v>0</v>
      </c>
      <c r="R1614">
        <v>0</v>
      </c>
      <c r="S1614">
        <v>91</v>
      </c>
      <c r="T1614" t="s">
        <v>11201</v>
      </c>
      <c r="V1614" t="s">
        <v>2648</v>
      </c>
      <c r="W1614">
        <v>54.781660000000002</v>
      </c>
      <c r="X1614">
        <v>32.041679999999999</v>
      </c>
      <c r="Y1614" t="s">
        <v>5950</v>
      </c>
      <c r="Z1614" t="s">
        <v>3635</v>
      </c>
      <c r="AA1614" t="s">
        <v>5928</v>
      </c>
      <c r="AB1614" t="s">
        <v>5902</v>
      </c>
      <c r="AC1614" t="s">
        <v>5494</v>
      </c>
      <c r="AD1614" s="249" t="str">
        <f>HYPERLINK("https://scontent.cdninstagram.com/t51.2885-15/s320x320/e35/20902783_1909941202588173_4473028385165017088_n.jpg")</f>
        <v>https://scontent.cdninstagram.com/t51.2885-15/s320x320/e35/20902783_1909941202588173_4473028385165017088_n.jpg</v>
      </c>
      <c r="AE1614" s="249" t="str">
        <f>HYPERLINK("https://scontent.cdninstagram.com/t51.2885-19/11372086_1598451257062069_1320225693_a.jpg")</f>
        <v>https://scontent.cdninstagram.com/t51.2885-19/11372086_1598451257062069_1320225693_a.jpg</v>
      </c>
    </row>
    <row r="1615" spans="1:31" ht="15" x14ac:dyDescent="0.25">
      <c r="A1615" t="s">
        <v>2474</v>
      </c>
      <c r="B1615" t="s">
        <v>11202</v>
      </c>
      <c r="C1615" s="221">
        <v>42966.458877314813</v>
      </c>
      <c r="D1615" t="s">
        <v>11203</v>
      </c>
      <c r="E1615" s="249" t="str">
        <f>HYPERLINK("https://www.instagram.com/p/BX-slMajZxD/")</f>
        <v>https://www.instagram.com/p/BX-slMajZxD/</v>
      </c>
      <c r="F1615" t="s">
        <v>11204</v>
      </c>
      <c r="G1615" t="s">
        <v>2478</v>
      </c>
      <c r="H1615">
        <v>159</v>
      </c>
      <c r="I1615" t="s">
        <v>3273</v>
      </c>
      <c r="J1615">
        <v>2</v>
      </c>
      <c r="K1615">
        <v>34</v>
      </c>
      <c r="L1615">
        <v>36</v>
      </c>
      <c r="Q1615">
        <v>0</v>
      </c>
      <c r="R1615">
        <v>0</v>
      </c>
      <c r="S1615">
        <v>36</v>
      </c>
      <c r="Y1615" t="s">
        <v>11205</v>
      </c>
      <c r="Z1615" t="s">
        <v>11206</v>
      </c>
      <c r="AA1615" t="s">
        <v>11207</v>
      </c>
      <c r="AB1615" t="s">
        <v>11208</v>
      </c>
      <c r="AC1615" t="s">
        <v>3982</v>
      </c>
      <c r="AD1615" s="249" t="str">
        <f>HYPERLINK("https://scontent.cdninstagram.com/t51.2885-15/s320x320/e35/20902376_1405289252840535_3139898123061559296_n.jpg")</f>
        <v>https://scontent.cdninstagram.com/t51.2885-15/s320x320/e35/20902376_1405289252840535_3139898123061559296_n.jpg</v>
      </c>
      <c r="AE1615" s="249" t="str">
        <f>HYPERLINK("https://scontent.cdninstagram.com/t51.2885-19/11199473_1444488389197901_1933549560_a.jpg")</f>
        <v>https://scontent.cdninstagram.com/t51.2885-19/11199473_1444488389197901_1933549560_a.jpg</v>
      </c>
    </row>
    <row r="1616" spans="1:31" ht="15" x14ac:dyDescent="0.25">
      <c r="A1616" t="s">
        <v>2474</v>
      </c>
      <c r="B1616" t="s">
        <v>11209</v>
      </c>
      <c r="C1616" s="221">
        <v>42966.465682870374</v>
      </c>
      <c r="D1616" t="s">
        <v>11210</v>
      </c>
      <c r="E1616" s="249" t="str">
        <f>HYPERLINK("https://www.instagram.com/p/BX-ts8SjpE8/")</f>
        <v>https://www.instagram.com/p/BX-ts8SjpE8/</v>
      </c>
      <c r="F1616" t="s">
        <v>11211</v>
      </c>
      <c r="G1616" t="s">
        <v>2478</v>
      </c>
      <c r="H1616">
        <v>2322</v>
      </c>
      <c r="I1616" t="s">
        <v>2479</v>
      </c>
      <c r="J1616">
        <v>12</v>
      </c>
      <c r="K1616">
        <v>121</v>
      </c>
      <c r="L1616">
        <v>133</v>
      </c>
      <c r="Q1616">
        <v>0</v>
      </c>
      <c r="R1616">
        <v>0</v>
      </c>
      <c r="S1616">
        <v>133</v>
      </c>
      <c r="T1616" t="s">
        <v>11212</v>
      </c>
      <c r="U1616" t="s">
        <v>344</v>
      </c>
      <c r="V1616" t="s">
        <v>2299</v>
      </c>
      <c r="W1616">
        <v>44.097565000000003</v>
      </c>
      <c r="X1616">
        <v>-123.089803</v>
      </c>
      <c r="Y1616" t="s">
        <v>11213</v>
      </c>
      <c r="Z1616" t="s">
        <v>7190</v>
      </c>
      <c r="AA1616" t="s">
        <v>11214</v>
      </c>
      <c r="AB1616" t="s">
        <v>2696</v>
      </c>
      <c r="AC1616" t="s">
        <v>11215</v>
      </c>
      <c r="AD1616" s="249" t="str">
        <f>HYPERLINK("https://scontent.cdninstagram.com/t51.2885-15/s320x320/e35/c2.0.1075.1075/20901958_207695906433009_134708578337423360_n.jpg")</f>
        <v>https://scontent.cdninstagram.com/t51.2885-15/s320x320/e35/c2.0.1075.1075/20901958_207695906433009_134708578337423360_n.jpg</v>
      </c>
      <c r="AE1616" s="249" t="str">
        <f>HYPERLINK("https://scontent.cdninstagram.com/t51.2885-19/s150x150/20759446_1932112097029653_6427641140849147904_a.jpg")</f>
        <v>https://scontent.cdninstagram.com/t51.2885-19/s150x150/20759446_1932112097029653_6427641140849147904_a.jpg</v>
      </c>
    </row>
    <row r="1617" spans="1:31" ht="15" x14ac:dyDescent="0.25">
      <c r="A1617" t="s">
        <v>2474</v>
      </c>
      <c r="B1617" t="s">
        <v>11216</v>
      </c>
      <c r="C1617" s="221">
        <v>42966.474675925929</v>
      </c>
      <c r="D1617" t="s">
        <v>11217</v>
      </c>
      <c r="E1617" s="249" t="str">
        <f>HYPERLINK("https://www.instagram.com/p/BX-vL4ngLgw/")</f>
        <v>https://www.instagram.com/p/BX-vL4ngLgw/</v>
      </c>
      <c r="F1617" t="s">
        <v>11218</v>
      </c>
      <c r="G1617" t="s">
        <v>2478</v>
      </c>
      <c r="H1617">
        <v>332</v>
      </c>
      <c r="I1617" t="s">
        <v>2479</v>
      </c>
      <c r="J1617">
        <v>5</v>
      </c>
      <c r="K1617">
        <v>60</v>
      </c>
      <c r="L1617">
        <v>65</v>
      </c>
      <c r="Q1617">
        <v>0</v>
      </c>
      <c r="R1617">
        <v>0</v>
      </c>
      <c r="S1617">
        <v>65</v>
      </c>
      <c r="T1617" t="s">
        <v>11219</v>
      </c>
      <c r="V1617" t="s">
        <v>2125</v>
      </c>
      <c r="W1617">
        <v>50.114207941482</v>
      </c>
      <c r="X1617">
        <v>-122.95359445932</v>
      </c>
      <c r="Y1617" t="s">
        <v>7132</v>
      </c>
      <c r="Z1617" t="s">
        <v>11220</v>
      </c>
      <c r="AA1617" t="s">
        <v>11221</v>
      </c>
      <c r="AB1617" t="s">
        <v>2497</v>
      </c>
      <c r="AC1617" t="s">
        <v>11222</v>
      </c>
      <c r="AD1617" s="249" t="str">
        <f>HYPERLINK("https://scontent.cdninstagram.com/t51.2885-15/s320x320/e35/c183.0.714.714/20905615_111914559499239_3293983416290115584_n.jpg")</f>
        <v>https://scontent.cdninstagram.com/t51.2885-15/s320x320/e35/c183.0.714.714/20905615_111914559499239_3293983416290115584_n.jpg</v>
      </c>
      <c r="AE1617" s="249" t="str">
        <f>HYPERLINK("https://scontent.cdninstagram.com/t51.2885-19/s150x150/20901993_111437506227230_8343755446074474496_a.jpg")</f>
        <v>https://scontent.cdninstagram.com/t51.2885-19/s150x150/20901993_111437506227230_8343755446074474496_a.jpg</v>
      </c>
    </row>
    <row r="1618" spans="1:31" ht="15" x14ac:dyDescent="0.25">
      <c r="A1618" t="s">
        <v>2474</v>
      </c>
      <c r="B1618" t="s">
        <v>11223</v>
      </c>
      <c r="C1618" s="221">
        <v>42966.478912037041</v>
      </c>
      <c r="D1618" t="s">
        <v>11224</v>
      </c>
      <c r="E1618" s="249" t="str">
        <f>HYPERLINK("https://www.instagram.com/p/BX-v4jTgXMV/")</f>
        <v>https://www.instagram.com/p/BX-v4jTgXMV/</v>
      </c>
      <c r="F1618" t="s">
        <v>11225</v>
      </c>
      <c r="G1618" t="s">
        <v>2631</v>
      </c>
      <c r="H1618">
        <v>480</v>
      </c>
      <c r="I1618" t="s">
        <v>2479</v>
      </c>
      <c r="J1618">
        <v>0</v>
      </c>
      <c r="K1618">
        <v>33</v>
      </c>
      <c r="L1618">
        <v>33</v>
      </c>
      <c r="Q1618">
        <v>0</v>
      </c>
      <c r="R1618">
        <v>0</v>
      </c>
      <c r="S1618">
        <v>33</v>
      </c>
      <c r="Y1618" t="s">
        <v>11226</v>
      </c>
      <c r="Z1618" t="s">
        <v>2497</v>
      </c>
      <c r="AA1618" t="s">
        <v>11227</v>
      </c>
      <c r="AB1618" t="s">
        <v>11228</v>
      </c>
      <c r="AC1618" t="s">
        <v>11229</v>
      </c>
      <c r="AD1618" s="249" t="str">
        <f>HYPERLINK("https://scontent.cdninstagram.com/t51.2885-15/s320x320/e15/20902664_1983373961892156_5114113758024695808_n.jpg")</f>
        <v>https://scontent.cdninstagram.com/t51.2885-15/s320x320/e15/20902664_1983373961892156_5114113758024695808_n.jpg</v>
      </c>
      <c r="AE1618" s="249" t="str">
        <f>HYPERLINK("https://scontent.cdninstagram.com/t51.2885-19/s150x150/15803201_571774019678296_6419248439745314816_n.jpg")</f>
        <v>https://scontent.cdninstagram.com/t51.2885-19/s150x150/15803201_571774019678296_6419248439745314816_n.jpg</v>
      </c>
    </row>
    <row r="1619" spans="1:31" ht="15" x14ac:dyDescent="0.25">
      <c r="A1619" t="s">
        <v>2474</v>
      </c>
      <c r="B1619" t="s">
        <v>11230</v>
      </c>
      <c r="C1619" s="221">
        <v>42966.481712962966</v>
      </c>
      <c r="D1619" t="s">
        <v>11231</v>
      </c>
      <c r="E1619" s="249" t="str">
        <f>HYPERLINK("https://www.instagram.com/p/BX-wWD1HKj4/")</f>
        <v>https://www.instagram.com/p/BX-wWD1HKj4/</v>
      </c>
      <c r="F1619" t="s">
        <v>11232</v>
      </c>
      <c r="G1619" t="s">
        <v>2478</v>
      </c>
      <c r="H1619">
        <v>213</v>
      </c>
      <c r="I1619" t="s">
        <v>2479</v>
      </c>
      <c r="J1619">
        <v>1</v>
      </c>
      <c r="K1619">
        <v>56</v>
      </c>
      <c r="L1619">
        <v>57</v>
      </c>
      <c r="Q1619">
        <v>0</v>
      </c>
      <c r="R1619">
        <v>0</v>
      </c>
      <c r="S1619">
        <v>57</v>
      </c>
      <c r="T1619" t="s">
        <v>11233</v>
      </c>
      <c r="V1619" t="s">
        <v>2161</v>
      </c>
      <c r="W1619">
        <v>51.156694250000001</v>
      </c>
      <c r="X1619">
        <v>7.3628082499999996</v>
      </c>
      <c r="Y1619" t="s">
        <v>11234</v>
      </c>
      <c r="Z1619" t="s">
        <v>11235</v>
      </c>
      <c r="AA1619" t="s">
        <v>11236</v>
      </c>
      <c r="AB1619" t="s">
        <v>11237</v>
      </c>
      <c r="AC1619" t="s">
        <v>11230</v>
      </c>
      <c r="AD1619" s="249" t="str">
        <f>HYPERLINK("https://scontent.cdninstagram.com/t51.2885-15/s320x320/e35/20987246_550106825113339_3820178491291205632_n.jpg")</f>
        <v>https://scontent.cdninstagram.com/t51.2885-15/s320x320/e35/20987246_550106825113339_3820178491291205632_n.jpg</v>
      </c>
      <c r="AE1619" s="249" t="str">
        <f>HYPERLINK("https://scontent.cdninstagram.com/t51.2885-19/s150x150/20180770_147917665785987_3905746626513207296_a.jpg")</f>
        <v>https://scontent.cdninstagram.com/t51.2885-19/s150x150/20180770_147917665785987_3905746626513207296_a.jpg</v>
      </c>
    </row>
    <row r="1620" spans="1:31" ht="15" x14ac:dyDescent="0.25">
      <c r="A1620" t="s">
        <v>2474</v>
      </c>
      <c r="B1620" t="s">
        <v>7647</v>
      </c>
      <c r="C1620" s="221">
        <v>42966.483530092592</v>
      </c>
      <c r="D1620" t="s">
        <v>11238</v>
      </c>
      <c r="E1620" s="249" t="str">
        <f>HYPERLINK("https://www.instagram.com/p/BX-wpOkgu1E/")</f>
        <v>https://www.instagram.com/p/BX-wpOkgu1E/</v>
      </c>
      <c r="F1620" t="s">
        <v>11239</v>
      </c>
      <c r="G1620" t="s">
        <v>2478</v>
      </c>
      <c r="H1620">
        <v>67</v>
      </c>
      <c r="I1620" t="s">
        <v>2479</v>
      </c>
      <c r="J1620">
        <v>1</v>
      </c>
      <c r="K1620">
        <v>15</v>
      </c>
      <c r="L1620">
        <v>16</v>
      </c>
      <c r="Q1620">
        <v>0</v>
      </c>
      <c r="R1620">
        <v>0</v>
      </c>
      <c r="S1620">
        <v>16</v>
      </c>
      <c r="Y1620" t="s">
        <v>11240</v>
      </c>
      <c r="Z1620" t="s">
        <v>2497</v>
      </c>
      <c r="AA1620" t="s">
        <v>7652</v>
      </c>
      <c r="AB1620" t="s">
        <v>11241</v>
      </c>
      <c r="AC1620" t="s">
        <v>7651</v>
      </c>
      <c r="AD1620" s="249" t="str">
        <f>HYPERLINK("https://scontent.cdninstagram.com/t51.2885-15/s320x320/e35/c53.0.974.974/20902246_124598284845135_2330307980450332672_n.jpg")</f>
        <v>https://scontent.cdninstagram.com/t51.2885-15/s320x320/e35/c53.0.974.974/20902246_124598284845135_2330307980450332672_n.jpg</v>
      </c>
      <c r="AE1620" s="249" t="str">
        <f>HYPERLINK("https://scontent.cdninstagram.com/t51.2885-19/s150x150/19984566_732703113580954_2442051729433296896_a.jpg")</f>
        <v>https://scontent.cdninstagram.com/t51.2885-19/s150x150/19984566_732703113580954_2442051729433296896_a.jpg</v>
      </c>
    </row>
    <row r="1621" spans="1:31" ht="15" x14ac:dyDescent="0.25">
      <c r="A1621" t="s">
        <v>2474</v>
      </c>
      <c r="B1621" t="s">
        <v>2588</v>
      </c>
      <c r="C1621" s="221">
        <v>42966.512685185182</v>
      </c>
      <c r="D1621" t="s">
        <v>11242</v>
      </c>
      <c r="E1621" s="249" t="str">
        <f>HYPERLINK("https://www.instagram.com/p/BX-1cxagqMa/")</f>
        <v>https://www.instagram.com/p/BX-1cxagqMa/</v>
      </c>
      <c r="F1621" t="s">
        <v>11243</v>
      </c>
      <c r="G1621" t="s">
        <v>2478</v>
      </c>
      <c r="H1621">
        <v>307</v>
      </c>
      <c r="I1621" t="s">
        <v>2479</v>
      </c>
      <c r="J1621">
        <v>17</v>
      </c>
      <c r="K1621">
        <v>565</v>
      </c>
      <c r="L1621">
        <v>582</v>
      </c>
      <c r="Q1621">
        <v>0</v>
      </c>
      <c r="R1621">
        <v>0</v>
      </c>
      <c r="S1621">
        <v>582</v>
      </c>
      <c r="Y1621" t="s">
        <v>2588</v>
      </c>
      <c r="AD1621" s="249" t="str">
        <f>HYPERLINK("https://scontent.cdninstagram.com/t51.2885-15/s320x320/e35/c37.0.565.565/20904938_357695614664305_1630027100574449664_n.jpg")</f>
        <v>https://scontent.cdninstagram.com/t51.2885-15/s320x320/e35/c37.0.565.565/20904938_357695614664305_1630027100574449664_n.jpg</v>
      </c>
      <c r="AE1621" s="249" t="str">
        <f>HYPERLINK("https://scontent.cdninstagram.com/t51.2885-19/s150x150/20633561_108840983138666_5897549723056734208_a.jpg")</f>
        <v>https://scontent.cdninstagram.com/t51.2885-19/s150x150/20633561_108840983138666_5897549723056734208_a.jpg</v>
      </c>
    </row>
    <row r="1622" spans="1:31" ht="15" x14ac:dyDescent="0.25">
      <c r="A1622" t="s">
        <v>2474</v>
      </c>
      <c r="B1622" t="s">
        <v>11244</v>
      </c>
      <c r="C1622" s="221">
        <v>42966.515069444446</v>
      </c>
      <c r="D1622" t="s">
        <v>11245</v>
      </c>
      <c r="E1622" s="249" t="str">
        <f>HYPERLINK("https://www.instagram.com/p/BX-115jDEjf/")</f>
        <v>https://www.instagram.com/p/BX-115jDEjf/</v>
      </c>
      <c r="F1622" t="s">
        <v>11246</v>
      </c>
      <c r="G1622" t="s">
        <v>2478</v>
      </c>
      <c r="H1622">
        <v>1836</v>
      </c>
      <c r="I1622" t="s">
        <v>2479</v>
      </c>
      <c r="J1622">
        <v>18</v>
      </c>
      <c r="K1622">
        <v>111</v>
      </c>
      <c r="L1622">
        <v>129</v>
      </c>
      <c r="Q1622">
        <v>0</v>
      </c>
      <c r="R1622">
        <v>0</v>
      </c>
      <c r="S1622">
        <v>129</v>
      </c>
      <c r="Y1622" t="s">
        <v>11247</v>
      </c>
      <c r="Z1622" t="s">
        <v>11248</v>
      </c>
      <c r="AA1622" t="s">
        <v>2497</v>
      </c>
      <c r="AB1622" t="s">
        <v>2832</v>
      </c>
      <c r="AC1622" t="s">
        <v>11249</v>
      </c>
      <c r="AD1622" s="249" t="str">
        <f>HYPERLINK("https://scontent.cdninstagram.com/t51.2885-15/s320x320/e35/20905703_121049751876008_539583076473241600_n.jpg")</f>
        <v>https://scontent.cdninstagram.com/t51.2885-15/s320x320/e35/20905703_121049751876008_539583076473241600_n.jpg</v>
      </c>
      <c r="AE1622" s="249" t="str">
        <f>HYPERLINK("https://scontent.cdninstagram.com/t51.2885-19/s150x150/20479406_297465410719856_2736478072650858496_a.jpg")</f>
        <v>https://scontent.cdninstagram.com/t51.2885-19/s150x150/20479406_297465410719856_2736478072650858496_a.jpg</v>
      </c>
    </row>
    <row r="1623" spans="1:31" ht="15" x14ac:dyDescent="0.25">
      <c r="A1623" t="s">
        <v>2474</v>
      </c>
      <c r="B1623" t="s">
        <v>11250</v>
      </c>
      <c r="C1623" s="221">
        <v>42966.517557870371</v>
      </c>
      <c r="D1623" t="s">
        <v>11251</v>
      </c>
      <c r="E1623" s="249" t="str">
        <f>HYPERLINK("https://www.instagram.com/p/BX-2QHvlaGJ/")</f>
        <v>https://www.instagram.com/p/BX-2QHvlaGJ/</v>
      </c>
      <c r="F1623" t="s">
        <v>11252</v>
      </c>
      <c r="G1623" t="s">
        <v>2478</v>
      </c>
      <c r="H1623">
        <v>487</v>
      </c>
      <c r="I1623" t="s">
        <v>2479</v>
      </c>
      <c r="J1623">
        <v>0</v>
      </c>
      <c r="K1623">
        <v>80</v>
      </c>
      <c r="L1623">
        <v>80</v>
      </c>
      <c r="Q1623">
        <v>0</v>
      </c>
      <c r="R1623">
        <v>0</v>
      </c>
      <c r="S1623">
        <v>80</v>
      </c>
      <c r="Y1623" t="s">
        <v>11253</v>
      </c>
      <c r="Z1623" t="s">
        <v>11254</v>
      </c>
      <c r="AA1623" t="s">
        <v>11255</v>
      </c>
      <c r="AB1623" t="s">
        <v>11256</v>
      </c>
      <c r="AC1623" t="s">
        <v>11257</v>
      </c>
      <c r="AD1623" s="249" t="str">
        <f>HYPERLINK("https://scontent.cdninstagram.com/t51.2885-15/s320x320/e35/20986886_1849265605083484_4711704291943907328_n.jpg")</f>
        <v>https://scontent.cdninstagram.com/t51.2885-15/s320x320/e35/20986886_1849265605083484_4711704291943907328_n.jpg</v>
      </c>
      <c r="AE1623" s="249" t="str">
        <f>HYPERLINK("https://scontent.cdninstagram.com/t51.2885-19/s150x150/21041526_112249149488481_4259313750273687552_a.jpg")</f>
        <v>https://scontent.cdninstagram.com/t51.2885-19/s150x150/21041526_112249149488481_4259313750273687552_a.jpg</v>
      </c>
    </row>
    <row r="1624" spans="1:31" ht="15" x14ac:dyDescent="0.25">
      <c r="A1624" t="s">
        <v>2474</v>
      </c>
      <c r="B1624" t="s">
        <v>11258</v>
      </c>
      <c r="C1624" s="221">
        <v>42966.51798611111</v>
      </c>
      <c r="D1624" t="s">
        <v>11259</v>
      </c>
      <c r="E1624" s="249" t="str">
        <f>HYPERLINK("https://www.instagram.com/p/BX-2UsAAPv5/")</f>
        <v>https://www.instagram.com/p/BX-2UsAAPv5/</v>
      </c>
      <c r="F1624" t="s">
        <v>11260</v>
      </c>
      <c r="G1624" t="s">
        <v>2478</v>
      </c>
      <c r="H1624">
        <v>218</v>
      </c>
      <c r="I1624" t="s">
        <v>2479</v>
      </c>
      <c r="J1624">
        <v>1</v>
      </c>
      <c r="K1624">
        <v>52</v>
      </c>
      <c r="L1624">
        <v>53</v>
      </c>
      <c r="Q1624">
        <v>0</v>
      </c>
      <c r="R1624">
        <v>0</v>
      </c>
      <c r="S1624">
        <v>53</v>
      </c>
      <c r="Y1624" t="s">
        <v>2497</v>
      </c>
      <c r="Z1624" t="s">
        <v>3091</v>
      </c>
      <c r="AA1624" t="s">
        <v>11261</v>
      </c>
      <c r="AB1624" t="s">
        <v>11262</v>
      </c>
      <c r="AC1624" t="s">
        <v>10509</v>
      </c>
      <c r="AD1624" s="249" t="str">
        <f>HYPERLINK("https://scontent.cdninstagram.com/t51.2885-15/s320x320/e35/18812615_487909318237482_6342519458887630848_n.jpg")</f>
        <v>https://scontent.cdninstagram.com/t51.2885-15/s320x320/e35/18812615_487909318237482_6342519458887630848_n.jpg</v>
      </c>
      <c r="AE1624" s="249" t="str">
        <f>HYPERLINK("https://scontent.cdninstagram.com/t51.2885-19/s150x150/12568908_171041796602539_1499814027_a.jpg")</f>
        <v>https://scontent.cdninstagram.com/t51.2885-19/s150x150/12568908_171041796602539_1499814027_a.jpg</v>
      </c>
    </row>
    <row r="1625" spans="1:31" ht="15" x14ac:dyDescent="0.25">
      <c r="A1625" t="s">
        <v>2474</v>
      </c>
      <c r="B1625" t="s">
        <v>3015</v>
      </c>
      <c r="C1625" s="221">
        <v>42966.524178240739</v>
      </c>
      <c r="D1625" t="s">
        <v>11263</v>
      </c>
      <c r="E1625" s="249" t="str">
        <f>HYPERLINK("https://www.instagram.com/p/BX-3V9zARPv/")</f>
        <v>https://www.instagram.com/p/BX-3V9zARPv/</v>
      </c>
      <c r="F1625" t="s">
        <v>11264</v>
      </c>
      <c r="G1625" t="s">
        <v>2488</v>
      </c>
      <c r="H1625">
        <v>200</v>
      </c>
      <c r="I1625" t="s">
        <v>2479</v>
      </c>
      <c r="J1625">
        <v>0</v>
      </c>
      <c r="K1625">
        <v>32</v>
      </c>
      <c r="L1625">
        <v>32</v>
      </c>
      <c r="Q1625">
        <v>0</v>
      </c>
      <c r="R1625">
        <v>0</v>
      </c>
      <c r="S1625">
        <v>32</v>
      </c>
      <c r="Y1625" t="s">
        <v>3726</v>
      </c>
      <c r="Z1625" t="s">
        <v>3725</v>
      </c>
      <c r="AA1625" t="s">
        <v>4128</v>
      </c>
      <c r="AB1625" t="s">
        <v>4127</v>
      </c>
      <c r="AC1625" t="s">
        <v>3727</v>
      </c>
      <c r="AD1625" s="249" t="str">
        <f>HYPERLINK("https://scontent.cdninstagram.com/t51.2885-15/s320x320/e35/20905253_1879570798975005_6930950083181543424_n.jpg")</f>
        <v>https://scontent.cdninstagram.com/t51.2885-15/s320x320/e35/20905253_1879570798975005_6930950083181543424_n.jpg</v>
      </c>
      <c r="AE1625" s="249" t="str">
        <f>HYPERLINK("https://scontent.cdninstagram.com/t51.2885-19/s150x150/19761452_1876060406050696_4275948751316582400_a.jpg")</f>
        <v>https://scontent.cdninstagram.com/t51.2885-19/s150x150/19761452_1876060406050696_4275948751316582400_a.jpg</v>
      </c>
    </row>
    <row r="1626" spans="1:31" ht="15" x14ac:dyDescent="0.25">
      <c r="A1626" t="s">
        <v>2474</v>
      </c>
      <c r="B1626" t="s">
        <v>3015</v>
      </c>
      <c r="C1626" s="221">
        <v>42966.540613425925</v>
      </c>
      <c r="D1626" t="s">
        <v>11265</v>
      </c>
      <c r="E1626" s="249" t="str">
        <f>HYPERLINK("https://www.instagram.com/p/BX-6DPyg_cV/")</f>
        <v>https://www.instagram.com/p/BX-6DPyg_cV/</v>
      </c>
      <c r="F1626" t="s">
        <v>11266</v>
      </c>
      <c r="G1626" t="s">
        <v>2478</v>
      </c>
      <c r="H1626">
        <v>200</v>
      </c>
      <c r="I1626" t="s">
        <v>2479</v>
      </c>
      <c r="J1626">
        <v>0</v>
      </c>
      <c r="K1626">
        <v>29</v>
      </c>
      <c r="L1626">
        <v>29</v>
      </c>
      <c r="Q1626">
        <v>0</v>
      </c>
      <c r="R1626">
        <v>0</v>
      </c>
      <c r="S1626">
        <v>29</v>
      </c>
      <c r="Y1626" t="s">
        <v>3726</v>
      </c>
      <c r="Z1626" t="s">
        <v>3019</v>
      </c>
      <c r="AA1626" t="s">
        <v>3854</v>
      </c>
      <c r="AB1626" t="s">
        <v>3020</v>
      </c>
      <c r="AC1626" t="s">
        <v>10032</v>
      </c>
      <c r="AD1626" s="249" t="str">
        <f>HYPERLINK("https://scontent.cdninstagram.com/t51.2885-15/s320x320/e35/20905049_111526726201869_3035848992672972800_n.jpg")</f>
        <v>https://scontent.cdninstagram.com/t51.2885-15/s320x320/e35/20905049_111526726201869_3035848992672972800_n.jpg</v>
      </c>
      <c r="AE1626" s="249" t="str">
        <f>HYPERLINK("https://scontent.cdninstagram.com/t51.2885-19/s150x150/19761452_1876060406050696_4275948751316582400_a.jpg")</f>
        <v>https://scontent.cdninstagram.com/t51.2885-19/s150x150/19761452_1876060406050696_4275948751316582400_a.jpg</v>
      </c>
    </row>
    <row r="1627" spans="1:31" ht="15" x14ac:dyDescent="0.25">
      <c r="A1627" t="s">
        <v>2474</v>
      </c>
      <c r="B1627" t="s">
        <v>11267</v>
      </c>
      <c r="C1627" s="221">
        <v>42966.5466087963</v>
      </c>
      <c r="D1627" t="s">
        <v>11268</v>
      </c>
      <c r="E1627" s="249" t="str">
        <f>HYPERLINK("https://www.instagram.com/p/BX-7ChLBuWv/")</f>
        <v>https://www.instagram.com/p/BX-7ChLBuWv/</v>
      </c>
      <c r="F1627" t="s">
        <v>11269</v>
      </c>
      <c r="G1627" t="s">
        <v>2478</v>
      </c>
      <c r="H1627">
        <v>92</v>
      </c>
      <c r="I1627" t="s">
        <v>2599</v>
      </c>
      <c r="J1627">
        <v>0</v>
      </c>
      <c r="K1627">
        <v>21</v>
      </c>
      <c r="L1627">
        <v>21</v>
      </c>
      <c r="Q1627">
        <v>0</v>
      </c>
      <c r="R1627">
        <v>0</v>
      </c>
      <c r="S1627">
        <v>21</v>
      </c>
      <c r="Y1627" t="s">
        <v>11270</v>
      </c>
      <c r="Z1627" t="s">
        <v>2497</v>
      </c>
      <c r="AA1627" t="s">
        <v>3543</v>
      </c>
      <c r="AB1627" t="s">
        <v>11271</v>
      </c>
      <c r="AC1627" t="s">
        <v>11272</v>
      </c>
      <c r="AD1627" s="249" t="str">
        <f>HYPERLINK("https://scontent.cdninstagram.com/t51.2885-15/s320x320/e35/20905725_1965257953746657_8957080662888677376_n.jpg")</f>
        <v>https://scontent.cdninstagram.com/t51.2885-15/s320x320/e35/20905725_1965257953746657_8957080662888677376_n.jpg</v>
      </c>
      <c r="AE1627" s="249" t="str">
        <f>HYPERLINK("https://scontent.cdninstagram.com/t51.2885-19/s150x150/17881008_190529534793945_3660270923216322560_a.jpg")</f>
        <v>https://scontent.cdninstagram.com/t51.2885-19/s150x150/17881008_190529534793945_3660270923216322560_a.jpg</v>
      </c>
    </row>
    <row r="1628" spans="1:31" ht="15" x14ac:dyDescent="0.25">
      <c r="A1628" t="s">
        <v>2474</v>
      </c>
      <c r="B1628" t="s">
        <v>11273</v>
      </c>
      <c r="C1628" s="221">
        <v>42966.547986111109</v>
      </c>
      <c r="D1628" t="s">
        <v>11274</v>
      </c>
      <c r="E1628" s="249" t="str">
        <f>HYPERLINK("https://www.instagram.com/p/BX-7RAbDc0O/")</f>
        <v>https://www.instagram.com/p/BX-7RAbDc0O/</v>
      </c>
      <c r="F1628" t="s">
        <v>11275</v>
      </c>
      <c r="G1628" t="s">
        <v>2478</v>
      </c>
      <c r="H1628">
        <v>87</v>
      </c>
      <c r="I1628" t="s">
        <v>2479</v>
      </c>
      <c r="J1628">
        <v>0</v>
      </c>
      <c r="K1628">
        <v>34</v>
      </c>
      <c r="L1628">
        <v>34</v>
      </c>
      <c r="Q1628">
        <v>0</v>
      </c>
      <c r="R1628">
        <v>0</v>
      </c>
      <c r="S1628">
        <v>34</v>
      </c>
      <c r="Y1628" t="s">
        <v>11276</v>
      </c>
      <c r="Z1628" t="s">
        <v>4724</v>
      </c>
      <c r="AA1628" t="s">
        <v>4264</v>
      </c>
      <c r="AB1628" t="s">
        <v>11277</v>
      </c>
      <c r="AC1628" t="s">
        <v>11278</v>
      </c>
      <c r="AD1628" s="249" t="str">
        <f>HYPERLINK("https://scontent.cdninstagram.com/t51.2885-15/s320x320/e35/20902356_1358195037633488_8232283297938407424_n.jpg")</f>
        <v>https://scontent.cdninstagram.com/t51.2885-15/s320x320/e35/20902356_1358195037633488_8232283297938407424_n.jpg</v>
      </c>
      <c r="AE1628" s="249" t="str">
        <f>HYPERLINK("https://scontent.cdninstagram.com/t51.2885-19/s150x150/20838393_1943538129222144_412121031382138880_a.jpg")</f>
        <v>https://scontent.cdninstagram.com/t51.2885-19/s150x150/20838393_1943538129222144_412121031382138880_a.jpg</v>
      </c>
    </row>
    <row r="1629" spans="1:31" ht="15" x14ac:dyDescent="0.25">
      <c r="A1629" t="s">
        <v>2474</v>
      </c>
      <c r="B1629" t="s">
        <v>11279</v>
      </c>
      <c r="C1629" s="221">
        <v>42966.550370370373</v>
      </c>
      <c r="D1629" t="s">
        <v>11280</v>
      </c>
      <c r="E1629" s="249" t="str">
        <f>HYPERLINK("https://www.instagram.com/p/BX-7qKFDOSY/")</f>
        <v>https://www.instagram.com/p/BX-7qKFDOSY/</v>
      </c>
      <c r="F1629" t="s">
        <v>11281</v>
      </c>
      <c r="G1629" t="s">
        <v>2478</v>
      </c>
      <c r="H1629">
        <v>260</v>
      </c>
      <c r="I1629" t="s">
        <v>2479</v>
      </c>
      <c r="J1629">
        <v>0</v>
      </c>
      <c r="K1629">
        <v>32</v>
      </c>
      <c r="L1629">
        <v>32</v>
      </c>
      <c r="Q1629">
        <v>0</v>
      </c>
      <c r="R1629">
        <v>0</v>
      </c>
      <c r="S1629">
        <v>32</v>
      </c>
      <c r="T1629" t="s">
        <v>11282</v>
      </c>
      <c r="U1629" t="s">
        <v>106</v>
      </c>
      <c r="V1629" t="s">
        <v>2299</v>
      </c>
      <c r="W1629">
        <v>25.627199999999998</v>
      </c>
      <c r="X1629">
        <v>-80.320700000000002</v>
      </c>
      <c r="Y1629" t="s">
        <v>2497</v>
      </c>
      <c r="Z1629" t="s">
        <v>11283</v>
      </c>
      <c r="AA1629" t="s">
        <v>11284</v>
      </c>
      <c r="AD1629" s="249" t="str">
        <f>HYPERLINK("https://scontent.cdninstagram.com/t51.2885-15/s320x320/e35/20902487_341107716330804_8918803802677575680_n.jpg")</f>
        <v>https://scontent.cdninstagram.com/t51.2885-15/s320x320/e35/20902487_341107716330804_8918803802677575680_n.jpg</v>
      </c>
      <c r="AE1629" s="249" t="str">
        <f>HYPERLINK("https://scontent.cdninstagram.com/t51.2885-19/s150x150/16464141_1261356150580369_7970812509365993472_a.jpg")</f>
        <v>https://scontent.cdninstagram.com/t51.2885-19/s150x150/16464141_1261356150580369_7970812509365993472_a.jpg</v>
      </c>
    </row>
    <row r="1630" spans="1:31" ht="15" x14ac:dyDescent="0.25">
      <c r="A1630" t="s">
        <v>2474</v>
      </c>
      <c r="B1630" t="s">
        <v>3615</v>
      </c>
      <c r="C1630" s="221">
        <v>42966.558055555557</v>
      </c>
      <c r="D1630" t="s">
        <v>11285</v>
      </c>
      <c r="E1630" s="249" t="str">
        <f>HYPERLINK("https://www.instagram.com/p/BX-87Sjh89Q/")</f>
        <v>https://www.instagram.com/p/BX-87Sjh89Q/</v>
      </c>
      <c r="F1630" t="s">
        <v>11286</v>
      </c>
      <c r="G1630" t="s">
        <v>2478</v>
      </c>
      <c r="H1630">
        <v>159</v>
      </c>
      <c r="I1630" t="s">
        <v>2479</v>
      </c>
      <c r="J1630">
        <v>0</v>
      </c>
      <c r="K1630">
        <v>22</v>
      </c>
      <c r="L1630">
        <v>22</v>
      </c>
      <c r="Q1630">
        <v>0</v>
      </c>
      <c r="R1630">
        <v>0</v>
      </c>
      <c r="S1630">
        <v>22</v>
      </c>
      <c r="Y1630" t="s">
        <v>3618</v>
      </c>
      <c r="Z1630" t="s">
        <v>4671</v>
      </c>
      <c r="AA1630" t="s">
        <v>11287</v>
      </c>
      <c r="AB1630" t="s">
        <v>3936</v>
      </c>
      <c r="AC1630" t="s">
        <v>3619</v>
      </c>
      <c r="AD1630" s="249" t="str">
        <f>HYPERLINK("https://scontent.cdninstagram.com/t51.2885-15/s320x320/e35/20902552_296812440785954_3255931346077351936_n.jpg")</f>
        <v>https://scontent.cdninstagram.com/t51.2885-15/s320x320/e35/20902552_296812440785954_3255931346077351936_n.jpg</v>
      </c>
      <c r="AE1630" s="249" t="str">
        <f>HYPERLINK("https://scontent.cdninstagram.com/t51.2885-19/11007890_2044765145664197_683412266_a.jpg")</f>
        <v>https://scontent.cdninstagram.com/t51.2885-19/11007890_2044765145664197_683412266_a.jpg</v>
      </c>
    </row>
    <row r="1631" spans="1:31" ht="15" x14ac:dyDescent="0.25">
      <c r="A1631" t="s">
        <v>2474</v>
      </c>
      <c r="B1631" t="s">
        <v>11288</v>
      </c>
      <c r="C1631" s="221">
        <v>42966.562071759261</v>
      </c>
      <c r="D1631" t="s">
        <v>11289</v>
      </c>
      <c r="E1631" s="249" t="str">
        <f>HYPERLINK("https://www.instagram.com/p/BX-9lnjDPgK/")</f>
        <v>https://www.instagram.com/p/BX-9lnjDPgK/</v>
      </c>
      <c r="F1631" t="s">
        <v>11290</v>
      </c>
      <c r="G1631" t="s">
        <v>2478</v>
      </c>
      <c r="H1631">
        <v>300</v>
      </c>
      <c r="I1631" t="s">
        <v>2479</v>
      </c>
      <c r="J1631">
        <v>2</v>
      </c>
      <c r="K1631">
        <v>70</v>
      </c>
      <c r="L1631">
        <v>72</v>
      </c>
      <c r="Q1631">
        <v>0</v>
      </c>
      <c r="R1631">
        <v>0</v>
      </c>
      <c r="S1631">
        <v>72</v>
      </c>
      <c r="T1631" t="s">
        <v>11291</v>
      </c>
      <c r="V1631" t="s">
        <v>2137</v>
      </c>
      <c r="W1631">
        <v>44.260368160649001</v>
      </c>
      <c r="X1631">
        <v>15.296157839855001</v>
      </c>
      <c r="Y1631" t="s">
        <v>11292</v>
      </c>
      <c r="Z1631" t="s">
        <v>2497</v>
      </c>
      <c r="AA1631" t="s">
        <v>7830</v>
      </c>
      <c r="AB1631" t="s">
        <v>11293</v>
      </c>
      <c r="AC1631" t="s">
        <v>5842</v>
      </c>
      <c r="AD1631" s="249" t="str">
        <f>HYPERLINK("https://scontent.cdninstagram.com/t51.2885-15/s320x320/e35/c180.0.720.720/20901914_1299963696778890_6923684372906246144_n.jpg")</f>
        <v>https://scontent.cdninstagram.com/t51.2885-15/s320x320/e35/c180.0.720.720/20901914_1299963696778890_6923684372906246144_n.jpg</v>
      </c>
      <c r="AE1631" s="249" t="str">
        <f>HYPERLINK("https://scontent.cdninstagram.com/t51.2885-19/s150x150/18645099_1720342694649494_718863158961242112_a.jpg")</f>
        <v>https://scontent.cdninstagram.com/t51.2885-19/s150x150/18645099_1720342694649494_718863158961242112_a.jpg</v>
      </c>
    </row>
    <row r="1632" spans="1:31" ht="15" x14ac:dyDescent="0.25">
      <c r="A1632" t="s">
        <v>2474</v>
      </c>
      <c r="B1632" t="s">
        <v>7107</v>
      </c>
      <c r="C1632" s="221">
        <v>42966.565358796295</v>
      </c>
      <c r="D1632" t="s">
        <v>11294</v>
      </c>
      <c r="E1632" s="249" t="str">
        <f>HYPERLINK("https://www.instagram.com/p/BX--IQNB4-o/")</f>
        <v>https://www.instagram.com/p/BX--IQNB4-o/</v>
      </c>
      <c r="F1632" t="s">
        <v>11295</v>
      </c>
      <c r="G1632" t="s">
        <v>2478</v>
      </c>
      <c r="H1632">
        <v>762</v>
      </c>
      <c r="I1632" t="s">
        <v>2786</v>
      </c>
      <c r="J1632">
        <v>0</v>
      </c>
      <c r="K1632">
        <v>74</v>
      </c>
      <c r="L1632">
        <v>74</v>
      </c>
      <c r="Q1632">
        <v>0</v>
      </c>
      <c r="R1632">
        <v>0</v>
      </c>
      <c r="S1632">
        <v>74</v>
      </c>
      <c r="T1632" t="s">
        <v>11296</v>
      </c>
      <c r="V1632" t="s">
        <v>2161</v>
      </c>
      <c r="W1632">
        <v>51.535284766586003</v>
      </c>
      <c r="X1632">
        <v>13.927531242371</v>
      </c>
      <c r="Y1632" t="s">
        <v>4168</v>
      </c>
      <c r="Z1632" t="s">
        <v>2497</v>
      </c>
      <c r="AA1632" t="s">
        <v>11297</v>
      </c>
      <c r="AB1632" t="s">
        <v>7112</v>
      </c>
      <c r="AC1632" t="s">
        <v>11298</v>
      </c>
      <c r="AD1632" s="249" t="str">
        <f>HYPERLINK("https://scontent.cdninstagram.com/t51.2885-15/s320x320/e35/20902415_283977405343045_2548082527667486720_n.jpg")</f>
        <v>https://scontent.cdninstagram.com/t51.2885-15/s320x320/e35/20902415_283977405343045_2548082527667486720_n.jpg</v>
      </c>
      <c r="AE1632" s="249" t="str">
        <f>HYPERLINK("https://scontent.cdninstagram.com/t51.2885-19/s150x150/20583235_297083527425610_5320242913735606272_a.jpg")</f>
        <v>https://scontent.cdninstagram.com/t51.2885-19/s150x150/20583235_297083527425610_5320242913735606272_a.jpg</v>
      </c>
    </row>
    <row r="1633" spans="1:31" ht="15" x14ac:dyDescent="0.25">
      <c r="A1633" t="s">
        <v>2474</v>
      </c>
      <c r="B1633" t="s">
        <v>11299</v>
      </c>
      <c r="C1633" s="221">
        <v>42966.565821759257</v>
      </c>
      <c r="D1633" t="s">
        <v>11300</v>
      </c>
      <c r="E1633" s="249" t="str">
        <f>HYPERLINK("https://www.instagram.com/p/BX--NIll3Q1/")</f>
        <v>https://www.instagram.com/p/BX--NIll3Q1/</v>
      </c>
      <c r="F1633" t="s">
        <v>11301</v>
      </c>
      <c r="G1633" t="s">
        <v>2478</v>
      </c>
      <c r="H1633">
        <v>364</v>
      </c>
      <c r="I1633" t="s">
        <v>2910</v>
      </c>
      <c r="J1633">
        <v>4</v>
      </c>
      <c r="K1633">
        <v>42</v>
      </c>
      <c r="L1633">
        <v>46</v>
      </c>
      <c r="Q1633">
        <v>0</v>
      </c>
      <c r="R1633">
        <v>0</v>
      </c>
      <c r="S1633">
        <v>46</v>
      </c>
      <c r="Y1633" t="s">
        <v>11302</v>
      </c>
      <c r="Z1633" t="s">
        <v>11303</v>
      </c>
      <c r="AA1633" t="s">
        <v>11304</v>
      </c>
      <c r="AB1633" t="s">
        <v>11305</v>
      </c>
      <c r="AC1633" t="s">
        <v>2497</v>
      </c>
      <c r="AD1633" s="249" t="str">
        <f>HYPERLINK("https://scontent.cdninstagram.com/t51.2885-15/s320x320/e35/c0.135.1080.1080/20902711_1459379904097316_844050129810882560_n.jpg")</f>
        <v>https://scontent.cdninstagram.com/t51.2885-15/s320x320/e35/c0.135.1080.1080/20902711_1459379904097316_844050129810882560_n.jpg</v>
      </c>
      <c r="AE1633" s="249" t="str">
        <f>HYPERLINK("https://scontent.cdninstagram.com/t51.2885-19/s150x150/20583038_1775591769405137_9218665641756590080_a.jpg")</f>
        <v>https://scontent.cdninstagram.com/t51.2885-19/s150x150/20583038_1775591769405137_9218665641756590080_a.jpg</v>
      </c>
    </row>
    <row r="1634" spans="1:31" ht="15" x14ac:dyDescent="0.25">
      <c r="A1634" t="s">
        <v>2474</v>
      </c>
      <c r="B1634" t="s">
        <v>3055</v>
      </c>
      <c r="C1634" s="221">
        <v>42966.574872685182</v>
      </c>
      <c r="D1634" t="s">
        <v>11306</v>
      </c>
      <c r="E1634" s="249" t="str">
        <f>HYPERLINK("https://www.instagram.com/p/BX-_smdnkd3/")</f>
        <v>https://www.instagram.com/p/BX-_smdnkd3/</v>
      </c>
      <c r="F1634" t="s">
        <v>11307</v>
      </c>
      <c r="G1634" t="s">
        <v>2478</v>
      </c>
      <c r="H1634">
        <v>156</v>
      </c>
      <c r="I1634" t="s">
        <v>2479</v>
      </c>
      <c r="J1634">
        <v>3</v>
      </c>
      <c r="K1634">
        <v>28</v>
      </c>
      <c r="L1634">
        <v>31</v>
      </c>
      <c r="Q1634">
        <v>0</v>
      </c>
      <c r="R1634">
        <v>0</v>
      </c>
      <c r="S1634">
        <v>31</v>
      </c>
      <c r="Y1634" t="s">
        <v>2492</v>
      </c>
      <c r="Z1634" t="s">
        <v>11308</v>
      </c>
      <c r="AA1634" t="s">
        <v>9734</v>
      </c>
      <c r="AB1634" t="s">
        <v>2497</v>
      </c>
      <c r="AC1634" t="s">
        <v>11309</v>
      </c>
      <c r="AD1634" s="249" t="str">
        <f>HYPERLINK("https://scontent.cdninstagram.com/t51.2885-15/s320x320/e35/20987519_779488508877890_8329501111044014080_n.jpg")</f>
        <v>https://scontent.cdninstagram.com/t51.2885-15/s320x320/e35/20987519_779488508877890_8329501111044014080_n.jpg</v>
      </c>
      <c r="AE1634" s="249" t="str">
        <f>HYPERLINK("https://scontent.cdninstagram.com/t51.2885-19/s150x150/12534162_1031877433501510_1281420640_a.jpg")</f>
        <v>https://scontent.cdninstagram.com/t51.2885-19/s150x150/12534162_1031877433501510_1281420640_a.jpg</v>
      </c>
    </row>
    <row r="1635" spans="1:31" ht="15" x14ac:dyDescent="0.25">
      <c r="A1635" t="s">
        <v>2474</v>
      </c>
      <c r="B1635" t="s">
        <v>11310</v>
      </c>
      <c r="C1635" s="221">
        <v>42966.578692129631</v>
      </c>
      <c r="D1635" t="s">
        <v>11311</v>
      </c>
      <c r="E1635" s="249" t="str">
        <f>HYPERLINK("https://www.instagram.com/p/BX_AU1fBm0q/")</f>
        <v>https://www.instagram.com/p/BX_AU1fBm0q/</v>
      </c>
      <c r="F1635" t="s">
        <v>11312</v>
      </c>
      <c r="G1635" t="s">
        <v>2631</v>
      </c>
      <c r="H1635">
        <v>28605</v>
      </c>
      <c r="I1635" t="s">
        <v>2479</v>
      </c>
      <c r="J1635">
        <v>0</v>
      </c>
      <c r="K1635">
        <v>20</v>
      </c>
      <c r="L1635">
        <v>20</v>
      </c>
      <c r="Q1635">
        <v>0</v>
      </c>
      <c r="R1635">
        <v>0</v>
      </c>
      <c r="S1635">
        <v>20</v>
      </c>
      <c r="Y1635" t="s">
        <v>11313</v>
      </c>
      <c r="Z1635" t="s">
        <v>11314</v>
      </c>
      <c r="AA1635" t="s">
        <v>11315</v>
      </c>
      <c r="AB1635" t="s">
        <v>2497</v>
      </c>
      <c r="AD1635" s="249" t="str">
        <f>HYPERLINK("https://scontent.cdninstagram.com/t51.2885-15/s320x320/e15/c236.0.607.607/20838845_478252422560630_1118387837243228160_n.jpg")</f>
        <v>https://scontent.cdninstagram.com/t51.2885-15/s320x320/e15/c236.0.607.607/20838845_478252422560630_1118387837243228160_n.jpg</v>
      </c>
      <c r="AE1635" s="249" t="str">
        <f>HYPERLINK("https://scontent.cdninstagram.com/t51.2885-19/s150x150/14717464_123560954786894_3080300993653506048_a.jpg")</f>
        <v>https://scontent.cdninstagram.com/t51.2885-19/s150x150/14717464_123560954786894_3080300993653506048_a.jpg</v>
      </c>
    </row>
    <row r="1636" spans="1:31" ht="15" x14ac:dyDescent="0.25">
      <c r="A1636" t="s">
        <v>2474</v>
      </c>
      <c r="B1636" t="s">
        <v>5225</v>
      </c>
      <c r="C1636" s="221">
        <v>42966.581423611111</v>
      </c>
      <c r="D1636" t="s">
        <v>11316</v>
      </c>
      <c r="E1636" s="249" t="str">
        <f>HYPERLINK("https://www.instagram.com/p/BX_AxvxAYxP/")</f>
        <v>https://www.instagram.com/p/BX_AxvxAYxP/</v>
      </c>
      <c r="F1636" t="s">
        <v>11317</v>
      </c>
      <c r="G1636" t="s">
        <v>2478</v>
      </c>
      <c r="H1636">
        <v>50</v>
      </c>
      <c r="I1636" t="s">
        <v>2479</v>
      </c>
      <c r="J1636">
        <v>0</v>
      </c>
      <c r="K1636">
        <v>23</v>
      </c>
      <c r="L1636">
        <v>23</v>
      </c>
      <c r="Q1636">
        <v>0</v>
      </c>
      <c r="R1636">
        <v>0</v>
      </c>
      <c r="S1636">
        <v>23</v>
      </c>
      <c r="T1636" t="s">
        <v>5228</v>
      </c>
      <c r="V1636" t="s">
        <v>2154</v>
      </c>
      <c r="W1636">
        <v>47.498634698221998</v>
      </c>
      <c r="X1636">
        <v>-0.50784128552246999</v>
      </c>
      <c r="Y1636" t="s">
        <v>4779</v>
      </c>
      <c r="Z1636" t="s">
        <v>5232</v>
      </c>
      <c r="AA1636" t="s">
        <v>11318</v>
      </c>
      <c r="AB1636" t="s">
        <v>2493</v>
      </c>
      <c r="AC1636" t="s">
        <v>11319</v>
      </c>
      <c r="AD1636" s="249" t="str">
        <f>HYPERLINK("https://scontent.cdninstagram.com/t51.2885-15/s320x320/e35/20904873_1393172750803277_1752166938156466176_n.jpg")</f>
        <v>https://scontent.cdninstagram.com/t51.2885-15/s320x320/e35/20904873_1393172750803277_1752166938156466176_n.jpg</v>
      </c>
      <c r="AE1636" s="249" t="str">
        <f>HYPERLINK("https://scontent.cdninstagram.com/t51.2885-19/s150x150/18949503_1122155304550657_4049188449616396288_a.jpg")</f>
        <v>https://scontent.cdninstagram.com/t51.2885-19/s150x150/18949503_1122155304550657_4049188449616396288_a.jpg</v>
      </c>
    </row>
    <row r="1637" spans="1:31" ht="15" x14ac:dyDescent="0.25">
      <c r="A1637" t="s">
        <v>2474</v>
      </c>
      <c r="B1637" t="s">
        <v>3015</v>
      </c>
      <c r="C1637" s="221">
        <v>42966.58525462963</v>
      </c>
      <c r="D1637" t="s">
        <v>11320</v>
      </c>
      <c r="E1637" s="249" t="str">
        <f>HYPERLINK("https://www.instagram.com/p/BX_BaElAMZg/")</f>
        <v>https://www.instagram.com/p/BX_BaElAMZg/</v>
      </c>
      <c r="F1637" t="s">
        <v>11321</v>
      </c>
      <c r="G1637" t="s">
        <v>2478</v>
      </c>
      <c r="H1637">
        <v>202</v>
      </c>
      <c r="I1637" t="s">
        <v>2479</v>
      </c>
      <c r="J1637">
        <v>3</v>
      </c>
      <c r="K1637">
        <v>45</v>
      </c>
      <c r="L1637">
        <v>48</v>
      </c>
      <c r="Q1637">
        <v>0</v>
      </c>
      <c r="R1637">
        <v>0</v>
      </c>
      <c r="S1637">
        <v>48</v>
      </c>
      <c r="Y1637" t="s">
        <v>4129</v>
      </c>
      <c r="Z1637" t="s">
        <v>3019</v>
      </c>
      <c r="AA1637" t="s">
        <v>3493</v>
      </c>
      <c r="AB1637" t="s">
        <v>3021</v>
      </c>
      <c r="AC1637" t="s">
        <v>3494</v>
      </c>
      <c r="AD1637" s="249" t="str">
        <f>HYPERLINK("https://scontent.cdninstagram.com/t51.2885-15/s320x320/e35/20838922_1956337097978231_9025662580412121088_n.jpg")</f>
        <v>https://scontent.cdninstagram.com/t51.2885-15/s320x320/e35/20838922_1956337097978231_9025662580412121088_n.jpg</v>
      </c>
      <c r="AE1637" s="249" t="str">
        <f>HYPERLINK("https://scontent.cdninstagram.com/t51.2885-19/s150x150/19761452_1876060406050696_4275948751316582400_a.jpg")</f>
        <v>https://scontent.cdninstagram.com/t51.2885-19/s150x150/19761452_1876060406050696_4275948751316582400_a.jpg</v>
      </c>
    </row>
    <row r="1638" spans="1:31" ht="15" x14ac:dyDescent="0.25">
      <c r="A1638" t="s">
        <v>2474</v>
      </c>
      <c r="B1638" t="s">
        <v>3523</v>
      </c>
      <c r="C1638" s="221">
        <v>42966.586585648147</v>
      </c>
      <c r="D1638" t="s">
        <v>11322</v>
      </c>
      <c r="E1638" s="249" t="str">
        <f>HYPERLINK("https://www.instagram.com/p/BX_BoKJlTtp/")</f>
        <v>https://www.instagram.com/p/BX_BoKJlTtp/</v>
      </c>
      <c r="F1638" t="s">
        <v>11323</v>
      </c>
      <c r="G1638" t="s">
        <v>2478</v>
      </c>
      <c r="H1638">
        <v>796</v>
      </c>
      <c r="I1638" t="s">
        <v>2910</v>
      </c>
      <c r="J1638">
        <v>1</v>
      </c>
      <c r="K1638">
        <v>57</v>
      </c>
      <c r="L1638">
        <v>58</v>
      </c>
      <c r="Q1638">
        <v>0</v>
      </c>
      <c r="R1638">
        <v>0</v>
      </c>
      <c r="S1638">
        <v>58</v>
      </c>
      <c r="Y1638" t="s">
        <v>11324</v>
      </c>
      <c r="Z1638" t="s">
        <v>11325</v>
      </c>
      <c r="AA1638" t="s">
        <v>3529</v>
      </c>
      <c r="AB1638" t="s">
        <v>11326</v>
      </c>
      <c r="AC1638" t="s">
        <v>11327</v>
      </c>
      <c r="AD1638" s="249" t="str">
        <f>HYPERLINK("https://scontent.cdninstagram.com/t51.2885-15/s320x320/e35/20969126_1635811219796733_8977263014860292096_n.jpg")</f>
        <v>https://scontent.cdninstagram.com/t51.2885-15/s320x320/e35/20969126_1635811219796733_8977263014860292096_n.jpg</v>
      </c>
      <c r="AE1638" s="249" t="str">
        <f>HYPERLINK("https://scontent.cdninstagram.com/t51.2885-19/s150x150/13423548_1579884235642985_2055615186_a.jpg")</f>
        <v>https://scontent.cdninstagram.com/t51.2885-19/s150x150/13423548_1579884235642985_2055615186_a.jpg</v>
      </c>
    </row>
    <row r="1639" spans="1:31" ht="15" x14ac:dyDescent="0.25">
      <c r="A1639" t="s">
        <v>2474</v>
      </c>
      <c r="B1639" t="s">
        <v>11328</v>
      </c>
      <c r="C1639" s="221">
        <v>42966.590532407405</v>
      </c>
      <c r="D1639" t="s">
        <v>11329</v>
      </c>
      <c r="E1639" s="249" t="str">
        <f>HYPERLINK("https://www.instagram.com/p/BX_CRyglZnX/")</f>
        <v>https://www.instagram.com/p/BX_CRyglZnX/</v>
      </c>
      <c r="F1639" t="s">
        <v>11330</v>
      </c>
      <c r="G1639" t="s">
        <v>2478</v>
      </c>
      <c r="H1639">
        <v>501</v>
      </c>
      <c r="I1639" t="s">
        <v>2479</v>
      </c>
      <c r="J1639">
        <v>0</v>
      </c>
      <c r="K1639">
        <v>16</v>
      </c>
      <c r="L1639">
        <v>16</v>
      </c>
      <c r="Q1639">
        <v>0</v>
      </c>
      <c r="R1639">
        <v>0</v>
      </c>
      <c r="S1639">
        <v>16</v>
      </c>
      <c r="Y1639" t="s">
        <v>11331</v>
      </c>
      <c r="Z1639" t="s">
        <v>11332</v>
      </c>
      <c r="AA1639" t="s">
        <v>2497</v>
      </c>
      <c r="AD1639" s="249" t="str">
        <f>HYPERLINK("https://scontent.cdninstagram.com/t51.2885-15/s320x320/e35/20905111_316734022124248_7352326154906238976_n.jpg")</f>
        <v>https://scontent.cdninstagram.com/t51.2885-15/s320x320/e35/20905111_316734022124248_7352326154906238976_n.jpg</v>
      </c>
      <c r="AE1639" s="249" t="str">
        <f>HYPERLINK("https://scontent.cdninstagram.com/t51.2885-19/s150x150/20759847_158532018032190_399692933625806848_a.jpg")</f>
        <v>https://scontent.cdninstagram.com/t51.2885-19/s150x150/20759847_158532018032190_399692933625806848_a.jpg</v>
      </c>
    </row>
    <row r="1640" spans="1:31" ht="15" x14ac:dyDescent="0.25">
      <c r="A1640" t="s">
        <v>2474</v>
      </c>
      <c r="B1640" t="s">
        <v>3015</v>
      </c>
      <c r="C1640" s="221">
        <v>42966.591898148145</v>
      </c>
      <c r="D1640" t="s">
        <v>11333</v>
      </c>
      <c r="E1640" s="249" t="str">
        <f>HYPERLINK("https://www.instagram.com/p/BX_CgI8gaZx/")</f>
        <v>https://www.instagram.com/p/BX_CgI8gaZx/</v>
      </c>
      <c r="F1640" t="s">
        <v>11334</v>
      </c>
      <c r="G1640" t="s">
        <v>2478</v>
      </c>
      <c r="H1640">
        <v>202</v>
      </c>
      <c r="I1640" t="s">
        <v>2479</v>
      </c>
      <c r="J1640">
        <v>1</v>
      </c>
      <c r="K1640">
        <v>32</v>
      </c>
      <c r="L1640">
        <v>33</v>
      </c>
      <c r="Q1640">
        <v>0</v>
      </c>
      <c r="R1640">
        <v>0</v>
      </c>
      <c r="S1640">
        <v>33</v>
      </c>
      <c r="Y1640" t="s">
        <v>3494</v>
      </c>
      <c r="Z1640" t="s">
        <v>6259</v>
      </c>
      <c r="AA1640" t="s">
        <v>4128</v>
      </c>
      <c r="AB1640" t="s">
        <v>3854</v>
      </c>
      <c r="AC1640" t="s">
        <v>3018</v>
      </c>
      <c r="AD1640" s="249" t="str">
        <f>HYPERLINK("https://scontent.cdninstagram.com/t51.2885-15/s320x320/e35/20838874_111843372830664_2607023076835065856_n.jpg")</f>
        <v>https://scontent.cdninstagram.com/t51.2885-15/s320x320/e35/20838874_111843372830664_2607023076835065856_n.jpg</v>
      </c>
      <c r="AE1640" s="249" t="str">
        <f>HYPERLINK("https://scontent.cdninstagram.com/t51.2885-19/s150x150/19761452_1876060406050696_4275948751316582400_a.jpg")</f>
        <v>https://scontent.cdninstagram.com/t51.2885-19/s150x150/19761452_1876060406050696_4275948751316582400_a.jpg</v>
      </c>
    </row>
    <row r="1641" spans="1:31" ht="15" x14ac:dyDescent="0.25">
      <c r="A1641" t="s">
        <v>2474</v>
      </c>
      <c r="B1641" t="s">
        <v>11335</v>
      </c>
      <c r="C1641" s="221">
        <v>42966.595370370371</v>
      </c>
      <c r="D1641" t="s">
        <v>11336</v>
      </c>
      <c r="E1641" s="249" t="str">
        <f>HYPERLINK("https://www.instagram.com/p/BX_DE2DgPIw/")</f>
        <v>https://www.instagram.com/p/BX_DE2DgPIw/</v>
      </c>
      <c r="F1641" t="s">
        <v>11337</v>
      </c>
      <c r="G1641" t="s">
        <v>2478</v>
      </c>
      <c r="H1641">
        <v>3969</v>
      </c>
      <c r="I1641" t="s">
        <v>3898</v>
      </c>
      <c r="J1641">
        <v>6</v>
      </c>
      <c r="K1641">
        <v>53</v>
      </c>
      <c r="L1641">
        <v>59</v>
      </c>
      <c r="Q1641">
        <v>0</v>
      </c>
      <c r="R1641">
        <v>0</v>
      </c>
      <c r="S1641">
        <v>59</v>
      </c>
      <c r="Y1641" t="s">
        <v>9670</v>
      </c>
      <c r="Z1641" t="s">
        <v>11338</v>
      </c>
      <c r="AA1641" t="s">
        <v>11339</v>
      </c>
      <c r="AB1641" t="s">
        <v>2497</v>
      </c>
      <c r="AC1641" t="s">
        <v>11340</v>
      </c>
      <c r="AD1641" s="249" t="str">
        <f>HYPERLINK("https://scontent.cdninstagram.com/t51.2885-15/s320x320/e35/c0.135.1080.1080/20987264_339537519830464_7078682020267687936_n.jpg")</f>
        <v>https://scontent.cdninstagram.com/t51.2885-15/s320x320/e35/c0.135.1080.1080/20987264_339537519830464_7078682020267687936_n.jpg</v>
      </c>
      <c r="AE1641" s="249" t="str">
        <f>HYPERLINK("https://scontent.cdninstagram.com/t51.2885-19/s150x150/20837473_1675244495853797_8398920916557365248_a.jpg")</f>
        <v>https://scontent.cdninstagram.com/t51.2885-19/s150x150/20837473_1675244495853797_8398920916557365248_a.jpg</v>
      </c>
    </row>
    <row r="1642" spans="1:31" ht="15" x14ac:dyDescent="0.25">
      <c r="A1642" t="s">
        <v>2474</v>
      </c>
      <c r="B1642" t="s">
        <v>9202</v>
      </c>
      <c r="C1642" s="221">
        <v>42966.597893518519</v>
      </c>
      <c r="D1642" t="s">
        <v>11341</v>
      </c>
      <c r="E1642" s="249" t="str">
        <f>HYPERLINK("https://www.instagram.com/p/BX_Dfd3D_Ep/")</f>
        <v>https://www.instagram.com/p/BX_Dfd3D_Ep/</v>
      </c>
      <c r="F1642" t="s">
        <v>11342</v>
      </c>
      <c r="G1642" t="s">
        <v>2478</v>
      </c>
      <c r="H1642">
        <v>1312</v>
      </c>
      <c r="I1642" t="s">
        <v>2479</v>
      </c>
      <c r="J1642">
        <v>9</v>
      </c>
      <c r="K1642">
        <v>121</v>
      </c>
      <c r="L1642">
        <v>130</v>
      </c>
      <c r="Q1642">
        <v>0</v>
      </c>
      <c r="R1642">
        <v>0</v>
      </c>
      <c r="S1642">
        <v>130</v>
      </c>
      <c r="AD1642" s="249" t="str">
        <f>HYPERLINK("https://scontent.cdninstagram.com/t51.2885-15/s320x320/e35/20968432_1365035846943080_5057828134301204480_n.jpg")</f>
        <v>https://scontent.cdninstagram.com/t51.2885-15/s320x320/e35/20968432_1365035846943080_5057828134301204480_n.jpg</v>
      </c>
      <c r="AE1642" s="249" t="str">
        <f>HYPERLINK("https://scontent.cdninstagram.com/t51.2885-19/s150x150/14262831_316851378669734_1723671927_a.jpg")</f>
        <v>https://scontent.cdninstagram.com/t51.2885-19/s150x150/14262831_316851378669734_1723671927_a.jpg</v>
      </c>
    </row>
    <row r="1643" spans="1:31" ht="15" x14ac:dyDescent="0.25">
      <c r="A1643" t="s">
        <v>2474</v>
      </c>
      <c r="B1643" t="s">
        <v>11343</v>
      </c>
      <c r="C1643" s="221">
        <v>42966.61650462963</v>
      </c>
      <c r="D1643" t="s">
        <v>11344</v>
      </c>
      <c r="E1643" s="249" t="str">
        <f>HYPERLINK("https://www.instagram.com/p/BX_Gjpxg4jj/")</f>
        <v>https://www.instagram.com/p/BX_Gjpxg4jj/</v>
      </c>
      <c r="F1643" t="s">
        <v>11345</v>
      </c>
      <c r="G1643" t="s">
        <v>2478</v>
      </c>
      <c r="H1643">
        <v>19</v>
      </c>
      <c r="I1643" t="s">
        <v>2542</v>
      </c>
      <c r="J1643">
        <v>1</v>
      </c>
      <c r="K1643">
        <v>3</v>
      </c>
      <c r="L1643">
        <v>4</v>
      </c>
      <c r="Q1643">
        <v>0</v>
      </c>
      <c r="R1643">
        <v>0</v>
      </c>
      <c r="S1643">
        <v>4</v>
      </c>
      <c r="Y1643" t="s">
        <v>11346</v>
      </c>
      <c r="Z1643" t="s">
        <v>2497</v>
      </c>
      <c r="AD1643" s="249" t="str">
        <f>HYPERLINK("https://scontent.cdninstagram.com/t51.2885-15/s320x320/e35/c216.0.648.648/20902570_1991613264384623_8149934940784427008_n.jpg")</f>
        <v>https://scontent.cdninstagram.com/t51.2885-15/s320x320/e35/c216.0.648.648/20902570_1991613264384623_8149934940784427008_n.jpg</v>
      </c>
      <c r="AE1643" s="249" t="str">
        <f>HYPERLINK("https://scontent.cdninstagram.com/t51.2885-19/s150x150/15877403_1780593155599605_3849263116466520064_n.jpg")</f>
        <v>https://scontent.cdninstagram.com/t51.2885-19/s150x150/15877403_1780593155599605_3849263116466520064_n.jpg</v>
      </c>
    </row>
    <row r="1644" spans="1:31" ht="15" x14ac:dyDescent="0.25">
      <c r="A1644" t="s">
        <v>2474</v>
      </c>
      <c r="B1644" t="s">
        <v>11310</v>
      </c>
      <c r="C1644" s="221">
        <v>42966.616585648146</v>
      </c>
      <c r="D1644" t="s">
        <v>11347</v>
      </c>
      <c r="E1644" s="249" t="str">
        <f>HYPERLINK("https://www.instagram.com/p/BX_GkkbhfTX/")</f>
        <v>https://www.instagram.com/p/BX_GkkbhfTX/</v>
      </c>
      <c r="F1644" t="s">
        <v>11348</v>
      </c>
      <c r="G1644" t="s">
        <v>2488</v>
      </c>
      <c r="H1644">
        <v>28607</v>
      </c>
      <c r="I1644" t="s">
        <v>2479</v>
      </c>
      <c r="J1644">
        <v>0</v>
      </c>
      <c r="K1644">
        <v>30</v>
      </c>
      <c r="L1644">
        <v>30</v>
      </c>
      <c r="Q1644">
        <v>0</v>
      </c>
      <c r="R1644">
        <v>0</v>
      </c>
      <c r="S1644">
        <v>30</v>
      </c>
      <c r="Y1644" t="s">
        <v>11349</v>
      </c>
      <c r="Z1644" t="s">
        <v>11315</v>
      </c>
      <c r="AA1644" t="s">
        <v>2497</v>
      </c>
      <c r="AD1644" s="249" t="str">
        <f>HYPERLINK("https://scontent.cdninstagram.com/t51.2885-15/s320x320/e35/20901913_1986679831604774_7002248047828664320_n.jpg")</f>
        <v>https://scontent.cdninstagram.com/t51.2885-15/s320x320/e35/20901913_1986679831604774_7002248047828664320_n.jpg</v>
      </c>
      <c r="AE1644" s="249" t="str">
        <f>HYPERLINK("https://scontent.cdninstagram.com/t51.2885-19/s150x150/14717464_123560954786894_3080300993653506048_a.jpg")</f>
        <v>https://scontent.cdninstagram.com/t51.2885-19/s150x150/14717464_123560954786894_3080300993653506048_a.jpg</v>
      </c>
    </row>
    <row r="1645" spans="1:31" ht="15" x14ac:dyDescent="0.25">
      <c r="A1645" t="s">
        <v>2474</v>
      </c>
      <c r="B1645" t="s">
        <v>11350</v>
      </c>
      <c r="C1645" s="221">
        <v>42966.624930555554</v>
      </c>
      <c r="D1645" t="s">
        <v>11351</v>
      </c>
      <c r="E1645" s="249" t="str">
        <f>HYPERLINK("https://www.instagram.com/p/BX_H8j1FbR5/")</f>
        <v>https://www.instagram.com/p/BX_H8j1FbR5/</v>
      </c>
      <c r="F1645" t="s">
        <v>11352</v>
      </c>
      <c r="G1645" t="s">
        <v>2488</v>
      </c>
      <c r="H1645">
        <v>1186</v>
      </c>
      <c r="I1645" t="s">
        <v>2479</v>
      </c>
      <c r="J1645">
        <v>3</v>
      </c>
      <c r="K1645">
        <v>44</v>
      </c>
      <c r="L1645">
        <v>47</v>
      </c>
      <c r="Q1645">
        <v>0</v>
      </c>
      <c r="R1645">
        <v>0</v>
      </c>
      <c r="S1645">
        <v>47</v>
      </c>
      <c r="Y1645" t="s">
        <v>2497</v>
      </c>
      <c r="AD1645" s="249" t="str">
        <f>HYPERLINK("https://scontent.cdninstagram.com/t51.2885-15/s320x320/e35/20969341_1436351043120102_4121170306201026560_n.jpg")</f>
        <v>https://scontent.cdninstagram.com/t51.2885-15/s320x320/e35/20969341_1436351043120102_4121170306201026560_n.jpg</v>
      </c>
      <c r="AE1645" s="249" t="str">
        <f>HYPERLINK("https://scontent.cdninstagram.com/t51.2885-19/s150x150/20687195_1411116765645989_3440810085939412992_a.jpg")</f>
        <v>https://scontent.cdninstagram.com/t51.2885-19/s150x150/20687195_1411116765645989_3440810085939412992_a.jpg</v>
      </c>
    </row>
    <row r="1646" spans="1:31" ht="15" x14ac:dyDescent="0.25">
      <c r="A1646" t="s">
        <v>2474</v>
      </c>
      <c r="B1646" t="s">
        <v>11353</v>
      </c>
      <c r="C1646" s="221">
        <v>42966.628761574073</v>
      </c>
      <c r="D1646" t="s">
        <v>11354</v>
      </c>
      <c r="E1646" s="249" t="str">
        <f>HYPERLINK("https://www.instagram.com/p/BX_Ik_nHOGG/")</f>
        <v>https://www.instagram.com/p/BX_Ik_nHOGG/</v>
      </c>
      <c r="F1646" t="s">
        <v>11355</v>
      </c>
      <c r="G1646" t="s">
        <v>2478</v>
      </c>
      <c r="H1646">
        <v>420</v>
      </c>
      <c r="I1646" t="s">
        <v>2927</v>
      </c>
      <c r="J1646">
        <v>0</v>
      </c>
      <c r="K1646">
        <v>29</v>
      </c>
      <c r="L1646">
        <v>29</v>
      </c>
      <c r="Q1646">
        <v>0</v>
      </c>
      <c r="R1646">
        <v>0</v>
      </c>
      <c r="S1646">
        <v>29</v>
      </c>
      <c r="Y1646" t="s">
        <v>2696</v>
      </c>
      <c r="Z1646" t="s">
        <v>2497</v>
      </c>
      <c r="AA1646" t="s">
        <v>9385</v>
      </c>
      <c r="AB1646" t="s">
        <v>3671</v>
      </c>
      <c r="AC1646" t="s">
        <v>2778</v>
      </c>
      <c r="AD1646" s="249" t="str">
        <f>HYPERLINK("https://scontent.cdninstagram.com/t51.2885-15/s320x320/e35/c0.134.1080.1080/20902696_266361160528880_4435693956742774784_n.jpg")</f>
        <v>https://scontent.cdninstagram.com/t51.2885-15/s320x320/e35/c0.134.1080.1080/20902696_266361160528880_4435693956742774784_n.jpg</v>
      </c>
      <c r="AE1646" s="249" t="str">
        <f>HYPERLINK("https://scontent.cdninstagram.com/t51.2885-19/s150x150/14709663_1256253851082322_5205830516888043520_a.jpg")</f>
        <v>https://scontent.cdninstagram.com/t51.2885-19/s150x150/14709663_1256253851082322_5205830516888043520_a.jpg</v>
      </c>
    </row>
    <row r="1647" spans="1:31" ht="15" x14ac:dyDescent="0.25">
      <c r="A1647" t="s">
        <v>2474</v>
      </c>
      <c r="B1647" t="s">
        <v>11356</v>
      </c>
      <c r="C1647" s="221">
        <v>42966.633530092593</v>
      </c>
      <c r="D1647" t="s">
        <v>11357</v>
      </c>
      <c r="E1647" s="249" t="str">
        <f>HYPERLINK("https://www.instagram.com/p/BX_JXUTHKTz/")</f>
        <v>https://www.instagram.com/p/BX_JXUTHKTz/</v>
      </c>
      <c r="F1647" t="s">
        <v>11358</v>
      </c>
      <c r="G1647" t="s">
        <v>2478</v>
      </c>
      <c r="H1647">
        <v>1023</v>
      </c>
      <c r="I1647" t="s">
        <v>2479</v>
      </c>
      <c r="J1647">
        <v>0</v>
      </c>
      <c r="K1647">
        <v>20</v>
      </c>
      <c r="L1647">
        <v>20</v>
      </c>
      <c r="Q1647">
        <v>0</v>
      </c>
      <c r="R1647">
        <v>0</v>
      </c>
      <c r="S1647">
        <v>20</v>
      </c>
      <c r="Y1647" t="s">
        <v>2497</v>
      </c>
      <c r="AD1647" s="249" t="str">
        <f>HYPERLINK("https://scontent.cdninstagram.com/t51.2885-15/s320x320/e35/20905808_1387242161392827_7272253318670319616_n.jpg")</f>
        <v>https://scontent.cdninstagram.com/t51.2885-15/s320x320/e35/20905808_1387242161392827_7272253318670319616_n.jpg</v>
      </c>
      <c r="AE1647" s="249" t="str">
        <f>HYPERLINK("https://scontent.cdninstagram.com/t51.2885-19/s150x150/20687813_1460726994007455_5513601624141987840_a.jpg")</f>
        <v>https://scontent.cdninstagram.com/t51.2885-19/s150x150/20687813_1460726994007455_5513601624141987840_a.jpg</v>
      </c>
    </row>
    <row r="1648" spans="1:31" ht="15" x14ac:dyDescent="0.25">
      <c r="A1648" t="s">
        <v>2474</v>
      </c>
      <c r="B1648" t="s">
        <v>11359</v>
      </c>
      <c r="C1648" s="221">
        <v>42966.636828703704</v>
      </c>
      <c r="D1648" t="s">
        <v>11360</v>
      </c>
      <c r="E1648" s="249" t="str">
        <f>HYPERLINK("https://www.instagram.com/p/BX_J6Ayldys/")</f>
        <v>https://www.instagram.com/p/BX_J6Ayldys/</v>
      </c>
      <c r="F1648" t="s">
        <v>11361</v>
      </c>
      <c r="G1648" t="s">
        <v>2478</v>
      </c>
      <c r="H1648">
        <v>271</v>
      </c>
      <c r="I1648" t="s">
        <v>2519</v>
      </c>
      <c r="J1648">
        <v>0</v>
      </c>
      <c r="K1648">
        <v>18</v>
      </c>
      <c r="L1648">
        <v>18</v>
      </c>
      <c r="Q1648">
        <v>0</v>
      </c>
      <c r="R1648">
        <v>0</v>
      </c>
      <c r="S1648">
        <v>18</v>
      </c>
      <c r="Y1648" t="s">
        <v>11362</v>
      </c>
      <c r="Z1648" t="s">
        <v>2529</v>
      </c>
      <c r="AA1648" t="s">
        <v>11363</v>
      </c>
      <c r="AB1648" t="s">
        <v>2497</v>
      </c>
      <c r="AC1648" t="s">
        <v>8185</v>
      </c>
      <c r="AD1648" s="249" t="str">
        <f>HYPERLINK("https://scontent.cdninstagram.com/t51.2885-15/s320x320/e35/c0.0.1080.1080/20905137_1654364167908485_5174227868351201280_n.jpg")</f>
        <v>https://scontent.cdninstagram.com/t51.2885-15/s320x320/e35/c0.0.1080.1080/20905137_1654364167908485_5174227868351201280_n.jpg</v>
      </c>
      <c r="AE1648" s="249" t="str">
        <f>HYPERLINK("https://scontent.cdninstagram.com/t51.2885-19/s150x150/19931849_339082419859152_3182026679878942720_a.jpg")</f>
        <v>https://scontent.cdninstagram.com/t51.2885-19/s150x150/19931849_339082419859152_3182026679878942720_a.jpg</v>
      </c>
    </row>
    <row r="1649" spans="1:31" ht="15" x14ac:dyDescent="0.25">
      <c r="A1649" t="s">
        <v>2474</v>
      </c>
      <c r="B1649" t="s">
        <v>11364</v>
      </c>
      <c r="C1649" s="221">
        <v>42966.645069444443</v>
      </c>
      <c r="D1649" t="s">
        <v>11365</v>
      </c>
      <c r="E1649" s="249" t="str">
        <f>HYPERLINK("https://www.instagram.com/p/BX_LQ7Gnbxj/")</f>
        <v>https://www.instagram.com/p/BX_LQ7Gnbxj/</v>
      </c>
      <c r="F1649" t="s">
        <v>11366</v>
      </c>
      <c r="G1649" t="s">
        <v>2488</v>
      </c>
      <c r="H1649">
        <v>211</v>
      </c>
      <c r="I1649" t="s">
        <v>2479</v>
      </c>
      <c r="J1649">
        <v>0</v>
      </c>
      <c r="K1649">
        <v>51</v>
      </c>
      <c r="L1649">
        <v>51</v>
      </c>
      <c r="Q1649">
        <v>0</v>
      </c>
      <c r="R1649">
        <v>0</v>
      </c>
      <c r="S1649">
        <v>51</v>
      </c>
      <c r="Y1649" t="s">
        <v>11367</v>
      </c>
      <c r="Z1649" t="s">
        <v>2949</v>
      </c>
      <c r="AA1649" t="s">
        <v>11368</v>
      </c>
      <c r="AB1649" t="s">
        <v>11369</v>
      </c>
      <c r="AC1649" t="s">
        <v>2696</v>
      </c>
      <c r="AD1649" s="249" t="str">
        <f>HYPERLINK("https://scontent.cdninstagram.com/t51.2885-15/s320x320/e35/20902004_145403849386033_5668207433047080960_n.jpg")</f>
        <v>https://scontent.cdninstagram.com/t51.2885-15/s320x320/e35/20902004_145403849386033_5668207433047080960_n.jpg</v>
      </c>
      <c r="AE1649" s="249" t="str">
        <f>HYPERLINK("https://scontent.cdninstagram.com/t51.2885-19/s150x150/20836881_262319404272503_6659943908866260992_a.jpg")</f>
        <v>https://scontent.cdninstagram.com/t51.2885-19/s150x150/20836881_262319404272503_6659943908866260992_a.jpg</v>
      </c>
    </row>
    <row r="1650" spans="1:31" ht="15" x14ac:dyDescent="0.25">
      <c r="A1650" t="s">
        <v>2474</v>
      </c>
      <c r="B1650" t="s">
        <v>11370</v>
      </c>
      <c r="C1650" s="221">
        <v>42966.648541666669</v>
      </c>
      <c r="D1650" t="s">
        <v>11371</v>
      </c>
      <c r="E1650" s="249" t="str">
        <f>HYPERLINK("https://www.instagram.com/p/BX_L1nnhmhv/")</f>
        <v>https://www.instagram.com/p/BX_L1nnhmhv/</v>
      </c>
      <c r="F1650" t="s">
        <v>11372</v>
      </c>
      <c r="G1650" t="s">
        <v>2478</v>
      </c>
      <c r="H1650">
        <v>335</v>
      </c>
      <c r="I1650" t="s">
        <v>2479</v>
      </c>
      <c r="J1650">
        <v>0</v>
      </c>
      <c r="K1650">
        <v>10</v>
      </c>
      <c r="L1650">
        <v>10</v>
      </c>
      <c r="Q1650">
        <v>0</v>
      </c>
      <c r="R1650">
        <v>0</v>
      </c>
      <c r="S1650">
        <v>10</v>
      </c>
      <c r="Y1650" t="s">
        <v>11373</v>
      </c>
      <c r="Z1650" t="s">
        <v>11374</v>
      </c>
      <c r="AA1650" t="s">
        <v>2497</v>
      </c>
      <c r="AB1650" t="s">
        <v>11375</v>
      </c>
      <c r="AC1650" t="s">
        <v>2730</v>
      </c>
      <c r="AD1650" s="249" t="str">
        <f>HYPERLINK("https://scontent.cdninstagram.com/t51.2885-15/s320x320/e35/20837531_111173042896035_3994206455841423360_n.jpg")</f>
        <v>https://scontent.cdninstagram.com/t51.2885-15/s320x320/e35/20837531_111173042896035_3994206455841423360_n.jpg</v>
      </c>
      <c r="AE1650" s="249" t="str">
        <f>HYPERLINK("https://scontent.cdninstagram.com/t51.2885-19/s150x150/12357442_451167568427170_801532689_a.jpg")</f>
        <v>https://scontent.cdninstagram.com/t51.2885-19/s150x150/12357442_451167568427170_801532689_a.jpg</v>
      </c>
    </row>
    <row r="1651" spans="1:31" ht="15" x14ac:dyDescent="0.25">
      <c r="A1651" t="s">
        <v>2474</v>
      </c>
      <c r="B1651" t="s">
        <v>7647</v>
      </c>
      <c r="C1651" s="221">
        <v>42966.648761574077</v>
      </c>
      <c r="D1651" t="s">
        <v>11376</v>
      </c>
      <c r="E1651" s="249" t="str">
        <f>HYPERLINK("https://www.instagram.com/p/BX_L35NgICd/")</f>
        <v>https://www.instagram.com/p/BX_L35NgICd/</v>
      </c>
      <c r="F1651" t="s">
        <v>11377</v>
      </c>
      <c r="G1651" t="s">
        <v>2478</v>
      </c>
      <c r="I1651" t="s">
        <v>2479</v>
      </c>
      <c r="J1651">
        <v>0</v>
      </c>
      <c r="K1651">
        <v>13</v>
      </c>
      <c r="L1651">
        <v>13</v>
      </c>
      <c r="Q1651">
        <v>0</v>
      </c>
      <c r="R1651">
        <v>0</v>
      </c>
      <c r="S1651">
        <v>13</v>
      </c>
      <c r="Y1651" t="s">
        <v>11378</v>
      </c>
      <c r="Z1651" t="s">
        <v>7651</v>
      </c>
      <c r="AA1651" t="s">
        <v>11379</v>
      </c>
      <c r="AB1651" t="s">
        <v>7652</v>
      </c>
      <c r="AC1651" t="s">
        <v>2497</v>
      </c>
      <c r="AD1651" s="249" t="str">
        <f>HYPERLINK("https://scontent.cdninstagram.com/t51.2885-15/s320x320/e35/c135.0.810.810/20987311_743682735819707_2012711744664764416_n.jpg")</f>
        <v>https://scontent.cdninstagram.com/t51.2885-15/s320x320/e35/c135.0.810.810/20987311_743682735819707_2012711744664764416_n.jpg</v>
      </c>
      <c r="AE1651" s="249" t="str">
        <f>HYPERLINK("https://scontent.cdninstagram.com/t51.2885-19/s150x150/19984566_732703113580954_2442051729433296896_a.jpg")</f>
        <v>https://scontent.cdninstagram.com/t51.2885-19/s150x150/19984566_732703113580954_2442051729433296896_a.jpg</v>
      </c>
    </row>
    <row r="1652" spans="1:31" ht="15" x14ac:dyDescent="0.25">
      <c r="A1652" t="s">
        <v>2474</v>
      </c>
      <c r="B1652" t="s">
        <v>7802</v>
      </c>
      <c r="C1652" s="221">
        <v>42966.656747685185</v>
      </c>
      <c r="D1652" t="s">
        <v>11380</v>
      </c>
      <c r="E1652" s="249" t="str">
        <f>HYPERLINK("https://www.instagram.com/p/BX_NMGCBcy-/")</f>
        <v>https://www.instagram.com/p/BX_NMGCBcy-/</v>
      </c>
      <c r="F1652" t="s">
        <v>11381</v>
      </c>
      <c r="G1652" t="s">
        <v>2478</v>
      </c>
      <c r="H1652">
        <v>187</v>
      </c>
      <c r="I1652" t="s">
        <v>2542</v>
      </c>
      <c r="J1652">
        <v>1</v>
      </c>
      <c r="K1652">
        <v>27</v>
      </c>
      <c r="L1652">
        <v>28</v>
      </c>
      <c r="Q1652">
        <v>0</v>
      </c>
      <c r="R1652">
        <v>0</v>
      </c>
      <c r="S1652">
        <v>28</v>
      </c>
      <c r="Y1652" t="s">
        <v>9941</v>
      </c>
      <c r="Z1652" t="s">
        <v>4036</v>
      </c>
      <c r="AA1652" t="s">
        <v>7807</v>
      </c>
      <c r="AB1652" t="s">
        <v>11042</v>
      </c>
      <c r="AC1652" t="s">
        <v>11382</v>
      </c>
      <c r="AD1652" s="249" t="str">
        <f>HYPERLINK("https://scontent.cdninstagram.com/t51.2885-15/s320x320/e35/20901937_1764287673611747_4640306108529901568_n.jpg")</f>
        <v>https://scontent.cdninstagram.com/t51.2885-15/s320x320/e35/20901937_1764287673611747_4640306108529901568_n.jpg</v>
      </c>
      <c r="AE1652" s="249" t="str">
        <f>HYPERLINK("https://scontent.cdninstagram.com/t51.2885-19/s150x150/18879149_1471896259560338_6915572966390497280_a.jpg")</f>
        <v>https://scontent.cdninstagram.com/t51.2885-19/s150x150/18879149_1471896259560338_6915572966390497280_a.jpg</v>
      </c>
    </row>
    <row r="1653" spans="1:31" ht="15" x14ac:dyDescent="0.25">
      <c r="A1653" t="s">
        <v>2474</v>
      </c>
      <c r="B1653" t="s">
        <v>11383</v>
      </c>
      <c r="C1653" s="221">
        <v>42966.680972222224</v>
      </c>
      <c r="D1653" t="s">
        <v>11384</v>
      </c>
      <c r="E1653" s="249" t="str">
        <f>HYPERLINK("https://www.instagram.com/p/BX_RLkqlb8X/")</f>
        <v>https://www.instagram.com/p/BX_RLkqlb8X/</v>
      </c>
      <c r="F1653" t="s">
        <v>11385</v>
      </c>
      <c r="G1653" t="s">
        <v>2631</v>
      </c>
      <c r="H1653">
        <v>1244</v>
      </c>
      <c r="I1653" t="s">
        <v>2748</v>
      </c>
      <c r="J1653">
        <v>2</v>
      </c>
      <c r="K1653">
        <v>40</v>
      </c>
      <c r="L1653">
        <v>42</v>
      </c>
      <c r="Q1653">
        <v>0</v>
      </c>
      <c r="R1653">
        <v>0</v>
      </c>
      <c r="S1653">
        <v>42</v>
      </c>
      <c r="Y1653" t="s">
        <v>11386</v>
      </c>
      <c r="Z1653" t="s">
        <v>11387</v>
      </c>
      <c r="AA1653" t="s">
        <v>11388</v>
      </c>
      <c r="AB1653" t="s">
        <v>11389</v>
      </c>
      <c r="AC1653" t="s">
        <v>2497</v>
      </c>
      <c r="AD1653" s="249" t="str">
        <f>HYPERLINK("https://scontent.cdninstagram.com/t51.2885-15/s320x320/e15/20905600_1800852006609738_1531114493373841408_n.jpg")</f>
        <v>https://scontent.cdninstagram.com/t51.2885-15/s320x320/e15/20905600_1800852006609738_1531114493373841408_n.jpg</v>
      </c>
      <c r="AE1653" s="249" t="str">
        <f>HYPERLINK("https://scontent.cdninstagram.com/t51.2885-19/s150x150/17075969_1276802215746085_4444141203931267072_a.jpg")</f>
        <v>https://scontent.cdninstagram.com/t51.2885-19/s150x150/17075969_1276802215746085_4444141203931267072_a.jpg</v>
      </c>
    </row>
    <row r="1654" spans="1:31" ht="15" x14ac:dyDescent="0.25">
      <c r="A1654" t="s">
        <v>2474</v>
      </c>
      <c r="B1654" t="s">
        <v>11390</v>
      </c>
      <c r="C1654" s="221">
        <v>42966.683923611112</v>
      </c>
      <c r="D1654" t="s">
        <v>11391</v>
      </c>
      <c r="E1654" s="249" t="str">
        <f>HYPERLINK("https://www.instagram.com/p/BX_RqytBs3v/")</f>
        <v>https://www.instagram.com/p/BX_RqytBs3v/</v>
      </c>
      <c r="F1654" t="s">
        <v>11392</v>
      </c>
      <c r="G1654" t="s">
        <v>2478</v>
      </c>
      <c r="H1654">
        <v>219</v>
      </c>
      <c r="I1654" t="s">
        <v>2479</v>
      </c>
      <c r="J1654">
        <v>3</v>
      </c>
      <c r="K1654">
        <v>45</v>
      </c>
      <c r="L1654">
        <v>48</v>
      </c>
      <c r="Q1654">
        <v>0</v>
      </c>
      <c r="R1654">
        <v>0</v>
      </c>
      <c r="S1654">
        <v>48</v>
      </c>
      <c r="Y1654" t="s">
        <v>2492</v>
      </c>
      <c r="Z1654" t="s">
        <v>5950</v>
      </c>
      <c r="AA1654" t="s">
        <v>7347</v>
      </c>
      <c r="AB1654" t="s">
        <v>2497</v>
      </c>
      <c r="AC1654" t="s">
        <v>10094</v>
      </c>
      <c r="AD1654" s="249" t="str">
        <f>HYPERLINK("https://scontent.cdninstagram.com/t51.2885-15/s320x320/e35/c0.100.1080.1080/20905418_306732816460352_396215509059633152_n.jpg")</f>
        <v>https://scontent.cdninstagram.com/t51.2885-15/s320x320/e35/c0.100.1080.1080/20905418_306732816460352_396215509059633152_n.jpg</v>
      </c>
      <c r="AE1654" s="249" t="str">
        <f>HYPERLINK("https://scontent.cdninstagram.com/t51.2885-19/s150x150/18812547_162010647668943_6865236044170657792_a.jpg")</f>
        <v>https://scontent.cdninstagram.com/t51.2885-19/s150x150/18812547_162010647668943_6865236044170657792_a.jpg</v>
      </c>
    </row>
    <row r="1655" spans="1:31" ht="15" x14ac:dyDescent="0.25">
      <c r="A1655" t="s">
        <v>2474</v>
      </c>
      <c r="B1655" t="s">
        <v>3754</v>
      </c>
      <c r="C1655" s="221">
        <v>42966.684537037036</v>
      </c>
      <c r="D1655" t="s">
        <v>11393</v>
      </c>
      <c r="E1655" s="249" t="str">
        <f>HYPERLINK("https://www.instagram.com/p/BX_RxL-jqGP/")</f>
        <v>https://www.instagram.com/p/BX_RxL-jqGP/</v>
      </c>
      <c r="F1655" t="s">
        <v>11394</v>
      </c>
      <c r="G1655" t="s">
        <v>2478</v>
      </c>
      <c r="H1655">
        <v>201675</v>
      </c>
      <c r="I1655" t="s">
        <v>2479</v>
      </c>
      <c r="J1655">
        <v>0</v>
      </c>
      <c r="K1655">
        <v>5</v>
      </c>
      <c r="L1655">
        <v>5</v>
      </c>
      <c r="Q1655">
        <v>0</v>
      </c>
      <c r="R1655">
        <v>0</v>
      </c>
      <c r="S1655">
        <v>5</v>
      </c>
      <c r="Y1655" t="s">
        <v>11395</v>
      </c>
      <c r="Z1655" t="s">
        <v>4232</v>
      </c>
      <c r="AA1655" t="s">
        <v>4231</v>
      </c>
      <c r="AB1655" t="s">
        <v>4801</v>
      </c>
      <c r="AC1655" t="s">
        <v>6243</v>
      </c>
      <c r="AD1655" s="249" t="str">
        <f>HYPERLINK("https://scontent.cdninstagram.com/t51.2885-15/s320x320/e35/c0.135.1080.1080/20968783_133976067211614_645848719224209408_n.jpg")</f>
        <v>https://scontent.cdninstagram.com/t51.2885-15/s320x320/e35/c0.135.1080.1080/20968783_133976067211614_645848719224209408_n.jpg</v>
      </c>
      <c r="AE1655" s="249" t="str">
        <f>HYPERLINK("https://scontent.cdninstagram.com/t51.2885-19/s150x150/12905002_1681254462136092_1137392787_a.jpg")</f>
        <v>https://scontent.cdninstagram.com/t51.2885-19/s150x150/12905002_1681254462136092_1137392787_a.jpg</v>
      </c>
    </row>
    <row r="1656" spans="1:31" ht="15" x14ac:dyDescent="0.25">
      <c r="A1656" t="s">
        <v>2474</v>
      </c>
      <c r="B1656" t="s">
        <v>11396</v>
      </c>
      <c r="C1656" s="221">
        <v>42966.693009259259</v>
      </c>
      <c r="D1656" t="s">
        <v>11397</v>
      </c>
      <c r="E1656" s="249" t="str">
        <f>HYPERLINK("https://www.instagram.com/p/BX_TKoPgMNA/")</f>
        <v>https://www.instagram.com/p/BX_TKoPgMNA/</v>
      </c>
      <c r="F1656" t="s">
        <v>11398</v>
      </c>
      <c r="G1656" t="s">
        <v>2478</v>
      </c>
      <c r="H1656">
        <v>562</v>
      </c>
      <c r="I1656" t="s">
        <v>2479</v>
      </c>
      <c r="J1656">
        <v>2</v>
      </c>
      <c r="K1656">
        <v>101</v>
      </c>
      <c r="L1656">
        <v>103</v>
      </c>
      <c r="Q1656">
        <v>0</v>
      </c>
      <c r="R1656">
        <v>0</v>
      </c>
      <c r="S1656">
        <v>103</v>
      </c>
      <c r="Y1656" t="s">
        <v>11399</v>
      </c>
      <c r="Z1656" t="s">
        <v>3262</v>
      </c>
      <c r="AA1656" t="s">
        <v>3194</v>
      </c>
      <c r="AB1656" t="s">
        <v>11400</v>
      </c>
      <c r="AC1656" t="s">
        <v>2497</v>
      </c>
      <c r="AD1656" s="249" t="str">
        <f>HYPERLINK("https://scontent.cdninstagram.com/t51.2885-15/s320x320/e35/c0.135.1080.1080/20904971_1928128120744538_4794599711967281152_n.jpg")</f>
        <v>https://scontent.cdninstagram.com/t51.2885-15/s320x320/e35/c0.135.1080.1080/20904971_1928128120744538_4794599711967281152_n.jpg</v>
      </c>
      <c r="AE1656" s="249" t="str">
        <f>HYPERLINK("https://scontent.cdninstagram.com/t51.2885-19/s150x150/20688524_1711070355855997_5630083052764921856_a.jpg")</f>
        <v>https://scontent.cdninstagram.com/t51.2885-19/s150x150/20688524_1711070355855997_5630083052764921856_a.jpg</v>
      </c>
    </row>
    <row r="1657" spans="1:31" ht="15" x14ac:dyDescent="0.25">
      <c r="A1657" t="s">
        <v>2474</v>
      </c>
      <c r="B1657" t="s">
        <v>11401</v>
      </c>
      <c r="C1657" s="221">
        <v>42966.702187499999</v>
      </c>
      <c r="D1657" t="s">
        <v>11402</v>
      </c>
      <c r="E1657" s="249" t="str">
        <f>HYPERLINK("https://www.instagram.com/p/BX_UrZghpu3/")</f>
        <v>https://www.instagram.com/p/BX_UrZghpu3/</v>
      </c>
      <c r="F1657" t="s">
        <v>11403</v>
      </c>
      <c r="G1657" t="s">
        <v>2478</v>
      </c>
      <c r="H1657">
        <v>2171</v>
      </c>
      <c r="I1657" t="s">
        <v>2479</v>
      </c>
      <c r="J1657">
        <v>4</v>
      </c>
      <c r="K1657">
        <v>104</v>
      </c>
      <c r="L1657">
        <v>108</v>
      </c>
      <c r="Q1657">
        <v>0</v>
      </c>
      <c r="R1657">
        <v>0</v>
      </c>
      <c r="S1657">
        <v>108</v>
      </c>
      <c r="T1657" t="s">
        <v>11404</v>
      </c>
      <c r="V1657" t="s">
        <v>2237</v>
      </c>
      <c r="W1657">
        <v>-8</v>
      </c>
      <c r="X1657">
        <v>-78</v>
      </c>
      <c r="Y1657" t="s">
        <v>4407</v>
      </c>
      <c r="Z1657" t="s">
        <v>11405</v>
      </c>
      <c r="AA1657" t="s">
        <v>11406</v>
      </c>
      <c r="AB1657" t="s">
        <v>11407</v>
      </c>
      <c r="AC1657" t="s">
        <v>11408</v>
      </c>
      <c r="AD1657" s="249" t="str">
        <f>HYPERLINK("https://scontent.cdninstagram.com/t51.2885-15/s320x320/e35/c180.0.719.719/20968777_284235695391089_873742561578057728_n.jpg")</f>
        <v>https://scontent.cdninstagram.com/t51.2885-15/s320x320/e35/c180.0.719.719/20968777_284235695391089_873742561578057728_n.jpg</v>
      </c>
      <c r="AE1657" s="249" t="str">
        <f>HYPERLINK("https://scontent.cdninstagram.com/t51.2885-19/s150x150/20065467_904360569738218_202189304900878336_a.jpg")</f>
        <v>https://scontent.cdninstagram.com/t51.2885-19/s150x150/20065467_904360569738218_202189304900878336_a.jpg</v>
      </c>
    </row>
    <row r="1658" spans="1:31" ht="15" x14ac:dyDescent="0.25">
      <c r="A1658" t="s">
        <v>2474</v>
      </c>
      <c r="B1658" t="s">
        <v>11409</v>
      </c>
      <c r="C1658" s="221">
        <v>42966.718263888892</v>
      </c>
      <c r="D1658" t="s">
        <v>11410</v>
      </c>
      <c r="E1658" s="249" t="str">
        <f>HYPERLINK("https://www.instagram.com/p/BX_XU8gHNFd/")</f>
        <v>https://www.instagram.com/p/BX_XU8gHNFd/</v>
      </c>
      <c r="F1658" t="s">
        <v>11411</v>
      </c>
      <c r="G1658" t="s">
        <v>2478</v>
      </c>
      <c r="H1658">
        <v>110</v>
      </c>
      <c r="I1658" t="s">
        <v>2479</v>
      </c>
      <c r="J1658">
        <v>0</v>
      </c>
      <c r="K1658">
        <v>21</v>
      </c>
      <c r="L1658">
        <v>21</v>
      </c>
      <c r="Q1658">
        <v>0</v>
      </c>
      <c r="R1658">
        <v>0</v>
      </c>
      <c r="S1658">
        <v>21</v>
      </c>
      <c r="Y1658" t="s">
        <v>11409</v>
      </c>
      <c r="Z1658" t="s">
        <v>11412</v>
      </c>
      <c r="AA1658" t="s">
        <v>11413</v>
      </c>
      <c r="AB1658" t="s">
        <v>2497</v>
      </c>
      <c r="AC1658" t="s">
        <v>11414</v>
      </c>
      <c r="AD1658" s="249" t="str">
        <f>HYPERLINK("https://scontent.cdninstagram.com/t51.2885-15/s320x320/e35/c219.0.641.641/20968488_462489367454965_1896026704527228928_n.jpg")</f>
        <v>https://scontent.cdninstagram.com/t51.2885-15/s320x320/e35/c219.0.641.641/20968488_462489367454965_1896026704527228928_n.jpg</v>
      </c>
      <c r="AE1658" s="249" t="str">
        <f>HYPERLINK("https://scontent.cdninstagram.com/t51.2885-19/s150x150/20225946_448534358881187_9068116300613550080_a.jpg")</f>
        <v>https://scontent.cdninstagram.com/t51.2885-19/s150x150/20225946_448534358881187_9068116300613550080_a.jpg</v>
      </c>
    </row>
    <row r="1659" spans="1:31" ht="15" x14ac:dyDescent="0.25">
      <c r="A1659" t="s">
        <v>2474</v>
      </c>
      <c r="B1659" t="s">
        <v>11415</v>
      </c>
      <c r="C1659" s="221">
        <v>42966.731863425928</v>
      </c>
      <c r="D1659" t="s">
        <v>11416</v>
      </c>
      <c r="E1659" s="249" t="str">
        <f>HYPERLINK("https://www.instagram.com/p/BX_ZkXTlY0t/")</f>
        <v>https://www.instagram.com/p/BX_ZkXTlY0t/</v>
      </c>
      <c r="F1659" t="s">
        <v>11417</v>
      </c>
      <c r="G1659" t="s">
        <v>2478</v>
      </c>
      <c r="H1659">
        <v>1143</v>
      </c>
      <c r="I1659" t="s">
        <v>2479</v>
      </c>
      <c r="J1659">
        <v>2</v>
      </c>
      <c r="K1659">
        <v>23</v>
      </c>
      <c r="L1659">
        <v>25</v>
      </c>
      <c r="Q1659">
        <v>0</v>
      </c>
      <c r="R1659">
        <v>0</v>
      </c>
      <c r="S1659">
        <v>25</v>
      </c>
      <c r="Y1659" t="s">
        <v>11418</v>
      </c>
      <c r="Z1659" t="s">
        <v>5932</v>
      </c>
      <c r="AA1659" t="s">
        <v>3256</v>
      </c>
      <c r="AB1659" t="s">
        <v>11419</v>
      </c>
      <c r="AC1659" t="s">
        <v>2696</v>
      </c>
      <c r="AD1659" s="249" t="str">
        <f>HYPERLINK("https://scontent.cdninstagram.com/t51.2885-15/s320x320/e35/20902739_315980392208456_4312873126326173696_n.jpg")</f>
        <v>https://scontent.cdninstagram.com/t51.2885-15/s320x320/e35/20902739_315980392208456_4312873126326173696_n.jpg</v>
      </c>
      <c r="AE1659" s="249" t="str">
        <f>HYPERLINK("https://scontent.cdninstagram.com/t51.2885-19/s150x150/15337173_150317208783356_2330212112485318656_a.jpg")</f>
        <v>https://scontent.cdninstagram.com/t51.2885-19/s150x150/15337173_150317208783356_2330212112485318656_a.jpg</v>
      </c>
    </row>
    <row r="1660" spans="1:31" ht="15" x14ac:dyDescent="0.25">
      <c r="A1660" t="s">
        <v>2474</v>
      </c>
      <c r="B1660" t="s">
        <v>11420</v>
      </c>
      <c r="C1660" s="221">
        <v>42966.75072916667</v>
      </c>
      <c r="D1660" t="s">
        <v>11421</v>
      </c>
      <c r="E1660" s="249" t="str">
        <f>HYPERLINK("https://www.instagram.com/p/BX_crUkHIz7/")</f>
        <v>https://www.instagram.com/p/BX_crUkHIz7/</v>
      </c>
      <c r="F1660" t="s">
        <v>11422</v>
      </c>
      <c r="G1660" t="s">
        <v>2478</v>
      </c>
      <c r="H1660">
        <v>505</v>
      </c>
      <c r="I1660" t="s">
        <v>2519</v>
      </c>
      <c r="J1660">
        <v>1</v>
      </c>
      <c r="K1660">
        <v>40</v>
      </c>
      <c r="L1660">
        <v>41</v>
      </c>
      <c r="Q1660">
        <v>0</v>
      </c>
      <c r="R1660">
        <v>0</v>
      </c>
      <c r="S1660">
        <v>41</v>
      </c>
      <c r="Y1660" t="s">
        <v>2696</v>
      </c>
      <c r="Z1660" t="s">
        <v>11423</v>
      </c>
      <c r="AA1660" t="s">
        <v>2497</v>
      </c>
      <c r="AB1660" t="s">
        <v>6294</v>
      </c>
      <c r="AC1660" t="s">
        <v>11424</v>
      </c>
      <c r="AD1660" s="249" t="str">
        <f>HYPERLINK("https://scontent.cdninstagram.com/t51.2885-15/s320x320/e35/c0.62.500.500/20838827_352658831822605_3521905562478444544_n.jpg")</f>
        <v>https://scontent.cdninstagram.com/t51.2885-15/s320x320/e35/c0.62.500.500/20838827_352658831822605_3521905562478444544_n.jpg</v>
      </c>
      <c r="AE1660" s="249" t="str">
        <f>HYPERLINK("https://scontent.cdninstagram.com/t51.2885-19/s150x150/20066590_1986433731374178_6940764693338259456_a.jpg")</f>
        <v>https://scontent.cdninstagram.com/t51.2885-19/s150x150/20066590_1986433731374178_6940764693338259456_a.jpg</v>
      </c>
    </row>
    <row r="1661" spans="1:31" ht="15" x14ac:dyDescent="0.25">
      <c r="A1661" t="s">
        <v>2474</v>
      </c>
      <c r="B1661" t="s">
        <v>11425</v>
      </c>
      <c r="C1661" s="221">
        <v>42966.751493055555</v>
      </c>
      <c r="D1661" t="s">
        <v>11426</v>
      </c>
      <c r="E1661" s="249" t="str">
        <f>HYPERLINK("https://www.instagram.com/p/BX_czXmhXS-/")</f>
        <v>https://www.instagram.com/p/BX_czXmhXS-/</v>
      </c>
      <c r="F1661" t="s">
        <v>11427</v>
      </c>
      <c r="G1661" t="s">
        <v>2478</v>
      </c>
      <c r="H1661">
        <v>414</v>
      </c>
      <c r="I1661" t="s">
        <v>2903</v>
      </c>
      <c r="J1661">
        <v>2</v>
      </c>
      <c r="K1661">
        <v>43</v>
      </c>
      <c r="L1661">
        <v>45</v>
      </c>
      <c r="Q1661">
        <v>0</v>
      </c>
      <c r="R1661">
        <v>0</v>
      </c>
      <c r="S1661">
        <v>45</v>
      </c>
      <c r="T1661" t="s">
        <v>11026</v>
      </c>
      <c r="V1661" t="s">
        <v>2264</v>
      </c>
      <c r="W1661">
        <v>40.5</v>
      </c>
      <c r="X1661">
        <v>-3.6666666666666998</v>
      </c>
      <c r="Y1661" t="s">
        <v>3070</v>
      </c>
      <c r="Z1661" t="s">
        <v>3256</v>
      </c>
      <c r="AA1661" t="s">
        <v>5383</v>
      </c>
      <c r="AB1661" t="s">
        <v>11428</v>
      </c>
      <c r="AC1661" t="s">
        <v>11429</v>
      </c>
      <c r="AD1661" s="249" t="str">
        <f>HYPERLINK("https://scontent.cdninstagram.com/t51.2885-15/s320x320/e35/c0.135.1080.1080/20905332_385638568505239_3079265550052884480_n.jpg")</f>
        <v>https://scontent.cdninstagram.com/t51.2885-15/s320x320/e35/c0.135.1080.1080/20905332_385638568505239_3079265550052884480_n.jpg</v>
      </c>
      <c r="AE1661" s="249" t="str">
        <f>HYPERLINK("https://scontent.cdninstagram.com/t51.2885-19/s150x150/20837223_776415615872152_7864191827438469120_a.jpg")</f>
        <v>https://scontent.cdninstagram.com/t51.2885-19/s150x150/20837223_776415615872152_7864191827438469120_a.jpg</v>
      </c>
    </row>
    <row r="1662" spans="1:31" ht="15" x14ac:dyDescent="0.25">
      <c r="A1662" t="s">
        <v>2474</v>
      </c>
      <c r="B1662" t="s">
        <v>11430</v>
      </c>
      <c r="C1662" s="221">
        <v>42966.773194444446</v>
      </c>
      <c r="D1662" t="s">
        <v>11431</v>
      </c>
      <c r="E1662" s="249" t="str">
        <f>HYPERLINK("https://www.instagram.com/p/BX_gYRvnB8-/")</f>
        <v>https://www.instagram.com/p/BX_gYRvnB8-/</v>
      </c>
      <c r="F1662" t="s">
        <v>11432</v>
      </c>
      <c r="G1662" t="s">
        <v>2478</v>
      </c>
      <c r="H1662">
        <v>193</v>
      </c>
      <c r="I1662" t="s">
        <v>3025</v>
      </c>
      <c r="J1662">
        <v>0</v>
      </c>
      <c r="K1662">
        <v>45</v>
      </c>
      <c r="L1662">
        <v>45</v>
      </c>
      <c r="Q1662">
        <v>0</v>
      </c>
      <c r="R1662">
        <v>0</v>
      </c>
      <c r="S1662">
        <v>45</v>
      </c>
      <c r="T1662" t="s">
        <v>11433</v>
      </c>
      <c r="V1662" t="s">
        <v>2243</v>
      </c>
      <c r="W1662">
        <v>47.554939772103999</v>
      </c>
      <c r="X1662">
        <v>25.890689037781002</v>
      </c>
      <c r="Y1662" t="s">
        <v>3269</v>
      </c>
      <c r="Z1662" t="s">
        <v>2696</v>
      </c>
      <c r="AA1662" t="s">
        <v>11434</v>
      </c>
      <c r="AB1662" t="s">
        <v>11435</v>
      </c>
      <c r="AC1662" t="s">
        <v>2778</v>
      </c>
      <c r="AD1662" s="249" t="str">
        <f>HYPERLINK("https://scontent.cdninstagram.com/t51.2885-15/s320x320/e35/20902431_839748346183752_1743271197598023680_n.jpg")</f>
        <v>https://scontent.cdninstagram.com/t51.2885-15/s320x320/e35/20902431_839748346183752_1743271197598023680_n.jpg</v>
      </c>
      <c r="AE1662" s="249" t="str">
        <f>HYPERLINK("https://scontent.cdninstagram.com/t51.2885-19/s150x150/10723707_931263436941602_296766948_a.jpg")</f>
        <v>https://scontent.cdninstagram.com/t51.2885-19/s150x150/10723707_931263436941602_296766948_a.jpg</v>
      </c>
    </row>
    <row r="1663" spans="1:31" ht="15" x14ac:dyDescent="0.25">
      <c r="A1663" t="s">
        <v>2474</v>
      </c>
      <c r="B1663" t="s">
        <v>11436</v>
      </c>
      <c r="C1663" s="221">
        <v>42966.787638888891</v>
      </c>
      <c r="D1663" t="s">
        <v>11437</v>
      </c>
      <c r="E1663" s="249" t="str">
        <f>HYPERLINK("https://www.instagram.com/p/BX_iwmhBiL0/")</f>
        <v>https://www.instagram.com/p/BX_iwmhBiL0/</v>
      </c>
      <c r="F1663" t="s">
        <v>11438</v>
      </c>
      <c r="G1663" t="s">
        <v>2478</v>
      </c>
      <c r="H1663">
        <v>3897</v>
      </c>
      <c r="I1663" t="s">
        <v>2479</v>
      </c>
      <c r="J1663">
        <v>2</v>
      </c>
      <c r="K1663">
        <v>58</v>
      </c>
      <c r="L1663">
        <v>60</v>
      </c>
      <c r="Q1663">
        <v>0</v>
      </c>
      <c r="R1663">
        <v>0</v>
      </c>
      <c r="S1663">
        <v>60</v>
      </c>
      <c r="T1663" t="s">
        <v>11439</v>
      </c>
      <c r="U1663" t="s">
        <v>106</v>
      </c>
      <c r="V1663" t="s">
        <v>2299</v>
      </c>
      <c r="W1663">
        <v>25.776240366667</v>
      </c>
      <c r="X1663">
        <v>-80.256900000000002</v>
      </c>
      <c r="Y1663" t="s">
        <v>8178</v>
      </c>
      <c r="Z1663" t="s">
        <v>2497</v>
      </c>
      <c r="AA1663" t="s">
        <v>11440</v>
      </c>
      <c r="AD1663" s="249" t="str">
        <f>HYPERLINK("https://scontent.cdninstagram.com/t51.2885-15/s320x320/e35/c135.0.809.809/20837808_500625570273802_1014662117892030464_n.jpg")</f>
        <v>https://scontent.cdninstagram.com/t51.2885-15/s320x320/e35/c135.0.809.809/20837808_500625570273802_1014662117892030464_n.jpg</v>
      </c>
      <c r="AE1663" s="249" t="str">
        <f>HYPERLINK("https://scontent.cdninstagram.com/t51.2885-19/s150x150/16123299_1262246380531147_1286874589606969344_n.jpg")</f>
        <v>https://scontent.cdninstagram.com/t51.2885-19/s150x150/16123299_1262246380531147_1286874589606969344_n.jpg</v>
      </c>
    </row>
    <row r="1664" spans="1:31" ht="15" x14ac:dyDescent="0.25">
      <c r="A1664" t="s">
        <v>2474</v>
      </c>
      <c r="B1664" t="s">
        <v>11441</v>
      </c>
      <c r="C1664" s="221">
        <v>42966.787800925929</v>
      </c>
      <c r="D1664" t="s">
        <v>11442</v>
      </c>
      <c r="E1664" s="249" t="str">
        <f>HYPERLINK("https://www.instagram.com/p/BX_iySfgIJi/")</f>
        <v>https://www.instagram.com/p/BX_iySfgIJi/</v>
      </c>
      <c r="F1664" t="s">
        <v>11443</v>
      </c>
      <c r="G1664" t="s">
        <v>2478</v>
      </c>
      <c r="H1664">
        <v>246</v>
      </c>
      <c r="I1664" t="s">
        <v>2479</v>
      </c>
      <c r="J1664">
        <v>52</v>
      </c>
      <c r="K1664">
        <v>96</v>
      </c>
      <c r="L1664">
        <v>148</v>
      </c>
      <c r="Q1664">
        <v>0</v>
      </c>
      <c r="R1664">
        <v>0</v>
      </c>
      <c r="S1664">
        <v>148</v>
      </c>
      <c r="Y1664" t="s">
        <v>11444</v>
      </c>
      <c r="Z1664" t="s">
        <v>11445</v>
      </c>
      <c r="AA1664" t="s">
        <v>11446</v>
      </c>
      <c r="AB1664" t="s">
        <v>2497</v>
      </c>
      <c r="AC1664" t="s">
        <v>11447</v>
      </c>
      <c r="AD1664" s="249" t="str">
        <f>HYPERLINK("https://scontent.cdninstagram.com/t51.2885-15/s320x320/e35/20987107_1935374956679988_6932719528103116800_n.jpg")</f>
        <v>https://scontent.cdninstagram.com/t51.2885-15/s320x320/e35/20987107_1935374956679988_6932719528103116800_n.jpg</v>
      </c>
      <c r="AE1664" s="249" t="str">
        <f>HYPERLINK("https://scontent.cdninstagram.com/t51.2885-19/s150x150/20635167_118572262124500_2247783087255584768_a.jpg")</f>
        <v>https://scontent.cdninstagram.com/t51.2885-19/s150x150/20635167_118572262124500_2247783087255584768_a.jpg</v>
      </c>
    </row>
    <row r="1665" spans="1:31" ht="15" x14ac:dyDescent="0.25">
      <c r="A1665" t="s">
        <v>2474</v>
      </c>
      <c r="B1665" t="s">
        <v>11448</v>
      </c>
      <c r="C1665" s="221">
        <v>42966.808738425927</v>
      </c>
      <c r="D1665" t="s">
        <v>11449</v>
      </c>
      <c r="E1665" s="249" t="str">
        <f>HYPERLINK("https://www.instagram.com/p/BX_mPOFhiyK/")</f>
        <v>https://www.instagram.com/p/BX_mPOFhiyK/</v>
      </c>
      <c r="F1665" t="s">
        <v>11450</v>
      </c>
      <c r="G1665" t="s">
        <v>2478</v>
      </c>
      <c r="H1665">
        <v>62</v>
      </c>
      <c r="I1665" t="s">
        <v>2479</v>
      </c>
      <c r="J1665">
        <v>1</v>
      </c>
      <c r="K1665">
        <v>13</v>
      </c>
      <c r="L1665">
        <v>14</v>
      </c>
      <c r="Q1665">
        <v>0</v>
      </c>
      <c r="R1665">
        <v>0</v>
      </c>
      <c r="S1665">
        <v>14</v>
      </c>
      <c r="Y1665" t="s">
        <v>4420</v>
      </c>
      <c r="Z1665" t="s">
        <v>2497</v>
      </c>
      <c r="AA1665" t="s">
        <v>11451</v>
      </c>
      <c r="AB1665" t="s">
        <v>2730</v>
      </c>
      <c r="AC1665" t="s">
        <v>11452</v>
      </c>
      <c r="AD1665" s="249" t="str">
        <f>HYPERLINK("https://scontent.cdninstagram.com/t51.2885-15/s320x320/e35/c37.0.675.675/20986966_166310770596022_7625317445925863424_n.jpg")</f>
        <v>https://scontent.cdninstagram.com/t51.2885-15/s320x320/e35/c37.0.675.675/20986966_166310770596022_7625317445925863424_n.jpg</v>
      </c>
      <c r="AE1665" s="249" t="str">
        <f>HYPERLINK("https://scontent.cdninstagram.com/t51.2885-19/s150x150/20687256_484588645251449_654531575433658368_a.jpg")</f>
        <v>https://scontent.cdninstagram.com/t51.2885-19/s150x150/20687256_484588645251449_654531575433658368_a.jpg</v>
      </c>
    </row>
    <row r="1666" spans="1:31" ht="15" x14ac:dyDescent="0.25">
      <c r="A1666" t="s">
        <v>2474</v>
      </c>
      <c r="B1666" t="s">
        <v>11453</v>
      </c>
      <c r="C1666" s="221">
        <v>42966.812939814816</v>
      </c>
      <c r="D1666" t="s">
        <v>11454</v>
      </c>
      <c r="E1666" s="249" t="str">
        <f>HYPERLINK("https://www.instagram.com/p/BX_m7iZAVKw/")</f>
        <v>https://www.instagram.com/p/BX_m7iZAVKw/</v>
      </c>
      <c r="F1666" t="s">
        <v>11455</v>
      </c>
      <c r="G1666" t="s">
        <v>2478</v>
      </c>
      <c r="I1666" t="s">
        <v>2479</v>
      </c>
      <c r="J1666">
        <v>11</v>
      </c>
      <c r="K1666">
        <v>218</v>
      </c>
      <c r="L1666">
        <v>229</v>
      </c>
      <c r="Q1666">
        <v>0</v>
      </c>
      <c r="R1666">
        <v>0</v>
      </c>
      <c r="S1666">
        <v>229</v>
      </c>
      <c r="T1666" t="s">
        <v>11456</v>
      </c>
      <c r="V1666" t="s">
        <v>2177</v>
      </c>
      <c r="W1666">
        <v>-8.65</v>
      </c>
      <c r="X1666">
        <v>115.217</v>
      </c>
      <c r="Y1666" t="s">
        <v>11457</v>
      </c>
      <c r="Z1666" t="s">
        <v>11458</v>
      </c>
      <c r="AA1666" t="s">
        <v>11459</v>
      </c>
      <c r="AB1666" t="s">
        <v>11460</v>
      </c>
      <c r="AC1666" t="s">
        <v>11461</v>
      </c>
      <c r="AD1666" s="249" t="str">
        <f>HYPERLINK("https://scontent.cdninstagram.com/t51.2885-15/s320x320/e35/20968793_1445092545556255_2554468731719778304_n.jpg")</f>
        <v>https://scontent.cdninstagram.com/t51.2885-15/s320x320/e35/20968793_1445092545556255_2554468731719778304_n.jpg</v>
      </c>
      <c r="AE1666" s="249" t="str">
        <f>HYPERLINK("https://scontent.cdninstagram.com/t51.2885-19/s150x150/18581183_1580301988647933_2855565751853514752_a.jpg")</f>
        <v>https://scontent.cdninstagram.com/t51.2885-19/s150x150/18581183_1580301988647933_2855565751853514752_a.jpg</v>
      </c>
    </row>
    <row r="1667" spans="1:31" ht="15" x14ac:dyDescent="0.25">
      <c r="A1667" t="s">
        <v>2474</v>
      </c>
      <c r="B1667" t="s">
        <v>11462</v>
      </c>
      <c r="C1667" s="221">
        <v>42966.826608796298</v>
      </c>
      <c r="D1667" t="s">
        <v>11463</v>
      </c>
      <c r="E1667" s="249" t="str">
        <f>HYPERLINK("https://www.instagram.com/p/BX_pLoFBO14/")</f>
        <v>https://www.instagram.com/p/BX_pLoFBO14/</v>
      </c>
      <c r="F1667" t="s">
        <v>11464</v>
      </c>
      <c r="G1667" t="s">
        <v>2488</v>
      </c>
      <c r="H1667">
        <v>2</v>
      </c>
      <c r="I1667" t="s">
        <v>2479</v>
      </c>
      <c r="J1667">
        <v>0</v>
      </c>
      <c r="K1667">
        <v>2</v>
      </c>
      <c r="L1667">
        <v>2</v>
      </c>
      <c r="Q1667">
        <v>0</v>
      </c>
      <c r="R1667">
        <v>0</v>
      </c>
      <c r="S1667">
        <v>2</v>
      </c>
      <c r="Y1667" t="s">
        <v>2497</v>
      </c>
      <c r="Z1667" t="s">
        <v>11465</v>
      </c>
      <c r="AA1667" t="s">
        <v>11466</v>
      </c>
      <c r="AB1667" t="s">
        <v>11467</v>
      </c>
      <c r="AC1667" t="s">
        <v>10351</v>
      </c>
      <c r="AD1667" s="249" t="str">
        <f>HYPERLINK("https://scontent.cdninstagram.com/t51.2885-15/s320x320/e35/20986831_331854153941190_2244201943524179968_n.jpg")</f>
        <v>https://scontent.cdninstagram.com/t51.2885-15/s320x320/e35/20986831_331854153941190_2244201943524179968_n.jpg</v>
      </c>
      <c r="AE1667" s="249" t="str">
        <f>HYPERLINK("https://scontent.cdninstagram.com/t51.2885-19/s150x150/20902313_108898576506146_2236447002114129920_a.jpg")</f>
        <v>https://scontent.cdninstagram.com/t51.2885-19/s150x150/20902313_108898576506146_2236447002114129920_a.jpg</v>
      </c>
    </row>
    <row r="1668" spans="1:31" ht="15" x14ac:dyDescent="0.25">
      <c r="A1668" t="s">
        <v>2474</v>
      </c>
      <c r="B1668" t="s">
        <v>11468</v>
      </c>
      <c r="C1668" s="221">
        <v>42966.832546296297</v>
      </c>
      <c r="D1668" t="s">
        <v>11469</v>
      </c>
      <c r="E1668" s="249" t="str">
        <f>HYPERLINK("https://www.instagram.com/p/BX_qKTznZIH/")</f>
        <v>https://www.instagram.com/p/BX_qKTznZIH/</v>
      </c>
      <c r="F1668" t="s">
        <v>11470</v>
      </c>
      <c r="G1668" t="s">
        <v>2478</v>
      </c>
      <c r="I1668" t="s">
        <v>2542</v>
      </c>
      <c r="J1668">
        <v>1</v>
      </c>
      <c r="K1668">
        <v>18</v>
      </c>
      <c r="L1668">
        <v>19</v>
      </c>
      <c r="Q1668">
        <v>0</v>
      </c>
      <c r="R1668">
        <v>0</v>
      </c>
      <c r="S1668">
        <v>19</v>
      </c>
      <c r="Y1668" t="s">
        <v>11471</v>
      </c>
      <c r="Z1668" t="s">
        <v>11472</v>
      </c>
      <c r="AA1668" t="s">
        <v>11473</v>
      </c>
      <c r="AB1668" t="s">
        <v>2497</v>
      </c>
      <c r="AC1668" t="s">
        <v>11474</v>
      </c>
      <c r="AD1668" s="249" t="str">
        <f>HYPERLINK("https://scontent.cdninstagram.com/t51.2885-15/s320x320/e35/20902642_322276618236113_1947401277960880128_n.jpg")</f>
        <v>https://scontent.cdninstagram.com/t51.2885-15/s320x320/e35/20902642_322276618236113_1947401277960880128_n.jpg</v>
      </c>
      <c r="AE1668" s="249" t="str">
        <f>HYPERLINK("https://scontent.cdninstagram.com/t51.2885-19/s150x150/20986810_1793622827322419_12140605530439680_a.jpg")</f>
        <v>https://scontent.cdninstagram.com/t51.2885-19/s150x150/20986810_1793622827322419_12140605530439680_a.jpg</v>
      </c>
    </row>
    <row r="1669" spans="1:31" ht="15" x14ac:dyDescent="0.25">
      <c r="A1669" t="s">
        <v>2474</v>
      </c>
      <c r="B1669" t="s">
        <v>3393</v>
      </c>
      <c r="C1669" s="221">
        <v>42966.847708333335</v>
      </c>
      <c r="D1669" t="s">
        <v>11475</v>
      </c>
      <c r="E1669" s="249" t="str">
        <f>HYPERLINK("https://www.instagram.com/p/BX_sqLvnfy9/")</f>
        <v>https://www.instagram.com/p/BX_sqLvnfy9/</v>
      </c>
      <c r="G1669" t="s">
        <v>2478</v>
      </c>
      <c r="H1669">
        <v>16814</v>
      </c>
      <c r="I1669" t="s">
        <v>2479</v>
      </c>
      <c r="J1669">
        <v>8</v>
      </c>
      <c r="K1669">
        <v>694</v>
      </c>
      <c r="L1669">
        <v>702</v>
      </c>
      <c r="Q1669">
        <v>0</v>
      </c>
      <c r="R1669">
        <v>0</v>
      </c>
      <c r="S1669">
        <v>702</v>
      </c>
      <c r="AD1669" s="249" t="str">
        <f>HYPERLINK("https://scontent.cdninstagram.com/t51.2885-15/s320x320/e35/20969069_114721639193199_3694548275521650688_n.jpg")</f>
        <v>https://scontent.cdninstagram.com/t51.2885-15/s320x320/e35/20969069_114721639193199_3694548275521650688_n.jpg</v>
      </c>
      <c r="AE1669" s="249" t="str">
        <f>HYPERLINK("https://scontent.cdninstagram.com/t51.2885-19/s150x150/20969318_163506604224066_8451668608215416832_n.jpg")</f>
        <v>https://scontent.cdninstagram.com/t51.2885-19/s150x150/20969318_163506604224066_8451668608215416832_n.jpg</v>
      </c>
    </row>
    <row r="1670" spans="1:31" ht="15" x14ac:dyDescent="0.25">
      <c r="A1670" t="s">
        <v>2474</v>
      </c>
      <c r="B1670" t="s">
        <v>11476</v>
      </c>
      <c r="C1670" s="221">
        <v>42966.861180555556</v>
      </c>
      <c r="D1670" t="s">
        <v>11477</v>
      </c>
      <c r="E1670" s="249" t="str">
        <f>HYPERLINK("https://www.instagram.com/p/BX_u4RtA7jM/")</f>
        <v>https://www.instagram.com/p/BX_u4RtA7jM/</v>
      </c>
      <c r="F1670" t="s">
        <v>11478</v>
      </c>
      <c r="G1670" t="s">
        <v>2478</v>
      </c>
      <c r="H1670">
        <v>142</v>
      </c>
      <c r="I1670" t="s">
        <v>2479</v>
      </c>
      <c r="J1670">
        <v>3</v>
      </c>
      <c r="K1670">
        <v>26</v>
      </c>
      <c r="L1670">
        <v>29</v>
      </c>
      <c r="Q1670">
        <v>0</v>
      </c>
      <c r="R1670">
        <v>0</v>
      </c>
      <c r="S1670">
        <v>29</v>
      </c>
      <c r="T1670" t="s">
        <v>11479</v>
      </c>
      <c r="V1670" t="s">
        <v>2125</v>
      </c>
      <c r="W1670">
        <v>43.55</v>
      </c>
      <c r="X1670">
        <v>-80.25</v>
      </c>
      <c r="Y1670" t="s">
        <v>11480</v>
      </c>
      <c r="Z1670" t="s">
        <v>11481</v>
      </c>
      <c r="AA1670" t="s">
        <v>11482</v>
      </c>
      <c r="AB1670" t="s">
        <v>2497</v>
      </c>
      <c r="AD1670" s="249" t="str">
        <f>HYPERLINK("https://scontent.cdninstagram.com/t51.2885-15/s320x320/e35/c0.135.1080.1080/20901886_849298171889863_7011965505825144832_n.jpg")</f>
        <v>https://scontent.cdninstagram.com/t51.2885-15/s320x320/e35/c0.135.1080.1080/20901886_849298171889863_7011965505825144832_n.jpg</v>
      </c>
      <c r="AE1670" s="249" t="str">
        <f>HYPERLINK("https://scontent.cdninstagram.com/t51.2885-19/s150x150/14309953_1583835758588482_1895752292_a.jpg")</f>
        <v>https://scontent.cdninstagram.com/t51.2885-19/s150x150/14309953_1583835758588482_1895752292_a.jpg</v>
      </c>
    </row>
    <row r="1671" spans="1:31" ht="15" x14ac:dyDescent="0.25">
      <c r="A1671" t="s">
        <v>2474</v>
      </c>
      <c r="B1671" t="s">
        <v>11483</v>
      </c>
      <c r="C1671" s="221">
        <v>42966.865219907406</v>
      </c>
      <c r="D1671" t="s">
        <v>11484</v>
      </c>
      <c r="E1671" s="249" t="str">
        <f>HYPERLINK("https://www.instagram.com/p/BX_vi6VAmLu/")</f>
        <v>https://www.instagram.com/p/BX_vi6VAmLu/</v>
      </c>
      <c r="F1671" t="s">
        <v>11485</v>
      </c>
      <c r="G1671" t="s">
        <v>2478</v>
      </c>
      <c r="H1671">
        <v>1920</v>
      </c>
      <c r="I1671" t="s">
        <v>2582</v>
      </c>
      <c r="J1671">
        <v>0</v>
      </c>
      <c r="K1671">
        <v>26</v>
      </c>
      <c r="L1671">
        <v>26</v>
      </c>
      <c r="Q1671">
        <v>0</v>
      </c>
      <c r="R1671">
        <v>0</v>
      </c>
      <c r="S1671">
        <v>26</v>
      </c>
      <c r="Y1671" t="s">
        <v>11486</v>
      </c>
      <c r="Z1671" t="s">
        <v>11487</v>
      </c>
      <c r="AA1671" t="s">
        <v>11488</v>
      </c>
      <c r="AB1671" t="s">
        <v>11489</v>
      </c>
      <c r="AC1671" t="s">
        <v>11490</v>
      </c>
      <c r="AD1671" s="249" t="str">
        <f>HYPERLINK("https://scontent.cdninstagram.com/t51.2885-15/s320x320/e35/c0.135.1080.1080/20905195_319753001830811_7040653323266949120_n.jpg")</f>
        <v>https://scontent.cdninstagram.com/t51.2885-15/s320x320/e35/c0.135.1080.1080/20905195_319753001830811_7040653323266949120_n.jpg</v>
      </c>
      <c r="AE1671" s="249" t="str">
        <f>HYPERLINK("https://scontent.cdninstagram.com/t51.2885-19/s150x150/14723077_109629699514452_3121925819526545408_a.jpg")</f>
        <v>https://scontent.cdninstagram.com/t51.2885-19/s150x150/14723077_109629699514452_3121925819526545408_a.jpg</v>
      </c>
    </row>
    <row r="1672" spans="1:31" ht="15" x14ac:dyDescent="0.25">
      <c r="A1672" t="s">
        <v>2474</v>
      </c>
      <c r="B1672" t="s">
        <v>4616</v>
      </c>
      <c r="C1672" s="221">
        <v>42966.895972222221</v>
      </c>
      <c r="D1672" t="s">
        <v>11491</v>
      </c>
      <c r="E1672" s="249" t="str">
        <f>HYPERLINK("https://www.instagram.com/p/BX_0nMrBg7p/")</f>
        <v>https://www.instagram.com/p/BX_0nMrBg7p/</v>
      </c>
      <c r="F1672" t="s">
        <v>11492</v>
      </c>
      <c r="G1672" t="s">
        <v>2478</v>
      </c>
      <c r="H1672">
        <v>115</v>
      </c>
      <c r="I1672" t="s">
        <v>2479</v>
      </c>
      <c r="J1672">
        <v>1</v>
      </c>
      <c r="K1672">
        <v>26</v>
      </c>
      <c r="L1672">
        <v>27</v>
      </c>
      <c r="Q1672">
        <v>0</v>
      </c>
      <c r="R1672">
        <v>0</v>
      </c>
      <c r="S1672">
        <v>27</v>
      </c>
      <c r="T1672" t="s">
        <v>11493</v>
      </c>
      <c r="V1672" t="s">
        <v>2125</v>
      </c>
      <c r="W1672">
        <v>45.240200000000002</v>
      </c>
      <c r="X1672">
        <v>-79.048599999999993</v>
      </c>
      <c r="Y1672" t="s">
        <v>4620</v>
      </c>
      <c r="Z1672" t="s">
        <v>5007</v>
      </c>
      <c r="AA1672" t="s">
        <v>5211</v>
      </c>
      <c r="AB1672" t="s">
        <v>4808</v>
      </c>
      <c r="AC1672" t="s">
        <v>3174</v>
      </c>
      <c r="AD1672" s="249" t="str">
        <f>HYPERLINK("https://scontent.cdninstagram.com/t51.2885-15/s320x320/e35/c136.0.807.807/20838972_1351813218251404_6546577693037559808_n.jpg")</f>
        <v>https://scontent.cdninstagram.com/t51.2885-15/s320x320/e35/c136.0.807.807/20838972_1351813218251404_6546577693037559808_n.jpg</v>
      </c>
      <c r="AE1672" s="249" t="str">
        <f>HYPERLINK("https://scontent.cdninstagram.com/t51.2885-19/s150x150/17494353_1347957098574282_2527511313651859456_a.jpg")</f>
        <v>https://scontent.cdninstagram.com/t51.2885-19/s150x150/17494353_1347957098574282_2527511313651859456_a.jpg</v>
      </c>
    </row>
    <row r="1673" spans="1:31" ht="15" x14ac:dyDescent="0.25">
      <c r="A1673" t="s">
        <v>2474</v>
      </c>
      <c r="B1673" t="s">
        <v>11494</v>
      </c>
      <c r="C1673" s="221">
        <v>42966.903715277775</v>
      </c>
      <c r="D1673" t="s">
        <v>11495</v>
      </c>
      <c r="E1673" s="249" t="str">
        <f>HYPERLINK("https://www.instagram.com/p/BX_142vhfVz/")</f>
        <v>https://www.instagram.com/p/BX_142vhfVz/</v>
      </c>
      <c r="F1673" t="s">
        <v>11496</v>
      </c>
      <c r="G1673" t="s">
        <v>2478</v>
      </c>
      <c r="H1673">
        <v>1169</v>
      </c>
      <c r="I1673" t="s">
        <v>2479</v>
      </c>
      <c r="J1673">
        <v>1</v>
      </c>
      <c r="K1673">
        <v>35</v>
      </c>
      <c r="L1673">
        <v>36</v>
      </c>
      <c r="Q1673">
        <v>0</v>
      </c>
      <c r="R1673">
        <v>0</v>
      </c>
      <c r="S1673">
        <v>36</v>
      </c>
      <c r="Y1673" t="s">
        <v>3849</v>
      </c>
      <c r="Z1673" t="s">
        <v>11497</v>
      </c>
      <c r="AA1673" t="s">
        <v>11498</v>
      </c>
      <c r="AB1673" t="s">
        <v>11499</v>
      </c>
      <c r="AC1673" t="s">
        <v>11500</v>
      </c>
      <c r="AD1673" s="249" t="str">
        <f>HYPERLINK("https://scontent.cdninstagram.com/t51.2885-15/s320x320/e35/c19.0.1041.1041/20838989_1596429623765102_8263945637930729472_n.jpg")</f>
        <v>https://scontent.cdninstagram.com/t51.2885-15/s320x320/e35/c19.0.1041.1041/20838989_1596429623765102_8263945637930729472_n.jpg</v>
      </c>
      <c r="AE1673" s="249" t="str">
        <f>HYPERLINK("https://scontent.cdninstagram.com/t51.2885-19/s150x150/20837275_255562378284376_1678017342858067968_a.jpg")</f>
        <v>https://scontent.cdninstagram.com/t51.2885-19/s150x150/20837275_255562378284376_1678017342858067968_a.jpg</v>
      </c>
    </row>
    <row r="1674" spans="1:31" ht="15" x14ac:dyDescent="0.25">
      <c r="A1674" t="s">
        <v>2474</v>
      </c>
      <c r="B1674" t="s">
        <v>3015</v>
      </c>
      <c r="C1674" s="221">
        <v>42966.928437499999</v>
      </c>
      <c r="D1674" t="s">
        <v>11501</v>
      </c>
      <c r="E1674" s="249" t="str">
        <f>HYPERLINK("https://www.instagram.com/p/BX_59lkAK_d/")</f>
        <v>https://www.instagram.com/p/BX_59lkAK_d/</v>
      </c>
      <c r="F1674" t="s">
        <v>11502</v>
      </c>
      <c r="G1674" t="s">
        <v>2478</v>
      </c>
      <c r="H1674">
        <v>210</v>
      </c>
      <c r="I1674" t="s">
        <v>2479</v>
      </c>
      <c r="J1674">
        <v>1</v>
      </c>
      <c r="K1674">
        <v>33</v>
      </c>
      <c r="L1674">
        <v>34</v>
      </c>
      <c r="Q1674">
        <v>0</v>
      </c>
      <c r="R1674">
        <v>0</v>
      </c>
      <c r="S1674">
        <v>34</v>
      </c>
      <c r="Y1674" t="s">
        <v>3494</v>
      </c>
      <c r="Z1674" t="s">
        <v>6259</v>
      </c>
      <c r="AA1674" t="s">
        <v>4128</v>
      </c>
      <c r="AB1674" t="s">
        <v>3854</v>
      </c>
      <c r="AC1674" t="s">
        <v>3018</v>
      </c>
      <c r="AD1674" s="249" t="str">
        <f>HYPERLINK("https://scontent.cdninstagram.com/t51.2885-15/s320x320/e35/c0.51.540.540/20902460_1355717824526449_2956435446801891328_n.jpg")</f>
        <v>https://scontent.cdninstagram.com/t51.2885-15/s320x320/e35/c0.51.540.540/20902460_1355717824526449_2956435446801891328_n.jpg</v>
      </c>
      <c r="AE1674" s="249" t="str">
        <f>HYPERLINK("https://scontent.cdninstagram.com/t51.2885-19/s150x150/19761452_1876060406050696_4275948751316582400_a.jpg")</f>
        <v>https://scontent.cdninstagram.com/t51.2885-19/s150x150/19761452_1876060406050696_4275948751316582400_a.jpg</v>
      </c>
    </row>
    <row r="1675" spans="1:31" ht="15" x14ac:dyDescent="0.25">
      <c r="A1675" t="s">
        <v>2474</v>
      </c>
      <c r="B1675" t="s">
        <v>11503</v>
      </c>
      <c r="C1675" s="221">
        <v>42966.92869212963</v>
      </c>
      <c r="D1675" t="s">
        <v>11504</v>
      </c>
      <c r="E1675" s="249" t="str">
        <f>HYPERLINK("https://www.instagram.com/p/BX_6AUDgHs7/")</f>
        <v>https://www.instagram.com/p/BX_6AUDgHs7/</v>
      </c>
      <c r="F1675" t="s">
        <v>11505</v>
      </c>
      <c r="G1675" t="s">
        <v>2478</v>
      </c>
      <c r="H1675">
        <v>364</v>
      </c>
      <c r="I1675" t="s">
        <v>2479</v>
      </c>
      <c r="J1675">
        <v>5</v>
      </c>
      <c r="K1675">
        <v>53</v>
      </c>
      <c r="L1675">
        <v>58</v>
      </c>
      <c r="Q1675">
        <v>0</v>
      </c>
      <c r="R1675">
        <v>0</v>
      </c>
      <c r="S1675">
        <v>58</v>
      </c>
      <c r="T1675" t="s">
        <v>11506</v>
      </c>
      <c r="V1675" t="s">
        <v>2225</v>
      </c>
      <c r="W1675">
        <v>-36.916699999999999</v>
      </c>
      <c r="X1675">
        <v>174.65</v>
      </c>
      <c r="Y1675" t="s">
        <v>11507</v>
      </c>
      <c r="Z1675" t="s">
        <v>11508</v>
      </c>
      <c r="AA1675" t="s">
        <v>4325</v>
      </c>
      <c r="AB1675" t="s">
        <v>11509</v>
      </c>
      <c r="AC1675" t="s">
        <v>11510</v>
      </c>
      <c r="AD1675" s="249" t="str">
        <f>HYPERLINK("https://scontent.cdninstagram.com/t51.2885-15/s320x320/e35/20905818_1324586204320816_1823661401852346368_n.jpg")</f>
        <v>https://scontent.cdninstagram.com/t51.2885-15/s320x320/e35/20905818_1324586204320816_1823661401852346368_n.jpg</v>
      </c>
      <c r="AE1675" s="249" t="str">
        <f>HYPERLINK("https://scontent.cdninstagram.com/t51.2885-19/s150x150/15802750_195109014292066_160430944199639040_a.jpg")</f>
        <v>https://scontent.cdninstagram.com/t51.2885-19/s150x150/15802750_195109014292066_160430944199639040_a.jpg</v>
      </c>
    </row>
    <row r="1676" spans="1:31" ht="15" x14ac:dyDescent="0.25">
      <c r="A1676" t="s">
        <v>2474</v>
      </c>
      <c r="B1676" t="s">
        <v>11511</v>
      </c>
      <c r="C1676" s="221">
        <v>42966.931608796294</v>
      </c>
      <c r="D1676" t="s">
        <v>11512</v>
      </c>
      <c r="E1676" s="249" t="str">
        <f>HYPERLINK("https://www.instagram.com/p/BX_6fDtHJMG/")</f>
        <v>https://www.instagram.com/p/BX_6fDtHJMG/</v>
      </c>
      <c r="F1676" t="s">
        <v>11513</v>
      </c>
      <c r="G1676" t="s">
        <v>2478</v>
      </c>
      <c r="H1676">
        <v>1020</v>
      </c>
      <c r="I1676" t="s">
        <v>3575</v>
      </c>
      <c r="J1676">
        <v>9</v>
      </c>
      <c r="K1676">
        <v>123</v>
      </c>
      <c r="L1676">
        <v>132</v>
      </c>
      <c r="Q1676">
        <v>0</v>
      </c>
      <c r="R1676">
        <v>0</v>
      </c>
      <c r="S1676">
        <v>132</v>
      </c>
      <c r="T1676" t="s">
        <v>11514</v>
      </c>
      <c r="V1676" t="s">
        <v>2144</v>
      </c>
      <c r="W1676">
        <v>18.413454780711</v>
      </c>
      <c r="X1676">
        <v>-68.935947418213004</v>
      </c>
      <c r="Y1676" t="s">
        <v>3224</v>
      </c>
      <c r="Z1676" t="s">
        <v>11515</v>
      </c>
      <c r="AA1676" t="s">
        <v>4987</v>
      </c>
      <c r="AB1676" t="s">
        <v>11516</v>
      </c>
      <c r="AC1676" t="s">
        <v>7322</v>
      </c>
      <c r="AD1676" s="249" t="str">
        <f>HYPERLINK("https://scontent.cdninstagram.com/t51.2885-15/s320x320/e35/c0.112.900.900/20905099_110760722971148_6666702679856644096_n.jpg")</f>
        <v>https://scontent.cdninstagram.com/t51.2885-15/s320x320/e35/c0.112.900.900/20905099_110760722971148_6666702679856644096_n.jpg</v>
      </c>
      <c r="AE1676" s="249" t="str">
        <f>HYPERLINK("https://scontent.cdninstagram.com/t51.2885-19/s150x150/20225268_1490119687701595_755620854880010240_a.jpg")</f>
        <v>https://scontent.cdninstagram.com/t51.2885-19/s150x150/20225268_1490119687701595_755620854880010240_a.jpg</v>
      </c>
    </row>
    <row r="1677" spans="1:31" ht="15" x14ac:dyDescent="0.25">
      <c r="A1677" t="s">
        <v>2474</v>
      </c>
      <c r="B1677" t="s">
        <v>11517</v>
      </c>
      <c r="C1677" s="221">
        <v>42966.947256944448</v>
      </c>
      <c r="D1677" t="s">
        <v>11518</v>
      </c>
      <c r="E1677" s="249" t="str">
        <f>HYPERLINK("https://www.instagram.com/p/BX_9EHuHQWm/")</f>
        <v>https://www.instagram.com/p/BX_9EHuHQWm/</v>
      </c>
      <c r="F1677" t="s">
        <v>11519</v>
      </c>
      <c r="G1677" t="s">
        <v>2488</v>
      </c>
      <c r="H1677">
        <v>429</v>
      </c>
      <c r="I1677" t="s">
        <v>2479</v>
      </c>
      <c r="J1677">
        <v>0</v>
      </c>
      <c r="K1677">
        <v>13</v>
      </c>
      <c r="L1677">
        <v>13</v>
      </c>
      <c r="Q1677">
        <v>0</v>
      </c>
      <c r="R1677">
        <v>0</v>
      </c>
      <c r="S1677">
        <v>13</v>
      </c>
      <c r="Y1677" t="s">
        <v>11517</v>
      </c>
      <c r="Z1677" t="s">
        <v>11520</v>
      </c>
      <c r="AA1677" t="s">
        <v>7836</v>
      </c>
      <c r="AB1677" t="s">
        <v>11521</v>
      </c>
      <c r="AC1677" t="s">
        <v>11522</v>
      </c>
      <c r="AD1677" s="249" t="str">
        <f>HYPERLINK("https://scontent.cdninstagram.com/t51.2885-15/s320x320/e35/20968499_270462263358696_2158885386011541504_n.jpg")</f>
        <v>https://scontent.cdninstagram.com/t51.2885-15/s320x320/e35/20968499_270462263358696_2158885386011541504_n.jpg</v>
      </c>
      <c r="AE1677" s="249" t="str">
        <f>HYPERLINK("https://scontent.cdninstagram.com/t51.2885-19/s150x150/17267869_2014255052135129_4328023039347261440_a.jpg")</f>
        <v>https://scontent.cdninstagram.com/t51.2885-19/s150x150/17267869_2014255052135129_4328023039347261440_a.jpg</v>
      </c>
    </row>
    <row r="1678" spans="1:31" ht="15" x14ac:dyDescent="0.25">
      <c r="A1678" t="s">
        <v>2474</v>
      </c>
      <c r="B1678" t="s">
        <v>11523</v>
      </c>
      <c r="C1678" s="221">
        <v>42966.960011574076</v>
      </c>
      <c r="D1678" t="s">
        <v>11524</v>
      </c>
      <c r="E1678" s="249" t="str">
        <f>HYPERLINK("https://www.instagram.com/p/BX__KqJHx9o/")</f>
        <v>https://www.instagram.com/p/BX__KqJHx9o/</v>
      </c>
      <c r="F1678" t="s">
        <v>11525</v>
      </c>
      <c r="G1678" t="s">
        <v>2478</v>
      </c>
      <c r="H1678">
        <v>205</v>
      </c>
      <c r="I1678" t="s">
        <v>2479</v>
      </c>
      <c r="J1678">
        <v>1</v>
      </c>
      <c r="K1678">
        <v>35</v>
      </c>
      <c r="L1678">
        <v>36</v>
      </c>
      <c r="Q1678">
        <v>0</v>
      </c>
      <c r="R1678">
        <v>0</v>
      </c>
      <c r="S1678">
        <v>36</v>
      </c>
      <c r="T1678" t="s">
        <v>11526</v>
      </c>
      <c r="U1678" t="s">
        <v>122</v>
      </c>
      <c r="V1678" t="s">
        <v>2299</v>
      </c>
      <c r="W1678">
        <v>37.523099999999999</v>
      </c>
      <c r="X1678">
        <v>-121.967</v>
      </c>
      <c r="Y1678" t="s">
        <v>11527</v>
      </c>
      <c r="Z1678" t="s">
        <v>11528</v>
      </c>
      <c r="AA1678" t="s">
        <v>11523</v>
      </c>
      <c r="AB1678" t="s">
        <v>2497</v>
      </c>
      <c r="AD1678" s="249" t="str">
        <f>HYPERLINK("https://scontent.cdninstagram.com/t51.2885-15/s320x320/e35/c121.0.838.838/20987502_338342759955890_8486502867455180800_n.jpg")</f>
        <v>https://scontent.cdninstagram.com/t51.2885-15/s320x320/e35/c121.0.838.838/20987502_338342759955890_8486502867455180800_n.jpg</v>
      </c>
      <c r="AE1678" s="249" t="str">
        <f>HYPERLINK("https://scontent.cdninstagram.com/t51.2885-19/11356644_1697798537098795_202691793_a.jpg")</f>
        <v>https://scontent.cdninstagram.com/t51.2885-19/11356644_1697798537098795_202691793_a.jpg</v>
      </c>
    </row>
    <row r="1679" spans="1:31" ht="15" x14ac:dyDescent="0.25">
      <c r="A1679" t="s">
        <v>2474</v>
      </c>
      <c r="B1679" t="s">
        <v>11503</v>
      </c>
      <c r="C1679" s="221">
        <v>42966.969212962962</v>
      </c>
      <c r="D1679" t="s">
        <v>11529</v>
      </c>
      <c r="E1679" s="249" t="str">
        <f>HYPERLINK("https://www.instagram.com/p/BYAArsGAQsn/")</f>
        <v>https://www.instagram.com/p/BYAArsGAQsn/</v>
      </c>
      <c r="F1679" t="s">
        <v>11530</v>
      </c>
      <c r="G1679" t="s">
        <v>2478</v>
      </c>
      <c r="I1679" t="s">
        <v>2479</v>
      </c>
      <c r="J1679">
        <v>3</v>
      </c>
      <c r="K1679">
        <v>15</v>
      </c>
      <c r="L1679">
        <v>18</v>
      </c>
      <c r="Q1679">
        <v>0</v>
      </c>
      <c r="R1679">
        <v>0</v>
      </c>
      <c r="S1679">
        <v>18</v>
      </c>
      <c r="T1679" t="s">
        <v>11531</v>
      </c>
      <c r="V1679" t="s">
        <v>2225</v>
      </c>
      <c r="W1679">
        <v>-36.889400000000002</v>
      </c>
      <c r="X1679">
        <v>174.654</v>
      </c>
      <c r="Y1679" t="s">
        <v>11510</v>
      </c>
      <c r="Z1679" t="s">
        <v>2705</v>
      </c>
      <c r="AA1679" t="s">
        <v>5466</v>
      </c>
      <c r="AB1679" t="s">
        <v>11507</v>
      </c>
      <c r="AC1679" t="s">
        <v>11532</v>
      </c>
      <c r="AD1679" s="249" t="str">
        <f>HYPERLINK("https://scontent.cdninstagram.com/t51.2885-15/s320x320/e35/20902666_1097496733713623_3853802106624409600_n.jpg")</f>
        <v>https://scontent.cdninstagram.com/t51.2885-15/s320x320/e35/20902666_1097496733713623_3853802106624409600_n.jpg</v>
      </c>
      <c r="AE1679" s="249" t="str">
        <f>HYPERLINK("https://scontent.cdninstagram.com/t51.2885-19/s150x150/15802750_195109014292066_160430944199639040_a.jpg")</f>
        <v>https://scontent.cdninstagram.com/t51.2885-19/s150x150/15802750_195109014292066_160430944199639040_a.jpg</v>
      </c>
    </row>
    <row r="1680" spans="1:31" ht="15" x14ac:dyDescent="0.25">
      <c r="A1680" t="s">
        <v>2474</v>
      </c>
      <c r="B1680" t="s">
        <v>11533</v>
      </c>
      <c r="C1680" s="221">
        <v>42966.973715277774</v>
      </c>
      <c r="D1680" t="s">
        <v>11534</v>
      </c>
      <c r="E1680" s="249" t="str">
        <f>HYPERLINK("https://www.instagram.com/p/BYABbNOny3u/")</f>
        <v>https://www.instagram.com/p/BYABbNOny3u/</v>
      </c>
      <c r="F1680" t="s">
        <v>11535</v>
      </c>
      <c r="G1680" t="s">
        <v>2478</v>
      </c>
      <c r="H1680">
        <v>3047</v>
      </c>
      <c r="I1680" t="s">
        <v>2479</v>
      </c>
      <c r="J1680">
        <v>0</v>
      </c>
      <c r="K1680">
        <v>36</v>
      </c>
      <c r="L1680">
        <v>36</v>
      </c>
      <c r="Q1680">
        <v>0</v>
      </c>
      <c r="R1680">
        <v>0</v>
      </c>
      <c r="S1680">
        <v>36</v>
      </c>
      <c r="Y1680" t="s">
        <v>2497</v>
      </c>
      <c r="Z1680" t="s">
        <v>3196</v>
      </c>
      <c r="AA1680" t="s">
        <v>4646</v>
      </c>
      <c r="AD1680" s="249" t="str">
        <f>HYPERLINK("https://scontent.cdninstagram.com/t51.2885-15/s320x320/e35/20968953_354252748337978_3584484820824096768_n.jpg")</f>
        <v>https://scontent.cdninstagram.com/t51.2885-15/s320x320/e35/20968953_354252748337978_3584484820824096768_n.jpg</v>
      </c>
      <c r="AE1680" s="249" t="str">
        <f>HYPERLINK("https://scontent.cdninstagram.com/t51.2885-19/s150x150/18948221_136192270276203_7899191296890241024_a.jpg")</f>
        <v>https://scontent.cdninstagram.com/t51.2885-19/s150x150/18948221_136192270276203_7899191296890241024_a.jpg</v>
      </c>
    </row>
    <row r="1681" spans="1:31" ht="15" x14ac:dyDescent="0.25">
      <c r="A1681" t="s">
        <v>2474</v>
      </c>
      <c r="B1681" t="s">
        <v>11536</v>
      </c>
      <c r="C1681" s="221">
        <v>42966.979629629626</v>
      </c>
      <c r="D1681" t="s">
        <v>11537</v>
      </c>
      <c r="E1681" s="249" t="str">
        <f>HYPERLINK("https://www.instagram.com/p/BYACZhOjnnS/")</f>
        <v>https://www.instagram.com/p/BYACZhOjnnS/</v>
      </c>
      <c r="F1681" t="s">
        <v>11538</v>
      </c>
      <c r="G1681" t="s">
        <v>2478</v>
      </c>
      <c r="H1681">
        <v>333</v>
      </c>
      <c r="I1681" t="s">
        <v>2903</v>
      </c>
      <c r="J1681">
        <v>0</v>
      </c>
      <c r="K1681">
        <v>32</v>
      </c>
      <c r="L1681">
        <v>32</v>
      </c>
      <c r="Q1681">
        <v>0</v>
      </c>
      <c r="R1681">
        <v>0</v>
      </c>
      <c r="S1681">
        <v>32</v>
      </c>
      <c r="Y1681" t="s">
        <v>11539</v>
      </c>
      <c r="Z1681" t="s">
        <v>5640</v>
      </c>
      <c r="AA1681" t="s">
        <v>3706</v>
      </c>
      <c r="AB1681" t="s">
        <v>3569</v>
      </c>
      <c r="AC1681" t="s">
        <v>11540</v>
      </c>
      <c r="AD1681" s="249" t="str">
        <f>HYPERLINK("https://scontent.cdninstagram.com/t51.2885-15/s320x320/e35/20902332_566838496773852_3601814249359278080_n.jpg")</f>
        <v>https://scontent.cdninstagram.com/t51.2885-15/s320x320/e35/20902332_566838496773852_3601814249359278080_n.jpg</v>
      </c>
      <c r="AE1681" s="249" t="str">
        <f>HYPERLINK("https://scontent.cdninstagram.com/t51.2885-19/s150x150/14280568_1055379527894795_1674813831_a.jpg")</f>
        <v>https://scontent.cdninstagram.com/t51.2885-19/s150x150/14280568_1055379527894795_1674813831_a.jpg</v>
      </c>
    </row>
    <row r="1682" spans="1:31" ht="15" x14ac:dyDescent="0.25">
      <c r="A1682" t="s">
        <v>2474</v>
      </c>
      <c r="B1682" t="s">
        <v>11541</v>
      </c>
      <c r="C1682" s="221">
        <v>42966.980925925927</v>
      </c>
      <c r="D1682" t="s">
        <v>11542</v>
      </c>
      <c r="E1682" s="249" t="str">
        <f>HYPERLINK("https://www.instagram.com/p/BYACnQ-BnLB/")</f>
        <v>https://www.instagram.com/p/BYACnQ-BnLB/</v>
      </c>
      <c r="F1682" t="s">
        <v>11543</v>
      </c>
      <c r="G1682" t="s">
        <v>2478</v>
      </c>
      <c r="H1682">
        <v>103</v>
      </c>
      <c r="I1682" t="s">
        <v>2622</v>
      </c>
      <c r="J1682">
        <v>0</v>
      </c>
      <c r="K1682">
        <v>9</v>
      </c>
      <c r="L1682">
        <v>9</v>
      </c>
      <c r="Q1682">
        <v>0</v>
      </c>
      <c r="R1682">
        <v>0</v>
      </c>
      <c r="S1682">
        <v>9</v>
      </c>
      <c r="Y1682" t="s">
        <v>11544</v>
      </c>
      <c r="Z1682" t="s">
        <v>4833</v>
      </c>
      <c r="AA1682" t="s">
        <v>5554</v>
      </c>
      <c r="AB1682" t="s">
        <v>2497</v>
      </c>
      <c r="AD1682" s="249" t="str">
        <f>HYPERLINK("https://scontent.cdninstagram.com/t51.2885-15/s320x320/e35/20905377_1754747704819225_8597706777703743488_n.jpg")</f>
        <v>https://scontent.cdninstagram.com/t51.2885-15/s320x320/e35/20905377_1754747704819225_8597706777703743488_n.jpg</v>
      </c>
      <c r="AE1682" s="249" t="str">
        <f>HYPERLINK("https://scontent.cdninstagram.com/t51.2885-19/s150x150/20905786_858933924263067_1727384169404694528_a.jpg")</f>
        <v>https://scontent.cdninstagram.com/t51.2885-19/s150x150/20905786_858933924263067_1727384169404694528_a.jpg</v>
      </c>
    </row>
    <row r="1683" spans="1:31" ht="15" x14ac:dyDescent="0.25">
      <c r="A1683" t="s">
        <v>2474</v>
      </c>
      <c r="B1683" t="s">
        <v>11545</v>
      </c>
      <c r="C1683" s="221">
        <v>42966.983437499999</v>
      </c>
      <c r="D1683" t="s">
        <v>11546</v>
      </c>
      <c r="E1683" s="249" t="str">
        <f>HYPERLINK("https://www.instagram.com/p/BYADBugFaLz/")</f>
        <v>https://www.instagram.com/p/BYADBugFaLz/</v>
      </c>
      <c r="F1683" t="s">
        <v>11547</v>
      </c>
      <c r="G1683" t="s">
        <v>2478</v>
      </c>
      <c r="H1683">
        <v>1242</v>
      </c>
      <c r="I1683" t="s">
        <v>2479</v>
      </c>
      <c r="J1683">
        <v>1</v>
      </c>
      <c r="K1683">
        <v>34</v>
      </c>
      <c r="L1683">
        <v>35</v>
      </c>
      <c r="Q1683">
        <v>0</v>
      </c>
      <c r="R1683">
        <v>0</v>
      </c>
      <c r="S1683">
        <v>35</v>
      </c>
      <c r="Y1683" t="s">
        <v>11548</v>
      </c>
      <c r="Z1683" t="s">
        <v>11549</v>
      </c>
      <c r="AA1683" t="s">
        <v>2497</v>
      </c>
      <c r="AD1683" s="249" t="str">
        <f>HYPERLINK("https://scontent.cdninstagram.com/t51.2885-15/e35/20968590_851409601691648_2023825956090675200_n.jpg")</f>
        <v>https://scontent.cdninstagram.com/t51.2885-15/e35/20968590_851409601691648_2023825956090675200_n.jpg</v>
      </c>
      <c r="AE1683" s="249" t="str">
        <f>HYPERLINK("https://scontent.cdninstagram.com/t51.2885-19/s150x150/20837646_1122511934546854_8546149539310993408_a.jpg")</f>
        <v>https://scontent.cdninstagram.com/t51.2885-19/s150x150/20837646_1122511934546854_8546149539310993408_a.jpg</v>
      </c>
    </row>
    <row r="1684" spans="1:31" ht="15" x14ac:dyDescent="0.25">
      <c r="A1684" t="s">
        <v>2474</v>
      </c>
      <c r="B1684" t="s">
        <v>4616</v>
      </c>
      <c r="C1684" s="221">
        <v>42966.991238425922</v>
      </c>
      <c r="D1684" t="s">
        <v>11550</v>
      </c>
      <c r="E1684" s="249" t="str">
        <f>HYPERLINK("https://www.instagram.com/p/BYAET6thOmP/")</f>
        <v>https://www.instagram.com/p/BYAET6thOmP/</v>
      </c>
      <c r="F1684" t="s">
        <v>11551</v>
      </c>
      <c r="G1684" t="s">
        <v>2478</v>
      </c>
      <c r="H1684">
        <v>116</v>
      </c>
      <c r="I1684" t="s">
        <v>2479</v>
      </c>
      <c r="J1684">
        <v>0</v>
      </c>
      <c r="K1684">
        <v>43</v>
      </c>
      <c r="L1684">
        <v>43</v>
      </c>
      <c r="Q1684">
        <v>0</v>
      </c>
      <c r="R1684">
        <v>0</v>
      </c>
      <c r="S1684">
        <v>43</v>
      </c>
      <c r="T1684" t="s">
        <v>7823</v>
      </c>
      <c r="V1684" t="s">
        <v>2125</v>
      </c>
      <c r="W1684">
        <v>45</v>
      </c>
      <c r="X1684">
        <v>-79.3</v>
      </c>
      <c r="Y1684" t="s">
        <v>4620</v>
      </c>
      <c r="Z1684" t="s">
        <v>5007</v>
      </c>
      <c r="AA1684" t="s">
        <v>5211</v>
      </c>
      <c r="AB1684" t="s">
        <v>4808</v>
      </c>
      <c r="AC1684" t="s">
        <v>3174</v>
      </c>
      <c r="AD1684" s="249" t="str">
        <f>HYPERLINK("https://scontent.cdninstagram.com/t51.2885-15/s320x320/e35/c135.0.810.810/20902462_1456975881050526_4003593978745192448_n.jpg")</f>
        <v>https://scontent.cdninstagram.com/t51.2885-15/s320x320/e35/c135.0.810.810/20902462_1456975881050526_4003593978745192448_n.jpg</v>
      </c>
      <c r="AE1684" s="249" t="str">
        <f>HYPERLINK("https://scontent.cdninstagram.com/t51.2885-19/s150x150/17494353_1347957098574282_2527511313651859456_a.jpg")</f>
        <v>https://scontent.cdninstagram.com/t51.2885-19/s150x150/17494353_1347957098574282_2527511313651859456_a.jpg</v>
      </c>
    </row>
    <row r="1685" spans="1:31" ht="15" x14ac:dyDescent="0.25">
      <c r="A1685" t="s">
        <v>2474</v>
      </c>
      <c r="B1685" t="s">
        <v>11552</v>
      </c>
      <c r="C1685" s="221">
        <v>42967.009097222224</v>
      </c>
      <c r="D1685" t="s">
        <v>11553</v>
      </c>
      <c r="E1685" s="249" t="str">
        <f>HYPERLINK("https://www.instagram.com/p/BYAHQUejNKs/")</f>
        <v>https://www.instagram.com/p/BYAHQUejNKs/</v>
      </c>
      <c r="F1685" t="s">
        <v>11554</v>
      </c>
      <c r="G1685" t="s">
        <v>2631</v>
      </c>
      <c r="H1685">
        <v>293</v>
      </c>
      <c r="I1685" t="s">
        <v>2479</v>
      </c>
      <c r="J1685">
        <v>4</v>
      </c>
      <c r="K1685">
        <v>37</v>
      </c>
      <c r="L1685">
        <v>41</v>
      </c>
      <c r="Q1685">
        <v>0</v>
      </c>
      <c r="R1685">
        <v>0</v>
      </c>
      <c r="S1685">
        <v>41</v>
      </c>
      <c r="Y1685" t="s">
        <v>11555</v>
      </c>
      <c r="Z1685" t="s">
        <v>11556</v>
      </c>
      <c r="AA1685" t="s">
        <v>3986</v>
      </c>
      <c r="AB1685" t="s">
        <v>2497</v>
      </c>
      <c r="AD1685" s="249" t="str">
        <f>HYPERLINK("https://scontent.cdninstagram.com/t51.2885-15/s320x320/e15/c157.0.405.405/20968923_126843214604808_3499446366738841600_n.jpg")</f>
        <v>https://scontent.cdninstagram.com/t51.2885-15/s320x320/e15/c157.0.405.405/20968923_126843214604808_3499446366738841600_n.jpg</v>
      </c>
      <c r="AE1685" s="249" t="str">
        <f>HYPERLINK("https://scontent.cdninstagram.com/t51.2885-19/s150x150/19051548_311174259328472_3674094915408625664_a.jpg")</f>
        <v>https://scontent.cdninstagram.com/t51.2885-19/s150x150/19051548_311174259328472_3674094915408625664_a.jpg</v>
      </c>
    </row>
    <row r="1686" spans="1:31" ht="15" x14ac:dyDescent="0.25">
      <c r="A1686" t="s">
        <v>2474</v>
      </c>
      <c r="B1686" t="s">
        <v>7152</v>
      </c>
      <c r="C1686" s="221">
        <v>42967.011967592596</v>
      </c>
      <c r="D1686" t="s">
        <v>11557</v>
      </c>
      <c r="E1686" s="249" t="str">
        <f>HYPERLINK("https://www.instagram.com/p/BYAHuoYj6o5/")</f>
        <v>https://www.instagram.com/p/BYAHuoYj6o5/</v>
      </c>
      <c r="F1686" t="s">
        <v>11558</v>
      </c>
      <c r="G1686" t="s">
        <v>2478</v>
      </c>
      <c r="H1686">
        <v>110</v>
      </c>
      <c r="I1686" t="s">
        <v>2542</v>
      </c>
      <c r="J1686">
        <v>2</v>
      </c>
      <c r="K1686">
        <v>38</v>
      </c>
      <c r="L1686">
        <v>40</v>
      </c>
      <c r="Q1686">
        <v>0</v>
      </c>
      <c r="R1686">
        <v>0</v>
      </c>
      <c r="S1686">
        <v>40</v>
      </c>
      <c r="Y1686" t="s">
        <v>2876</v>
      </c>
      <c r="Z1686" t="s">
        <v>5147</v>
      </c>
      <c r="AA1686" t="s">
        <v>5383</v>
      </c>
      <c r="AB1686" t="s">
        <v>2728</v>
      </c>
      <c r="AC1686" t="s">
        <v>5449</v>
      </c>
      <c r="AD1686" s="249" t="str">
        <f>HYPERLINK("https://scontent.cdninstagram.com/t51.2885-15/s320x320/e35/20839048_1940681286190674_7160499257470877696_n.jpg")</f>
        <v>https://scontent.cdninstagram.com/t51.2885-15/s320x320/e35/20839048_1940681286190674_7160499257470877696_n.jpg</v>
      </c>
      <c r="AE1686" s="249" t="str">
        <f>HYPERLINK("https://scontent.cdninstagram.com/t51.2885-19/s150x150/20181062_1791856511105718_4709893984703479808_a.jpg")</f>
        <v>https://scontent.cdninstagram.com/t51.2885-19/s150x150/20181062_1791856511105718_4709893984703479808_a.jpg</v>
      </c>
    </row>
    <row r="1687" spans="1:31" ht="15" x14ac:dyDescent="0.25">
      <c r="A1687" t="s">
        <v>2474</v>
      </c>
      <c r="B1687" t="s">
        <v>11559</v>
      </c>
      <c r="C1687" s="221">
        <v>42967.017048611109</v>
      </c>
      <c r="D1687" t="s">
        <v>11560</v>
      </c>
      <c r="E1687" s="249" t="str">
        <f>HYPERLINK("https://www.instagram.com/p/BYAIkMEDQlm/")</f>
        <v>https://www.instagram.com/p/BYAIkMEDQlm/</v>
      </c>
      <c r="F1687" t="s">
        <v>11561</v>
      </c>
      <c r="G1687" t="s">
        <v>2631</v>
      </c>
      <c r="H1687">
        <v>2733</v>
      </c>
      <c r="I1687" t="s">
        <v>2542</v>
      </c>
      <c r="J1687">
        <v>5</v>
      </c>
      <c r="K1687">
        <v>83</v>
      </c>
      <c r="L1687">
        <v>88</v>
      </c>
      <c r="Q1687">
        <v>0</v>
      </c>
      <c r="R1687">
        <v>0</v>
      </c>
      <c r="S1687">
        <v>88</v>
      </c>
      <c r="T1687" t="s">
        <v>11562</v>
      </c>
      <c r="U1687" t="s">
        <v>182</v>
      </c>
      <c r="V1687" t="s">
        <v>2299</v>
      </c>
      <c r="W1687">
        <v>36.152231228494998</v>
      </c>
      <c r="X1687">
        <v>-86.770063888299006</v>
      </c>
      <c r="AD1687" s="249" t="str">
        <f>HYPERLINK("https://scontent.cdninstagram.com/t51.2885-15/s320x320/e15/20902611_220947505101078_5069768693139898368_n.jpg")</f>
        <v>https://scontent.cdninstagram.com/t51.2885-15/s320x320/e15/20902611_220947505101078_5069768693139898368_n.jpg</v>
      </c>
      <c r="AE1687" s="249" t="str">
        <f>HYPERLINK("https://scontent.cdninstagram.com/t51.2885-19/s150x150/20482487_1940202666238673_4762836341459255296_a.jpg")</f>
        <v>https://scontent.cdninstagram.com/t51.2885-19/s150x150/20482487_1940202666238673_4762836341459255296_a.jpg</v>
      </c>
    </row>
    <row r="1688" spans="1:31" ht="15" x14ac:dyDescent="0.25">
      <c r="A1688" t="s">
        <v>2474</v>
      </c>
      <c r="B1688" t="s">
        <v>11563</v>
      </c>
      <c r="C1688" s="221">
        <v>42967.023888888885</v>
      </c>
      <c r="D1688" t="s">
        <v>11564</v>
      </c>
      <c r="E1688" s="249" t="str">
        <f>HYPERLINK("https://www.instagram.com/p/BYAJsTSF8tj/")</f>
        <v>https://www.instagram.com/p/BYAJsTSF8tj/</v>
      </c>
      <c r="F1688" t="s">
        <v>11565</v>
      </c>
      <c r="G1688" t="s">
        <v>2478</v>
      </c>
      <c r="H1688">
        <v>511</v>
      </c>
      <c r="I1688" t="s">
        <v>3186</v>
      </c>
      <c r="J1688">
        <v>0</v>
      </c>
      <c r="K1688">
        <v>42</v>
      </c>
      <c r="L1688">
        <v>42</v>
      </c>
      <c r="Q1688">
        <v>0</v>
      </c>
      <c r="R1688">
        <v>0</v>
      </c>
      <c r="S1688">
        <v>42</v>
      </c>
      <c r="Y1688" t="s">
        <v>5721</v>
      </c>
      <c r="Z1688" t="s">
        <v>11566</v>
      </c>
      <c r="AA1688" t="s">
        <v>2497</v>
      </c>
      <c r="AD1688" s="249" t="str">
        <f>HYPERLINK("https://scontent.cdninstagram.com/t51.2885-15/s320x320/e35/20968908_1381927561855524_5324769856510230528_n.jpg")</f>
        <v>https://scontent.cdninstagram.com/t51.2885-15/s320x320/e35/20968908_1381927561855524_5324769856510230528_n.jpg</v>
      </c>
      <c r="AE1688" s="249" t="str">
        <f>HYPERLINK("https://scontent.cdninstagram.com/t51.2885-19/s150x150/19050476_431396763898258_6055887583664144384_a.jpg")</f>
        <v>https://scontent.cdninstagram.com/t51.2885-19/s150x150/19050476_431396763898258_6055887583664144384_a.jpg</v>
      </c>
    </row>
    <row r="1689" spans="1:31" ht="15" x14ac:dyDescent="0.25">
      <c r="A1689" t="s">
        <v>2474</v>
      </c>
      <c r="B1689" t="s">
        <v>11567</v>
      </c>
      <c r="C1689" s="221">
        <v>42967.02616898148</v>
      </c>
      <c r="D1689" t="s">
        <v>11568</v>
      </c>
      <c r="E1689" s="249" t="str">
        <f>HYPERLINK("https://www.instagram.com/p/BYAKEU9g6Ae/")</f>
        <v>https://www.instagram.com/p/BYAKEU9g6Ae/</v>
      </c>
      <c r="F1689" t="s">
        <v>11569</v>
      </c>
      <c r="G1689" t="s">
        <v>2478</v>
      </c>
      <c r="H1689">
        <v>2093</v>
      </c>
      <c r="I1689" t="s">
        <v>2542</v>
      </c>
      <c r="J1689">
        <v>4</v>
      </c>
      <c r="K1689">
        <v>40</v>
      </c>
      <c r="L1689">
        <v>44</v>
      </c>
      <c r="Q1689">
        <v>0</v>
      </c>
      <c r="R1689">
        <v>0</v>
      </c>
      <c r="S1689">
        <v>44</v>
      </c>
      <c r="Y1689" t="s">
        <v>11570</v>
      </c>
      <c r="Z1689" t="s">
        <v>11571</v>
      </c>
      <c r="AA1689" t="s">
        <v>2497</v>
      </c>
      <c r="AB1689" t="s">
        <v>11572</v>
      </c>
      <c r="AC1689" t="s">
        <v>11573</v>
      </c>
      <c r="AD1689" s="249" t="str">
        <f>HYPERLINK("https://scontent.cdninstagram.com/t51.2885-15/s320x320/e35/c0.101.808.808/20902796_1168008436676583_4883784226832384000_n.jpg")</f>
        <v>https://scontent.cdninstagram.com/t51.2885-15/s320x320/e35/c0.101.808.808/20902796_1168008436676583_4883784226832384000_n.jpg</v>
      </c>
      <c r="AE1689" s="249" t="str">
        <f>HYPERLINK("https://scontent.cdninstagram.com/t51.2885-19/s150x150/14582214_787642778045660_2822099392452886528_a.jpg")</f>
        <v>https://scontent.cdninstagram.com/t51.2885-19/s150x150/14582214_787642778045660_2822099392452886528_a.jpg</v>
      </c>
    </row>
    <row r="1690" spans="1:31" ht="15" x14ac:dyDescent="0.25">
      <c r="A1690" t="s">
        <v>2474</v>
      </c>
      <c r="B1690" t="s">
        <v>11574</v>
      </c>
      <c r="C1690" s="221">
        <v>42967.029490740744</v>
      </c>
      <c r="D1690" t="s">
        <v>11575</v>
      </c>
      <c r="E1690" s="249" t="str">
        <f>HYPERLINK("https://www.instagram.com/p/BYAKnbPHcNG/")</f>
        <v>https://www.instagram.com/p/BYAKnbPHcNG/</v>
      </c>
      <c r="F1690" t="s">
        <v>11576</v>
      </c>
      <c r="G1690" t="s">
        <v>2478</v>
      </c>
      <c r="H1690">
        <v>61</v>
      </c>
      <c r="I1690" t="s">
        <v>2542</v>
      </c>
      <c r="J1690">
        <v>0</v>
      </c>
      <c r="K1690">
        <v>5</v>
      </c>
      <c r="L1690">
        <v>5</v>
      </c>
      <c r="Q1690">
        <v>0</v>
      </c>
      <c r="R1690">
        <v>0</v>
      </c>
      <c r="S1690">
        <v>5</v>
      </c>
      <c r="Y1690" t="s">
        <v>11577</v>
      </c>
      <c r="Z1690" t="s">
        <v>7143</v>
      </c>
      <c r="AA1690" t="s">
        <v>11578</v>
      </c>
      <c r="AB1690" t="s">
        <v>11579</v>
      </c>
      <c r="AC1690" t="s">
        <v>11580</v>
      </c>
      <c r="AD1690" s="249" t="str">
        <f>HYPERLINK("https://scontent.cdninstagram.com/t51.2885-15/s320x320/e35/20902661_823931791115773_4562932921232523264_n.jpg")</f>
        <v>https://scontent.cdninstagram.com/t51.2885-15/s320x320/e35/20902661_823931791115773_4562932921232523264_n.jpg</v>
      </c>
      <c r="AE1690" s="249" t="str">
        <f>HYPERLINK("https://scontent.cdninstagram.com/t51.2885-19/11849174_886244934785502_63163705_a.jpg")</f>
        <v>https://scontent.cdninstagram.com/t51.2885-19/11849174_886244934785502_63163705_a.jpg</v>
      </c>
    </row>
    <row r="1691" spans="1:31" ht="15" x14ac:dyDescent="0.25">
      <c r="A1691" t="s">
        <v>2474</v>
      </c>
      <c r="B1691" t="s">
        <v>7152</v>
      </c>
      <c r="C1691" s="221">
        <v>42967.046620370369</v>
      </c>
      <c r="D1691" t="s">
        <v>11581</v>
      </c>
      <c r="E1691" s="249" t="str">
        <f>HYPERLINK("https://www.instagram.com/p/BYANcEijeRz/")</f>
        <v>https://www.instagram.com/p/BYANcEijeRz/</v>
      </c>
      <c r="F1691" t="s">
        <v>11582</v>
      </c>
      <c r="G1691" t="s">
        <v>2478</v>
      </c>
      <c r="H1691">
        <v>111</v>
      </c>
      <c r="I1691" t="s">
        <v>2479</v>
      </c>
      <c r="J1691">
        <v>3</v>
      </c>
      <c r="K1691">
        <v>28</v>
      </c>
      <c r="L1691">
        <v>31</v>
      </c>
      <c r="Q1691">
        <v>0</v>
      </c>
      <c r="R1691">
        <v>0</v>
      </c>
      <c r="S1691">
        <v>31</v>
      </c>
      <c r="Y1691" t="s">
        <v>5981</v>
      </c>
      <c r="Z1691" t="s">
        <v>2876</v>
      </c>
      <c r="AA1691" t="s">
        <v>3937</v>
      </c>
      <c r="AB1691" t="s">
        <v>8213</v>
      </c>
      <c r="AC1691" t="s">
        <v>2728</v>
      </c>
      <c r="AD1691" s="249" t="str">
        <f>HYPERLINK("https://scontent.cdninstagram.com/t51.2885-15/s320x320/e35/20838485_110943952934531_8338285839582756864_n.jpg")</f>
        <v>https://scontent.cdninstagram.com/t51.2885-15/s320x320/e35/20838485_110943952934531_8338285839582756864_n.jpg</v>
      </c>
      <c r="AE1691" s="249" t="str">
        <f>HYPERLINK("https://scontent.cdninstagram.com/t51.2885-19/s150x150/20181062_1791856511105718_4709893984703479808_a.jpg")</f>
        <v>https://scontent.cdninstagram.com/t51.2885-19/s150x150/20181062_1791856511105718_4709893984703479808_a.jpg</v>
      </c>
    </row>
    <row r="1692" spans="1:31" ht="15" x14ac:dyDescent="0.25">
      <c r="A1692" t="s">
        <v>2474</v>
      </c>
      <c r="B1692" t="s">
        <v>11583</v>
      </c>
      <c r="C1692" s="221">
        <v>42967.064768518518</v>
      </c>
      <c r="D1692" t="s">
        <v>11584</v>
      </c>
      <c r="E1692" s="249" t="str">
        <f>HYPERLINK("https://www.instagram.com/p/BYAQbd-j0Us/")</f>
        <v>https://www.instagram.com/p/BYAQbd-j0Us/</v>
      </c>
      <c r="F1692" t="s">
        <v>11585</v>
      </c>
      <c r="G1692" t="s">
        <v>2478</v>
      </c>
      <c r="H1692">
        <v>1600</v>
      </c>
      <c r="I1692" t="s">
        <v>2542</v>
      </c>
      <c r="J1692">
        <v>1</v>
      </c>
      <c r="K1692">
        <v>79</v>
      </c>
      <c r="L1692">
        <v>80</v>
      </c>
      <c r="Q1692">
        <v>0</v>
      </c>
      <c r="R1692">
        <v>0</v>
      </c>
      <c r="S1692">
        <v>80</v>
      </c>
      <c r="Y1692" t="s">
        <v>11586</v>
      </c>
      <c r="Z1692" t="s">
        <v>11587</v>
      </c>
      <c r="AA1692" t="s">
        <v>2497</v>
      </c>
      <c r="AB1692" t="s">
        <v>11588</v>
      </c>
      <c r="AC1692" t="s">
        <v>7393</v>
      </c>
      <c r="AD1692" s="249" t="str">
        <f>HYPERLINK("https://scontent.cdninstagram.com/t51.2885-15/s320x320/e35/c0.117.937.937/20902010_1058744500926558_6304760893854973952_n.jpg")</f>
        <v>https://scontent.cdninstagram.com/t51.2885-15/s320x320/e35/c0.117.937.937/20902010_1058744500926558_6304760893854973952_n.jpg</v>
      </c>
      <c r="AE1692" s="249" t="str">
        <f>HYPERLINK("https://scontent.cdninstagram.com/t51.2885-19/s150x150/20398905_157450918155327_1943363093874606080_a.jpg")</f>
        <v>https://scontent.cdninstagram.com/t51.2885-19/s150x150/20398905_157450918155327_1943363093874606080_a.jpg</v>
      </c>
    </row>
    <row r="1693" spans="1:31" ht="15" x14ac:dyDescent="0.25">
      <c r="A1693" t="s">
        <v>2474</v>
      </c>
      <c r="B1693" t="s">
        <v>11589</v>
      </c>
      <c r="C1693" s="221">
        <v>42967.069560185184</v>
      </c>
      <c r="D1693" t="s">
        <v>11590</v>
      </c>
      <c r="E1693" s="249" t="str">
        <f>HYPERLINK("https://www.instagram.com/p/BYAROBInOdD/")</f>
        <v>https://www.instagram.com/p/BYAROBInOdD/</v>
      </c>
      <c r="F1693" t="s">
        <v>11591</v>
      </c>
      <c r="G1693" t="s">
        <v>2478</v>
      </c>
      <c r="H1693">
        <v>76</v>
      </c>
      <c r="I1693" t="s">
        <v>2479</v>
      </c>
      <c r="J1693">
        <v>0</v>
      </c>
      <c r="K1693">
        <v>7</v>
      </c>
      <c r="L1693">
        <v>7</v>
      </c>
      <c r="Q1693">
        <v>0</v>
      </c>
      <c r="R1693">
        <v>0</v>
      </c>
      <c r="S1693">
        <v>7</v>
      </c>
      <c r="T1693" t="s">
        <v>11592</v>
      </c>
      <c r="V1693" t="s">
        <v>2125</v>
      </c>
      <c r="W1693">
        <v>49.887009900000002</v>
      </c>
      <c r="X1693">
        <v>-119.4954</v>
      </c>
      <c r="Y1693" t="s">
        <v>11593</v>
      </c>
      <c r="Z1693" t="s">
        <v>11594</v>
      </c>
      <c r="AA1693" t="s">
        <v>4354</v>
      </c>
      <c r="AB1693" t="s">
        <v>2497</v>
      </c>
      <c r="AD1693" s="249" t="str">
        <f>HYPERLINK("https://scontent.cdninstagram.com/t51.2885-15/s320x320/e35/c136.0.808.808/20905073_1143173022450049_8987127231889276928_n.jpg")</f>
        <v>https://scontent.cdninstagram.com/t51.2885-15/s320x320/e35/c136.0.808.808/20905073_1143173022450049_8987127231889276928_n.jpg</v>
      </c>
      <c r="AE1693" s="249" t="str">
        <f>HYPERLINK("https://scontent.cdninstagram.com/t51.2885-19/s150x150/14565122_223845868028981_7392804138611900416_a.jpg")</f>
        <v>https://scontent.cdninstagram.com/t51.2885-19/s150x150/14565122_223845868028981_7392804138611900416_a.jpg</v>
      </c>
    </row>
    <row r="1694" spans="1:31" ht="15" x14ac:dyDescent="0.25">
      <c r="A1694" t="s">
        <v>2474</v>
      </c>
      <c r="B1694" t="s">
        <v>11595</v>
      </c>
      <c r="C1694" s="221">
        <v>42967.073240740741</v>
      </c>
      <c r="D1694" t="s">
        <v>11596</v>
      </c>
      <c r="E1694" s="249" t="str">
        <f>HYPERLINK("https://www.instagram.com/p/BYAR02pHnqZ/")</f>
        <v>https://www.instagram.com/p/BYAR02pHnqZ/</v>
      </c>
      <c r="F1694" t="s">
        <v>11597</v>
      </c>
      <c r="G1694" t="s">
        <v>2478</v>
      </c>
      <c r="H1694">
        <v>368</v>
      </c>
      <c r="I1694" t="s">
        <v>2786</v>
      </c>
      <c r="J1694">
        <v>0</v>
      </c>
      <c r="K1694">
        <v>55</v>
      </c>
      <c r="L1694">
        <v>55</v>
      </c>
      <c r="Q1694">
        <v>0</v>
      </c>
      <c r="R1694">
        <v>0</v>
      </c>
      <c r="S1694">
        <v>55</v>
      </c>
      <c r="Y1694" t="s">
        <v>11598</v>
      </c>
      <c r="Z1694" t="s">
        <v>11599</v>
      </c>
      <c r="AA1694" t="s">
        <v>11600</v>
      </c>
      <c r="AB1694" t="s">
        <v>3006</v>
      </c>
      <c r="AC1694" t="s">
        <v>11601</v>
      </c>
      <c r="AD1694" s="249" t="str">
        <f>HYPERLINK("https://scontent.cdninstagram.com/t51.2885-15/s320x320/e35/20905574_1429637403799457_2334747430446170112_n.jpg")</f>
        <v>https://scontent.cdninstagram.com/t51.2885-15/s320x320/e35/20905574_1429637403799457_2334747430446170112_n.jpg</v>
      </c>
      <c r="AE1694" s="249" t="str">
        <f>HYPERLINK("https://scontent.cdninstagram.com/t51.2885-19/s150x150/15535542_1601584743484193_4295688253505273856_a.jpg")</f>
        <v>https://scontent.cdninstagram.com/t51.2885-19/s150x150/15535542_1601584743484193_4295688253505273856_a.jpg</v>
      </c>
    </row>
    <row r="1695" spans="1:31" ht="15" x14ac:dyDescent="0.25">
      <c r="A1695" t="s">
        <v>2474</v>
      </c>
      <c r="B1695" t="s">
        <v>11602</v>
      </c>
      <c r="C1695" s="221">
        <v>42967.088564814818</v>
      </c>
      <c r="D1695" t="s">
        <v>11603</v>
      </c>
      <c r="E1695" s="249" t="str">
        <f>HYPERLINK("https://www.instagram.com/p/BYAUWfmFsdD/")</f>
        <v>https://www.instagram.com/p/BYAUWfmFsdD/</v>
      </c>
      <c r="F1695" t="s">
        <v>11604</v>
      </c>
      <c r="G1695" t="s">
        <v>2478</v>
      </c>
      <c r="H1695">
        <v>5042</v>
      </c>
      <c r="I1695" t="s">
        <v>2479</v>
      </c>
      <c r="J1695">
        <v>3</v>
      </c>
      <c r="K1695">
        <v>111</v>
      </c>
      <c r="L1695">
        <v>114</v>
      </c>
      <c r="Q1695">
        <v>0</v>
      </c>
      <c r="R1695">
        <v>0</v>
      </c>
      <c r="S1695">
        <v>114</v>
      </c>
      <c r="Y1695" t="s">
        <v>11605</v>
      </c>
      <c r="Z1695" t="s">
        <v>11606</v>
      </c>
      <c r="AA1695" t="s">
        <v>3706</v>
      </c>
      <c r="AB1695" t="s">
        <v>2753</v>
      </c>
      <c r="AC1695" t="s">
        <v>9483</v>
      </c>
      <c r="AD1695" s="249" t="str">
        <f>HYPERLINK("https://scontent.cdninstagram.com/t51.2885-15/s320x320/e35/20969021_511719872502081_1953398413810728960_n.jpg")</f>
        <v>https://scontent.cdninstagram.com/t51.2885-15/s320x320/e35/20969021_511719872502081_1953398413810728960_n.jpg</v>
      </c>
      <c r="AE1695" s="249" t="str">
        <f>HYPERLINK("https://scontent.cdninstagram.com/t51.2885-19/s150x150/13628484_266654980373959_1135858150_a.jpg")</f>
        <v>https://scontent.cdninstagram.com/t51.2885-19/s150x150/13628484_266654980373959_1135858150_a.jpg</v>
      </c>
    </row>
    <row r="1696" spans="1:31" ht="15" x14ac:dyDescent="0.25">
      <c r="A1696" t="s">
        <v>2474</v>
      </c>
      <c r="B1696" t="s">
        <v>11607</v>
      </c>
      <c r="C1696" s="221">
        <v>42967.092291666668</v>
      </c>
      <c r="D1696" t="s">
        <v>11608</v>
      </c>
      <c r="E1696" s="249" t="str">
        <f>HYPERLINK("https://www.instagram.com/p/BYAU9xhDB2h/")</f>
        <v>https://www.instagram.com/p/BYAU9xhDB2h/</v>
      </c>
      <c r="F1696" t="s">
        <v>11609</v>
      </c>
      <c r="G1696" t="s">
        <v>2631</v>
      </c>
      <c r="H1696">
        <v>363</v>
      </c>
      <c r="I1696" t="s">
        <v>2479</v>
      </c>
      <c r="J1696">
        <v>1</v>
      </c>
      <c r="K1696">
        <v>36</v>
      </c>
      <c r="L1696">
        <v>37</v>
      </c>
      <c r="Q1696">
        <v>0</v>
      </c>
      <c r="R1696">
        <v>0</v>
      </c>
      <c r="S1696">
        <v>37</v>
      </c>
      <c r="T1696" t="s">
        <v>11610</v>
      </c>
      <c r="V1696" t="s">
        <v>2288</v>
      </c>
      <c r="W1696">
        <v>52.479596569690003</v>
      </c>
      <c r="X1696">
        <v>-1.8972253968732</v>
      </c>
      <c r="Y1696" t="s">
        <v>4182</v>
      </c>
      <c r="Z1696" t="s">
        <v>11611</v>
      </c>
      <c r="AA1696" t="s">
        <v>3006</v>
      </c>
      <c r="AB1696" t="s">
        <v>3829</v>
      </c>
      <c r="AC1696" t="s">
        <v>11612</v>
      </c>
      <c r="AD1696" s="249" t="str">
        <f>HYPERLINK("https://scontent.cdninstagram.com/t51.2885-15/s320x320/e15/c0.76.612.612/20901912_1941405906133340_6953903359073976320_n.jpg")</f>
        <v>https://scontent.cdninstagram.com/t51.2885-15/s320x320/e15/c0.76.612.612/20901912_1941405906133340_6953903359073976320_n.jpg</v>
      </c>
      <c r="AE1696" s="249" t="str">
        <f>HYPERLINK("https://scontent.cdninstagram.com/t51.2885-19/s150x150/21107604_134204513863282_170995859373162496_a.jpg")</f>
        <v>https://scontent.cdninstagram.com/t51.2885-19/s150x150/21107604_134204513863282_170995859373162496_a.jpg</v>
      </c>
    </row>
    <row r="1697" spans="1:31" ht="15" x14ac:dyDescent="0.25">
      <c r="A1697" t="s">
        <v>2474</v>
      </c>
      <c r="B1697" t="s">
        <v>3471</v>
      </c>
      <c r="C1697" s="221">
        <v>42967.105740740742</v>
      </c>
      <c r="D1697" t="s">
        <v>11613</v>
      </c>
      <c r="E1697" s="249" t="str">
        <f>HYPERLINK("https://www.instagram.com/p/BYAXLnpHtsa/")</f>
        <v>https://www.instagram.com/p/BYAXLnpHtsa/</v>
      </c>
      <c r="F1697" t="s">
        <v>11614</v>
      </c>
      <c r="G1697" t="s">
        <v>2478</v>
      </c>
      <c r="H1697">
        <v>181</v>
      </c>
      <c r="I1697" t="s">
        <v>2542</v>
      </c>
      <c r="J1697">
        <v>1</v>
      </c>
      <c r="K1697">
        <v>47</v>
      </c>
      <c r="L1697">
        <v>48</v>
      </c>
      <c r="Q1697">
        <v>0</v>
      </c>
      <c r="R1697">
        <v>0</v>
      </c>
      <c r="S1697">
        <v>48</v>
      </c>
      <c r="T1697" t="s">
        <v>3474</v>
      </c>
      <c r="V1697" t="s">
        <v>2258</v>
      </c>
      <c r="W1697">
        <v>1.2930600000000001</v>
      </c>
      <c r="X1697">
        <v>103.85599999999999</v>
      </c>
      <c r="Y1697" t="s">
        <v>5842</v>
      </c>
      <c r="Z1697" t="s">
        <v>11615</v>
      </c>
      <c r="AA1697" t="s">
        <v>3475</v>
      </c>
      <c r="AB1697" t="s">
        <v>8951</v>
      </c>
      <c r="AC1697" t="s">
        <v>5841</v>
      </c>
      <c r="AD1697" s="249" t="str">
        <f>HYPERLINK("https://scontent.cdninstagram.com/t51.2885-15/s320x320/e35/20969180_476069252767759_7470239602935070720_n.jpg")</f>
        <v>https://scontent.cdninstagram.com/t51.2885-15/s320x320/e35/20969180_476069252767759_7470239602935070720_n.jpg</v>
      </c>
      <c r="AE1697" s="249" t="str">
        <f>HYPERLINK("https://scontent.cdninstagram.com/t51.2885-19/s150x150/19986209_741127056067001_1270489010199855104_a.jpg")</f>
        <v>https://scontent.cdninstagram.com/t51.2885-19/s150x150/19986209_741127056067001_1270489010199855104_a.jpg</v>
      </c>
    </row>
    <row r="1698" spans="1:31" ht="15" x14ac:dyDescent="0.25">
      <c r="A1698" t="s">
        <v>2474</v>
      </c>
      <c r="B1698" t="s">
        <v>11616</v>
      </c>
      <c r="C1698" s="221">
        <v>42967.108773148146</v>
      </c>
      <c r="D1698" t="s">
        <v>11617</v>
      </c>
      <c r="E1698" s="249" t="str">
        <f>HYPERLINK("https://www.instagram.com/p/BYAXrouF5hI/")</f>
        <v>https://www.instagram.com/p/BYAXrouF5hI/</v>
      </c>
      <c r="F1698" t="s">
        <v>11618</v>
      </c>
      <c r="G1698" t="s">
        <v>2478</v>
      </c>
      <c r="H1698">
        <v>321</v>
      </c>
      <c r="I1698" t="s">
        <v>2479</v>
      </c>
      <c r="J1698">
        <v>0</v>
      </c>
      <c r="K1698">
        <v>16</v>
      </c>
      <c r="L1698">
        <v>16</v>
      </c>
      <c r="Q1698">
        <v>0</v>
      </c>
      <c r="R1698">
        <v>0</v>
      </c>
      <c r="S1698">
        <v>16</v>
      </c>
      <c r="T1698" t="s">
        <v>11619</v>
      </c>
      <c r="V1698" t="s">
        <v>2110</v>
      </c>
      <c r="W1698">
        <v>51.216700000000003</v>
      </c>
      <c r="X1698">
        <v>4.4000000000000004</v>
      </c>
      <c r="Y1698" t="s">
        <v>11620</v>
      </c>
      <c r="Z1698" t="s">
        <v>11621</v>
      </c>
      <c r="AA1698" t="s">
        <v>11622</v>
      </c>
      <c r="AB1698" t="s">
        <v>4907</v>
      </c>
      <c r="AC1698" t="s">
        <v>3706</v>
      </c>
      <c r="AD1698" s="249" t="str">
        <f>HYPERLINK("https://scontent.cdninstagram.com/t51.2885-15/s320x320/e35/c0.135.1080.1080/20987445_1223158554496015_3585955829943107584_n.jpg")</f>
        <v>https://scontent.cdninstagram.com/t51.2885-15/s320x320/e35/c0.135.1080.1080/20987445_1223158554496015_3585955829943107584_n.jpg</v>
      </c>
      <c r="AE1698" s="249" t="str">
        <f>HYPERLINK("https://scontent.cdninstagram.com/t51.2885-19/s150x150/20688018_1439913036103549_5308233309002661888_a.jpg")</f>
        <v>https://scontent.cdninstagram.com/t51.2885-19/s150x150/20688018_1439913036103549_5308233309002661888_a.jpg</v>
      </c>
    </row>
    <row r="1699" spans="1:31" ht="15" x14ac:dyDescent="0.25">
      <c r="A1699" t="s">
        <v>2474</v>
      </c>
      <c r="B1699" t="s">
        <v>11623</v>
      </c>
      <c r="C1699" s="221">
        <v>42967.11141203704</v>
      </c>
      <c r="D1699" t="s">
        <v>11624</v>
      </c>
      <c r="E1699" s="249" t="str">
        <f>HYPERLINK("https://www.instagram.com/p/BYAYHaqljDv/")</f>
        <v>https://www.instagram.com/p/BYAYHaqljDv/</v>
      </c>
      <c r="F1699" t="s">
        <v>11625</v>
      </c>
      <c r="G1699" t="s">
        <v>2478</v>
      </c>
      <c r="H1699">
        <v>62</v>
      </c>
      <c r="I1699" t="s">
        <v>3273</v>
      </c>
      <c r="J1699">
        <v>1</v>
      </c>
      <c r="K1699">
        <v>10</v>
      </c>
      <c r="L1699">
        <v>11</v>
      </c>
      <c r="Q1699">
        <v>0</v>
      </c>
      <c r="R1699">
        <v>0</v>
      </c>
      <c r="S1699">
        <v>11</v>
      </c>
      <c r="Y1699" t="s">
        <v>11620</v>
      </c>
      <c r="Z1699" t="s">
        <v>11621</v>
      </c>
      <c r="AA1699" t="s">
        <v>3706</v>
      </c>
      <c r="AB1699" t="s">
        <v>11626</v>
      </c>
      <c r="AC1699" t="s">
        <v>11627</v>
      </c>
      <c r="AD1699" s="249" t="str">
        <f>HYPERLINK("https://scontent.cdninstagram.com/t51.2885-15/s320x320/e35/c75.0.929.929/20968981_1757898087841801_4633411311630286848_n.jpg")</f>
        <v>https://scontent.cdninstagram.com/t51.2885-15/s320x320/e35/c75.0.929.929/20968981_1757898087841801_4633411311630286848_n.jpg</v>
      </c>
      <c r="AE1699" s="249" t="str">
        <f>HYPERLINK("https://scontent.cdninstagram.com/t51.2885-19/s150x150/19623521_1963005290624597_5535123151211462656_a.jpg")</f>
        <v>https://scontent.cdninstagram.com/t51.2885-19/s150x150/19623521_1963005290624597_5535123151211462656_a.jpg</v>
      </c>
    </row>
    <row r="1700" spans="1:31" ht="15" x14ac:dyDescent="0.25">
      <c r="A1700" t="s">
        <v>2474</v>
      </c>
      <c r="B1700" t="s">
        <v>11628</v>
      </c>
      <c r="C1700" s="221">
        <v>42967.125416666669</v>
      </c>
      <c r="D1700" t="s">
        <v>11629</v>
      </c>
      <c r="E1700" s="249" t="str">
        <f>HYPERLINK("https://www.instagram.com/p/BYAabIyhA6f/")</f>
        <v>https://www.instagram.com/p/BYAabIyhA6f/</v>
      </c>
      <c r="F1700" t="s">
        <v>11630</v>
      </c>
      <c r="G1700" t="s">
        <v>2478</v>
      </c>
      <c r="H1700">
        <v>771</v>
      </c>
      <c r="I1700" t="s">
        <v>2542</v>
      </c>
      <c r="J1700">
        <v>6</v>
      </c>
      <c r="K1700">
        <v>40</v>
      </c>
      <c r="L1700">
        <v>46</v>
      </c>
      <c r="Q1700">
        <v>0</v>
      </c>
      <c r="R1700">
        <v>0</v>
      </c>
      <c r="S1700">
        <v>46</v>
      </c>
      <c r="T1700" t="s">
        <v>11631</v>
      </c>
      <c r="V1700" t="s">
        <v>2140</v>
      </c>
      <c r="W1700">
        <v>50.247031494270999</v>
      </c>
      <c r="X1700">
        <v>15.834881972037</v>
      </c>
      <c r="Y1700" t="s">
        <v>11632</v>
      </c>
      <c r="Z1700" t="s">
        <v>11633</v>
      </c>
      <c r="AA1700" t="s">
        <v>11634</v>
      </c>
      <c r="AB1700" t="s">
        <v>11635</v>
      </c>
      <c r="AC1700" t="s">
        <v>11636</v>
      </c>
      <c r="AD1700" s="249" t="str">
        <f>HYPERLINK("https://scontent.cdninstagram.com/t51.2885-15/s320x320/e35/20902366_1900540700268794_672337431806083072_n.jpg")</f>
        <v>https://scontent.cdninstagram.com/t51.2885-15/s320x320/e35/20902366_1900540700268794_672337431806083072_n.jpg</v>
      </c>
      <c r="AE1700" s="249" t="str">
        <f>HYPERLINK("https://scontent.cdninstagram.com/t51.2885-19/12750137_180518005652490_1740109244_a.jpg")</f>
        <v>https://scontent.cdninstagram.com/t51.2885-19/12750137_180518005652490_1740109244_a.jpg</v>
      </c>
    </row>
    <row r="1701" spans="1:31" ht="15" x14ac:dyDescent="0.25">
      <c r="A1701" t="s">
        <v>2474</v>
      </c>
      <c r="B1701" t="s">
        <v>11637</v>
      </c>
      <c r="C1701" s="221">
        <v>42967.130162037036</v>
      </c>
      <c r="D1701" t="s">
        <v>11638</v>
      </c>
      <c r="E1701" s="249" t="str">
        <f>HYPERLINK("https://www.instagram.com/p/BYAbNJonW9B/")</f>
        <v>https://www.instagram.com/p/BYAbNJonW9B/</v>
      </c>
      <c r="F1701" t="s">
        <v>11639</v>
      </c>
      <c r="G1701" t="s">
        <v>2478</v>
      </c>
      <c r="H1701">
        <v>575</v>
      </c>
      <c r="I1701" t="s">
        <v>2479</v>
      </c>
      <c r="J1701">
        <v>6</v>
      </c>
      <c r="K1701">
        <v>50</v>
      </c>
      <c r="L1701">
        <v>56</v>
      </c>
      <c r="Q1701">
        <v>0</v>
      </c>
      <c r="R1701">
        <v>0</v>
      </c>
      <c r="S1701">
        <v>56</v>
      </c>
      <c r="Y1701" t="s">
        <v>11640</v>
      </c>
      <c r="Z1701" t="s">
        <v>2861</v>
      </c>
      <c r="AA1701" t="s">
        <v>11641</v>
      </c>
      <c r="AB1701" t="s">
        <v>11642</v>
      </c>
      <c r="AC1701" t="s">
        <v>4724</v>
      </c>
      <c r="AD1701" s="249" t="str">
        <f>HYPERLINK("https://scontent.cdninstagram.com/t51.2885-15/s320x320/e35/c0.95.1080.1080/20905135_1903366253262096_9176341732646715392_n.jpg")</f>
        <v>https://scontent.cdninstagram.com/t51.2885-15/s320x320/e35/c0.95.1080.1080/20905135_1903366253262096_9176341732646715392_n.jpg</v>
      </c>
      <c r="AE1701" s="249" t="str">
        <f>HYPERLINK("https://scontent.cdninstagram.com/t51.2885-19/s150x150/20766072_1556596661027588_2496887604125892608_a.jpg")</f>
        <v>https://scontent.cdninstagram.com/t51.2885-19/s150x150/20766072_1556596661027588_2496887604125892608_a.jpg</v>
      </c>
    </row>
    <row r="1702" spans="1:31" ht="15" x14ac:dyDescent="0.25">
      <c r="A1702" t="s">
        <v>2474</v>
      </c>
      <c r="B1702" t="s">
        <v>11643</v>
      </c>
      <c r="C1702" s="221">
        <v>42967.13652777778</v>
      </c>
      <c r="D1702" t="s">
        <v>11644</v>
      </c>
      <c r="E1702" s="249" t="str">
        <f>HYPERLINK("https://www.instagram.com/p/BYAcQWIHGCA/")</f>
        <v>https://www.instagram.com/p/BYAcQWIHGCA/</v>
      </c>
      <c r="F1702" t="s">
        <v>11645</v>
      </c>
      <c r="G1702" t="s">
        <v>2478</v>
      </c>
      <c r="H1702">
        <v>2931</v>
      </c>
      <c r="I1702" t="s">
        <v>3898</v>
      </c>
      <c r="J1702">
        <v>1</v>
      </c>
      <c r="K1702">
        <v>172</v>
      </c>
      <c r="L1702">
        <v>173</v>
      </c>
      <c r="Q1702">
        <v>0</v>
      </c>
      <c r="R1702">
        <v>0</v>
      </c>
      <c r="S1702">
        <v>173</v>
      </c>
      <c r="T1702" t="s">
        <v>11646</v>
      </c>
      <c r="V1702" t="s">
        <v>2176</v>
      </c>
      <c r="W1702">
        <v>25.452222222222002</v>
      </c>
      <c r="X1702">
        <v>82.859444444443994</v>
      </c>
      <c r="Y1702" t="s">
        <v>11647</v>
      </c>
      <c r="Z1702" t="s">
        <v>11648</v>
      </c>
      <c r="AA1702" t="s">
        <v>11649</v>
      </c>
      <c r="AB1702" t="s">
        <v>11650</v>
      </c>
      <c r="AC1702" t="s">
        <v>11651</v>
      </c>
      <c r="AD1702" s="249" t="str">
        <f>HYPERLINK("https://scontent.cdninstagram.com/t51.2885-15/s320x320/e35/c135.0.810.810/20968983_1017345425035301_6576987981343621120_n.jpg")</f>
        <v>https://scontent.cdninstagram.com/t51.2885-15/s320x320/e35/c135.0.810.810/20968983_1017345425035301_6576987981343621120_n.jpg</v>
      </c>
      <c r="AE1702" s="249" t="str">
        <f>HYPERLINK("https://scontent.cdninstagram.com/t51.2885-19/s150x150/20968422_808481189333367_5125392969209217024_a.jpg")</f>
        <v>https://scontent.cdninstagram.com/t51.2885-19/s150x150/20968422_808481189333367_5125392969209217024_a.jpg</v>
      </c>
    </row>
    <row r="1703" spans="1:31" ht="15" x14ac:dyDescent="0.25">
      <c r="A1703" t="s">
        <v>2474</v>
      </c>
      <c r="B1703" t="s">
        <v>2941</v>
      </c>
      <c r="C1703" s="221">
        <v>42967.141122685185</v>
      </c>
      <c r="D1703" t="s">
        <v>11652</v>
      </c>
      <c r="E1703" s="249" t="str">
        <f>HYPERLINK("https://www.instagram.com/p/BYAdA0hDcNZ/")</f>
        <v>https://www.instagram.com/p/BYAdA0hDcNZ/</v>
      </c>
      <c r="F1703" t="s">
        <v>11653</v>
      </c>
      <c r="G1703" t="s">
        <v>2478</v>
      </c>
      <c r="H1703">
        <v>225</v>
      </c>
      <c r="I1703" t="s">
        <v>2542</v>
      </c>
      <c r="J1703">
        <v>1</v>
      </c>
      <c r="K1703">
        <v>24</v>
      </c>
      <c r="L1703">
        <v>25</v>
      </c>
      <c r="Q1703">
        <v>0</v>
      </c>
      <c r="R1703">
        <v>0</v>
      </c>
      <c r="S1703">
        <v>25</v>
      </c>
      <c r="Y1703" t="s">
        <v>3590</v>
      </c>
      <c r="Z1703" t="s">
        <v>2651</v>
      </c>
      <c r="AA1703" t="s">
        <v>5383</v>
      </c>
      <c r="AB1703" t="s">
        <v>3655</v>
      </c>
      <c r="AC1703" t="s">
        <v>11654</v>
      </c>
      <c r="AD1703" s="249" t="str">
        <f>HYPERLINK("https://scontent.cdninstagram.com/t51.2885-15/s320x320/e35/20902077_335067146916735_482372076276023296_n.jpg")</f>
        <v>https://scontent.cdninstagram.com/t51.2885-15/s320x320/e35/20902077_335067146916735_482372076276023296_n.jpg</v>
      </c>
      <c r="AE1703" s="249" t="str">
        <f>HYPERLINK("https://scontent.cdninstagram.com/t51.2885-19/s150x150/20686926_123784664915170_1777034476677758976_a.jpg")</f>
        <v>https://scontent.cdninstagram.com/t51.2885-19/s150x150/20686926_123784664915170_1777034476677758976_a.jpg</v>
      </c>
    </row>
    <row r="1704" spans="1:31" ht="15" x14ac:dyDescent="0.25">
      <c r="A1704" t="s">
        <v>2474</v>
      </c>
      <c r="B1704" t="s">
        <v>4685</v>
      </c>
      <c r="C1704" s="221">
        <v>42967.142187500001</v>
      </c>
      <c r="D1704" t="s">
        <v>11655</v>
      </c>
      <c r="E1704" s="249" t="str">
        <f>HYPERLINK("https://www.instagram.com/p/BYAdL9CD7sr/")</f>
        <v>https://www.instagram.com/p/BYAdL9CD7sr/</v>
      </c>
      <c r="F1704" t="s">
        <v>11656</v>
      </c>
      <c r="G1704" t="s">
        <v>2478</v>
      </c>
      <c r="H1704">
        <v>338</v>
      </c>
      <c r="I1704" t="s">
        <v>2510</v>
      </c>
      <c r="J1704">
        <v>4</v>
      </c>
      <c r="K1704">
        <v>36</v>
      </c>
      <c r="L1704">
        <v>40</v>
      </c>
      <c r="Q1704">
        <v>0</v>
      </c>
      <c r="R1704">
        <v>0</v>
      </c>
      <c r="S1704">
        <v>40</v>
      </c>
      <c r="Y1704" t="s">
        <v>8524</v>
      </c>
      <c r="Z1704" t="s">
        <v>11657</v>
      </c>
      <c r="AA1704" t="s">
        <v>11658</v>
      </c>
      <c r="AB1704" t="s">
        <v>4691</v>
      </c>
      <c r="AC1704" t="s">
        <v>11659</v>
      </c>
      <c r="AD1704" s="249" t="str">
        <f>HYPERLINK("https://scontent.cdninstagram.com/t51.2885-15/s320x320/e35/c180.0.720.720/20969402_1913833672216734_4860350507308285952_n.jpg")</f>
        <v>https://scontent.cdninstagram.com/t51.2885-15/s320x320/e35/c180.0.720.720/20969402_1913833672216734_4860350507308285952_n.jpg</v>
      </c>
      <c r="AE1704" s="249" t="str">
        <f>HYPERLINK("https://scontent.cdninstagram.com/t51.2885-19/s150x150/14498866_1223064704423042_5122473061462835200_a.jpg")</f>
        <v>https://scontent.cdninstagram.com/t51.2885-19/s150x150/14498866_1223064704423042_5122473061462835200_a.jpg</v>
      </c>
    </row>
    <row r="1705" spans="1:31" ht="15" x14ac:dyDescent="0.25">
      <c r="A1705" t="s">
        <v>2474</v>
      </c>
      <c r="B1705" t="s">
        <v>11660</v>
      </c>
      <c r="C1705" s="221">
        <v>42967.147615740738</v>
      </c>
      <c r="D1705" t="s">
        <v>11661</v>
      </c>
      <c r="E1705" s="249" t="str">
        <f>HYPERLINK("https://www.instagram.com/p/BYAeFRil-bF/")</f>
        <v>https://www.instagram.com/p/BYAeFRil-bF/</v>
      </c>
      <c r="F1705" t="s">
        <v>11662</v>
      </c>
      <c r="G1705" t="s">
        <v>2478</v>
      </c>
      <c r="H1705">
        <v>314</v>
      </c>
      <c r="I1705" t="s">
        <v>2479</v>
      </c>
      <c r="J1705">
        <v>6</v>
      </c>
      <c r="K1705">
        <v>84</v>
      </c>
      <c r="L1705">
        <v>90</v>
      </c>
      <c r="Q1705">
        <v>0</v>
      </c>
      <c r="R1705">
        <v>0</v>
      </c>
      <c r="S1705">
        <v>90</v>
      </c>
      <c r="Y1705" t="s">
        <v>11663</v>
      </c>
      <c r="Z1705" t="s">
        <v>11664</v>
      </c>
      <c r="AA1705" t="s">
        <v>11665</v>
      </c>
      <c r="AB1705" t="s">
        <v>2497</v>
      </c>
      <c r="AC1705" t="s">
        <v>11666</v>
      </c>
      <c r="AD1705" s="249" t="str">
        <f>HYPERLINK("https://scontent.cdninstagram.com/t51.2885-15/s320x320/e35/20902474_2022210671343147_5466371122918326272_n.jpg")</f>
        <v>https://scontent.cdninstagram.com/t51.2885-15/s320x320/e35/20902474_2022210671343147_5466371122918326272_n.jpg</v>
      </c>
      <c r="AE1705" s="249" t="str">
        <f>HYPERLINK("https://scontent.cdninstagram.com/t51.2885-19/s150x150/19955796_299396510470367_2560318953918300160_a.jpg")</f>
        <v>https://scontent.cdninstagram.com/t51.2885-19/s150x150/19955796_299396510470367_2560318953918300160_a.jpg</v>
      </c>
    </row>
    <row r="1706" spans="1:31" ht="15" x14ac:dyDescent="0.25">
      <c r="A1706" t="s">
        <v>2474</v>
      </c>
      <c r="B1706" t="s">
        <v>3015</v>
      </c>
      <c r="C1706" s="221">
        <v>42967.149918981479</v>
      </c>
      <c r="D1706" t="s">
        <v>11667</v>
      </c>
      <c r="E1706" s="249" t="str">
        <f>HYPERLINK("https://www.instagram.com/p/BYAedkKAzic/")</f>
        <v>https://www.instagram.com/p/BYAedkKAzic/</v>
      </c>
      <c r="F1706" t="s">
        <v>11668</v>
      </c>
      <c r="G1706" t="s">
        <v>2478</v>
      </c>
      <c r="H1706">
        <v>222</v>
      </c>
      <c r="I1706" t="s">
        <v>2479</v>
      </c>
      <c r="J1706">
        <v>1</v>
      </c>
      <c r="K1706">
        <v>33</v>
      </c>
      <c r="L1706">
        <v>34</v>
      </c>
      <c r="Q1706">
        <v>0</v>
      </c>
      <c r="R1706">
        <v>0</v>
      </c>
      <c r="S1706">
        <v>34</v>
      </c>
      <c r="Y1706" t="s">
        <v>4919</v>
      </c>
      <c r="Z1706" t="s">
        <v>3492</v>
      </c>
      <c r="AA1706" t="s">
        <v>3856</v>
      </c>
      <c r="AB1706" t="s">
        <v>4129</v>
      </c>
      <c r="AC1706" t="s">
        <v>3571</v>
      </c>
      <c r="AD1706" s="249" t="str">
        <f>HYPERLINK("https://scontent.cdninstagram.com/t51.2885-15/s320x320/e35/20902087_333026453815459_7773123716010999808_n.jpg")</f>
        <v>https://scontent.cdninstagram.com/t51.2885-15/s320x320/e35/20902087_333026453815459_7773123716010999808_n.jpg</v>
      </c>
      <c r="AE1706" s="249" t="str">
        <f>HYPERLINK("https://scontent.cdninstagram.com/t51.2885-19/s150x150/19761452_1876060406050696_4275948751316582400_a.jpg")</f>
        <v>https://scontent.cdninstagram.com/t51.2885-19/s150x150/19761452_1876060406050696_4275948751316582400_a.jpg</v>
      </c>
    </row>
    <row r="1707" spans="1:31" ht="15" x14ac:dyDescent="0.25">
      <c r="A1707" t="s">
        <v>2474</v>
      </c>
      <c r="B1707" t="s">
        <v>2636</v>
      </c>
      <c r="C1707" s="221">
        <v>42967.179062499999</v>
      </c>
      <c r="D1707" t="s">
        <v>11669</v>
      </c>
      <c r="E1707" s="249" t="str">
        <f>HYPERLINK("https://www.instagram.com/p/BYAjQ50nkPc/")</f>
        <v>https://www.instagram.com/p/BYAjQ50nkPc/</v>
      </c>
      <c r="F1707" t="s">
        <v>11670</v>
      </c>
      <c r="G1707" t="s">
        <v>2478</v>
      </c>
      <c r="H1707">
        <v>317</v>
      </c>
      <c r="I1707" t="s">
        <v>2510</v>
      </c>
      <c r="J1707">
        <v>6</v>
      </c>
      <c r="K1707">
        <v>53</v>
      </c>
      <c r="L1707">
        <v>59</v>
      </c>
      <c r="Q1707">
        <v>0</v>
      </c>
      <c r="R1707">
        <v>0</v>
      </c>
      <c r="S1707">
        <v>59</v>
      </c>
      <c r="Y1707" t="s">
        <v>7252</v>
      </c>
      <c r="Z1707" t="s">
        <v>7039</v>
      </c>
      <c r="AA1707" t="s">
        <v>11671</v>
      </c>
      <c r="AB1707" t="s">
        <v>4513</v>
      </c>
      <c r="AC1707" t="s">
        <v>7040</v>
      </c>
      <c r="AD1707" s="249" t="str">
        <f>HYPERLINK("https://scontent.cdninstagram.com/t51.2885-15/s320x320/e35/20968988_140044096598441_7348161578522378240_n.jpg")</f>
        <v>https://scontent.cdninstagram.com/t51.2885-15/s320x320/e35/20968988_140044096598441_7348161578522378240_n.jpg</v>
      </c>
      <c r="AE1707" s="249" t="str">
        <f>HYPERLINK("https://scontent.cdninstagram.com/t51.2885-19/s150x150/15802797_1331780626878656_4160680230047973376_a.jpg")</f>
        <v>https://scontent.cdninstagram.com/t51.2885-19/s150x150/15802797_1331780626878656_4160680230047973376_a.jpg</v>
      </c>
    </row>
    <row r="1708" spans="1:31" ht="15" x14ac:dyDescent="0.25">
      <c r="A1708" t="s">
        <v>2474</v>
      </c>
      <c r="B1708" t="s">
        <v>6020</v>
      </c>
      <c r="C1708" s="221">
        <v>42967.183842592596</v>
      </c>
      <c r="D1708" t="s">
        <v>11672</v>
      </c>
      <c r="E1708" s="249" t="str">
        <f>HYPERLINK("https://www.instagram.com/p/BYAkDTyAqeA/")</f>
        <v>https://www.instagram.com/p/BYAkDTyAqeA/</v>
      </c>
      <c r="F1708" t="s">
        <v>11673</v>
      </c>
      <c r="G1708" t="s">
        <v>2478</v>
      </c>
      <c r="H1708">
        <v>31449</v>
      </c>
      <c r="I1708" t="s">
        <v>2479</v>
      </c>
      <c r="J1708">
        <v>27</v>
      </c>
      <c r="K1708">
        <v>1267</v>
      </c>
      <c r="L1708">
        <v>1294</v>
      </c>
      <c r="Q1708">
        <v>0</v>
      </c>
      <c r="R1708">
        <v>0</v>
      </c>
      <c r="S1708">
        <v>1294</v>
      </c>
      <c r="Y1708" t="s">
        <v>6448</v>
      </c>
      <c r="Z1708" t="s">
        <v>11674</v>
      </c>
      <c r="AA1708" t="s">
        <v>11675</v>
      </c>
      <c r="AB1708" t="s">
        <v>11676</v>
      </c>
      <c r="AC1708" t="s">
        <v>6446</v>
      </c>
      <c r="AD1708" s="249" t="str">
        <f>HYPERLINK("https://scontent.cdninstagram.com/t51.2885-15/s320x320/e35/c0.67.640.640/20902777_1722222151122539_6415443665656741888_n.jpg")</f>
        <v>https://scontent.cdninstagram.com/t51.2885-15/s320x320/e35/c0.67.640.640/20902777_1722222151122539_6415443665656741888_n.jpg</v>
      </c>
      <c r="AE1708" s="249" t="str">
        <f>HYPERLINK("https://scontent.cdninstagram.com/t51.2885-19/s150x150/18094683_212156559284851_4534393421896351744_a.jpg")</f>
        <v>https://scontent.cdninstagram.com/t51.2885-19/s150x150/18094683_212156559284851_4534393421896351744_a.jpg</v>
      </c>
    </row>
    <row r="1709" spans="1:31" ht="15" x14ac:dyDescent="0.25">
      <c r="A1709" t="s">
        <v>2474</v>
      </c>
      <c r="B1709" t="s">
        <v>11677</v>
      </c>
      <c r="C1709" s="221">
        <v>42967.203796296293</v>
      </c>
      <c r="D1709" t="s">
        <v>11678</v>
      </c>
      <c r="E1709" s="249" t="str">
        <f>HYPERLINK("https://www.instagram.com/p/BYAnV1DDJP-/")</f>
        <v>https://www.instagram.com/p/BYAnV1DDJP-/</v>
      </c>
      <c r="F1709" t="s">
        <v>11679</v>
      </c>
      <c r="G1709" t="s">
        <v>2478</v>
      </c>
      <c r="H1709">
        <v>713</v>
      </c>
      <c r="I1709" t="s">
        <v>2479</v>
      </c>
      <c r="J1709">
        <v>11</v>
      </c>
      <c r="K1709">
        <v>146</v>
      </c>
      <c r="L1709">
        <v>157</v>
      </c>
      <c r="Q1709">
        <v>0</v>
      </c>
      <c r="R1709">
        <v>0</v>
      </c>
      <c r="S1709">
        <v>157</v>
      </c>
      <c r="T1709" t="s">
        <v>11680</v>
      </c>
      <c r="V1709" t="s">
        <v>2161</v>
      </c>
      <c r="W1709">
        <v>51.482131289999998</v>
      </c>
      <c r="X1709">
        <v>11.97472548</v>
      </c>
      <c r="Y1709" t="s">
        <v>11681</v>
      </c>
      <c r="Z1709" t="s">
        <v>2497</v>
      </c>
      <c r="AA1709" t="s">
        <v>11682</v>
      </c>
      <c r="AD1709" s="249" t="str">
        <f>HYPERLINK("https://scontent.cdninstagram.com/t51.2885-15/s320x320/e35/c149.0.750.750/20901937_254010055111393_6064350790951108608_n.jpg")</f>
        <v>https://scontent.cdninstagram.com/t51.2885-15/s320x320/e35/c149.0.750.750/20901937_254010055111393_6064350790951108608_n.jpg</v>
      </c>
      <c r="AE1709" s="249" t="str">
        <f>HYPERLINK("https://scontent.cdninstagram.com/t51.2885-19/s150x150/21041052_875456549280002_4895121497384812544_a.jpg")</f>
        <v>https://scontent.cdninstagram.com/t51.2885-19/s150x150/21041052_875456549280002_4895121497384812544_a.jpg</v>
      </c>
    </row>
    <row r="1710" spans="1:31" ht="15" x14ac:dyDescent="0.25">
      <c r="A1710" t="s">
        <v>2474</v>
      </c>
      <c r="B1710" t="s">
        <v>11683</v>
      </c>
      <c r="C1710" s="221">
        <v>42967.208032407405</v>
      </c>
      <c r="D1710" t="s">
        <v>11684</v>
      </c>
      <c r="E1710" s="249" t="str">
        <f>HYPERLINK("https://www.instagram.com/p/BYAoChVD8TX/")</f>
        <v>https://www.instagram.com/p/BYAoChVD8TX/</v>
      </c>
      <c r="F1710" t="s">
        <v>11685</v>
      </c>
      <c r="G1710" t="s">
        <v>2478</v>
      </c>
      <c r="H1710">
        <v>1279</v>
      </c>
      <c r="I1710" t="s">
        <v>2542</v>
      </c>
      <c r="J1710">
        <v>4</v>
      </c>
      <c r="K1710">
        <v>156</v>
      </c>
      <c r="L1710">
        <v>160</v>
      </c>
      <c r="Q1710">
        <v>0</v>
      </c>
      <c r="R1710">
        <v>0</v>
      </c>
      <c r="S1710">
        <v>160</v>
      </c>
      <c r="T1710" t="s">
        <v>11686</v>
      </c>
      <c r="V1710" t="s">
        <v>2161</v>
      </c>
      <c r="W1710">
        <v>51.352448686400997</v>
      </c>
      <c r="X1710">
        <v>7.4809090986177997</v>
      </c>
      <c r="Y1710" t="s">
        <v>11687</v>
      </c>
      <c r="Z1710" t="s">
        <v>11688</v>
      </c>
      <c r="AA1710" t="s">
        <v>11689</v>
      </c>
      <c r="AB1710" t="s">
        <v>2587</v>
      </c>
      <c r="AC1710" t="s">
        <v>11690</v>
      </c>
      <c r="AD1710" s="249" t="str">
        <f>HYPERLINK("https://scontent.cdninstagram.com/t51.2885-15/s320x320/e35/20902382_167936053753031_4050663302731137024_n.jpg")</f>
        <v>https://scontent.cdninstagram.com/t51.2885-15/s320x320/e35/20902382_167936053753031_4050663302731137024_n.jpg</v>
      </c>
      <c r="AE1710" s="249" t="str">
        <f>HYPERLINK("https://scontent.cdninstagram.com/t51.2885-19/s150x150/13151234_236759466695549_1880702541_a.jpg")</f>
        <v>https://scontent.cdninstagram.com/t51.2885-19/s150x150/13151234_236759466695549_1880702541_a.jpg</v>
      </c>
    </row>
    <row r="1711" spans="1:31" ht="15" x14ac:dyDescent="0.25">
      <c r="A1711" t="s">
        <v>2474</v>
      </c>
      <c r="B1711" t="s">
        <v>4341</v>
      </c>
      <c r="C1711" s="221">
        <v>42967.209583333337</v>
      </c>
      <c r="D1711" t="s">
        <v>11691</v>
      </c>
      <c r="E1711" s="249" t="str">
        <f>HYPERLINK("https://www.instagram.com/p/BYAoSyvANc8/")</f>
        <v>https://www.instagram.com/p/BYAoSyvANc8/</v>
      </c>
      <c r="F1711" t="s">
        <v>11692</v>
      </c>
      <c r="G1711" t="s">
        <v>2478</v>
      </c>
      <c r="H1711">
        <v>389403</v>
      </c>
      <c r="I1711" t="s">
        <v>2479</v>
      </c>
      <c r="J1711">
        <v>34</v>
      </c>
      <c r="K1711">
        <v>4536</v>
      </c>
      <c r="L1711">
        <v>4570</v>
      </c>
      <c r="Q1711">
        <v>0</v>
      </c>
      <c r="R1711">
        <v>0</v>
      </c>
      <c r="S1711">
        <v>4570</v>
      </c>
      <c r="AD1711" s="249" t="str">
        <f>HYPERLINK("https://scontent.cdninstagram.com/t51.2885-15/s320x320/e35/c1.0.1077.1077/20904941_288521541628279_3496279695941435392_n.jpg")</f>
        <v>https://scontent.cdninstagram.com/t51.2885-15/s320x320/e35/c1.0.1077.1077/20904941_288521541628279_3496279695941435392_n.jpg</v>
      </c>
      <c r="AE1711" s="249" t="str">
        <f>HYPERLINK("https://scontent.cdninstagram.com/t51.2885-19/s150x150/12357356_524081691094860_312972369_a.jpg")</f>
        <v>https://scontent.cdninstagram.com/t51.2885-19/s150x150/12357356_524081691094860_312972369_a.jpg</v>
      </c>
    </row>
    <row r="1712" spans="1:31" ht="15" x14ac:dyDescent="0.25">
      <c r="A1712" t="s">
        <v>2474</v>
      </c>
      <c r="B1712" t="s">
        <v>11693</v>
      </c>
      <c r="C1712" s="221">
        <v>42967.228125000001</v>
      </c>
      <c r="D1712" t="s">
        <v>11694</v>
      </c>
      <c r="E1712" s="249" t="str">
        <f>HYPERLINK("https://www.instagram.com/p/BYArWZxDAxK/")</f>
        <v>https://www.instagram.com/p/BYArWZxDAxK/</v>
      </c>
      <c r="F1712" t="s">
        <v>11695</v>
      </c>
      <c r="G1712" t="s">
        <v>2478</v>
      </c>
      <c r="H1712">
        <v>59</v>
      </c>
      <c r="I1712" t="s">
        <v>3273</v>
      </c>
      <c r="J1712">
        <v>0</v>
      </c>
      <c r="K1712">
        <v>23</v>
      </c>
      <c r="L1712">
        <v>23</v>
      </c>
      <c r="Q1712">
        <v>0</v>
      </c>
      <c r="R1712">
        <v>0</v>
      </c>
      <c r="S1712">
        <v>23</v>
      </c>
      <c r="Y1712" t="s">
        <v>11035</v>
      </c>
      <c r="Z1712" t="s">
        <v>11696</v>
      </c>
      <c r="AA1712" t="s">
        <v>11697</v>
      </c>
      <c r="AB1712" t="s">
        <v>5552</v>
      </c>
      <c r="AC1712" t="s">
        <v>3685</v>
      </c>
      <c r="AD1712" s="249" t="str">
        <f>HYPERLINK("https://scontent.cdninstagram.com/t51.2885-15/s320x320/e35/20968995_1729572790678496_4404189353719365632_n.jpg")</f>
        <v>https://scontent.cdninstagram.com/t51.2885-15/s320x320/e35/20968995_1729572790678496_4404189353719365632_n.jpg</v>
      </c>
      <c r="AE1712" s="249" t="str">
        <f>HYPERLINK("https://scontent.cdninstagram.com/t51.2885-19/s150x150/20969401_1601946396516159_1043328847044411392_a.jpg")</f>
        <v>https://scontent.cdninstagram.com/t51.2885-19/s150x150/20969401_1601946396516159_1043328847044411392_a.jpg</v>
      </c>
    </row>
    <row r="1713" spans="1:31" ht="15" x14ac:dyDescent="0.25">
      <c r="A1713" t="s">
        <v>2474</v>
      </c>
      <c r="B1713" t="s">
        <v>3133</v>
      </c>
      <c r="C1713" s="221">
        <v>42967.231192129628</v>
      </c>
      <c r="D1713" t="s">
        <v>11698</v>
      </c>
      <c r="E1713" s="249" t="str">
        <f>HYPERLINK("https://www.instagram.com/p/BYAr2tblRm_/")</f>
        <v>https://www.instagram.com/p/BYAr2tblRm_/</v>
      </c>
      <c r="F1713" t="s">
        <v>11699</v>
      </c>
      <c r="G1713" t="s">
        <v>2478</v>
      </c>
      <c r="H1713">
        <v>321</v>
      </c>
      <c r="I1713" t="s">
        <v>2479</v>
      </c>
      <c r="J1713">
        <v>0</v>
      </c>
      <c r="K1713">
        <v>47</v>
      </c>
      <c r="L1713">
        <v>47</v>
      </c>
      <c r="Q1713">
        <v>0</v>
      </c>
      <c r="R1713">
        <v>0</v>
      </c>
      <c r="S1713">
        <v>47</v>
      </c>
      <c r="Y1713" t="s">
        <v>5319</v>
      </c>
      <c r="Z1713" t="s">
        <v>3145</v>
      </c>
      <c r="AA1713" t="s">
        <v>5320</v>
      </c>
      <c r="AB1713" t="s">
        <v>11700</v>
      </c>
      <c r="AC1713" t="s">
        <v>5325</v>
      </c>
      <c r="AD1713" s="249" t="str">
        <f>HYPERLINK("https://scontent.cdninstagram.com/t51.2885-15/s320x320/e35/c135.0.810.810/20987092_127862604502694_5315668288234061824_n.jpg")</f>
        <v>https://scontent.cdninstagram.com/t51.2885-15/s320x320/e35/c135.0.810.810/20987092_127862604502694_5315668288234061824_n.jpg</v>
      </c>
      <c r="AE1713" s="249" t="str">
        <f>HYPERLINK("https://scontent.cdninstagram.com/t51.2885-19/s150x150/20986643_111635112861159_488548642974597120_a.jpg")</f>
        <v>https://scontent.cdninstagram.com/t51.2885-19/s150x150/20986643_111635112861159_488548642974597120_a.jpg</v>
      </c>
    </row>
    <row r="1714" spans="1:31" ht="15" x14ac:dyDescent="0.25">
      <c r="A1714" t="s">
        <v>2474</v>
      </c>
      <c r="B1714" t="s">
        <v>11701</v>
      </c>
      <c r="C1714" s="221">
        <v>42967.234560185185</v>
      </c>
      <c r="D1714" t="s">
        <v>11702</v>
      </c>
      <c r="E1714" s="249" t="str">
        <f>HYPERLINK("https://www.instagram.com/p/BYAsaNXhlNd/")</f>
        <v>https://www.instagram.com/p/BYAsaNXhlNd/</v>
      </c>
      <c r="F1714" t="s">
        <v>11703</v>
      </c>
      <c r="G1714" t="s">
        <v>2478</v>
      </c>
      <c r="H1714">
        <v>151</v>
      </c>
      <c r="I1714" t="s">
        <v>4052</v>
      </c>
      <c r="J1714">
        <v>2</v>
      </c>
      <c r="K1714">
        <v>68</v>
      </c>
      <c r="L1714">
        <v>70</v>
      </c>
      <c r="Q1714">
        <v>0</v>
      </c>
      <c r="R1714">
        <v>0</v>
      </c>
      <c r="S1714">
        <v>70</v>
      </c>
      <c r="Y1714" t="s">
        <v>11704</v>
      </c>
      <c r="Z1714" t="s">
        <v>4779</v>
      </c>
      <c r="AA1714" t="s">
        <v>11705</v>
      </c>
      <c r="AB1714" t="s">
        <v>2827</v>
      </c>
      <c r="AC1714" t="s">
        <v>11706</v>
      </c>
      <c r="AD1714" s="249" t="str">
        <f>HYPERLINK("https://scontent.cdninstagram.com/t51.2885-15/s320x320/e35/20902368_496563834023732_1512175517254549504_n.jpg")</f>
        <v>https://scontent.cdninstagram.com/t51.2885-15/s320x320/e35/20902368_496563834023732_1512175517254549504_n.jpg</v>
      </c>
      <c r="AE1714" s="249" t="str">
        <f>HYPERLINK("https://scontent.cdninstagram.com/t51.2885-19/s150x150/19367936_225770051267575_1281579693794918400_a.jpg")</f>
        <v>https://scontent.cdninstagram.com/t51.2885-19/s150x150/19367936_225770051267575_1281579693794918400_a.jpg</v>
      </c>
    </row>
    <row r="1715" spans="1:31" ht="15" x14ac:dyDescent="0.25">
      <c r="A1715" t="s">
        <v>2474</v>
      </c>
      <c r="B1715" t="s">
        <v>11707</v>
      </c>
      <c r="C1715" s="221">
        <v>42967.238958333335</v>
      </c>
      <c r="D1715" t="s">
        <v>11708</v>
      </c>
      <c r="E1715" s="249" t="str">
        <f>HYPERLINK("https://www.instagram.com/p/BYAtIs6h9Dh/")</f>
        <v>https://www.instagram.com/p/BYAtIs6h9Dh/</v>
      </c>
      <c r="F1715" t="s">
        <v>11709</v>
      </c>
      <c r="G1715" t="s">
        <v>2478</v>
      </c>
      <c r="H1715">
        <v>616</v>
      </c>
      <c r="I1715" t="s">
        <v>2479</v>
      </c>
      <c r="J1715">
        <v>0</v>
      </c>
      <c r="K1715">
        <v>1</v>
      </c>
      <c r="L1715">
        <v>1</v>
      </c>
      <c r="Q1715">
        <v>0</v>
      </c>
      <c r="R1715">
        <v>0</v>
      </c>
      <c r="S1715">
        <v>1</v>
      </c>
      <c r="Y1715" t="s">
        <v>11710</v>
      </c>
      <c r="Z1715" t="s">
        <v>11711</v>
      </c>
      <c r="AA1715" t="s">
        <v>11712</v>
      </c>
      <c r="AB1715" t="s">
        <v>11713</v>
      </c>
      <c r="AC1715" t="s">
        <v>6761</v>
      </c>
      <c r="AD1715" s="249" t="str">
        <f>HYPERLINK("https://scontent.cdninstagram.com/t51.2885-15/s150x150/e35/c94.0.286.286/20986815_110621016315914_209624593369923584_n.jpg")</f>
        <v>https://scontent.cdninstagram.com/t51.2885-15/s150x150/e35/c94.0.286.286/20986815_110621016315914_209624593369923584_n.jpg</v>
      </c>
      <c r="AE1715" s="249" t="str">
        <f>HYPERLINK("https://scontent.cdninstagram.com/t51.2885-19/s150x150/19227565_1946840768886509_7342011408692805632_a.jpg")</f>
        <v>https://scontent.cdninstagram.com/t51.2885-19/s150x150/19227565_1946840768886509_7342011408692805632_a.jpg</v>
      </c>
    </row>
    <row r="1716" spans="1:31" ht="15" x14ac:dyDescent="0.25">
      <c r="A1716" t="s">
        <v>2474</v>
      </c>
      <c r="B1716" t="s">
        <v>7647</v>
      </c>
      <c r="C1716" s="221">
        <v>42967.240127314813</v>
      </c>
      <c r="D1716" t="s">
        <v>11714</v>
      </c>
      <c r="E1716" s="249" t="str">
        <f>HYPERLINK("https://www.instagram.com/p/BYAtVAoAKsP/")</f>
        <v>https://www.instagram.com/p/BYAtVAoAKsP/</v>
      </c>
      <c r="F1716" t="s">
        <v>11715</v>
      </c>
      <c r="G1716" t="s">
        <v>2478</v>
      </c>
      <c r="H1716">
        <v>70</v>
      </c>
      <c r="I1716" t="s">
        <v>3575</v>
      </c>
      <c r="J1716">
        <v>1</v>
      </c>
      <c r="K1716">
        <v>32</v>
      </c>
      <c r="L1716">
        <v>33</v>
      </c>
      <c r="Q1716">
        <v>0</v>
      </c>
      <c r="R1716">
        <v>0</v>
      </c>
      <c r="S1716">
        <v>33</v>
      </c>
      <c r="Y1716" t="s">
        <v>11716</v>
      </c>
      <c r="Z1716" t="s">
        <v>11717</v>
      </c>
      <c r="AA1716" t="s">
        <v>3945</v>
      </c>
      <c r="AB1716" t="s">
        <v>11718</v>
      </c>
      <c r="AC1716" t="s">
        <v>11719</v>
      </c>
      <c r="AD1716" s="249" t="str">
        <f>HYPERLINK("https://scontent.cdninstagram.com/t51.2885-15/s320x320/e35/c257.0.565.565/20968665_1281193882007321_7224071087053602816_n.jpg")</f>
        <v>https://scontent.cdninstagram.com/t51.2885-15/s320x320/e35/c257.0.565.565/20968665_1281193882007321_7224071087053602816_n.jpg</v>
      </c>
      <c r="AE1716" s="249" t="str">
        <f>HYPERLINK("https://scontent.cdninstagram.com/t51.2885-19/s150x150/19984566_732703113580954_2442051729433296896_a.jpg")</f>
        <v>https://scontent.cdninstagram.com/t51.2885-19/s150x150/19984566_732703113580954_2442051729433296896_a.jpg</v>
      </c>
    </row>
    <row r="1717" spans="1:31" ht="15" x14ac:dyDescent="0.25">
      <c r="A1717" t="s">
        <v>2474</v>
      </c>
      <c r="B1717" t="s">
        <v>11720</v>
      </c>
      <c r="C1717" s="221">
        <v>42967.241493055553</v>
      </c>
      <c r="D1717" t="s">
        <v>11721</v>
      </c>
      <c r="E1717" s="249" t="str">
        <f>HYPERLINK("https://www.instagram.com/p/BYAtjVogxQc/")</f>
        <v>https://www.instagram.com/p/BYAtjVogxQc/</v>
      </c>
      <c r="F1717" t="s">
        <v>11722</v>
      </c>
      <c r="G1717" t="s">
        <v>2478</v>
      </c>
      <c r="H1717">
        <v>17604</v>
      </c>
      <c r="I1717" t="s">
        <v>2510</v>
      </c>
      <c r="J1717">
        <v>13</v>
      </c>
      <c r="K1717">
        <v>688</v>
      </c>
      <c r="L1717">
        <v>701</v>
      </c>
      <c r="Q1717">
        <v>0</v>
      </c>
      <c r="R1717">
        <v>0</v>
      </c>
      <c r="S1717">
        <v>701</v>
      </c>
      <c r="Y1717" t="s">
        <v>11723</v>
      </c>
      <c r="Z1717" t="s">
        <v>11724</v>
      </c>
      <c r="AA1717" t="s">
        <v>11725</v>
      </c>
      <c r="AB1717" t="s">
        <v>2497</v>
      </c>
      <c r="AC1717" t="s">
        <v>11726</v>
      </c>
      <c r="AD1717" s="249" t="str">
        <f>HYPERLINK("https://scontent.cdninstagram.com/t51.2885-15/s320x320/e35/20968425_465496703849180_5682346787508060160_n.jpg")</f>
        <v>https://scontent.cdninstagram.com/t51.2885-15/s320x320/e35/20968425_465496703849180_5682346787508060160_n.jpg</v>
      </c>
      <c r="AE1717" s="249" t="str">
        <f>HYPERLINK("https://scontent.cdninstagram.com/t51.2885-19/10517979_716095085128184_5453194_a.jpg")</f>
        <v>https://scontent.cdninstagram.com/t51.2885-19/10517979_716095085128184_5453194_a.jpg</v>
      </c>
    </row>
    <row r="1718" spans="1:31" ht="15" x14ac:dyDescent="0.25">
      <c r="A1718" t="s">
        <v>2474</v>
      </c>
      <c r="B1718" t="s">
        <v>11727</v>
      </c>
      <c r="C1718" s="221">
        <v>42967.245034722226</v>
      </c>
      <c r="D1718" t="s">
        <v>11728</v>
      </c>
      <c r="E1718" s="249" t="str">
        <f>HYPERLINK("https://www.instagram.com/p/BYAuItTjMdp/")</f>
        <v>https://www.instagram.com/p/BYAuItTjMdp/</v>
      </c>
      <c r="F1718" t="s">
        <v>11729</v>
      </c>
      <c r="G1718" t="s">
        <v>2478</v>
      </c>
      <c r="H1718">
        <v>1346</v>
      </c>
      <c r="I1718" t="s">
        <v>2479</v>
      </c>
      <c r="J1718">
        <v>3</v>
      </c>
      <c r="K1718">
        <v>247</v>
      </c>
      <c r="L1718">
        <v>250</v>
      </c>
      <c r="Q1718">
        <v>0</v>
      </c>
      <c r="R1718">
        <v>0</v>
      </c>
      <c r="S1718">
        <v>250</v>
      </c>
      <c r="Y1718" t="s">
        <v>11730</v>
      </c>
      <c r="Z1718" t="s">
        <v>11731</v>
      </c>
      <c r="AA1718" t="s">
        <v>3570</v>
      </c>
      <c r="AB1718" t="s">
        <v>11732</v>
      </c>
      <c r="AC1718" t="s">
        <v>2497</v>
      </c>
      <c r="AD1718" s="249" t="str">
        <f>HYPERLINK("https://scontent.cdninstagram.com/t51.2885-15/s320x320/e35/c0.90.720.720/20905277_1716133752016766_2932277819129987072_n.jpg")</f>
        <v>https://scontent.cdninstagram.com/t51.2885-15/s320x320/e35/c0.90.720.720/20905277_1716133752016766_2932277819129987072_n.jpg</v>
      </c>
      <c r="AE1718" s="249" t="str">
        <f>HYPERLINK("https://scontent.cdninstagram.com/t51.2885-19/s150x150/21149279_1510706418975838_3548286394071777280_a.jpg")</f>
        <v>https://scontent.cdninstagram.com/t51.2885-19/s150x150/21149279_1510706418975838_3548286394071777280_a.jpg</v>
      </c>
    </row>
    <row r="1719" spans="1:31" ht="15" x14ac:dyDescent="0.25">
      <c r="A1719" t="s">
        <v>2474</v>
      </c>
      <c r="B1719" t="s">
        <v>11733</v>
      </c>
      <c r="C1719" s="221">
        <v>42967.259733796294</v>
      </c>
      <c r="D1719" t="s">
        <v>11734</v>
      </c>
      <c r="E1719" s="249" t="str">
        <f>HYPERLINK("https://www.instagram.com/p/BYAwjuEF6je/")</f>
        <v>https://www.instagram.com/p/BYAwjuEF6je/</v>
      </c>
      <c r="F1719" t="s">
        <v>11735</v>
      </c>
      <c r="G1719" t="s">
        <v>2631</v>
      </c>
      <c r="H1719">
        <v>320</v>
      </c>
      <c r="I1719" t="s">
        <v>4523</v>
      </c>
      <c r="J1719">
        <v>0</v>
      </c>
      <c r="K1719">
        <v>54</v>
      </c>
      <c r="L1719">
        <v>54</v>
      </c>
      <c r="Q1719">
        <v>0</v>
      </c>
      <c r="R1719">
        <v>0</v>
      </c>
      <c r="S1719">
        <v>54</v>
      </c>
      <c r="Y1719" t="s">
        <v>11736</v>
      </c>
      <c r="Z1719" t="s">
        <v>7329</v>
      </c>
      <c r="AA1719" t="s">
        <v>2827</v>
      </c>
      <c r="AB1719" t="s">
        <v>3343</v>
      </c>
      <c r="AC1719" t="s">
        <v>11737</v>
      </c>
      <c r="AD1719" s="249" t="str">
        <f>HYPERLINK("https://scontent.cdninstagram.com/t51.2885-15/s320x320/e15/c0.90.720.720/20969359_841418082678637_5210173141141159936_n.jpg")</f>
        <v>https://scontent.cdninstagram.com/t51.2885-15/s320x320/e15/c0.90.720.720/20969359_841418082678637_5210173141141159936_n.jpg</v>
      </c>
      <c r="AE1719" s="249" t="str">
        <f>HYPERLINK("https://scontent.cdninstagram.com/t51.2885-19/s150x150/18580827_1398983063528267_2776944648923381760_a.jpg")</f>
        <v>https://scontent.cdninstagram.com/t51.2885-19/s150x150/18580827_1398983063528267_2776944648923381760_a.jpg</v>
      </c>
    </row>
    <row r="1720" spans="1:31" ht="15" x14ac:dyDescent="0.25">
      <c r="A1720" t="s">
        <v>2474</v>
      </c>
      <c r="B1720" t="s">
        <v>11738</v>
      </c>
      <c r="C1720" s="221">
        <v>42967.262835648151</v>
      </c>
      <c r="D1720" t="s">
        <v>11739</v>
      </c>
      <c r="E1720" s="249" t="str">
        <f>HYPERLINK("https://www.instagram.com/p/BYAxEbwHFcC/")</f>
        <v>https://www.instagram.com/p/BYAxEbwHFcC/</v>
      </c>
      <c r="F1720" t="s">
        <v>11740</v>
      </c>
      <c r="G1720" t="s">
        <v>2478</v>
      </c>
      <c r="H1720">
        <v>363</v>
      </c>
      <c r="I1720" t="s">
        <v>3575</v>
      </c>
      <c r="J1720">
        <v>0</v>
      </c>
      <c r="K1720">
        <v>31</v>
      </c>
      <c r="L1720">
        <v>31</v>
      </c>
      <c r="Q1720">
        <v>0</v>
      </c>
      <c r="R1720">
        <v>0</v>
      </c>
      <c r="S1720">
        <v>31</v>
      </c>
      <c r="T1720" t="s">
        <v>11741</v>
      </c>
      <c r="V1720" t="s">
        <v>2263</v>
      </c>
      <c r="W1720">
        <v>-33.759548199999998</v>
      </c>
      <c r="X1720">
        <v>18.963859599999999</v>
      </c>
      <c r="Y1720" t="s">
        <v>11742</v>
      </c>
      <c r="Z1720" t="s">
        <v>11743</v>
      </c>
      <c r="AA1720" t="s">
        <v>11744</v>
      </c>
      <c r="AB1720" t="s">
        <v>2734</v>
      </c>
      <c r="AC1720" t="s">
        <v>11745</v>
      </c>
      <c r="AD1720" s="249" t="str">
        <f>HYPERLINK("https://scontent.cdninstagram.com/t51.2885-15/s320x320/e35/c0.135.1080.1080/20905164_194274521111339_6112508768887504896_n.jpg")</f>
        <v>https://scontent.cdninstagram.com/t51.2885-15/s320x320/e35/c0.135.1080.1080/20905164_194274521111339_6112508768887504896_n.jpg</v>
      </c>
      <c r="AE1720" s="249" t="str">
        <f>HYPERLINK("https://scontent.cdninstagram.com/t51.2885-19/s150x150/15337314_192203501242674_1498938110220697600_a.jpg")</f>
        <v>https://scontent.cdninstagram.com/t51.2885-19/s150x150/15337314_192203501242674_1498938110220697600_a.jpg</v>
      </c>
    </row>
    <row r="1721" spans="1:31" ht="15" x14ac:dyDescent="0.25">
      <c r="A1721" t="s">
        <v>2474</v>
      </c>
      <c r="B1721" t="s">
        <v>3895</v>
      </c>
      <c r="C1721" s="221">
        <v>42967.269328703704</v>
      </c>
      <c r="D1721" t="s">
        <v>11746</v>
      </c>
      <c r="E1721" s="249" t="str">
        <f>HYPERLINK("https://www.instagram.com/p/BYAyJAglQV6/")</f>
        <v>https://www.instagram.com/p/BYAyJAglQV6/</v>
      </c>
      <c r="F1721" t="s">
        <v>11747</v>
      </c>
      <c r="G1721" t="s">
        <v>2478</v>
      </c>
      <c r="H1721">
        <v>427</v>
      </c>
      <c r="I1721" t="s">
        <v>2479</v>
      </c>
      <c r="J1721">
        <v>5</v>
      </c>
      <c r="K1721">
        <v>104</v>
      </c>
      <c r="L1721">
        <v>109</v>
      </c>
      <c r="Q1721">
        <v>0</v>
      </c>
      <c r="R1721">
        <v>0</v>
      </c>
      <c r="S1721">
        <v>109</v>
      </c>
      <c r="Y1721" t="s">
        <v>3899</v>
      </c>
      <c r="Z1721" t="s">
        <v>7905</v>
      </c>
      <c r="AA1721" t="s">
        <v>11096</v>
      </c>
      <c r="AB1721" t="s">
        <v>11748</v>
      </c>
      <c r="AC1721" t="s">
        <v>8007</v>
      </c>
      <c r="AD1721" s="249" t="str">
        <f>HYPERLINK("https://scontent.cdninstagram.com/t51.2885-15/s320x320/e35/20904910_1436053429794076_6892316895303696384_n.jpg")</f>
        <v>https://scontent.cdninstagram.com/t51.2885-15/s320x320/e35/20904910_1436053429794076_6892316895303696384_n.jpg</v>
      </c>
      <c r="AE1721" s="249" t="str">
        <f>HYPERLINK("https://scontent.cdninstagram.com/t51.2885-19/s150x150/20902130_1390331654386412_4188068892897181696_a.jpg")</f>
        <v>https://scontent.cdninstagram.com/t51.2885-19/s150x150/20902130_1390331654386412_4188068892897181696_a.jpg</v>
      </c>
    </row>
    <row r="1722" spans="1:31" ht="15" x14ac:dyDescent="0.25">
      <c r="A1722" t="s">
        <v>2474</v>
      </c>
      <c r="B1722" t="s">
        <v>8312</v>
      </c>
      <c r="C1722" s="221">
        <v>42967.271087962959</v>
      </c>
      <c r="D1722" t="s">
        <v>11749</v>
      </c>
      <c r="E1722" s="249" t="str">
        <f>HYPERLINK("https://www.instagram.com/p/BYAybfclK_u/")</f>
        <v>https://www.instagram.com/p/BYAybfclK_u/</v>
      </c>
      <c r="F1722" t="s">
        <v>11750</v>
      </c>
      <c r="G1722" t="s">
        <v>2478</v>
      </c>
      <c r="H1722">
        <v>19</v>
      </c>
      <c r="I1722" t="s">
        <v>3170</v>
      </c>
      <c r="J1722">
        <v>0</v>
      </c>
      <c r="K1722">
        <v>20</v>
      </c>
      <c r="L1722">
        <v>20</v>
      </c>
      <c r="Q1722">
        <v>0</v>
      </c>
      <c r="R1722">
        <v>0</v>
      </c>
      <c r="S1722">
        <v>20</v>
      </c>
      <c r="T1722" t="s">
        <v>10329</v>
      </c>
      <c r="V1722" t="s">
        <v>2264</v>
      </c>
      <c r="W1722">
        <v>42.764014243490003</v>
      </c>
      <c r="X1722">
        <v>-7.9069180053236003</v>
      </c>
      <c r="Y1722" t="s">
        <v>4833</v>
      </c>
      <c r="Z1722" t="s">
        <v>2832</v>
      </c>
      <c r="AA1722" t="s">
        <v>6466</v>
      </c>
      <c r="AB1722" t="s">
        <v>9075</v>
      </c>
      <c r="AC1722" t="s">
        <v>11190</v>
      </c>
      <c r="AD1722" s="249" t="str">
        <f>HYPERLINK("https://scontent.cdninstagram.com/t51.2885-15/s320x320/e35/20905506_712736335601915_6135820257937326080_n.jpg")</f>
        <v>https://scontent.cdninstagram.com/t51.2885-15/s320x320/e35/20905506_712736335601915_6135820257937326080_n.jpg</v>
      </c>
      <c r="AE1722" s="249" t="str">
        <f>HYPERLINK("https://scontent.cdninstagram.com/t51.2885-19/s150x150/20347739_515336592144896_3974966673097621504_a.jpg")</f>
        <v>https://scontent.cdninstagram.com/t51.2885-19/s150x150/20347739_515336592144896_3974966673097621504_a.jpg</v>
      </c>
    </row>
    <row r="1723" spans="1:31" ht="15" x14ac:dyDescent="0.25">
      <c r="A1723" t="s">
        <v>2474</v>
      </c>
      <c r="B1723" t="s">
        <v>11751</v>
      </c>
      <c r="C1723" s="221">
        <v>42967.275405092594</v>
      </c>
      <c r="D1723" t="s">
        <v>11752</v>
      </c>
      <c r="E1723" s="249" t="str">
        <f>HYPERLINK("https://www.instagram.com/p/BYAzJGOhXZy/")</f>
        <v>https://www.instagram.com/p/BYAzJGOhXZy/</v>
      </c>
      <c r="F1723" t="s">
        <v>11753</v>
      </c>
      <c r="G1723" t="s">
        <v>2478</v>
      </c>
      <c r="H1723">
        <v>316</v>
      </c>
      <c r="I1723" t="s">
        <v>2479</v>
      </c>
      <c r="J1723">
        <v>0</v>
      </c>
      <c r="K1723">
        <v>52</v>
      </c>
      <c r="L1723">
        <v>52</v>
      </c>
      <c r="Q1723">
        <v>0</v>
      </c>
      <c r="R1723">
        <v>0</v>
      </c>
      <c r="S1723">
        <v>52</v>
      </c>
      <c r="T1723" t="s">
        <v>11754</v>
      </c>
      <c r="V1723" t="s">
        <v>2103</v>
      </c>
      <c r="W1723">
        <v>48.204005600000002</v>
      </c>
      <c r="X1723">
        <v>16.336792022221999</v>
      </c>
      <c r="Y1723" t="s">
        <v>11755</v>
      </c>
      <c r="Z1723" t="s">
        <v>3774</v>
      </c>
      <c r="AA1723" t="s">
        <v>2497</v>
      </c>
      <c r="AB1723" t="s">
        <v>11756</v>
      </c>
      <c r="AD1723" s="249" t="str">
        <f>HYPERLINK("https://scontent.cdninstagram.com/t51.2885-15/s320x320/e35/c0.135.1080.1080/20969066_111675129510968_2079994683689271296_n.jpg")</f>
        <v>https://scontent.cdninstagram.com/t51.2885-15/s320x320/e35/c0.135.1080.1080/20969066_111675129510968_2079994683689271296_n.jpg</v>
      </c>
      <c r="AE1723" s="249" t="str">
        <f>HYPERLINK("https://scontent.cdninstagram.com/t51.2885-19/s150x150/20065777_116420185655027_2315961436766994432_a.jpg")</f>
        <v>https://scontent.cdninstagram.com/t51.2885-19/s150x150/20065777_116420185655027_2315961436766994432_a.jpg</v>
      </c>
    </row>
    <row r="1724" spans="1:31" ht="15" x14ac:dyDescent="0.25">
      <c r="A1724" t="s">
        <v>2474</v>
      </c>
      <c r="B1724" t="s">
        <v>3015</v>
      </c>
      <c r="C1724" s="221">
        <v>42967.299988425926</v>
      </c>
      <c r="D1724" t="s">
        <v>11757</v>
      </c>
      <c r="E1724" s="249" t="str">
        <f>HYPERLINK("https://www.instagram.com/p/BYA3MXpA2jL/")</f>
        <v>https://www.instagram.com/p/BYA3MXpA2jL/</v>
      </c>
      <c r="F1724" t="s">
        <v>11758</v>
      </c>
      <c r="G1724" t="s">
        <v>2478</v>
      </c>
      <c r="H1724">
        <v>223</v>
      </c>
      <c r="I1724" t="s">
        <v>2479</v>
      </c>
      <c r="J1724">
        <v>2</v>
      </c>
      <c r="K1724">
        <v>40</v>
      </c>
      <c r="L1724">
        <v>42</v>
      </c>
      <c r="Q1724">
        <v>0</v>
      </c>
      <c r="R1724">
        <v>0</v>
      </c>
      <c r="S1724">
        <v>42</v>
      </c>
      <c r="Y1724" t="s">
        <v>4919</v>
      </c>
      <c r="Z1724" t="s">
        <v>3854</v>
      </c>
      <c r="AA1724" t="s">
        <v>3492</v>
      </c>
      <c r="AB1724" t="s">
        <v>11759</v>
      </c>
      <c r="AC1724" t="s">
        <v>3165</v>
      </c>
      <c r="AD1724" s="249" t="str">
        <f>HYPERLINK("https://scontent.cdninstagram.com/t51.2885-15/s320x320/e35/20905761_127727997848046_4670580525545553920_n.jpg")</f>
        <v>https://scontent.cdninstagram.com/t51.2885-15/s320x320/e35/20905761_127727997848046_4670580525545553920_n.jpg</v>
      </c>
      <c r="AE1724" s="249" t="str">
        <f>HYPERLINK("https://scontent.cdninstagram.com/t51.2885-19/s150x150/19761452_1876060406050696_4275948751316582400_a.jpg")</f>
        <v>https://scontent.cdninstagram.com/t51.2885-19/s150x150/19761452_1876060406050696_4275948751316582400_a.jpg</v>
      </c>
    </row>
    <row r="1725" spans="1:31" ht="15" x14ac:dyDescent="0.25">
      <c r="A1725" t="s">
        <v>2474</v>
      </c>
      <c r="B1725" t="s">
        <v>7928</v>
      </c>
      <c r="C1725" s="221">
        <v>42967.301030092596</v>
      </c>
      <c r="D1725" t="s">
        <v>11760</v>
      </c>
      <c r="E1725" s="249" t="str">
        <f>HYPERLINK("https://www.instagram.com/p/BYA3XRonHPg/")</f>
        <v>https://www.instagram.com/p/BYA3XRonHPg/</v>
      </c>
      <c r="F1725" t="s">
        <v>11761</v>
      </c>
      <c r="G1725" t="s">
        <v>2478</v>
      </c>
      <c r="H1725">
        <v>1013</v>
      </c>
      <c r="I1725" t="s">
        <v>2910</v>
      </c>
      <c r="J1725">
        <v>15</v>
      </c>
      <c r="K1725">
        <v>102</v>
      </c>
      <c r="L1725">
        <v>117</v>
      </c>
      <c r="Q1725">
        <v>0</v>
      </c>
      <c r="R1725">
        <v>0</v>
      </c>
      <c r="S1725">
        <v>117</v>
      </c>
      <c r="Y1725" t="s">
        <v>2497</v>
      </c>
      <c r="Z1725" t="s">
        <v>2492</v>
      </c>
      <c r="AA1725" t="s">
        <v>11762</v>
      </c>
      <c r="AB1725" t="s">
        <v>8067</v>
      </c>
      <c r="AC1725" t="s">
        <v>11763</v>
      </c>
      <c r="AD1725" s="249" t="str">
        <f>HYPERLINK("https://scontent.cdninstagram.com/t51.2885-15/s320x320/e35/c135.0.810.810/20905596_325356207935153_1309405287962116096_n.jpg")</f>
        <v>https://scontent.cdninstagram.com/t51.2885-15/s320x320/e35/c135.0.810.810/20905596_325356207935153_1309405287962116096_n.jpg</v>
      </c>
      <c r="AE1725" s="249" t="str">
        <f>HYPERLINK("https://scontent.cdninstagram.com/t51.2885-19/s150x150/19985311_2006615152918872_5733674704711974912_a.jpg")</f>
        <v>https://scontent.cdninstagram.com/t51.2885-19/s150x150/19985311_2006615152918872_5733674704711974912_a.jpg</v>
      </c>
    </row>
    <row r="1726" spans="1:31" ht="15" x14ac:dyDescent="0.25">
      <c r="A1726" t="s">
        <v>2474</v>
      </c>
      <c r="B1726" t="s">
        <v>11764</v>
      </c>
      <c r="C1726" s="221">
        <v>42967.30537037037</v>
      </c>
      <c r="D1726" t="s">
        <v>11765</v>
      </c>
      <c r="E1726" s="249" t="str">
        <f>HYPERLINK("https://www.instagram.com/p/BYA4FBoBKMS/")</f>
        <v>https://www.instagram.com/p/BYA4FBoBKMS/</v>
      </c>
      <c r="F1726" t="s">
        <v>11766</v>
      </c>
      <c r="G1726" t="s">
        <v>2478</v>
      </c>
      <c r="H1726">
        <v>121</v>
      </c>
      <c r="I1726" t="s">
        <v>2479</v>
      </c>
      <c r="J1726">
        <v>2</v>
      </c>
      <c r="K1726">
        <v>43</v>
      </c>
      <c r="L1726">
        <v>45</v>
      </c>
      <c r="Q1726">
        <v>0</v>
      </c>
      <c r="R1726">
        <v>0</v>
      </c>
      <c r="S1726">
        <v>45</v>
      </c>
      <c r="Y1726" t="s">
        <v>11767</v>
      </c>
      <c r="Z1726" t="s">
        <v>11768</v>
      </c>
      <c r="AA1726" t="s">
        <v>11769</v>
      </c>
      <c r="AB1726" t="s">
        <v>11770</v>
      </c>
      <c r="AC1726" t="s">
        <v>11771</v>
      </c>
      <c r="AD1726" s="249" t="str">
        <f>HYPERLINK("https://scontent.cdninstagram.com/t51.2885-15/s320x320/e35/20987262_1542990415753345_516511792059383808_n.jpg")</f>
        <v>https://scontent.cdninstagram.com/t51.2885-15/s320x320/e35/20987262_1542990415753345_516511792059383808_n.jpg</v>
      </c>
      <c r="AE1726" s="249" t="str">
        <f>HYPERLINK("https://scontent.cdninstagram.com/t51.2885-19/s150x150/21041286_113649249367904_6604834298728022016_a.jpg")</f>
        <v>https://scontent.cdninstagram.com/t51.2885-19/s150x150/21041286_113649249367904_6604834298728022016_a.jpg</v>
      </c>
    </row>
    <row r="1727" spans="1:31" ht="15" x14ac:dyDescent="0.25">
      <c r="A1727" t="s">
        <v>2474</v>
      </c>
      <c r="B1727" t="s">
        <v>3301</v>
      </c>
      <c r="C1727" s="221">
        <v>42967.306562500002</v>
      </c>
      <c r="D1727" t="s">
        <v>11772</v>
      </c>
      <c r="E1727" s="249" t="str">
        <f>HYPERLINK("https://www.instagram.com/p/BYA4RndjJ7X/")</f>
        <v>https://www.instagram.com/p/BYA4RndjJ7X/</v>
      </c>
      <c r="F1727" t="s">
        <v>11773</v>
      </c>
      <c r="G1727" t="s">
        <v>2478</v>
      </c>
      <c r="H1727">
        <v>596</v>
      </c>
      <c r="I1727" t="s">
        <v>2599</v>
      </c>
      <c r="J1727">
        <v>0</v>
      </c>
      <c r="K1727">
        <v>82</v>
      </c>
      <c r="L1727">
        <v>82</v>
      </c>
      <c r="Q1727">
        <v>0</v>
      </c>
      <c r="R1727">
        <v>0</v>
      </c>
      <c r="S1727">
        <v>82</v>
      </c>
      <c r="Y1727" t="s">
        <v>5236</v>
      </c>
      <c r="Z1727" t="s">
        <v>4161</v>
      </c>
      <c r="AA1727" t="s">
        <v>4159</v>
      </c>
      <c r="AB1727" t="s">
        <v>5235</v>
      </c>
      <c r="AC1727" t="s">
        <v>4157</v>
      </c>
      <c r="AD1727" s="249" t="str">
        <f>HYPERLINK("https://scontent.cdninstagram.com/t51.2885-15/s320x320/e35/20905379_1015369845273004_1642083305702555648_n.jpg")</f>
        <v>https://scontent.cdninstagram.com/t51.2885-15/s320x320/e35/20905379_1015369845273004_1642083305702555648_n.jpg</v>
      </c>
      <c r="AE1727" s="249" t="str">
        <f>HYPERLINK("https://scontent.cdninstagram.com/t51.2885-19/s150x150/19228478_370974479971900_5746578409966796800_a.jpg")</f>
        <v>https://scontent.cdninstagram.com/t51.2885-19/s150x150/19228478_370974479971900_5746578409966796800_a.jpg</v>
      </c>
    </row>
    <row r="1728" spans="1:31" ht="15" x14ac:dyDescent="0.25">
      <c r="A1728" t="s">
        <v>2474</v>
      </c>
      <c r="B1728" t="s">
        <v>4148</v>
      </c>
      <c r="C1728" s="221">
        <v>42967.310023148151</v>
      </c>
      <c r="D1728" t="s">
        <v>11774</v>
      </c>
      <c r="E1728" s="249" t="str">
        <f>HYPERLINK("https://www.instagram.com/p/BYA42LHA0BU/")</f>
        <v>https://www.instagram.com/p/BYA42LHA0BU/</v>
      </c>
      <c r="F1728" t="s">
        <v>11775</v>
      </c>
      <c r="G1728" t="s">
        <v>2478</v>
      </c>
      <c r="H1728">
        <v>160</v>
      </c>
      <c r="I1728" t="s">
        <v>2479</v>
      </c>
      <c r="J1728">
        <v>0</v>
      </c>
      <c r="K1728">
        <v>23</v>
      </c>
      <c r="L1728">
        <v>23</v>
      </c>
      <c r="Q1728">
        <v>0</v>
      </c>
      <c r="R1728">
        <v>0</v>
      </c>
      <c r="S1728">
        <v>23</v>
      </c>
      <c r="T1728" t="s">
        <v>11776</v>
      </c>
      <c r="V1728" t="s">
        <v>2222</v>
      </c>
      <c r="W1728">
        <v>51.9833</v>
      </c>
      <c r="X1728">
        <v>4.4833299999999996</v>
      </c>
      <c r="Y1728" t="s">
        <v>11777</v>
      </c>
      <c r="Z1728" t="s">
        <v>4407</v>
      </c>
      <c r="AA1728" t="s">
        <v>2944</v>
      </c>
      <c r="AB1728" t="s">
        <v>11778</v>
      </c>
      <c r="AC1728" t="s">
        <v>11779</v>
      </c>
      <c r="AD1728" s="249" t="str">
        <f>HYPERLINK("https://scontent.cdninstagram.com/t51.2885-15/s320x320/e35/c0.135.1080.1080/20987281_122149251768467_608174966910746624_n.jpg")</f>
        <v>https://scontent.cdninstagram.com/t51.2885-15/s320x320/e35/c0.135.1080.1080/20987281_122149251768467_608174966910746624_n.jpg</v>
      </c>
      <c r="AE1728" s="249" t="str">
        <f>HYPERLINK("https://scontent.cdninstagram.com/t51.2885-19/s150x150/20687812_777554912450628_2712738005994438656_a.jpg")</f>
        <v>https://scontent.cdninstagram.com/t51.2885-19/s150x150/20687812_777554912450628_2712738005994438656_a.jpg</v>
      </c>
    </row>
    <row r="1729" spans="1:31" ht="15" x14ac:dyDescent="0.25">
      <c r="A1729" t="s">
        <v>2474</v>
      </c>
      <c r="B1729" t="s">
        <v>11780</v>
      </c>
      <c r="C1729" s="221">
        <v>42967.313402777778</v>
      </c>
      <c r="D1729" t="s">
        <v>11781</v>
      </c>
      <c r="E1729" s="249" t="str">
        <f>HYPERLINK("https://www.instagram.com/p/BYA5ZwRA8aO/")</f>
        <v>https://www.instagram.com/p/BYA5ZwRA8aO/</v>
      </c>
      <c r="F1729" t="s">
        <v>11782</v>
      </c>
      <c r="G1729" t="s">
        <v>2631</v>
      </c>
      <c r="H1729">
        <v>294</v>
      </c>
      <c r="I1729" t="s">
        <v>2599</v>
      </c>
      <c r="J1729">
        <v>2</v>
      </c>
      <c r="K1729">
        <v>45</v>
      </c>
      <c r="L1729">
        <v>47</v>
      </c>
      <c r="Q1729">
        <v>0</v>
      </c>
      <c r="R1729">
        <v>0</v>
      </c>
      <c r="S1729">
        <v>47</v>
      </c>
      <c r="Y1729" t="s">
        <v>2491</v>
      </c>
      <c r="Z1729" t="s">
        <v>11783</v>
      </c>
      <c r="AA1729" t="s">
        <v>11784</v>
      </c>
      <c r="AB1729" t="s">
        <v>2861</v>
      </c>
      <c r="AC1729" t="s">
        <v>11785</v>
      </c>
      <c r="AD1729" s="249" t="str">
        <f>HYPERLINK("https://scontent.cdninstagram.com/t51.2885-15/s320x320/e15/c236.0.607.607/20987568_1938936329688057_8378245781513043968_n.jpg")</f>
        <v>https://scontent.cdninstagram.com/t51.2885-15/s320x320/e15/c236.0.607.607/20987568_1938936329688057_8378245781513043968_n.jpg</v>
      </c>
      <c r="AE1729" s="249" t="str">
        <f>HYPERLINK("https://scontent.cdninstagram.com/t51.2885-19/s150x150/15276656_1046174462174665_6448574579521617920_a.jpg")</f>
        <v>https://scontent.cdninstagram.com/t51.2885-19/s150x150/15276656_1046174462174665_6448574579521617920_a.jpg</v>
      </c>
    </row>
    <row r="1730" spans="1:31" ht="15" x14ac:dyDescent="0.25">
      <c r="A1730" t="s">
        <v>2474</v>
      </c>
      <c r="B1730" t="s">
        <v>11786</v>
      </c>
      <c r="C1730" s="221">
        <v>42967.31355324074</v>
      </c>
      <c r="D1730" t="s">
        <v>11787</v>
      </c>
      <c r="E1730" s="249" t="str">
        <f>HYPERLINK("https://www.instagram.com/p/BYA5baSjyL0/")</f>
        <v>https://www.instagram.com/p/BYA5baSjyL0/</v>
      </c>
      <c r="F1730" t="s">
        <v>11788</v>
      </c>
      <c r="G1730" t="s">
        <v>2478</v>
      </c>
      <c r="H1730">
        <v>328</v>
      </c>
      <c r="I1730" t="s">
        <v>2479</v>
      </c>
      <c r="J1730">
        <v>2</v>
      </c>
      <c r="K1730">
        <v>51</v>
      </c>
      <c r="L1730">
        <v>53</v>
      </c>
      <c r="Q1730">
        <v>0</v>
      </c>
      <c r="R1730">
        <v>0</v>
      </c>
      <c r="S1730">
        <v>53</v>
      </c>
      <c r="T1730" t="s">
        <v>9352</v>
      </c>
      <c r="V1730" t="s">
        <v>2141</v>
      </c>
      <c r="W1730">
        <v>55.676099999999998</v>
      </c>
      <c r="X1730">
        <v>12.568300000000001</v>
      </c>
      <c r="Y1730" t="s">
        <v>5236</v>
      </c>
      <c r="Z1730" t="s">
        <v>4161</v>
      </c>
      <c r="AA1730" t="s">
        <v>4159</v>
      </c>
      <c r="AB1730" t="s">
        <v>5235</v>
      </c>
      <c r="AC1730" t="s">
        <v>4157</v>
      </c>
      <c r="AD1730" s="249" t="str">
        <f>HYPERLINK("https://scontent.cdninstagram.com/t51.2885-15/s320x320/e35/20905498_1481300951960984_9209041599298797568_n.jpg")</f>
        <v>https://scontent.cdninstagram.com/t51.2885-15/s320x320/e35/20905498_1481300951960984_9209041599298797568_n.jpg</v>
      </c>
      <c r="AE1730" s="249" t="str">
        <f>HYPERLINK("https://scontent.cdninstagram.com/t51.2885-19/s150x150/12142283_1085268044818757_202828974_a.jpg")</f>
        <v>https://scontent.cdninstagram.com/t51.2885-19/s150x150/12142283_1085268044818757_202828974_a.jpg</v>
      </c>
    </row>
    <row r="1731" spans="1:31" ht="15" x14ac:dyDescent="0.25">
      <c r="A1731" t="s">
        <v>2474</v>
      </c>
      <c r="B1731" t="s">
        <v>11789</v>
      </c>
      <c r="C1731" s="221">
        <v>42967.317002314812</v>
      </c>
      <c r="D1731" t="s">
        <v>11790</v>
      </c>
      <c r="E1731" s="249" t="str">
        <f>HYPERLINK("https://www.instagram.com/p/BYA5_vBj3Pv/")</f>
        <v>https://www.instagram.com/p/BYA5_vBj3Pv/</v>
      </c>
      <c r="F1731" t="s">
        <v>11791</v>
      </c>
      <c r="G1731" t="s">
        <v>2478</v>
      </c>
      <c r="H1731">
        <v>233</v>
      </c>
      <c r="I1731" t="s">
        <v>2479</v>
      </c>
      <c r="J1731">
        <v>0</v>
      </c>
      <c r="K1731">
        <v>13</v>
      </c>
      <c r="L1731">
        <v>13</v>
      </c>
      <c r="Q1731">
        <v>0</v>
      </c>
      <c r="R1731">
        <v>0</v>
      </c>
      <c r="S1731">
        <v>13</v>
      </c>
      <c r="Y1731" t="s">
        <v>2497</v>
      </c>
      <c r="Z1731" t="s">
        <v>11792</v>
      </c>
      <c r="AA1731" t="s">
        <v>11793</v>
      </c>
      <c r="AB1731" t="s">
        <v>3535</v>
      </c>
      <c r="AC1731" t="s">
        <v>2730</v>
      </c>
      <c r="AD1731" s="249" t="str">
        <f>HYPERLINK("https://scontent.cdninstagram.com/t51.2885-15/s320x320/e35/20901893_225702151288492_5015559694693957632_n.jpg")</f>
        <v>https://scontent.cdninstagram.com/t51.2885-15/s320x320/e35/20901893_225702151288492_5015559694693957632_n.jpg</v>
      </c>
      <c r="AE1731" s="249" t="str">
        <f>HYPERLINK("https://scontent.cdninstagram.com/t51.2885-19/s150x150/17819088_204862170010825_6075875107329277952_a.jpg")</f>
        <v>https://scontent.cdninstagram.com/t51.2885-19/s150x150/17819088_204862170010825_6075875107329277952_a.jpg</v>
      </c>
    </row>
    <row r="1732" spans="1:31" ht="15" x14ac:dyDescent="0.25">
      <c r="A1732" t="s">
        <v>2474</v>
      </c>
      <c r="B1732" t="s">
        <v>3652</v>
      </c>
      <c r="C1732" s="221">
        <v>42967.318101851852</v>
      </c>
      <c r="D1732" t="s">
        <v>11794</v>
      </c>
      <c r="E1732" s="249" t="str">
        <f>HYPERLINK("https://www.instagram.com/p/BYA6LZaFlER/")</f>
        <v>https://www.instagram.com/p/BYA6LZaFlER/</v>
      </c>
      <c r="F1732" t="s">
        <v>11795</v>
      </c>
      <c r="G1732" t="s">
        <v>2478</v>
      </c>
      <c r="H1732">
        <v>336</v>
      </c>
      <c r="I1732" t="s">
        <v>2599</v>
      </c>
      <c r="J1732">
        <v>1</v>
      </c>
      <c r="K1732">
        <v>21</v>
      </c>
      <c r="L1732">
        <v>22</v>
      </c>
      <c r="Q1732">
        <v>0</v>
      </c>
      <c r="R1732">
        <v>0</v>
      </c>
      <c r="S1732">
        <v>22</v>
      </c>
      <c r="Y1732" t="s">
        <v>2497</v>
      </c>
      <c r="Z1732" t="s">
        <v>11796</v>
      </c>
      <c r="AA1732" t="s">
        <v>4733</v>
      </c>
      <c r="AB1732" t="s">
        <v>5924</v>
      </c>
      <c r="AC1732" t="s">
        <v>6181</v>
      </c>
      <c r="AD1732" s="249" t="str">
        <f>HYPERLINK("https://scontent.cdninstagram.com/t51.2885-15/s320x320/e35/c0.113.902.902/20902097_111086846271670_5930167306725359616_n.jpg")</f>
        <v>https://scontent.cdninstagram.com/t51.2885-15/s320x320/e35/c0.113.902.902/20902097_111086846271670_5930167306725359616_n.jpg</v>
      </c>
      <c r="AE1732" s="249" t="str">
        <f>HYPERLINK("https://scontent.cdninstagram.com/t51.2885-19/s150x150/20479042_1632812930125555_6494197354227302400_a.jpg")</f>
        <v>https://scontent.cdninstagram.com/t51.2885-19/s150x150/20479042_1632812930125555_6494197354227302400_a.jpg</v>
      </c>
    </row>
    <row r="1733" spans="1:31" ht="15" x14ac:dyDescent="0.25">
      <c r="A1733" t="s">
        <v>2474</v>
      </c>
      <c r="B1733" t="s">
        <v>11797</v>
      </c>
      <c r="C1733" s="221">
        <v>42967.324259259258</v>
      </c>
      <c r="D1733" t="s">
        <v>11798</v>
      </c>
      <c r="E1733" s="249" t="str">
        <f>HYPERLINK("https://www.instagram.com/p/BYA7MUrBZy2/")</f>
        <v>https://www.instagram.com/p/BYA7MUrBZy2/</v>
      </c>
      <c r="F1733" t="s">
        <v>11799</v>
      </c>
      <c r="G1733" t="s">
        <v>2478</v>
      </c>
      <c r="H1733">
        <v>299</v>
      </c>
      <c r="I1733" t="s">
        <v>2542</v>
      </c>
      <c r="J1733">
        <v>21</v>
      </c>
      <c r="K1733">
        <v>62</v>
      </c>
      <c r="L1733">
        <v>83</v>
      </c>
      <c r="Q1733">
        <v>0</v>
      </c>
      <c r="R1733">
        <v>0</v>
      </c>
      <c r="S1733">
        <v>83</v>
      </c>
      <c r="Y1733" t="s">
        <v>11800</v>
      </c>
      <c r="Z1733" t="s">
        <v>11801</v>
      </c>
      <c r="AA1733" t="s">
        <v>11802</v>
      </c>
      <c r="AB1733" t="s">
        <v>11803</v>
      </c>
      <c r="AC1733" t="s">
        <v>11804</v>
      </c>
      <c r="AD1733" s="249" t="str">
        <f>HYPERLINK("https://scontent.cdninstagram.com/t51.2885-15/s320x320/e35/20902701_337642669990574_4415304668951871488_n.jpg")</f>
        <v>https://scontent.cdninstagram.com/t51.2885-15/s320x320/e35/20902701_337642669990574_4415304668951871488_n.jpg</v>
      </c>
      <c r="AE1733" s="249" t="str">
        <f>HYPERLINK("https://scontent.cdninstagram.com/t51.2885-19/s150x150/20968635_495390550793869_1632310648786386944_a.jpg")</f>
        <v>https://scontent.cdninstagram.com/t51.2885-19/s150x150/20968635_495390550793869_1632310648786386944_a.jpg</v>
      </c>
    </row>
    <row r="1734" spans="1:31" ht="15" x14ac:dyDescent="0.25">
      <c r="A1734" t="s">
        <v>2474</v>
      </c>
      <c r="B1734" t="s">
        <v>3251</v>
      </c>
      <c r="C1734" s="221">
        <v>42967.340729166666</v>
      </c>
      <c r="D1734" t="s">
        <v>11805</v>
      </c>
      <c r="E1734" s="249" t="str">
        <f>HYPERLINK("https://www.instagram.com/p/BYA96CMn_9O/")</f>
        <v>https://www.instagram.com/p/BYA96CMn_9O/</v>
      </c>
      <c r="F1734" t="s">
        <v>11806</v>
      </c>
      <c r="G1734" t="s">
        <v>2478</v>
      </c>
      <c r="H1734">
        <v>295</v>
      </c>
      <c r="I1734" t="s">
        <v>2542</v>
      </c>
      <c r="J1734">
        <v>0</v>
      </c>
      <c r="K1734">
        <v>33</v>
      </c>
      <c r="L1734">
        <v>33</v>
      </c>
      <c r="Q1734">
        <v>0</v>
      </c>
      <c r="R1734">
        <v>0</v>
      </c>
      <c r="S1734">
        <v>33</v>
      </c>
      <c r="Y1734" t="s">
        <v>11807</v>
      </c>
      <c r="Z1734" t="s">
        <v>3970</v>
      </c>
      <c r="AA1734" t="s">
        <v>11808</v>
      </c>
      <c r="AB1734" t="s">
        <v>9593</v>
      </c>
      <c r="AC1734" t="s">
        <v>3969</v>
      </c>
      <c r="AD1734" s="249" t="str">
        <f>HYPERLINK("https://scontent.cdninstagram.com/t51.2885-15/s320x320/e35/20986681_1978877445722491_1128455545527730176_n.jpg")</f>
        <v>https://scontent.cdninstagram.com/t51.2885-15/s320x320/e35/20986681_1978877445722491_1128455545527730176_n.jpg</v>
      </c>
      <c r="AE1734" s="249" t="str">
        <f>HYPERLINK("https://scontent.cdninstagram.com/t51.2885-19/s150x150/20986614_891746094322067_1272495017625124864_a.jpg")</f>
        <v>https://scontent.cdninstagram.com/t51.2885-19/s150x150/20986614_891746094322067_1272495017625124864_a.jpg</v>
      </c>
    </row>
    <row r="1735" spans="1:31" ht="15" x14ac:dyDescent="0.25">
      <c r="A1735" t="s">
        <v>2474</v>
      </c>
      <c r="B1735" t="s">
        <v>5251</v>
      </c>
      <c r="C1735" s="221">
        <v>42967.344502314816</v>
      </c>
      <c r="D1735" t="s">
        <v>11809</v>
      </c>
      <c r="E1735" s="249" t="str">
        <f>HYPERLINK("https://www.instagram.com/p/BYA-hyhjwQ_/")</f>
        <v>https://www.instagram.com/p/BYA-hyhjwQ_/</v>
      </c>
      <c r="F1735" t="s">
        <v>11810</v>
      </c>
      <c r="G1735" t="s">
        <v>2478</v>
      </c>
      <c r="H1735">
        <v>421</v>
      </c>
      <c r="I1735" t="s">
        <v>5670</v>
      </c>
      <c r="J1735">
        <v>4</v>
      </c>
      <c r="K1735">
        <v>60</v>
      </c>
      <c r="L1735">
        <v>64</v>
      </c>
      <c r="Q1735">
        <v>0</v>
      </c>
      <c r="R1735">
        <v>0</v>
      </c>
      <c r="S1735">
        <v>64</v>
      </c>
      <c r="T1735" t="s">
        <v>11811</v>
      </c>
      <c r="V1735" t="s">
        <v>2110</v>
      </c>
      <c r="W1735">
        <v>51.217170699999997</v>
      </c>
      <c r="X1735">
        <v>4.2595200999999996</v>
      </c>
      <c r="Y1735" t="s">
        <v>11812</v>
      </c>
      <c r="Z1735" t="s">
        <v>5259</v>
      </c>
      <c r="AA1735" t="s">
        <v>11813</v>
      </c>
      <c r="AB1735" t="s">
        <v>7552</v>
      </c>
      <c r="AC1735" t="s">
        <v>11814</v>
      </c>
      <c r="AD1735" s="249" t="str">
        <f>HYPERLINK("https://scontent.cdninstagram.com/t51.2885-15/s320x320/e35/20902289_686994201496005_526178397643079680_n.jpg")</f>
        <v>https://scontent.cdninstagram.com/t51.2885-15/s320x320/e35/20902289_686994201496005_526178397643079680_n.jpg</v>
      </c>
      <c r="AE1735" s="249" t="str">
        <f>HYPERLINK("https://scontent.cdninstagram.com/t51.2885-19/s150x150/16908014_1328109893917679_7028138896667967488_a.jpg")</f>
        <v>https://scontent.cdninstagram.com/t51.2885-19/s150x150/16908014_1328109893917679_7028138896667967488_a.jpg</v>
      </c>
    </row>
    <row r="1736" spans="1:31" ht="15" x14ac:dyDescent="0.25">
      <c r="A1736" t="s">
        <v>2474</v>
      </c>
      <c r="B1736" t="s">
        <v>11815</v>
      </c>
      <c r="C1736" s="221">
        <v>42967.346817129626</v>
      </c>
      <c r="D1736" t="s">
        <v>11816</v>
      </c>
      <c r="E1736" s="249" t="str">
        <f>HYPERLINK("https://www.instagram.com/p/BYA-6Pvl65C/")</f>
        <v>https://www.instagram.com/p/BYA-6Pvl65C/</v>
      </c>
      <c r="F1736" t="s">
        <v>11817</v>
      </c>
      <c r="G1736" t="s">
        <v>2478</v>
      </c>
      <c r="I1736" t="s">
        <v>2479</v>
      </c>
      <c r="J1736">
        <v>0</v>
      </c>
      <c r="K1736">
        <v>7</v>
      </c>
      <c r="L1736">
        <v>7</v>
      </c>
      <c r="Q1736">
        <v>0</v>
      </c>
      <c r="R1736">
        <v>0</v>
      </c>
      <c r="S1736">
        <v>7</v>
      </c>
      <c r="Y1736" t="s">
        <v>2497</v>
      </c>
      <c r="Z1736" t="s">
        <v>11818</v>
      </c>
      <c r="AD1736" s="249" t="str">
        <f>HYPERLINK("https://scontent.cdninstagram.com/t51.2885-15/s320x320/e35/20969264_2001546826758183_3601178778883063808_n.jpg")</f>
        <v>https://scontent.cdninstagram.com/t51.2885-15/s320x320/e35/20969264_2001546826758183_3601178778883063808_n.jpg</v>
      </c>
      <c r="AE1736" s="249" t="str">
        <f>HYPERLINK("https://scontent.cdninstagram.com/t51.2885-19/s150x150/18011979_371758919891621_6388575153411850240_a.jpg")</f>
        <v>https://scontent.cdninstagram.com/t51.2885-19/s150x150/18011979_371758919891621_6388575153411850240_a.jpg</v>
      </c>
    </row>
    <row r="1737" spans="1:31" ht="15" x14ac:dyDescent="0.25">
      <c r="A1737" t="s">
        <v>2474</v>
      </c>
      <c r="B1737" t="s">
        <v>8198</v>
      </c>
      <c r="C1737" s="221">
        <v>42967.365300925929</v>
      </c>
      <c r="D1737" t="s">
        <v>11819</v>
      </c>
      <c r="E1737" s="249" t="str">
        <f>HYPERLINK("https://www.instagram.com/p/BYBB9IjAWtJ/")</f>
        <v>https://www.instagram.com/p/BYBB9IjAWtJ/</v>
      </c>
      <c r="F1737" t="s">
        <v>11820</v>
      </c>
      <c r="G1737" t="s">
        <v>2478</v>
      </c>
      <c r="H1737">
        <v>254</v>
      </c>
      <c r="I1737" t="s">
        <v>2479</v>
      </c>
      <c r="J1737">
        <v>3</v>
      </c>
      <c r="K1737">
        <v>24</v>
      </c>
      <c r="L1737">
        <v>27</v>
      </c>
      <c r="Q1737">
        <v>0</v>
      </c>
      <c r="R1737">
        <v>0</v>
      </c>
      <c r="S1737">
        <v>27</v>
      </c>
      <c r="Y1737" t="s">
        <v>2497</v>
      </c>
      <c r="Z1737" t="s">
        <v>11821</v>
      </c>
      <c r="AA1737" t="s">
        <v>11822</v>
      </c>
      <c r="AB1737" t="s">
        <v>11823</v>
      </c>
      <c r="AC1737" t="s">
        <v>5802</v>
      </c>
      <c r="AD1737" s="249" t="str">
        <f>HYPERLINK("https://scontent.cdninstagram.com/t51.2885-15/s320x320/e35/c135.0.810.810/20968471_799818023532158_3081454570329604096_n.jpg")</f>
        <v>https://scontent.cdninstagram.com/t51.2885-15/s320x320/e35/c135.0.810.810/20968471_799818023532158_3081454570329604096_n.jpg</v>
      </c>
      <c r="AE1737" s="249" t="str">
        <f>HYPERLINK("https://scontent.cdninstagram.com/t51.2885-19/s150x150/20838202_109987066377662_8424614055167131648_a.jpg")</f>
        <v>https://scontent.cdninstagram.com/t51.2885-19/s150x150/20838202_109987066377662_8424614055167131648_a.jpg</v>
      </c>
    </row>
    <row r="1738" spans="1:31" ht="15" x14ac:dyDescent="0.25">
      <c r="A1738" t="s">
        <v>2474</v>
      </c>
      <c r="B1738" t="s">
        <v>6847</v>
      </c>
      <c r="C1738" s="221">
        <v>42967.37395833333</v>
      </c>
      <c r="D1738" t="s">
        <v>11824</v>
      </c>
      <c r="E1738" s="249" t="str">
        <f>HYPERLINK("https://www.instagram.com/p/BYBDYcxhC6h/")</f>
        <v>https://www.instagram.com/p/BYBDYcxhC6h/</v>
      </c>
      <c r="F1738" t="s">
        <v>11825</v>
      </c>
      <c r="G1738" t="s">
        <v>2478</v>
      </c>
      <c r="H1738">
        <v>131</v>
      </c>
      <c r="I1738" t="s">
        <v>2910</v>
      </c>
      <c r="J1738">
        <v>4</v>
      </c>
      <c r="K1738">
        <v>57</v>
      </c>
      <c r="L1738">
        <v>61</v>
      </c>
      <c r="Q1738">
        <v>0</v>
      </c>
      <c r="R1738">
        <v>0</v>
      </c>
      <c r="S1738">
        <v>61</v>
      </c>
      <c r="T1738" t="s">
        <v>6850</v>
      </c>
      <c r="V1738" t="s">
        <v>2161</v>
      </c>
      <c r="W1738">
        <v>50.95</v>
      </c>
      <c r="X1738">
        <v>6.9667000000000003</v>
      </c>
      <c r="Y1738" t="s">
        <v>4042</v>
      </c>
      <c r="Z1738" t="s">
        <v>11826</v>
      </c>
      <c r="AA1738" t="s">
        <v>8353</v>
      </c>
      <c r="AB1738" t="s">
        <v>11827</v>
      </c>
      <c r="AC1738" t="s">
        <v>4779</v>
      </c>
      <c r="AD1738" s="249" t="str">
        <f>HYPERLINK("https://scontent.cdninstagram.com/t51.2885-15/s320x320/e35/20902609_112618306107416_6957745263154823168_n.jpg")</f>
        <v>https://scontent.cdninstagram.com/t51.2885-15/s320x320/e35/20902609_112618306107416_6957745263154823168_n.jpg</v>
      </c>
      <c r="AE1738" s="249" t="str">
        <f>HYPERLINK("https://scontent.cdninstagram.com/t51.2885-19/s150x150/20759948_2040958986128138_1613724504230461440_a.jpg")</f>
        <v>https://scontent.cdninstagram.com/t51.2885-19/s150x150/20759948_2040958986128138_1613724504230461440_a.jpg</v>
      </c>
    </row>
    <row r="1739" spans="1:31" ht="15" x14ac:dyDescent="0.25">
      <c r="A1739" t="s">
        <v>2474</v>
      </c>
      <c r="B1739" t="s">
        <v>11828</v>
      </c>
      <c r="C1739" s="221">
        <v>42967.375034722223</v>
      </c>
      <c r="D1739" t="s">
        <v>11829</v>
      </c>
      <c r="E1739" s="249" t="str">
        <f>HYPERLINK("https://www.instagram.com/p/BYBDj27g8B1/")</f>
        <v>https://www.instagram.com/p/BYBDj27g8B1/</v>
      </c>
      <c r="F1739" t="s">
        <v>11830</v>
      </c>
      <c r="G1739" t="s">
        <v>2478</v>
      </c>
      <c r="H1739">
        <v>51103</v>
      </c>
      <c r="I1739" t="s">
        <v>2479</v>
      </c>
      <c r="J1739">
        <v>22</v>
      </c>
      <c r="K1739">
        <v>1603</v>
      </c>
      <c r="L1739">
        <v>1625</v>
      </c>
      <c r="Q1739">
        <v>0</v>
      </c>
      <c r="R1739">
        <v>0</v>
      </c>
      <c r="S1739">
        <v>1625</v>
      </c>
      <c r="Y1739" t="s">
        <v>11831</v>
      </c>
      <c r="Z1739" t="s">
        <v>11832</v>
      </c>
      <c r="AA1739" t="s">
        <v>11833</v>
      </c>
      <c r="AB1739" t="s">
        <v>11834</v>
      </c>
      <c r="AC1739" t="s">
        <v>6449</v>
      </c>
      <c r="AD1739" s="249" t="str">
        <f>HYPERLINK("https://scontent.cdninstagram.com/t51.2885-15/s320x320/e35/c0.135.1080.1080/20902605_1409421525820244_8162387180551929856_n.jpg")</f>
        <v>https://scontent.cdninstagram.com/t51.2885-15/s320x320/e35/c0.135.1080.1080/20902605_1409421525820244_8162387180551929856_n.jpg</v>
      </c>
      <c r="AE1739" s="249" t="str">
        <f>HYPERLINK("https://scontent.cdninstagram.com/t51.2885-19/s150x150/19931618_136684503580564_4923658196402307072_n.jpg")</f>
        <v>https://scontent.cdninstagram.com/t51.2885-19/s150x150/19931618_136684503580564_4923658196402307072_n.jpg</v>
      </c>
    </row>
    <row r="1740" spans="1:31" ht="15" x14ac:dyDescent="0.25">
      <c r="A1740" t="s">
        <v>2474</v>
      </c>
      <c r="B1740" t="s">
        <v>11835</v>
      </c>
      <c r="C1740" s="221">
        <v>42967.387291666666</v>
      </c>
      <c r="D1740" t="s">
        <v>11836</v>
      </c>
      <c r="E1740" s="249" t="str">
        <f>HYPERLINK("https://www.instagram.com/p/BYBFlEyhPTy/")</f>
        <v>https://www.instagram.com/p/BYBFlEyhPTy/</v>
      </c>
      <c r="F1740" t="s">
        <v>11837</v>
      </c>
      <c r="G1740" t="s">
        <v>2478</v>
      </c>
      <c r="H1740">
        <v>147</v>
      </c>
      <c r="I1740" t="s">
        <v>2748</v>
      </c>
      <c r="J1740">
        <v>1</v>
      </c>
      <c r="K1740">
        <v>37</v>
      </c>
      <c r="L1740">
        <v>38</v>
      </c>
      <c r="Q1740">
        <v>0</v>
      </c>
      <c r="R1740">
        <v>0</v>
      </c>
      <c r="S1740">
        <v>38</v>
      </c>
      <c r="T1740" t="s">
        <v>11838</v>
      </c>
      <c r="V1740" t="s">
        <v>2264</v>
      </c>
      <c r="W1740">
        <v>41.382777777778003</v>
      </c>
      <c r="X1740">
        <v>2.1769444444444002</v>
      </c>
      <c r="Y1740" t="s">
        <v>11839</v>
      </c>
      <c r="Z1740" t="s">
        <v>11840</v>
      </c>
      <c r="AA1740" t="s">
        <v>11841</v>
      </c>
      <c r="AB1740" t="s">
        <v>3323</v>
      </c>
      <c r="AC1740" t="s">
        <v>5997</v>
      </c>
      <c r="AD1740" s="249" t="str">
        <f>HYPERLINK("https://scontent.cdninstagram.com/t51.2885-15/s320x320/e35/c0.135.1080.1080/20905102_277365056081454_166009664335511552_n.jpg")</f>
        <v>https://scontent.cdninstagram.com/t51.2885-15/s320x320/e35/c0.135.1080.1080/20905102_277365056081454_166009664335511552_n.jpg</v>
      </c>
      <c r="AE1740" s="249" t="str">
        <f>HYPERLINK("https://scontent.cdninstagram.com/t51.2885-19/s150x150/21041518_112682026065745_732717190154813440_a.jpg")</f>
        <v>https://scontent.cdninstagram.com/t51.2885-19/s150x150/21041518_112682026065745_732717190154813440_a.jpg</v>
      </c>
    </row>
    <row r="1741" spans="1:31" ht="15" x14ac:dyDescent="0.25">
      <c r="A1741" t="s">
        <v>2474</v>
      </c>
      <c r="B1741" t="s">
        <v>11842</v>
      </c>
      <c r="C1741" s="221">
        <v>42967.388032407405</v>
      </c>
      <c r="D1741" t="s">
        <v>11843</v>
      </c>
      <c r="E1741" s="249" t="str">
        <f>HYPERLINK("https://www.instagram.com/p/BYBFs9RBWdA/")</f>
        <v>https://www.instagram.com/p/BYBFs9RBWdA/</v>
      </c>
      <c r="F1741" t="s">
        <v>11844</v>
      </c>
      <c r="G1741" t="s">
        <v>2478</v>
      </c>
      <c r="H1741">
        <v>223</v>
      </c>
      <c r="I1741" t="s">
        <v>2479</v>
      </c>
      <c r="J1741">
        <v>0</v>
      </c>
      <c r="K1741">
        <v>1</v>
      </c>
      <c r="L1741">
        <v>1</v>
      </c>
      <c r="Q1741">
        <v>0</v>
      </c>
      <c r="R1741">
        <v>0</v>
      </c>
      <c r="S1741">
        <v>1</v>
      </c>
      <c r="Y1741" t="s">
        <v>11845</v>
      </c>
      <c r="Z1741" t="s">
        <v>11846</v>
      </c>
      <c r="AA1741" t="s">
        <v>11847</v>
      </c>
      <c r="AB1741" t="s">
        <v>2497</v>
      </c>
      <c r="AC1741" t="s">
        <v>11848</v>
      </c>
      <c r="AD1741" s="249" t="str">
        <f>HYPERLINK("https://scontent.cdninstagram.com/t51.2885-15/s320x320/e35/20987210_157845971434815_3279126304074498048_n.jpg")</f>
        <v>https://scontent.cdninstagram.com/t51.2885-15/s320x320/e35/20987210_157845971434815_3279126304074498048_n.jpg</v>
      </c>
      <c r="AE1741" s="249" t="str">
        <f>HYPERLINK("https://scontent.cdninstagram.com/t51.2885-19/s150x150/20759156_1758364297794080_8758946949576523776_a.jpg")</f>
        <v>https://scontent.cdninstagram.com/t51.2885-19/s150x150/20759156_1758364297794080_8758946949576523776_a.jpg</v>
      </c>
    </row>
    <row r="1742" spans="1:31" ht="15" x14ac:dyDescent="0.25">
      <c r="A1742" t="s">
        <v>2474</v>
      </c>
      <c r="B1742" t="s">
        <v>11849</v>
      </c>
      <c r="C1742" s="221">
        <v>42967.391631944447</v>
      </c>
      <c r="D1742" t="s">
        <v>11850</v>
      </c>
      <c r="E1742" s="249" t="str">
        <f>HYPERLINK("https://www.instagram.com/p/BYBGS07Ffvq/")</f>
        <v>https://www.instagram.com/p/BYBGS07Ffvq/</v>
      </c>
      <c r="F1742" t="s">
        <v>11851</v>
      </c>
      <c r="G1742" t="s">
        <v>2478</v>
      </c>
      <c r="H1742">
        <v>257</v>
      </c>
      <c r="I1742" t="s">
        <v>2479</v>
      </c>
      <c r="J1742">
        <v>2</v>
      </c>
      <c r="K1742">
        <v>26</v>
      </c>
      <c r="L1742">
        <v>28</v>
      </c>
      <c r="Q1742">
        <v>0</v>
      </c>
      <c r="R1742">
        <v>0</v>
      </c>
      <c r="S1742">
        <v>28</v>
      </c>
      <c r="Y1742" t="s">
        <v>11852</v>
      </c>
      <c r="Z1742" t="s">
        <v>11853</v>
      </c>
      <c r="AA1742" t="s">
        <v>2551</v>
      </c>
      <c r="AB1742" t="s">
        <v>11854</v>
      </c>
      <c r="AC1742" t="s">
        <v>10311</v>
      </c>
      <c r="AD1742" s="249" t="str">
        <f>HYPERLINK("https://scontent.cdninstagram.com/t51.2885-15/s320x320/e35/c0.135.1080.1080/20904995_1930031607235602_6585355818881777664_n.jpg")</f>
        <v>https://scontent.cdninstagram.com/t51.2885-15/s320x320/e35/c0.135.1080.1080/20904995_1930031607235602_6585355818881777664_n.jpg</v>
      </c>
      <c r="AE1742" s="249" t="str">
        <f>HYPERLINK("https://scontent.cdninstagram.com/t51.2885-19/s150x150/20635221_119568958691717_2196229276246736896_a.jpg")</f>
        <v>https://scontent.cdninstagram.com/t51.2885-19/s150x150/20635221_119568958691717_2196229276246736896_a.jpg</v>
      </c>
    </row>
    <row r="1743" spans="1:31" ht="15" x14ac:dyDescent="0.25">
      <c r="A1743" t="s">
        <v>2474</v>
      </c>
      <c r="B1743" t="s">
        <v>11855</v>
      </c>
      <c r="C1743" s="221">
        <v>42967.393680555557</v>
      </c>
      <c r="D1743" t="s">
        <v>11856</v>
      </c>
      <c r="E1743" s="249" t="str">
        <f>HYPERLINK("https://www.instagram.com/p/BYBGohFjJyy/")</f>
        <v>https://www.instagram.com/p/BYBGohFjJyy/</v>
      </c>
      <c r="F1743" t="s">
        <v>11857</v>
      </c>
      <c r="G1743" t="s">
        <v>2478</v>
      </c>
      <c r="H1743">
        <v>12895</v>
      </c>
      <c r="I1743" t="s">
        <v>2479</v>
      </c>
      <c r="J1743">
        <v>11</v>
      </c>
      <c r="K1743">
        <v>817</v>
      </c>
      <c r="L1743">
        <v>828</v>
      </c>
      <c r="Q1743">
        <v>0</v>
      </c>
      <c r="R1743">
        <v>0</v>
      </c>
      <c r="S1743">
        <v>828</v>
      </c>
      <c r="T1743" t="s">
        <v>11858</v>
      </c>
      <c r="U1743" t="s">
        <v>99</v>
      </c>
      <c r="V1743" t="s">
        <v>2299</v>
      </c>
      <c r="W1743">
        <v>40.572771500000002</v>
      </c>
      <c r="X1743">
        <v>-73.978505699999999</v>
      </c>
      <c r="Y1743" t="s">
        <v>11859</v>
      </c>
      <c r="Z1743" t="s">
        <v>11860</v>
      </c>
      <c r="AA1743" t="s">
        <v>6898</v>
      </c>
      <c r="AB1743" t="s">
        <v>11861</v>
      </c>
      <c r="AC1743" t="s">
        <v>2497</v>
      </c>
      <c r="AD1743" s="249" t="str">
        <f>HYPERLINK("https://scontent.cdninstagram.com/t51.2885-15/s320x320/e35/c0.135.1080.1080/21041166_166500460586262_7580104604373745664_n.jpg")</f>
        <v>https://scontent.cdninstagram.com/t51.2885-15/s320x320/e35/c0.135.1080.1080/21041166_166500460586262_7580104604373745664_n.jpg</v>
      </c>
      <c r="AE1743" s="249" t="str">
        <f>HYPERLINK("https://scontent.cdninstagram.com/t51.2885-19/10748230_1575769195976818_2090489231_a.jpg")</f>
        <v>https://scontent.cdninstagram.com/t51.2885-19/10748230_1575769195976818_2090489231_a.jpg</v>
      </c>
    </row>
    <row r="1744" spans="1:31" ht="15" x14ac:dyDescent="0.25">
      <c r="A1744" t="s">
        <v>2474</v>
      </c>
      <c r="B1744" t="s">
        <v>11862</v>
      </c>
      <c r="C1744" s="221">
        <v>42967.404328703706</v>
      </c>
      <c r="D1744" t="s">
        <v>11863</v>
      </c>
      <c r="E1744" s="249" t="str">
        <f>HYPERLINK("https://www.instagram.com/p/BYBIYunnPYi/")</f>
        <v>https://www.instagram.com/p/BYBIYunnPYi/</v>
      </c>
      <c r="F1744" t="s">
        <v>11864</v>
      </c>
      <c r="G1744" t="s">
        <v>2478</v>
      </c>
      <c r="I1744" t="s">
        <v>2479</v>
      </c>
      <c r="J1744">
        <v>0</v>
      </c>
      <c r="K1744">
        <v>11</v>
      </c>
      <c r="L1744">
        <v>11</v>
      </c>
      <c r="Q1744">
        <v>0</v>
      </c>
      <c r="R1744">
        <v>0</v>
      </c>
      <c r="S1744">
        <v>11</v>
      </c>
      <c r="T1744" t="s">
        <v>11865</v>
      </c>
      <c r="V1744" t="s">
        <v>2177</v>
      </c>
      <c r="W1744">
        <v>-7.8013888888888996</v>
      </c>
      <c r="X1744">
        <v>110.36444444444</v>
      </c>
      <c r="Y1744" t="s">
        <v>2497</v>
      </c>
      <c r="Z1744" t="s">
        <v>11866</v>
      </c>
      <c r="AA1744" t="s">
        <v>11867</v>
      </c>
      <c r="AD1744" s="249" t="str">
        <f>HYPERLINK("https://scontent.cdninstagram.com/t51.2885-15/s320x320/e35/c0.135.1080.1080/20905418_263216987511139_2125533328575561728_n.jpg")</f>
        <v>https://scontent.cdninstagram.com/t51.2885-15/s320x320/e35/c0.135.1080.1080/20905418_263216987511139_2125533328575561728_n.jpg</v>
      </c>
      <c r="AE1744" s="249" t="str">
        <f>HYPERLINK("https://scontent.cdninstagram.com/t51.2885-19/s150x150/20838742_1355528867878633_170784856219844608_a.jpg")</f>
        <v>https://scontent.cdninstagram.com/t51.2885-19/s150x150/20838742_1355528867878633_170784856219844608_a.jpg</v>
      </c>
    </row>
    <row r="1745" spans="1:31" ht="15" x14ac:dyDescent="0.25">
      <c r="A1745" t="s">
        <v>2474</v>
      </c>
      <c r="B1745" t="s">
        <v>11868</v>
      </c>
      <c r="C1745" s="221">
        <v>42967.408032407409</v>
      </c>
      <c r="D1745" t="s">
        <v>11869</v>
      </c>
      <c r="E1745" s="249" t="str">
        <f>HYPERLINK("https://www.instagram.com/p/BYBI_0llRTl/")</f>
        <v>https://www.instagram.com/p/BYBI_0llRTl/</v>
      </c>
      <c r="F1745" t="s">
        <v>11870</v>
      </c>
      <c r="G1745" t="s">
        <v>2478</v>
      </c>
      <c r="H1745">
        <v>192</v>
      </c>
      <c r="I1745" t="s">
        <v>4052</v>
      </c>
      <c r="J1745">
        <v>0</v>
      </c>
      <c r="K1745">
        <v>10</v>
      </c>
      <c r="L1745">
        <v>10</v>
      </c>
      <c r="Q1745">
        <v>0</v>
      </c>
      <c r="R1745">
        <v>0</v>
      </c>
      <c r="S1745">
        <v>10</v>
      </c>
      <c r="Y1745" t="s">
        <v>2497</v>
      </c>
      <c r="Z1745" t="s">
        <v>11871</v>
      </c>
      <c r="AA1745" t="s">
        <v>3534</v>
      </c>
      <c r="AB1745" t="s">
        <v>11872</v>
      </c>
      <c r="AD1745" s="249" t="str">
        <f>HYPERLINK("https://scontent.cdninstagram.com/t51.2885-15/s320x320/e35/c0.87.693.693/20905723_124969661474230_2288468273068507136_n.jpg")</f>
        <v>https://scontent.cdninstagram.com/t51.2885-15/s320x320/e35/c0.87.693.693/20905723_124969661474230_2288468273068507136_n.jpg</v>
      </c>
      <c r="AE1745" s="249" t="str">
        <f>HYPERLINK("https://scontent.cdninstagram.com/t51.2885-19/s150x150/17931866_838410902964213_1007655484338995200_a.jpg")</f>
        <v>https://scontent.cdninstagram.com/t51.2885-19/s150x150/17931866_838410902964213_1007655484338995200_a.jpg</v>
      </c>
    </row>
    <row r="1746" spans="1:31" ht="15" x14ac:dyDescent="0.25">
      <c r="A1746" t="s">
        <v>2474</v>
      </c>
      <c r="B1746" t="s">
        <v>11873</v>
      </c>
      <c r="C1746" s="221">
        <v>42967.422048611108</v>
      </c>
      <c r="D1746" t="s">
        <v>11874</v>
      </c>
      <c r="E1746" s="249" t="str">
        <f>HYPERLINK("https://www.instagram.com/p/BYBLTsUlldd/")</f>
        <v>https://www.instagram.com/p/BYBLTsUlldd/</v>
      </c>
      <c r="F1746" t="s">
        <v>11875</v>
      </c>
      <c r="G1746" t="s">
        <v>2478</v>
      </c>
      <c r="H1746">
        <v>247</v>
      </c>
      <c r="I1746" t="s">
        <v>2542</v>
      </c>
      <c r="J1746">
        <v>1</v>
      </c>
      <c r="K1746">
        <v>12</v>
      </c>
      <c r="L1746">
        <v>13</v>
      </c>
      <c r="Q1746">
        <v>0</v>
      </c>
      <c r="R1746">
        <v>0</v>
      </c>
      <c r="S1746">
        <v>13</v>
      </c>
      <c r="Y1746" t="s">
        <v>2497</v>
      </c>
      <c r="Z1746" t="s">
        <v>11876</v>
      </c>
      <c r="AA1746" t="s">
        <v>6678</v>
      </c>
      <c r="AB1746" t="s">
        <v>5989</v>
      </c>
      <c r="AC1746" t="s">
        <v>8669</v>
      </c>
      <c r="AD1746" s="249" t="str">
        <f>HYPERLINK("https://scontent.cdninstagram.com/t51.2885-15/s320x320/e35/20905022_112232809435428_8516622596928700416_n.jpg")</f>
        <v>https://scontent.cdninstagram.com/t51.2885-15/s320x320/e35/20905022_112232809435428_8516622596928700416_n.jpg</v>
      </c>
      <c r="AE1746" s="249" t="str">
        <f>HYPERLINK("https://scontent.cdninstagram.com/t51.2885-19/s150x150/20901887_1120845191349603_4142043649691090944_a.jpg")</f>
        <v>https://scontent.cdninstagram.com/t51.2885-19/s150x150/20901887_1120845191349603_4142043649691090944_a.jpg</v>
      </c>
    </row>
    <row r="1747" spans="1:31" ht="15" x14ac:dyDescent="0.25">
      <c r="A1747" t="s">
        <v>2474</v>
      </c>
      <c r="B1747" t="s">
        <v>11877</v>
      </c>
      <c r="C1747" s="221">
        <v>42967.424942129626</v>
      </c>
      <c r="D1747" t="s">
        <v>11878</v>
      </c>
      <c r="E1747" s="249" t="str">
        <f>HYPERLINK("https://www.instagram.com/p/BYBLyLlhieP/")</f>
        <v>https://www.instagram.com/p/BYBLyLlhieP/</v>
      </c>
      <c r="F1747" t="s">
        <v>11879</v>
      </c>
      <c r="G1747" t="s">
        <v>2478</v>
      </c>
      <c r="H1747">
        <v>598</v>
      </c>
      <c r="I1747" t="s">
        <v>5670</v>
      </c>
      <c r="J1747">
        <v>0</v>
      </c>
      <c r="K1747">
        <v>23</v>
      </c>
      <c r="L1747">
        <v>23</v>
      </c>
      <c r="Q1747">
        <v>0</v>
      </c>
      <c r="R1747">
        <v>0</v>
      </c>
      <c r="S1747">
        <v>23</v>
      </c>
      <c r="Y1747" t="s">
        <v>9453</v>
      </c>
      <c r="Z1747" t="s">
        <v>2497</v>
      </c>
      <c r="AA1747" t="s">
        <v>10325</v>
      </c>
      <c r="AB1747" t="s">
        <v>11880</v>
      </c>
      <c r="AC1747" t="s">
        <v>11881</v>
      </c>
      <c r="AD1747" s="249" t="str">
        <f>HYPERLINK("https://scontent.cdninstagram.com/t51.2885-15/s320x320/e35/20902166_339903566435512_7680682499244032000_n.jpg")</f>
        <v>https://scontent.cdninstagram.com/t51.2885-15/s320x320/e35/20902166_339903566435512_7680682499244032000_n.jpg</v>
      </c>
      <c r="AE1747" s="249" t="str">
        <f>HYPERLINK("https://scontent.cdninstagram.com/t51.2885-19/s150x150/20968928_203328350203400_1356688269391167488_a.jpg")</f>
        <v>https://scontent.cdninstagram.com/t51.2885-19/s150x150/20968928_203328350203400_1356688269391167488_a.jpg</v>
      </c>
    </row>
    <row r="1748" spans="1:31" ht="15" x14ac:dyDescent="0.25">
      <c r="A1748" t="s">
        <v>2474</v>
      </c>
      <c r="B1748" t="s">
        <v>11882</v>
      </c>
      <c r="C1748" s="221">
        <v>42967.425127314818</v>
      </c>
      <c r="D1748" t="s">
        <v>11883</v>
      </c>
      <c r="E1748" s="249" t="str">
        <f>HYPERLINK("https://www.instagram.com/p/BYBL0FqAFrK/")</f>
        <v>https://www.instagram.com/p/BYBL0FqAFrK/</v>
      </c>
      <c r="F1748" t="s">
        <v>11884</v>
      </c>
      <c r="G1748" t="s">
        <v>2478</v>
      </c>
      <c r="H1748">
        <v>176</v>
      </c>
      <c r="I1748" t="s">
        <v>2479</v>
      </c>
      <c r="J1748">
        <v>0</v>
      </c>
      <c r="K1748">
        <v>5</v>
      </c>
      <c r="L1748">
        <v>5</v>
      </c>
      <c r="Q1748">
        <v>0</v>
      </c>
      <c r="R1748">
        <v>0</v>
      </c>
      <c r="S1748">
        <v>5</v>
      </c>
      <c r="Y1748" t="s">
        <v>2497</v>
      </c>
      <c r="Z1748" t="s">
        <v>4042</v>
      </c>
      <c r="AA1748" t="s">
        <v>5884</v>
      </c>
      <c r="AB1748" t="s">
        <v>3706</v>
      </c>
      <c r="AC1748" t="s">
        <v>3849</v>
      </c>
      <c r="AD1748" s="249" t="str">
        <f>HYPERLINK("https://scontent.cdninstagram.com/t51.2885-15/s320x320/e35/20904916_361567710931051_7231884036291952640_n.jpg")</f>
        <v>https://scontent.cdninstagram.com/t51.2885-15/s320x320/e35/20904916_361567710931051_7231884036291952640_n.jpg</v>
      </c>
      <c r="AE1748" s="249" t="str">
        <f>HYPERLINK("https://scontent.cdninstagram.com/t51.2885-19/s150x150/20837183_1881090948806909_3066057799768211456_a.jpg")</f>
        <v>https://scontent.cdninstagram.com/t51.2885-19/s150x150/20837183_1881090948806909_3066057799768211456_a.jpg</v>
      </c>
    </row>
    <row r="1749" spans="1:31" ht="15" x14ac:dyDescent="0.25">
      <c r="A1749" t="s">
        <v>2474</v>
      </c>
      <c r="B1749" t="s">
        <v>11885</v>
      </c>
      <c r="C1749" s="221">
        <v>42967.430763888886</v>
      </c>
      <c r="D1749" t="s">
        <v>11886</v>
      </c>
      <c r="E1749" s="249" t="str">
        <f>HYPERLINK("https://www.instagram.com/p/BYBMvicFPk6/")</f>
        <v>https://www.instagram.com/p/BYBMvicFPk6/</v>
      </c>
      <c r="F1749" t="s">
        <v>11887</v>
      </c>
      <c r="G1749" t="s">
        <v>2478</v>
      </c>
      <c r="H1749">
        <v>1233</v>
      </c>
      <c r="I1749" t="s">
        <v>2479</v>
      </c>
      <c r="J1749">
        <v>0</v>
      </c>
      <c r="K1749">
        <v>6</v>
      </c>
      <c r="L1749">
        <v>6</v>
      </c>
      <c r="Q1749">
        <v>0</v>
      </c>
      <c r="R1749">
        <v>0</v>
      </c>
      <c r="S1749">
        <v>6</v>
      </c>
      <c r="Y1749" t="s">
        <v>2497</v>
      </c>
      <c r="Z1749" t="s">
        <v>7225</v>
      </c>
      <c r="AA1749" t="s">
        <v>2696</v>
      </c>
      <c r="AB1749" t="s">
        <v>3153</v>
      </c>
      <c r="AD1749" s="249" t="str">
        <f>HYPERLINK("https://scontent.cdninstagram.com/t51.2885-15/s320x320/e35/c0.28.400.400/20905238_263535927469165_3514473697098334208_n.jpg")</f>
        <v>https://scontent.cdninstagram.com/t51.2885-15/s320x320/e35/c0.28.400.400/20905238_263535927469165_3514473697098334208_n.jpg</v>
      </c>
      <c r="AE1749" s="249" t="str">
        <f>HYPERLINK("https://scontent.cdninstagram.com/t51.2885-19/s150x150/15338321_342781216102855_965165952700252160_a.jpg")</f>
        <v>https://scontent.cdninstagram.com/t51.2885-19/s150x150/15338321_342781216102855_965165952700252160_a.jpg</v>
      </c>
    </row>
    <row r="1750" spans="1:31" ht="15" x14ac:dyDescent="0.25">
      <c r="A1750" t="s">
        <v>2474</v>
      </c>
      <c r="B1750" t="s">
        <v>11888</v>
      </c>
      <c r="C1750" s="221">
        <v>42967.433912037035</v>
      </c>
      <c r="D1750" t="s">
        <v>11889</v>
      </c>
      <c r="E1750" s="249" t="str">
        <f>HYPERLINK("https://www.instagram.com/p/BYBNQzsHcMH/")</f>
        <v>https://www.instagram.com/p/BYBNQzsHcMH/</v>
      </c>
      <c r="F1750" t="s">
        <v>11890</v>
      </c>
      <c r="G1750" t="s">
        <v>2478</v>
      </c>
      <c r="H1750">
        <v>689</v>
      </c>
      <c r="I1750" t="s">
        <v>2748</v>
      </c>
      <c r="J1750">
        <v>3</v>
      </c>
      <c r="K1750">
        <v>36</v>
      </c>
      <c r="L1750">
        <v>39</v>
      </c>
      <c r="Q1750">
        <v>0</v>
      </c>
      <c r="R1750">
        <v>0</v>
      </c>
      <c r="S1750">
        <v>39</v>
      </c>
      <c r="Y1750" t="s">
        <v>11891</v>
      </c>
      <c r="Z1750" t="s">
        <v>4318</v>
      </c>
      <c r="AA1750" t="s">
        <v>4174</v>
      </c>
      <c r="AB1750" t="s">
        <v>11892</v>
      </c>
      <c r="AC1750" t="s">
        <v>11893</v>
      </c>
      <c r="AD1750" s="249" t="str">
        <f>HYPERLINK("https://scontent.cdninstagram.com/t51.2885-15/s320x320/e35/c0.120.960.960/20902584_122856485027031_300055177031843840_n.jpg")</f>
        <v>https://scontent.cdninstagram.com/t51.2885-15/s320x320/e35/c0.120.960.960/20902584_122856485027031_300055177031843840_n.jpg</v>
      </c>
      <c r="AE1750" s="249" t="str">
        <f>HYPERLINK("https://scontent.cdninstagram.com/t51.2885-19/s150x150/20635081_172747976603193_5699116959761694720_a.jpg")</f>
        <v>https://scontent.cdninstagram.com/t51.2885-19/s150x150/20635081_172747976603193_5699116959761694720_a.jpg</v>
      </c>
    </row>
    <row r="1751" spans="1:31" ht="15" x14ac:dyDescent="0.25">
      <c r="A1751" t="s">
        <v>2474</v>
      </c>
      <c r="B1751" t="s">
        <v>11894</v>
      </c>
      <c r="C1751" s="221">
        <v>42967.441712962966</v>
      </c>
      <c r="D1751" t="s">
        <v>11895</v>
      </c>
      <c r="E1751" s="249" t="str">
        <f>HYPERLINK("https://www.instagram.com/p/BYBOjGFFLIG/")</f>
        <v>https://www.instagram.com/p/BYBOjGFFLIG/</v>
      </c>
      <c r="F1751" t="s">
        <v>11896</v>
      </c>
      <c r="G1751" t="s">
        <v>2478</v>
      </c>
      <c r="H1751">
        <v>541</v>
      </c>
      <c r="I1751" t="s">
        <v>2479</v>
      </c>
      <c r="J1751">
        <v>2</v>
      </c>
      <c r="K1751">
        <v>54</v>
      </c>
      <c r="L1751">
        <v>56</v>
      </c>
      <c r="Q1751">
        <v>0</v>
      </c>
      <c r="R1751">
        <v>0</v>
      </c>
      <c r="S1751">
        <v>56</v>
      </c>
      <c r="Y1751" t="s">
        <v>11897</v>
      </c>
      <c r="Z1751" t="s">
        <v>2681</v>
      </c>
      <c r="AA1751" t="s">
        <v>11898</v>
      </c>
      <c r="AB1751" t="s">
        <v>11899</v>
      </c>
      <c r="AC1751" t="s">
        <v>4099</v>
      </c>
      <c r="AD1751" s="249" t="str">
        <f>HYPERLINK("https://scontent.cdninstagram.com/t51.2885-15/s320x320/e35/20905310_135346660408027_9164693940253753344_n.jpg")</f>
        <v>https://scontent.cdninstagram.com/t51.2885-15/s320x320/e35/20905310_135346660408027_9164693940253753344_n.jpg</v>
      </c>
      <c r="AE1751" s="249" t="str">
        <f>HYPERLINK("https://scontent.cdninstagram.com/t51.2885-19/s150x150/20902160_1602657823099457_3542021342456971264_a.jpg")</f>
        <v>https://scontent.cdninstagram.com/t51.2885-19/s150x150/20902160_1602657823099457_3542021342456971264_a.jpg</v>
      </c>
    </row>
    <row r="1752" spans="1:31" ht="15" x14ac:dyDescent="0.25">
      <c r="A1752" t="s">
        <v>2474</v>
      </c>
      <c r="B1752" t="s">
        <v>11900</v>
      </c>
      <c r="C1752" s="221">
        <v>42967.442662037036</v>
      </c>
      <c r="D1752" t="s">
        <v>11901</v>
      </c>
      <c r="E1752" s="249" t="str">
        <f>HYPERLINK("https://www.instagram.com/p/BYBOtFQjdUb/")</f>
        <v>https://www.instagram.com/p/BYBOtFQjdUb/</v>
      </c>
      <c r="F1752" t="s">
        <v>11902</v>
      </c>
      <c r="G1752" t="s">
        <v>2478</v>
      </c>
      <c r="H1752">
        <v>167</v>
      </c>
      <c r="I1752" t="s">
        <v>2479</v>
      </c>
      <c r="J1752">
        <v>2</v>
      </c>
      <c r="K1752">
        <v>46</v>
      </c>
      <c r="L1752">
        <v>48</v>
      </c>
      <c r="Q1752">
        <v>0</v>
      </c>
      <c r="R1752">
        <v>0</v>
      </c>
      <c r="S1752">
        <v>48</v>
      </c>
      <c r="Y1752" t="s">
        <v>4571</v>
      </c>
      <c r="Z1752" t="s">
        <v>4853</v>
      </c>
      <c r="AA1752" t="s">
        <v>11903</v>
      </c>
      <c r="AB1752" t="s">
        <v>2626</v>
      </c>
      <c r="AC1752" t="s">
        <v>11904</v>
      </c>
      <c r="AD1752" s="249" t="str">
        <f>HYPERLINK("https://scontent.cdninstagram.com/t51.2885-15/s320x320/e35/c52.0.533.533/21041135_163921014181020_3992757960940978176_n.jpg")</f>
        <v>https://scontent.cdninstagram.com/t51.2885-15/s320x320/e35/c52.0.533.533/21041135_163921014181020_3992757960940978176_n.jpg</v>
      </c>
      <c r="AE1752" s="249" t="str">
        <f>HYPERLINK("https://scontent.cdninstagram.com/t51.2885-19/s150x150/12145500_1655093874748781_1687647840_a.jpg")</f>
        <v>https://scontent.cdninstagram.com/t51.2885-19/s150x150/12145500_1655093874748781_1687647840_a.jpg</v>
      </c>
    </row>
    <row r="1753" spans="1:31" ht="15" x14ac:dyDescent="0.25">
      <c r="A1753" t="s">
        <v>2474</v>
      </c>
      <c r="B1753" t="s">
        <v>11900</v>
      </c>
      <c r="C1753" s="221">
        <v>42967.443055555559</v>
      </c>
      <c r="D1753" t="s">
        <v>11905</v>
      </c>
      <c r="E1753" s="249" t="str">
        <f>HYPERLINK("https://www.instagram.com/p/BYBOxSZj20J/")</f>
        <v>https://www.instagram.com/p/BYBOxSZj20J/</v>
      </c>
      <c r="F1753" t="s">
        <v>11906</v>
      </c>
      <c r="G1753" t="s">
        <v>2478</v>
      </c>
      <c r="H1753">
        <v>167</v>
      </c>
      <c r="I1753" t="s">
        <v>2479</v>
      </c>
      <c r="J1753">
        <v>1</v>
      </c>
      <c r="K1753">
        <v>30</v>
      </c>
      <c r="L1753">
        <v>31</v>
      </c>
      <c r="Q1753">
        <v>0</v>
      </c>
      <c r="R1753">
        <v>0</v>
      </c>
      <c r="S1753">
        <v>31</v>
      </c>
      <c r="Y1753" t="s">
        <v>10712</v>
      </c>
      <c r="Z1753" t="s">
        <v>11904</v>
      </c>
      <c r="AA1753" t="s">
        <v>11907</v>
      </c>
      <c r="AB1753" t="s">
        <v>2626</v>
      </c>
      <c r="AC1753" t="s">
        <v>4853</v>
      </c>
      <c r="AD1753" s="249" t="str">
        <f>HYPERLINK("https://scontent.cdninstagram.com/t51.2885-15/s320x320/e35/21041246_499172350437051_1856848313500827648_n.jpg")</f>
        <v>https://scontent.cdninstagram.com/t51.2885-15/s320x320/e35/21041246_499172350437051_1856848313500827648_n.jpg</v>
      </c>
      <c r="AE1753" s="249" t="str">
        <f>HYPERLINK("https://scontent.cdninstagram.com/t51.2885-19/s150x150/12145500_1655093874748781_1687647840_a.jpg")</f>
        <v>https://scontent.cdninstagram.com/t51.2885-19/s150x150/12145500_1655093874748781_1687647840_a.jpg</v>
      </c>
    </row>
    <row r="1754" spans="1:31" ht="15" x14ac:dyDescent="0.25">
      <c r="A1754" t="s">
        <v>2474</v>
      </c>
      <c r="B1754" t="s">
        <v>11900</v>
      </c>
      <c r="C1754" s="221">
        <v>42967.443668981483</v>
      </c>
      <c r="D1754" t="s">
        <v>11908</v>
      </c>
      <c r="E1754" s="249" t="str">
        <f>HYPERLINK("https://www.instagram.com/p/BYBO3o5Dde4/")</f>
        <v>https://www.instagram.com/p/BYBO3o5Dde4/</v>
      </c>
      <c r="F1754" t="s">
        <v>11909</v>
      </c>
      <c r="G1754" t="s">
        <v>2478</v>
      </c>
      <c r="H1754">
        <v>167</v>
      </c>
      <c r="I1754" t="s">
        <v>2479</v>
      </c>
      <c r="J1754">
        <v>1</v>
      </c>
      <c r="K1754">
        <v>22</v>
      </c>
      <c r="L1754">
        <v>23</v>
      </c>
      <c r="Q1754">
        <v>0</v>
      </c>
      <c r="R1754">
        <v>0</v>
      </c>
      <c r="S1754">
        <v>23</v>
      </c>
      <c r="Y1754" t="s">
        <v>10712</v>
      </c>
      <c r="Z1754" t="s">
        <v>11904</v>
      </c>
      <c r="AA1754" t="s">
        <v>11907</v>
      </c>
      <c r="AB1754" t="s">
        <v>2626</v>
      </c>
      <c r="AC1754" t="s">
        <v>4853</v>
      </c>
      <c r="AD1754" s="249" t="str">
        <f>HYPERLINK("https://scontent.cdninstagram.com/t51.2885-15/s320x320/e35/21040885_196993230838341_6126232675456909312_n.jpg")</f>
        <v>https://scontent.cdninstagram.com/t51.2885-15/s320x320/e35/21040885_196993230838341_6126232675456909312_n.jpg</v>
      </c>
      <c r="AE1754" s="249" t="str">
        <f>HYPERLINK("https://scontent.cdninstagram.com/t51.2885-19/s150x150/12145500_1655093874748781_1687647840_a.jpg")</f>
        <v>https://scontent.cdninstagram.com/t51.2885-19/s150x150/12145500_1655093874748781_1687647840_a.jpg</v>
      </c>
    </row>
    <row r="1755" spans="1:31" ht="15" x14ac:dyDescent="0.25">
      <c r="A1755" t="s">
        <v>2474</v>
      </c>
      <c r="B1755" t="s">
        <v>8408</v>
      </c>
      <c r="C1755" s="221">
        <v>42967.449583333335</v>
      </c>
      <c r="D1755" t="s">
        <v>11910</v>
      </c>
      <c r="E1755" s="249" t="str">
        <f>HYPERLINK("https://www.instagram.com/p/BYBP2Gag9hb/")</f>
        <v>https://www.instagram.com/p/BYBP2Gag9hb/</v>
      </c>
      <c r="F1755" t="s">
        <v>11911</v>
      </c>
      <c r="G1755" t="s">
        <v>2478</v>
      </c>
      <c r="H1755">
        <v>29223</v>
      </c>
      <c r="I1755" t="s">
        <v>2479</v>
      </c>
      <c r="J1755">
        <v>6</v>
      </c>
      <c r="K1755">
        <v>888</v>
      </c>
      <c r="L1755">
        <v>894</v>
      </c>
      <c r="Q1755">
        <v>0</v>
      </c>
      <c r="R1755">
        <v>0</v>
      </c>
      <c r="S1755">
        <v>894</v>
      </c>
      <c r="AD1755" s="249" t="str">
        <f>HYPERLINK("https://scontent.cdninstagram.com/t51.2885-15/s320x320/e35/20902830_134706740472448_9080125437195059200_n.jpg")</f>
        <v>https://scontent.cdninstagram.com/t51.2885-15/s320x320/e35/20902830_134706740472448_9080125437195059200_n.jpg</v>
      </c>
      <c r="AE1755" s="249" t="str">
        <f>HYPERLINK("https://scontent.cdninstagram.com/t51.2885-19/s150x150/20837808_110923942961707_7810288888362041344_n.jpg")</f>
        <v>https://scontent.cdninstagram.com/t51.2885-19/s150x150/20837808_110923942961707_7810288888362041344_n.jpg</v>
      </c>
    </row>
    <row r="1756" spans="1:31" ht="15" x14ac:dyDescent="0.25">
      <c r="A1756" t="s">
        <v>2474</v>
      </c>
      <c r="B1756" t="s">
        <v>11912</v>
      </c>
      <c r="C1756" s="221">
        <v>42967.451122685183</v>
      </c>
      <c r="D1756" t="s">
        <v>11913</v>
      </c>
      <c r="E1756" s="249" t="str">
        <f>HYPERLINK("https://www.instagram.com/p/BYBQGR9HgIJ/")</f>
        <v>https://www.instagram.com/p/BYBQGR9HgIJ/</v>
      </c>
      <c r="F1756" t="s">
        <v>11914</v>
      </c>
      <c r="G1756" t="s">
        <v>2478</v>
      </c>
      <c r="H1756">
        <v>23</v>
      </c>
      <c r="I1756" t="s">
        <v>2479</v>
      </c>
      <c r="J1756">
        <v>1</v>
      </c>
      <c r="K1756">
        <v>12</v>
      </c>
      <c r="L1756">
        <v>13</v>
      </c>
      <c r="Q1756">
        <v>0</v>
      </c>
      <c r="R1756">
        <v>0</v>
      </c>
      <c r="S1756">
        <v>13</v>
      </c>
      <c r="Y1756" t="s">
        <v>11915</v>
      </c>
      <c r="Z1756" t="s">
        <v>2906</v>
      </c>
      <c r="AA1756" t="s">
        <v>8487</v>
      </c>
      <c r="AB1756" t="s">
        <v>11916</v>
      </c>
      <c r="AC1756" t="s">
        <v>11917</v>
      </c>
      <c r="AD1756" s="249" t="str">
        <f>HYPERLINK("https://scontent.cdninstagram.com/t51.2885-15/s320x320/e35/20902671_1989909917689642_1868963810652454912_n.jpg")</f>
        <v>https://scontent.cdninstagram.com/t51.2885-15/s320x320/e35/20902671_1989909917689642_1868963810652454912_n.jpg</v>
      </c>
      <c r="AE1756" s="249" t="str">
        <f>HYPERLINK("https://scontent.cdninstagram.com/t51.2885-19/s150x150/20398552_131139734160364_6031614812214001664_a.jpg")</f>
        <v>https://scontent.cdninstagram.com/t51.2885-19/s150x150/20398552_131139734160364_6031614812214001664_a.jpg</v>
      </c>
    </row>
    <row r="1757" spans="1:31" ht="15" x14ac:dyDescent="0.25">
      <c r="A1757" t="s">
        <v>2474</v>
      </c>
      <c r="B1757" t="s">
        <v>11918</v>
      </c>
      <c r="C1757" s="221">
        <v>42967.462511574071</v>
      </c>
      <c r="D1757" t="s">
        <v>11919</v>
      </c>
      <c r="E1757" s="249" t="str">
        <f>HYPERLINK("https://www.instagram.com/p/BYBR-bnny-P/")</f>
        <v>https://www.instagram.com/p/BYBR-bnny-P/</v>
      </c>
      <c r="F1757" t="s">
        <v>11920</v>
      </c>
      <c r="G1757" t="s">
        <v>2478</v>
      </c>
      <c r="H1757">
        <v>510</v>
      </c>
      <c r="I1757" t="s">
        <v>2479</v>
      </c>
      <c r="J1757">
        <v>1</v>
      </c>
      <c r="K1757">
        <v>37</v>
      </c>
      <c r="L1757">
        <v>38</v>
      </c>
      <c r="Q1757">
        <v>0</v>
      </c>
      <c r="R1757">
        <v>0</v>
      </c>
      <c r="S1757">
        <v>38</v>
      </c>
      <c r="T1757" t="s">
        <v>11921</v>
      </c>
      <c r="V1757" t="s">
        <v>2161</v>
      </c>
      <c r="W1757">
        <v>52.495376564037997</v>
      </c>
      <c r="X1757">
        <v>13.422209348844</v>
      </c>
      <c r="Y1757" t="s">
        <v>11922</v>
      </c>
      <c r="Z1757" t="s">
        <v>2497</v>
      </c>
      <c r="AA1757" t="s">
        <v>4671</v>
      </c>
      <c r="AB1757" t="s">
        <v>11923</v>
      </c>
      <c r="AC1757" t="s">
        <v>11924</v>
      </c>
      <c r="AD1757" s="249" t="str">
        <f>HYPERLINK("https://scontent.cdninstagram.com/t51.2885-15/s320x320/e35/c135.0.810.810/20905711_117007648959507_9033064561409785856_n.jpg")</f>
        <v>https://scontent.cdninstagram.com/t51.2885-15/s320x320/e35/c135.0.810.810/20905711_117007648959507_9033064561409785856_n.jpg</v>
      </c>
      <c r="AE1757" s="249" t="str">
        <f>HYPERLINK("https://scontent.cdninstagram.com/t51.2885-19/s150x150/14726225_344121155922103_6149296254699438080_a.jpg")</f>
        <v>https://scontent.cdninstagram.com/t51.2885-19/s150x150/14726225_344121155922103_6149296254699438080_a.jpg</v>
      </c>
    </row>
    <row r="1758" spans="1:31" ht="15" x14ac:dyDescent="0.25">
      <c r="A1758" t="s">
        <v>2474</v>
      </c>
      <c r="B1758" t="s">
        <v>11925</v>
      </c>
      <c r="C1758" s="221">
        <v>42967.462743055556</v>
      </c>
      <c r="D1758" t="s">
        <v>11926</v>
      </c>
      <c r="E1758" s="249" t="str">
        <f>HYPERLINK("https://www.instagram.com/p/BYBSA37lRnd/")</f>
        <v>https://www.instagram.com/p/BYBSA37lRnd/</v>
      </c>
      <c r="F1758" t="s">
        <v>11927</v>
      </c>
      <c r="G1758" t="s">
        <v>2478</v>
      </c>
      <c r="H1758">
        <v>414</v>
      </c>
      <c r="I1758" t="s">
        <v>2479</v>
      </c>
      <c r="J1758">
        <v>2</v>
      </c>
      <c r="K1758">
        <v>39</v>
      </c>
      <c r="L1758">
        <v>41</v>
      </c>
      <c r="Q1758">
        <v>0</v>
      </c>
      <c r="R1758">
        <v>0</v>
      </c>
      <c r="S1758">
        <v>41</v>
      </c>
      <c r="Y1758" t="s">
        <v>11928</v>
      </c>
      <c r="Z1758" t="s">
        <v>2497</v>
      </c>
      <c r="AA1758" t="s">
        <v>11929</v>
      </c>
      <c r="AB1758" t="s">
        <v>11930</v>
      </c>
      <c r="AC1758" t="s">
        <v>11035</v>
      </c>
      <c r="AD1758" s="249" t="str">
        <f>HYPERLINK("https://scontent.cdninstagram.com/t51.2885-15/s320x320/e35/20902136_287911995011640_511362182106054656_n.jpg")</f>
        <v>https://scontent.cdninstagram.com/t51.2885-15/s320x320/e35/20902136_287911995011640_511362182106054656_n.jpg</v>
      </c>
      <c r="AE1758" s="249" t="str">
        <f>HYPERLINK("https://scontent.cdninstagram.com/t51.2885-19/s150x150/20065510_1719764281662116_3955694467645702144_a.jpg")</f>
        <v>https://scontent.cdninstagram.com/t51.2885-19/s150x150/20065510_1719764281662116_3955694467645702144_a.jpg</v>
      </c>
    </row>
    <row r="1759" spans="1:31" ht="15" x14ac:dyDescent="0.25">
      <c r="A1759" t="s">
        <v>2474</v>
      </c>
      <c r="B1759" t="s">
        <v>11931</v>
      </c>
      <c r="C1759" s="221">
        <v>42967.480115740742</v>
      </c>
      <c r="D1759" t="s">
        <v>11932</v>
      </c>
      <c r="E1759" s="249" t="str">
        <f>HYPERLINK("https://www.instagram.com/p/BYBU4JklNBM/")</f>
        <v>https://www.instagram.com/p/BYBU4JklNBM/</v>
      </c>
      <c r="F1759" t="s">
        <v>11933</v>
      </c>
      <c r="G1759" t="s">
        <v>2478</v>
      </c>
      <c r="H1759">
        <v>20</v>
      </c>
      <c r="I1759" t="s">
        <v>2479</v>
      </c>
      <c r="J1759">
        <v>0</v>
      </c>
      <c r="K1759">
        <v>18</v>
      </c>
      <c r="L1759">
        <v>18</v>
      </c>
      <c r="Q1759">
        <v>0</v>
      </c>
      <c r="R1759">
        <v>0</v>
      </c>
      <c r="S1759">
        <v>18</v>
      </c>
      <c r="Y1759" t="s">
        <v>11934</v>
      </c>
      <c r="Z1759" t="s">
        <v>11935</v>
      </c>
      <c r="AA1759" t="s">
        <v>11936</v>
      </c>
      <c r="AB1759" t="s">
        <v>11937</v>
      </c>
      <c r="AC1759" t="s">
        <v>11938</v>
      </c>
      <c r="AD1759" s="249" t="str">
        <f>HYPERLINK("https://scontent.cdninstagram.com/t51.2885-15/s320x320/e35/20968661_344845805947025_2919553411579904000_n.jpg")</f>
        <v>https://scontent.cdninstagram.com/t51.2885-15/s320x320/e35/20968661_344845805947025_2919553411579904000_n.jpg</v>
      </c>
      <c r="AE1759" s="249" t="str">
        <f>HYPERLINK("https://scontent.cdninstagram.com/t51.2885-19/s150x150/21042349_496268144070508_7746851074643853312_a.jpg")</f>
        <v>https://scontent.cdninstagram.com/t51.2885-19/s150x150/21042349_496268144070508_7746851074643853312_a.jpg</v>
      </c>
    </row>
    <row r="1760" spans="1:31" ht="15" x14ac:dyDescent="0.25">
      <c r="A1760" t="s">
        <v>2474</v>
      </c>
      <c r="B1760" t="s">
        <v>5400</v>
      </c>
      <c r="C1760" s="221">
        <v>42967.487592592595</v>
      </c>
      <c r="D1760" t="s">
        <v>11939</v>
      </c>
      <c r="E1760" s="249" t="str">
        <f>HYPERLINK("https://www.instagram.com/p/BYBWG6plud1/")</f>
        <v>https://www.instagram.com/p/BYBWG6plud1/</v>
      </c>
      <c r="F1760" t="s">
        <v>11940</v>
      </c>
      <c r="G1760" t="s">
        <v>2478</v>
      </c>
      <c r="H1760">
        <v>232</v>
      </c>
      <c r="I1760" t="s">
        <v>2479</v>
      </c>
      <c r="J1760">
        <v>0</v>
      </c>
      <c r="K1760">
        <v>1</v>
      </c>
      <c r="L1760">
        <v>1</v>
      </c>
      <c r="Q1760">
        <v>0</v>
      </c>
      <c r="R1760">
        <v>0</v>
      </c>
      <c r="S1760">
        <v>1</v>
      </c>
      <c r="T1760" t="s">
        <v>11941</v>
      </c>
      <c r="V1760" t="s">
        <v>2222</v>
      </c>
      <c r="W1760">
        <v>52.375833333332999</v>
      </c>
      <c r="X1760">
        <v>5.2255555555555997</v>
      </c>
      <c r="Y1760" t="s">
        <v>2493</v>
      </c>
      <c r="Z1760" t="s">
        <v>11942</v>
      </c>
      <c r="AA1760" t="s">
        <v>11943</v>
      </c>
      <c r="AB1760" t="s">
        <v>11944</v>
      </c>
      <c r="AC1760" t="s">
        <v>11945</v>
      </c>
      <c r="AD1760" s="249" t="str">
        <f>HYPERLINK("https://scontent.cdninstagram.com/t51.2885-15/s320x320/e35/21041766_110406746342256_6140723315293028352_n.jpg")</f>
        <v>https://scontent.cdninstagram.com/t51.2885-15/s320x320/e35/21041766_110406746342256_6140723315293028352_n.jpg</v>
      </c>
      <c r="AE1760" s="249" t="str">
        <f>HYPERLINK("https://scontent.cdninstagram.com/t51.2885-19/s150x150/14052797_146786365761467_889363154_a.jpg")</f>
        <v>https://scontent.cdninstagram.com/t51.2885-19/s150x150/14052797_146786365761467_889363154_a.jpg</v>
      </c>
    </row>
    <row r="1761" spans="1:31" ht="15" x14ac:dyDescent="0.25">
      <c r="A1761" t="s">
        <v>2474</v>
      </c>
      <c r="B1761" t="s">
        <v>5400</v>
      </c>
      <c r="C1761" s="221">
        <v>42967.493368055555</v>
      </c>
      <c r="D1761" t="s">
        <v>11946</v>
      </c>
      <c r="E1761" s="249" t="str">
        <f>HYPERLINK("https://www.instagram.com/p/BYBXD10FQpf/")</f>
        <v>https://www.instagram.com/p/BYBXD10FQpf/</v>
      </c>
      <c r="F1761" t="s">
        <v>11940</v>
      </c>
      <c r="G1761" t="s">
        <v>2478</v>
      </c>
      <c r="H1761">
        <v>232</v>
      </c>
      <c r="I1761" t="s">
        <v>2479</v>
      </c>
      <c r="J1761">
        <v>0</v>
      </c>
      <c r="K1761">
        <v>51</v>
      </c>
      <c r="L1761">
        <v>51</v>
      </c>
      <c r="Q1761">
        <v>0</v>
      </c>
      <c r="R1761">
        <v>0</v>
      </c>
      <c r="S1761">
        <v>51</v>
      </c>
      <c r="T1761" t="s">
        <v>11941</v>
      </c>
      <c r="V1761" t="s">
        <v>2222</v>
      </c>
      <c r="W1761">
        <v>52.375833333332999</v>
      </c>
      <c r="X1761">
        <v>5.2255555555555997</v>
      </c>
      <c r="Y1761" t="s">
        <v>11947</v>
      </c>
      <c r="Z1761" t="s">
        <v>11943</v>
      </c>
      <c r="AA1761" t="s">
        <v>11948</v>
      </c>
      <c r="AB1761" t="s">
        <v>5405</v>
      </c>
      <c r="AC1761" t="s">
        <v>11949</v>
      </c>
      <c r="AD1761" s="249" t="str">
        <f>HYPERLINK("https://scontent.cdninstagram.com/t51.2885-15/s320x320/e35/20904937_948619268610669_1772018955603410944_n.jpg")</f>
        <v>https://scontent.cdninstagram.com/t51.2885-15/s320x320/e35/20904937_948619268610669_1772018955603410944_n.jpg</v>
      </c>
      <c r="AE1761" s="249" t="str">
        <f>HYPERLINK("https://scontent.cdninstagram.com/t51.2885-19/s150x150/14052797_146786365761467_889363154_a.jpg")</f>
        <v>https://scontent.cdninstagram.com/t51.2885-19/s150x150/14052797_146786365761467_889363154_a.jpg</v>
      </c>
    </row>
    <row r="1762" spans="1:31" ht="15" x14ac:dyDescent="0.25">
      <c r="A1762" t="s">
        <v>2474</v>
      </c>
      <c r="B1762" t="s">
        <v>6166</v>
      </c>
      <c r="C1762" s="221">
        <v>42967.493437500001</v>
      </c>
      <c r="D1762" t="s">
        <v>11950</v>
      </c>
      <c r="E1762" s="249" t="str">
        <f>HYPERLINK("https://www.instagram.com/p/BYBXEp5DEXd/")</f>
        <v>https://www.instagram.com/p/BYBXEp5DEXd/</v>
      </c>
      <c r="F1762" t="s">
        <v>11951</v>
      </c>
      <c r="G1762" t="s">
        <v>2478</v>
      </c>
      <c r="H1762">
        <v>215</v>
      </c>
      <c r="I1762" t="s">
        <v>2479</v>
      </c>
      <c r="J1762">
        <v>1</v>
      </c>
      <c r="K1762">
        <v>22</v>
      </c>
      <c r="L1762">
        <v>23</v>
      </c>
      <c r="Q1762">
        <v>0</v>
      </c>
      <c r="R1762">
        <v>0</v>
      </c>
      <c r="S1762">
        <v>23</v>
      </c>
      <c r="Y1762" t="s">
        <v>11952</v>
      </c>
      <c r="Z1762" t="s">
        <v>11953</v>
      </c>
      <c r="AA1762" t="s">
        <v>4582</v>
      </c>
      <c r="AB1762" t="s">
        <v>11954</v>
      </c>
      <c r="AC1762" t="s">
        <v>11955</v>
      </c>
      <c r="AD1762" s="249" t="str">
        <f>HYPERLINK("https://scontent.cdninstagram.com/t51.2885-15/s320x320/e35/20968715_259835127861205_2429743383955111936_n.jpg")</f>
        <v>https://scontent.cdninstagram.com/t51.2885-15/s320x320/e35/20968715_259835127861205_2429743383955111936_n.jpg</v>
      </c>
      <c r="AE1762" s="249" t="str">
        <f>HYPERLINK("https://scontent.cdninstagram.com/t51.2885-19/s150x150/20065401_104382190228479_3280473553710874624_a.jpg")</f>
        <v>https://scontent.cdninstagram.com/t51.2885-19/s150x150/20065401_104382190228479_3280473553710874624_a.jpg</v>
      </c>
    </row>
    <row r="1763" spans="1:31" ht="15" x14ac:dyDescent="0.25">
      <c r="A1763" t="s">
        <v>2474</v>
      </c>
      <c r="B1763" t="s">
        <v>6062</v>
      </c>
      <c r="C1763" s="221">
        <v>42967.497129629628</v>
      </c>
      <c r="D1763" t="s">
        <v>11956</v>
      </c>
      <c r="E1763" s="249" t="str">
        <f>HYPERLINK("https://www.instagram.com/p/BYBXrgxg8An/")</f>
        <v>https://www.instagram.com/p/BYBXrgxg8An/</v>
      </c>
      <c r="F1763" t="s">
        <v>11957</v>
      </c>
      <c r="G1763" t="s">
        <v>2478</v>
      </c>
      <c r="H1763">
        <v>533</v>
      </c>
      <c r="I1763" t="s">
        <v>2479</v>
      </c>
      <c r="J1763">
        <v>4</v>
      </c>
      <c r="K1763">
        <v>63</v>
      </c>
      <c r="L1763">
        <v>67</v>
      </c>
      <c r="Q1763">
        <v>0</v>
      </c>
      <c r="R1763">
        <v>0</v>
      </c>
      <c r="S1763">
        <v>67</v>
      </c>
      <c r="T1763" t="s">
        <v>11958</v>
      </c>
      <c r="V1763" t="s">
        <v>2174</v>
      </c>
      <c r="W1763">
        <v>47.498888888888999</v>
      </c>
      <c r="X1763">
        <v>19.043611111111002</v>
      </c>
      <c r="Y1763" t="s">
        <v>11198</v>
      </c>
      <c r="Z1763" t="s">
        <v>11959</v>
      </c>
      <c r="AA1763" t="s">
        <v>11960</v>
      </c>
      <c r="AB1763" t="s">
        <v>5765</v>
      </c>
      <c r="AC1763" t="s">
        <v>4539</v>
      </c>
      <c r="AD1763" s="249" t="str">
        <f>HYPERLINK("https://scontent.cdninstagram.com/t51.2885-15/s320x320/e35/20902567_1857488287610970_5706554984124907520_n.jpg")</f>
        <v>https://scontent.cdninstagram.com/t51.2885-15/s320x320/e35/20902567_1857488287610970_5706554984124907520_n.jpg</v>
      </c>
      <c r="AE1763" s="249" t="str">
        <f>HYPERLINK("https://scontent.cdninstagram.com/t51.2885-19/s150x150/13714153_890079894468719_1165827208_a.jpg")</f>
        <v>https://scontent.cdninstagram.com/t51.2885-19/s150x150/13714153_890079894468719_1165827208_a.jpg</v>
      </c>
    </row>
    <row r="1764" spans="1:31" ht="15" x14ac:dyDescent="0.25">
      <c r="A1764" t="s">
        <v>2474</v>
      </c>
      <c r="B1764" t="s">
        <v>6479</v>
      </c>
      <c r="C1764" s="221">
        <v>42967.499421296299</v>
      </c>
      <c r="D1764" t="s">
        <v>11961</v>
      </c>
      <c r="E1764" s="249" t="str">
        <f>HYPERLINK("https://www.instagram.com/p/BYBYDwPFMAr/")</f>
        <v>https://www.instagram.com/p/BYBYDwPFMAr/</v>
      </c>
      <c r="F1764" t="s">
        <v>11962</v>
      </c>
      <c r="G1764" t="s">
        <v>2478</v>
      </c>
      <c r="H1764">
        <v>68993</v>
      </c>
      <c r="I1764" t="s">
        <v>2479</v>
      </c>
      <c r="J1764">
        <v>25</v>
      </c>
      <c r="K1764">
        <v>2687</v>
      </c>
      <c r="L1764">
        <v>2712</v>
      </c>
      <c r="Q1764">
        <v>0</v>
      </c>
      <c r="R1764">
        <v>0</v>
      </c>
      <c r="S1764">
        <v>2712</v>
      </c>
      <c r="T1764" t="s">
        <v>11963</v>
      </c>
      <c r="U1764" t="s">
        <v>134</v>
      </c>
      <c r="V1764" t="s">
        <v>2299</v>
      </c>
      <c r="W1764">
        <v>27.9709</v>
      </c>
      <c r="X1764">
        <v>-82.464600000000004</v>
      </c>
      <c r="AD1764" s="249" t="str">
        <f>HYPERLINK("https://scontent.cdninstagram.com/t51.2885-15/s320x320/e35/20902668_104098236989107_5899200949003485184_n.jpg")</f>
        <v>https://scontent.cdninstagram.com/t51.2885-15/s320x320/e35/20902668_104098236989107_5899200949003485184_n.jpg</v>
      </c>
      <c r="AE1764" s="249" t="str">
        <f>HYPERLINK("https://scontent.cdninstagram.com/t51.2885-19/s150x150/17439144_1895752470643302_743998926780104704_n.jpg")</f>
        <v>https://scontent.cdninstagram.com/t51.2885-19/s150x150/17439144_1895752470643302_743998926780104704_n.jpg</v>
      </c>
    </row>
    <row r="1765" spans="1:31" ht="15" x14ac:dyDescent="0.25">
      <c r="A1765" t="s">
        <v>2474</v>
      </c>
      <c r="B1765" t="s">
        <v>3015</v>
      </c>
      <c r="C1765" s="221">
        <v>42967.499432870369</v>
      </c>
      <c r="D1765" t="s">
        <v>11964</v>
      </c>
      <c r="E1765" s="249" t="str">
        <f>HYPERLINK("https://www.instagram.com/p/BYBYD3zAfEF/")</f>
        <v>https://www.instagram.com/p/BYBYD3zAfEF/</v>
      </c>
      <c r="F1765" t="s">
        <v>11965</v>
      </c>
      <c r="G1765" t="s">
        <v>2488</v>
      </c>
      <c r="H1765">
        <v>223</v>
      </c>
      <c r="I1765" t="s">
        <v>2479</v>
      </c>
      <c r="J1765">
        <v>0</v>
      </c>
      <c r="K1765">
        <v>30</v>
      </c>
      <c r="L1765">
        <v>30</v>
      </c>
      <c r="Q1765">
        <v>0</v>
      </c>
      <c r="R1765">
        <v>0</v>
      </c>
      <c r="S1765">
        <v>30</v>
      </c>
      <c r="Y1765" t="s">
        <v>4126</v>
      </c>
      <c r="Z1765" t="s">
        <v>4919</v>
      </c>
      <c r="AA1765" t="s">
        <v>3494</v>
      </c>
      <c r="AB1765" t="s">
        <v>7275</v>
      </c>
      <c r="AC1765" t="s">
        <v>3855</v>
      </c>
      <c r="AD1765" s="249" t="str">
        <f>HYPERLINK("https://scontent.cdninstagram.com/t51.2885-15/s320x320/e35/20905012_1859187001065683_2995715735927390208_n.jpg")</f>
        <v>https://scontent.cdninstagram.com/t51.2885-15/s320x320/e35/20905012_1859187001065683_2995715735927390208_n.jpg</v>
      </c>
      <c r="AE1765" s="249" t="str">
        <f>HYPERLINK("https://scontent.cdninstagram.com/t51.2885-19/s150x150/19761452_1876060406050696_4275948751316582400_a.jpg")</f>
        <v>https://scontent.cdninstagram.com/t51.2885-19/s150x150/19761452_1876060406050696_4275948751316582400_a.jpg</v>
      </c>
    </row>
    <row r="1766" spans="1:31" ht="15" x14ac:dyDescent="0.25">
      <c r="A1766" t="s">
        <v>2474</v>
      </c>
      <c r="B1766" t="s">
        <v>11966</v>
      </c>
      <c r="C1766" s="221">
        <v>42967.502152777779</v>
      </c>
      <c r="D1766" t="s">
        <v>11967</v>
      </c>
      <c r="E1766" s="249" t="str">
        <f>HYPERLINK("https://www.instagram.com/p/BYBYgeDlllW/")</f>
        <v>https://www.instagram.com/p/BYBYgeDlllW/</v>
      </c>
      <c r="F1766" t="s">
        <v>11968</v>
      </c>
      <c r="G1766" t="s">
        <v>2478</v>
      </c>
      <c r="H1766">
        <v>237</v>
      </c>
      <c r="I1766" t="s">
        <v>2896</v>
      </c>
      <c r="J1766">
        <v>0</v>
      </c>
      <c r="K1766">
        <v>34</v>
      </c>
      <c r="L1766">
        <v>34</v>
      </c>
      <c r="Q1766">
        <v>0</v>
      </c>
      <c r="R1766">
        <v>0</v>
      </c>
      <c r="S1766">
        <v>34</v>
      </c>
      <c r="Y1766" t="s">
        <v>11969</v>
      </c>
      <c r="Z1766" t="s">
        <v>3446</v>
      </c>
      <c r="AA1766" t="s">
        <v>11970</v>
      </c>
      <c r="AB1766" t="s">
        <v>3165</v>
      </c>
      <c r="AC1766" t="s">
        <v>2777</v>
      </c>
      <c r="AD1766" s="249" t="str">
        <f>HYPERLINK("https://scontent.cdninstagram.com/t51.2885-15/s320x320/e35/c0.112.899.899/20902576_496627370690266_3067842839716036608_n.jpg")</f>
        <v>https://scontent.cdninstagram.com/t51.2885-15/s320x320/e35/c0.112.899.899/20902576_496627370690266_3067842839716036608_n.jpg</v>
      </c>
      <c r="AE1766" s="249" t="str">
        <f>HYPERLINK("https://scontent.cdninstagram.com/t51.2885-19/s150x150/14582240_170187016764697_8134798608449929216_a.jpg")</f>
        <v>https://scontent.cdninstagram.com/t51.2885-19/s150x150/14582240_170187016764697_8134798608449929216_a.jpg</v>
      </c>
    </row>
    <row r="1767" spans="1:31" ht="15" x14ac:dyDescent="0.25">
      <c r="A1767" t="s">
        <v>2474</v>
      </c>
      <c r="B1767" t="s">
        <v>11971</v>
      </c>
      <c r="C1767" s="221">
        <v>42967.513460648152</v>
      </c>
      <c r="D1767" t="s">
        <v>11972</v>
      </c>
      <c r="E1767" s="249" t="str">
        <f>HYPERLINK("https://www.instagram.com/p/BYBaXyfBjdM/")</f>
        <v>https://www.instagram.com/p/BYBaXyfBjdM/</v>
      </c>
      <c r="F1767" t="s">
        <v>11973</v>
      </c>
      <c r="G1767" t="s">
        <v>2478</v>
      </c>
      <c r="H1767">
        <v>2615</v>
      </c>
      <c r="I1767" t="s">
        <v>2748</v>
      </c>
      <c r="J1767">
        <v>0</v>
      </c>
      <c r="K1767">
        <v>114</v>
      </c>
      <c r="L1767">
        <v>114</v>
      </c>
      <c r="Q1767">
        <v>0</v>
      </c>
      <c r="R1767">
        <v>0</v>
      </c>
      <c r="S1767">
        <v>114</v>
      </c>
      <c r="T1767" t="s">
        <v>11974</v>
      </c>
      <c r="V1767" t="s">
        <v>2243</v>
      </c>
      <c r="W1767">
        <v>48.666699999999999</v>
      </c>
      <c r="X1767">
        <v>26.566700000000001</v>
      </c>
      <c r="Y1767" t="s">
        <v>9888</v>
      </c>
      <c r="Z1767" t="s">
        <v>7490</v>
      </c>
      <c r="AA1767" t="s">
        <v>11975</v>
      </c>
      <c r="AB1767" t="s">
        <v>11976</v>
      </c>
      <c r="AC1767" t="s">
        <v>11977</v>
      </c>
      <c r="AD1767" s="249" t="str">
        <f>HYPERLINK("https://scontent.cdninstagram.com/t51.2885-15/s320x320/e35/20969403_192974877907794_8600206513094524928_n.jpg")</f>
        <v>https://scontent.cdninstagram.com/t51.2885-15/s320x320/e35/20969403_192974877907794_8600206513094524928_n.jpg</v>
      </c>
      <c r="AE1767" s="249" t="str">
        <f>HYPERLINK("https://scontent.cdninstagram.com/t51.2885-19/s150x150/20902488_337531510029129_7678693933680951296_a.jpg")</f>
        <v>https://scontent.cdninstagram.com/t51.2885-19/s150x150/20902488_337531510029129_7678693933680951296_a.jpg</v>
      </c>
    </row>
    <row r="1768" spans="1:31" ht="15" x14ac:dyDescent="0.25">
      <c r="A1768" t="s">
        <v>2474</v>
      </c>
      <c r="B1768" t="s">
        <v>11978</v>
      </c>
      <c r="C1768" s="221">
        <v>42967.514976851853</v>
      </c>
      <c r="D1768" t="s">
        <v>11979</v>
      </c>
      <c r="E1768" s="249" t="str">
        <f>HYPERLINK("https://www.instagram.com/p/BYBanxOn8H9/")</f>
        <v>https://www.instagram.com/p/BYBanxOn8H9/</v>
      </c>
      <c r="F1768" t="s">
        <v>11980</v>
      </c>
      <c r="G1768" t="s">
        <v>2478</v>
      </c>
      <c r="H1768">
        <v>150025</v>
      </c>
      <c r="I1768" t="s">
        <v>2479</v>
      </c>
      <c r="J1768">
        <v>35</v>
      </c>
      <c r="K1768">
        <v>1341</v>
      </c>
      <c r="L1768">
        <v>1376</v>
      </c>
      <c r="Q1768">
        <v>0</v>
      </c>
      <c r="R1768">
        <v>0</v>
      </c>
      <c r="S1768">
        <v>1376</v>
      </c>
      <c r="Y1768" t="s">
        <v>11978</v>
      </c>
      <c r="AD1768" s="249" t="str">
        <f>HYPERLINK("https://scontent.cdninstagram.com/t51.2885-15/s320x320/e35/20987216_254867745033039_6329202852656840704_n.jpg")</f>
        <v>https://scontent.cdninstagram.com/t51.2885-15/s320x320/e35/20987216_254867745033039_6329202852656840704_n.jpg</v>
      </c>
      <c r="AE1768" s="249" t="str">
        <f>HYPERLINK("https://scontent.cdninstagram.com/t51.2885-19/s150x150/20766920_169834930230526_973590951958151168_a.jpg")</f>
        <v>https://scontent.cdninstagram.com/t51.2885-19/s150x150/20766920_169834930230526_973590951958151168_a.jpg</v>
      </c>
    </row>
    <row r="1769" spans="1:31" ht="15" x14ac:dyDescent="0.25">
      <c r="A1769" t="s">
        <v>2474</v>
      </c>
      <c r="B1769" t="s">
        <v>11981</v>
      </c>
      <c r="C1769" s="221">
        <v>42967.515509259261</v>
      </c>
      <c r="D1769" t="s">
        <v>11982</v>
      </c>
      <c r="E1769" s="249" t="str">
        <f>HYPERLINK("https://www.instagram.com/p/BYBatYbhomV/")</f>
        <v>https://www.instagram.com/p/BYBatYbhomV/</v>
      </c>
      <c r="F1769" t="s">
        <v>11983</v>
      </c>
      <c r="G1769" t="s">
        <v>2478</v>
      </c>
      <c r="H1769">
        <v>284</v>
      </c>
      <c r="I1769" t="s">
        <v>2542</v>
      </c>
      <c r="J1769">
        <v>0</v>
      </c>
      <c r="K1769">
        <v>46</v>
      </c>
      <c r="L1769">
        <v>46</v>
      </c>
      <c r="Q1769">
        <v>0</v>
      </c>
      <c r="R1769">
        <v>0</v>
      </c>
      <c r="S1769">
        <v>46</v>
      </c>
      <c r="Y1769" t="s">
        <v>10223</v>
      </c>
      <c r="Z1769" t="s">
        <v>2497</v>
      </c>
      <c r="AA1769" t="s">
        <v>11984</v>
      </c>
      <c r="AB1769" t="s">
        <v>11985</v>
      </c>
      <c r="AC1769" t="s">
        <v>4993</v>
      </c>
      <c r="AD1769" s="249" t="str">
        <f>HYPERLINK("https://scontent.cdninstagram.com/t51.2885-15/s320x320/e35/c0.135.1080.1080/20986816_111874389494802_6351637086046519296_n.jpg")</f>
        <v>https://scontent.cdninstagram.com/t51.2885-15/s320x320/e35/c0.135.1080.1080/20986816_111874389494802_6351637086046519296_n.jpg</v>
      </c>
      <c r="AE1769" s="249" t="str">
        <f>HYPERLINK("https://scontent.cdninstagram.com/t51.2885-19/s150x150/19228102_478988119121123_6756779332443570176_a.jpg")</f>
        <v>https://scontent.cdninstagram.com/t51.2885-19/s150x150/19228102_478988119121123_6756779332443570176_a.jpg</v>
      </c>
    </row>
    <row r="1770" spans="1:31" ht="15" x14ac:dyDescent="0.25">
      <c r="A1770" t="s">
        <v>2474</v>
      </c>
      <c r="B1770" t="s">
        <v>8717</v>
      </c>
      <c r="C1770" s="221">
        <v>42967.521909722222</v>
      </c>
      <c r="D1770" t="s">
        <v>11986</v>
      </c>
      <c r="E1770" s="249" t="str">
        <f>HYPERLINK("https://www.instagram.com/p/BYBbw2slQxH/")</f>
        <v>https://www.instagram.com/p/BYBbw2slQxH/</v>
      </c>
      <c r="F1770" t="s">
        <v>11987</v>
      </c>
      <c r="G1770" t="s">
        <v>2478</v>
      </c>
      <c r="H1770">
        <v>1631</v>
      </c>
      <c r="I1770" t="s">
        <v>2479</v>
      </c>
      <c r="J1770">
        <v>0</v>
      </c>
      <c r="K1770">
        <v>140</v>
      </c>
      <c r="L1770">
        <v>140</v>
      </c>
      <c r="Q1770">
        <v>0</v>
      </c>
      <c r="R1770">
        <v>0</v>
      </c>
      <c r="S1770">
        <v>140</v>
      </c>
      <c r="Y1770" t="s">
        <v>2529</v>
      </c>
      <c r="Z1770" t="s">
        <v>11988</v>
      </c>
      <c r="AA1770" t="s">
        <v>3237</v>
      </c>
      <c r="AB1770" t="s">
        <v>8720</v>
      </c>
      <c r="AC1770" t="s">
        <v>4760</v>
      </c>
      <c r="AD1770" s="249" t="str">
        <f>HYPERLINK("https://scontent.cdninstagram.com/t51.2885-15/s320x320/e35/20902700_745259605598899_3010454650643021824_n.jpg")</f>
        <v>https://scontent.cdninstagram.com/t51.2885-15/s320x320/e35/20902700_745259605598899_3010454650643021824_n.jpg</v>
      </c>
      <c r="AE1770" s="249" t="str">
        <f>HYPERLINK("https://scontent.cdninstagram.com/t51.2885-19/s150x150/13102422_480287725499798_1251561052_a.jpg")</f>
        <v>https://scontent.cdninstagram.com/t51.2885-19/s150x150/13102422_480287725499798_1251561052_a.jpg</v>
      </c>
    </row>
    <row r="1771" spans="1:31" ht="15" x14ac:dyDescent="0.25">
      <c r="A1771" t="s">
        <v>2474</v>
      </c>
      <c r="B1771" t="s">
        <v>11989</v>
      </c>
      <c r="C1771" s="221">
        <v>42967.523159722223</v>
      </c>
      <c r="D1771" t="s">
        <v>11990</v>
      </c>
      <c r="E1771" s="249" t="str">
        <f>HYPERLINK("https://www.instagram.com/p/BYBb-HuD3S_/")</f>
        <v>https://www.instagram.com/p/BYBb-HuD3S_/</v>
      </c>
      <c r="F1771" t="s">
        <v>11991</v>
      </c>
      <c r="G1771" t="s">
        <v>2478</v>
      </c>
      <c r="H1771">
        <v>386</v>
      </c>
      <c r="I1771" t="s">
        <v>2479</v>
      </c>
      <c r="J1771">
        <v>3</v>
      </c>
      <c r="K1771">
        <v>18</v>
      </c>
      <c r="L1771">
        <v>21</v>
      </c>
      <c r="Q1771">
        <v>0</v>
      </c>
      <c r="R1771">
        <v>0</v>
      </c>
      <c r="S1771">
        <v>21</v>
      </c>
      <c r="Y1771" t="s">
        <v>2497</v>
      </c>
      <c r="Z1771" t="s">
        <v>11992</v>
      </c>
      <c r="AA1771" t="s">
        <v>11993</v>
      </c>
      <c r="AB1771" t="s">
        <v>11994</v>
      </c>
      <c r="AC1771" t="s">
        <v>3058</v>
      </c>
      <c r="AD1771" s="249" t="str">
        <f>HYPERLINK("https://scontent.cdninstagram.com/t51.2885-15/s320x320/e35/20905438_1808994875795836_1638854589807591424_n.jpg")</f>
        <v>https://scontent.cdninstagram.com/t51.2885-15/s320x320/e35/20905438_1808994875795836_1638854589807591424_n.jpg</v>
      </c>
      <c r="AE1771" s="249" t="str">
        <f>HYPERLINK("https://scontent.cdninstagram.com/t51.2885-19/10748236_1536345353249722_475842019_a.jpg")</f>
        <v>https://scontent.cdninstagram.com/t51.2885-19/10748236_1536345353249722_475842019_a.jpg</v>
      </c>
    </row>
    <row r="1772" spans="1:31" ht="15" x14ac:dyDescent="0.25">
      <c r="A1772" t="s">
        <v>2474</v>
      </c>
      <c r="B1772" t="s">
        <v>11995</v>
      </c>
      <c r="C1772" s="221">
        <v>42967.525729166664</v>
      </c>
      <c r="D1772" t="s">
        <v>11996</v>
      </c>
      <c r="E1772" s="249" t="str">
        <f>HYPERLINK("https://www.instagram.com/p/BYBcZLFjbRE/")</f>
        <v>https://www.instagram.com/p/BYBcZLFjbRE/</v>
      </c>
      <c r="F1772" t="s">
        <v>11997</v>
      </c>
      <c r="G1772" t="s">
        <v>2488</v>
      </c>
      <c r="H1772">
        <v>250</v>
      </c>
      <c r="I1772" t="s">
        <v>2479</v>
      </c>
      <c r="J1772">
        <v>2</v>
      </c>
      <c r="K1772">
        <v>71</v>
      </c>
      <c r="L1772">
        <v>73</v>
      </c>
      <c r="Q1772">
        <v>0</v>
      </c>
      <c r="R1772">
        <v>0</v>
      </c>
      <c r="S1772">
        <v>73</v>
      </c>
      <c r="Y1772" t="s">
        <v>2529</v>
      </c>
      <c r="Z1772" t="s">
        <v>11998</v>
      </c>
      <c r="AA1772" t="s">
        <v>6542</v>
      </c>
      <c r="AB1772" t="s">
        <v>3194</v>
      </c>
      <c r="AC1772" t="s">
        <v>9011</v>
      </c>
      <c r="AD1772" s="249" t="str">
        <f>HYPERLINK("https://scontent.cdninstagram.com/t51.2885-15/s320x320/e35/20968590_2060338687325074_5615653401464406016_n.jpg")</f>
        <v>https://scontent.cdninstagram.com/t51.2885-15/s320x320/e35/20968590_2060338687325074_5615653401464406016_n.jpg</v>
      </c>
      <c r="AE1772" s="249" t="str">
        <f>HYPERLINK("https://scontent.cdninstagram.com/t51.2885-19/s150x150/14350624_1805940022955167_1702656724_a.jpg")</f>
        <v>https://scontent.cdninstagram.com/t51.2885-19/s150x150/14350624_1805940022955167_1702656724_a.jpg</v>
      </c>
    </row>
    <row r="1773" spans="1:31" ht="15" x14ac:dyDescent="0.25">
      <c r="A1773" t="s">
        <v>2474</v>
      </c>
      <c r="B1773" t="s">
        <v>11999</v>
      </c>
      <c r="C1773" s="221">
        <v>42967.530914351853</v>
      </c>
      <c r="D1773" t="s">
        <v>12000</v>
      </c>
      <c r="E1773" s="249" t="str">
        <f>HYPERLINK("https://www.instagram.com/p/BYBdP50D1MW/")</f>
        <v>https://www.instagram.com/p/BYBdP50D1MW/</v>
      </c>
      <c r="F1773" t="s">
        <v>12001</v>
      </c>
      <c r="G1773" t="s">
        <v>2478</v>
      </c>
      <c r="H1773">
        <v>328</v>
      </c>
      <c r="I1773" t="s">
        <v>2542</v>
      </c>
      <c r="J1773">
        <v>0</v>
      </c>
      <c r="K1773">
        <v>10</v>
      </c>
      <c r="L1773">
        <v>10</v>
      </c>
      <c r="Q1773">
        <v>0</v>
      </c>
      <c r="R1773">
        <v>0</v>
      </c>
      <c r="S1773">
        <v>10</v>
      </c>
      <c r="Y1773" t="s">
        <v>2778</v>
      </c>
      <c r="Z1773" t="s">
        <v>10134</v>
      </c>
      <c r="AA1773" t="s">
        <v>3246</v>
      </c>
      <c r="AB1773" t="s">
        <v>12002</v>
      </c>
      <c r="AC1773" t="s">
        <v>4514</v>
      </c>
      <c r="AD1773" s="249" t="str">
        <f>HYPERLINK("https://scontent.cdninstagram.com/t51.2885-15/s320x320/e35/c79.0.366.366/20968908_1103095499821774_6603491670476455936_n.jpg")</f>
        <v>https://scontent.cdninstagram.com/t51.2885-15/s320x320/e35/c79.0.366.366/20968908_1103095499821774_6603491670476455936_n.jpg</v>
      </c>
      <c r="AE1773" s="249" t="str">
        <f>HYPERLINK("https://scontent.cdninstagram.com/t51.2885-19/s150x150/18514009_797776923680899_1399133549981859840_a.jpg")</f>
        <v>https://scontent.cdninstagram.com/t51.2885-19/s150x150/18514009_797776923680899_1399133549981859840_a.jpg</v>
      </c>
    </row>
    <row r="1774" spans="1:31" ht="15" x14ac:dyDescent="0.25">
      <c r="A1774" t="s">
        <v>2474</v>
      </c>
      <c r="B1774" t="s">
        <v>3015</v>
      </c>
      <c r="C1774" s="221">
        <v>42967.534074074072</v>
      </c>
      <c r="D1774" t="s">
        <v>12003</v>
      </c>
      <c r="E1774" s="249" t="str">
        <f>HYPERLINK("https://www.instagram.com/p/BYBdxOPAkJe/")</f>
        <v>https://www.instagram.com/p/BYBdxOPAkJe/</v>
      </c>
      <c r="F1774" t="s">
        <v>12004</v>
      </c>
      <c r="G1774" t="s">
        <v>2478</v>
      </c>
      <c r="H1774">
        <v>228</v>
      </c>
      <c r="I1774" t="s">
        <v>2479</v>
      </c>
      <c r="J1774">
        <v>0</v>
      </c>
      <c r="K1774">
        <v>33</v>
      </c>
      <c r="L1774">
        <v>33</v>
      </c>
      <c r="Q1774">
        <v>0</v>
      </c>
      <c r="R1774">
        <v>0</v>
      </c>
      <c r="S1774">
        <v>33</v>
      </c>
      <c r="Y1774" t="s">
        <v>3727</v>
      </c>
      <c r="Z1774" t="s">
        <v>4129</v>
      </c>
      <c r="AA1774" t="s">
        <v>6259</v>
      </c>
      <c r="AB1774" t="s">
        <v>3854</v>
      </c>
      <c r="AC1774" t="s">
        <v>3018</v>
      </c>
      <c r="AD1774" s="249" t="str">
        <f>HYPERLINK("https://scontent.cdninstagram.com/t51.2885-15/s320x320/e35/20905117_781247955414668_3110086643390873600_n.jpg")</f>
        <v>https://scontent.cdninstagram.com/t51.2885-15/s320x320/e35/20905117_781247955414668_3110086643390873600_n.jpg</v>
      </c>
      <c r="AE1774" s="249" t="str">
        <f>HYPERLINK("https://scontent.cdninstagram.com/t51.2885-19/s150x150/19761452_1876060406050696_4275948751316582400_a.jpg")</f>
        <v>https://scontent.cdninstagram.com/t51.2885-19/s150x150/19761452_1876060406050696_4275948751316582400_a.jpg</v>
      </c>
    </row>
    <row r="1775" spans="1:31" ht="15" x14ac:dyDescent="0.25">
      <c r="A1775" t="s">
        <v>2474</v>
      </c>
      <c r="B1775" t="s">
        <v>12005</v>
      </c>
      <c r="C1775" s="221">
        <v>42967.536643518521</v>
      </c>
      <c r="D1775" t="s">
        <v>12006</v>
      </c>
      <c r="E1775" s="249" t="str">
        <f>HYPERLINK("https://www.instagram.com/p/BYBeMS-gUi8/")</f>
        <v>https://www.instagram.com/p/BYBeMS-gUi8/</v>
      </c>
      <c r="F1775" t="s">
        <v>12007</v>
      </c>
      <c r="G1775" t="s">
        <v>2478</v>
      </c>
      <c r="H1775">
        <v>247</v>
      </c>
      <c r="I1775" t="s">
        <v>2622</v>
      </c>
      <c r="J1775">
        <v>0</v>
      </c>
      <c r="K1775">
        <v>47</v>
      </c>
      <c r="L1775">
        <v>47</v>
      </c>
      <c r="Q1775">
        <v>0</v>
      </c>
      <c r="R1775">
        <v>0</v>
      </c>
      <c r="S1775">
        <v>47</v>
      </c>
      <c r="Y1775" t="s">
        <v>4270</v>
      </c>
      <c r="Z1775" t="s">
        <v>12008</v>
      </c>
      <c r="AA1775" t="s">
        <v>3706</v>
      </c>
      <c r="AB1775" t="s">
        <v>4832</v>
      </c>
      <c r="AC1775" t="s">
        <v>12009</v>
      </c>
      <c r="AD1775" s="249" t="str">
        <f>HYPERLINK("https://scontent.cdninstagram.com/t51.2885-15/e35/c0.31.320.320/20968561_114081785934909_7009570700780371968_n.jpg")</f>
        <v>https://scontent.cdninstagram.com/t51.2885-15/e35/c0.31.320.320/20968561_114081785934909_7009570700780371968_n.jpg</v>
      </c>
      <c r="AE1775" s="249" t="str">
        <f>HYPERLINK("https://scontent.cdninstagram.com/t51.2885-19/s150x150/20399039_531003513897479_769704799967903744_a.jpg")</f>
        <v>https://scontent.cdninstagram.com/t51.2885-19/s150x150/20399039_531003513897479_769704799967903744_a.jpg</v>
      </c>
    </row>
    <row r="1776" spans="1:31" ht="15" x14ac:dyDescent="0.25">
      <c r="A1776" t="s">
        <v>2474</v>
      </c>
      <c r="B1776" t="s">
        <v>12010</v>
      </c>
      <c r="C1776" s="221">
        <v>42967.542870370373</v>
      </c>
      <c r="D1776" t="s">
        <v>12011</v>
      </c>
      <c r="E1776" s="249" t="str">
        <f>HYPERLINK("https://www.instagram.com/p/BYBfN5-lrIQ/")</f>
        <v>https://www.instagram.com/p/BYBfN5-lrIQ/</v>
      </c>
      <c r="F1776" t="s">
        <v>12012</v>
      </c>
      <c r="G1776" t="s">
        <v>2478</v>
      </c>
      <c r="H1776">
        <v>605</v>
      </c>
      <c r="I1776" t="s">
        <v>2479</v>
      </c>
      <c r="J1776">
        <v>2</v>
      </c>
      <c r="K1776">
        <v>40</v>
      </c>
      <c r="L1776">
        <v>42</v>
      </c>
      <c r="Q1776">
        <v>0</v>
      </c>
      <c r="R1776">
        <v>0</v>
      </c>
      <c r="S1776">
        <v>42</v>
      </c>
      <c r="T1776" t="s">
        <v>4214</v>
      </c>
      <c r="V1776" t="s">
        <v>2264</v>
      </c>
      <c r="W1776">
        <v>40.4</v>
      </c>
      <c r="X1776">
        <v>-3.6833300000000002</v>
      </c>
      <c r="Y1776" t="s">
        <v>12013</v>
      </c>
      <c r="Z1776" t="s">
        <v>4923</v>
      </c>
      <c r="AA1776" t="s">
        <v>6018</v>
      </c>
      <c r="AB1776" t="s">
        <v>2497</v>
      </c>
      <c r="AC1776" t="s">
        <v>12014</v>
      </c>
      <c r="AD1776" s="249" t="str">
        <f>HYPERLINK("https://scontent.cdninstagram.com/t51.2885-15/s320x320/e35/c0.135.1080.1080/20905497_164736957433057_6229289101464436736_n.jpg")</f>
        <v>https://scontent.cdninstagram.com/t51.2885-15/s320x320/e35/c0.135.1080.1080/20905497_164736957433057_6229289101464436736_n.jpg</v>
      </c>
      <c r="AE1776" s="249" t="str">
        <f>HYPERLINK("https://scontent.cdninstagram.com/t51.2885-19/s150x150/20634986_1586106561433317_7725462038725525504_a.jpg")</f>
        <v>https://scontent.cdninstagram.com/t51.2885-19/s150x150/20634986_1586106561433317_7725462038725525504_a.jpg</v>
      </c>
    </row>
    <row r="1777" spans="1:31" ht="15" x14ac:dyDescent="0.25">
      <c r="A1777" t="s">
        <v>2474</v>
      </c>
      <c r="B1777" t="s">
        <v>12015</v>
      </c>
      <c r="C1777" s="221">
        <v>42967.552685185183</v>
      </c>
      <c r="D1777" t="s">
        <v>12016</v>
      </c>
      <c r="E1777" s="249" t="str">
        <f>HYPERLINK("https://www.instagram.com/p/BYBg1b6HTH8/")</f>
        <v>https://www.instagram.com/p/BYBg1b6HTH8/</v>
      </c>
      <c r="F1777" t="s">
        <v>12017</v>
      </c>
      <c r="G1777" t="s">
        <v>2478</v>
      </c>
      <c r="I1777" t="s">
        <v>2479</v>
      </c>
      <c r="J1777">
        <v>0</v>
      </c>
      <c r="K1777">
        <v>6</v>
      </c>
      <c r="L1777">
        <v>6</v>
      </c>
      <c r="Q1777">
        <v>0</v>
      </c>
      <c r="R1777">
        <v>0</v>
      </c>
      <c r="S1777">
        <v>6</v>
      </c>
      <c r="T1777" t="s">
        <v>12018</v>
      </c>
      <c r="U1777" t="s">
        <v>97</v>
      </c>
      <c r="V1777" t="s">
        <v>2299</v>
      </c>
      <c r="W1777">
        <v>33.927500000000002</v>
      </c>
      <c r="X1777">
        <v>-118.27722</v>
      </c>
      <c r="Y1777" t="s">
        <v>2497</v>
      </c>
      <c r="Z1777" t="s">
        <v>4987</v>
      </c>
      <c r="AA1777" t="s">
        <v>3225</v>
      </c>
      <c r="AD1777" s="249" t="str">
        <f>HYPERLINK("https://scontent.cdninstagram.com/t51.2885-15/s320x320/e35/20904955_126477267976621_5791068799365021696_n.jpg")</f>
        <v>https://scontent.cdninstagram.com/t51.2885-15/s320x320/e35/20904955_126477267976621_5791068799365021696_n.jpg</v>
      </c>
      <c r="AE1777" s="249" t="str">
        <f>HYPERLINK("https://scontent.cdninstagram.com/t51.2885-19/s150x150/18011630_1823654321288723_1701408013924958208_a.jpg")</f>
        <v>https://scontent.cdninstagram.com/t51.2885-19/s150x150/18011630_1823654321288723_1701408013924958208_a.jpg</v>
      </c>
    </row>
    <row r="1778" spans="1:31" ht="15" x14ac:dyDescent="0.25">
      <c r="A1778" t="s">
        <v>2474</v>
      </c>
      <c r="B1778" t="s">
        <v>12019</v>
      </c>
      <c r="C1778" s="221">
        <v>42967.553113425929</v>
      </c>
      <c r="D1778" t="s">
        <v>12020</v>
      </c>
      <c r="E1778" s="249" t="str">
        <f>HYPERLINK("https://www.instagram.com/p/BYBg59KAxfl/")</f>
        <v>https://www.instagram.com/p/BYBg59KAxfl/</v>
      </c>
      <c r="F1778" t="s">
        <v>12021</v>
      </c>
      <c r="G1778" t="s">
        <v>2478</v>
      </c>
      <c r="H1778">
        <v>291</v>
      </c>
      <c r="I1778" t="s">
        <v>2748</v>
      </c>
      <c r="J1778">
        <v>0</v>
      </c>
      <c r="K1778">
        <v>29</v>
      </c>
      <c r="L1778">
        <v>29</v>
      </c>
      <c r="Q1778">
        <v>0</v>
      </c>
      <c r="R1778">
        <v>0</v>
      </c>
      <c r="S1778">
        <v>29</v>
      </c>
      <c r="Y1778" t="s">
        <v>3534</v>
      </c>
      <c r="Z1778" t="s">
        <v>12022</v>
      </c>
      <c r="AA1778" t="s">
        <v>2938</v>
      </c>
      <c r="AB1778" t="s">
        <v>12023</v>
      </c>
      <c r="AC1778" t="s">
        <v>4026</v>
      </c>
      <c r="AD1778" s="249" t="str">
        <f>HYPERLINK("https://scontent.cdninstagram.com/t51.2885-15/s320x320/e35/c0.90.720.720/20986915_1043475969165156_8976162957771669504_n.jpg")</f>
        <v>https://scontent.cdninstagram.com/t51.2885-15/s320x320/e35/c0.90.720.720/20986915_1043475969165156_8976162957771669504_n.jpg</v>
      </c>
      <c r="AE1778" s="249" t="str">
        <f>HYPERLINK("https://scontent.cdninstagram.com/t51.2885-19/s150x150/20766601_1915262188736215_1065425036443123712_a.jpg")</f>
        <v>https://scontent.cdninstagram.com/t51.2885-19/s150x150/20766601_1915262188736215_1065425036443123712_a.jpg</v>
      </c>
    </row>
    <row r="1779" spans="1:31" ht="15" x14ac:dyDescent="0.25">
      <c r="A1779" t="s">
        <v>2474</v>
      </c>
      <c r="B1779" t="s">
        <v>12024</v>
      </c>
      <c r="C1779" s="221">
        <v>42967.558483796296</v>
      </c>
      <c r="D1779" t="s">
        <v>12025</v>
      </c>
      <c r="E1779" s="249" t="str">
        <f>HYPERLINK("https://www.instagram.com/p/BYBhyqjDzqe/")</f>
        <v>https://www.instagram.com/p/BYBhyqjDzqe/</v>
      </c>
      <c r="F1779" t="s">
        <v>12026</v>
      </c>
      <c r="G1779" t="s">
        <v>2478</v>
      </c>
      <c r="H1779">
        <v>92</v>
      </c>
      <c r="I1779" t="s">
        <v>2479</v>
      </c>
      <c r="J1779">
        <v>2</v>
      </c>
      <c r="K1779">
        <v>32</v>
      </c>
      <c r="L1779">
        <v>34</v>
      </c>
      <c r="Q1779">
        <v>0</v>
      </c>
      <c r="R1779">
        <v>0</v>
      </c>
      <c r="S1779">
        <v>34</v>
      </c>
      <c r="Y1779" t="s">
        <v>5981</v>
      </c>
      <c r="Z1779" t="s">
        <v>12027</v>
      </c>
      <c r="AA1779" t="s">
        <v>12028</v>
      </c>
      <c r="AB1779" t="s">
        <v>4582</v>
      </c>
      <c r="AC1779" t="s">
        <v>7287</v>
      </c>
      <c r="AD1779" s="249" t="str">
        <f>HYPERLINK("https://scontent.cdninstagram.com/t51.2885-15/s320x320/e35/21041334_158185058092176_5015103551987253248_n.jpg")</f>
        <v>https://scontent.cdninstagram.com/t51.2885-15/s320x320/e35/21041334_158185058092176_5015103551987253248_n.jpg</v>
      </c>
      <c r="AE1779" s="249" t="str">
        <f>HYPERLINK("https://scontent.cdninstagram.com/t51.2885-19/s150x150/20902486_336209820170163_5470017043346489344_a.jpg")</f>
        <v>https://scontent.cdninstagram.com/t51.2885-19/s150x150/20902486_336209820170163_5470017043346489344_a.jpg</v>
      </c>
    </row>
    <row r="1780" spans="1:31" ht="15" x14ac:dyDescent="0.25">
      <c r="A1780" t="s">
        <v>2474</v>
      </c>
      <c r="B1780" t="s">
        <v>12029</v>
      </c>
      <c r="C1780" s="221">
        <v>42967.558553240742</v>
      </c>
      <c r="D1780" t="s">
        <v>12030</v>
      </c>
      <c r="E1780" s="249" t="str">
        <f>HYPERLINK("https://www.instagram.com/p/BYBhzVvANga/")</f>
        <v>https://www.instagram.com/p/BYBhzVvANga/</v>
      </c>
      <c r="F1780" t="s">
        <v>12031</v>
      </c>
      <c r="G1780" t="s">
        <v>2478</v>
      </c>
      <c r="H1780">
        <v>358</v>
      </c>
      <c r="I1780" t="s">
        <v>2479</v>
      </c>
      <c r="J1780">
        <v>0</v>
      </c>
      <c r="K1780">
        <v>7</v>
      </c>
      <c r="L1780">
        <v>7</v>
      </c>
      <c r="Q1780">
        <v>0</v>
      </c>
      <c r="R1780">
        <v>0</v>
      </c>
      <c r="S1780">
        <v>7</v>
      </c>
      <c r="Y1780" t="s">
        <v>12032</v>
      </c>
      <c r="Z1780" t="s">
        <v>12033</v>
      </c>
      <c r="AA1780" t="s">
        <v>12034</v>
      </c>
      <c r="AB1780" t="s">
        <v>4180</v>
      </c>
      <c r="AC1780" t="s">
        <v>12035</v>
      </c>
      <c r="AD1780" s="249" t="str">
        <f>HYPERLINK("https://scontent.cdninstagram.com/t51.2885-15/s320x320/e35/c0.135.1080.1080/20902758_139661246636653_788629697184399360_n.jpg")</f>
        <v>https://scontent.cdninstagram.com/t51.2885-15/s320x320/e35/c0.135.1080.1080/20902758_139661246636653_788629697184399360_n.jpg</v>
      </c>
      <c r="AE1780" s="249" t="str">
        <f>HYPERLINK("https://scontent.cdninstagram.com/t51.2885-19/s150x150/20838995_934547916684228_3704857807644786688_a.jpg")</f>
        <v>https://scontent.cdninstagram.com/t51.2885-19/s150x150/20838995_934547916684228_3704857807644786688_a.jpg</v>
      </c>
    </row>
    <row r="1781" spans="1:31" ht="15" x14ac:dyDescent="0.25">
      <c r="A1781" t="s">
        <v>2474</v>
      </c>
      <c r="B1781" t="s">
        <v>4616</v>
      </c>
      <c r="C1781" s="221">
        <v>42967.564560185187</v>
      </c>
      <c r="D1781" t="s">
        <v>12036</v>
      </c>
      <c r="E1781" s="249" t="str">
        <f>HYPERLINK("https://www.instagram.com/p/BYBiyquhqJ7/")</f>
        <v>https://www.instagram.com/p/BYBiyquhqJ7/</v>
      </c>
      <c r="F1781" t="s">
        <v>12037</v>
      </c>
      <c r="G1781" t="s">
        <v>2478</v>
      </c>
      <c r="H1781">
        <v>116</v>
      </c>
      <c r="I1781" t="s">
        <v>2479</v>
      </c>
      <c r="J1781">
        <v>0</v>
      </c>
      <c r="K1781">
        <v>23</v>
      </c>
      <c r="L1781">
        <v>23</v>
      </c>
      <c r="Q1781">
        <v>0</v>
      </c>
      <c r="R1781">
        <v>0</v>
      </c>
      <c r="S1781">
        <v>23</v>
      </c>
      <c r="T1781" t="s">
        <v>7823</v>
      </c>
      <c r="V1781" t="s">
        <v>2125</v>
      </c>
      <c r="W1781">
        <v>45</v>
      </c>
      <c r="X1781">
        <v>-79.3</v>
      </c>
      <c r="Y1781" t="s">
        <v>7451</v>
      </c>
      <c r="Z1781" t="s">
        <v>9549</v>
      </c>
      <c r="AA1781" t="s">
        <v>4623</v>
      </c>
      <c r="AB1781" t="s">
        <v>5005</v>
      </c>
      <c r="AC1781" t="s">
        <v>4808</v>
      </c>
      <c r="AD1781" s="249" t="str">
        <f>HYPERLINK("https://scontent.cdninstagram.com/t51.2885-15/s320x320/e35/c135.0.810.810/21040871_1578585765538028_6259365529077678080_n.jpg")</f>
        <v>https://scontent.cdninstagram.com/t51.2885-15/s320x320/e35/c135.0.810.810/21040871_1578585765538028_6259365529077678080_n.jpg</v>
      </c>
      <c r="AE1781" s="249" t="str">
        <f>HYPERLINK("https://scontent.cdninstagram.com/t51.2885-19/s150x150/17494353_1347957098574282_2527511313651859456_a.jpg")</f>
        <v>https://scontent.cdninstagram.com/t51.2885-19/s150x150/17494353_1347957098574282_2527511313651859456_a.jpg</v>
      </c>
    </row>
    <row r="1782" spans="1:31" ht="15" x14ac:dyDescent="0.25">
      <c r="A1782" t="s">
        <v>2474</v>
      </c>
      <c r="B1782" t="s">
        <v>12038</v>
      </c>
      <c r="C1782" s="221">
        <v>42967.573877314811</v>
      </c>
      <c r="D1782" t="s">
        <v>12039</v>
      </c>
      <c r="E1782" s="249" t="str">
        <f>HYPERLINK("https://www.instagram.com/p/BYBkU92AJW2/")</f>
        <v>https://www.instagram.com/p/BYBkU92AJW2/</v>
      </c>
      <c r="F1782" t="s">
        <v>12040</v>
      </c>
      <c r="G1782" t="s">
        <v>2478</v>
      </c>
      <c r="H1782">
        <v>283</v>
      </c>
      <c r="I1782" t="s">
        <v>2479</v>
      </c>
      <c r="J1782">
        <v>4</v>
      </c>
      <c r="K1782">
        <v>11</v>
      </c>
      <c r="L1782">
        <v>15</v>
      </c>
      <c r="Q1782">
        <v>0</v>
      </c>
      <c r="R1782">
        <v>0</v>
      </c>
      <c r="S1782">
        <v>15</v>
      </c>
      <c r="Y1782" t="s">
        <v>12041</v>
      </c>
      <c r="Z1782" t="s">
        <v>12042</v>
      </c>
      <c r="AA1782" t="s">
        <v>12043</v>
      </c>
      <c r="AB1782" t="s">
        <v>12044</v>
      </c>
      <c r="AC1782" t="s">
        <v>4253</v>
      </c>
      <c r="AD1782" s="249" t="str">
        <f>HYPERLINK("https://scontent.cdninstagram.com/t51.2885-15/s320x320/e35/c0.112.900.900/20902579_275083892974003_2491612576832552960_n.jpg")</f>
        <v>https://scontent.cdninstagram.com/t51.2885-15/s320x320/e35/c0.112.900.900/20902579_275083892974003_2491612576832552960_n.jpg</v>
      </c>
      <c r="AE1782" s="249" t="str">
        <f>HYPERLINK("https://scontent.cdninstagram.com/t51.2885-19/s150x150/20968674_697952143738108_3227508111505883136_a.jpg")</f>
        <v>https://scontent.cdninstagram.com/t51.2885-19/s150x150/20968674_697952143738108_3227508111505883136_a.jpg</v>
      </c>
    </row>
    <row r="1783" spans="1:31" ht="15" x14ac:dyDescent="0.25">
      <c r="A1783" t="s">
        <v>2474</v>
      </c>
      <c r="B1783" t="s">
        <v>5657</v>
      </c>
      <c r="C1783" s="221">
        <v>42967.574432870373</v>
      </c>
      <c r="D1783" t="s">
        <v>12045</v>
      </c>
      <c r="E1783" s="249" t="str">
        <f>HYPERLINK("https://www.instagram.com/p/BYBka5fAVBR/")</f>
        <v>https://www.instagram.com/p/BYBka5fAVBR/</v>
      </c>
      <c r="F1783" t="s">
        <v>12046</v>
      </c>
      <c r="G1783" t="s">
        <v>2478</v>
      </c>
      <c r="H1783">
        <v>83</v>
      </c>
      <c r="I1783" t="s">
        <v>2519</v>
      </c>
      <c r="J1783">
        <v>2</v>
      </c>
      <c r="K1783">
        <v>16</v>
      </c>
      <c r="L1783">
        <v>18</v>
      </c>
      <c r="Q1783">
        <v>0</v>
      </c>
      <c r="R1783">
        <v>0</v>
      </c>
      <c r="S1783">
        <v>18</v>
      </c>
      <c r="Y1783" t="s">
        <v>12047</v>
      </c>
      <c r="Z1783" t="s">
        <v>4839</v>
      </c>
      <c r="AA1783" t="s">
        <v>10509</v>
      </c>
      <c r="AB1783" t="s">
        <v>4582</v>
      </c>
      <c r="AC1783" t="s">
        <v>7748</v>
      </c>
      <c r="AD1783" s="249" t="str">
        <f>HYPERLINK("https://scontent.cdninstagram.com/t51.2885-15/s320x320/e35/c0.135.1080.1080/20905163_1956830484563372_4448837316877746176_n.jpg")</f>
        <v>https://scontent.cdninstagram.com/t51.2885-15/s320x320/e35/c0.135.1080.1080/20905163_1956830484563372_4448837316877746176_n.jpg</v>
      </c>
      <c r="AE1783" s="249" t="str">
        <f>HYPERLINK("https://scontent.cdninstagram.com/t51.2885-19/s150x150/18722414_1929874740617287_7467972564577419264_a.jpg")</f>
        <v>https://scontent.cdninstagram.com/t51.2885-19/s150x150/18722414_1929874740617287_7467972564577419264_a.jpg</v>
      </c>
    </row>
    <row r="1784" spans="1:31" ht="15" x14ac:dyDescent="0.25">
      <c r="A1784" t="s">
        <v>2474</v>
      </c>
      <c r="B1784" t="s">
        <v>5657</v>
      </c>
      <c r="C1784" s="221">
        <v>42967.575243055559</v>
      </c>
      <c r="D1784" t="s">
        <v>12048</v>
      </c>
      <c r="E1784" s="249" t="str">
        <f>HYPERLINK("https://www.instagram.com/p/BYBkjbHAn7-/")</f>
        <v>https://www.instagram.com/p/BYBkjbHAn7-/</v>
      </c>
      <c r="F1784" t="s">
        <v>12049</v>
      </c>
      <c r="G1784" t="s">
        <v>2478</v>
      </c>
      <c r="H1784">
        <v>83</v>
      </c>
      <c r="I1784" t="s">
        <v>3273</v>
      </c>
      <c r="J1784">
        <v>1</v>
      </c>
      <c r="K1784">
        <v>13</v>
      </c>
      <c r="L1784">
        <v>14</v>
      </c>
      <c r="Q1784">
        <v>0</v>
      </c>
      <c r="R1784">
        <v>0</v>
      </c>
      <c r="S1784">
        <v>14</v>
      </c>
      <c r="Y1784" t="s">
        <v>12047</v>
      </c>
      <c r="Z1784" t="s">
        <v>4839</v>
      </c>
      <c r="AA1784" t="s">
        <v>4582</v>
      </c>
      <c r="AB1784" t="s">
        <v>7748</v>
      </c>
      <c r="AC1784" t="s">
        <v>5660</v>
      </c>
      <c r="AD1784" s="249" t="str">
        <f>HYPERLINK("https://scontent.cdninstagram.com/t51.2885-15/s320x320/e35/c0.135.1080.1080/20905557_146195109302934_2400353451029561344_n.jpg")</f>
        <v>https://scontent.cdninstagram.com/t51.2885-15/s320x320/e35/c0.135.1080.1080/20905557_146195109302934_2400353451029561344_n.jpg</v>
      </c>
      <c r="AE1784" s="249" t="str">
        <f>HYPERLINK("https://scontent.cdninstagram.com/t51.2885-19/s150x150/18722414_1929874740617287_7467972564577419264_a.jpg")</f>
        <v>https://scontent.cdninstagram.com/t51.2885-19/s150x150/18722414_1929874740617287_7467972564577419264_a.jpg</v>
      </c>
    </row>
    <row r="1785" spans="1:31" ht="15" x14ac:dyDescent="0.25">
      <c r="A1785" t="s">
        <v>2474</v>
      </c>
      <c r="B1785" t="s">
        <v>5657</v>
      </c>
      <c r="C1785" s="221">
        <v>42967.578784722224</v>
      </c>
      <c r="D1785" t="s">
        <v>12050</v>
      </c>
      <c r="E1785" s="249" t="str">
        <f>HYPERLINK("https://www.instagram.com/p/BYBlIzfghZB/")</f>
        <v>https://www.instagram.com/p/BYBlIzfghZB/</v>
      </c>
      <c r="F1785" t="s">
        <v>12051</v>
      </c>
      <c r="G1785" t="s">
        <v>2478</v>
      </c>
      <c r="H1785">
        <v>83</v>
      </c>
      <c r="I1785" t="s">
        <v>3170</v>
      </c>
      <c r="J1785">
        <v>1</v>
      </c>
      <c r="K1785">
        <v>15</v>
      </c>
      <c r="L1785">
        <v>16</v>
      </c>
      <c r="Q1785">
        <v>0</v>
      </c>
      <c r="R1785">
        <v>0</v>
      </c>
      <c r="S1785">
        <v>16</v>
      </c>
      <c r="Y1785" t="s">
        <v>12047</v>
      </c>
      <c r="Z1785" t="s">
        <v>4839</v>
      </c>
      <c r="AA1785" t="s">
        <v>4582</v>
      </c>
      <c r="AB1785" t="s">
        <v>7748</v>
      </c>
      <c r="AC1785" t="s">
        <v>5660</v>
      </c>
      <c r="AD1785" s="249" t="str">
        <f>HYPERLINK("https://scontent.cdninstagram.com/t51.2885-15/s320x320/e35/c0.135.1080.1080/20902772_326882287776737_6304650285562200064_n.jpg")</f>
        <v>https://scontent.cdninstagram.com/t51.2885-15/s320x320/e35/c0.135.1080.1080/20902772_326882287776737_6304650285562200064_n.jpg</v>
      </c>
      <c r="AE1785" s="249" t="str">
        <f>HYPERLINK("https://scontent.cdninstagram.com/t51.2885-19/s150x150/18722414_1929874740617287_7467972564577419264_a.jpg")</f>
        <v>https://scontent.cdninstagram.com/t51.2885-19/s150x150/18722414_1929874740617287_7467972564577419264_a.jpg</v>
      </c>
    </row>
    <row r="1786" spans="1:31" ht="15" x14ac:dyDescent="0.25">
      <c r="A1786" t="s">
        <v>2474</v>
      </c>
      <c r="B1786" t="s">
        <v>5657</v>
      </c>
      <c r="C1786" s="221">
        <v>42967.580335648148</v>
      </c>
      <c r="D1786" t="s">
        <v>12052</v>
      </c>
      <c r="E1786" s="249" t="str">
        <f>HYPERLINK("https://www.instagram.com/p/BYBlZELghOF/")</f>
        <v>https://www.instagram.com/p/BYBlZELghOF/</v>
      </c>
      <c r="F1786" t="s">
        <v>12053</v>
      </c>
      <c r="G1786" t="s">
        <v>2478</v>
      </c>
      <c r="H1786">
        <v>83</v>
      </c>
      <c r="I1786" t="s">
        <v>2582</v>
      </c>
      <c r="J1786">
        <v>0</v>
      </c>
      <c r="K1786">
        <v>17</v>
      </c>
      <c r="L1786">
        <v>17</v>
      </c>
      <c r="Q1786">
        <v>0</v>
      </c>
      <c r="R1786">
        <v>0</v>
      </c>
      <c r="S1786">
        <v>17</v>
      </c>
      <c r="Y1786" t="s">
        <v>12047</v>
      </c>
      <c r="Z1786" t="s">
        <v>4839</v>
      </c>
      <c r="AA1786" t="s">
        <v>4582</v>
      </c>
      <c r="AB1786" t="s">
        <v>7748</v>
      </c>
      <c r="AC1786" t="s">
        <v>5660</v>
      </c>
      <c r="AD1786" s="249" t="str">
        <f>HYPERLINK("https://scontent.cdninstagram.com/t51.2885-15/s320x320/e35/c0.135.1080.1080/21041054_132774504006468_4599336531457474560_n.jpg")</f>
        <v>https://scontent.cdninstagram.com/t51.2885-15/s320x320/e35/c0.135.1080.1080/21041054_132774504006468_4599336531457474560_n.jpg</v>
      </c>
      <c r="AE1786" s="249" t="str">
        <f>HYPERLINK("https://scontent.cdninstagram.com/t51.2885-19/s150x150/18722414_1929874740617287_7467972564577419264_a.jpg")</f>
        <v>https://scontent.cdninstagram.com/t51.2885-19/s150x150/18722414_1929874740617287_7467972564577419264_a.jpg</v>
      </c>
    </row>
    <row r="1787" spans="1:31" ht="15" x14ac:dyDescent="0.25">
      <c r="A1787" t="s">
        <v>2474</v>
      </c>
      <c r="B1787" t="s">
        <v>12054</v>
      </c>
      <c r="C1787" s="221">
        <v>42967.580578703702</v>
      </c>
      <c r="D1787" t="s">
        <v>12055</v>
      </c>
      <c r="E1787" s="249" t="str">
        <f>HYPERLINK("https://www.instagram.com/p/BYBlbqgFsa3/")</f>
        <v>https://www.instagram.com/p/BYBlbqgFsa3/</v>
      </c>
      <c r="F1787" t="s">
        <v>12056</v>
      </c>
      <c r="G1787" t="s">
        <v>2478</v>
      </c>
      <c r="H1787">
        <v>509</v>
      </c>
      <c r="I1787" t="s">
        <v>3273</v>
      </c>
      <c r="J1787">
        <v>3</v>
      </c>
      <c r="K1787">
        <v>67</v>
      </c>
      <c r="L1787">
        <v>70</v>
      </c>
      <c r="Q1787">
        <v>0</v>
      </c>
      <c r="R1787">
        <v>0</v>
      </c>
      <c r="S1787">
        <v>70</v>
      </c>
      <c r="Y1787" t="s">
        <v>2603</v>
      </c>
      <c r="Z1787" t="s">
        <v>12057</v>
      </c>
      <c r="AA1787" t="s">
        <v>12058</v>
      </c>
      <c r="AB1787" t="s">
        <v>2906</v>
      </c>
      <c r="AC1787" t="s">
        <v>12059</v>
      </c>
      <c r="AD1787" s="249" t="str">
        <f>HYPERLINK("https://scontent.cdninstagram.com/t51.2885-15/s320x320/e35/c0.135.1080.1080/20969253_390707257994136_2017537660112863232_n.jpg")</f>
        <v>https://scontent.cdninstagram.com/t51.2885-15/s320x320/e35/c0.135.1080.1080/20969253_390707257994136_2017537660112863232_n.jpg</v>
      </c>
      <c r="AE1787" s="249" t="str">
        <f>HYPERLINK("https://scontent.cdninstagram.com/t51.2885-19/s150x150/21042162_1716268602002234_2890516198548570112_a.jpg")</f>
        <v>https://scontent.cdninstagram.com/t51.2885-19/s150x150/21042162_1716268602002234_2890516198548570112_a.jpg</v>
      </c>
    </row>
    <row r="1788" spans="1:31" ht="15" x14ac:dyDescent="0.25">
      <c r="A1788" t="s">
        <v>2474</v>
      </c>
      <c r="B1788" t="s">
        <v>5657</v>
      </c>
      <c r="C1788" s="221">
        <v>42967.581759259258</v>
      </c>
      <c r="D1788" t="s">
        <v>12060</v>
      </c>
      <c r="E1788" s="249" t="str">
        <f>HYPERLINK("https://www.instagram.com/p/BYBloJ3guA3/")</f>
        <v>https://www.instagram.com/p/BYBloJ3guA3/</v>
      </c>
      <c r="F1788" t="s">
        <v>12061</v>
      </c>
      <c r="G1788" t="s">
        <v>2478</v>
      </c>
      <c r="H1788">
        <v>83</v>
      </c>
      <c r="I1788" t="s">
        <v>4523</v>
      </c>
      <c r="J1788">
        <v>3</v>
      </c>
      <c r="K1788">
        <v>21</v>
      </c>
      <c r="L1788">
        <v>24</v>
      </c>
      <c r="Q1788">
        <v>0</v>
      </c>
      <c r="R1788">
        <v>0</v>
      </c>
      <c r="S1788">
        <v>24</v>
      </c>
      <c r="Y1788" t="s">
        <v>12047</v>
      </c>
      <c r="Z1788" t="s">
        <v>4839</v>
      </c>
      <c r="AA1788" t="s">
        <v>4582</v>
      </c>
      <c r="AB1788" t="s">
        <v>7748</v>
      </c>
      <c r="AC1788" t="s">
        <v>5660</v>
      </c>
      <c r="AD1788" s="249" t="str">
        <f>HYPERLINK("https://scontent.cdninstagram.com/t51.2885-15/s320x320/e35/c0.135.1080.1080/20905541_160173704535510_3816421610382950400_n.jpg")</f>
        <v>https://scontent.cdninstagram.com/t51.2885-15/s320x320/e35/c0.135.1080.1080/20905541_160173704535510_3816421610382950400_n.jpg</v>
      </c>
      <c r="AE1788" s="249" t="str">
        <f>HYPERLINK("https://scontent.cdninstagram.com/t51.2885-19/s150x150/18722414_1929874740617287_7467972564577419264_a.jpg")</f>
        <v>https://scontent.cdninstagram.com/t51.2885-19/s150x150/18722414_1929874740617287_7467972564577419264_a.jpg</v>
      </c>
    </row>
    <row r="1789" spans="1:31" ht="15" x14ac:dyDescent="0.25">
      <c r="A1789" t="s">
        <v>2474</v>
      </c>
      <c r="B1789" t="s">
        <v>5225</v>
      </c>
      <c r="C1789" s="221">
        <v>42967.597743055558</v>
      </c>
      <c r="D1789" t="s">
        <v>12062</v>
      </c>
      <c r="E1789" s="249" t="str">
        <f>HYPERLINK("https://www.instagram.com/p/BYBoQwggeCR/")</f>
        <v>https://www.instagram.com/p/BYBoQwggeCR/</v>
      </c>
      <c r="F1789" t="s">
        <v>12063</v>
      </c>
      <c r="G1789" t="s">
        <v>2478</v>
      </c>
      <c r="H1789">
        <v>55</v>
      </c>
      <c r="I1789" t="s">
        <v>2479</v>
      </c>
      <c r="J1789">
        <v>0</v>
      </c>
      <c r="K1789">
        <v>22</v>
      </c>
      <c r="L1789">
        <v>22</v>
      </c>
      <c r="Q1789">
        <v>0</v>
      </c>
      <c r="R1789">
        <v>0</v>
      </c>
      <c r="S1789">
        <v>22</v>
      </c>
      <c r="T1789" t="s">
        <v>5228</v>
      </c>
      <c r="V1789" t="s">
        <v>2154</v>
      </c>
      <c r="W1789">
        <v>47.498634698221998</v>
      </c>
      <c r="X1789">
        <v>-0.50784128552246999</v>
      </c>
      <c r="Y1789" t="s">
        <v>5232</v>
      </c>
      <c r="Z1789" t="s">
        <v>12064</v>
      </c>
      <c r="AA1789" t="s">
        <v>2513</v>
      </c>
      <c r="AB1789" t="s">
        <v>2861</v>
      </c>
      <c r="AC1789" t="s">
        <v>6043</v>
      </c>
      <c r="AD1789" s="249" t="str">
        <f>HYPERLINK("https://scontent.cdninstagram.com/t51.2885-15/s320x320/e35/20902750_1385150968246983_1783868744603271168_n.jpg")</f>
        <v>https://scontent.cdninstagram.com/t51.2885-15/s320x320/e35/20902750_1385150968246983_1783868744603271168_n.jpg</v>
      </c>
      <c r="AE1789" s="249" t="str">
        <f>HYPERLINK("https://scontent.cdninstagram.com/t51.2885-19/s150x150/18949503_1122155304550657_4049188449616396288_a.jpg")</f>
        <v>https://scontent.cdninstagram.com/t51.2885-19/s150x150/18949503_1122155304550657_4049188449616396288_a.jpg</v>
      </c>
    </row>
    <row r="1790" spans="1:31" ht="15" x14ac:dyDescent="0.25">
      <c r="A1790" t="s">
        <v>2474</v>
      </c>
      <c r="B1790" t="s">
        <v>12065</v>
      </c>
      <c r="C1790" s="221">
        <v>42967.607372685183</v>
      </c>
      <c r="D1790" t="s">
        <v>12066</v>
      </c>
      <c r="E1790" s="249" t="str">
        <f>HYPERLINK("https://www.instagram.com/p/BYBp2Nxjutk/")</f>
        <v>https://www.instagram.com/p/BYBp2Nxjutk/</v>
      </c>
      <c r="F1790" t="s">
        <v>12067</v>
      </c>
      <c r="G1790" t="s">
        <v>2478</v>
      </c>
      <c r="H1790">
        <v>786</v>
      </c>
      <c r="I1790" t="s">
        <v>2479</v>
      </c>
      <c r="J1790">
        <v>0</v>
      </c>
      <c r="K1790">
        <v>31</v>
      </c>
      <c r="L1790">
        <v>31</v>
      </c>
      <c r="Q1790">
        <v>0</v>
      </c>
      <c r="R1790">
        <v>0</v>
      </c>
      <c r="S1790">
        <v>31</v>
      </c>
      <c r="Y1790" t="s">
        <v>12068</v>
      </c>
      <c r="Z1790" t="s">
        <v>8753</v>
      </c>
      <c r="AA1790" t="s">
        <v>12069</v>
      </c>
      <c r="AB1790" t="s">
        <v>12070</v>
      </c>
      <c r="AC1790" t="s">
        <v>12071</v>
      </c>
      <c r="AD1790" s="249" t="str">
        <f>HYPERLINK("https://scontent.cdninstagram.com/t51.2885-15/s320x320/e35/21041426_218305335365869_1689305015128162304_n.jpg")</f>
        <v>https://scontent.cdninstagram.com/t51.2885-15/s320x320/e35/21041426_218305335365869_1689305015128162304_n.jpg</v>
      </c>
      <c r="AE1790" s="249" t="str">
        <f>HYPERLINK("https://scontent.cdninstagram.com/t51.2885-19/s150x150/20481829_128033591146372_6470603183314960384_a.jpg")</f>
        <v>https://scontent.cdninstagram.com/t51.2885-19/s150x150/20481829_128033591146372_6470603183314960384_a.jpg</v>
      </c>
    </row>
    <row r="1791" spans="1:31" ht="15" x14ac:dyDescent="0.25">
      <c r="A1791" t="s">
        <v>2474</v>
      </c>
      <c r="B1791" t="s">
        <v>12072</v>
      </c>
      <c r="C1791" s="221">
        <v>42967.608553240738</v>
      </c>
      <c r="D1791" t="s">
        <v>12073</v>
      </c>
      <c r="E1791" s="249" t="str">
        <f>HYPERLINK("https://www.instagram.com/p/BYBqCrjjxzv/")</f>
        <v>https://www.instagram.com/p/BYBqCrjjxzv/</v>
      </c>
      <c r="F1791" t="s">
        <v>12074</v>
      </c>
      <c r="G1791" t="s">
        <v>2478</v>
      </c>
      <c r="H1791">
        <v>179</v>
      </c>
      <c r="I1791" t="s">
        <v>2479</v>
      </c>
      <c r="J1791">
        <v>1</v>
      </c>
      <c r="K1791">
        <v>63</v>
      </c>
      <c r="L1791">
        <v>64</v>
      </c>
      <c r="Q1791">
        <v>0</v>
      </c>
      <c r="R1791">
        <v>0</v>
      </c>
      <c r="S1791">
        <v>64</v>
      </c>
      <c r="Y1791" t="s">
        <v>9131</v>
      </c>
      <c r="Z1791" t="s">
        <v>6429</v>
      </c>
      <c r="AA1791" t="s">
        <v>12075</v>
      </c>
      <c r="AB1791" t="s">
        <v>12076</v>
      </c>
      <c r="AC1791" t="s">
        <v>2497</v>
      </c>
      <c r="AD1791" s="249" t="str">
        <f>HYPERLINK("https://scontent.cdninstagram.com/t51.2885-15/s320x320/e35/21041634_400908260312002_3916251214576091136_n.jpg")</f>
        <v>https://scontent.cdninstagram.com/t51.2885-15/s320x320/e35/21041634_400908260312002_3916251214576091136_n.jpg</v>
      </c>
      <c r="AE1791" s="249" t="str">
        <f>HYPERLINK("https://scontent.cdninstagram.com/t51.2885-19/s150x150/20836863_507961886209534_5637080903109836800_a.jpg")</f>
        <v>https://scontent.cdninstagram.com/t51.2885-19/s150x150/20836863_507961886209534_5637080903109836800_a.jpg</v>
      </c>
    </row>
    <row r="1792" spans="1:31" ht="15" x14ac:dyDescent="0.25">
      <c r="A1792" t="s">
        <v>2474</v>
      </c>
      <c r="B1792" t="s">
        <v>2893</v>
      </c>
      <c r="C1792" s="221">
        <v>42967.612407407411</v>
      </c>
      <c r="D1792" t="s">
        <v>12077</v>
      </c>
      <c r="E1792" s="249" t="str">
        <f>HYPERLINK("https://www.instagram.com/p/BYBqrXCFehF/")</f>
        <v>https://www.instagram.com/p/BYBqrXCFehF/</v>
      </c>
      <c r="F1792" t="s">
        <v>12078</v>
      </c>
      <c r="G1792" t="s">
        <v>2478</v>
      </c>
      <c r="H1792">
        <v>376</v>
      </c>
      <c r="I1792" t="s">
        <v>2479</v>
      </c>
      <c r="J1792">
        <v>2</v>
      </c>
      <c r="K1792">
        <v>59</v>
      </c>
      <c r="L1792">
        <v>61</v>
      </c>
      <c r="Q1792">
        <v>0</v>
      </c>
      <c r="R1792">
        <v>0</v>
      </c>
      <c r="S1792">
        <v>61</v>
      </c>
      <c r="T1792" t="s">
        <v>12079</v>
      </c>
      <c r="V1792" t="s">
        <v>2263</v>
      </c>
      <c r="W1792">
        <v>-33.825531896000001</v>
      </c>
      <c r="X1792">
        <v>18.488596059332998</v>
      </c>
      <c r="Y1792" t="s">
        <v>12080</v>
      </c>
      <c r="Z1792" t="s">
        <v>12081</v>
      </c>
      <c r="AA1792" t="s">
        <v>3446</v>
      </c>
      <c r="AB1792" t="s">
        <v>4808</v>
      </c>
      <c r="AC1792" t="s">
        <v>5467</v>
      </c>
      <c r="AD1792" s="249" t="str">
        <f>HYPERLINK("https://scontent.cdninstagram.com/t51.2885-15/s320x320/e35/c211.0.657.657/20968563_856136997895141_1136550871685922816_n.jpg")</f>
        <v>https://scontent.cdninstagram.com/t51.2885-15/s320x320/e35/c211.0.657.657/20968563_856136997895141_1136550871685922816_n.jpg</v>
      </c>
      <c r="AE1792" s="249" t="str">
        <f>HYPERLINK("https://scontent.cdninstagram.com/t51.2885-19/s150x150/19429073_1950629931886296_372749186438791168_a.jpg")</f>
        <v>https://scontent.cdninstagram.com/t51.2885-19/s150x150/19429073_1950629931886296_372749186438791168_a.jpg</v>
      </c>
    </row>
    <row r="1793" spans="1:31" ht="15" x14ac:dyDescent="0.25">
      <c r="A1793" t="s">
        <v>2474</v>
      </c>
      <c r="B1793" t="s">
        <v>12082</v>
      </c>
      <c r="C1793" s="221">
        <v>42967.6250462963</v>
      </c>
      <c r="D1793" t="s">
        <v>12083</v>
      </c>
      <c r="E1793" s="249" t="str">
        <f>HYPERLINK("https://www.instagram.com/p/BYBswotg1u1/")</f>
        <v>https://www.instagram.com/p/BYBswotg1u1/</v>
      </c>
      <c r="F1793" t="s">
        <v>12084</v>
      </c>
      <c r="G1793" t="s">
        <v>2478</v>
      </c>
      <c r="H1793">
        <v>164</v>
      </c>
      <c r="I1793" t="s">
        <v>2479</v>
      </c>
      <c r="J1793">
        <v>0</v>
      </c>
      <c r="K1793">
        <v>33</v>
      </c>
      <c r="L1793">
        <v>33</v>
      </c>
      <c r="Q1793">
        <v>0</v>
      </c>
      <c r="R1793">
        <v>0</v>
      </c>
      <c r="S1793">
        <v>33</v>
      </c>
      <c r="Y1793" t="s">
        <v>2513</v>
      </c>
      <c r="Z1793" t="s">
        <v>12085</v>
      </c>
      <c r="AA1793" t="s">
        <v>12086</v>
      </c>
      <c r="AB1793" t="s">
        <v>2861</v>
      </c>
      <c r="AC1793" t="s">
        <v>8178</v>
      </c>
      <c r="AD1793" s="249" t="str">
        <f>HYPERLINK("https://scontent.cdninstagram.com/t51.2885-15/s320x320/e35/21040917_951390201675729_3909164875019976704_n.jpg")</f>
        <v>https://scontent.cdninstagram.com/t51.2885-15/s320x320/e35/21040917_951390201675729_3909164875019976704_n.jpg</v>
      </c>
      <c r="AE1793" s="249" t="str">
        <f>HYPERLINK("https://scontent.cdninstagram.com/t51.2885-19/s150x150/20759760_137028040231970_2548145629326999552_a.jpg")</f>
        <v>https://scontent.cdninstagram.com/t51.2885-19/s150x150/20759760_137028040231970_2548145629326999552_a.jpg</v>
      </c>
    </row>
    <row r="1794" spans="1:31" ht="15" x14ac:dyDescent="0.25">
      <c r="A1794" t="s">
        <v>2474</v>
      </c>
      <c r="B1794" t="s">
        <v>12087</v>
      </c>
      <c r="C1794" s="221">
        <v>42967.628368055557</v>
      </c>
      <c r="D1794" t="s">
        <v>12088</v>
      </c>
      <c r="E1794" s="249" t="str">
        <f>HYPERLINK("https://www.instagram.com/p/BYBtTqtlh1A/")</f>
        <v>https://www.instagram.com/p/BYBtTqtlh1A/</v>
      </c>
      <c r="F1794" t="s">
        <v>12089</v>
      </c>
      <c r="G1794" t="s">
        <v>2478</v>
      </c>
      <c r="H1794">
        <v>393</v>
      </c>
      <c r="I1794" t="s">
        <v>2479</v>
      </c>
      <c r="J1794">
        <v>7</v>
      </c>
      <c r="K1794">
        <v>135</v>
      </c>
      <c r="L1794">
        <v>142</v>
      </c>
      <c r="Q1794">
        <v>0</v>
      </c>
      <c r="R1794">
        <v>0</v>
      </c>
      <c r="S1794">
        <v>142</v>
      </c>
      <c r="Y1794" t="s">
        <v>2497</v>
      </c>
      <c r="Z1794" t="s">
        <v>12090</v>
      </c>
      <c r="AA1794" t="s">
        <v>11891</v>
      </c>
      <c r="AB1794" t="s">
        <v>12091</v>
      </c>
      <c r="AC1794" t="s">
        <v>12092</v>
      </c>
      <c r="AD1794" s="249" t="str">
        <f>HYPERLINK("https://scontent.cdninstagram.com/t51.2885-15/s320x320/e35/c0.112.899.899/20969193_167783620456630_3345133345754316800_n.jpg")</f>
        <v>https://scontent.cdninstagram.com/t51.2885-15/s320x320/e35/c0.112.899.899/20969193_167783620456630_3345133345754316800_n.jpg</v>
      </c>
      <c r="AE1794" s="249" t="str">
        <f>HYPERLINK("https://scontent.cdninstagram.com/t51.2885-19/s150x150/20479410_486987488301657_706429189984616448_a.jpg")</f>
        <v>https://scontent.cdninstagram.com/t51.2885-19/s150x150/20479410_486987488301657_706429189984616448_a.jpg</v>
      </c>
    </row>
    <row r="1795" spans="1:31" ht="15" x14ac:dyDescent="0.25">
      <c r="A1795" t="s">
        <v>2474</v>
      </c>
      <c r="B1795" t="s">
        <v>2516</v>
      </c>
      <c r="C1795" s="221">
        <v>42967.634050925924</v>
      </c>
      <c r="D1795" t="s">
        <v>12093</v>
      </c>
      <c r="E1795" s="249" t="str">
        <f>HYPERLINK("https://www.instagram.com/p/BYBuPplD-1o/")</f>
        <v>https://www.instagram.com/p/BYBuPplD-1o/</v>
      </c>
      <c r="F1795" t="s">
        <v>12094</v>
      </c>
      <c r="G1795" t="s">
        <v>2478</v>
      </c>
      <c r="H1795">
        <v>687</v>
      </c>
      <c r="I1795" t="s">
        <v>2479</v>
      </c>
      <c r="J1795">
        <v>0</v>
      </c>
      <c r="K1795">
        <v>25</v>
      </c>
      <c r="L1795">
        <v>25</v>
      </c>
      <c r="Q1795">
        <v>0</v>
      </c>
      <c r="R1795">
        <v>0</v>
      </c>
      <c r="S1795">
        <v>25</v>
      </c>
      <c r="Y1795" t="s">
        <v>12095</v>
      </c>
      <c r="Z1795" t="s">
        <v>12096</v>
      </c>
      <c r="AA1795" t="s">
        <v>12097</v>
      </c>
      <c r="AB1795" t="s">
        <v>4310</v>
      </c>
      <c r="AC1795" t="s">
        <v>2524</v>
      </c>
      <c r="AD1795" s="249" t="str">
        <f>HYPERLINK("https://scontent.cdninstagram.com/t51.2885-15/s320x320/e35/20968922_296171540857681_118998872163876864_n.jpg")</f>
        <v>https://scontent.cdninstagram.com/t51.2885-15/s320x320/e35/20968922_296171540857681_118998872163876864_n.jpg</v>
      </c>
      <c r="AE1795" s="249" t="str">
        <f>HYPERLINK("https://scontent.cdninstagram.com/t51.2885-19/s150x150/19955124_1311741785589715_3896736407896457216_a.jpg")</f>
        <v>https://scontent.cdninstagram.com/t51.2885-19/s150x150/19955124_1311741785589715_3896736407896457216_a.jpg</v>
      </c>
    </row>
    <row r="1796" spans="1:31" ht="15" x14ac:dyDescent="0.25">
      <c r="A1796" t="s">
        <v>2474</v>
      </c>
      <c r="B1796" t="s">
        <v>4811</v>
      </c>
      <c r="C1796" s="221">
        <v>42967.634583333333</v>
      </c>
      <c r="D1796" t="s">
        <v>12098</v>
      </c>
      <c r="E1796" s="249" t="str">
        <f>HYPERLINK("https://www.instagram.com/p/BYBuVO2gebR/")</f>
        <v>https://www.instagram.com/p/BYBuVO2gebR/</v>
      </c>
      <c r="F1796" t="s">
        <v>12099</v>
      </c>
      <c r="G1796" t="s">
        <v>2478</v>
      </c>
      <c r="H1796">
        <v>985</v>
      </c>
      <c r="I1796" t="s">
        <v>2479</v>
      </c>
      <c r="J1796">
        <v>0</v>
      </c>
      <c r="K1796">
        <v>103</v>
      </c>
      <c r="L1796">
        <v>103</v>
      </c>
      <c r="Q1796">
        <v>0</v>
      </c>
      <c r="R1796">
        <v>0</v>
      </c>
      <c r="S1796">
        <v>103</v>
      </c>
      <c r="Y1796" t="s">
        <v>12100</v>
      </c>
      <c r="Z1796" t="s">
        <v>5148</v>
      </c>
      <c r="AA1796" t="s">
        <v>12101</v>
      </c>
      <c r="AB1796" t="s">
        <v>7340</v>
      </c>
      <c r="AC1796" t="s">
        <v>4816</v>
      </c>
      <c r="AD1796" s="249" t="str">
        <f>HYPERLINK("https://scontent.cdninstagram.com/t51.2885-15/s320x320/e35/c135.0.809.809/20986798_2029624287269590_8941699624792489984_n.jpg")</f>
        <v>https://scontent.cdninstagram.com/t51.2885-15/s320x320/e35/c135.0.809.809/20986798_2029624287269590_8941699624792489984_n.jpg</v>
      </c>
      <c r="AE1796" s="249" t="str">
        <f>HYPERLINK("https://scontent.cdninstagram.com/t51.2885-19/s150x150/16124251_1913091765603634_8004330562992996352_a.jpg")</f>
        <v>https://scontent.cdninstagram.com/t51.2885-19/s150x150/16124251_1913091765603634_8004330562992996352_a.jpg</v>
      </c>
    </row>
    <row r="1797" spans="1:31" ht="15" x14ac:dyDescent="0.25">
      <c r="A1797" t="s">
        <v>2474</v>
      </c>
      <c r="B1797" t="s">
        <v>12102</v>
      </c>
      <c r="C1797" s="221">
        <v>42967.634895833333</v>
      </c>
      <c r="D1797" t="s">
        <v>12103</v>
      </c>
      <c r="E1797" s="249" t="str">
        <f>HYPERLINK("https://www.instagram.com/p/BYBuYg2Aojc/")</f>
        <v>https://www.instagram.com/p/BYBuYg2Aojc/</v>
      </c>
      <c r="F1797" t="s">
        <v>12104</v>
      </c>
      <c r="G1797" t="s">
        <v>2478</v>
      </c>
      <c r="H1797">
        <v>125</v>
      </c>
      <c r="I1797" t="s">
        <v>2519</v>
      </c>
      <c r="J1797">
        <v>0</v>
      </c>
      <c r="K1797">
        <v>39</v>
      </c>
      <c r="L1797">
        <v>39</v>
      </c>
      <c r="Q1797">
        <v>0</v>
      </c>
      <c r="R1797">
        <v>0</v>
      </c>
      <c r="S1797">
        <v>39</v>
      </c>
      <c r="T1797" t="s">
        <v>12105</v>
      </c>
      <c r="V1797" t="s">
        <v>2110</v>
      </c>
      <c r="W1797">
        <v>50.85</v>
      </c>
      <c r="X1797">
        <v>5.3166700000000002</v>
      </c>
      <c r="Y1797" t="s">
        <v>12106</v>
      </c>
      <c r="Z1797" t="s">
        <v>12107</v>
      </c>
      <c r="AA1797" t="s">
        <v>12108</v>
      </c>
      <c r="AB1797" t="s">
        <v>11801</v>
      </c>
      <c r="AC1797" t="s">
        <v>12109</v>
      </c>
      <c r="AD1797" s="249" t="str">
        <f>HYPERLINK("https://scontent.cdninstagram.com/t51.2885-15/s320x320/e35/20905423_112480522758165_2425679524554342400_n.jpg")</f>
        <v>https://scontent.cdninstagram.com/t51.2885-15/s320x320/e35/20905423_112480522758165_2425679524554342400_n.jpg</v>
      </c>
      <c r="AE1797" s="249" t="str">
        <f>HYPERLINK("https://scontent.cdninstagram.com/t51.2885-19/11821267_1637582253121063_1584934772_a.jpg")</f>
        <v>https://scontent.cdninstagram.com/t51.2885-19/11821267_1637582253121063_1584934772_a.jpg</v>
      </c>
    </row>
    <row r="1798" spans="1:31" ht="15" x14ac:dyDescent="0.25">
      <c r="A1798" t="s">
        <v>2474</v>
      </c>
      <c r="B1798" t="s">
        <v>3055</v>
      </c>
      <c r="C1798" s="221">
        <v>42967.634930555556</v>
      </c>
      <c r="D1798" t="s">
        <v>12110</v>
      </c>
      <c r="E1798" s="249" t="str">
        <f>HYPERLINK("https://www.instagram.com/p/BYBuY3Ln8QU/")</f>
        <v>https://www.instagram.com/p/BYBuY3Ln8QU/</v>
      </c>
      <c r="F1798" t="s">
        <v>12111</v>
      </c>
      <c r="G1798" t="s">
        <v>2478</v>
      </c>
      <c r="H1798">
        <v>154</v>
      </c>
      <c r="I1798" t="s">
        <v>2479</v>
      </c>
      <c r="J1798">
        <v>2</v>
      </c>
      <c r="K1798">
        <v>33</v>
      </c>
      <c r="L1798">
        <v>35</v>
      </c>
      <c r="Q1798">
        <v>0</v>
      </c>
      <c r="R1798">
        <v>0</v>
      </c>
      <c r="S1798">
        <v>35</v>
      </c>
      <c r="Y1798" t="s">
        <v>8793</v>
      </c>
      <c r="Z1798" t="s">
        <v>12112</v>
      </c>
      <c r="AA1798" t="s">
        <v>5938</v>
      </c>
      <c r="AB1798" t="s">
        <v>3145</v>
      </c>
      <c r="AC1798" t="s">
        <v>2497</v>
      </c>
      <c r="AD1798" s="249" t="str">
        <f>HYPERLINK("https://scontent.cdninstagram.com/t51.2885-15/s320x320/e35/20905091_1642524162458484_2530219634129371136_n.jpg")</f>
        <v>https://scontent.cdninstagram.com/t51.2885-15/s320x320/e35/20905091_1642524162458484_2530219634129371136_n.jpg</v>
      </c>
      <c r="AE1798" s="249" t="str">
        <f>HYPERLINK("https://scontent.cdninstagram.com/t51.2885-19/s150x150/12534162_1031877433501510_1281420640_a.jpg")</f>
        <v>https://scontent.cdninstagram.com/t51.2885-19/s150x150/12534162_1031877433501510_1281420640_a.jpg</v>
      </c>
    </row>
    <row r="1799" spans="1:31" ht="15" x14ac:dyDescent="0.25">
      <c r="A1799" t="s">
        <v>2474</v>
      </c>
      <c r="B1799" t="s">
        <v>2644</v>
      </c>
      <c r="C1799" s="221">
        <v>42967.645949074074</v>
      </c>
      <c r="D1799" t="s">
        <v>12113</v>
      </c>
      <c r="E1799" s="249" t="str">
        <f>HYPERLINK("https://www.instagram.com/p/BYBwNIEA4vl/")</f>
        <v>https://www.instagram.com/p/BYBwNIEA4vl/</v>
      </c>
      <c r="F1799" t="s">
        <v>12114</v>
      </c>
      <c r="G1799" t="s">
        <v>2478</v>
      </c>
      <c r="H1799">
        <v>1743</v>
      </c>
      <c r="I1799" t="s">
        <v>2479</v>
      </c>
      <c r="J1799">
        <v>0</v>
      </c>
      <c r="K1799">
        <v>80</v>
      </c>
      <c r="L1799">
        <v>80</v>
      </c>
      <c r="Q1799">
        <v>0</v>
      </c>
      <c r="R1799">
        <v>0</v>
      </c>
      <c r="S1799">
        <v>80</v>
      </c>
      <c r="T1799" t="s">
        <v>9211</v>
      </c>
      <c r="V1799" t="s">
        <v>2648</v>
      </c>
      <c r="W1799">
        <v>54.782777777778001</v>
      </c>
      <c r="X1799">
        <v>32.045277777777997</v>
      </c>
      <c r="Y1799" t="s">
        <v>12115</v>
      </c>
      <c r="Z1799" t="s">
        <v>8161</v>
      </c>
      <c r="AA1799" t="s">
        <v>12116</v>
      </c>
      <c r="AB1799" t="s">
        <v>5950</v>
      </c>
      <c r="AC1799" t="s">
        <v>5928</v>
      </c>
      <c r="AD1799" s="249" t="str">
        <f>HYPERLINK("https://scontent.cdninstagram.com/t51.2885-15/s320x320/e35/20902827_1887907028202796_2707763759555805184_n.jpg")</f>
        <v>https://scontent.cdninstagram.com/t51.2885-15/s320x320/e35/20902827_1887907028202796_2707763759555805184_n.jpg</v>
      </c>
      <c r="AE1799" s="249" t="str">
        <f>HYPERLINK("https://scontent.cdninstagram.com/t51.2885-19/11372086_1598451257062069_1320225693_a.jpg")</f>
        <v>https://scontent.cdninstagram.com/t51.2885-19/11372086_1598451257062069_1320225693_a.jpg</v>
      </c>
    </row>
    <row r="1800" spans="1:31" ht="15" x14ac:dyDescent="0.25">
      <c r="A1800" t="s">
        <v>2474</v>
      </c>
      <c r="B1800" t="s">
        <v>3301</v>
      </c>
      <c r="C1800" s="221">
        <v>42967.648182870369</v>
      </c>
      <c r="D1800" t="s">
        <v>12117</v>
      </c>
      <c r="E1800" s="249" t="str">
        <f>HYPERLINK("https://www.instagram.com/p/BYBwksEDUwF/")</f>
        <v>https://www.instagram.com/p/BYBwksEDUwF/</v>
      </c>
      <c r="F1800" t="s">
        <v>12118</v>
      </c>
      <c r="G1800" t="s">
        <v>2478</v>
      </c>
      <c r="H1800">
        <v>597</v>
      </c>
      <c r="I1800" t="s">
        <v>2542</v>
      </c>
      <c r="J1800">
        <v>0</v>
      </c>
      <c r="K1800">
        <v>58</v>
      </c>
      <c r="L1800">
        <v>58</v>
      </c>
      <c r="Q1800">
        <v>0</v>
      </c>
      <c r="R1800">
        <v>0</v>
      </c>
      <c r="S1800">
        <v>58</v>
      </c>
      <c r="Y1800" t="s">
        <v>2513</v>
      </c>
      <c r="Z1800" t="s">
        <v>9280</v>
      </c>
      <c r="AA1800" t="s">
        <v>4161</v>
      </c>
      <c r="AB1800" t="s">
        <v>6528</v>
      </c>
      <c r="AC1800" t="s">
        <v>3304</v>
      </c>
      <c r="AD1800" s="249" t="str">
        <f>HYPERLINK("https://scontent.cdninstagram.com/t51.2885-15/s320x320/e35/20969273_115289609135245_4824294690650062848_n.jpg")</f>
        <v>https://scontent.cdninstagram.com/t51.2885-15/s320x320/e35/20969273_115289609135245_4824294690650062848_n.jpg</v>
      </c>
      <c r="AE1800" s="249" t="str">
        <f>HYPERLINK("https://scontent.cdninstagram.com/t51.2885-19/s150x150/19228478_370974479971900_5746578409966796800_a.jpg")</f>
        <v>https://scontent.cdninstagram.com/t51.2885-19/s150x150/19228478_370974479971900_5746578409966796800_a.jpg</v>
      </c>
    </row>
    <row r="1801" spans="1:31" ht="15" x14ac:dyDescent="0.25">
      <c r="A1801" t="s">
        <v>2474</v>
      </c>
      <c r="B1801" t="s">
        <v>12119</v>
      </c>
      <c r="C1801" s="221">
        <v>42967.651597222219</v>
      </c>
      <c r="D1801" t="s">
        <v>12120</v>
      </c>
      <c r="E1801" s="249" t="str">
        <f>HYPERLINK("https://www.instagram.com/p/BYBxIqTg5Pg/")</f>
        <v>https://www.instagram.com/p/BYBxIqTg5Pg/</v>
      </c>
      <c r="F1801" t="s">
        <v>12121</v>
      </c>
      <c r="G1801" t="s">
        <v>2478</v>
      </c>
      <c r="H1801">
        <v>77</v>
      </c>
      <c r="I1801" t="s">
        <v>2910</v>
      </c>
      <c r="J1801">
        <v>0</v>
      </c>
      <c r="K1801">
        <v>32</v>
      </c>
      <c r="L1801">
        <v>32</v>
      </c>
      <c r="Q1801">
        <v>0</v>
      </c>
      <c r="R1801">
        <v>0</v>
      </c>
      <c r="S1801">
        <v>32</v>
      </c>
      <c r="Y1801" t="s">
        <v>12122</v>
      </c>
      <c r="Z1801" t="s">
        <v>2513</v>
      </c>
      <c r="AA1801" t="s">
        <v>12123</v>
      </c>
      <c r="AB1801" t="s">
        <v>7602</v>
      </c>
      <c r="AC1801" t="s">
        <v>8786</v>
      </c>
      <c r="AD1801" s="249" t="str">
        <f>HYPERLINK("https://scontent.cdninstagram.com/t51.2885-15/s320x320/e35/c0.135.1080.1080/20968973_1343379392427756_1220525354997776384_n.jpg")</f>
        <v>https://scontent.cdninstagram.com/t51.2885-15/s320x320/e35/c0.135.1080.1080/20968973_1343379392427756_1220525354997776384_n.jpg</v>
      </c>
      <c r="AE1801" s="249" t="str">
        <f>HYPERLINK("https://scontent.cdninstagram.com/t51.2885-19/s150x150/18013546_1272320546221843_3956487623551221760_a.jpg")</f>
        <v>https://scontent.cdninstagram.com/t51.2885-19/s150x150/18013546_1272320546221843_3956487623551221760_a.jpg</v>
      </c>
    </row>
    <row r="1802" spans="1:31" ht="15" x14ac:dyDescent="0.25">
      <c r="A1802" t="s">
        <v>2474</v>
      </c>
      <c r="B1802" t="s">
        <v>12124</v>
      </c>
      <c r="C1802" s="221">
        <v>42967.666817129626</v>
      </c>
      <c r="D1802" t="s">
        <v>12125</v>
      </c>
      <c r="E1802" s="249" t="str">
        <f>HYPERLINK("https://www.instagram.com/p/BYBzpN0hN1f/")</f>
        <v>https://www.instagram.com/p/BYBzpN0hN1f/</v>
      </c>
      <c r="F1802" t="s">
        <v>12126</v>
      </c>
      <c r="G1802" t="s">
        <v>2478</v>
      </c>
      <c r="H1802">
        <v>1793</v>
      </c>
      <c r="I1802" t="s">
        <v>2479</v>
      </c>
      <c r="J1802">
        <v>0</v>
      </c>
      <c r="K1802">
        <v>199</v>
      </c>
      <c r="L1802">
        <v>199</v>
      </c>
      <c r="Q1802">
        <v>0</v>
      </c>
      <c r="R1802">
        <v>0</v>
      </c>
      <c r="S1802">
        <v>199</v>
      </c>
      <c r="Y1802" t="s">
        <v>3621</v>
      </c>
      <c r="Z1802" t="s">
        <v>5077</v>
      </c>
      <c r="AA1802" t="s">
        <v>12127</v>
      </c>
      <c r="AB1802" t="s">
        <v>12128</v>
      </c>
      <c r="AC1802" t="s">
        <v>12129</v>
      </c>
      <c r="AD1802" s="249" t="str">
        <f>HYPERLINK("https://scontent.cdninstagram.com/t51.2885-15/s320x320/e35/20902276_1930820840576146_786276871149977600_n.jpg")</f>
        <v>https://scontent.cdninstagram.com/t51.2885-15/s320x320/e35/20902276_1930820840576146_786276871149977600_n.jpg</v>
      </c>
      <c r="AE1802" s="249" t="str">
        <f>HYPERLINK("https://scontent.cdninstagram.com/t51.2885-19/s150x150/19764521_528051087526622_6846269094929367040_a.jpg")</f>
        <v>https://scontent.cdninstagram.com/t51.2885-19/s150x150/19764521_528051087526622_6846269094929367040_a.jpg</v>
      </c>
    </row>
    <row r="1803" spans="1:31" ht="15" x14ac:dyDescent="0.25">
      <c r="A1803" t="s">
        <v>2474</v>
      </c>
      <c r="B1803" t="s">
        <v>12130</v>
      </c>
      <c r="C1803" s="221">
        <v>42967.667118055557</v>
      </c>
      <c r="D1803" t="s">
        <v>12131</v>
      </c>
      <c r="E1803" s="249" t="str">
        <f>HYPERLINK("https://www.instagram.com/p/BYBzscXl2hM/")</f>
        <v>https://www.instagram.com/p/BYBzscXl2hM/</v>
      </c>
      <c r="F1803" t="s">
        <v>12132</v>
      </c>
      <c r="G1803" t="s">
        <v>2478</v>
      </c>
      <c r="H1803">
        <v>431</v>
      </c>
      <c r="I1803" t="s">
        <v>3170</v>
      </c>
      <c r="J1803">
        <v>0</v>
      </c>
      <c r="K1803">
        <v>43</v>
      </c>
      <c r="L1803">
        <v>43</v>
      </c>
      <c r="Q1803">
        <v>0</v>
      </c>
      <c r="R1803">
        <v>0</v>
      </c>
      <c r="S1803">
        <v>43</v>
      </c>
      <c r="Y1803" t="s">
        <v>2497</v>
      </c>
      <c r="Z1803" t="s">
        <v>12133</v>
      </c>
      <c r="AA1803" t="s">
        <v>12134</v>
      </c>
      <c r="AB1803" t="s">
        <v>12135</v>
      </c>
      <c r="AC1803" t="s">
        <v>12136</v>
      </c>
      <c r="AD1803" s="249" t="str">
        <f>HYPERLINK("https://scontent.cdninstagram.com/t51.2885-15/s320x320/e35/c180.0.720.720/20905266_482260382148127_4997506710198288384_n.jpg")</f>
        <v>https://scontent.cdninstagram.com/t51.2885-15/s320x320/e35/c180.0.720.720/20905266_482260382148127_4997506710198288384_n.jpg</v>
      </c>
      <c r="AE1803" s="249" t="str">
        <f>HYPERLINK("https://scontent.cdninstagram.com/t51.2885-19/s150x150/18162106_248249098975010_5381387837687988224_a.jpg")</f>
        <v>https://scontent.cdninstagram.com/t51.2885-19/s150x150/18162106_248249098975010_5381387837687988224_a.jpg</v>
      </c>
    </row>
    <row r="1804" spans="1:31" ht="15" x14ac:dyDescent="0.25">
      <c r="A1804" t="s">
        <v>2474</v>
      </c>
      <c r="B1804" t="s">
        <v>12137</v>
      </c>
      <c r="C1804" s="221">
        <v>42967.668067129627</v>
      </c>
      <c r="D1804" t="s">
        <v>12138</v>
      </c>
      <c r="E1804" s="249" t="str">
        <f>HYPERLINK("https://www.instagram.com/p/BYBz2XDD15B/")</f>
        <v>https://www.instagram.com/p/BYBz2XDD15B/</v>
      </c>
      <c r="F1804" t="s">
        <v>12139</v>
      </c>
      <c r="G1804" t="s">
        <v>2478</v>
      </c>
      <c r="H1804">
        <v>564</v>
      </c>
      <c r="I1804" t="s">
        <v>2479</v>
      </c>
      <c r="J1804">
        <v>0</v>
      </c>
      <c r="K1804">
        <v>35</v>
      </c>
      <c r="L1804">
        <v>35</v>
      </c>
      <c r="Q1804">
        <v>0</v>
      </c>
      <c r="R1804">
        <v>0</v>
      </c>
      <c r="S1804">
        <v>35</v>
      </c>
      <c r="Y1804" t="s">
        <v>2497</v>
      </c>
      <c r="Z1804" t="s">
        <v>11308</v>
      </c>
      <c r="AA1804" t="s">
        <v>4048</v>
      </c>
      <c r="AD1804" s="249" t="str">
        <f>HYPERLINK("https://scontent.cdninstagram.com/t51.2885-15/s320x320/e35/21041313_688796651317566_3491409920287309824_n.jpg")</f>
        <v>https://scontent.cdninstagram.com/t51.2885-15/s320x320/e35/21041313_688796651317566_3491409920287309824_n.jpg</v>
      </c>
      <c r="AE1804" s="249" t="str">
        <f>HYPERLINK("https://scontent.cdninstagram.com/t51.2885-19/s150x150/20213782_271823456633878_6674235567162523648_a.jpg")</f>
        <v>https://scontent.cdninstagram.com/t51.2885-19/s150x150/20213782_271823456633878_6674235567162523648_a.jpg</v>
      </c>
    </row>
    <row r="1805" spans="1:31" ht="15" x14ac:dyDescent="0.25">
      <c r="A1805" t="s">
        <v>2474</v>
      </c>
      <c r="B1805" t="s">
        <v>7647</v>
      </c>
      <c r="C1805" s="221">
        <v>42967.669340277775</v>
      </c>
      <c r="D1805" t="s">
        <v>12140</v>
      </c>
      <c r="E1805" s="249" t="str">
        <f>HYPERLINK("https://www.instagram.com/p/BYB0D4EA9C3/")</f>
        <v>https://www.instagram.com/p/BYB0D4EA9C3/</v>
      </c>
      <c r="F1805" t="s">
        <v>12141</v>
      </c>
      <c r="G1805" t="s">
        <v>2478</v>
      </c>
      <c r="H1805">
        <v>72</v>
      </c>
      <c r="I1805" t="s">
        <v>2479</v>
      </c>
      <c r="J1805">
        <v>0</v>
      </c>
      <c r="K1805">
        <v>20</v>
      </c>
      <c r="L1805">
        <v>20</v>
      </c>
      <c r="Q1805">
        <v>0</v>
      </c>
      <c r="R1805">
        <v>0</v>
      </c>
      <c r="S1805">
        <v>20</v>
      </c>
      <c r="Y1805" t="s">
        <v>12142</v>
      </c>
      <c r="Z1805" t="s">
        <v>12143</v>
      </c>
      <c r="AA1805" t="s">
        <v>2866</v>
      </c>
      <c r="AB1805" t="s">
        <v>2497</v>
      </c>
      <c r="AC1805" t="s">
        <v>12144</v>
      </c>
      <c r="AD1805" s="249" t="str">
        <f>HYPERLINK("https://scontent.cdninstagram.com/t51.2885-15/s320x320/e35/c135.0.810.810/20905494_1341317499300028_2014870180479369216_n.jpg")</f>
        <v>https://scontent.cdninstagram.com/t51.2885-15/s320x320/e35/c135.0.810.810/20905494_1341317499300028_2014870180479369216_n.jpg</v>
      </c>
      <c r="AE1805" s="249" t="str">
        <f>HYPERLINK("https://scontent.cdninstagram.com/t51.2885-19/s150x150/19984566_732703113580954_2442051729433296896_a.jpg")</f>
        <v>https://scontent.cdninstagram.com/t51.2885-19/s150x150/19984566_732703113580954_2442051729433296896_a.jpg</v>
      </c>
    </row>
    <row r="1806" spans="1:31" ht="15" x14ac:dyDescent="0.25">
      <c r="A1806" t="s">
        <v>2474</v>
      </c>
      <c r="B1806" t="s">
        <v>12145</v>
      </c>
      <c r="C1806" s="221">
        <v>42967.675532407404</v>
      </c>
      <c r="D1806" t="s">
        <v>12146</v>
      </c>
      <c r="E1806" s="249" t="str">
        <f>HYPERLINK("https://www.instagram.com/p/BYB1FKQBBuR/")</f>
        <v>https://www.instagram.com/p/BYB1FKQBBuR/</v>
      </c>
      <c r="F1806" t="s">
        <v>12147</v>
      </c>
      <c r="G1806" t="s">
        <v>2478</v>
      </c>
      <c r="H1806">
        <v>473</v>
      </c>
      <c r="I1806" t="s">
        <v>2479</v>
      </c>
      <c r="J1806">
        <v>4</v>
      </c>
      <c r="K1806">
        <v>93</v>
      </c>
      <c r="L1806">
        <v>97</v>
      </c>
      <c r="Q1806">
        <v>0</v>
      </c>
      <c r="R1806">
        <v>0</v>
      </c>
      <c r="S1806">
        <v>97</v>
      </c>
      <c r="T1806" t="s">
        <v>12148</v>
      </c>
      <c r="V1806" t="s">
        <v>2161</v>
      </c>
      <c r="W1806">
        <v>48.130191799999999</v>
      </c>
      <c r="X1806">
        <v>11.576029800000001</v>
      </c>
      <c r="Y1806" t="s">
        <v>12149</v>
      </c>
      <c r="Z1806" t="s">
        <v>12150</v>
      </c>
      <c r="AA1806" t="s">
        <v>12151</v>
      </c>
      <c r="AB1806" t="s">
        <v>12152</v>
      </c>
      <c r="AC1806" t="s">
        <v>12153</v>
      </c>
      <c r="AD1806" s="249" t="str">
        <f>HYPERLINK("https://scontent.cdninstagram.com/t51.2885-15/s320x320/e35/c180.0.720.720/20905272_1962809793964273_284985266366578688_n.jpg")</f>
        <v>https://scontent.cdninstagram.com/t51.2885-15/s320x320/e35/c180.0.720.720/20905272_1962809793964273_284985266366578688_n.jpg</v>
      </c>
      <c r="AE1806" s="249" t="str">
        <f>HYPERLINK("https://scontent.cdninstagram.com/t51.2885-19/s150x150/16788643_309700239432189_9180221793217019904_a.jpg")</f>
        <v>https://scontent.cdninstagram.com/t51.2885-19/s150x150/16788643_309700239432189_9180221793217019904_a.jpg</v>
      </c>
    </row>
    <row r="1807" spans="1:31" ht="15" x14ac:dyDescent="0.25">
      <c r="A1807" t="s">
        <v>2474</v>
      </c>
      <c r="B1807" t="s">
        <v>4297</v>
      </c>
      <c r="C1807" s="221">
        <v>42967.678229166668</v>
      </c>
      <c r="D1807" t="s">
        <v>12154</v>
      </c>
      <c r="E1807" s="249" t="str">
        <f>HYPERLINK("https://www.instagram.com/p/BYB1hnlnlr9/")</f>
        <v>https://www.instagram.com/p/BYB1hnlnlr9/</v>
      </c>
      <c r="F1807" t="s">
        <v>12155</v>
      </c>
      <c r="G1807" t="s">
        <v>2478</v>
      </c>
      <c r="H1807">
        <v>1077</v>
      </c>
      <c r="I1807" t="s">
        <v>2479</v>
      </c>
      <c r="J1807">
        <v>4</v>
      </c>
      <c r="K1807">
        <v>287</v>
      </c>
      <c r="L1807">
        <v>291</v>
      </c>
      <c r="Q1807">
        <v>0</v>
      </c>
      <c r="R1807">
        <v>0</v>
      </c>
      <c r="S1807">
        <v>291</v>
      </c>
      <c r="Y1807" t="s">
        <v>12156</v>
      </c>
      <c r="Z1807" t="s">
        <v>12157</v>
      </c>
      <c r="AA1807" t="s">
        <v>12158</v>
      </c>
      <c r="AB1807" t="s">
        <v>3323</v>
      </c>
      <c r="AC1807" t="s">
        <v>2497</v>
      </c>
      <c r="AD1807" s="249" t="str">
        <f>HYPERLINK("https://scontent.cdninstagram.com/t51.2885-15/s320x320/e35/20902628_112900406074205_893090517368176640_n.jpg")</f>
        <v>https://scontent.cdninstagram.com/t51.2885-15/s320x320/e35/20902628_112900406074205_893090517368176640_n.jpg</v>
      </c>
      <c r="AE1807" s="249" t="str">
        <f>HYPERLINK("https://scontent.cdninstagram.com/t51.2885-19/s150x150/20760021_265138020642655_266657318064619520_a.jpg")</f>
        <v>https://scontent.cdninstagram.com/t51.2885-19/s150x150/20760021_265138020642655_266657318064619520_a.jpg</v>
      </c>
    </row>
    <row r="1808" spans="1:31" ht="15" x14ac:dyDescent="0.25">
      <c r="A1808" t="s">
        <v>2474</v>
      </c>
      <c r="B1808" t="s">
        <v>12159</v>
      </c>
      <c r="C1808" s="221">
        <v>42967.687569444446</v>
      </c>
      <c r="D1808" t="s">
        <v>12160</v>
      </c>
      <c r="E1808" s="249" t="str">
        <f>HYPERLINK("https://www.instagram.com/p/BYB3ECkAR23/")</f>
        <v>https://www.instagram.com/p/BYB3ECkAR23/</v>
      </c>
      <c r="F1808" t="s">
        <v>12161</v>
      </c>
      <c r="G1808" t="s">
        <v>2478</v>
      </c>
      <c r="H1808">
        <v>309</v>
      </c>
      <c r="I1808" t="s">
        <v>3186</v>
      </c>
      <c r="J1808">
        <v>0</v>
      </c>
      <c r="K1808">
        <v>47</v>
      </c>
      <c r="L1808">
        <v>47</v>
      </c>
      <c r="Q1808">
        <v>0</v>
      </c>
      <c r="R1808">
        <v>0</v>
      </c>
      <c r="S1808">
        <v>47</v>
      </c>
      <c r="Y1808" t="s">
        <v>2497</v>
      </c>
      <c r="Z1808" t="s">
        <v>11796</v>
      </c>
      <c r="AA1808" t="s">
        <v>6294</v>
      </c>
      <c r="AB1808" t="s">
        <v>4462</v>
      </c>
      <c r="AC1808" t="s">
        <v>12162</v>
      </c>
      <c r="AD1808" s="249" t="str">
        <f>HYPERLINK("https://scontent.cdninstagram.com/t51.2885-15/s320x320/e35/c0.135.1080.1080/20905515_125695338058550_3810404820762755072_n.jpg")</f>
        <v>https://scontent.cdninstagram.com/t51.2885-15/s320x320/e35/c0.135.1080.1080/20905515_125695338058550_3810404820762755072_n.jpg</v>
      </c>
      <c r="AE1808" s="249" t="str">
        <f>HYPERLINK("https://scontent.cdninstagram.com/t51.2885-19/s150x150/13706875_1109432009133590_2018920047_a.jpg")</f>
        <v>https://scontent.cdninstagram.com/t51.2885-19/s150x150/13706875_1109432009133590_2018920047_a.jpg</v>
      </c>
    </row>
    <row r="1809" spans="1:31" ht="15" x14ac:dyDescent="0.25">
      <c r="A1809" t="s">
        <v>2474</v>
      </c>
      <c r="B1809" t="s">
        <v>12163</v>
      </c>
      <c r="C1809" s="221">
        <v>42967.695092592592</v>
      </c>
      <c r="D1809" t="s">
        <v>12164</v>
      </c>
      <c r="E1809" s="249" t="str">
        <f>HYPERLINK("https://www.instagram.com/p/BYB4TYnBh26/")</f>
        <v>https://www.instagram.com/p/BYB4TYnBh26/</v>
      </c>
      <c r="F1809" t="s">
        <v>12165</v>
      </c>
      <c r="G1809" t="s">
        <v>2478</v>
      </c>
      <c r="H1809">
        <v>103</v>
      </c>
      <c r="I1809" t="s">
        <v>2519</v>
      </c>
      <c r="J1809">
        <v>1</v>
      </c>
      <c r="K1809">
        <v>20</v>
      </c>
      <c r="L1809">
        <v>21</v>
      </c>
      <c r="Q1809">
        <v>0</v>
      </c>
      <c r="R1809">
        <v>0</v>
      </c>
      <c r="S1809">
        <v>21</v>
      </c>
      <c r="Y1809" t="s">
        <v>12166</v>
      </c>
      <c r="Z1809" t="s">
        <v>2497</v>
      </c>
      <c r="AA1809" t="s">
        <v>2697</v>
      </c>
      <c r="AB1809" t="s">
        <v>12167</v>
      </c>
      <c r="AC1809" t="s">
        <v>2810</v>
      </c>
      <c r="AD1809" s="249" t="str">
        <f>HYPERLINK("https://scontent.cdninstagram.com/t51.2885-15/s320x320/e35/20905693_110977886298107_6796077638956875776_n.jpg")</f>
        <v>https://scontent.cdninstagram.com/t51.2885-15/s320x320/e35/20905693_110977886298107_6796077638956875776_n.jpg</v>
      </c>
      <c r="AE1809" s="249" t="str">
        <f>HYPERLINK("https://scontent.cdninstagram.com/t51.2885-19/s150x150/19761240_190496491484106_752516272129835008_a.jpg")</f>
        <v>https://scontent.cdninstagram.com/t51.2885-19/s150x150/19761240_190496491484106_752516272129835008_a.jpg</v>
      </c>
    </row>
    <row r="1810" spans="1:31" ht="15" x14ac:dyDescent="0.25">
      <c r="A1810" t="s">
        <v>2474</v>
      </c>
      <c r="B1810" t="s">
        <v>6384</v>
      </c>
      <c r="C1810" s="221">
        <v>42967.702939814815</v>
      </c>
      <c r="D1810" t="s">
        <v>12168</v>
      </c>
      <c r="E1810" s="249" t="str">
        <f>HYPERLINK("https://www.instagram.com/p/BYB5mM8gRKU/")</f>
        <v>https://www.instagram.com/p/BYB5mM8gRKU/</v>
      </c>
      <c r="F1810" t="s">
        <v>12169</v>
      </c>
      <c r="G1810" t="s">
        <v>2478</v>
      </c>
      <c r="H1810">
        <v>17</v>
      </c>
      <c r="I1810" t="s">
        <v>5670</v>
      </c>
      <c r="J1810">
        <v>2</v>
      </c>
      <c r="K1810">
        <v>14</v>
      </c>
      <c r="L1810">
        <v>16</v>
      </c>
      <c r="Q1810">
        <v>0</v>
      </c>
      <c r="R1810">
        <v>0</v>
      </c>
      <c r="S1810">
        <v>16</v>
      </c>
      <c r="Y1810" t="s">
        <v>7589</v>
      </c>
      <c r="Z1810" t="s">
        <v>3982</v>
      </c>
      <c r="AA1810" t="s">
        <v>7039</v>
      </c>
      <c r="AB1810" t="s">
        <v>12170</v>
      </c>
      <c r="AC1810" t="s">
        <v>12171</v>
      </c>
      <c r="AD1810" s="249" t="str">
        <f>HYPERLINK("https://scontent.cdninstagram.com/t51.2885-15/s320x320/e35/20969070_1828767000769777_88328188580593664_n.jpg")</f>
        <v>https://scontent.cdninstagram.com/t51.2885-15/s320x320/e35/20969070_1828767000769777_88328188580593664_n.jpg</v>
      </c>
      <c r="AE1810" s="249" t="str">
        <f>HYPERLINK("https://scontent.cdninstagram.com/t51.2885-19/s150x150/13259053_274549089560064_701245249_a.jpg")</f>
        <v>https://scontent.cdninstagram.com/t51.2885-19/s150x150/13259053_274549089560064_701245249_a.jpg</v>
      </c>
    </row>
    <row r="1811" spans="1:31" ht="15" x14ac:dyDescent="0.25">
      <c r="A1811" t="s">
        <v>2474</v>
      </c>
      <c r="B1811" t="s">
        <v>7232</v>
      </c>
      <c r="C1811" s="221">
        <v>42967.707696759258</v>
      </c>
      <c r="D1811" t="s">
        <v>12172</v>
      </c>
      <c r="E1811" s="249" t="str">
        <f>HYPERLINK("https://www.instagram.com/p/BYB6YZbHGRo/")</f>
        <v>https://www.instagram.com/p/BYB6YZbHGRo/</v>
      </c>
      <c r="F1811" t="s">
        <v>12173</v>
      </c>
      <c r="G1811" t="s">
        <v>2478</v>
      </c>
      <c r="H1811">
        <v>517</v>
      </c>
      <c r="I1811" t="s">
        <v>2479</v>
      </c>
      <c r="J1811">
        <v>1</v>
      </c>
      <c r="K1811">
        <v>19</v>
      </c>
      <c r="L1811">
        <v>20</v>
      </c>
      <c r="Q1811">
        <v>0</v>
      </c>
      <c r="R1811">
        <v>0</v>
      </c>
      <c r="S1811">
        <v>20</v>
      </c>
      <c r="Y1811" t="s">
        <v>7235</v>
      </c>
      <c r="Z1811" t="s">
        <v>4161</v>
      </c>
      <c r="AA1811" t="s">
        <v>3209</v>
      </c>
      <c r="AB1811" t="s">
        <v>12174</v>
      </c>
      <c r="AC1811" t="s">
        <v>12175</v>
      </c>
      <c r="AD1811" s="249" t="str">
        <f>HYPERLINK("https://scontent.cdninstagram.com/t51.2885-15/s320x320/e35/c0.112.900.900/20968954_121061225214927_7075090671693987840_n.jpg")</f>
        <v>https://scontent.cdninstagram.com/t51.2885-15/s320x320/e35/c0.112.900.900/20968954_121061225214927_7075090671693987840_n.jpg</v>
      </c>
      <c r="AE1811" s="249" t="str">
        <f>HYPERLINK("https://scontent.cdninstagram.com/t51.2885-19/s150x150/14482263_1660577494243200_2334360342223650816_a.jpg")</f>
        <v>https://scontent.cdninstagram.com/t51.2885-19/s150x150/14482263_1660577494243200_2334360342223650816_a.jpg</v>
      </c>
    </row>
    <row r="1812" spans="1:31" ht="15" x14ac:dyDescent="0.25">
      <c r="A1812" t="s">
        <v>2474</v>
      </c>
      <c r="B1812" t="s">
        <v>12176</v>
      </c>
      <c r="C1812" s="221">
        <v>42967.72111111111</v>
      </c>
      <c r="D1812" t="s">
        <v>12177</v>
      </c>
      <c r="E1812" s="249" t="str">
        <f>HYPERLINK("https://www.instagram.com/p/BYB8l53nJ-W/")</f>
        <v>https://www.instagram.com/p/BYB8l53nJ-W/</v>
      </c>
      <c r="F1812" t="s">
        <v>12178</v>
      </c>
      <c r="G1812" t="s">
        <v>2488</v>
      </c>
      <c r="H1812">
        <v>424</v>
      </c>
      <c r="I1812" t="s">
        <v>2479</v>
      </c>
      <c r="J1812">
        <v>1</v>
      </c>
      <c r="K1812">
        <v>56</v>
      </c>
      <c r="L1812">
        <v>57</v>
      </c>
      <c r="Q1812">
        <v>0</v>
      </c>
      <c r="R1812">
        <v>0</v>
      </c>
      <c r="S1812">
        <v>57</v>
      </c>
      <c r="T1812" t="s">
        <v>12179</v>
      </c>
      <c r="V1812" t="s">
        <v>2648</v>
      </c>
      <c r="W1812">
        <v>59.934047</v>
      </c>
      <c r="X1812">
        <v>30.305949999999999</v>
      </c>
      <c r="Y1812" t="s">
        <v>7792</v>
      </c>
      <c r="Z1812" t="s">
        <v>6182</v>
      </c>
      <c r="AA1812" t="s">
        <v>8838</v>
      </c>
      <c r="AB1812" t="s">
        <v>5491</v>
      </c>
      <c r="AC1812" t="s">
        <v>7742</v>
      </c>
      <c r="AD1812" s="249" t="str">
        <f>HYPERLINK("https://scontent.cdninstagram.com/t51.2885-15/s320x320/e35/20904862_510819479256886_2356798896350429184_n.jpg")</f>
        <v>https://scontent.cdninstagram.com/t51.2885-15/s320x320/e35/20904862_510819479256886_2356798896350429184_n.jpg</v>
      </c>
      <c r="AE1812" s="249" t="str">
        <f>HYPERLINK("https://scontent.cdninstagram.com/t51.2885-19/s150x150/19534741_682565038598308_2896375234019983360_a.jpg")</f>
        <v>https://scontent.cdninstagram.com/t51.2885-19/s150x150/19534741_682565038598308_2896375234019983360_a.jpg</v>
      </c>
    </row>
    <row r="1813" spans="1:31" ht="15" x14ac:dyDescent="0.25">
      <c r="A1813" t="s">
        <v>2474</v>
      </c>
      <c r="B1813" t="s">
        <v>12180</v>
      </c>
      <c r="C1813" s="221">
        <v>42967.726967592593</v>
      </c>
      <c r="D1813" t="s">
        <v>12181</v>
      </c>
      <c r="E1813" s="249" t="str">
        <f>HYPERLINK("https://www.instagram.com/p/BYB9jkug9aM/")</f>
        <v>https://www.instagram.com/p/BYB9jkug9aM/</v>
      </c>
      <c r="F1813" t="s">
        <v>12182</v>
      </c>
      <c r="G1813" t="s">
        <v>2478</v>
      </c>
      <c r="H1813">
        <v>274</v>
      </c>
      <c r="I1813" t="s">
        <v>2748</v>
      </c>
      <c r="J1813">
        <v>0</v>
      </c>
      <c r="K1813">
        <v>15</v>
      </c>
      <c r="L1813">
        <v>15</v>
      </c>
      <c r="Q1813">
        <v>0</v>
      </c>
      <c r="R1813">
        <v>0</v>
      </c>
      <c r="S1813">
        <v>15</v>
      </c>
      <c r="Y1813" t="s">
        <v>12183</v>
      </c>
      <c r="Z1813" t="s">
        <v>12184</v>
      </c>
      <c r="AA1813" t="s">
        <v>12185</v>
      </c>
      <c r="AB1813" t="s">
        <v>12186</v>
      </c>
      <c r="AC1813" t="s">
        <v>2497</v>
      </c>
      <c r="AD1813" s="249" t="str">
        <f>HYPERLINK("https://scontent.cdninstagram.com/t51.2885-15/s320x320/e35/20902843_784166635096954_3806344289961639936_n.jpg")</f>
        <v>https://scontent.cdninstagram.com/t51.2885-15/s320x320/e35/20902843_784166635096954_3806344289961639936_n.jpg</v>
      </c>
      <c r="AE1813" s="249" t="str">
        <f>HYPERLINK("https://scontent.cdninstagram.com/t51.2885-19/s150x150/19955228_762503100587830_1599410344600535040_a.jpg")</f>
        <v>https://scontent.cdninstagram.com/t51.2885-19/s150x150/19955228_762503100587830_1599410344600535040_a.jpg</v>
      </c>
    </row>
    <row r="1814" spans="1:31" ht="15" x14ac:dyDescent="0.25">
      <c r="A1814" t="s">
        <v>2474</v>
      </c>
      <c r="B1814" t="s">
        <v>12187</v>
      </c>
      <c r="C1814" s="221">
        <v>42967.738912037035</v>
      </c>
      <c r="D1814" t="s">
        <v>12188</v>
      </c>
      <c r="E1814" s="249" t="str">
        <f>HYPERLINK("https://www.instagram.com/p/BYB_hlcgMwf/")</f>
        <v>https://www.instagram.com/p/BYB_hlcgMwf/</v>
      </c>
      <c r="F1814" t="s">
        <v>12189</v>
      </c>
      <c r="G1814" t="s">
        <v>2478</v>
      </c>
      <c r="H1814">
        <v>330</v>
      </c>
      <c r="I1814" t="s">
        <v>2748</v>
      </c>
      <c r="J1814">
        <v>0</v>
      </c>
      <c r="K1814">
        <v>11</v>
      </c>
      <c r="L1814">
        <v>11</v>
      </c>
      <c r="Q1814">
        <v>0</v>
      </c>
      <c r="R1814">
        <v>0</v>
      </c>
      <c r="S1814">
        <v>11</v>
      </c>
      <c r="Y1814" t="s">
        <v>12190</v>
      </c>
      <c r="Z1814" t="s">
        <v>2497</v>
      </c>
      <c r="AA1814" t="s">
        <v>12191</v>
      </c>
      <c r="AD1814" s="249" t="str">
        <f>HYPERLINK("https://scontent.cdninstagram.com/t51.2885-15/s320x320/e35/c64.0.383.383/20905223_144351636154231_2800800671106859008_n.jpg")</f>
        <v>https://scontent.cdninstagram.com/t51.2885-15/s320x320/e35/c64.0.383.383/20905223_144351636154231_2800800671106859008_n.jpg</v>
      </c>
      <c r="AE1814" s="249" t="str">
        <f>HYPERLINK("https://scontent.cdninstagram.com/t51.2885-19/s150x150/21042464_123263471654126_8060722225164058624_a.jpg")</f>
        <v>https://scontent.cdninstagram.com/t51.2885-19/s150x150/21042464_123263471654126_8060722225164058624_a.jpg</v>
      </c>
    </row>
    <row r="1815" spans="1:31" ht="15" x14ac:dyDescent="0.25">
      <c r="A1815" t="s">
        <v>2474</v>
      </c>
      <c r="B1815" t="s">
        <v>10396</v>
      </c>
      <c r="C1815" s="221">
        <v>42967.744085648148</v>
      </c>
      <c r="D1815" t="s">
        <v>12192</v>
      </c>
      <c r="E1815" s="249" t="str">
        <f>HYPERLINK("https://www.instagram.com/p/BYCAYHsgKZ9/")</f>
        <v>https://www.instagram.com/p/BYCAYHsgKZ9/</v>
      </c>
      <c r="F1815" t="s">
        <v>12193</v>
      </c>
      <c r="G1815" t="s">
        <v>2488</v>
      </c>
      <c r="H1815">
        <v>123</v>
      </c>
      <c r="I1815" t="s">
        <v>2479</v>
      </c>
      <c r="J1815">
        <v>5</v>
      </c>
      <c r="K1815">
        <v>50</v>
      </c>
      <c r="L1815">
        <v>55</v>
      </c>
      <c r="Q1815">
        <v>0</v>
      </c>
      <c r="R1815">
        <v>0</v>
      </c>
      <c r="S1815">
        <v>55</v>
      </c>
      <c r="Y1815" t="s">
        <v>11928</v>
      </c>
      <c r="Z1815" t="s">
        <v>12194</v>
      </c>
      <c r="AA1815" t="s">
        <v>2767</v>
      </c>
      <c r="AB1815" t="s">
        <v>12195</v>
      </c>
      <c r="AC1815" t="s">
        <v>2497</v>
      </c>
      <c r="AD1815" s="249" t="str">
        <f>HYPERLINK("https://scontent.cdninstagram.com/t51.2885-15/s320x320/e35/20968687_114396665952387_7692981314189787136_n.jpg")</f>
        <v>https://scontent.cdninstagram.com/t51.2885-15/s320x320/e35/20968687_114396665952387_7692981314189787136_n.jpg</v>
      </c>
      <c r="AE1815" s="249" t="str">
        <f>HYPERLINK("https://scontent.cdninstagram.com/t51.2885-19/s150x150/20482542_2117510404941337_4600194580023869440_a.jpg")</f>
        <v>https://scontent.cdninstagram.com/t51.2885-19/s150x150/20482542_2117510404941337_4600194580023869440_a.jpg</v>
      </c>
    </row>
    <row r="1816" spans="1:31" ht="15" x14ac:dyDescent="0.25">
      <c r="A1816" t="s">
        <v>2474</v>
      </c>
      <c r="B1816" t="s">
        <v>12196</v>
      </c>
      <c r="C1816" s="221">
        <v>42967.751770833333</v>
      </c>
      <c r="D1816" t="s">
        <v>12197</v>
      </c>
      <c r="E1816" s="249" t="str">
        <f>HYPERLINK("https://www.instagram.com/p/BYCBpLDglz6/")</f>
        <v>https://www.instagram.com/p/BYCBpLDglz6/</v>
      </c>
      <c r="F1816" t="s">
        <v>12198</v>
      </c>
      <c r="G1816" t="s">
        <v>2478</v>
      </c>
      <c r="H1816">
        <v>53</v>
      </c>
      <c r="I1816" t="s">
        <v>2479</v>
      </c>
      <c r="J1816">
        <v>4</v>
      </c>
      <c r="K1816">
        <v>104</v>
      </c>
      <c r="L1816">
        <v>108</v>
      </c>
      <c r="Q1816">
        <v>0</v>
      </c>
      <c r="R1816">
        <v>0</v>
      </c>
      <c r="S1816">
        <v>108</v>
      </c>
      <c r="Y1816" t="s">
        <v>3936</v>
      </c>
      <c r="Z1816" t="s">
        <v>12199</v>
      </c>
      <c r="AA1816" t="s">
        <v>12200</v>
      </c>
      <c r="AB1816" t="s">
        <v>12196</v>
      </c>
      <c r="AC1816" t="s">
        <v>4863</v>
      </c>
      <c r="AD1816" s="249" t="str">
        <f>HYPERLINK("https://scontent.cdninstagram.com/t51.2885-15/s320x320/e35/c236.0.604.604/20902544_166396287255946_5846521701944262656_n.jpg")</f>
        <v>https://scontent.cdninstagram.com/t51.2885-15/s320x320/e35/c236.0.604.604/20902544_166396287255946_5846521701944262656_n.jpg</v>
      </c>
      <c r="AE1816" s="249" t="str">
        <f>HYPERLINK("https://scontent.cdninstagram.com/t51.2885-19/s150x150/20902368_338747813246214_7274770401434009600_a.jpg")</f>
        <v>https://scontent.cdninstagram.com/t51.2885-19/s150x150/20902368_338747813246214_7274770401434009600_a.jpg</v>
      </c>
    </row>
    <row r="1817" spans="1:31" ht="15" x14ac:dyDescent="0.25">
      <c r="A1817" t="s">
        <v>2474</v>
      </c>
      <c r="B1817" t="s">
        <v>12201</v>
      </c>
      <c r="C1817" s="221">
        <v>42967.756863425922</v>
      </c>
      <c r="D1817" t="s">
        <v>12202</v>
      </c>
      <c r="E1817" s="249" t="str">
        <f>HYPERLINK("https://www.instagram.com/p/BYCCe3qDPHU/")</f>
        <v>https://www.instagram.com/p/BYCCe3qDPHU/</v>
      </c>
      <c r="F1817" t="s">
        <v>12203</v>
      </c>
      <c r="G1817" t="s">
        <v>2478</v>
      </c>
      <c r="H1817">
        <v>2340</v>
      </c>
      <c r="I1817" t="s">
        <v>2748</v>
      </c>
      <c r="J1817">
        <v>1</v>
      </c>
      <c r="K1817">
        <v>289</v>
      </c>
      <c r="L1817">
        <v>290</v>
      </c>
      <c r="Q1817">
        <v>0</v>
      </c>
      <c r="R1817">
        <v>0</v>
      </c>
      <c r="S1817">
        <v>290</v>
      </c>
      <c r="Y1817" t="s">
        <v>3621</v>
      </c>
      <c r="Z1817" t="s">
        <v>12204</v>
      </c>
      <c r="AA1817" t="s">
        <v>4743</v>
      </c>
      <c r="AB1817" t="s">
        <v>2497</v>
      </c>
      <c r="AC1817" t="s">
        <v>12205</v>
      </c>
      <c r="AD1817" s="249" t="str">
        <f>HYPERLINK("https://scontent.cdninstagram.com/t51.2885-15/s320x320/e35/c0.46.593.593/20968830_253720608473146_1061879124328448000_n.jpg")</f>
        <v>https://scontent.cdninstagram.com/t51.2885-15/s320x320/e35/c0.46.593.593/20968830_253720608473146_1061879124328448000_n.jpg</v>
      </c>
      <c r="AE1817" s="249" t="str">
        <f>HYPERLINK("https://scontent.cdninstagram.com/t51.2885-19/s150x150/20968959_1642785652406968_2848494672316203008_a.jpg")</f>
        <v>https://scontent.cdninstagram.com/t51.2885-19/s150x150/20968959_1642785652406968_2848494672316203008_a.jpg</v>
      </c>
    </row>
    <row r="1818" spans="1:31" ht="15" x14ac:dyDescent="0.25">
      <c r="A1818" t="s">
        <v>2474</v>
      </c>
      <c r="B1818" t="s">
        <v>12206</v>
      </c>
      <c r="C1818" s="221">
        <v>42967.76185185185</v>
      </c>
      <c r="D1818" t="s">
        <v>12207</v>
      </c>
      <c r="E1818" s="249" t="str">
        <f>HYPERLINK("https://www.instagram.com/p/BYCDTj4D7iX/")</f>
        <v>https://www.instagram.com/p/BYCDTj4D7iX/</v>
      </c>
      <c r="F1818" t="s">
        <v>12208</v>
      </c>
      <c r="G1818" t="s">
        <v>2631</v>
      </c>
      <c r="H1818">
        <v>12135</v>
      </c>
      <c r="I1818" t="s">
        <v>2599</v>
      </c>
      <c r="J1818">
        <v>5</v>
      </c>
      <c r="K1818">
        <v>45</v>
      </c>
      <c r="L1818">
        <v>50</v>
      </c>
      <c r="Q1818">
        <v>0</v>
      </c>
      <c r="R1818">
        <v>0</v>
      </c>
      <c r="S1818">
        <v>50</v>
      </c>
      <c r="Y1818" t="s">
        <v>2513</v>
      </c>
      <c r="Z1818" t="s">
        <v>2861</v>
      </c>
      <c r="AA1818" t="s">
        <v>12209</v>
      </c>
      <c r="AB1818" t="s">
        <v>6739</v>
      </c>
      <c r="AC1818" t="s">
        <v>2497</v>
      </c>
      <c r="AD1818" s="249" t="str">
        <f>HYPERLINK("https://scontent.cdninstagram.com/t51.2885-15/s320x320/e15/c236.0.607.607/20902448_1190843584352842_1857354965022932992_n.jpg")</f>
        <v>https://scontent.cdninstagram.com/t51.2885-15/s320x320/e15/c236.0.607.607/20902448_1190843584352842_1857354965022932992_n.jpg</v>
      </c>
      <c r="AE1818" s="249" t="str">
        <f>HYPERLINK("https://scontent.cdninstagram.com/t51.2885-19/s150x150/16110362_1845950325625914_8541351807438290944_n.jpg")</f>
        <v>https://scontent.cdninstagram.com/t51.2885-19/s150x150/16110362_1845950325625914_8541351807438290944_n.jpg</v>
      </c>
    </row>
    <row r="1819" spans="1:31" ht="15" x14ac:dyDescent="0.25">
      <c r="A1819" t="s">
        <v>2474</v>
      </c>
      <c r="B1819" t="s">
        <v>12210</v>
      </c>
      <c r="C1819" s="221">
        <v>42967.767164351855</v>
      </c>
      <c r="D1819" t="s">
        <v>12211</v>
      </c>
      <c r="E1819" s="249" t="str">
        <f>HYPERLINK("https://www.instagram.com/p/BYCELngl2_r/")</f>
        <v>https://www.instagram.com/p/BYCELngl2_r/</v>
      </c>
      <c r="F1819" t="s">
        <v>12212</v>
      </c>
      <c r="G1819" t="s">
        <v>2478</v>
      </c>
      <c r="H1819">
        <v>165</v>
      </c>
      <c r="I1819" t="s">
        <v>3898</v>
      </c>
      <c r="J1819">
        <v>0</v>
      </c>
      <c r="K1819">
        <v>14</v>
      </c>
      <c r="L1819">
        <v>14</v>
      </c>
      <c r="Q1819">
        <v>0</v>
      </c>
      <c r="R1819">
        <v>0</v>
      </c>
      <c r="S1819">
        <v>14</v>
      </c>
      <c r="Y1819" t="s">
        <v>2513</v>
      </c>
      <c r="Z1819" t="s">
        <v>12213</v>
      </c>
      <c r="AA1819" t="s">
        <v>2497</v>
      </c>
      <c r="AB1819" t="s">
        <v>4753</v>
      </c>
      <c r="AC1819" t="s">
        <v>12214</v>
      </c>
      <c r="AD1819" s="249" t="str">
        <f>HYPERLINK("https://scontent.cdninstagram.com/t51.2885-15/s320x320/e35/20902316_1476122789113796_7451441291289690112_n.jpg")</f>
        <v>https://scontent.cdninstagram.com/t51.2885-15/s320x320/e35/20902316_1476122789113796_7451441291289690112_n.jpg</v>
      </c>
      <c r="AE1819" s="249" t="str">
        <f>HYPERLINK("https://scontent.cdninstagram.com/t51.2885-19/s150x150/20346829_125233901327545_4340733999354740736_a.jpg")</f>
        <v>https://scontent.cdninstagram.com/t51.2885-19/s150x150/20346829_125233901327545_4340733999354740736_a.jpg</v>
      </c>
    </row>
    <row r="1820" spans="1:31" ht="15" x14ac:dyDescent="0.25">
      <c r="A1820" t="s">
        <v>2474</v>
      </c>
      <c r="B1820" t="s">
        <v>12215</v>
      </c>
      <c r="C1820" s="221">
        <v>42967.777118055557</v>
      </c>
      <c r="D1820" t="s">
        <v>12216</v>
      </c>
      <c r="E1820" s="249" t="str">
        <f>HYPERLINK("https://www.instagram.com/p/BYCF0j8Fx13/")</f>
        <v>https://www.instagram.com/p/BYCF0j8Fx13/</v>
      </c>
      <c r="F1820" t="s">
        <v>12217</v>
      </c>
      <c r="G1820" t="s">
        <v>2478</v>
      </c>
      <c r="H1820">
        <v>739</v>
      </c>
      <c r="I1820" t="s">
        <v>2479</v>
      </c>
      <c r="J1820">
        <v>3</v>
      </c>
      <c r="K1820">
        <v>57</v>
      </c>
      <c r="L1820">
        <v>60</v>
      </c>
      <c r="Q1820">
        <v>0</v>
      </c>
      <c r="R1820">
        <v>0</v>
      </c>
      <c r="S1820">
        <v>60</v>
      </c>
      <c r="T1820" t="s">
        <v>12218</v>
      </c>
      <c r="U1820" t="s">
        <v>918</v>
      </c>
      <c r="V1820" t="s">
        <v>2299</v>
      </c>
      <c r="W1820">
        <v>40.100266666666997</v>
      </c>
      <c r="X1820">
        <v>-123.79385833332999</v>
      </c>
      <c r="Y1820" t="s">
        <v>12219</v>
      </c>
      <c r="Z1820" t="s">
        <v>8994</v>
      </c>
      <c r="AA1820" t="s">
        <v>3936</v>
      </c>
      <c r="AB1820" t="s">
        <v>12220</v>
      </c>
      <c r="AC1820" t="s">
        <v>5307</v>
      </c>
      <c r="AD1820" s="249" t="str">
        <f>HYPERLINK("https://scontent.cdninstagram.com/t51.2885-15/s320x320/e35/c0.1.752.752/21041156_1765000783798956_4438006006357688320_n.jpg")</f>
        <v>https://scontent.cdninstagram.com/t51.2885-15/s320x320/e35/c0.1.752.752/21041156_1765000783798956_4438006006357688320_n.jpg</v>
      </c>
      <c r="AE1820" s="249" t="str">
        <f>HYPERLINK("https://scontent.cdninstagram.com/t51.2885-19/11084715_466028850240746_1795316734_a.jpg")</f>
        <v>https://scontent.cdninstagram.com/t51.2885-19/11084715_466028850240746_1795316734_a.jpg</v>
      </c>
    </row>
    <row r="1821" spans="1:31" ht="15" x14ac:dyDescent="0.25">
      <c r="A1821" t="s">
        <v>2474</v>
      </c>
      <c r="B1821" t="s">
        <v>12221</v>
      </c>
      <c r="C1821" s="221">
        <v>42967.780057870368</v>
      </c>
      <c r="D1821" t="s">
        <v>12222</v>
      </c>
      <c r="E1821" s="249" t="str">
        <f>HYPERLINK("https://www.instagram.com/p/BYCGTjtHvSe/")</f>
        <v>https://www.instagram.com/p/BYCGTjtHvSe/</v>
      </c>
      <c r="F1821" t="s">
        <v>12223</v>
      </c>
      <c r="G1821" t="s">
        <v>2478</v>
      </c>
      <c r="H1821">
        <v>327</v>
      </c>
      <c r="I1821" t="s">
        <v>2510</v>
      </c>
      <c r="J1821">
        <v>2</v>
      </c>
      <c r="K1821">
        <v>65</v>
      </c>
      <c r="L1821">
        <v>67</v>
      </c>
      <c r="Q1821">
        <v>0</v>
      </c>
      <c r="R1821">
        <v>0</v>
      </c>
      <c r="S1821">
        <v>67</v>
      </c>
      <c r="Y1821" t="s">
        <v>2906</v>
      </c>
      <c r="Z1821" t="s">
        <v>3225</v>
      </c>
      <c r="AA1821" t="s">
        <v>7225</v>
      </c>
      <c r="AB1821" t="s">
        <v>12043</v>
      </c>
      <c r="AC1821" t="s">
        <v>12224</v>
      </c>
      <c r="AD1821" s="249" t="str">
        <f>HYPERLINK("https://scontent.cdninstagram.com/t51.2885-15/s320x320/e35/20904920_1951555058466786_1687246733655932928_n.jpg")</f>
        <v>https://scontent.cdninstagram.com/t51.2885-15/s320x320/e35/20904920_1951555058466786_1687246733655932928_n.jpg</v>
      </c>
      <c r="AE1821" s="249" t="str">
        <f>HYPERLINK("https://scontent.cdninstagram.com/t51.2885-19/s150x150/20759698_108247743226025_4577723770692698112_a.jpg")</f>
        <v>https://scontent.cdninstagram.com/t51.2885-19/s150x150/20759698_108247743226025_4577723770692698112_a.jpg</v>
      </c>
    </row>
    <row r="1822" spans="1:31" ht="15" x14ac:dyDescent="0.25">
      <c r="A1822" t="s">
        <v>2474</v>
      </c>
      <c r="B1822" t="s">
        <v>12225</v>
      </c>
      <c r="C1822" s="221">
        <v>42967.786030092589</v>
      </c>
      <c r="D1822" t="s">
        <v>12226</v>
      </c>
      <c r="E1822" s="249" t="str">
        <f>HYPERLINK("https://www.instagram.com/p/BYCHSj9AJYD/")</f>
        <v>https://www.instagram.com/p/BYCHSj9AJYD/</v>
      </c>
      <c r="F1822" t="s">
        <v>12227</v>
      </c>
      <c r="G1822" t="s">
        <v>2478</v>
      </c>
      <c r="H1822">
        <v>480</v>
      </c>
      <c r="I1822" t="s">
        <v>2479</v>
      </c>
      <c r="J1822">
        <v>0</v>
      </c>
      <c r="K1822">
        <v>35</v>
      </c>
      <c r="L1822">
        <v>35</v>
      </c>
      <c r="Q1822">
        <v>0</v>
      </c>
      <c r="R1822">
        <v>0</v>
      </c>
      <c r="S1822">
        <v>35</v>
      </c>
      <c r="Y1822" t="s">
        <v>11153</v>
      </c>
      <c r="Z1822" t="s">
        <v>12228</v>
      </c>
      <c r="AA1822" t="s">
        <v>12229</v>
      </c>
      <c r="AB1822" t="s">
        <v>12230</v>
      </c>
      <c r="AC1822" t="s">
        <v>12231</v>
      </c>
      <c r="AD1822" s="249" t="str">
        <f>HYPERLINK("https://scontent.cdninstagram.com/t51.2885-15/s320x320/e35/c0.112.900.900/20905573_110582272968367_8176705051033600000_n.jpg")</f>
        <v>https://scontent.cdninstagram.com/t51.2885-15/s320x320/e35/c0.112.900.900/20905573_110582272968367_8176705051033600000_n.jpg</v>
      </c>
      <c r="AE1822" s="249" t="str">
        <f>HYPERLINK("https://scontent.cdninstagram.com/t51.2885-19/s150x150/20482041_163162434231123_7281968616298250240_a.jpg")</f>
        <v>https://scontent.cdninstagram.com/t51.2885-19/s150x150/20482041_163162434231123_7281968616298250240_a.jpg</v>
      </c>
    </row>
    <row r="1823" spans="1:31" ht="15" x14ac:dyDescent="0.25">
      <c r="A1823" t="s">
        <v>2474</v>
      </c>
      <c r="B1823" t="s">
        <v>12232</v>
      </c>
      <c r="C1823" s="221">
        <v>42967.793495370373</v>
      </c>
      <c r="D1823" t="s">
        <v>12233</v>
      </c>
      <c r="E1823" s="249" t="str">
        <f>HYPERLINK("https://www.instagram.com/p/BYCIhRnAdQe/")</f>
        <v>https://www.instagram.com/p/BYCIhRnAdQe/</v>
      </c>
      <c r="F1823" t="s">
        <v>12234</v>
      </c>
      <c r="G1823" t="s">
        <v>2478</v>
      </c>
      <c r="H1823">
        <v>690</v>
      </c>
      <c r="I1823" t="s">
        <v>2479</v>
      </c>
      <c r="J1823">
        <v>1</v>
      </c>
      <c r="K1823">
        <v>47</v>
      </c>
      <c r="L1823">
        <v>48</v>
      </c>
      <c r="Q1823">
        <v>0</v>
      </c>
      <c r="R1823">
        <v>0</v>
      </c>
      <c r="S1823">
        <v>48</v>
      </c>
      <c r="Y1823" t="s">
        <v>12235</v>
      </c>
      <c r="Z1823" t="s">
        <v>2968</v>
      </c>
      <c r="AA1823" t="s">
        <v>8753</v>
      </c>
      <c r="AB1823" t="s">
        <v>2497</v>
      </c>
      <c r="AC1823" t="s">
        <v>2730</v>
      </c>
      <c r="AD1823" s="249" t="str">
        <f>HYPERLINK("https://scontent.cdninstagram.com/t51.2885-15/s320x320/e35/20905028_506826179650535_1906927932819898368_n.jpg")</f>
        <v>https://scontent.cdninstagram.com/t51.2885-15/s320x320/e35/20905028_506826179650535_1906927932819898368_n.jpg</v>
      </c>
      <c r="AE1823" s="249" t="str">
        <f>HYPERLINK("https://scontent.cdninstagram.com/t51.2885-19/10802721_776118609112425_771028105_a.jpg")</f>
        <v>https://scontent.cdninstagram.com/t51.2885-19/10802721_776118609112425_771028105_a.jpg</v>
      </c>
    </row>
    <row r="1824" spans="1:31" ht="15" x14ac:dyDescent="0.25">
      <c r="A1824" t="s">
        <v>2474</v>
      </c>
      <c r="B1824" t="s">
        <v>12236</v>
      </c>
      <c r="C1824" s="221">
        <v>42967.795439814814</v>
      </c>
      <c r="D1824" t="s">
        <v>12237</v>
      </c>
      <c r="E1824" s="249" t="str">
        <f>HYPERLINK("https://www.instagram.com/p/BYCI109jxFY/")</f>
        <v>https://www.instagram.com/p/BYCI109jxFY/</v>
      </c>
      <c r="F1824" t="s">
        <v>12238</v>
      </c>
      <c r="G1824" t="s">
        <v>2478</v>
      </c>
      <c r="H1824">
        <v>343</v>
      </c>
      <c r="I1824" t="s">
        <v>2479</v>
      </c>
      <c r="J1824">
        <v>0</v>
      </c>
      <c r="K1824">
        <v>59</v>
      </c>
      <c r="L1824">
        <v>59</v>
      </c>
      <c r="Q1824">
        <v>0</v>
      </c>
      <c r="R1824">
        <v>0</v>
      </c>
      <c r="S1824">
        <v>59</v>
      </c>
      <c r="T1824" t="s">
        <v>2936</v>
      </c>
      <c r="V1824" t="s">
        <v>2288</v>
      </c>
      <c r="W1824">
        <v>51.507114863623997</v>
      </c>
      <c r="X1824">
        <v>-0.12731805236353</v>
      </c>
      <c r="Y1824" t="s">
        <v>2787</v>
      </c>
      <c r="Z1824" t="s">
        <v>12239</v>
      </c>
      <c r="AA1824" t="s">
        <v>12240</v>
      </c>
      <c r="AB1824" t="s">
        <v>2651</v>
      </c>
      <c r="AC1824" t="s">
        <v>2827</v>
      </c>
      <c r="AD1824" s="249" t="str">
        <f>HYPERLINK("https://scontent.cdninstagram.com/t51.2885-15/s320x320/e35/20968528_278473405966081_5557506162821169152_n.jpg")</f>
        <v>https://scontent.cdninstagram.com/t51.2885-15/s320x320/e35/20968528_278473405966081_5557506162821169152_n.jpg</v>
      </c>
      <c r="AE1824" s="249" t="str">
        <f>HYPERLINK("https://scontent.cdninstagram.com/t51.2885-19/s150x150/19954968_114450855848824_3837357102049787904_a.jpg")</f>
        <v>https://scontent.cdninstagram.com/t51.2885-19/s150x150/19954968_114450855848824_3837357102049787904_a.jpg</v>
      </c>
    </row>
    <row r="1825" spans="1:31" ht="15" x14ac:dyDescent="0.25">
      <c r="A1825" t="s">
        <v>2474</v>
      </c>
      <c r="B1825" t="s">
        <v>12241</v>
      </c>
      <c r="C1825" s="221">
        <v>42967.819988425923</v>
      </c>
      <c r="D1825" t="s">
        <v>12242</v>
      </c>
      <c r="E1825" s="249" t="str">
        <f>HYPERLINK("https://www.instagram.com/p/BYCM4pijyf5/")</f>
        <v>https://www.instagram.com/p/BYCM4pijyf5/</v>
      </c>
      <c r="F1825" t="s">
        <v>12243</v>
      </c>
      <c r="G1825" t="s">
        <v>2478</v>
      </c>
      <c r="H1825">
        <v>790</v>
      </c>
      <c r="I1825" t="s">
        <v>2910</v>
      </c>
      <c r="J1825">
        <v>1</v>
      </c>
      <c r="K1825">
        <v>61</v>
      </c>
      <c r="L1825">
        <v>62</v>
      </c>
      <c r="Q1825">
        <v>0</v>
      </c>
      <c r="R1825">
        <v>0</v>
      </c>
      <c r="S1825">
        <v>62</v>
      </c>
      <c r="Y1825" t="s">
        <v>12244</v>
      </c>
      <c r="Z1825" t="s">
        <v>12245</v>
      </c>
      <c r="AA1825" t="s">
        <v>4620</v>
      </c>
      <c r="AB1825" t="s">
        <v>12246</v>
      </c>
      <c r="AC1825" t="s">
        <v>8007</v>
      </c>
      <c r="AD1825" s="249" t="str">
        <f>HYPERLINK("https://scontent.cdninstagram.com/t51.2885-15/s320x320/e35/20905067_111736439511678_975696057163841536_n.jpg")</f>
        <v>https://scontent.cdninstagram.com/t51.2885-15/s320x320/e35/20905067_111736439511678_975696057163841536_n.jpg</v>
      </c>
      <c r="AE1825" s="249" t="str">
        <f>HYPERLINK("https://scontent.cdninstagram.com/t51.2885-19/s150x150/20687283_1141799869298099_458514636753338368_a.jpg")</f>
        <v>https://scontent.cdninstagram.com/t51.2885-19/s150x150/20687283_1141799869298099_458514636753338368_a.jpg</v>
      </c>
    </row>
    <row r="1826" spans="1:31" ht="15" x14ac:dyDescent="0.25">
      <c r="A1826" t="s">
        <v>2474</v>
      </c>
      <c r="B1826" t="s">
        <v>12247</v>
      </c>
      <c r="C1826" s="221">
        <v>42967.833668981482</v>
      </c>
      <c r="D1826" t="s">
        <v>12248</v>
      </c>
      <c r="E1826" s="249" t="str">
        <f>HYPERLINK("https://www.instagram.com/p/BYCPI9UA5tC/")</f>
        <v>https://www.instagram.com/p/BYCPI9UA5tC/</v>
      </c>
      <c r="F1826" t="s">
        <v>12249</v>
      </c>
      <c r="G1826" t="s">
        <v>2478</v>
      </c>
      <c r="H1826">
        <v>1059</v>
      </c>
      <c r="I1826" t="s">
        <v>2479</v>
      </c>
      <c r="J1826">
        <v>0</v>
      </c>
      <c r="K1826">
        <v>29</v>
      </c>
      <c r="L1826">
        <v>29</v>
      </c>
      <c r="Q1826">
        <v>0</v>
      </c>
      <c r="R1826">
        <v>0</v>
      </c>
      <c r="S1826">
        <v>29</v>
      </c>
      <c r="Y1826" t="s">
        <v>12250</v>
      </c>
      <c r="Z1826" t="s">
        <v>12251</v>
      </c>
      <c r="AA1826" t="s">
        <v>2682</v>
      </c>
      <c r="AB1826" t="s">
        <v>12252</v>
      </c>
      <c r="AC1826" t="s">
        <v>12253</v>
      </c>
      <c r="AD1826" s="249" t="str">
        <f>HYPERLINK("https://scontent.cdninstagram.com/t51.2885-15/s320x320/e35/c2.0.1075.1075/20905615_387140918367447_2131404682013179904_n.jpg")</f>
        <v>https://scontent.cdninstagram.com/t51.2885-15/s320x320/e35/c2.0.1075.1075/20905615_387140918367447_2131404682013179904_n.jpg</v>
      </c>
      <c r="AE1826" s="249" t="str">
        <f>HYPERLINK("https://scontent.cdninstagram.com/t51.2885-19/s150x150/12331506_480912882112883_417574573_a.jpg")</f>
        <v>https://scontent.cdninstagram.com/t51.2885-19/s150x150/12331506_480912882112883_417574573_a.jpg</v>
      </c>
    </row>
    <row r="1827" spans="1:31" ht="15" x14ac:dyDescent="0.25">
      <c r="A1827" t="s">
        <v>2474</v>
      </c>
      <c r="B1827" t="s">
        <v>12254</v>
      </c>
      <c r="C1827" s="221">
        <v>42967.835636574076</v>
      </c>
      <c r="D1827" t="s">
        <v>12255</v>
      </c>
      <c r="E1827" s="249" t="str">
        <f>HYPERLINK("https://www.instagram.com/p/BYCPdwHlk-2/")</f>
        <v>https://www.instagram.com/p/BYCPdwHlk-2/</v>
      </c>
      <c r="F1827" t="s">
        <v>12256</v>
      </c>
      <c r="G1827" t="s">
        <v>2478</v>
      </c>
      <c r="H1827">
        <v>96</v>
      </c>
      <c r="I1827" t="s">
        <v>2479</v>
      </c>
      <c r="J1827">
        <v>0</v>
      </c>
      <c r="K1827">
        <v>8</v>
      </c>
      <c r="L1827">
        <v>8</v>
      </c>
      <c r="Q1827">
        <v>0</v>
      </c>
      <c r="R1827">
        <v>0</v>
      </c>
      <c r="S1827">
        <v>8</v>
      </c>
      <c r="Y1827" t="s">
        <v>12257</v>
      </c>
      <c r="Z1827" t="s">
        <v>4754</v>
      </c>
      <c r="AA1827" t="s">
        <v>2497</v>
      </c>
      <c r="AB1827" t="s">
        <v>12258</v>
      </c>
      <c r="AC1827" t="s">
        <v>12259</v>
      </c>
      <c r="AD1827" s="249" t="str">
        <f>HYPERLINK("https://scontent.cdninstagram.com/t51.2885-15/s320x320/e35/c180.0.720.720/20902758_1927427520850334_5714629518346420224_n.jpg")</f>
        <v>https://scontent.cdninstagram.com/t51.2885-15/s320x320/e35/c180.0.720.720/20902758_1927427520850334_5714629518346420224_n.jpg</v>
      </c>
      <c r="AE1827" s="249" t="str">
        <f>HYPERLINK("https://scontent.cdninstagram.com/t51.2885-19/s150x150/17932516_421600221541361_3837169377619214336_a.jpg")</f>
        <v>https://scontent.cdninstagram.com/t51.2885-19/s150x150/17932516_421600221541361_3837169377619214336_a.jpg</v>
      </c>
    </row>
    <row r="1828" spans="1:31" ht="15" x14ac:dyDescent="0.25">
      <c r="A1828" t="s">
        <v>2474</v>
      </c>
      <c r="B1828" t="s">
        <v>3248</v>
      </c>
      <c r="C1828" s="221">
        <v>42967.850416666668</v>
      </c>
      <c r="D1828" t="s">
        <v>12260</v>
      </c>
      <c r="E1828" s="249" t="str">
        <f>HYPERLINK("https://www.instagram.com/p/BYCR5nCnwSJ/")</f>
        <v>https://www.instagram.com/p/BYCR5nCnwSJ/</v>
      </c>
      <c r="F1828" t="s">
        <v>12261</v>
      </c>
      <c r="G1828" t="s">
        <v>2478</v>
      </c>
      <c r="H1828">
        <v>31642</v>
      </c>
      <c r="I1828" t="s">
        <v>2479</v>
      </c>
      <c r="J1828">
        <v>6</v>
      </c>
      <c r="K1828">
        <v>692</v>
      </c>
      <c r="L1828">
        <v>698</v>
      </c>
      <c r="Q1828">
        <v>0</v>
      </c>
      <c r="R1828">
        <v>0</v>
      </c>
      <c r="S1828">
        <v>698</v>
      </c>
      <c r="AD1828" s="249" t="str">
        <f>HYPERLINK("https://scontent.cdninstagram.com/t51.2885-15/s320x320/e35/20968977_687257258137244_6290812639668862976_n.jpg")</f>
        <v>https://scontent.cdninstagram.com/t51.2885-15/s320x320/e35/20968977_687257258137244_6290812639668862976_n.jpg</v>
      </c>
      <c r="AE1828" s="249" t="str">
        <f>HYPERLINK("https://scontent.cdninstagram.com/t51.2885-19/s150x150/16229301_1876915245885793_5124596849776263168_n.jpg")</f>
        <v>https://scontent.cdninstagram.com/t51.2885-19/s150x150/16229301_1876915245885793_5124596849776263168_n.jpg</v>
      </c>
    </row>
    <row r="1829" spans="1:31" ht="15" x14ac:dyDescent="0.25">
      <c r="A1829" t="s">
        <v>2474</v>
      </c>
      <c r="B1829" t="s">
        <v>12262</v>
      </c>
      <c r="C1829" s="221">
        <v>42967.8669212963</v>
      </c>
      <c r="D1829" t="s">
        <v>12263</v>
      </c>
      <c r="E1829" s="249" t="str">
        <f>HYPERLINK("https://www.instagram.com/p/BYCUnrQjkAy/")</f>
        <v>https://www.instagram.com/p/BYCUnrQjkAy/</v>
      </c>
      <c r="F1829" t="s">
        <v>12264</v>
      </c>
      <c r="G1829" t="s">
        <v>2478</v>
      </c>
      <c r="H1829">
        <v>49</v>
      </c>
      <c r="I1829" t="s">
        <v>2542</v>
      </c>
      <c r="J1829">
        <v>1</v>
      </c>
      <c r="K1829">
        <v>55</v>
      </c>
      <c r="L1829">
        <v>56</v>
      </c>
      <c r="Q1829">
        <v>0</v>
      </c>
      <c r="R1829">
        <v>0</v>
      </c>
      <c r="S1829">
        <v>56</v>
      </c>
      <c r="T1829" t="s">
        <v>7936</v>
      </c>
      <c r="U1829" t="s">
        <v>168</v>
      </c>
      <c r="V1829" t="s">
        <v>2299</v>
      </c>
      <c r="W1829">
        <v>36.8857</v>
      </c>
      <c r="X1829">
        <v>-76.259900000000002</v>
      </c>
      <c r="Y1829" t="s">
        <v>12265</v>
      </c>
      <c r="Z1829" t="s">
        <v>3237</v>
      </c>
      <c r="AA1829" t="s">
        <v>2861</v>
      </c>
      <c r="AB1829" t="s">
        <v>4863</v>
      </c>
      <c r="AC1829" t="s">
        <v>12266</v>
      </c>
      <c r="AD1829" s="249" t="str">
        <f>HYPERLINK("https://scontent.cdninstagram.com/t51.2885-15/s320x320/e35/20986792_1958460691067831_4187940168432353280_n.jpg")</f>
        <v>https://scontent.cdninstagram.com/t51.2885-15/s320x320/e35/20986792_1958460691067831_4187940168432353280_n.jpg</v>
      </c>
      <c r="AE1829" s="249" t="str">
        <f>HYPERLINK("https://scontent.cdninstagram.com/t51.2885-19/s150x150/20836868_460105197705217_806621358137016320_a.jpg")</f>
        <v>https://scontent.cdninstagram.com/t51.2885-19/s150x150/20836868_460105197705217_806621358137016320_a.jpg</v>
      </c>
    </row>
    <row r="1830" spans="1:31" ht="15" x14ac:dyDescent="0.25">
      <c r="A1830" t="s">
        <v>2474</v>
      </c>
      <c r="B1830" t="s">
        <v>7793</v>
      </c>
      <c r="C1830" s="221">
        <v>42967.869247685187</v>
      </c>
      <c r="D1830" t="s">
        <v>12267</v>
      </c>
      <c r="E1830" s="249" t="str">
        <f>HYPERLINK("https://www.instagram.com/p/BYCVARCF9xA/")</f>
        <v>https://www.instagram.com/p/BYCVARCF9xA/</v>
      </c>
      <c r="F1830" t="s">
        <v>12268</v>
      </c>
      <c r="G1830" t="s">
        <v>2478</v>
      </c>
      <c r="H1830">
        <v>5809</v>
      </c>
      <c r="I1830" t="s">
        <v>2479</v>
      </c>
      <c r="J1830">
        <v>3</v>
      </c>
      <c r="K1830">
        <v>200</v>
      </c>
      <c r="L1830">
        <v>203</v>
      </c>
      <c r="Q1830">
        <v>0</v>
      </c>
      <c r="R1830">
        <v>0</v>
      </c>
      <c r="S1830">
        <v>203</v>
      </c>
      <c r="T1830" t="s">
        <v>12269</v>
      </c>
      <c r="V1830" t="s">
        <v>2102</v>
      </c>
      <c r="W1830">
        <v>-33.853943999999998</v>
      </c>
      <c r="X1830">
        <v>151.285167</v>
      </c>
      <c r="Y1830" t="s">
        <v>12270</v>
      </c>
      <c r="Z1830" t="s">
        <v>2497</v>
      </c>
      <c r="AA1830" t="s">
        <v>6746</v>
      </c>
      <c r="AB1830" t="s">
        <v>10895</v>
      </c>
      <c r="AC1830" t="s">
        <v>5644</v>
      </c>
      <c r="AD1830" s="249" t="str">
        <f>HYPERLINK("https://scontent.cdninstagram.com/t51.2885-15/s320x320/e35/20902795_1428816410535704_5402223836437413888_n.jpg")</f>
        <v>https://scontent.cdninstagram.com/t51.2885-15/s320x320/e35/20902795_1428816410535704_5402223836437413888_n.jpg</v>
      </c>
      <c r="AE1830" s="249" t="str">
        <f>HYPERLINK("https://scontent.cdninstagram.com/t51.2885-19/s150x150/14295311_507350922808081_1928455761_a.jpg")</f>
        <v>https://scontent.cdninstagram.com/t51.2885-19/s150x150/14295311_507350922808081_1928455761_a.jpg</v>
      </c>
    </row>
    <row r="1831" spans="1:31" ht="15" x14ac:dyDescent="0.25">
      <c r="A1831" t="s">
        <v>2474</v>
      </c>
      <c r="B1831" t="s">
        <v>12271</v>
      </c>
      <c r="C1831" s="221">
        <v>42967.873645833337</v>
      </c>
      <c r="D1831" t="s">
        <v>12272</v>
      </c>
      <c r="E1831" s="249" t="str">
        <f>HYPERLINK("https://www.instagram.com/p/BYCVumnBnfZ/")</f>
        <v>https://www.instagram.com/p/BYCVumnBnfZ/</v>
      </c>
      <c r="F1831" t="s">
        <v>12273</v>
      </c>
      <c r="G1831" t="s">
        <v>2478</v>
      </c>
      <c r="H1831">
        <v>264</v>
      </c>
      <c r="I1831" t="s">
        <v>2479</v>
      </c>
      <c r="J1831">
        <v>1</v>
      </c>
      <c r="K1831">
        <v>34</v>
      </c>
      <c r="L1831">
        <v>35</v>
      </c>
      <c r="Q1831">
        <v>0</v>
      </c>
      <c r="R1831">
        <v>0</v>
      </c>
      <c r="S1831">
        <v>35</v>
      </c>
      <c r="Y1831" t="s">
        <v>10326</v>
      </c>
      <c r="Z1831" t="s">
        <v>12274</v>
      </c>
      <c r="AA1831" t="s">
        <v>12275</v>
      </c>
      <c r="AB1831" t="s">
        <v>11796</v>
      </c>
      <c r="AC1831" t="s">
        <v>12276</v>
      </c>
      <c r="AD1831" s="249" t="str">
        <f>HYPERLINK("https://scontent.cdninstagram.com/t51.2885-15/s320x320/e35/c0.101.810.810/20905127_117313562261930_8164363084551421952_n.jpg")</f>
        <v>https://scontent.cdninstagram.com/t51.2885-15/s320x320/e35/c0.101.810.810/20905127_117313562261930_8164363084551421952_n.jpg</v>
      </c>
      <c r="AE1831" s="249" t="str">
        <f>HYPERLINK("https://scontent.cdninstagram.com/t51.2885-19/s150x150/20686744_1326418907457214_4204731433270378496_a.jpg")</f>
        <v>https://scontent.cdninstagram.com/t51.2885-19/s150x150/20686744_1326418907457214_4204731433270378496_a.jpg</v>
      </c>
    </row>
    <row r="1832" spans="1:31" ht="15" x14ac:dyDescent="0.25">
      <c r="A1832" t="s">
        <v>2474</v>
      </c>
      <c r="B1832" t="s">
        <v>12277</v>
      </c>
      <c r="C1832" s="221">
        <v>42967.8750462963</v>
      </c>
      <c r="D1832" t="s">
        <v>12278</v>
      </c>
      <c r="E1832" s="249" t="str">
        <f>HYPERLINK("https://www.instagram.com/p/BYCV9UpA1CW/")</f>
        <v>https://www.instagram.com/p/BYCV9UpA1CW/</v>
      </c>
      <c r="F1832" t="s">
        <v>12279</v>
      </c>
      <c r="G1832" t="s">
        <v>2478</v>
      </c>
      <c r="H1832">
        <v>610</v>
      </c>
      <c r="I1832" t="s">
        <v>2479</v>
      </c>
      <c r="J1832">
        <v>10</v>
      </c>
      <c r="K1832">
        <v>88</v>
      </c>
      <c r="L1832">
        <v>98</v>
      </c>
      <c r="Q1832">
        <v>0</v>
      </c>
      <c r="R1832">
        <v>0</v>
      </c>
      <c r="S1832">
        <v>98</v>
      </c>
      <c r="Y1832" t="s">
        <v>12280</v>
      </c>
      <c r="Z1832" t="s">
        <v>12281</v>
      </c>
      <c r="AA1832" t="s">
        <v>12282</v>
      </c>
      <c r="AB1832" t="s">
        <v>2497</v>
      </c>
      <c r="AC1832" t="s">
        <v>12283</v>
      </c>
      <c r="AD1832" s="249" t="str">
        <f>HYPERLINK("https://scontent.cdninstagram.com/t51.2885-15/s320x320/e35/21041299_515959038744269_2697885420674351104_n.jpg")</f>
        <v>https://scontent.cdninstagram.com/t51.2885-15/s320x320/e35/21041299_515959038744269_2697885420674351104_n.jpg</v>
      </c>
      <c r="AE1832" s="249" t="str">
        <f>HYPERLINK("https://scontent.cdninstagram.com/t51.2885-19/s150x150/19051096_105028063438502_3871470966424993792_a.jpg")</f>
        <v>https://scontent.cdninstagram.com/t51.2885-19/s150x150/19051096_105028063438502_3871470966424993792_a.jpg</v>
      </c>
    </row>
    <row r="1833" spans="1:31" ht="15" x14ac:dyDescent="0.25">
      <c r="A1833" t="s">
        <v>2474</v>
      </c>
      <c r="B1833" t="s">
        <v>12284</v>
      </c>
      <c r="C1833" s="221">
        <v>42967.876481481479</v>
      </c>
      <c r="D1833" t="s">
        <v>12285</v>
      </c>
      <c r="E1833" s="249" t="str">
        <f>HYPERLINK("https://www.instagram.com/p/BYCWMjMj5cH/")</f>
        <v>https://www.instagram.com/p/BYCWMjMj5cH/</v>
      </c>
      <c r="F1833" t="s">
        <v>12286</v>
      </c>
      <c r="G1833" t="s">
        <v>2478</v>
      </c>
      <c r="H1833">
        <v>692</v>
      </c>
      <c r="I1833" t="s">
        <v>2479</v>
      </c>
      <c r="J1833">
        <v>2</v>
      </c>
      <c r="K1833">
        <v>28</v>
      </c>
      <c r="L1833">
        <v>30</v>
      </c>
      <c r="Q1833">
        <v>0</v>
      </c>
      <c r="R1833">
        <v>0</v>
      </c>
      <c r="S1833">
        <v>30</v>
      </c>
      <c r="Y1833" t="s">
        <v>12287</v>
      </c>
      <c r="Z1833" t="s">
        <v>12288</v>
      </c>
      <c r="AA1833" t="s">
        <v>12289</v>
      </c>
      <c r="AB1833" t="s">
        <v>3764</v>
      </c>
      <c r="AC1833" t="s">
        <v>12290</v>
      </c>
      <c r="AD1833" s="249" t="str">
        <f>HYPERLINK("https://scontent.cdninstagram.com/t51.2885-15/s320x320/e35/20905146_795138610667108_9062740848394895360_n.jpg")</f>
        <v>https://scontent.cdninstagram.com/t51.2885-15/s320x320/e35/20905146_795138610667108_9062740848394895360_n.jpg</v>
      </c>
      <c r="AE1833" s="249" t="str">
        <f>HYPERLINK("https://scontent.cdninstagram.com/t51.2885-19/s150x150/16906603_1496660180345076_6125099349551611904_a.jpg")</f>
        <v>https://scontent.cdninstagram.com/t51.2885-19/s150x150/16906603_1496660180345076_6125099349551611904_a.jpg</v>
      </c>
    </row>
    <row r="1834" spans="1:31" ht="15" x14ac:dyDescent="0.25">
      <c r="A1834" t="s">
        <v>2474</v>
      </c>
      <c r="B1834" t="s">
        <v>12291</v>
      </c>
      <c r="C1834" s="221">
        <v>42967.88559027778</v>
      </c>
      <c r="D1834" t="s">
        <v>12292</v>
      </c>
      <c r="E1834" s="249" t="str">
        <f>HYPERLINK("https://www.instagram.com/p/BYCXsoAAbLh/")</f>
        <v>https://www.instagram.com/p/BYCXsoAAbLh/</v>
      </c>
      <c r="F1834" t="s">
        <v>12293</v>
      </c>
      <c r="G1834" t="s">
        <v>2478</v>
      </c>
      <c r="H1834">
        <v>140</v>
      </c>
      <c r="I1834" t="s">
        <v>2479</v>
      </c>
      <c r="J1834">
        <v>1</v>
      </c>
      <c r="K1834">
        <v>17</v>
      </c>
      <c r="L1834">
        <v>18</v>
      </c>
      <c r="Q1834">
        <v>0</v>
      </c>
      <c r="R1834">
        <v>0</v>
      </c>
      <c r="S1834">
        <v>18</v>
      </c>
      <c r="Y1834" t="s">
        <v>12294</v>
      </c>
      <c r="Z1834" t="s">
        <v>2497</v>
      </c>
      <c r="AA1834" t="s">
        <v>2492</v>
      </c>
      <c r="AB1834" t="s">
        <v>10459</v>
      </c>
      <c r="AC1834" t="s">
        <v>12295</v>
      </c>
      <c r="AD1834" s="249" t="str">
        <f>HYPERLINK("https://scontent.cdninstagram.com/t51.2885-15/s320x320/e35/21041440_1962299550706232_4527281965371490304_n.jpg")</f>
        <v>https://scontent.cdninstagram.com/t51.2885-15/s320x320/e35/21041440_1962299550706232_4527281965371490304_n.jpg</v>
      </c>
      <c r="AE1834" s="249" t="str">
        <f>HYPERLINK("https://scontent.cdninstagram.com/t51.2885-19/s150x150/20759603_125933231367370_3341332497265852416_a.jpg")</f>
        <v>https://scontent.cdninstagram.com/t51.2885-19/s150x150/20759603_125933231367370_3341332497265852416_a.jpg</v>
      </c>
    </row>
    <row r="1835" spans="1:31" ht="15" x14ac:dyDescent="0.25">
      <c r="A1835" t="s">
        <v>2474</v>
      </c>
      <c r="B1835" t="s">
        <v>12296</v>
      </c>
      <c r="C1835" s="221">
        <v>42967.910856481481</v>
      </c>
      <c r="D1835" t="s">
        <v>12297</v>
      </c>
      <c r="E1835" s="249" t="str">
        <f>HYPERLINK("https://www.instagram.com/p/BYCb3FBjSg-/")</f>
        <v>https://www.instagram.com/p/BYCb3FBjSg-/</v>
      </c>
      <c r="F1835" t="s">
        <v>12298</v>
      </c>
      <c r="G1835" t="s">
        <v>2478</v>
      </c>
      <c r="H1835">
        <v>106</v>
      </c>
      <c r="I1835" t="s">
        <v>2599</v>
      </c>
      <c r="J1835">
        <v>0</v>
      </c>
      <c r="K1835">
        <v>17</v>
      </c>
      <c r="L1835">
        <v>17</v>
      </c>
      <c r="Q1835">
        <v>0</v>
      </c>
      <c r="R1835">
        <v>0</v>
      </c>
      <c r="S1835">
        <v>17</v>
      </c>
      <c r="Y1835" t="s">
        <v>3991</v>
      </c>
      <c r="Z1835" t="s">
        <v>12299</v>
      </c>
      <c r="AA1835" t="s">
        <v>12300</v>
      </c>
      <c r="AB1835" t="s">
        <v>12301</v>
      </c>
      <c r="AC1835" t="s">
        <v>2497</v>
      </c>
      <c r="AD1835" s="249" t="str">
        <f>HYPERLINK("https://scontent.cdninstagram.com/t51.2885-15/s320x320/e35/c0.135.1080.1080/20905148_102687793797995_924269866813227008_n.jpg")</f>
        <v>https://scontent.cdninstagram.com/t51.2885-15/s320x320/e35/c0.135.1080.1080/20905148_102687793797995_924269866813227008_n.jpg</v>
      </c>
      <c r="AE1835" s="249" t="str">
        <f>HYPERLINK("https://scontent.cdninstagram.com/t51.2885-19/s150x150/20688423_298945677247183_2702557550523449344_a.jpg")</f>
        <v>https://scontent.cdninstagram.com/t51.2885-19/s150x150/20688423_298945677247183_2702557550523449344_a.jpg</v>
      </c>
    </row>
    <row r="1836" spans="1:31" ht="15" x14ac:dyDescent="0.25">
      <c r="A1836" t="s">
        <v>2474</v>
      </c>
      <c r="B1836" t="s">
        <v>3471</v>
      </c>
      <c r="C1836" s="221">
        <v>42967.914456018516</v>
      </c>
      <c r="D1836" t="s">
        <v>12302</v>
      </c>
      <c r="E1836" s="249" t="str">
        <f>HYPERLINK("https://www.instagram.com/p/BYCcdAWnW2W/")</f>
        <v>https://www.instagram.com/p/BYCcdAWnW2W/</v>
      </c>
      <c r="F1836" t="s">
        <v>12303</v>
      </c>
      <c r="G1836" t="s">
        <v>2478</v>
      </c>
      <c r="H1836">
        <v>186</v>
      </c>
      <c r="I1836" t="s">
        <v>2542</v>
      </c>
      <c r="J1836">
        <v>0</v>
      </c>
      <c r="K1836">
        <v>21</v>
      </c>
      <c r="L1836">
        <v>21</v>
      </c>
      <c r="Q1836">
        <v>0</v>
      </c>
      <c r="R1836">
        <v>0</v>
      </c>
      <c r="S1836">
        <v>21</v>
      </c>
      <c r="T1836" t="s">
        <v>3474</v>
      </c>
      <c r="V1836" t="s">
        <v>2258</v>
      </c>
      <c r="W1836">
        <v>1.2930600000000001</v>
      </c>
      <c r="X1836">
        <v>103.85599999999999</v>
      </c>
      <c r="Y1836" t="s">
        <v>3475</v>
      </c>
      <c r="Z1836" t="s">
        <v>6775</v>
      </c>
      <c r="AA1836" t="s">
        <v>5841</v>
      </c>
      <c r="AB1836" t="s">
        <v>5113</v>
      </c>
      <c r="AC1836" t="s">
        <v>3477</v>
      </c>
      <c r="AD1836" s="249" t="str">
        <f>HYPERLINK("https://scontent.cdninstagram.com/t51.2885-15/s320x320/e35/20902526_358077414612231_7420759453676339200_n.jpg")</f>
        <v>https://scontent.cdninstagram.com/t51.2885-15/s320x320/e35/20902526_358077414612231_7420759453676339200_n.jpg</v>
      </c>
      <c r="AE1836" s="249" t="str">
        <f>HYPERLINK("https://scontent.cdninstagram.com/t51.2885-19/s150x150/19986209_741127056067001_1270489010199855104_a.jpg")</f>
        <v>https://scontent.cdninstagram.com/t51.2885-19/s150x150/19986209_741127056067001_1270489010199855104_a.jpg</v>
      </c>
    </row>
    <row r="1837" spans="1:31" ht="15" x14ac:dyDescent="0.25">
      <c r="A1837" t="s">
        <v>2474</v>
      </c>
      <c r="B1837" t="s">
        <v>12304</v>
      </c>
      <c r="C1837" s="221">
        <v>42967.924930555557</v>
      </c>
      <c r="D1837" t="s">
        <v>12305</v>
      </c>
      <c r="E1837" s="249" t="str">
        <f>HYPERLINK("https://www.instagram.com/p/BYCeLfsgWrM/")</f>
        <v>https://www.instagram.com/p/BYCeLfsgWrM/</v>
      </c>
      <c r="F1837" t="s">
        <v>12306</v>
      </c>
      <c r="G1837" t="s">
        <v>2478</v>
      </c>
      <c r="H1837">
        <v>554</v>
      </c>
      <c r="I1837" t="s">
        <v>2479</v>
      </c>
      <c r="J1837">
        <v>1</v>
      </c>
      <c r="K1837">
        <v>41</v>
      </c>
      <c r="L1837">
        <v>42</v>
      </c>
      <c r="Q1837">
        <v>0</v>
      </c>
      <c r="R1837">
        <v>0</v>
      </c>
      <c r="S1837">
        <v>42</v>
      </c>
      <c r="Y1837" t="s">
        <v>12307</v>
      </c>
      <c r="Z1837" t="s">
        <v>12308</v>
      </c>
      <c r="AA1837" t="s">
        <v>12309</v>
      </c>
      <c r="AB1837" t="s">
        <v>6835</v>
      </c>
      <c r="AC1837" t="s">
        <v>12310</v>
      </c>
      <c r="AD1837" s="249" t="str">
        <f>HYPERLINK("https://scontent.cdninstagram.com/t51.2885-15/s320x320/e35/c0.134.1080.1080/20905024_1550786868318021_5622024869483905024_n.jpg")</f>
        <v>https://scontent.cdninstagram.com/t51.2885-15/s320x320/e35/c0.134.1080.1080/20905024_1550786868318021_5622024869483905024_n.jpg</v>
      </c>
      <c r="AE1837" s="249" t="str">
        <f>HYPERLINK("https://scontent.cdninstagram.com/t51.2885-19/s150x150/15876880_177276696082168_5141737475844079616_n.jpg")</f>
        <v>https://scontent.cdninstagram.com/t51.2885-19/s150x150/15876880_177276696082168_5141737475844079616_n.jpg</v>
      </c>
    </row>
    <row r="1838" spans="1:31" ht="15" x14ac:dyDescent="0.25">
      <c r="A1838" t="s">
        <v>2474</v>
      </c>
      <c r="B1838" t="s">
        <v>6826</v>
      </c>
      <c r="C1838" s="221">
        <v>42967.930277777778</v>
      </c>
      <c r="D1838" t="s">
        <v>12311</v>
      </c>
      <c r="E1838" s="249" t="str">
        <f>HYPERLINK("https://www.instagram.com/p/BYCfD4JBhTj/")</f>
        <v>https://www.instagram.com/p/BYCfD4JBhTj/</v>
      </c>
      <c r="F1838" t="s">
        <v>12312</v>
      </c>
      <c r="G1838" t="s">
        <v>2478</v>
      </c>
      <c r="H1838">
        <v>24971</v>
      </c>
      <c r="I1838" t="s">
        <v>2479</v>
      </c>
      <c r="J1838">
        <v>13</v>
      </c>
      <c r="K1838">
        <v>311</v>
      </c>
      <c r="L1838">
        <v>324</v>
      </c>
      <c r="Q1838">
        <v>0</v>
      </c>
      <c r="R1838">
        <v>0</v>
      </c>
      <c r="S1838">
        <v>324</v>
      </c>
      <c r="Y1838" t="s">
        <v>7002</v>
      </c>
      <c r="Z1838" t="s">
        <v>2651</v>
      </c>
      <c r="AA1838" t="s">
        <v>12313</v>
      </c>
      <c r="AB1838" t="s">
        <v>9998</v>
      </c>
      <c r="AC1838" t="s">
        <v>12314</v>
      </c>
      <c r="AD1838" s="249" t="str">
        <f>HYPERLINK("https://scontent.cdninstagram.com/t51.2885-15/s320x320/e35/20904943_1458297367552072_3707848835754622976_n.jpg")</f>
        <v>https://scontent.cdninstagram.com/t51.2885-15/s320x320/e35/20904943_1458297367552072_3707848835754622976_n.jpg</v>
      </c>
      <c r="AE1838" s="249" t="str">
        <f>HYPERLINK("https://scontent.cdninstagram.com/t51.2885-19/s150x150/15535145_1299231863453741_6995494065726816256_a.jpg")</f>
        <v>https://scontent.cdninstagram.com/t51.2885-19/s150x150/15535145_1299231863453741_6995494065726816256_a.jpg</v>
      </c>
    </row>
    <row r="1839" spans="1:31" ht="15" x14ac:dyDescent="0.25">
      <c r="A1839" t="s">
        <v>2474</v>
      </c>
      <c r="B1839" t="s">
        <v>4616</v>
      </c>
      <c r="C1839" s="221">
        <v>42967.934641203705</v>
      </c>
      <c r="D1839" t="s">
        <v>12315</v>
      </c>
      <c r="E1839" s="249" t="str">
        <f>HYPERLINK("https://www.instagram.com/p/BYCfx7nhUBO/")</f>
        <v>https://www.instagram.com/p/BYCfx7nhUBO/</v>
      </c>
      <c r="F1839" t="s">
        <v>12316</v>
      </c>
      <c r="G1839" t="s">
        <v>2478</v>
      </c>
      <c r="H1839">
        <v>117</v>
      </c>
      <c r="I1839" t="s">
        <v>2479</v>
      </c>
      <c r="J1839">
        <v>3</v>
      </c>
      <c r="K1839">
        <v>46</v>
      </c>
      <c r="L1839">
        <v>49</v>
      </c>
      <c r="Q1839">
        <v>0</v>
      </c>
      <c r="R1839">
        <v>0</v>
      </c>
      <c r="S1839">
        <v>49</v>
      </c>
      <c r="T1839" t="s">
        <v>7823</v>
      </c>
      <c r="V1839" t="s">
        <v>2125</v>
      </c>
      <c r="W1839">
        <v>45</v>
      </c>
      <c r="X1839">
        <v>-79.3</v>
      </c>
      <c r="Y1839" t="s">
        <v>5007</v>
      </c>
      <c r="Z1839" t="s">
        <v>4620</v>
      </c>
      <c r="AA1839" t="s">
        <v>9549</v>
      </c>
      <c r="AB1839" t="s">
        <v>6294</v>
      </c>
      <c r="AC1839" t="s">
        <v>4623</v>
      </c>
      <c r="AD1839" s="249" t="str">
        <f>HYPERLINK("https://scontent.cdninstagram.com/t51.2885-15/s320x320/e35/c135.0.810.810/20905584_112297076158092_1078602451373785088_n.jpg")</f>
        <v>https://scontent.cdninstagram.com/t51.2885-15/s320x320/e35/c135.0.810.810/20905584_112297076158092_1078602451373785088_n.jpg</v>
      </c>
      <c r="AE1839" s="249" t="str">
        <f>HYPERLINK("https://scontent.cdninstagram.com/t51.2885-19/s150x150/17494353_1347957098574282_2527511313651859456_a.jpg")</f>
        <v>https://scontent.cdninstagram.com/t51.2885-19/s150x150/17494353_1347957098574282_2527511313651859456_a.jpg</v>
      </c>
    </row>
    <row r="1840" spans="1:31" ht="15" x14ac:dyDescent="0.25">
      <c r="A1840" t="s">
        <v>2474</v>
      </c>
      <c r="B1840" t="s">
        <v>12317</v>
      </c>
      <c r="C1840" s="221">
        <v>42967.947060185186</v>
      </c>
      <c r="D1840" t="s">
        <v>12318</v>
      </c>
      <c r="E1840" s="249" t="str">
        <f>HYPERLINK("https://www.instagram.com/p/BYCh07dnVUK/")</f>
        <v>https://www.instagram.com/p/BYCh07dnVUK/</v>
      </c>
      <c r="F1840" t="s">
        <v>12319</v>
      </c>
      <c r="G1840" t="s">
        <v>2478</v>
      </c>
      <c r="H1840">
        <v>115</v>
      </c>
      <c r="I1840" t="s">
        <v>2479</v>
      </c>
      <c r="J1840">
        <v>6</v>
      </c>
      <c r="K1840">
        <v>49</v>
      </c>
      <c r="L1840">
        <v>55</v>
      </c>
      <c r="Q1840">
        <v>0</v>
      </c>
      <c r="R1840">
        <v>0</v>
      </c>
      <c r="S1840">
        <v>55</v>
      </c>
      <c r="Y1840" t="s">
        <v>12320</v>
      </c>
      <c r="Z1840" t="s">
        <v>8862</v>
      </c>
      <c r="AA1840" t="s">
        <v>2949</v>
      </c>
      <c r="AB1840" t="s">
        <v>12321</v>
      </c>
      <c r="AC1840" t="s">
        <v>12322</v>
      </c>
      <c r="AD1840" s="249" t="str">
        <f>HYPERLINK("https://scontent.cdninstagram.com/t51.2885-15/s320x320/e35/c0.135.1080.1080/20905489_1837027179945815_8244108880502587392_n.jpg")</f>
        <v>https://scontent.cdninstagram.com/t51.2885-15/s320x320/e35/c0.135.1080.1080/20905489_1837027179945815_8244108880502587392_n.jpg</v>
      </c>
      <c r="AE1840" s="249" t="str">
        <f>HYPERLINK("https://scontent.cdninstagram.com/t51.2885-19/s150x150/20838926_273349086486215_8061590358313664512_a.jpg")</f>
        <v>https://scontent.cdninstagram.com/t51.2885-19/s150x150/20838926_273349086486215_8061590358313664512_a.jpg</v>
      </c>
    </row>
    <row r="1841" spans="1:31" ht="15" x14ac:dyDescent="0.25">
      <c r="A1841" t="s">
        <v>2474</v>
      </c>
      <c r="B1841" t="s">
        <v>12323</v>
      </c>
      <c r="C1841" s="221">
        <v>42967.947916666664</v>
      </c>
      <c r="D1841" t="s">
        <v>12324</v>
      </c>
      <c r="E1841" s="249" t="str">
        <f>HYPERLINK("https://www.instagram.com/p/BYCh99OnNB3/")</f>
        <v>https://www.instagram.com/p/BYCh99OnNB3/</v>
      </c>
      <c r="F1841" t="s">
        <v>12325</v>
      </c>
      <c r="G1841" t="s">
        <v>2478</v>
      </c>
      <c r="H1841">
        <v>427</v>
      </c>
      <c r="I1841" t="s">
        <v>2519</v>
      </c>
      <c r="J1841">
        <v>0</v>
      </c>
      <c r="K1841">
        <v>18</v>
      </c>
      <c r="L1841">
        <v>18</v>
      </c>
      <c r="Q1841">
        <v>0</v>
      </c>
      <c r="R1841">
        <v>0</v>
      </c>
      <c r="S1841">
        <v>18</v>
      </c>
      <c r="Y1841" t="s">
        <v>12326</v>
      </c>
      <c r="Z1841" t="s">
        <v>2497</v>
      </c>
      <c r="AA1841" t="s">
        <v>3174</v>
      </c>
      <c r="AB1841" t="s">
        <v>12327</v>
      </c>
      <c r="AC1841" t="s">
        <v>12328</v>
      </c>
      <c r="AD1841" s="249" t="str">
        <f>HYPERLINK("https://scontent.cdninstagram.com/t51.2885-15/s320x320/e35/c0.90.720.720/20905826_1942236719384584_3766195622873399296_n.jpg")</f>
        <v>https://scontent.cdninstagram.com/t51.2885-15/s320x320/e35/c0.90.720.720/20905826_1942236719384584_3766195622873399296_n.jpg</v>
      </c>
      <c r="AE1841" s="249" t="str">
        <f>HYPERLINK("https://scontent.cdninstagram.com/t51.2885-19/s150x150/15625114_2188195658072330_2124140187213627392_a.jpg")</f>
        <v>https://scontent.cdninstagram.com/t51.2885-19/s150x150/15625114_2188195658072330_2124140187213627392_a.jpg</v>
      </c>
    </row>
    <row r="1842" spans="1:31" ht="15" x14ac:dyDescent="0.25">
      <c r="A1842" t="s">
        <v>2474</v>
      </c>
      <c r="B1842" t="s">
        <v>5058</v>
      </c>
      <c r="C1842" s="221">
        <v>42967.951284722221</v>
      </c>
      <c r="D1842" t="s">
        <v>12329</v>
      </c>
      <c r="E1842" s="249" t="str">
        <f>HYPERLINK("https://www.instagram.com/p/BYCihcWllS6/")</f>
        <v>https://www.instagram.com/p/BYCihcWllS6/</v>
      </c>
      <c r="F1842" t="s">
        <v>12330</v>
      </c>
      <c r="G1842" t="s">
        <v>2631</v>
      </c>
      <c r="H1842">
        <v>224</v>
      </c>
      <c r="I1842" t="s">
        <v>2479</v>
      </c>
      <c r="J1842">
        <v>1</v>
      </c>
      <c r="K1842">
        <v>22</v>
      </c>
      <c r="L1842">
        <v>23</v>
      </c>
      <c r="Q1842">
        <v>0</v>
      </c>
      <c r="R1842">
        <v>0</v>
      </c>
      <c r="S1842">
        <v>23</v>
      </c>
      <c r="Y1842" t="s">
        <v>2497</v>
      </c>
      <c r="Z1842" t="s">
        <v>12331</v>
      </c>
      <c r="AA1842" t="s">
        <v>12332</v>
      </c>
      <c r="AB1842" t="s">
        <v>2641</v>
      </c>
      <c r="AC1842" t="s">
        <v>2730</v>
      </c>
      <c r="AD1842" s="249" t="str">
        <f>HYPERLINK("https://scontent.cdninstagram.com/t51.2885-15/s320x320/e15/20969405_459436927763321_687109387705122816_n.jpg")</f>
        <v>https://scontent.cdninstagram.com/t51.2885-15/s320x320/e15/20969405_459436927763321_687109387705122816_n.jpg</v>
      </c>
      <c r="AE1842" s="249" t="str">
        <f>HYPERLINK("https://scontent.cdninstagram.com/t51.2885-19/s150x150/20181000_1733874930238624_1911104509342384128_a.jpg")</f>
        <v>https://scontent.cdninstagram.com/t51.2885-19/s150x150/20181000_1733874930238624_1911104509342384128_a.jpg</v>
      </c>
    </row>
    <row r="1843" spans="1:31" ht="15" x14ac:dyDescent="0.25">
      <c r="A1843" t="s">
        <v>2474</v>
      </c>
      <c r="B1843" t="s">
        <v>5058</v>
      </c>
      <c r="C1843" s="221">
        <v>42967.953622685185</v>
      </c>
      <c r="D1843" t="s">
        <v>12333</v>
      </c>
      <c r="E1843" s="249" t="str">
        <f>HYPERLINK("https://www.instagram.com/p/BYCi6I_FcPO/")</f>
        <v>https://www.instagram.com/p/BYCi6I_FcPO/</v>
      </c>
      <c r="F1843" t="s">
        <v>12334</v>
      </c>
      <c r="G1843" t="s">
        <v>2478</v>
      </c>
      <c r="H1843">
        <v>224</v>
      </c>
      <c r="I1843" t="s">
        <v>2479</v>
      </c>
      <c r="J1843">
        <v>0</v>
      </c>
      <c r="K1843">
        <v>1</v>
      </c>
      <c r="L1843">
        <v>1</v>
      </c>
      <c r="Q1843">
        <v>0</v>
      </c>
      <c r="R1843">
        <v>0</v>
      </c>
      <c r="S1843">
        <v>1</v>
      </c>
      <c r="Y1843" t="s">
        <v>12335</v>
      </c>
      <c r="Z1843" t="s">
        <v>3815</v>
      </c>
      <c r="AA1843" t="s">
        <v>12336</v>
      </c>
      <c r="AB1843" t="s">
        <v>2497</v>
      </c>
      <c r="AC1843" t="s">
        <v>12332</v>
      </c>
      <c r="AD1843" s="249" t="str">
        <f>HYPERLINK("https://scontent.cdninstagram.com/t51.2885-15/s320x320/e35/c0.135.1080.1080/20987220_337492160031251_184775480258330624_n.jpg")</f>
        <v>https://scontent.cdninstagram.com/t51.2885-15/s320x320/e35/c0.135.1080.1080/20987220_337492160031251_184775480258330624_n.jpg</v>
      </c>
      <c r="AE1843" s="249" t="str">
        <f>HYPERLINK("https://scontent.cdninstagram.com/t51.2885-19/s150x150/20181000_1733874930238624_1911104509342384128_a.jpg")</f>
        <v>https://scontent.cdninstagram.com/t51.2885-19/s150x150/20181000_1733874930238624_1911104509342384128_a.jpg</v>
      </c>
    </row>
    <row r="1844" spans="1:31" ht="15" x14ac:dyDescent="0.25">
      <c r="A1844" t="s">
        <v>2474</v>
      </c>
      <c r="B1844" t="s">
        <v>3393</v>
      </c>
      <c r="C1844" s="221">
        <v>42967.955335648148</v>
      </c>
      <c r="D1844" t="s">
        <v>12337</v>
      </c>
      <c r="E1844" s="249" t="str">
        <f>HYPERLINK("https://www.instagram.com/p/BYCjMMIHN1y/")</f>
        <v>https://www.instagram.com/p/BYCjMMIHN1y/</v>
      </c>
      <c r="F1844" t="s">
        <v>12338</v>
      </c>
      <c r="G1844" t="s">
        <v>2478</v>
      </c>
      <c r="H1844">
        <v>16920</v>
      </c>
      <c r="I1844" t="s">
        <v>2479</v>
      </c>
      <c r="J1844">
        <v>15</v>
      </c>
      <c r="K1844">
        <v>712</v>
      </c>
      <c r="L1844">
        <v>727</v>
      </c>
      <c r="Q1844">
        <v>0</v>
      </c>
      <c r="R1844">
        <v>0</v>
      </c>
      <c r="S1844">
        <v>727</v>
      </c>
      <c r="AD1844" s="249" t="str">
        <f>HYPERLINK("https://scontent.cdninstagram.com/t51.2885-15/s320x320/e35/20969177_113761415994490_4921792488378728448_n.jpg")</f>
        <v>https://scontent.cdninstagram.com/t51.2885-15/s320x320/e35/20969177_113761415994490_4921792488378728448_n.jpg</v>
      </c>
      <c r="AE1844" s="249" t="str">
        <f>HYPERLINK("https://scontent.cdninstagram.com/t51.2885-19/s150x150/20969318_163506604224066_8451668608215416832_n.jpg")</f>
        <v>https://scontent.cdninstagram.com/t51.2885-19/s150x150/20969318_163506604224066_8451668608215416832_n.jpg</v>
      </c>
    </row>
    <row r="1845" spans="1:31" ht="15" x14ac:dyDescent="0.25">
      <c r="A1845" t="s">
        <v>2474</v>
      </c>
      <c r="B1845" t="s">
        <v>12339</v>
      </c>
      <c r="C1845" s="221">
        <v>42967.95753472222</v>
      </c>
      <c r="D1845" t="s">
        <v>12340</v>
      </c>
      <c r="E1845" s="249" t="str">
        <f>HYPERLINK("https://www.instagram.com/p/BYCjjamjgAU/")</f>
        <v>https://www.instagram.com/p/BYCjjamjgAU/</v>
      </c>
      <c r="F1845" t="s">
        <v>12341</v>
      </c>
      <c r="G1845" t="s">
        <v>2631</v>
      </c>
      <c r="H1845">
        <v>359</v>
      </c>
      <c r="I1845" t="s">
        <v>2479</v>
      </c>
      <c r="J1845">
        <v>8</v>
      </c>
      <c r="K1845">
        <v>94</v>
      </c>
      <c r="L1845">
        <v>102</v>
      </c>
      <c r="Q1845">
        <v>0</v>
      </c>
      <c r="R1845">
        <v>0</v>
      </c>
      <c r="S1845">
        <v>102</v>
      </c>
      <c r="T1845" t="s">
        <v>12342</v>
      </c>
      <c r="U1845" t="s">
        <v>104</v>
      </c>
      <c r="V1845" t="s">
        <v>2299</v>
      </c>
      <c r="W1845">
        <v>39.972817335659002</v>
      </c>
      <c r="X1845">
        <v>-75.196033657778003</v>
      </c>
      <c r="AD1845" s="249" t="str">
        <f>HYPERLINK("https://scontent.cdninstagram.com/t51.2885-15/s320x320/e15/20902365_142434949587896_2343413072426696704_n.jpg")</f>
        <v>https://scontent.cdninstagram.com/t51.2885-15/s320x320/e15/20902365_142434949587896_2343413072426696704_n.jpg</v>
      </c>
      <c r="AE1845" s="249" t="str">
        <f>HYPERLINK("https://scontent.cdninstagram.com/t51.2885-19/s150x150/20987225_414519018945194_8805392717325533184_a.jpg")</f>
        <v>https://scontent.cdninstagram.com/t51.2885-19/s150x150/20987225_414519018945194_8805392717325533184_a.jpg</v>
      </c>
    </row>
    <row r="1846" spans="1:31" ht="15" x14ac:dyDescent="0.25">
      <c r="A1846" t="s">
        <v>2474</v>
      </c>
      <c r="B1846" t="s">
        <v>6891</v>
      </c>
      <c r="C1846" s="221">
        <v>42967.965925925928</v>
      </c>
      <c r="D1846" t="s">
        <v>12343</v>
      </c>
      <c r="E1846" s="249" t="str">
        <f>HYPERLINK("https://www.instagram.com/p/BYCk773giGx/")</f>
        <v>https://www.instagram.com/p/BYCk773giGx/</v>
      </c>
      <c r="F1846" t="s">
        <v>12344</v>
      </c>
      <c r="G1846" t="s">
        <v>2478</v>
      </c>
      <c r="H1846">
        <v>231</v>
      </c>
      <c r="I1846" t="s">
        <v>2479</v>
      </c>
      <c r="J1846">
        <v>1</v>
      </c>
      <c r="K1846">
        <v>12</v>
      </c>
      <c r="L1846">
        <v>13</v>
      </c>
      <c r="Q1846">
        <v>0</v>
      </c>
      <c r="R1846">
        <v>0</v>
      </c>
      <c r="S1846">
        <v>13</v>
      </c>
      <c r="Y1846" t="s">
        <v>12345</v>
      </c>
      <c r="Z1846" t="s">
        <v>12346</v>
      </c>
      <c r="AA1846" t="s">
        <v>2497</v>
      </c>
      <c r="AB1846" t="s">
        <v>12347</v>
      </c>
      <c r="AC1846" t="s">
        <v>12348</v>
      </c>
      <c r="AD1846" s="249" t="str">
        <f>HYPERLINK("https://scontent.cdninstagram.com/t51.2885-15/s320x320/e35/20987355_792418767602251_3588151589023514624_n.jpg")</f>
        <v>https://scontent.cdninstagram.com/t51.2885-15/s320x320/e35/20987355_792418767602251_3588151589023514624_n.jpg</v>
      </c>
      <c r="AE1846" s="249" t="str">
        <f>HYPERLINK("https://scontent.cdninstagram.com/t51.2885-19/s150x150/17437944_599707170222214_2997782538614734848_a.jpg")</f>
        <v>https://scontent.cdninstagram.com/t51.2885-19/s150x150/17437944_599707170222214_2997782538614734848_a.jpg</v>
      </c>
    </row>
    <row r="1847" spans="1:31" ht="15" x14ac:dyDescent="0.25">
      <c r="A1847" t="s">
        <v>2474</v>
      </c>
      <c r="B1847" t="s">
        <v>4616</v>
      </c>
      <c r="C1847" s="221">
        <v>42967.970393518517</v>
      </c>
      <c r="D1847" t="s">
        <v>12349</v>
      </c>
      <c r="E1847" s="249" t="str">
        <f>HYPERLINK("https://www.instagram.com/p/BYClrCyhoH9/")</f>
        <v>https://www.instagram.com/p/BYClrCyhoH9/</v>
      </c>
      <c r="F1847" t="s">
        <v>12350</v>
      </c>
      <c r="G1847" t="s">
        <v>2478</v>
      </c>
      <c r="H1847">
        <v>117</v>
      </c>
      <c r="I1847" t="s">
        <v>2479</v>
      </c>
      <c r="J1847">
        <v>2</v>
      </c>
      <c r="K1847">
        <v>37</v>
      </c>
      <c r="L1847">
        <v>39</v>
      </c>
      <c r="Q1847">
        <v>0</v>
      </c>
      <c r="R1847">
        <v>0</v>
      </c>
      <c r="S1847">
        <v>39</v>
      </c>
      <c r="T1847" t="s">
        <v>7823</v>
      </c>
      <c r="V1847" t="s">
        <v>2125</v>
      </c>
      <c r="W1847">
        <v>45</v>
      </c>
      <c r="X1847">
        <v>-79.3</v>
      </c>
      <c r="Y1847" t="s">
        <v>5007</v>
      </c>
      <c r="Z1847" t="s">
        <v>4620</v>
      </c>
      <c r="AA1847" t="s">
        <v>9549</v>
      </c>
      <c r="AB1847" t="s">
        <v>6294</v>
      </c>
      <c r="AC1847" t="s">
        <v>4623</v>
      </c>
      <c r="AD1847" s="249" t="str">
        <f>HYPERLINK("https://scontent.cdninstagram.com/t51.2885-15/s320x320/e35/c135.0.810.810/20905038_501964783489222_6599398334715133952_n.jpg")</f>
        <v>https://scontent.cdninstagram.com/t51.2885-15/s320x320/e35/c135.0.810.810/20905038_501964783489222_6599398334715133952_n.jpg</v>
      </c>
      <c r="AE1847" s="249" t="str">
        <f>HYPERLINK("https://scontent.cdninstagram.com/t51.2885-19/s150x150/17494353_1347957098574282_2527511313651859456_a.jpg")</f>
        <v>https://scontent.cdninstagram.com/t51.2885-19/s150x150/17494353_1347957098574282_2527511313651859456_a.jpg</v>
      </c>
    </row>
    <row r="1848" spans="1:31" ht="15" x14ac:dyDescent="0.25">
      <c r="A1848" t="s">
        <v>2474</v>
      </c>
      <c r="B1848" t="s">
        <v>4535</v>
      </c>
      <c r="C1848" s="221">
        <v>42967.984490740739</v>
      </c>
      <c r="D1848" t="s">
        <v>12351</v>
      </c>
      <c r="E1848" s="249" t="str">
        <f>HYPERLINK("https://www.instagram.com/p/BYCn_uDlur2/")</f>
        <v>https://www.instagram.com/p/BYCn_uDlur2/</v>
      </c>
      <c r="F1848" t="s">
        <v>12352</v>
      </c>
      <c r="G1848" t="s">
        <v>2478</v>
      </c>
      <c r="H1848">
        <v>163</v>
      </c>
      <c r="I1848" t="s">
        <v>2479</v>
      </c>
      <c r="J1848">
        <v>0</v>
      </c>
      <c r="K1848">
        <v>28</v>
      </c>
      <c r="L1848">
        <v>28</v>
      </c>
      <c r="Q1848">
        <v>0</v>
      </c>
      <c r="R1848">
        <v>0</v>
      </c>
      <c r="S1848">
        <v>28</v>
      </c>
      <c r="Y1848" t="s">
        <v>5607</v>
      </c>
      <c r="Z1848" t="s">
        <v>4540</v>
      </c>
      <c r="AA1848" t="s">
        <v>5606</v>
      </c>
      <c r="AB1848" t="s">
        <v>12353</v>
      </c>
      <c r="AC1848" t="s">
        <v>2497</v>
      </c>
      <c r="AD1848" s="249" t="str">
        <f>HYPERLINK("https://scontent.cdninstagram.com/t51.2885-15/s320x320/e35/20968925_112414482778498_1758411966633738240_n.jpg")</f>
        <v>https://scontent.cdninstagram.com/t51.2885-15/s320x320/e35/20968925_112414482778498_1758411966633738240_n.jpg</v>
      </c>
      <c r="AE1848" s="249" t="str">
        <f>HYPERLINK("https://scontent.cdninstagram.com/t51.2885-19/s150x150/20399028_1624608414236560_533007696291430400_a.jpg")</f>
        <v>https://scontent.cdninstagram.com/t51.2885-19/s150x150/20399028_1624608414236560_533007696291430400_a.jpg</v>
      </c>
    </row>
    <row r="1849" spans="1:31" ht="15" x14ac:dyDescent="0.25">
      <c r="A1849" t="s">
        <v>2474</v>
      </c>
      <c r="B1849" t="s">
        <v>4535</v>
      </c>
      <c r="C1849" s="221">
        <v>42967.98505787037</v>
      </c>
      <c r="D1849" t="s">
        <v>12354</v>
      </c>
      <c r="E1849" s="249" t="str">
        <f>HYPERLINK("https://www.instagram.com/p/BYCoFsklJmg/")</f>
        <v>https://www.instagram.com/p/BYCoFsklJmg/</v>
      </c>
      <c r="F1849" t="s">
        <v>12355</v>
      </c>
      <c r="G1849" t="s">
        <v>2478</v>
      </c>
      <c r="H1849">
        <v>163</v>
      </c>
      <c r="I1849" t="s">
        <v>2479</v>
      </c>
      <c r="J1849">
        <v>0</v>
      </c>
      <c r="K1849">
        <v>9</v>
      </c>
      <c r="L1849">
        <v>9</v>
      </c>
      <c r="Q1849">
        <v>0</v>
      </c>
      <c r="R1849">
        <v>0</v>
      </c>
      <c r="S1849">
        <v>9</v>
      </c>
      <c r="Y1849" t="s">
        <v>5604</v>
      </c>
      <c r="Z1849" t="s">
        <v>10673</v>
      </c>
      <c r="AA1849" t="s">
        <v>2497</v>
      </c>
      <c r="AB1849" t="s">
        <v>4541</v>
      </c>
      <c r="AC1849" t="s">
        <v>5608</v>
      </c>
      <c r="AD1849" s="249" t="str">
        <f>HYPERLINK("https://scontent.cdninstagram.com/t51.2885-15/s320x320/e35/20986610_1228308213982132_1100173662624940032_n.jpg")</f>
        <v>https://scontent.cdninstagram.com/t51.2885-15/s320x320/e35/20986610_1228308213982132_1100173662624940032_n.jpg</v>
      </c>
      <c r="AE1849" s="249" t="str">
        <f>HYPERLINK("https://scontent.cdninstagram.com/t51.2885-19/s150x150/20399028_1624608414236560_533007696291430400_a.jpg")</f>
        <v>https://scontent.cdninstagram.com/t51.2885-19/s150x150/20399028_1624608414236560_533007696291430400_a.jpg</v>
      </c>
    </row>
    <row r="1850" spans="1:31" ht="15" x14ac:dyDescent="0.25">
      <c r="A1850" t="s">
        <v>2474</v>
      </c>
      <c r="B1850" t="s">
        <v>4535</v>
      </c>
      <c r="C1850" s="221">
        <v>42967.986666666664</v>
      </c>
      <c r="D1850" t="s">
        <v>12356</v>
      </c>
      <c r="E1850" s="249" t="str">
        <f>HYPERLINK("https://www.instagram.com/p/BYCoWktFPE6/")</f>
        <v>https://www.instagram.com/p/BYCoWktFPE6/</v>
      </c>
      <c r="F1850" t="s">
        <v>12357</v>
      </c>
      <c r="G1850" t="s">
        <v>2478</v>
      </c>
      <c r="H1850">
        <v>163</v>
      </c>
      <c r="I1850" t="s">
        <v>2479</v>
      </c>
      <c r="J1850">
        <v>0</v>
      </c>
      <c r="K1850">
        <v>3</v>
      </c>
      <c r="L1850">
        <v>3</v>
      </c>
      <c r="Q1850">
        <v>0</v>
      </c>
      <c r="R1850">
        <v>0</v>
      </c>
      <c r="S1850">
        <v>3</v>
      </c>
      <c r="Y1850" t="s">
        <v>4539</v>
      </c>
      <c r="Z1850" t="s">
        <v>12358</v>
      </c>
      <c r="AA1850" t="s">
        <v>2497</v>
      </c>
      <c r="AB1850" t="s">
        <v>3174</v>
      </c>
      <c r="AC1850" t="s">
        <v>4542</v>
      </c>
      <c r="AD1850" s="249" t="str">
        <f>HYPERLINK("https://scontent.cdninstagram.com/t51.2885-15/s320x320/e35/c148.0.343.343/20905451_469870286739241_8088401515565285376_n.jpg")</f>
        <v>https://scontent.cdninstagram.com/t51.2885-15/s320x320/e35/c148.0.343.343/20905451_469870286739241_8088401515565285376_n.jpg</v>
      </c>
      <c r="AE1850" s="249" t="str">
        <f>HYPERLINK("https://scontent.cdninstagram.com/t51.2885-19/s150x150/20399028_1624608414236560_533007696291430400_a.jpg")</f>
        <v>https://scontent.cdninstagram.com/t51.2885-19/s150x150/20399028_1624608414236560_533007696291430400_a.jpg</v>
      </c>
    </row>
    <row r="1851" spans="1:31" ht="15" x14ac:dyDescent="0.25">
      <c r="A1851" t="s">
        <v>2474</v>
      </c>
      <c r="B1851" t="s">
        <v>12359</v>
      </c>
      <c r="C1851" s="221">
        <v>42967.994953703703</v>
      </c>
      <c r="D1851" t="s">
        <v>12360</v>
      </c>
      <c r="E1851" s="249" t="str">
        <f>HYPERLINK("https://www.instagram.com/p/BYCpt_oBVdR/")</f>
        <v>https://www.instagram.com/p/BYCpt_oBVdR/</v>
      </c>
      <c r="F1851" t="s">
        <v>12361</v>
      </c>
      <c r="G1851" t="s">
        <v>2478</v>
      </c>
      <c r="H1851">
        <v>1132</v>
      </c>
      <c r="I1851" t="s">
        <v>3170</v>
      </c>
      <c r="J1851">
        <v>11</v>
      </c>
      <c r="K1851">
        <v>89</v>
      </c>
      <c r="L1851">
        <v>100</v>
      </c>
      <c r="Q1851">
        <v>0</v>
      </c>
      <c r="R1851">
        <v>0</v>
      </c>
      <c r="S1851">
        <v>100</v>
      </c>
      <c r="Y1851" t="s">
        <v>12362</v>
      </c>
      <c r="Z1851" t="s">
        <v>2497</v>
      </c>
      <c r="AA1851" t="s">
        <v>12363</v>
      </c>
      <c r="AB1851" t="s">
        <v>12364</v>
      </c>
      <c r="AC1851" t="s">
        <v>12365</v>
      </c>
      <c r="AD1851" s="249" t="str">
        <f>HYPERLINK("https://scontent.cdninstagram.com/t51.2885-15/s320x320/e35/20905731_1987466761497299_3683464502528966656_n.jpg")</f>
        <v>https://scontent.cdninstagram.com/t51.2885-15/s320x320/e35/20905731_1987466761497299_3683464502528966656_n.jpg</v>
      </c>
      <c r="AE1851" s="249" t="str">
        <f>HYPERLINK("https://scontent.cdninstagram.com/t51.2885-19/s150x150/20969145_1369362476516807_1373046567166017536_a.jpg")</f>
        <v>https://scontent.cdninstagram.com/t51.2885-19/s150x150/20969145_1369362476516807_1373046567166017536_a.jpg</v>
      </c>
    </row>
    <row r="1852" spans="1:31" ht="15" x14ac:dyDescent="0.25">
      <c r="A1852" t="s">
        <v>2474</v>
      </c>
      <c r="B1852" t="s">
        <v>4543</v>
      </c>
      <c r="C1852" s="221">
        <v>42967.999976851854</v>
      </c>
      <c r="D1852" t="s">
        <v>12366</v>
      </c>
      <c r="E1852" s="249" t="str">
        <f>HYPERLINK("https://www.instagram.com/p/BYCqjAqANVk/")</f>
        <v>https://www.instagram.com/p/BYCqjAqANVk/</v>
      </c>
      <c r="F1852" t="s">
        <v>12367</v>
      </c>
      <c r="G1852" t="s">
        <v>2478</v>
      </c>
      <c r="H1852">
        <v>49454</v>
      </c>
      <c r="I1852" t="s">
        <v>2479</v>
      </c>
      <c r="J1852">
        <v>24</v>
      </c>
      <c r="K1852">
        <v>1507</v>
      </c>
      <c r="L1852">
        <v>1531</v>
      </c>
      <c r="Q1852">
        <v>0</v>
      </c>
      <c r="R1852">
        <v>0</v>
      </c>
      <c r="S1852">
        <v>1531</v>
      </c>
      <c r="Y1852" t="s">
        <v>6277</v>
      </c>
      <c r="Z1852" t="s">
        <v>12368</v>
      </c>
      <c r="AA1852" t="s">
        <v>12369</v>
      </c>
      <c r="AB1852" t="s">
        <v>12370</v>
      </c>
      <c r="AC1852" t="s">
        <v>6829</v>
      </c>
      <c r="AD1852" s="249" t="str">
        <f>HYPERLINK("https://scontent.cdninstagram.com/t51.2885-15/s320x320/e35/c0.67.640.640/20968876_112628989440643_2811741507587932160_n.jpg")</f>
        <v>https://scontent.cdninstagram.com/t51.2885-15/s320x320/e35/c0.67.640.640/20968876_112628989440643_2811741507587932160_n.jpg</v>
      </c>
      <c r="AE1852" s="249" t="str">
        <f>HYPERLINK("https://scontent.cdninstagram.com/t51.2885-19/s150x150/19761795_1388053727930717_4754212395021238272_n.jpg")</f>
        <v>https://scontent.cdninstagram.com/t51.2885-19/s150x150/19761795_1388053727930717_4754212395021238272_n.jpg</v>
      </c>
    </row>
    <row r="1853" spans="1:31" ht="15" x14ac:dyDescent="0.25">
      <c r="A1853" t="s">
        <v>2474</v>
      </c>
      <c r="B1853" t="s">
        <v>12371</v>
      </c>
      <c r="C1853" s="221">
        <v>42968.0075462963</v>
      </c>
      <c r="D1853" t="s">
        <v>12372</v>
      </c>
      <c r="E1853" s="249" t="str">
        <f>HYPERLINK("https://www.instagram.com/p/BYCryy-HMQj/")</f>
        <v>https://www.instagram.com/p/BYCryy-HMQj/</v>
      </c>
      <c r="F1853" t="s">
        <v>12373</v>
      </c>
      <c r="G1853" t="s">
        <v>2478</v>
      </c>
      <c r="H1853">
        <v>699</v>
      </c>
      <c r="I1853" t="s">
        <v>2542</v>
      </c>
      <c r="J1853">
        <v>17</v>
      </c>
      <c r="K1853">
        <v>146</v>
      </c>
      <c r="L1853">
        <v>163</v>
      </c>
      <c r="Q1853">
        <v>0</v>
      </c>
      <c r="R1853">
        <v>0</v>
      </c>
      <c r="S1853">
        <v>163</v>
      </c>
      <c r="Y1853" t="s">
        <v>12374</v>
      </c>
      <c r="Z1853" t="s">
        <v>4590</v>
      </c>
      <c r="AA1853" t="s">
        <v>12375</v>
      </c>
      <c r="AB1853" t="s">
        <v>12376</v>
      </c>
      <c r="AC1853" t="s">
        <v>4154</v>
      </c>
      <c r="AD1853" s="249" t="str">
        <f>HYPERLINK("https://scontent.cdninstagram.com/t51.2885-15/s320x320/e35/21040902_1129639993802401_4655840232145420288_n.jpg")</f>
        <v>https://scontent.cdninstagram.com/t51.2885-15/s320x320/e35/21040902_1129639993802401_4655840232145420288_n.jpg</v>
      </c>
      <c r="AE1853" s="249" t="str">
        <f>HYPERLINK("https://scontent.cdninstagram.com/t51.2885-19/s150x150/20987455_1902610586669132_4585837779958628352_a.jpg")</f>
        <v>https://scontent.cdninstagram.com/t51.2885-19/s150x150/20987455_1902610586669132_4585837779958628352_a.jpg</v>
      </c>
    </row>
    <row r="1854" spans="1:31" ht="15" x14ac:dyDescent="0.25">
      <c r="A1854" t="s">
        <v>2474</v>
      </c>
      <c r="B1854" t="s">
        <v>12377</v>
      </c>
      <c r="C1854" s="221">
        <v>42968.008912037039</v>
      </c>
      <c r="D1854" t="s">
        <v>12378</v>
      </c>
      <c r="E1854" s="249" t="str">
        <f>HYPERLINK("https://www.instagram.com/p/BYCsBR9Bb6X/")</f>
        <v>https://www.instagram.com/p/BYCsBR9Bb6X/</v>
      </c>
      <c r="F1854" t="s">
        <v>12379</v>
      </c>
      <c r="G1854" t="s">
        <v>2478</v>
      </c>
      <c r="H1854">
        <v>122</v>
      </c>
      <c r="I1854" t="s">
        <v>2479</v>
      </c>
      <c r="J1854">
        <v>3</v>
      </c>
      <c r="K1854">
        <v>23</v>
      </c>
      <c r="L1854">
        <v>26</v>
      </c>
      <c r="Q1854">
        <v>0</v>
      </c>
      <c r="R1854">
        <v>0</v>
      </c>
      <c r="S1854">
        <v>26</v>
      </c>
      <c r="Y1854" t="s">
        <v>12380</v>
      </c>
      <c r="Z1854" t="s">
        <v>4620</v>
      </c>
      <c r="AA1854" t="s">
        <v>3849</v>
      </c>
      <c r="AB1854" t="s">
        <v>7393</v>
      </c>
      <c r="AC1854" t="s">
        <v>11331</v>
      </c>
      <c r="AD1854" s="249" t="str">
        <f>HYPERLINK("https://scontent.cdninstagram.com/t51.2885-15/s320x320/e35/c0.112.900.900/20838688_1467840859971233_991460378141523968_n.jpg")</f>
        <v>https://scontent.cdninstagram.com/t51.2885-15/s320x320/e35/c0.112.900.900/20838688_1467840859971233_991460378141523968_n.jpg</v>
      </c>
      <c r="AE1854" s="249" t="str">
        <f>HYPERLINK("https://scontent.cdninstagram.com/t51.2885-19/s150x150/20688668_1827419180902243_1296575670893150208_a.jpg")</f>
        <v>https://scontent.cdninstagram.com/t51.2885-19/s150x150/20688668_1827419180902243_1296575670893150208_a.jpg</v>
      </c>
    </row>
    <row r="1855" spans="1:31" ht="15" x14ac:dyDescent="0.25">
      <c r="A1855" t="s">
        <v>2474</v>
      </c>
      <c r="B1855" t="s">
        <v>4535</v>
      </c>
      <c r="C1855" s="221">
        <v>42968.012256944443</v>
      </c>
      <c r="D1855" t="s">
        <v>12381</v>
      </c>
      <c r="E1855" s="249" t="str">
        <f>HYPERLINK("https://www.instagram.com/p/BYCskfrF20v/")</f>
        <v>https://www.instagram.com/p/BYCskfrF20v/</v>
      </c>
      <c r="F1855" t="s">
        <v>12382</v>
      </c>
      <c r="G1855" t="s">
        <v>2478</v>
      </c>
      <c r="H1855">
        <v>163</v>
      </c>
      <c r="I1855" t="s">
        <v>2479</v>
      </c>
      <c r="J1855">
        <v>0</v>
      </c>
      <c r="K1855">
        <v>14</v>
      </c>
      <c r="L1855">
        <v>14</v>
      </c>
      <c r="Q1855">
        <v>0</v>
      </c>
      <c r="R1855">
        <v>0</v>
      </c>
      <c r="S1855">
        <v>14</v>
      </c>
      <c r="Y1855" t="s">
        <v>12358</v>
      </c>
      <c r="Z1855" t="s">
        <v>4538</v>
      </c>
      <c r="AA1855" t="s">
        <v>4539</v>
      </c>
      <c r="AB1855" t="s">
        <v>10673</v>
      </c>
      <c r="AC1855" t="s">
        <v>5606</v>
      </c>
      <c r="AD1855" s="249" t="str">
        <f>HYPERLINK("https://scontent.cdninstagram.com/t51.2885-15/s320x320/e35/c0.13.665.665/20902621_1973537489595440_4321427721927262208_n.jpg")</f>
        <v>https://scontent.cdninstagram.com/t51.2885-15/s320x320/e35/c0.13.665.665/20902621_1973537489595440_4321427721927262208_n.jpg</v>
      </c>
      <c r="AE1855" s="249" t="str">
        <f>HYPERLINK("https://scontent.cdninstagram.com/t51.2885-19/s150x150/20399028_1624608414236560_533007696291430400_a.jpg")</f>
        <v>https://scontent.cdninstagram.com/t51.2885-19/s150x150/20399028_1624608414236560_533007696291430400_a.jpg</v>
      </c>
    </row>
    <row r="1856" spans="1:31" ht="15" x14ac:dyDescent="0.25">
      <c r="A1856" t="s">
        <v>2474</v>
      </c>
      <c r="B1856" t="s">
        <v>12383</v>
      </c>
      <c r="C1856" s="221">
        <v>42968.020949074074</v>
      </c>
      <c r="D1856" t="s">
        <v>12384</v>
      </c>
      <c r="E1856" s="249" t="str">
        <f>HYPERLINK("https://www.instagram.com/p/BYCuAJuAQvW/")</f>
        <v>https://www.instagram.com/p/BYCuAJuAQvW/</v>
      </c>
      <c r="F1856" t="s">
        <v>12385</v>
      </c>
      <c r="G1856" t="s">
        <v>2488</v>
      </c>
      <c r="H1856">
        <v>220</v>
      </c>
      <c r="I1856" t="s">
        <v>2479</v>
      </c>
      <c r="J1856">
        <v>5</v>
      </c>
      <c r="K1856">
        <v>65</v>
      </c>
      <c r="L1856">
        <v>70</v>
      </c>
      <c r="Q1856">
        <v>0</v>
      </c>
      <c r="R1856">
        <v>0</v>
      </c>
      <c r="S1856">
        <v>70</v>
      </c>
      <c r="T1856" t="s">
        <v>12386</v>
      </c>
      <c r="V1856" t="s">
        <v>2178</v>
      </c>
      <c r="W1856">
        <v>35.696100000000001</v>
      </c>
      <c r="X1856">
        <v>51.423099999999998</v>
      </c>
      <c r="Y1856" t="s">
        <v>12387</v>
      </c>
      <c r="Z1856" t="s">
        <v>12388</v>
      </c>
      <c r="AA1856" t="s">
        <v>12389</v>
      </c>
      <c r="AB1856" t="s">
        <v>12390</v>
      </c>
      <c r="AC1856" t="s">
        <v>12128</v>
      </c>
      <c r="AD1856" s="249" t="str">
        <f>HYPERLINK("https://scontent.cdninstagram.com/t51.2885-15/s320x320/e35/20987292_229858260875123_4025454619252490240_n.jpg")</f>
        <v>https://scontent.cdninstagram.com/t51.2885-15/s320x320/e35/20987292_229858260875123_4025454619252490240_n.jpg</v>
      </c>
      <c r="AE1856" s="249" t="str">
        <f>HYPERLINK("https://scontent.cdninstagram.com/t51.2885-19/s150x150/20902710_1941017439475690_7355828945549262848_a.jpg")</f>
        <v>https://scontent.cdninstagram.com/t51.2885-19/s150x150/20902710_1941017439475690_7355828945549262848_a.jpg</v>
      </c>
    </row>
    <row r="1857" spans="1:31" ht="15" x14ac:dyDescent="0.25">
      <c r="A1857" t="s">
        <v>2474</v>
      </c>
      <c r="B1857" t="s">
        <v>12391</v>
      </c>
      <c r="C1857" s="221">
        <v>42968.024837962963</v>
      </c>
      <c r="D1857" t="s">
        <v>12392</v>
      </c>
      <c r="E1857" s="249" t="str">
        <f>HYPERLINK("https://www.instagram.com/p/BYCupNFho92/")</f>
        <v>https://www.instagram.com/p/BYCupNFho92/</v>
      </c>
      <c r="F1857" t="s">
        <v>12393</v>
      </c>
      <c r="G1857" t="s">
        <v>2478</v>
      </c>
      <c r="H1857">
        <v>278</v>
      </c>
      <c r="I1857" t="s">
        <v>2519</v>
      </c>
      <c r="J1857">
        <v>1</v>
      </c>
      <c r="K1857">
        <v>44</v>
      </c>
      <c r="L1857">
        <v>45</v>
      </c>
      <c r="Q1857">
        <v>0</v>
      </c>
      <c r="R1857">
        <v>0</v>
      </c>
      <c r="S1857">
        <v>45</v>
      </c>
      <c r="T1857" t="s">
        <v>12394</v>
      </c>
      <c r="V1857" t="s">
        <v>2103</v>
      </c>
      <c r="W1857">
        <v>48.208300000000001</v>
      </c>
      <c r="X1857">
        <v>16.373100000000001</v>
      </c>
      <c r="Y1857" t="s">
        <v>2497</v>
      </c>
      <c r="Z1857" t="s">
        <v>5836</v>
      </c>
      <c r="AA1857" t="s">
        <v>2492</v>
      </c>
      <c r="AB1857" t="s">
        <v>12395</v>
      </c>
      <c r="AC1857" t="s">
        <v>12396</v>
      </c>
      <c r="AD1857" s="249" t="str">
        <f>HYPERLINK("https://scontent.cdninstagram.com/t51.2885-15/s320x320/e35/c0.114.917.917/20969120_259603717881369_7362387712797573120_n.jpg")</f>
        <v>https://scontent.cdninstagram.com/t51.2885-15/s320x320/e35/c0.114.917.917/20969120_259603717881369_7362387712797573120_n.jpg</v>
      </c>
      <c r="AE1857" s="249" t="str">
        <f>HYPERLINK("https://scontent.cdninstagram.com/t51.2885-19/s150x150/20905819_1488771167846212_298243229113909248_a.jpg")</f>
        <v>https://scontent.cdninstagram.com/t51.2885-19/s150x150/20905819_1488771167846212_298243229113909248_a.jpg</v>
      </c>
    </row>
    <row r="1858" spans="1:31" ht="15" x14ac:dyDescent="0.25">
      <c r="A1858" t="s">
        <v>2474</v>
      </c>
      <c r="B1858" t="s">
        <v>2494</v>
      </c>
      <c r="C1858" s="221">
        <v>42968.029780092591</v>
      </c>
      <c r="D1858" t="s">
        <v>12397</v>
      </c>
      <c r="E1858" s="249" t="str">
        <f>HYPERLINK("https://www.instagram.com/p/BYCvdXGA0fV/")</f>
        <v>https://www.instagram.com/p/BYCvdXGA0fV/</v>
      </c>
      <c r="F1858" t="s">
        <v>12398</v>
      </c>
      <c r="G1858" t="s">
        <v>2478</v>
      </c>
      <c r="H1858">
        <v>311</v>
      </c>
      <c r="I1858" t="s">
        <v>2927</v>
      </c>
      <c r="J1858">
        <v>0</v>
      </c>
      <c r="K1858">
        <v>8</v>
      </c>
      <c r="L1858">
        <v>8</v>
      </c>
      <c r="Q1858">
        <v>0</v>
      </c>
      <c r="R1858">
        <v>0</v>
      </c>
      <c r="S1858">
        <v>8</v>
      </c>
      <c r="T1858" t="s">
        <v>12399</v>
      </c>
      <c r="U1858" t="s">
        <v>234</v>
      </c>
      <c r="V1858" t="s">
        <v>2299</v>
      </c>
      <c r="W1858">
        <v>34.208942988117997</v>
      </c>
      <c r="X1858">
        <v>-119.19410571456</v>
      </c>
      <c r="Y1858" t="s">
        <v>3157</v>
      </c>
      <c r="Z1858" t="s">
        <v>2497</v>
      </c>
      <c r="AA1858" t="s">
        <v>12400</v>
      </c>
      <c r="AB1858" t="s">
        <v>12401</v>
      </c>
      <c r="AD1858" s="249" t="str">
        <f>HYPERLINK("https://scontent.cdninstagram.com/t51.2885-15/s320x320/e35/21041240_1741652429469031_3050924005759385600_n.jpg")</f>
        <v>https://scontent.cdninstagram.com/t51.2885-15/s320x320/e35/21041240_1741652429469031_3050924005759385600_n.jpg</v>
      </c>
      <c r="AE1858" s="249" t="str">
        <f>HYPERLINK("https://scontent.cdninstagram.com/t51.2885-19/s150x150/17493899_202477543570997_3284885219563274240_a.jpg")</f>
        <v>https://scontent.cdninstagram.com/t51.2885-19/s150x150/17493899_202477543570997_3284885219563274240_a.jpg</v>
      </c>
    </row>
    <row r="1859" spans="1:31" ht="15" x14ac:dyDescent="0.25">
      <c r="A1859" t="s">
        <v>2474</v>
      </c>
      <c r="B1859" t="s">
        <v>11401</v>
      </c>
      <c r="C1859" s="221">
        <v>42968.030914351853</v>
      </c>
      <c r="D1859" t="s">
        <v>12402</v>
      </c>
      <c r="E1859" s="249" t="str">
        <f>HYPERLINK("https://www.instagram.com/p/BYCvpWOBh9I/")</f>
        <v>https://www.instagram.com/p/BYCvpWOBh9I/</v>
      </c>
      <c r="F1859" t="s">
        <v>12403</v>
      </c>
      <c r="G1859" t="s">
        <v>2478</v>
      </c>
      <c r="H1859">
        <v>2212</v>
      </c>
      <c r="I1859" t="s">
        <v>2479</v>
      </c>
      <c r="J1859">
        <v>2</v>
      </c>
      <c r="K1859">
        <v>115</v>
      </c>
      <c r="L1859">
        <v>117</v>
      </c>
      <c r="Q1859">
        <v>0</v>
      </c>
      <c r="R1859">
        <v>0</v>
      </c>
      <c r="S1859">
        <v>117</v>
      </c>
      <c r="T1859" t="s">
        <v>12404</v>
      </c>
      <c r="V1859" t="s">
        <v>2237</v>
      </c>
      <c r="W1859">
        <v>-13.5183155</v>
      </c>
      <c r="X1859">
        <v>-71.975179699999998</v>
      </c>
      <c r="Y1859" t="s">
        <v>12405</v>
      </c>
      <c r="Z1859" t="s">
        <v>5765</v>
      </c>
      <c r="AA1859" t="s">
        <v>12406</v>
      </c>
      <c r="AB1859" t="s">
        <v>4514</v>
      </c>
      <c r="AC1859" t="s">
        <v>12407</v>
      </c>
      <c r="AD1859" s="249" t="str">
        <f>HYPERLINK("https://scontent.cdninstagram.com/t51.2885-15/s320x320/e35/c180.0.719.719/21040914_2011091919110262_4665575196428599296_n.jpg")</f>
        <v>https://scontent.cdninstagram.com/t51.2885-15/s320x320/e35/c180.0.719.719/21040914_2011091919110262_4665575196428599296_n.jpg</v>
      </c>
      <c r="AE1859" s="249" t="str">
        <f>HYPERLINK("https://scontent.cdninstagram.com/t51.2885-19/s150x150/20065467_904360569738218_202189304900878336_a.jpg")</f>
        <v>https://scontent.cdninstagram.com/t51.2885-19/s150x150/20065467_904360569738218_202189304900878336_a.jpg</v>
      </c>
    </row>
    <row r="1860" spans="1:31" ht="15" x14ac:dyDescent="0.25">
      <c r="A1860" t="s">
        <v>2474</v>
      </c>
      <c r="B1860" t="s">
        <v>7152</v>
      </c>
      <c r="C1860" s="221">
        <v>42968.035578703704</v>
      </c>
      <c r="D1860" t="s">
        <v>12408</v>
      </c>
      <c r="E1860" s="249" t="str">
        <f>HYPERLINK("https://www.instagram.com/p/BYCwahTDGvb/")</f>
        <v>https://www.instagram.com/p/BYCwahTDGvb/</v>
      </c>
      <c r="F1860" t="s">
        <v>12409</v>
      </c>
      <c r="G1860" t="s">
        <v>2478</v>
      </c>
      <c r="H1860">
        <v>112</v>
      </c>
      <c r="I1860" t="s">
        <v>2542</v>
      </c>
      <c r="J1860">
        <v>2</v>
      </c>
      <c r="K1860">
        <v>31</v>
      </c>
      <c r="L1860">
        <v>33</v>
      </c>
      <c r="Q1860">
        <v>0</v>
      </c>
      <c r="R1860">
        <v>0</v>
      </c>
      <c r="S1860">
        <v>33</v>
      </c>
      <c r="Y1860" t="s">
        <v>8264</v>
      </c>
      <c r="Z1860" t="s">
        <v>2660</v>
      </c>
      <c r="AA1860" t="s">
        <v>7155</v>
      </c>
      <c r="AB1860" t="s">
        <v>2833</v>
      </c>
      <c r="AC1860" t="s">
        <v>7901</v>
      </c>
      <c r="AD1860" s="249" t="str">
        <f>HYPERLINK("https://scontent.cdninstagram.com/t51.2885-15/s320x320/e35/20905824_1459326260816444_5357538915085451264_n.jpg")</f>
        <v>https://scontent.cdninstagram.com/t51.2885-15/s320x320/e35/20905824_1459326260816444_5357538915085451264_n.jpg</v>
      </c>
      <c r="AE1860" s="249" t="str">
        <f>HYPERLINK("https://scontent.cdninstagram.com/t51.2885-19/s150x150/20181062_1791856511105718_4709893984703479808_a.jpg")</f>
        <v>https://scontent.cdninstagram.com/t51.2885-19/s150x150/20181062_1791856511105718_4709893984703479808_a.jpg</v>
      </c>
    </row>
    <row r="1861" spans="1:31" ht="15" x14ac:dyDescent="0.25">
      <c r="A1861" t="s">
        <v>2474</v>
      </c>
      <c r="B1861" t="s">
        <v>5773</v>
      </c>
      <c r="C1861" s="221">
        <v>42968.056226851855</v>
      </c>
      <c r="D1861" t="s">
        <v>12410</v>
      </c>
      <c r="E1861" s="249" t="str">
        <f>HYPERLINK("https://www.instagram.com/p/BYCz0UPliWM/")</f>
        <v>https://www.instagram.com/p/BYCz0UPliWM/</v>
      </c>
      <c r="F1861" t="s">
        <v>12411</v>
      </c>
      <c r="G1861" t="s">
        <v>2631</v>
      </c>
      <c r="H1861">
        <v>840</v>
      </c>
      <c r="I1861" t="s">
        <v>2479</v>
      </c>
      <c r="J1861">
        <v>3</v>
      </c>
      <c r="K1861">
        <v>45</v>
      </c>
      <c r="L1861">
        <v>48</v>
      </c>
      <c r="Q1861">
        <v>0</v>
      </c>
      <c r="R1861">
        <v>0</v>
      </c>
      <c r="S1861">
        <v>48</v>
      </c>
      <c r="T1861" t="s">
        <v>5923</v>
      </c>
      <c r="V1861" t="s">
        <v>2270</v>
      </c>
      <c r="W1861">
        <v>57.706573499999998</v>
      </c>
      <c r="X1861">
        <v>11.969223299999999</v>
      </c>
      <c r="Y1861" t="s">
        <v>12412</v>
      </c>
      <c r="Z1861" t="s">
        <v>12413</v>
      </c>
      <c r="AA1861" t="s">
        <v>6315</v>
      </c>
      <c r="AB1861" t="s">
        <v>4519</v>
      </c>
      <c r="AC1861" t="s">
        <v>12414</v>
      </c>
      <c r="AD1861" s="249" t="str">
        <f>HYPERLINK("https://scontent.cdninstagram.com/t51.2885-15/s320x320/e35/20905377_113041949401012_6148543501551271936_n.jpg")</f>
        <v>https://scontent.cdninstagram.com/t51.2885-15/s320x320/e35/20905377_113041949401012_6148543501551271936_n.jpg</v>
      </c>
      <c r="AE1861" s="249" t="str">
        <f>HYPERLINK("https://scontent.cdninstagram.com/t51.2885-19/10838625_357924367702733_1358700153_a.jpg")</f>
        <v>https://scontent.cdninstagram.com/t51.2885-19/10838625_357924367702733_1358700153_a.jpg</v>
      </c>
    </row>
    <row r="1862" spans="1:31" ht="15" x14ac:dyDescent="0.25">
      <c r="A1862" t="s">
        <v>2474</v>
      </c>
      <c r="B1862" t="s">
        <v>5773</v>
      </c>
      <c r="C1862" s="221">
        <v>42968.057187500002</v>
      </c>
      <c r="D1862" t="s">
        <v>12415</v>
      </c>
      <c r="E1862" s="249" t="str">
        <f>HYPERLINK("https://www.instagram.com/p/BYCz-dDFlSV/")</f>
        <v>https://www.instagram.com/p/BYCz-dDFlSV/</v>
      </c>
      <c r="F1862" t="s">
        <v>12416</v>
      </c>
      <c r="G1862" t="s">
        <v>2631</v>
      </c>
      <c r="H1862">
        <v>840</v>
      </c>
      <c r="I1862" t="s">
        <v>2599</v>
      </c>
      <c r="J1862">
        <v>0</v>
      </c>
      <c r="K1862">
        <v>68</v>
      </c>
      <c r="L1862">
        <v>68</v>
      </c>
      <c r="Q1862">
        <v>0</v>
      </c>
      <c r="R1862">
        <v>0</v>
      </c>
      <c r="S1862">
        <v>68</v>
      </c>
      <c r="T1862" t="s">
        <v>5923</v>
      </c>
      <c r="V1862" t="s">
        <v>2270</v>
      </c>
      <c r="W1862">
        <v>57.706573499999998</v>
      </c>
      <c r="X1862">
        <v>11.969223299999999</v>
      </c>
      <c r="Y1862" t="s">
        <v>12412</v>
      </c>
      <c r="Z1862" t="s">
        <v>12413</v>
      </c>
      <c r="AA1862" t="s">
        <v>6315</v>
      </c>
      <c r="AB1862" t="s">
        <v>4519</v>
      </c>
      <c r="AC1862" t="s">
        <v>12414</v>
      </c>
      <c r="AD1862" s="249" t="str">
        <f>HYPERLINK("https://scontent.cdninstagram.com/t51.2885-15/s320x320/e35/20904862_111030169610291_2138519961058934784_n.jpg")</f>
        <v>https://scontent.cdninstagram.com/t51.2885-15/s320x320/e35/20904862_111030169610291_2138519961058934784_n.jpg</v>
      </c>
      <c r="AE1862" s="249" t="str">
        <f>HYPERLINK("https://scontent.cdninstagram.com/t51.2885-19/10838625_357924367702733_1358700153_a.jpg")</f>
        <v>https://scontent.cdninstagram.com/t51.2885-19/10838625_357924367702733_1358700153_a.jpg</v>
      </c>
    </row>
    <row r="1863" spans="1:31" ht="15" x14ac:dyDescent="0.25">
      <c r="A1863" t="s">
        <v>2474</v>
      </c>
      <c r="B1863" t="s">
        <v>5773</v>
      </c>
      <c r="C1863" s="221">
        <v>42968.059016203704</v>
      </c>
      <c r="D1863" t="s">
        <v>12417</v>
      </c>
      <c r="E1863" s="249" t="str">
        <f>HYPERLINK("https://www.instagram.com/p/BYC0RvBleL7/")</f>
        <v>https://www.instagram.com/p/BYC0RvBleL7/</v>
      </c>
      <c r="F1863" t="s">
        <v>12418</v>
      </c>
      <c r="G1863" t="s">
        <v>2478</v>
      </c>
      <c r="H1863">
        <v>840</v>
      </c>
      <c r="I1863" t="s">
        <v>3575</v>
      </c>
      <c r="J1863">
        <v>0</v>
      </c>
      <c r="K1863">
        <v>55</v>
      </c>
      <c r="L1863">
        <v>55</v>
      </c>
      <c r="Q1863">
        <v>0</v>
      </c>
      <c r="R1863">
        <v>0</v>
      </c>
      <c r="S1863">
        <v>55</v>
      </c>
      <c r="Y1863" t="s">
        <v>12412</v>
      </c>
      <c r="Z1863" t="s">
        <v>12413</v>
      </c>
      <c r="AA1863" t="s">
        <v>4519</v>
      </c>
      <c r="AB1863" t="s">
        <v>12414</v>
      </c>
      <c r="AC1863" t="s">
        <v>3956</v>
      </c>
      <c r="AD1863" s="249" t="str">
        <f>HYPERLINK("https://scontent.cdninstagram.com/t51.2885-15/s320x320/e35/20902808_2061544507412876_36071583483166720_n.jpg")</f>
        <v>https://scontent.cdninstagram.com/t51.2885-15/s320x320/e35/20902808_2061544507412876_36071583483166720_n.jpg</v>
      </c>
      <c r="AE1863" s="249" t="str">
        <f>HYPERLINK("https://scontent.cdninstagram.com/t51.2885-19/10838625_357924367702733_1358700153_a.jpg")</f>
        <v>https://scontent.cdninstagram.com/t51.2885-19/10838625_357924367702733_1358700153_a.jpg</v>
      </c>
    </row>
    <row r="1864" spans="1:31" ht="15" x14ac:dyDescent="0.25">
      <c r="A1864" t="s">
        <v>2474</v>
      </c>
      <c r="B1864" t="s">
        <v>4535</v>
      </c>
      <c r="C1864" s="221">
        <v>42968.063587962963</v>
      </c>
      <c r="D1864" t="s">
        <v>12419</v>
      </c>
      <c r="E1864" s="249" t="str">
        <f>HYPERLINK("https://www.instagram.com/p/BYC1B6Gl5xj/")</f>
        <v>https://www.instagram.com/p/BYC1B6Gl5xj/</v>
      </c>
      <c r="F1864" t="s">
        <v>12420</v>
      </c>
      <c r="G1864" t="s">
        <v>2478</v>
      </c>
      <c r="H1864">
        <v>164</v>
      </c>
      <c r="I1864" t="s">
        <v>2479</v>
      </c>
      <c r="J1864">
        <v>0</v>
      </c>
      <c r="K1864">
        <v>25</v>
      </c>
      <c r="L1864">
        <v>25</v>
      </c>
      <c r="Q1864">
        <v>0</v>
      </c>
      <c r="R1864">
        <v>0</v>
      </c>
      <c r="S1864">
        <v>25</v>
      </c>
      <c r="Y1864" t="s">
        <v>4542</v>
      </c>
      <c r="Z1864" t="s">
        <v>5605</v>
      </c>
      <c r="AA1864" t="s">
        <v>5606</v>
      </c>
      <c r="AB1864" t="s">
        <v>12421</v>
      </c>
      <c r="AC1864" t="s">
        <v>8845</v>
      </c>
      <c r="AD1864" s="249" t="str">
        <f>HYPERLINK("https://scontent.cdninstagram.com/t51.2885-15/s320x320/e35/20968553_1335885259867879_4169111822080671744_n.jpg")</f>
        <v>https://scontent.cdninstagram.com/t51.2885-15/s320x320/e35/20968553_1335885259867879_4169111822080671744_n.jpg</v>
      </c>
      <c r="AE1864" s="249" t="str">
        <f>HYPERLINK("https://scontent.cdninstagram.com/t51.2885-19/s150x150/20399028_1624608414236560_533007696291430400_a.jpg")</f>
        <v>https://scontent.cdninstagram.com/t51.2885-19/s150x150/20399028_1624608414236560_533007696291430400_a.jpg</v>
      </c>
    </row>
    <row r="1865" spans="1:31" ht="15" x14ac:dyDescent="0.25">
      <c r="A1865" t="s">
        <v>2474</v>
      </c>
      <c r="B1865" t="s">
        <v>12422</v>
      </c>
      <c r="C1865" s="221">
        <v>42968.066076388888</v>
      </c>
      <c r="D1865" t="s">
        <v>12423</v>
      </c>
      <c r="E1865" s="249" t="str">
        <f>HYPERLINK("https://www.instagram.com/p/BYC1cJXlSiO/")</f>
        <v>https://www.instagram.com/p/BYC1cJXlSiO/</v>
      </c>
      <c r="F1865" t="s">
        <v>12424</v>
      </c>
      <c r="G1865" t="s">
        <v>2478</v>
      </c>
      <c r="H1865">
        <v>1147</v>
      </c>
      <c r="I1865" t="s">
        <v>2479</v>
      </c>
      <c r="J1865">
        <v>20</v>
      </c>
      <c r="K1865">
        <v>110</v>
      </c>
      <c r="L1865">
        <v>130</v>
      </c>
      <c r="Q1865">
        <v>0</v>
      </c>
      <c r="R1865">
        <v>0</v>
      </c>
      <c r="S1865">
        <v>130</v>
      </c>
      <c r="AD1865" s="249" t="str">
        <f>HYPERLINK("https://scontent.cdninstagram.com/t51.2885-15/s320x320/e35/20968640_331615573960060_8875846089538797568_n.jpg")</f>
        <v>https://scontent.cdninstagram.com/t51.2885-15/s320x320/e35/20968640_331615573960060_8875846089538797568_n.jpg</v>
      </c>
      <c r="AE1865" s="249" t="str">
        <f>HYPERLINK("https://scontent.cdninstagram.com/t51.2885-19/s150x150/20686725_161232361114051_8096553831644528640_a.jpg")</f>
        <v>https://scontent.cdninstagram.com/t51.2885-19/s150x150/20686725_161232361114051_8096553831644528640_a.jpg</v>
      </c>
    </row>
    <row r="1866" spans="1:31" ht="15" x14ac:dyDescent="0.25">
      <c r="A1866" t="s">
        <v>2474</v>
      </c>
      <c r="B1866" t="s">
        <v>12425</v>
      </c>
      <c r="C1866" s="221">
        <v>42968.066655092596</v>
      </c>
      <c r="D1866" t="s">
        <v>12426</v>
      </c>
      <c r="E1866" s="249" t="str">
        <f>HYPERLINK("https://www.instagram.com/p/BYC1iRDFLZe/")</f>
        <v>https://www.instagram.com/p/BYC1iRDFLZe/</v>
      </c>
      <c r="F1866" t="s">
        <v>12427</v>
      </c>
      <c r="G1866" t="s">
        <v>2478</v>
      </c>
      <c r="H1866">
        <v>5</v>
      </c>
      <c r="I1866" t="s">
        <v>2479</v>
      </c>
      <c r="J1866">
        <v>0</v>
      </c>
      <c r="K1866">
        <v>10</v>
      </c>
      <c r="L1866">
        <v>10</v>
      </c>
      <c r="Q1866">
        <v>0</v>
      </c>
      <c r="R1866">
        <v>0</v>
      </c>
      <c r="S1866">
        <v>10</v>
      </c>
      <c r="Y1866" t="s">
        <v>12428</v>
      </c>
      <c r="Z1866" t="s">
        <v>12429</v>
      </c>
      <c r="AA1866" t="s">
        <v>12430</v>
      </c>
      <c r="AB1866" t="s">
        <v>12431</v>
      </c>
      <c r="AC1866" t="s">
        <v>4354</v>
      </c>
      <c r="AD1866" s="249" t="str">
        <f>HYPERLINK("https://scontent.cdninstagram.com/t51.2885-15/s320x320/e35/c135.0.809.809/20987123_1959983984241908_5401563536755261440_n.jpg")</f>
        <v>https://scontent.cdninstagram.com/t51.2885-15/s320x320/e35/c135.0.809.809/20987123_1959983984241908_5401563536755261440_n.jpg</v>
      </c>
      <c r="AE1866" s="249" t="str">
        <f>HYPERLINK("https://scontent.cdninstagram.com/t51.2885-19/s150x150/20905079_1939352326347905_8444545104307290112_a.jpg")</f>
        <v>https://scontent.cdninstagram.com/t51.2885-19/s150x150/20905079_1939352326347905_8444545104307290112_a.jpg</v>
      </c>
    </row>
    <row r="1867" spans="1:31" ht="15" x14ac:dyDescent="0.25">
      <c r="A1867" t="s">
        <v>2474</v>
      </c>
      <c r="B1867" t="s">
        <v>12432</v>
      </c>
      <c r="C1867" s="221">
        <v>42968.069652777776</v>
      </c>
      <c r="D1867" t="s">
        <v>12433</v>
      </c>
      <c r="E1867" s="249" t="str">
        <f>HYPERLINK("https://www.instagram.com/p/BYC2B4kACNy/")</f>
        <v>https://www.instagram.com/p/BYC2B4kACNy/</v>
      </c>
      <c r="F1867" t="s">
        <v>12434</v>
      </c>
      <c r="G1867" t="s">
        <v>2478</v>
      </c>
      <c r="H1867">
        <v>67</v>
      </c>
      <c r="I1867" t="s">
        <v>2786</v>
      </c>
      <c r="J1867">
        <v>1</v>
      </c>
      <c r="K1867">
        <v>28</v>
      </c>
      <c r="L1867">
        <v>29</v>
      </c>
      <c r="Q1867">
        <v>0</v>
      </c>
      <c r="R1867">
        <v>0</v>
      </c>
      <c r="S1867">
        <v>29</v>
      </c>
      <c r="Y1867" t="s">
        <v>2616</v>
      </c>
      <c r="Z1867" t="s">
        <v>2529</v>
      </c>
      <c r="AA1867" t="s">
        <v>4080</v>
      </c>
      <c r="AB1867" t="s">
        <v>12435</v>
      </c>
      <c r="AC1867" t="s">
        <v>12436</v>
      </c>
      <c r="AD1867" s="249" t="str">
        <f>HYPERLINK("https://scontent.cdninstagram.com/t51.2885-15/s320x320/e35/c135.0.810.810/20905845_267611363741256_2245249692206104576_n.jpg")</f>
        <v>https://scontent.cdninstagram.com/t51.2885-15/s320x320/e35/c135.0.810.810/20905845_267611363741256_2245249692206104576_n.jpg</v>
      </c>
      <c r="AE1867" s="249" t="str">
        <f>HYPERLINK("https://scontent.cdninstagram.com/t51.2885-19/s150x150/20065422_282992232172835_794302189341245440_a.jpg")</f>
        <v>https://scontent.cdninstagram.com/t51.2885-19/s150x150/20065422_282992232172835_794302189341245440_a.jpg</v>
      </c>
    </row>
    <row r="1868" spans="1:31" ht="15" x14ac:dyDescent="0.25">
      <c r="A1868" t="s">
        <v>2474</v>
      </c>
      <c r="B1868" t="s">
        <v>12437</v>
      </c>
      <c r="C1868" s="221">
        <v>42968.069803240738</v>
      </c>
      <c r="D1868" t="s">
        <v>12438</v>
      </c>
      <c r="E1868" s="249" t="str">
        <f>HYPERLINK("https://www.instagram.com/p/BYC2Dbkg2M3/")</f>
        <v>https://www.instagram.com/p/BYC2Dbkg2M3/</v>
      </c>
      <c r="F1868" t="s">
        <v>12439</v>
      </c>
      <c r="G1868" t="s">
        <v>2478</v>
      </c>
      <c r="H1868">
        <v>554</v>
      </c>
      <c r="I1868" t="s">
        <v>2479</v>
      </c>
      <c r="J1868">
        <v>1</v>
      </c>
      <c r="K1868">
        <v>15</v>
      </c>
      <c r="L1868">
        <v>16</v>
      </c>
      <c r="Q1868">
        <v>0</v>
      </c>
      <c r="R1868">
        <v>0</v>
      </c>
      <c r="S1868">
        <v>16</v>
      </c>
      <c r="Y1868" t="s">
        <v>3174</v>
      </c>
      <c r="Z1868" t="s">
        <v>12440</v>
      </c>
      <c r="AA1868" t="s">
        <v>2524</v>
      </c>
      <c r="AB1868" t="s">
        <v>4539</v>
      </c>
      <c r="AC1868" t="s">
        <v>2497</v>
      </c>
      <c r="AD1868" s="249" t="str">
        <f>HYPERLINK("https://scontent.cdninstagram.com/t51.2885-15/s320x320/e35/20902600_385057458575663_6599568157722017792_n.jpg")</f>
        <v>https://scontent.cdninstagram.com/t51.2885-15/s320x320/e35/20902600_385057458575663_6599568157722017792_n.jpg</v>
      </c>
      <c r="AE1868" s="249" t="str">
        <f>HYPERLINK("https://scontent.cdninstagram.com/t51.2885-19/11244060_102985933373660_1789123130_a.jpg")</f>
        <v>https://scontent.cdninstagram.com/t51.2885-19/11244060_102985933373660_1789123130_a.jpg</v>
      </c>
    </row>
    <row r="1869" spans="1:31" ht="15" x14ac:dyDescent="0.25">
      <c r="A1869" t="s">
        <v>2474</v>
      </c>
      <c r="B1869" t="s">
        <v>4532</v>
      </c>
      <c r="C1869" s="221">
        <v>42968.070648148147</v>
      </c>
      <c r="D1869" t="s">
        <v>12441</v>
      </c>
      <c r="E1869" s="249" t="str">
        <f>HYPERLINK("https://www.instagram.com/p/BYC2MV0FKDv/")</f>
        <v>https://www.instagram.com/p/BYC2MV0FKDv/</v>
      </c>
      <c r="F1869" t="s">
        <v>12442</v>
      </c>
      <c r="G1869" t="s">
        <v>2478</v>
      </c>
      <c r="H1869">
        <v>20385</v>
      </c>
      <c r="I1869" t="s">
        <v>2479</v>
      </c>
      <c r="J1869">
        <v>23</v>
      </c>
      <c r="K1869">
        <v>2739</v>
      </c>
      <c r="L1869">
        <v>2762</v>
      </c>
      <c r="Q1869">
        <v>0</v>
      </c>
      <c r="R1869">
        <v>0</v>
      </c>
      <c r="S1869">
        <v>2762</v>
      </c>
      <c r="AD1869" s="249" t="str">
        <f>HYPERLINK("https://scontent.cdninstagram.com/t51.2885-15/s320x320/e35/20905265_673293669547603_7452853240313413632_n.jpg")</f>
        <v>https://scontent.cdninstagram.com/t51.2885-15/s320x320/e35/20905265_673293669547603_7452853240313413632_n.jpg</v>
      </c>
      <c r="AE1869" s="249" t="str">
        <f>HYPERLINK("https://scontent.cdninstagram.com/t51.2885-19/s150x150/20067107_316195015491609_2119457770917855232_a.jpg")</f>
        <v>https://scontent.cdninstagram.com/t51.2885-19/s150x150/20067107_316195015491609_2119457770917855232_a.jpg</v>
      </c>
    </row>
    <row r="1870" spans="1:31" ht="15" x14ac:dyDescent="0.25">
      <c r="A1870" t="s">
        <v>2474</v>
      </c>
      <c r="B1870" t="s">
        <v>4535</v>
      </c>
      <c r="C1870" s="221">
        <v>42968.071631944447</v>
      </c>
      <c r="D1870" t="s">
        <v>12443</v>
      </c>
      <c r="E1870" s="249" t="str">
        <f>HYPERLINK("https://www.instagram.com/p/BYC2Wuxl7Qs/")</f>
        <v>https://www.instagram.com/p/BYC2Wuxl7Qs/</v>
      </c>
      <c r="F1870" t="s">
        <v>12444</v>
      </c>
      <c r="G1870" t="s">
        <v>2478</v>
      </c>
      <c r="H1870">
        <v>164</v>
      </c>
      <c r="I1870" t="s">
        <v>2479</v>
      </c>
      <c r="J1870">
        <v>2</v>
      </c>
      <c r="K1870">
        <v>28</v>
      </c>
      <c r="L1870">
        <v>30</v>
      </c>
      <c r="Q1870">
        <v>0</v>
      </c>
      <c r="R1870">
        <v>0</v>
      </c>
      <c r="S1870">
        <v>30</v>
      </c>
      <c r="Y1870" t="s">
        <v>4542</v>
      </c>
      <c r="Z1870" t="s">
        <v>5605</v>
      </c>
      <c r="AA1870" t="s">
        <v>5606</v>
      </c>
      <c r="AB1870" t="s">
        <v>12421</v>
      </c>
      <c r="AC1870" t="s">
        <v>8845</v>
      </c>
      <c r="AD1870" s="249" t="str">
        <f>HYPERLINK("https://scontent.cdninstagram.com/t51.2885-15/s320x320/e35/21041066_164446617443194_873906822602293248_n.jpg")</f>
        <v>https://scontent.cdninstagram.com/t51.2885-15/s320x320/e35/21041066_164446617443194_873906822602293248_n.jpg</v>
      </c>
      <c r="AE1870" s="249" t="str">
        <f>HYPERLINK("https://scontent.cdninstagram.com/t51.2885-19/s150x150/20399028_1624608414236560_533007696291430400_a.jpg")</f>
        <v>https://scontent.cdninstagram.com/t51.2885-19/s150x150/20399028_1624608414236560_533007696291430400_a.jpg</v>
      </c>
    </row>
    <row r="1871" spans="1:31" ht="15" x14ac:dyDescent="0.25">
      <c r="A1871" t="s">
        <v>2474</v>
      </c>
      <c r="B1871" t="s">
        <v>2516</v>
      </c>
      <c r="C1871" s="221">
        <v>42968.072997685187</v>
      </c>
      <c r="D1871" t="s">
        <v>12445</v>
      </c>
      <c r="E1871" s="249" t="str">
        <f>HYPERLINK("https://www.instagram.com/p/BYC2lK3jfyG/")</f>
        <v>https://www.instagram.com/p/BYC2lK3jfyG/</v>
      </c>
      <c r="F1871" t="s">
        <v>12446</v>
      </c>
      <c r="G1871" t="s">
        <v>2478</v>
      </c>
      <c r="H1871">
        <v>684</v>
      </c>
      <c r="I1871" t="s">
        <v>2479</v>
      </c>
      <c r="J1871">
        <v>0</v>
      </c>
      <c r="K1871">
        <v>13</v>
      </c>
      <c r="L1871">
        <v>13</v>
      </c>
      <c r="Q1871">
        <v>0</v>
      </c>
      <c r="R1871">
        <v>0</v>
      </c>
      <c r="S1871">
        <v>13</v>
      </c>
      <c r="Y1871" t="s">
        <v>6977</v>
      </c>
      <c r="Z1871" t="s">
        <v>2524</v>
      </c>
      <c r="AA1871" t="s">
        <v>7456</v>
      </c>
      <c r="AB1871" t="s">
        <v>12447</v>
      </c>
      <c r="AC1871" t="s">
        <v>2906</v>
      </c>
      <c r="AD1871" s="249" t="str">
        <f>HYPERLINK("https://scontent.cdninstagram.com/t51.2885-15/s320x320/e35/c78.0.484.484/20986804_346019452523104_1523508437005107200_n.jpg")</f>
        <v>https://scontent.cdninstagram.com/t51.2885-15/s320x320/e35/c78.0.484.484/20986804_346019452523104_1523508437005107200_n.jpg</v>
      </c>
      <c r="AE1871" s="249" t="str">
        <f>HYPERLINK("https://scontent.cdninstagram.com/t51.2885-19/s150x150/19955124_1311741785589715_3896736407896457216_a.jpg")</f>
        <v>https://scontent.cdninstagram.com/t51.2885-19/s150x150/19955124_1311741785589715_3896736407896457216_a.jpg</v>
      </c>
    </row>
    <row r="1872" spans="1:31" ht="15" x14ac:dyDescent="0.25">
      <c r="A1872" t="s">
        <v>2474</v>
      </c>
      <c r="B1872" t="s">
        <v>4535</v>
      </c>
      <c r="C1872" s="221">
        <v>42968.075636574074</v>
      </c>
      <c r="D1872" t="s">
        <v>12448</v>
      </c>
      <c r="E1872" s="249" t="str">
        <f>HYPERLINK("https://www.instagram.com/p/BYC3A70lPZv/")</f>
        <v>https://www.instagram.com/p/BYC3A70lPZv/</v>
      </c>
      <c r="F1872" t="s">
        <v>12449</v>
      </c>
      <c r="G1872" t="s">
        <v>2478</v>
      </c>
      <c r="H1872">
        <v>164</v>
      </c>
      <c r="I1872" t="s">
        <v>2479</v>
      </c>
      <c r="J1872">
        <v>1</v>
      </c>
      <c r="K1872">
        <v>35</v>
      </c>
      <c r="L1872">
        <v>36</v>
      </c>
      <c r="Q1872">
        <v>0</v>
      </c>
      <c r="R1872">
        <v>0</v>
      </c>
      <c r="S1872">
        <v>36</v>
      </c>
      <c r="Y1872" t="s">
        <v>4542</v>
      </c>
      <c r="Z1872" t="s">
        <v>5605</v>
      </c>
      <c r="AA1872" t="s">
        <v>5606</v>
      </c>
      <c r="AB1872" t="s">
        <v>12421</v>
      </c>
      <c r="AC1872" t="s">
        <v>8845</v>
      </c>
      <c r="AD1872" s="249" t="str">
        <f>HYPERLINK("https://scontent.cdninstagram.com/t51.2885-15/s320x320/e35/21041115_1826771314003918_2295455050987732992_n.jpg")</f>
        <v>https://scontent.cdninstagram.com/t51.2885-15/s320x320/e35/21041115_1826771314003918_2295455050987732992_n.jpg</v>
      </c>
      <c r="AE1872" s="249" t="str">
        <f>HYPERLINK("https://scontent.cdninstagram.com/t51.2885-19/s150x150/20399028_1624608414236560_533007696291430400_a.jpg")</f>
        <v>https://scontent.cdninstagram.com/t51.2885-19/s150x150/20399028_1624608414236560_533007696291430400_a.jpg</v>
      </c>
    </row>
    <row r="1873" spans="1:31" ht="15" x14ac:dyDescent="0.25">
      <c r="A1873" t="s">
        <v>2474</v>
      </c>
      <c r="B1873" t="s">
        <v>4535</v>
      </c>
      <c r="C1873" s="221">
        <v>42968.075891203705</v>
      </c>
      <c r="D1873" t="s">
        <v>12450</v>
      </c>
      <c r="E1873" s="249" t="str">
        <f>HYPERLINK("https://www.instagram.com/p/BYC3Dq6Fvyp/")</f>
        <v>https://www.instagram.com/p/BYC3Dq6Fvyp/</v>
      </c>
      <c r="F1873" t="s">
        <v>12451</v>
      </c>
      <c r="G1873" t="s">
        <v>2478</v>
      </c>
      <c r="H1873">
        <v>164</v>
      </c>
      <c r="I1873" t="s">
        <v>2479</v>
      </c>
      <c r="J1873">
        <v>4</v>
      </c>
      <c r="K1873">
        <v>40</v>
      </c>
      <c r="L1873">
        <v>44</v>
      </c>
      <c r="Q1873">
        <v>0</v>
      </c>
      <c r="R1873">
        <v>0</v>
      </c>
      <c r="S1873">
        <v>44</v>
      </c>
      <c r="Y1873" t="s">
        <v>4542</v>
      </c>
      <c r="Z1873" t="s">
        <v>5605</v>
      </c>
      <c r="AA1873" t="s">
        <v>5606</v>
      </c>
      <c r="AB1873" t="s">
        <v>12421</v>
      </c>
      <c r="AC1873" t="s">
        <v>8845</v>
      </c>
      <c r="AD1873" s="249" t="str">
        <f>HYPERLINK("https://scontent.cdninstagram.com/t51.2885-15/s320x320/e35/20968585_133118567302101_5383907467367284736_n.jpg")</f>
        <v>https://scontent.cdninstagram.com/t51.2885-15/s320x320/e35/20968585_133118567302101_5383907467367284736_n.jpg</v>
      </c>
      <c r="AE1873" s="249" t="str">
        <f>HYPERLINK("https://scontent.cdninstagram.com/t51.2885-19/s150x150/20399028_1624608414236560_533007696291430400_a.jpg")</f>
        <v>https://scontent.cdninstagram.com/t51.2885-19/s150x150/20399028_1624608414236560_533007696291430400_a.jpg</v>
      </c>
    </row>
    <row r="1874" spans="1:31" ht="15" x14ac:dyDescent="0.25">
      <c r="A1874" t="s">
        <v>2474</v>
      </c>
      <c r="B1874" t="s">
        <v>4535</v>
      </c>
      <c r="C1874" s="221">
        <v>42968.077291666668</v>
      </c>
      <c r="D1874" t="s">
        <v>12452</v>
      </c>
      <c r="E1874" s="249" t="str">
        <f>HYPERLINK("https://www.instagram.com/p/BYC3SbOF5xa/")</f>
        <v>https://www.instagram.com/p/BYC3SbOF5xa/</v>
      </c>
      <c r="F1874" t="s">
        <v>12453</v>
      </c>
      <c r="G1874" t="s">
        <v>2478</v>
      </c>
      <c r="H1874">
        <v>164</v>
      </c>
      <c r="I1874" t="s">
        <v>2479</v>
      </c>
      <c r="J1874">
        <v>1</v>
      </c>
      <c r="K1874">
        <v>28</v>
      </c>
      <c r="L1874">
        <v>29</v>
      </c>
      <c r="Q1874">
        <v>0</v>
      </c>
      <c r="R1874">
        <v>0</v>
      </c>
      <c r="S1874">
        <v>29</v>
      </c>
      <c r="Y1874" t="s">
        <v>4542</v>
      </c>
      <c r="Z1874" t="s">
        <v>5605</v>
      </c>
      <c r="AA1874" t="s">
        <v>5606</v>
      </c>
      <c r="AB1874" t="s">
        <v>12421</v>
      </c>
      <c r="AC1874" t="s">
        <v>8845</v>
      </c>
      <c r="AD1874" s="249" t="str">
        <f>HYPERLINK("https://scontent.cdninstagram.com/t51.2885-15/s320x320/e35/20904946_155433105036443_6455186587184529408_n.jpg")</f>
        <v>https://scontent.cdninstagram.com/t51.2885-15/s320x320/e35/20904946_155433105036443_6455186587184529408_n.jpg</v>
      </c>
      <c r="AE1874" s="249" t="str">
        <f>HYPERLINK("https://scontent.cdninstagram.com/t51.2885-19/s150x150/20399028_1624608414236560_533007696291430400_a.jpg")</f>
        <v>https://scontent.cdninstagram.com/t51.2885-19/s150x150/20399028_1624608414236560_533007696291430400_a.jpg</v>
      </c>
    </row>
    <row r="1875" spans="1:31" ht="15" x14ac:dyDescent="0.25">
      <c r="A1875" t="s">
        <v>2474</v>
      </c>
      <c r="B1875" t="s">
        <v>12454</v>
      </c>
      <c r="C1875" s="221">
        <v>42968.081585648149</v>
      </c>
      <c r="D1875" t="s">
        <v>12455</v>
      </c>
      <c r="E1875" s="249" t="str">
        <f>HYPERLINK("https://www.instagram.com/p/BYC3_uJnoCh/")</f>
        <v>https://www.instagram.com/p/BYC3_uJnoCh/</v>
      </c>
      <c r="F1875" t="s">
        <v>12456</v>
      </c>
      <c r="G1875" t="s">
        <v>2478</v>
      </c>
      <c r="H1875">
        <v>121</v>
      </c>
      <c r="I1875" t="s">
        <v>4062</v>
      </c>
      <c r="J1875">
        <v>0</v>
      </c>
      <c r="K1875">
        <v>6</v>
      </c>
      <c r="L1875">
        <v>6</v>
      </c>
      <c r="Q1875">
        <v>0</v>
      </c>
      <c r="R1875">
        <v>0</v>
      </c>
      <c r="S1875">
        <v>6</v>
      </c>
      <c r="Y1875" t="s">
        <v>3209</v>
      </c>
      <c r="Z1875" t="s">
        <v>12457</v>
      </c>
      <c r="AA1875" t="s">
        <v>4993</v>
      </c>
      <c r="AB1875" t="s">
        <v>4907</v>
      </c>
      <c r="AC1875" t="s">
        <v>12458</v>
      </c>
      <c r="AD1875" s="249" t="str">
        <f>HYPERLINK("https://scontent.cdninstagram.com/t51.2885-15/s320x320/e35/20968636_1663010310410923_204577882243072_n.jpg")</f>
        <v>https://scontent.cdninstagram.com/t51.2885-15/s320x320/e35/20968636_1663010310410923_204577882243072_n.jpg</v>
      </c>
      <c r="AE1875" s="249" t="str">
        <f>HYPERLINK("https://scontent.cdninstagram.com/t51.2885-19/s150x150/20905296_1927211430827583_6595400944228237312_a.jpg")</f>
        <v>https://scontent.cdninstagram.com/t51.2885-19/s150x150/20905296_1927211430827583_6595400944228237312_a.jpg</v>
      </c>
    </row>
    <row r="1876" spans="1:31" ht="15" x14ac:dyDescent="0.25">
      <c r="A1876" t="s">
        <v>2474</v>
      </c>
      <c r="B1876" t="s">
        <v>12459</v>
      </c>
      <c r="C1876" s="221">
        <v>42968.084872685184</v>
      </c>
      <c r="D1876" t="s">
        <v>12460</v>
      </c>
      <c r="E1876" s="249" t="str">
        <f>HYPERLINK("https://www.instagram.com/p/BYC4iYXAtg-/")</f>
        <v>https://www.instagram.com/p/BYC4iYXAtg-/</v>
      </c>
      <c r="F1876" t="s">
        <v>12461</v>
      </c>
      <c r="G1876" t="s">
        <v>2478</v>
      </c>
      <c r="H1876">
        <v>778</v>
      </c>
      <c r="I1876" t="s">
        <v>2479</v>
      </c>
      <c r="J1876">
        <v>0</v>
      </c>
      <c r="K1876">
        <v>1</v>
      </c>
      <c r="L1876">
        <v>1</v>
      </c>
      <c r="Q1876">
        <v>0</v>
      </c>
      <c r="R1876">
        <v>0</v>
      </c>
      <c r="S1876">
        <v>1</v>
      </c>
      <c r="Y1876" t="s">
        <v>2497</v>
      </c>
      <c r="Z1876" t="s">
        <v>12462</v>
      </c>
      <c r="AD1876" s="249" t="str">
        <f>HYPERLINK("https://scontent.cdninstagram.com/t51.2885-15/s320x320/e35/20905653_1812672319043012_3122466049102970880_n.jpg")</f>
        <v>https://scontent.cdninstagram.com/t51.2885-15/s320x320/e35/20905653_1812672319043012_3122466049102970880_n.jpg</v>
      </c>
      <c r="AE1876" s="249" t="str">
        <f>HYPERLINK("https://scontent.cdninstagram.com/t51.2885-19/s150x150/20904893_112733122729092_1327915020754878464_a.jpg")</f>
        <v>https://scontent.cdninstagram.com/t51.2885-19/s150x150/20904893_112733122729092_1327915020754878464_a.jpg</v>
      </c>
    </row>
    <row r="1877" spans="1:31" ht="15" x14ac:dyDescent="0.25">
      <c r="A1877" t="s">
        <v>2474</v>
      </c>
      <c r="B1877" t="s">
        <v>12463</v>
      </c>
      <c r="C1877" s="221">
        <v>42968.087083333332</v>
      </c>
      <c r="D1877" t="s">
        <v>12464</v>
      </c>
      <c r="E1877" s="249" t="str">
        <f>HYPERLINK("https://www.instagram.com/p/BYC45rJnKri/")</f>
        <v>https://www.instagram.com/p/BYC45rJnKri/</v>
      </c>
      <c r="F1877" t="s">
        <v>12465</v>
      </c>
      <c r="G1877" t="s">
        <v>2478</v>
      </c>
      <c r="H1877">
        <v>461</v>
      </c>
      <c r="I1877" t="s">
        <v>2479</v>
      </c>
      <c r="J1877">
        <v>0</v>
      </c>
      <c r="K1877">
        <v>34</v>
      </c>
      <c r="L1877">
        <v>34</v>
      </c>
      <c r="Q1877">
        <v>0</v>
      </c>
      <c r="R1877">
        <v>0</v>
      </c>
      <c r="S1877">
        <v>34</v>
      </c>
      <c r="Y1877" t="s">
        <v>12466</v>
      </c>
      <c r="Z1877" t="s">
        <v>12467</v>
      </c>
      <c r="AA1877" t="s">
        <v>4603</v>
      </c>
      <c r="AB1877" t="s">
        <v>12468</v>
      </c>
      <c r="AC1877" t="s">
        <v>12469</v>
      </c>
      <c r="AD1877" s="249" t="str">
        <f>HYPERLINK("https://scontent.cdninstagram.com/t51.2885-15/s320x320/e35/c180.0.720.720/21040997_107205190010741_4576774299452440576_n.jpg")</f>
        <v>https://scontent.cdninstagram.com/t51.2885-15/s320x320/e35/c180.0.720.720/21040997_107205190010741_4576774299452440576_n.jpg</v>
      </c>
      <c r="AE1877" s="249" t="str">
        <f>HYPERLINK("https://scontent.cdninstagram.com/t51.2885-19/s150x150/13525503_919839664794533_1806905681_a.jpg")</f>
        <v>https://scontent.cdninstagram.com/t51.2885-19/s150x150/13525503_919839664794533_1806905681_a.jpg</v>
      </c>
    </row>
    <row r="1878" spans="1:31" ht="15" x14ac:dyDescent="0.25">
      <c r="A1878" t="s">
        <v>2474</v>
      </c>
      <c r="B1878" t="s">
        <v>12470</v>
      </c>
      <c r="C1878" s="221">
        <v>42968.102662037039</v>
      </c>
      <c r="D1878" t="s">
        <v>12471</v>
      </c>
      <c r="E1878" s="249" t="str">
        <f>HYPERLINK("https://www.instagram.com/p/BYC7eBKgu2g/")</f>
        <v>https://www.instagram.com/p/BYC7eBKgu2g/</v>
      </c>
      <c r="F1878" t="s">
        <v>12472</v>
      </c>
      <c r="G1878" t="s">
        <v>2478</v>
      </c>
      <c r="H1878">
        <v>1203</v>
      </c>
      <c r="I1878" t="s">
        <v>2479</v>
      </c>
      <c r="J1878">
        <v>1</v>
      </c>
      <c r="K1878">
        <v>85</v>
      </c>
      <c r="L1878">
        <v>86</v>
      </c>
      <c r="Q1878">
        <v>0</v>
      </c>
      <c r="R1878">
        <v>0</v>
      </c>
      <c r="S1878">
        <v>86</v>
      </c>
      <c r="T1878" t="s">
        <v>12473</v>
      </c>
      <c r="V1878" t="s">
        <v>2164</v>
      </c>
      <c r="W1878">
        <v>39.305081187494999</v>
      </c>
      <c r="X1878">
        <v>21.728210449218999</v>
      </c>
      <c r="Y1878" t="s">
        <v>3061</v>
      </c>
      <c r="Z1878" t="s">
        <v>12474</v>
      </c>
      <c r="AA1878" t="s">
        <v>12475</v>
      </c>
      <c r="AB1878" t="s">
        <v>4514</v>
      </c>
      <c r="AC1878" t="s">
        <v>12476</v>
      </c>
      <c r="AD1878" s="249" t="str">
        <f>HYPERLINK("https://scontent.cdninstagram.com/t51.2885-15/s320x320/e35/20987190_260966311083540_254614100917616640_n.jpg")</f>
        <v>https://scontent.cdninstagram.com/t51.2885-15/s320x320/e35/20987190_260966311083540_254614100917616640_n.jpg</v>
      </c>
      <c r="AE1878" s="249" t="str">
        <f>HYPERLINK("https://scontent.cdninstagram.com/t51.2885-19/s150x150/20589504_333813060399673_575321160040841216_a.jpg")</f>
        <v>https://scontent.cdninstagram.com/t51.2885-19/s150x150/20589504_333813060399673_575321160040841216_a.jpg</v>
      </c>
    </row>
    <row r="1879" spans="1:31" ht="15" x14ac:dyDescent="0.25">
      <c r="A1879" t="s">
        <v>2474</v>
      </c>
      <c r="B1879" t="s">
        <v>12477</v>
      </c>
      <c r="C1879" s="221">
        <v>42968.103865740741</v>
      </c>
      <c r="D1879" t="s">
        <v>12478</v>
      </c>
      <c r="E1879" s="249" t="str">
        <f>HYPERLINK("https://www.instagram.com/p/BYC7qwSBHhc/")</f>
        <v>https://www.instagram.com/p/BYC7qwSBHhc/</v>
      </c>
      <c r="F1879" t="s">
        <v>12479</v>
      </c>
      <c r="G1879" t="s">
        <v>2478</v>
      </c>
      <c r="I1879" t="s">
        <v>5670</v>
      </c>
      <c r="J1879">
        <v>0</v>
      </c>
      <c r="K1879">
        <v>33</v>
      </c>
      <c r="L1879">
        <v>33</v>
      </c>
      <c r="Q1879">
        <v>0</v>
      </c>
      <c r="R1879">
        <v>0</v>
      </c>
      <c r="S1879">
        <v>33</v>
      </c>
      <c r="Y1879" t="s">
        <v>12480</v>
      </c>
      <c r="Z1879" t="s">
        <v>2827</v>
      </c>
      <c r="AA1879" t="s">
        <v>12481</v>
      </c>
      <c r="AB1879" t="s">
        <v>12482</v>
      </c>
      <c r="AC1879" t="s">
        <v>9112</v>
      </c>
      <c r="AD1879" s="249" t="str">
        <f>HYPERLINK("https://scontent.cdninstagram.com/t51.2885-15/s320x320/e35/c0.14.602.602/20905177_1403493756366725_7525399812083023872_n.jpg")</f>
        <v>https://scontent.cdninstagram.com/t51.2885-15/s320x320/e35/c0.14.602.602/20905177_1403493756366725_7525399812083023872_n.jpg</v>
      </c>
      <c r="AE1879" s="249" t="str">
        <f>HYPERLINK("https://scontent.cdninstagram.com/t51.2885-19/s150x150/18011360_185957731923480_5919444834971549696_a.jpg")</f>
        <v>https://scontent.cdninstagram.com/t51.2885-19/s150x150/18011360_185957731923480_5919444834971549696_a.jpg</v>
      </c>
    </row>
    <row r="1880" spans="1:31" ht="15" x14ac:dyDescent="0.25">
      <c r="A1880" t="s">
        <v>2474</v>
      </c>
      <c r="B1880" t="s">
        <v>12483</v>
      </c>
      <c r="C1880" s="221">
        <v>42968.111747685187</v>
      </c>
      <c r="D1880" t="s">
        <v>12484</v>
      </c>
      <c r="E1880" s="249" t="str">
        <f>HYPERLINK("https://www.instagram.com/p/BYC89y9liaX/")</f>
        <v>https://www.instagram.com/p/BYC89y9liaX/</v>
      </c>
      <c r="F1880" t="s">
        <v>12485</v>
      </c>
      <c r="G1880" t="s">
        <v>2478</v>
      </c>
      <c r="H1880">
        <v>2352</v>
      </c>
      <c r="I1880" t="s">
        <v>2479</v>
      </c>
      <c r="J1880">
        <v>2</v>
      </c>
      <c r="K1880">
        <v>155</v>
      </c>
      <c r="L1880">
        <v>157</v>
      </c>
      <c r="Q1880">
        <v>0</v>
      </c>
      <c r="R1880">
        <v>0</v>
      </c>
      <c r="S1880">
        <v>157</v>
      </c>
      <c r="T1880" t="s">
        <v>12486</v>
      </c>
      <c r="V1880" t="s">
        <v>2184</v>
      </c>
      <c r="W1880">
        <v>35.684539933518003</v>
      </c>
      <c r="X1880">
        <v>139.70037281513001</v>
      </c>
      <c r="Y1880" t="s">
        <v>12487</v>
      </c>
      <c r="Z1880" t="s">
        <v>3205</v>
      </c>
      <c r="AA1880" t="s">
        <v>12488</v>
      </c>
      <c r="AB1880" t="s">
        <v>12489</v>
      </c>
      <c r="AC1880" t="s">
        <v>9856</v>
      </c>
      <c r="AD1880" s="249" t="str">
        <f>HYPERLINK("https://scontent.cdninstagram.com/t51.2885-15/s320x320/e35/c0.135.1080.1080/20902824_166005457291545_3550771565228457984_n.jpg")</f>
        <v>https://scontent.cdninstagram.com/t51.2885-15/s320x320/e35/c0.135.1080.1080/20902824_166005457291545_3550771565228457984_n.jpg</v>
      </c>
      <c r="AE1880" s="249" t="str">
        <f>HYPERLINK("https://scontent.cdninstagram.com/t51.2885-19/s150x150/15625269_181301392343307_4027872359422623744_a.jpg")</f>
        <v>https://scontent.cdninstagram.com/t51.2885-19/s150x150/15625269_181301392343307_4027872359422623744_a.jpg</v>
      </c>
    </row>
    <row r="1881" spans="1:31" ht="15" x14ac:dyDescent="0.25">
      <c r="A1881" t="s">
        <v>2474</v>
      </c>
      <c r="B1881" t="s">
        <v>12490</v>
      </c>
      <c r="C1881" s="221">
        <v>42968.127627314818</v>
      </c>
      <c r="D1881" t="s">
        <v>12491</v>
      </c>
      <c r="E1881" s="249" t="str">
        <f>HYPERLINK("https://www.instagram.com/p/BYC_lWIB0w-/")</f>
        <v>https://www.instagram.com/p/BYC_lWIB0w-/</v>
      </c>
      <c r="F1881" t="s">
        <v>12492</v>
      </c>
      <c r="G1881" t="s">
        <v>2631</v>
      </c>
      <c r="H1881">
        <v>263</v>
      </c>
      <c r="I1881" t="s">
        <v>2479</v>
      </c>
      <c r="J1881">
        <v>2</v>
      </c>
      <c r="K1881">
        <v>51</v>
      </c>
      <c r="L1881">
        <v>53</v>
      </c>
      <c r="Q1881">
        <v>0</v>
      </c>
      <c r="R1881">
        <v>0</v>
      </c>
      <c r="S1881">
        <v>53</v>
      </c>
      <c r="Y1881" t="s">
        <v>12493</v>
      </c>
      <c r="Z1881" t="s">
        <v>2736</v>
      </c>
      <c r="AA1881" t="s">
        <v>6404</v>
      </c>
      <c r="AB1881" t="s">
        <v>12494</v>
      </c>
      <c r="AC1881" t="s">
        <v>8007</v>
      </c>
      <c r="AD1881" s="249" t="str">
        <f>HYPERLINK("https://scontent.cdninstagram.com/t51.2885-15/s320x320/e15/20969352_1460870407323979_5980184176572235776_n.jpg")</f>
        <v>https://scontent.cdninstagram.com/t51.2885-15/s320x320/e15/20969352_1460870407323979_5980184176572235776_n.jpg</v>
      </c>
      <c r="AE1881" s="249" t="str">
        <f>HYPERLINK("https://scontent.cdninstagram.com/t51.2885-19/s150x150/20347083_869023743245464_1507349026280833024_a.jpg")</f>
        <v>https://scontent.cdninstagram.com/t51.2885-19/s150x150/20347083_869023743245464_1507349026280833024_a.jpg</v>
      </c>
    </row>
    <row r="1882" spans="1:31" ht="15" x14ac:dyDescent="0.25">
      <c r="A1882" t="s">
        <v>2474</v>
      </c>
      <c r="B1882" t="s">
        <v>12495</v>
      </c>
      <c r="C1882" s="221">
        <v>42968.133668981478</v>
      </c>
      <c r="D1882" t="s">
        <v>12496</v>
      </c>
      <c r="E1882" s="249" t="str">
        <f>HYPERLINK("https://www.instagram.com/p/BYDAlBLgY4K/")</f>
        <v>https://www.instagram.com/p/BYDAlBLgY4K/</v>
      </c>
      <c r="F1882" t="s">
        <v>12497</v>
      </c>
      <c r="G1882" t="s">
        <v>2478</v>
      </c>
      <c r="H1882">
        <v>546</v>
      </c>
      <c r="I1882" t="s">
        <v>2479</v>
      </c>
      <c r="J1882">
        <v>2</v>
      </c>
      <c r="K1882">
        <v>63</v>
      </c>
      <c r="L1882">
        <v>65</v>
      </c>
      <c r="Q1882">
        <v>0</v>
      </c>
      <c r="R1882">
        <v>0</v>
      </c>
      <c r="S1882">
        <v>65</v>
      </c>
      <c r="Y1882" t="s">
        <v>12498</v>
      </c>
      <c r="Z1882" t="s">
        <v>12499</v>
      </c>
      <c r="AA1882" t="s">
        <v>12500</v>
      </c>
      <c r="AB1882" t="s">
        <v>2497</v>
      </c>
      <c r="AC1882" t="s">
        <v>12501</v>
      </c>
      <c r="AD1882" s="249" t="str">
        <f>HYPERLINK("https://scontent.cdninstagram.com/t51.2885-15/s320x320/e35/c0.31.632.632/21041515_1975199719382217_2997019851207213056_n.jpg")</f>
        <v>https://scontent.cdninstagram.com/t51.2885-15/s320x320/e35/c0.31.632.632/21041515_1975199719382217_2997019851207213056_n.jpg</v>
      </c>
      <c r="AE1882" s="249" t="str">
        <f>HYPERLINK("https://scontent.cdninstagram.com/t51.2885-19/s150x150/20582591_1930159390556294_2561397205457960960_a.jpg")</f>
        <v>https://scontent.cdninstagram.com/t51.2885-19/s150x150/20582591_1930159390556294_2561397205457960960_a.jpg</v>
      </c>
    </row>
    <row r="1883" spans="1:31" ht="15" x14ac:dyDescent="0.25">
      <c r="A1883" t="s">
        <v>2474</v>
      </c>
      <c r="B1883" t="s">
        <v>12495</v>
      </c>
      <c r="C1883" s="221">
        <v>42968.134351851855</v>
      </c>
      <c r="D1883" t="s">
        <v>12502</v>
      </c>
      <c r="E1883" s="249" t="str">
        <f>HYPERLINK("https://www.instagram.com/p/BYDAsRlAyBJ/")</f>
        <v>https://www.instagram.com/p/BYDAsRlAyBJ/</v>
      </c>
      <c r="F1883" t="s">
        <v>12497</v>
      </c>
      <c r="G1883" t="s">
        <v>2478</v>
      </c>
      <c r="H1883">
        <v>546</v>
      </c>
      <c r="I1883" t="s">
        <v>2479</v>
      </c>
      <c r="J1883">
        <v>1</v>
      </c>
      <c r="K1883">
        <v>82</v>
      </c>
      <c r="L1883">
        <v>83</v>
      </c>
      <c r="Q1883">
        <v>0</v>
      </c>
      <c r="R1883">
        <v>0</v>
      </c>
      <c r="S1883">
        <v>83</v>
      </c>
      <c r="Y1883" t="s">
        <v>12498</v>
      </c>
      <c r="Z1883" t="s">
        <v>12499</v>
      </c>
      <c r="AA1883" t="s">
        <v>12500</v>
      </c>
      <c r="AB1883" t="s">
        <v>2497</v>
      </c>
      <c r="AC1883" t="s">
        <v>12501</v>
      </c>
      <c r="AD1883" s="249" t="str">
        <f>HYPERLINK("https://scontent.cdninstagram.com/t51.2885-15/s320x320/e35/c0.2.720.720/20968597_478290545872209_574797083836416000_n.jpg")</f>
        <v>https://scontent.cdninstagram.com/t51.2885-15/s320x320/e35/c0.2.720.720/20968597_478290545872209_574797083836416000_n.jpg</v>
      </c>
      <c r="AE1883" s="249" t="str">
        <f>HYPERLINK("https://scontent.cdninstagram.com/t51.2885-19/s150x150/20582591_1930159390556294_2561397205457960960_a.jpg")</f>
        <v>https://scontent.cdninstagram.com/t51.2885-19/s150x150/20582591_1930159390556294_2561397205457960960_a.jpg</v>
      </c>
    </row>
    <row r="1884" spans="1:31" ht="15" x14ac:dyDescent="0.25">
      <c r="A1884" t="s">
        <v>2474</v>
      </c>
      <c r="B1884" t="s">
        <v>12495</v>
      </c>
      <c r="C1884" s="221">
        <v>42968.135081018518</v>
      </c>
      <c r="D1884" t="s">
        <v>12503</v>
      </c>
      <c r="E1884" s="249" t="str">
        <f>HYPERLINK("https://www.instagram.com/p/BYDAz4_gXdr/")</f>
        <v>https://www.instagram.com/p/BYDAz4_gXdr/</v>
      </c>
      <c r="F1884" t="s">
        <v>12504</v>
      </c>
      <c r="G1884" t="s">
        <v>2478</v>
      </c>
      <c r="H1884">
        <v>546</v>
      </c>
      <c r="I1884" t="s">
        <v>2479</v>
      </c>
      <c r="J1884">
        <v>4</v>
      </c>
      <c r="K1884">
        <v>30</v>
      </c>
      <c r="L1884">
        <v>34</v>
      </c>
      <c r="Q1884">
        <v>0</v>
      </c>
      <c r="R1884">
        <v>0</v>
      </c>
      <c r="S1884">
        <v>34</v>
      </c>
      <c r="Y1884" t="s">
        <v>12498</v>
      </c>
      <c r="Z1884" t="s">
        <v>12499</v>
      </c>
      <c r="AA1884" t="s">
        <v>12500</v>
      </c>
      <c r="AB1884" t="s">
        <v>2497</v>
      </c>
      <c r="AC1884" t="s">
        <v>12501</v>
      </c>
      <c r="AD1884" s="249" t="str">
        <f>HYPERLINK("https://scontent.cdninstagram.com/t51.2885-15/s320x320/e35/20905608_167298820494681_6317230197527543808_n.jpg")</f>
        <v>https://scontent.cdninstagram.com/t51.2885-15/s320x320/e35/20905608_167298820494681_6317230197527543808_n.jpg</v>
      </c>
      <c r="AE1884" s="249" t="str">
        <f>HYPERLINK("https://scontent.cdninstagram.com/t51.2885-19/s150x150/20582591_1930159390556294_2561397205457960960_a.jpg")</f>
        <v>https://scontent.cdninstagram.com/t51.2885-19/s150x150/20582591_1930159390556294_2561397205457960960_a.jpg</v>
      </c>
    </row>
    <row r="1885" spans="1:31" ht="15" x14ac:dyDescent="0.25">
      <c r="A1885" t="s">
        <v>2474</v>
      </c>
      <c r="B1885" t="s">
        <v>12505</v>
      </c>
      <c r="C1885" s="221">
        <v>42968.162349537037</v>
      </c>
      <c r="D1885" t="s">
        <v>12506</v>
      </c>
      <c r="E1885" s="249" t="str">
        <f>HYPERLINK("https://www.instagram.com/p/BYDFTlwH5-w/")</f>
        <v>https://www.instagram.com/p/BYDFTlwH5-w/</v>
      </c>
      <c r="F1885" t="s">
        <v>12507</v>
      </c>
      <c r="G1885" t="s">
        <v>2478</v>
      </c>
      <c r="H1885">
        <v>411</v>
      </c>
      <c r="I1885" t="s">
        <v>2479</v>
      </c>
      <c r="J1885">
        <v>2</v>
      </c>
      <c r="K1885">
        <v>37</v>
      </c>
      <c r="L1885">
        <v>39</v>
      </c>
      <c r="Q1885">
        <v>0</v>
      </c>
      <c r="R1885">
        <v>0</v>
      </c>
      <c r="S1885">
        <v>39</v>
      </c>
      <c r="Y1885" t="s">
        <v>6043</v>
      </c>
      <c r="Z1885" t="s">
        <v>3477</v>
      </c>
      <c r="AA1885" t="s">
        <v>12508</v>
      </c>
      <c r="AB1885" t="s">
        <v>2730</v>
      </c>
      <c r="AC1885" t="s">
        <v>2497</v>
      </c>
      <c r="AD1885" s="249" t="str">
        <f>HYPERLINK("https://scontent.cdninstagram.com/t51.2885-15/s320x320/e35/20904852_123491638295927_7598262179913007104_n.jpg")</f>
        <v>https://scontent.cdninstagram.com/t51.2885-15/s320x320/e35/20904852_123491638295927_7598262179913007104_n.jpg</v>
      </c>
      <c r="AE1885" s="249" t="str">
        <f>HYPERLINK("https://scontent.cdninstagram.com/t51.2885-19/s150x150/20393988_162906770923620_8274306262984818688_a.jpg")</f>
        <v>https://scontent.cdninstagram.com/t51.2885-19/s150x150/20393988_162906770923620_8274306262984818688_a.jpg</v>
      </c>
    </row>
    <row r="1886" spans="1:31" ht="15" x14ac:dyDescent="0.25">
      <c r="A1886" t="s">
        <v>2474</v>
      </c>
      <c r="B1886" t="s">
        <v>2636</v>
      </c>
      <c r="C1886" s="221">
        <v>42968.166886574072</v>
      </c>
      <c r="D1886" t="s">
        <v>12509</v>
      </c>
      <c r="E1886" s="249" t="str">
        <f>HYPERLINK("https://www.instagram.com/p/BYDGDaUHKpw/")</f>
        <v>https://www.instagram.com/p/BYDGDaUHKpw/</v>
      </c>
      <c r="F1886" t="s">
        <v>12510</v>
      </c>
      <c r="G1886" t="s">
        <v>2488</v>
      </c>
      <c r="H1886">
        <v>317</v>
      </c>
      <c r="I1886" t="s">
        <v>2479</v>
      </c>
      <c r="J1886">
        <v>1</v>
      </c>
      <c r="K1886">
        <v>55</v>
      </c>
      <c r="L1886">
        <v>56</v>
      </c>
      <c r="Q1886">
        <v>0</v>
      </c>
      <c r="R1886">
        <v>0</v>
      </c>
      <c r="S1886">
        <v>56</v>
      </c>
      <c r="Y1886" t="s">
        <v>12511</v>
      </c>
      <c r="Z1886" t="s">
        <v>4464</v>
      </c>
      <c r="AA1886" t="s">
        <v>3813</v>
      </c>
      <c r="AB1886" t="s">
        <v>10115</v>
      </c>
      <c r="AC1886" t="s">
        <v>5423</v>
      </c>
      <c r="AD1886" s="249" t="str">
        <f>HYPERLINK("https://scontent.cdninstagram.com/t51.2885-15/s320x320/e35/20904974_1067715783366065_5160950260423458816_n.jpg")</f>
        <v>https://scontent.cdninstagram.com/t51.2885-15/s320x320/e35/20904974_1067715783366065_5160950260423458816_n.jpg</v>
      </c>
      <c r="AE1886" s="249" t="str">
        <f>HYPERLINK("https://scontent.cdninstagram.com/t51.2885-19/s150x150/15802797_1331780626878656_4160680230047973376_a.jpg")</f>
        <v>https://scontent.cdninstagram.com/t51.2885-19/s150x150/15802797_1331780626878656_4160680230047973376_a.jpg</v>
      </c>
    </row>
    <row r="1887" spans="1:31" ht="15" x14ac:dyDescent="0.25">
      <c r="A1887" t="s">
        <v>2474</v>
      </c>
      <c r="B1887" t="s">
        <v>12512</v>
      </c>
      <c r="C1887" s="221">
        <v>42968.170636574076</v>
      </c>
      <c r="D1887" t="s">
        <v>12513</v>
      </c>
      <c r="E1887" s="249" t="str">
        <f>HYPERLINK("https://www.instagram.com/p/BYDGq-4ASvk/")</f>
        <v>https://www.instagram.com/p/BYDGq-4ASvk/</v>
      </c>
      <c r="F1887" t="s">
        <v>12514</v>
      </c>
      <c r="G1887" t="s">
        <v>2478</v>
      </c>
      <c r="I1887" t="s">
        <v>2479</v>
      </c>
      <c r="J1887">
        <v>6</v>
      </c>
      <c r="K1887">
        <v>223</v>
      </c>
      <c r="L1887">
        <v>229</v>
      </c>
      <c r="Q1887">
        <v>0</v>
      </c>
      <c r="R1887">
        <v>0</v>
      </c>
      <c r="S1887">
        <v>229</v>
      </c>
      <c r="T1887" t="s">
        <v>12515</v>
      </c>
      <c r="U1887" t="s">
        <v>148</v>
      </c>
      <c r="V1887" t="s">
        <v>2299</v>
      </c>
      <c r="W1887">
        <v>45.52</v>
      </c>
      <c r="X1887">
        <v>-122.682</v>
      </c>
      <c r="Y1887" t="s">
        <v>2497</v>
      </c>
      <c r="Z1887" t="s">
        <v>12516</v>
      </c>
      <c r="AA1887" t="s">
        <v>12517</v>
      </c>
      <c r="AB1887" t="s">
        <v>12518</v>
      </c>
      <c r="AC1887" t="s">
        <v>12519</v>
      </c>
      <c r="AD1887" s="249" t="str">
        <f>HYPERLINK("https://scontent.cdninstagram.com/t51.2885-15/s320x320/e35/20905024_349911508780997_7332577306868711424_n.jpg")</f>
        <v>https://scontent.cdninstagram.com/t51.2885-15/s320x320/e35/20905024_349911508780997_7332577306868711424_n.jpg</v>
      </c>
      <c r="AE1887" s="249" t="str">
        <f>HYPERLINK("https://scontent.cdninstagram.com/t51.2885-19/10895486_793264974097679_749226923_a.jpg")</f>
        <v>https://scontent.cdninstagram.com/t51.2885-19/10895486_793264974097679_749226923_a.jpg</v>
      </c>
    </row>
    <row r="1888" spans="1:31" ht="15" x14ac:dyDescent="0.25">
      <c r="A1888" t="s">
        <v>2474</v>
      </c>
      <c r="B1888" t="s">
        <v>3001</v>
      </c>
      <c r="C1888" s="221">
        <v>42968.170648148145</v>
      </c>
      <c r="D1888" t="s">
        <v>12520</v>
      </c>
      <c r="E1888" s="249" t="str">
        <f>HYPERLINK("https://www.instagram.com/p/BYDGrEdgour/")</f>
        <v>https://www.instagram.com/p/BYDGrEdgour/</v>
      </c>
      <c r="F1888" t="s">
        <v>12521</v>
      </c>
      <c r="G1888" t="s">
        <v>2478</v>
      </c>
      <c r="H1888">
        <v>200</v>
      </c>
      <c r="I1888" t="s">
        <v>2542</v>
      </c>
      <c r="J1888">
        <v>1</v>
      </c>
      <c r="K1888">
        <v>42</v>
      </c>
      <c r="L1888">
        <v>43</v>
      </c>
      <c r="Q1888">
        <v>0</v>
      </c>
      <c r="R1888">
        <v>0</v>
      </c>
      <c r="S1888">
        <v>43</v>
      </c>
      <c r="Y1888" t="s">
        <v>12522</v>
      </c>
      <c r="Z1888" t="s">
        <v>12523</v>
      </c>
      <c r="AA1888" t="s">
        <v>12524</v>
      </c>
      <c r="AB1888" t="s">
        <v>2497</v>
      </c>
      <c r="AC1888" t="s">
        <v>12525</v>
      </c>
      <c r="AD1888" s="249" t="str">
        <f>HYPERLINK("https://scontent.cdninstagram.com/t51.2885-15/s320x320/e35/20987284_1967458136831910_8045876185374130176_n.jpg")</f>
        <v>https://scontent.cdninstagram.com/t51.2885-15/s320x320/e35/20987284_1967458136831910_8045876185374130176_n.jpg</v>
      </c>
      <c r="AE1888" s="249" t="str">
        <f>HYPERLINK("https://scontent.cdninstagram.com/t51.2885-19/s150x150/18444766_1912067969049122_6949567864466571264_a.jpg")</f>
        <v>https://scontent.cdninstagram.com/t51.2885-19/s150x150/18444766_1912067969049122_6949567864466571264_a.jpg</v>
      </c>
    </row>
    <row r="1889" spans="1:31" ht="15" x14ac:dyDescent="0.25">
      <c r="A1889" t="s">
        <v>2474</v>
      </c>
      <c r="B1889" t="s">
        <v>12526</v>
      </c>
      <c r="C1889" s="221">
        <v>42968.171620370369</v>
      </c>
      <c r="D1889" t="s">
        <v>12527</v>
      </c>
      <c r="E1889" s="249" t="str">
        <f>HYPERLINK("https://www.instagram.com/p/BYDG1RxA5ed/")</f>
        <v>https://www.instagram.com/p/BYDG1RxA5ed/</v>
      </c>
      <c r="F1889" t="s">
        <v>12528</v>
      </c>
      <c r="G1889" t="s">
        <v>2478</v>
      </c>
      <c r="H1889">
        <v>136</v>
      </c>
      <c r="I1889" t="s">
        <v>2479</v>
      </c>
      <c r="J1889">
        <v>0</v>
      </c>
      <c r="K1889">
        <v>19</v>
      </c>
      <c r="L1889">
        <v>19</v>
      </c>
      <c r="Q1889">
        <v>0</v>
      </c>
      <c r="R1889">
        <v>0</v>
      </c>
      <c r="S1889">
        <v>19</v>
      </c>
      <c r="Y1889" t="s">
        <v>12529</v>
      </c>
      <c r="Z1889" t="s">
        <v>12530</v>
      </c>
      <c r="AA1889" t="s">
        <v>12531</v>
      </c>
      <c r="AB1889" t="s">
        <v>12532</v>
      </c>
      <c r="AC1889" t="s">
        <v>12533</v>
      </c>
      <c r="AD1889" s="249" t="str">
        <f>HYPERLINK("https://scontent.cdninstagram.com/t51.2885-15/s320x320/e35/20905535_1954193011523874_263522472974876672_n.jpg")</f>
        <v>https://scontent.cdninstagram.com/t51.2885-15/s320x320/e35/20905535_1954193011523874_263522472974876672_n.jpg</v>
      </c>
      <c r="AE1889" s="249" t="str">
        <f>HYPERLINK("https://scontent.cdninstagram.com/t51.2885-19/s150x150/18888580_1298452656917156_5296228896885178368_a.jpg")</f>
        <v>https://scontent.cdninstagram.com/t51.2885-19/s150x150/18888580_1298452656917156_5296228896885178368_a.jpg</v>
      </c>
    </row>
    <row r="1890" spans="1:31" ht="15" x14ac:dyDescent="0.25">
      <c r="A1890" t="s">
        <v>2474</v>
      </c>
      <c r="B1890" t="s">
        <v>3761</v>
      </c>
      <c r="C1890" s="221">
        <v>42968.173634259256</v>
      </c>
      <c r="D1890" t="s">
        <v>12534</v>
      </c>
      <c r="E1890" s="249" t="str">
        <f>HYPERLINK("https://www.instagram.com/p/BYDHKkmnmhn/")</f>
        <v>https://www.instagram.com/p/BYDHKkmnmhn/</v>
      </c>
      <c r="F1890" t="s">
        <v>3763</v>
      </c>
      <c r="G1890" t="s">
        <v>2478</v>
      </c>
      <c r="H1890">
        <v>35633</v>
      </c>
      <c r="I1890" t="s">
        <v>2479</v>
      </c>
      <c r="J1890">
        <v>1</v>
      </c>
      <c r="K1890">
        <v>27</v>
      </c>
      <c r="L1890">
        <v>28</v>
      </c>
      <c r="Q1890">
        <v>0</v>
      </c>
      <c r="R1890">
        <v>0</v>
      </c>
      <c r="S1890">
        <v>28</v>
      </c>
      <c r="Y1890" t="s">
        <v>3759</v>
      </c>
      <c r="Z1890" t="s">
        <v>12535</v>
      </c>
      <c r="AA1890" t="s">
        <v>5195</v>
      </c>
      <c r="AB1890" t="s">
        <v>10199</v>
      </c>
      <c r="AC1890" t="s">
        <v>4231</v>
      </c>
      <c r="AD1890" s="249" t="str">
        <f>HYPERLINK("https://scontent.cdninstagram.com/t51.2885-15/s320x320/e35/21041805_1945548625657232_4276945342643044352_n.jpg")</f>
        <v>https://scontent.cdninstagram.com/t51.2885-15/s320x320/e35/21041805_1945548625657232_4276945342643044352_n.jpg</v>
      </c>
      <c r="AE1890" s="249" t="str">
        <f>HYPERLINK("https://scontent.cdninstagram.com/t51.2885-19/s150x150/19985865_1705783593058831_5928851088227696640_n.jpg")</f>
        <v>https://scontent.cdninstagram.com/t51.2885-19/s150x150/19985865_1705783593058831_5928851088227696640_n.jpg</v>
      </c>
    </row>
    <row r="1891" spans="1:31" ht="15" x14ac:dyDescent="0.25">
      <c r="A1891" t="s">
        <v>2474</v>
      </c>
      <c r="B1891" t="s">
        <v>12536</v>
      </c>
      <c r="C1891" s="221">
        <v>42968.176076388889</v>
      </c>
      <c r="D1891" t="s">
        <v>12537</v>
      </c>
      <c r="E1891" s="249" t="str">
        <f>HYPERLINK("https://www.instagram.com/p/BYDHkR5AOtu/")</f>
        <v>https://www.instagram.com/p/BYDHkR5AOtu/</v>
      </c>
      <c r="F1891" t="s">
        <v>12538</v>
      </c>
      <c r="G1891" t="s">
        <v>2478</v>
      </c>
      <c r="H1891">
        <v>188</v>
      </c>
      <c r="I1891" t="s">
        <v>3898</v>
      </c>
      <c r="J1891">
        <v>0</v>
      </c>
      <c r="K1891">
        <v>18</v>
      </c>
      <c r="L1891">
        <v>18</v>
      </c>
      <c r="Q1891">
        <v>0</v>
      </c>
      <c r="R1891">
        <v>0</v>
      </c>
      <c r="S1891">
        <v>18</v>
      </c>
      <c r="Y1891" t="s">
        <v>2899</v>
      </c>
      <c r="Z1891" t="s">
        <v>12539</v>
      </c>
      <c r="AA1891" t="s">
        <v>2497</v>
      </c>
      <c r="AD1891" s="249" t="str">
        <f>HYPERLINK("https://scontent.cdninstagram.com/t51.2885-15/s320x320/e35/21041687_149115572336180_451074808503861248_n.jpg")</f>
        <v>https://scontent.cdninstagram.com/t51.2885-15/s320x320/e35/21041687_149115572336180_451074808503861248_n.jpg</v>
      </c>
      <c r="AE1891" s="249" t="str">
        <f>HYPERLINK("https://scontent.cdninstagram.com/t51.2885-19/s150x150/19121106_1844920372494636_302854928773152768_a.jpg")</f>
        <v>https://scontent.cdninstagram.com/t51.2885-19/s150x150/19121106_1844920372494636_302854928773152768_a.jpg</v>
      </c>
    </row>
    <row r="1892" spans="1:31" ht="15" x14ac:dyDescent="0.25">
      <c r="A1892" t="s">
        <v>2474</v>
      </c>
      <c r="B1892" t="s">
        <v>12540</v>
      </c>
      <c r="C1892" s="221">
        <v>42968.183611111112</v>
      </c>
      <c r="D1892" t="s">
        <v>12541</v>
      </c>
      <c r="E1892" s="249" t="str">
        <f>HYPERLINK("https://www.instagram.com/p/BYDIz0aAiIE/")</f>
        <v>https://www.instagram.com/p/BYDIz0aAiIE/</v>
      </c>
      <c r="F1892" t="s">
        <v>12542</v>
      </c>
      <c r="G1892" t="s">
        <v>2478</v>
      </c>
      <c r="H1892">
        <v>190</v>
      </c>
      <c r="I1892" t="s">
        <v>2542</v>
      </c>
      <c r="J1892">
        <v>0</v>
      </c>
      <c r="K1892">
        <v>20</v>
      </c>
      <c r="L1892">
        <v>20</v>
      </c>
      <c r="Q1892">
        <v>0</v>
      </c>
      <c r="R1892">
        <v>0</v>
      </c>
      <c r="S1892">
        <v>20</v>
      </c>
      <c r="Y1892" t="s">
        <v>12543</v>
      </c>
      <c r="Z1892" t="s">
        <v>12544</v>
      </c>
      <c r="AA1892" t="s">
        <v>12545</v>
      </c>
      <c r="AB1892" t="s">
        <v>2497</v>
      </c>
      <c r="AC1892" t="s">
        <v>12546</v>
      </c>
      <c r="AD1892" s="249" t="str">
        <f>HYPERLINK("https://scontent.cdninstagram.com/t51.2885-15/s320x320/e35/21041538_165295910697035_6366571305810001920_n.jpg")</f>
        <v>https://scontent.cdninstagram.com/t51.2885-15/s320x320/e35/21041538_165295910697035_6366571305810001920_n.jpg</v>
      </c>
      <c r="AE1892" s="249" t="str">
        <f>HYPERLINK("https://scontent.cdninstagram.com/t51.2885-19/s150x150/18809423_1529998910384706_6001429953856405504_a.jpg")</f>
        <v>https://scontent.cdninstagram.com/t51.2885-19/s150x150/18809423_1529998910384706_6001429953856405504_a.jpg</v>
      </c>
    </row>
    <row r="1893" spans="1:31" ht="15" x14ac:dyDescent="0.25">
      <c r="A1893" t="s">
        <v>2474</v>
      </c>
      <c r="B1893" t="s">
        <v>12547</v>
      </c>
      <c r="C1893" s="221">
        <v>42968.188310185185</v>
      </c>
      <c r="D1893" t="s">
        <v>12548</v>
      </c>
      <c r="E1893" s="249" t="str">
        <f>HYPERLINK("https://www.instagram.com/p/BYDJlSygoFN/")</f>
        <v>https://www.instagram.com/p/BYDJlSygoFN/</v>
      </c>
      <c r="F1893" t="s">
        <v>12549</v>
      </c>
      <c r="G1893" t="s">
        <v>2478</v>
      </c>
      <c r="H1893">
        <v>186</v>
      </c>
      <c r="I1893" t="s">
        <v>2542</v>
      </c>
      <c r="J1893">
        <v>0</v>
      </c>
      <c r="K1893">
        <v>27</v>
      </c>
      <c r="L1893">
        <v>27</v>
      </c>
      <c r="Q1893">
        <v>0</v>
      </c>
      <c r="R1893">
        <v>0</v>
      </c>
      <c r="S1893">
        <v>27</v>
      </c>
      <c r="Y1893" t="s">
        <v>8838</v>
      </c>
      <c r="Z1893" t="s">
        <v>2497</v>
      </c>
      <c r="AA1893" t="s">
        <v>4708</v>
      </c>
      <c r="AB1893" t="s">
        <v>3446</v>
      </c>
      <c r="AC1893" t="s">
        <v>3829</v>
      </c>
      <c r="AD1893" s="249" t="str">
        <f>HYPERLINK("https://scontent.cdninstagram.com/t51.2885-15/s320x320/e35/c236.0.608.608/20905066_1859822554333613_8139540355423928320_n.jpg")</f>
        <v>https://scontent.cdninstagram.com/t51.2885-15/s320x320/e35/c236.0.608.608/20905066_1859822554333613_8139540355423928320_n.jpg</v>
      </c>
      <c r="AE1893" s="249" t="str">
        <f>HYPERLINK("https://scontent.cdninstagram.com/t51.2885-19/s150x150/20902663_1992382374331320_7486815509522939904_a.jpg")</f>
        <v>https://scontent.cdninstagram.com/t51.2885-19/s150x150/20902663_1992382374331320_7486815509522939904_a.jpg</v>
      </c>
    </row>
    <row r="1894" spans="1:31" ht="15" x14ac:dyDescent="0.25">
      <c r="A1894" t="s">
        <v>2474</v>
      </c>
      <c r="B1894" t="s">
        <v>12550</v>
      </c>
      <c r="C1894" s="221">
        <v>42968.188449074078</v>
      </c>
      <c r="D1894" t="s">
        <v>12551</v>
      </c>
      <c r="E1894" s="249" t="str">
        <f>HYPERLINK("https://www.instagram.com/p/BYDJm0unqE5/")</f>
        <v>https://www.instagram.com/p/BYDJm0unqE5/</v>
      </c>
      <c r="F1894" t="s">
        <v>12552</v>
      </c>
      <c r="G1894" t="s">
        <v>2478</v>
      </c>
      <c r="H1894">
        <v>832</v>
      </c>
      <c r="I1894" t="s">
        <v>2599</v>
      </c>
      <c r="J1894">
        <v>4</v>
      </c>
      <c r="K1894">
        <v>60</v>
      </c>
      <c r="L1894">
        <v>64</v>
      </c>
      <c r="Q1894">
        <v>0</v>
      </c>
      <c r="R1894">
        <v>0</v>
      </c>
      <c r="S1894">
        <v>64</v>
      </c>
      <c r="T1894" t="s">
        <v>12553</v>
      </c>
      <c r="V1894" t="s">
        <v>2207</v>
      </c>
      <c r="W1894">
        <v>35.963354639199999</v>
      </c>
      <c r="X1894">
        <v>14.3893373278</v>
      </c>
      <c r="Y1894" t="s">
        <v>12554</v>
      </c>
      <c r="Z1894" t="s">
        <v>2497</v>
      </c>
      <c r="AA1894" t="s">
        <v>4287</v>
      </c>
      <c r="AB1894" t="s">
        <v>12555</v>
      </c>
      <c r="AC1894" t="s">
        <v>12556</v>
      </c>
      <c r="AD1894" s="249" t="str">
        <f>HYPERLINK("https://scontent.cdninstagram.com/t51.2885-15/s320x320/e35/20902792_469385013429700_3842477012304265216_n.jpg")</f>
        <v>https://scontent.cdninstagram.com/t51.2885-15/s320x320/e35/20902792_469385013429700_3842477012304265216_n.jpg</v>
      </c>
      <c r="AE1894" s="249" t="str">
        <f>HYPERLINK("https://scontent.cdninstagram.com/t51.2885-19/s150x150/19534736_1894547127467294_2028662634726817792_a.jpg")</f>
        <v>https://scontent.cdninstagram.com/t51.2885-19/s150x150/19534736_1894547127467294_2028662634726817792_a.jpg</v>
      </c>
    </row>
    <row r="1895" spans="1:31" ht="15" x14ac:dyDescent="0.25">
      <c r="A1895" t="s">
        <v>2474</v>
      </c>
      <c r="B1895" t="s">
        <v>12557</v>
      </c>
      <c r="C1895" s="221">
        <v>42968.193356481483</v>
      </c>
      <c r="D1895" t="s">
        <v>12558</v>
      </c>
      <c r="E1895" s="249" t="str">
        <f>HYPERLINK("https://www.instagram.com/p/BYDKamIlVME/")</f>
        <v>https://www.instagram.com/p/BYDKamIlVME/</v>
      </c>
      <c r="F1895" t="s">
        <v>12559</v>
      </c>
      <c r="G1895" t="s">
        <v>2478</v>
      </c>
      <c r="H1895">
        <v>105</v>
      </c>
      <c r="I1895" t="s">
        <v>2519</v>
      </c>
      <c r="J1895">
        <v>2</v>
      </c>
      <c r="K1895">
        <v>5</v>
      </c>
      <c r="L1895">
        <v>7</v>
      </c>
      <c r="Q1895">
        <v>0</v>
      </c>
      <c r="R1895">
        <v>0</v>
      </c>
      <c r="S1895">
        <v>7</v>
      </c>
      <c r="Y1895" t="s">
        <v>12560</v>
      </c>
      <c r="Z1895" t="s">
        <v>12561</v>
      </c>
      <c r="AA1895" t="s">
        <v>12557</v>
      </c>
      <c r="AB1895" t="s">
        <v>12562</v>
      </c>
      <c r="AC1895" t="s">
        <v>2497</v>
      </c>
      <c r="AD1895" s="249" t="str">
        <f>HYPERLINK("https://scontent.cdninstagram.com/t51.2885-15/s320x320/e35/20986746_492242731130957_7932031815131332608_n.jpg")</f>
        <v>https://scontent.cdninstagram.com/t51.2885-15/s320x320/e35/20986746_492242731130957_7932031815131332608_n.jpg</v>
      </c>
      <c r="AE1895" s="249" t="str">
        <f>HYPERLINK("https://scontent.cdninstagram.com/t51.2885-19/s150x150/21147622_943741172432988_386295337196716032_a.jpg")</f>
        <v>https://scontent.cdninstagram.com/t51.2885-19/s150x150/21147622_943741172432988_386295337196716032_a.jpg</v>
      </c>
    </row>
    <row r="1896" spans="1:31" ht="15" x14ac:dyDescent="0.25">
      <c r="A1896" t="s">
        <v>2474</v>
      </c>
      <c r="B1896" t="s">
        <v>2644</v>
      </c>
      <c r="C1896" s="221">
        <v>42968.196203703701</v>
      </c>
      <c r="D1896" t="s">
        <v>12563</v>
      </c>
      <c r="E1896" s="249" t="str">
        <f>HYPERLINK("https://www.instagram.com/p/BYDK4pXgUJB/")</f>
        <v>https://www.instagram.com/p/BYDK4pXgUJB/</v>
      </c>
      <c r="F1896" t="s">
        <v>12564</v>
      </c>
      <c r="G1896" t="s">
        <v>2478</v>
      </c>
      <c r="H1896">
        <v>1743</v>
      </c>
      <c r="I1896" t="s">
        <v>2479</v>
      </c>
      <c r="J1896">
        <v>0</v>
      </c>
      <c r="K1896">
        <v>112</v>
      </c>
      <c r="L1896">
        <v>112</v>
      </c>
      <c r="Q1896">
        <v>0</v>
      </c>
      <c r="R1896">
        <v>0</v>
      </c>
      <c r="S1896">
        <v>112</v>
      </c>
      <c r="T1896" t="s">
        <v>9211</v>
      </c>
      <c r="V1896" t="s">
        <v>2648</v>
      </c>
      <c r="W1896">
        <v>54.782777777778001</v>
      </c>
      <c r="X1896">
        <v>32.045277777777997</v>
      </c>
      <c r="Y1896" t="s">
        <v>2497</v>
      </c>
      <c r="Z1896" t="s">
        <v>3633</v>
      </c>
      <c r="AA1896" t="s">
        <v>3635</v>
      </c>
      <c r="AB1896" t="s">
        <v>12565</v>
      </c>
      <c r="AC1896" t="s">
        <v>5902</v>
      </c>
      <c r="AD1896" s="249" t="str">
        <f>HYPERLINK("https://scontent.cdninstagram.com/t51.2885-15/s320x320/e35/c0.135.1080.1080/20986665_164328720782609_128440855252959232_n.jpg")</f>
        <v>https://scontent.cdninstagram.com/t51.2885-15/s320x320/e35/c0.135.1080.1080/20986665_164328720782609_128440855252959232_n.jpg</v>
      </c>
      <c r="AE1896" s="249" t="str">
        <f>HYPERLINK("https://scontent.cdninstagram.com/t51.2885-19/11372086_1598451257062069_1320225693_a.jpg")</f>
        <v>https://scontent.cdninstagram.com/t51.2885-19/11372086_1598451257062069_1320225693_a.jpg</v>
      </c>
    </row>
    <row r="1897" spans="1:31" ht="15" x14ac:dyDescent="0.25">
      <c r="A1897" t="s">
        <v>2474</v>
      </c>
      <c r="B1897" t="s">
        <v>12566</v>
      </c>
      <c r="C1897" s="221">
        <v>42968.196250000001</v>
      </c>
      <c r="D1897" t="s">
        <v>12567</v>
      </c>
      <c r="E1897" s="249" t="str">
        <f>HYPERLINK("https://www.instagram.com/p/BYDK5FMg-wp/")</f>
        <v>https://www.instagram.com/p/BYDK5FMg-wp/</v>
      </c>
      <c r="F1897" t="s">
        <v>12568</v>
      </c>
      <c r="G1897" t="s">
        <v>2478</v>
      </c>
      <c r="H1897">
        <v>283</v>
      </c>
      <c r="I1897" t="s">
        <v>2479</v>
      </c>
      <c r="J1897">
        <v>5</v>
      </c>
      <c r="K1897">
        <v>73</v>
      </c>
      <c r="L1897">
        <v>78</v>
      </c>
      <c r="Q1897">
        <v>0</v>
      </c>
      <c r="R1897">
        <v>0</v>
      </c>
      <c r="S1897">
        <v>78</v>
      </c>
      <c r="Y1897" t="s">
        <v>12569</v>
      </c>
      <c r="Z1897" t="s">
        <v>2497</v>
      </c>
      <c r="AA1897" t="s">
        <v>12570</v>
      </c>
      <c r="AB1897" t="s">
        <v>12571</v>
      </c>
      <c r="AC1897" t="s">
        <v>12572</v>
      </c>
      <c r="AD1897" s="249" t="str">
        <f>HYPERLINK("https://scontent.cdninstagram.com/t51.2885-15/s320x320/e35/20968644_1477870148961859_7635177711584935936_n.jpg")</f>
        <v>https://scontent.cdninstagram.com/t51.2885-15/s320x320/e35/20968644_1477870148961859_7635177711584935936_n.jpg</v>
      </c>
      <c r="AE1897" s="249" t="str">
        <f>HYPERLINK("https://scontent.cdninstagram.com/t51.2885-19/s150x150/14027261_241838196216954_427556257_a.jpg")</f>
        <v>https://scontent.cdninstagram.com/t51.2885-19/s150x150/14027261_241838196216954_427556257_a.jpg</v>
      </c>
    </row>
    <row r="1898" spans="1:31" ht="15" x14ac:dyDescent="0.25">
      <c r="A1898" t="s">
        <v>2474</v>
      </c>
      <c r="B1898" t="s">
        <v>12573</v>
      </c>
      <c r="C1898" s="221">
        <v>42968.201307870368</v>
      </c>
      <c r="D1898" t="s">
        <v>12574</v>
      </c>
      <c r="E1898" s="249" t="str">
        <f>HYPERLINK("https://www.instagram.com/p/BYDLub0FjO7/")</f>
        <v>https://www.instagram.com/p/BYDLub0FjO7/</v>
      </c>
      <c r="F1898" t="s">
        <v>12575</v>
      </c>
      <c r="G1898" t="s">
        <v>2478</v>
      </c>
      <c r="H1898">
        <v>172</v>
      </c>
      <c r="I1898" t="s">
        <v>2479</v>
      </c>
      <c r="J1898">
        <v>4</v>
      </c>
      <c r="K1898">
        <v>7</v>
      </c>
      <c r="L1898">
        <v>11</v>
      </c>
      <c r="Q1898">
        <v>0</v>
      </c>
      <c r="R1898">
        <v>0</v>
      </c>
      <c r="S1898">
        <v>11</v>
      </c>
      <c r="Y1898" t="s">
        <v>2730</v>
      </c>
      <c r="Z1898" t="s">
        <v>4987</v>
      </c>
      <c r="AA1898" t="s">
        <v>2497</v>
      </c>
      <c r="AD1898" s="249" t="str">
        <f>HYPERLINK("https://scontent.cdninstagram.com/t51.2885-15/s320x320/e35/c0.50.400.400/20905498_206779803189461_482044035263889408_n.jpg")</f>
        <v>https://scontent.cdninstagram.com/t51.2885-15/s320x320/e35/c0.50.400.400/20905498_206779803189461_482044035263889408_n.jpg</v>
      </c>
      <c r="AE1898" s="249" t="str">
        <f>HYPERLINK("https://scontent.cdninstagram.com/t51.2885-19/s150x150/18381763_216930842143013_1149550084128505856_a.jpg")</f>
        <v>https://scontent.cdninstagram.com/t51.2885-19/s150x150/18381763_216930842143013_1149550084128505856_a.jpg</v>
      </c>
    </row>
    <row r="1899" spans="1:31" ht="15" x14ac:dyDescent="0.25">
      <c r="A1899" t="s">
        <v>2474</v>
      </c>
      <c r="B1899" t="s">
        <v>12576</v>
      </c>
      <c r="C1899" s="221">
        <v>42968.203055555554</v>
      </c>
      <c r="D1899" t="s">
        <v>12577</v>
      </c>
      <c r="E1899" s="249" t="str">
        <f>HYPERLINK("https://www.instagram.com/p/BYDMA6cnqBY/")</f>
        <v>https://www.instagram.com/p/BYDMA6cnqBY/</v>
      </c>
      <c r="F1899" t="s">
        <v>12578</v>
      </c>
      <c r="G1899" t="s">
        <v>2478</v>
      </c>
      <c r="H1899">
        <v>646</v>
      </c>
      <c r="I1899" t="s">
        <v>3170</v>
      </c>
      <c r="J1899">
        <v>0</v>
      </c>
      <c r="K1899">
        <v>16</v>
      </c>
      <c r="L1899">
        <v>16</v>
      </c>
      <c r="Q1899">
        <v>0</v>
      </c>
      <c r="R1899">
        <v>0</v>
      </c>
      <c r="S1899">
        <v>16</v>
      </c>
      <c r="Y1899" t="s">
        <v>2497</v>
      </c>
      <c r="Z1899" t="s">
        <v>12579</v>
      </c>
      <c r="AA1899" t="s">
        <v>12580</v>
      </c>
      <c r="AB1899" t="s">
        <v>12581</v>
      </c>
      <c r="AC1899" t="s">
        <v>5168</v>
      </c>
      <c r="AD1899" s="249" t="str">
        <f>HYPERLINK("https://scontent.cdninstagram.com/t51.2885-15/s320x320/e35/c55.0.969.969/20968823_1819765624914998_1134935611795308544_n.jpg")</f>
        <v>https://scontent.cdninstagram.com/t51.2885-15/s320x320/e35/c55.0.969.969/20968823_1819765624914998_1134935611795308544_n.jpg</v>
      </c>
      <c r="AE1899" s="249" t="str">
        <f>HYPERLINK("https://scontent.cdninstagram.com/t51.2885-19/s150x150/20968678_111087042917263_6214240674225586176_a.jpg")</f>
        <v>https://scontent.cdninstagram.com/t51.2885-19/s150x150/20968678_111087042917263_6214240674225586176_a.jpg</v>
      </c>
    </row>
    <row r="1900" spans="1:31" ht="15" x14ac:dyDescent="0.25">
      <c r="A1900" t="s">
        <v>2474</v>
      </c>
      <c r="B1900" t="s">
        <v>12582</v>
      </c>
      <c r="C1900" s="221">
        <v>42968.208067129628</v>
      </c>
      <c r="D1900" t="s">
        <v>12583</v>
      </c>
      <c r="E1900" s="249" t="str">
        <f>HYPERLINK("https://www.instagram.com/p/BYDM1ssBYJ4/")</f>
        <v>https://www.instagram.com/p/BYDM1ssBYJ4/</v>
      </c>
      <c r="F1900" t="s">
        <v>12584</v>
      </c>
      <c r="G1900" t="s">
        <v>2478</v>
      </c>
      <c r="H1900">
        <v>34</v>
      </c>
      <c r="I1900" t="s">
        <v>3575</v>
      </c>
      <c r="J1900">
        <v>1</v>
      </c>
      <c r="K1900">
        <v>21</v>
      </c>
      <c r="L1900">
        <v>22</v>
      </c>
      <c r="Q1900">
        <v>0</v>
      </c>
      <c r="R1900">
        <v>0</v>
      </c>
      <c r="S1900">
        <v>22</v>
      </c>
      <c r="T1900" t="s">
        <v>12585</v>
      </c>
      <c r="V1900" t="s">
        <v>2288</v>
      </c>
      <c r="W1900">
        <v>50.847224420498002</v>
      </c>
      <c r="X1900">
        <v>-1.7824599390456</v>
      </c>
      <c r="Y1900" t="s">
        <v>12586</v>
      </c>
      <c r="Z1900" t="s">
        <v>2492</v>
      </c>
      <c r="AA1900" t="s">
        <v>2730</v>
      </c>
      <c r="AB1900" t="s">
        <v>12582</v>
      </c>
      <c r="AC1900" t="s">
        <v>2497</v>
      </c>
      <c r="AD1900" s="249" t="str">
        <f>HYPERLINK("https://scontent.cdninstagram.com/t51.2885-15/s320x320/e35/c0.126.1012.1012/20987167_1288336507955455_8554113229016530944_n.jpg")</f>
        <v>https://scontent.cdninstagram.com/t51.2885-15/s320x320/e35/c0.126.1012.1012/20987167_1288336507955455_8554113229016530944_n.jpg</v>
      </c>
      <c r="AE1900" s="249" t="str">
        <f>HYPERLINK("https://scontent.cdninstagram.com/t51.2885-19/s150x150/19624393_2329486300609727_4605008130261123072_a.jpg")</f>
        <v>https://scontent.cdninstagram.com/t51.2885-19/s150x150/19624393_2329486300609727_4605008130261123072_a.jpg</v>
      </c>
    </row>
    <row r="1901" spans="1:31" ht="15" x14ac:dyDescent="0.25">
      <c r="A1901" t="s">
        <v>2474</v>
      </c>
      <c r="B1901" t="s">
        <v>2779</v>
      </c>
      <c r="C1901" s="221">
        <v>42968.214722222219</v>
      </c>
      <c r="D1901" t="s">
        <v>12587</v>
      </c>
      <c r="E1901" s="249" t="str">
        <f>HYPERLINK("https://www.instagram.com/p/BYDN73wj-Vi/")</f>
        <v>https://www.instagram.com/p/BYDN73wj-Vi/</v>
      </c>
      <c r="F1901" t="s">
        <v>12588</v>
      </c>
      <c r="G1901" t="s">
        <v>2478</v>
      </c>
      <c r="H1901">
        <v>524</v>
      </c>
      <c r="I1901" t="s">
        <v>4052</v>
      </c>
      <c r="J1901">
        <v>1</v>
      </c>
      <c r="K1901">
        <v>27</v>
      </c>
      <c r="L1901">
        <v>28</v>
      </c>
      <c r="Q1901">
        <v>0</v>
      </c>
      <c r="R1901">
        <v>0</v>
      </c>
      <c r="S1901">
        <v>28</v>
      </c>
      <c r="Y1901" t="s">
        <v>2497</v>
      </c>
      <c r="Z1901" t="s">
        <v>2782</v>
      </c>
      <c r="AA1901" t="s">
        <v>5672</v>
      </c>
      <c r="AB1901" t="s">
        <v>2660</v>
      </c>
      <c r="AC1901" t="s">
        <v>12043</v>
      </c>
      <c r="AD1901" s="249" t="str">
        <f>HYPERLINK("https://scontent.cdninstagram.com/t51.2885-15/s320x320/e35/20969026_119763625280521_165761312146587648_n.jpg")</f>
        <v>https://scontent.cdninstagram.com/t51.2885-15/s320x320/e35/20969026_119763625280521_165761312146587648_n.jpg</v>
      </c>
      <c r="AE1901" s="249" t="str">
        <f>HYPERLINK("https://scontent.cdninstagram.com/t51.2885-19/s150x150/20987161_269925300162743_8846416312201641984_a.jpg")</f>
        <v>https://scontent.cdninstagram.com/t51.2885-19/s150x150/20987161_269925300162743_8846416312201641984_a.jpg</v>
      </c>
    </row>
    <row r="1902" spans="1:31" ht="15" x14ac:dyDescent="0.25">
      <c r="A1902" t="s">
        <v>2474</v>
      </c>
      <c r="B1902" t="s">
        <v>12589</v>
      </c>
      <c r="C1902" s="221">
        <v>42968.223449074074</v>
      </c>
      <c r="D1902" t="s">
        <v>12590</v>
      </c>
      <c r="E1902" s="249" t="str">
        <f>HYPERLINK("https://www.instagram.com/p/BYDPX7bF2md/")</f>
        <v>https://www.instagram.com/p/BYDPX7bF2md/</v>
      </c>
      <c r="F1902" t="s">
        <v>12591</v>
      </c>
      <c r="G1902" t="s">
        <v>2478</v>
      </c>
      <c r="H1902">
        <v>49</v>
      </c>
      <c r="I1902" t="s">
        <v>2479</v>
      </c>
      <c r="J1902">
        <v>1</v>
      </c>
      <c r="K1902">
        <v>17</v>
      </c>
      <c r="L1902">
        <v>18</v>
      </c>
      <c r="Q1902">
        <v>0</v>
      </c>
      <c r="R1902">
        <v>0</v>
      </c>
      <c r="S1902">
        <v>18</v>
      </c>
      <c r="Y1902" t="s">
        <v>2497</v>
      </c>
      <c r="Z1902" t="s">
        <v>12122</v>
      </c>
      <c r="AA1902" t="s">
        <v>12592</v>
      </c>
      <c r="AB1902" t="s">
        <v>12593</v>
      </c>
      <c r="AC1902" t="s">
        <v>7329</v>
      </c>
      <c r="AD1902" s="249" t="str">
        <f>HYPERLINK("https://scontent.cdninstagram.com/t51.2885-15/s320x320/e35/c181.0.718.718/20905662_165850563977030_4059449147961376768_n.jpg")</f>
        <v>https://scontent.cdninstagram.com/t51.2885-15/s320x320/e35/c181.0.718.718/20905662_165850563977030_4059449147961376768_n.jpg</v>
      </c>
      <c r="AE1902" s="249" t="str">
        <f>HYPERLINK("https://scontent.cdninstagram.com/t51.2885-19/s150x150/17493709_1038796639597925_3835558159292825600_a.jpg")</f>
        <v>https://scontent.cdninstagram.com/t51.2885-19/s150x150/17493709_1038796639597925_3835558159292825600_a.jpg</v>
      </c>
    </row>
    <row r="1903" spans="1:31" ht="15" x14ac:dyDescent="0.25">
      <c r="A1903" t="s">
        <v>2474</v>
      </c>
      <c r="B1903" t="s">
        <v>12594</v>
      </c>
      <c r="C1903" s="221">
        <v>42968.235185185185</v>
      </c>
      <c r="D1903" t="s">
        <v>12595</v>
      </c>
      <c r="E1903" s="249" t="str">
        <f>HYPERLINK("https://www.instagram.com/p/BYDRTxojdC4/")</f>
        <v>https://www.instagram.com/p/BYDRTxojdC4/</v>
      </c>
      <c r="F1903" t="s">
        <v>12596</v>
      </c>
      <c r="G1903" t="s">
        <v>2478</v>
      </c>
      <c r="H1903">
        <v>359</v>
      </c>
      <c r="I1903" t="s">
        <v>2479</v>
      </c>
      <c r="J1903">
        <v>7</v>
      </c>
      <c r="K1903">
        <v>54</v>
      </c>
      <c r="L1903">
        <v>61</v>
      </c>
      <c r="Q1903">
        <v>0</v>
      </c>
      <c r="R1903">
        <v>0</v>
      </c>
      <c r="S1903">
        <v>61</v>
      </c>
      <c r="Y1903" t="s">
        <v>12597</v>
      </c>
      <c r="Z1903" t="s">
        <v>3982</v>
      </c>
      <c r="AA1903" t="s">
        <v>12598</v>
      </c>
      <c r="AB1903" t="s">
        <v>2497</v>
      </c>
      <c r="AC1903" t="s">
        <v>12599</v>
      </c>
      <c r="AD1903" s="249" t="str">
        <f>HYPERLINK("https://scontent.cdninstagram.com/t51.2885-15/s320x320/e35/c0.99.1080.1080/20905782_172098826669289_1860285167805923328_n.jpg")</f>
        <v>https://scontent.cdninstagram.com/t51.2885-15/s320x320/e35/c0.99.1080.1080/20905782_172098826669289_1860285167805923328_n.jpg</v>
      </c>
      <c r="AE1903" s="249" t="str">
        <f>HYPERLINK("https://scontent.cdninstagram.com/t51.2885-19/s150x150/13408973_1694839010738437_1396052357_a.jpg")</f>
        <v>https://scontent.cdninstagram.com/t51.2885-19/s150x150/13408973_1694839010738437_1396052357_a.jpg</v>
      </c>
    </row>
    <row r="1904" spans="1:31" ht="15" x14ac:dyDescent="0.25">
      <c r="A1904" t="s">
        <v>2474</v>
      </c>
      <c r="B1904" t="s">
        <v>12600</v>
      </c>
      <c r="C1904" s="221">
        <v>42968.251469907409</v>
      </c>
      <c r="D1904" t="s">
        <v>12601</v>
      </c>
      <c r="E1904" s="249" t="str">
        <f>HYPERLINK("https://www.instagram.com/p/BYDT_cDheX6/")</f>
        <v>https://www.instagram.com/p/BYDT_cDheX6/</v>
      </c>
      <c r="F1904" t="s">
        <v>12602</v>
      </c>
      <c r="G1904" t="s">
        <v>2478</v>
      </c>
      <c r="H1904">
        <v>52</v>
      </c>
      <c r="I1904" t="s">
        <v>2748</v>
      </c>
      <c r="J1904">
        <v>4</v>
      </c>
      <c r="K1904">
        <v>47</v>
      </c>
      <c r="L1904">
        <v>51</v>
      </c>
      <c r="Q1904">
        <v>0</v>
      </c>
      <c r="R1904">
        <v>0</v>
      </c>
      <c r="S1904">
        <v>51</v>
      </c>
      <c r="Y1904" t="s">
        <v>2497</v>
      </c>
      <c r="Z1904" t="s">
        <v>12603</v>
      </c>
      <c r="AA1904" t="s">
        <v>12604</v>
      </c>
      <c r="AB1904" t="s">
        <v>12605</v>
      </c>
      <c r="AC1904" t="s">
        <v>2861</v>
      </c>
      <c r="AD1904" s="249" t="str">
        <f>HYPERLINK("https://scontent.cdninstagram.com/t51.2885-15/s320x320/e35/20905086_536079220063272_5967933100187975680_n.jpg")</f>
        <v>https://scontent.cdninstagram.com/t51.2885-15/s320x320/e35/20905086_536079220063272_5967933100187975680_n.jpg</v>
      </c>
      <c r="AE1904" s="249" t="str">
        <f>HYPERLINK("https://scontent.cdninstagram.com/t51.2885-19/s150x150/19121896_135179193724784_4712753608288894976_a.jpg")</f>
        <v>https://scontent.cdninstagram.com/t51.2885-19/s150x150/19121896_135179193724784_4712753608288894976_a.jpg</v>
      </c>
    </row>
    <row r="1905" spans="1:31" ht="15" x14ac:dyDescent="0.25">
      <c r="A1905" t="s">
        <v>2474</v>
      </c>
      <c r="B1905" t="s">
        <v>12606</v>
      </c>
      <c r="C1905" s="221">
        <v>42968.254317129627</v>
      </c>
      <c r="D1905" t="s">
        <v>12607</v>
      </c>
      <c r="E1905" s="249" t="str">
        <f>HYPERLINK("https://www.instagram.com/p/BYDUdcmFuvS/")</f>
        <v>https://www.instagram.com/p/BYDUdcmFuvS/</v>
      </c>
      <c r="F1905" t="s">
        <v>12608</v>
      </c>
      <c r="G1905" t="s">
        <v>2478</v>
      </c>
      <c r="H1905">
        <v>185</v>
      </c>
      <c r="I1905" t="s">
        <v>2479</v>
      </c>
      <c r="J1905">
        <v>1</v>
      </c>
      <c r="K1905">
        <v>17</v>
      </c>
      <c r="L1905">
        <v>18</v>
      </c>
      <c r="Q1905">
        <v>0</v>
      </c>
      <c r="R1905">
        <v>0</v>
      </c>
      <c r="S1905">
        <v>18</v>
      </c>
      <c r="Y1905" t="s">
        <v>12609</v>
      </c>
      <c r="Z1905" t="s">
        <v>12610</v>
      </c>
      <c r="AA1905" t="s">
        <v>12611</v>
      </c>
      <c r="AB1905" t="s">
        <v>2497</v>
      </c>
      <c r="AC1905" t="s">
        <v>12612</v>
      </c>
      <c r="AD1905" s="249" t="str">
        <f>HYPERLINK("https://scontent.cdninstagram.com/t51.2885-15/s320x320/e35/c0.35.518.518/20905169_262046050981231_8934588005058871296_n.jpg")</f>
        <v>https://scontent.cdninstagram.com/t51.2885-15/s320x320/e35/c0.35.518.518/20905169_262046050981231_8934588005058871296_n.jpg</v>
      </c>
      <c r="AE1905" s="249" t="str">
        <f>HYPERLINK("https://scontent.cdninstagram.com/t51.2885-19/s150x150/21147304_491291301219977_1126739216466706432_a.jpg")</f>
        <v>https://scontent.cdninstagram.com/t51.2885-19/s150x150/21147304_491291301219977_1126739216466706432_a.jpg</v>
      </c>
    </row>
    <row r="1906" spans="1:31" ht="15" x14ac:dyDescent="0.25">
      <c r="A1906" t="s">
        <v>2474</v>
      </c>
      <c r="B1906" t="s">
        <v>12613</v>
      </c>
      <c r="C1906" s="221">
        <v>42968.254618055558</v>
      </c>
      <c r="D1906" t="s">
        <v>12614</v>
      </c>
      <c r="E1906" s="249" t="str">
        <f>HYPERLINK("https://www.instagram.com/p/BYDUgovD4mi/")</f>
        <v>https://www.instagram.com/p/BYDUgovD4mi/</v>
      </c>
      <c r="F1906" t="s">
        <v>12615</v>
      </c>
      <c r="G1906" t="s">
        <v>2478</v>
      </c>
      <c r="H1906">
        <v>2485</v>
      </c>
      <c r="I1906" t="s">
        <v>2479</v>
      </c>
      <c r="J1906">
        <v>11</v>
      </c>
      <c r="K1906">
        <v>351</v>
      </c>
      <c r="L1906">
        <v>362</v>
      </c>
      <c r="Q1906">
        <v>0</v>
      </c>
      <c r="R1906">
        <v>0</v>
      </c>
      <c r="S1906">
        <v>362</v>
      </c>
      <c r="Y1906" t="s">
        <v>5061</v>
      </c>
      <c r="Z1906" t="s">
        <v>5808</v>
      </c>
      <c r="AA1906" t="s">
        <v>4555</v>
      </c>
      <c r="AB1906" t="s">
        <v>2497</v>
      </c>
      <c r="AC1906" t="s">
        <v>8047</v>
      </c>
      <c r="AD1906" s="249" t="str">
        <f>HYPERLINK("https://scontent.cdninstagram.com/t51.2885-15/s320x320/e35/c0.96.1080.1080/20902786_500413693639768_3802213497790529536_n.jpg")</f>
        <v>https://scontent.cdninstagram.com/t51.2885-15/s320x320/e35/c0.96.1080.1080/20902786_500413693639768_3802213497790529536_n.jpg</v>
      </c>
      <c r="AE1906" s="249" t="str">
        <f>HYPERLINK("https://scontent.cdninstagram.com/t51.2885-19/s150x150/20837697_328401490939821_7609657166235959296_a.jpg")</f>
        <v>https://scontent.cdninstagram.com/t51.2885-19/s150x150/20837697_328401490939821_7609657166235959296_a.jpg</v>
      </c>
    </row>
    <row r="1907" spans="1:31" ht="15" x14ac:dyDescent="0.25">
      <c r="A1907" t="s">
        <v>2474</v>
      </c>
      <c r="B1907" t="s">
        <v>12616</v>
      </c>
      <c r="C1907" s="221">
        <v>42968.264039351852</v>
      </c>
      <c r="D1907" t="s">
        <v>12617</v>
      </c>
      <c r="E1907" s="249" t="str">
        <f>HYPERLINK("https://www.instagram.com/p/BYDWECCgdcF/")</f>
        <v>https://www.instagram.com/p/BYDWECCgdcF/</v>
      </c>
      <c r="F1907" t="s">
        <v>12618</v>
      </c>
      <c r="G1907" t="s">
        <v>2478</v>
      </c>
      <c r="H1907">
        <v>502</v>
      </c>
      <c r="I1907" t="s">
        <v>2479</v>
      </c>
      <c r="J1907">
        <v>2</v>
      </c>
      <c r="K1907">
        <v>60</v>
      </c>
      <c r="L1907">
        <v>62</v>
      </c>
      <c r="Q1907">
        <v>0</v>
      </c>
      <c r="R1907">
        <v>0</v>
      </c>
      <c r="S1907">
        <v>62</v>
      </c>
      <c r="T1907" t="s">
        <v>12619</v>
      </c>
      <c r="U1907" t="s">
        <v>328</v>
      </c>
      <c r="V1907" t="s">
        <v>2299</v>
      </c>
      <c r="W1907">
        <v>40.651581999999998</v>
      </c>
      <c r="X1907">
        <v>-119.355739</v>
      </c>
      <c r="Y1907" t="s">
        <v>12620</v>
      </c>
      <c r="Z1907" t="s">
        <v>12621</v>
      </c>
      <c r="AA1907" t="s">
        <v>12622</v>
      </c>
      <c r="AB1907" t="s">
        <v>2497</v>
      </c>
      <c r="AD1907" s="249" t="str">
        <f>HYPERLINK("https://scontent.cdninstagram.com/t51.2885-15/s320x320/e35/c135.0.809.809/20968901_400606303675033_5351211569264984064_n.jpg")</f>
        <v>https://scontent.cdninstagram.com/t51.2885-15/s320x320/e35/c135.0.809.809/20968901_400606303675033_5351211569264984064_n.jpg</v>
      </c>
      <c r="AE1907" s="249" t="str">
        <f>HYPERLINK("https://scontent.cdninstagram.com/t51.2885-19/s150x150/1889357_440793542797314_527838452_a.jpg")</f>
        <v>https://scontent.cdninstagram.com/t51.2885-19/s150x150/1889357_440793542797314_527838452_a.jpg</v>
      </c>
    </row>
    <row r="1908" spans="1:31" ht="15" x14ac:dyDescent="0.25">
      <c r="A1908" t="s">
        <v>2474</v>
      </c>
      <c r="B1908" t="s">
        <v>12623</v>
      </c>
      <c r="C1908" s="221">
        <v>42968.269421296296</v>
      </c>
      <c r="D1908" t="s">
        <v>12624</v>
      </c>
      <c r="E1908" s="249" t="str">
        <f>HYPERLINK("https://www.instagram.com/p/BYDW8wkB00m/")</f>
        <v>https://www.instagram.com/p/BYDW8wkB00m/</v>
      </c>
      <c r="F1908" t="s">
        <v>12625</v>
      </c>
      <c r="G1908" t="s">
        <v>2478</v>
      </c>
      <c r="H1908">
        <v>21</v>
      </c>
      <c r="I1908" t="s">
        <v>2479</v>
      </c>
      <c r="J1908">
        <v>0</v>
      </c>
      <c r="K1908">
        <v>9</v>
      </c>
      <c r="L1908">
        <v>9</v>
      </c>
      <c r="Q1908">
        <v>0</v>
      </c>
      <c r="R1908">
        <v>0</v>
      </c>
      <c r="S1908">
        <v>9</v>
      </c>
      <c r="Y1908" t="s">
        <v>12626</v>
      </c>
      <c r="Z1908" t="s">
        <v>2497</v>
      </c>
      <c r="AA1908" t="s">
        <v>3225</v>
      </c>
      <c r="AB1908" t="s">
        <v>4839</v>
      </c>
      <c r="AC1908" t="s">
        <v>12627</v>
      </c>
      <c r="AD1908" s="249" t="str">
        <f>HYPERLINK("https://scontent.cdninstagram.com/t51.2885-15/s320x320/e35/21041451_821237141388109_645307828222820352_n.jpg")</f>
        <v>https://scontent.cdninstagram.com/t51.2885-15/s320x320/e35/21041451_821237141388109_645307828222820352_n.jpg</v>
      </c>
      <c r="AE1908" s="249" t="str">
        <f>HYPERLINK("https://scontent.cdninstagram.com/t51.2885-19/s150x150/20905221_267313190438379_2128714709635956736_a.jpg")</f>
        <v>https://scontent.cdninstagram.com/t51.2885-19/s150x150/20905221_267313190438379_2128714709635956736_a.jpg</v>
      </c>
    </row>
    <row r="1909" spans="1:31" ht="15" x14ac:dyDescent="0.25">
      <c r="A1909" t="s">
        <v>2474</v>
      </c>
      <c r="B1909" t="s">
        <v>12628</v>
      </c>
      <c r="C1909" s="221">
        <v>42968.273541666669</v>
      </c>
      <c r="D1909" t="s">
        <v>12629</v>
      </c>
      <c r="E1909" s="249" t="str">
        <f>HYPERLINK("https://www.instagram.com/p/BYDXoRDljtC/")</f>
        <v>https://www.instagram.com/p/BYDXoRDljtC/</v>
      </c>
      <c r="F1909" t="s">
        <v>12630</v>
      </c>
      <c r="G1909" t="s">
        <v>2478</v>
      </c>
      <c r="H1909">
        <v>1223</v>
      </c>
      <c r="I1909" t="s">
        <v>4052</v>
      </c>
      <c r="J1909">
        <v>6</v>
      </c>
      <c r="K1909">
        <v>136</v>
      </c>
      <c r="L1909">
        <v>142</v>
      </c>
      <c r="Q1909">
        <v>0</v>
      </c>
      <c r="R1909">
        <v>0</v>
      </c>
      <c r="S1909">
        <v>142</v>
      </c>
      <c r="T1909" t="s">
        <v>12631</v>
      </c>
      <c r="V1909" t="s">
        <v>2176</v>
      </c>
      <c r="W1909">
        <v>28.666666666666998</v>
      </c>
      <c r="X1909">
        <v>77.216666666666995</v>
      </c>
      <c r="Y1909" t="s">
        <v>12632</v>
      </c>
      <c r="Z1909" t="s">
        <v>2497</v>
      </c>
      <c r="AA1909" t="s">
        <v>12633</v>
      </c>
      <c r="AB1909" t="s">
        <v>3370</v>
      </c>
      <c r="AC1909" t="s">
        <v>12634</v>
      </c>
      <c r="AD1909" s="249" t="str">
        <f>HYPERLINK("https://scontent.cdninstagram.com/t51.2885-15/s320x320/e35/c0.53.831.831/20969271_1385131561601465_654753848581160960_n.jpg")</f>
        <v>https://scontent.cdninstagram.com/t51.2885-15/s320x320/e35/c0.53.831.831/20969271_1385131561601465_654753848581160960_n.jpg</v>
      </c>
      <c r="AE1909" s="249" t="str">
        <f>HYPERLINK("https://scontent.cdninstagram.com/t51.2885-19/s150x150/18160694_222918544860417_1418736588174655488_a.jpg")</f>
        <v>https://scontent.cdninstagram.com/t51.2885-19/s150x150/18160694_222918544860417_1418736588174655488_a.jpg</v>
      </c>
    </row>
    <row r="1910" spans="1:31" ht="15" x14ac:dyDescent="0.25">
      <c r="A1910" t="s">
        <v>2474</v>
      </c>
      <c r="B1910" t="s">
        <v>7232</v>
      </c>
      <c r="C1910" s="221">
        <v>42968.277361111112</v>
      </c>
      <c r="D1910" t="s">
        <v>12635</v>
      </c>
      <c r="E1910" s="249" t="str">
        <f>HYPERLINK("https://www.instagram.com/p/BYDYQjfHTjW/")</f>
        <v>https://www.instagram.com/p/BYDYQjfHTjW/</v>
      </c>
      <c r="F1910" t="s">
        <v>12636</v>
      </c>
      <c r="G1910" t="s">
        <v>2478</v>
      </c>
      <c r="H1910">
        <v>513</v>
      </c>
      <c r="I1910" t="s">
        <v>2479</v>
      </c>
      <c r="J1910">
        <v>1</v>
      </c>
      <c r="K1910">
        <v>22</v>
      </c>
      <c r="L1910">
        <v>23</v>
      </c>
      <c r="Q1910">
        <v>0</v>
      </c>
      <c r="R1910">
        <v>0</v>
      </c>
      <c r="S1910">
        <v>23</v>
      </c>
      <c r="Y1910" t="s">
        <v>2543</v>
      </c>
      <c r="Z1910" t="s">
        <v>2497</v>
      </c>
      <c r="AA1910" t="s">
        <v>10416</v>
      </c>
      <c r="AB1910" t="s">
        <v>12637</v>
      </c>
      <c r="AC1910" t="s">
        <v>3262</v>
      </c>
      <c r="AD1910" s="249" t="str">
        <f>HYPERLINK("https://scontent.cdninstagram.com/t51.2885-15/s320x320/e35/20968896_1375578869230843_6558257173699231744_n.jpg")</f>
        <v>https://scontent.cdninstagram.com/t51.2885-15/s320x320/e35/20968896_1375578869230843_6558257173699231744_n.jpg</v>
      </c>
      <c r="AE1910" s="249" t="str">
        <f>HYPERLINK("https://scontent.cdninstagram.com/t51.2885-19/s150x150/14482263_1660577494243200_2334360342223650816_a.jpg")</f>
        <v>https://scontent.cdninstagram.com/t51.2885-19/s150x150/14482263_1660577494243200_2334360342223650816_a.jpg</v>
      </c>
    </row>
    <row r="1911" spans="1:31" ht="15" x14ac:dyDescent="0.25">
      <c r="A1911" t="s">
        <v>2474</v>
      </c>
      <c r="B1911" t="s">
        <v>12638</v>
      </c>
      <c r="C1911" s="221">
        <v>42968.278009259258</v>
      </c>
      <c r="D1911" t="s">
        <v>12639</v>
      </c>
      <c r="E1911" s="249" t="str">
        <f>HYPERLINK("https://www.instagram.com/p/BYDYXXbAWou/")</f>
        <v>https://www.instagram.com/p/BYDYXXbAWou/</v>
      </c>
      <c r="F1911" t="s">
        <v>12640</v>
      </c>
      <c r="G1911" t="s">
        <v>2478</v>
      </c>
      <c r="H1911">
        <v>149</v>
      </c>
      <c r="I1911" t="s">
        <v>2479</v>
      </c>
      <c r="J1911">
        <v>2</v>
      </c>
      <c r="K1911">
        <v>45</v>
      </c>
      <c r="L1911">
        <v>47</v>
      </c>
      <c r="Q1911">
        <v>0</v>
      </c>
      <c r="R1911">
        <v>0</v>
      </c>
      <c r="S1911">
        <v>47</v>
      </c>
      <c r="Y1911" t="s">
        <v>2730</v>
      </c>
      <c r="Z1911" t="s">
        <v>2497</v>
      </c>
      <c r="AA1911" t="s">
        <v>12641</v>
      </c>
      <c r="AB1911" t="s">
        <v>2493</v>
      </c>
      <c r="AC1911" t="s">
        <v>8793</v>
      </c>
      <c r="AD1911" s="249" t="str">
        <f>HYPERLINK("https://scontent.cdninstagram.com/t51.2885-15/s320x320/e35/20969235_110542679664515_7431804889790939136_n.jpg")</f>
        <v>https://scontent.cdninstagram.com/t51.2885-15/s320x320/e35/20969235_110542679664515_7431804889790939136_n.jpg</v>
      </c>
      <c r="AE1911" s="249" t="str">
        <f>HYPERLINK("https://scontent.cdninstagram.com/t51.2885-19/s150x150/12912685_479054225611734_835444575_a.jpg")</f>
        <v>https://scontent.cdninstagram.com/t51.2885-19/s150x150/12912685_479054225611734_835444575_a.jpg</v>
      </c>
    </row>
    <row r="1912" spans="1:31" ht="15" x14ac:dyDescent="0.25">
      <c r="A1912" t="s">
        <v>2474</v>
      </c>
      <c r="B1912" t="s">
        <v>12642</v>
      </c>
      <c r="C1912" s="221">
        <v>42968.278252314813</v>
      </c>
      <c r="D1912" t="s">
        <v>12643</v>
      </c>
      <c r="E1912" s="249" t="str">
        <f>HYPERLINK("https://www.instagram.com/p/BYDYZ-IFnxF/")</f>
        <v>https://www.instagram.com/p/BYDYZ-IFnxF/</v>
      </c>
      <c r="F1912" t="s">
        <v>12644</v>
      </c>
      <c r="G1912" t="s">
        <v>2478</v>
      </c>
      <c r="H1912">
        <v>2485</v>
      </c>
      <c r="I1912" t="s">
        <v>2479</v>
      </c>
      <c r="J1912">
        <v>0</v>
      </c>
      <c r="K1912">
        <v>70</v>
      </c>
      <c r="L1912">
        <v>70</v>
      </c>
      <c r="Q1912">
        <v>0</v>
      </c>
      <c r="R1912">
        <v>0</v>
      </c>
      <c r="S1912">
        <v>70</v>
      </c>
      <c r="T1912" t="s">
        <v>12645</v>
      </c>
      <c r="V1912" t="s">
        <v>2204</v>
      </c>
      <c r="W1912">
        <v>3.1012499999999998</v>
      </c>
      <c r="X1912">
        <v>101.73626</v>
      </c>
      <c r="Y1912" t="s">
        <v>12646</v>
      </c>
      <c r="Z1912" t="s">
        <v>5809</v>
      </c>
      <c r="AA1912" t="s">
        <v>2497</v>
      </c>
      <c r="AD1912" s="249" t="str">
        <f>HYPERLINK("https://scontent.cdninstagram.com/t51.2885-15/s320x320/e35/c175.0.730.730/21041315_1797092863916053_7163865592707940352_n.jpg")</f>
        <v>https://scontent.cdninstagram.com/t51.2885-15/s320x320/e35/c175.0.730.730/21041315_1797092863916053_7163865592707940352_n.jpg</v>
      </c>
      <c r="AE1912" s="249" t="str">
        <f>HYPERLINK("https://scontent.cdninstagram.com/t51.2885-19/s150x150/21107897_204688576732133_4385488460522192896_a.jpg")</f>
        <v>https://scontent.cdninstagram.com/t51.2885-19/s150x150/21107897_204688576732133_4385488460522192896_a.jpg</v>
      </c>
    </row>
    <row r="1913" spans="1:31" ht="15" x14ac:dyDescent="0.25">
      <c r="A1913" t="s">
        <v>2474</v>
      </c>
      <c r="B1913" t="s">
        <v>3895</v>
      </c>
      <c r="C1913" s="221">
        <v>42968.27851851852</v>
      </c>
      <c r="D1913" t="s">
        <v>12647</v>
      </c>
      <c r="E1913" s="249" t="str">
        <f>HYPERLINK("https://www.instagram.com/p/BYDYcxcFkuT/")</f>
        <v>https://www.instagram.com/p/BYDYcxcFkuT/</v>
      </c>
      <c r="F1913" t="s">
        <v>12648</v>
      </c>
      <c r="G1913" t="s">
        <v>2478</v>
      </c>
      <c r="H1913">
        <v>431</v>
      </c>
      <c r="I1913" t="s">
        <v>2748</v>
      </c>
      <c r="J1913">
        <v>3</v>
      </c>
      <c r="K1913">
        <v>90</v>
      </c>
      <c r="L1913">
        <v>93</v>
      </c>
      <c r="Q1913">
        <v>0</v>
      </c>
      <c r="R1913">
        <v>0</v>
      </c>
      <c r="S1913">
        <v>93</v>
      </c>
      <c r="Y1913" t="s">
        <v>3900</v>
      </c>
      <c r="Z1913" t="s">
        <v>2497</v>
      </c>
      <c r="AA1913" t="s">
        <v>2554</v>
      </c>
      <c r="AB1913" t="s">
        <v>3903</v>
      </c>
      <c r="AC1913" t="s">
        <v>7905</v>
      </c>
      <c r="AD1913" s="249" t="str">
        <f>HYPERLINK("https://scontent.cdninstagram.com/t51.2885-15/s320x320/e35/20905668_232994140557616_8921597404025716736_n.jpg")</f>
        <v>https://scontent.cdninstagram.com/t51.2885-15/s320x320/e35/20905668_232994140557616_8921597404025716736_n.jpg</v>
      </c>
      <c r="AE1913" s="249" t="str">
        <f>HYPERLINK("https://scontent.cdninstagram.com/t51.2885-19/s150x150/20902130_1390331654386412_4188068892897181696_a.jpg")</f>
        <v>https://scontent.cdninstagram.com/t51.2885-19/s150x150/20902130_1390331654386412_4188068892897181696_a.jpg</v>
      </c>
    </row>
    <row r="1914" spans="1:31" ht="15" x14ac:dyDescent="0.25">
      <c r="A1914" t="s">
        <v>2474</v>
      </c>
      <c r="B1914" t="s">
        <v>7152</v>
      </c>
      <c r="C1914" s="221">
        <v>42968.280312499999</v>
      </c>
      <c r="D1914" t="s">
        <v>12649</v>
      </c>
      <c r="E1914" s="249" t="str">
        <f>HYPERLINK("https://www.instagram.com/p/BYDYvqWjg1C/")</f>
        <v>https://www.instagram.com/p/BYDYvqWjg1C/</v>
      </c>
      <c r="F1914" t="s">
        <v>12650</v>
      </c>
      <c r="G1914" t="s">
        <v>2478</v>
      </c>
      <c r="H1914">
        <v>111</v>
      </c>
      <c r="I1914" t="s">
        <v>2542</v>
      </c>
      <c r="J1914">
        <v>2</v>
      </c>
      <c r="K1914">
        <v>29</v>
      </c>
      <c r="L1914">
        <v>31</v>
      </c>
      <c r="Q1914">
        <v>0</v>
      </c>
      <c r="R1914">
        <v>0</v>
      </c>
      <c r="S1914">
        <v>31</v>
      </c>
      <c r="Y1914" t="s">
        <v>2497</v>
      </c>
      <c r="Z1914" t="s">
        <v>7155</v>
      </c>
      <c r="AA1914" t="s">
        <v>12651</v>
      </c>
      <c r="AB1914" t="s">
        <v>8213</v>
      </c>
      <c r="AC1914" t="s">
        <v>2833</v>
      </c>
      <c r="AD1914" s="249" t="str">
        <f>HYPERLINK("https://scontent.cdninstagram.com/t51.2885-15/s320x320/e35/20905190_919562238191083_5015292745296642048_n.jpg")</f>
        <v>https://scontent.cdninstagram.com/t51.2885-15/s320x320/e35/20905190_919562238191083_5015292745296642048_n.jpg</v>
      </c>
      <c r="AE1914" s="249" t="str">
        <f>HYPERLINK("https://scontent.cdninstagram.com/t51.2885-19/s150x150/20181062_1791856511105718_4709893984703479808_a.jpg")</f>
        <v>https://scontent.cdninstagram.com/t51.2885-19/s150x150/20181062_1791856511105718_4709893984703479808_a.jpg</v>
      </c>
    </row>
    <row r="1915" spans="1:31" ht="15" x14ac:dyDescent="0.25">
      <c r="A1915" t="s">
        <v>2474</v>
      </c>
      <c r="B1915" t="s">
        <v>2917</v>
      </c>
      <c r="C1915" s="221">
        <v>42968.281412037039</v>
      </c>
      <c r="D1915" t="s">
        <v>12652</v>
      </c>
      <c r="E1915" s="249" t="str">
        <f>HYPERLINK("https://www.instagram.com/p/BYDY7RNlYHk/")</f>
        <v>https://www.instagram.com/p/BYDY7RNlYHk/</v>
      </c>
      <c r="F1915" t="s">
        <v>12653</v>
      </c>
      <c r="G1915" t="s">
        <v>2478</v>
      </c>
      <c r="H1915">
        <v>5376</v>
      </c>
      <c r="I1915" t="s">
        <v>2479</v>
      </c>
      <c r="J1915">
        <v>5</v>
      </c>
      <c r="K1915">
        <v>86</v>
      </c>
      <c r="L1915">
        <v>91</v>
      </c>
      <c r="Q1915">
        <v>0</v>
      </c>
      <c r="R1915">
        <v>0</v>
      </c>
      <c r="S1915">
        <v>91</v>
      </c>
      <c r="Y1915" t="s">
        <v>2917</v>
      </c>
      <c r="Z1915" t="s">
        <v>6045</v>
      </c>
      <c r="AD1915" s="249" t="str">
        <f>HYPERLINK("https://scontent.cdninstagram.com/t51.2885-15/s320x320/e35/20987330_133564700589573_8954244614378749952_n.jpg")</f>
        <v>https://scontent.cdninstagram.com/t51.2885-15/s320x320/e35/20987330_133564700589573_8954244614378749952_n.jpg</v>
      </c>
      <c r="AE1915" s="249" t="str">
        <f>HYPERLINK("https://scontent.cdninstagram.com/t51.2885-19/s150x150/20482356_746992422172225_262181640019640320_a.jpg")</f>
        <v>https://scontent.cdninstagram.com/t51.2885-19/s150x150/20482356_746992422172225_262181640019640320_a.jpg</v>
      </c>
    </row>
    <row r="1916" spans="1:31" ht="15" x14ac:dyDescent="0.25">
      <c r="A1916" t="s">
        <v>2474</v>
      </c>
      <c r="B1916" t="s">
        <v>12654</v>
      </c>
      <c r="C1916" s="221">
        <v>42968.285983796297</v>
      </c>
      <c r="D1916" t="s">
        <v>12655</v>
      </c>
      <c r="E1916" s="249" t="str">
        <f>HYPERLINK("https://www.instagram.com/p/BYDZrdGDZ-_/")</f>
        <v>https://www.instagram.com/p/BYDZrdGDZ-_/</v>
      </c>
      <c r="F1916" t="s">
        <v>12656</v>
      </c>
      <c r="G1916" t="s">
        <v>2478</v>
      </c>
      <c r="H1916">
        <v>770</v>
      </c>
      <c r="I1916" t="s">
        <v>2479</v>
      </c>
      <c r="J1916">
        <v>0</v>
      </c>
      <c r="K1916">
        <v>32</v>
      </c>
      <c r="L1916">
        <v>32</v>
      </c>
      <c r="Q1916">
        <v>0</v>
      </c>
      <c r="R1916">
        <v>0</v>
      </c>
      <c r="S1916">
        <v>32</v>
      </c>
      <c r="T1916" t="s">
        <v>12657</v>
      </c>
      <c r="V1916" t="s">
        <v>2164</v>
      </c>
      <c r="W1916">
        <v>35.367663100000001</v>
      </c>
      <c r="X1916">
        <v>24.476920799999998</v>
      </c>
      <c r="Y1916" t="s">
        <v>12658</v>
      </c>
      <c r="Z1916" t="s">
        <v>2497</v>
      </c>
      <c r="AA1916" t="s">
        <v>12659</v>
      </c>
      <c r="AB1916" t="s">
        <v>12660</v>
      </c>
      <c r="AC1916" t="s">
        <v>12661</v>
      </c>
      <c r="AD1916" s="249" t="str">
        <f>HYPERLINK("https://scontent.cdninstagram.com/t51.2885-15/s320x320/e35/20905083_677374635800751_1628978853676318720_n.jpg")</f>
        <v>https://scontent.cdninstagram.com/t51.2885-15/s320x320/e35/20905083_677374635800751_1628978853676318720_n.jpg</v>
      </c>
      <c r="AE1916" s="249" t="str">
        <f>HYPERLINK("https://scontent.cdninstagram.com/t51.2885-19/s150x150/15535014_1408665812477173_3858447637741043712_a.jpg")</f>
        <v>https://scontent.cdninstagram.com/t51.2885-19/s150x150/15535014_1408665812477173_3858447637741043712_a.jpg</v>
      </c>
    </row>
    <row r="1917" spans="1:31" ht="15" x14ac:dyDescent="0.25">
      <c r="A1917" t="s">
        <v>2474</v>
      </c>
      <c r="B1917" t="s">
        <v>12662</v>
      </c>
      <c r="C1917" s="221">
        <v>42968.289247685185</v>
      </c>
      <c r="D1917" t="s">
        <v>12663</v>
      </c>
      <c r="E1917" s="249" t="str">
        <f>HYPERLINK("https://www.instagram.com/p/BYDaN7lh-Vi/")</f>
        <v>https://www.instagram.com/p/BYDaN7lh-Vi/</v>
      </c>
      <c r="F1917" t="s">
        <v>12664</v>
      </c>
      <c r="G1917" t="s">
        <v>2478</v>
      </c>
      <c r="H1917">
        <v>7059</v>
      </c>
      <c r="I1917" t="s">
        <v>2479</v>
      </c>
      <c r="J1917">
        <v>1</v>
      </c>
      <c r="K1917">
        <v>64</v>
      </c>
      <c r="L1917">
        <v>65</v>
      </c>
      <c r="Q1917">
        <v>0</v>
      </c>
      <c r="R1917">
        <v>0</v>
      </c>
      <c r="S1917">
        <v>65</v>
      </c>
      <c r="Y1917" t="s">
        <v>5808</v>
      </c>
      <c r="Z1917" t="s">
        <v>2497</v>
      </c>
      <c r="AA1917" t="s">
        <v>5706</v>
      </c>
      <c r="AB1917" t="s">
        <v>2735</v>
      </c>
      <c r="AC1917" t="s">
        <v>12665</v>
      </c>
      <c r="AD1917" s="249" t="str">
        <f>HYPERLINK("https://scontent.cdninstagram.com/t51.2885-15/s320x320/e35/20986757_132282324057214_4166551179758665728_n.jpg")</f>
        <v>https://scontent.cdninstagram.com/t51.2885-15/s320x320/e35/20986757_132282324057214_4166551179758665728_n.jpg</v>
      </c>
      <c r="AE1917" s="249" t="str">
        <f>HYPERLINK("https://scontent.cdninstagram.com/t51.2885-19/19534644_1073582372775570_795050329694535680_a.jpg")</f>
        <v>https://scontent.cdninstagram.com/t51.2885-19/19534644_1073582372775570_795050329694535680_a.jpg</v>
      </c>
    </row>
    <row r="1918" spans="1:31" ht="15" x14ac:dyDescent="0.25">
      <c r="A1918" t="s">
        <v>2474</v>
      </c>
      <c r="B1918" t="s">
        <v>12623</v>
      </c>
      <c r="C1918" s="221">
        <v>42968.291712962964</v>
      </c>
      <c r="D1918" t="s">
        <v>12666</v>
      </c>
      <c r="E1918" s="249" t="str">
        <f>HYPERLINK("https://www.instagram.com/p/BYDan2yB4Pf/")</f>
        <v>https://www.instagram.com/p/BYDan2yB4Pf/</v>
      </c>
      <c r="F1918" t="s">
        <v>12667</v>
      </c>
      <c r="G1918" t="s">
        <v>2478</v>
      </c>
      <c r="H1918">
        <v>22</v>
      </c>
      <c r="I1918" t="s">
        <v>2479</v>
      </c>
      <c r="J1918">
        <v>0</v>
      </c>
      <c r="K1918">
        <v>10</v>
      </c>
      <c r="L1918">
        <v>10</v>
      </c>
      <c r="Q1918">
        <v>0</v>
      </c>
      <c r="R1918">
        <v>0</v>
      </c>
      <c r="S1918">
        <v>10</v>
      </c>
      <c r="Y1918" t="s">
        <v>12668</v>
      </c>
      <c r="Z1918" t="s">
        <v>6228</v>
      </c>
      <c r="AA1918" t="s">
        <v>2497</v>
      </c>
      <c r="AB1918" t="s">
        <v>12669</v>
      </c>
      <c r="AC1918" t="s">
        <v>3225</v>
      </c>
      <c r="AD1918" s="249" t="str">
        <f>HYPERLINK("https://scontent.cdninstagram.com/t51.2885-15/s320x320/e35/20902682_1724032637900237_5001685511513833472_n.jpg")</f>
        <v>https://scontent.cdninstagram.com/t51.2885-15/s320x320/e35/20902682_1724032637900237_5001685511513833472_n.jpg</v>
      </c>
      <c r="AE1918" s="249" t="str">
        <f>HYPERLINK("https://scontent.cdninstagram.com/t51.2885-19/s150x150/20905221_267313190438379_2128714709635956736_a.jpg")</f>
        <v>https://scontent.cdninstagram.com/t51.2885-19/s150x150/20905221_267313190438379_2128714709635956736_a.jpg</v>
      </c>
    </row>
    <row r="1919" spans="1:31" ht="15" x14ac:dyDescent="0.25">
      <c r="A1919" t="s">
        <v>2474</v>
      </c>
      <c r="B1919" t="s">
        <v>12623</v>
      </c>
      <c r="C1919" s="221">
        <v>42968.292349537034</v>
      </c>
      <c r="D1919" t="s">
        <v>12670</v>
      </c>
      <c r="E1919" s="249" t="str">
        <f>HYPERLINK("https://www.instagram.com/p/BYDaunihXAa/")</f>
        <v>https://www.instagram.com/p/BYDaunihXAa/</v>
      </c>
      <c r="F1919" t="s">
        <v>12671</v>
      </c>
      <c r="G1919" t="s">
        <v>2478</v>
      </c>
      <c r="H1919">
        <v>22</v>
      </c>
      <c r="I1919" t="s">
        <v>2479</v>
      </c>
      <c r="J1919">
        <v>0</v>
      </c>
      <c r="K1919">
        <v>11</v>
      </c>
      <c r="L1919">
        <v>11</v>
      </c>
      <c r="Q1919">
        <v>0</v>
      </c>
      <c r="R1919">
        <v>0</v>
      </c>
      <c r="S1919">
        <v>11</v>
      </c>
      <c r="Y1919" t="s">
        <v>3153</v>
      </c>
      <c r="Z1919" t="s">
        <v>12672</v>
      </c>
      <c r="AA1919" t="s">
        <v>3132</v>
      </c>
      <c r="AB1919" t="s">
        <v>2497</v>
      </c>
      <c r="AC1919" t="s">
        <v>3225</v>
      </c>
      <c r="AD1919" s="249" t="str">
        <f>HYPERLINK("https://scontent.cdninstagram.com/t51.2885-15/s320x320/e35/20902724_163072820923363_6594932376181145600_n.jpg")</f>
        <v>https://scontent.cdninstagram.com/t51.2885-15/s320x320/e35/20902724_163072820923363_6594932376181145600_n.jpg</v>
      </c>
      <c r="AE1919" s="249" t="str">
        <f>HYPERLINK("https://scontent.cdninstagram.com/t51.2885-19/s150x150/20905221_267313190438379_2128714709635956736_a.jpg")</f>
        <v>https://scontent.cdninstagram.com/t51.2885-19/s150x150/20905221_267313190438379_2128714709635956736_a.jpg</v>
      </c>
    </row>
    <row r="1920" spans="1:31" ht="15" x14ac:dyDescent="0.25">
      <c r="A1920" t="s">
        <v>2474</v>
      </c>
      <c r="B1920" t="s">
        <v>12673</v>
      </c>
      <c r="C1920" s="221">
        <v>42968.299976851849</v>
      </c>
      <c r="D1920" t="s">
        <v>12674</v>
      </c>
      <c r="E1920" s="249" t="str">
        <f>HYPERLINK("https://www.instagram.com/p/BYDb_IblxnE/")</f>
        <v>https://www.instagram.com/p/BYDb_IblxnE/</v>
      </c>
      <c r="F1920" t="s">
        <v>12675</v>
      </c>
      <c r="G1920" t="s">
        <v>2478</v>
      </c>
      <c r="H1920">
        <v>714</v>
      </c>
      <c r="I1920" t="s">
        <v>2479</v>
      </c>
      <c r="J1920">
        <v>0</v>
      </c>
      <c r="K1920">
        <v>51</v>
      </c>
      <c r="L1920">
        <v>51</v>
      </c>
      <c r="Q1920">
        <v>0</v>
      </c>
      <c r="R1920">
        <v>0</v>
      </c>
      <c r="S1920">
        <v>51</v>
      </c>
      <c r="Y1920" t="s">
        <v>12676</v>
      </c>
      <c r="Z1920" t="s">
        <v>2497</v>
      </c>
      <c r="AA1920" t="s">
        <v>12677</v>
      </c>
      <c r="AB1920" t="s">
        <v>12678</v>
      </c>
      <c r="AC1920" t="s">
        <v>12679</v>
      </c>
      <c r="AD1920" s="249" t="str">
        <f>HYPERLINK("https://scontent.cdninstagram.com/t51.2885-15/s320x320/e35/21041988_125577641417888_5237453802742743040_n.jpg")</f>
        <v>https://scontent.cdninstagram.com/t51.2885-15/s320x320/e35/21041988_125577641417888_5237453802742743040_n.jpg</v>
      </c>
      <c r="AE1920" s="249" t="str">
        <f>HYPERLINK("https://scontent.cdninstagram.com/t51.2885-19/11055507_655092797969829_608773430_a.jpg")</f>
        <v>https://scontent.cdninstagram.com/t51.2885-19/11055507_655092797969829_608773430_a.jpg</v>
      </c>
    </row>
    <row r="1921" spans="1:31" ht="15" x14ac:dyDescent="0.25">
      <c r="A1921" t="s">
        <v>2474</v>
      </c>
      <c r="B1921" t="s">
        <v>2628</v>
      </c>
      <c r="C1921" s="221">
        <v>42968.304594907408</v>
      </c>
      <c r="D1921" t="s">
        <v>12680</v>
      </c>
      <c r="E1921" s="249" t="str">
        <f>HYPERLINK("https://www.instagram.com/p/BYDcvwHgWbL/")</f>
        <v>https://www.instagram.com/p/BYDcvwHgWbL/</v>
      </c>
      <c r="F1921" t="s">
        <v>6303</v>
      </c>
      <c r="G1921" t="s">
        <v>2631</v>
      </c>
      <c r="H1921">
        <v>176</v>
      </c>
      <c r="I1921" t="s">
        <v>2479</v>
      </c>
      <c r="J1921">
        <v>1</v>
      </c>
      <c r="K1921">
        <v>25</v>
      </c>
      <c r="L1921">
        <v>26</v>
      </c>
      <c r="Q1921">
        <v>0</v>
      </c>
      <c r="R1921">
        <v>0</v>
      </c>
      <c r="S1921">
        <v>26</v>
      </c>
      <c r="Y1921" t="s">
        <v>2497</v>
      </c>
      <c r="Z1921" t="s">
        <v>8048</v>
      </c>
      <c r="AA1921" t="s">
        <v>12681</v>
      </c>
      <c r="AB1921" t="s">
        <v>4817</v>
      </c>
      <c r="AC1921" t="s">
        <v>3477</v>
      </c>
      <c r="AD1921" s="249" t="str">
        <f>HYPERLINK("https://scontent.cdninstagram.com/t51.2885-15/s320x320/e15/20968906_1426328894086905_338385397916631040_n.jpg")</f>
        <v>https://scontent.cdninstagram.com/t51.2885-15/s320x320/e15/20968906_1426328894086905_338385397916631040_n.jpg</v>
      </c>
      <c r="AE1921" s="249" t="str">
        <f>HYPERLINK("https://scontent.cdninstagram.com/t51.2885-19/s150x150/13739472_923311071148595_1681273203_a.jpg")</f>
        <v>https://scontent.cdninstagram.com/t51.2885-19/s150x150/13739472_923311071148595_1681273203_a.jpg</v>
      </c>
    </row>
    <row r="1922" spans="1:31" ht="15" x14ac:dyDescent="0.25">
      <c r="A1922" t="s">
        <v>2474</v>
      </c>
      <c r="B1922" t="s">
        <v>12682</v>
      </c>
      <c r="C1922" s="221">
        <v>42968.306168981479</v>
      </c>
      <c r="D1922" t="s">
        <v>12683</v>
      </c>
      <c r="E1922" s="249" t="str">
        <f>HYPERLINK("https://www.instagram.com/p/BYDdAW_A5yO/")</f>
        <v>https://www.instagram.com/p/BYDdAW_A5yO/</v>
      </c>
      <c r="F1922" t="s">
        <v>12684</v>
      </c>
      <c r="G1922" t="s">
        <v>2478</v>
      </c>
      <c r="H1922">
        <v>3240</v>
      </c>
      <c r="I1922" t="s">
        <v>2479</v>
      </c>
      <c r="J1922">
        <v>1</v>
      </c>
      <c r="K1922">
        <v>99</v>
      </c>
      <c r="L1922">
        <v>100</v>
      </c>
      <c r="Q1922">
        <v>0</v>
      </c>
      <c r="R1922">
        <v>0</v>
      </c>
      <c r="S1922">
        <v>100</v>
      </c>
      <c r="T1922" t="s">
        <v>12685</v>
      </c>
      <c r="V1922" t="s">
        <v>2264</v>
      </c>
      <c r="W1922">
        <v>40</v>
      </c>
      <c r="X1922">
        <v>-3</v>
      </c>
      <c r="Y1922" t="s">
        <v>12686</v>
      </c>
      <c r="Z1922" t="s">
        <v>2497</v>
      </c>
      <c r="AA1922" t="s">
        <v>12013</v>
      </c>
      <c r="AB1922" t="s">
        <v>12682</v>
      </c>
      <c r="AC1922" t="s">
        <v>12687</v>
      </c>
      <c r="AD1922" s="249" t="str">
        <f>HYPERLINK("https://scontent.cdninstagram.com/t51.2885-15/s320x320/e35/c49.0.981.981/20986900_831644693677044_5643646550895755264_n.jpg")</f>
        <v>https://scontent.cdninstagram.com/t51.2885-15/s320x320/e35/c49.0.981.981/20986900_831644693677044_5643646550895755264_n.jpg</v>
      </c>
      <c r="AE1922" s="249" t="str">
        <f>HYPERLINK("https://scontent.cdninstagram.com/t51.2885-19/s150x150/13423448_1021847287900700_283352442_a.jpg")</f>
        <v>https://scontent.cdninstagram.com/t51.2885-19/s150x150/13423448_1021847287900700_283352442_a.jpg</v>
      </c>
    </row>
    <row r="1923" spans="1:31" ht="15" x14ac:dyDescent="0.25">
      <c r="A1923" t="s">
        <v>2474</v>
      </c>
      <c r="B1923" t="s">
        <v>12688</v>
      </c>
      <c r="C1923" s="221">
        <v>42968.309131944443</v>
      </c>
      <c r="D1923" t="s">
        <v>12689</v>
      </c>
      <c r="E1923" s="249" t="str">
        <f>HYPERLINK("https://www.instagram.com/p/BYDdfmwgyeZ/")</f>
        <v>https://www.instagram.com/p/BYDdfmwgyeZ/</v>
      </c>
      <c r="F1923" t="s">
        <v>12690</v>
      </c>
      <c r="G1923" t="s">
        <v>2478</v>
      </c>
      <c r="H1923">
        <v>352</v>
      </c>
      <c r="I1923" t="s">
        <v>3898</v>
      </c>
      <c r="J1923">
        <v>2</v>
      </c>
      <c r="K1923">
        <v>19</v>
      </c>
      <c r="L1923">
        <v>21</v>
      </c>
      <c r="Q1923">
        <v>0</v>
      </c>
      <c r="R1923">
        <v>0</v>
      </c>
      <c r="S1923">
        <v>21</v>
      </c>
      <c r="T1923" t="s">
        <v>12691</v>
      </c>
      <c r="V1923" t="s">
        <v>2222</v>
      </c>
      <c r="W1923">
        <v>50.986874899999997</v>
      </c>
      <c r="X1923">
        <v>5.8501725999999996</v>
      </c>
      <c r="Y1923" t="s">
        <v>12692</v>
      </c>
      <c r="Z1923" t="s">
        <v>12693</v>
      </c>
      <c r="AA1923" t="s">
        <v>2497</v>
      </c>
      <c r="AB1923" t="s">
        <v>12694</v>
      </c>
      <c r="AC1923" t="s">
        <v>2554</v>
      </c>
      <c r="AD1923" s="249" t="str">
        <f>HYPERLINK("https://scontent.cdninstagram.com/t51.2885-15/s320x320/e35/21041184_443344382732770_5506113430265790464_n.jpg")</f>
        <v>https://scontent.cdninstagram.com/t51.2885-15/s320x320/e35/21041184_443344382732770_5506113430265790464_n.jpg</v>
      </c>
      <c r="AE1923" s="249" t="str">
        <f>HYPERLINK("https://scontent.cdninstagram.com/t51.2885-19/s150x150/13767471_931904450251487_464679063_a.jpg")</f>
        <v>https://scontent.cdninstagram.com/t51.2885-19/s150x150/13767471_931904450251487_464679063_a.jpg</v>
      </c>
    </row>
    <row r="1924" spans="1:31" ht="15" x14ac:dyDescent="0.25">
      <c r="A1924" t="s">
        <v>2474</v>
      </c>
      <c r="B1924" t="s">
        <v>2907</v>
      </c>
      <c r="C1924" s="221">
        <v>42968.310324074075</v>
      </c>
      <c r="D1924" t="s">
        <v>12695</v>
      </c>
      <c r="E1924" s="249" t="str">
        <f>HYPERLINK("https://www.instagram.com/p/BYDdsKTgbpA/")</f>
        <v>https://www.instagram.com/p/BYDdsKTgbpA/</v>
      </c>
      <c r="F1924" t="s">
        <v>12696</v>
      </c>
      <c r="G1924" t="s">
        <v>2478</v>
      </c>
      <c r="H1924">
        <v>79</v>
      </c>
      <c r="I1924" t="s">
        <v>2542</v>
      </c>
      <c r="J1924">
        <v>0</v>
      </c>
      <c r="K1924">
        <v>22</v>
      </c>
      <c r="L1924">
        <v>22</v>
      </c>
      <c r="Q1924">
        <v>0</v>
      </c>
      <c r="R1924">
        <v>0</v>
      </c>
      <c r="S1924">
        <v>22</v>
      </c>
      <c r="Y1924" t="s">
        <v>12697</v>
      </c>
      <c r="Z1924" t="s">
        <v>2492</v>
      </c>
      <c r="AA1924" t="s">
        <v>2497</v>
      </c>
      <c r="AB1924" t="s">
        <v>12698</v>
      </c>
      <c r="AC1924" t="s">
        <v>2911</v>
      </c>
      <c r="AD1924" s="249" t="str">
        <f>HYPERLINK("https://scontent.cdninstagram.com/t51.2885-15/s320x320/e35/c0.135.1080.1080/20904900_1802753283348777_6168719741784424448_n.jpg")</f>
        <v>https://scontent.cdninstagram.com/t51.2885-15/s320x320/e35/c0.135.1080.1080/20904900_1802753283348777_6168719741784424448_n.jpg</v>
      </c>
      <c r="AE1924" s="249" t="str">
        <f>HYPERLINK("https://scontent.cdninstagram.com/t51.2885-19/s150x150/12357630_513986308780959_401409989_a.jpg")</f>
        <v>https://scontent.cdninstagram.com/t51.2885-19/s150x150/12357630_513986308780959_401409989_a.jpg</v>
      </c>
    </row>
    <row r="1925" spans="1:31" ht="15" x14ac:dyDescent="0.25">
      <c r="A1925" t="s">
        <v>2474</v>
      </c>
      <c r="B1925" t="s">
        <v>2700</v>
      </c>
      <c r="C1925" s="221">
        <v>42968.313333333332</v>
      </c>
      <c r="D1925" t="s">
        <v>12699</v>
      </c>
      <c r="E1925" s="249" t="str">
        <f>HYPERLINK("https://www.instagram.com/p/BYDeL_ehHDF/")</f>
        <v>https://www.instagram.com/p/BYDeL_ehHDF/</v>
      </c>
      <c r="F1925" t="s">
        <v>12700</v>
      </c>
      <c r="G1925" t="s">
        <v>2478</v>
      </c>
      <c r="H1925">
        <v>843</v>
      </c>
      <c r="I1925" t="s">
        <v>2479</v>
      </c>
      <c r="J1925">
        <v>4</v>
      </c>
      <c r="K1925">
        <v>50</v>
      </c>
      <c r="L1925">
        <v>54</v>
      </c>
      <c r="Q1925">
        <v>0</v>
      </c>
      <c r="R1925">
        <v>0</v>
      </c>
      <c r="S1925">
        <v>54</v>
      </c>
      <c r="T1925" t="s">
        <v>12701</v>
      </c>
      <c r="U1925" t="s">
        <v>268</v>
      </c>
      <c r="V1925" t="s">
        <v>2299</v>
      </c>
      <c r="W1925">
        <v>32.418799999999997</v>
      </c>
      <c r="X1925">
        <v>-90.124899999999997</v>
      </c>
      <c r="Y1925" t="s">
        <v>6393</v>
      </c>
      <c r="Z1925" t="s">
        <v>2730</v>
      </c>
      <c r="AA1925" t="s">
        <v>2706</v>
      </c>
      <c r="AB1925" t="s">
        <v>2497</v>
      </c>
      <c r="AC1925" t="s">
        <v>12669</v>
      </c>
      <c r="AD1925" s="249" t="str">
        <f>HYPERLINK("https://scontent.cdninstagram.com/t51.2885-15/s320x320/e35/20986869_267311953771347_8709621397665611776_n.jpg")</f>
        <v>https://scontent.cdninstagram.com/t51.2885-15/s320x320/e35/20986869_267311953771347_8709621397665611776_n.jpg</v>
      </c>
      <c r="AE1925" s="249" t="str">
        <f>HYPERLINK("https://scontent.cdninstagram.com/t51.2885-19/s150x150/14726415_1764726950434473_1846308506706116608_a.jpg")</f>
        <v>https://scontent.cdninstagram.com/t51.2885-19/s150x150/14726415_1764726950434473_1846308506706116608_a.jpg</v>
      </c>
    </row>
    <row r="1926" spans="1:31" ht="15" x14ac:dyDescent="0.25">
      <c r="A1926" t="s">
        <v>2474</v>
      </c>
      <c r="B1926" t="s">
        <v>8538</v>
      </c>
      <c r="C1926" s="221">
        <v>42968.317800925928</v>
      </c>
      <c r="D1926" t="s">
        <v>12702</v>
      </c>
      <c r="E1926" s="249" t="str">
        <f>HYPERLINK("https://www.instagram.com/p/BYDe7GUAZXL/")</f>
        <v>https://www.instagram.com/p/BYDe7GUAZXL/</v>
      </c>
      <c r="F1926" t="s">
        <v>12703</v>
      </c>
      <c r="G1926" t="s">
        <v>2478</v>
      </c>
      <c r="H1926">
        <v>5511</v>
      </c>
      <c r="I1926" t="s">
        <v>2479</v>
      </c>
      <c r="J1926">
        <v>8</v>
      </c>
      <c r="K1926">
        <v>383</v>
      </c>
      <c r="L1926">
        <v>391</v>
      </c>
      <c r="Q1926">
        <v>0</v>
      </c>
      <c r="R1926">
        <v>0</v>
      </c>
      <c r="S1926">
        <v>391</v>
      </c>
      <c r="T1926" t="s">
        <v>12704</v>
      </c>
      <c r="V1926" t="s">
        <v>2264</v>
      </c>
      <c r="W1926">
        <v>41.790494264467</v>
      </c>
      <c r="X1926">
        <v>3.0557806718910001</v>
      </c>
      <c r="Y1926" t="s">
        <v>12705</v>
      </c>
      <c r="Z1926" t="s">
        <v>12706</v>
      </c>
      <c r="AA1926" t="s">
        <v>8541</v>
      </c>
      <c r="AB1926" t="s">
        <v>2497</v>
      </c>
      <c r="AD1926" s="249" t="str">
        <f>HYPERLINK("https://scontent.cdninstagram.com/t51.2885-15/s320x320/e35/20969072_133891640559173_1583002792140734464_n.jpg")</f>
        <v>https://scontent.cdninstagram.com/t51.2885-15/s320x320/e35/20969072_133891640559173_1583002792140734464_n.jpg</v>
      </c>
      <c r="AE1926" s="249" t="str">
        <f>HYPERLINK("https://scontent.cdninstagram.com/t51.2885-19/s150x150/18950246_1127968397303807_6772371073045364736_a.jpg")</f>
        <v>https://scontent.cdninstagram.com/t51.2885-19/s150x150/18950246_1127968397303807_6772371073045364736_a.jpg</v>
      </c>
    </row>
    <row r="1927" spans="1:31" ht="15" x14ac:dyDescent="0.25">
      <c r="A1927" t="s">
        <v>2474</v>
      </c>
      <c r="B1927" t="s">
        <v>12707</v>
      </c>
      <c r="C1927" s="221">
        <v>42968.322858796295</v>
      </c>
      <c r="D1927" t="s">
        <v>12708</v>
      </c>
      <c r="E1927" s="249" t="str">
        <f>HYPERLINK("https://www.instagram.com/p/BYDfwY7ho3q/")</f>
        <v>https://www.instagram.com/p/BYDfwY7ho3q/</v>
      </c>
      <c r="F1927" t="s">
        <v>12709</v>
      </c>
      <c r="G1927" t="s">
        <v>2478</v>
      </c>
      <c r="H1927">
        <v>160</v>
      </c>
      <c r="I1927" t="s">
        <v>2479</v>
      </c>
      <c r="J1927">
        <v>15</v>
      </c>
      <c r="K1927">
        <v>50</v>
      </c>
      <c r="L1927">
        <v>65</v>
      </c>
      <c r="Q1927">
        <v>0</v>
      </c>
      <c r="R1927">
        <v>0</v>
      </c>
      <c r="S1927">
        <v>65</v>
      </c>
      <c r="Y1927" t="s">
        <v>2492</v>
      </c>
      <c r="Z1927" t="s">
        <v>6779</v>
      </c>
      <c r="AA1927" t="s">
        <v>5884</v>
      </c>
      <c r="AB1927" t="s">
        <v>12710</v>
      </c>
      <c r="AC1927" t="s">
        <v>4042</v>
      </c>
      <c r="AD1927" s="249" t="str">
        <f>HYPERLINK("https://scontent.cdninstagram.com/t51.2885-15/s320x320/e35/20905787_351775121920362_1683677298005377024_n.jpg")</f>
        <v>https://scontent.cdninstagram.com/t51.2885-15/s320x320/e35/20905787_351775121920362_1683677298005377024_n.jpg</v>
      </c>
      <c r="AE1927" s="249" t="str">
        <f>HYPERLINK("https://scontent.cdninstagram.com/t51.2885-19/s150x150/16583811_236496396759674_3483520731084488704_a.jpg")</f>
        <v>https://scontent.cdninstagram.com/t51.2885-19/s150x150/16583811_236496396759674_3483520731084488704_a.jpg</v>
      </c>
    </row>
    <row r="1928" spans="1:31" ht="15" x14ac:dyDescent="0.25">
      <c r="A1928" t="s">
        <v>2474</v>
      </c>
      <c r="B1928" t="s">
        <v>12711</v>
      </c>
      <c r="C1928" s="221">
        <v>42968.338252314818</v>
      </c>
      <c r="D1928" t="s">
        <v>12712</v>
      </c>
      <c r="E1928" s="249" t="str">
        <f>HYPERLINK("https://www.instagram.com/p/BYDiSzHHKGp/")</f>
        <v>https://www.instagram.com/p/BYDiSzHHKGp/</v>
      </c>
      <c r="F1928" t="s">
        <v>12713</v>
      </c>
      <c r="G1928" t="s">
        <v>2478</v>
      </c>
      <c r="H1928">
        <v>121</v>
      </c>
      <c r="I1928" t="s">
        <v>2479</v>
      </c>
      <c r="J1928">
        <v>0</v>
      </c>
      <c r="K1928">
        <v>17</v>
      </c>
      <c r="L1928">
        <v>17</v>
      </c>
      <c r="Q1928">
        <v>0</v>
      </c>
      <c r="R1928">
        <v>0</v>
      </c>
      <c r="S1928">
        <v>17</v>
      </c>
      <c r="Y1928" t="s">
        <v>12714</v>
      </c>
      <c r="Z1928" t="s">
        <v>2730</v>
      </c>
      <c r="AA1928" t="s">
        <v>7287</v>
      </c>
      <c r="AB1928" t="s">
        <v>2497</v>
      </c>
      <c r="AD1928" s="249" t="str">
        <f>HYPERLINK("https://scontent.cdninstagram.com/t51.2885-15/s320x320/e35/20905064_1390054401089963_3657457290140712960_n.jpg")</f>
        <v>https://scontent.cdninstagram.com/t51.2885-15/s320x320/e35/20905064_1390054401089963_3657457290140712960_n.jpg</v>
      </c>
      <c r="AE1928" s="249" t="str">
        <f>HYPERLINK("https://scontent.cdninstagram.com/t51.2885-19/s150x150/11324433_1043804785632715_158894303_a.jpg")</f>
        <v>https://scontent.cdninstagram.com/t51.2885-19/s150x150/11324433_1043804785632715_158894303_a.jpg</v>
      </c>
    </row>
    <row r="1929" spans="1:31" ht="15" x14ac:dyDescent="0.25">
      <c r="A1929" t="s">
        <v>2474</v>
      </c>
      <c r="B1929" t="s">
        <v>12715</v>
      </c>
      <c r="C1929" s="221">
        <v>42968.342129629629</v>
      </c>
      <c r="D1929" t="s">
        <v>12716</v>
      </c>
      <c r="E1929" s="249" t="str">
        <f>HYPERLINK("https://www.instagram.com/p/BYDi7sMhRUb/")</f>
        <v>https://www.instagram.com/p/BYDi7sMhRUb/</v>
      </c>
      <c r="F1929" t="s">
        <v>12717</v>
      </c>
      <c r="G1929" t="s">
        <v>2478</v>
      </c>
      <c r="H1929">
        <v>618</v>
      </c>
      <c r="I1929" t="s">
        <v>2479</v>
      </c>
      <c r="J1929">
        <v>2</v>
      </c>
      <c r="K1929">
        <v>45</v>
      </c>
      <c r="L1929">
        <v>47</v>
      </c>
      <c r="Q1929">
        <v>0</v>
      </c>
      <c r="R1929">
        <v>0</v>
      </c>
      <c r="S1929">
        <v>47</v>
      </c>
      <c r="Y1929" t="s">
        <v>2832</v>
      </c>
      <c r="Z1929" t="s">
        <v>12718</v>
      </c>
      <c r="AA1929" t="s">
        <v>6633</v>
      </c>
      <c r="AB1929" t="s">
        <v>2497</v>
      </c>
      <c r="AC1929" t="s">
        <v>12719</v>
      </c>
      <c r="AD1929" s="249" t="str">
        <f>HYPERLINK("https://scontent.cdninstagram.com/t51.2885-15/s320x320/e35/c180.0.720.720/20905563_115489385841152_2996153281425702912_n.jpg")</f>
        <v>https://scontent.cdninstagram.com/t51.2885-15/s320x320/e35/c180.0.720.720/20905563_115489385841152_2996153281425702912_n.jpg</v>
      </c>
      <c r="AE1929" s="249" t="str">
        <f>HYPERLINK("https://scontent.cdninstagram.com/t51.2885-19/s150x150/16583353_745718652266088_1028684151026352128_a.jpg")</f>
        <v>https://scontent.cdninstagram.com/t51.2885-19/s150x150/16583353_745718652266088_1028684151026352128_a.jpg</v>
      </c>
    </row>
    <row r="1930" spans="1:31" ht="15" x14ac:dyDescent="0.25">
      <c r="A1930" t="s">
        <v>2474</v>
      </c>
      <c r="B1930" t="s">
        <v>3644</v>
      </c>
      <c r="C1930" s="221">
        <v>42968.342303240737</v>
      </c>
      <c r="D1930" t="s">
        <v>12720</v>
      </c>
      <c r="E1930" s="249" t="str">
        <f>HYPERLINK("https://www.instagram.com/p/BYDi9cElw_X/")</f>
        <v>https://www.instagram.com/p/BYDi9cElw_X/</v>
      </c>
      <c r="F1930" t="s">
        <v>12721</v>
      </c>
      <c r="G1930" t="s">
        <v>2631</v>
      </c>
      <c r="H1930">
        <v>573</v>
      </c>
      <c r="I1930" t="s">
        <v>2479</v>
      </c>
      <c r="J1930">
        <v>2</v>
      </c>
      <c r="K1930">
        <v>22</v>
      </c>
      <c r="L1930">
        <v>24</v>
      </c>
      <c r="Q1930">
        <v>0</v>
      </c>
      <c r="R1930">
        <v>0</v>
      </c>
      <c r="S1930">
        <v>24</v>
      </c>
      <c r="T1930" t="s">
        <v>3647</v>
      </c>
      <c r="V1930" t="s">
        <v>2141</v>
      </c>
      <c r="W1930">
        <v>55.426879900000003</v>
      </c>
      <c r="X1930">
        <v>10.3903303</v>
      </c>
      <c r="Y1930" t="s">
        <v>5867</v>
      </c>
      <c r="Z1930" t="s">
        <v>6487</v>
      </c>
      <c r="AA1930" t="s">
        <v>3213</v>
      </c>
      <c r="AB1930" t="s">
        <v>7120</v>
      </c>
      <c r="AC1930" t="s">
        <v>3648</v>
      </c>
      <c r="AD1930" s="249" t="str">
        <f>HYPERLINK("https://scontent.cdninstagram.com/t51.2885-15/s320x320/e15/c0.90.720.720/20905440_1731678547133321_8583361286287392768_n.jpg")</f>
        <v>https://scontent.cdninstagram.com/t51.2885-15/s320x320/e15/c0.90.720.720/20905440_1731678547133321_8583361286287392768_n.jpg</v>
      </c>
      <c r="AE1930" s="249" t="str">
        <f>HYPERLINK("https://scontent.cdninstagram.com/t51.2885-19/s150x150/14714495_1790450111234953_7147855754219749376_a.jpg")</f>
        <v>https://scontent.cdninstagram.com/t51.2885-19/s150x150/14714495_1790450111234953_7147855754219749376_a.jpg</v>
      </c>
    </row>
    <row r="1931" spans="1:31" ht="15" x14ac:dyDescent="0.25">
      <c r="A1931" t="s">
        <v>2474</v>
      </c>
      <c r="B1931" t="s">
        <v>12623</v>
      </c>
      <c r="C1931" s="221">
        <v>42968.346134259256</v>
      </c>
      <c r="D1931" t="s">
        <v>12722</v>
      </c>
      <c r="E1931" s="249" t="str">
        <f>HYPERLINK("https://www.instagram.com/p/BYDjl4vBrfH/")</f>
        <v>https://www.instagram.com/p/BYDjl4vBrfH/</v>
      </c>
      <c r="F1931" t="s">
        <v>12723</v>
      </c>
      <c r="G1931" t="s">
        <v>2478</v>
      </c>
      <c r="H1931">
        <v>28</v>
      </c>
      <c r="I1931" t="s">
        <v>2479</v>
      </c>
      <c r="J1931">
        <v>0</v>
      </c>
      <c r="K1931">
        <v>6</v>
      </c>
      <c r="L1931">
        <v>6</v>
      </c>
      <c r="Q1931">
        <v>0</v>
      </c>
      <c r="R1931">
        <v>0</v>
      </c>
      <c r="S1931">
        <v>6</v>
      </c>
      <c r="Y1931" t="s">
        <v>4733</v>
      </c>
      <c r="Z1931" t="s">
        <v>2497</v>
      </c>
      <c r="AA1931" t="s">
        <v>5619</v>
      </c>
      <c r="AB1931" t="s">
        <v>3849</v>
      </c>
      <c r="AC1931" t="s">
        <v>3225</v>
      </c>
      <c r="AD1931" s="249" t="str">
        <f>HYPERLINK("https://scontent.cdninstagram.com/t51.2885-15/s320x320/e35/20902520_1844589862522954_3896881977223020544_n.jpg")</f>
        <v>https://scontent.cdninstagram.com/t51.2885-15/s320x320/e35/20902520_1844589862522954_3896881977223020544_n.jpg</v>
      </c>
      <c r="AE1931" s="249" t="str">
        <f>HYPERLINK("https://scontent.cdninstagram.com/t51.2885-19/s150x150/20905221_267313190438379_2128714709635956736_a.jpg")</f>
        <v>https://scontent.cdninstagram.com/t51.2885-19/s150x150/20905221_267313190438379_2128714709635956736_a.jpg</v>
      </c>
    </row>
    <row r="1932" spans="1:31" ht="15" x14ac:dyDescent="0.25">
      <c r="A1932" t="s">
        <v>2474</v>
      </c>
      <c r="B1932" t="s">
        <v>2700</v>
      </c>
      <c r="C1932" s="221">
        <v>42968.346284722225</v>
      </c>
      <c r="D1932" t="s">
        <v>12724</v>
      </c>
      <c r="E1932" s="249" t="str">
        <f>HYPERLINK("https://www.instagram.com/p/BYDjnhBBrip/")</f>
        <v>https://www.instagram.com/p/BYDjnhBBrip/</v>
      </c>
      <c r="F1932" t="s">
        <v>12725</v>
      </c>
      <c r="G1932" t="s">
        <v>2478</v>
      </c>
      <c r="H1932">
        <v>843</v>
      </c>
      <c r="I1932" t="s">
        <v>3025</v>
      </c>
      <c r="J1932">
        <v>2</v>
      </c>
      <c r="K1932">
        <v>41</v>
      </c>
      <c r="L1932">
        <v>43</v>
      </c>
      <c r="Q1932">
        <v>0</v>
      </c>
      <c r="R1932">
        <v>0</v>
      </c>
      <c r="S1932">
        <v>43</v>
      </c>
      <c r="T1932" t="s">
        <v>12701</v>
      </c>
      <c r="U1932" t="s">
        <v>268</v>
      </c>
      <c r="V1932" t="s">
        <v>2299</v>
      </c>
      <c r="W1932">
        <v>32.418799999999997</v>
      </c>
      <c r="X1932">
        <v>-90.124899999999997</v>
      </c>
      <c r="Y1932" t="s">
        <v>4104</v>
      </c>
      <c r="Z1932" t="s">
        <v>12726</v>
      </c>
      <c r="AA1932" t="s">
        <v>12727</v>
      </c>
      <c r="AB1932" t="s">
        <v>2707</v>
      </c>
      <c r="AC1932" t="s">
        <v>12728</v>
      </c>
      <c r="AD1932" s="249" t="str">
        <f>HYPERLINK("https://scontent.cdninstagram.com/t51.2885-15/s320x320/e35/20905342_264705274026087_4653379980388990976_n.jpg")</f>
        <v>https://scontent.cdninstagram.com/t51.2885-15/s320x320/e35/20905342_264705274026087_4653379980388990976_n.jpg</v>
      </c>
      <c r="AE1932" s="249" t="str">
        <f>HYPERLINK("https://scontent.cdninstagram.com/t51.2885-19/s150x150/14726415_1764726950434473_1846308506706116608_a.jpg")</f>
        <v>https://scontent.cdninstagram.com/t51.2885-19/s150x150/14726415_1764726950434473_1846308506706116608_a.jpg</v>
      </c>
    </row>
    <row r="1933" spans="1:31" ht="15" x14ac:dyDescent="0.25">
      <c r="A1933" t="s">
        <v>2474</v>
      </c>
      <c r="B1933" t="s">
        <v>6847</v>
      </c>
      <c r="C1933" s="221">
        <v>42968.348437499997</v>
      </c>
      <c r="D1933" t="s">
        <v>12729</v>
      </c>
      <c r="E1933" s="249" t="str">
        <f>HYPERLINK("https://www.instagram.com/p/BYDj-M5BPMl/")</f>
        <v>https://www.instagram.com/p/BYDj-M5BPMl/</v>
      </c>
      <c r="F1933" t="s">
        <v>12730</v>
      </c>
      <c r="G1933" t="s">
        <v>2478</v>
      </c>
      <c r="H1933">
        <v>125</v>
      </c>
      <c r="I1933" t="s">
        <v>2903</v>
      </c>
      <c r="J1933">
        <v>3</v>
      </c>
      <c r="K1933">
        <v>43</v>
      </c>
      <c r="L1933">
        <v>46</v>
      </c>
      <c r="Q1933">
        <v>0</v>
      </c>
      <c r="R1933">
        <v>0</v>
      </c>
      <c r="S1933">
        <v>46</v>
      </c>
      <c r="T1933" t="s">
        <v>6850</v>
      </c>
      <c r="V1933" t="s">
        <v>2161</v>
      </c>
      <c r="W1933">
        <v>50.95</v>
      </c>
      <c r="X1933">
        <v>6.9667000000000003</v>
      </c>
      <c r="Y1933" t="s">
        <v>12731</v>
      </c>
      <c r="Z1933" t="s">
        <v>5802</v>
      </c>
      <c r="AA1933" t="s">
        <v>2497</v>
      </c>
      <c r="AB1933" t="s">
        <v>12732</v>
      </c>
      <c r="AC1933" t="s">
        <v>3225</v>
      </c>
      <c r="AD1933" s="249" t="str">
        <f>HYPERLINK("https://scontent.cdninstagram.com/t51.2885-15/s320x320/e35/20968654_1956977361246666_1934557646413627392_n.jpg")</f>
        <v>https://scontent.cdninstagram.com/t51.2885-15/s320x320/e35/20968654_1956977361246666_1934557646413627392_n.jpg</v>
      </c>
      <c r="AE1933" s="249" t="str">
        <f>HYPERLINK("https://scontent.cdninstagram.com/t51.2885-19/s150x150/20759948_2040958986128138_1613724504230461440_a.jpg")</f>
        <v>https://scontent.cdninstagram.com/t51.2885-19/s150x150/20759948_2040958986128138_1613724504230461440_a.jpg</v>
      </c>
    </row>
    <row r="1934" spans="1:31" ht="15" x14ac:dyDescent="0.25">
      <c r="A1934" t="s">
        <v>2474</v>
      </c>
      <c r="B1934" t="s">
        <v>12733</v>
      </c>
      <c r="C1934" s="221">
        <v>42968.353622685187</v>
      </c>
      <c r="D1934" t="s">
        <v>12734</v>
      </c>
      <c r="E1934" s="249" t="str">
        <f>HYPERLINK("https://www.instagram.com/p/BYDk03iAvyO/")</f>
        <v>https://www.instagram.com/p/BYDk03iAvyO/</v>
      </c>
      <c r="F1934" t="s">
        <v>12735</v>
      </c>
      <c r="G1934" t="s">
        <v>2488</v>
      </c>
      <c r="H1934">
        <v>498</v>
      </c>
      <c r="I1934" t="s">
        <v>2479</v>
      </c>
      <c r="J1934">
        <v>15</v>
      </c>
      <c r="K1934">
        <v>94</v>
      </c>
      <c r="L1934">
        <v>109</v>
      </c>
      <c r="Q1934">
        <v>0</v>
      </c>
      <c r="R1934">
        <v>0</v>
      </c>
      <c r="S1934">
        <v>109</v>
      </c>
      <c r="Y1934" t="s">
        <v>8013</v>
      </c>
      <c r="Z1934" t="s">
        <v>4988</v>
      </c>
      <c r="AA1934" t="s">
        <v>4120</v>
      </c>
      <c r="AB1934" t="s">
        <v>12736</v>
      </c>
      <c r="AC1934" t="s">
        <v>4325</v>
      </c>
      <c r="AD1934" s="249" t="str">
        <f>HYPERLINK("https://scontent.cdninstagram.com/t51.2885-15/s320x320/e35/20905436_1727297150909172_6030895589875515392_n.jpg")</f>
        <v>https://scontent.cdninstagram.com/t51.2885-15/s320x320/e35/20905436_1727297150909172_6030895589875515392_n.jpg</v>
      </c>
      <c r="AE1934" s="249" t="str">
        <f>HYPERLINK("https://scontent.cdninstagram.com/t51.2885-19/s150x150/20633531_2278558362369844_6896459532994609152_a.jpg")</f>
        <v>https://scontent.cdninstagram.com/t51.2885-19/s150x150/20633531_2278558362369844_6896459532994609152_a.jpg</v>
      </c>
    </row>
    <row r="1935" spans="1:31" ht="15" x14ac:dyDescent="0.25">
      <c r="A1935" t="s">
        <v>2474</v>
      </c>
      <c r="B1935" t="s">
        <v>12737</v>
      </c>
      <c r="C1935" s="221">
        <v>42968.358460648145</v>
      </c>
      <c r="D1935" t="s">
        <v>12738</v>
      </c>
      <c r="E1935" s="249" t="str">
        <f>HYPERLINK("https://www.instagram.com/p/BYDln6MgCFA/")</f>
        <v>https://www.instagram.com/p/BYDln6MgCFA/</v>
      </c>
      <c r="F1935" t="s">
        <v>12739</v>
      </c>
      <c r="G1935" t="s">
        <v>2478</v>
      </c>
      <c r="H1935">
        <v>900</v>
      </c>
      <c r="I1935" t="s">
        <v>2479</v>
      </c>
      <c r="J1935">
        <v>0</v>
      </c>
      <c r="K1935">
        <v>21</v>
      </c>
      <c r="L1935">
        <v>21</v>
      </c>
      <c r="Q1935">
        <v>0</v>
      </c>
      <c r="R1935">
        <v>0</v>
      </c>
      <c r="S1935">
        <v>21</v>
      </c>
      <c r="Y1935" t="s">
        <v>3070</v>
      </c>
      <c r="Z1935" t="s">
        <v>12740</v>
      </c>
      <c r="AA1935" t="s">
        <v>2497</v>
      </c>
      <c r="AB1935" t="s">
        <v>12741</v>
      </c>
      <c r="AC1935" t="s">
        <v>12742</v>
      </c>
      <c r="AD1935" s="249" t="str">
        <f>HYPERLINK("https://scontent.cdninstagram.com/t51.2885-15/s320x320/e35/20904893_113672229301834_1483058593925169152_n.jpg")</f>
        <v>https://scontent.cdninstagram.com/t51.2885-15/s320x320/e35/20904893_113672229301834_1483058593925169152_n.jpg</v>
      </c>
      <c r="AE1935" s="249" t="str">
        <f>HYPERLINK("https://scontent.cdninstagram.com/t51.2885-19/s150x150/20766993_1403359653092831_3108265783415799808_a.jpg")</f>
        <v>https://scontent.cdninstagram.com/t51.2885-19/s150x150/20766993_1403359653092831_3108265783415799808_a.jpg</v>
      </c>
    </row>
    <row r="1936" spans="1:31" ht="15" x14ac:dyDescent="0.25">
      <c r="A1936" t="s">
        <v>2474</v>
      </c>
      <c r="B1936" t="s">
        <v>12743</v>
      </c>
      <c r="C1936" s="221">
        <v>42968.359050925923</v>
      </c>
      <c r="D1936" t="s">
        <v>12744</v>
      </c>
      <c r="E1936" s="249" t="str">
        <f>HYPERLINK("https://www.instagram.com/p/BYDluJQDUcP/")</f>
        <v>https://www.instagram.com/p/BYDluJQDUcP/</v>
      </c>
      <c r="F1936" t="s">
        <v>12745</v>
      </c>
      <c r="G1936" t="s">
        <v>2478</v>
      </c>
      <c r="H1936">
        <v>410</v>
      </c>
      <c r="I1936" t="s">
        <v>2479</v>
      </c>
      <c r="J1936">
        <v>1</v>
      </c>
      <c r="K1936">
        <v>19</v>
      </c>
      <c r="L1936">
        <v>20</v>
      </c>
      <c r="Q1936">
        <v>0</v>
      </c>
      <c r="R1936">
        <v>0</v>
      </c>
      <c r="S1936">
        <v>20</v>
      </c>
      <c r="Y1936" t="s">
        <v>12746</v>
      </c>
      <c r="Z1936" t="s">
        <v>12747</v>
      </c>
      <c r="AA1936" t="s">
        <v>12748</v>
      </c>
      <c r="AB1936" t="s">
        <v>12749</v>
      </c>
      <c r="AC1936" t="s">
        <v>3246</v>
      </c>
      <c r="AD1936" s="249" t="str">
        <f>HYPERLINK("https://scontent.cdninstagram.com/t51.2885-15/s320x320/e35/c88.0.904.904/20969253_472950229737439_2752645038222606336_n.jpg")</f>
        <v>https://scontent.cdninstagram.com/t51.2885-15/s320x320/e35/c88.0.904.904/20969253_472950229737439_2752645038222606336_n.jpg</v>
      </c>
      <c r="AE1936" s="249" t="str">
        <f>HYPERLINK("https://scontent.cdninstagram.com/t51.2885-19/s150x150/20633679_1765040463793824_522926377255567360_a.jpg")</f>
        <v>https://scontent.cdninstagram.com/t51.2885-19/s150x150/20633679_1765040463793824_522926377255567360_a.jpg</v>
      </c>
    </row>
    <row r="1937" spans="1:31" ht="15" x14ac:dyDescent="0.25">
      <c r="A1937" t="s">
        <v>2474</v>
      </c>
      <c r="B1937" t="s">
        <v>12623</v>
      </c>
      <c r="C1937" s="221">
        <v>42968.364201388889</v>
      </c>
      <c r="D1937" t="s">
        <v>12750</v>
      </c>
      <c r="E1937" s="249" t="str">
        <f>HYPERLINK("https://www.instagram.com/p/BYDmkefhbCw/")</f>
        <v>https://www.instagram.com/p/BYDmkefhbCw/</v>
      </c>
      <c r="F1937" t="s">
        <v>12751</v>
      </c>
      <c r="G1937" t="s">
        <v>2478</v>
      </c>
      <c r="H1937">
        <v>28</v>
      </c>
      <c r="I1937" t="s">
        <v>5670</v>
      </c>
      <c r="J1937">
        <v>0</v>
      </c>
      <c r="K1937">
        <v>8</v>
      </c>
      <c r="L1937">
        <v>8</v>
      </c>
      <c r="Q1937">
        <v>0</v>
      </c>
      <c r="R1937">
        <v>0</v>
      </c>
      <c r="S1937">
        <v>8</v>
      </c>
      <c r="Y1937" t="s">
        <v>3153</v>
      </c>
      <c r="Z1937" t="s">
        <v>3117</v>
      </c>
      <c r="AA1937" t="s">
        <v>12752</v>
      </c>
      <c r="AB1937" t="s">
        <v>3132</v>
      </c>
      <c r="AC1937" t="s">
        <v>5163</v>
      </c>
      <c r="AD1937" s="249" t="str">
        <f>HYPERLINK("https://scontent.cdninstagram.com/t51.2885-15/s320x320/e35/c0.117.937.937/21041196_1911532329121492_4234496789287272448_n.jpg")</f>
        <v>https://scontent.cdninstagram.com/t51.2885-15/s320x320/e35/c0.117.937.937/21041196_1911532329121492_4234496789287272448_n.jpg</v>
      </c>
      <c r="AE1937" s="249" t="str">
        <f>HYPERLINK("https://scontent.cdninstagram.com/t51.2885-19/s150x150/20905221_267313190438379_2128714709635956736_a.jpg")</f>
        <v>https://scontent.cdninstagram.com/t51.2885-19/s150x150/20905221_267313190438379_2128714709635956736_a.jpg</v>
      </c>
    </row>
    <row r="1938" spans="1:31" ht="15" x14ac:dyDescent="0.25">
      <c r="A1938" t="s">
        <v>2474</v>
      </c>
      <c r="B1938" t="s">
        <v>12753</v>
      </c>
      <c r="C1938" s="221">
        <v>42968.367696759262</v>
      </c>
      <c r="D1938" t="s">
        <v>12754</v>
      </c>
      <c r="E1938" s="249" t="str">
        <f>HYPERLINK("https://www.instagram.com/p/BYDnJVGlHwG/")</f>
        <v>https://www.instagram.com/p/BYDnJVGlHwG/</v>
      </c>
      <c r="F1938" t="s">
        <v>12755</v>
      </c>
      <c r="G1938" t="s">
        <v>2478</v>
      </c>
      <c r="H1938">
        <v>1506</v>
      </c>
      <c r="I1938" t="s">
        <v>2479</v>
      </c>
      <c r="J1938">
        <v>0</v>
      </c>
      <c r="K1938">
        <v>101</v>
      </c>
      <c r="L1938">
        <v>101</v>
      </c>
      <c r="Q1938">
        <v>0</v>
      </c>
      <c r="R1938">
        <v>0</v>
      </c>
      <c r="S1938">
        <v>101</v>
      </c>
      <c r="Y1938" t="s">
        <v>6830</v>
      </c>
      <c r="Z1938" t="s">
        <v>12756</v>
      </c>
      <c r="AA1938" t="s">
        <v>3549</v>
      </c>
      <c r="AB1938" t="s">
        <v>12757</v>
      </c>
      <c r="AC1938" t="s">
        <v>2697</v>
      </c>
      <c r="AD1938" s="249" t="str">
        <f>HYPERLINK("https://scontent.cdninstagram.com/t51.2885-15/s320x320/e35/c4.0.992.992/21040991_507701672901882_157866251723472896_n.jpg")</f>
        <v>https://scontent.cdninstagram.com/t51.2885-15/s320x320/e35/c4.0.992.992/21040991_507701672901882_157866251723472896_n.jpg</v>
      </c>
      <c r="AE1938" s="249" t="str">
        <f>HYPERLINK("https://scontent.cdninstagram.com/t51.2885-19/11189795_1585625931702104_1452262685_a.jpg")</f>
        <v>https://scontent.cdninstagram.com/t51.2885-19/11189795_1585625931702104_1452262685_a.jpg</v>
      </c>
    </row>
    <row r="1939" spans="1:31" ht="15" x14ac:dyDescent="0.25">
      <c r="A1939" t="s">
        <v>2474</v>
      </c>
      <c r="B1939" t="s">
        <v>12758</v>
      </c>
      <c r="C1939" s="221">
        <v>42968.369247685187</v>
      </c>
      <c r="D1939" t="s">
        <v>12759</v>
      </c>
      <c r="E1939" s="249" t="str">
        <f>HYPERLINK("https://www.instagram.com/p/BYDnZqTFoTs/")</f>
        <v>https://www.instagram.com/p/BYDnZqTFoTs/</v>
      </c>
      <c r="F1939" t="s">
        <v>12760</v>
      </c>
      <c r="G1939" t="s">
        <v>2478</v>
      </c>
      <c r="H1939">
        <v>175</v>
      </c>
      <c r="I1939" t="s">
        <v>2896</v>
      </c>
      <c r="J1939">
        <v>3</v>
      </c>
      <c r="K1939">
        <v>29</v>
      </c>
      <c r="L1939">
        <v>32</v>
      </c>
      <c r="Q1939">
        <v>0</v>
      </c>
      <c r="R1939">
        <v>0</v>
      </c>
      <c r="S1939">
        <v>32</v>
      </c>
      <c r="T1939" t="s">
        <v>12761</v>
      </c>
      <c r="V1939" t="s">
        <v>2288</v>
      </c>
      <c r="W1939">
        <v>52.349601999999997</v>
      </c>
      <c r="X1939">
        <v>-3.637848</v>
      </c>
      <c r="Y1939" t="s">
        <v>2777</v>
      </c>
      <c r="Z1939" t="s">
        <v>4174</v>
      </c>
      <c r="AA1939" t="s">
        <v>12762</v>
      </c>
      <c r="AB1939" t="s">
        <v>12763</v>
      </c>
      <c r="AC1939" t="s">
        <v>12764</v>
      </c>
      <c r="AD1939" s="249" t="str">
        <f>HYPERLINK("https://scontent.cdninstagram.com/t51.2885-15/s320x320/e35/c0.90.720.720/21041858_1920124744903131_6374382077499932672_n.jpg")</f>
        <v>https://scontent.cdninstagram.com/t51.2885-15/s320x320/e35/c0.90.720.720/21041858_1920124744903131_6374382077499932672_n.jpg</v>
      </c>
      <c r="AE1939" s="249" t="str">
        <f>HYPERLINK("https://scontent.cdninstagram.com/t51.2885-19/s150x150/19051426_441576182893973_4628118528942145536_a.jpg")</f>
        <v>https://scontent.cdninstagram.com/t51.2885-19/s150x150/19051426_441576182893973_4628118528942145536_a.jpg</v>
      </c>
    </row>
    <row r="1940" spans="1:31" ht="15" x14ac:dyDescent="0.25">
      <c r="A1940" t="s">
        <v>2474</v>
      </c>
      <c r="B1940" t="s">
        <v>12765</v>
      </c>
      <c r="C1940" s="221">
        <v>42968.373715277776</v>
      </c>
      <c r="D1940" t="s">
        <v>12766</v>
      </c>
      <c r="E1940" s="249" t="str">
        <f>HYPERLINK("https://www.instagram.com/p/BYDoIvsHKAs/")</f>
        <v>https://www.instagram.com/p/BYDoIvsHKAs/</v>
      </c>
      <c r="F1940" t="s">
        <v>12767</v>
      </c>
      <c r="G1940" t="s">
        <v>2478</v>
      </c>
      <c r="H1940">
        <v>120</v>
      </c>
      <c r="I1940" t="s">
        <v>2479</v>
      </c>
      <c r="J1940">
        <v>8</v>
      </c>
      <c r="K1940">
        <v>22</v>
      </c>
      <c r="L1940">
        <v>30</v>
      </c>
      <c r="Q1940">
        <v>0</v>
      </c>
      <c r="R1940">
        <v>0</v>
      </c>
      <c r="S1940">
        <v>30</v>
      </c>
      <c r="T1940" t="s">
        <v>12768</v>
      </c>
      <c r="V1940" t="s">
        <v>2288</v>
      </c>
      <c r="W1940">
        <v>51.2515</v>
      </c>
      <c r="X1940">
        <v>0.1193</v>
      </c>
      <c r="Y1940" t="s">
        <v>12769</v>
      </c>
      <c r="Z1940" t="s">
        <v>12770</v>
      </c>
      <c r="AA1940" t="s">
        <v>12771</v>
      </c>
      <c r="AB1940" t="s">
        <v>2497</v>
      </c>
      <c r="AC1940" t="s">
        <v>12772</v>
      </c>
      <c r="AD1940" s="249" t="str">
        <f>HYPERLINK("https://scontent.cdninstagram.com/t51.2885-15/s320x320/e35/20987046_887993271354845_6235496892575252480_n.jpg")</f>
        <v>https://scontent.cdninstagram.com/t51.2885-15/s320x320/e35/20987046_887993271354845_6235496892575252480_n.jpg</v>
      </c>
      <c r="AE1940" s="249" t="str">
        <f>HYPERLINK("https://scontent.cdninstagram.com/t51.2885-19/s150x150/20905151_166778063890786_174690033758896128_a.jpg")</f>
        <v>https://scontent.cdninstagram.com/t51.2885-19/s150x150/20905151_166778063890786_174690033758896128_a.jpg</v>
      </c>
    </row>
    <row r="1941" spans="1:31" ht="15" x14ac:dyDescent="0.25">
      <c r="A1941" t="s">
        <v>2474</v>
      </c>
      <c r="B1941" t="s">
        <v>3015</v>
      </c>
      <c r="C1941" s="221">
        <v>42968.375671296293</v>
      </c>
      <c r="D1941" t="s">
        <v>12773</v>
      </c>
      <c r="E1941" s="249" t="str">
        <f>HYPERLINK("https://www.instagram.com/p/BYDodYdgBxD/")</f>
        <v>https://www.instagram.com/p/BYDodYdgBxD/</v>
      </c>
      <c r="F1941" t="s">
        <v>12774</v>
      </c>
      <c r="G1941" t="s">
        <v>2478</v>
      </c>
      <c r="H1941">
        <v>225</v>
      </c>
      <c r="I1941" t="s">
        <v>2479</v>
      </c>
      <c r="J1941">
        <v>0</v>
      </c>
      <c r="K1941">
        <v>25</v>
      </c>
      <c r="L1941">
        <v>25</v>
      </c>
      <c r="Q1941">
        <v>0</v>
      </c>
      <c r="R1941">
        <v>0</v>
      </c>
      <c r="S1941">
        <v>25</v>
      </c>
      <c r="Y1941" t="s">
        <v>4127</v>
      </c>
      <c r="Z1941" t="s">
        <v>3725</v>
      </c>
      <c r="AA1941" t="s">
        <v>3728</v>
      </c>
      <c r="AB1941" t="s">
        <v>6259</v>
      </c>
      <c r="AC1941" t="s">
        <v>4919</v>
      </c>
      <c r="AD1941" s="249" t="str">
        <f>HYPERLINK("https://scontent.cdninstagram.com/t51.2885-15/s320x320/e35/20905480_141557426440398_3427143469938769920_n.jpg")</f>
        <v>https://scontent.cdninstagram.com/t51.2885-15/s320x320/e35/20905480_141557426440398_3427143469938769920_n.jpg</v>
      </c>
      <c r="AE1941" s="249" t="str">
        <f>HYPERLINK("https://scontent.cdninstagram.com/t51.2885-19/s150x150/19761452_1876060406050696_4275948751316582400_a.jpg")</f>
        <v>https://scontent.cdninstagram.com/t51.2885-19/s150x150/19761452_1876060406050696_4275948751316582400_a.jpg</v>
      </c>
    </row>
    <row r="1942" spans="1:31" ht="15" x14ac:dyDescent="0.25">
      <c r="A1942" t="s">
        <v>2474</v>
      </c>
      <c r="B1942" t="s">
        <v>12775</v>
      </c>
      <c r="C1942" s="221">
        <v>42968.37667824074</v>
      </c>
      <c r="D1942" t="s">
        <v>12776</v>
      </c>
      <c r="E1942" s="249" t="str">
        <f>HYPERLINK("https://www.instagram.com/p/BYDooCGhiUB/")</f>
        <v>https://www.instagram.com/p/BYDooCGhiUB/</v>
      </c>
      <c r="F1942" t="s">
        <v>12777</v>
      </c>
      <c r="G1942" t="s">
        <v>2478</v>
      </c>
      <c r="H1942">
        <v>64</v>
      </c>
      <c r="I1942" t="s">
        <v>2479</v>
      </c>
      <c r="J1942">
        <v>1</v>
      </c>
      <c r="K1942">
        <v>21</v>
      </c>
      <c r="L1942">
        <v>22</v>
      </c>
      <c r="Q1942">
        <v>0</v>
      </c>
      <c r="R1942">
        <v>0</v>
      </c>
      <c r="S1942">
        <v>22</v>
      </c>
      <c r="Y1942" t="s">
        <v>12778</v>
      </c>
      <c r="Z1942" t="s">
        <v>12779</v>
      </c>
      <c r="AA1942" t="s">
        <v>12780</v>
      </c>
      <c r="AB1942" t="s">
        <v>12781</v>
      </c>
      <c r="AC1942" t="s">
        <v>12782</v>
      </c>
      <c r="AD1942" s="249" t="str">
        <f>HYPERLINK("https://scontent.cdninstagram.com/t51.2885-15/s320x320/e35/21041612_1294304787344847_3521388044689080320_n.jpg")</f>
        <v>https://scontent.cdninstagram.com/t51.2885-15/s320x320/e35/21041612_1294304787344847_3521388044689080320_n.jpg</v>
      </c>
      <c r="AE1942" s="249" t="str">
        <f>HYPERLINK("https://scontent.cdninstagram.com/t51.2885-19/s150x150/20065417_328041960950585_5025880505401212928_a.jpg")</f>
        <v>https://scontent.cdninstagram.com/t51.2885-19/s150x150/20065417_328041960950585_5025880505401212928_a.jpg</v>
      </c>
    </row>
    <row r="1943" spans="1:31" ht="15" x14ac:dyDescent="0.25">
      <c r="A1943" t="s">
        <v>2474</v>
      </c>
      <c r="B1943" t="s">
        <v>12783</v>
      </c>
      <c r="C1943" s="221">
        <v>42968.378657407404</v>
      </c>
      <c r="D1943" t="s">
        <v>12784</v>
      </c>
      <c r="E1943" s="249" t="str">
        <f>HYPERLINK("https://www.instagram.com/p/BYDo86_nFO4/")</f>
        <v>https://www.instagram.com/p/BYDo86_nFO4/</v>
      </c>
      <c r="F1943" t="s">
        <v>12785</v>
      </c>
      <c r="G1943" t="s">
        <v>2478</v>
      </c>
      <c r="H1943">
        <v>481</v>
      </c>
      <c r="I1943" t="s">
        <v>2479</v>
      </c>
      <c r="J1943">
        <v>6</v>
      </c>
      <c r="K1943">
        <v>74</v>
      </c>
      <c r="L1943">
        <v>80</v>
      </c>
      <c r="Q1943">
        <v>0</v>
      </c>
      <c r="R1943">
        <v>0</v>
      </c>
      <c r="S1943">
        <v>80</v>
      </c>
      <c r="Y1943" t="s">
        <v>12786</v>
      </c>
      <c r="Z1943" t="s">
        <v>6865</v>
      </c>
      <c r="AA1943" t="s">
        <v>12787</v>
      </c>
      <c r="AB1943" t="s">
        <v>12788</v>
      </c>
      <c r="AC1943" t="s">
        <v>12789</v>
      </c>
      <c r="AD1943" s="249" t="str">
        <f>HYPERLINK("https://scontent.cdninstagram.com/t51.2885-15/s320x320/e35/20987529_114143445979834_8294878177080115200_n.jpg")</f>
        <v>https://scontent.cdninstagram.com/t51.2885-15/s320x320/e35/20987529_114143445979834_8294878177080115200_n.jpg</v>
      </c>
      <c r="AE1943" s="249" t="str">
        <f>HYPERLINK("https://scontent.cdninstagram.com/t51.2885-19/s150x150/20905463_1941085002802349_7583772205796818944_a.jpg")</f>
        <v>https://scontent.cdninstagram.com/t51.2885-19/s150x150/20905463_1941085002802349_7583772205796818944_a.jpg</v>
      </c>
    </row>
    <row r="1944" spans="1:31" ht="15" x14ac:dyDescent="0.25">
      <c r="A1944" t="s">
        <v>2474</v>
      </c>
      <c r="B1944" t="s">
        <v>12790</v>
      </c>
      <c r="C1944" s="221">
        <v>42968.380254629628</v>
      </c>
      <c r="D1944" t="s">
        <v>12791</v>
      </c>
      <c r="E1944" s="249" t="str">
        <f>HYPERLINK("https://www.instagram.com/p/BYDpNwlFlQ_/")</f>
        <v>https://www.instagram.com/p/BYDpNwlFlQ_/</v>
      </c>
      <c r="F1944" t="s">
        <v>12792</v>
      </c>
      <c r="G1944" t="s">
        <v>2478</v>
      </c>
      <c r="H1944">
        <v>2058</v>
      </c>
      <c r="I1944" t="s">
        <v>2479</v>
      </c>
      <c r="J1944">
        <v>0</v>
      </c>
      <c r="K1944">
        <v>71</v>
      </c>
      <c r="L1944">
        <v>71</v>
      </c>
      <c r="Q1944">
        <v>0</v>
      </c>
      <c r="R1944">
        <v>0</v>
      </c>
      <c r="S1944">
        <v>71</v>
      </c>
      <c r="Y1944" t="s">
        <v>7322</v>
      </c>
      <c r="Z1944" t="s">
        <v>12793</v>
      </c>
      <c r="AA1944" t="s">
        <v>3915</v>
      </c>
      <c r="AB1944" t="s">
        <v>12794</v>
      </c>
      <c r="AC1944" t="s">
        <v>12795</v>
      </c>
      <c r="AD1944" s="249" t="str">
        <f>HYPERLINK("https://scontent.cdninstagram.com/t51.2885-15/s320x320/e35/21042280_112821036082167_250217231227551744_n.jpg")</f>
        <v>https://scontent.cdninstagram.com/t51.2885-15/s320x320/e35/21042280_112821036082167_250217231227551744_n.jpg</v>
      </c>
      <c r="AE1944" s="249" t="str">
        <f>HYPERLINK("https://scontent.cdninstagram.com/t51.2885-19/s150x150/19624500_786991214803637_108936206170980352_a.jpg")</f>
        <v>https://scontent.cdninstagram.com/t51.2885-19/s150x150/19624500_786991214803637_108936206170980352_a.jpg</v>
      </c>
    </row>
    <row r="1945" spans="1:31" ht="15" x14ac:dyDescent="0.25">
      <c r="A1945" t="s">
        <v>2474</v>
      </c>
      <c r="B1945" t="s">
        <v>12796</v>
      </c>
      <c r="C1945" s="221">
        <v>42968.38689814815</v>
      </c>
      <c r="D1945" t="s">
        <v>12797</v>
      </c>
      <c r="E1945" s="249" t="str">
        <f>HYPERLINK("https://www.instagram.com/p/BYDqTwvAgMG/")</f>
        <v>https://www.instagram.com/p/BYDqTwvAgMG/</v>
      </c>
      <c r="F1945" t="s">
        <v>12798</v>
      </c>
      <c r="G1945" t="s">
        <v>2478</v>
      </c>
      <c r="H1945">
        <v>187</v>
      </c>
      <c r="I1945" t="s">
        <v>2479</v>
      </c>
      <c r="J1945">
        <v>0</v>
      </c>
      <c r="K1945">
        <v>43</v>
      </c>
      <c r="L1945">
        <v>43</v>
      </c>
      <c r="Q1945">
        <v>0</v>
      </c>
      <c r="R1945">
        <v>0</v>
      </c>
      <c r="S1945">
        <v>43</v>
      </c>
      <c r="T1945" t="s">
        <v>12799</v>
      </c>
      <c r="V1945" t="s">
        <v>2182</v>
      </c>
      <c r="W1945">
        <v>39.200000000000003</v>
      </c>
      <c r="X1945">
        <v>9.1591699999999996</v>
      </c>
      <c r="Y1945" t="s">
        <v>12800</v>
      </c>
      <c r="Z1945" t="s">
        <v>12801</v>
      </c>
      <c r="AA1945" t="s">
        <v>12802</v>
      </c>
      <c r="AB1945" t="s">
        <v>12803</v>
      </c>
      <c r="AC1945" t="s">
        <v>12804</v>
      </c>
      <c r="AD1945" s="249" t="str">
        <f>HYPERLINK("https://scontent.cdninstagram.com/t51.2885-15/s320x320/e35/20969127_1754519434566700_3194448902120013824_n.jpg")</f>
        <v>https://scontent.cdninstagram.com/t51.2885-15/s320x320/e35/20969127_1754519434566700_3194448902120013824_n.jpg</v>
      </c>
      <c r="AE1945" s="249" t="str">
        <f>HYPERLINK("https://scontent.cdninstagram.com/t51.2885-19/s150x150/21147194_265891230582525_8491411529743204352_a.jpg")</f>
        <v>https://scontent.cdninstagram.com/t51.2885-19/s150x150/21147194_265891230582525_8491411529743204352_a.jpg</v>
      </c>
    </row>
    <row r="1946" spans="1:31" ht="15" x14ac:dyDescent="0.25">
      <c r="A1946" t="s">
        <v>2474</v>
      </c>
      <c r="B1946" t="s">
        <v>12805</v>
      </c>
      <c r="C1946" s="221">
        <v>42968.390451388892</v>
      </c>
      <c r="D1946" t="s">
        <v>12806</v>
      </c>
      <c r="E1946" s="249" t="str">
        <f>HYPERLINK("https://www.instagram.com/p/BYDq5RlHgP1/")</f>
        <v>https://www.instagram.com/p/BYDq5RlHgP1/</v>
      </c>
      <c r="F1946" t="s">
        <v>12807</v>
      </c>
      <c r="G1946" t="s">
        <v>2478</v>
      </c>
      <c r="H1946">
        <v>338</v>
      </c>
      <c r="I1946" t="s">
        <v>2910</v>
      </c>
      <c r="J1946">
        <v>0</v>
      </c>
      <c r="K1946">
        <v>51</v>
      </c>
      <c r="L1946">
        <v>51</v>
      </c>
      <c r="Q1946">
        <v>0</v>
      </c>
      <c r="R1946">
        <v>0</v>
      </c>
      <c r="S1946">
        <v>51</v>
      </c>
      <c r="T1946" t="s">
        <v>12808</v>
      </c>
      <c r="U1946" t="s">
        <v>2020</v>
      </c>
      <c r="V1946" t="s">
        <v>2299</v>
      </c>
      <c r="W1946">
        <v>36.983333333333</v>
      </c>
      <c r="X1946">
        <v>-110.1</v>
      </c>
      <c r="Y1946" t="s">
        <v>3936</v>
      </c>
      <c r="Z1946" t="s">
        <v>12809</v>
      </c>
      <c r="AA1946" t="s">
        <v>12810</v>
      </c>
      <c r="AB1946" t="s">
        <v>3246</v>
      </c>
      <c r="AC1946" t="s">
        <v>12811</v>
      </c>
      <c r="AD1946" s="249" t="str">
        <f>HYPERLINK("https://scontent.cdninstagram.com/t51.2885-15/s320x320/e35/c165.0.749.749/20904964_1143680909097681_2874868485932974080_n.jpg")</f>
        <v>https://scontent.cdninstagram.com/t51.2885-15/s320x320/e35/c165.0.749.749/20904964_1143680909097681_2874868485932974080_n.jpg</v>
      </c>
      <c r="AE1946" s="249" t="str">
        <f>HYPERLINK("https://scontent.cdninstagram.com/t51.2885-19/s150x150/21041987_1433566310060884_2677342132536082432_a.jpg")</f>
        <v>https://scontent.cdninstagram.com/t51.2885-19/s150x150/21041987_1433566310060884_2677342132536082432_a.jpg</v>
      </c>
    </row>
    <row r="1947" spans="1:31" ht="15" x14ac:dyDescent="0.25">
      <c r="A1947" t="s">
        <v>2474</v>
      </c>
      <c r="B1947" t="s">
        <v>3015</v>
      </c>
      <c r="C1947" s="221">
        <v>42968.392928240741</v>
      </c>
      <c r="D1947" t="s">
        <v>12812</v>
      </c>
      <c r="E1947" s="249" t="str">
        <f>HYPERLINK("https://www.instagram.com/p/BYDrTarAbEu/")</f>
        <v>https://www.instagram.com/p/BYDrTarAbEu/</v>
      </c>
      <c r="F1947" t="s">
        <v>12813</v>
      </c>
      <c r="G1947" t="s">
        <v>2478</v>
      </c>
      <c r="H1947">
        <v>226</v>
      </c>
      <c r="I1947" t="s">
        <v>2479</v>
      </c>
      <c r="J1947">
        <v>0</v>
      </c>
      <c r="K1947">
        <v>28</v>
      </c>
      <c r="L1947">
        <v>28</v>
      </c>
      <c r="Q1947">
        <v>0</v>
      </c>
      <c r="R1947">
        <v>0</v>
      </c>
      <c r="S1947">
        <v>28</v>
      </c>
      <c r="Y1947" t="s">
        <v>4127</v>
      </c>
      <c r="Z1947" t="s">
        <v>3854</v>
      </c>
      <c r="AA1947" t="s">
        <v>3727</v>
      </c>
      <c r="AB1947" t="s">
        <v>3571</v>
      </c>
      <c r="AC1947" t="s">
        <v>4919</v>
      </c>
      <c r="AD1947" s="249" t="str">
        <f>HYPERLINK("https://scontent.cdninstagram.com/t51.2885-15/s320x320/e35/c0.59.540.540/20987290_1970976356516910_489474560614203392_n.jpg")</f>
        <v>https://scontent.cdninstagram.com/t51.2885-15/s320x320/e35/c0.59.540.540/20987290_1970976356516910_489474560614203392_n.jpg</v>
      </c>
      <c r="AE1947" s="249" t="str">
        <f>HYPERLINK("https://scontent.cdninstagram.com/t51.2885-19/s150x150/19761452_1876060406050696_4275948751316582400_a.jpg")</f>
        <v>https://scontent.cdninstagram.com/t51.2885-19/s150x150/19761452_1876060406050696_4275948751316582400_a.jpg</v>
      </c>
    </row>
    <row r="1948" spans="1:31" ht="15" x14ac:dyDescent="0.25">
      <c r="A1948" t="s">
        <v>2474</v>
      </c>
      <c r="B1948" t="s">
        <v>12814</v>
      </c>
      <c r="C1948" s="221">
        <v>42968.395960648151</v>
      </c>
      <c r="D1948" t="s">
        <v>12815</v>
      </c>
      <c r="E1948" s="249" t="str">
        <f>HYPERLINK("https://www.instagram.com/p/BYDrzWfDHgV/")</f>
        <v>https://www.instagram.com/p/BYDrzWfDHgV/</v>
      </c>
      <c r="F1948" t="s">
        <v>12816</v>
      </c>
      <c r="G1948" t="s">
        <v>2478</v>
      </c>
      <c r="H1948">
        <v>440</v>
      </c>
      <c r="I1948" t="s">
        <v>3575</v>
      </c>
      <c r="J1948">
        <v>1</v>
      </c>
      <c r="K1948">
        <v>17</v>
      </c>
      <c r="L1948">
        <v>18</v>
      </c>
      <c r="Q1948">
        <v>0</v>
      </c>
      <c r="R1948">
        <v>0</v>
      </c>
      <c r="S1948">
        <v>18</v>
      </c>
      <c r="Y1948" t="s">
        <v>12817</v>
      </c>
      <c r="Z1948" t="s">
        <v>12818</v>
      </c>
      <c r="AA1948" t="s">
        <v>12134</v>
      </c>
      <c r="AB1948" t="s">
        <v>12819</v>
      </c>
      <c r="AC1948" t="s">
        <v>12820</v>
      </c>
      <c r="AD1948" s="249" t="str">
        <f>HYPERLINK("https://scontent.cdninstagram.com/t51.2885-15/s320x320/e35/c0.135.1080.1080/20986922_1727608947544492_7319395352157618176_n.jpg")</f>
        <v>https://scontent.cdninstagram.com/t51.2885-15/s320x320/e35/c0.135.1080.1080/20986922_1727608947544492_7319395352157618176_n.jpg</v>
      </c>
      <c r="AE1948" s="249" t="str">
        <f>HYPERLINK("https://scontent.cdninstagram.com/t51.2885-19/s150x150/19764869_114899589133591_687267562760699904_a.jpg")</f>
        <v>https://scontent.cdninstagram.com/t51.2885-19/s150x150/19764869_114899589133591_687267562760699904_a.jpg</v>
      </c>
    </row>
    <row r="1949" spans="1:31" ht="15" x14ac:dyDescent="0.25">
      <c r="A1949" t="s">
        <v>2474</v>
      </c>
      <c r="B1949" t="s">
        <v>12821</v>
      </c>
      <c r="C1949" s="221">
        <v>42968.407199074078</v>
      </c>
      <c r="D1949" t="s">
        <v>12822</v>
      </c>
      <c r="E1949" s="249" t="str">
        <f>HYPERLINK("https://www.instagram.com/p/BYDtp5dBdpG/")</f>
        <v>https://www.instagram.com/p/BYDtp5dBdpG/</v>
      </c>
      <c r="F1949" t="s">
        <v>12823</v>
      </c>
      <c r="G1949" t="s">
        <v>2478</v>
      </c>
      <c r="H1949">
        <v>1254</v>
      </c>
      <c r="I1949" t="s">
        <v>2479</v>
      </c>
      <c r="J1949">
        <v>0</v>
      </c>
      <c r="K1949">
        <v>1</v>
      </c>
      <c r="L1949">
        <v>1</v>
      </c>
      <c r="Q1949">
        <v>0</v>
      </c>
      <c r="R1949">
        <v>0</v>
      </c>
      <c r="S1949">
        <v>1</v>
      </c>
      <c r="Y1949" t="s">
        <v>2497</v>
      </c>
      <c r="Z1949" t="s">
        <v>2734</v>
      </c>
      <c r="AA1949" t="s">
        <v>2696</v>
      </c>
      <c r="AB1949" t="s">
        <v>4620</v>
      </c>
      <c r="AC1949" t="s">
        <v>2635</v>
      </c>
      <c r="AD1949" s="249" t="str">
        <f>HYPERLINK("https://scontent.cdninstagram.com/t51.2885-15/s320x320/e35/c0.90.720.720/20968897_198747173996321_478835660334039040_n.jpg")</f>
        <v>https://scontent.cdninstagram.com/t51.2885-15/s320x320/e35/c0.90.720.720/20968897_198747173996321_478835660334039040_n.jpg</v>
      </c>
      <c r="AE1949" s="249" t="str">
        <f>HYPERLINK("https://scontent.cdninstagram.com/t51.2885-19/s150x150/20904872_476931879326969_7422303447174610944_a.jpg")</f>
        <v>https://scontent.cdninstagram.com/t51.2885-19/s150x150/20904872_476931879326969_7422303447174610944_a.jpg</v>
      </c>
    </row>
    <row r="1950" spans="1:31" ht="15" x14ac:dyDescent="0.25">
      <c r="A1950" t="s">
        <v>2474</v>
      </c>
      <c r="B1950" t="s">
        <v>3015</v>
      </c>
      <c r="C1950" s="221">
        <v>42968.409212962964</v>
      </c>
      <c r="D1950" t="s">
        <v>12824</v>
      </c>
      <c r="E1950" s="249" t="str">
        <f>HYPERLINK("https://www.instagram.com/p/BYDt_JQgpJO/")</f>
        <v>https://www.instagram.com/p/BYDt_JQgpJO/</v>
      </c>
      <c r="F1950" t="s">
        <v>12825</v>
      </c>
      <c r="G1950" t="s">
        <v>2478</v>
      </c>
      <c r="H1950">
        <v>227</v>
      </c>
      <c r="I1950" t="s">
        <v>2479</v>
      </c>
      <c r="J1950">
        <v>2</v>
      </c>
      <c r="K1950">
        <v>31</v>
      </c>
      <c r="L1950">
        <v>33</v>
      </c>
      <c r="Q1950">
        <v>0</v>
      </c>
      <c r="R1950">
        <v>0</v>
      </c>
      <c r="S1950">
        <v>33</v>
      </c>
      <c r="Y1950" t="s">
        <v>4127</v>
      </c>
      <c r="Z1950" t="s">
        <v>3854</v>
      </c>
      <c r="AA1950" t="s">
        <v>3727</v>
      </c>
      <c r="AB1950" t="s">
        <v>3571</v>
      </c>
      <c r="AC1950" t="s">
        <v>4919</v>
      </c>
      <c r="AD1950" s="249" t="str">
        <f>HYPERLINK("https://scontent.cdninstagram.com/t51.2885-15/s320x320/e35/c0.51.540.540/20905357_1425486774194164_8513772920487542784_n.jpg")</f>
        <v>https://scontent.cdninstagram.com/t51.2885-15/s320x320/e35/c0.51.540.540/20905357_1425486774194164_8513772920487542784_n.jpg</v>
      </c>
      <c r="AE1950" s="249" t="str">
        <f>HYPERLINK("https://scontent.cdninstagram.com/t51.2885-19/s150x150/19761452_1876060406050696_4275948751316582400_a.jpg")</f>
        <v>https://scontent.cdninstagram.com/t51.2885-19/s150x150/19761452_1876060406050696_4275948751316582400_a.jpg</v>
      </c>
    </row>
    <row r="1951" spans="1:31" ht="15" x14ac:dyDescent="0.25">
      <c r="A1951" t="s">
        <v>2474</v>
      </c>
      <c r="B1951" t="s">
        <v>12826</v>
      </c>
      <c r="C1951" s="221">
        <v>42968.417916666665</v>
      </c>
      <c r="D1951" t="s">
        <v>12827</v>
      </c>
      <c r="E1951" s="249" t="str">
        <f>HYPERLINK("https://www.instagram.com/p/BYDva7gAcQa/")</f>
        <v>https://www.instagram.com/p/BYDva7gAcQa/</v>
      </c>
      <c r="F1951" t="s">
        <v>12828</v>
      </c>
      <c r="G1951" t="s">
        <v>2478</v>
      </c>
      <c r="H1951">
        <v>206</v>
      </c>
      <c r="I1951" t="s">
        <v>2479</v>
      </c>
      <c r="J1951">
        <v>0</v>
      </c>
      <c r="K1951">
        <v>12</v>
      </c>
      <c r="L1951">
        <v>12</v>
      </c>
      <c r="Q1951">
        <v>0</v>
      </c>
      <c r="R1951">
        <v>0</v>
      </c>
      <c r="S1951">
        <v>12</v>
      </c>
      <c r="T1951" t="s">
        <v>12829</v>
      </c>
      <c r="U1951" t="s">
        <v>272</v>
      </c>
      <c r="V1951" t="s">
        <v>2299</v>
      </c>
      <c r="W1951">
        <v>34.733400000000003</v>
      </c>
      <c r="X1951">
        <v>-82.26</v>
      </c>
      <c r="Y1951" t="s">
        <v>12830</v>
      </c>
      <c r="Z1951" t="s">
        <v>5077</v>
      </c>
      <c r="AA1951" t="s">
        <v>12831</v>
      </c>
      <c r="AB1951" t="s">
        <v>4218</v>
      </c>
      <c r="AC1951" t="s">
        <v>12832</v>
      </c>
      <c r="AD1951" s="249" t="str">
        <f>HYPERLINK("https://scontent.cdninstagram.com/t51.2885-15/s320x320/e35/21042104_1941563036102336_4441758351780478976_n.jpg")</f>
        <v>https://scontent.cdninstagram.com/t51.2885-15/s320x320/e35/21042104_1941563036102336_4441758351780478976_n.jpg</v>
      </c>
      <c r="AE1951" s="249" t="str">
        <f>HYPERLINK("https://scontent.cdninstagram.com/t51.2885-19/s150x150/14134981_675465352604169_948337492_a.jpg")</f>
        <v>https://scontent.cdninstagram.com/t51.2885-19/s150x150/14134981_675465352604169_948337492_a.jpg</v>
      </c>
    </row>
    <row r="1952" spans="1:31" ht="15" x14ac:dyDescent="0.25">
      <c r="A1952" t="s">
        <v>2474</v>
      </c>
      <c r="B1952" t="s">
        <v>12833</v>
      </c>
      <c r="C1952" s="221">
        <v>42968.419479166667</v>
      </c>
      <c r="D1952" t="s">
        <v>12834</v>
      </c>
      <c r="E1952" s="249" t="str">
        <f>HYPERLINK("https://www.instagram.com/p/BYDvrbcAWya/")</f>
        <v>https://www.instagram.com/p/BYDvrbcAWya/</v>
      </c>
      <c r="F1952" t="s">
        <v>12835</v>
      </c>
      <c r="G1952" t="s">
        <v>2478</v>
      </c>
      <c r="H1952">
        <v>74</v>
      </c>
      <c r="I1952" t="s">
        <v>2479</v>
      </c>
      <c r="J1952">
        <v>0</v>
      </c>
      <c r="K1952">
        <v>18</v>
      </c>
      <c r="L1952">
        <v>18</v>
      </c>
      <c r="Q1952">
        <v>0</v>
      </c>
      <c r="R1952">
        <v>0</v>
      </c>
      <c r="S1952">
        <v>18</v>
      </c>
      <c r="T1952" t="s">
        <v>12836</v>
      </c>
      <c r="V1952" t="s">
        <v>2182</v>
      </c>
      <c r="W1952">
        <v>41.904000000000003</v>
      </c>
      <c r="X1952">
        <v>12.452999999999999</v>
      </c>
      <c r="Y1952" t="s">
        <v>12837</v>
      </c>
      <c r="Z1952" t="s">
        <v>12838</v>
      </c>
      <c r="AA1952" t="s">
        <v>10974</v>
      </c>
      <c r="AB1952" t="s">
        <v>12839</v>
      </c>
      <c r="AC1952" t="s">
        <v>9658</v>
      </c>
      <c r="AD1952" s="249" t="str">
        <f>HYPERLINK("https://scontent.cdninstagram.com/t51.2885-15/s320x320/e35/c257.0.565.565/20905130_146905502561507_3671908424867643392_n.jpg")</f>
        <v>https://scontent.cdninstagram.com/t51.2885-15/s320x320/e35/c257.0.565.565/20905130_146905502561507_3671908424867643392_n.jpg</v>
      </c>
      <c r="AE1952" s="249" t="str">
        <f>HYPERLINK("https://scontent.cdninstagram.com/t51.2885-19/s150x150/20987151_126441854660017_6782770786596814848_a.jpg")</f>
        <v>https://scontent.cdninstagram.com/t51.2885-19/s150x150/20987151_126441854660017_6782770786596814848_a.jpg</v>
      </c>
    </row>
    <row r="1953" spans="1:31" ht="15" x14ac:dyDescent="0.25">
      <c r="A1953" t="s">
        <v>2474</v>
      </c>
      <c r="B1953" t="s">
        <v>12840</v>
      </c>
      <c r="C1953" s="221">
        <v>42968.422164351854</v>
      </c>
      <c r="D1953" t="s">
        <v>12841</v>
      </c>
      <c r="E1953" s="249" t="str">
        <f>HYPERLINK("https://www.instagram.com/p/BYDwHx8j6I-/")</f>
        <v>https://www.instagram.com/p/BYDwHx8j6I-/</v>
      </c>
      <c r="F1953" t="s">
        <v>12842</v>
      </c>
      <c r="G1953" t="s">
        <v>2478</v>
      </c>
      <c r="H1953">
        <v>952</v>
      </c>
      <c r="I1953" t="s">
        <v>2542</v>
      </c>
      <c r="J1953">
        <v>0</v>
      </c>
      <c r="K1953">
        <v>31</v>
      </c>
      <c r="L1953">
        <v>31</v>
      </c>
      <c r="Q1953">
        <v>0</v>
      </c>
      <c r="R1953">
        <v>0</v>
      </c>
      <c r="S1953">
        <v>31</v>
      </c>
      <c r="Y1953" t="s">
        <v>12843</v>
      </c>
      <c r="Z1953" t="s">
        <v>12844</v>
      </c>
      <c r="AA1953" t="s">
        <v>2730</v>
      </c>
      <c r="AB1953" t="s">
        <v>9422</v>
      </c>
      <c r="AC1953" t="s">
        <v>2734</v>
      </c>
      <c r="AD1953" s="249" t="str">
        <f>HYPERLINK("https://scontent.cdninstagram.com/t51.2885-15/s320x320/e35/20905560_165943533971211_6107763298176860160_n.jpg")</f>
        <v>https://scontent.cdninstagram.com/t51.2885-15/s320x320/e35/20905560_165943533971211_6107763298176860160_n.jpg</v>
      </c>
      <c r="AE1953" s="249" t="str">
        <f>HYPERLINK("https://scontent.cdninstagram.com/t51.2885-19/s150x150/20398986_106685660030478_4919045594799931392_a.jpg")</f>
        <v>https://scontent.cdninstagram.com/t51.2885-19/s150x150/20398986_106685660030478_4919045594799931392_a.jpg</v>
      </c>
    </row>
    <row r="1954" spans="1:31" ht="15" x14ac:dyDescent="0.25">
      <c r="A1954" t="s">
        <v>2474</v>
      </c>
      <c r="B1954" t="s">
        <v>12845</v>
      </c>
      <c r="C1954" s="221">
        <v>42968.422418981485</v>
      </c>
      <c r="D1954" t="s">
        <v>12846</v>
      </c>
      <c r="E1954" s="249" t="str">
        <f>HYPERLINK("https://www.instagram.com/p/BYDwKgdAUgy/")</f>
        <v>https://www.instagram.com/p/BYDwKgdAUgy/</v>
      </c>
      <c r="F1954" t="s">
        <v>12847</v>
      </c>
      <c r="G1954" t="s">
        <v>2478</v>
      </c>
      <c r="H1954">
        <v>461</v>
      </c>
      <c r="I1954" t="s">
        <v>2479</v>
      </c>
      <c r="J1954">
        <v>0</v>
      </c>
      <c r="K1954">
        <v>10</v>
      </c>
      <c r="L1954">
        <v>10</v>
      </c>
      <c r="Q1954">
        <v>0</v>
      </c>
      <c r="R1954">
        <v>0</v>
      </c>
      <c r="S1954">
        <v>10</v>
      </c>
      <c r="Y1954" t="s">
        <v>5802</v>
      </c>
      <c r="Z1954" t="s">
        <v>2497</v>
      </c>
      <c r="AD1954" s="249" t="str">
        <f>HYPERLINK("https://scontent.cdninstagram.com/t51.2885-15/s320x320/e35/20904925_331060150655266_6019350283992170496_n.jpg")</f>
        <v>https://scontent.cdninstagram.com/t51.2885-15/s320x320/e35/20904925_331060150655266_6019350283992170496_n.jpg</v>
      </c>
      <c r="AE1954" s="249" t="str">
        <f>HYPERLINK("https://scontent.cdninstagram.com/t51.2885-19/10817872_667069006762435_1206661274_a.jpg")</f>
        <v>https://scontent.cdninstagram.com/t51.2885-19/10817872_667069006762435_1206661274_a.jpg</v>
      </c>
    </row>
    <row r="1955" spans="1:31" ht="15" x14ac:dyDescent="0.25">
      <c r="A1955" t="s">
        <v>2474</v>
      </c>
      <c r="B1955" t="s">
        <v>12848</v>
      </c>
      <c r="C1955" s="221">
        <v>42968.429270833331</v>
      </c>
      <c r="D1955" t="s">
        <v>12849</v>
      </c>
      <c r="E1955" s="249" t="str">
        <f>HYPERLINK("https://www.instagram.com/p/BYDxSvJBY_2/")</f>
        <v>https://www.instagram.com/p/BYDxSvJBY_2/</v>
      </c>
      <c r="F1955" t="s">
        <v>12850</v>
      </c>
      <c r="G1955" t="s">
        <v>2488</v>
      </c>
      <c r="H1955">
        <v>469</v>
      </c>
      <c r="I1955" t="s">
        <v>2479</v>
      </c>
      <c r="J1955">
        <v>0</v>
      </c>
      <c r="K1955">
        <v>29</v>
      </c>
      <c r="L1955">
        <v>29</v>
      </c>
      <c r="Q1955">
        <v>0</v>
      </c>
      <c r="R1955">
        <v>0</v>
      </c>
      <c r="S1955">
        <v>29</v>
      </c>
      <c r="T1955" t="s">
        <v>5994</v>
      </c>
      <c r="V1955" t="s">
        <v>2264</v>
      </c>
      <c r="W1955">
        <v>41.383299999999998</v>
      </c>
      <c r="X1955">
        <v>2.1833300000000002</v>
      </c>
      <c r="Y1955" t="s">
        <v>12851</v>
      </c>
      <c r="Z1955" t="s">
        <v>12852</v>
      </c>
      <c r="AA1955" t="s">
        <v>2696</v>
      </c>
      <c r="AB1955" t="s">
        <v>2497</v>
      </c>
      <c r="AC1955" t="s">
        <v>12853</v>
      </c>
      <c r="AD1955" s="249" t="str">
        <f>HYPERLINK("https://scontent.cdninstagram.com/t51.2885-15/s320x320/e35/20968722_1924602081113563_1377842885994479616_n.jpg")</f>
        <v>https://scontent.cdninstagram.com/t51.2885-15/s320x320/e35/20968722_1924602081113563_1377842885994479616_n.jpg</v>
      </c>
      <c r="AE1955" s="249" t="str">
        <f>HYPERLINK("https://scontent.cdninstagram.com/t51.2885-19/s150x150/20181058_1126850994096794_2523474001443946496_a.jpg")</f>
        <v>https://scontent.cdninstagram.com/t51.2885-19/s150x150/20181058_1126850994096794_2523474001443946496_a.jpg</v>
      </c>
    </row>
    <row r="1956" spans="1:31" ht="15" x14ac:dyDescent="0.25">
      <c r="A1956" t="s">
        <v>2474</v>
      </c>
      <c r="B1956" t="s">
        <v>4616</v>
      </c>
      <c r="C1956" s="221">
        <v>42968.432442129626</v>
      </c>
      <c r="D1956" t="s">
        <v>12854</v>
      </c>
      <c r="E1956" s="249" t="str">
        <f>HYPERLINK("https://www.instagram.com/p/BYDx0L-Bl40/")</f>
        <v>https://www.instagram.com/p/BYDx0L-Bl40/</v>
      </c>
      <c r="F1956" t="s">
        <v>12855</v>
      </c>
      <c r="G1956" t="s">
        <v>2478</v>
      </c>
      <c r="H1956">
        <v>122</v>
      </c>
      <c r="I1956" t="s">
        <v>2479</v>
      </c>
      <c r="J1956">
        <v>0</v>
      </c>
      <c r="K1956">
        <v>40</v>
      </c>
      <c r="L1956">
        <v>40</v>
      </c>
      <c r="Q1956">
        <v>0</v>
      </c>
      <c r="R1956">
        <v>0</v>
      </c>
      <c r="S1956">
        <v>40</v>
      </c>
      <c r="T1956" t="s">
        <v>7823</v>
      </c>
      <c r="V1956" t="s">
        <v>2125</v>
      </c>
      <c r="W1956">
        <v>45</v>
      </c>
      <c r="X1956">
        <v>-79.3</v>
      </c>
      <c r="Y1956" t="s">
        <v>4623</v>
      </c>
      <c r="Z1956" t="s">
        <v>2673</v>
      </c>
      <c r="AA1956" t="s">
        <v>5006</v>
      </c>
      <c r="AB1956" t="s">
        <v>7451</v>
      </c>
      <c r="AC1956" t="s">
        <v>3174</v>
      </c>
      <c r="AD1956" s="249" t="str">
        <f>HYPERLINK("https://scontent.cdninstagram.com/t51.2885-15/s320x320/e35/c135.0.810.810/20905455_826838947486107_6466537764841062400_n.jpg")</f>
        <v>https://scontent.cdninstagram.com/t51.2885-15/s320x320/e35/c135.0.810.810/20905455_826838947486107_6466537764841062400_n.jpg</v>
      </c>
      <c r="AE1956" s="249" t="str">
        <f>HYPERLINK("https://scontent.cdninstagram.com/t51.2885-19/s150x150/17494353_1347957098574282_2527511313651859456_a.jpg")</f>
        <v>https://scontent.cdninstagram.com/t51.2885-19/s150x150/17494353_1347957098574282_2527511313651859456_a.jpg</v>
      </c>
    </row>
    <row r="1957" spans="1:31" ht="15" x14ac:dyDescent="0.25">
      <c r="A1957" t="s">
        <v>2474</v>
      </c>
      <c r="B1957" t="s">
        <v>12856</v>
      </c>
      <c r="C1957" s="221">
        <v>42968.435810185183</v>
      </c>
      <c r="D1957" t="s">
        <v>12857</v>
      </c>
      <c r="E1957" s="249" t="str">
        <f>HYPERLINK("https://www.instagram.com/p/BYDyXp9An9V/")</f>
        <v>https://www.instagram.com/p/BYDyXp9An9V/</v>
      </c>
      <c r="F1957" t="s">
        <v>12858</v>
      </c>
      <c r="G1957" t="s">
        <v>2631</v>
      </c>
      <c r="H1957">
        <v>541</v>
      </c>
      <c r="I1957" t="s">
        <v>2542</v>
      </c>
      <c r="J1957">
        <v>1</v>
      </c>
      <c r="K1957">
        <v>27</v>
      </c>
      <c r="L1957">
        <v>28</v>
      </c>
      <c r="Q1957">
        <v>0</v>
      </c>
      <c r="R1957">
        <v>0</v>
      </c>
      <c r="S1957">
        <v>28</v>
      </c>
      <c r="Y1957" t="s">
        <v>12859</v>
      </c>
      <c r="Z1957" t="s">
        <v>2730</v>
      </c>
      <c r="AA1957" t="s">
        <v>12860</v>
      </c>
      <c r="AB1957" t="s">
        <v>12861</v>
      </c>
      <c r="AC1957" t="s">
        <v>5229</v>
      </c>
      <c r="AD1957" s="249" t="str">
        <f>HYPERLINK("https://scontent.cdninstagram.com/t51.2885-15/s320x320/e35/20905011_1031055790330075_7150710039160815616_n.jpg")</f>
        <v>https://scontent.cdninstagram.com/t51.2885-15/s320x320/e35/20905011_1031055790330075_7150710039160815616_n.jpg</v>
      </c>
      <c r="AE1957" s="249" t="str">
        <f>HYPERLINK("https://scontent.cdninstagram.com/t51.2885-19/s150x150/20067023_453647364993214_6338662002730205184_a.jpg")</f>
        <v>https://scontent.cdninstagram.com/t51.2885-19/s150x150/20067023_453647364993214_6338662002730205184_a.jpg</v>
      </c>
    </row>
    <row r="1958" spans="1:31" ht="15" x14ac:dyDescent="0.25">
      <c r="A1958" t="s">
        <v>2474</v>
      </c>
      <c r="B1958" t="s">
        <v>12862</v>
      </c>
      <c r="C1958" s="221">
        <v>42968.445601851854</v>
      </c>
      <c r="D1958" t="s">
        <v>12863</v>
      </c>
      <c r="E1958" s="249" t="str">
        <f>HYPERLINK("https://www.instagram.com/p/BYDz_ACllFU/")</f>
        <v>https://www.instagram.com/p/BYDz_ACllFU/</v>
      </c>
      <c r="F1958" t="s">
        <v>12864</v>
      </c>
      <c r="G1958" t="s">
        <v>2478</v>
      </c>
      <c r="H1958">
        <v>333</v>
      </c>
      <c r="I1958" t="s">
        <v>2479</v>
      </c>
      <c r="J1958">
        <v>1</v>
      </c>
      <c r="K1958">
        <v>38</v>
      </c>
      <c r="L1958">
        <v>39</v>
      </c>
      <c r="Q1958">
        <v>0</v>
      </c>
      <c r="R1958">
        <v>0</v>
      </c>
      <c r="S1958">
        <v>39</v>
      </c>
      <c r="Y1958" t="s">
        <v>6498</v>
      </c>
      <c r="Z1958" t="s">
        <v>4253</v>
      </c>
      <c r="AA1958" t="s">
        <v>6231</v>
      </c>
      <c r="AB1958" t="s">
        <v>2492</v>
      </c>
      <c r="AC1958" t="s">
        <v>5090</v>
      </c>
      <c r="AD1958" s="249" t="str">
        <f>HYPERLINK("https://scontent.cdninstagram.com/t51.2885-15/s320x320/e35/c2.0.1075.1075/20905512_110815459634047_2671858842278559744_n.jpg")</f>
        <v>https://scontent.cdninstagram.com/t51.2885-15/s320x320/e35/c2.0.1075.1075/20905512_110815459634047_2671858842278559744_n.jpg</v>
      </c>
      <c r="AE1958" s="249" t="str">
        <f>HYPERLINK("https://scontent.cdninstagram.com/t51.2885-19/11203397_1578973362340710_184834282_a.jpg")</f>
        <v>https://scontent.cdninstagram.com/t51.2885-19/11203397_1578973362340710_184834282_a.jpg</v>
      </c>
    </row>
    <row r="1959" spans="1:31" ht="15" x14ac:dyDescent="0.25">
      <c r="A1959" t="s">
        <v>2474</v>
      </c>
      <c r="B1959" t="s">
        <v>12865</v>
      </c>
      <c r="C1959" s="221">
        <v>42968.449282407404</v>
      </c>
      <c r="D1959" t="s">
        <v>12866</v>
      </c>
      <c r="E1959" s="249" t="str">
        <f>HYPERLINK("https://www.instagram.com/p/BYD0luRlkG2/")</f>
        <v>https://www.instagram.com/p/BYD0luRlkG2/</v>
      </c>
      <c r="F1959" t="s">
        <v>12867</v>
      </c>
      <c r="G1959" t="s">
        <v>2478</v>
      </c>
      <c r="H1959">
        <v>5223</v>
      </c>
      <c r="I1959" t="s">
        <v>2479</v>
      </c>
      <c r="J1959">
        <v>26</v>
      </c>
      <c r="K1959">
        <v>831</v>
      </c>
      <c r="L1959">
        <v>857</v>
      </c>
      <c r="Q1959">
        <v>0</v>
      </c>
      <c r="R1959">
        <v>0</v>
      </c>
      <c r="S1959">
        <v>857</v>
      </c>
      <c r="T1959" t="s">
        <v>12868</v>
      </c>
      <c r="U1959" t="s">
        <v>97</v>
      </c>
      <c r="V1959" t="s">
        <v>2299</v>
      </c>
      <c r="W1959">
        <v>34.1</v>
      </c>
      <c r="X1959">
        <v>-118.33333333333</v>
      </c>
      <c r="Y1959" t="s">
        <v>12869</v>
      </c>
      <c r="Z1959" t="s">
        <v>12870</v>
      </c>
      <c r="AA1959" t="s">
        <v>4121</v>
      </c>
      <c r="AB1959" t="s">
        <v>12295</v>
      </c>
      <c r="AC1959" t="s">
        <v>12871</v>
      </c>
      <c r="AD1959" s="249" t="str">
        <f>HYPERLINK("https://scontent.cdninstagram.com/t51.2885-15/s320x320/e35/c0.135.1080.1080/20904908_259994244506748_1903539766264070144_n.jpg")</f>
        <v>https://scontent.cdninstagram.com/t51.2885-15/s320x320/e35/c0.135.1080.1080/20904908_259994244506748_1903539766264070144_n.jpg</v>
      </c>
      <c r="AE1959" s="249" t="str">
        <f>HYPERLINK("https://scontent.cdninstagram.com/t51.2885-19/s150x150/19424815_1856187741357983_4836335979356749824_a.jpg")</f>
        <v>https://scontent.cdninstagram.com/t51.2885-19/s150x150/19424815_1856187741357983_4836335979356749824_a.jpg</v>
      </c>
    </row>
    <row r="1960" spans="1:31" ht="15" x14ac:dyDescent="0.25">
      <c r="A1960" t="s">
        <v>2474</v>
      </c>
      <c r="B1960" t="s">
        <v>10388</v>
      </c>
      <c r="C1960" s="221">
        <v>42968.45140046296</v>
      </c>
      <c r="D1960" t="s">
        <v>12872</v>
      </c>
      <c r="E1960" s="249" t="str">
        <f>HYPERLINK("https://www.instagram.com/p/BYD08FVHyZG/")</f>
        <v>https://www.instagram.com/p/BYD08FVHyZG/</v>
      </c>
      <c r="F1960" t="s">
        <v>12873</v>
      </c>
      <c r="G1960" t="s">
        <v>2478</v>
      </c>
      <c r="H1960">
        <v>276</v>
      </c>
      <c r="I1960" t="s">
        <v>2748</v>
      </c>
      <c r="J1960">
        <v>0</v>
      </c>
      <c r="K1960">
        <v>23</v>
      </c>
      <c r="L1960">
        <v>23</v>
      </c>
      <c r="Q1960">
        <v>0</v>
      </c>
      <c r="R1960">
        <v>0</v>
      </c>
      <c r="S1960">
        <v>23</v>
      </c>
      <c r="Y1960" t="s">
        <v>12874</v>
      </c>
      <c r="Z1960" t="s">
        <v>12875</v>
      </c>
      <c r="AA1960" t="s">
        <v>12876</v>
      </c>
      <c r="AB1960" t="s">
        <v>3671</v>
      </c>
      <c r="AC1960" t="s">
        <v>4285</v>
      </c>
      <c r="AD1960" s="249" t="str">
        <f>HYPERLINK("https://scontent.cdninstagram.com/t51.2885-15/s320x320/e35/20968757_138760163398392_4674510175808258048_n.jpg")</f>
        <v>https://scontent.cdninstagram.com/t51.2885-15/s320x320/e35/20968757_138760163398392_4674510175808258048_n.jpg</v>
      </c>
      <c r="AE1960" s="249" t="str">
        <f>HYPERLINK("https://scontent.cdninstagram.com/t51.2885-19/s150x150/16463995_246291615824475_7975629800519761920_a.jpg")</f>
        <v>https://scontent.cdninstagram.com/t51.2885-19/s150x150/16463995_246291615824475_7975629800519761920_a.jpg</v>
      </c>
    </row>
    <row r="1961" spans="1:31" ht="15" x14ac:dyDescent="0.25">
      <c r="A1961" t="s">
        <v>2474</v>
      </c>
      <c r="B1961" t="s">
        <v>12877</v>
      </c>
      <c r="C1961" s="221">
        <v>42968.485381944447</v>
      </c>
      <c r="D1961" t="s">
        <v>12878</v>
      </c>
      <c r="E1961" s="249" t="str">
        <f>HYPERLINK("https://www.instagram.com/p/BYD6ik0F6kW/")</f>
        <v>https://www.instagram.com/p/BYD6ik0F6kW/</v>
      </c>
      <c r="F1961" t="s">
        <v>12879</v>
      </c>
      <c r="G1961" t="s">
        <v>2478</v>
      </c>
      <c r="H1961">
        <v>119</v>
      </c>
      <c r="I1961" t="s">
        <v>2479</v>
      </c>
      <c r="J1961">
        <v>0</v>
      </c>
      <c r="K1961">
        <v>8</v>
      </c>
      <c r="L1961">
        <v>8</v>
      </c>
      <c r="Q1961">
        <v>0</v>
      </c>
      <c r="R1961">
        <v>0</v>
      </c>
      <c r="S1961">
        <v>8</v>
      </c>
      <c r="T1961" t="s">
        <v>12880</v>
      </c>
      <c r="U1961" t="s">
        <v>102</v>
      </c>
      <c r="V1961" t="s">
        <v>2299</v>
      </c>
      <c r="W1961">
        <v>41.867358751445998</v>
      </c>
      <c r="X1961">
        <v>-87.614106190794004</v>
      </c>
      <c r="Y1961" t="s">
        <v>12881</v>
      </c>
      <c r="Z1961" t="s">
        <v>3813</v>
      </c>
      <c r="AA1961" t="s">
        <v>5787</v>
      </c>
      <c r="AB1961" t="s">
        <v>12882</v>
      </c>
      <c r="AC1961" t="s">
        <v>2497</v>
      </c>
      <c r="AD1961" s="249" t="str">
        <f>HYPERLINK("https://scontent.cdninstagram.com/t51.2885-15/s320x320/e35/20905211_2013710362191818_7888598799436742656_n.jpg")</f>
        <v>https://scontent.cdninstagram.com/t51.2885-15/s320x320/e35/20905211_2013710362191818_7888598799436742656_n.jpg</v>
      </c>
      <c r="AE1961" s="249" t="str">
        <f>HYPERLINK("https://scontent.cdninstagram.com/t51.2885-19/s150x150/10507955_480444152124295_1897127904_a.jpg")</f>
        <v>https://scontent.cdninstagram.com/t51.2885-19/s150x150/10507955_480444152124295_1897127904_a.jpg</v>
      </c>
    </row>
    <row r="1962" spans="1:31" ht="15" x14ac:dyDescent="0.25">
      <c r="A1962" t="s">
        <v>2474</v>
      </c>
      <c r="B1962" t="s">
        <v>12883</v>
      </c>
      <c r="C1962" s="221">
        <v>42968.486481481479</v>
      </c>
      <c r="D1962" t="s">
        <v>12884</v>
      </c>
      <c r="E1962" s="249" t="str">
        <f>HYPERLINK("https://www.instagram.com/p/BYD6uJjg4zu/")</f>
        <v>https://www.instagram.com/p/BYD6uJjg4zu/</v>
      </c>
      <c r="F1962" t="s">
        <v>12885</v>
      </c>
      <c r="G1962" t="s">
        <v>2478</v>
      </c>
      <c r="H1962">
        <v>13586</v>
      </c>
      <c r="I1962" t="s">
        <v>2479</v>
      </c>
      <c r="J1962">
        <v>1</v>
      </c>
      <c r="K1962">
        <v>232</v>
      </c>
      <c r="L1962">
        <v>233</v>
      </c>
      <c r="Q1962">
        <v>0</v>
      </c>
      <c r="R1962">
        <v>0</v>
      </c>
      <c r="S1962">
        <v>233</v>
      </c>
      <c r="Y1962" t="s">
        <v>12886</v>
      </c>
      <c r="Z1962" t="s">
        <v>12887</v>
      </c>
      <c r="AA1962" t="s">
        <v>12888</v>
      </c>
      <c r="AB1962" t="s">
        <v>12889</v>
      </c>
      <c r="AC1962" t="s">
        <v>12890</v>
      </c>
      <c r="AD1962" s="249" t="str">
        <f>HYPERLINK("https://scontent.cdninstagram.com/t51.2885-15/s320x320/e35/c0.80.640.640/20905703_118759245447605_4563095833637027840_n.jpg")</f>
        <v>https://scontent.cdninstagram.com/t51.2885-15/s320x320/e35/c0.80.640.640/20905703_118759245447605_4563095833637027840_n.jpg</v>
      </c>
      <c r="AE1962" s="249" t="str">
        <f>HYPERLINK("https://scontent.cdninstagram.com/t51.2885-19/s150x150/17587532_1242010212579198_2093119652774281216_a.jpg")</f>
        <v>https://scontent.cdninstagram.com/t51.2885-19/s150x150/17587532_1242010212579198_2093119652774281216_a.jpg</v>
      </c>
    </row>
    <row r="1963" spans="1:31" ht="15" x14ac:dyDescent="0.25">
      <c r="A1963" t="s">
        <v>2474</v>
      </c>
      <c r="B1963" t="s">
        <v>12891</v>
      </c>
      <c r="C1963" s="221">
        <v>42968.488946759258</v>
      </c>
      <c r="D1963" t="s">
        <v>12892</v>
      </c>
      <c r="E1963" s="249" t="str">
        <f>HYPERLINK("https://www.instagram.com/p/BYD7IF9FQqj/")</f>
        <v>https://www.instagram.com/p/BYD7IF9FQqj/</v>
      </c>
      <c r="F1963" t="s">
        <v>12893</v>
      </c>
      <c r="G1963" t="s">
        <v>2478</v>
      </c>
      <c r="H1963">
        <v>360</v>
      </c>
      <c r="I1963" t="s">
        <v>2479</v>
      </c>
      <c r="J1963">
        <v>0</v>
      </c>
      <c r="K1963">
        <v>19</v>
      </c>
      <c r="L1963">
        <v>19</v>
      </c>
      <c r="Q1963">
        <v>0</v>
      </c>
      <c r="R1963">
        <v>0</v>
      </c>
      <c r="S1963">
        <v>19</v>
      </c>
      <c r="Y1963" t="s">
        <v>6045</v>
      </c>
      <c r="Z1963" t="s">
        <v>12894</v>
      </c>
      <c r="AA1963" t="s">
        <v>5466</v>
      </c>
      <c r="AB1963" t="s">
        <v>3392</v>
      </c>
      <c r="AC1963" t="s">
        <v>12895</v>
      </c>
      <c r="AD1963" s="249" t="str">
        <f>HYPERLINK("https://scontent.cdninstagram.com/t51.2885-15/s320x320/e35/20986981_352551771842754_5916729548057083904_n.jpg")</f>
        <v>https://scontent.cdninstagram.com/t51.2885-15/s320x320/e35/20986981_352551771842754_5916729548057083904_n.jpg</v>
      </c>
      <c r="AE1963" s="249" t="str">
        <f>HYPERLINK("https://scontent.cdninstagram.com/t51.2885-19/s150x150/11349214_1490300277930188_922137479_a.jpg")</f>
        <v>https://scontent.cdninstagram.com/t51.2885-19/s150x150/11349214_1490300277930188_922137479_a.jpg</v>
      </c>
    </row>
    <row r="1964" spans="1:31" ht="15" x14ac:dyDescent="0.25">
      <c r="A1964" t="s">
        <v>2474</v>
      </c>
      <c r="B1964" t="s">
        <v>12896</v>
      </c>
      <c r="C1964" s="221">
        <v>42968.499247685184</v>
      </c>
      <c r="D1964" t="s">
        <v>12897</v>
      </c>
      <c r="E1964" s="249" t="str">
        <f>HYPERLINK("https://www.instagram.com/p/BYD80wSgf8P/")</f>
        <v>https://www.instagram.com/p/BYD80wSgf8P/</v>
      </c>
      <c r="F1964" t="s">
        <v>12898</v>
      </c>
      <c r="G1964" t="s">
        <v>2478</v>
      </c>
      <c r="H1964">
        <v>232</v>
      </c>
      <c r="I1964" t="s">
        <v>4052</v>
      </c>
      <c r="J1964">
        <v>0</v>
      </c>
      <c r="K1964">
        <v>29</v>
      </c>
      <c r="L1964">
        <v>29</v>
      </c>
      <c r="Q1964">
        <v>0</v>
      </c>
      <c r="R1964">
        <v>0</v>
      </c>
      <c r="S1964">
        <v>29</v>
      </c>
      <c r="Y1964" t="s">
        <v>7418</v>
      </c>
      <c r="Z1964" t="s">
        <v>2497</v>
      </c>
      <c r="AA1964" t="s">
        <v>4779</v>
      </c>
      <c r="AB1964" t="s">
        <v>3655</v>
      </c>
      <c r="AC1964" t="s">
        <v>12899</v>
      </c>
      <c r="AD1964" s="249" t="str">
        <f>HYPERLINK("https://scontent.cdninstagram.com/t51.2885-15/s320x320/e35/21041136_463853063997855_8780786523269234688_n.jpg")</f>
        <v>https://scontent.cdninstagram.com/t51.2885-15/s320x320/e35/21041136_463853063997855_8780786523269234688_n.jpg</v>
      </c>
      <c r="AE1964" s="249" t="str">
        <f>HYPERLINK("https://scontent.cdninstagram.com/t51.2885-19/s150x150/11881682_1488097168176763_1960304203_a.jpg")</f>
        <v>https://scontent.cdninstagram.com/t51.2885-19/s150x150/11881682_1488097168176763_1960304203_a.jpg</v>
      </c>
    </row>
    <row r="1965" spans="1:31" ht="15" x14ac:dyDescent="0.25">
      <c r="A1965" t="s">
        <v>2474</v>
      </c>
      <c r="B1965" t="s">
        <v>12900</v>
      </c>
      <c r="C1965" s="221">
        <v>42968.499340277776</v>
      </c>
      <c r="D1965" t="s">
        <v>12901</v>
      </c>
      <c r="E1965" s="249" t="str">
        <f>HYPERLINK("https://www.instagram.com/p/BYD81rfjwjE/")</f>
        <v>https://www.instagram.com/p/BYD81rfjwjE/</v>
      </c>
      <c r="F1965" t="s">
        <v>12902</v>
      </c>
      <c r="G1965" t="s">
        <v>2488</v>
      </c>
      <c r="H1965">
        <v>102</v>
      </c>
      <c r="I1965" t="s">
        <v>2479</v>
      </c>
      <c r="J1965">
        <v>5</v>
      </c>
      <c r="K1965">
        <v>16</v>
      </c>
      <c r="L1965">
        <v>21</v>
      </c>
      <c r="Q1965">
        <v>0</v>
      </c>
      <c r="R1965">
        <v>0</v>
      </c>
      <c r="S1965">
        <v>21</v>
      </c>
      <c r="T1965" t="s">
        <v>12903</v>
      </c>
      <c r="V1965" t="s">
        <v>2181</v>
      </c>
      <c r="W1965">
        <v>32.082632436333</v>
      </c>
      <c r="X1965">
        <v>34.767931613607999</v>
      </c>
      <c r="Y1965" t="s">
        <v>2497</v>
      </c>
      <c r="Z1965" t="s">
        <v>2529</v>
      </c>
      <c r="AA1965" t="s">
        <v>12904</v>
      </c>
      <c r="AB1965" t="s">
        <v>12905</v>
      </c>
      <c r="AC1965" t="s">
        <v>12144</v>
      </c>
      <c r="AD1965" s="249" t="str">
        <f>HYPERLINK("https://scontent.cdninstagram.com/t51.2885-15/s320x320/e35/21041432_155457851701295_8284083257817956352_n.jpg")</f>
        <v>https://scontent.cdninstagram.com/t51.2885-15/s320x320/e35/21041432_155457851701295_8284083257817956352_n.jpg</v>
      </c>
      <c r="AE1965" s="249" t="str">
        <f>HYPERLINK("https://scontent.cdninstagram.com/t51.2885-19/s150x150/20066086_321044658349480_4740532945658314752_a.jpg")</f>
        <v>https://scontent.cdninstagram.com/t51.2885-19/s150x150/20066086_321044658349480_4740532945658314752_a.jpg</v>
      </c>
    </row>
    <row r="1966" spans="1:31" ht="15" x14ac:dyDescent="0.25">
      <c r="A1966" t="s">
        <v>2474</v>
      </c>
      <c r="B1966" t="s">
        <v>8307</v>
      </c>
      <c r="C1966" s="221">
        <v>42968.501435185186</v>
      </c>
      <c r="D1966" t="s">
        <v>12906</v>
      </c>
      <c r="E1966" s="249" t="str">
        <f>HYPERLINK("https://www.instagram.com/p/BYD9L0nDGFy/")</f>
        <v>https://www.instagram.com/p/BYD9L0nDGFy/</v>
      </c>
      <c r="F1966" t="s">
        <v>12907</v>
      </c>
      <c r="G1966" t="s">
        <v>2478</v>
      </c>
      <c r="H1966">
        <v>274</v>
      </c>
      <c r="I1966" t="s">
        <v>2479</v>
      </c>
      <c r="J1966">
        <v>3</v>
      </c>
      <c r="K1966">
        <v>32</v>
      </c>
      <c r="L1966">
        <v>35</v>
      </c>
      <c r="Q1966">
        <v>0</v>
      </c>
      <c r="R1966">
        <v>0</v>
      </c>
      <c r="S1966">
        <v>35</v>
      </c>
      <c r="Y1966" t="s">
        <v>4105</v>
      </c>
      <c r="Z1966" t="s">
        <v>4988</v>
      </c>
      <c r="AA1966" t="s">
        <v>2730</v>
      </c>
      <c r="AB1966" t="s">
        <v>12586</v>
      </c>
      <c r="AC1966" t="s">
        <v>6158</v>
      </c>
      <c r="AD1966" s="249" t="str">
        <f>HYPERLINK("https://scontent.cdninstagram.com/t51.2885-15/s320x320/e35/c0.90.720.720/20905432_364884410612214_3040800200907030528_n.jpg")</f>
        <v>https://scontent.cdninstagram.com/t51.2885-15/s320x320/e35/c0.90.720.720/20905432_364884410612214_3040800200907030528_n.jpg</v>
      </c>
      <c r="AE1966" s="249" t="str">
        <f>HYPERLINK("https://scontent.cdninstagram.com/t51.2885-19/s150x150/19931859_332258940528903_7013816052614168576_a.jpg")</f>
        <v>https://scontent.cdninstagram.com/t51.2885-19/s150x150/19931859_332258940528903_7013816052614168576_a.jpg</v>
      </c>
    </row>
    <row r="1967" spans="1:31" ht="15" x14ac:dyDescent="0.25">
      <c r="A1967" t="s">
        <v>2474</v>
      </c>
      <c r="B1967" t="s">
        <v>8312</v>
      </c>
      <c r="C1967" s="221">
        <v>42968.502372685187</v>
      </c>
      <c r="D1967" t="s">
        <v>12908</v>
      </c>
      <c r="E1967" s="249" t="str">
        <f>HYPERLINK("https://www.instagram.com/p/BYD9VxGFoA5/")</f>
        <v>https://www.instagram.com/p/BYD9VxGFoA5/</v>
      </c>
      <c r="F1967" t="s">
        <v>12909</v>
      </c>
      <c r="G1967" t="s">
        <v>2488</v>
      </c>
      <c r="H1967">
        <v>21</v>
      </c>
      <c r="I1967" t="s">
        <v>2479</v>
      </c>
      <c r="J1967">
        <v>2</v>
      </c>
      <c r="K1967">
        <v>18</v>
      </c>
      <c r="L1967">
        <v>20</v>
      </c>
      <c r="Q1967">
        <v>0</v>
      </c>
      <c r="R1967">
        <v>0</v>
      </c>
      <c r="S1967">
        <v>20</v>
      </c>
      <c r="T1967" t="s">
        <v>10329</v>
      </c>
      <c r="V1967" t="s">
        <v>2264</v>
      </c>
      <c r="W1967">
        <v>42.764014243490003</v>
      </c>
      <c r="X1967">
        <v>-7.9069180053236003</v>
      </c>
      <c r="Y1967" t="s">
        <v>8318</v>
      </c>
      <c r="Z1967" t="s">
        <v>12910</v>
      </c>
      <c r="AA1967" t="s">
        <v>3945</v>
      </c>
      <c r="AB1967" t="s">
        <v>4026</v>
      </c>
      <c r="AC1967" t="s">
        <v>12911</v>
      </c>
      <c r="AD1967" s="249" t="str">
        <f>HYPERLINK("https://scontent.cdninstagram.com/t51.2885-15/s320x320/e35/20904950_111892129488177_7228920886814834688_n.jpg")</f>
        <v>https://scontent.cdninstagram.com/t51.2885-15/s320x320/e35/20904950_111892129488177_7228920886814834688_n.jpg</v>
      </c>
      <c r="AE1967" s="249" t="str">
        <f>HYPERLINK("https://scontent.cdninstagram.com/t51.2885-19/s150x150/20347739_515336592144896_3974966673097621504_a.jpg")</f>
        <v>https://scontent.cdninstagram.com/t51.2885-19/s150x150/20347739_515336592144896_3974966673097621504_a.jpg</v>
      </c>
    </row>
    <row r="1968" spans="1:31" ht="15" x14ac:dyDescent="0.25">
      <c r="A1968" t="s">
        <v>2474</v>
      </c>
      <c r="B1968" t="s">
        <v>12623</v>
      </c>
      <c r="C1968" s="221">
        <v>42968.504189814812</v>
      </c>
      <c r="D1968" t="s">
        <v>12912</v>
      </c>
      <c r="E1968" s="249" t="str">
        <f>HYPERLINK("https://www.instagram.com/p/BYD9o3YBqat/")</f>
        <v>https://www.instagram.com/p/BYD9o3YBqat/</v>
      </c>
      <c r="F1968" t="s">
        <v>12913</v>
      </c>
      <c r="G1968" t="s">
        <v>2478</v>
      </c>
      <c r="H1968">
        <v>33</v>
      </c>
      <c r="I1968" t="s">
        <v>2479</v>
      </c>
      <c r="J1968">
        <v>0</v>
      </c>
      <c r="K1968">
        <v>10</v>
      </c>
      <c r="L1968">
        <v>10</v>
      </c>
      <c r="Q1968">
        <v>0</v>
      </c>
      <c r="R1968">
        <v>0</v>
      </c>
      <c r="S1968">
        <v>10</v>
      </c>
      <c r="Y1968" t="s">
        <v>5884</v>
      </c>
      <c r="Z1968" t="s">
        <v>4839</v>
      </c>
      <c r="AA1968" t="s">
        <v>12752</v>
      </c>
      <c r="AB1968" t="s">
        <v>3225</v>
      </c>
      <c r="AC1968" t="s">
        <v>2497</v>
      </c>
      <c r="AD1968" s="249" t="str">
        <f>HYPERLINK("https://scontent.cdninstagram.com/t51.2885-15/s320x320/e35/20968907_165135004060509_796741352808251392_n.jpg")</f>
        <v>https://scontent.cdninstagram.com/t51.2885-15/s320x320/e35/20968907_165135004060509_796741352808251392_n.jpg</v>
      </c>
      <c r="AE1968" s="249" t="str">
        <f>HYPERLINK("https://scontent.cdninstagram.com/t51.2885-19/s150x150/20905221_267313190438379_2128714709635956736_a.jpg")</f>
        <v>https://scontent.cdninstagram.com/t51.2885-19/s150x150/20905221_267313190438379_2128714709635956736_a.jpg</v>
      </c>
    </row>
    <row r="1969" spans="1:31" ht="15" x14ac:dyDescent="0.25">
      <c r="A1969" t="s">
        <v>2474</v>
      </c>
      <c r="B1969" t="s">
        <v>7844</v>
      </c>
      <c r="C1969" s="221">
        <v>42968.513541666667</v>
      </c>
      <c r="D1969" t="s">
        <v>12914</v>
      </c>
      <c r="E1969" s="249" t="str">
        <f>HYPERLINK("https://www.instagram.com/p/BYD_LgVBqZN/")</f>
        <v>https://www.instagram.com/p/BYD_LgVBqZN/</v>
      </c>
      <c r="F1969" t="s">
        <v>12915</v>
      </c>
      <c r="G1969" t="s">
        <v>2488</v>
      </c>
      <c r="H1969">
        <v>421</v>
      </c>
      <c r="I1969" t="s">
        <v>2479</v>
      </c>
      <c r="J1969">
        <v>1</v>
      </c>
      <c r="K1969">
        <v>42</v>
      </c>
      <c r="L1969">
        <v>43</v>
      </c>
      <c r="Q1969">
        <v>0</v>
      </c>
      <c r="R1969">
        <v>0</v>
      </c>
      <c r="S1969">
        <v>43</v>
      </c>
      <c r="Y1969" t="s">
        <v>2968</v>
      </c>
      <c r="Z1969" t="s">
        <v>2673</v>
      </c>
      <c r="AA1969" t="s">
        <v>9836</v>
      </c>
      <c r="AB1969" t="s">
        <v>3174</v>
      </c>
      <c r="AC1969" t="s">
        <v>12916</v>
      </c>
      <c r="AD1969" s="249" t="str">
        <f>HYPERLINK("https://scontent.cdninstagram.com/t51.2885-15/s320x320/e35/20904961_100148614053695_1231568669398532096_n.jpg")</f>
        <v>https://scontent.cdninstagram.com/t51.2885-15/s320x320/e35/20904961_100148614053695_1231568669398532096_n.jpg</v>
      </c>
      <c r="AE1969" s="249" t="str">
        <f>HYPERLINK("https://scontent.cdninstagram.com/t51.2885-19/s150x150/14659433_124185214720398_460441517996113920_a.jpg")</f>
        <v>https://scontent.cdninstagram.com/t51.2885-19/s150x150/14659433_124185214720398_460441517996113920_a.jpg</v>
      </c>
    </row>
    <row r="1970" spans="1:31" ht="15" x14ac:dyDescent="0.25">
      <c r="A1970" t="s">
        <v>2474</v>
      </c>
      <c r="B1970" t="s">
        <v>12917</v>
      </c>
      <c r="C1970" s="221">
        <v>42968.52039351852</v>
      </c>
      <c r="D1970" t="s">
        <v>12918</v>
      </c>
      <c r="E1970" s="249" t="str">
        <f>HYPERLINK("https://www.instagram.com/p/BYEATwxFLuF/")</f>
        <v>https://www.instagram.com/p/BYEATwxFLuF/</v>
      </c>
      <c r="F1970" t="s">
        <v>12919</v>
      </c>
      <c r="G1970" t="s">
        <v>2478</v>
      </c>
      <c r="H1970">
        <v>69</v>
      </c>
      <c r="I1970" t="s">
        <v>3186</v>
      </c>
      <c r="J1970">
        <v>0</v>
      </c>
      <c r="K1970">
        <v>32</v>
      </c>
      <c r="L1970">
        <v>32</v>
      </c>
      <c r="Q1970">
        <v>0</v>
      </c>
      <c r="R1970">
        <v>0</v>
      </c>
      <c r="S1970">
        <v>32</v>
      </c>
      <c r="Y1970" t="s">
        <v>12920</v>
      </c>
      <c r="Z1970" t="s">
        <v>12921</v>
      </c>
      <c r="AA1970" t="s">
        <v>12922</v>
      </c>
      <c r="AB1970" t="s">
        <v>12923</v>
      </c>
      <c r="AC1970" t="s">
        <v>12924</v>
      </c>
      <c r="AD1970" s="249" t="str">
        <f>HYPERLINK("https://scontent.cdninstagram.com/t51.2885-15/s320x320/e35/c0.106.1080.1080/20986716_208042403061723_6889782624080887808_n.jpg")</f>
        <v>https://scontent.cdninstagram.com/t51.2885-15/s320x320/e35/c0.106.1080.1080/20986716_208042403061723_6889782624080887808_n.jpg</v>
      </c>
      <c r="AE1970" s="249" t="str">
        <f>HYPERLINK("https://scontent.cdninstagram.com/t51.2885-19/s150x150/21042122_1644838412195244_7237988185546948608_a.jpg")</f>
        <v>https://scontent.cdninstagram.com/t51.2885-19/s150x150/21042122_1644838412195244_7237988185546948608_a.jpg</v>
      </c>
    </row>
    <row r="1971" spans="1:31" ht="15" x14ac:dyDescent="0.25">
      <c r="A1971" t="s">
        <v>2474</v>
      </c>
      <c r="B1971" t="s">
        <v>12925</v>
      </c>
      <c r="C1971" s="221">
        <v>42968.521990740737</v>
      </c>
      <c r="D1971" t="s">
        <v>12926</v>
      </c>
      <c r="E1971" s="249" t="str">
        <f>HYPERLINK("https://www.instagram.com/p/BYEAknUhUc4/")</f>
        <v>https://www.instagram.com/p/BYEAknUhUc4/</v>
      </c>
      <c r="F1971" t="s">
        <v>12927</v>
      </c>
      <c r="G1971" t="s">
        <v>2478</v>
      </c>
      <c r="H1971">
        <v>2713</v>
      </c>
      <c r="I1971" t="s">
        <v>2479</v>
      </c>
      <c r="J1971">
        <v>0</v>
      </c>
      <c r="K1971">
        <v>52</v>
      </c>
      <c r="L1971">
        <v>52</v>
      </c>
      <c r="Q1971">
        <v>0</v>
      </c>
      <c r="R1971">
        <v>0</v>
      </c>
      <c r="S1971">
        <v>52</v>
      </c>
      <c r="T1971" t="s">
        <v>12928</v>
      </c>
      <c r="V1971" t="s">
        <v>2288</v>
      </c>
      <c r="W1971">
        <v>51.55</v>
      </c>
      <c r="X1971">
        <v>0.16666700000000001</v>
      </c>
      <c r="Y1971" t="s">
        <v>12929</v>
      </c>
      <c r="Z1971" t="s">
        <v>3936</v>
      </c>
      <c r="AA1971" t="s">
        <v>5405</v>
      </c>
      <c r="AB1971" t="s">
        <v>12930</v>
      </c>
      <c r="AC1971" t="s">
        <v>2497</v>
      </c>
      <c r="AD1971" s="249" t="str">
        <f>HYPERLINK("https://scontent.cdninstagram.com/t51.2885-15/s320x320/e35/c177.0.725.725/20986610_283781525437545_1889170807146414080_n.jpg")</f>
        <v>https://scontent.cdninstagram.com/t51.2885-15/s320x320/e35/c177.0.725.725/20986610_283781525437545_1889170807146414080_n.jpg</v>
      </c>
      <c r="AE1971" s="249" t="str">
        <f>HYPERLINK("https://scontent.cdninstagram.com/t51.2885-19/s150x150/19228784_1883781438548099_5673396114317901824_a.jpg")</f>
        <v>https://scontent.cdninstagram.com/t51.2885-19/s150x150/19228784_1883781438548099_5673396114317901824_a.jpg</v>
      </c>
    </row>
    <row r="1972" spans="1:31" ht="15" x14ac:dyDescent="0.25">
      <c r="A1972" t="s">
        <v>2474</v>
      </c>
      <c r="B1972" t="s">
        <v>12931</v>
      </c>
      <c r="C1972" s="221">
        <v>42968.525625000002</v>
      </c>
      <c r="D1972" t="s">
        <v>12932</v>
      </c>
      <c r="E1972" s="249" t="str">
        <f>HYPERLINK("https://www.instagram.com/p/BYEBK-2Fs9N/")</f>
        <v>https://www.instagram.com/p/BYEBK-2Fs9N/</v>
      </c>
      <c r="F1972" t="s">
        <v>12933</v>
      </c>
      <c r="G1972" t="s">
        <v>2631</v>
      </c>
      <c r="H1972">
        <v>148</v>
      </c>
      <c r="I1972" t="s">
        <v>2510</v>
      </c>
      <c r="J1972">
        <v>1</v>
      </c>
      <c r="K1972">
        <v>21</v>
      </c>
      <c r="L1972">
        <v>22</v>
      </c>
      <c r="Q1972">
        <v>0</v>
      </c>
      <c r="R1972">
        <v>0</v>
      </c>
      <c r="S1972">
        <v>22</v>
      </c>
      <c r="T1972" t="s">
        <v>12934</v>
      </c>
      <c r="V1972" t="s">
        <v>2288</v>
      </c>
      <c r="W1972">
        <v>51.584879999999998</v>
      </c>
      <c r="X1972">
        <v>0.51171</v>
      </c>
      <c r="Y1972" t="s">
        <v>12935</v>
      </c>
      <c r="Z1972" t="s">
        <v>12936</v>
      </c>
      <c r="AA1972" t="s">
        <v>12937</v>
      </c>
      <c r="AB1972" t="s">
        <v>12938</v>
      </c>
      <c r="AC1972" t="s">
        <v>4240</v>
      </c>
      <c r="AD1972" s="249" t="str">
        <f>HYPERLINK("https://scontent.cdninstagram.com/t51.2885-15/s320x320/e15/20986643_337268023393266_1337097394545754112_n.jpg")</f>
        <v>https://scontent.cdninstagram.com/t51.2885-15/s320x320/e15/20986643_337268023393266_1337097394545754112_n.jpg</v>
      </c>
      <c r="AE1972" s="249" t="str">
        <f>HYPERLINK("https://scontent.cdninstagram.com/t51.2885-19/s150x150/14515770_316958021998751_3565821435576320000_a.jpg")</f>
        <v>https://scontent.cdninstagram.com/t51.2885-19/s150x150/14515770_316958021998751_3565821435576320000_a.jpg</v>
      </c>
    </row>
    <row r="1973" spans="1:31" ht="15" x14ac:dyDescent="0.25">
      <c r="A1973" t="s">
        <v>2474</v>
      </c>
      <c r="B1973" t="s">
        <v>12939</v>
      </c>
      <c r="C1973" s="221">
        <v>42968.525937500002</v>
      </c>
      <c r="D1973" t="s">
        <v>12940</v>
      </c>
      <c r="E1973" s="249" t="str">
        <f>HYPERLINK("https://www.instagram.com/p/BYEBOQSBSaz/")</f>
        <v>https://www.instagram.com/p/BYEBOQSBSaz/</v>
      </c>
      <c r="F1973" t="s">
        <v>12941</v>
      </c>
      <c r="G1973" t="s">
        <v>2478</v>
      </c>
      <c r="H1973">
        <v>723</v>
      </c>
      <c r="I1973" t="s">
        <v>2479</v>
      </c>
      <c r="J1973">
        <v>6</v>
      </c>
      <c r="K1973">
        <v>96</v>
      </c>
      <c r="L1973">
        <v>102</v>
      </c>
      <c r="Q1973">
        <v>0</v>
      </c>
      <c r="R1973">
        <v>0</v>
      </c>
      <c r="S1973">
        <v>102</v>
      </c>
      <c r="Y1973" t="s">
        <v>12942</v>
      </c>
      <c r="Z1973" t="s">
        <v>12943</v>
      </c>
      <c r="AA1973" t="s">
        <v>12944</v>
      </c>
      <c r="AB1973" t="s">
        <v>12945</v>
      </c>
      <c r="AC1973" t="s">
        <v>2497</v>
      </c>
      <c r="AD1973" s="249" t="str">
        <f>HYPERLINK("https://scontent.cdninstagram.com/t51.2885-15/s320x320/e35/c0.135.1080.1080/20905555_1719970371629831_2449844672713981952_n.jpg")</f>
        <v>https://scontent.cdninstagram.com/t51.2885-15/s320x320/e35/c0.135.1080.1080/20905555_1719970371629831_2449844672713981952_n.jpg</v>
      </c>
      <c r="AE1973" s="249" t="str">
        <f>HYPERLINK("https://scontent.cdninstagram.com/t51.2885-19/s150x150/20687127_300394203761541_933378341396807680_a.jpg")</f>
        <v>https://scontent.cdninstagram.com/t51.2885-19/s150x150/20687127_300394203761541_933378341396807680_a.jpg</v>
      </c>
    </row>
    <row r="1974" spans="1:31" ht="15" x14ac:dyDescent="0.25">
      <c r="A1974" t="s">
        <v>2474</v>
      </c>
      <c r="B1974" t="s">
        <v>12946</v>
      </c>
      <c r="C1974" s="221">
        <v>42968.526331018518</v>
      </c>
      <c r="D1974" t="s">
        <v>12947</v>
      </c>
      <c r="E1974" s="249" t="str">
        <f>HYPERLINK("https://www.instagram.com/p/BYEBScXFDO6/")</f>
        <v>https://www.instagram.com/p/BYEBScXFDO6/</v>
      </c>
      <c r="F1974" t="s">
        <v>12948</v>
      </c>
      <c r="G1974" t="s">
        <v>2478</v>
      </c>
      <c r="H1974">
        <v>1547</v>
      </c>
      <c r="I1974" t="s">
        <v>2479</v>
      </c>
      <c r="J1974">
        <v>0</v>
      </c>
      <c r="K1974">
        <v>61</v>
      </c>
      <c r="L1974">
        <v>61</v>
      </c>
      <c r="Q1974">
        <v>0</v>
      </c>
      <c r="R1974">
        <v>0</v>
      </c>
      <c r="S1974">
        <v>61</v>
      </c>
      <c r="Y1974" t="s">
        <v>2696</v>
      </c>
      <c r="Z1974" t="s">
        <v>4174</v>
      </c>
      <c r="AA1974" t="s">
        <v>9850</v>
      </c>
      <c r="AB1974" t="s">
        <v>4319</v>
      </c>
      <c r="AC1974" t="s">
        <v>12949</v>
      </c>
      <c r="AD1974" s="249" t="str">
        <f>HYPERLINK("https://scontent.cdninstagram.com/t51.2885-15/s320x320/e35/20987444_1950179988552567_2401592171137335296_n.jpg")</f>
        <v>https://scontent.cdninstagram.com/t51.2885-15/s320x320/e35/20987444_1950179988552567_2401592171137335296_n.jpg</v>
      </c>
      <c r="AE1974" s="249" t="str">
        <f>HYPERLINK("https://scontent.cdninstagram.com/t51.2885-19/s150x150/17333357_941794939284824_4805090332796518400_a.jpg")</f>
        <v>https://scontent.cdninstagram.com/t51.2885-19/s150x150/17333357_941794939284824_4805090332796518400_a.jpg</v>
      </c>
    </row>
    <row r="1975" spans="1:31" ht="15" x14ac:dyDescent="0.25">
      <c r="A1975" t="s">
        <v>2474</v>
      </c>
      <c r="B1975" t="s">
        <v>12950</v>
      </c>
      <c r="C1975" s="221">
        <v>42968.528483796297</v>
      </c>
      <c r="D1975" t="s">
        <v>12951</v>
      </c>
      <c r="E1975" s="249" t="str">
        <f>HYPERLINK("https://www.instagram.com/p/BYEBpE4B-tU/")</f>
        <v>https://www.instagram.com/p/BYEBpE4B-tU/</v>
      </c>
      <c r="F1975" t="s">
        <v>12952</v>
      </c>
      <c r="G1975" t="s">
        <v>2478</v>
      </c>
      <c r="H1975">
        <v>701</v>
      </c>
      <c r="I1975" t="s">
        <v>2479</v>
      </c>
      <c r="J1975">
        <v>2</v>
      </c>
      <c r="K1975">
        <v>26</v>
      </c>
      <c r="L1975">
        <v>28</v>
      </c>
      <c r="Q1975">
        <v>0</v>
      </c>
      <c r="R1975">
        <v>0</v>
      </c>
      <c r="S1975">
        <v>28</v>
      </c>
      <c r="Y1975" t="s">
        <v>12953</v>
      </c>
      <c r="Z1975" t="s">
        <v>12954</v>
      </c>
      <c r="AA1975" t="s">
        <v>12955</v>
      </c>
      <c r="AB1975" t="s">
        <v>12956</v>
      </c>
      <c r="AC1975" t="s">
        <v>12957</v>
      </c>
      <c r="AD1975" s="249" t="str">
        <f>HYPERLINK("https://scontent.cdninstagram.com/t51.2885-15/s320x320/e35/21042349_501148920222004_852753747892240384_n.jpg")</f>
        <v>https://scontent.cdninstagram.com/t51.2885-15/s320x320/e35/21042349_501148920222004_852753747892240384_n.jpg</v>
      </c>
      <c r="AE1975" s="249" t="str">
        <f>HYPERLINK("https://scontent.cdninstagram.com/t51.2885-19/s150x150/17268094_788261711327880_7960023173561319424_a.jpg")</f>
        <v>https://scontent.cdninstagram.com/t51.2885-19/s150x150/17268094_788261711327880_7960023173561319424_a.jpg</v>
      </c>
    </row>
    <row r="1976" spans="1:31" ht="15" x14ac:dyDescent="0.25">
      <c r="A1976" t="s">
        <v>2474</v>
      </c>
      <c r="B1976" t="s">
        <v>12958</v>
      </c>
      <c r="C1976" s="221">
        <v>42968.530532407407</v>
      </c>
      <c r="D1976" t="s">
        <v>12959</v>
      </c>
      <c r="E1976" s="249" t="str">
        <f>HYPERLINK("https://www.instagram.com/p/BYEB-riDMqg/")</f>
        <v>https://www.instagram.com/p/BYEB-riDMqg/</v>
      </c>
      <c r="F1976" t="s">
        <v>12960</v>
      </c>
      <c r="G1976" t="s">
        <v>2478</v>
      </c>
      <c r="I1976" t="s">
        <v>2479</v>
      </c>
      <c r="J1976">
        <v>0</v>
      </c>
      <c r="K1976">
        <v>5</v>
      </c>
      <c r="L1976">
        <v>5</v>
      </c>
      <c r="Q1976">
        <v>0</v>
      </c>
      <c r="R1976">
        <v>0</v>
      </c>
      <c r="S1976">
        <v>5</v>
      </c>
      <c r="Y1976" t="s">
        <v>12961</v>
      </c>
      <c r="Z1976" t="s">
        <v>12962</v>
      </c>
      <c r="AA1976" t="s">
        <v>2497</v>
      </c>
      <c r="AD1976" s="249" t="str">
        <f>HYPERLINK("https://scontent.cdninstagram.com/t51.2885-15/s320x320/e35/21041361_264687774023185_8005735648658980864_n.jpg")</f>
        <v>https://scontent.cdninstagram.com/t51.2885-15/s320x320/e35/21041361_264687774023185_8005735648658980864_n.jpg</v>
      </c>
      <c r="AE1976" s="249" t="str">
        <f>HYPERLINK("https://scontent.cdninstagram.com/t51.2885-19/s150x150/21042329_128502031115499_5670775432648065024_a.jpg")</f>
        <v>https://scontent.cdninstagram.com/t51.2885-19/s150x150/21042329_128502031115499_5670775432648065024_a.jpg</v>
      </c>
    </row>
    <row r="1977" spans="1:31" ht="15" x14ac:dyDescent="0.25">
      <c r="A1977" t="s">
        <v>2474</v>
      </c>
      <c r="B1977" t="s">
        <v>12963</v>
      </c>
      <c r="C1977" s="221">
        <v>42968.533229166664</v>
      </c>
      <c r="D1977" t="s">
        <v>12964</v>
      </c>
      <c r="E1977" s="249" t="str">
        <f>HYPERLINK("https://www.instagram.com/p/BYECbGvHSQR/")</f>
        <v>https://www.instagram.com/p/BYECbGvHSQR/</v>
      </c>
      <c r="F1977" t="s">
        <v>12965</v>
      </c>
      <c r="G1977" t="s">
        <v>2478</v>
      </c>
      <c r="H1977">
        <v>135</v>
      </c>
      <c r="I1977" t="s">
        <v>2542</v>
      </c>
      <c r="J1977">
        <v>0</v>
      </c>
      <c r="K1977">
        <v>0</v>
      </c>
      <c r="L1977">
        <v>0</v>
      </c>
      <c r="Q1977">
        <v>0</v>
      </c>
      <c r="R1977">
        <v>0</v>
      </c>
      <c r="S1977">
        <v>0</v>
      </c>
      <c r="Y1977" t="s">
        <v>12966</v>
      </c>
      <c r="Z1977" t="s">
        <v>12967</v>
      </c>
      <c r="AA1977" t="s">
        <v>2497</v>
      </c>
      <c r="AB1977" t="s">
        <v>12968</v>
      </c>
      <c r="AC1977" t="s">
        <v>3145</v>
      </c>
      <c r="AD1977" s="249" t="str">
        <f>HYPERLINK("https://scontent.cdninstagram.com/t51.2885-15/s320x320/e35/20986929_114694792591685_4663882970724040704_n.jpg")</f>
        <v>https://scontent.cdninstagram.com/t51.2885-15/s320x320/e35/20986929_114694792591685_4663882970724040704_n.jpg</v>
      </c>
      <c r="AE1977" s="249" t="str">
        <f>HYPERLINK("https://scontent.cdninstagram.com/t51.2885-19/s150x150/16583264_382198462157153_2765918978248278016_a.jpg")</f>
        <v>https://scontent.cdninstagram.com/t51.2885-19/s150x150/16583264_382198462157153_2765918978248278016_a.jpg</v>
      </c>
    </row>
    <row r="1978" spans="1:31" ht="15" x14ac:dyDescent="0.25">
      <c r="A1978" t="s">
        <v>2474</v>
      </c>
      <c r="B1978" t="s">
        <v>12969</v>
      </c>
      <c r="C1978" s="221">
        <v>42968.534699074073</v>
      </c>
      <c r="D1978" t="s">
        <v>12970</v>
      </c>
      <c r="E1978" s="249" t="str">
        <f>HYPERLINK("https://www.instagram.com/p/BYECqtcBr9k/")</f>
        <v>https://www.instagram.com/p/BYECqtcBr9k/</v>
      </c>
      <c r="F1978" t="s">
        <v>12971</v>
      </c>
      <c r="G1978" t="s">
        <v>2478</v>
      </c>
      <c r="H1978">
        <v>63</v>
      </c>
      <c r="I1978" t="s">
        <v>2542</v>
      </c>
      <c r="J1978">
        <v>0</v>
      </c>
      <c r="K1978">
        <v>28</v>
      </c>
      <c r="L1978">
        <v>28</v>
      </c>
      <c r="Q1978">
        <v>0</v>
      </c>
      <c r="R1978">
        <v>0</v>
      </c>
      <c r="S1978">
        <v>28</v>
      </c>
      <c r="Y1978" t="s">
        <v>8559</v>
      </c>
      <c r="Z1978" t="s">
        <v>12972</v>
      </c>
      <c r="AA1978" t="s">
        <v>12973</v>
      </c>
      <c r="AB1978" t="s">
        <v>3196</v>
      </c>
      <c r="AC1978" t="s">
        <v>12974</v>
      </c>
      <c r="AD1978" s="249" t="str">
        <f>HYPERLINK("https://scontent.cdninstagram.com/t51.2885-15/s320x320/e35/20905747_1711804822461244_332309402172260352_n.jpg")</f>
        <v>https://scontent.cdninstagram.com/t51.2885-15/s320x320/e35/20905747_1711804822461244_332309402172260352_n.jpg</v>
      </c>
      <c r="AE1978" s="249" t="str">
        <f>HYPERLINK("https://scontent.cdninstagram.com/t51.2885-19/s150x150/11326028_879719902140985_1505175912_a.jpg")</f>
        <v>https://scontent.cdninstagram.com/t51.2885-19/s150x150/11326028_879719902140985_1505175912_a.jpg</v>
      </c>
    </row>
    <row r="1979" spans="1:31" ht="15" x14ac:dyDescent="0.25">
      <c r="A1979" t="s">
        <v>2474</v>
      </c>
      <c r="B1979" t="s">
        <v>7421</v>
      </c>
      <c r="C1979" s="221">
        <v>42968.540127314816</v>
      </c>
      <c r="D1979" t="s">
        <v>12975</v>
      </c>
      <c r="E1979" s="249" t="str">
        <f>HYPERLINK("https://www.instagram.com/p/BYEDj5aDScz/")</f>
        <v>https://www.instagram.com/p/BYEDj5aDScz/</v>
      </c>
      <c r="F1979" t="s">
        <v>12976</v>
      </c>
      <c r="G1979" t="s">
        <v>2631</v>
      </c>
      <c r="H1979">
        <v>511</v>
      </c>
      <c r="I1979" t="s">
        <v>2479</v>
      </c>
      <c r="J1979">
        <v>18</v>
      </c>
      <c r="K1979">
        <v>103</v>
      </c>
      <c r="L1979">
        <v>121</v>
      </c>
      <c r="Q1979">
        <v>0</v>
      </c>
      <c r="R1979">
        <v>0</v>
      </c>
      <c r="S1979">
        <v>121</v>
      </c>
      <c r="T1979" t="s">
        <v>12977</v>
      </c>
      <c r="V1979" t="s">
        <v>2270</v>
      </c>
      <c r="W1979">
        <v>59.638810609075001</v>
      </c>
      <c r="X1979">
        <v>16.524024542085002</v>
      </c>
      <c r="AD1979" s="249" t="str">
        <f>HYPERLINK("https://scontent.cdninstagram.com/t51.2885-15/s320x320/e15/c0.76.612.612/20968877_336111826847217_2415297020936847360_n.jpg")</f>
        <v>https://scontent.cdninstagram.com/t51.2885-15/s320x320/e15/c0.76.612.612/20968877_336111826847217_2415297020936847360_n.jpg</v>
      </c>
      <c r="AE1979" s="249" t="str">
        <f>HYPERLINK("https://scontent.cdninstagram.com/t51.2885-19/s150x150/21149381_111820502847444_8601511457303035904_a.jpg")</f>
        <v>https://scontent.cdninstagram.com/t51.2885-19/s150x150/21149381_111820502847444_8601511457303035904_a.jpg</v>
      </c>
    </row>
    <row r="1980" spans="1:31" ht="15" x14ac:dyDescent="0.25">
      <c r="A1980" t="s">
        <v>2474</v>
      </c>
      <c r="B1980" t="s">
        <v>12978</v>
      </c>
      <c r="C1980" s="221">
        <v>42968.544120370374</v>
      </c>
      <c r="D1980" t="s">
        <v>12979</v>
      </c>
      <c r="E1980" s="249" t="str">
        <f>HYPERLINK("https://www.instagram.com/p/BYEEOEBAskR/")</f>
        <v>https://www.instagram.com/p/BYEEOEBAskR/</v>
      </c>
      <c r="F1980" t="s">
        <v>12980</v>
      </c>
      <c r="G1980" t="s">
        <v>2478</v>
      </c>
      <c r="H1980">
        <v>82</v>
      </c>
      <c r="I1980" t="s">
        <v>3170</v>
      </c>
      <c r="J1980">
        <v>0</v>
      </c>
      <c r="K1980">
        <v>36</v>
      </c>
      <c r="L1980">
        <v>36</v>
      </c>
      <c r="Q1980">
        <v>0</v>
      </c>
      <c r="R1980">
        <v>0</v>
      </c>
      <c r="S1980">
        <v>36</v>
      </c>
      <c r="T1980" t="s">
        <v>12981</v>
      </c>
      <c r="V1980" t="s">
        <v>2154</v>
      </c>
      <c r="W1980">
        <v>47.858510000000003</v>
      </c>
      <c r="X1980">
        <v>-4.0408999999999997</v>
      </c>
      <c r="Y1980" t="s">
        <v>12982</v>
      </c>
      <c r="Z1980" t="s">
        <v>12983</v>
      </c>
      <c r="AA1980" t="s">
        <v>12984</v>
      </c>
      <c r="AB1980" t="s">
        <v>2497</v>
      </c>
      <c r="AC1980" t="s">
        <v>12985</v>
      </c>
      <c r="AD1980" s="249" t="str">
        <f>HYPERLINK("https://scontent.cdninstagram.com/t51.2885-15/s320x320/e35/21041402_480883175611075_5939680255559073792_n.jpg")</f>
        <v>https://scontent.cdninstagram.com/t51.2885-15/s320x320/e35/21041402_480883175611075_5939680255559073792_n.jpg</v>
      </c>
      <c r="AE1980" s="249" t="str">
        <f>HYPERLINK("https://scontent.cdninstagram.com/t51.2885-19/s150x150/20838672_1970971329836487_8802020867350462464_a.jpg")</f>
        <v>https://scontent.cdninstagram.com/t51.2885-19/s150x150/20838672_1970971329836487_8802020867350462464_a.jpg</v>
      </c>
    </row>
    <row r="1981" spans="1:31" ht="15" x14ac:dyDescent="0.25">
      <c r="A1981" t="s">
        <v>2474</v>
      </c>
      <c r="B1981" t="s">
        <v>12986</v>
      </c>
      <c r="C1981" s="221">
        <v>42968.553738425922</v>
      </c>
      <c r="D1981" t="s">
        <v>12987</v>
      </c>
      <c r="E1981" s="249" t="str">
        <f>HYPERLINK("https://www.instagram.com/p/BYEFze-gs2-/")</f>
        <v>https://www.instagram.com/p/BYEFze-gs2-/</v>
      </c>
      <c r="F1981" t="s">
        <v>12988</v>
      </c>
      <c r="G1981" t="s">
        <v>2478</v>
      </c>
      <c r="H1981">
        <v>134</v>
      </c>
      <c r="I1981" t="s">
        <v>2542</v>
      </c>
      <c r="J1981">
        <v>0</v>
      </c>
      <c r="K1981">
        <v>10</v>
      </c>
      <c r="L1981">
        <v>10</v>
      </c>
      <c r="Q1981">
        <v>0</v>
      </c>
      <c r="R1981">
        <v>0</v>
      </c>
      <c r="S1981">
        <v>10</v>
      </c>
      <c r="T1981" t="s">
        <v>12989</v>
      </c>
      <c r="V1981" t="s">
        <v>2182</v>
      </c>
      <c r="W1981">
        <v>43.843416378485003</v>
      </c>
      <c r="X1981">
        <v>10.265544889394</v>
      </c>
      <c r="Y1981" t="s">
        <v>12990</v>
      </c>
      <c r="Z1981" t="s">
        <v>12991</v>
      </c>
      <c r="AA1981" t="s">
        <v>12992</v>
      </c>
      <c r="AB1981" t="s">
        <v>2497</v>
      </c>
      <c r="AC1981" t="s">
        <v>12993</v>
      </c>
      <c r="AD1981" s="249" t="str">
        <f>HYPERLINK("https://scontent.cdninstagram.com/t51.2885-15/s320x320/e35/20968704_344539285987498_530791982792966144_n.jpg")</f>
        <v>https://scontent.cdninstagram.com/t51.2885-15/s320x320/e35/20968704_344539285987498_530791982792966144_n.jpg</v>
      </c>
      <c r="AE1981" s="249" t="str">
        <f>HYPERLINK("https://scontent.cdninstagram.com/t51.2885-19/s150x150/13248704_141384779648422_1591679472_a.jpg")</f>
        <v>https://scontent.cdninstagram.com/t51.2885-19/s150x150/13248704_141384779648422_1591679472_a.jpg</v>
      </c>
    </row>
    <row r="1982" spans="1:31" ht="15" x14ac:dyDescent="0.25">
      <c r="A1982" t="s">
        <v>2474</v>
      </c>
      <c r="B1982" t="s">
        <v>12377</v>
      </c>
      <c r="C1982" s="221">
        <v>42968.554861111108</v>
      </c>
      <c r="D1982" t="s">
        <v>12994</v>
      </c>
      <c r="E1982" s="249" t="str">
        <f>HYPERLINK("https://www.instagram.com/p/BYEF_QGBN5R/")</f>
        <v>https://www.instagram.com/p/BYEF_QGBN5R/</v>
      </c>
      <c r="F1982" t="s">
        <v>12995</v>
      </c>
      <c r="G1982" t="s">
        <v>2478</v>
      </c>
      <c r="H1982">
        <v>130</v>
      </c>
      <c r="I1982" t="s">
        <v>5670</v>
      </c>
      <c r="J1982">
        <v>5</v>
      </c>
      <c r="K1982">
        <v>33</v>
      </c>
      <c r="L1982">
        <v>38</v>
      </c>
      <c r="Q1982">
        <v>0</v>
      </c>
      <c r="R1982">
        <v>0</v>
      </c>
      <c r="S1982">
        <v>38</v>
      </c>
      <c r="Y1982" t="s">
        <v>12996</v>
      </c>
      <c r="Z1982" t="s">
        <v>2641</v>
      </c>
      <c r="AA1982" t="s">
        <v>2513</v>
      </c>
      <c r="AB1982" t="s">
        <v>8013</v>
      </c>
      <c r="AC1982" t="s">
        <v>2497</v>
      </c>
      <c r="AD1982" s="249" t="str">
        <f>HYPERLINK("https://scontent.cdninstagram.com/t51.2885-15/s320x320/e35/c0.109.896.896/20905785_482777375428250_3738314812606644224_n.jpg")</f>
        <v>https://scontent.cdninstagram.com/t51.2885-15/s320x320/e35/c0.109.896.896/20905785_482777375428250_3738314812606644224_n.jpg</v>
      </c>
      <c r="AE1982" s="249" t="str">
        <f>HYPERLINK("https://scontent.cdninstagram.com/t51.2885-19/s150x150/20688668_1827419180902243_1296575670893150208_a.jpg")</f>
        <v>https://scontent.cdninstagram.com/t51.2885-19/s150x150/20688668_1827419180902243_1296575670893150208_a.jpg</v>
      </c>
    </row>
    <row r="1983" spans="1:31" ht="15" x14ac:dyDescent="0.25">
      <c r="A1983" t="s">
        <v>2474</v>
      </c>
      <c r="B1983" t="s">
        <v>12997</v>
      </c>
      <c r="C1983" s="221">
        <v>42968.563564814816</v>
      </c>
      <c r="D1983" t="s">
        <v>12998</v>
      </c>
      <c r="E1983" s="249" t="str">
        <f>HYPERLINK("https://www.instagram.com/p/BYEHbJVFnBK/")</f>
        <v>https://www.instagram.com/p/BYEHbJVFnBK/</v>
      </c>
      <c r="F1983" t="s">
        <v>12999</v>
      </c>
      <c r="G1983" t="s">
        <v>2478</v>
      </c>
      <c r="H1983">
        <v>998</v>
      </c>
      <c r="I1983" t="s">
        <v>2582</v>
      </c>
      <c r="J1983">
        <v>11</v>
      </c>
      <c r="K1983">
        <v>143</v>
      </c>
      <c r="L1983">
        <v>154</v>
      </c>
      <c r="Q1983">
        <v>0</v>
      </c>
      <c r="R1983">
        <v>0</v>
      </c>
      <c r="S1983">
        <v>154</v>
      </c>
      <c r="Y1983" t="s">
        <v>13000</v>
      </c>
      <c r="Z1983" t="s">
        <v>9453</v>
      </c>
      <c r="AA1983" t="s">
        <v>12002</v>
      </c>
      <c r="AB1983" t="s">
        <v>2497</v>
      </c>
      <c r="AC1983" t="s">
        <v>13001</v>
      </c>
      <c r="AD1983" s="249" t="str">
        <f>HYPERLINK("https://scontent.cdninstagram.com/t51.2885-15/s320x320/e35/c38.0.1004.1004/20905196_275771129572981_129835048881881088_n.jpg")</f>
        <v>https://scontent.cdninstagram.com/t51.2885-15/s320x320/e35/c38.0.1004.1004/20905196_275771129572981_129835048881881088_n.jpg</v>
      </c>
      <c r="AE1983" s="249" t="str">
        <f>HYPERLINK("https://scontent.cdninstagram.com/t51.2885-19/s150x150/20904955_338480049910206_5722806904149770240_a.jpg")</f>
        <v>https://scontent.cdninstagram.com/t51.2885-19/s150x150/20904955_338480049910206_5722806904149770240_a.jpg</v>
      </c>
    </row>
    <row r="1984" spans="1:31" ht="15" x14ac:dyDescent="0.25">
      <c r="A1984" t="s">
        <v>2474</v>
      </c>
      <c r="B1984" t="s">
        <v>13002</v>
      </c>
      <c r="C1984" s="221">
        <v>42968.571180555555</v>
      </c>
      <c r="D1984" t="s">
        <v>13003</v>
      </c>
      <c r="E1984" s="249" t="str">
        <f>HYPERLINK("https://www.instagram.com/p/BYEIrawFSNX/")</f>
        <v>https://www.instagram.com/p/BYEIrawFSNX/</v>
      </c>
      <c r="F1984" t="s">
        <v>13004</v>
      </c>
      <c r="G1984" t="s">
        <v>2478</v>
      </c>
      <c r="I1984" t="s">
        <v>2479</v>
      </c>
      <c r="J1984">
        <v>17</v>
      </c>
      <c r="K1984">
        <v>115</v>
      </c>
      <c r="L1984">
        <v>132</v>
      </c>
      <c r="Q1984">
        <v>0</v>
      </c>
      <c r="R1984">
        <v>0</v>
      </c>
      <c r="S1984">
        <v>132</v>
      </c>
      <c r="T1984" t="s">
        <v>13005</v>
      </c>
      <c r="V1984" t="s">
        <v>2141</v>
      </c>
      <c r="W1984">
        <v>55.670560000000002</v>
      </c>
      <c r="X1984">
        <v>11.1815</v>
      </c>
      <c r="Y1984" t="s">
        <v>13006</v>
      </c>
      <c r="Z1984" t="s">
        <v>13007</v>
      </c>
      <c r="AA1984" t="s">
        <v>13008</v>
      </c>
      <c r="AB1984" t="s">
        <v>2492</v>
      </c>
      <c r="AC1984" t="s">
        <v>13009</v>
      </c>
      <c r="AD1984" s="249" t="str">
        <f>HYPERLINK("https://scontent.cdninstagram.com/t51.2885-15/s320x320/e35/c135.0.809.809/20969279_268367730322477_1438729527793549312_n.jpg")</f>
        <v>https://scontent.cdninstagram.com/t51.2885-15/s320x320/e35/c135.0.809.809/20969279_268367730322477_1438729527793549312_n.jpg</v>
      </c>
      <c r="AE1984" s="249" t="str">
        <f>HYPERLINK("https://scontent.cdninstagram.com/t51.2885-19/s150x150/19379617_1865370447044993_6693567902156587008_a.jpg")</f>
        <v>https://scontent.cdninstagram.com/t51.2885-19/s150x150/19379617_1865370447044993_6693567902156587008_a.jpg</v>
      </c>
    </row>
    <row r="1985" spans="1:31" ht="15" x14ac:dyDescent="0.25">
      <c r="A1985" t="s">
        <v>2474</v>
      </c>
      <c r="B1985" t="s">
        <v>13010</v>
      </c>
      <c r="C1985" s="221">
        <v>42968.574780092589</v>
      </c>
      <c r="D1985" t="s">
        <v>13011</v>
      </c>
      <c r="E1985" s="249" t="str">
        <f>HYPERLINK("https://www.instagram.com/p/BYEJRYJhzwj/")</f>
        <v>https://www.instagram.com/p/BYEJRYJhzwj/</v>
      </c>
      <c r="F1985" t="s">
        <v>13012</v>
      </c>
      <c r="G1985" t="s">
        <v>2478</v>
      </c>
      <c r="H1985">
        <v>1122</v>
      </c>
      <c r="I1985" t="s">
        <v>2896</v>
      </c>
      <c r="J1985">
        <v>13</v>
      </c>
      <c r="K1985">
        <v>54</v>
      </c>
      <c r="L1985">
        <v>67</v>
      </c>
      <c r="Q1985">
        <v>0</v>
      </c>
      <c r="R1985">
        <v>0</v>
      </c>
      <c r="S1985">
        <v>67</v>
      </c>
      <c r="Y1985" t="s">
        <v>13013</v>
      </c>
      <c r="Z1985" t="s">
        <v>13014</v>
      </c>
      <c r="AA1985" t="s">
        <v>13015</v>
      </c>
      <c r="AB1985" t="s">
        <v>13016</v>
      </c>
      <c r="AC1985" t="s">
        <v>13017</v>
      </c>
      <c r="AD1985" s="249" t="str">
        <f>HYPERLINK("https://scontent.cdninstagram.com/t51.2885-15/s320x320/e35/20968777_346959419094248_7603182421432860672_n.jpg")</f>
        <v>https://scontent.cdninstagram.com/t51.2885-15/s320x320/e35/20968777_346959419094248_7603182421432860672_n.jpg</v>
      </c>
      <c r="AE1985" s="249" t="str">
        <f>HYPERLINK("https://scontent.cdninstagram.com/t51.2885-19/s150x150/15877130_1107874539334990_8992861391186558976_n.jpg")</f>
        <v>https://scontent.cdninstagram.com/t51.2885-19/s150x150/15877130_1107874539334990_8992861391186558976_n.jpg</v>
      </c>
    </row>
    <row r="1986" spans="1:31" ht="15" x14ac:dyDescent="0.25">
      <c r="A1986" t="s">
        <v>2474</v>
      </c>
      <c r="B1986" t="s">
        <v>13018</v>
      </c>
      <c r="C1986" s="221">
        <v>42968.577326388891</v>
      </c>
      <c r="D1986" t="s">
        <v>13019</v>
      </c>
      <c r="E1986" s="249" t="str">
        <f>HYPERLINK("https://www.instagram.com/p/BYEJsSzFUTB/")</f>
        <v>https://www.instagram.com/p/BYEJsSzFUTB/</v>
      </c>
      <c r="F1986" t="s">
        <v>13020</v>
      </c>
      <c r="G1986" t="s">
        <v>2478</v>
      </c>
      <c r="H1986">
        <v>136</v>
      </c>
      <c r="I1986" t="s">
        <v>2479</v>
      </c>
      <c r="J1986">
        <v>0</v>
      </c>
      <c r="K1986">
        <v>3</v>
      </c>
      <c r="L1986">
        <v>3</v>
      </c>
      <c r="Q1986">
        <v>0</v>
      </c>
      <c r="R1986">
        <v>0</v>
      </c>
      <c r="S1986">
        <v>3</v>
      </c>
      <c r="Y1986" t="s">
        <v>11881</v>
      </c>
      <c r="Z1986" t="s">
        <v>2497</v>
      </c>
      <c r="AD1986" s="249" t="str">
        <f>HYPERLINK("https://scontent.cdninstagram.com/t51.2885-15/s320x320/e35/20905133_124425374867295_1539375991816716288_n.jpg")</f>
        <v>https://scontent.cdninstagram.com/t51.2885-15/s320x320/e35/20905133_124425374867295_1539375991816716288_n.jpg</v>
      </c>
      <c r="AE1986" s="249" t="str">
        <f>HYPERLINK("https://scontent.cdninstagram.com/t51.2885-19/s150x150/14482301_1698636477126590_3382448665867059200_a.jpg")</f>
        <v>https://scontent.cdninstagram.com/t51.2885-19/s150x150/14482301_1698636477126590_3382448665867059200_a.jpg</v>
      </c>
    </row>
    <row r="1987" spans="1:31" ht="15" x14ac:dyDescent="0.25">
      <c r="A1987" t="s">
        <v>2474</v>
      </c>
      <c r="B1987" t="s">
        <v>7415</v>
      </c>
      <c r="C1987" s="221">
        <v>42968.58216435185</v>
      </c>
      <c r="D1987" t="s">
        <v>13021</v>
      </c>
      <c r="E1987" s="249" t="str">
        <f>HYPERLINK("https://www.instagram.com/p/BYEKfTIjGjf/")</f>
        <v>https://www.instagram.com/p/BYEKfTIjGjf/</v>
      </c>
      <c r="F1987" t="s">
        <v>13022</v>
      </c>
      <c r="G1987" t="s">
        <v>2488</v>
      </c>
      <c r="H1987">
        <v>1147</v>
      </c>
      <c r="I1987" t="s">
        <v>2479</v>
      </c>
      <c r="J1987">
        <v>10</v>
      </c>
      <c r="K1987">
        <v>188</v>
      </c>
      <c r="L1987">
        <v>198</v>
      </c>
      <c r="Q1987">
        <v>0</v>
      </c>
      <c r="R1987">
        <v>0</v>
      </c>
      <c r="S1987">
        <v>198</v>
      </c>
      <c r="Y1987" t="s">
        <v>13023</v>
      </c>
      <c r="Z1987" t="s">
        <v>13024</v>
      </c>
      <c r="AA1987" t="s">
        <v>13025</v>
      </c>
      <c r="AB1987" t="s">
        <v>13026</v>
      </c>
      <c r="AC1987" t="s">
        <v>2497</v>
      </c>
      <c r="AD1987" s="249" t="str">
        <f>HYPERLINK("https://scontent.cdninstagram.com/t51.2885-15/s320x320/e35/20968450_1811797195777450_4376446252989022208_n.jpg")</f>
        <v>https://scontent.cdninstagram.com/t51.2885-15/s320x320/e35/20968450_1811797195777450_4376446252989022208_n.jpg</v>
      </c>
      <c r="AE1987" s="249" t="str">
        <f>HYPERLINK("https://scontent.cdninstagram.com/t51.2885-19/s150x150/12747833_1784420145115345_635625181_a.jpg")</f>
        <v>https://scontent.cdninstagram.com/t51.2885-19/s150x150/12747833_1784420145115345_635625181_a.jpg</v>
      </c>
    </row>
    <row r="1988" spans="1:31" ht="15" x14ac:dyDescent="0.25">
      <c r="A1988" t="s">
        <v>2474</v>
      </c>
      <c r="B1988" t="s">
        <v>13027</v>
      </c>
      <c r="C1988" s="221">
        <v>42968.586967592593</v>
      </c>
      <c r="D1988" t="s">
        <v>13028</v>
      </c>
      <c r="E1988" s="249" t="str">
        <f>HYPERLINK("https://www.instagram.com/p/BYELR5gHND8/")</f>
        <v>https://www.instagram.com/p/BYELR5gHND8/</v>
      </c>
      <c r="F1988" t="s">
        <v>13029</v>
      </c>
      <c r="G1988" t="s">
        <v>2478</v>
      </c>
      <c r="H1988">
        <v>147</v>
      </c>
      <c r="I1988" t="s">
        <v>2896</v>
      </c>
      <c r="J1988">
        <v>3</v>
      </c>
      <c r="K1988">
        <v>23</v>
      </c>
      <c r="L1988">
        <v>26</v>
      </c>
      <c r="Q1988">
        <v>0</v>
      </c>
      <c r="R1988">
        <v>0</v>
      </c>
      <c r="S1988">
        <v>26</v>
      </c>
      <c r="Y1988" t="s">
        <v>2890</v>
      </c>
      <c r="Z1988" t="s">
        <v>3599</v>
      </c>
      <c r="AA1988" t="s">
        <v>2826</v>
      </c>
      <c r="AB1988" t="s">
        <v>13030</v>
      </c>
      <c r="AC1988" t="s">
        <v>2497</v>
      </c>
      <c r="AD1988" s="249" t="str">
        <f>HYPERLINK("https://scontent.cdninstagram.com/t51.2885-15/s320x320/e35/c0.47.505.505/20969277_505334996479320_9136144476593455104_n.jpg")</f>
        <v>https://scontent.cdninstagram.com/t51.2885-15/s320x320/e35/c0.47.505.505/20969277_505334996479320_9136144476593455104_n.jpg</v>
      </c>
      <c r="AE1988" s="249" t="str">
        <f>HYPERLINK("https://scontent.cdninstagram.com/t51.2885-19/s150x150/20589350_1962095434026359_6447066113992818688_a.jpg")</f>
        <v>https://scontent.cdninstagram.com/t51.2885-19/s150x150/20589350_1962095434026359_6447066113992818688_a.jpg</v>
      </c>
    </row>
    <row r="1989" spans="1:31" ht="15" x14ac:dyDescent="0.25">
      <c r="A1989" t="s">
        <v>2474</v>
      </c>
      <c r="B1989" t="s">
        <v>4616</v>
      </c>
      <c r="C1989" s="221">
        <v>42968.58734953704</v>
      </c>
      <c r="D1989" t="s">
        <v>13031</v>
      </c>
      <c r="E1989" s="249" t="str">
        <f>HYPERLINK("https://www.instagram.com/p/BYELV5gB950/")</f>
        <v>https://www.instagram.com/p/BYELV5gB950/</v>
      </c>
      <c r="F1989" t="s">
        <v>13032</v>
      </c>
      <c r="G1989" t="s">
        <v>2478</v>
      </c>
      <c r="H1989">
        <v>120</v>
      </c>
      <c r="I1989" t="s">
        <v>2479</v>
      </c>
      <c r="J1989">
        <v>0</v>
      </c>
      <c r="K1989">
        <v>22</v>
      </c>
      <c r="L1989">
        <v>22</v>
      </c>
      <c r="Q1989">
        <v>0</v>
      </c>
      <c r="R1989">
        <v>0</v>
      </c>
      <c r="S1989">
        <v>22</v>
      </c>
      <c r="T1989" t="s">
        <v>13033</v>
      </c>
      <c r="V1989" t="s">
        <v>2270</v>
      </c>
      <c r="W1989">
        <v>61</v>
      </c>
      <c r="X1989">
        <v>15</v>
      </c>
      <c r="Y1989" t="s">
        <v>3174</v>
      </c>
      <c r="Z1989" t="s">
        <v>5586</v>
      </c>
      <c r="AA1989" t="s">
        <v>4808</v>
      </c>
      <c r="AB1989" t="s">
        <v>3569</v>
      </c>
      <c r="AC1989" t="s">
        <v>4623</v>
      </c>
      <c r="AD1989" s="249" t="str">
        <f>HYPERLINK("https://scontent.cdninstagram.com/t51.2885-15/s320x320/e35/c0.135.1080.1080/20969041_1755540354744186_2419550481668898816_n.jpg")</f>
        <v>https://scontent.cdninstagram.com/t51.2885-15/s320x320/e35/c0.135.1080.1080/20969041_1755540354744186_2419550481668898816_n.jpg</v>
      </c>
      <c r="AE1989" s="249" t="str">
        <f>HYPERLINK("https://scontent.cdninstagram.com/t51.2885-19/s150x150/17494353_1347957098574282_2527511313651859456_a.jpg")</f>
        <v>https://scontent.cdninstagram.com/t51.2885-19/s150x150/17494353_1347957098574282_2527511313651859456_a.jpg</v>
      </c>
    </row>
    <row r="1990" spans="1:31" ht="15" x14ac:dyDescent="0.25">
      <c r="A1990" t="s">
        <v>2474</v>
      </c>
      <c r="B1990" t="s">
        <v>13034</v>
      </c>
      <c r="C1990" s="221">
        <v>42968.588379629633</v>
      </c>
      <c r="D1990" t="s">
        <v>13035</v>
      </c>
      <c r="E1990" s="249" t="str">
        <f>HYPERLINK("https://www.instagram.com/p/BYELg1jlcIf/")</f>
        <v>https://www.instagram.com/p/BYELg1jlcIf/</v>
      </c>
      <c r="F1990" t="s">
        <v>13036</v>
      </c>
      <c r="G1990" t="s">
        <v>2478</v>
      </c>
      <c r="H1990">
        <v>76</v>
      </c>
      <c r="I1990" t="s">
        <v>2479</v>
      </c>
      <c r="J1990">
        <v>0</v>
      </c>
      <c r="K1990">
        <v>18</v>
      </c>
      <c r="L1990">
        <v>18</v>
      </c>
      <c r="Q1990">
        <v>0</v>
      </c>
      <c r="R1990">
        <v>0</v>
      </c>
      <c r="S1990">
        <v>18</v>
      </c>
      <c r="T1990" t="s">
        <v>10508</v>
      </c>
      <c r="V1990" t="s">
        <v>2264</v>
      </c>
      <c r="W1990">
        <v>43.316699999999997</v>
      </c>
      <c r="X1990">
        <v>-1.98333</v>
      </c>
      <c r="Y1990" t="s">
        <v>13037</v>
      </c>
      <c r="Z1990" t="s">
        <v>3953</v>
      </c>
      <c r="AA1990" t="s">
        <v>13038</v>
      </c>
      <c r="AB1990" t="s">
        <v>13039</v>
      </c>
      <c r="AC1990" t="s">
        <v>13040</v>
      </c>
      <c r="AD1990" s="249" t="str">
        <f>HYPERLINK("https://scontent.cdninstagram.com/t51.2885-15/s320x320/e35/c0.82.750.750/20905695_611890519199210_280059372669763584_n.jpg")</f>
        <v>https://scontent.cdninstagram.com/t51.2885-15/s320x320/e35/c0.82.750.750/20905695_611890519199210_280059372669763584_n.jpg</v>
      </c>
      <c r="AE1990" s="249" t="str">
        <f>HYPERLINK("https://scontent.cdninstagram.com/t51.2885-19/s150x150/18160813_1388089537880831_1797622539850088448_a.jpg")</f>
        <v>https://scontent.cdninstagram.com/t51.2885-19/s150x150/18160813_1388089537880831_1797622539850088448_a.jpg</v>
      </c>
    </row>
    <row r="1991" spans="1:31" ht="15" x14ac:dyDescent="0.25">
      <c r="A1991" t="s">
        <v>2474</v>
      </c>
      <c r="B1991" t="s">
        <v>13041</v>
      </c>
      <c r="C1991" s="221">
        <v>42968.590104166666</v>
      </c>
      <c r="D1991" t="s">
        <v>13042</v>
      </c>
      <c r="E1991" s="249" t="str">
        <f>HYPERLINK("https://www.instagram.com/p/BYELzA-lRfu/")</f>
        <v>https://www.instagram.com/p/BYELzA-lRfu/</v>
      </c>
      <c r="F1991" t="s">
        <v>13043</v>
      </c>
      <c r="G1991" t="s">
        <v>2631</v>
      </c>
      <c r="H1991">
        <v>63</v>
      </c>
      <c r="I1991" t="s">
        <v>2903</v>
      </c>
      <c r="J1991">
        <v>0</v>
      </c>
      <c r="K1991">
        <v>15</v>
      </c>
      <c r="L1991">
        <v>15</v>
      </c>
      <c r="Q1991">
        <v>0</v>
      </c>
      <c r="R1991">
        <v>0</v>
      </c>
      <c r="S1991">
        <v>15</v>
      </c>
      <c r="Y1991" t="s">
        <v>13044</v>
      </c>
      <c r="Z1991" t="s">
        <v>13045</v>
      </c>
      <c r="AA1991" t="s">
        <v>13046</v>
      </c>
      <c r="AB1991" t="s">
        <v>13047</v>
      </c>
      <c r="AC1991" t="s">
        <v>6761</v>
      </c>
      <c r="AD1991" s="249" t="str">
        <f>HYPERLINK("https://scontent.cdninstagram.com/t51.2885-15/s320x320/e15/21041360_311421309325115_4463382262280355840_n.jpg")</f>
        <v>https://scontent.cdninstagram.com/t51.2885-15/s320x320/e15/21041360_311421309325115_4463382262280355840_n.jpg</v>
      </c>
      <c r="AE1991" s="249" t="str">
        <f>HYPERLINK("https://scontent.cdninstagram.com/t51.2885-19/s150x150/19955716_116195989005297_106878972670771200_a.jpg")</f>
        <v>https://scontent.cdninstagram.com/t51.2885-19/s150x150/19955716_116195989005297_106878972670771200_a.jpg</v>
      </c>
    </row>
    <row r="1992" spans="1:31" ht="15" x14ac:dyDescent="0.25">
      <c r="A1992" t="s">
        <v>2474</v>
      </c>
      <c r="B1992" t="s">
        <v>3133</v>
      </c>
      <c r="C1992" s="221">
        <v>42968.59107638889</v>
      </c>
      <c r="D1992" t="s">
        <v>13048</v>
      </c>
      <c r="E1992" s="249" t="str">
        <f>HYPERLINK("https://www.instagram.com/p/BYEL9QAFRda/")</f>
        <v>https://www.instagram.com/p/BYEL9QAFRda/</v>
      </c>
      <c r="F1992" t="s">
        <v>13049</v>
      </c>
      <c r="G1992" t="s">
        <v>2478</v>
      </c>
      <c r="H1992">
        <v>324</v>
      </c>
      <c r="I1992" t="s">
        <v>2479</v>
      </c>
      <c r="J1992">
        <v>0</v>
      </c>
      <c r="K1992">
        <v>51</v>
      </c>
      <c r="L1992">
        <v>51</v>
      </c>
      <c r="Q1992">
        <v>0</v>
      </c>
      <c r="R1992">
        <v>0</v>
      </c>
      <c r="S1992">
        <v>51</v>
      </c>
      <c r="Y1992" t="s">
        <v>5319</v>
      </c>
      <c r="Z1992" t="s">
        <v>4582</v>
      </c>
      <c r="AA1992" t="s">
        <v>2492</v>
      </c>
      <c r="AB1992" t="s">
        <v>2497</v>
      </c>
      <c r="AC1992" t="s">
        <v>6507</v>
      </c>
      <c r="AD1992" s="249" t="str">
        <f>HYPERLINK("https://scontent.cdninstagram.com/t51.2885-15/s320x320/e35/20968497_338507266573339_1955336723961479168_n.jpg")</f>
        <v>https://scontent.cdninstagram.com/t51.2885-15/s320x320/e35/20968497_338507266573339_1955336723961479168_n.jpg</v>
      </c>
      <c r="AE1992" s="249" t="str">
        <f>HYPERLINK("https://scontent.cdninstagram.com/t51.2885-19/s150x150/20986643_111635112861159_488548642974597120_a.jpg")</f>
        <v>https://scontent.cdninstagram.com/t51.2885-19/s150x150/20986643_111635112861159_488548642974597120_a.jpg</v>
      </c>
    </row>
    <row r="1993" spans="1:31" ht="15" x14ac:dyDescent="0.25">
      <c r="A1993" t="s">
        <v>2474</v>
      </c>
      <c r="B1993" t="s">
        <v>13050</v>
      </c>
      <c r="C1993" s="221">
        <v>42968.594351851854</v>
      </c>
      <c r="D1993" t="s">
        <v>13051</v>
      </c>
      <c r="E1993" s="249" t="str">
        <f>HYPERLINK("https://www.instagram.com/p/BYEMfw5gp8C/")</f>
        <v>https://www.instagram.com/p/BYEMfw5gp8C/</v>
      </c>
      <c r="F1993" t="s">
        <v>13052</v>
      </c>
      <c r="G1993" t="s">
        <v>2478</v>
      </c>
      <c r="H1993">
        <v>512</v>
      </c>
      <c r="I1993" t="s">
        <v>2479</v>
      </c>
      <c r="J1993">
        <v>3</v>
      </c>
      <c r="K1993">
        <v>120</v>
      </c>
      <c r="L1993">
        <v>123</v>
      </c>
      <c r="Q1993">
        <v>0</v>
      </c>
      <c r="R1993">
        <v>0</v>
      </c>
      <c r="S1993">
        <v>123</v>
      </c>
      <c r="Y1993" t="s">
        <v>2497</v>
      </c>
      <c r="AD1993" s="249" t="str">
        <f>HYPERLINK("https://scontent.cdninstagram.com/t51.2885-15/s320x320/e35/c153.0.711.711/20986813_324137464662996_8418333077813592064_n.jpg")</f>
        <v>https://scontent.cdninstagram.com/t51.2885-15/s320x320/e35/c153.0.711.711/20986813_324137464662996_8418333077813592064_n.jpg</v>
      </c>
      <c r="AE1993" s="249" t="str">
        <f>HYPERLINK("https://scontent.cdninstagram.com/t51.2885-19/s150x150/14027368_288891811479243_1303763684_a.jpg")</f>
        <v>https://scontent.cdninstagram.com/t51.2885-19/s150x150/14027368_288891811479243_1303763684_a.jpg</v>
      </c>
    </row>
    <row r="1994" spans="1:31" ht="15" x14ac:dyDescent="0.25">
      <c r="A1994" t="s">
        <v>2474</v>
      </c>
      <c r="B1994" t="s">
        <v>13053</v>
      </c>
      <c r="C1994" s="221">
        <v>42968.598993055559</v>
      </c>
      <c r="D1994" t="s">
        <v>13054</v>
      </c>
      <c r="E1994" s="249" t="str">
        <f>HYPERLINK("https://www.instagram.com/p/BYENQzWBe8b/")</f>
        <v>https://www.instagram.com/p/BYENQzWBe8b/</v>
      </c>
      <c r="F1994" t="s">
        <v>13055</v>
      </c>
      <c r="G1994" t="s">
        <v>2478</v>
      </c>
      <c r="H1994">
        <v>579</v>
      </c>
      <c r="I1994" t="s">
        <v>2479</v>
      </c>
      <c r="J1994">
        <v>0</v>
      </c>
      <c r="K1994">
        <v>35</v>
      </c>
      <c r="L1994">
        <v>35</v>
      </c>
      <c r="Q1994">
        <v>0</v>
      </c>
      <c r="R1994">
        <v>0</v>
      </c>
      <c r="S1994">
        <v>35</v>
      </c>
      <c r="Y1994" t="s">
        <v>13056</v>
      </c>
      <c r="Z1994" t="s">
        <v>13057</v>
      </c>
      <c r="AA1994" t="s">
        <v>13058</v>
      </c>
      <c r="AB1994" t="s">
        <v>12752</v>
      </c>
      <c r="AC1994" t="s">
        <v>5951</v>
      </c>
      <c r="AD1994" s="249" t="str">
        <f>HYPERLINK("https://scontent.cdninstagram.com/t51.2885-15/s320x320/e35/20968865_1126202337512083_581315109024956416_n.jpg")</f>
        <v>https://scontent.cdninstagram.com/t51.2885-15/s320x320/e35/20968865_1126202337512083_581315109024956416_n.jpg</v>
      </c>
      <c r="AE1994" s="249" t="str">
        <f>HYPERLINK("https://scontent.cdninstagram.com/t51.2885-19/s150x150/18512791_101765410410438_1751000416448937984_a.jpg")</f>
        <v>https://scontent.cdninstagram.com/t51.2885-19/s150x150/18512791_101765410410438_1751000416448937984_a.jpg</v>
      </c>
    </row>
    <row r="1995" spans="1:31" ht="15" x14ac:dyDescent="0.25">
      <c r="A1995" t="s">
        <v>2474</v>
      </c>
      <c r="B1995" t="s">
        <v>13059</v>
      </c>
      <c r="C1995" s="221">
        <v>42968.611018518517</v>
      </c>
      <c r="D1995" t="s">
        <v>13060</v>
      </c>
      <c r="E1995" s="249" t="str">
        <f>HYPERLINK("https://www.instagram.com/p/BYEPPmSBYKh/")</f>
        <v>https://www.instagram.com/p/BYEPPmSBYKh/</v>
      </c>
      <c r="F1995" t="s">
        <v>13061</v>
      </c>
      <c r="G1995" t="s">
        <v>2478</v>
      </c>
      <c r="H1995">
        <v>200</v>
      </c>
      <c r="I1995" t="s">
        <v>2542</v>
      </c>
      <c r="J1995">
        <v>3</v>
      </c>
      <c r="K1995">
        <v>33</v>
      </c>
      <c r="L1995">
        <v>36</v>
      </c>
      <c r="Q1995">
        <v>0</v>
      </c>
      <c r="R1995">
        <v>0</v>
      </c>
      <c r="S1995">
        <v>36</v>
      </c>
      <c r="Y1995" t="s">
        <v>13062</v>
      </c>
      <c r="Z1995" t="s">
        <v>4240</v>
      </c>
      <c r="AA1995" t="s">
        <v>3070</v>
      </c>
      <c r="AB1995" t="s">
        <v>13063</v>
      </c>
      <c r="AC1995" t="s">
        <v>13064</v>
      </c>
      <c r="AD1995" s="249" t="str">
        <f>HYPERLINK("https://scontent.cdninstagram.com/t51.2885-15/s320x320/e35/20905785_164382860797315_6482992321422950400_n.jpg")</f>
        <v>https://scontent.cdninstagram.com/t51.2885-15/s320x320/e35/20905785_164382860797315_6482992321422950400_n.jpg</v>
      </c>
      <c r="AE1995" s="249" t="str">
        <f>HYPERLINK("https://scontent.cdninstagram.com/t51.2885-19/926474_1618389535052165_1262024776_a.jpg")</f>
        <v>https://scontent.cdninstagram.com/t51.2885-19/926474_1618389535052165_1262024776_a.jpg</v>
      </c>
    </row>
    <row r="1996" spans="1:31" ht="15" x14ac:dyDescent="0.25">
      <c r="A1996" t="s">
        <v>2474</v>
      </c>
      <c r="B1996" t="s">
        <v>13065</v>
      </c>
      <c r="C1996" s="221">
        <v>42968.612615740742</v>
      </c>
      <c r="D1996" t="s">
        <v>13066</v>
      </c>
      <c r="E1996" s="249" t="str">
        <f>HYPERLINK("https://www.instagram.com/p/BYEPgZiAE5j/")</f>
        <v>https://www.instagram.com/p/BYEPgZiAE5j/</v>
      </c>
      <c r="F1996" t="s">
        <v>13067</v>
      </c>
      <c r="G1996" t="s">
        <v>2478</v>
      </c>
      <c r="H1996">
        <v>11</v>
      </c>
      <c r="I1996" t="s">
        <v>2479</v>
      </c>
      <c r="J1996">
        <v>0</v>
      </c>
      <c r="K1996">
        <v>13</v>
      </c>
      <c r="L1996">
        <v>13</v>
      </c>
      <c r="Q1996">
        <v>0</v>
      </c>
      <c r="R1996">
        <v>0</v>
      </c>
      <c r="S1996">
        <v>13</v>
      </c>
      <c r="Y1996" t="s">
        <v>13068</v>
      </c>
      <c r="Z1996" t="s">
        <v>13069</v>
      </c>
      <c r="AA1996" t="s">
        <v>13070</v>
      </c>
      <c r="AB1996" t="s">
        <v>2513</v>
      </c>
      <c r="AC1996" t="s">
        <v>13071</v>
      </c>
      <c r="AD1996" s="249" t="str">
        <f>HYPERLINK("https://scontent.cdninstagram.com/t51.2885-15/s320x320/e35/21042001_158381784717096_8493376172338446336_n.jpg")</f>
        <v>https://scontent.cdninstagram.com/t51.2885-15/s320x320/e35/21042001_158381784717096_8493376172338446336_n.jpg</v>
      </c>
      <c r="AE1996" s="249" t="str">
        <f>HYPERLINK("https://scontent.cdninstagram.com/t51.2885-19/s150x150/13525546_148760292199085_1320539326_a.jpg")</f>
        <v>https://scontent.cdninstagram.com/t51.2885-19/s150x150/13525546_148760292199085_1320539326_a.jpg</v>
      </c>
    </row>
    <row r="1997" spans="1:31" ht="15" x14ac:dyDescent="0.25">
      <c r="A1997" t="s">
        <v>2474</v>
      </c>
      <c r="B1997" t="s">
        <v>13072</v>
      </c>
      <c r="C1997" s="221">
        <v>42968.613437499997</v>
      </c>
      <c r="D1997" t="s">
        <v>13073</v>
      </c>
      <c r="E1997" s="249" t="str">
        <f>HYPERLINK("https://www.instagram.com/p/BYEPpI3h12A/")</f>
        <v>https://www.instagram.com/p/BYEPpI3h12A/</v>
      </c>
      <c r="F1997" t="s">
        <v>13074</v>
      </c>
      <c r="G1997" t="s">
        <v>2478</v>
      </c>
      <c r="H1997">
        <v>341</v>
      </c>
      <c r="I1997" t="s">
        <v>2542</v>
      </c>
      <c r="J1997">
        <v>2</v>
      </c>
      <c r="K1997">
        <v>27</v>
      </c>
      <c r="L1997">
        <v>29</v>
      </c>
      <c r="Q1997">
        <v>0</v>
      </c>
      <c r="R1997">
        <v>0</v>
      </c>
      <c r="S1997">
        <v>29</v>
      </c>
      <c r="T1997" t="s">
        <v>13075</v>
      </c>
      <c r="V1997" t="s">
        <v>2222</v>
      </c>
      <c r="W1997">
        <v>53.088057467829998</v>
      </c>
      <c r="X1997">
        <v>5.8206959336450002</v>
      </c>
      <c r="Y1997" t="s">
        <v>13076</v>
      </c>
      <c r="Z1997" t="s">
        <v>3655</v>
      </c>
      <c r="AA1997" t="s">
        <v>13077</v>
      </c>
      <c r="AB1997" t="s">
        <v>13078</v>
      </c>
      <c r="AC1997" t="s">
        <v>13079</v>
      </c>
      <c r="AD1997" s="249" t="str">
        <f>HYPERLINK("https://scontent.cdninstagram.com/t51.2885-15/s320x320/e35/c135.0.809.809/20986657_1968527810071311_2882517814097215488_n.jpg")</f>
        <v>https://scontent.cdninstagram.com/t51.2885-15/s320x320/e35/c135.0.809.809/20986657_1968527810071311_2882517814097215488_n.jpg</v>
      </c>
      <c r="AE1997" s="249" t="str">
        <f>HYPERLINK("https://scontent.cdninstagram.com/t51.2885-19/s150x150/17494641_1648419511852276_7582699361620983808_a.jpg")</f>
        <v>https://scontent.cdninstagram.com/t51.2885-19/s150x150/17494641_1648419511852276_7582699361620983808_a.jpg</v>
      </c>
    </row>
    <row r="1998" spans="1:31" ht="15" x14ac:dyDescent="0.25">
      <c r="A1998" t="s">
        <v>2474</v>
      </c>
      <c r="B1998" t="s">
        <v>13080</v>
      </c>
      <c r="C1998" s="221">
        <v>42968.615474537037</v>
      </c>
      <c r="D1998" t="s">
        <v>13081</v>
      </c>
      <c r="E1998" s="249" t="str">
        <f>HYPERLINK("https://www.instagram.com/p/BYEP-i8lTrl/")</f>
        <v>https://www.instagram.com/p/BYEP-i8lTrl/</v>
      </c>
      <c r="F1998" t="s">
        <v>13082</v>
      </c>
      <c r="G1998" t="s">
        <v>2478</v>
      </c>
      <c r="H1998">
        <v>78</v>
      </c>
      <c r="I1998" t="s">
        <v>2479</v>
      </c>
      <c r="J1998">
        <v>0</v>
      </c>
      <c r="K1998">
        <v>0</v>
      </c>
      <c r="L1998">
        <v>0</v>
      </c>
      <c r="Q1998">
        <v>0</v>
      </c>
      <c r="R1998">
        <v>0</v>
      </c>
      <c r="S1998">
        <v>0</v>
      </c>
      <c r="Y1998" t="s">
        <v>13083</v>
      </c>
      <c r="Z1998" t="s">
        <v>8481</v>
      </c>
      <c r="AA1998" t="s">
        <v>3805</v>
      </c>
      <c r="AB1998" t="s">
        <v>13084</v>
      </c>
      <c r="AC1998" t="s">
        <v>4075</v>
      </c>
      <c r="AD1998" s="249" t="str">
        <f>HYPERLINK("https://scontent.cdninstagram.com/t51.2885-15/s320x320/e35/c0.12.1080.1080/20969134_119695965352467_9115716366593163264_n.jpg")</f>
        <v>https://scontent.cdninstagram.com/t51.2885-15/s320x320/e35/c0.12.1080.1080/20969134_119695965352467_9115716366593163264_n.jpg</v>
      </c>
      <c r="AE1998" s="249" t="str">
        <f>HYPERLINK("https://scontent.cdninstagram.com/t51.2885-19/s150x150/18809561_1603786899631472_9217462037301428224_a.jpg")</f>
        <v>https://scontent.cdninstagram.com/t51.2885-19/s150x150/18809561_1603786899631472_9217462037301428224_a.jpg</v>
      </c>
    </row>
    <row r="1999" spans="1:31" ht="15" x14ac:dyDescent="0.25">
      <c r="A1999" t="s">
        <v>2474</v>
      </c>
      <c r="B1999" t="s">
        <v>13080</v>
      </c>
      <c r="C1999" s="221">
        <v>42968.618773148148</v>
      </c>
      <c r="D1999" t="s">
        <v>13085</v>
      </c>
      <c r="E1999" s="249" t="str">
        <f>HYPERLINK("https://www.instagram.com/p/BYEQhaXFbIK/")</f>
        <v>https://www.instagram.com/p/BYEQhaXFbIK/</v>
      </c>
      <c r="F1999" t="s">
        <v>13086</v>
      </c>
      <c r="G1999" t="s">
        <v>2478</v>
      </c>
      <c r="H1999">
        <v>78</v>
      </c>
      <c r="I1999" t="s">
        <v>2479</v>
      </c>
      <c r="J1999">
        <v>0</v>
      </c>
      <c r="K1999">
        <v>21</v>
      </c>
      <c r="L1999">
        <v>21</v>
      </c>
      <c r="Q1999">
        <v>0</v>
      </c>
      <c r="R1999">
        <v>0</v>
      </c>
      <c r="S1999">
        <v>21</v>
      </c>
      <c r="Y1999" t="s">
        <v>2827</v>
      </c>
      <c r="Z1999" t="s">
        <v>13087</v>
      </c>
      <c r="AA1999" t="s">
        <v>13088</v>
      </c>
      <c r="AB1999" t="s">
        <v>2497</v>
      </c>
      <c r="AC1999" t="s">
        <v>13089</v>
      </c>
      <c r="AD1999" s="249" t="str">
        <f>HYPERLINK("https://scontent.cdninstagram.com/t51.2885-15/s320x320/e35/20905701_112193902823458_8257283340495749120_n.jpg")</f>
        <v>https://scontent.cdninstagram.com/t51.2885-15/s320x320/e35/20905701_112193902823458_8257283340495749120_n.jpg</v>
      </c>
      <c r="AE1999" s="249" t="str">
        <f>HYPERLINK("https://scontent.cdninstagram.com/t51.2885-19/s150x150/18809561_1603786899631472_9217462037301428224_a.jpg")</f>
        <v>https://scontent.cdninstagram.com/t51.2885-19/s150x150/18809561_1603786899631472_9217462037301428224_a.jpg</v>
      </c>
    </row>
    <row r="2000" spans="1:31" ht="15" x14ac:dyDescent="0.25">
      <c r="A2000" t="s">
        <v>2474</v>
      </c>
      <c r="B2000" t="s">
        <v>10558</v>
      </c>
      <c r="C2000" s="221">
        <v>42968.621134259258</v>
      </c>
      <c r="D2000" t="s">
        <v>13090</v>
      </c>
      <c r="E2000" s="249" t="str">
        <f>HYPERLINK("https://www.instagram.com/p/BYEQ6SPAwo2/")</f>
        <v>https://www.instagram.com/p/BYEQ6SPAwo2/</v>
      </c>
      <c r="F2000" t="s">
        <v>13091</v>
      </c>
      <c r="G2000" t="s">
        <v>2478</v>
      </c>
      <c r="H2000">
        <v>235</v>
      </c>
      <c r="I2000" t="s">
        <v>2479</v>
      </c>
      <c r="J2000">
        <v>4</v>
      </c>
      <c r="K2000">
        <v>5</v>
      </c>
      <c r="L2000">
        <v>9</v>
      </c>
      <c r="Q2000">
        <v>0</v>
      </c>
      <c r="R2000">
        <v>0</v>
      </c>
      <c r="S2000">
        <v>9</v>
      </c>
      <c r="Y2000" t="s">
        <v>9888</v>
      </c>
      <c r="Z2000" t="s">
        <v>13092</v>
      </c>
      <c r="AA2000" t="s">
        <v>5802</v>
      </c>
      <c r="AB2000" t="s">
        <v>2497</v>
      </c>
      <c r="AD2000" s="249" t="str">
        <f>HYPERLINK("https://scontent.cdninstagram.com/t51.2885-15/s320x320/e35/c0.135.1080.1080/20969261_325244594570133_8169741496002543616_n.jpg")</f>
        <v>https://scontent.cdninstagram.com/t51.2885-15/s320x320/e35/c0.135.1080.1080/20969261_325244594570133_8169741496002543616_n.jpg</v>
      </c>
      <c r="AE2000" s="249" t="str">
        <f>HYPERLINK("https://scontent.cdninstagram.com/t51.2885-19/s150x150/20589817_121556285141868_8984288718068121600_a.jpg")</f>
        <v>https://scontent.cdninstagram.com/t51.2885-19/s150x150/20589817_121556285141868_8984288718068121600_a.jpg</v>
      </c>
    </row>
    <row r="2001" spans="1:31" ht="15" x14ac:dyDescent="0.25">
      <c r="A2001" t="s">
        <v>2474</v>
      </c>
      <c r="B2001" t="s">
        <v>4616</v>
      </c>
      <c r="C2001" s="221">
        <v>42968.623981481483</v>
      </c>
      <c r="D2001" t="s">
        <v>13093</v>
      </c>
      <c r="E2001" s="249" t="str">
        <f>HYPERLINK("https://www.instagram.com/p/BYERYWKBMLe/")</f>
        <v>https://www.instagram.com/p/BYERYWKBMLe/</v>
      </c>
      <c r="F2001" t="s">
        <v>13094</v>
      </c>
      <c r="G2001" t="s">
        <v>2478</v>
      </c>
      <c r="H2001">
        <v>119</v>
      </c>
      <c r="I2001" t="s">
        <v>2479</v>
      </c>
      <c r="J2001">
        <v>1</v>
      </c>
      <c r="K2001">
        <v>29</v>
      </c>
      <c r="L2001">
        <v>30</v>
      </c>
      <c r="Q2001">
        <v>0</v>
      </c>
      <c r="R2001">
        <v>0</v>
      </c>
      <c r="S2001">
        <v>30</v>
      </c>
      <c r="T2001" t="s">
        <v>7823</v>
      </c>
      <c r="V2001" t="s">
        <v>2125</v>
      </c>
      <c r="W2001">
        <v>45</v>
      </c>
      <c r="X2001">
        <v>-79.3</v>
      </c>
      <c r="Y2001" t="s">
        <v>3174</v>
      </c>
      <c r="Z2001" t="s">
        <v>5586</v>
      </c>
      <c r="AA2001" t="s">
        <v>4808</v>
      </c>
      <c r="AB2001" t="s">
        <v>3569</v>
      </c>
      <c r="AC2001" t="s">
        <v>4623</v>
      </c>
      <c r="AD2001" s="249" t="str">
        <f>HYPERLINK("https://scontent.cdninstagram.com/t51.2885-15/s320x320/e35/c0.135.1080.1080/21041833_1401700226614040_570097337347604480_n.jpg")</f>
        <v>https://scontent.cdninstagram.com/t51.2885-15/s320x320/e35/c0.135.1080.1080/21041833_1401700226614040_570097337347604480_n.jpg</v>
      </c>
      <c r="AE2001" s="249" t="str">
        <f>HYPERLINK("https://scontent.cdninstagram.com/t51.2885-19/s150x150/17494353_1347957098574282_2527511313651859456_a.jpg")</f>
        <v>https://scontent.cdninstagram.com/t51.2885-19/s150x150/17494353_1347957098574282_2527511313651859456_a.jpg</v>
      </c>
    </row>
    <row r="2002" spans="1:31" ht="15" x14ac:dyDescent="0.25">
      <c r="A2002" t="s">
        <v>2474</v>
      </c>
      <c r="B2002" t="s">
        <v>13095</v>
      </c>
      <c r="C2002" s="221">
        <v>42968.631805555553</v>
      </c>
      <c r="D2002" t="s">
        <v>13096</v>
      </c>
      <c r="E2002" s="249" t="str">
        <f>HYPERLINK("https://www.instagram.com/p/BYESq2CH1_F/")</f>
        <v>https://www.instagram.com/p/BYESq2CH1_F/</v>
      </c>
      <c r="F2002" t="s">
        <v>13097</v>
      </c>
      <c r="G2002" t="s">
        <v>2478</v>
      </c>
      <c r="H2002">
        <v>14992</v>
      </c>
      <c r="I2002" t="s">
        <v>2479</v>
      </c>
      <c r="J2002">
        <v>2</v>
      </c>
      <c r="K2002">
        <v>158</v>
      </c>
      <c r="L2002">
        <v>160</v>
      </c>
      <c r="Q2002">
        <v>0</v>
      </c>
      <c r="R2002">
        <v>0</v>
      </c>
      <c r="S2002">
        <v>160</v>
      </c>
      <c r="T2002" t="s">
        <v>6644</v>
      </c>
      <c r="U2002" t="s">
        <v>99</v>
      </c>
      <c r="V2002" t="s">
        <v>2299</v>
      </c>
      <c r="W2002">
        <v>40.714199999999998</v>
      </c>
      <c r="X2002">
        <v>-74.006399999999999</v>
      </c>
      <c r="Y2002" t="s">
        <v>13098</v>
      </c>
      <c r="Z2002" t="s">
        <v>13095</v>
      </c>
      <c r="AA2002" t="s">
        <v>13099</v>
      </c>
      <c r="AB2002" t="s">
        <v>13100</v>
      </c>
      <c r="AC2002" t="s">
        <v>13101</v>
      </c>
      <c r="AD2002" s="249" t="str">
        <f>HYPERLINK("https://scontent.cdninstagram.com/t51.2885-15/s320x320/e35/c180.0.720.720/20968594_1812385912386107_636350197185642496_n.jpg")</f>
        <v>https://scontent.cdninstagram.com/t51.2885-15/s320x320/e35/c180.0.720.720/20968594_1812385912386107_636350197185642496_n.jpg</v>
      </c>
      <c r="AE2002" s="249" t="str">
        <f>HYPERLINK("https://scontent.cdninstagram.com/t51.2885-19/s150x150/14716515_309893436056588_1435804801093861376_a.jpg")</f>
        <v>https://scontent.cdninstagram.com/t51.2885-19/s150x150/14716515_309893436056588_1435804801093861376_a.jpg</v>
      </c>
    </row>
    <row r="2003" spans="1:31" ht="15" x14ac:dyDescent="0.25">
      <c r="A2003" t="s">
        <v>2474</v>
      </c>
      <c r="B2003" t="s">
        <v>13102</v>
      </c>
      <c r="C2003" s="221">
        <v>42968.633842592593</v>
      </c>
      <c r="D2003" t="s">
        <v>13103</v>
      </c>
      <c r="E2003" s="249" t="str">
        <f>HYPERLINK("https://www.instagram.com/p/BYETASSFPXB/")</f>
        <v>https://www.instagram.com/p/BYETASSFPXB/</v>
      </c>
      <c r="F2003" t="s">
        <v>13104</v>
      </c>
      <c r="G2003" t="s">
        <v>2488</v>
      </c>
      <c r="H2003">
        <v>268</v>
      </c>
      <c r="I2003" t="s">
        <v>2479</v>
      </c>
      <c r="J2003">
        <v>2</v>
      </c>
      <c r="K2003">
        <v>23</v>
      </c>
      <c r="L2003">
        <v>25</v>
      </c>
      <c r="Q2003">
        <v>0</v>
      </c>
      <c r="R2003">
        <v>0</v>
      </c>
      <c r="S2003">
        <v>25</v>
      </c>
      <c r="Y2003" t="s">
        <v>5938</v>
      </c>
      <c r="Z2003" t="s">
        <v>4464</v>
      </c>
      <c r="AA2003" t="s">
        <v>3144</v>
      </c>
      <c r="AB2003" t="s">
        <v>13105</v>
      </c>
      <c r="AC2003" t="s">
        <v>13106</v>
      </c>
      <c r="AD2003" s="249" t="str">
        <f>HYPERLINK("https://scontent.cdninstagram.com/t51.2885-15/s320x320/e35/20905683_757819697723387_3625625019767324672_n.jpg")</f>
        <v>https://scontent.cdninstagram.com/t51.2885-15/s320x320/e35/20905683_757819697723387_3625625019767324672_n.jpg</v>
      </c>
      <c r="AE2003" s="249" t="str">
        <f>HYPERLINK("https://scontent.cdninstagram.com/t51.2885-19/s150x150/20686703_470304986665199_8386878919181074432_a.jpg")</f>
        <v>https://scontent.cdninstagram.com/t51.2885-19/s150x150/20686703_470304986665199_8386878919181074432_a.jpg</v>
      </c>
    </row>
    <row r="2004" spans="1:31" ht="15" x14ac:dyDescent="0.25">
      <c r="A2004" t="s">
        <v>2474</v>
      </c>
      <c r="B2004" t="s">
        <v>13107</v>
      </c>
      <c r="C2004" s="221">
        <v>42968.636400462965</v>
      </c>
      <c r="D2004" t="s">
        <v>13108</v>
      </c>
      <c r="E2004" s="249" t="str">
        <f>HYPERLINK("https://www.instagram.com/p/BYETbVpjPT-/")</f>
        <v>https://www.instagram.com/p/BYETbVpjPT-/</v>
      </c>
      <c r="F2004" t="s">
        <v>13109</v>
      </c>
      <c r="G2004" t="s">
        <v>2488</v>
      </c>
      <c r="H2004">
        <v>766</v>
      </c>
      <c r="I2004" t="s">
        <v>2479</v>
      </c>
      <c r="J2004">
        <v>4</v>
      </c>
      <c r="K2004">
        <v>104</v>
      </c>
      <c r="L2004">
        <v>108</v>
      </c>
      <c r="Q2004">
        <v>0</v>
      </c>
      <c r="R2004">
        <v>0</v>
      </c>
      <c r="S2004">
        <v>108</v>
      </c>
      <c r="T2004" t="s">
        <v>13110</v>
      </c>
      <c r="V2004" t="s">
        <v>2288</v>
      </c>
      <c r="W2004">
        <v>51.485541400000002</v>
      </c>
      <c r="X2004">
        <v>-0.134737</v>
      </c>
      <c r="Y2004" t="s">
        <v>13111</v>
      </c>
      <c r="Z2004" t="s">
        <v>13112</v>
      </c>
      <c r="AA2004" t="s">
        <v>12283</v>
      </c>
      <c r="AB2004" t="s">
        <v>12621</v>
      </c>
      <c r="AC2004" t="s">
        <v>13113</v>
      </c>
      <c r="AD2004" s="249" t="str">
        <f>HYPERLINK("https://scontent.cdninstagram.com/t51.2885-15/s320x320/e15/20987237_137796386826664_6849930717757964288_n.jpg")</f>
        <v>https://scontent.cdninstagram.com/t51.2885-15/s320x320/e15/20987237_137796386826664_6849930717757964288_n.jpg</v>
      </c>
      <c r="AE2004" s="249" t="str">
        <f>HYPERLINK("https://scontent.cdninstagram.com/t51.2885-19/s150x150/21149375_266605903833744_1054269674935549952_a.jpg")</f>
        <v>https://scontent.cdninstagram.com/t51.2885-19/s150x150/21149375_266605903833744_1054269674935549952_a.jpg</v>
      </c>
    </row>
    <row r="2005" spans="1:31" ht="15" x14ac:dyDescent="0.25">
      <c r="A2005" t="s">
        <v>2474</v>
      </c>
      <c r="B2005" t="s">
        <v>13114</v>
      </c>
      <c r="C2005" s="221">
        <v>42968.637499999997</v>
      </c>
      <c r="D2005" t="s">
        <v>13115</v>
      </c>
      <c r="E2005" s="249" t="str">
        <f>HYPERLINK("https://www.instagram.com/p/BYETm3vDKG7/")</f>
        <v>https://www.instagram.com/p/BYETm3vDKG7/</v>
      </c>
      <c r="F2005" t="s">
        <v>13116</v>
      </c>
      <c r="G2005" t="s">
        <v>2478</v>
      </c>
      <c r="H2005">
        <v>1611</v>
      </c>
      <c r="I2005" t="s">
        <v>2479</v>
      </c>
      <c r="J2005">
        <v>2</v>
      </c>
      <c r="K2005">
        <v>52</v>
      </c>
      <c r="L2005">
        <v>54</v>
      </c>
      <c r="Q2005">
        <v>0</v>
      </c>
      <c r="R2005">
        <v>0</v>
      </c>
      <c r="S2005">
        <v>54</v>
      </c>
      <c r="Y2005" t="s">
        <v>13117</v>
      </c>
      <c r="Z2005" t="s">
        <v>13118</v>
      </c>
      <c r="AA2005" t="s">
        <v>5950</v>
      </c>
      <c r="AB2005" t="s">
        <v>2734</v>
      </c>
      <c r="AC2005" t="s">
        <v>3952</v>
      </c>
      <c r="AD2005" s="249" t="str">
        <f>HYPERLINK("https://scontent.cdninstagram.com/t51.2885-15/s320x320/e35/20987043_126029894698648_4899939638942105600_n.jpg")</f>
        <v>https://scontent.cdninstagram.com/t51.2885-15/s320x320/e35/20987043_126029894698648_4899939638942105600_n.jpg</v>
      </c>
      <c r="AE2005" s="249" t="str">
        <f>HYPERLINK("https://scontent.cdninstagram.com/t51.2885-19/s150x150/20986676_122873888358493_2767346049851850752_a.jpg")</f>
        <v>https://scontent.cdninstagram.com/t51.2885-19/s150x150/20986676_122873888358493_2767346049851850752_a.jpg</v>
      </c>
    </row>
    <row r="2006" spans="1:31" ht="15" x14ac:dyDescent="0.25">
      <c r="A2006" t="s">
        <v>2474</v>
      </c>
      <c r="B2006" t="s">
        <v>13119</v>
      </c>
      <c r="C2006" s="221">
        <v>42968.65042824074</v>
      </c>
      <c r="D2006" t="s">
        <v>13120</v>
      </c>
      <c r="E2006" s="249" t="str">
        <f>HYPERLINK("https://www.instagram.com/p/BYEVvQiBGhG/")</f>
        <v>https://www.instagram.com/p/BYEVvQiBGhG/</v>
      </c>
      <c r="F2006" t="s">
        <v>13121</v>
      </c>
      <c r="G2006" t="s">
        <v>2478</v>
      </c>
      <c r="H2006">
        <v>6746</v>
      </c>
      <c r="I2006" t="s">
        <v>2479</v>
      </c>
      <c r="J2006">
        <v>0</v>
      </c>
      <c r="K2006">
        <v>40</v>
      </c>
      <c r="L2006">
        <v>40</v>
      </c>
      <c r="Q2006">
        <v>0</v>
      </c>
      <c r="R2006">
        <v>0</v>
      </c>
      <c r="S2006">
        <v>40</v>
      </c>
      <c r="Y2006" t="s">
        <v>7225</v>
      </c>
      <c r="Z2006" t="s">
        <v>13122</v>
      </c>
      <c r="AA2006" t="s">
        <v>13123</v>
      </c>
      <c r="AB2006" t="s">
        <v>2728</v>
      </c>
      <c r="AC2006" t="s">
        <v>2497</v>
      </c>
      <c r="AD2006" s="249" t="str">
        <f>HYPERLINK("https://scontent.cdninstagram.com/t51.2885-15/s320x320/e35/20987328_112157396136467_4009947957657862144_n.jpg")</f>
        <v>https://scontent.cdninstagram.com/t51.2885-15/s320x320/e35/20987328_112157396136467_4009947957657862144_n.jpg</v>
      </c>
      <c r="AE2006" s="249" t="str">
        <f>HYPERLINK("https://scontent.cdninstagram.com/t51.2885-19/s150x150/18811973_1497182777021473_6778164150704013312_a.jpg")</f>
        <v>https://scontent.cdninstagram.com/t51.2885-19/s150x150/18811973_1497182777021473_6778164150704013312_a.jpg</v>
      </c>
    </row>
    <row r="2007" spans="1:31" ht="15" x14ac:dyDescent="0.25">
      <c r="A2007" t="s">
        <v>2474</v>
      </c>
      <c r="B2007" t="s">
        <v>13124</v>
      </c>
      <c r="C2007" s="221">
        <v>42968.650833333333</v>
      </c>
      <c r="D2007" t="s">
        <v>13125</v>
      </c>
      <c r="E2007" s="249" t="str">
        <f>HYPERLINK("https://www.instagram.com/p/BYEVzh9B6NJ/")</f>
        <v>https://www.instagram.com/p/BYEVzh9B6NJ/</v>
      </c>
      <c r="F2007" t="s">
        <v>13126</v>
      </c>
      <c r="G2007" t="s">
        <v>2478</v>
      </c>
      <c r="H2007">
        <v>887</v>
      </c>
      <c r="I2007" t="s">
        <v>2542</v>
      </c>
      <c r="J2007">
        <v>5</v>
      </c>
      <c r="K2007">
        <v>121</v>
      </c>
      <c r="L2007">
        <v>126</v>
      </c>
      <c r="Q2007">
        <v>0</v>
      </c>
      <c r="R2007">
        <v>0</v>
      </c>
      <c r="S2007">
        <v>126</v>
      </c>
      <c r="T2007" t="s">
        <v>13127</v>
      </c>
      <c r="V2007" t="s">
        <v>2648</v>
      </c>
      <c r="W2007">
        <v>55.55</v>
      </c>
      <c r="X2007">
        <v>50.933333333333003</v>
      </c>
      <c r="Y2007" t="s">
        <v>13128</v>
      </c>
      <c r="Z2007" t="s">
        <v>13129</v>
      </c>
      <c r="AA2007" t="s">
        <v>2497</v>
      </c>
      <c r="AB2007" t="s">
        <v>13130</v>
      </c>
      <c r="AD2007" s="249" t="str">
        <f>HYPERLINK("https://scontent.cdninstagram.com/t51.2885-15/s320x320/e35/c0.135.1080.1080/20905304_503450349999411_5387341087562006528_n.jpg")</f>
        <v>https://scontent.cdninstagram.com/t51.2885-15/s320x320/e35/c0.135.1080.1080/20905304_503450349999411_5387341087562006528_n.jpg</v>
      </c>
      <c r="AE2007" s="249" t="str">
        <f>HYPERLINK("https://scontent.cdninstagram.com/t51.2885-19/s150x150/18251440_217839355381829_3468018669399834624_a.jpg")</f>
        <v>https://scontent.cdninstagram.com/t51.2885-19/s150x150/18251440_217839355381829_3468018669399834624_a.jpg</v>
      </c>
    </row>
    <row r="2008" spans="1:31" ht="15" x14ac:dyDescent="0.25">
      <c r="A2008" t="s">
        <v>2474</v>
      </c>
      <c r="B2008" t="s">
        <v>13131</v>
      </c>
      <c r="C2008" s="221">
        <v>42968.651701388888</v>
      </c>
      <c r="D2008" t="s">
        <v>13132</v>
      </c>
      <c r="E2008" s="249" t="str">
        <f>HYPERLINK("https://www.instagram.com/p/BYEV8o4Ar7c/")</f>
        <v>https://www.instagram.com/p/BYEV8o4Ar7c/</v>
      </c>
      <c r="F2008" t="s">
        <v>13133</v>
      </c>
      <c r="G2008" t="s">
        <v>2478</v>
      </c>
      <c r="H2008">
        <v>389</v>
      </c>
      <c r="I2008" t="s">
        <v>2786</v>
      </c>
      <c r="J2008">
        <v>2</v>
      </c>
      <c r="K2008">
        <v>117</v>
      </c>
      <c r="L2008">
        <v>119</v>
      </c>
      <c r="Q2008">
        <v>0</v>
      </c>
      <c r="R2008">
        <v>0</v>
      </c>
      <c r="S2008">
        <v>119</v>
      </c>
      <c r="T2008" t="s">
        <v>13134</v>
      </c>
      <c r="V2008" t="s">
        <v>2125</v>
      </c>
      <c r="W2008">
        <v>49.384999999999998</v>
      </c>
      <c r="X2008">
        <v>-122.935</v>
      </c>
      <c r="Y2008" t="s">
        <v>13135</v>
      </c>
      <c r="Z2008" t="s">
        <v>13136</v>
      </c>
      <c r="AA2008" t="s">
        <v>13137</v>
      </c>
      <c r="AB2008" t="s">
        <v>13138</v>
      </c>
      <c r="AC2008" t="s">
        <v>13139</v>
      </c>
      <c r="AD2008" s="249" t="str">
        <f>HYPERLINK("https://scontent.cdninstagram.com/t51.2885-15/s320x320/e35/20905118_1594950247217239_4521931741790732288_n.jpg")</f>
        <v>https://scontent.cdninstagram.com/t51.2885-15/s320x320/e35/20905118_1594950247217239_4521931741790732288_n.jpg</v>
      </c>
      <c r="AE2008" s="249" t="str">
        <f>HYPERLINK("https://scontent.cdninstagram.com/t51.2885-19/s150x150/18252223_100299667211377_8531565831828537344_a.jpg")</f>
        <v>https://scontent.cdninstagram.com/t51.2885-19/s150x150/18252223_100299667211377_8531565831828537344_a.jpg</v>
      </c>
    </row>
    <row r="2009" spans="1:31" ht="15" x14ac:dyDescent="0.25">
      <c r="A2009" t="s">
        <v>2474</v>
      </c>
      <c r="B2009" t="s">
        <v>7540</v>
      </c>
      <c r="C2009" s="221">
        <v>42968.654189814813</v>
      </c>
      <c r="D2009" t="s">
        <v>13140</v>
      </c>
      <c r="E2009" s="249" t="str">
        <f>HYPERLINK("https://www.instagram.com/p/BYEWW6Rgo4v/")</f>
        <v>https://www.instagram.com/p/BYEWW6Rgo4v/</v>
      </c>
      <c r="F2009" t="s">
        <v>13141</v>
      </c>
      <c r="G2009" t="s">
        <v>2478</v>
      </c>
      <c r="H2009">
        <v>920</v>
      </c>
      <c r="I2009" t="s">
        <v>2542</v>
      </c>
      <c r="J2009">
        <v>3</v>
      </c>
      <c r="K2009">
        <v>48</v>
      </c>
      <c r="L2009">
        <v>51</v>
      </c>
      <c r="Q2009">
        <v>0</v>
      </c>
      <c r="R2009">
        <v>0</v>
      </c>
      <c r="S2009">
        <v>51</v>
      </c>
      <c r="Y2009" t="s">
        <v>4779</v>
      </c>
      <c r="Z2009" t="s">
        <v>13142</v>
      </c>
      <c r="AA2009" t="s">
        <v>5644</v>
      </c>
      <c r="AB2009" t="s">
        <v>3269</v>
      </c>
      <c r="AC2009" t="s">
        <v>6172</v>
      </c>
      <c r="AD2009" s="249" t="str">
        <f>HYPERLINK("https://scontent.cdninstagram.com/t51.2885-15/s320x320/e35/c0.112.898.898/21041065_283064008840135_817086896357244928_n.jpg")</f>
        <v>https://scontent.cdninstagram.com/t51.2885-15/s320x320/e35/c0.112.898.898/21041065_283064008840135_817086896357244928_n.jpg</v>
      </c>
      <c r="AE2009" s="249" t="str">
        <f>HYPERLINK("https://scontent.cdninstagram.com/t51.2885-19/10601767_517697101694681_1044067692_a.jpg")</f>
        <v>https://scontent.cdninstagram.com/t51.2885-19/10601767_517697101694681_1044067692_a.jpg</v>
      </c>
    </row>
    <row r="2010" spans="1:31" ht="15" x14ac:dyDescent="0.25">
      <c r="A2010" t="s">
        <v>2474</v>
      </c>
      <c r="B2010" t="s">
        <v>13143</v>
      </c>
      <c r="C2010" s="221">
        <v>42968.66946759259</v>
      </c>
      <c r="D2010" t="s">
        <v>13144</v>
      </c>
      <c r="E2010" s="249" t="str">
        <f>HYPERLINK("https://www.instagram.com/p/BYEY4BGg9Rk/")</f>
        <v>https://www.instagram.com/p/BYEY4BGg9Rk/</v>
      </c>
      <c r="F2010" t="s">
        <v>13145</v>
      </c>
      <c r="G2010" t="s">
        <v>2478</v>
      </c>
      <c r="H2010">
        <v>45</v>
      </c>
      <c r="I2010" t="s">
        <v>2479</v>
      </c>
      <c r="J2010">
        <v>1</v>
      </c>
      <c r="K2010">
        <v>18</v>
      </c>
      <c r="L2010">
        <v>19</v>
      </c>
      <c r="Q2010">
        <v>0</v>
      </c>
      <c r="R2010">
        <v>0</v>
      </c>
      <c r="S2010">
        <v>19</v>
      </c>
      <c r="Y2010" t="s">
        <v>13146</v>
      </c>
      <c r="Z2010" t="s">
        <v>13147</v>
      </c>
      <c r="AA2010" t="s">
        <v>13148</v>
      </c>
      <c r="AB2010" t="s">
        <v>13149</v>
      </c>
      <c r="AC2010" t="s">
        <v>13150</v>
      </c>
      <c r="AD2010" s="249" t="str">
        <f>HYPERLINK("https://scontent.cdninstagram.com/t51.2885-15/s320x320/e35/c0.134.1080.1080/20987300_151919748722913_6996350082773680128_n.jpg")</f>
        <v>https://scontent.cdninstagram.com/t51.2885-15/s320x320/e35/c0.134.1080.1080/20987300_151919748722913_6996350082773680128_n.jpg</v>
      </c>
      <c r="AE2010" s="249" t="str">
        <f>HYPERLINK("https://scontent.cdninstagram.com/t51.2885-19/s150x150/18949613_1667003496674088_6607393137163763712_a.jpg")</f>
        <v>https://scontent.cdninstagram.com/t51.2885-19/s150x150/18949613_1667003496674088_6607393137163763712_a.jpg</v>
      </c>
    </row>
    <row r="2011" spans="1:31" ht="15" x14ac:dyDescent="0.25">
      <c r="A2011" t="s">
        <v>2474</v>
      </c>
      <c r="B2011" t="s">
        <v>13151</v>
      </c>
      <c r="C2011" s="221">
        <v>42968.674942129626</v>
      </c>
      <c r="D2011" t="s">
        <v>13152</v>
      </c>
      <c r="E2011" s="249" t="str">
        <f>HYPERLINK("https://www.instagram.com/p/BYEZx09hA3n/")</f>
        <v>https://www.instagram.com/p/BYEZx09hA3n/</v>
      </c>
      <c r="F2011" t="s">
        <v>13153</v>
      </c>
      <c r="G2011" t="s">
        <v>2478</v>
      </c>
      <c r="H2011">
        <v>2</v>
      </c>
      <c r="I2011" t="s">
        <v>2479</v>
      </c>
      <c r="J2011">
        <v>0</v>
      </c>
      <c r="K2011">
        <v>17</v>
      </c>
      <c r="L2011">
        <v>17</v>
      </c>
      <c r="Q2011">
        <v>0</v>
      </c>
      <c r="R2011">
        <v>0</v>
      </c>
      <c r="S2011">
        <v>17</v>
      </c>
      <c r="Y2011" t="s">
        <v>13154</v>
      </c>
      <c r="Z2011" t="s">
        <v>8592</v>
      </c>
      <c r="AA2011" t="s">
        <v>13155</v>
      </c>
      <c r="AB2011" t="s">
        <v>13156</v>
      </c>
      <c r="AC2011" t="s">
        <v>12586</v>
      </c>
      <c r="AD2011" s="249" t="str">
        <f>HYPERLINK("https://scontent.cdninstagram.com/t51.2885-15/s320x320/e35/c0.134.1080.1080/20905738_227885581070468_7283086192558473216_n.jpg")</f>
        <v>https://scontent.cdninstagram.com/t51.2885-15/s320x320/e35/c0.134.1080.1080/20905738_227885581070468_7283086192558473216_n.jpg</v>
      </c>
      <c r="AE2011" s="249" t="str">
        <f>HYPERLINK("https://scontent.cdninstagram.com/t51.2885-19/s150x150/20905488_113119892688066_8446452701146906624_a.jpg")</f>
        <v>https://scontent.cdninstagram.com/t51.2885-19/s150x150/20905488_113119892688066_8446452701146906624_a.jpg</v>
      </c>
    </row>
    <row r="2012" spans="1:31" ht="15" x14ac:dyDescent="0.25">
      <c r="A2012" t="s">
        <v>2474</v>
      </c>
      <c r="B2012" t="s">
        <v>13157</v>
      </c>
      <c r="C2012" s="221">
        <v>42968.680648148147</v>
      </c>
      <c r="D2012" t="s">
        <v>13158</v>
      </c>
      <c r="E2012" s="249" t="str">
        <f>HYPERLINK("https://www.instagram.com/p/BYEauAzFVZ6/")</f>
        <v>https://www.instagram.com/p/BYEauAzFVZ6/</v>
      </c>
      <c r="F2012" t="s">
        <v>13159</v>
      </c>
      <c r="G2012" t="s">
        <v>2488</v>
      </c>
      <c r="H2012">
        <v>304</v>
      </c>
      <c r="I2012" t="s">
        <v>2479</v>
      </c>
      <c r="J2012">
        <v>2</v>
      </c>
      <c r="K2012">
        <v>71</v>
      </c>
      <c r="L2012">
        <v>73</v>
      </c>
      <c r="Q2012">
        <v>0</v>
      </c>
      <c r="R2012">
        <v>0</v>
      </c>
      <c r="S2012">
        <v>73</v>
      </c>
      <c r="Y2012" t="s">
        <v>13160</v>
      </c>
      <c r="Z2012" t="s">
        <v>13161</v>
      </c>
      <c r="AA2012" t="s">
        <v>13162</v>
      </c>
      <c r="AB2012" t="s">
        <v>13163</v>
      </c>
      <c r="AC2012" t="s">
        <v>13164</v>
      </c>
      <c r="AD2012" s="249" t="str">
        <f>HYPERLINK("https://scontent.cdninstagram.com/t51.2885-15/s320x320/e35/21041211_301129850355307_4249709576334606336_n.jpg")</f>
        <v>https://scontent.cdninstagram.com/t51.2885-15/s320x320/e35/21041211_301129850355307_4249709576334606336_n.jpg</v>
      </c>
      <c r="AE2012" s="249" t="str">
        <f>HYPERLINK("https://scontent.cdninstagram.com/t51.2885-19/s150x150/12751234_187713224920844_2050461812_a.jpg")</f>
        <v>https://scontent.cdninstagram.com/t51.2885-19/s150x150/12751234_187713224920844_2050461812_a.jpg</v>
      </c>
    </row>
    <row r="2013" spans="1:31" ht="15" x14ac:dyDescent="0.25">
      <c r="A2013" t="s">
        <v>2474</v>
      </c>
      <c r="B2013" t="s">
        <v>13165</v>
      </c>
      <c r="C2013" s="221">
        <v>42968.698842592596</v>
      </c>
      <c r="D2013" t="s">
        <v>13166</v>
      </c>
      <c r="E2013" s="249" t="str">
        <f>HYPERLINK("https://www.instagram.com/p/BYEdt0CH25A/")</f>
        <v>https://www.instagram.com/p/BYEdt0CH25A/</v>
      </c>
      <c r="F2013" t="s">
        <v>13167</v>
      </c>
      <c r="G2013" t="s">
        <v>2478</v>
      </c>
      <c r="H2013">
        <v>591</v>
      </c>
      <c r="I2013" t="s">
        <v>2542</v>
      </c>
      <c r="J2013">
        <v>0</v>
      </c>
      <c r="K2013">
        <v>21</v>
      </c>
      <c r="L2013">
        <v>21</v>
      </c>
      <c r="Q2013">
        <v>0</v>
      </c>
      <c r="R2013">
        <v>0</v>
      </c>
      <c r="S2013">
        <v>21</v>
      </c>
      <c r="Y2013" t="s">
        <v>8786</v>
      </c>
      <c r="Z2013" t="s">
        <v>13168</v>
      </c>
      <c r="AA2013" t="s">
        <v>2497</v>
      </c>
      <c r="AD2013" s="249" t="str">
        <f>HYPERLINK("https://scontent.cdninstagram.com/t51.2885-15/s320x320/e35/c0.112.900.900/20969268_1603126893090620_6908993282651455488_n.jpg")</f>
        <v>https://scontent.cdninstagram.com/t51.2885-15/s320x320/e35/c0.112.900.900/20969268_1603126893090620_6908993282651455488_n.jpg</v>
      </c>
      <c r="AE2013" s="249" t="str">
        <f>HYPERLINK("https://scontent.cdninstagram.com/t51.2885-19/s150x150/18253181_598950886967279_689760636657205248_a.jpg")</f>
        <v>https://scontent.cdninstagram.com/t51.2885-19/s150x150/18253181_598950886967279_689760636657205248_a.jpg</v>
      </c>
    </row>
    <row r="2014" spans="1:31" ht="15" x14ac:dyDescent="0.25">
      <c r="A2014" t="s">
        <v>2474</v>
      </c>
      <c r="B2014" t="s">
        <v>5766</v>
      </c>
      <c r="C2014" s="221">
        <v>42968.699131944442</v>
      </c>
      <c r="D2014" t="s">
        <v>13169</v>
      </c>
      <c r="E2014" s="249" t="str">
        <f>HYPERLINK("https://www.instagram.com/p/BYEdw5TA0ri/")</f>
        <v>https://www.instagram.com/p/BYEdw5TA0ri/</v>
      </c>
      <c r="F2014" t="s">
        <v>13170</v>
      </c>
      <c r="G2014" t="s">
        <v>2478</v>
      </c>
      <c r="H2014">
        <v>135</v>
      </c>
      <c r="I2014" t="s">
        <v>2622</v>
      </c>
      <c r="J2014">
        <v>1</v>
      </c>
      <c r="K2014">
        <v>42</v>
      </c>
      <c r="L2014">
        <v>43</v>
      </c>
      <c r="Q2014">
        <v>0</v>
      </c>
      <c r="R2014">
        <v>0</v>
      </c>
      <c r="S2014">
        <v>43</v>
      </c>
      <c r="Y2014" t="s">
        <v>13171</v>
      </c>
      <c r="Z2014" t="s">
        <v>13172</v>
      </c>
      <c r="AA2014" t="s">
        <v>5769</v>
      </c>
      <c r="AB2014" t="s">
        <v>13173</v>
      </c>
      <c r="AC2014" t="s">
        <v>2641</v>
      </c>
      <c r="AD2014" s="249" t="str">
        <f>HYPERLINK("https://scontent.cdninstagram.com/t51.2885-15/s320x320/e35/c0.135.1080.1080/20986754_1940224496234997_5885225924286218240_n.jpg")</f>
        <v>https://scontent.cdninstagram.com/t51.2885-15/s320x320/e35/c0.135.1080.1080/20986754_1940224496234997_5885225924286218240_n.jpg</v>
      </c>
      <c r="AE2014" s="249" t="str">
        <f>HYPERLINK("https://scontent.cdninstagram.com/t51.2885-19/s150x150/18879663_1692879440726703_2212180471251468288_a.jpg")</f>
        <v>https://scontent.cdninstagram.com/t51.2885-19/s150x150/18879663_1692879440726703_2212180471251468288_a.jpg</v>
      </c>
    </row>
    <row r="2015" spans="1:31" ht="15" x14ac:dyDescent="0.25">
      <c r="A2015" t="s">
        <v>2474</v>
      </c>
      <c r="B2015" t="s">
        <v>13174</v>
      </c>
      <c r="C2015" s="221">
        <v>42968.713287037041</v>
      </c>
      <c r="D2015" t="s">
        <v>13175</v>
      </c>
      <c r="E2015" s="249" t="str">
        <f>HYPERLINK("https://www.instagram.com/p/BYEgGQGHuAH/")</f>
        <v>https://www.instagram.com/p/BYEgGQGHuAH/</v>
      </c>
      <c r="F2015" t="s">
        <v>13176</v>
      </c>
      <c r="G2015" t="s">
        <v>2631</v>
      </c>
      <c r="H2015">
        <v>2639</v>
      </c>
      <c r="I2015" t="s">
        <v>2479</v>
      </c>
      <c r="J2015">
        <v>3</v>
      </c>
      <c r="K2015">
        <v>183</v>
      </c>
      <c r="L2015">
        <v>186</v>
      </c>
      <c r="Q2015">
        <v>0</v>
      </c>
      <c r="R2015">
        <v>0</v>
      </c>
      <c r="S2015">
        <v>186</v>
      </c>
      <c r="T2015" t="s">
        <v>13177</v>
      </c>
      <c r="V2015" t="s">
        <v>2116</v>
      </c>
      <c r="W2015">
        <v>44.773445899999999</v>
      </c>
      <c r="X2015">
        <v>17.1782653</v>
      </c>
      <c r="Y2015" t="s">
        <v>13178</v>
      </c>
      <c r="Z2015" t="s">
        <v>13179</v>
      </c>
      <c r="AA2015" t="s">
        <v>13180</v>
      </c>
      <c r="AB2015" t="s">
        <v>13123</v>
      </c>
      <c r="AC2015" t="s">
        <v>2832</v>
      </c>
      <c r="AD2015" s="249" t="str">
        <f>HYPERLINK("https://scontent.cdninstagram.com/t51.2885-15/s320x320/e35/c0.90.720.720/21042157_119458145313709_2192156075292098560_n.jpg")</f>
        <v>https://scontent.cdninstagram.com/t51.2885-15/s320x320/e35/c0.90.720.720/21042157_119458145313709_2192156075292098560_n.jpg</v>
      </c>
      <c r="AE2015" s="249" t="str">
        <f>HYPERLINK("https://scontent.cdninstagram.com/t51.2885-19/s150x150/21041595_1872369949748662_6191834658771042304_a.jpg")</f>
        <v>https://scontent.cdninstagram.com/t51.2885-19/s150x150/21041595_1872369949748662_6191834658771042304_a.jpg</v>
      </c>
    </row>
    <row r="2016" spans="1:31" ht="15" x14ac:dyDescent="0.25">
      <c r="A2016" t="s">
        <v>2474</v>
      </c>
      <c r="B2016" t="s">
        <v>7578</v>
      </c>
      <c r="C2016" s="221">
        <v>42968.716249999998</v>
      </c>
      <c r="D2016" t="s">
        <v>13181</v>
      </c>
      <c r="E2016" s="249" t="str">
        <f>HYPERLINK("https://www.instagram.com/p/BYEglangxL1/")</f>
        <v>https://www.instagram.com/p/BYEglangxL1/</v>
      </c>
      <c r="F2016" t="s">
        <v>13182</v>
      </c>
      <c r="G2016" t="s">
        <v>2631</v>
      </c>
      <c r="H2016">
        <v>4971</v>
      </c>
      <c r="I2016" t="s">
        <v>2479</v>
      </c>
      <c r="J2016">
        <v>7</v>
      </c>
      <c r="K2016">
        <v>218</v>
      </c>
      <c r="L2016">
        <v>225</v>
      </c>
      <c r="Q2016">
        <v>0</v>
      </c>
      <c r="R2016">
        <v>0</v>
      </c>
      <c r="S2016">
        <v>225</v>
      </c>
      <c r="Y2016" t="s">
        <v>13183</v>
      </c>
      <c r="Z2016" t="s">
        <v>13184</v>
      </c>
      <c r="AA2016" t="s">
        <v>7584</v>
      </c>
      <c r="AB2016" t="s">
        <v>13185</v>
      </c>
      <c r="AC2016" t="s">
        <v>13186</v>
      </c>
      <c r="AD2016" s="249" t="str">
        <f>HYPERLINK("https://scontent.cdninstagram.com/t51.2885-15/s320x320/e15/c157.0.405.405/20969079_1856145088033482_6447199550036770816_n.jpg")</f>
        <v>https://scontent.cdninstagram.com/t51.2885-15/s320x320/e15/c157.0.405.405/20969079_1856145088033482_6447199550036770816_n.jpg</v>
      </c>
      <c r="AE2016" s="249" t="str">
        <f>HYPERLINK("https://scontent.cdninstagram.com/t51.2885-19/s150x150/20686435_279532329120021_9060796520994963456_a.jpg")</f>
        <v>https://scontent.cdninstagram.com/t51.2885-19/s150x150/20686435_279532329120021_9060796520994963456_a.jpg</v>
      </c>
    </row>
    <row r="2017" spans="1:31" ht="15" x14ac:dyDescent="0.25">
      <c r="A2017" t="s">
        <v>2474</v>
      </c>
      <c r="B2017" t="s">
        <v>13187</v>
      </c>
      <c r="C2017" s="221">
        <v>42968.732314814813</v>
      </c>
      <c r="D2017" t="s">
        <v>13188</v>
      </c>
      <c r="E2017" s="249" t="str">
        <f>HYPERLINK("https://www.instagram.com/p/BYEjO1aHapw/")</f>
        <v>https://www.instagram.com/p/BYEjO1aHapw/</v>
      </c>
      <c r="F2017" t="s">
        <v>13189</v>
      </c>
      <c r="G2017" t="s">
        <v>2478</v>
      </c>
      <c r="H2017">
        <v>412</v>
      </c>
      <c r="I2017" t="s">
        <v>2479</v>
      </c>
      <c r="J2017">
        <v>9</v>
      </c>
      <c r="K2017">
        <v>84</v>
      </c>
      <c r="L2017">
        <v>93</v>
      </c>
      <c r="Q2017">
        <v>0</v>
      </c>
      <c r="R2017">
        <v>0</v>
      </c>
      <c r="S2017">
        <v>93</v>
      </c>
      <c r="Y2017" t="s">
        <v>3157</v>
      </c>
      <c r="Z2017" t="s">
        <v>13190</v>
      </c>
      <c r="AA2017" t="s">
        <v>2492</v>
      </c>
      <c r="AB2017" t="s">
        <v>5257</v>
      </c>
      <c r="AC2017" t="s">
        <v>13191</v>
      </c>
      <c r="AD2017" s="249" t="str">
        <f>HYPERLINK("https://scontent.cdninstagram.com/t51.2885-15/s320x320/e35/c0.135.1080.1080/20902636_115073599218209_5741406260025098240_n.jpg")</f>
        <v>https://scontent.cdninstagram.com/t51.2885-15/s320x320/e35/c0.135.1080.1080/20902636_115073599218209_5741406260025098240_n.jpg</v>
      </c>
      <c r="AE2017" s="249" t="str">
        <f>HYPERLINK("https://scontent.cdninstagram.com/t51.2885-19/s150x150/20481849_267152540356034_3520080785493196800_a.jpg")</f>
        <v>https://scontent.cdninstagram.com/t51.2885-19/s150x150/20481849_267152540356034_3520080785493196800_a.jpg</v>
      </c>
    </row>
    <row r="2018" spans="1:31" ht="15" x14ac:dyDescent="0.25">
      <c r="A2018" t="s">
        <v>2474</v>
      </c>
      <c r="B2018" t="s">
        <v>2516</v>
      </c>
      <c r="C2018" s="221">
        <v>42968.733402777776</v>
      </c>
      <c r="D2018" t="s">
        <v>13192</v>
      </c>
      <c r="E2018" s="249" t="str">
        <f>HYPERLINK("https://www.instagram.com/p/BYEjaVtDGXG/")</f>
        <v>https://www.instagram.com/p/BYEjaVtDGXG/</v>
      </c>
      <c r="F2018" t="s">
        <v>13193</v>
      </c>
      <c r="G2018" t="s">
        <v>2478</v>
      </c>
      <c r="H2018">
        <v>683</v>
      </c>
      <c r="I2018" t="s">
        <v>2479</v>
      </c>
      <c r="J2018">
        <v>0</v>
      </c>
      <c r="K2018">
        <v>24</v>
      </c>
      <c r="L2018">
        <v>24</v>
      </c>
      <c r="Q2018">
        <v>0</v>
      </c>
      <c r="R2018">
        <v>0</v>
      </c>
      <c r="S2018">
        <v>24</v>
      </c>
      <c r="Y2018" t="s">
        <v>13194</v>
      </c>
      <c r="Z2018" t="s">
        <v>2767</v>
      </c>
      <c r="AA2018" t="s">
        <v>2899</v>
      </c>
      <c r="AB2018" t="s">
        <v>13195</v>
      </c>
      <c r="AC2018" t="s">
        <v>6219</v>
      </c>
      <c r="AD2018" s="249" t="str">
        <f>HYPERLINK("https://scontent.cdninstagram.com/t51.2885-15/s320x320/e35/c236.0.607.607/20968832_119556665366771_5905369235005112320_n.jpg")</f>
        <v>https://scontent.cdninstagram.com/t51.2885-15/s320x320/e35/c236.0.607.607/20968832_119556665366771_5905369235005112320_n.jpg</v>
      </c>
      <c r="AE2018" s="249" t="str">
        <f>HYPERLINK("https://scontent.cdninstagram.com/t51.2885-19/s150x150/19955124_1311741785589715_3896736407896457216_a.jpg")</f>
        <v>https://scontent.cdninstagram.com/t51.2885-19/s150x150/19955124_1311741785589715_3896736407896457216_a.jpg</v>
      </c>
    </row>
    <row r="2019" spans="1:31" ht="15" x14ac:dyDescent="0.25">
      <c r="A2019" t="s">
        <v>2474</v>
      </c>
      <c r="B2019" t="s">
        <v>7647</v>
      </c>
      <c r="C2019" s="221">
        <v>42968.734780092593</v>
      </c>
      <c r="D2019" t="s">
        <v>13196</v>
      </c>
      <c r="E2019" s="249" t="str">
        <f>HYPERLINK("https://www.instagram.com/p/BYEjo6jAtbw/")</f>
        <v>https://www.instagram.com/p/BYEjo6jAtbw/</v>
      </c>
      <c r="F2019" t="s">
        <v>13197</v>
      </c>
      <c r="G2019" t="s">
        <v>2478</v>
      </c>
      <c r="H2019">
        <v>74</v>
      </c>
      <c r="I2019" t="s">
        <v>2479</v>
      </c>
      <c r="J2019">
        <v>0</v>
      </c>
      <c r="K2019">
        <v>14</v>
      </c>
      <c r="L2019">
        <v>14</v>
      </c>
      <c r="Q2019">
        <v>0</v>
      </c>
      <c r="R2019">
        <v>0</v>
      </c>
      <c r="S2019">
        <v>14</v>
      </c>
      <c r="Y2019" t="s">
        <v>13198</v>
      </c>
      <c r="Z2019" t="s">
        <v>13199</v>
      </c>
      <c r="AA2019" t="s">
        <v>13200</v>
      </c>
      <c r="AB2019" t="s">
        <v>13201</v>
      </c>
      <c r="AC2019" t="s">
        <v>2497</v>
      </c>
      <c r="AD2019" s="249" t="str">
        <f>HYPERLINK("https://scontent.cdninstagram.com/t51.2885-15/s320x320/e35/c135.0.810.810/20905593_133158567300211_2989645774612070400_n.jpg")</f>
        <v>https://scontent.cdninstagram.com/t51.2885-15/s320x320/e35/c135.0.810.810/20905593_133158567300211_2989645774612070400_n.jpg</v>
      </c>
      <c r="AE2019" s="249" t="str">
        <f>HYPERLINK("https://scontent.cdninstagram.com/t51.2885-19/s150x150/19984566_732703113580954_2442051729433296896_a.jpg")</f>
        <v>https://scontent.cdninstagram.com/t51.2885-19/s150x150/19984566_732703113580954_2442051729433296896_a.jpg</v>
      </c>
    </row>
    <row r="2020" spans="1:31" ht="15" x14ac:dyDescent="0.25">
      <c r="A2020" t="s">
        <v>2474</v>
      </c>
      <c r="B2020" t="s">
        <v>7647</v>
      </c>
      <c r="C2020" s="221">
        <v>42968.737800925926</v>
      </c>
      <c r="D2020" t="s">
        <v>13202</v>
      </c>
      <c r="E2020" s="249" t="str">
        <f>HYPERLINK("https://www.instagram.com/p/BYEkIthgbPc/")</f>
        <v>https://www.instagram.com/p/BYEkIthgbPc/</v>
      </c>
      <c r="F2020" t="s">
        <v>13203</v>
      </c>
      <c r="G2020" t="s">
        <v>2478</v>
      </c>
      <c r="H2020">
        <v>74</v>
      </c>
      <c r="I2020" t="s">
        <v>3186</v>
      </c>
      <c r="J2020">
        <v>0</v>
      </c>
      <c r="K2020">
        <v>9</v>
      </c>
      <c r="L2020">
        <v>9</v>
      </c>
      <c r="Q2020">
        <v>0</v>
      </c>
      <c r="R2020">
        <v>0</v>
      </c>
      <c r="S2020">
        <v>9</v>
      </c>
      <c r="Y2020" t="s">
        <v>13204</v>
      </c>
      <c r="Z2020" t="s">
        <v>13205</v>
      </c>
      <c r="AA2020" t="s">
        <v>13206</v>
      </c>
      <c r="AB2020" t="s">
        <v>13207</v>
      </c>
      <c r="AC2020" t="s">
        <v>13208</v>
      </c>
      <c r="AD2020" s="249" t="str">
        <f>HYPERLINK("https://scontent.cdninstagram.com/t51.2885-15/s320x320/e35/c135.0.810.810/20905752_125395224768414_9102454388051410944_n.jpg")</f>
        <v>https://scontent.cdninstagram.com/t51.2885-15/s320x320/e35/c135.0.810.810/20905752_125395224768414_9102454388051410944_n.jpg</v>
      </c>
      <c r="AE2020" s="249" t="str">
        <f>HYPERLINK("https://scontent.cdninstagram.com/t51.2885-19/s150x150/19984566_732703113580954_2442051729433296896_a.jpg")</f>
        <v>https://scontent.cdninstagram.com/t51.2885-19/s150x150/19984566_732703113580954_2442051729433296896_a.jpg</v>
      </c>
    </row>
    <row r="2021" spans="1:31" ht="15" x14ac:dyDescent="0.25">
      <c r="A2021" t="s">
        <v>2474</v>
      </c>
      <c r="B2021" t="s">
        <v>13209</v>
      </c>
      <c r="C2021" s="221">
        <v>42968.746053240742</v>
      </c>
      <c r="D2021" t="s">
        <v>13210</v>
      </c>
      <c r="E2021" s="249" t="str">
        <f>HYPERLINK("https://www.instagram.com/p/BYElfxRlv0L/")</f>
        <v>https://www.instagram.com/p/BYElfxRlv0L/</v>
      </c>
      <c r="F2021" t="s">
        <v>13211</v>
      </c>
      <c r="G2021" t="s">
        <v>2478</v>
      </c>
      <c r="H2021">
        <v>139</v>
      </c>
      <c r="I2021" t="s">
        <v>2479</v>
      </c>
      <c r="J2021">
        <v>1</v>
      </c>
      <c r="K2021">
        <v>52</v>
      </c>
      <c r="L2021">
        <v>53</v>
      </c>
      <c r="Q2021">
        <v>0</v>
      </c>
      <c r="R2021">
        <v>0</v>
      </c>
      <c r="S2021">
        <v>53</v>
      </c>
      <c r="T2021" t="s">
        <v>13212</v>
      </c>
      <c r="U2021" t="s">
        <v>142</v>
      </c>
      <c r="V2021" t="s">
        <v>2299</v>
      </c>
      <c r="W2021">
        <v>33.494065580624003</v>
      </c>
      <c r="X2021">
        <v>-111.92534028922</v>
      </c>
      <c r="Y2021" t="s">
        <v>13213</v>
      </c>
      <c r="Z2021" t="s">
        <v>13214</v>
      </c>
      <c r="AA2021" t="s">
        <v>9296</v>
      </c>
      <c r="AB2021" t="s">
        <v>13215</v>
      </c>
      <c r="AC2021" t="s">
        <v>13216</v>
      </c>
      <c r="AD2021" s="249" t="str">
        <f>HYPERLINK("https://scontent.cdninstagram.com/t51.2885-15/s320x320/e35/c16.0.568.568/20968849_343133312810869_2289848817291362304_n.jpg")</f>
        <v>https://scontent.cdninstagram.com/t51.2885-15/s320x320/e35/c16.0.568.568/20968849_343133312810869_2289848817291362304_n.jpg</v>
      </c>
      <c r="AE2021" s="249" t="str">
        <f>HYPERLINK("https://scontent.cdninstagram.com/t51.2885-19/s150x150/12747787_961345927285313_1057127475_a.jpg")</f>
        <v>https://scontent.cdninstagram.com/t51.2885-19/s150x150/12747787_961345927285313_1057127475_a.jpg</v>
      </c>
    </row>
    <row r="2022" spans="1:31" ht="15" x14ac:dyDescent="0.25">
      <c r="A2022" t="s">
        <v>2474</v>
      </c>
      <c r="B2022" t="s">
        <v>13217</v>
      </c>
      <c r="C2022" s="221">
        <v>42968.752118055556</v>
      </c>
      <c r="D2022" t="s">
        <v>13218</v>
      </c>
      <c r="E2022" s="249" t="str">
        <f>HYPERLINK("https://www.instagram.com/p/BYEmfxVHnJm/")</f>
        <v>https://www.instagram.com/p/BYEmfxVHnJm/</v>
      </c>
      <c r="F2022" t="s">
        <v>13219</v>
      </c>
      <c r="G2022" t="s">
        <v>2631</v>
      </c>
      <c r="H2022">
        <v>324</v>
      </c>
      <c r="I2022" t="s">
        <v>2479</v>
      </c>
      <c r="J2022">
        <v>0</v>
      </c>
      <c r="K2022">
        <v>30</v>
      </c>
      <c r="L2022">
        <v>30</v>
      </c>
      <c r="Q2022">
        <v>0</v>
      </c>
      <c r="R2022">
        <v>0</v>
      </c>
      <c r="S2022">
        <v>30</v>
      </c>
      <c r="T2022" t="s">
        <v>13220</v>
      </c>
      <c r="V2022" t="s">
        <v>2160</v>
      </c>
      <c r="W2022">
        <v>41.65</v>
      </c>
      <c r="X2022">
        <v>42.316666666666997</v>
      </c>
      <c r="Y2022" t="s">
        <v>13221</v>
      </c>
      <c r="Z2022" t="s">
        <v>13222</v>
      </c>
      <c r="AA2022" t="s">
        <v>13223</v>
      </c>
      <c r="AB2022" t="s">
        <v>4407</v>
      </c>
      <c r="AC2022" t="s">
        <v>13224</v>
      </c>
      <c r="AD2022" s="249" t="str">
        <f>HYPERLINK("https://scontent.cdninstagram.com/t51.2885-15/s320x320/e15/c157.0.405.405/20968962_126921527939082_7496586401207549952_n.jpg")</f>
        <v>https://scontent.cdninstagram.com/t51.2885-15/s320x320/e15/c157.0.405.405/20968962_126921527939082_7496586401207549952_n.jpg</v>
      </c>
      <c r="AE2022" s="249" t="str">
        <f>HYPERLINK("https://scontent.cdninstagram.com/t51.2885-19/s150x150/19228693_687749621409265_909580112293265408_a.jpg")</f>
        <v>https://scontent.cdninstagram.com/t51.2885-19/s150x150/19228693_687749621409265_909580112293265408_a.jpg</v>
      </c>
    </row>
    <row r="2023" spans="1:31" ht="15" x14ac:dyDescent="0.25">
      <c r="A2023" t="s">
        <v>2474</v>
      </c>
      <c r="B2023" t="s">
        <v>13225</v>
      </c>
      <c r="C2023" s="221">
        <v>42968.757534722223</v>
      </c>
      <c r="D2023" t="s">
        <v>13226</v>
      </c>
      <c r="E2023" s="249" t="str">
        <f>HYPERLINK("https://www.instagram.com/p/BYEnY5ujUuj/")</f>
        <v>https://www.instagram.com/p/BYEnY5ujUuj/</v>
      </c>
      <c r="F2023" t="s">
        <v>13227</v>
      </c>
      <c r="G2023" t="s">
        <v>2478</v>
      </c>
      <c r="H2023">
        <v>482</v>
      </c>
      <c r="I2023" t="s">
        <v>2479</v>
      </c>
      <c r="J2023">
        <v>2</v>
      </c>
      <c r="K2023">
        <v>62</v>
      </c>
      <c r="L2023">
        <v>64</v>
      </c>
      <c r="Q2023">
        <v>0</v>
      </c>
      <c r="R2023">
        <v>0</v>
      </c>
      <c r="S2023">
        <v>64</v>
      </c>
      <c r="Y2023" t="s">
        <v>13228</v>
      </c>
      <c r="Z2023" t="s">
        <v>4513</v>
      </c>
      <c r="AA2023" t="s">
        <v>13229</v>
      </c>
      <c r="AB2023" t="s">
        <v>13230</v>
      </c>
      <c r="AC2023" t="s">
        <v>13231</v>
      </c>
      <c r="AD2023" s="249" t="str">
        <f>HYPERLINK("https://scontent.cdninstagram.com/t51.2885-15/s320x320/e35/c0.117.937.937/20968997_161212367764287_2494461334150709248_n.jpg")</f>
        <v>https://scontent.cdninstagram.com/t51.2885-15/s320x320/e35/c0.117.937.937/20968997_161212367764287_2494461334150709248_n.jpg</v>
      </c>
      <c r="AE2023" s="249" t="str">
        <f>HYPERLINK("https://scontent.cdninstagram.com/t51.2885-19/s150x150/17662971_850619198410571_894364275819151360_a.jpg")</f>
        <v>https://scontent.cdninstagram.com/t51.2885-19/s150x150/17662971_850619198410571_894364275819151360_a.jpg</v>
      </c>
    </row>
    <row r="2024" spans="1:31" ht="15" x14ac:dyDescent="0.25">
      <c r="A2024" t="s">
        <v>2474</v>
      </c>
      <c r="B2024" t="s">
        <v>12623</v>
      </c>
      <c r="C2024" s="221">
        <v>42968.759745370371</v>
      </c>
      <c r="D2024" t="s">
        <v>13232</v>
      </c>
      <c r="E2024" s="249" t="str">
        <f>HYPERLINK("https://www.instagram.com/p/BYEnwJ4h-DG/")</f>
        <v>https://www.instagram.com/p/BYEnwJ4h-DG/</v>
      </c>
      <c r="F2024" t="s">
        <v>13233</v>
      </c>
      <c r="G2024" t="s">
        <v>2478</v>
      </c>
      <c r="H2024">
        <v>39</v>
      </c>
      <c r="I2024" t="s">
        <v>2479</v>
      </c>
      <c r="J2024">
        <v>1</v>
      </c>
      <c r="K2024">
        <v>14</v>
      </c>
      <c r="L2024">
        <v>15</v>
      </c>
      <c r="Q2024">
        <v>0</v>
      </c>
      <c r="R2024">
        <v>0</v>
      </c>
      <c r="S2024">
        <v>15</v>
      </c>
      <c r="Y2024" t="s">
        <v>3225</v>
      </c>
      <c r="Z2024" t="s">
        <v>13234</v>
      </c>
      <c r="AA2024" t="s">
        <v>13235</v>
      </c>
      <c r="AB2024" t="s">
        <v>4839</v>
      </c>
      <c r="AC2024" t="s">
        <v>13236</v>
      </c>
      <c r="AD2024" s="249" t="str">
        <f>HYPERLINK("https://scontent.cdninstagram.com/t51.2885-15/s320x320/e35/20905606_1549522335099079_2833333970337267712_n.jpg")</f>
        <v>https://scontent.cdninstagram.com/t51.2885-15/s320x320/e35/20905606_1549522335099079_2833333970337267712_n.jpg</v>
      </c>
      <c r="AE2024" s="249" t="str">
        <f>HYPERLINK("https://scontent.cdninstagram.com/t51.2885-19/s150x150/20905221_267313190438379_2128714709635956736_a.jpg")</f>
        <v>https://scontent.cdninstagram.com/t51.2885-19/s150x150/20905221_267313190438379_2128714709635956736_a.jpg</v>
      </c>
    </row>
    <row r="2025" spans="1:31" ht="15" x14ac:dyDescent="0.25">
      <c r="A2025" t="s">
        <v>2474</v>
      </c>
      <c r="B2025" t="s">
        <v>13237</v>
      </c>
      <c r="C2025" s="221">
        <v>42968.761030092595</v>
      </c>
      <c r="D2025" t="s">
        <v>13238</v>
      </c>
      <c r="E2025" s="249" t="str">
        <f>HYPERLINK("https://www.instagram.com/p/BYEn9wOD-ki/")</f>
        <v>https://www.instagram.com/p/BYEn9wOD-ki/</v>
      </c>
      <c r="F2025" t="s">
        <v>13239</v>
      </c>
      <c r="G2025" t="s">
        <v>2478</v>
      </c>
      <c r="H2025">
        <v>171</v>
      </c>
      <c r="I2025" t="s">
        <v>2622</v>
      </c>
      <c r="J2025">
        <v>1</v>
      </c>
      <c r="K2025">
        <v>18</v>
      </c>
      <c r="L2025">
        <v>19</v>
      </c>
      <c r="Q2025">
        <v>0</v>
      </c>
      <c r="R2025">
        <v>0</v>
      </c>
      <c r="S2025">
        <v>19</v>
      </c>
      <c r="Y2025" t="s">
        <v>13240</v>
      </c>
      <c r="Z2025" t="s">
        <v>13241</v>
      </c>
      <c r="AA2025" t="s">
        <v>13242</v>
      </c>
      <c r="AB2025" t="s">
        <v>12194</v>
      </c>
      <c r="AC2025" t="s">
        <v>13243</v>
      </c>
      <c r="AD2025" s="249" t="str">
        <f>HYPERLINK("https://scontent.cdninstagram.com/t51.2885-15/s320x320/e35/20905728_148335449085725_2860880533364146176_n.jpg")</f>
        <v>https://scontent.cdninstagram.com/t51.2885-15/s320x320/e35/20905728_148335449085725_2860880533364146176_n.jpg</v>
      </c>
      <c r="AE2025" s="249" t="str">
        <f>HYPERLINK("https://scontent.cdninstagram.com/t51.2885-19/s150x150/16585055_1837859276489284_6689259736426086400_a.jpg")</f>
        <v>https://scontent.cdninstagram.com/t51.2885-19/s150x150/16585055_1837859276489284_6689259736426086400_a.jpg</v>
      </c>
    </row>
    <row r="2026" spans="1:31" ht="15" x14ac:dyDescent="0.25">
      <c r="A2026" t="s">
        <v>2474</v>
      </c>
      <c r="B2026" t="s">
        <v>13244</v>
      </c>
      <c r="C2026" s="221">
        <v>42968.768692129626</v>
      </c>
      <c r="D2026" t="s">
        <v>13245</v>
      </c>
      <c r="E2026" s="249" t="str">
        <f>HYPERLINK("https://www.instagram.com/p/BYEpOkSlz-o/")</f>
        <v>https://www.instagram.com/p/BYEpOkSlz-o/</v>
      </c>
      <c r="F2026" t="s">
        <v>13246</v>
      </c>
      <c r="G2026" t="s">
        <v>2478</v>
      </c>
      <c r="H2026">
        <v>286</v>
      </c>
      <c r="I2026" t="s">
        <v>2910</v>
      </c>
      <c r="J2026">
        <v>0</v>
      </c>
      <c r="K2026">
        <v>11</v>
      </c>
      <c r="L2026">
        <v>11</v>
      </c>
      <c r="Q2026">
        <v>0</v>
      </c>
      <c r="R2026">
        <v>0</v>
      </c>
      <c r="S2026">
        <v>11</v>
      </c>
      <c r="Y2026" t="s">
        <v>13247</v>
      </c>
      <c r="Z2026" t="s">
        <v>9248</v>
      </c>
      <c r="AA2026" t="s">
        <v>2497</v>
      </c>
      <c r="AB2026" t="s">
        <v>13248</v>
      </c>
      <c r="AC2026" t="s">
        <v>13249</v>
      </c>
      <c r="AD2026" s="249" t="str">
        <f>HYPERLINK("https://scontent.cdninstagram.com/t51.2885-15/s320x320/e35/20987291_1430991763658352_1618612512020758528_n.jpg")</f>
        <v>https://scontent.cdninstagram.com/t51.2885-15/s320x320/e35/20987291_1430991763658352_1618612512020758528_n.jpg</v>
      </c>
      <c r="AE2026" s="249" t="str">
        <f>HYPERLINK("https://scontent.cdninstagram.com/t51.2885-19/s150x150/14280472_292151941164492_1004035531_a.jpg")</f>
        <v>https://scontent.cdninstagram.com/t51.2885-19/s150x150/14280472_292151941164492_1004035531_a.jpg</v>
      </c>
    </row>
    <row r="2027" spans="1:31" ht="15" x14ac:dyDescent="0.25">
      <c r="A2027" t="s">
        <v>2474</v>
      </c>
      <c r="B2027" t="s">
        <v>13250</v>
      </c>
      <c r="C2027" s="221">
        <v>42968.781261574077</v>
      </c>
      <c r="D2027" t="s">
        <v>13251</v>
      </c>
      <c r="E2027" s="249" t="str">
        <f>HYPERLINK("https://www.instagram.com/p/BYErTLJn4ov/")</f>
        <v>https://www.instagram.com/p/BYErTLJn4ov/</v>
      </c>
      <c r="F2027" t="s">
        <v>13252</v>
      </c>
      <c r="G2027" t="s">
        <v>2478</v>
      </c>
      <c r="H2027">
        <v>684</v>
      </c>
      <c r="I2027" t="s">
        <v>2479</v>
      </c>
      <c r="J2027">
        <v>4</v>
      </c>
      <c r="K2027">
        <v>97</v>
      </c>
      <c r="L2027">
        <v>101</v>
      </c>
      <c r="Q2027">
        <v>0</v>
      </c>
      <c r="R2027">
        <v>0</v>
      </c>
      <c r="S2027">
        <v>101</v>
      </c>
      <c r="Y2027" t="s">
        <v>13253</v>
      </c>
      <c r="Z2027" t="s">
        <v>2513</v>
      </c>
      <c r="AA2027" t="s">
        <v>4701</v>
      </c>
      <c r="AB2027" t="s">
        <v>13254</v>
      </c>
      <c r="AC2027" t="s">
        <v>2497</v>
      </c>
      <c r="AD2027" s="249" t="str">
        <f>HYPERLINK("https://scontent.cdninstagram.com/t51.2885-15/s320x320/e35/c0.19.1072.1072/20987049_481509972206240_7710224310803103744_n.jpg")</f>
        <v>https://scontent.cdninstagram.com/t51.2885-15/s320x320/e35/c0.19.1072.1072/20987049_481509972206240_7710224310803103744_n.jpg</v>
      </c>
      <c r="AE2027" s="249" t="str">
        <f>HYPERLINK("https://scontent.cdninstagram.com/t51.2885-19/s150x150/19436841_256225738194799_6633884495445491712_a.jpg")</f>
        <v>https://scontent.cdninstagram.com/t51.2885-19/s150x150/19436841_256225738194799_6633884495445491712_a.jpg</v>
      </c>
    </row>
    <row r="2028" spans="1:31" ht="15" x14ac:dyDescent="0.25">
      <c r="A2028" t="s">
        <v>2474</v>
      </c>
      <c r="B2028" t="s">
        <v>13255</v>
      </c>
      <c r="C2028" s="221">
        <v>42968.782453703701</v>
      </c>
      <c r="D2028" t="s">
        <v>13256</v>
      </c>
      <c r="E2028" s="249" t="str">
        <f>HYPERLINK("https://www.instagram.com/p/BYErfwTAgbV/")</f>
        <v>https://www.instagram.com/p/BYErfwTAgbV/</v>
      </c>
      <c r="F2028" t="s">
        <v>13257</v>
      </c>
      <c r="G2028" t="s">
        <v>2478</v>
      </c>
      <c r="H2028">
        <v>425</v>
      </c>
      <c r="I2028" t="s">
        <v>2542</v>
      </c>
      <c r="J2028">
        <v>1</v>
      </c>
      <c r="K2028">
        <v>16</v>
      </c>
      <c r="L2028">
        <v>17</v>
      </c>
      <c r="Q2028">
        <v>0</v>
      </c>
      <c r="R2028">
        <v>0</v>
      </c>
      <c r="S2028">
        <v>17</v>
      </c>
      <c r="Y2028" t="s">
        <v>6300</v>
      </c>
      <c r="Z2028" t="s">
        <v>13258</v>
      </c>
      <c r="AA2028" t="s">
        <v>5706</v>
      </c>
      <c r="AB2028" t="s">
        <v>13259</v>
      </c>
      <c r="AC2028" t="s">
        <v>13260</v>
      </c>
      <c r="AD2028" s="249" t="str">
        <f>HYPERLINK("https://scontent.cdninstagram.com/t51.2885-15/s320x320/e35/c0.15.778.778/20905502_1929127733976827_6153822016358055936_n.jpg")</f>
        <v>https://scontent.cdninstagram.com/t51.2885-15/s320x320/e35/c0.15.778.778/20905502_1929127733976827_6153822016358055936_n.jpg</v>
      </c>
      <c r="AE2028" s="249" t="str">
        <f>HYPERLINK("https://scontent.cdninstagram.com/t51.2885-19/s150x150/18095770_618431938359691_4807165746893291520_a.jpg")</f>
        <v>https://scontent.cdninstagram.com/t51.2885-19/s150x150/18095770_618431938359691_4807165746893291520_a.jpg</v>
      </c>
    </row>
    <row r="2029" spans="1:31" ht="15" x14ac:dyDescent="0.25">
      <c r="A2029" t="s">
        <v>2474</v>
      </c>
      <c r="B2029" t="s">
        <v>13261</v>
      </c>
      <c r="C2029" s="221">
        <v>42968.792581018519</v>
      </c>
      <c r="D2029" t="s">
        <v>13262</v>
      </c>
      <c r="E2029" s="249" t="str">
        <f>HYPERLINK("https://www.instagram.com/p/BYEtKg6lkqB/")</f>
        <v>https://www.instagram.com/p/BYEtKg6lkqB/</v>
      </c>
      <c r="F2029" t="s">
        <v>13263</v>
      </c>
      <c r="G2029" t="s">
        <v>2478</v>
      </c>
      <c r="H2029">
        <v>82</v>
      </c>
      <c r="I2029" t="s">
        <v>2479</v>
      </c>
      <c r="J2029">
        <v>3</v>
      </c>
      <c r="K2029">
        <v>25</v>
      </c>
      <c r="L2029">
        <v>28</v>
      </c>
      <c r="Q2029">
        <v>0</v>
      </c>
      <c r="R2029">
        <v>0</v>
      </c>
      <c r="S2029">
        <v>28</v>
      </c>
      <c r="Y2029" t="s">
        <v>5981</v>
      </c>
      <c r="Z2029" t="s">
        <v>2551</v>
      </c>
      <c r="AA2029" t="s">
        <v>4058</v>
      </c>
      <c r="AB2029" t="s">
        <v>8013</v>
      </c>
      <c r="AC2029" t="s">
        <v>13264</v>
      </c>
      <c r="AD2029" s="249" t="str">
        <f>HYPERLINK("https://scontent.cdninstagram.com/t51.2885-15/s320x320/e35/21040880_1885593118123730_8607232315086602240_n.jpg")</f>
        <v>https://scontent.cdninstagram.com/t51.2885-15/s320x320/e35/21040880_1885593118123730_8607232315086602240_n.jpg</v>
      </c>
      <c r="AE2029" s="249" t="str">
        <f>HYPERLINK("https://scontent.cdninstagram.com/t51.2885-19/s150x150/20184762_202185413645141_6387584549269798912_a.jpg")</f>
        <v>https://scontent.cdninstagram.com/t51.2885-19/s150x150/20184762_202185413645141_6387584549269798912_a.jpg</v>
      </c>
    </row>
    <row r="2030" spans="1:31" ht="15" x14ac:dyDescent="0.25">
      <c r="A2030" t="s">
        <v>2474</v>
      </c>
      <c r="B2030" t="s">
        <v>13265</v>
      </c>
      <c r="C2030" s="221">
        <v>42968.792928240742</v>
      </c>
      <c r="D2030" t="s">
        <v>13266</v>
      </c>
      <c r="E2030" s="249" t="str">
        <f>HYPERLINK("https://www.instagram.com/p/BYEtOKPA5Of/")</f>
        <v>https://www.instagram.com/p/BYEtOKPA5Of/</v>
      </c>
      <c r="F2030" t="s">
        <v>13267</v>
      </c>
      <c r="G2030" t="s">
        <v>2478</v>
      </c>
      <c r="H2030">
        <v>529</v>
      </c>
      <c r="I2030" t="s">
        <v>2542</v>
      </c>
      <c r="J2030">
        <v>3</v>
      </c>
      <c r="K2030">
        <v>60</v>
      </c>
      <c r="L2030">
        <v>63</v>
      </c>
      <c r="Q2030">
        <v>0</v>
      </c>
      <c r="R2030">
        <v>0</v>
      </c>
      <c r="S2030">
        <v>63</v>
      </c>
      <c r="T2030" t="s">
        <v>8920</v>
      </c>
      <c r="U2030" t="s">
        <v>102</v>
      </c>
      <c r="V2030" t="s">
        <v>2299</v>
      </c>
      <c r="W2030">
        <v>41.8369</v>
      </c>
      <c r="X2030">
        <v>-87.684399999999997</v>
      </c>
      <c r="Y2030" t="s">
        <v>13268</v>
      </c>
      <c r="Z2030" t="s">
        <v>5168</v>
      </c>
      <c r="AA2030" t="s">
        <v>13269</v>
      </c>
      <c r="AB2030" t="s">
        <v>13270</v>
      </c>
      <c r="AC2030" t="s">
        <v>6294</v>
      </c>
      <c r="AD2030" s="249" t="str">
        <f>HYPERLINK("https://scontent.cdninstagram.com/t51.2885-15/s320x320/e35/20968911_436447793422423_4836608709780045824_n.jpg")</f>
        <v>https://scontent.cdninstagram.com/t51.2885-15/s320x320/e35/20968911_436447793422423_4836608709780045824_n.jpg</v>
      </c>
      <c r="AE2030" s="249" t="str">
        <f>HYPERLINK("https://scontent.cdninstagram.com/t51.2885-19/s150x150/20987208_377693552647946_6794863228363997184_a.jpg")</f>
        <v>https://scontent.cdninstagram.com/t51.2885-19/s150x150/20987208_377693552647946_6794863228363997184_a.jpg</v>
      </c>
    </row>
    <row r="2031" spans="1:31" ht="15" x14ac:dyDescent="0.25">
      <c r="A2031" t="s">
        <v>2474</v>
      </c>
      <c r="B2031" t="s">
        <v>13271</v>
      </c>
      <c r="C2031" s="221">
        <v>42968.798958333333</v>
      </c>
      <c r="D2031" t="s">
        <v>13272</v>
      </c>
      <c r="E2031" s="249" t="str">
        <f>HYPERLINK("https://www.instagram.com/p/BYEuNyWBwU7/")</f>
        <v>https://www.instagram.com/p/BYEuNyWBwU7/</v>
      </c>
      <c r="F2031" t="s">
        <v>13273</v>
      </c>
      <c r="G2031" t="s">
        <v>2478</v>
      </c>
      <c r="H2031">
        <v>344</v>
      </c>
      <c r="I2031" t="s">
        <v>13274</v>
      </c>
      <c r="J2031">
        <v>9</v>
      </c>
      <c r="K2031">
        <v>49</v>
      </c>
      <c r="L2031">
        <v>58</v>
      </c>
      <c r="Q2031">
        <v>0</v>
      </c>
      <c r="R2031">
        <v>0</v>
      </c>
      <c r="S2031">
        <v>58</v>
      </c>
      <c r="Y2031" t="s">
        <v>3225</v>
      </c>
      <c r="Z2031" t="s">
        <v>3514</v>
      </c>
      <c r="AA2031" t="s">
        <v>13275</v>
      </c>
      <c r="AB2031" t="s">
        <v>9938</v>
      </c>
      <c r="AC2031" t="s">
        <v>13276</v>
      </c>
      <c r="AD2031" s="249" t="str">
        <f>HYPERLINK("https://scontent.cdninstagram.com/t51.2885-15/s320x320/e35/c0.134.1080.1080/20987072_1429981093750757_4089075669160427520_n.jpg")</f>
        <v>https://scontent.cdninstagram.com/t51.2885-15/s320x320/e35/c0.134.1080.1080/20987072_1429981093750757_4089075669160427520_n.jpg</v>
      </c>
      <c r="AE2031" s="249" t="str">
        <f>HYPERLINK("https://scontent.cdninstagram.com/t51.2885-19/s150x150/19932482_553268158130745_1927993257053126656_a.jpg")</f>
        <v>https://scontent.cdninstagram.com/t51.2885-19/s150x150/19932482_553268158130745_1927993257053126656_a.jpg</v>
      </c>
    </row>
    <row r="2032" spans="1:31" ht="15" x14ac:dyDescent="0.25">
      <c r="A2032" t="s">
        <v>2474</v>
      </c>
      <c r="B2032" t="s">
        <v>13277</v>
      </c>
      <c r="C2032" s="221">
        <v>42968.799953703703</v>
      </c>
      <c r="D2032" t="s">
        <v>13278</v>
      </c>
      <c r="E2032" s="249" t="str">
        <f>HYPERLINK("https://www.instagram.com/p/BYEuYPrHy8C/")</f>
        <v>https://www.instagram.com/p/BYEuYPrHy8C/</v>
      </c>
      <c r="F2032" t="s">
        <v>13279</v>
      </c>
      <c r="G2032" t="s">
        <v>2478</v>
      </c>
      <c r="H2032">
        <v>377</v>
      </c>
      <c r="I2032" t="s">
        <v>2599</v>
      </c>
      <c r="J2032">
        <v>0</v>
      </c>
      <c r="K2032">
        <v>9</v>
      </c>
      <c r="L2032">
        <v>9</v>
      </c>
      <c r="Q2032">
        <v>0</v>
      </c>
      <c r="R2032">
        <v>0</v>
      </c>
      <c r="S2032">
        <v>9</v>
      </c>
      <c r="Y2032" t="s">
        <v>13280</v>
      </c>
      <c r="Z2032" t="s">
        <v>13281</v>
      </c>
      <c r="AA2032" t="s">
        <v>7365</v>
      </c>
      <c r="AB2032" t="s">
        <v>12468</v>
      </c>
      <c r="AC2032" t="s">
        <v>13282</v>
      </c>
      <c r="AD2032" s="249" t="str">
        <f>HYPERLINK("https://scontent.cdninstagram.com/t51.2885-15/s320x320/e35/20905221_863531737139056_1762959770064519168_n.jpg")</f>
        <v>https://scontent.cdninstagram.com/t51.2885-15/s320x320/e35/20905221_863531737139056_1762959770064519168_n.jpg</v>
      </c>
      <c r="AE2032" s="249" t="str">
        <f>HYPERLINK("https://scontent.cdninstagram.com/t51.2885-19/11244440_1591530561086823_574175051_a.jpg")</f>
        <v>https://scontent.cdninstagram.com/t51.2885-19/11244440_1591530561086823_574175051_a.jpg</v>
      </c>
    </row>
    <row r="2033" spans="1:31" ht="15" x14ac:dyDescent="0.25">
      <c r="A2033" t="s">
        <v>2474</v>
      </c>
      <c r="B2033" t="s">
        <v>4616</v>
      </c>
      <c r="C2033" s="221">
        <v>42968.802314814813</v>
      </c>
      <c r="D2033" t="s">
        <v>13283</v>
      </c>
      <c r="E2033" s="249" t="str">
        <f>HYPERLINK("https://www.instagram.com/p/BYEuxMrh5rh/")</f>
        <v>https://www.instagram.com/p/BYEuxMrh5rh/</v>
      </c>
      <c r="F2033" t="s">
        <v>13284</v>
      </c>
      <c r="G2033" t="s">
        <v>2478</v>
      </c>
      <c r="H2033">
        <v>119</v>
      </c>
      <c r="I2033" t="s">
        <v>2479</v>
      </c>
      <c r="J2033">
        <v>1</v>
      </c>
      <c r="K2033">
        <v>26</v>
      </c>
      <c r="L2033">
        <v>27</v>
      </c>
      <c r="Q2033">
        <v>0</v>
      </c>
      <c r="R2033">
        <v>0</v>
      </c>
      <c r="S2033">
        <v>27</v>
      </c>
      <c r="Y2033" t="s">
        <v>2944</v>
      </c>
      <c r="Z2033" t="s">
        <v>3569</v>
      </c>
      <c r="AA2033" t="s">
        <v>9938</v>
      </c>
      <c r="AB2033" t="s">
        <v>4621</v>
      </c>
      <c r="AC2033" t="s">
        <v>2730</v>
      </c>
      <c r="AD2033" s="249" t="str">
        <f>HYPERLINK("https://scontent.cdninstagram.com/t51.2885-15/s320x320/e35/20969124_161038957784280_8286767479233970176_n.jpg")</f>
        <v>https://scontent.cdninstagram.com/t51.2885-15/s320x320/e35/20969124_161038957784280_8286767479233970176_n.jpg</v>
      </c>
      <c r="AE2033" s="249" t="str">
        <f>HYPERLINK("https://scontent.cdninstagram.com/t51.2885-19/s150x150/17494353_1347957098574282_2527511313651859456_a.jpg")</f>
        <v>https://scontent.cdninstagram.com/t51.2885-19/s150x150/17494353_1347957098574282_2527511313651859456_a.jpg</v>
      </c>
    </row>
    <row r="2034" spans="1:31" ht="15" x14ac:dyDescent="0.25">
      <c r="A2034" t="s">
        <v>2474</v>
      </c>
      <c r="B2034" t="s">
        <v>3015</v>
      </c>
      <c r="C2034" s="221">
        <v>42968.803518518522</v>
      </c>
      <c r="D2034" t="s">
        <v>13285</v>
      </c>
      <c r="E2034" s="249" t="str">
        <f>HYPERLINK("https://www.instagram.com/p/BYEu9zUg8D4/")</f>
        <v>https://www.instagram.com/p/BYEu9zUg8D4/</v>
      </c>
      <c r="F2034" t="s">
        <v>13286</v>
      </c>
      <c r="G2034" t="s">
        <v>2478</v>
      </c>
      <c r="H2034">
        <v>232</v>
      </c>
      <c r="I2034" t="s">
        <v>2479</v>
      </c>
      <c r="J2034">
        <v>0</v>
      </c>
      <c r="K2034">
        <v>29</v>
      </c>
      <c r="L2034">
        <v>29</v>
      </c>
      <c r="Q2034">
        <v>0</v>
      </c>
      <c r="R2034">
        <v>0</v>
      </c>
      <c r="S2034">
        <v>29</v>
      </c>
      <c r="Y2034" t="s">
        <v>3725</v>
      </c>
      <c r="Z2034" t="s">
        <v>6259</v>
      </c>
      <c r="AA2034" t="s">
        <v>3855</v>
      </c>
      <c r="AB2034" t="s">
        <v>3492</v>
      </c>
      <c r="AC2034" t="s">
        <v>4128</v>
      </c>
      <c r="AD2034" s="249" t="str">
        <f>HYPERLINK("https://scontent.cdninstagram.com/t51.2885-15/s320x320/e35/20968823_167122183860420_8105818080396967936_n.jpg")</f>
        <v>https://scontent.cdninstagram.com/t51.2885-15/s320x320/e35/20968823_167122183860420_8105818080396967936_n.jpg</v>
      </c>
      <c r="AE2034" s="249" t="str">
        <f>HYPERLINK("https://scontent.cdninstagram.com/t51.2885-19/s150x150/19761452_1876060406050696_4275948751316582400_a.jpg")</f>
        <v>https://scontent.cdninstagram.com/t51.2885-19/s150x150/19761452_1876060406050696_4275948751316582400_a.jpg</v>
      </c>
    </row>
    <row r="2035" spans="1:31" ht="15" x14ac:dyDescent="0.25">
      <c r="A2035" t="s">
        <v>2474</v>
      </c>
      <c r="B2035" t="s">
        <v>13287</v>
      </c>
      <c r="C2035" s="221">
        <v>42968.804837962962</v>
      </c>
      <c r="D2035" t="s">
        <v>13288</v>
      </c>
      <c r="E2035" s="249" t="str">
        <f>HYPERLINK("https://www.instagram.com/p/BYEvLx2giQ8/")</f>
        <v>https://www.instagram.com/p/BYEvLx2giQ8/</v>
      </c>
      <c r="F2035" t="s">
        <v>13289</v>
      </c>
      <c r="G2035" t="s">
        <v>2478</v>
      </c>
      <c r="H2035">
        <v>407</v>
      </c>
      <c r="I2035" t="s">
        <v>2786</v>
      </c>
      <c r="J2035">
        <v>1</v>
      </c>
      <c r="K2035">
        <v>18</v>
      </c>
      <c r="L2035">
        <v>19</v>
      </c>
      <c r="Q2035">
        <v>0</v>
      </c>
      <c r="R2035">
        <v>0</v>
      </c>
      <c r="S2035">
        <v>19</v>
      </c>
      <c r="Y2035" t="s">
        <v>13290</v>
      </c>
      <c r="Z2035" t="s">
        <v>13291</v>
      </c>
      <c r="AA2035" t="s">
        <v>8442</v>
      </c>
      <c r="AB2035" t="s">
        <v>3937</v>
      </c>
      <c r="AC2035" t="s">
        <v>13292</v>
      </c>
      <c r="AD2035" s="249" t="str">
        <f>HYPERLINK("https://scontent.cdninstagram.com/t51.2885-15/s320x320/e35/c0.134.1080.1080/20968678_414685632259839_8038210738197626880_n.jpg")</f>
        <v>https://scontent.cdninstagram.com/t51.2885-15/s320x320/e35/c0.134.1080.1080/20968678_414685632259839_8038210738197626880_n.jpg</v>
      </c>
      <c r="AE2035" s="249" t="str">
        <f>HYPERLINK("https://scontent.cdninstagram.com/t51.2885-19/s150x150/18161740_1397556003624142_8617354144254001152_a.jpg")</f>
        <v>https://scontent.cdninstagram.com/t51.2885-19/s150x150/18161740_1397556003624142_8617354144254001152_a.jpg</v>
      </c>
    </row>
    <row r="2036" spans="1:31" ht="15" x14ac:dyDescent="0.25">
      <c r="A2036" t="s">
        <v>2474</v>
      </c>
      <c r="B2036" t="s">
        <v>13293</v>
      </c>
      <c r="C2036" s="221">
        <v>42968.807442129626</v>
      </c>
      <c r="D2036" t="s">
        <v>13294</v>
      </c>
      <c r="E2036" s="249" t="str">
        <f>HYPERLINK("https://www.instagram.com/p/BYEvnL9BrtW/")</f>
        <v>https://www.instagram.com/p/BYEvnL9BrtW/</v>
      </c>
      <c r="F2036" t="s">
        <v>13295</v>
      </c>
      <c r="G2036" t="s">
        <v>2478</v>
      </c>
      <c r="H2036">
        <v>8</v>
      </c>
      <c r="I2036" t="s">
        <v>2479</v>
      </c>
      <c r="J2036">
        <v>2</v>
      </c>
      <c r="K2036">
        <v>8</v>
      </c>
      <c r="L2036">
        <v>10</v>
      </c>
      <c r="Q2036">
        <v>0</v>
      </c>
      <c r="R2036">
        <v>0</v>
      </c>
      <c r="S2036">
        <v>10</v>
      </c>
      <c r="Y2036" t="s">
        <v>13296</v>
      </c>
      <c r="Z2036" t="s">
        <v>13297</v>
      </c>
      <c r="AA2036" t="s">
        <v>13298</v>
      </c>
      <c r="AB2036" t="s">
        <v>13299</v>
      </c>
      <c r="AC2036" t="s">
        <v>2497</v>
      </c>
      <c r="AD2036" s="249" t="str">
        <f>HYPERLINK("https://scontent.cdninstagram.com/t51.2885-15/s320x320/e35/20969127_112085376167780_7627080525705904128_n.jpg")</f>
        <v>https://scontent.cdninstagram.com/t51.2885-15/s320x320/e35/20969127_112085376167780_7627080525705904128_n.jpg</v>
      </c>
      <c r="AE2036" s="249" t="str">
        <f>HYPERLINK("https://scontent.cdninstagram.com/t51.2885-19/s150x150/20905361_715699885288651_9166013079329177600_a.jpg")</f>
        <v>https://scontent.cdninstagram.com/t51.2885-19/s150x150/20905361_715699885288651_9166013079329177600_a.jpg</v>
      </c>
    </row>
    <row r="2037" spans="1:31" ht="15" x14ac:dyDescent="0.25">
      <c r="A2037" t="s">
        <v>2474</v>
      </c>
      <c r="B2037" t="s">
        <v>11503</v>
      </c>
      <c r="C2037" s="221">
        <v>42968.813993055555</v>
      </c>
      <c r="D2037" t="s">
        <v>13300</v>
      </c>
      <c r="E2037" s="249" t="str">
        <f>HYPERLINK("https://www.instagram.com/p/BYEwsSygcSK/")</f>
        <v>https://www.instagram.com/p/BYEwsSygcSK/</v>
      </c>
      <c r="F2037" t="s">
        <v>13301</v>
      </c>
      <c r="G2037" t="s">
        <v>2478</v>
      </c>
      <c r="H2037">
        <v>370</v>
      </c>
      <c r="I2037" t="s">
        <v>2479</v>
      </c>
      <c r="J2037">
        <v>9</v>
      </c>
      <c r="K2037">
        <v>21</v>
      </c>
      <c r="L2037">
        <v>30</v>
      </c>
      <c r="Q2037">
        <v>0</v>
      </c>
      <c r="R2037">
        <v>0</v>
      </c>
      <c r="S2037">
        <v>30</v>
      </c>
      <c r="T2037" t="s">
        <v>13302</v>
      </c>
      <c r="V2037" t="s">
        <v>2225</v>
      </c>
      <c r="W2037">
        <v>-36.769039900000003</v>
      </c>
      <c r="X2037">
        <v>174.72531000000001</v>
      </c>
      <c r="Y2037" t="s">
        <v>2511</v>
      </c>
      <c r="Z2037" t="s">
        <v>2778</v>
      </c>
      <c r="AA2037" t="s">
        <v>2705</v>
      </c>
      <c r="AB2037" t="s">
        <v>4240</v>
      </c>
      <c r="AC2037" t="s">
        <v>6724</v>
      </c>
      <c r="AD2037" s="249" t="str">
        <f>HYPERLINK("https://scontent.cdninstagram.com/t51.2885-15/s320x320/e35/c152.0.730.730/20905778_1578885942177691_2798064360327479296_n.jpg")</f>
        <v>https://scontent.cdninstagram.com/t51.2885-15/s320x320/e35/c152.0.730.730/20905778_1578885942177691_2798064360327479296_n.jpg</v>
      </c>
      <c r="AE2037" s="249" t="str">
        <f>HYPERLINK("https://scontent.cdninstagram.com/t51.2885-19/s150x150/15802750_195109014292066_160430944199639040_a.jpg")</f>
        <v>https://scontent.cdninstagram.com/t51.2885-19/s150x150/15802750_195109014292066_160430944199639040_a.jpg</v>
      </c>
    </row>
    <row r="2038" spans="1:31" ht="15" x14ac:dyDescent="0.25">
      <c r="A2038" t="s">
        <v>2474</v>
      </c>
      <c r="B2038" t="s">
        <v>13303</v>
      </c>
      <c r="C2038" s="221">
        <v>42968.817962962959</v>
      </c>
      <c r="D2038" t="s">
        <v>13304</v>
      </c>
      <c r="E2038" s="249" t="str">
        <f>HYPERLINK("https://www.instagram.com/p/BYExWMvF2ME/")</f>
        <v>https://www.instagram.com/p/BYExWMvF2ME/</v>
      </c>
      <c r="F2038" t="s">
        <v>13305</v>
      </c>
      <c r="G2038" t="s">
        <v>2478</v>
      </c>
      <c r="H2038">
        <v>110</v>
      </c>
      <c r="I2038" t="s">
        <v>2510</v>
      </c>
      <c r="J2038">
        <v>1</v>
      </c>
      <c r="K2038">
        <v>11</v>
      </c>
      <c r="L2038">
        <v>12</v>
      </c>
      <c r="Q2038">
        <v>0</v>
      </c>
      <c r="R2038">
        <v>0</v>
      </c>
      <c r="S2038">
        <v>12</v>
      </c>
      <c r="Y2038" t="s">
        <v>13306</v>
      </c>
      <c r="Z2038" t="s">
        <v>2497</v>
      </c>
      <c r="AA2038" t="s">
        <v>5006</v>
      </c>
      <c r="AD2038" s="249" t="str">
        <f>HYPERLINK("https://scontent.cdninstagram.com/t51.2885-15/s320x320/e35/21041479_143341772923191_7706047085740556288_n.jpg")</f>
        <v>https://scontent.cdninstagram.com/t51.2885-15/s320x320/e35/21041479_143341772923191_7706047085740556288_n.jpg</v>
      </c>
      <c r="AE2038" s="249" t="str">
        <f>HYPERLINK("https://scontent.cdninstagram.com/t51.2885-19/s150x150/20394269_2010993032464143_5096109237939994624_a.jpg")</f>
        <v>https://scontent.cdninstagram.com/t51.2885-19/s150x150/20394269_2010993032464143_5096109237939994624_a.jpg</v>
      </c>
    </row>
    <row r="2039" spans="1:31" ht="15" x14ac:dyDescent="0.25">
      <c r="A2039" t="s">
        <v>2474</v>
      </c>
      <c r="B2039" t="s">
        <v>10819</v>
      </c>
      <c r="C2039" s="221">
        <v>42968.829039351855</v>
      </c>
      <c r="D2039" t="s">
        <v>13307</v>
      </c>
      <c r="E2039" s="249" t="str">
        <f>HYPERLINK("https://www.instagram.com/p/BYEzK98jPB6/")</f>
        <v>https://www.instagram.com/p/BYEzK98jPB6/</v>
      </c>
      <c r="F2039" t="s">
        <v>13308</v>
      </c>
      <c r="G2039" t="s">
        <v>2478</v>
      </c>
      <c r="H2039">
        <v>559</v>
      </c>
      <c r="I2039" t="s">
        <v>2479</v>
      </c>
      <c r="J2039">
        <v>3</v>
      </c>
      <c r="K2039">
        <v>34</v>
      </c>
      <c r="L2039">
        <v>37</v>
      </c>
      <c r="Q2039">
        <v>0</v>
      </c>
      <c r="R2039">
        <v>0</v>
      </c>
      <c r="S2039">
        <v>37</v>
      </c>
      <c r="Y2039" t="s">
        <v>13309</v>
      </c>
      <c r="Z2039" t="s">
        <v>2812</v>
      </c>
      <c r="AA2039" t="s">
        <v>13310</v>
      </c>
      <c r="AB2039" t="s">
        <v>13311</v>
      </c>
      <c r="AC2039" t="s">
        <v>13312</v>
      </c>
      <c r="AD2039" s="249" t="str">
        <f>HYPERLINK("https://scontent.cdninstagram.com/t51.2885-15/s320x320/e35/20986944_1528034933925822_6310686759017512960_n.jpg")</f>
        <v>https://scontent.cdninstagram.com/t51.2885-15/s320x320/e35/20986944_1528034933925822_6310686759017512960_n.jpg</v>
      </c>
      <c r="AE2039" s="249" t="str">
        <f>HYPERLINK("https://scontent.cdninstagram.com/t51.2885-19/s150x150/14718061_1773534752894554_8540968425772548096_a.jpg")</f>
        <v>https://scontent.cdninstagram.com/t51.2885-19/s150x150/14718061_1773534752894554_8540968425772548096_a.jpg</v>
      </c>
    </row>
    <row r="2040" spans="1:31" ht="15" x14ac:dyDescent="0.25">
      <c r="A2040" t="s">
        <v>2474</v>
      </c>
      <c r="B2040" t="s">
        <v>13313</v>
      </c>
      <c r="C2040" s="221">
        <v>42968.835416666669</v>
      </c>
      <c r="D2040" t="s">
        <v>13314</v>
      </c>
      <c r="E2040" s="249" t="str">
        <f>HYPERLINK("https://www.instagram.com/p/BYE0OS9h9PR/")</f>
        <v>https://www.instagram.com/p/BYE0OS9h9PR/</v>
      </c>
      <c r="F2040" t="s">
        <v>13315</v>
      </c>
      <c r="G2040" t="s">
        <v>2478</v>
      </c>
      <c r="H2040">
        <v>764</v>
      </c>
      <c r="I2040" t="s">
        <v>2479</v>
      </c>
      <c r="J2040">
        <v>0</v>
      </c>
      <c r="K2040">
        <v>24</v>
      </c>
      <c r="L2040">
        <v>24</v>
      </c>
      <c r="Q2040">
        <v>0</v>
      </c>
      <c r="R2040">
        <v>0</v>
      </c>
      <c r="S2040">
        <v>24</v>
      </c>
      <c r="Y2040" t="s">
        <v>2497</v>
      </c>
      <c r="AD2040" s="249" t="str">
        <f>HYPERLINK("https://scontent.cdninstagram.com/t51.2885-15/s320x320/e35/20987247_159052077982701_7495622468812406784_n.jpg")</f>
        <v>https://scontent.cdninstagram.com/t51.2885-15/s320x320/e35/20987247_159052077982701_7495622468812406784_n.jpg</v>
      </c>
      <c r="AE2040" s="249" t="str">
        <f>HYPERLINK("https://scontent.cdninstagram.com/t51.2885-19/s150x150/20838694_1905418293012088_4180141680348889088_a.jpg")</f>
        <v>https://scontent.cdninstagram.com/t51.2885-19/s150x150/20838694_1905418293012088_4180141680348889088_a.jpg</v>
      </c>
    </row>
    <row r="2041" spans="1:31" ht="15" x14ac:dyDescent="0.25">
      <c r="A2041" t="s">
        <v>2474</v>
      </c>
      <c r="B2041" t="s">
        <v>3015</v>
      </c>
      <c r="C2041" s="221">
        <v>42968.836712962962</v>
      </c>
      <c r="D2041" t="s">
        <v>13316</v>
      </c>
      <c r="E2041" s="249" t="str">
        <f>HYPERLINK("https://www.instagram.com/p/BYE0b7fA7yg/")</f>
        <v>https://www.instagram.com/p/BYE0b7fA7yg/</v>
      </c>
      <c r="F2041" t="s">
        <v>13317</v>
      </c>
      <c r="G2041" t="s">
        <v>2478</v>
      </c>
      <c r="H2041">
        <v>230</v>
      </c>
      <c r="I2041" t="s">
        <v>2479</v>
      </c>
      <c r="J2041">
        <v>1</v>
      </c>
      <c r="K2041">
        <v>30</v>
      </c>
      <c r="L2041">
        <v>31</v>
      </c>
      <c r="Q2041">
        <v>0</v>
      </c>
      <c r="R2041">
        <v>0</v>
      </c>
      <c r="S2041">
        <v>31</v>
      </c>
      <c r="Y2041" t="s">
        <v>3725</v>
      </c>
      <c r="Z2041" t="s">
        <v>6259</v>
      </c>
      <c r="AA2041" t="s">
        <v>3855</v>
      </c>
      <c r="AB2041" t="s">
        <v>3492</v>
      </c>
      <c r="AC2041" t="s">
        <v>4128</v>
      </c>
      <c r="AD2041" s="249" t="str">
        <f>HYPERLINK("https://scontent.cdninstagram.com/t51.2885-15/s320x320/e35/c0.0.520.520/20968678_125380278100830_3368996987209777152_n.jpg")</f>
        <v>https://scontent.cdninstagram.com/t51.2885-15/s320x320/e35/c0.0.520.520/20968678_125380278100830_3368996987209777152_n.jpg</v>
      </c>
      <c r="AE2041" s="249" t="str">
        <f>HYPERLINK("https://scontent.cdninstagram.com/t51.2885-19/s150x150/19761452_1876060406050696_4275948751316582400_a.jpg")</f>
        <v>https://scontent.cdninstagram.com/t51.2885-19/s150x150/19761452_1876060406050696_4275948751316582400_a.jpg</v>
      </c>
    </row>
    <row r="2042" spans="1:31" ht="15" x14ac:dyDescent="0.25">
      <c r="A2042" t="s">
        <v>2474</v>
      </c>
      <c r="B2042" t="s">
        <v>11503</v>
      </c>
      <c r="C2042" s="221">
        <v>42968.838738425926</v>
      </c>
      <c r="D2042" t="s">
        <v>13318</v>
      </c>
      <c r="E2042" s="249" t="str">
        <f>HYPERLINK("https://www.instagram.com/p/BYE0xWKACGS/")</f>
        <v>https://www.instagram.com/p/BYE0xWKACGS/</v>
      </c>
      <c r="F2042" t="s">
        <v>13319</v>
      </c>
      <c r="G2042" t="s">
        <v>2478</v>
      </c>
      <c r="H2042">
        <v>370</v>
      </c>
      <c r="I2042" t="s">
        <v>2748</v>
      </c>
      <c r="J2042">
        <v>2</v>
      </c>
      <c r="K2042">
        <v>34</v>
      </c>
      <c r="L2042">
        <v>36</v>
      </c>
      <c r="Q2042">
        <v>0</v>
      </c>
      <c r="R2042">
        <v>0</v>
      </c>
      <c r="S2042">
        <v>36</v>
      </c>
      <c r="T2042" t="s">
        <v>11506</v>
      </c>
      <c r="V2042" t="s">
        <v>2225</v>
      </c>
      <c r="W2042">
        <v>-36.916699999999999</v>
      </c>
      <c r="X2042">
        <v>174.65</v>
      </c>
      <c r="Y2042" t="s">
        <v>2730</v>
      </c>
      <c r="Z2042" t="s">
        <v>11507</v>
      </c>
      <c r="AA2042" t="s">
        <v>7725</v>
      </c>
      <c r="AB2042" t="s">
        <v>7589</v>
      </c>
      <c r="AC2042" t="s">
        <v>5466</v>
      </c>
      <c r="AD2042" s="249" t="str">
        <f>HYPERLINK("https://scontent.cdninstagram.com/t51.2885-15/s320x320/e35/20987358_1071958822941363_8258194565052235776_n.jpg")</f>
        <v>https://scontent.cdninstagram.com/t51.2885-15/s320x320/e35/20987358_1071958822941363_8258194565052235776_n.jpg</v>
      </c>
      <c r="AE2042" s="249" t="str">
        <f>HYPERLINK("https://scontent.cdninstagram.com/t51.2885-19/s150x150/15802750_195109014292066_160430944199639040_a.jpg")</f>
        <v>https://scontent.cdninstagram.com/t51.2885-19/s150x150/15802750_195109014292066_160430944199639040_a.jpg</v>
      </c>
    </row>
    <row r="2043" spans="1:31" ht="15" x14ac:dyDescent="0.25">
      <c r="A2043" t="s">
        <v>2474</v>
      </c>
      <c r="B2043" t="s">
        <v>13320</v>
      </c>
      <c r="C2043" s="221">
        <v>42968.842187499999</v>
      </c>
      <c r="D2043" t="s">
        <v>13321</v>
      </c>
      <c r="E2043" s="249" t="str">
        <f>HYPERLINK("https://www.instagram.com/p/BYE1VsIBU8k/")</f>
        <v>https://www.instagram.com/p/BYE1VsIBU8k/</v>
      </c>
      <c r="F2043" t="s">
        <v>13322</v>
      </c>
      <c r="G2043" t="s">
        <v>2478</v>
      </c>
      <c r="H2043">
        <v>252</v>
      </c>
      <c r="I2043" t="s">
        <v>2479</v>
      </c>
      <c r="J2043">
        <v>2</v>
      </c>
      <c r="K2043">
        <v>45</v>
      </c>
      <c r="L2043">
        <v>47</v>
      </c>
      <c r="Q2043">
        <v>0</v>
      </c>
      <c r="R2043">
        <v>0</v>
      </c>
      <c r="S2043">
        <v>47</v>
      </c>
      <c r="Y2043" t="s">
        <v>13323</v>
      </c>
      <c r="Z2043" t="s">
        <v>13324</v>
      </c>
      <c r="AA2043" t="s">
        <v>2497</v>
      </c>
      <c r="AD2043" s="249" t="str">
        <f>HYPERLINK("https://scontent.cdninstagram.com/t51.2885-15/s320x320/e35/20904953_265791090576244_792311910086213632_n.jpg")</f>
        <v>https://scontent.cdninstagram.com/t51.2885-15/s320x320/e35/20904953_265791090576244_792311910086213632_n.jpg</v>
      </c>
      <c r="AE2043" s="249" t="str">
        <f>HYPERLINK("https://scontent.cdninstagram.com/t51.2885-19/s150x150/17587496_1630192633662465_8418388938158243840_a.jpg")</f>
        <v>https://scontent.cdninstagram.com/t51.2885-19/s150x150/17587496_1630192633662465_8418388938158243840_a.jpg</v>
      </c>
    </row>
    <row r="2044" spans="1:31" ht="15" x14ac:dyDescent="0.25">
      <c r="A2044" t="s">
        <v>2474</v>
      </c>
      <c r="B2044" t="s">
        <v>13325</v>
      </c>
      <c r="C2044" s="221">
        <v>42968.848182870373</v>
      </c>
      <c r="D2044" t="s">
        <v>13326</v>
      </c>
      <c r="E2044" s="249" t="str">
        <f>HYPERLINK("https://www.instagram.com/p/BYE2U8Ql42_/")</f>
        <v>https://www.instagram.com/p/BYE2U8Ql42_/</v>
      </c>
      <c r="F2044" t="s">
        <v>13327</v>
      </c>
      <c r="G2044" t="s">
        <v>2478</v>
      </c>
      <c r="H2044">
        <v>79</v>
      </c>
      <c r="I2044" t="s">
        <v>2479</v>
      </c>
      <c r="J2044">
        <v>2</v>
      </c>
      <c r="K2044">
        <v>20</v>
      </c>
      <c r="L2044">
        <v>22</v>
      </c>
      <c r="Q2044">
        <v>0</v>
      </c>
      <c r="R2044">
        <v>0</v>
      </c>
      <c r="S2044">
        <v>22</v>
      </c>
      <c r="Y2044" t="s">
        <v>3262</v>
      </c>
      <c r="Z2044" t="s">
        <v>13328</v>
      </c>
      <c r="AA2044" t="s">
        <v>5229</v>
      </c>
      <c r="AB2044" t="s">
        <v>13329</v>
      </c>
      <c r="AC2044" t="s">
        <v>3962</v>
      </c>
      <c r="AD2044" s="249" t="str">
        <f>HYPERLINK("https://scontent.cdninstagram.com/t51.2885-15/s320x320/e35/20905314_1779307489034043_6705065808780853248_n.jpg")</f>
        <v>https://scontent.cdninstagram.com/t51.2885-15/s320x320/e35/20905314_1779307489034043_6705065808780853248_n.jpg</v>
      </c>
      <c r="AE2044" s="249" t="str">
        <f>HYPERLINK("https://scontent.cdninstagram.com/t51.2885-19/11373514_860197710724506_2056951852_a.jpg")</f>
        <v>https://scontent.cdninstagram.com/t51.2885-19/11373514_860197710724506_2056951852_a.jpg</v>
      </c>
    </row>
    <row r="2045" spans="1:31" ht="15" x14ac:dyDescent="0.25">
      <c r="A2045" t="s">
        <v>2474</v>
      </c>
      <c r="B2045" t="s">
        <v>12616</v>
      </c>
      <c r="C2045" s="221">
        <v>42968.859027777777</v>
      </c>
      <c r="D2045" t="s">
        <v>13330</v>
      </c>
      <c r="E2045" s="249" t="str">
        <f>HYPERLINK("https://www.instagram.com/p/BYE4HSCgh8U/")</f>
        <v>https://www.instagram.com/p/BYE4HSCgh8U/</v>
      </c>
      <c r="F2045" t="s">
        <v>13331</v>
      </c>
      <c r="G2045" t="s">
        <v>2478</v>
      </c>
      <c r="H2045">
        <v>503</v>
      </c>
      <c r="I2045" t="s">
        <v>2479</v>
      </c>
      <c r="J2045">
        <v>2</v>
      </c>
      <c r="K2045">
        <v>62</v>
      </c>
      <c r="L2045">
        <v>64</v>
      </c>
      <c r="Q2045">
        <v>0</v>
      </c>
      <c r="R2045">
        <v>0</v>
      </c>
      <c r="S2045">
        <v>64</v>
      </c>
      <c r="T2045" t="s">
        <v>12619</v>
      </c>
      <c r="U2045" t="s">
        <v>328</v>
      </c>
      <c r="V2045" t="s">
        <v>2299</v>
      </c>
      <c r="W2045">
        <v>40.651581999999998</v>
      </c>
      <c r="X2045">
        <v>-119.355739</v>
      </c>
      <c r="Y2045" t="s">
        <v>13332</v>
      </c>
      <c r="Z2045" t="s">
        <v>3269</v>
      </c>
      <c r="AA2045" t="s">
        <v>13333</v>
      </c>
      <c r="AB2045" t="s">
        <v>13334</v>
      </c>
      <c r="AC2045" t="s">
        <v>13335</v>
      </c>
      <c r="AD2045" s="249" t="str">
        <f>HYPERLINK("https://scontent.cdninstagram.com/t51.2885-15/s320x320/e35/20905670_121873048464057_8022885719359881216_n.jpg")</f>
        <v>https://scontent.cdninstagram.com/t51.2885-15/s320x320/e35/20905670_121873048464057_8022885719359881216_n.jpg</v>
      </c>
      <c r="AE2045" s="249" t="str">
        <f>HYPERLINK("https://scontent.cdninstagram.com/t51.2885-19/s150x150/1889357_440793542797314_527838452_a.jpg")</f>
        <v>https://scontent.cdninstagram.com/t51.2885-19/s150x150/1889357_440793542797314_527838452_a.jpg</v>
      </c>
    </row>
    <row r="2046" spans="1:31" ht="15" x14ac:dyDescent="0.25">
      <c r="A2046" t="s">
        <v>2474</v>
      </c>
      <c r="B2046" t="s">
        <v>4616</v>
      </c>
      <c r="C2046" s="221">
        <v>42968.863541666666</v>
      </c>
      <c r="D2046" t="s">
        <v>13336</v>
      </c>
      <c r="E2046" s="249" t="str">
        <f>HYPERLINK("https://www.instagram.com/p/BYE425JBvIn/")</f>
        <v>https://www.instagram.com/p/BYE425JBvIn/</v>
      </c>
      <c r="F2046" t="s">
        <v>13337</v>
      </c>
      <c r="G2046" t="s">
        <v>2478</v>
      </c>
      <c r="H2046">
        <v>119</v>
      </c>
      <c r="I2046" t="s">
        <v>2479</v>
      </c>
      <c r="J2046">
        <v>0</v>
      </c>
      <c r="K2046">
        <v>29</v>
      </c>
      <c r="L2046">
        <v>29</v>
      </c>
      <c r="Q2046">
        <v>0</v>
      </c>
      <c r="R2046">
        <v>0</v>
      </c>
      <c r="S2046">
        <v>29</v>
      </c>
      <c r="T2046" t="s">
        <v>7823</v>
      </c>
      <c r="V2046" t="s">
        <v>2125</v>
      </c>
      <c r="W2046">
        <v>45</v>
      </c>
      <c r="X2046">
        <v>-79.3</v>
      </c>
      <c r="Y2046" t="s">
        <v>4622</v>
      </c>
      <c r="Z2046" t="s">
        <v>2730</v>
      </c>
      <c r="AA2046" t="s">
        <v>5007</v>
      </c>
      <c r="AB2046" t="s">
        <v>6294</v>
      </c>
      <c r="AC2046" t="s">
        <v>2673</v>
      </c>
      <c r="AD2046" s="249" t="str">
        <f>HYPERLINK("https://scontent.cdninstagram.com/t51.2885-15/s320x320/e35/c135.0.810.810/20905527_728453474013039_8962010937452134400_n.jpg")</f>
        <v>https://scontent.cdninstagram.com/t51.2885-15/s320x320/e35/c135.0.810.810/20905527_728453474013039_8962010937452134400_n.jpg</v>
      </c>
      <c r="AE2046" s="249" t="str">
        <f>HYPERLINK("https://scontent.cdninstagram.com/t51.2885-19/s150x150/17494353_1347957098574282_2527511313651859456_a.jpg")</f>
        <v>https://scontent.cdninstagram.com/t51.2885-19/s150x150/17494353_1347957098574282_2527511313651859456_a.jpg</v>
      </c>
    </row>
    <row r="2047" spans="1:31" ht="15" x14ac:dyDescent="0.25">
      <c r="A2047" t="s">
        <v>2474</v>
      </c>
      <c r="B2047" t="s">
        <v>7793</v>
      </c>
      <c r="C2047" s="221">
        <v>42968.878368055557</v>
      </c>
      <c r="D2047" t="s">
        <v>13338</v>
      </c>
      <c r="E2047" s="249" t="str">
        <f>HYPERLINK("https://www.instagram.com/p/BYE7TO1llHT/")</f>
        <v>https://www.instagram.com/p/BYE7TO1llHT/</v>
      </c>
      <c r="F2047" t="s">
        <v>13339</v>
      </c>
      <c r="G2047" t="s">
        <v>2478</v>
      </c>
      <c r="H2047">
        <v>5800</v>
      </c>
      <c r="I2047" t="s">
        <v>2479</v>
      </c>
      <c r="J2047">
        <v>2</v>
      </c>
      <c r="K2047">
        <v>349</v>
      </c>
      <c r="L2047">
        <v>351</v>
      </c>
      <c r="Q2047">
        <v>0</v>
      </c>
      <c r="R2047">
        <v>0</v>
      </c>
      <c r="S2047">
        <v>351</v>
      </c>
      <c r="Y2047" t="s">
        <v>6746</v>
      </c>
      <c r="Z2047" t="s">
        <v>2497</v>
      </c>
      <c r="AA2047" t="s">
        <v>6806</v>
      </c>
      <c r="AB2047" t="s">
        <v>12270</v>
      </c>
      <c r="AC2047" t="s">
        <v>4174</v>
      </c>
      <c r="AD2047" s="249" t="str">
        <f>HYPERLINK("https://scontent.cdninstagram.com/t51.2885-15/s320x320/e35/20986861_169125646992936_7973700161907982336_n.jpg")</f>
        <v>https://scontent.cdninstagram.com/t51.2885-15/s320x320/e35/20986861_169125646992936_7973700161907982336_n.jpg</v>
      </c>
      <c r="AE2047" s="249" t="str">
        <f>HYPERLINK("https://scontent.cdninstagram.com/t51.2885-19/s150x150/14295311_507350922808081_1928455761_a.jpg")</f>
        <v>https://scontent.cdninstagram.com/t51.2885-19/s150x150/14295311_507350922808081_1928455761_a.jpg</v>
      </c>
    </row>
    <row r="2048" spans="1:31" ht="15" x14ac:dyDescent="0.25">
      <c r="A2048" t="s">
        <v>2474</v>
      </c>
      <c r="B2048" t="s">
        <v>3754</v>
      </c>
      <c r="C2048" s="221">
        <v>42968.885381944441</v>
      </c>
      <c r="D2048" t="s">
        <v>13340</v>
      </c>
      <c r="E2048" s="249" t="str">
        <f>HYPERLINK("https://www.instagram.com/p/BYE8dQaDCNR/")</f>
        <v>https://www.instagram.com/p/BYE8dQaDCNR/</v>
      </c>
      <c r="F2048" t="s">
        <v>3756</v>
      </c>
      <c r="G2048" t="s">
        <v>2478</v>
      </c>
      <c r="H2048">
        <v>201626</v>
      </c>
      <c r="I2048" t="s">
        <v>2479</v>
      </c>
      <c r="J2048">
        <v>1</v>
      </c>
      <c r="K2048">
        <v>13</v>
      </c>
      <c r="L2048">
        <v>14</v>
      </c>
      <c r="Q2048">
        <v>0</v>
      </c>
      <c r="R2048">
        <v>0</v>
      </c>
      <c r="S2048">
        <v>14</v>
      </c>
      <c r="Y2048" t="s">
        <v>3757</v>
      </c>
      <c r="Z2048" t="s">
        <v>4803</v>
      </c>
      <c r="AA2048" t="s">
        <v>4801</v>
      </c>
      <c r="AB2048" t="s">
        <v>13341</v>
      </c>
      <c r="AC2048" t="s">
        <v>4233</v>
      </c>
      <c r="AD2048" s="249" t="str">
        <f>HYPERLINK("https://scontent.cdninstagram.com/t51.2885-15/s320x320/e35/20905439_1902724139968650_364724920514510848_n.jpg")</f>
        <v>https://scontent.cdninstagram.com/t51.2885-15/s320x320/e35/20905439_1902724139968650_364724920514510848_n.jpg</v>
      </c>
      <c r="AE2048" s="249" t="str">
        <f>HYPERLINK("https://scontent.cdninstagram.com/t51.2885-19/s150x150/12905002_1681254462136092_1137392787_a.jpg")</f>
        <v>https://scontent.cdninstagram.com/t51.2885-19/s150x150/12905002_1681254462136092_1137392787_a.jpg</v>
      </c>
    </row>
    <row r="2049" spans="1:31" ht="15" x14ac:dyDescent="0.25">
      <c r="A2049" t="s">
        <v>2474</v>
      </c>
      <c r="B2049" t="s">
        <v>7802</v>
      </c>
      <c r="C2049" s="221">
        <v>42968.886377314811</v>
      </c>
      <c r="D2049" t="s">
        <v>13342</v>
      </c>
      <c r="E2049" s="249" t="str">
        <f>HYPERLINK("https://www.instagram.com/p/BYE8nvChkNr/")</f>
        <v>https://www.instagram.com/p/BYE8nvChkNr/</v>
      </c>
      <c r="F2049" t="s">
        <v>13343</v>
      </c>
      <c r="G2049" t="s">
        <v>2478</v>
      </c>
      <c r="H2049">
        <v>184</v>
      </c>
      <c r="I2049" t="s">
        <v>2542</v>
      </c>
      <c r="J2049">
        <v>1</v>
      </c>
      <c r="K2049">
        <v>31</v>
      </c>
      <c r="L2049">
        <v>32</v>
      </c>
      <c r="Q2049">
        <v>0</v>
      </c>
      <c r="R2049">
        <v>0</v>
      </c>
      <c r="S2049">
        <v>32</v>
      </c>
      <c r="T2049" t="s">
        <v>7805</v>
      </c>
      <c r="U2049" t="s">
        <v>202</v>
      </c>
      <c r="V2049" t="s">
        <v>2299</v>
      </c>
      <c r="W2049">
        <v>39.86504</v>
      </c>
      <c r="X2049">
        <v>-84.11721</v>
      </c>
      <c r="Y2049" t="s">
        <v>13344</v>
      </c>
      <c r="Z2049" t="s">
        <v>4036</v>
      </c>
      <c r="AA2049" t="s">
        <v>13345</v>
      </c>
      <c r="AB2049" t="s">
        <v>7806</v>
      </c>
      <c r="AC2049" t="s">
        <v>4388</v>
      </c>
      <c r="AD2049" s="249" t="str">
        <f>HYPERLINK("https://scontent.cdninstagram.com/t51.2885-15/s320x320/e35/20905839_300468020428051_9119011169149911040_n.jpg")</f>
        <v>https://scontent.cdninstagram.com/t51.2885-15/s320x320/e35/20905839_300468020428051_9119011169149911040_n.jpg</v>
      </c>
      <c r="AE2049" s="249" t="str">
        <f>HYPERLINK("https://scontent.cdninstagram.com/t51.2885-19/s150x150/18879149_1471896259560338_6915572966390497280_a.jpg")</f>
        <v>https://scontent.cdninstagram.com/t51.2885-19/s150x150/18879149_1471896259560338_6915572966390497280_a.jpg</v>
      </c>
    </row>
    <row r="2050" spans="1:31" ht="15" x14ac:dyDescent="0.25">
      <c r="A2050" t="s">
        <v>2474</v>
      </c>
      <c r="B2050" t="s">
        <v>13346</v>
      </c>
      <c r="C2050" s="221">
        <v>42968.887997685182</v>
      </c>
      <c r="D2050" t="s">
        <v>13347</v>
      </c>
      <c r="E2050" s="249" t="str">
        <f>HYPERLINK("https://www.instagram.com/p/BYE844JBg4S/")</f>
        <v>https://www.instagram.com/p/BYE844JBg4S/</v>
      </c>
      <c r="F2050" t="s">
        <v>13348</v>
      </c>
      <c r="G2050" t="s">
        <v>2478</v>
      </c>
      <c r="H2050">
        <v>1293</v>
      </c>
      <c r="I2050" t="s">
        <v>2479</v>
      </c>
      <c r="J2050">
        <v>0</v>
      </c>
      <c r="K2050">
        <v>130</v>
      </c>
      <c r="L2050">
        <v>130</v>
      </c>
      <c r="Q2050">
        <v>0</v>
      </c>
      <c r="R2050">
        <v>0</v>
      </c>
      <c r="S2050">
        <v>130</v>
      </c>
      <c r="Y2050" t="s">
        <v>8178</v>
      </c>
      <c r="Z2050" t="s">
        <v>13349</v>
      </c>
      <c r="AA2050" t="s">
        <v>2497</v>
      </c>
      <c r="AD2050" s="249" t="str">
        <f>HYPERLINK("https://scontent.cdninstagram.com/t51.2885-15/s320x320/e35/c0.118.945.945/21041114_113315442706171_8685095399238664192_n.jpg")</f>
        <v>https://scontent.cdninstagram.com/t51.2885-15/s320x320/e35/c0.118.945.945/21041114_113315442706171_8685095399238664192_n.jpg</v>
      </c>
      <c r="AE2050" s="249" t="str">
        <f>HYPERLINK("https://scontent.cdninstagram.com/t51.2885-19/s150x150/21041561_1919347741662713_5979834853997150208_a.jpg")</f>
        <v>https://scontent.cdninstagram.com/t51.2885-19/s150x150/21041561_1919347741662713_5979834853997150208_a.jpg</v>
      </c>
    </row>
    <row r="2051" spans="1:31" ht="15" x14ac:dyDescent="0.25">
      <c r="A2051" t="s">
        <v>2474</v>
      </c>
      <c r="B2051" t="s">
        <v>3761</v>
      </c>
      <c r="C2051" s="221">
        <v>42968.890347222223</v>
      </c>
      <c r="D2051" t="s">
        <v>13350</v>
      </c>
      <c r="E2051" s="249" t="str">
        <f>HYPERLINK("https://www.instagram.com/p/BYE9RqmnBp3/")</f>
        <v>https://www.instagram.com/p/BYE9RqmnBp3/</v>
      </c>
      <c r="F2051" t="s">
        <v>3756</v>
      </c>
      <c r="G2051" t="s">
        <v>2478</v>
      </c>
      <c r="H2051">
        <v>35635</v>
      </c>
      <c r="I2051" t="s">
        <v>2479</v>
      </c>
      <c r="J2051">
        <v>0</v>
      </c>
      <c r="K2051">
        <v>15</v>
      </c>
      <c r="L2051">
        <v>15</v>
      </c>
      <c r="Q2051">
        <v>0</v>
      </c>
      <c r="R2051">
        <v>0</v>
      </c>
      <c r="S2051">
        <v>15</v>
      </c>
      <c r="Y2051" t="s">
        <v>5196</v>
      </c>
      <c r="Z2051" t="s">
        <v>4233</v>
      </c>
      <c r="AA2051" t="s">
        <v>3760</v>
      </c>
      <c r="AB2051" t="s">
        <v>4803</v>
      </c>
      <c r="AC2051" t="s">
        <v>13341</v>
      </c>
      <c r="AD2051" s="249" t="str">
        <f>HYPERLINK("https://scontent.cdninstagram.com/t51.2885-15/s320x320/e35/20986726_1433316620086814_2379036905569255424_n.jpg")</f>
        <v>https://scontent.cdninstagram.com/t51.2885-15/s320x320/e35/20986726_1433316620086814_2379036905569255424_n.jpg</v>
      </c>
      <c r="AE2051" s="249" t="str">
        <f>HYPERLINK("https://scontent.cdninstagram.com/t51.2885-19/s150x150/19985865_1705783593058831_5928851088227696640_n.jpg")</f>
        <v>https://scontent.cdninstagram.com/t51.2885-19/s150x150/19985865_1705783593058831_5928851088227696640_n.jpg</v>
      </c>
    </row>
    <row r="2052" spans="1:31" ht="15" x14ac:dyDescent="0.25">
      <c r="A2052" t="s">
        <v>2474</v>
      </c>
      <c r="B2052" t="s">
        <v>13351</v>
      </c>
      <c r="C2052" s="221">
        <v>42968.892812500002</v>
      </c>
      <c r="D2052" t="s">
        <v>13352</v>
      </c>
      <c r="E2052" s="249" t="str">
        <f>HYPERLINK("https://www.instagram.com/p/BYE9roqgcMl/")</f>
        <v>https://www.instagram.com/p/BYE9roqgcMl/</v>
      </c>
      <c r="F2052" t="s">
        <v>13353</v>
      </c>
      <c r="G2052" t="s">
        <v>2478</v>
      </c>
      <c r="H2052">
        <v>36</v>
      </c>
      <c r="I2052" t="s">
        <v>2479</v>
      </c>
      <c r="J2052">
        <v>1</v>
      </c>
      <c r="K2052">
        <v>14</v>
      </c>
      <c r="L2052">
        <v>15</v>
      </c>
      <c r="Q2052">
        <v>0</v>
      </c>
      <c r="R2052">
        <v>0</v>
      </c>
      <c r="S2052">
        <v>15</v>
      </c>
      <c r="T2052" t="s">
        <v>6644</v>
      </c>
      <c r="U2052" t="s">
        <v>99</v>
      </c>
      <c r="V2052" t="s">
        <v>2299</v>
      </c>
      <c r="W2052">
        <v>40.714199999999998</v>
      </c>
      <c r="X2052">
        <v>-74.006399999999999</v>
      </c>
      <c r="Y2052" t="s">
        <v>13354</v>
      </c>
      <c r="Z2052" t="s">
        <v>2696</v>
      </c>
      <c r="AA2052" t="s">
        <v>13355</v>
      </c>
      <c r="AB2052" t="s">
        <v>13356</v>
      </c>
      <c r="AC2052" t="s">
        <v>6646</v>
      </c>
      <c r="AD2052" s="249" t="str">
        <f>HYPERLINK("https://scontent.cdninstagram.com/t51.2885-15/s320x320/e35/20905543_1731980137106315_4157464102702153728_n.jpg")</f>
        <v>https://scontent.cdninstagram.com/t51.2885-15/s320x320/e35/20905543_1731980137106315_4157464102702153728_n.jpg</v>
      </c>
      <c r="AE2052" s="249" t="str">
        <f>HYPERLINK("https://scontent.cdninstagram.com/t51.2885-19/s150x150/20688633_677221229146688_2624444512159662080_a.jpg")</f>
        <v>https://scontent.cdninstagram.com/t51.2885-19/s150x150/20688633_677221229146688_2624444512159662080_a.jpg</v>
      </c>
    </row>
    <row r="2053" spans="1:31" ht="15" x14ac:dyDescent="0.25">
      <c r="A2053" t="s">
        <v>2474</v>
      </c>
      <c r="B2053" t="s">
        <v>7844</v>
      </c>
      <c r="C2053" s="221">
        <v>42968.899872685186</v>
      </c>
      <c r="D2053" t="s">
        <v>13357</v>
      </c>
      <c r="E2053" s="249" t="str">
        <f>HYPERLINK("https://www.instagram.com/p/BYE-2Fbhn6s/")</f>
        <v>https://www.instagram.com/p/BYE-2Fbhn6s/</v>
      </c>
      <c r="F2053" t="s">
        <v>13358</v>
      </c>
      <c r="G2053" t="s">
        <v>2478</v>
      </c>
      <c r="H2053">
        <v>424</v>
      </c>
      <c r="I2053" t="s">
        <v>2479</v>
      </c>
      <c r="J2053">
        <v>0</v>
      </c>
      <c r="K2053">
        <v>46</v>
      </c>
      <c r="L2053">
        <v>46</v>
      </c>
      <c r="Q2053">
        <v>0</v>
      </c>
      <c r="R2053">
        <v>0</v>
      </c>
      <c r="S2053">
        <v>46</v>
      </c>
      <c r="Y2053" t="s">
        <v>3187</v>
      </c>
      <c r="Z2053" t="s">
        <v>13359</v>
      </c>
      <c r="AA2053" t="s">
        <v>2730</v>
      </c>
      <c r="AB2053" t="s">
        <v>2673</v>
      </c>
      <c r="AC2053" t="s">
        <v>3196</v>
      </c>
      <c r="AD2053" s="249" t="str">
        <f>HYPERLINK("https://scontent.cdninstagram.com/t51.2885-15/s320x320/e35/c0.135.1080.1080/20986621_1483972798326197_5814012471710580736_n.jpg")</f>
        <v>https://scontent.cdninstagram.com/t51.2885-15/s320x320/e35/c0.135.1080.1080/20986621_1483972798326197_5814012471710580736_n.jpg</v>
      </c>
      <c r="AE2053" s="249" t="str">
        <f>HYPERLINK("https://scontent.cdninstagram.com/t51.2885-19/s150x150/14659433_124185214720398_460441517996113920_a.jpg")</f>
        <v>https://scontent.cdninstagram.com/t51.2885-19/s150x150/14659433_124185214720398_460441517996113920_a.jpg</v>
      </c>
    </row>
    <row r="2054" spans="1:31" ht="15" x14ac:dyDescent="0.25">
      <c r="A2054" t="s">
        <v>2474</v>
      </c>
      <c r="B2054" t="s">
        <v>7232</v>
      </c>
      <c r="C2054" s="221">
        <v>42968.899988425925</v>
      </c>
      <c r="D2054" t="s">
        <v>13360</v>
      </c>
      <c r="E2054" s="249" t="str">
        <f>HYPERLINK("https://www.instagram.com/p/BYE-3UQnpn6/")</f>
        <v>https://www.instagram.com/p/BYE-3UQnpn6/</v>
      </c>
      <c r="F2054" t="s">
        <v>13361</v>
      </c>
      <c r="G2054" t="s">
        <v>2478</v>
      </c>
      <c r="H2054">
        <v>518</v>
      </c>
      <c r="I2054" t="s">
        <v>2479</v>
      </c>
      <c r="J2054">
        <v>0</v>
      </c>
      <c r="K2054">
        <v>30</v>
      </c>
      <c r="L2054">
        <v>30</v>
      </c>
      <c r="Q2054">
        <v>0</v>
      </c>
      <c r="R2054">
        <v>0</v>
      </c>
      <c r="S2054">
        <v>30</v>
      </c>
      <c r="Y2054" t="s">
        <v>2728</v>
      </c>
      <c r="Z2054" t="s">
        <v>4161</v>
      </c>
      <c r="AA2054" t="s">
        <v>2543</v>
      </c>
      <c r="AB2054" t="s">
        <v>5168</v>
      </c>
      <c r="AC2054" t="s">
        <v>13362</v>
      </c>
      <c r="AD2054" s="249" t="str">
        <f>HYPERLINK("https://scontent.cdninstagram.com/t51.2885-15/s320x320/e35/20987082_331517057271861_4210612613593169920_n.jpg")</f>
        <v>https://scontent.cdninstagram.com/t51.2885-15/s320x320/e35/20987082_331517057271861_4210612613593169920_n.jpg</v>
      </c>
      <c r="AE2054" s="249" t="str">
        <f>HYPERLINK("https://scontent.cdninstagram.com/t51.2885-19/s150x150/14482263_1660577494243200_2334360342223650816_a.jpg")</f>
        <v>https://scontent.cdninstagram.com/t51.2885-19/s150x150/14482263_1660577494243200_2334360342223650816_a.jpg</v>
      </c>
    </row>
    <row r="2055" spans="1:31" ht="15" x14ac:dyDescent="0.25">
      <c r="A2055" t="s">
        <v>2474</v>
      </c>
      <c r="B2055" t="s">
        <v>7185</v>
      </c>
      <c r="C2055" s="221">
        <v>42968.901620370372</v>
      </c>
      <c r="D2055" t="s">
        <v>13363</v>
      </c>
      <c r="E2055" s="249" t="str">
        <f>HYPERLINK("https://www.instagram.com/p/BYE_IhWhUVW/")</f>
        <v>https://www.instagram.com/p/BYE_IhWhUVW/</v>
      </c>
      <c r="F2055" t="s">
        <v>13364</v>
      </c>
      <c r="G2055" t="s">
        <v>2478</v>
      </c>
      <c r="H2055">
        <v>407</v>
      </c>
      <c r="I2055" t="s">
        <v>3025</v>
      </c>
      <c r="J2055">
        <v>8</v>
      </c>
      <c r="K2055">
        <v>102</v>
      </c>
      <c r="L2055">
        <v>110</v>
      </c>
      <c r="Q2055">
        <v>0</v>
      </c>
      <c r="R2055">
        <v>0</v>
      </c>
      <c r="S2055">
        <v>110</v>
      </c>
      <c r="T2055" t="s">
        <v>13365</v>
      </c>
      <c r="V2055" t="s">
        <v>2168</v>
      </c>
      <c r="W2055">
        <v>15.579632060091001</v>
      </c>
      <c r="X2055">
        <v>-89.981381849336998</v>
      </c>
      <c r="Y2055" t="s">
        <v>13366</v>
      </c>
      <c r="AD2055" s="249" t="str">
        <f>HYPERLINK("https://scontent.cdninstagram.com/t51.2885-15/s320x320/e35/c57.0.966.966/20986662_1616603975036818_2277077869475659776_n.jpg")</f>
        <v>https://scontent.cdninstagram.com/t51.2885-15/s320x320/e35/c57.0.966.966/20986662_1616603975036818_2277077869475659776_n.jpg</v>
      </c>
      <c r="AE2055" s="249" t="str">
        <f>HYPERLINK("https://scontent.cdninstagram.com/t51.2885-19/s150x150/17882752_1488967831123186_392500985118851072_a.jpg")</f>
        <v>https://scontent.cdninstagram.com/t51.2885-19/s150x150/17882752_1488967831123186_392500985118851072_a.jpg</v>
      </c>
    </row>
    <row r="2056" spans="1:31" ht="15" x14ac:dyDescent="0.25">
      <c r="A2056" t="s">
        <v>2474</v>
      </c>
      <c r="B2056" t="s">
        <v>13367</v>
      </c>
      <c r="C2056" s="221">
        <v>42968.913807870369</v>
      </c>
      <c r="D2056" t="s">
        <v>13368</v>
      </c>
      <c r="E2056" s="249" t="str">
        <f>HYPERLINK("https://www.instagram.com/p/BYFBJEBl6im/")</f>
        <v>https://www.instagram.com/p/BYFBJEBl6im/</v>
      </c>
      <c r="F2056" t="s">
        <v>13369</v>
      </c>
      <c r="G2056" t="s">
        <v>2478</v>
      </c>
      <c r="H2056">
        <v>116</v>
      </c>
      <c r="I2056" t="s">
        <v>2479</v>
      </c>
      <c r="J2056">
        <v>0</v>
      </c>
      <c r="K2056">
        <v>12</v>
      </c>
      <c r="L2056">
        <v>12</v>
      </c>
      <c r="Q2056">
        <v>0</v>
      </c>
      <c r="R2056">
        <v>0</v>
      </c>
      <c r="S2056">
        <v>12</v>
      </c>
      <c r="Y2056" t="s">
        <v>3174</v>
      </c>
      <c r="Z2056" t="s">
        <v>13370</v>
      </c>
      <c r="AA2056" t="s">
        <v>13371</v>
      </c>
      <c r="AB2056" t="s">
        <v>2497</v>
      </c>
      <c r="AC2056" t="s">
        <v>4620</v>
      </c>
      <c r="AD2056" s="249" t="str">
        <f>HYPERLINK("https://scontent.cdninstagram.com/t51.2885-15/s320x320/e35/c114.0.852.852/20986873_1973125572944764_4484411779371237376_n.jpg")</f>
        <v>https://scontent.cdninstagram.com/t51.2885-15/s320x320/e35/c114.0.852.852/20986873_1973125572944764_4484411779371237376_n.jpg</v>
      </c>
      <c r="AE2056" s="249" t="str">
        <f>HYPERLINK("https://scontent.cdninstagram.com/t51.2885-19/s150x150/21041306_158528634701105_1985985876873707520_a.jpg")</f>
        <v>https://scontent.cdninstagram.com/t51.2885-19/s150x150/21041306_158528634701105_1985985876873707520_a.jpg</v>
      </c>
    </row>
    <row r="2057" spans="1:31" ht="15" x14ac:dyDescent="0.25">
      <c r="A2057" t="s">
        <v>2474</v>
      </c>
      <c r="B2057" t="s">
        <v>7232</v>
      </c>
      <c r="C2057" s="221">
        <v>42968.914143518516</v>
      </c>
      <c r="D2057" t="s">
        <v>13372</v>
      </c>
      <c r="E2057" s="249" t="str">
        <f>HYPERLINK("https://www.instagram.com/p/BYFBMl2HiWr/")</f>
        <v>https://www.instagram.com/p/BYFBMl2HiWr/</v>
      </c>
      <c r="F2057" t="s">
        <v>13373</v>
      </c>
      <c r="G2057" t="s">
        <v>2478</v>
      </c>
      <c r="H2057">
        <v>520</v>
      </c>
      <c r="I2057" t="s">
        <v>2542</v>
      </c>
      <c r="J2057">
        <v>1</v>
      </c>
      <c r="K2057">
        <v>38</v>
      </c>
      <c r="L2057">
        <v>39</v>
      </c>
      <c r="Q2057">
        <v>0</v>
      </c>
      <c r="R2057">
        <v>0</v>
      </c>
      <c r="S2057">
        <v>39</v>
      </c>
      <c r="Y2057" t="s">
        <v>2728</v>
      </c>
      <c r="Z2057" t="s">
        <v>4161</v>
      </c>
      <c r="AA2057" t="s">
        <v>2543</v>
      </c>
      <c r="AB2057" t="s">
        <v>5168</v>
      </c>
      <c r="AC2057" t="s">
        <v>13362</v>
      </c>
      <c r="AD2057" s="249" t="str">
        <f>HYPERLINK("https://scontent.cdninstagram.com/t51.2885-15/s320x320/e35/c0.112.900.900/20905297_1088847457918992_4904971876029169664_n.jpg")</f>
        <v>https://scontent.cdninstagram.com/t51.2885-15/s320x320/e35/c0.112.900.900/20905297_1088847457918992_4904971876029169664_n.jpg</v>
      </c>
      <c r="AE2057" s="249" t="str">
        <f>HYPERLINK("https://scontent.cdninstagram.com/t51.2885-19/s150x150/14482263_1660577494243200_2334360342223650816_a.jpg")</f>
        <v>https://scontent.cdninstagram.com/t51.2885-19/s150x150/14482263_1660577494243200_2334360342223650816_a.jpg</v>
      </c>
    </row>
    <row r="2058" spans="1:31" ht="15" x14ac:dyDescent="0.25">
      <c r="A2058" t="s">
        <v>2474</v>
      </c>
      <c r="B2058" t="s">
        <v>3471</v>
      </c>
      <c r="C2058" s="221">
        <v>42968.917210648149</v>
      </c>
      <c r="D2058" t="s">
        <v>13374</v>
      </c>
      <c r="E2058" s="249" t="str">
        <f>HYPERLINK("https://www.instagram.com/p/BYFBs-VHSu2/")</f>
        <v>https://www.instagram.com/p/BYFBs-VHSu2/</v>
      </c>
      <c r="F2058" t="s">
        <v>13375</v>
      </c>
      <c r="G2058" t="s">
        <v>2478</v>
      </c>
      <c r="H2058">
        <v>187</v>
      </c>
      <c r="I2058" t="s">
        <v>2542</v>
      </c>
      <c r="J2058">
        <v>0</v>
      </c>
      <c r="K2058">
        <v>30</v>
      </c>
      <c r="L2058">
        <v>30</v>
      </c>
      <c r="Q2058">
        <v>0</v>
      </c>
      <c r="R2058">
        <v>0</v>
      </c>
      <c r="S2058">
        <v>30</v>
      </c>
      <c r="T2058" t="s">
        <v>3474</v>
      </c>
      <c r="V2058" t="s">
        <v>2258</v>
      </c>
      <c r="W2058">
        <v>1.2930600000000001</v>
      </c>
      <c r="X2058">
        <v>103.85599999999999</v>
      </c>
      <c r="Y2058" t="s">
        <v>5704</v>
      </c>
      <c r="Z2058" t="s">
        <v>2832</v>
      </c>
      <c r="AA2058" t="s">
        <v>5703</v>
      </c>
      <c r="AB2058" t="s">
        <v>6775</v>
      </c>
      <c r="AC2058" t="s">
        <v>9907</v>
      </c>
      <c r="AD2058" s="249" t="str">
        <f>HYPERLINK("https://scontent.cdninstagram.com/t51.2885-15/s320x320/e35/20987240_232707220586243_8935570616266784768_n.jpg")</f>
        <v>https://scontent.cdninstagram.com/t51.2885-15/s320x320/e35/20987240_232707220586243_8935570616266784768_n.jpg</v>
      </c>
      <c r="AE2058" s="249" t="str">
        <f>HYPERLINK("https://scontent.cdninstagram.com/t51.2885-19/s150x150/19986209_741127056067001_1270489010199855104_a.jpg")</f>
        <v>https://scontent.cdninstagram.com/t51.2885-19/s150x150/19986209_741127056067001_1270489010199855104_a.jpg</v>
      </c>
    </row>
    <row r="2059" spans="1:31" ht="15" x14ac:dyDescent="0.25">
      <c r="A2059" t="s">
        <v>2474</v>
      </c>
      <c r="B2059" t="s">
        <v>13376</v>
      </c>
      <c r="C2059" s="221">
        <v>42968.918402777781</v>
      </c>
      <c r="D2059" t="s">
        <v>13377</v>
      </c>
      <c r="E2059" s="249" t="str">
        <f>HYPERLINK("https://www.instagram.com/p/BYFB5f-Dmqd/")</f>
        <v>https://www.instagram.com/p/BYFB5f-Dmqd/</v>
      </c>
      <c r="F2059" t="s">
        <v>13378</v>
      </c>
      <c r="G2059" t="s">
        <v>2631</v>
      </c>
      <c r="H2059">
        <v>1517</v>
      </c>
      <c r="I2059" t="s">
        <v>2479</v>
      </c>
      <c r="J2059">
        <v>12</v>
      </c>
      <c r="K2059">
        <v>73</v>
      </c>
      <c r="L2059">
        <v>85</v>
      </c>
      <c r="Q2059">
        <v>0</v>
      </c>
      <c r="R2059">
        <v>0</v>
      </c>
      <c r="S2059">
        <v>85</v>
      </c>
      <c r="AD2059" s="249" t="str">
        <f>HYPERLINK("https://scontent.cdninstagram.com/t51.2885-15/s320x320/e15/20969401_204717233399184_8530179639723687936_n.jpg")</f>
        <v>https://scontent.cdninstagram.com/t51.2885-15/s320x320/e15/20969401_204717233399184_8530179639723687936_n.jpg</v>
      </c>
      <c r="AE2059" s="249" t="str">
        <f>HYPERLINK("https://scontent.cdninstagram.com/t51.2885-19/s150x150/20347476_477298892630659_1566130945126301696_a.jpg")</f>
        <v>https://scontent.cdninstagram.com/t51.2885-19/s150x150/20347476_477298892630659_1566130945126301696_a.jpg</v>
      </c>
    </row>
    <row r="2060" spans="1:31" ht="15" x14ac:dyDescent="0.25">
      <c r="A2060" t="s">
        <v>2474</v>
      </c>
      <c r="B2060" t="s">
        <v>13379</v>
      </c>
      <c r="C2060" s="221">
        <v>42968.918564814812</v>
      </c>
      <c r="D2060" t="s">
        <v>13380</v>
      </c>
      <c r="E2060" s="249" t="str">
        <f>HYPERLINK("https://www.instagram.com/p/BYFB7OCjruL/")</f>
        <v>https://www.instagram.com/p/BYFB7OCjruL/</v>
      </c>
      <c r="F2060" t="s">
        <v>13381</v>
      </c>
      <c r="G2060" t="s">
        <v>2478</v>
      </c>
      <c r="H2060">
        <v>1476</v>
      </c>
      <c r="I2060" t="s">
        <v>2479</v>
      </c>
      <c r="J2060">
        <v>6</v>
      </c>
      <c r="K2060">
        <v>92</v>
      </c>
      <c r="L2060">
        <v>98</v>
      </c>
      <c r="Q2060">
        <v>0</v>
      </c>
      <c r="R2060">
        <v>0</v>
      </c>
      <c r="S2060">
        <v>98</v>
      </c>
      <c r="T2060" t="s">
        <v>13382</v>
      </c>
      <c r="U2060" t="s">
        <v>572</v>
      </c>
      <c r="V2060" t="s">
        <v>2299</v>
      </c>
      <c r="W2060">
        <v>33.562869999999997</v>
      </c>
      <c r="X2060">
        <v>-101.94584999999999</v>
      </c>
      <c r="Y2060" t="s">
        <v>2497</v>
      </c>
      <c r="Z2060" t="s">
        <v>2837</v>
      </c>
      <c r="AD2060" s="249" t="str">
        <f>HYPERLINK("https://scontent.cdninstagram.com/t51.2885-15/s320x320/e35/20987017_255054035015253_4207994586213122048_n.jpg")</f>
        <v>https://scontent.cdninstagram.com/t51.2885-15/s320x320/e35/20987017_255054035015253_4207994586213122048_n.jpg</v>
      </c>
      <c r="AE2060" s="249" t="str">
        <f>HYPERLINK("https://scontent.cdninstagram.com/t51.2885-19/s150x150/20687218_1996595230624230_658211572132347904_a.jpg")</f>
        <v>https://scontent.cdninstagram.com/t51.2885-19/s150x150/20687218_1996595230624230_658211572132347904_a.jpg</v>
      </c>
    </row>
    <row r="2061" spans="1:31" ht="15" x14ac:dyDescent="0.25">
      <c r="A2061" t="s">
        <v>2474</v>
      </c>
      <c r="B2061" t="s">
        <v>7232</v>
      </c>
      <c r="C2061" s="221">
        <v>42968.925532407404</v>
      </c>
      <c r="D2061" t="s">
        <v>13383</v>
      </c>
      <c r="E2061" s="249" t="str">
        <f>HYPERLINK("https://www.instagram.com/p/BYFDEx1nHzf/")</f>
        <v>https://www.instagram.com/p/BYFDEx1nHzf/</v>
      </c>
      <c r="F2061" t="s">
        <v>13384</v>
      </c>
      <c r="G2061" t="s">
        <v>2478</v>
      </c>
      <c r="I2061" t="s">
        <v>2479</v>
      </c>
      <c r="J2061">
        <v>4</v>
      </c>
      <c r="K2061">
        <v>39</v>
      </c>
      <c r="L2061">
        <v>43</v>
      </c>
      <c r="Q2061">
        <v>0</v>
      </c>
      <c r="R2061">
        <v>0</v>
      </c>
      <c r="S2061">
        <v>43</v>
      </c>
      <c r="Y2061" t="s">
        <v>2728</v>
      </c>
      <c r="Z2061" t="s">
        <v>4161</v>
      </c>
      <c r="AA2061" t="s">
        <v>2543</v>
      </c>
      <c r="AB2061" t="s">
        <v>5168</v>
      </c>
      <c r="AC2061" t="s">
        <v>13362</v>
      </c>
      <c r="AD2061" s="249" t="str">
        <f>HYPERLINK("https://scontent.cdninstagram.com/t51.2885-15/s320x320/e35/c144.0.791.791/20905419_1634005560006968_2064686565547835392_n.jpg")</f>
        <v>https://scontent.cdninstagram.com/t51.2885-15/s320x320/e35/c144.0.791.791/20905419_1634005560006968_2064686565547835392_n.jpg</v>
      </c>
      <c r="AE2061" s="249" t="str">
        <f>HYPERLINK("https://scontent.cdninstagram.com/t51.2885-19/s150x150/14482263_1660577494243200_2334360342223650816_a.jpg")</f>
        <v>https://scontent.cdninstagram.com/t51.2885-19/s150x150/14482263_1660577494243200_2334360342223650816_a.jpg</v>
      </c>
    </row>
    <row r="2062" spans="1:31" ht="15" x14ac:dyDescent="0.25">
      <c r="A2062" t="s">
        <v>2474</v>
      </c>
      <c r="B2062" t="s">
        <v>2516</v>
      </c>
      <c r="C2062" s="221">
        <v>42968.930775462963</v>
      </c>
      <c r="D2062" t="s">
        <v>13385</v>
      </c>
      <c r="E2062" s="249" t="str">
        <f>HYPERLINK("https://www.instagram.com/p/BYFD7_hjtSF/")</f>
        <v>https://www.instagram.com/p/BYFD7_hjtSF/</v>
      </c>
      <c r="F2062" t="s">
        <v>13386</v>
      </c>
      <c r="G2062" t="s">
        <v>2631</v>
      </c>
      <c r="H2062">
        <v>684</v>
      </c>
      <c r="I2062" t="s">
        <v>2479</v>
      </c>
      <c r="J2062">
        <v>1</v>
      </c>
      <c r="K2062">
        <v>34</v>
      </c>
      <c r="L2062">
        <v>35</v>
      </c>
      <c r="Q2062">
        <v>0</v>
      </c>
      <c r="R2062">
        <v>0</v>
      </c>
      <c r="S2062">
        <v>35</v>
      </c>
      <c r="Y2062" t="s">
        <v>13387</v>
      </c>
      <c r="Z2062" t="s">
        <v>5533</v>
      </c>
      <c r="AA2062" t="s">
        <v>13388</v>
      </c>
      <c r="AB2062" t="s">
        <v>2959</v>
      </c>
      <c r="AC2062" t="s">
        <v>12097</v>
      </c>
      <c r="AD2062" s="249" t="str">
        <f>HYPERLINK("https://scontent.cdninstagram.com/t51.2885-15/s320x320/e15/c236.0.607.607/20968611_757099464498097_3849532234822320128_n.jpg")</f>
        <v>https://scontent.cdninstagram.com/t51.2885-15/s320x320/e15/c236.0.607.607/20968611_757099464498097_3849532234822320128_n.jpg</v>
      </c>
      <c r="AE2062" s="249" t="str">
        <f>HYPERLINK("https://scontent.cdninstagram.com/t51.2885-19/s150x150/19955124_1311741785589715_3896736407896457216_a.jpg")</f>
        <v>https://scontent.cdninstagram.com/t51.2885-19/s150x150/19955124_1311741785589715_3896736407896457216_a.jpg</v>
      </c>
    </row>
    <row r="2063" spans="1:31" ht="15" x14ac:dyDescent="0.25">
      <c r="A2063" t="s">
        <v>2474</v>
      </c>
      <c r="B2063" t="s">
        <v>13389</v>
      </c>
      <c r="C2063" s="221">
        <v>42968.935219907406</v>
      </c>
      <c r="D2063" t="s">
        <v>13390</v>
      </c>
      <c r="E2063" s="249" t="str">
        <f>HYPERLINK("https://www.instagram.com/p/BYFEq8Xhg6i/")</f>
        <v>https://www.instagram.com/p/BYFEq8Xhg6i/</v>
      </c>
      <c r="F2063" t="s">
        <v>13391</v>
      </c>
      <c r="G2063" t="s">
        <v>2478</v>
      </c>
      <c r="H2063">
        <v>8</v>
      </c>
      <c r="I2063" t="s">
        <v>2582</v>
      </c>
      <c r="J2063">
        <v>0</v>
      </c>
      <c r="K2063">
        <v>1</v>
      </c>
      <c r="L2063">
        <v>1</v>
      </c>
      <c r="Q2063">
        <v>0</v>
      </c>
      <c r="R2063">
        <v>0</v>
      </c>
      <c r="S2063">
        <v>1</v>
      </c>
      <c r="Y2063" t="s">
        <v>12335</v>
      </c>
      <c r="Z2063" t="s">
        <v>13392</v>
      </c>
      <c r="AA2063" t="s">
        <v>2497</v>
      </c>
      <c r="AB2063" t="s">
        <v>13393</v>
      </c>
      <c r="AC2063" t="s">
        <v>13389</v>
      </c>
      <c r="AD2063" s="249" t="str">
        <f>HYPERLINK("https://scontent.cdninstagram.com/t51.2885-15/s320x320/e35/20986744_1090974047702245_7804332271233662976_n.jpg")</f>
        <v>https://scontent.cdninstagram.com/t51.2885-15/s320x320/e35/20986744_1090974047702245_7804332271233662976_n.jpg</v>
      </c>
      <c r="AE2063" s="249" t="str">
        <f>HYPERLINK("https://scontent.cdninstagram.com/t51.2885-19/s150x150/20837527_1446310965460587_5901110573067665408_a.jpg")</f>
        <v>https://scontent.cdninstagram.com/t51.2885-19/s150x150/20837527_1446310965460587_5901110573067665408_a.jpg</v>
      </c>
    </row>
    <row r="2064" spans="1:31" ht="15" x14ac:dyDescent="0.25">
      <c r="A2064" t="s">
        <v>2474</v>
      </c>
      <c r="B2064" t="s">
        <v>13394</v>
      </c>
      <c r="C2064" s="221">
        <v>42968.9375</v>
      </c>
      <c r="D2064" t="s">
        <v>13395</v>
      </c>
      <c r="E2064" s="249" t="str">
        <f>HYPERLINK("https://www.instagram.com/p/BYFFC5VFeH9/")</f>
        <v>https://www.instagram.com/p/BYFFC5VFeH9/</v>
      </c>
      <c r="F2064" t="s">
        <v>13396</v>
      </c>
      <c r="G2064" t="s">
        <v>2478</v>
      </c>
      <c r="H2064">
        <v>114</v>
      </c>
      <c r="I2064" t="s">
        <v>2479</v>
      </c>
      <c r="J2064">
        <v>0</v>
      </c>
      <c r="K2064">
        <v>10</v>
      </c>
      <c r="L2064">
        <v>10</v>
      </c>
      <c r="Q2064">
        <v>0</v>
      </c>
      <c r="R2064">
        <v>0</v>
      </c>
      <c r="S2064">
        <v>10</v>
      </c>
      <c r="Y2064" t="s">
        <v>13397</v>
      </c>
      <c r="Z2064" t="s">
        <v>9082</v>
      </c>
      <c r="AA2064" t="s">
        <v>5312</v>
      </c>
      <c r="AB2064" t="s">
        <v>13398</v>
      </c>
      <c r="AC2064" t="s">
        <v>13399</v>
      </c>
      <c r="AD2064" s="249" t="str">
        <f>HYPERLINK("https://scontent.cdninstagram.com/t51.2885-15/s320x320/e35/20987189_201999400335931_5532425031281278976_n.jpg")</f>
        <v>https://scontent.cdninstagram.com/t51.2885-15/s320x320/e35/20987189_201999400335931_5532425031281278976_n.jpg</v>
      </c>
      <c r="AE2064" s="249" t="str">
        <f>HYPERLINK("https://scontent.cdninstagram.com/t51.2885-19/s150x150/20905531_111880592844251_386979813249777664_a.jpg")</f>
        <v>https://scontent.cdninstagram.com/t51.2885-19/s150x150/20905531_111880592844251_386979813249777664_a.jpg</v>
      </c>
    </row>
    <row r="2065" spans="1:31" ht="15" x14ac:dyDescent="0.25">
      <c r="A2065" t="s">
        <v>2474</v>
      </c>
      <c r="B2065" t="s">
        <v>13400</v>
      </c>
      <c r="C2065" s="221">
        <v>42968.939247685186</v>
      </c>
      <c r="D2065" t="s">
        <v>13401</v>
      </c>
      <c r="E2065" s="249" t="str">
        <f>HYPERLINK("https://www.instagram.com/p/BYFFVatHwr4/")</f>
        <v>https://www.instagram.com/p/BYFFVatHwr4/</v>
      </c>
      <c r="F2065" t="s">
        <v>13402</v>
      </c>
      <c r="G2065" t="s">
        <v>2478</v>
      </c>
      <c r="H2065">
        <v>90</v>
      </c>
      <c r="I2065" t="s">
        <v>2519</v>
      </c>
      <c r="J2065">
        <v>0</v>
      </c>
      <c r="K2065">
        <v>11</v>
      </c>
      <c r="L2065">
        <v>11</v>
      </c>
      <c r="Q2065">
        <v>0</v>
      </c>
      <c r="R2065">
        <v>0</v>
      </c>
      <c r="S2065">
        <v>11</v>
      </c>
      <c r="Y2065" t="s">
        <v>5989</v>
      </c>
      <c r="Z2065" t="s">
        <v>13403</v>
      </c>
      <c r="AA2065" t="s">
        <v>11331</v>
      </c>
      <c r="AB2065" t="s">
        <v>2734</v>
      </c>
      <c r="AC2065" t="s">
        <v>9850</v>
      </c>
      <c r="AD2065" s="249" t="str">
        <f>HYPERLINK("https://scontent.cdninstagram.com/t51.2885-15/s320x320/e35/c33.0.333.333/20987162_467438970309490_3878130914512863232_n.jpg")</f>
        <v>https://scontent.cdninstagram.com/t51.2885-15/s320x320/e35/c33.0.333.333/20987162_467438970309490_3878130914512863232_n.jpg</v>
      </c>
      <c r="AE2065" s="249" t="str">
        <f>HYPERLINK("https://scontent.cdninstagram.com/t51.2885-19/s150x150/19050199_112867052646163_1951496069716115456_a.jpg")</f>
        <v>https://scontent.cdninstagram.com/t51.2885-19/s150x150/19050199_112867052646163_1951496069716115456_a.jpg</v>
      </c>
    </row>
    <row r="2066" spans="1:31" ht="15" x14ac:dyDescent="0.25">
      <c r="A2066" t="s">
        <v>2474</v>
      </c>
      <c r="B2066" t="s">
        <v>13404</v>
      </c>
      <c r="C2066" s="221">
        <v>42968.945972222224</v>
      </c>
      <c r="D2066" t="s">
        <v>13405</v>
      </c>
      <c r="E2066" s="249" t="str">
        <f>HYPERLINK("https://www.instagram.com/p/BYFGcUwB5-K/")</f>
        <v>https://www.instagram.com/p/BYFGcUwB5-K/</v>
      </c>
      <c r="F2066" t="s">
        <v>13406</v>
      </c>
      <c r="G2066" t="s">
        <v>2478</v>
      </c>
      <c r="H2066">
        <v>156</v>
      </c>
      <c r="I2066" t="s">
        <v>2599</v>
      </c>
      <c r="J2066">
        <v>0</v>
      </c>
      <c r="K2066">
        <v>12</v>
      </c>
      <c r="L2066">
        <v>12</v>
      </c>
      <c r="Q2066">
        <v>0</v>
      </c>
      <c r="R2066">
        <v>0</v>
      </c>
      <c r="S2066">
        <v>12</v>
      </c>
      <c r="Y2066" t="s">
        <v>13407</v>
      </c>
      <c r="Z2066" t="s">
        <v>13408</v>
      </c>
      <c r="AA2066" t="s">
        <v>2497</v>
      </c>
      <c r="AB2066" t="s">
        <v>13409</v>
      </c>
      <c r="AC2066" t="s">
        <v>13410</v>
      </c>
      <c r="AD2066" s="249" t="str">
        <f>HYPERLINK("https://scontent.cdninstagram.com/t51.2885-15/s320x320/e35/21042468_352462928509275_7632582408876851200_n.jpg")</f>
        <v>https://scontent.cdninstagram.com/t51.2885-15/s320x320/e35/21042468_352462928509275_7632582408876851200_n.jpg</v>
      </c>
      <c r="AE2066" s="249" t="str">
        <f>HYPERLINK("https://scontent.cdninstagram.com/t51.2885-19/s150x150/15538175_223693228083431_8488804737997602816_a.jpg")</f>
        <v>https://scontent.cdninstagram.com/t51.2885-19/s150x150/15538175_223693228083431_8488804737997602816_a.jpg</v>
      </c>
    </row>
    <row r="2067" spans="1:31" ht="15" x14ac:dyDescent="0.25">
      <c r="A2067" t="s">
        <v>2474</v>
      </c>
      <c r="B2067" t="s">
        <v>13411</v>
      </c>
      <c r="C2067" s="221">
        <v>42968.948078703703</v>
      </c>
      <c r="D2067" t="s">
        <v>13412</v>
      </c>
      <c r="E2067" s="249" t="str">
        <f>HYPERLINK("https://www.instagram.com/p/BYFGydsAAD7/")</f>
        <v>https://www.instagram.com/p/BYFGydsAAD7/</v>
      </c>
      <c r="F2067" t="s">
        <v>13413</v>
      </c>
      <c r="G2067" t="s">
        <v>2478</v>
      </c>
      <c r="H2067">
        <v>37</v>
      </c>
      <c r="I2067" t="s">
        <v>2519</v>
      </c>
      <c r="J2067">
        <v>0</v>
      </c>
      <c r="K2067">
        <v>19</v>
      </c>
      <c r="L2067">
        <v>19</v>
      </c>
      <c r="Q2067">
        <v>0</v>
      </c>
      <c r="R2067">
        <v>0</v>
      </c>
      <c r="S2067">
        <v>19</v>
      </c>
      <c r="Y2067" t="s">
        <v>9738</v>
      </c>
      <c r="Z2067" t="s">
        <v>13414</v>
      </c>
      <c r="AA2067" t="s">
        <v>8777</v>
      </c>
      <c r="AB2067" t="s">
        <v>7279</v>
      </c>
      <c r="AC2067" t="s">
        <v>13415</v>
      </c>
      <c r="AD2067" s="249" t="str">
        <f>HYPERLINK("https://scontent.cdninstagram.com/t51.2885-15/s320x320/e35/20986704_1506309292767524_8554141635930226688_n.jpg")</f>
        <v>https://scontent.cdninstagram.com/t51.2885-15/s320x320/e35/20986704_1506309292767524_8554141635930226688_n.jpg</v>
      </c>
      <c r="AE2067" s="249" t="str">
        <f>HYPERLINK("https://scontent.cdninstagram.com/t51.2885-19/s150x150/19984228_1916460158677911_7430500267704975360_a.jpg")</f>
        <v>https://scontent.cdninstagram.com/t51.2885-19/s150x150/19984228_1916460158677911_7430500267704975360_a.jpg</v>
      </c>
    </row>
    <row r="2068" spans="1:31" ht="15" x14ac:dyDescent="0.25">
      <c r="A2068" t="s">
        <v>2474</v>
      </c>
      <c r="B2068" t="s">
        <v>13416</v>
      </c>
      <c r="C2068" s="221">
        <v>42968.967002314814</v>
      </c>
      <c r="D2068" t="s">
        <v>13417</v>
      </c>
      <c r="E2068" s="249" t="str">
        <f>HYPERLINK("https://www.instagram.com/p/BYFJ6D-l7WK/")</f>
        <v>https://www.instagram.com/p/BYFJ6D-l7WK/</v>
      </c>
      <c r="F2068" t="s">
        <v>13418</v>
      </c>
      <c r="G2068" t="s">
        <v>2478</v>
      </c>
      <c r="H2068">
        <v>48</v>
      </c>
      <c r="I2068" t="s">
        <v>2479</v>
      </c>
      <c r="J2068">
        <v>3</v>
      </c>
      <c r="K2068">
        <v>21</v>
      </c>
      <c r="L2068">
        <v>24</v>
      </c>
      <c r="Q2068">
        <v>0</v>
      </c>
      <c r="R2068">
        <v>0</v>
      </c>
      <c r="S2068">
        <v>24</v>
      </c>
      <c r="T2068" t="s">
        <v>13419</v>
      </c>
      <c r="U2068" t="s">
        <v>112</v>
      </c>
      <c r="V2068" t="s">
        <v>2299</v>
      </c>
      <c r="W2068">
        <v>29.968900000000001</v>
      </c>
      <c r="X2068">
        <v>-95.696899999999999</v>
      </c>
      <c r="Y2068" t="s">
        <v>11948</v>
      </c>
      <c r="Z2068" t="s">
        <v>13420</v>
      </c>
      <c r="AA2068" t="s">
        <v>4724</v>
      </c>
      <c r="AB2068" t="s">
        <v>13421</v>
      </c>
      <c r="AC2068" t="s">
        <v>3534</v>
      </c>
      <c r="AD2068" s="249" t="str">
        <f>HYPERLINK("https://scontent.cdninstagram.com/t51.2885-15/s320x320/e35/20905592_705877759613586_1816934439389757440_n.jpg")</f>
        <v>https://scontent.cdninstagram.com/t51.2885-15/s320x320/e35/20905592_705877759613586_1816934439389757440_n.jpg</v>
      </c>
      <c r="AE2068" s="249" t="str">
        <f>HYPERLINK("https://scontent.cdninstagram.com/t51.2885-19/s150x150/20066530_1736335339993899_5194920359358365696_a.jpg")</f>
        <v>https://scontent.cdninstagram.com/t51.2885-19/s150x150/20066530_1736335339993899_5194920359358365696_a.jpg</v>
      </c>
    </row>
    <row r="2069" spans="1:31" ht="15" x14ac:dyDescent="0.25">
      <c r="A2069" t="s">
        <v>2474</v>
      </c>
      <c r="B2069" t="s">
        <v>13422</v>
      </c>
      <c r="C2069" s="221">
        <v>42968.977662037039</v>
      </c>
      <c r="D2069" t="s">
        <v>13423</v>
      </c>
      <c r="E2069" s="249" t="str">
        <f>HYPERLINK("https://www.instagram.com/p/BYFLqf1lQYQ/")</f>
        <v>https://www.instagram.com/p/BYFLqf1lQYQ/</v>
      </c>
      <c r="F2069" t="s">
        <v>13424</v>
      </c>
      <c r="G2069" t="s">
        <v>2488</v>
      </c>
      <c r="H2069">
        <v>33</v>
      </c>
      <c r="I2069" t="s">
        <v>2479</v>
      </c>
      <c r="J2069">
        <v>0</v>
      </c>
      <c r="K2069">
        <v>12</v>
      </c>
      <c r="L2069">
        <v>12</v>
      </c>
      <c r="Q2069">
        <v>0</v>
      </c>
      <c r="R2069">
        <v>0</v>
      </c>
      <c r="S2069">
        <v>12</v>
      </c>
      <c r="T2069" t="s">
        <v>13425</v>
      </c>
      <c r="U2069" t="s">
        <v>234</v>
      </c>
      <c r="V2069" t="s">
        <v>2299</v>
      </c>
      <c r="W2069">
        <v>34.292993875131003</v>
      </c>
      <c r="X2069">
        <v>-118.67129114172</v>
      </c>
      <c r="Y2069" t="s">
        <v>13426</v>
      </c>
      <c r="Z2069" t="s">
        <v>13427</v>
      </c>
      <c r="AA2069" t="s">
        <v>13428</v>
      </c>
      <c r="AB2069" t="s">
        <v>13429</v>
      </c>
      <c r="AC2069" t="s">
        <v>13430</v>
      </c>
      <c r="AD2069" s="249" t="str">
        <f>HYPERLINK("https://scontent.cdninstagram.com/t51.2885-15/s320x320/e35/20969281_1600866906643667_706905789620551680_n.jpg")</f>
        <v>https://scontent.cdninstagram.com/t51.2885-15/s320x320/e35/20969281_1600866906643667_706905789620551680_n.jpg</v>
      </c>
      <c r="AE2069" s="249" t="str">
        <f>HYPERLINK("https://scontent.cdninstagram.com/t51.2885-19/s150x150/20213744_1892959740928890_2344596868492689408_a.jpg")</f>
        <v>https://scontent.cdninstagram.com/t51.2885-19/s150x150/20213744_1892959740928890_2344596868492689408_a.jpg</v>
      </c>
    </row>
    <row r="2070" spans="1:31" ht="15" x14ac:dyDescent="0.25">
      <c r="A2070" t="s">
        <v>2474</v>
      </c>
      <c r="B2070" t="s">
        <v>13431</v>
      </c>
      <c r="C2070" s="221">
        <v>42968.983935185184</v>
      </c>
      <c r="D2070" t="s">
        <v>13432</v>
      </c>
      <c r="E2070" s="249" t="str">
        <f>HYPERLINK("https://www.instagram.com/p/BYFMssjAPLN/")</f>
        <v>https://www.instagram.com/p/BYFMssjAPLN/</v>
      </c>
      <c r="F2070" t="s">
        <v>13433</v>
      </c>
      <c r="G2070" t="s">
        <v>2478</v>
      </c>
      <c r="H2070">
        <v>97</v>
      </c>
      <c r="I2070" t="s">
        <v>2479</v>
      </c>
      <c r="J2070">
        <v>0</v>
      </c>
      <c r="K2070">
        <v>45</v>
      </c>
      <c r="L2070">
        <v>45</v>
      </c>
      <c r="Q2070">
        <v>0</v>
      </c>
      <c r="R2070">
        <v>0</v>
      </c>
      <c r="S2070">
        <v>45</v>
      </c>
      <c r="Y2070" t="s">
        <v>2777</v>
      </c>
      <c r="Z2070" t="s">
        <v>2730</v>
      </c>
      <c r="AA2070" t="s">
        <v>7374</v>
      </c>
      <c r="AB2070" t="s">
        <v>5836</v>
      </c>
      <c r="AC2070" t="s">
        <v>3174</v>
      </c>
      <c r="AD2070" s="249" t="str">
        <f>HYPERLINK("https://scontent.cdninstagram.com/t51.2885-15/s320x320/e35/20968637_1693611067316808_5050346395760852992_n.jpg")</f>
        <v>https://scontent.cdninstagram.com/t51.2885-15/s320x320/e35/20968637_1693611067316808_5050346395760852992_n.jpg</v>
      </c>
      <c r="AE2070" s="249" t="str">
        <f>HYPERLINK("https://scontent.cdninstagram.com/t51.2885-19/s150x150/20902346_1924696341111403_5972923882250698752_a.jpg")</f>
        <v>https://scontent.cdninstagram.com/t51.2885-19/s150x150/20902346_1924696341111403_5972923882250698752_a.jpg</v>
      </c>
    </row>
    <row r="2071" spans="1:31" ht="15" x14ac:dyDescent="0.25">
      <c r="A2071" t="s">
        <v>2474</v>
      </c>
      <c r="B2071" t="s">
        <v>4535</v>
      </c>
      <c r="C2071" s="221">
        <v>42968.988564814812</v>
      </c>
      <c r="D2071" t="s">
        <v>13434</v>
      </c>
      <c r="E2071" s="249" t="str">
        <f>HYPERLINK("https://www.instagram.com/p/BYFNdd4Fby_/")</f>
        <v>https://www.instagram.com/p/BYFNdd4Fby_/</v>
      </c>
      <c r="F2071" t="s">
        <v>13435</v>
      </c>
      <c r="G2071" t="s">
        <v>2478</v>
      </c>
      <c r="H2071">
        <v>164</v>
      </c>
      <c r="I2071" t="s">
        <v>2479</v>
      </c>
      <c r="J2071">
        <v>1</v>
      </c>
      <c r="K2071">
        <v>35</v>
      </c>
      <c r="L2071">
        <v>36</v>
      </c>
      <c r="Q2071">
        <v>0</v>
      </c>
      <c r="R2071">
        <v>0</v>
      </c>
      <c r="S2071">
        <v>36</v>
      </c>
      <c r="Y2071" t="s">
        <v>4539</v>
      </c>
      <c r="Z2071" t="s">
        <v>12421</v>
      </c>
      <c r="AA2071" t="s">
        <v>5607</v>
      </c>
      <c r="AB2071" t="s">
        <v>13436</v>
      </c>
      <c r="AC2071" t="s">
        <v>4541</v>
      </c>
      <c r="AD2071" s="249" t="str">
        <f>HYPERLINK("https://scontent.cdninstagram.com/t51.2885-15/s320x320/e35/20968491_358641911231829_9034807437663666176_n.jpg")</f>
        <v>https://scontent.cdninstagram.com/t51.2885-15/s320x320/e35/20968491_358641911231829_9034807437663666176_n.jpg</v>
      </c>
      <c r="AE2071" s="249" t="str">
        <f>HYPERLINK("https://scontent.cdninstagram.com/t51.2885-19/s150x150/20399028_1624608414236560_533007696291430400_a.jpg")</f>
        <v>https://scontent.cdninstagram.com/t51.2885-19/s150x150/20399028_1624608414236560_533007696291430400_a.jpg</v>
      </c>
    </row>
    <row r="2072" spans="1:31" ht="15" x14ac:dyDescent="0.25">
      <c r="A2072" t="s">
        <v>2474</v>
      </c>
      <c r="B2072" t="s">
        <v>13437</v>
      </c>
      <c r="C2072" s="221">
        <v>42968.990648148145</v>
      </c>
      <c r="D2072" t="s">
        <v>13438</v>
      </c>
      <c r="E2072" s="249" t="str">
        <f>HYPERLINK("https://www.instagram.com/p/BYFNzc5AhlM/")</f>
        <v>https://www.instagram.com/p/BYFNzc5AhlM/</v>
      </c>
      <c r="F2072" t="s">
        <v>13439</v>
      </c>
      <c r="G2072" t="s">
        <v>2478</v>
      </c>
      <c r="H2072">
        <v>183</v>
      </c>
      <c r="I2072" t="s">
        <v>2479</v>
      </c>
      <c r="J2072">
        <v>1</v>
      </c>
      <c r="K2072">
        <v>33</v>
      </c>
      <c r="L2072">
        <v>34</v>
      </c>
      <c r="Q2072">
        <v>0</v>
      </c>
      <c r="R2072">
        <v>0</v>
      </c>
      <c r="S2072">
        <v>34</v>
      </c>
      <c r="T2072" t="s">
        <v>13440</v>
      </c>
      <c r="U2072" t="s">
        <v>170</v>
      </c>
      <c r="V2072" t="s">
        <v>2299</v>
      </c>
      <c r="W2072">
        <v>30.266196585405002</v>
      </c>
      <c r="X2072">
        <v>-97.743170784480995</v>
      </c>
      <c r="Y2072" t="s">
        <v>13441</v>
      </c>
      <c r="Z2072" t="s">
        <v>13442</v>
      </c>
      <c r="AA2072" t="s">
        <v>3383</v>
      </c>
      <c r="AB2072" t="s">
        <v>13443</v>
      </c>
      <c r="AC2072" t="s">
        <v>13437</v>
      </c>
      <c r="AD2072" s="249" t="str">
        <f>HYPERLINK("https://scontent.cdninstagram.com/t51.2885-15/s320x320/e35/c180.0.720.720/20968420_927643810722058_1259012230519717888_n.jpg")</f>
        <v>https://scontent.cdninstagram.com/t51.2885-15/s320x320/e35/c180.0.720.720/20968420_927643810722058_1259012230519717888_n.jpg</v>
      </c>
      <c r="AE2072" s="249" t="str">
        <f>HYPERLINK("https://scontent.cdninstagram.com/t51.2885-19/s150x150/17125976_1834528233480405_640616263646707712_a.jpg")</f>
        <v>https://scontent.cdninstagram.com/t51.2885-19/s150x150/17125976_1834528233480405_640616263646707712_a.jpg</v>
      </c>
    </row>
    <row r="2073" spans="1:31" ht="15" x14ac:dyDescent="0.25">
      <c r="A2073" t="s">
        <v>2474</v>
      </c>
      <c r="B2073" t="s">
        <v>13444</v>
      </c>
      <c r="C2073" s="221">
        <v>42969.00068287037</v>
      </c>
      <c r="D2073" t="s">
        <v>13445</v>
      </c>
      <c r="E2073" s="249" t="str">
        <f>HYPERLINK("https://www.instagram.com/p/BYFPdYMFZ9p/")</f>
        <v>https://www.instagram.com/p/BYFPdYMFZ9p/</v>
      </c>
      <c r="F2073" t="s">
        <v>13446</v>
      </c>
      <c r="G2073" t="s">
        <v>2478</v>
      </c>
      <c r="H2073">
        <v>149</v>
      </c>
      <c r="I2073" t="s">
        <v>2479</v>
      </c>
      <c r="J2073">
        <v>1</v>
      </c>
      <c r="K2073">
        <v>33</v>
      </c>
      <c r="L2073">
        <v>34</v>
      </c>
      <c r="Q2073">
        <v>0</v>
      </c>
      <c r="R2073">
        <v>0</v>
      </c>
      <c r="S2073">
        <v>34</v>
      </c>
      <c r="Y2073" t="s">
        <v>13447</v>
      </c>
      <c r="Z2073" t="s">
        <v>13448</v>
      </c>
      <c r="AA2073" t="s">
        <v>13449</v>
      </c>
      <c r="AB2073" t="s">
        <v>13450</v>
      </c>
      <c r="AC2073" t="s">
        <v>13451</v>
      </c>
      <c r="AD2073" s="249" t="str">
        <f>HYPERLINK("https://scontent.cdninstagram.com/t51.2885-15/s320x320/e35/20968981_508041976201686_4909599737650348032_n.jpg")</f>
        <v>https://scontent.cdninstagram.com/t51.2885-15/s320x320/e35/20968981_508041976201686_4909599737650348032_n.jpg</v>
      </c>
      <c r="AE2073" s="249" t="str">
        <f>HYPERLINK("https://scontent.cdninstagram.com/t51.2885-19/s150x150/19437145_873319306152145_7311238053916311552_a.jpg")</f>
        <v>https://scontent.cdninstagram.com/t51.2885-19/s150x150/19437145_873319306152145_7311238053916311552_a.jpg</v>
      </c>
    </row>
    <row r="2074" spans="1:31" ht="15" x14ac:dyDescent="0.25">
      <c r="A2074" t="s">
        <v>2474</v>
      </c>
      <c r="B2074" t="s">
        <v>13452</v>
      </c>
      <c r="C2074" s="221">
        <v>42969.006805555553</v>
      </c>
      <c r="D2074" t="s">
        <v>13453</v>
      </c>
      <c r="E2074" s="249" t="str">
        <f>HYPERLINK("https://www.instagram.com/p/BYFQd5ol9RX/")</f>
        <v>https://www.instagram.com/p/BYFQd5ol9RX/</v>
      </c>
      <c r="F2074" t="s">
        <v>13454</v>
      </c>
      <c r="G2074" t="s">
        <v>2478</v>
      </c>
      <c r="H2074">
        <v>1066</v>
      </c>
      <c r="I2074" t="s">
        <v>2479</v>
      </c>
      <c r="J2074">
        <v>1</v>
      </c>
      <c r="K2074">
        <v>56</v>
      </c>
      <c r="L2074">
        <v>57</v>
      </c>
      <c r="Q2074">
        <v>0</v>
      </c>
      <c r="R2074">
        <v>0</v>
      </c>
      <c r="S2074">
        <v>57</v>
      </c>
      <c r="T2074" t="s">
        <v>13455</v>
      </c>
      <c r="V2074" t="s">
        <v>2276</v>
      </c>
      <c r="W2074">
        <v>13.7522</v>
      </c>
      <c r="X2074">
        <v>100.494</v>
      </c>
      <c r="Y2074" t="s">
        <v>13456</v>
      </c>
      <c r="Z2074" t="s">
        <v>3783</v>
      </c>
      <c r="AA2074" t="s">
        <v>13457</v>
      </c>
      <c r="AB2074" t="s">
        <v>2497</v>
      </c>
      <c r="AD2074" s="249" t="str">
        <f>HYPERLINK("https://scontent.cdninstagram.com/t51.2885-15/s320x320/e35/21041865_328739684244719_4795750209151827968_n.jpg")</f>
        <v>https://scontent.cdninstagram.com/t51.2885-15/s320x320/e35/21041865_328739684244719_4795750209151827968_n.jpg</v>
      </c>
      <c r="AE2074" s="249" t="str">
        <f>HYPERLINK("https://scontent.cdninstagram.com/t51.2885-19/s150x150/18300039_1880756018850401_6153369760596754432_a.jpg")</f>
        <v>https://scontent.cdninstagram.com/t51.2885-19/s150x150/18300039_1880756018850401_6153369760596754432_a.jpg</v>
      </c>
    </row>
    <row r="2075" spans="1:31" ht="15" x14ac:dyDescent="0.25">
      <c r="A2075" t="s">
        <v>2474</v>
      </c>
      <c r="B2075" t="s">
        <v>13458</v>
      </c>
      <c r="C2075" s="221">
        <v>42969.018090277779</v>
      </c>
      <c r="D2075" t="s">
        <v>13459</v>
      </c>
      <c r="E2075" s="249" t="str">
        <f>HYPERLINK("https://www.instagram.com/p/BYFSU4Hhy8n/")</f>
        <v>https://www.instagram.com/p/BYFSU4Hhy8n/</v>
      </c>
      <c r="F2075" t="s">
        <v>13460</v>
      </c>
      <c r="G2075" t="s">
        <v>2631</v>
      </c>
      <c r="H2075">
        <v>138</v>
      </c>
      <c r="I2075" t="s">
        <v>2542</v>
      </c>
      <c r="J2075">
        <v>1</v>
      </c>
      <c r="K2075">
        <v>17</v>
      </c>
      <c r="L2075">
        <v>18</v>
      </c>
      <c r="Q2075">
        <v>0</v>
      </c>
      <c r="R2075">
        <v>0</v>
      </c>
      <c r="S2075">
        <v>18</v>
      </c>
      <c r="Y2075" t="s">
        <v>13461</v>
      </c>
      <c r="Z2075" t="s">
        <v>13462</v>
      </c>
      <c r="AA2075" t="s">
        <v>13463</v>
      </c>
      <c r="AB2075" t="s">
        <v>2886</v>
      </c>
      <c r="AC2075" t="s">
        <v>2497</v>
      </c>
      <c r="AD2075" s="249" t="str">
        <f>HYPERLINK("https://scontent.cdninstagram.com/t51.2885-15/s320x320/e15/c157.0.406.406/20986881_2108502362711369_5233490510001209344_n.jpg")</f>
        <v>https://scontent.cdninstagram.com/t51.2885-15/s320x320/e15/c157.0.406.406/20986881_2108502362711369_5233490510001209344_n.jpg</v>
      </c>
      <c r="AE2075" s="249" t="str">
        <f>HYPERLINK("https://scontent.cdninstagram.com/t51.2885-19/10864791_366880320152179_1342894726_a.jpg")</f>
        <v>https://scontent.cdninstagram.com/t51.2885-19/10864791_366880320152179_1342894726_a.jpg</v>
      </c>
    </row>
    <row r="2076" spans="1:31" ht="15" x14ac:dyDescent="0.25">
      <c r="A2076" t="s">
        <v>2474</v>
      </c>
      <c r="B2076" t="s">
        <v>13464</v>
      </c>
      <c r="C2076" s="221">
        <v>42969.019178240742</v>
      </c>
      <c r="D2076" t="s">
        <v>13465</v>
      </c>
      <c r="E2076" s="249" t="str">
        <f>HYPERLINK("https://www.instagram.com/p/BYFSgcKgfUy/")</f>
        <v>https://www.instagram.com/p/BYFSgcKgfUy/</v>
      </c>
      <c r="F2076" t="s">
        <v>13466</v>
      </c>
      <c r="G2076" t="s">
        <v>2631</v>
      </c>
      <c r="H2076">
        <v>754</v>
      </c>
      <c r="I2076" t="s">
        <v>2599</v>
      </c>
      <c r="J2076">
        <v>4</v>
      </c>
      <c r="K2076">
        <v>40</v>
      </c>
      <c r="L2076">
        <v>44</v>
      </c>
      <c r="Q2076">
        <v>0</v>
      </c>
      <c r="R2076">
        <v>0</v>
      </c>
      <c r="S2076">
        <v>44</v>
      </c>
      <c r="T2076" t="s">
        <v>13467</v>
      </c>
      <c r="U2076" t="s">
        <v>170</v>
      </c>
      <c r="V2076" t="s">
        <v>2299</v>
      </c>
      <c r="W2076">
        <v>30.185770000000002</v>
      </c>
      <c r="X2076">
        <v>-97.801069999999996</v>
      </c>
      <c r="Y2076" t="s">
        <v>13468</v>
      </c>
      <c r="Z2076" t="s">
        <v>13469</v>
      </c>
      <c r="AA2076" t="s">
        <v>13470</v>
      </c>
      <c r="AB2076" t="s">
        <v>13471</v>
      </c>
      <c r="AC2076" t="s">
        <v>13472</v>
      </c>
      <c r="AD2076" s="249" t="str">
        <f>HYPERLINK("https://scontent.cdninstagram.com/t51.2885-15/s320x320/e15/c0.90.720.720/21041233_129554777664889_5791978404718837760_n.jpg")</f>
        <v>https://scontent.cdninstagram.com/t51.2885-15/s320x320/e15/c0.90.720.720/21041233_129554777664889_5791978404718837760_n.jpg</v>
      </c>
      <c r="AE2076" s="249" t="str">
        <f>HYPERLINK("https://scontent.cdninstagram.com/t51.2885-19/s150x150/21042149_506715662998586_1713378302527275008_a.jpg")</f>
        <v>https://scontent.cdninstagram.com/t51.2885-19/s150x150/21042149_506715662998586_1713378302527275008_a.jpg</v>
      </c>
    </row>
    <row r="2077" spans="1:31" ht="15" x14ac:dyDescent="0.25">
      <c r="A2077" t="s">
        <v>2474</v>
      </c>
      <c r="B2077" t="s">
        <v>13473</v>
      </c>
      <c r="C2077" s="221">
        <v>42969.022673611114</v>
      </c>
      <c r="D2077" t="s">
        <v>13474</v>
      </c>
      <c r="E2077" s="249" t="str">
        <f>HYPERLINK("https://www.instagram.com/p/BYFTFSZnp7D/")</f>
        <v>https://www.instagram.com/p/BYFTFSZnp7D/</v>
      </c>
      <c r="F2077" t="s">
        <v>13475</v>
      </c>
      <c r="G2077" t="s">
        <v>2488</v>
      </c>
      <c r="H2077">
        <v>207</v>
      </c>
      <c r="I2077" t="s">
        <v>2479</v>
      </c>
      <c r="J2077">
        <v>7</v>
      </c>
      <c r="K2077">
        <v>54</v>
      </c>
      <c r="L2077">
        <v>61</v>
      </c>
      <c r="Q2077">
        <v>0</v>
      </c>
      <c r="R2077">
        <v>0</v>
      </c>
      <c r="S2077">
        <v>61</v>
      </c>
      <c r="Y2077" t="s">
        <v>13476</v>
      </c>
      <c r="Z2077" t="s">
        <v>13477</v>
      </c>
      <c r="AA2077" t="s">
        <v>13478</v>
      </c>
      <c r="AB2077" t="s">
        <v>13479</v>
      </c>
      <c r="AC2077" t="s">
        <v>13480</v>
      </c>
      <c r="AD2077" s="249" t="str">
        <f>HYPERLINK("https://scontent.cdninstagram.com/t51.2885-15/s320x320/e35/20968768_1252592748184165_6960186097364107264_n.jpg")</f>
        <v>https://scontent.cdninstagram.com/t51.2885-15/s320x320/e35/20968768_1252592748184165_6960186097364107264_n.jpg</v>
      </c>
      <c r="AE2077" s="249" t="str">
        <f>HYPERLINK("https://scontent.cdninstagram.com/t51.2885-19/s150x150/15043592_1031662133610680_5206342734687764480_a.jpg")</f>
        <v>https://scontent.cdninstagram.com/t51.2885-19/s150x150/15043592_1031662133610680_5206342734687764480_a.jpg</v>
      </c>
    </row>
    <row r="2078" spans="1:31" ht="15" x14ac:dyDescent="0.25">
      <c r="A2078" t="s">
        <v>2474</v>
      </c>
      <c r="B2078" t="s">
        <v>12526</v>
      </c>
      <c r="C2078" s="221">
        <v>42969.024456018517</v>
      </c>
      <c r="D2078" t="s">
        <v>13481</v>
      </c>
      <c r="E2078" s="249" t="str">
        <f>HYPERLINK("https://www.instagram.com/p/BYFTYAdgVig/")</f>
        <v>https://www.instagram.com/p/BYFTYAdgVig/</v>
      </c>
      <c r="F2078" t="s">
        <v>13482</v>
      </c>
      <c r="G2078" t="s">
        <v>2631</v>
      </c>
      <c r="H2078">
        <v>136</v>
      </c>
      <c r="I2078" t="s">
        <v>2479</v>
      </c>
      <c r="J2078">
        <v>1</v>
      </c>
      <c r="K2078">
        <v>27</v>
      </c>
      <c r="L2078">
        <v>28</v>
      </c>
      <c r="Q2078">
        <v>0</v>
      </c>
      <c r="R2078">
        <v>0</v>
      </c>
      <c r="S2078">
        <v>28</v>
      </c>
      <c r="T2078" t="s">
        <v>13483</v>
      </c>
      <c r="V2078" t="s">
        <v>2102</v>
      </c>
      <c r="W2078">
        <v>-38.14866</v>
      </c>
      <c r="X2078">
        <v>144.36322000000001</v>
      </c>
      <c r="Y2078" t="s">
        <v>11796</v>
      </c>
      <c r="Z2078" t="s">
        <v>13484</v>
      </c>
      <c r="AA2078" t="s">
        <v>12529</v>
      </c>
      <c r="AB2078" t="s">
        <v>13485</v>
      </c>
      <c r="AC2078" t="s">
        <v>12533</v>
      </c>
      <c r="AD2078" s="249" t="str">
        <f>HYPERLINK("https://scontent.cdninstagram.com/t51.2885-15/s320x320/e15/c157.0.406.406/21041987_263214387504819_7427636791533895680_n.jpg")</f>
        <v>https://scontent.cdninstagram.com/t51.2885-15/s320x320/e15/c157.0.406.406/21041987_263214387504819_7427636791533895680_n.jpg</v>
      </c>
      <c r="AE2078" s="249" t="str">
        <f>HYPERLINK("https://scontent.cdninstagram.com/t51.2885-19/s150x150/18888580_1298452656917156_5296228896885178368_a.jpg")</f>
        <v>https://scontent.cdninstagram.com/t51.2885-19/s150x150/18888580_1298452656917156_5296228896885178368_a.jpg</v>
      </c>
    </row>
    <row r="2079" spans="1:31" ht="15" x14ac:dyDescent="0.25">
      <c r="A2079" t="s">
        <v>2474</v>
      </c>
      <c r="B2079" t="s">
        <v>13486</v>
      </c>
      <c r="C2079" s="221">
        <v>42969.02511574074</v>
      </c>
      <c r="D2079" t="s">
        <v>13487</v>
      </c>
      <c r="E2079" s="249" t="str">
        <f>HYPERLINK("https://www.instagram.com/p/BYFTe_uAAqw/")</f>
        <v>https://www.instagram.com/p/BYFTe_uAAqw/</v>
      </c>
      <c r="F2079" t="s">
        <v>13488</v>
      </c>
      <c r="G2079" t="s">
        <v>2488</v>
      </c>
      <c r="H2079">
        <v>62</v>
      </c>
      <c r="I2079" t="s">
        <v>2479</v>
      </c>
      <c r="J2079">
        <v>0</v>
      </c>
      <c r="K2079">
        <v>15</v>
      </c>
      <c r="L2079">
        <v>15</v>
      </c>
      <c r="Q2079">
        <v>0</v>
      </c>
      <c r="R2079">
        <v>0</v>
      </c>
      <c r="S2079">
        <v>15</v>
      </c>
      <c r="Y2079" t="s">
        <v>13489</v>
      </c>
      <c r="Z2079" t="s">
        <v>13490</v>
      </c>
      <c r="AA2079" t="s">
        <v>13491</v>
      </c>
      <c r="AB2079" t="s">
        <v>13492</v>
      </c>
      <c r="AC2079" t="s">
        <v>5043</v>
      </c>
      <c r="AD2079" s="249" t="str">
        <f>HYPERLINK("https://scontent.cdninstagram.com/t51.2885-15/s320x320/e35/20905537_109820539714483_8972866643386433536_n.jpg")</f>
        <v>https://scontent.cdninstagram.com/t51.2885-15/s320x320/e35/20905537_109820539714483_8972866643386433536_n.jpg</v>
      </c>
      <c r="AE2079" s="249" t="str">
        <f>HYPERLINK("https://scontent.cdninstagram.com/t51.2885-19/s150x150/19228057_436178203427526_6880960078355103744_a.jpg")</f>
        <v>https://scontent.cdninstagram.com/t51.2885-19/s150x150/19228057_436178203427526_6880960078355103744_a.jpg</v>
      </c>
    </row>
    <row r="2080" spans="1:31" ht="15" x14ac:dyDescent="0.25">
      <c r="A2080" t="s">
        <v>2474</v>
      </c>
      <c r="B2080" t="s">
        <v>13493</v>
      </c>
      <c r="C2080" s="221">
        <v>42969.028113425928</v>
      </c>
      <c r="D2080" t="s">
        <v>13494</v>
      </c>
      <c r="E2080" s="249" t="str">
        <f>HYPERLINK("https://www.instagram.com/p/BYFT-m0lPtS/")</f>
        <v>https://www.instagram.com/p/BYFT-m0lPtS/</v>
      </c>
      <c r="F2080" t="s">
        <v>13495</v>
      </c>
      <c r="G2080" t="s">
        <v>2478</v>
      </c>
      <c r="H2080">
        <v>1045</v>
      </c>
      <c r="I2080" t="s">
        <v>2479</v>
      </c>
      <c r="J2080">
        <v>11</v>
      </c>
      <c r="K2080">
        <v>127</v>
      </c>
      <c r="L2080">
        <v>138</v>
      </c>
      <c r="Q2080">
        <v>0</v>
      </c>
      <c r="R2080">
        <v>0</v>
      </c>
      <c r="S2080">
        <v>138</v>
      </c>
      <c r="Y2080" t="s">
        <v>13496</v>
      </c>
      <c r="Z2080" t="s">
        <v>13497</v>
      </c>
      <c r="AA2080" t="s">
        <v>13498</v>
      </c>
      <c r="AB2080" t="s">
        <v>13499</v>
      </c>
      <c r="AC2080" t="s">
        <v>13500</v>
      </c>
      <c r="AD2080" s="249" t="str">
        <f>HYPERLINK("https://scontent.cdninstagram.com/t51.2885-15/s320x320/e35/c236.0.608.608/20986899_190414158164827_6376656825323880448_n.jpg")</f>
        <v>https://scontent.cdninstagram.com/t51.2885-15/s320x320/e35/c236.0.608.608/20986899_190414158164827_6376656825323880448_n.jpg</v>
      </c>
      <c r="AE2080" s="249" t="str">
        <f>HYPERLINK("https://scontent.cdninstagram.com/t51.2885-19/11253663_927869027286757_1479617560_a.jpg")</f>
        <v>https://scontent.cdninstagram.com/t51.2885-19/11253663_927869027286757_1479617560_a.jpg</v>
      </c>
    </row>
    <row r="2081" spans="1:31" ht="15" x14ac:dyDescent="0.25">
      <c r="A2081" t="s">
        <v>2474</v>
      </c>
      <c r="B2081" t="s">
        <v>13501</v>
      </c>
      <c r="C2081" s="221">
        <v>42969.030601851853</v>
      </c>
      <c r="D2081" t="s">
        <v>13502</v>
      </c>
      <c r="E2081" s="249" t="str">
        <f>HYPERLINK("https://www.instagram.com/p/BYFUY6eAYeb/")</f>
        <v>https://www.instagram.com/p/BYFUY6eAYeb/</v>
      </c>
      <c r="F2081" t="s">
        <v>13503</v>
      </c>
      <c r="G2081" t="s">
        <v>2478</v>
      </c>
      <c r="H2081">
        <v>232</v>
      </c>
      <c r="I2081" t="s">
        <v>2510</v>
      </c>
      <c r="J2081">
        <v>2</v>
      </c>
      <c r="K2081">
        <v>23</v>
      </c>
      <c r="L2081">
        <v>25</v>
      </c>
      <c r="Q2081">
        <v>0</v>
      </c>
      <c r="R2081">
        <v>0</v>
      </c>
      <c r="S2081">
        <v>25</v>
      </c>
      <c r="T2081" t="s">
        <v>13504</v>
      </c>
      <c r="V2081" t="s">
        <v>2131</v>
      </c>
      <c r="W2081">
        <v>31.2</v>
      </c>
      <c r="X2081">
        <v>121.5</v>
      </c>
      <c r="Y2081" t="s">
        <v>2497</v>
      </c>
      <c r="Z2081" t="s">
        <v>13505</v>
      </c>
      <c r="AD2081" s="249" t="str">
        <f>HYPERLINK("https://scontent.cdninstagram.com/t51.2885-15/s320x320/e35/c3.0.1074.1074/20987091_1470865929662825_5669524952919834624_n.jpg")</f>
        <v>https://scontent.cdninstagram.com/t51.2885-15/s320x320/e35/c3.0.1074.1074/20987091_1470865929662825_5669524952919834624_n.jpg</v>
      </c>
      <c r="AE2081" s="249" t="str">
        <f>HYPERLINK("https://scontent.cdninstagram.com/t51.2885-19/s150x150/11419100_602331406573355_1787177519_a.jpg")</f>
        <v>https://scontent.cdninstagram.com/t51.2885-19/s150x150/11419100_602331406573355_1787177519_a.jpg</v>
      </c>
    </row>
    <row r="2082" spans="1:31" ht="15" x14ac:dyDescent="0.25">
      <c r="A2082" t="s">
        <v>2474</v>
      </c>
      <c r="B2082" t="s">
        <v>13506</v>
      </c>
      <c r="C2082" s="221">
        <v>42969.035624999997</v>
      </c>
      <c r="D2082" t="s">
        <v>13507</v>
      </c>
      <c r="E2082" s="249" t="str">
        <f>HYPERLINK("https://www.instagram.com/p/BYFVNzYFSTo/")</f>
        <v>https://www.instagram.com/p/BYFVNzYFSTo/</v>
      </c>
      <c r="F2082" t="s">
        <v>13508</v>
      </c>
      <c r="G2082" t="s">
        <v>2478</v>
      </c>
      <c r="H2082">
        <v>442</v>
      </c>
      <c r="I2082" t="s">
        <v>2479</v>
      </c>
      <c r="J2082">
        <v>8</v>
      </c>
      <c r="K2082">
        <v>90</v>
      </c>
      <c r="L2082">
        <v>98</v>
      </c>
      <c r="Q2082">
        <v>0</v>
      </c>
      <c r="R2082">
        <v>0</v>
      </c>
      <c r="S2082">
        <v>98</v>
      </c>
      <c r="T2082" t="s">
        <v>13509</v>
      </c>
      <c r="V2082" t="s">
        <v>2263</v>
      </c>
      <c r="W2082">
        <v>-26.09065</v>
      </c>
      <c r="X2082">
        <v>28.245519999999999</v>
      </c>
      <c r="Y2082" t="s">
        <v>13510</v>
      </c>
      <c r="Z2082" t="s">
        <v>3070</v>
      </c>
      <c r="AA2082" t="s">
        <v>3660</v>
      </c>
      <c r="AB2082" t="s">
        <v>13511</v>
      </c>
      <c r="AC2082" t="s">
        <v>2497</v>
      </c>
      <c r="AD2082" s="249" t="str">
        <f>HYPERLINK("https://scontent.cdninstagram.com/t51.2885-15/s320x320/e35/20969283_1657859097566520_3087500728936169472_n.jpg")</f>
        <v>https://scontent.cdninstagram.com/t51.2885-15/s320x320/e35/20969283_1657859097566520_3087500728936169472_n.jpg</v>
      </c>
      <c r="AE2082" s="249" t="str">
        <f>HYPERLINK("https://scontent.cdninstagram.com/t51.2885-19/s150x150/20635394_1699043280403780_7342215222070870016_a.jpg")</f>
        <v>https://scontent.cdninstagram.com/t51.2885-19/s150x150/20635394_1699043280403780_7342215222070870016_a.jpg</v>
      </c>
    </row>
    <row r="2083" spans="1:31" ht="15" x14ac:dyDescent="0.25">
      <c r="A2083" t="s">
        <v>2474</v>
      </c>
      <c r="B2083" t="s">
        <v>13512</v>
      </c>
      <c r="C2083" s="221">
        <v>42969.04446759259</v>
      </c>
      <c r="D2083" t="s">
        <v>13513</v>
      </c>
      <c r="E2083" s="249" t="str">
        <f>HYPERLINK("https://www.instagram.com/p/BYFWrKchJyi/")</f>
        <v>https://www.instagram.com/p/BYFWrKchJyi/</v>
      </c>
      <c r="F2083" t="s">
        <v>13514</v>
      </c>
      <c r="G2083" t="s">
        <v>2631</v>
      </c>
      <c r="H2083">
        <v>521</v>
      </c>
      <c r="I2083" t="s">
        <v>2479</v>
      </c>
      <c r="J2083">
        <v>0</v>
      </c>
      <c r="K2083">
        <v>26</v>
      </c>
      <c r="L2083">
        <v>26</v>
      </c>
      <c r="Q2083">
        <v>0</v>
      </c>
      <c r="R2083">
        <v>0</v>
      </c>
      <c r="S2083">
        <v>26</v>
      </c>
      <c r="Y2083" t="s">
        <v>13515</v>
      </c>
      <c r="Z2083" t="s">
        <v>13516</v>
      </c>
      <c r="AA2083" t="s">
        <v>3671</v>
      </c>
      <c r="AB2083" t="s">
        <v>13517</v>
      </c>
      <c r="AC2083" t="s">
        <v>7068</v>
      </c>
      <c r="AD2083" s="249" t="str">
        <f>HYPERLINK("https://scontent.cdninstagram.com/t51.2885-15/s320x320/e15/20905550_131070837511482_831035811968319488_n.jpg")</f>
        <v>https://scontent.cdninstagram.com/t51.2885-15/s320x320/e15/20905550_131070837511482_831035811968319488_n.jpg</v>
      </c>
      <c r="AE2083" s="249" t="str">
        <f>HYPERLINK("https://scontent.cdninstagram.com/t51.2885-19/11256386_885012261545281_296538076_a.jpg")</f>
        <v>https://scontent.cdninstagram.com/t51.2885-19/11256386_885012261545281_296538076_a.jpg</v>
      </c>
    </row>
    <row r="2084" spans="1:31" ht="15" x14ac:dyDescent="0.25">
      <c r="A2084" t="s">
        <v>2474</v>
      </c>
      <c r="B2084" t="s">
        <v>13518</v>
      </c>
      <c r="C2084" s="221">
        <v>42969.057962962965</v>
      </c>
      <c r="D2084" t="s">
        <v>13519</v>
      </c>
      <c r="E2084" s="249" t="str">
        <f>HYPERLINK("https://www.instagram.com/p/BYFY5ZvAJO-/")</f>
        <v>https://www.instagram.com/p/BYFY5ZvAJO-/</v>
      </c>
      <c r="F2084" t="s">
        <v>13520</v>
      </c>
      <c r="G2084" t="s">
        <v>2478</v>
      </c>
      <c r="H2084">
        <v>3066</v>
      </c>
      <c r="I2084" t="s">
        <v>2479</v>
      </c>
      <c r="J2084">
        <v>14</v>
      </c>
      <c r="K2084">
        <v>187</v>
      </c>
      <c r="L2084">
        <v>201</v>
      </c>
      <c r="Q2084">
        <v>0</v>
      </c>
      <c r="R2084">
        <v>0</v>
      </c>
      <c r="S2084">
        <v>201</v>
      </c>
      <c r="T2084" t="s">
        <v>13521</v>
      </c>
      <c r="U2084" t="s">
        <v>97</v>
      </c>
      <c r="V2084" t="s">
        <v>2299</v>
      </c>
      <c r="W2084">
        <v>34.087899999999998</v>
      </c>
      <c r="X2084">
        <v>-118.372</v>
      </c>
      <c r="Y2084" t="s">
        <v>12569</v>
      </c>
      <c r="Z2084" t="s">
        <v>2651</v>
      </c>
      <c r="AA2084" t="s">
        <v>3262</v>
      </c>
      <c r="AB2084" t="s">
        <v>9091</v>
      </c>
      <c r="AC2084" t="s">
        <v>3344</v>
      </c>
      <c r="AD2084" s="249" t="str">
        <f>HYPERLINK("https://scontent.cdninstagram.com/t51.2885-15/s320x320/e35/20986770_781659275346714_9182178790770475008_n.jpg")</f>
        <v>https://scontent.cdninstagram.com/t51.2885-15/s320x320/e35/20986770_781659275346714_9182178790770475008_n.jpg</v>
      </c>
      <c r="AE2084" s="249" t="str">
        <f>HYPERLINK("https://scontent.cdninstagram.com/t51.2885-19/s150x150/20904978_121568151836870_955833864939372544_a.jpg")</f>
        <v>https://scontent.cdninstagram.com/t51.2885-19/s150x150/20904978_121568151836870_955833864939372544_a.jpg</v>
      </c>
    </row>
    <row r="2085" spans="1:31" ht="15" x14ac:dyDescent="0.25">
      <c r="A2085" t="s">
        <v>2474</v>
      </c>
      <c r="B2085" t="s">
        <v>2644</v>
      </c>
      <c r="C2085" s="221">
        <v>42969.071064814816</v>
      </c>
      <c r="D2085" t="s">
        <v>13522</v>
      </c>
      <c r="E2085" s="249" t="str">
        <f>HYPERLINK("https://www.instagram.com/p/BYFbDrlgEGF/")</f>
        <v>https://www.instagram.com/p/BYFbDrlgEGF/</v>
      </c>
      <c r="F2085" t="s">
        <v>13523</v>
      </c>
      <c r="G2085" t="s">
        <v>2478</v>
      </c>
      <c r="H2085">
        <v>1743</v>
      </c>
      <c r="I2085" t="s">
        <v>2479</v>
      </c>
      <c r="J2085">
        <v>2</v>
      </c>
      <c r="K2085">
        <v>94</v>
      </c>
      <c r="L2085">
        <v>96</v>
      </c>
      <c r="Q2085">
        <v>0</v>
      </c>
      <c r="R2085">
        <v>0</v>
      </c>
      <c r="S2085">
        <v>96</v>
      </c>
      <c r="T2085" t="s">
        <v>9211</v>
      </c>
      <c r="V2085" t="s">
        <v>2648</v>
      </c>
      <c r="W2085">
        <v>54.782777777778001</v>
      </c>
      <c r="X2085">
        <v>32.045277777777997</v>
      </c>
      <c r="Y2085" t="s">
        <v>3075</v>
      </c>
      <c r="Z2085" t="s">
        <v>13524</v>
      </c>
      <c r="AA2085" t="s">
        <v>13525</v>
      </c>
      <c r="AB2085" t="s">
        <v>3621</v>
      </c>
      <c r="AC2085" t="s">
        <v>13526</v>
      </c>
      <c r="AD2085" s="249" t="str">
        <f>HYPERLINK("https://scontent.cdninstagram.com/t51.2885-15/s320x320/e35/20968601_132115050740061_2075931270965100544_n.jpg")</f>
        <v>https://scontent.cdninstagram.com/t51.2885-15/s320x320/e35/20968601_132115050740061_2075931270965100544_n.jpg</v>
      </c>
      <c r="AE2085" s="249" t="str">
        <f>HYPERLINK("https://scontent.cdninstagram.com/t51.2885-19/11372086_1598451257062069_1320225693_a.jpg")</f>
        <v>https://scontent.cdninstagram.com/t51.2885-19/11372086_1598451257062069_1320225693_a.jpg</v>
      </c>
    </row>
    <row r="2086" spans="1:31" ht="15" x14ac:dyDescent="0.25">
      <c r="A2086" t="s">
        <v>2474</v>
      </c>
      <c r="B2086" t="s">
        <v>11503</v>
      </c>
      <c r="C2086" s="221">
        <v>42969.076261574075</v>
      </c>
      <c r="D2086" t="s">
        <v>13527</v>
      </c>
      <c r="E2086" s="249" t="str">
        <f>HYPERLINK("https://www.instagram.com/p/BYFb6eqAcCq/")</f>
        <v>https://www.instagram.com/p/BYFb6eqAcCq/</v>
      </c>
      <c r="F2086" t="s">
        <v>13528</v>
      </c>
      <c r="G2086" t="s">
        <v>2488</v>
      </c>
      <c r="H2086">
        <v>374</v>
      </c>
      <c r="I2086" t="s">
        <v>2479</v>
      </c>
      <c r="J2086">
        <v>8</v>
      </c>
      <c r="K2086">
        <v>43</v>
      </c>
      <c r="L2086">
        <v>51</v>
      </c>
      <c r="Q2086">
        <v>0</v>
      </c>
      <c r="R2086">
        <v>0</v>
      </c>
      <c r="S2086">
        <v>51</v>
      </c>
      <c r="T2086" t="s">
        <v>11506</v>
      </c>
      <c r="V2086" t="s">
        <v>2225</v>
      </c>
      <c r="W2086">
        <v>-36.916699999999999</v>
      </c>
      <c r="X2086">
        <v>174.65</v>
      </c>
      <c r="Y2086" t="s">
        <v>13529</v>
      </c>
      <c r="Z2086" t="s">
        <v>2575</v>
      </c>
      <c r="AA2086" t="s">
        <v>13530</v>
      </c>
      <c r="AD2086" s="249" t="str">
        <f>HYPERLINK("https://scontent.cdninstagram.com/t51.2885-15/s320x320/e35/20987600_1493790350714370_7112558063713779712_n.jpg")</f>
        <v>https://scontent.cdninstagram.com/t51.2885-15/s320x320/e35/20987600_1493790350714370_7112558063713779712_n.jpg</v>
      </c>
      <c r="AE2086" s="249" t="str">
        <f>HYPERLINK("https://scontent.cdninstagram.com/t51.2885-19/s150x150/15802750_195109014292066_160430944199639040_a.jpg")</f>
        <v>https://scontent.cdninstagram.com/t51.2885-19/s150x150/15802750_195109014292066_160430944199639040_a.jpg</v>
      </c>
    </row>
    <row r="2087" spans="1:31" ht="15" x14ac:dyDescent="0.25">
      <c r="A2087" t="s">
        <v>2474</v>
      </c>
      <c r="B2087" t="s">
        <v>13531</v>
      </c>
      <c r="C2087" s="221">
        <v>42969.079386574071</v>
      </c>
      <c r="D2087" t="s">
        <v>13532</v>
      </c>
      <c r="E2087" s="249" t="str">
        <f>HYPERLINK("https://www.instagram.com/p/BYFcbbBD0UU/")</f>
        <v>https://www.instagram.com/p/BYFcbbBD0UU/</v>
      </c>
      <c r="F2087" t="s">
        <v>13533</v>
      </c>
      <c r="G2087" t="s">
        <v>2478</v>
      </c>
      <c r="H2087">
        <v>177</v>
      </c>
      <c r="I2087" t="s">
        <v>2479</v>
      </c>
      <c r="J2087">
        <v>2</v>
      </c>
      <c r="K2087">
        <v>52</v>
      </c>
      <c r="L2087">
        <v>54</v>
      </c>
      <c r="Q2087">
        <v>0</v>
      </c>
      <c r="R2087">
        <v>0</v>
      </c>
      <c r="S2087">
        <v>54</v>
      </c>
      <c r="Y2087" t="s">
        <v>13534</v>
      </c>
      <c r="Z2087" t="s">
        <v>13535</v>
      </c>
      <c r="AA2087" t="s">
        <v>9483</v>
      </c>
      <c r="AB2087" t="s">
        <v>13536</v>
      </c>
      <c r="AC2087" t="s">
        <v>13236</v>
      </c>
      <c r="AD2087" s="249" t="str">
        <f>HYPERLINK("https://scontent.cdninstagram.com/t51.2885-15/s320x320/e35/20905381_1750073575038119_2149227082599628800_n.jpg")</f>
        <v>https://scontent.cdninstagram.com/t51.2885-15/s320x320/e35/20905381_1750073575038119_2149227082599628800_n.jpg</v>
      </c>
      <c r="AE2087" s="249" t="str">
        <f>HYPERLINK("https://scontent.cdninstagram.com/t51.2885-19/11272124_396799533838624_2060075012_a.jpg")</f>
        <v>https://scontent.cdninstagram.com/t51.2885-19/11272124_396799533838624_2060075012_a.jpg</v>
      </c>
    </row>
    <row r="2088" spans="1:31" ht="15" x14ac:dyDescent="0.25">
      <c r="A2088" t="s">
        <v>2474</v>
      </c>
      <c r="B2088" t="s">
        <v>13537</v>
      </c>
      <c r="C2088" s="221">
        <v>42969.083148148151</v>
      </c>
      <c r="D2088" t="s">
        <v>13538</v>
      </c>
      <c r="E2088" s="249" t="str">
        <f>HYPERLINK("https://www.instagram.com/p/BYFdDDzgjre/")</f>
        <v>https://www.instagram.com/p/BYFdDDzgjre/</v>
      </c>
      <c r="F2088" t="s">
        <v>13539</v>
      </c>
      <c r="G2088" t="s">
        <v>2478</v>
      </c>
      <c r="H2088">
        <v>125</v>
      </c>
      <c r="I2088" t="s">
        <v>3170</v>
      </c>
      <c r="J2088">
        <v>0</v>
      </c>
      <c r="K2088">
        <v>18</v>
      </c>
      <c r="L2088">
        <v>18</v>
      </c>
      <c r="Q2088">
        <v>0</v>
      </c>
      <c r="R2088">
        <v>0</v>
      </c>
      <c r="S2088">
        <v>18</v>
      </c>
      <c r="Y2088" t="s">
        <v>2497</v>
      </c>
      <c r="Z2088" t="s">
        <v>13540</v>
      </c>
      <c r="AA2088" t="s">
        <v>13541</v>
      </c>
      <c r="AB2088" t="s">
        <v>7564</v>
      </c>
      <c r="AD2088" s="249" t="str">
        <f>HYPERLINK("https://scontent.cdninstagram.com/t51.2885-15/s320x320/e35/20905383_266562167196111_6011750017239351296_n.jpg")</f>
        <v>https://scontent.cdninstagram.com/t51.2885-15/s320x320/e35/20905383_266562167196111_6011750017239351296_n.jpg</v>
      </c>
      <c r="AE2088" s="249" t="str">
        <f>HYPERLINK("https://scontent.cdninstagram.com/t51.2885-19/s150x150/18160870_292126304575855_1987197452788170752_a.jpg")</f>
        <v>https://scontent.cdninstagram.com/t51.2885-19/s150x150/18160870_292126304575855_1987197452788170752_a.jpg</v>
      </c>
    </row>
    <row r="2089" spans="1:31" ht="15" x14ac:dyDescent="0.25">
      <c r="A2089" t="s">
        <v>2474</v>
      </c>
      <c r="B2089" t="s">
        <v>13542</v>
      </c>
      <c r="C2089" s="221">
        <v>42969.108900462961</v>
      </c>
      <c r="D2089" t="s">
        <v>13543</v>
      </c>
      <c r="E2089" s="249" t="str">
        <f>HYPERLINK("https://www.instagram.com/p/BYFhSvHB595/")</f>
        <v>https://www.instagram.com/p/BYFhSvHB595/</v>
      </c>
      <c r="F2089" t="s">
        <v>13544</v>
      </c>
      <c r="G2089" t="s">
        <v>2478</v>
      </c>
      <c r="H2089">
        <v>496</v>
      </c>
      <c r="I2089" t="s">
        <v>2748</v>
      </c>
      <c r="J2089">
        <v>1</v>
      </c>
      <c r="K2089">
        <v>24</v>
      </c>
      <c r="L2089">
        <v>25</v>
      </c>
      <c r="Q2089">
        <v>0</v>
      </c>
      <c r="R2089">
        <v>0</v>
      </c>
      <c r="S2089">
        <v>25</v>
      </c>
      <c r="Y2089" t="s">
        <v>13545</v>
      </c>
      <c r="Z2089" t="s">
        <v>13546</v>
      </c>
      <c r="AA2089" t="s">
        <v>13547</v>
      </c>
      <c r="AB2089" t="s">
        <v>3262</v>
      </c>
      <c r="AC2089" t="s">
        <v>12748</v>
      </c>
      <c r="AD2089" s="249" t="str">
        <f>HYPERLINK("https://scontent.cdninstagram.com/t51.2885-15/s320x320/e35/20905600_289719541495842_437103413033959424_n.jpg")</f>
        <v>https://scontent.cdninstagram.com/t51.2885-15/s320x320/e35/20905600_289719541495842_437103413033959424_n.jpg</v>
      </c>
      <c r="AE2089" s="249" t="str">
        <f>HYPERLINK("https://scontent.cdninstagram.com/t51.2885-19/s150x150/20633904_468121200220982_8401722025508339712_a.jpg")</f>
        <v>https://scontent.cdninstagram.com/t51.2885-19/s150x150/20633904_468121200220982_8401722025508339712_a.jpg</v>
      </c>
    </row>
    <row r="2090" spans="1:31" ht="15" x14ac:dyDescent="0.25">
      <c r="A2090" t="s">
        <v>2474</v>
      </c>
      <c r="B2090" t="s">
        <v>13548</v>
      </c>
      <c r="C2090" s="221">
        <v>42969.116076388891</v>
      </c>
      <c r="D2090" t="s">
        <v>13549</v>
      </c>
      <c r="E2090" s="249" t="str">
        <f>HYPERLINK("https://www.instagram.com/p/BYFieaIFQOj/")</f>
        <v>https://www.instagram.com/p/BYFieaIFQOj/</v>
      </c>
      <c r="F2090" t="s">
        <v>13550</v>
      </c>
      <c r="G2090" t="s">
        <v>2478</v>
      </c>
      <c r="H2090">
        <v>805</v>
      </c>
      <c r="I2090" t="s">
        <v>2542</v>
      </c>
      <c r="J2090">
        <v>11</v>
      </c>
      <c r="K2090">
        <v>115</v>
      </c>
      <c r="L2090">
        <v>126</v>
      </c>
      <c r="Q2090">
        <v>0</v>
      </c>
      <c r="R2090">
        <v>0</v>
      </c>
      <c r="S2090">
        <v>126</v>
      </c>
      <c r="T2090" t="s">
        <v>13551</v>
      </c>
      <c r="V2090" t="s">
        <v>2264</v>
      </c>
      <c r="W2090">
        <v>36.506780909707999</v>
      </c>
      <c r="X2090">
        <v>-4.8933756631131002</v>
      </c>
      <c r="Y2090" t="s">
        <v>13552</v>
      </c>
      <c r="Z2090" t="s">
        <v>13553</v>
      </c>
      <c r="AA2090" t="s">
        <v>2497</v>
      </c>
      <c r="AB2090" t="s">
        <v>13554</v>
      </c>
      <c r="AC2090" t="s">
        <v>13409</v>
      </c>
      <c r="AD2090" s="249" t="str">
        <f>HYPERLINK("https://scontent.cdninstagram.com/t51.2885-15/s320x320/e35/21042298_111961722828363_8721472767213436928_n.jpg")</f>
        <v>https://scontent.cdninstagram.com/t51.2885-15/s320x320/e35/21042298_111961722828363_8721472767213436928_n.jpg</v>
      </c>
      <c r="AE2090" s="249" t="str">
        <f>HYPERLINK("https://scontent.cdninstagram.com/t51.2885-19/s150x150/18094906_100298160539706_6365471295966019584_a.jpg")</f>
        <v>https://scontent.cdninstagram.com/t51.2885-19/s150x150/18094906_100298160539706_6365471295966019584_a.jpg</v>
      </c>
    </row>
    <row r="2091" spans="1:31" ht="15" x14ac:dyDescent="0.25">
      <c r="A2091" t="s">
        <v>2474</v>
      </c>
      <c r="B2091" t="s">
        <v>13555</v>
      </c>
      <c r="C2091" s="221">
        <v>42969.157129629632</v>
      </c>
      <c r="D2091" t="s">
        <v>13556</v>
      </c>
      <c r="E2091" s="249" t="str">
        <f>HYPERLINK("https://www.instagram.com/p/BYFpPXTldMV/")</f>
        <v>https://www.instagram.com/p/BYFpPXTldMV/</v>
      </c>
      <c r="F2091" t="s">
        <v>13557</v>
      </c>
      <c r="G2091" t="s">
        <v>2478</v>
      </c>
      <c r="I2091" t="s">
        <v>2479</v>
      </c>
      <c r="J2091">
        <v>1</v>
      </c>
      <c r="K2091">
        <v>29</v>
      </c>
      <c r="L2091">
        <v>30</v>
      </c>
      <c r="Q2091">
        <v>0</v>
      </c>
      <c r="R2091">
        <v>0</v>
      </c>
      <c r="S2091">
        <v>30</v>
      </c>
      <c r="Y2091" t="s">
        <v>13558</v>
      </c>
      <c r="Z2091" t="s">
        <v>4557</v>
      </c>
      <c r="AA2091" t="s">
        <v>3095</v>
      </c>
      <c r="AB2091" t="s">
        <v>13559</v>
      </c>
      <c r="AC2091" t="s">
        <v>4833</v>
      </c>
      <c r="AD2091" s="249" t="str">
        <f>HYPERLINK("https://scontent.cdninstagram.com/t51.2885-15/s320x320/e35/20968659_1309156155876831_1743460962138062848_n.jpg")</f>
        <v>https://scontent.cdninstagram.com/t51.2885-15/s320x320/e35/20968659_1309156155876831_1743460962138062848_n.jpg</v>
      </c>
      <c r="AE2091" s="249" t="str">
        <f>HYPERLINK("https://scontent.cdninstagram.com/t51.2885-19/s150x150/20766912_111192002917573_6422491303262552064_a.jpg")</f>
        <v>https://scontent.cdninstagram.com/t51.2885-19/s150x150/20766912_111192002917573_6422491303262552064_a.jpg</v>
      </c>
    </row>
    <row r="2092" spans="1:31" ht="15" x14ac:dyDescent="0.25">
      <c r="A2092" t="s">
        <v>2474</v>
      </c>
      <c r="B2092" t="s">
        <v>2636</v>
      </c>
      <c r="C2092" s="221">
        <v>42969.16196759259</v>
      </c>
      <c r="D2092" t="s">
        <v>13560</v>
      </c>
      <c r="E2092" s="249" t="str">
        <f>HYPERLINK("https://www.instagram.com/p/BYFqCZvHycv/")</f>
        <v>https://www.instagram.com/p/BYFqCZvHycv/</v>
      </c>
      <c r="F2092" t="s">
        <v>13561</v>
      </c>
      <c r="G2092" t="s">
        <v>2478</v>
      </c>
      <c r="H2092">
        <v>319</v>
      </c>
      <c r="I2092" t="s">
        <v>2479</v>
      </c>
      <c r="J2092">
        <v>2</v>
      </c>
      <c r="K2092">
        <v>64</v>
      </c>
      <c r="L2092">
        <v>66</v>
      </c>
      <c r="Q2092">
        <v>0</v>
      </c>
      <c r="R2092">
        <v>0</v>
      </c>
      <c r="S2092">
        <v>66</v>
      </c>
      <c r="Y2092" t="s">
        <v>2641</v>
      </c>
      <c r="Z2092" t="s">
        <v>4666</v>
      </c>
      <c r="AA2092" t="s">
        <v>13562</v>
      </c>
      <c r="AB2092" t="s">
        <v>8031</v>
      </c>
      <c r="AC2092" t="s">
        <v>7039</v>
      </c>
      <c r="AD2092" s="249" t="str">
        <f>HYPERLINK("https://scontent.cdninstagram.com/t51.2885-15/s320x320/e35/20968650_336371793457484_877474106474233856_n.jpg")</f>
        <v>https://scontent.cdninstagram.com/t51.2885-15/s320x320/e35/20968650_336371793457484_877474106474233856_n.jpg</v>
      </c>
      <c r="AE2092" s="249" t="str">
        <f>HYPERLINK("https://scontent.cdninstagram.com/t51.2885-19/s150x150/15802797_1331780626878656_4160680230047973376_a.jpg")</f>
        <v>https://scontent.cdninstagram.com/t51.2885-19/s150x150/15802797_1331780626878656_4160680230047973376_a.jpg</v>
      </c>
    </row>
    <row r="2093" spans="1:31" ht="15" x14ac:dyDescent="0.25">
      <c r="A2093" t="s">
        <v>2474</v>
      </c>
      <c r="B2093" t="s">
        <v>13563</v>
      </c>
      <c r="C2093" s="221">
        <v>42969.167638888888</v>
      </c>
      <c r="D2093" t="s">
        <v>13564</v>
      </c>
      <c r="E2093" s="249" t="str">
        <f>HYPERLINK("https://www.instagram.com/p/BYFq-JCFm-e/")</f>
        <v>https://www.instagram.com/p/BYFq-JCFm-e/</v>
      </c>
      <c r="F2093" t="s">
        <v>13565</v>
      </c>
      <c r="G2093" t="s">
        <v>2478</v>
      </c>
      <c r="H2093">
        <v>397</v>
      </c>
      <c r="I2093" t="s">
        <v>2479</v>
      </c>
      <c r="J2093">
        <v>1</v>
      </c>
      <c r="K2093">
        <v>71</v>
      </c>
      <c r="L2093">
        <v>72</v>
      </c>
      <c r="Q2093">
        <v>0</v>
      </c>
      <c r="R2093">
        <v>0</v>
      </c>
      <c r="S2093">
        <v>72</v>
      </c>
      <c r="Y2093" t="s">
        <v>8367</v>
      </c>
      <c r="Z2093" t="s">
        <v>13566</v>
      </c>
      <c r="AA2093" t="s">
        <v>2737</v>
      </c>
      <c r="AB2093" t="s">
        <v>3655</v>
      </c>
      <c r="AC2093" t="s">
        <v>13567</v>
      </c>
      <c r="AD2093" s="249" t="str">
        <f>HYPERLINK("https://scontent.cdninstagram.com/t51.2885-15/s320x320/e35/20968842_1178072805658232_3112280813333381120_n.jpg")</f>
        <v>https://scontent.cdninstagram.com/t51.2885-15/s320x320/e35/20968842_1178072805658232_3112280813333381120_n.jpg</v>
      </c>
      <c r="AE2093" s="249" t="str">
        <f>HYPERLINK("https://scontent.cdninstagram.com/t51.2885-19/s150x150/19428976_263809690768037_6352315300037263360_a.jpg")</f>
        <v>https://scontent.cdninstagram.com/t51.2885-19/s150x150/19428976_263809690768037_6352315300037263360_a.jpg</v>
      </c>
    </row>
    <row r="2094" spans="1:31" ht="15" x14ac:dyDescent="0.25">
      <c r="A2094" t="s">
        <v>2474</v>
      </c>
      <c r="B2094" t="s">
        <v>13568</v>
      </c>
      <c r="C2094" s="221">
        <v>42969.170775462961</v>
      </c>
      <c r="D2094" t="s">
        <v>13569</v>
      </c>
      <c r="E2094" s="249" t="str">
        <f>HYPERLINK("https://www.instagram.com/p/BYFrfSPBEMf/")</f>
        <v>https://www.instagram.com/p/BYFrfSPBEMf/</v>
      </c>
      <c r="F2094" t="s">
        <v>13570</v>
      </c>
      <c r="G2094" t="s">
        <v>2478</v>
      </c>
      <c r="H2094">
        <v>5265</v>
      </c>
      <c r="I2094" t="s">
        <v>2479</v>
      </c>
      <c r="J2094">
        <v>0</v>
      </c>
      <c r="K2094">
        <v>619</v>
      </c>
      <c r="L2094">
        <v>619</v>
      </c>
      <c r="Q2094">
        <v>0</v>
      </c>
      <c r="R2094">
        <v>0</v>
      </c>
      <c r="S2094">
        <v>619</v>
      </c>
      <c r="Y2094" t="s">
        <v>13571</v>
      </c>
      <c r="Z2094" t="s">
        <v>13572</v>
      </c>
      <c r="AA2094" t="s">
        <v>13573</v>
      </c>
      <c r="AB2094" t="s">
        <v>13574</v>
      </c>
      <c r="AC2094" t="s">
        <v>4879</v>
      </c>
      <c r="AD2094" s="249" t="str">
        <f>HYPERLINK("https://scontent.cdninstagram.com/t51.2885-15/s320x320/e35/20905769_219444555252846_5223742781075226624_n.jpg")</f>
        <v>https://scontent.cdninstagram.com/t51.2885-15/s320x320/e35/20905769_219444555252846_5223742781075226624_n.jpg</v>
      </c>
      <c r="AE2094" s="249" t="str">
        <f>HYPERLINK("https://scontent.cdninstagram.com/t51.2885-19/s150x150/14693833_314183225626972_4757115152963207168_a.jpg")</f>
        <v>https://scontent.cdninstagram.com/t51.2885-19/s150x150/14693833_314183225626972_4757115152963207168_a.jpg</v>
      </c>
    </row>
    <row r="2095" spans="1:31" ht="15" x14ac:dyDescent="0.25">
      <c r="A2095" t="s">
        <v>2474</v>
      </c>
      <c r="B2095" t="s">
        <v>13575</v>
      </c>
      <c r="C2095" s="221">
        <v>42969.172627314816</v>
      </c>
      <c r="D2095" t="s">
        <v>13576</v>
      </c>
      <c r="E2095" s="249" t="str">
        <f>HYPERLINK("https://www.instagram.com/p/BYFrywDhtq9/")</f>
        <v>https://www.instagram.com/p/BYFrywDhtq9/</v>
      </c>
      <c r="F2095" t="s">
        <v>13577</v>
      </c>
      <c r="G2095" t="s">
        <v>2478</v>
      </c>
      <c r="H2095">
        <v>758</v>
      </c>
      <c r="I2095" t="s">
        <v>2582</v>
      </c>
      <c r="J2095">
        <v>1</v>
      </c>
      <c r="K2095">
        <v>14</v>
      </c>
      <c r="L2095">
        <v>15</v>
      </c>
      <c r="Q2095">
        <v>0</v>
      </c>
      <c r="R2095">
        <v>0</v>
      </c>
      <c r="S2095">
        <v>15</v>
      </c>
      <c r="Y2095" t="s">
        <v>13578</v>
      </c>
      <c r="Z2095" t="s">
        <v>3262</v>
      </c>
      <c r="AA2095" t="s">
        <v>2728</v>
      </c>
      <c r="AB2095" t="s">
        <v>2735</v>
      </c>
      <c r="AC2095" t="s">
        <v>13579</v>
      </c>
      <c r="AD2095" s="249" t="str">
        <f>HYPERLINK("https://scontent.cdninstagram.com/t51.2885-15/s320x320/e35/20968887_165691977338786_4915312392046379008_n.jpg")</f>
        <v>https://scontent.cdninstagram.com/t51.2885-15/s320x320/e35/20968887_165691977338786_4915312392046379008_n.jpg</v>
      </c>
      <c r="AE2095" s="249" t="str">
        <f>HYPERLINK("https://scontent.cdninstagram.com/t51.2885-19/s150x150/20905198_267353930445279_6312887723598282752_a.jpg")</f>
        <v>https://scontent.cdninstagram.com/t51.2885-19/s150x150/20905198_267353930445279_6312887723598282752_a.jpg</v>
      </c>
    </row>
    <row r="2096" spans="1:31" ht="15" x14ac:dyDescent="0.25">
      <c r="A2096" t="s">
        <v>2474</v>
      </c>
      <c r="B2096" t="s">
        <v>13580</v>
      </c>
      <c r="C2096" s="221">
        <v>42969.173125000001</v>
      </c>
      <c r="D2096" t="s">
        <v>13581</v>
      </c>
      <c r="E2096" s="249" t="str">
        <f>HYPERLINK("https://www.instagram.com/p/BYFr4HUjOK9/")</f>
        <v>https://www.instagram.com/p/BYFr4HUjOK9/</v>
      </c>
      <c r="F2096" t="s">
        <v>13582</v>
      </c>
      <c r="G2096" t="s">
        <v>2478</v>
      </c>
      <c r="H2096">
        <v>182</v>
      </c>
      <c r="I2096" t="s">
        <v>2542</v>
      </c>
      <c r="J2096">
        <v>0</v>
      </c>
      <c r="K2096">
        <v>28</v>
      </c>
      <c r="L2096">
        <v>28</v>
      </c>
      <c r="Q2096">
        <v>0</v>
      </c>
      <c r="R2096">
        <v>0</v>
      </c>
      <c r="S2096">
        <v>28</v>
      </c>
      <c r="Y2096" t="s">
        <v>2497</v>
      </c>
      <c r="Z2096" t="s">
        <v>2968</v>
      </c>
      <c r="AA2096" t="s">
        <v>8753</v>
      </c>
      <c r="AB2096" t="s">
        <v>6843</v>
      </c>
      <c r="AC2096" t="s">
        <v>10101</v>
      </c>
      <c r="AD2096" s="249" t="str">
        <f>HYPERLINK("https://scontent.cdninstagram.com/t51.2885-15/s320x320/e35/20986957_350722632023780_7184402717568139264_n.jpg")</f>
        <v>https://scontent.cdninstagram.com/t51.2885-15/s320x320/e35/20986957_350722632023780_7184402717568139264_n.jpg</v>
      </c>
      <c r="AE2096" s="249" t="str">
        <f>HYPERLINK("https://scontent.cdninstagram.com/t51.2885-19/s150x150/14026560_334941486843632_1644773945_a.jpg")</f>
        <v>https://scontent.cdninstagram.com/t51.2885-19/s150x150/14026560_334941486843632_1644773945_a.jpg</v>
      </c>
    </row>
    <row r="2097" spans="1:31" ht="15" x14ac:dyDescent="0.25">
      <c r="A2097" t="s">
        <v>2474</v>
      </c>
      <c r="B2097" t="s">
        <v>13580</v>
      </c>
      <c r="C2097" s="221">
        <v>42969.173981481479</v>
      </c>
      <c r="D2097" t="s">
        <v>13583</v>
      </c>
      <c r="E2097" s="249" t="str">
        <f>HYPERLINK("https://www.instagram.com/p/BYFsBGDjJfi/")</f>
        <v>https://www.instagram.com/p/BYFsBGDjJfi/</v>
      </c>
      <c r="F2097" t="s">
        <v>13582</v>
      </c>
      <c r="G2097" t="s">
        <v>2478</v>
      </c>
      <c r="H2097">
        <v>182</v>
      </c>
      <c r="I2097" t="s">
        <v>2542</v>
      </c>
      <c r="J2097">
        <v>0</v>
      </c>
      <c r="K2097">
        <v>10</v>
      </c>
      <c r="L2097">
        <v>10</v>
      </c>
      <c r="Q2097">
        <v>0</v>
      </c>
      <c r="R2097">
        <v>0</v>
      </c>
      <c r="S2097">
        <v>10</v>
      </c>
      <c r="Y2097" t="s">
        <v>2497</v>
      </c>
      <c r="Z2097" t="s">
        <v>2968</v>
      </c>
      <c r="AA2097" t="s">
        <v>8753</v>
      </c>
      <c r="AB2097" t="s">
        <v>6843</v>
      </c>
      <c r="AC2097" t="s">
        <v>10101</v>
      </c>
      <c r="AD2097" s="249" t="str">
        <f>HYPERLINK("https://scontent.cdninstagram.com/t51.2885-15/s320x320/e35/21041350_128314607793012_7648026269459677184_n.jpg")</f>
        <v>https://scontent.cdninstagram.com/t51.2885-15/s320x320/e35/21041350_128314607793012_7648026269459677184_n.jpg</v>
      </c>
      <c r="AE2097" s="249" t="str">
        <f>HYPERLINK("https://scontent.cdninstagram.com/t51.2885-19/s150x150/14026560_334941486843632_1644773945_a.jpg")</f>
        <v>https://scontent.cdninstagram.com/t51.2885-19/s150x150/14026560_334941486843632_1644773945_a.jpg</v>
      </c>
    </row>
    <row r="2098" spans="1:31" ht="15" x14ac:dyDescent="0.25">
      <c r="A2098" t="s">
        <v>2474</v>
      </c>
      <c r="B2098" t="s">
        <v>13580</v>
      </c>
      <c r="C2098" s="221">
        <v>42969.175324074073</v>
      </c>
      <c r="D2098" t="s">
        <v>13584</v>
      </c>
      <c r="E2098" s="249" t="str">
        <f>HYPERLINK("https://www.instagram.com/p/BYFsPMWjloi/")</f>
        <v>https://www.instagram.com/p/BYFsPMWjloi/</v>
      </c>
      <c r="F2098" t="s">
        <v>13582</v>
      </c>
      <c r="G2098" t="s">
        <v>2478</v>
      </c>
      <c r="H2098">
        <v>182</v>
      </c>
      <c r="I2098" t="s">
        <v>2542</v>
      </c>
      <c r="J2098">
        <v>0</v>
      </c>
      <c r="K2098">
        <v>11</v>
      </c>
      <c r="L2098">
        <v>11</v>
      </c>
      <c r="Q2098">
        <v>0</v>
      </c>
      <c r="R2098">
        <v>0</v>
      </c>
      <c r="S2098">
        <v>11</v>
      </c>
      <c r="Y2098" t="s">
        <v>2497</v>
      </c>
      <c r="Z2098" t="s">
        <v>2968</v>
      </c>
      <c r="AA2098" t="s">
        <v>8753</v>
      </c>
      <c r="AB2098" t="s">
        <v>6843</v>
      </c>
      <c r="AC2098" t="s">
        <v>10101</v>
      </c>
      <c r="AD2098" s="249" t="str">
        <f>HYPERLINK("https://scontent.cdninstagram.com/t51.2885-15/s320x320/e35/20968692_273282943076620_3733777063694303232_n.jpg")</f>
        <v>https://scontent.cdninstagram.com/t51.2885-15/s320x320/e35/20968692_273282943076620_3733777063694303232_n.jpg</v>
      </c>
      <c r="AE2098" s="249" t="str">
        <f>HYPERLINK("https://scontent.cdninstagram.com/t51.2885-19/s150x150/14026560_334941486843632_1644773945_a.jpg")</f>
        <v>https://scontent.cdninstagram.com/t51.2885-19/s150x150/14026560_334941486843632_1644773945_a.jpg</v>
      </c>
    </row>
    <row r="2099" spans="1:31" ht="15" x14ac:dyDescent="0.25">
      <c r="A2099" t="s">
        <v>2474</v>
      </c>
      <c r="B2099" t="s">
        <v>13585</v>
      </c>
      <c r="C2099" s="221">
        <v>42969.181967592594</v>
      </c>
      <c r="D2099" t="s">
        <v>13586</v>
      </c>
      <c r="E2099" s="249" t="str">
        <f>HYPERLINK("https://www.instagram.com/p/BYFtVUngajs/")</f>
        <v>https://www.instagram.com/p/BYFtVUngajs/</v>
      </c>
      <c r="F2099" t="s">
        <v>13587</v>
      </c>
      <c r="G2099" t="s">
        <v>2478</v>
      </c>
      <c r="H2099">
        <v>1246</v>
      </c>
      <c r="I2099" t="s">
        <v>2542</v>
      </c>
      <c r="J2099">
        <v>3</v>
      </c>
      <c r="K2099">
        <v>68</v>
      </c>
      <c r="L2099">
        <v>71</v>
      </c>
      <c r="Q2099">
        <v>0</v>
      </c>
      <c r="R2099">
        <v>0</v>
      </c>
      <c r="S2099">
        <v>71</v>
      </c>
      <c r="T2099" t="s">
        <v>13588</v>
      </c>
      <c r="V2099" t="s">
        <v>2238</v>
      </c>
      <c r="W2099">
        <v>14.464955</v>
      </c>
      <c r="X2099">
        <v>121.0056594</v>
      </c>
      <c r="Y2099" t="s">
        <v>5591</v>
      </c>
      <c r="Z2099" t="s">
        <v>2497</v>
      </c>
      <c r="AA2099" t="s">
        <v>13589</v>
      </c>
      <c r="AB2099" t="s">
        <v>7830</v>
      </c>
      <c r="AC2099" t="s">
        <v>13590</v>
      </c>
      <c r="AD2099" s="249" t="str">
        <f>HYPERLINK("https://scontent.cdninstagram.com/t51.2885-15/s320x320/e35/c0.96.1080.1080/20987424_1812425512402609_1225608302763704320_n.jpg")</f>
        <v>https://scontent.cdninstagram.com/t51.2885-15/s320x320/e35/c0.96.1080.1080/20987424_1812425512402609_1225608302763704320_n.jpg</v>
      </c>
      <c r="AE2099" s="249" t="str">
        <f>HYPERLINK("https://scontent.cdninstagram.com/t51.2885-19/s150x150/12907153_1028563867198262_654235410_a.jpg")</f>
        <v>https://scontent.cdninstagram.com/t51.2885-19/s150x150/12907153_1028563867198262_654235410_a.jpg</v>
      </c>
    </row>
    <row r="2100" spans="1:31" ht="15" x14ac:dyDescent="0.25">
      <c r="A2100" t="s">
        <v>2474</v>
      </c>
      <c r="B2100" t="s">
        <v>13591</v>
      </c>
      <c r="C2100" s="221">
        <v>42969.182870370372</v>
      </c>
      <c r="D2100" t="s">
        <v>13592</v>
      </c>
      <c r="E2100" s="249" t="str">
        <f>HYPERLINK("https://www.instagram.com/p/BYFte2VA-ac/")</f>
        <v>https://www.instagram.com/p/BYFte2VA-ac/</v>
      </c>
      <c r="F2100" t="s">
        <v>13593</v>
      </c>
      <c r="G2100" t="s">
        <v>2478</v>
      </c>
      <c r="H2100">
        <v>848</v>
      </c>
      <c r="I2100" t="s">
        <v>2479</v>
      </c>
      <c r="J2100">
        <v>1</v>
      </c>
      <c r="K2100">
        <v>47</v>
      </c>
      <c r="L2100">
        <v>48</v>
      </c>
      <c r="Q2100">
        <v>0</v>
      </c>
      <c r="R2100">
        <v>0</v>
      </c>
      <c r="S2100">
        <v>48</v>
      </c>
      <c r="Y2100" t="s">
        <v>13594</v>
      </c>
      <c r="Z2100" t="s">
        <v>2497</v>
      </c>
      <c r="AA2100" t="s">
        <v>3205</v>
      </c>
      <c r="AB2100" t="s">
        <v>13595</v>
      </c>
      <c r="AC2100" t="s">
        <v>13596</v>
      </c>
      <c r="AD2100" s="249" t="str">
        <f>HYPERLINK("https://scontent.cdninstagram.com/t51.2885-15/s320x320/e35/c54.0.927.927/20987006_263950817427319_4929140060730687488_n.jpg")</f>
        <v>https://scontent.cdninstagram.com/t51.2885-15/s320x320/e35/c54.0.927.927/20987006_263950817427319_4929140060730687488_n.jpg</v>
      </c>
      <c r="AE2100" s="249" t="str">
        <f>HYPERLINK("https://scontent.cdninstagram.com/t51.2885-19/s150x150/20226070_340437706390900_2423366134909632512_a.jpg")</f>
        <v>https://scontent.cdninstagram.com/t51.2885-19/s150x150/20226070_340437706390900_2423366134909632512_a.jpg</v>
      </c>
    </row>
    <row r="2101" spans="1:31" ht="15" x14ac:dyDescent="0.25">
      <c r="A2101" t="s">
        <v>2474</v>
      </c>
      <c r="B2101" t="s">
        <v>13597</v>
      </c>
      <c r="C2101" s="221">
        <v>42969.18886574074</v>
      </c>
      <c r="D2101" t="s">
        <v>13598</v>
      </c>
      <c r="E2101" s="249" t="str">
        <f>HYPERLINK("https://www.instagram.com/p/BYFueCPB7gr/")</f>
        <v>https://www.instagram.com/p/BYFueCPB7gr/</v>
      </c>
      <c r="F2101" t="s">
        <v>13599</v>
      </c>
      <c r="G2101" t="s">
        <v>2631</v>
      </c>
      <c r="H2101">
        <v>459</v>
      </c>
      <c r="I2101" t="s">
        <v>2542</v>
      </c>
      <c r="J2101">
        <v>0</v>
      </c>
      <c r="K2101">
        <v>26</v>
      </c>
      <c r="L2101">
        <v>26</v>
      </c>
      <c r="Q2101">
        <v>0</v>
      </c>
      <c r="R2101">
        <v>0</v>
      </c>
      <c r="S2101">
        <v>26</v>
      </c>
      <c r="Y2101" t="s">
        <v>13600</v>
      </c>
      <c r="Z2101" t="s">
        <v>13601</v>
      </c>
      <c r="AA2101" t="s">
        <v>13602</v>
      </c>
      <c r="AB2101" t="s">
        <v>13603</v>
      </c>
      <c r="AC2101" t="s">
        <v>13604</v>
      </c>
      <c r="AD2101" s="249" t="str">
        <f>HYPERLINK("https://scontent.cdninstagram.com/t51.2885-15/s320x320/e15/c0.90.720.720/20969276_720057294868883_6826068442102104064_n.jpg")</f>
        <v>https://scontent.cdninstagram.com/t51.2885-15/s320x320/e15/c0.90.720.720/20969276_720057294868883_6826068442102104064_n.jpg</v>
      </c>
      <c r="AE2101" s="249" t="str">
        <f>HYPERLINK("https://scontent.cdninstagram.com/t51.2885-19/s150x150/17881404_1750249534987031_5480084974969290752_a.jpg")</f>
        <v>https://scontent.cdninstagram.com/t51.2885-19/s150x150/17881404_1750249534987031_5480084974969290752_a.jpg</v>
      </c>
    </row>
    <row r="2102" spans="1:31" ht="15" x14ac:dyDescent="0.25">
      <c r="A2102" t="s">
        <v>2474</v>
      </c>
      <c r="B2102" t="s">
        <v>13605</v>
      </c>
      <c r="C2102" s="221">
        <v>42969.192511574074</v>
      </c>
      <c r="D2102" t="s">
        <v>13606</v>
      </c>
      <c r="E2102" s="249" t="str">
        <f>HYPERLINK("https://www.instagram.com/p/BYFvEjQgG5w/")</f>
        <v>https://www.instagram.com/p/BYFvEjQgG5w/</v>
      </c>
      <c r="F2102" t="s">
        <v>13607</v>
      </c>
      <c r="G2102" t="s">
        <v>2478</v>
      </c>
      <c r="H2102">
        <v>146</v>
      </c>
      <c r="I2102" t="s">
        <v>2510</v>
      </c>
      <c r="J2102">
        <v>0</v>
      </c>
      <c r="K2102">
        <v>38</v>
      </c>
      <c r="L2102">
        <v>38</v>
      </c>
      <c r="Q2102">
        <v>0</v>
      </c>
      <c r="R2102">
        <v>0</v>
      </c>
      <c r="S2102">
        <v>38</v>
      </c>
      <c r="T2102" t="s">
        <v>13608</v>
      </c>
      <c r="V2102" t="s">
        <v>2161</v>
      </c>
      <c r="W2102">
        <v>54.936156577391998</v>
      </c>
      <c r="X2102">
        <v>8.3165740234059999</v>
      </c>
      <c r="Y2102" t="s">
        <v>13609</v>
      </c>
      <c r="Z2102" t="s">
        <v>2778</v>
      </c>
      <c r="AA2102" t="s">
        <v>6182</v>
      </c>
      <c r="AB2102" t="s">
        <v>13610</v>
      </c>
      <c r="AC2102" t="s">
        <v>13611</v>
      </c>
      <c r="AD2102" s="249" t="str">
        <f>HYPERLINK("https://scontent.cdninstagram.com/t51.2885-15/s320x320/e35/20987114_207785716423105_6883862441160081408_n.jpg")</f>
        <v>https://scontent.cdninstagram.com/t51.2885-15/s320x320/e35/20987114_207785716423105_6883862441160081408_n.jpg</v>
      </c>
      <c r="AE2102" s="249" t="str">
        <f>HYPERLINK("https://scontent.cdninstagram.com/t51.2885-19/s150x150/17437972_987238164746365_1766918132183597056_a.jpg")</f>
        <v>https://scontent.cdninstagram.com/t51.2885-19/s150x150/17437972_987238164746365_1766918132183597056_a.jpg</v>
      </c>
    </row>
    <row r="2103" spans="1:31" ht="15" x14ac:dyDescent="0.25">
      <c r="A2103" t="s">
        <v>2474</v>
      </c>
      <c r="B2103" t="s">
        <v>2685</v>
      </c>
      <c r="C2103" s="221">
        <v>42969.193483796298</v>
      </c>
      <c r="D2103" t="s">
        <v>13612</v>
      </c>
      <c r="E2103" s="249" t="str">
        <f>HYPERLINK("https://www.instagram.com/p/BYFvOv5FDUl/")</f>
        <v>https://www.instagram.com/p/BYFvOv5FDUl/</v>
      </c>
      <c r="F2103" t="s">
        <v>13613</v>
      </c>
      <c r="G2103" t="s">
        <v>2478</v>
      </c>
      <c r="H2103">
        <v>226</v>
      </c>
      <c r="I2103" t="s">
        <v>4523</v>
      </c>
      <c r="J2103">
        <v>2</v>
      </c>
      <c r="K2103">
        <v>59</v>
      </c>
      <c r="L2103">
        <v>61</v>
      </c>
      <c r="Q2103">
        <v>0</v>
      </c>
      <c r="R2103">
        <v>0</v>
      </c>
      <c r="S2103">
        <v>61</v>
      </c>
      <c r="Y2103" t="s">
        <v>13614</v>
      </c>
      <c r="Z2103" t="s">
        <v>6052</v>
      </c>
      <c r="AA2103" t="s">
        <v>11375</v>
      </c>
      <c r="AB2103" t="s">
        <v>13615</v>
      </c>
      <c r="AC2103" t="s">
        <v>7087</v>
      </c>
      <c r="AD2103" s="249" t="str">
        <f>HYPERLINK("https://scontent.cdninstagram.com/t51.2885-15/s320x320/e35/20968759_341694052935008_650917472123224064_n.jpg")</f>
        <v>https://scontent.cdninstagram.com/t51.2885-15/s320x320/e35/20968759_341694052935008_650917472123224064_n.jpg</v>
      </c>
      <c r="AE2103" s="249" t="str">
        <f>HYPERLINK("https://scontent.cdninstagram.com/t51.2885-19/s150x150/12339026_997056470351354_891418646_a.jpg")</f>
        <v>https://scontent.cdninstagram.com/t51.2885-19/s150x150/12339026_997056470351354_891418646_a.jpg</v>
      </c>
    </row>
    <row r="2104" spans="1:31" ht="15" x14ac:dyDescent="0.25">
      <c r="A2104" t="s">
        <v>2474</v>
      </c>
      <c r="B2104" t="s">
        <v>13616</v>
      </c>
      <c r="C2104" s="221">
        <v>42969.1955787037</v>
      </c>
      <c r="D2104" t="s">
        <v>13617</v>
      </c>
      <c r="E2104" s="249" t="str">
        <f>HYPERLINK("https://www.instagram.com/p/BYFvk6LAXkg/")</f>
        <v>https://www.instagram.com/p/BYFvk6LAXkg/</v>
      </c>
      <c r="F2104" t="s">
        <v>13618</v>
      </c>
      <c r="G2104" t="s">
        <v>2631</v>
      </c>
      <c r="H2104">
        <v>1998</v>
      </c>
      <c r="I2104" t="s">
        <v>2479</v>
      </c>
      <c r="J2104">
        <v>6</v>
      </c>
      <c r="K2104">
        <v>30</v>
      </c>
      <c r="L2104">
        <v>36</v>
      </c>
      <c r="Q2104">
        <v>0</v>
      </c>
      <c r="R2104">
        <v>0</v>
      </c>
      <c r="S2104">
        <v>36</v>
      </c>
      <c r="T2104" t="s">
        <v>13619</v>
      </c>
      <c r="U2104" t="s">
        <v>126</v>
      </c>
      <c r="V2104" t="s">
        <v>2299</v>
      </c>
      <c r="W2104">
        <v>33.555332595487002</v>
      </c>
      <c r="X2104">
        <v>-117.15435141533</v>
      </c>
      <c r="Y2104" t="s">
        <v>13620</v>
      </c>
      <c r="Z2104" t="s">
        <v>8007</v>
      </c>
      <c r="AA2104" t="s">
        <v>2497</v>
      </c>
      <c r="AB2104" t="s">
        <v>13621</v>
      </c>
      <c r="AC2104" t="s">
        <v>13622</v>
      </c>
      <c r="AD2104" s="249" t="str">
        <f>HYPERLINK("https://scontent.cdninstagram.com/t51.2885-15/s320x320/e15/20987157_481319932234786_8761207206180814848_n.jpg")</f>
        <v>https://scontent.cdninstagram.com/t51.2885-15/s320x320/e15/20987157_481319932234786_8761207206180814848_n.jpg</v>
      </c>
      <c r="AE2104" s="249" t="str">
        <f>HYPERLINK("https://scontent.cdninstagram.com/t51.2885-19/s150x150/21041404_111383622912642_761629634386198528_a.jpg")</f>
        <v>https://scontent.cdninstagram.com/t51.2885-19/s150x150/21041404_111383622912642_761629634386198528_a.jpg</v>
      </c>
    </row>
    <row r="2105" spans="1:31" ht="15" x14ac:dyDescent="0.25">
      <c r="A2105" t="s">
        <v>2474</v>
      </c>
      <c r="B2105" t="s">
        <v>13623</v>
      </c>
      <c r="C2105" s="221">
        <v>42969.199374999997</v>
      </c>
      <c r="D2105" t="s">
        <v>13624</v>
      </c>
      <c r="E2105" s="249" t="str">
        <f>HYPERLINK("https://www.instagram.com/p/BYFwM5nhE5t/")</f>
        <v>https://www.instagram.com/p/BYFwM5nhE5t/</v>
      </c>
      <c r="F2105" t="s">
        <v>13625</v>
      </c>
      <c r="G2105" t="s">
        <v>2478</v>
      </c>
      <c r="H2105">
        <v>1464</v>
      </c>
      <c r="I2105" t="s">
        <v>2479</v>
      </c>
      <c r="J2105">
        <v>5</v>
      </c>
      <c r="K2105">
        <v>131</v>
      </c>
      <c r="L2105">
        <v>136</v>
      </c>
      <c r="Q2105">
        <v>0</v>
      </c>
      <c r="R2105">
        <v>0</v>
      </c>
      <c r="S2105">
        <v>136</v>
      </c>
      <c r="Y2105" t="s">
        <v>2497</v>
      </c>
      <c r="Z2105" t="s">
        <v>13626</v>
      </c>
      <c r="AD2105" s="249" t="str">
        <f>HYPERLINK("https://scontent.cdninstagram.com/t51.2885-15/s320x320/e35/c0.60.480.480/20905760_1977404052517571_4339994234187677696_n.jpg")</f>
        <v>https://scontent.cdninstagram.com/t51.2885-15/s320x320/e35/c0.60.480.480/20905760_1977404052517571_4339994234187677696_n.jpg</v>
      </c>
      <c r="AE2105" s="249" t="str">
        <f>HYPERLINK("https://scontent.cdninstagram.com/t51.2885-19/s150x150/19429341_620367721503275_4355175375915974656_a.jpg")</f>
        <v>https://scontent.cdninstagram.com/t51.2885-19/s150x150/19429341_620367721503275_4355175375915974656_a.jpg</v>
      </c>
    </row>
    <row r="2106" spans="1:31" ht="15" x14ac:dyDescent="0.25">
      <c r="A2106" t="s">
        <v>2474</v>
      </c>
      <c r="B2106" t="s">
        <v>13627</v>
      </c>
      <c r="C2106" s="221">
        <v>42969.211145833331</v>
      </c>
      <c r="D2106" t="s">
        <v>13628</v>
      </c>
      <c r="E2106" s="249" t="str">
        <f>HYPERLINK("https://www.instagram.com/p/BYFyJAnFOZT/")</f>
        <v>https://www.instagram.com/p/BYFyJAnFOZT/</v>
      </c>
      <c r="F2106" t="s">
        <v>13629</v>
      </c>
      <c r="G2106" t="s">
        <v>2478</v>
      </c>
      <c r="H2106">
        <v>29</v>
      </c>
      <c r="I2106" t="s">
        <v>2479</v>
      </c>
      <c r="J2106">
        <v>0</v>
      </c>
      <c r="K2106">
        <v>23</v>
      </c>
      <c r="L2106">
        <v>23</v>
      </c>
      <c r="Q2106">
        <v>0</v>
      </c>
      <c r="R2106">
        <v>0</v>
      </c>
      <c r="S2106">
        <v>23</v>
      </c>
      <c r="Y2106" t="s">
        <v>6672</v>
      </c>
      <c r="Z2106" t="s">
        <v>2497</v>
      </c>
      <c r="AD2106" s="249" t="str">
        <f>HYPERLINK("https://scontent.cdninstagram.com/t51.2885-15/s320x320/e35/c0.2.1080.1080/20986742_1974620692802685_5008986779823374336_n.jpg")</f>
        <v>https://scontent.cdninstagram.com/t51.2885-15/s320x320/e35/c0.2.1080.1080/20986742_1974620692802685_5008986779823374336_n.jpg</v>
      </c>
      <c r="AE2106" s="249" t="str">
        <f>HYPERLINK("https://scontent.cdninstagram.com/t51.2885-19/s150x150/20987087_125378884765130_6037376223078776832_a.jpg")</f>
        <v>https://scontent.cdninstagram.com/t51.2885-19/s150x150/20987087_125378884765130_6037376223078776832_a.jpg</v>
      </c>
    </row>
    <row r="2107" spans="1:31" ht="15" x14ac:dyDescent="0.25">
      <c r="A2107" t="s">
        <v>2474</v>
      </c>
      <c r="B2107" t="s">
        <v>13630</v>
      </c>
      <c r="C2107" s="221">
        <v>42969.212800925925</v>
      </c>
      <c r="D2107" t="s">
        <v>13631</v>
      </c>
      <c r="E2107" s="249" t="str">
        <f>HYPERLINK("https://www.instagram.com/p/BYFyag3ARKQ/")</f>
        <v>https://www.instagram.com/p/BYFyag3ARKQ/</v>
      </c>
      <c r="F2107" t="s">
        <v>13632</v>
      </c>
      <c r="G2107" t="s">
        <v>2478</v>
      </c>
      <c r="H2107">
        <v>305</v>
      </c>
      <c r="I2107" t="s">
        <v>2542</v>
      </c>
      <c r="J2107">
        <v>8</v>
      </c>
      <c r="K2107">
        <v>35</v>
      </c>
      <c r="L2107">
        <v>43</v>
      </c>
      <c r="Q2107">
        <v>0</v>
      </c>
      <c r="R2107">
        <v>0</v>
      </c>
      <c r="S2107">
        <v>43</v>
      </c>
      <c r="Y2107" t="s">
        <v>2777</v>
      </c>
      <c r="Z2107" t="s">
        <v>13409</v>
      </c>
      <c r="AA2107" t="s">
        <v>4231</v>
      </c>
      <c r="AB2107" t="s">
        <v>13633</v>
      </c>
      <c r="AC2107" t="s">
        <v>9070</v>
      </c>
      <c r="AD2107" s="249" t="str">
        <f>HYPERLINK("https://scontent.cdninstagram.com/t51.2885-15/s320x320/e35/c0.134.1080.1080/21041426_339543556480768_1198321400574640128_n.jpg")</f>
        <v>https://scontent.cdninstagram.com/t51.2885-15/s320x320/e35/c0.134.1080.1080/21041426_339543556480768_1198321400574640128_n.jpg</v>
      </c>
      <c r="AE2107" s="249" t="str">
        <f>HYPERLINK("https://scontent.cdninstagram.com/t51.2885-19/s150x150/15623831_393201531017564_4556304141722320896_a.jpg")</f>
        <v>https://scontent.cdninstagram.com/t51.2885-19/s150x150/15623831_393201531017564_4556304141722320896_a.jpg</v>
      </c>
    </row>
    <row r="2108" spans="1:31" ht="15" x14ac:dyDescent="0.25">
      <c r="A2108" t="s">
        <v>2474</v>
      </c>
      <c r="B2108" t="s">
        <v>4811</v>
      </c>
      <c r="C2108" s="221">
        <v>42969.217986111114</v>
      </c>
      <c r="D2108" t="s">
        <v>13634</v>
      </c>
      <c r="E2108" s="249" t="str">
        <f>HYPERLINK("https://www.instagram.com/p/BYFzRLoggrv/")</f>
        <v>https://www.instagram.com/p/BYFzRLoggrv/</v>
      </c>
      <c r="F2108" t="s">
        <v>13635</v>
      </c>
      <c r="G2108" t="s">
        <v>2478</v>
      </c>
      <c r="H2108">
        <v>988</v>
      </c>
      <c r="I2108" t="s">
        <v>2479</v>
      </c>
      <c r="J2108">
        <v>25</v>
      </c>
      <c r="K2108">
        <v>106</v>
      </c>
      <c r="L2108">
        <v>131</v>
      </c>
      <c r="Q2108">
        <v>0</v>
      </c>
      <c r="R2108">
        <v>0</v>
      </c>
      <c r="S2108">
        <v>131</v>
      </c>
      <c r="Y2108" t="s">
        <v>13636</v>
      </c>
      <c r="Z2108" t="s">
        <v>3246</v>
      </c>
      <c r="AA2108" t="s">
        <v>7340</v>
      </c>
      <c r="AB2108" t="s">
        <v>12100</v>
      </c>
      <c r="AC2108" t="s">
        <v>4272</v>
      </c>
      <c r="AD2108" s="249" t="str">
        <f>HYPERLINK("https://scontent.cdninstagram.com/t51.2885-15/s320x320/e35/20987172_1964111010532265_4573102961407819776_n.jpg")</f>
        <v>https://scontent.cdninstagram.com/t51.2885-15/s320x320/e35/20987172_1964111010532265_4573102961407819776_n.jpg</v>
      </c>
      <c r="AE2108" s="249" t="str">
        <f>HYPERLINK("https://scontent.cdninstagram.com/t51.2885-19/s150x150/16124251_1913091765603634_8004330562992996352_a.jpg")</f>
        <v>https://scontent.cdninstagram.com/t51.2885-19/s150x150/16124251_1913091765603634_8004330562992996352_a.jpg</v>
      </c>
    </row>
    <row r="2109" spans="1:31" ht="15" x14ac:dyDescent="0.25">
      <c r="A2109" t="s">
        <v>2474</v>
      </c>
      <c r="B2109" t="s">
        <v>13637</v>
      </c>
      <c r="C2109" s="221">
        <v>42969.229143518518</v>
      </c>
      <c r="D2109" t="s">
        <v>13638</v>
      </c>
      <c r="E2109" s="249" t="str">
        <f>HYPERLINK("https://www.instagram.com/p/BYF1G2UgTga/")</f>
        <v>https://www.instagram.com/p/BYF1G2UgTga/</v>
      </c>
      <c r="F2109" t="s">
        <v>13639</v>
      </c>
      <c r="G2109" t="s">
        <v>2478</v>
      </c>
      <c r="H2109">
        <v>361</v>
      </c>
      <c r="I2109" t="s">
        <v>2479</v>
      </c>
      <c r="J2109">
        <v>3</v>
      </c>
      <c r="K2109">
        <v>34</v>
      </c>
      <c r="L2109">
        <v>37</v>
      </c>
      <c r="Q2109">
        <v>0</v>
      </c>
      <c r="R2109">
        <v>0</v>
      </c>
      <c r="S2109">
        <v>37</v>
      </c>
      <c r="Y2109" t="s">
        <v>9112</v>
      </c>
      <c r="Z2109" t="s">
        <v>5673</v>
      </c>
      <c r="AA2109" t="s">
        <v>13640</v>
      </c>
      <c r="AB2109" t="s">
        <v>13641</v>
      </c>
      <c r="AC2109" t="s">
        <v>11162</v>
      </c>
      <c r="AD2109" s="249" t="str">
        <f>HYPERLINK("https://scontent.cdninstagram.com/t51.2885-15/s320x320/e35/c235.0.609.609/21042617_1951551775171219_2014005070986739712_n.jpg")</f>
        <v>https://scontent.cdninstagram.com/t51.2885-15/s320x320/e35/c235.0.609.609/21042617_1951551775171219_2014005070986739712_n.jpg</v>
      </c>
      <c r="AE2109" s="249" t="str">
        <f>HYPERLINK("https://scontent.cdninstagram.com/t51.2885-19/s150x150/13774806_280777002284724_1747905075_a.jpg")</f>
        <v>https://scontent.cdninstagram.com/t51.2885-19/s150x150/13774806_280777002284724_1747905075_a.jpg</v>
      </c>
    </row>
    <row r="2110" spans="1:31" ht="15" x14ac:dyDescent="0.25">
      <c r="A2110" t="s">
        <v>2474</v>
      </c>
      <c r="B2110" t="s">
        <v>13642</v>
      </c>
      <c r="C2110" s="221">
        <v>42969.229456018518</v>
      </c>
      <c r="D2110" t="s">
        <v>13643</v>
      </c>
      <c r="E2110" s="249" t="str">
        <f>HYPERLINK("https://www.instagram.com/p/BYF1KKuHyi8/")</f>
        <v>https://www.instagram.com/p/BYF1KKuHyi8/</v>
      </c>
      <c r="F2110" t="s">
        <v>13644</v>
      </c>
      <c r="G2110" t="s">
        <v>2478</v>
      </c>
      <c r="H2110">
        <v>5341</v>
      </c>
      <c r="I2110" t="s">
        <v>2510</v>
      </c>
      <c r="J2110">
        <v>2</v>
      </c>
      <c r="K2110">
        <v>183</v>
      </c>
      <c r="L2110">
        <v>185</v>
      </c>
      <c r="Q2110">
        <v>0</v>
      </c>
      <c r="R2110">
        <v>0</v>
      </c>
      <c r="S2110">
        <v>185</v>
      </c>
      <c r="Y2110" t="s">
        <v>4831</v>
      </c>
      <c r="Z2110" t="s">
        <v>9657</v>
      </c>
      <c r="AA2110" t="s">
        <v>3370</v>
      </c>
      <c r="AB2110" t="s">
        <v>8072</v>
      </c>
      <c r="AC2110" t="s">
        <v>3843</v>
      </c>
      <c r="AD2110" s="249" t="str">
        <f>HYPERLINK("https://scontent.cdninstagram.com/t51.2885-15/s320x320/e35/c155.0.720.720/21040966_695030540692077_3220384208165797888_n.jpg")</f>
        <v>https://scontent.cdninstagram.com/t51.2885-15/s320x320/e35/c155.0.720.720/21040966_695030540692077_3220384208165797888_n.jpg</v>
      </c>
      <c r="AE2110" s="249" t="str">
        <f>HYPERLINK("https://scontent.cdninstagram.com/t51.2885-19/s150x150/20838524_332124647214643_3539679623207976960_a.jpg")</f>
        <v>https://scontent.cdninstagram.com/t51.2885-19/s150x150/20838524_332124647214643_3539679623207976960_a.jpg</v>
      </c>
    </row>
    <row r="2111" spans="1:31" ht="15" x14ac:dyDescent="0.25">
      <c r="A2111" t="s">
        <v>2474</v>
      </c>
      <c r="B2111" t="s">
        <v>12623</v>
      </c>
      <c r="C2111" s="221">
        <v>42969.237060185187</v>
      </c>
      <c r="D2111" t="s">
        <v>13645</v>
      </c>
      <c r="E2111" s="249" t="str">
        <f>HYPERLINK("https://www.instagram.com/p/BYF2aW6B30J/")</f>
        <v>https://www.instagram.com/p/BYF2aW6B30J/</v>
      </c>
      <c r="F2111" t="s">
        <v>13646</v>
      </c>
      <c r="G2111" t="s">
        <v>2478</v>
      </c>
      <c r="H2111">
        <v>43</v>
      </c>
      <c r="I2111" t="s">
        <v>2479</v>
      </c>
      <c r="J2111">
        <v>0</v>
      </c>
      <c r="K2111">
        <v>3</v>
      </c>
      <c r="L2111">
        <v>3</v>
      </c>
      <c r="Q2111">
        <v>0</v>
      </c>
      <c r="R2111">
        <v>0</v>
      </c>
      <c r="S2111">
        <v>3</v>
      </c>
      <c r="Y2111" t="s">
        <v>4839</v>
      </c>
      <c r="Z2111" t="s">
        <v>13647</v>
      </c>
      <c r="AA2111" t="s">
        <v>13648</v>
      </c>
      <c r="AB2111" t="s">
        <v>10901</v>
      </c>
      <c r="AC2111" t="s">
        <v>2497</v>
      </c>
      <c r="AD2111" s="249" t="str">
        <f>HYPERLINK("https://scontent.cdninstagram.com/t51.2885-15/s320x320/e35/21041471_1730213550323062_5077983728626565120_n.jpg")</f>
        <v>https://scontent.cdninstagram.com/t51.2885-15/s320x320/e35/21041471_1730213550323062_5077983728626565120_n.jpg</v>
      </c>
      <c r="AE2111" s="249" t="str">
        <f>HYPERLINK("https://scontent.cdninstagram.com/t51.2885-19/s150x150/20905221_267313190438379_2128714709635956736_a.jpg")</f>
        <v>https://scontent.cdninstagram.com/t51.2885-19/s150x150/20905221_267313190438379_2128714709635956736_a.jpg</v>
      </c>
    </row>
    <row r="2112" spans="1:31" ht="15" x14ac:dyDescent="0.25">
      <c r="A2112" t="s">
        <v>2474</v>
      </c>
      <c r="B2112" t="s">
        <v>13649</v>
      </c>
      <c r="C2112" s="221">
        <v>42969.243310185186</v>
      </c>
      <c r="D2112" t="s">
        <v>13650</v>
      </c>
      <c r="E2112" s="249" t="str">
        <f>HYPERLINK("https://www.instagram.com/p/BYF3cQmB7_O/")</f>
        <v>https://www.instagram.com/p/BYF3cQmB7_O/</v>
      </c>
      <c r="F2112" t="s">
        <v>13651</v>
      </c>
      <c r="G2112" t="s">
        <v>2478</v>
      </c>
      <c r="H2112">
        <v>87</v>
      </c>
      <c r="I2112" t="s">
        <v>2479</v>
      </c>
      <c r="J2112">
        <v>2</v>
      </c>
      <c r="K2112">
        <v>43</v>
      </c>
      <c r="L2112">
        <v>45</v>
      </c>
      <c r="Q2112">
        <v>0</v>
      </c>
      <c r="R2112">
        <v>0</v>
      </c>
      <c r="S2112">
        <v>45</v>
      </c>
      <c r="T2112" t="s">
        <v>13652</v>
      </c>
      <c r="V2112" t="s">
        <v>2288</v>
      </c>
      <c r="W2112">
        <v>53.483908790400001</v>
      </c>
      <c r="X2112">
        <v>-2.2365331649779998</v>
      </c>
      <c r="Y2112" t="s">
        <v>13653</v>
      </c>
      <c r="Z2112" t="s">
        <v>2497</v>
      </c>
      <c r="AA2112" t="s">
        <v>10386</v>
      </c>
      <c r="AB2112" t="s">
        <v>5201</v>
      </c>
      <c r="AC2112" t="s">
        <v>13654</v>
      </c>
      <c r="AD2112" s="249" t="str">
        <f>HYPERLINK("https://scontent.cdninstagram.com/t51.2885-15/s320x320/e35/c143.0.794.794/20987234_869326899883275_924107847761920000_n.jpg")</f>
        <v>https://scontent.cdninstagram.com/t51.2885-15/s320x320/e35/c143.0.794.794/20987234_869326899883275_924107847761920000_n.jpg</v>
      </c>
      <c r="AE2112" s="249" t="str">
        <f>HYPERLINK("https://scontent.cdninstagram.com/t51.2885-19/s150x150/20180832_1842523069409535_2822078016400654336_a.jpg")</f>
        <v>https://scontent.cdninstagram.com/t51.2885-19/s150x150/20180832_1842523069409535_2822078016400654336_a.jpg</v>
      </c>
    </row>
    <row r="2113" spans="1:31" ht="15" x14ac:dyDescent="0.25">
      <c r="A2113" t="s">
        <v>2474</v>
      </c>
      <c r="B2113" t="s">
        <v>13655</v>
      </c>
      <c r="C2113" s="221">
        <v>42969.249710648146</v>
      </c>
      <c r="D2113" t="s">
        <v>13656</v>
      </c>
      <c r="E2113" s="249" t="str">
        <f>HYPERLINK("https://www.instagram.com/p/BYF4f0dBkBx/")</f>
        <v>https://www.instagram.com/p/BYF4f0dBkBx/</v>
      </c>
      <c r="F2113" t="s">
        <v>13657</v>
      </c>
      <c r="G2113" t="s">
        <v>2478</v>
      </c>
      <c r="H2113">
        <v>682</v>
      </c>
      <c r="I2113" t="s">
        <v>3170</v>
      </c>
      <c r="J2113">
        <v>1</v>
      </c>
      <c r="K2113">
        <v>44</v>
      </c>
      <c r="L2113">
        <v>45</v>
      </c>
      <c r="Q2113">
        <v>0</v>
      </c>
      <c r="R2113">
        <v>0</v>
      </c>
      <c r="S2113">
        <v>45</v>
      </c>
      <c r="T2113" t="s">
        <v>13658</v>
      </c>
      <c r="V2113" t="s">
        <v>2153</v>
      </c>
      <c r="W2113">
        <v>60.169084140000002</v>
      </c>
      <c r="X2113">
        <v>24.948112372143001</v>
      </c>
      <c r="Y2113" t="s">
        <v>13659</v>
      </c>
      <c r="Z2113" t="s">
        <v>13660</v>
      </c>
      <c r="AA2113" t="s">
        <v>13661</v>
      </c>
      <c r="AB2113" t="s">
        <v>2497</v>
      </c>
      <c r="AD2113" s="249" t="str">
        <f>HYPERLINK("https://scontent.cdninstagram.com/t51.2885-15/s320x320/e35/20968597_482504472117990_2312191348834304_n.jpg")</f>
        <v>https://scontent.cdninstagram.com/t51.2885-15/s320x320/e35/20968597_482504472117990_2312191348834304_n.jpg</v>
      </c>
      <c r="AE2113" s="249" t="str">
        <f>HYPERLINK("https://scontent.cdninstagram.com/t51.2885-19/11371223_428257534046607_259548884_a.jpg")</f>
        <v>https://scontent.cdninstagram.com/t51.2885-19/11371223_428257534046607_259548884_a.jpg</v>
      </c>
    </row>
    <row r="2114" spans="1:31" ht="15" x14ac:dyDescent="0.25">
      <c r="A2114" t="s">
        <v>2474</v>
      </c>
      <c r="B2114" t="s">
        <v>9190</v>
      </c>
      <c r="C2114" s="221">
        <v>42969.251122685186</v>
      </c>
      <c r="D2114" t="s">
        <v>13662</v>
      </c>
      <c r="E2114" s="249" t="str">
        <f>HYPERLINK("https://www.instagram.com/p/BYF4usXBzV2/")</f>
        <v>https://www.instagram.com/p/BYF4usXBzV2/</v>
      </c>
      <c r="F2114" t="s">
        <v>13663</v>
      </c>
      <c r="G2114" t="s">
        <v>2478</v>
      </c>
      <c r="H2114">
        <v>93</v>
      </c>
      <c r="I2114" t="s">
        <v>2479</v>
      </c>
      <c r="J2114">
        <v>0</v>
      </c>
      <c r="K2114">
        <v>10</v>
      </c>
      <c r="L2114">
        <v>10</v>
      </c>
      <c r="Q2114">
        <v>0</v>
      </c>
      <c r="R2114">
        <v>0</v>
      </c>
      <c r="S2114">
        <v>10</v>
      </c>
      <c r="Y2114" t="s">
        <v>9194</v>
      </c>
      <c r="Z2114" t="s">
        <v>13664</v>
      </c>
      <c r="AA2114" t="s">
        <v>13665</v>
      </c>
      <c r="AB2114" t="s">
        <v>13666</v>
      </c>
      <c r="AC2114" t="s">
        <v>13667</v>
      </c>
      <c r="AD2114" s="249" t="str">
        <f>HYPERLINK("https://scontent.cdninstagram.com/t51.2885-15/s320x320/e35/c76.0.788.788/20986684_126875114613150_6454089072716546048_n.jpg")</f>
        <v>https://scontent.cdninstagram.com/t51.2885-15/s320x320/e35/c76.0.788.788/20986684_126875114613150_6454089072716546048_n.jpg</v>
      </c>
      <c r="AE2114" s="249" t="str">
        <f>HYPERLINK("https://scontent.cdninstagram.com/t51.2885-19/s150x150/20635364_1892168627711722_6551585672149336064_a.jpg")</f>
        <v>https://scontent.cdninstagram.com/t51.2885-19/s150x150/20635364_1892168627711722_6551585672149336064_a.jpg</v>
      </c>
    </row>
    <row r="2115" spans="1:31" ht="15" x14ac:dyDescent="0.25">
      <c r="A2115" t="s">
        <v>2474</v>
      </c>
      <c r="B2115" t="s">
        <v>3015</v>
      </c>
      <c r="C2115" s="221">
        <v>42969.263506944444</v>
      </c>
      <c r="D2115" t="s">
        <v>13668</v>
      </c>
      <c r="E2115" s="249" t="str">
        <f>HYPERLINK("https://www.instagram.com/p/BYF6xPkg7UH/")</f>
        <v>https://www.instagram.com/p/BYF6xPkg7UH/</v>
      </c>
      <c r="F2115" t="s">
        <v>13669</v>
      </c>
      <c r="G2115" t="s">
        <v>2478</v>
      </c>
      <c r="H2115">
        <v>231</v>
      </c>
      <c r="I2115" t="s">
        <v>2479</v>
      </c>
      <c r="J2115">
        <v>0</v>
      </c>
      <c r="K2115">
        <v>29</v>
      </c>
      <c r="L2115">
        <v>29</v>
      </c>
      <c r="Q2115">
        <v>0</v>
      </c>
      <c r="R2115">
        <v>0</v>
      </c>
      <c r="S2115">
        <v>29</v>
      </c>
      <c r="Y2115" t="s">
        <v>3494</v>
      </c>
      <c r="Z2115" t="s">
        <v>3856</v>
      </c>
      <c r="AA2115" t="s">
        <v>4128</v>
      </c>
      <c r="AB2115" t="s">
        <v>2492</v>
      </c>
      <c r="AC2115" t="s">
        <v>7275</v>
      </c>
      <c r="AD2115" s="249" t="str">
        <f>HYPERLINK("https://scontent.cdninstagram.com/t51.2885-15/s320x320/e35/20986837_1944292082513311_1805428239183642624_n.jpg")</f>
        <v>https://scontent.cdninstagram.com/t51.2885-15/s320x320/e35/20986837_1944292082513311_1805428239183642624_n.jpg</v>
      </c>
      <c r="AE2115" s="249" t="str">
        <f>HYPERLINK("https://scontent.cdninstagram.com/t51.2885-19/s150x150/19761452_1876060406050696_4275948751316582400_a.jpg")</f>
        <v>https://scontent.cdninstagram.com/t51.2885-19/s150x150/19761452_1876060406050696_4275948751316582400_a.jpg</v>
      </c>
    </row>
    <row r="2116" spans="1:31" ht="15" x14ac:dyDescent="0.25">
      <c r="A2116" t="s">
        <v>2474</v>
      </c>
      <c r="B2116" t="s">
        <v>13670</v>
      </c>
      <c r="C2116" s="221">
        <v>42969.274259259262</v>
      </c>
      <c r="D2116" t="s">
        <v>13671</v>
      </c>
      <c r="E2116" s="249" t="str">
        <f>HYPERLINK("https://www.instagram.com/p/BYF8ivolKe5/")</f>
        <v>https://www.instagram.com/p/BYF8ivolKe5/</v>
      </c>
      <c r="F2116" t="s">
        <v>13672</v>
      </c>
      <c r="G2116" t="s">
        <v>2478</v>
      </c>
      <c r="H2116">
        <v>81</v>
      </c>
      <c r="I2116" t="s">
        <v>2479</v>
      </c>
      <c r="J2116">
        <v>2</v>
      </c>
      <c r="K2116">
        <v>9</v>
      </c>
      <c r="L2116">
        <v>11</v>
      </c>
      <c r="Q2116">
        <v>0</v>
      </c>
      <c r="R2116">
        <v>0</v>
      </c>
      <c r="S2116">
        <v>11</v>
      </c>
      <c r="Y2116" t="s">
        <v>13673</v>
      </c>
      <c r="Z2116" t="s">
        <v>2497</v>
      </c>
      <c r="AD2116" s="249" t="str">
        <f>HYPERLINK("https://scontent.cdninstagram.com/t51.2885-15/s320x320/e35/20986713_1976803135920799_3839460669657186304_n.jpg")</f>
        <v>https://scontent.cdninstagram.com/t51.2885-15/s320x320/e35/20986713_1976803135920799_3839460669657186304_n.jpg</v>
      </c>
      <c r="AE2116" s="249" t="str">
        <f>HYPERLINK("https://scontent.cdninstagram.com/t51.2885-19/s150x150/18949582_145286329350894_4826662433105903616_a.jpg")</f>
        <v>https://scontent.cdninstagram.com/t51.2885-19/s150x150/18949582_145286329350894_4826662433105903616_a.jpg</v>
      </c>
    </row>
    <row r="2117" spans="1:31" ht="15" x14ac:dyDescent="0.25">
      <c r="A2117" t="s">
        <v>2474</v>
      </c>
      <c r="B2117" t="s">
        <v>10388</v>
      </c>
      <c r="C2117" s="221">
        <v>42969.274884259263</v>
      </c>
      <c r="D2117" t="s">
        <v>13674</v>
      </c>
      <c r="E2117" s="249" t="str">
        <f>HYPERLINK("https://www.instagram.com/p/BYF8pTen86T/")</f>
        <v>https://www.instagram.com/p/BYF8pTen86T/</v>
      </c>
      <c r="F2117" t="s">
        <v>13675</v>
      </c>
      <c r="G2117" t="s">
        <v>2478</v>
      </c>
      <c r="H2117">
        <v>273</v>
      </c>
      <c r="I2117" t="s">
        <v>2599</v>
      </c>
      <c r="J2117">
        <v>2</v>
      </c>
      <c r="K2117">
        <v>19</v>
      </c>
      <c r="L2117">
        <v>21</v>
      </c>
      <c r="Q2117">
        <v>0</v>
      </c>
      <c r="R2117">
        <v>0</v>
      </c>
      <c r="S2117">
        <v>21</v>
      </c>
      <c r="Y2117" t="s">
        <v>13676</v>
      </c>
      <c r="Z2117" t="s">
        <v>13677</v>
      </c>
      <c r="AA2117" t="s">
        <v>13678</v>
      </c>
      <c r="AB2117" t="s">
        <v>13679</v>
      </c>
      <c r="AC2117" t="s">
        <v>13680</v>
      </c>
      <c r="AD2117" s="249" t="str">
        <f>HYPERLINK("https://scontent.cdninstagram.com/t51.2885-15/s320x320/e35/21041002_892629184221884_4597196667081457664_n.jpg")</f>
        <v>https://scontent.cdninstagram.com/t51.2885-15/s320x320/e35/21041002_892629184221884_4597196667081457664_n.jpg</v>
      </c>
      <c r="AE2117" s="249" t="str">
        <f>HYPERLINK("https://scontent.cdninstagram.com/t51.2885-19/s150x150/16463995_246291615824475_7975629800519761920_a.jpg")</f>
        <v>https://scontent.cdninstagram.com/t51.2885-19/s150x150/16463995_246291615824475_7975629800519761920_a.jpg</v>
      </c>
    </row>
    <row r="2118" spans="1:31" ht="15" x14ac:dyDescent="0.25">
      <c r="A2118" t="s">
        <v>2474</v>
      </c>
      <c r="B2118" t="s">
        <v>13681</v>
      </c>
      <c r="C2118" s="221">
        <v>42969.2812037037</v>
      </c>
      <c r="D2118" t="s">
        <v>13682</v>
      </c>
      <c r="E2118" s="249" t="str">
        <f>HYPERLINK("https://www.instagram.com/p/BYF9r_JHTcG/")</f>
        <v>https://www.instagram.com/p/BYF9r_JHTcG/</v>
      </c>
      <c r="F2118" t="s">
        <v>13683</v>
      </c>
      <c r="G2118" t="s">
        <v>2631</v>
      </c>
      <c r="H2118">
        <v>323</v>
      </c>
      <c r="I2118" t="s">
        <v>2479</v>
      </c>
      <c r="J2118">
        <v>9</v>
      </c>
      <c r="K2118">
        <v>52</v>
      </c>
      <c r="L2118">
        <v>61</v>
      </c>
      <c r="Q2118">
        <v>0</v>
      </c>
      <c r="R2118">
        <v>0</v>
      </c>
      <c r="S2118">
        <v>61</v>
      </c>
      <c r="Y2118" t="s">
        <v>5147</v>
      </c>
      <c r="Z2118" t="s">
        <v>13684</v>
      </c>
      <c r="AA2118" t="s">
        <v>2861</v>
      </c>
      <c r="AB2118" t="s">
        <v>2497</v>
      </c>
      <c r="AC2118" t="s">
        <v>2603</v>
      </c>
      <c r="AD2118" s="249" t="str">
        <f>HYPERLINK("https://scontent.cdninstagram.com/t51.2885-15/s320x320/e15/20987501_1910443635877676_6844752881279565824_n.jpg")</f>
        <v>https://scontent.cdninstagram.com/t51.2885-15/s320x320/e15/20987501_1910443635877676_6844752881279565824_n.jpg</v>
      </c>
      <c r="AE2118" s="249" t="str">
        <f>HYPERLINK("https://scontent.cdninstagram.com/t51.2885-19/s150x150/20837332_157814461439871_2604673845688270848_a.jpg")</f>
        <v>https://scontent.cdninstagram.com/t51.2885-19/s150x150/20837332_157814461439871_2604673845688270848_a.jpg</v>
      </c>
    </row>
    <row r="2119" spans="1:31" ht="15" x14ac:dyDescent="0.25">
      <c r="A2119" t="s">
        <v>2474</v>
      </c>
      <c r="B2119" t="s">
        <v>13685</v>
      </c>
      <c r="C2119" s="221">
        <v>42969.287766203706</v>
      </c>
      <c r="D2119" t="s">
        <v>13686</v>
      </c>
      <c r="E2119" s="249" t="str">
        <f>HYPERLINK("https://www.instagram.com/p/BYF-xKwHFnv/")</f>
        <v>https://www.instagram.com/p/BYF-xKwHFnv/</v>
      </c>
      <c r="F2119" t="s">
        <v>13687</v>
      </c>
      <c r="G2119" t="s">
        <v>2478</v>
      </c>
      <c r="H2119">
        <v>18</v>
      </c>
      <c r="I2119" t="s">
        <v>2479</v>
      </c>
      <c r="J2119">
        <v>0</v>
      </c>
      <c r="K2119">
        <v>1</v>
      </c>
      <c r="L2119">
        <v>1</v>
      </c>
      <c r="Q2119">
        <v>0</v>
      </c>
      <c r="R2119">
        <v>0</v>
      </c>
      <c r="S2119">
        <v>1</v>
      </c>
      <c r="Y2119" t="s">
        <v>13688</v>
      </c>
      <c r="Z2119" t="s">
        <v>13689</v>
      </c>
      <c r="AA2119" t="s">
        <v>13690</v>
      </c>
      <c r="AB2119" t="s">
        <v>13691</v>
      </c>
      <c r="AC2119" t="s">
        <v>13685</v>
      </c>
      <c r="AD2119" s="249" t="str">
        <f>HYPERLINK("https://scontent.cdninstagram.com/t51.2885-15/s320x320/e35/20969323_2096938577200491_1943704161522548736_n.jpg")</f>
        <v>https://scontent.cdninstagram.com/t51.2885-15/s320x320/e35/20969323_2096938577200491_1943704161522548736_n.jpg</v>
      </c>
      <c r="AE2119" s="249" t="str">
        <f>HYPERLINK("https://scontent.cdninstagram.com/t51.2885-19/s150x150/20583254_1495833227145506_3266719745579155456_a.jpg")</f>
        <v>https://scontent.cdninstagram.com/t51.2885-19/s150x150/20583254_1495833227145506_3266719745579155456_a.jpg</v>
      </c>
    </row>
    <row r="2120" spans="1:31" ht="15" x14ac:dyDescent="0.25">
      <c r="A2120" t="s">
        <v>2474</v>
      </c>
      <c r="B2120" t="s">
        <v>12623</v>
      </c>
      <c r="C2120" s="221">
        <v>42969.294479166667</v>
      </c>
      <c r="D2120" t="s">
        <v>13692</v>
      </c>
      <c r="E2120" s="249" t="str">
        <f>HYPERLINK("https://www.instagram.com/p/BYF_4BSBAiC/")</f>
        <v>https://www.instagram.com/p/BYF_4BSBAiC/</v>
      </c>
      <c r="F2120" t="s">
        <v>13693</v>
      </c>
      <c r="G2120" t="s">
        <v>2478</v>
      </c>
      <c r="H2120">
        <v>43</v>
      </c>
      <c r="I2120" t="s">
        <v>2479</v>
      </c>
      <c r="J2120">
        <v>0</v>
      </c>
      <c r="K2120">
        <v>11</v>
      </c>
      <c r="L2120">
        <v>11</v>
      </c>
      <c r="Q2120">
        <v>0</v>
      </c>
      <c r="R2120">
        <v>0</v>
      </c>
      <c r="S2120">
        <v>11</v>
      </c>
      <c r="Y2120" t="s">
        <v>3225</v>
      </c>
      <c r="Z2120" t="s">
        <v>2497</v>
      </c>
      <c r="AA2120" t="s">
        <v>13648</v>
      </c>
      <c r="AB2120" t="s">
        <v>5083</v>
      </c>
      <c r="AC2120" t="s">
        <v>5884</v>
      </c>
      <c r="AD2120" s="249" t="str">
        <f>HYPERLINK("https://scontent.cdninstagram.com/t51.2885-15/s320x320/e35/20987099_101402673917467_3976208236473745408_n.jpg")</f>
        <v>https://scontent.cdninstagram.com/t51.2885-15/s320x320/e35/20987099_101402673917467_3976208236473745408_n.jpg</v>
      </c>
      <c r="AE2120" s="249" t="str">
        <f>HYPERLINK("https://scontent.cdninstagram.com/t51.2885-19/s150x150/20905221_267313190438379_2128714709635956736_a.jpg")</f>
        <v>https://scontent.cdninstagram.com/t51.2885-19/s150x150/20905221_267313190438379_2128714709635956736_a.jpg</v>
      </c>
    </row>
    <row r="2121" spans="1:31" ht="15" x14ac:dyDescent="0.25">
      <c r="A2121" t="s">
        <v>2474</v>
      </c>
      <c r="B2121" t="s">
        <v>13694</v>
      </c>
      <c r="C2121" s="221">
        <v>42969.311631944445</v>
      </c>
      <c r="D2121" t="s">
        <v>13695</v>
      </c>
      <c r="E2121" s="249" t="str">
        <f>HYPERLINK("https://www.instagram.com/p/BYGCs3oh7DP/")</f>
        <v>https://www.instagram.com/p/BYGCs3oh7DP/</v>
      </c>
      <c r="F2121" t="s">
        <v>13696</v>
      </c>
      <c r="G2121" t="s">
        <v>2478</v>
      </c>
      <c r="H2121">
        <v>73</v>
      </c>
      <c r="I2121" t="s">
        <v>2479</v>
      </c>
      <c r="J2121">
        <v>6</v>
      </c>
      <c r="K2121">
        <v>17</v>
      </c>
      <c r="L2121">
        <v>23</v>
      </c>
      <c r="Q2121">
        <v>0</v>
      </c>
      <c r="R2121">
        <v>0</v>
      </c>
      <c r="S2121">
        <v>23</v>
      </c>
      <c r="Y2121" t="s">
        <v>13697</v>
      </c>
      <c r="Z2121" t="s">
        <v>13698</v>
      </c>
      <c r="AA2121" t="s">
        <v>13694</v>
      </c>
      <c r="AB2121" t="s">
        <v>13699</v>
      </c>
      <c r="AC2121" t="s">
        <v>2497</v>
      </c>
      <c r="AD2121" s="249" t="str">
        <f>HYPERLINK("https://scontent.cdninstagram.com/t51.2885-15/s320x320/e35/c5.0.1065.1065/20905464_471803106531584_2548843870750244864_n.jpg")</f>
        <v>https://scontent.cdninstagram.com/t51.2885-15/s320x320/e35/c5.0.1065.1065/20905464_471803106531584_2548843870750244864_n.jpg</v>
      </c>
      <c r="AE2121" s="249" t="str">
        <f>HYPERLINK("https://scontent.cdninstagram.com/t51.2885-19/s150x150/11379878_208971012799141_874183683_a.jpg")</f>
        <v>https://scontent.cdninstagram.com/t51.2885-19/s150x150/11379878_208971012799141_874183683_a.jpg</v>
      </c>
    </row>
    <row r="2122" spans="1:31" ht="15" x14ac:dyDescent="0.25">
      <c r="A2122" t="s">
        <v>2474</v>
      </c>
      <c r="B2122" t="s">
        <v>3895</v>
      </c>
      <c r="C2122" s="221">
        <v>42969.31527777778</v>
      </c>
      <c r="D2122" t="s">
        <v>13700</v>
      </c>
      <c r="E2122" s="249" t="str">
        <f>HYPERLINK("https://www.instagram.com/p/BYGDTXlF8Xe/")</f>
        <v>https://www.instagram.com/p/BYGDTXlF8Xe/</v>
      </c>
      <c r="F2122" t="s">
        <v>13701</v>
      </c>
      <c r="G2122" t="s">
        <v>2478</v>
      </c>
      <c r="H2122">
        <v>432</v>
      </c>
      <c r="I2122" t="s">
        <v>2748</v>
      </c>
      <c r="J2122">
        <v>8</v>
      </c>
      <c r="K2122">
        <v>92</v>
      </c>
      <c r="L2122">
        <v>100</v>
      </c>
      <c r="Q2122">
        <v>0</v>
      </c>
      <c r="R2122">
        <v>0</v>
      </c>
      <c r="S2122">
        <v>100</v>
      </c>
      <c r="Y2122" t="s">
        <v>2547</v>
      </c>
      <c r="Z2122" t="s">
        <v>2617</v>
      </c>
      <c r="AA2122" t="s">
        <v>2497</v>
      </c>
      <c r="AB2122" t="s">
        <v>3903</v>
      </c>
      <c r="AC2122" t="s">
        <v>3157</v>
      </c>
      <c r="AD2122" s="249" t="str">
        <f>HYPERLINK("https://scontent.cdninstagram.com/t51.2885-15/s320x320/e35/20987294_1884996508432522_9175880624957816832_n.jpg")</f>
        <v>https://scontent.cdninstagram.com/t51.2885-15/s320x320/e35/20987294_1884996508432522_9175880624957816832_n.jpg</v>
      </c>
      <c r="AE2122" s="249" t="str">
        <f>HYPERLINK("https://scontent.cdninstagram.com/t51.2885-19/s150x150/20902130_1390331654386412_4188068892897181696_a.jpg")</f>
        <v>https://scontent.cdninstagram.com/t51.2885-19/s150x150/20902130_1390331654386412_4188068892897181696_a.jpg</v>
      </c>
    </row>
    <row r="2123" spans="1:31" ht="15" x14ac:dyDescent="0.25">
      <c r="A2123" t="s">
        <v>2474</v>
      </c>
      <c r="B2123" t="s">
        <v>13702</v>
      </c>
      <c r="C2123" s="221">
        <v>42969.316712962966</v>
      </c>
      <c r="D2123" t="s">
        <v>13703</v>
      </c>
      <c r="E2123" s="249" t="str">
        <f>HYPERLINK("https://www.instagram.com/p/BYGDicyB8mT/")</f>
        <v>https://www.instagram.com/p/BYGDicyB8mT/</v>
      </c>
      <c r="F2123" t="s">
        <v>13704</v>
      </c>
      <c r="G2123" t="s">
        <v>2478</v>
      </c>
      <c r="H2123">
        <v>503</v>
      </c>
      <c r="I2123" t="s">
        <v>3186</v>
      </c>
      <c r="J2123">
        <v>2</v>
      </c>
      <c r="K2123">
        <v>19</v>
      </c>
      <c r="L2123">
        <v>21</v>
      </c>
      <c r="Q2123">
        <v>0</v>
      </c>
      <c r="R2123">
        <v>0</v>
      </c>
      <c r="S2123">
        <v>21</v>
      </c>
      <c r="Y2123" t="s">
        <v>4246</v>
      </c>
      <c r="Z2123" t="s">
        <v>13705</v>
      </c>
      <c r="AA2123" t="s">
        <v>4174</v>
      </c>
      <c r="AB2123" t="s">
        <v>8557</v>
      </c>
      <c r="AC2123" t="s">
        <v>13706</v>
      </c>
      <c r="AD2123" s="249" t="str">
        <f>HYPERLINK("https://scontent.cdninstagram.com/t51.2885-15/s320x320/e35/20968580_310146519458608_7669524839928954880_n.jpg")</f>
        <v>https://scontent.cdninstagram.com/t51.2885-15/s320x320/e35/20968580_310146519458608_7669524839928954880_n.jpg</v>
      </c>
      <c r="AE2123" s="249" t="str">
        <f>HYPERLINK("https://scontent.cdninstagram.com/t51.2885-19/s150x150/19051447_1846468709003354_1116130398137483264_a.jpg")</f>
        <v>https://scontent.cdninstagram.com/t51.2885-19/s150x150/19051447_1846468709003354_1116130398137483264_a.jpg</v>
      </c>
    </row>
    <row r="2124" spans="1:31" ht="15" x14ac:dyDescent="0.25">
      <c r="A2124" t="s">
        <v>2474</v>
      </c>
      <c r="B2124" t="s">
        <v>13707</v>
      </c>
      <c r="C2124" s="221">
        <v>42969.318414351852</v>
      </c>
      <c r="D2124" t="s">
        <v>13708</v>
      </c>
      <c r="E2124" s="249" t="str">
        <f>HYPERLINK("https://www.instagram.com/p/BYGD0YvA_S-/")</f>
        <v>https://www.instagram.com/p/BYGD0YvA_S-/</v>
      </c>
      <c r="F2124" t="s">
        <v>13709</v>
      </c>
      <c r="G2124" t="s">
        <v>2478</v>
      </c>
      <c r="H2124">
        <v>145</v>
      </c>
      <c r="I2124" t="s">
        <v>2599</v>
      </c>
      <c r="J2124">
        <v>0</v>
      </c>
      <c r="K2124">
        <v>42</v>
      </c>
      <c r="L2124">
        <v>42</v>
      </c>
      <c r="Q2124">
        <v>0</v>
      </c>
      <c r="R2124">
        <v>0</v>
      </c>
      <c r="S2124">
        <v>42</v>
      </c>
      <c r="Y2124" t="s">
        <v>13710</v>
      </c>
      <c r="Z2124" t="s">
        <v>2617</v>
      </c>
      <c r="AA2124" t="s">
        <v>2730</v>
      </c>
      <c r="AB2124" t="s">
        <v>3132</v>
      </c>
      <c r="AC2124" t="s">
        <v>2497</v>
      </c>
      <c r="AD2124" s="249" t="str">
        <f>HYPERLINK("https://scontent.cdninstagram.com/t51.2885-15/s320x320/e35/c135.0.810.810/20905717_354941351586936_7062325397530083328_n.jpg")</f>
        <v>https://scontent.cdninstagram.com/t51.2885-15/s320x320/e35/c135.0.810.810/20905717_354941351586936_7062325397530083328_n.jpg</v>
      </c>
      <c r="AE2124" s="249" t="str">
        <f>HYPERLINK("https://scontent.cdninstagram.com/t51.2885-19/s150x150/19985577_815294958621142_5939568723848331264_a.jpg")</f>
        <v>https://scontent.cdninstagram.com/t51.2885-19/s150x150/19985577_815294958621142_5939568723848331264_a.jpg</v>
      </c>
    </row>
    <row r="2125" spans="1:31" ht="15" x14ac:dyDescent="0.25">
      <c r="A2125" t="s">
        <v>2474</v>
      </c>
      <c r="B2125" t="s">
        <v>3015</v>
      </c>
      <c r="C2125" s="221">
        <v>42969.319618055553</v>
      </c>
      <c r="D2125" t="s">
        <v>13711</v>
      </c>
      <c r="E2125" s="249" t="str">
        <f>HYPERLINK("https://www.instagram.com/p/BYGEBFwAyCi/")</f>
        <v>https://www.instagram.com/p/BYGEBFwAyCi/</v>
      </c>
      <c r="F2125" t="s">
        <v>13712</v>
      </c>
      <c r="G2125" t="s">
        <v>2478</v>
      </c>
      <c r="H2125">
        <v>231</v>
      </c>
      <c r="I2125" t="s">
        <v>2479</v>
      </c>
      <c r="J2125">
        <v>0</v>
      </c>
      <c r="K2125">
        <v>32</v>
      </c>
      <c r="L2125">
        <v>32</v>
      </c>
      <c r="Q2125">
        <v>0</v>
      </c>
      <c r="R2125">
        <v>0</v>
      </c>
      <c r="S2125">
        <v>32</v>
      </c>
      <c r="Y2125" t="s">
        <v>3021</v>
      </c>
      <c r="Z2125" t="s">
        <v>3728</v>
      </c>
      <c r="AA2125" t="s">
        <v>3494</v>
      </c>
      <c r="AB2125" t="s">
        <v>3725</v>
      </c>
      <c r="AC2125" t="s">
        <v>10468</v>
      </c>
      <c r="AD2125" s="249" t="str">
        <f>HYPERLINK("https://scontent.cdninstagram.com/t51.2885-15/s320x320/e35/20986668_179719325904681_9031017433967624192_n.jpg")</f>
        <v>https://scontent.cdninstagram.com/t51.2885-15/s320x320/e35/20986668_179719325904681_9031017433967624192_n.jpg</v>
      </c>
      <c r="AE2125" s="249" t="str">
        <f>HYPERLINK("https://scontent.cdninstagram.com/t51.2885-19/s150x150/19761452_1876060406050696_4275948751316582400_a.jpg")</f>
        <v>https://scontent.cdninstagram.com/t51.2885-19/s150x150/19761452_1876060406050696_4275948751316582400_a.jpg</v>
      </c>
    </row>
    <row r="2126" spans="1:31" ht="15" x14ac:dyDescent="0.25">
      <c r="A2126" t="s">
        <v>2474</v>
      </c>
      <c r="B2126" t="s">
        <v>13713</v>
      </c>
      <c r="C2126" s="221">
        <v>42969.325520833336</v>
      </c>
      <c r="D2126" t="s">
        <v>13714</v>
      </c>
      <c r="E2126" s="249" t="str">
        <f>HYPERLINK("https://www.instagram.com/p/BYGE_ZfD6K4/")</f>
        <v>https://www.instagram.com/p/BYGE_ZfD6K4/</v>
      </c>
      <c r="F2126" t="s">
        <v>13715</v>
      </c>
      <c r="G2126" t="s">
        <v>2631</v>
      </c>
      <c r="H2126">
        <v>519</v>
      </c>
      <c r="I2126" t="s">
        <v>3575</v>
      </c>
      <c r="J2126">
        <v>0</v>
      </c>
      <c r="K2126">
        <v>25</v>
      </c>
      <c r="L2126">
        <v>25</v>
      </c>
      <c r="Q2126">
        <v>0</v>
      </c>
      <c r="R2126">
        <v>0</v>
      </c>
      <c r="S2126">
        <v>25</v>
      </c>
      <c r="T2126" t="s">
        <v>13716</v>
      </c>
      <c r="V2126" t="s">
        <v>2118</v>
      </c>
      <c r="W2126">
        <v>-20.368448300000001</v>
      </c>
      <c r="X2126">
        <v>-40.304790500000003</v>
      </c>
      <c r="Y2126" t="s">
        <v>5162</v>
      </c>
      <c r="Z2126" t="s">
        <v>2730</v>
      </c>
      <c r="AA2126" t="s">
        <v>8793</v>
      </c>
      <c r="AB2126" t="s">
        <v>3907</v>
      </c>
      <c r="AC2126" t="s">
        <v>2497</v>
      </c>
      <c r="AD2126" s="249" t="str">
        <f>HYPERLINK("https://scontent.cdninstagram.com/t51.2885-15/s320x320/e15/20968633_1412171175487363_1989259389277569024_n.jpg")</f>
        <v>https://scontent.cdninstagram.com/t51.2885-15/s320x320/e15/20968633_1412171175487363_1989259389277569024_n.jpg</v>
      </c>
      <c r="AE2126" s="249" t="str">
        <f>HYPERLINK("https://scontent.cdninstagram.com/t51.2885-19/s150x150/12930728_494396860752029_1221244465_a.jpg")</f>
        <v>https://scontent.cdninstagram.com/t51.2885-19/s150x150/12930728_494396860752029_1221244465_a.jpg</v>
      </c>
    </row>
    <row r="2127" spans="1:31" ht="15" x14ac:dyDescent="0.25">
      <c r="A2127" t="s">
        <v>2474</v>
      </c>
      <c r="B2127" t="s">
        <v>13717</v>
      </c>
      <c r="C2127" s="221">
        <v>42969.326145833336</v>
      </c>
      <c r="D2127" t="s">
        <v>13718</v>
      </c>
      <c r="E2127" s="249" t="str">
        <f>HYPERLINK("https://www.instagram.com/p/BYGFF_LnGtB/")</f>
        <v>https://www.instagram.com/p/BYGFF_LnGtB/</v>
      </c>
      <c r="F2127" t="s">
        <v>13719</v>
      </c>
      <c r="G2127" t="s">
        <v>2478</v>
      </c>
      <c r="H2127">
        <v>492</v>
      </c>
      <c r="I2127" t="s">
        <v>2479</v>
      </c>
      <c r="J2127">
        <v>1</v>
      </c>
      <c r="K2127">
        <v>13</v>
      </c>
      <c r="L2127">
        <v>14</v>
      </c>
      <c r="Q2127">
        <v>0</v>
      </c>
      <c r="R2127">
        <v>0</v>
      </c>
      <c r="S2127">
        <v>14</v>
      </c>
      <c r="Y2127" t="s">
        <v>13717</v>
      </c>
      <c r="Z2127" t="s">
        <v>2730</v>
      </c>
      <c r="AA2127" t="s">
        <v>2497</v>
      </c>
      <c r="AB2127" t="s">
        <v>3543</v>
      </c>
      <c r="AC2127" t="s">
        <v>13720</v>
      </c>
      <c r="AD2127" s="249" t="str">
        <f>HYPERLINK("https://scontent.cdninstagram.com/t51.2885-15/s320x320/e35/20905595_124831121480718_4063125850420150272_n.jpg")</f>
        <v>https://scontent.cdninstagram.com/t51.2885-15/s320x320/e35/20905595_124831121480718_4063125850420150272_n.jpg</v>
      </c>
      <c r="AE2127" s="249" t="str">
        <f>HYPERLINK("https://scontent.cdninstagram.com/t51.2885-19/s150x150/17332859_1254756151287562_5094153571826401280_n.jpg")</f>
        <v>https://scontent.cdninstagram.com/t51.2885-19/s150x150/17332859_1254756151287562_5094153571826401280_n.jpg</v>
      </c>
    </row>
    <row r="2128" spans="1:31" ht="15" x14ac:dyDescent="0.25">
      <c r="A2128" t="s">
        <v>2474</v>
      </c>
      <c r="B2128" t="s">
        <v>2700</v>
      </c>
      <c r="C2128" s="221">
        <v>42969.326215277775</v>
      </c>
      <c r="D2128" t="s">
        <v>13721</v>
      </c>
      <c r="E2128" s="249" t="str">
        <f>HYPERLINK("https://www.instagram.com/p/BYGFGswhhtV/")</f>
        <v>https://www.instagram.com/p/BYGFGswhhtV/</v>
      </c>
      <c r="F2128" t="s">
        <v>13722</v>
      </c>
      <c r="G2128" t="s">
        <v>2631</v>
      </c>
      <c r="H2128">
        <v>849</v>
      </c>
      <c r="I2128" t="s">
        <v>2582</v>
      </c>
      <c r="J2128">
        <v>3</v>
      </c>
      <c r="K2128">
        <v>26</v>
      </c>
      <c r="L2128">
        <v>29</v>
      </c>
      <c r="Q2128">
        <v>0</v>
      </c>
      <c r="R2128">
        <v>0</v>
      </c>
      <c r="S2128">
        <v>29</v>
      </c>
      <c r="T2128" t="s">
        <v>12701</v>
      </c>
      <c r="U2128" t="s">
        <v>268</v>
      </c>
      <c r="V2128" t="s">
        <v>2299</v>
      </c>
      <c r="W2128">
        <v>32.418799999999997</v>
      </c>
      <c r="X2128">
        <v>-90.124899999999997</v>
      </c>
      <c r="Y2128" t="s">
        <v>2706</v>
      </c>
      <c r="Z2128" t="s">
        <v>2730</v>
      </c>
      <c r="AA2128" t="s">
        <v>2703</v>
      </c>
      <c r="AB2128" t="s">
        <v>12669</v>
      </c>
      <c r="AC2128" t="s">
        <v>6391</v>
      </c>
      <c r="AD2128" s="249" t="str">
        <f>HYPERLINK("https://scontent.cdninstagram.com/t51.2885-15/s320x320/e15/20986768_1412138962187906_4452516115280560128_n.jpg")</f>
        <v>https://scontent.cdninstagram.com/t51.2885-15/s320x320/e15/20986768_1412138962187906_4452516115280560128_n.jpg</v>
      </c>
      <c r="AE2128" s="249" t="str">
        <f>HYPERLINK("https://scontent.cdninstagram.com/t51.2885-19/s150x150/14726415_1764726950434473_1846308506706116608_a.jpg")</f>
        <v>https://scontent.cdninstagram.com/t51.2885-19/s150x150/14726415_1764726950434473_1846308506706116608_a.jpg</v>
      </c>
    </row>
    <row r="2129" spans="1:31" ht="15" x14ac:dyDescent="0.25">
      <c r="A2129" t="s">
        <v>2474</v>
      </c>
      <c r="B2129" t="s">
        <v>13723</v>
      </c>
      <c r="C2129" s="221">
        <v>42969.3283912037</v>
      </c>
      <c r="D2129" t="s">
        <v>13724</v>
      </c>
      <c r="E2129" s="249" t="str">
        <f>HYPERLINK("https://www.instagram.com/p/BYGFdkghdvL/")</f>
        <v>https://www.instagram.com/p/BYGFdkghdvL/</v>
      </c>
      <c r="F2129" t="s">
        <v>13725</v>
      </c>
      <c r="G2129" t="s">
        <v>2478</v>
      </c>
      <c r="H2129">
        <v>220</v>
      </c>
      <c r="I2129" t="s">
        <v>2479</v>
      </c>
      <c r="J2129">
        <v>0</v>
      </c>
      <c r="K2129">
        <v>20</v>
      </c>
      <c r="L2129">
        <v>20</v>
      </c>
      <c r="Q2129">
        <v>0</v>
      </c>
      <c r="R2129">
        <v>0</v>
      </c>
      <c r="S2129">
        <v>20</v>
      </c>
      <c r="Y2129" t="s">
        <v>13726</v>
      </c>
      <c r="Z2129" t="s">
        <v>10374</v>
      </c>
      <c r="AA2129" t="s">
        <v>2497</v>
      </c>
      <c r="AD2129" s="249" t="str">
        <f>HYPERLINK("https://scontent.cdninstagram.com/t51.2885-15/s320x320/e35/c0.117.937.937/20968774_121160565204582_5164247880478752768_n.jpg")</f>
        <v>https://scontent.cdninstagram.com/t51.2885-15/s320x320/e35/c0.117.937.937/20968774_121160565204582_5164247880478752768_n.jpg</v>
      </c>
      <c r="AE2129" s="249" t="str">
        <f>HYPERLINK("https://scontent.cdninstagram.com/t51.2885-19/s150x150/20838221_1115744945222522_2431447644158033920_a.jpg")</f>
        <v>https://scontent.cdninstagram.com/t51.2885-19/s150x150/20838221_1115744945222522_2431447644158033920_a.jpg</v>
      </c>
    </row>
    <row r="2130" spans="1:31" ht="15" x14ac:dyDescent="0.25">
      <c r="A2130" t="s">
        <v>2474</v>
      </c>
      <c r="B2130" t="s">
        <v>13727</v>
      </c>
      <c r="C2130" s="221">
        <v>42969.32917824074</v>
      </c>
      <c r="D2130" t="s">
        <v>13728</v>
      </c>
      <c r="E2130" s="249" t="str">
        <f>HYPERLINK("https://www.instagram.com/p/BYGFl5VD245/")</f>
        <v>https://www.instagram.com/p/BYGFl5VD245/</v>
      </c>
      <c r="F2130" t="s">
        <v>13729</v>
      </c>
      <c r="G2130" t="s">
        <v>2478</v>
      </c>
      <c r="H2130">
        <v>3255</v>
      </c>
      <c r="I2130" t="s">
        <v>2910</v>
      </c>
      <c r="J2130">
        <v>0</v>
      </c>
      <c r="K2130">
        <v>127</v>
      </c>
      <c r="L2130">
        <v>127</v>
      </c>
      <c r="Q2130">
        <v>0</v>
      </c>
      <c r="R2130">
        <v>0</v>
      </c>
      <c r="S2130">
        <v>127</v>
      </c>
      <c r="T2130" t="s">
        <v>13730</v>
      </c>
      <c r="V2130" t="s">
        <v>2176</v>
      </c>
      <c r="W2130">
        <v>28.613900000000001</v>
      </c>
      <c r="X2130">
        <v>77.2089</v>
      </c>
      <c r="Y2130" t="s">
        <v>13731</v>
      </c>
      <c r="Z2130" t="s">
        <v>13727</v>
      </c>
      <c r="AA2130" t="s">
        <v>13732</v>
      </c>
      <c r="AB2130" t="s">
        <v>7182</v>
      </c>
      <c r="AC2130" t="s">
        <v>13733</v>
      </c>
      <c r="AD2130" s="249" t="str">
        <f>HYPERLINK("https://scontent.cdninstagram.com/t51.2885-15/s320x320/e35/20969276_1942606619286784_1024210693479464960_n.jpg")</f>
        <v>https://scontent.cdninstagram.com/t51.2885-15/s320x320/e35/20969276_1942606619286784_1024210693479464960_n.jpg</v>
      </c>
      <c r="AE2130" s="249" t="str">
        <f>HYPERLINK("https://scontent.cdninstagram.com/t51.2885-19/s150x150/12783465_911968838918576_1155402917_a.jpg")</f>
        <v>https://scontent.cdninstagram.com/t51.2885-19/s150x150/12783465_911968838918576_1155402917_a.jpg</v>
      </c>
    </row>
    <row r="2131" spans="1:31" ht="15" x14ac:dyDescent="0.25">
      <c r="A2131" t="s">
        <v>2474</v>
      </c>
      <c r="B2131" t="s">
        <v>13734</v>
      </c>
      <c r="C2131" s="221">
        <v>42969.331759259258</v>
      </c>
      <c r="D2131" t="s">
        <v>13735</v>
      </c>
      <c r="E2131" s="249" t="str">
        <f>HYPERLINK("https://www.instagram.com/p/BYGGBJyDQYA/")</f>
        <v>https://www.instagram.com/p/BYGGBJyDQYA/</v>
      </c>
      <c r="F2131" t="s">
        <v>13736</v>
      </c>
      <c r="G2131" t="s">
        <v>2488</v>
      </c>
      <c r="H2131">
        <v>333</v>
      </c>
      <c r="I2131" t="s">
        <v>2479</v>
      </c>
      <c r="J2131">
        <v>1</v>
      </c>
      <c r="K2131">
        <v>21</v>
      </c>
      <c r="L2131">
        <v>22</v>
      </c>
      <c r="Q2131">
        <v>0</v>
      </c>
      <c r="R2131">
        <v>0</v>
      </c>
      <c r="S2131">
        <v>22</v>
      </c>
      <c r="T2131" t="s">
        <v>13737</v>
      </c>
      <c r="U2131" t="s">
        <v>154</v>
      </c>
      <c r="V2131" t="s">
        <v>2299</v>
      </c>
      <c r="W2131">
        <v>43.020975788484002</v>
      </c>
      <c r="X2131">
        <v>-87.975800325666995</v>
      </c>
      <c r="Y2131" t="s">
        <v>13738</v>
      </c>
      <c r="Z2131" t="s">
        <v>2497</v>
      </c>
      <c r="AA2131" t="s">
        <v>13739</v>
      </c>
      <c r="AB2131" t="s">
        <v>13740</v>
      </c>
      <c r="AC2131" t="s">
        <v>8145</v>
      </c>
      <c r="AD2131" s="249" t="str">
        <f>HYPERLINK("https://scontent.cdninstagram.com/t51.2885-15/s320x320/e35/20905422_350406248745740_7965626241866792960_n.jpg")</f>
        <v>https://scontent.cdninstagram.com/t51.2885-15/s320x320/e35/20905422_350406248745740_7965626241866792960_n.jpg</v>
      </c>
      <c r="AE2131" s="249" t="str">
        <f>HYPERLINK("https://scontent.cdninstagram.com/t51.2885-19/s150x150/13108975_989063684521869_884867745_a.jpg")</f>
        <v>https://scontent.cdninstagram.com/t51.2885-19/s150x150/13108975_989063684521869_884867745_a.jpg</v>
      </c>
    </row>
    <row r="2132" spans="1:31" ht="15" x14ac:dyDescent="0.25">
      <c r="A2132" t="s">
        <v>2474</v>
      </c>
      <c r="B2132" t="s">
        <v>6007</v>
      </c>
      <c r="C2132" s="221">
        <v>42969.338993055557</v>
      </c>
      <c r="D2132" t="s">
        <v>13741</v>
      </c>
      <c r="E2132" s="249" t="str">
        <f>HYPERLINK("https://www.instagram.com/p/BYGHNdaDqrB/")</f>
        <v>https://www.instagram.com/p/BYGHNdaDqrB/</v>
      </c>
      <c r="F2132" t="s">
        <v>13742</v>
      </c>
      <c r="G2132" t="s">
        <v>2478</v>
      </c>
      <c r="H2132">
        <v>286</v>
      </c>
      <c r="I2132" t="s">
        <v>2542</v>
      </c>
      <c r="J2132">
        <v>3</v>
      </c>
      <c r="K2132">
        <v>27</v>
      </c>
      <c r="L2132">
        <v>30</v>
      </c>
      <c r="Q2132">
        <v>0</v>
      </c>
      <c r="R2132">
        <v>0</v>
      </c>
      <c r="S2132">
        <v>30</v>
      </c>
      <c r="T2132" t="s">
        <v>13743</v>
      </c>
      <c r="V2132" t="s">
        <v>2102</v>
      </c>
      <c r="W2132">
        <v>-34.933300000000003</v>
      </c>
      <c r="X2132">
        <v>138.6</v>
      </c>
      <c r="Y2132" t="s">
        <v>13744</v>
      </c>
      <c r="Z2132" t="s">
        <v>13745</v>
      </c>
      <c r="AA2132" t="s">
        <v>3246</v>
      </c>
      <c r="AB2132" t="s">
        <v>2497</v>
      </c>
      <c r="AC2132" t="s">
        <v>13746</v>
      </c>
      <c r="AD2132" s="249" t="str">
        <f>HYPERLINK("https://scontent.cdninstagram.com/t51.2885-15/s320x320/e35/21041294_1434358306655191_6989471490785673216_n.jpg")</f>
        <v>https://scontent.cdninstagram.com/t51.2885-15/s320x320/e35/21041294_1434358306655191_6989471490785673216_n.jpg</v>
      </c>
      <c r="AE2132" s="249" t="str">
        <f>HYPERLINK("https://scontent.cdninstagram.com/t51.2885-19/s150x150/20759940_820317361481773_6834587660057575424_a.jpg")</f>
        <v>https://scontent.cdninstagram.com/t51.2885-19/s150x150/20759940_820317361481773_6834587660057575424_a.jpg</v>
      </c>
    </row>
    <row r="2133" spans="1:31" ht="15" x14ac:dyDescent="0.25">
      <c r="A2133" t="s">
        <v>2474</v>
      </c>
      <c r="B2133" t="s">
        <v>13747</v>
      </c>
      <c r="C2133" s="221">
        <v>42969.339907407404</v>
      </c>
      <c r="D2133" t="s">
        <v>13748</v>
      </c>
      <c r="E2133" s="249" t="str">
        <f>HYPERLINK("https://www.instagram.com/p/BYGHXH_FN6n/")</f>
        <v>https://www.instagram.com/p/BYGHXH_FN6n/</v>
      </c>
      <c r="F2133" t="s">
        <v>13749</v>
      </c>
      <c r="G2133" t="s">
        <v>2478</v>
      </c>
      <c r="H2133">
        <v>6076</v>
      </c>
      <c r="I2133" t="s">
        <v>2479</v>
      </c>
      <c r="J2133">
        <v>0</v>
      </c>
      <c r="K2133">
        <v>32</v>
      </c>
      <c r="L2133">
        <v>32</v>
      </c>
      <c r="Q2133">
        <v>0</v>
      </c>
      <c r="R2133">
        <v>0</v>
      </c>
      <c r="S2133">
        <v>32</v>
      </c>
      <c r="Y2133" t="s">
        <v>3225</v>
      </c>
      <c r="Z2133" t="s">
        <v>13750</v>
      </c>
      <c r="AA2133" t="s">
        <v>2497</v>
      </c>
      <c r="AB2133" t="s">
        <v>13751</v>
      </c>
      <c r="AC2133" t="s">
        <v>10392</v>
      </c>
      <c r="AD2133" s="249" t="str">
        <f>HYPERLINK("https://scontent.cdninstagram.com/t51.2885-15/s320x320/e35/18809577_142655453000507_937394526660591616_n.jpg")</f>
        <v>https://scontent.cdninstagram.com/t51.2885-15/s320x320/e35/18809577_142655453000507_937394526660591616_n.jpg</v>
      </c>
      <c r="AE2133" s="249" t="str">
        <f>HYPERLINK("https://scontent.cdninstagram.com/t51.2885-19/s150x150/19985614_450682311953956_3596370189333037056_a.jpg")</f>
        <v>https://scontent.cdninstagram.com/t51.2885-19/s150x150/19985614_450682311953956_3596370189333037056_a.jpg</v>
      </c>
    </row>
    <row r="2134" spans="1:31" ht="15" x14ac:dyDescent="0.25">
      <c r="A2134" t="s">
        <v>2474</v>
      </c>
      <c r="B2134" t="s">
        <v>3290</v>
      </c>
      <c r="C2134" s="221">
        <v>42969.341307870367</v>
      </c>
      <c r="D2134" t="s">
        <v>13752</v>
      </c>
      <c r="E2134" s="249" t="str">
        <f>HYPERLINK("https://www.instagram.com/p/BYGHlzWnGUR/")</f>
        <v>https://www.instagram.com/p/BYGHlzWnGUR/</v>
      </c>
      <c r="F2134" t="s">
        <v>13753</v>
      </c>
      <c r="G2134" t="s">
        <v>2478</v>
      </c>
      <c r="H2134">
        <v>1908</v>
      </c>
      <c r="I2134" t="s">
        <v>2479</v>
      </c>
      <c r="J2134">
        <v>5</v>
      </c>
      <c r="K2134">
        <v>309</v>
      </c>
      <c r="L2134">
        <v>314</v>
      </c>
      <c r="Q2134">
        <v>0</v>
      </c>
      <c r="R2134">
        <v>0</v>
      </c>
      <c r="S2134">
        <v>314</v>
      </c>
      <c r="Y2134" t="s">
        <v>13754</v>
      </c>
      <c r="Z2134" t="s">
        <v>7589</v>
      </c>
      <c r="AA2134" t="s">
        <v>8683</v>
      </c>
      <c r="AB2134" t="s">
        <v>2497</v>
      </c>
      <c r="AC2134" t="s">
        <v>3293</v>
      </c>
      <c r="AD2134" s="249" t="str">
        <f>HYPERLINK("https://scontent.cdninstagram.com/t51.2885-15/s320x320/e35/c0.135.1080.1080/20479145_319872955149919_5201408976905830400_n.jpg")</f>
        <v>https://scontent.cdninstagram.com/t51.2885-15/s320x320/e35/c0.135.1080.1080/20479145_319872955149919_5201408976905830400_n.jpg</v>
      </c>
      <c r="AE2134" s="249" t="str">
        <f>HYPERLINK("https://scontent.cdninstagram.com/t51.2885-19/s150x150/18380245_313241119112969_3297379408276357120_a.jpg")</f>
        <v>https://scontent.cdninstagram.com/t51.2885-19/s150x150/18380245_313241119112969_3297379408276357120_a.jpg</v>
      </c>
    </row>
    <row r="2135" spans="1:31" ht="15" x14ac:dyDescent="0.25">
      <c r="A2135" t="s">
        <v>2474</v>
      </c>
      <c r="B2135" t="s">
        <v>13755</v>
      </c>
      <c r="C2135" s="221">
        <v>42969.346620370372</v>
      </c>
      <c r="D2135" t="s">
        <v>13756</v>
      </c>
      <c r="E2135" s="249" t="str">
        <f>HYPERLINK("https://www.instagram.com/p/BYGId8QB9t7/")</f>
        <v>https://www.instagram.com/p/BYGId8QB9t7/</v>
      </c>
      <c r="F2135" t="s">
        <v>13757</v>
      </c>
      <c r="G2135" t="s">
        <v>2478</v>
      </c>
      <c r="H2135">
        <v>146</v>
      </c>
      <c r="I2135" t="s">
        <v>2479</v>
      </c>
      <c r="J2135">
        <v>3</v>
      </c>
      <c r="K2135">
        <v>33</v>
      </c>
      <c r="L2135">
        <v>36</v>
      </c>
      <c r="Q2135">
        <v>0</v>
      </c>
      <c r="R2135">
        <v>0</v>
      </c>
      <c r="S2135">
        <v>36</v>
      </c>
      <c r="T2135" t="s">
        <v>13758</v>
      </c>
      <c r="U2135" t="s">
        <v>108</v>
      </c>
      <c r="V2135" t="s">
        <v>2299</v>
      </c>
      <c r="W2135">
        <v>38.895099999999999</v>
      </c>
      <c r="X2135">
        <v>-77.036699999999996</v>
      </c>
      <c r="Y2135" t="s">
        <v>13759</v>
      </c>
      <c r="Z2135" t="s">
        <v>13760</v>
      </c>
      <c r="AA2135" t="s">
        <v>13761</v>
      </c>
      <c r="AB2135" t="s">
        <v>13762</v>
      </c>
      <c r="AC2135" t="s">
        <v>13763</v>
      </c>
      <c r="AD2135" s="249" t="str">
        <f>HYPERLINK("https://scontent.cdninstagram.com/t51.2885-15/s320x320/e35/c0.4.1080.1080/20969294_138417933425790_4467705799698808832_n.jpg")</f>
        <v>https://scontent.cdninstagram.com/t51.2885-15/s320x320/e35/c0.4.1080.1080/20969294_138417933425790_4467705799698808832_n.jpg</v>
      </c>
      <c r="AE2135" s="249" t="str">
        <f>HYPERLINK("https://scontent.cdninstagram.com/t51.2885-19/s150x150/20479128_2201548246738238_118899688484110336_a.jpg")</f>
        <v>https://scontent.cdninstagram.com/t51.2885-19/s150x150/20479128_2201548246738238_118899688484110336_a.jpg</v>
      </c>
    </row>
    <row r="2136" spans="1:31" ht="15" x14ac:dyDescent="0.25">
      <c r="A2136" t="s">
        <v>2474</v>
      </c>
      <c r="B2136" t="s">
        <v>13764</v>
      </c>
      <c r="C2136" s="221">
        <v>42969.353182870371</v>
      </c>
      <c r="D2136" t="s">
        <v>13765</v>
      </c>
      <c r="E2136" s="249" t="str">
        <f>HYPERLINK("https://www.instagram.com/p/BYGJjDKgUnr/")</f>
        <v>https://www.instagram.com/p/BYGJjDKgUnr/</v>
      </c>
      <c r="F2136" t="s">
        <v>13766</v>
      </c>
      <c r="G2136" t="s">
        <v>2478</v>
      </c>
      <c r="H2136">
        <v>980</v>
      </c>
      <c r="I2136" t="s">
        <v>3025</v>
      </c>
      <c r="J2136">
        <v>0</v>
      </c>
      <c r="K2136">
        <v>25</v>
      </c>
      <c r="L2136">
        <v>25</v>
      </c>
      <c r="Q2136">
        <v>0</v>
      </c>
      <c r="R2136">
        <v>0</v>
      </c>
      <c r="S2136">
        <v>25</v>
      </c>
      <c r="Y2136" t="s">
        <v>3196</v>
      </c>
      <c r="Z2136" t="s">
        <v>3937</v>
      </c>
      <c r="AA2136" t="s">
        <v>2497</v>
      </c>
      <c r="AD2136" s="249" t="str">
        <f>HYPERLINK("https://scontent.cdninstagram.com/t51.2885-15/s320x320/e35/20905676_115944222402421_2091316513834270720_n.jpg")</f>
        <v>https://scontent.cdninstagram.com/t51.2885-15/s320x320/e35/20905676_115944222402421_2091316513834270720_n.jpg</v>
      </c>
      <c r="AE2136" s="249" t="str">
        <f>HYPERLINK("https://scontent.cdninstagram.com/t51.2885-19/s150x150/17265796_417663375242300_6466367576761958400_a.jpg")</f>
        <v>https://scontent.cdninstagram.com/t51.2885-19/s150x150/17265796_417663375242300_6466367576761958400_a.jpg</v>
      </c>
    </row>
    <row r="2137" spans="1:31" ht="15" x14ac:dyDescent="0.25">
      <c r="A2137" t="s">
        <v>2474</v>
      </c>
      <c r="B2137" t="s">
        <v>13767</v>
      </c>
      <c r="C2137" s="221">
        <v>42969.365324074075</v>
      </c>
      <c r="D2137" t="s">
        <v>13768</v>
      </c>
      <c r="E2137" s="249" t="str">
        <f>HYPERLINK("https://www.instagram.com/p/BYGLjIagcCd/")</f>
        <v>https://www.instagram.com/p/BYGLjIagcCd/</v>
      </c>
      <c r="F2137" t="s">
        <v>13769</v>
      </c>
      <c r="G2137" t="s">
        <v>2478</v>
      </c>
      <c r="H2137">
        <v>195</v>
      </c>
      <c r="I2137" t="s">
        <v>2479</v>
      </c>
      <c r="J2137">
        <v>3</v>
      </c>
      <c r="K2137">
        <v>64</v>
      </c>
      <c r="L2137">
        <v>67</v>
      </c>
      <c r="Q2137">
        <v>0</v>
      </c>
      <c r="R2137">
        <v>0</v>
      </c>
      <c r="S2137">
        <v>67</v>
      </c>
      <c r="T2137" t="s">
        <v>8238</v>
      </c>
      <c r="V2137" t="s">
        <v>2095</v>
      </c>
      <c r="W2137">
        <v>42.544166666667003</v>
      </c>
      <c r="X2137">
        <v>1.5163888888889001</v>
      </c>
      <c r="Y2137" t="s">
        <v>13770</v>
      </c>
      <c r="Z2137" t="s">
        <v>8793</v>
      </c>
      <c r="AA2137" t="s">
        <v>13771</v>
      </c>
      <c r="AB2137" t="s">
        <v>13772</v>
      </c>
      <c r="AC2137" t="s">
        <v>2497</v>
      </c>
      <c r="AD2137" s="249" t="str">
        <f>HYPERLINK("https://scontent.cdninstagram.com/t51.2885-15/s320x320/e35/20968953_332233057236288_2102753805585088512_n.jpg")</f>
        <v>https://scontent.cdninstagram.com/t51.2885-15/s320x320/e35/20968953_332233057236288_2102753805585088512_n.jpg</v>
      </c>
      <c r="AE2137" s="249" t="str">
        <f>HYPERLINK("https://scontent.cdninstagram.com/t51.2885-19/s150x150/17265326_1445775298828585_4169621415655374848_a.jpg")</f>
        <v>https://scontent.cdninstagram.com/t51.2885-19/s150x150/17265326_1445775298828585_4169621415655374848_a.jpg</v>
      </c>
    </row>
    <row r="2138" spans="1:31" ht="15" x14ac:dyDescent="0.25">
      <c r="A2138" t="s">
        <v>2474</v>
      </c>
      <c r="B2138" t="s">
        <v>13773</v>
      </c>
      <c r="C2138" s="221">
        <v>42969.376099537039</v>
      </c>
      <c r="D2138" t="s">
        <v>13774</v>
      </c>
      <c r="E2138" s="249" t="str">
        <f>HYPERLINK("https://www.instagram.com/p/BYGNUyMlibY/")</f>
        <v>https://www.instagram.com/p/BYGNUyMlibY/</v>
      </c>
      <c r="F2138" t="s">
        <v>13775</v>
      </c>
      <c r="G2138" t="s">
        <v>2488</v>
      </c>
      <c r="H2138">
        <v>203</v>
      </c>
      <c r="I2138" t="s">
        <v>2479</v>
      </c>
      <c r="J2138">
        <v>6</v>
      </c>
      <c r="K2138">
        <v>12</v>
      </c>
      <c r="L2138">
        <v>18</v>
      </c>
      <c r="Q2138">
        <v>0</v>
      </c>
      <c r="R2138">
        <v>0</v>
      </c>
      <c r="S2138">
        <v>18</v>
      </c>
      <c r="T2138" t="s">
        <v>13758</v>
      </c>
      <c r="U2138" t="s">
        <v>108</v>
      </c>
      <c r="V2138" t="s">
        <v>2299</v>
      </c>
      <c r="W2138">
        <v>38.895099999999999</v>
      </c>
      <c r="X2138">
        <v>-77.036699999999996</v>
      </c>
      <c r="Y2138" t="s">
        <v>13776</v>
      </c>
      <c r="Z2138" t="s">
        <v>13777</v>
      </c>
      <c r="AA2138" t="s">
        <v>13778</v>
      </c>
      <c r="AB2138" t="s">
        <v>13779</v>
      </c>
      <c r="AC2138" t="s">
        <v>2497</v>
      </c>
      <c r="AD2138" s="249" t="str">
        <f>HYPERLINK("https://scontent.cdninstagram.com/t51.2885-15/s320x320/e35/21041735_1928628327395225_1520074327184113664_n.jpg")</f>
        <v>https://scontent.cdninstagram.com/t51.2885-15/s320x320/e35/21041735_1928628327395225_1520074327184113664_n.jpg</v>
      </c>
      <c r="AE2138" s="249" t="str">
        <f>HYPERLINK("https://scontent.cdninstagram.com/t51.2885-19/s150x150/13768232_1816382845258637_1744743784_a.jpg")</f>
        <v>https://scontent.cdninstagram.com/t51.2885-19/s150x150/13768232_1816382845258637_1744743784_a.jpg</v>
      </c>
    </row>
    <row r="2139" spans="1:31" ht="15" x14ac:dyDescent="0.25">
      <c r="A2139" t="s">
        <v>2474</v>
      </c>
      <c r="B2139" t="s">
        <v>13780</v>
      </c>
      <c r="C2139" s="221">
        <v>42969.383819444447</v>
      </c>
      <c r="D2139" t="s">
        <v>13781</v>
      </c>
      <c r="E2139" s="249" t="str">
        <f>HYPERLINK("https://www.instagram.com/p/BYGOmQNDe__/")</f>
        <v>https://www.instagram.com/p/BYGOmQNDe__/</v>
      </c>
      <c r="F2139" t="s">
        <v>13782</v>
      </c>
      <c r="G2139" t="s">
        <v>2478</v>
      </c>
      <c r="H2139">
        <v>579</v>
      </c>
      <c r="I2139" t="s">
        <v>2479</v>
      </c>
      <c r="J2139">
        <v>18</v>
      </c>
      <c r="K2139">
        <v>169</v>
      </c>
      <c r="L2139">
        <v>187</v>
      </c>
      <c r="Q2139">
        <v>0</v>
      </c>
      <c r="R2139">
        <v>0</v>
      </c>
      <c r="S2139">
        <v>187</v>
      </c>
      <c r="Y2139" t="s">
        <v>13783</v>
      </c>
      <c r="Z2139" t="s">
        <v>13784</v>
      </c>
      <c r="AA2139" t="s">
        <v>9275</v>
      </c>
      <c r="AB2139" t="s">
        <v>13785</v>
      </c>
      <c r="AC2139" t="s">
        <v>4421</v>
      </c>
      <c r="AD2139" s="249" t="str">
        <f>HYPERLINK("https://scontent.cdninstagram.com/t51.2885-15/s320x320/e35/c0.135.1080.1080/20968531_145236606068739_5350881586927632384_n.jpg")</f>
        <v>https://scontent.cdninstagram.com/t51.2885-15/s320x320/e35/c0.135.1080.1080/20968531_145236606068739_5350881586927632384_n.jpg</v>
      </c>
      <c r="AE2139" s="249" t="str">
        <f>HYPERLINK("https://scontent.cdninstagram.com/t51.2885-19/s150x150/20759549_1879763205607902_1044466330478051328_a.jpg")</f>
        <v>https://scontent.cdninstagram.com/t51.2885-19/s150x150/20759549_1879763205607902_1044466330478051328_a.jpg</v>
      </c>
    </row>
    <row r="2140" spans="1:31" ht="15" x14ac:dyDescent="0.25">
      <c r="A2140" t="s">
        <v>2474</v>
      </c>
      <c r="B2140" t="s">
        <v>13786</v>
      </c>
      <c r="C2140" s="221">
        <v>42969.384826388887</v>
      </c>
      <c r="D2140" t="s">
        <v>13787</v>
      </c>
      <c r="E2140" s="249" t="str">
        <f>HYPERLINK("https://www.instagram.com/p/BYGOw3kA4dL/")</f>
        <v>https://www.instagram.com/p/BYGOw3kA4dL/</v>
      </c>
      <c r="F2140" t="s">
        <v>13788</v>
      </c>
      <c r="G2140" t="s">
        <v>2478</v>
      </c>
      <c r="H2140">
        <v>178</v>
      </c>
      <c r="I2140" t="s">
        <v>2479</v>
      </c>
      <c r="J2140">
        <v>0</v>
      </c>
      <c r="K2140">
        <v>24</v>
      </c>
      <c r="L2140">
        <v>24</v>
      </c>
      <c r="Q2140">
        <v>0</v>
      </c>
      <c r="R2140">
        <v>0</v>
      </c>
      <c r="S2140">
        <v>24</v>
      </c>
      <c r="T2140" t="s">
        <v>13789</v>
      </c>
      <c r="V2140" t="s">
        <v>2222</v>
      </c>
      <c r="W2140">
        <v>51.883299999999998</v>
      </c>
      <c r="X2140">
        <v>5.4333</v>
      </c>
      <c r="Y2140" t="s">
        <v>2547</v>
      </c>
      <c r="Z2140" t="s">
        <v>13790</v>
      </c>
      <c r="AA2140" t="s">
        <v>13791</v>
      </c>
      <c r="AB2140" t="s">
        <v>13792</v>
      </c>
      <c r="AC2140" t="s">
        <v>13793</v>
      </c>
      <c r="AD2140" s="249" t="str">
        <f>HYPERLINK("https://scontent.cdninstagram.com/t51.2885-15/s320x320/e35/20905600_1691384447540028_308109164129812480_n.jpg")</f>
        <v>https://scontent.cdninstagram.com/t51.2885-15/s320x320/e35/20905600_1691384447540028_308109164129812480_n.jpg</v>
      </c>
      <c r="AE2140" s="249" t="str">
        <f>HYPERLINK("https://scontent.cdninstagram.com/t51.2885-19/s150x150/13167499_1687446994850680_249958359_a.jpg")</f>
        <v>https://scontent.cdninstagram.com/t51.2885-19/s150x150/13167499_1687446994850680_249958359_a.jpg</v>
      </c>
    </row>
    <row r="2141" spans="1:31" ht="15" x14ac:dyDescent="0.25">
      <c r="A2141" t="s">
        <v>2474</v>
      </c>
      <c r="B2141" t="s">
        <v>2516</v>
      </c>
      <c r="C2141" s="221">
        <v>42969.387928240743</v>
      </c>
      <c r="D2141" t="s">
        <v>13794</v>
      </c>
      <c r="E2141" s="249" t="str">
        <f>HYPERLINK("https://www.instagram.com/p/BYGPRgjDuL5/")</f>
        <v>https://www.instagram.com/p/BYGPRgjDuL5/</v>
      </c>
      <c r="F2141" t="s">
        <v>13795</v>
      </c>
      <c r="G2141" t="s">
        <v>2478</v>
      </c>
      <c r="H2141">
        <v>684</v>
      </c>
      <c r="I2141" t="s">
        <v>2479</v>
      </c>
      <c r="J2141">
        <v>1</v>
      </c>
      <c r="K2141">
        <v>20</v>
      </c>
      <c r="L2141">
        <v>21</v>
      </c>
      <c r="Q2141">
        <v>0</v>
      </c>
      <c r="R2141">
        <v>0</v>
      </c>
      <c r="S2141">
        <v>21</v>
      </c>
      <c r="Y2141" t="s">
        <v>13796</v>
      </c>
      <c r="Z2141" t="s">
        <v>13797</v>
      </c>
      <c r="AA2141" t="s">
        <v>13798</v>
      </c>
      <c r="AB2141" t="s">
        <v>13799</v>
      </c>
      <c r="AC2141" t="s">
        <v>13800</v>
      </c>
      <c r="AD2141" s="249" t="str">
        <f>HYPERLINK("https://scontent.cdninstagram.com/t51.2885-15/s320x320/e35/c236.0.608.608/20969251_164421404116803_1986992359509852160_n.jpg")</f>
        <v>https://scontent.cdninstagram.com/t51.2885-15/s320x320/e35/c236.0.608.608/20969251_164421404116803_1986992359509852160_n.jpg</v>
      </c>
      <c r="AE2141" s="249" t="str">
        <f>HYPERLINK("https://scontent.cdninstagram.com/t51.2885-19/s150x150/19955124_1311741785589715_3896736407896457216_a.jpg")</f>
        <v>https://scontent.cdninstagram.com/t51.2885-19/s150x150/19955124_1311741785589715_3896736407896457216_a.jpg</v>
      </c>
    </row>
    <row r="2142" spans="1:31" ht="15" x14ac:dyDescent="0.25">
      <c r="A2142" t="s">
        <v>2474</v>
      </c>
      <c r="B2142" t="s">
        <v>3754</v>
      </c>
      <c r="C2142" s="221">
        <v>42969.401701388888</v>
      </c>
      <c r="D2142" t="s">
        <v>13801</v>
      </c>
      <c r="E2142" s="249" t="str">
        <f>HYPERLINK("https://www.instagram.com/p/BYGRiztjF7r/")</f>
        <v>https://www.instagram.com/p/BYGRiztjF7r/</v>
      </c>
      <c r="F2142" t="s">
        <v>7206</v>
      </c>
      <c r="G2142" t="s">
        <v>2478</v>
      </c>
      <c r="H2142">
        <v>201609</v>
      </c>
      <c r="I2142" t="s">
        <v>2479</v>
      </c>
      <c r="J2142">
        <v>2</v>
      </c>
      <c r="K2142">
        <v>294</v>
      </c>
      <c r="L2142">
        <v>296</v>
      </c>
      <c r="Q2142">
        <v>0</v>
      </c>
      <c r="R2142">
        <v>0</v>
      </c>
      <c r="S2142">
        <v>296</v>
      </c>
      <c r="Y2142" t="s">
        <v>6242</v>
      </c>
      <c r="Z2142" t="s">
        <v>8783</v>
      </c>
      <c r="AA2142" t="s">
        <v>3760</v>
      </c>
      <c r="AB2142" t="s">
        <v>4233</v>
      </c>
      <c r="AC2142" t="s">
        <v>13802</v>
      </c>
      <c r="AD2142" s="249" t="str">
        <f>HYPERLINK("https://scontent.cdninstagram.com/t51.2885-15/s320x320/e35/20968610_723515097857728_2394380736363757568_n.jpg")</f>
        <v>https://scontent.cdninstagram.com/t51.2885-15/s320x320/e35/20968610_723515097857728_2394380736363757568_n.jpg</v>
      </c>
      <c r="AE2142" s="249" t="str">
        <f>HYPERLINK("https://scontent.cdninstagram.com/t51.2885-19/s150x150/12905002_1681254462136092_1137392787_a.jpg")</f>
        <v>https://scontent.cdninstagram.com/t51.2885-19/s150x150/12905002_1681254462136092_1137392787_a.jpg</v>
      </c>
    </row>
    <row r="2143" spans="1:31" ht="15" x14ac:dyDescent="0.25">
      <c r="A2143" t="s">
        <v>2474</v>
      </c>
      <c r="B2143" t="s">
        <v>13803</v>
      </c>
      <c r="C2143" s="221">
        <v>42969.404143518521</v>
      </c>
      <c r="D2143" t="s">
        <v>13804</v>
      </c>
      <c r="E2143" s="249" t="str">
        <f>HYPERLINK("https://www.instagram.com/p/BYGR8kVhepM/")</f>
        <v>https://www.instagram.com/p/BYGR8kVhepM/</v>
      </c>
      <c r="F2143" t="s">
        <v>13805</v>
      </c>
      <c r="G2143" t="s">
        <v>2478</v>
      </c>
      <c r="H2143">
        <v>457</v>
      </c>
      <c r="I2143" t="s">
        <v>3273</v>
      </c>
      <c r="J2143">
        <v>3</v>
      </c>
      <c r="K2143">
        <v>17</v>
      </c>
      <c r="L2143">
        <v>20</v>
      </c>
      <c r="Q2143">
        <v>0</v>
      </c>
      <c r="R2143">
        <v>0</v>
      </c>
      <c r="S2143">
        <v>20</v>
      </c>
      <c r="Y2143" t="s">
        <v>13806</v>
      </c>
      <c r="Z2143" t="s">
        <v>13807</v>
      </c>
      <c r="AA2143" t="s">
        <v>13808</v>
      </c>
      <c r="AB2143" t="s">
        <v>2497</v>
      </c>
      <c r="AC2143" t="s">
        <v>2886</v>
      </c>
      <c r="AD2143" s="249" t="str">
        <f>HYPERLINK("https://scontent.cdninstagram.com/t51.2885-15/s320x320/e35/c135.0.810.810/20968563_319962851799601_7424320131888578560_n.jpg")</f>
        <v>https://scontent.cdninstagram.com/t51.2885-15/s320x320/e35/c135.0.810.810/20968563_319962851799601_7424320131888578560_n.jpg</v>
      </c>
      <c r="AE2143" s="249" t="str">
        <f>HYPERLINK("https://scontent.cdninstagram.com/t51.2885-19/s150x150/18879390_381397892257093_4398802343743717376_a.jpg")</f>
        <v>https://scontent.cdninstagram.com/t51.2885-19/s150x150/18879390_381397892257093_4398802343743717376_a.jpg</v>
      </c>
    </row>
    <row r="2144" spans="1:31" ht="15" x14ac:dyDescent="0.25">
      <c r="A2144" t="s">
        <v>2474</v>
      </c>
      <c r="B2144" t="s">
        <v>13809</v>
      </c>
      <c r="C2144" s="221">
        <v>42969.407650462963</v>
      </c>
      <c r="D2144" t="s">
        <v>13810</v>
      </c>
      <c r="E2144" s="249" t="str">
        <f>HYPERLINK("https://www.instagram.com/p/BYGShkKAlp5/")</f>
        <v>https://www.instagram.com/p/BYGShkKAlp5/</v>
      </c>
      <c r="F2144" t="s">
        <v>13811</v>
      </c>
      <c r="G2144" t="s">
        <v>2478</v>
      </c>
      <c r="H2144">
        <v>386</v>
      </c>
      <c r="I2144" t="s">
        <v>2639</v>
      </c>
      <c r="J2144">
        <v>1</v>
      </c>
      <c r="K2144">
        <v>11</v>
      </c>
      <c r="L2144">
        <v>12</v>
      </c>
      <c r="Q2144">
        <v>0</v>
      </c>
      <c r="R2144">
        <v>0</v>
      </c>
      <c r="S2144">
        <v>12</v>
      </c>
      <c r="T2144" t="s">
        <v>2936</v>
      </c>
      <c r="V2144" t="s">
        <v>2288</v>
      </c>
      <c r="W2144">
        <v>51.507114863623997</v>
      </c>
      <c r="X2144">
        <v>-0.12731805236353</v>
      </c>
      <c r="Y2144" t="s">
        <v>13812</v>
      </c>
      <c r="Z2144" t="s">
        <v>13813</v>
      </c>
      <c r="AA2144" t="s">
        <v>13814</v>
      </c>
      <c r="AB2144" t="s">
        <v>2497</v>
      </c>
      <c r="AC2144" t="s">
        <v>13815</v>
      </c>
      <c r="AD2144" s="249" t="str">
        <f>HYPERLINK("https://scontent.cdninstagram.com/t51.2885-15/s320x320/e35/c0.135.1080.1080/21042517_853517964825139_4584171637590458368_n.jpg")</f>
        <v>https://scontent.cdninstagram.com/t51.2885-15/s320x320/e35/c0.135.1080.1080/21042517_853517964825139_4584171637590458368_n.jpg</v>
      </c>
      <c r="AE2144" s="249" t="str">
        <f>HYPERLINK("https://scontent.cdninstagram.com/t51.2885-19/s150x150/17333550_771848709638958_3064066412411617280_a.jpg")</f>
        <v>https://scontent.cdninstagram.com/t51.2885-19/s150x150/17333550_771848709638958_3064066412411617280_a.jpg</v>
      </c>
    </row>
    <row r="2145" spans="1:31" ht="15" x14ac:dyDescent="0.25">
      <c r="A2145" t="s">
        <v>2474</v>
      </c>
      <c r="B2145" t="s">
        <v>3015</v>
      </c>
      <c r="C2145" s="221">
        <v>42969.413703703707</v>
      </c>
      <c r="D2145" t="s">
        <v>13816</v>
      </c>
      <c r="E2145" s="249" t="str">
        <f>HYPERLINK("https://www.instagram.com/p/BYGThWVAq0V/")</f>
        <v>https://www.instagram.com/p/BYGThWVAq0V/</v>
      </c>
      <c r="F2145" t="s">
        <v>13817</v>
      </c>
      <c r="G2145" t="s">
        <v>2478</v>
      </c>
      <c r="H2145">
        <v>231</v>
      </c>
      <c r="I2145" t="s">
        <v>2479</v>
      </c>
      <c r="J2145">
        <v>0</v>
      </c>
      <c r="K2145">
        <v>21</v>
      </c>
      <c r="L2145">
        <v>21</v>
      </c>
      <c r="Q2145">
        <v>0</v>
      </c>
      <c r="R2145">
        <v>0</v>
      </c>
      <c r="S2145">
        <v>21</v>
      </c>
      <c r="Y2145" t="s">
        <v>3021</v>
      </c>
      <c r="Z2145" t="s">
        <v>3728</v>
      </c>
      <c r="AA2145" t="s">
        <v>3494</v>
      </c>
      <c r="AB2145" t="s">
        <v>3725</v>
      </c>
      <c r="AC2145" t="s">
        <v>10468</v>
      </c>
      <c r="AD2145" s="249" t="str">
        <f>HYPERLINK("https://scontent.cdninstagram.com/t51.2885-15/s320x320/e35/c0.57.540.540/21041695_268974810286223_51376755277037568_n.jpg")</f>
        <v>https://scontent.cdninstagram.com/t51.2885-15/s320x320/e35/c0.57.540.540/21041695_268974810286223_51376755277037568_n.jpg</v>
      </c>
      <c r="AE2145" s="249" t="str">
        <f>HYPERLINK("https://scontent.cdninstagram.com/t51.2885-19/s150x150/19761452_1876060406050696_4275948751316582400_a.jpg")</f>
        <v>https://scontent.cdninstagram.com/t51.2885-19/s150x150/19761452_1876060406050696_4275948751316582400_a.jpg</v>
      </c>
    </row>
    <row r="2146" spans="1:31" ht="15" x14ac:dyDescent="0.25">
      <c r="A2146" t="s">
        <v>2474</v>
      </c>
      <c r="B2146" t="s">
        <v>3644</v>
      </c>
      <c r="C2146" s="221">
        <v>42969.419120370374</v>
      </c>
      <c r="D2146" t="s">
        <v>13818</v>
      </c>
      <c r="E2146" s="249" t="str">
        <f>HYPERLINK("https://www.instagram.com/p/BYGUalMl7hT/")</f>
        <v>https://www.instagram.com/p/BYGUalMl7hT/</v>
      </c>
      <c r="F2146" t="s">
        <v>13819</v>
      </c>
      <c r="G2146" t="s">
        <v>2631</v>
      </c>
      <c r="H2146">
        <v>574</v>
      </c>
      <c r="I2146" t="s">
        <v>2479</v>
      </c>
      <c r="J2146">
        <v>2</v>
      </c>
      <c r="K2146">
        <v>20</v>
      </c>
      <c r="L2146">
        <v>22</v>
      </c>
      <c r="Q2146">
        <v>0</v>
      </c>
      <c r="R2146">
        <v>0</v>
      </c>
      <c r="S2146">
        <v>22</v>
      </c>
      <c r="T2146" t="s">
        <v>3647</v>
      </c>
      <c r="V2146" t="s">
        <v>2141</v>
      </c>
      <c r="W2146">
        <v>55.426879900000003</v>
      </c>
      <c r="X2146">
        <v>10.3903303</v>
      </c>
      <c r="Y2146" t="s">
        <v>13820</v>
      </c>
      <c r="Z2146" t="s">
        <v>3061</v>
      </c>
      <c r="AA2146" t="s">
        <v>3651</v>
      </c>
      <c r="AB2146" t="s">
        <v>3650</v>
      </c>
      <c r="AC2146" t="s">
        <v>6487</v>
      </c>
      <c r="AD2146" s="249" t="str">
        <f>HYPERLINK("https://scontent.cdninstagram.com/t51.2885-15/s320x320/e15/20987082_112815149416968_6492158623446204416_n.jpg")</f>
        <v>https://scontent.cdninstagram.com/t51.2885-15/s320x320/e15/20987082_112815149416968_6492158623446204416_n.jpg</v>
      </c>
      <c r="AE2146" s="249" t="str">
        <f>HYPERLINK("https://scontent.cdninstagram.com/t51.2885-19/s150x150/14714495_1790450111234953_7147855754219749376_a.jpg")</f>
        <v>https://scontent.cdninstagram.com/t51.2885-19/s150x150/14714495_1790450111234953_7147855754219749376_a.jpg</v>
      </c>
    </row>
    <row r="2147" spans="1:31" ht="15" x14ac:dyDescent="0.25">
      <c r="A2147" t="s">
        <v>2474</v>
      </c>
      <c r="B2147" t="s">
        <v>2941</v>
      </c>
      <c r="C2147" s="221">
        <v>42969.442106481481</v>
      </c>
      <c r="D2147" t="s">
        <v>13821</v>
      </c>
      <c r="E2147" s="249" t="str">
        <f>HYPERLINK("https://www.instagram.com/p/BYGYM92DGzx/")</f>
        <v>https://www.instagram.com/p/BYGYM92DGzx/</v>
      </c>
      <c r="F2147" t="s">
        <v>13822</v>
      </c>
      <c r="G2147" t="s">
        <v>2478</v>
      </c>
      <c r="H2147">
        <v>223</v>
      </c>
      <c r="I2147" t="s">
        <v>2542</v>
      </c>
      <c r="J2147">
        <v>3</v>
      </c>
      <c r="K2147">
        <v>18</v>
      </c>
      <c r="L2147">
        <v>21</v>
      </c>
      <c r="Q2147">
        <v>0</v>
      </c>
      <c r="R2147">
        <v>0</v>
      </c>
      <c r="S2147">
        <v>21</v>
      </c>
      <c r="Y2147" t="s">
        <v>3145</v>
      </c>
      <c r="Z2147" t="s">
        <v>8048</v>
      </c>
      <c r="AA2147" t="s">
        <v>13823</v>
      </c>
      <c r="AB2147" t="s">
        <v>2651</v>
      </c>
      <c r="AC2147" t="s">
        <v>13824</v>
      </c>
      <c r="AD2147" s="249" t="str">
        <f>HYPERLINK("https://scontent.cdninstagram.com/t51.2885-15/e35/p320x320/20986725_693029417558273_7274354841873285120_n.jpg")</f>
        <v>https://scontent.cdninstagram.com/t51.2885-15/e35/p320x320/20986725_693029417558273_7274354841873285120_n.jpg</v>
      </c>
      <c r="AE2147" s="249" t="str">
        <f>HYPERLINK("https://scontent.cdninstagram.com/t51.2885-19/s150x150/20686926_123784664915170_1777034476677758976_a.jpg")</f>
        <v>https://scontent.cdninstagram.com/t51.2885-19/s150x150/20686926_123784664915170_1777034476677758976_a.jpg</v>
      </c>
    </row>
    <row r="2148" spans="1:31" ht="15" x14ac:dyDescent="0.25">
      <c r="A2148" t="s">
        <v>2474</v>
      </c>
      <c r="B2148" t="s">
        <v>13825</v>
      </c>
      <c r="C2148" s="221">
        <v>42969.444155092591</v>
      </c>
      <c r="D2148" t="s">
        <v>13826</v>
      </c>
      <c r="E2148" s="249" t="str">
        <f>HYPERLINK("https://www.instagram.com/p/BYGYinxn_Ik/")</f>
        <v>https://www.instagram.com/p/BYGYinxn_Ik/</v>
      </c>
      <c r="F2148" t="s">
        <v>13827</v>
      </c>
      <c r="G2148" t="s">
        <v>2631</v>
      </c>
      <c r="H2148">
        <v>191</v>
      </c>
      <c r="I2148" t="s">
        <v>2479</v>
      </c>
      <c r="J2148">
        <v>0</v>
      </c>
      <c r="K2148">
        <v>11</v>
      </c>
      <c r="L2148">
        <v>11</v>
      </c>
      <c r="Q2148">
        <v>0</v>
      </c>
      <c r="R2148">
        <v>0</v>
      </c>
      <c r="S2148">
        <v>11</v>
      </c>
      <c r="Y2148" t="s">
        <v>13828</v>
      </c>
      <c r="Z2148" t="s">
        <v>13829</v>
      </c>
      <c r="AA2148" t="s">
        <v>13830</v>
      </c>
      <c r="AB2148" t="s">
        <v>3982</v>
      </c>
      <c r="AC2148" t="s">
        <v>4589</v>
      </c>
      <c r="AD2148" s="249" t="str">
        <f>HYPERLINK("https://scontent.cdninstagram.com/t51.2885-15/s320x320/e15/20986809_440995896300117_2749336809598091264_n.jpg")</f>
        <v>https://scontent.cdninstagram.com/t51.2885-15/s320x320/e15/20986809_440995896300117_2749336809598091264_n.jpg</v>
      </c>
      <c r="AE2148" s="249" t="str">
        <f>HYPERLINK("https://scontent.cdninstagram.com/t51.2885-19/s150x150/16908379_1451243324894159_338301607399653376_a.jpg")</f>
        <v>https://scontent.cdninstagram.com/t51.2885-19/s150x150/16908379_1451243324894159_338301607399653376_a.jpg</v>
      </c>
    </row>
    <row r="2149" spans="1:31" ht="15" x14ac:dyDescent="0.25">
      <c r="A2149" t="s">
        <v>2474</v>
      </c>
      <c r="B2149" t="s">
        <v>13831</v>
      </c>
      <c r="C2149" s="221">
        <v>42969.447210648148</v>
      </c>
      <c r="D2149" t="s">
        <v>13832</v>
      </c>
      <c r="E2149" s="249" t="str">
        <f>HYPERLINK("https://www.instagram.com/p/BYGZC3FjOqZ/")</f>
        <v>https://www.instagram.com/p/BYGZC3FjOqZ/</v>
      </c>
      <c r="F2149" t="s">
        <v>13833</v>
      </c>
      <c r="G2149" t="s">
        <v>2478</v>
      </c>
      <c r="H2149">
        <v>503</v>
      </c>
      <c r="I2149" t="s">
        <v>3170</v>
      </c>
      <c r="J2149">
        <v>0</v>
      </c>
      <c r="K2149">
        <v>25</v>
      </c>
      <c r="L2149">
        <v>25</v>
      </c>
      <c r="Q2149">
        <v>0</v>
      </c>
      <c r="R2149">
        <v>0</v>
      </c>
      <c r="S2149">
        <v>25</v>
      </c>
      <c r="T2149" t="s">
        <v>13834</v>
      </c>
      <c r="V2149" t="s">
        <v>2288</v>
      </c>
      <c r="W2149">
        <v>52.052490476000997</v>
      </c>
      <c r="X2149">
        <v>-2.8125</v>
      </c>
      <c r="Y2149" t="s">
        <v>3583</v>
      </c>
      <c r="Z2149" t="s">
        <v>13835</v>
      </c>
      <c r="AA2149" t="s">
        <v>13836</v>
      </c>
      <c r="AB2149" t="s">
        <v>13837</v>
      </c>
      <c r="AC2149" t="s">
        <v>2497</v>
      </c>
      <c r="AD2149" s="249" t="str">
        <f>HYPERLINK("https://scontent.cdninstagram.com/t51.2885-15/s320x320/e35/20969303_146432632609159_4579666242666758144_n.jpg")</f>
        <v>https://scontent.cdninstagram.com/t51.2885-15/s320x320/e35/20969303_146432632609159_4579666242666758144_n.jpg</v>
      </c>
      <c r="AE2149" s="249" t="str">
        <f>HYPERLINK("https://scontent.cdninstagram.com/t51.2885-19/s150x150/21041164_342468079532316_5644024701291331584_a.jpg")</f>
        <v>https://scontent.cdninstagram.com/t51.2885-19/s150x150/21041164_342468079532316_5644024701291331584_a.jpg</v>
      </c>
    </row>
    <row r="2150" spans="1:31" ht="15" x14ac:dyDescent="0.25">
      <c r="A2150" t="s">
        <v>2474</v>
      </c>
      <c r="B2150" t="s">
        <v>4811</v>
      </c>
      <c r="C2150" s="221">
        <v>42969.449745370373</v>
      </c>
      <c r="D2150" t="s">
        <v>13838</v>
      </c>
      <c r="E2150" s="249" t="str">
        <f>HYPERLINK("https://www.instagram.com/p/BYGZde2g5BY/")</f>
        <v>https://www.instagram.com/p/BYGZde2g5BY/</v>
      </c>
      <c r="F2150" t="s">
        <v>13839</v>
      </c>
      <c r="G2150" t="s">
        <v>2488</v>
      </c>
      <c r="H2150">
        <v>990</v>
      </c>
      <c r="I2150" t="s">
        <v>2479</v>
      </c>
      <c r="J2150">
        <v>15</v>
      </c>
      <c r="K2150">
        <v>89</v>
      </c>
      <c r="L2150">
        <v>104</v>
      </c>
      <c r="Q2150">
        <v>0</v>
      </c>
      <c r="R2150">
        <v>0</v>
      </c>
      <c r="S2150">
        <v>104</v>
      </c>
      <c r="Y2150" t="s">
        <v>2906</v>
      </c>
      <c r="Z2150" t="s">
        <v>4814</v>
      </c>
      <c r="AA2150" t="s">
        <v>3246</v>
      </c>
      <c r="AB2150" t="s">
        <v>13840</v>
      </c>
      <c r="AC2150" t="s">
        <v>7339</v>
      </c>
      <c r="AD2150" s="249" t="str">
        <f>HYPERLINK("https://scontent.cdninstagram.com/t51.2885-15/s320x320/e35/20969003_124911834816236_44988055848747008_n.jpg")</f>
        <v>https://scontent.cdninstagram.com/t51.2885-15/s320x320/e35/20969003_124911834816236_44988055848747008_n.jpg</v>
      </c>
      <c r="AE2150" s="249" t="str">
        <f>HYPERLINK("https://scontent.cdninstagram.com/t51.2885-19/s150x150/16124251_1913091765603634_8004330562992996352_a.jpg")</f>
        <v>https://scontent.cdninstagram.com/t51.2885-19/s150x150/16124251_1913091765603634_8004330562992996352_a.jpg</v>
      </c>
    </row>
    <row r="2151" spans="1:31" ht="15" x14ac:dyDescent="0.25">
      <c r="A2151" t="s">
        <v>2474</v>
      </c>
      <c r="B2151" t="s">
        <v>12623</v>
      </c>
      <c r="C2151" s="221">
        <v>42969.450729166667</v>
      </c>
      <c r="D2151" t="s">
        <v>13841</v>
      </c>
      <c r="E2151" s="249" t="str">
        <f>HYPERLINK("https://www.instagram.com/p/BYGZn3mBdlr/")</f>
        <v>https://www.instagram.com/p/BYGZn3mBdlr/</v>
      </c>
      <c r="F2151" t="s">
        <v>13842</v>
      </c>
      <c r="G2151" t="s">
        <v>2478</v>
      </c>
      <c r="H2151">
        <v>45</v>
      </c>
      <c r="I2151" t="s">
        <v>2479</v>
      </c>
      <c r="J2151">
        <v>0</v>
      </c>
      <c r="K2151">
        <v>4</v>
      </c>
      <c r="L2151">
        <v>4</v>
      </c>
      <c r="Q2151">
        <v>0</v>
      </c>
      <c r="R2151">
        <v>0</v>
      </c>
      <c r="S2151">
        <v>4</v>
      </c>
      <c r="Y2151" t="s">
        <v>3225</v>
      </c>
      <c r="Z2151" t="s">
        <v>13647</v>
      </c>
      <c r="AA2151" t="s">
        <v>13843</v>
      </c>
      <c r="AB2151" t="s">
        <v>5884</v>
      </c>
      <c r="AC2151" t="s">
        <v>4839</v>
      </c>
      <c r="AD2151" s="249" t="str">
        <f>HYPERLINK("https://scontent.cdninstagram.com/t51.2885-15/s320x320/e35/20987460_1423233234397674_9082952053956804608_n.jpg")</f>
        <v>https://scontent.cdninstagram.com/t51.2885-15/s320x320/e35/20987460_1423233234397674_9082952053956804608_n.jpg</v>
      </c>
      <c r="AE2151" s="249" t="str">
        <f>HYPERLINK("https://scontent.cdninstagram.com/t51.2885-19/s150x150/20905221_267313190438379_2128714709635956736_a.jpg")</f>
        <v>https://scontent.cdninstagram.com/t51.2885-19/s150x150/20905221_267313190438379_2128714709635956736_a.jpg</v>
      </c>
    </row>
    <row r="2152" spans="1:31" ht="15" x14ac:dyDescent="0.25">
      <c r="A2152" t="s">
        <v>2474</v>
      </c>
      <c r="B2152" t="s">
        <v>13844</v>
      </c>
      <c r="C2152" s="221">
        <v>42969.454270833332</v>
      </c>
      <c r="D2152" t="s">
        <v>13845</v>
      </c>
      <c r="E2152" s="249" t="str">
        <f>HYPERLINK("https://www.instagram.com/p/BYGaNQfh0Go/")</f>
        <v>https://www.instagram.com/p/BYGaNQfh0Go/</v>
      </c>
      <c r="F2152" t="s">
        <v>13846</v>
      </c>
      <c r="G2152" t="s">
        <v>2478</v>
      </c>
      <c r="H2152">
        <v>1730</v>
      </c>
      <c r="I2152" t="s">
        <v>2582</v>
      </c>
      <c r="J2152">
        <v>2</v>
      </c>
      <c r="K2152">
        <v>214</v>
      </c>
      <c r="L2152">
        <v>216</v>
      </c>
      <c r="Q2152">
        <v>0</v>
      </c>
      <c r="R2152">
        <v>0</v>
      </c>
      <c r="S2152">
        <v>216</v>
      </c>
      <c r="T2152" t="s">
        <v>13847</v>
      </c>
      <c r="V2152" t="s">
        <v>2164</v>
      </c>
      <c r="W2152">
        <v>40.008276658219003</v>
      </c>
      <c r="X2152">
        <v>22.59864628315</v>
      </c>
      <c r="Y2152" t="s">
        <v>13848</v>
      </c>
      <c r="Z2152" t="s">
        <v>13849</v>
      </c>
      <c r="AA2152" t="s">
        <v>2497</v>
      </c>
      <c r="AD2152" s="249" t="str">
        <f>HYPERLINK("https://scontent.cdninstagram.com/t51.2885-15/e35/p320x320/20905601_249397695579439_3897910866703548416_n.jpg")</f>
        <v>https://scontent.cdninstagram.com/t51.2885-15/e35/p320x320/20905601_249397695579439_3897910866703548416_n.jpg</v>
      </c>
      <c r="AE2152" s="249" t="str">
        <f>HYPERLINK("https://scontent.cdninstagram.com/t51.2885-19/s150x150/20482021_1558738297503045_4611827894082076672_a.jpg")</f>
        <v>https://scontent.cdninstagram.com/t51.2885-19/s150x150/20482021_1558738297503045_4611827894082076672_a.jpg</v>
      </c>
    </row>
    <row r="2153" spans="1:31" ht="15" x14ac:dyDescent="0.25">
      <c r="A2153" t="s">
        <v>2474</v>
      </c>
      <c r="B2153" t="s">
        <v>13850</v>
      </c>
      <c r="C2153" s="221">
        <v>42969.454629629632</v>
      </c>
      <c r="D2153" t="s">
        <v>13851</v>
      </c>
      <c r="E2153" s="249" t="str">
        <f>HYPERLINK("https://www.instagram.com/p/BYGaREXl05J/")</f>
        <v>https://www.instagram.com/p/BYGaREXl05J/</v>
      </c>
      <c r="F2153" t="s">
        <v>13852</v>
      </c>
      <c r="G2153" t="s">
        <v>2478</v>
      </c>
      <c r="H2153">
        <v>3717</v>
      </c>
      <c r="I2153" t="s">
        <v>2479</v>
      </c>
      <c r="J2153">
        <v>8</v>
      </c>
      <c r="K2153">
        <v>82</v>
      </c>
      <c r="L2153">
        <v>90</v>
      </c>
      <c r="Q2153">
        <v>0</v>
      </c>
      <c r="R2153">
        <v>0</v>
      </c>
      <c r="S2153">
        <v>90</v>
      </c>
      <c r="T2153" t="s">
        <v>13853</v>
      </c>
      <c r="U2153" t="s">
        <v>218</v>
      </c>
      <c r="V2153" t="s">
        <v>2299</v>
      </c>
      <c r="W2153">
        <v>40.601700000000001</v>
      </c>
      <c r="X2153">
        <v>-75.4773</v>
      </c>
      <c r="AD2153" s="249" t="str">
        <f>HYPERLINK("https://scontent.cdninstagram.com/t51.2885-15/s320x320/e35/20968434_117909638868748_6731143883834523648_n.jpg")</f>
        <v>https://scontent.cdninstagram.com/t51.2885-15/s320x320/e35/20968434_117909638868748_6731143883834523648_n.jpg</v>
      </c>
      <c r="AE2153" s="249" t="str">
        <f>HYPERLINK("https://scontent.cdninstagram.com/t51.2885-19/s150x150/21040925_113866532650807_5863638976274890752_a.jpg")</f>
        <v>https://scontent.cdninstagram.com/t51.2885-19/s150x150/21040925_113866532650807_5863638976274890752_a.jpg</v>
      </c>
    </row>
    <row r="2154" spans="1:31" ht="15" x14ac:dyDescent="0.25">
      <c r="A2154" t="s">
        <v>2474</v>
      </c>
      <c r="B2154" t="s">
        <v>13854</v>
      </c>
      <c r="C2154" s="221">
        <v>42969.473657407405</v>
      </c>
      <c r="D2154" t="s">
        <v>13855</v>
      </c>
      <c r="E2154" s="249" t="str">
        <f>HYPERLINK("https://www.instagram.com/p/BYGdZugA8KX/")</f>
        <v>https://www.instagram.com/p/BYGdZugA8KX/</v>
      </c>
      <c r="F2154" t="s">
        <v>13856</v>
      </c>
      <c r="G2154" t="s">
        <v>2478</v>
      </c>
      <c r="H2154">
        <v>53</v>
      </c>
      <c r="I2154" t="s">
        <v>2479</v>
      </c>
      <c r="J2154">
        <v>0</v>
      </c>
      <c r="K2154">
        <v>14</v>
      </c>
      <c r="L2154">
        <v>14</v>
      </c>
      <c r="Q2154">
        <v>0</v>
      </c>
      <c r="R2154">
        <v>0</v>
      </c>
      <c r="S2154">
        <v>14</v>
      </c>
      <c r="T2154" t="s">
        <v>13857</v>
      </c>
      <c r="V2154" t="s">
        <v>2270</v>
      </c>
      <c r="W2154">
        <v>59.381445350432003</v>
      </c>
      <c r="X2154">
        <v>13.525518059705</v>
      </c>
      <c r="Y2154" t="s">
        <v>13858</v>
      </c>
      <c r="Z2154" t="s">
        <v>2861</v>
      </c>
      <c r="AA2154" t="s">
        <v>2513</v>
      </c>
      <c r="AB2154" t="s">
        <v>13859</v>
      </c>
      <c r="AC2154" t="s">
        <v>2497</v>
      </c>
      <c r="AD2154" s="249" t="str">
        <f>HYPERLINK("https://scontent.cdninstagram.com/t51.2885-15/s320x320/e35/20905692_125856608039244_6987438605455065088_n.jpg")</f>
        <v>https://scontent.cdninstagram.com/t51.2885-15/s320x320/e35/20905692_125856608039244_6987438605455065088_n.jpg</v>
      </c>
      <c r="AE2154" s="249" t="str">
        <f>HYPERLINK("https://scontent.cdninstagram.com/t51.2885-19/s150x150/19121656_899569996862826_7350519902114938880_a.jpg")</f>
        <v>https://scontent.cdninstagram.com/t51.2885-19/s150x150/19121656_899569996862826_7350519902114938880_a.jpg</v>
      </c>
    </row>
    <row r="2155" spans="1:31" ht="15" x14ac:dyDescent="0.25">
      <c r="A2155" t="s">
        <v>2474</v>
      </c>
      <c r="B2155" t="s">
        <v>13860</v>
      </c>
      <c r="C2155" s="221">
        <v>42969.473946759259</v>
      </c>
      <c r="D2155" t="s">
        <v>13861</v>
      </c>
      <c r="E2155" s="249" t="str">
        <f>HYPERLINK("https://www.instagram.com/p/BYGdczhnJrG/")</f>
        <v>https://www.instagram.com/p/BYGdczhnJrG/</v>
      </c>
      <c r="F2155" t="s">
        <v>13862</v>
      </c>
      <c r="G2155" t="s">
        <v>2478</v>
      </c>
      <c r="H2155">
        <v>37266</v>
      </c>
      <c r="I2155" t="s">
        <v>2479</v>
      </c>
      <c r="J2155">
        <v>30</v>
      </c>
      <c r="K2155">
        <v>2094</v>
      </c>
      <c r="L2155">
        <v>2124</v>
      </c>
      <c r="Q2155">
        <v>0</v>
      </c>
      <c r="R2155">
        <v>0</v>
      </c>
      <c r="S2155">
        <v>2124</v>
      </c>
      <c r="Y2155" t="s">
        <v>5577</v>
      </c>
      <c r="AD2155" s="249" t="str">
        <f>HYPERLINK("https://scontent.cdninstagram.com/t51.2885-15/s320x320/e35/20986680_268008353704048_6291669176406769664_n.jpg")</f>
        <v>https://scontent.cdninstagram.com/t51.2885-15/s320x320/e35/20986680_268008353704048_6291669176406769664_n.jpg</v>
      </c>
      <c r="AE2155" s="249" t="str">
        <f>HYPERLINK("https://scontent.cdninstagram.com/t51.2885-19/10949061_527490317393617_1069685143_a.jpg")</f>
        <v>https://scontent.cdninstagram.com/t51.2885-19/10949061_527490317393617_1069685143_a.jpg</v>
      </c>
    </row>
    <row r="2156" spans="1:31" ht="15" x14ac:dyDescent="0.25">
      <c r="A2156" t="s">
        <v>2474</v>
      </c>
      <c r="B2156" t="s">
        <v>13863</v>
      </c>
      <c r="C2156" s="221">
        <v>42969.47483796296</v>
      </c>
      <c r="D2156" t="s">
        <v>13864</v>
      </c>
      <c r="E2156" s="249" t="str">
        <f>HYPERLINK("https://www.instagram.com/p/BYGdmKLnquh/")</f>
        <v>https://www.instagram.com/p/BYGdmKLnquh/</v>
      </c>
      <c r="F2156" t="s">
        <v>13865</v>
      </c>
      <c r="G2156" t="s">
        <v>2478</v>
      </c>
      <c r="H2156">
        <v>190</v>
      </c>
      <c r="I2156" t="s">
        <v>2542</v>
      </c>
      <c r="J2156">
        <v>0</v>
      </c>
      <c r="K2156">
        <v>11</v>
      </c>
      <c r="L2156">
        <v>11</v>
      </c>
      <c r="Q2156">
        <v>0</v>
      </c>
      <c r="R2156">
        <v>0</v>
      </c>
      <c r="S2156">
        <v>11</v>
      </c>
      <c r="Y2156" t="s">
        <v>13866</v>
      </c>
      <c r="Z2156" t="s">
        <v>13867</v>
      </c>
      <c r="AA2156" t="s">
        <v>13868</v>
      </c>
      <c r="AB2156" t="s">
        <v>9549</v>
      </c>
      <c r="AC2156" t="s">
        <v>13869</v>
      </c>
      <c r="AD2156" s="249" t="str">
        <f>HYPERLINK("https://scontent.cdninstagram.com/t51.2885-15/e35/p320x320/21042175_422179834845426_287661469078650880_n.jpg")</f>
        <v>https://scontent.cdninstagram.com/t51.2885-15/e35/p320x320/21042175_422179834845426_287661469078650880_n.jpg</v>
      </c>
      <c r="AE2156" s="249" t="str">
        <f>HYPERLINK("https://scontent.cdninstagram.com/t51.2885-19/s150x150/18381956_626032810940516_2571606913951203328_a.jpg")</f>
        <v>https://scontent.cdninstagram.com/t51.2885-19/s150x150/18381956_626032810940516_2571606913951203328_a.jpg</v>
      </c>
    </row>
    <row r="2157" spans="1:31" ht="15" x14ac:dyDescent="0.25">
      <c r="A2157" t="s">
        <v>2474</v>
      </c>
      <c r="B2157" t="s">
        <v>13870</v>
      </c>
      <c r="C2157" s="221">
        <v>42969.476469907408</v>
      </c>
      <c r="D2157" t="s">
        <v>13871</v>
      </c>
      <c r="E2157" s="249" t="str">
        <f>HYPERLINK("https://www.instagram.com/p/BYGd3akj4Wt/")</f>
        <v>https://www.instagram.com/p/BYGd3akj4Wt/</v>
      </c>
      <c r="F2157" t="s">
        <v>13872</v>
      </c>
      <c r="G2157" t="s">
        <v>2478</v>
      </c>
      <c r="H2157">
        <v>156</v>
      </c>
      <c r="I2157" t="s">
        <v>2479</v>
      </c>
      <c r="J2157">
        <v>1</v>
      </c>
      <c r="K2157">
        <v>26</v>
      </c>
      <c r="L2157">
        <v>27</v>
      </c>
      <c r="Q2157">
        <v>0</v>
      </c>
      <c r="R2157">
        <v>0</v>
      </c>
      <c r="S2157">
        <v>27</v>
      </c>
      <c r="T2157" t="s">
        <v>13873</v>
      </c>
      <c r="V2157" t="s">
        <v>2212</v>
      </c>
      <c r="W2157">
        <v>19.833300000000001</v>
      </c>
      <c r="X2157">
        <v>-101.733</v>
      </c>
      <c r="Y2157" t="s">
        <v>13874</v>
      </c>
      <c r="Z2157" t="s">
        <v>2778</v>
      </c>
      <c r="AA2157" t="s">
        <v>4180</v>
      </c>
      <c r="AB2157" t="s">
        <v>2497</v>
      </c>
      <c r="AD2157" s="249" t="str">
        <f>HYPERLINK("https://scontent.cdninstagram.com/t51.2885-15/s320x320/e35/20905448_1647013825340905_5969862107439562752_n.jpg")</f>
        <v>https://scontent.cdninstagram.com/t51.2885-15/s320x320/e35/20905448_1647013825340905_5969862107439562752_n.jpg</v>
      </c>
      <c r="AE2157" s="249" t="str">
        <f>HYPERLINK("https://scontent.cdninstagram.com/t51.2885-19/s150x150/17493732_1772867413028886_3259270550006005760_a.jpg")</f>
        <v>https://scontent.cdninstagram.com/t51.2885-19/s150x150/17493732_1772867413028886_3259270550006005760_a.jpg</v>
      </c>
    </row>
    <row r="2158" spans="1:31" ht="15" x14ac:dyDescent="0.25">
      <c r="A2158" t="s">
        <v>2474</v>
      </c>
      <c r="B2158" t="s">
        <v>13825</v>
      </c>
      <c r="C2158" s="221">
        <v>42969.479988425926</v>
      </c>
      <c r="D2158" t="s">
        <v>13875</v>
      </c>
      <c r="E2158" s="249" t="str">
        <f>HYPERLINK("https://www.instagram.com/p/BYGecdXn_q5/")</f>
        <v>https://www.instagram.com/p/BYGecdXn_q5/</v>
      </c>
      <c r="F2158" t="s">
        <v>13876</v>
      </c>
      <c r="G2158" t="s">
        <v>2631</v>
      </c>
      <c r="H2158">
        <v>191</v>
      </c>
      <c r="I2158" t="s">
        <v>2479</v>
      </c>
      <c r="J2158">
        <v>2</v>
      </c>
      <c r="K2158">
        <v>17</v>
      </c>
      <c r="L2158">
        <v>19</v>
      </c>
      <c r="Q2158">
        <v>0</v>
      </c>
      <c r="R2158">
        <v>0</v>
      </c>
      <c r="S2158">
        <v>19</v>
      </c>
      <c r="Y2158" t="s">
        <v>3937</v>
      </c>
      <c r="Z2158" t="s">
        <v>13829</v>
      </c>
      <c r="AA2158" t="s">
        <v>13828</v>
      </c>
      <c r="AB2158" t="s">
        <v>3982</v>
      </c>
      <c r="AC2158" t="s">
        <v>6404</v>
      </c>
      <c r="AD2158" s="249" t="str">
        <f>HYPERLINK("https://scontent.cdninstagram.com/t51.2885-15/s320x320/e15/21041195_192861947919748_662718672158064640_n.jpg")</f>
        <v>https://scontent.cdninstagram.com/t51.2885-15/s320x320/e15/21041195_192861947919748_662718672158064640_n.jpg</v>
      </c>
      <c r="AE2158" s="249" t="str">
        <f>HYPERLINK("https://scontent.cdninstagram.com/t51.2885-19/s150x150/16908379_1451243324894159_338301607399653376_a.jpg")</f>
        <v>https://scontent.cdninstagram.com/t51.2885-19/s150x150/16908379_1451243324894159_338301607399653376_a.jpg</v>
      </c>
    </row>
    <row r="2159" spans="1:31" ht="15" x14ac:dyDescent="0.25">
      <c r="A2159" t="s">
        <v>2474</v>
      </c>
      <c r="B2159" t="s">
        <v>3015</v>
      </c>
      <c r="C2159" s="221">
        <v>42969.485162037039</v>
      </c>
      <c r="D2159" t="s">
        <v>13877</v>
      </c>
      <c r="E2159" s="249" t="str">
        <f>HYPERLINK("https://www.instagram.com/p/BYGfTCbgLVR/")</f>
        <v>https://www.instagram.com/p/BYGfTCbgLVR/</v>
      </c>
      <c r="F2159" t="s">
        <v>13878</v>
      </c>
      <c r="G2159" t="s">
        <v>2478</v>
      </c>
      <c r="H2159">
        <v>233</v>
      </c>
      <c r="I2159" t="s">
        <v>2479</v>
      </c>
      <c r="J2159">
        <v>2</v>
      </c>
      <c r="K2159">
        <v>50</v>
      </c>
      <c r="L2159">
        <v>52</v>
      </c>
      <c r="Q2159">
        <v>0</v>
      </c>
      <c r="R2159">
        <v>0</v>
      </c>
      <c r="S2159">
        <v>52</v>
      </c>
      <c r="Y2159" t="s">
        <v>3018</v>
      </c>
      <c r="Z2159" t="s">
        <v>10468</v>
      </c>
      <c r="AA2159" t="s">
        <v>10032</v>
      </c>
      <c r="AB2159" t="s">
        <v>4127</v>
      </c>
      <c r="AC2159" t="s">
        <v>3855</v>
      </c>
      <c r="AD2159" s="249" t="str">
        <f>HYPERLINK("https://scontent.cdninstagram.com/t51.2885-15/s320x320/e35/c0.56.540.540/20987022_1705900339706352_5419612818989121536_n.jpg")</f>
        <v>https://scontent.cdninstagram.com/t51.2885-15/s320x320/e35/c0.56.540.540/20987022_1705900339706352_5419612818989121536_n.jpg</v>
      </c>
      <c r="AE2159" s="249" t="str">
        <f>HYPERLINK("https://scontent.cdninstagram.com/t51.2885-19/s150x150/19761452_1876060406050696_4275948751316582400_a.jpg")</f>
        <v>https://scontent.cdninstagram.com/t51.2885-19/s150x150/19761452_1876060406050696_4275948751316582400_a.jpg</v>
      </c>
    </row>
    <row r="2160" spans="1:31" ht="15" x14ac:dyDescent="0.25">
      <c r="A2160" t="s">
        <v>2474</v>
      </c>
      <c r="B2160" t="s">
        <v>13879</v>
      </c>
      <c r="C2160" s="221">
        <v>42969.486041666663</v>
      </c>
      <c r="D2160" t="s">
        <v>13880</v>
      </c>
      <c r="E2160" s="249" t="str">
        <f>HYPERLINK("https://www.instagram.com/p/BYGfcV8lqsB/")</f>
        <v>https://www.instagram.com/p/BYGfcV8lqsB/</v>
      </c>
      <c r="F2160" t="s">
        <v>13881</v>
      </c>
      <c r="G2160" t="s">
        <v>2478</v>
      </c>
      <c r="H2160">
        <v>510</v>
      </c>
      <c r="I2160" t="s">
        <v>2639</v>
      </c>
      <c r="J2160">
        <v>1</v>
      </c>
      <c r="K2160">
        <v>25</v>
      </c>
      <c r="L2160">
        <v>26</v>
      </c>
      <c r="Q2160">
        <v>0</v>
      </c>
      <c r="R2160">
        <v>0</v>
      </c>
      <c r="S2160">
        <v>26</v>
      </c>
      <c r="Y2160" t="s">
        <v>9224</v>
      </c>
      <c r="Z2160" t="s">
        <v>2562</v>
      </c>
      <c r="AA2160" t="s">
        <v>2635</v>
      </c>
      <c r="AB2160" t="s">
        <v>6442</v>
      </c>
      <c r="AC2160" t="s">
        <v>3046</v>
      </c>
      <c r="AD2160" s="249" t="str">
        <f>HYPERLINK("https://scontent.cdninstagram.com/t51.2885-15/s320x320/e35/21042389_509334706074793_5516755259713650688_n.jpg")</f>
        <v>https://scontent.cdninstagram.com/t51.2885-15/s320x320/e35/21042389_509334706074793_5516755259713650688_n.jpg</v>
      </c>
      <c r="AE2160" s="249" t="str">
        <f>HYPERLINK("https://scontent.cdninstagram.com/t51.2885-19/s150x150/21108027_1956652401280196_9009718003951992832_a.jpg")</f>
        <v>https://scontent.cdninstagram.com/t51.2885-19/s150x150/21108027_1956652401280196_9009718003951992832_a.jpg</v>
      </c>
    </row>
    <row r="2161" spans="1:31" ht="15" x14ac:dyDescent="0.25">
      <c r="A2161" t="s">
        <v>2474</v>
      </c>
      <c r="B2161" t="s">
        <v>2924</v>
      </c>
      <c r="C2161" s="221">
        <v>42969.487870370373</v>
      </c>
      <c r="D2161" t="s">
        <v>13882</v>
      </c>
      <c r="E2161" s="249" t="str">
        <f>HYPERLINK("https://www.instagram.com/p/BYGfvplFOcf/")</f>
        <v>https://www.instagram.com/p/BYGfvplFOcf/</v>
      </c>
      <c r="F2161" t="s">
        <v>13883</v>
      </c>
      <c r="G2161" t="s">
        <v>2478</v>
      </c>
      <c r="H2161">
        <v>236</v>
      </c>
      <c r="I2161" t="s">
        <v>4052</v>
      </c>
      <c r="J2161">
        <v>1</v>
      </c>
      <c r="K2161">
        <v>32</v>
      </c>
      <c r="L2161">
        <v>33</v>
      </c>
      <c r="Q2161">
        <v>0</v>
      </c>
      <c r="R2161">
        <v>0</v>
      </c>
      <c r="S2161">
        <v>33</v>
      </c>
      <c r="T2161" t="s">
        <v>13884</v>
      </c>
      <c r="V2161" t="s">
        <v>2110</v>
      </c>
      <c r="W2161">
        <v>51.057499999999997</v>
      </c>
      <c r="X2161">
        <v>2.8853</v>
      </c>
      <c r="Y2161" t="s">
        <v>4369</v>
      </c>
      <c r="Z2161" t="s">
        <v>13885</v>
      </c>
      <c r="AA2161" t="s">
        <v>13886</v>
      </c>
      <c r="AB2161" t="s">
        <v>12109</v>
      </c>
      <c r="AC2161" t="s">
        <v>13887</v>
      </c>
      <c r="AD2161" s="249" t="str">
        <f>HYPERLINK("https://scontent.cdninstagram.com/t51.2885-15/s320x320/e35/21041619_1280198615460083_4482175596058640384_n.jpg")</f>
        <v>https://scontent.cdninstagram.com/t51.2885-15/s320x320/e35/21041619_1280198615460083_4482175596058640384_n.jpg</v>
      </c>
      <c r="AE2161" s="249" t="str">
        <f>HYPERLINK("https://scontent.cdninstagram.com/t51.2885-19/s150x150/18253021_1975853552636836_8547343157967192064_a.jpg")</f>
        <v>https://scontent.cdninstagram.com/t51.2885-19/s150x150/18253021_1975853552636836_8547343157967192064_a.jpg</v>
      </c>
    </row>
    <row r="2162" spans="1:31" ht="15" x14ac:dyDescent="0.25">
      <c r="A2162" t="s">
        <v>2474</v>
      </c>
      <c r="B2162" t="s">
        <v>13888</v>
      </c>
      <c r="C2162" s="221">
        <v>42969.490497685183</v>
      </c>
      <c r="D2162" t="s">
        <v>13889</v>
      </c>
      <c r="E2162" s="249" t="str">
        <f>HYPERLINK("https://www.instagram.com/p/BYGgLVBF532/")</f>
        <v>https://www.instagram.com/p/BYGgLVBF532/</v>
      </c>
      <c r="F2162" t="s">
        <v>13890</v>
      </c>
      <c r="G2162" t="s">
        <v>2478</v>
      </c>
      <c r="H2162">
        <v>61</v>
      </c>
      <c r="I2162" t="s">
        <v>2479</v>
      </c>
      <c r="J2162">
        <v>1</v>
      </c>
      <c r="K2162">
        <v>48</v>
      </c>
      <c r="L2162">
        <v>49</v>
      </c>
      <c r="Q2162">
        <v>0</v>
      </c>
      <c r="R2162">
        <v>0</v>
      </c>
      <c r="S2162">
        <v>49</v>
      </c>
      <c r="T2162" t="s">
        <v>13891</v>
      </c>
      <c r="V2162" t="s">
        <v>2161</v>
      </c>
      <c r="W2162">
        <v>51.488329999999998</v>
      </c>
      <c r="X2162">
        <v>7.51119</v>
      </c>
      <c r="Y2162" t="s">
        <v>3219</v>
      </c>
      <c r="Z2162" t="s">
        <v>13892</v>
      </c>
      <c r="AA2162" t="s">
        <v>2562</v>
      </c>
      <c r="AB2162" t="s">
        <v>13893</v>
      </c>
      <c r="AC2162" t="s">
        <v>13894</v>
      </c>
      <c r="AD2162" s="249" t="str">
        <f>HYPERLINK("https://scontent.cdninstagram.com/t51.2885-15/s320x320/e35/20986718_1405217119573420_4447465349704581120_n.jpg")</f>
        <v>https://scontent.cdninstagram.com/t51.2885-15/s320x320/e35/20986718_1405217119573420_4447465349704581120_n.jpg</v>
      </c>
      <c r="AE2162" s="249" t="str">
        <f>HYPERLINK("https://scontent.cdninstagram.com/t51.2885-19/s150x150/20759937_1968793353404744_7677642044650553344_a.jpg")</f>
        <v>https://scontent.cdninstagram.com/t51.2885-19/s150x150/20759937_1968793353404744_7677642044650553344_a.jpg</v>
      </c>
    </row>
    <row r="2163" spans="1:31" ht="15" x14ac:dyDescent="0.25">
      <c r="A2163" t="s">
        <v>2474</v>
      </c>
      <c r="B2163" t="s">
        <v>13895</v>
      </c>
      <c r="C2163" s="221">
        <v>42969.490532407406</v>
      </c>
      <c r="D2163" t="s">
        <v>13896</v>
      </c>
      <c r="E2163" s="249" t="str">
        <f>HYPERLINK("https://www.instagram.com/p/BYGgLtVAMqy/")</f>
        <v>https://www.instagram.com/p/BYGgLtVAMqy/</v>
      </c>
      <c r="F2163" t="s">
        <v>13897</v>
      </c>
      <c r="G2163" t="s">
        <v>2478</v>
      </c>
      <c r="H2163">
        <v>15</v>
      </c>
      <c r="I2163" t="s">
        <v>2510</v>
      </c>
      <c r="J2163">
        <v>0</v>
      </c>
      <c r="K2163">
        <v>7</v>
      </c>
      <c r="L2163">
        <v>7</v>
      </c>
      <c r="Q2163">
        <v>0</v>
      </c>
      <c r="R2163">
        <v>0</v>
      </c>
      <c r="S2163">
        <v>7</v>
      </c>
      <c r="Y2163" t="s">
        <v>13898</v>
      </c>
      <c r="Z2163" t="s">
        <v>3671</v>
      </c>
      <c r="AA2163" t="s">
        <v>2492</v>
      </c>
      <c r="AB2163" t="s">
        <v>2497</v>
      </c>
      <c r="AC2163" t="s">
        <v>2730</v>
      </c>
      <c r="AD2163" s="249" t="str">
        <f>HYPERLINK("https://scontent.cdninstagram.com/t51.2885-15/s320x320/e35/21041539_1383796125051525_1751540641730396160_n.jpg")</f>
        <v>https://scontent.cdninstagram.com/t51.2885-15/s320x320/e35/21041539_1383796125051525_1751540641730396160_n.jpg</v>
      </c>
      <c r="AE2163" s="249" t="str">
        <f>HYPERLINK("https://scontent.cdninstagram.com/t51.2885-19/s150x150/19986103_116161879013637_891107509492776960_a.jpg")</f>
        <v>https://scontent.cdninstagram.com/t51.2885-19/s150x150/19986103_116161879013637_891107509492776960_a.jpg</v>
      </c>
    </row>
    <row r="2164" spans="1:31" ht="15" x14ac:dyDescent="0.25">
      <c r="A2164" t="s">
        <v>2474</v>
      </c>
      <c r="B2164" t="s">
        <v>13899</v>
      </c>
      <c r="C2164" s="221">
        <v>42969.492337962962</v>
      </c>
      <c r="D2164" t="s">
        <v>13900</v>
      </c>
      <c r="E2164" s="249" t="str">
        <f>HYPERLINK("https://www.instagram.com/p/BYGgeufgdrW/")</f>
        <v>https://www.instagram.com/p/BYGgeufgdrW/</v>
      </c>
      <c r="F2164" t="s">
        <v>13901</v>
      </c>
      <c r="G2164" t="s">
        <v>2478</v>
      </c>
      <c r="I2164" t="s">
        <v>2479</v>
      </c>
      <c r="J2164">
        <v>3</v>
      </c>
      <c r="K2164">
        <v>15</v>
      </c>
      <c r="L2164">
        <v>18</v>
      </c>
      <c r="Q2164">
        <v>0</v>
      </c>
      <c r="R2164">
        <v>0</v>
      </c>
      <c r="S2164">
        <v>18</v>
      </c>
      <c r="Y2164" t="s">
        <v>13902</v>
      </c>
      <c r="Z2164" t="s">
        <v>2730</v>
      </c>
      <c r="AA2164" t="s">
        <v>13903</v>
      </c>
      <c r="AB2164" t="s">
        <v>13904</v>
      </c>
      <c r="AC2164" t="s">
        <v>13905</v>
      </c>
      <c r="AD2164" s="249" t="str">
        <f>HYPERLINK("https://scontent.cdninstagram.com/t51.2885-15/s320x320/e35/20905622_304153253384280_7881540660635893760_n.jpg")</f>
        <v>https://scontent.cdninstagram.com/t51.2885-15/s320x320/e35/20905622_304153253384280_7881540660635893760_n.jpg</v>
      </c>
      <c r="AE2164" s="249" t="str">
        <f>HYPERLINK("https://scontent.cdninstagram.com/t51.2885-19/s150x150/20066655_1990105791210960_6698449596344958976_a.jpg")</f>
        <v>https://scontent.cdninstagram.com/t51.2885-19/s150x150/20066655_1990105791210960_6698449596344958976_a.jpg</v>
      </c>
    </row>
    <row r="2165" spans="1:31" ht="15" x14ac:dyDescent="0.25">
      <c r="A2165" t="s">
        <v>2474</v>
      </c>
      <c r="B2165" t="s">
        <v>13906</v>
      </c>
      <c r="C2165" s="221">
        <v>42969.493252314816</v>
      </c>
      <c r="D2165" t="s">
        <v>13907</v>
      </c>
      <c r="E2165" s="249" t="str">
        <f>HYPERLINK("https://www.instagram.com/p/BYGgoV8HtV5/")</f>
        <v>https://www.instagram.com/p/BYGgoV8HtV5/</v>
      </c>
      <c r="F2165" t="s">
        <v>13908</v>
      </c>
      <c r="G2165" t="s">
        <v>2478</v>
      </c>
      <c r="H2165">
        <v>551</v>
      </c>
      <c r="I2165" t="s">
        <v>2479</v>
      </c>
      <c r="J2165">
        <v>0</v>
      </c>
      <c r="K2165">
        <v>19</v>
      </c>
      <c r="L2165">
        <v>19</v>
      </c>
      <c r="Q2165">
        <v>0</v>
      </c>
      <c r="R2165">
        <v>0</v>
      </c>
      <c r="S2165">
        <v>19</v>
      </c>
      <c r="Y2165" t="s">
        <v>2497</v>
      </c>
      <c r="AD2165" s="249" t="str">
        <f>HYPERLINK("https://scontent.cdninstagram.com/t51.2885-15/s320x320/e35/21040890_112371139448233_2888611487926976512_n.jpg")</f>
        <v>https://scontent.cdninstagram.com/t51.2885-15/s320x320/e35/21040890_112371139448233_2888611487926976512_n.jpg</v>
      </c>
      <c r="AE2165" s="249" t="str">
        <f>HYPERLINK("https://scontent.cdninstagram.com/t51.2885-19/s150x150/14592068_585020428370767_2352645199118729216_a.jpg")</f>
        <v>https://scontent.cdninstagram.com/t51.2885-19/s150x150/14592068_585020428370767_2352645199118729216_a.jpg</v>
      </c>
    </row>
    <row r="2166" spans="1:31" ht="15" x14ac:dyDescent="0.25">
      <c r="A2166" t="s">
        <v>2474</v>
      </c>
      <c r="B2166" t="s">
        <v>13909</v>
      </c>
      <c r="C2166" s="221">
        <v>42969.493935185186</v>
      </c>
      <c r="D2166" t="s">
        <v>13910</v>
      </c>
      <c r="E2166" s="249" t="str">
        <f>HYPERLINK("https://www.instagram.com/p/BYGgvpcnEZh/")</f>
        <v>https://www.instagram.com/p/BYGgvpcnEZh/</v>
      </c>
      <c r="F2166" t="s">
        <v>13911</v>
      </c>
      <c r="G2166" t="s">
        <v>2478</v>
      </c>
      <c r="H2166">
        <v>581</v>
      </c>
      <c r="I2166" t="s">
        <v>2479</v>
      </c>
      <c r="J2166">
        <v>0</v>
      </c>
      <c r="K2166">
        <v>14</v>
      </c>
      <c r="L2166">
        <v>14</v>
      </c>
      <c r="Q2166">
        <v>0</v>
      </c>
      <c r="R2166">
        <v>0</v>
      </c>
      <c r="S2166">
        <v>14</v>
      </c>
      <c r="Y2166" t="s">
        <v>9717</v>
      </c>
      <c r="Z2166" t="s">
        <v>13912</v>
      </c>
      <c r="AA2166" t="s">
        <v>4180</v>
      </c>
      <c r="AB2166" t="s">
        <v>2497</v>
      </c>
      <c r="AC2166" t="s">
        <v>2730</v>
      </c>
      <c r="AD2166" s="249" t="str">
        <f>HYPERLINK("https://scontent.cdninstagram.com/t51.2885-15/s320x320/e35/21042043_333965267045404_5444339319374348288_n.jpg")</f>
        <v>https://scontent.cdninstagram.com/t51.2885-15/s320x320/e35/21042043_333965267045404_5444339319374348288_n.jpg</v>
      </c>
      <c r="AE2166" s="249" t="str">
        <f>HYPERLINK("https://scontent.cdninstagram.com/t51.2885-19/s150x150/20902814_350872665343097_7520202978964275200_a.jpg")</f>
        <v>https://scontent.cdninstagram.com/t51.2885-19/s150x150/20902814_350872665343097_7520202978964275200_a.jpg</v>
      </c>
    </row>
    <row r="2167" spans="1:31" ht="15" x14ac:dyDescent="0.25">
      <c r="A2167" t="s">
        <v>2474</v>
      </c>
      <c r="B2167" t="s">
        <v>13913</v>
      </c>
      <c r="C2167" s="221">
        <v>42969.494097222225</v>
      </c>
      <c r="D2167" t="s">
        <v>13914</v>
      </c>
      <c r="E2167" s="249" t="str">
        <f>HYPERLINK("https://www.instagram.com/p/BYGgxWCheKf/")</f>
        <v>https://www.instagram.com/p/BYGgxWCheKf/</v>
      </c>
      <c r="F2167" t="s">
        <v>13915</v>
      </c>
      <c r="G2167" t="s">
        <v>2478</v>
      </c>
      <c r="H2167">
        <v>1414</v>
      </c>
      <c r="I2167" t="s">
        <v>2599</v>
      </c>
      <c r="J2167">
        <v>0</v>
      </c>
      <c r="K2167">
        <v>7</v>
      </c>
      <c r="L2167">
        <v>7</v>
      </c>
      <c r="Q2167">
        <v>0</v>
      </c>
      <c r="R2167">
        <v>0</v>
      </c>
      <c r="S2167">
        <v>7</v>
      </c>
      <c r="T2167" t="s">
        <v>13916</v>
      </c>
      <c r="U2167" t="s">
        <v>920</v>
      </c>
      <c r="V2167" t="s">
        <v>2299</v>
      </c>
      <c r="W2167">
        <v>42.493611000000001</v>
      </c>
      <c r="X2167">
        <v>-107.12944400000001</v>
      </c>
      <c r="Y2167" t="s">
        <v>13917</v>
      </c>
      <c r="Z2167" t="s">
        <v>4026</v>
      </c>
      <c r="AA2167" t="s">
        <v>13918</v>
      </c>
      <c r="AB2167" t="s">
        <v>2497</v>
      </c>
      <c r="AC2167" t="s">
        <v>13919</v>
      </c>
      <c r="AD2167" s="249" t="str">
        <f>HYPERLINK("https://scontent.cdninstagram.com/t51.2885-15/s320x320/e35/21041829_1720717501555343_4337094968054120448_n.jpg")</f>
        <v>https://scontent.cdninstagram.com/t51.2885-15/s320x320/e35/21041829_1720717501555343_4337094968054120448_n.jpg</v>
      </c>
      <c r="AE2167" s="249" t="str">
        <f>HYPERLINK("https://scontent.cdninstagram.com/t51.2885-19/s150x150/21149043_1836132976697377_2801273005840269312_a.jpg")</f>
        <v>https://scontent.cdninstagram.com/t51.2885-19/s150x150/21149043_1836132976697377_2801273005840269312_a.jpg</v>
      </c>
    </row>
    <row r="2168" spans="1:31" ht="15" x14ac:dyDescent="0.25">
      <c r="A2168" t="s">
        <v>2474</v>
      </c>
      <c r="B2168" t="s">
        <v>13920</v>
      </c>
      <c r="C2168" s="221">
        <v>42969.498101851852</v>
      </c>
      <c r="D2168" t="s">
        <v>13921</v>
      </c>
      <c r="E2168" s="249" t="str">
        <f>HYPERLINK("https://www.instagram.com/p/BYGhbm0B7lU/")</f>
        <v>https://www.instagram.com/p/BYGhbm0B7lU/</v>
      </c>
      <c r="F2168" t="s">
        <v>13922</v>
      </c>
      <c r="G2168" t="s">
        <v>2478</v>
      </c>
      <c r="H2168">
        <v>110</v>
      </c>
      <c r="I2168" t="s">
        <v>2599</v>
      </c>
      <c r="J2168">
        <v>1</v>
      </c>
      <c r="K2168">
        <v>3</v>
      </c>
      <c r="L2168">
        <v>4</v>
      </c>
      <c r="Q2168">
        <v>0</v>
      </c>
      <c r="R2168">
        <v>0</v>
      </c>
      <c r="S2168">
        <v>4</v>
      </c>
      <c r="Y2168" t="s">
        <v>13923</v>
      </c>
      <c r="Z2168" t="s">
        <v>2497</v>
      </c>
      <c r="AA2168" t="s">
        <v>13924</v>
      </c>
      <c r="AB2168" t="s">
        <v>13925</v>
      </c>
      <c r="AC2168" t="s">
        <v>5591</v>
      </c>
      <c r="AD2168" s="249" t="str">
        <f>HYPERLINK("https://scontent.cdninstagram.com/t51.2885-15/s320x320/e35/c0.62.496.496/21041032_1915640228698952_3921150891792531456_n.jpg")</f>
        <v>https://scontent.cdninstagram.com/t51.2885-15/s320x320/e35/c0.62.496.496/21041032_1915640228698952_3921150891792531456_n.jpg</v>
      </c>
      <c r="AE2168" s="249" t="str">
        <f>HYPERLINK("https://scontent.cdninstagram.com/t51.2885-19/s150x150/15624020_1149625988486424_6638934204459515904_a.jpg")</f>
        <v>https://scontent.cdninstagram.com/t51.2885-19/s150x150/15624020_1149625988486424_6638934204459515904_a.jpg</v>
      </c>
    </row>
    <row r="2169" spans="1:31" ht="15" x14ac:dyDescent="0.25">
      <c r="A2169" t="s">
        <v>2474</v>
      </c>
      <c r="B2169" t="s">
        <v>13926</v>
      </c>
      <c r="C2169" s="221">
        <v>42969.504513888889</v>
      </c>
      <c r="D2169" t="s">
        <v>13927</v>
      </c>
      <c r="E2169" s="249" t="str">
        <f>HYPERLINK("https://www.instagram.com/p/BYGifOplavc/")</f>
        <v>https://www.instagram.com/p/BYGifOplavc/</v>
      </c>
      <c r="F2169" t="s">
        <v>13928</v>
      </c>
      <c r="G2169" t="s">
        <v>2478</v>
      </c>
      <c r="H2169">
        <v>106</v>
      </c>
      <c r="I2169" t="s">
        <v>3898</v>
      </c>
      <c r="J2169">
        <v>3</v>
      </c>
      <c r="K2169">
        <v>19</v>
      </c>
      <c r="L2169">
        <v>22</v>
      </c>
      <c r="Q2169">
        <v>0</v>
      </c>
      <c r="R2169">
        <v>0</v>
      </c>
      <c r="S2169">
        <v>22</v>
      </c>
      <c r="Y2169" t="s">
        <v>13929</v>
      </c>
      <c r="Z2169" t="s">
        <v>2497</v>
      </c>
      <c r="AD2169" s="249" t="str">
        <f>HYPERLINK("https://scontent.cdninstagram.com/t51.2885-15/s320x320/e35/20969109_112283769461237_3470349406417453056_n.jpg")</f>
        <v>https://scontent.cdninstagram.com/t51.2885-15/s320x320/e35/20969109_112283769461237_3470349406417453056_n.jpg</v>
      </c>
      <c r="AE2169" s="249" t="str">
        <f>HYPERLINK("https://scontent.cdninstagram.com/t51.2885-19/s150x150/20065607_1835441480102521_373474537695608832_a.jpg")</f>
        <v>https://scontent.cdninstagram.com/t51.2885-19/s150x150/20065607_1835441480102521_373474537695608832_a.jpg</v>
      </c>
    </row>
    <row r="2170" spans="1:31" ht="15" x14ac:dyDescent="0.25">
      <c r="A2170" t="s">
        <v>2474</v>
      </c>
      <c r="B2170" t="s">
        <v>13895</v>
      </c>
      <c r="C2170" s="221">
        <v>42969.50508101852</v>
      </c>
      <c r="D2170" t="s">
        <v>13930</v>
      </c>
      <c r="E2170" s="249" t="str">
        <f>HYPERLINK("https://www.instagram.com/p/BYGilMagaOU/")</f>
        <v>https://www.instagram.com/p/BYGilMagaOU/</v>
      </c>
      <c r="F2170" t="s">
        <v>13931</v>
      </c>
      <c r="G2170" t="s">
        <v>2478</v>
      </c>
      <c r="H2170">
        <v>15</v>
      </c>
      <c r="I2170" t="s">
        <v>2542</v>
      </c>
      <c r="J2170">
        <v>0</v>
      </c>
      <c r="K2170">
        <v>4</v>
      </c>
      <c r="L2170">
        <v>4</v>
      </c>
      <c r="Q2170">
        <v>0</v>
      </c>
      <c r="R2170">
        <v>0</v>
      </c>
      <c r="S2170">
        <v>4</v>
      </c>
      <c r="Y2170" t="s">
        <v>2492</v>
      </c>
      <c r="Z2170" t="s">
        <v>8014</v>
      </c>
      <c r="AA2170" t="s">
        <v>6052</v>
      </c>
      <c r="AB2170" t="s">
        <v>2497</v>
      </c>
      <c r="AC2170" t="s">
        <v>13932</v>
      </c>
      <c r="AD2170" s="249" t="str">
        <f>HYPERLINK("https://scontent.cdninstagram.com/t51.2885-15/s320x320/e35/20905662_1269944469794031_3716680787458785280_n.jpg")</f>
        <v>https://scontent.cdninstagram.com/t51.2885-15/s320x320/e35/20905662_1269944469794031_3716680787458785280_n.jpg</v>
      </c>
      <c r="AE2170" s="249" t="str">
        <f>HYPERLINK("https://scontent.cdninstagram.com/t51.2885-19/s150x150/19986103_116161879013637_891107509492776960_a.jpg")</f>
        <v>https://scontent.cdninstagram.com/t51.2885-19/s150x150/19986103_116161879013637_891107509492776960_a.jpg</v>
      </c>
    </row>
    <row r="2171" spans="1:31" ht="15" x14ac:dyDescent="0.25">
      <c r="A2171" t="s">
        <v>2474</v>
      </c>
      <c r="B2171" t="s">
        <v>13933</v>
      </c>
      <c r="C2171" s="221">
        <v>42969.507523148146</v>
      </c>
      <c r="D2171" t="s">
        <v>13934</v>
      </c>
      <c r="E2171" s="249" t="str">
        <f>HYPERLINK("https://www.instagram.com/p/BYGi-6VA1uj/")</f>
        <v>https://www.instagram.com/p/BYGi-6VA1uj/</v>
      </c>
      <c r="F2171" t="s">
        <v>13935</v>
      </c>
      <c r="G2171" t="s">
        <v>2478</v>
      </c>
      <c r="H2171">
        <v>723</v>
      </c>
      <c r="I2171" t="s">
        <v>2542</v>
      </c>
      <c r="J2171">
        <v>1</v>
      </c>
      <c r="K2171">
        <v>62</v>
      </c>
      <c r="L2171">
        <v>63</v>
      </c>
      <c r="Q2171">
        <v>0</v>
      </c>
      <c r="R2171">
        <v>0</v>
      </c>
      <c r="S2171">
        <v>63</v>
      </c>
      <c r="Y2171" t="s">
        <v>13777</v>
      </c>
      <c r="Z2171" t="s">
        <v>13936</v>
      </c>
      <c r="AA2171" t="s">
        <v>13937</v>
      </c>
      <c r="AB2171" t="s">
        <v>10421</v>
      </c>
      <c r="AC2171" t="s">
        <v>13938</v>
      </c>
      <c r="AD2171" s="249" t="str">
        <f>HYPERLINK("https://scontent.cdninstagram.com/t51.2885-15/s320x320/e35/20905698_133731103903818_47943470089764864_n.jpg")</f>
        <v>https://scontent.cdninstagram.com/t51.2885-15/s320x320/e35/20905698_133731103903818_47943470089764864_n.jpg</v>
      </c>
      <c r="AE2171" s="249" t="str">
        <f>HYPERLINK("https://scontent.cdninstagram.com/t51.2885-19/s150x150/21147606_1812213209088683_8523342640198975488_a.jpg")</f>
        <v>https://scontent.cdninstagram.com/t51.2885-19/s150x150/21147606_1812213209088683_8523342640198975488_a.jpg</v>
      </c>
    </row>
    <row r="2172" spans="1:31" ht="15" x14ac:dyDescent="0.25">
      <c r="A2172" t="s">
        <v>2474</v>
      </c>
      <c r="B2172" t="s">
        <v>13939</v>
      </c>
      <c r="C2172" s="221">
        <v>42969.511388888888</v>
      </c>
      <c r="D2172" t="s">
        <v>13940</v>
      </c>
      <c r="E2172" s="249" t="str">
        <f>HYPERLINK("https://www.instagram.com/p/BYGjnqJA_BK/")</f>
        <v>https://www.instagram.com/p/BYGjnqJA_BK/</v>
      </c>
      <c r="F2172" t="s">
        <v>13941</v>
      </c>
      <c r="G2172" t="s">
        <v>2478</v>
      </c>
      <c r="H2172">
        <v>363</v>
      </c>
      <c r="I2172" t="s">
        <v>2479</v>
      </c>
      <c r="J2172">
        <v>0</v>
      </c>
      <c r="K2172">
        <v>15</v>
      </c>
      <c r="L2172">
        <v>15</v>
      </c>
      <c r="Q2172">
        <v>0</v>
      </c>
      <c r="R2172">
        <v>0</v>
      </c>
      <c r="S2172">
        <v>15</v>
      </c>
      <c r="Y2172" t="s">
        <v>9012</v>
      </c>
      <c r="Z2172" t="s">
        <v>6597</v>
      </c>
      <c r="AA2172" t="s">
        <v>13942</v>
      </c>
      <c r="AB2172" t="s">
        <v>13943</v>
      </c>
      <c r="AC2172" t="s">
        <v>13944</v>
      </c>
      <c r="AD2172" s="249" t="str">
        <f>HYPERLINK("https://scontent.cdninstagram.com/t51.2885-15/s320x320/e35/20905719_167715153788389_2897925571184951296_n.jpg")</f>
        <v>https://scontent.cdninstagram.com/t51.2885-15/s320x320/e35/20905719_167715153788389_2897925571184951296_n.jpg</v>
      </c>
      <c r="AE2172" s="249" t="str">
        <f>HYPERLINK("https://scontent.cdninstagram.com/t51.2885-19/s150x150/14294801_1773480182907547_306436227123380224_a.jpg")</f>
        <v>https://scontent.cdninstagram.com/t51.2885-19/s150x150/14294801_1773480182907547_306436227123380224_a.jpg</v>
      </c>
    </row>
    <row r="2173" spans="1:31" ht="15" x14ac:dyDescent="0.25">
      <c r="A2173" t="s">
        <v>2474</v>
      </c>
      <c r="B2173" t="s">
        <v>13945</v>
      </c>
      <c r="C2173" s="221">
        <v>42969.51321759259</v>
      </c>
      <c r="D2173" t="s">
        <v>13946</v>
      </c>
      <c r="E2173" s="249" t="str">
        <f>HYPERLINK("https://www.instagram.com/p/BYGj69YliXF/")</f>
        <v>https://www.instagram.com/p/BYGj69YliXF/</v>
      </c>
      <c r="F2173" t="s">
        <v>13947</v>
      </c>
      <c r="G2173" t="s">
        <v>2631</v>
      </c>
      <c r="H2173">
        <v>434</v>
      </c>
      <c r="I2173" t="s">
        <v>4523</v>
      </c>
      <c r="J2173">
        <v>5</v>
      </c>
      <c r="K2173">
        <v>88</v>
      </c>
      <c r="L2173">
        <v>93</v>
      </c>
      <c r="Q2173">
        <v>0</v>
      </c>
      <c r="R2173">
        <v>0</v>
      </c>
      <c r="S2173">
        <v>93</v>
      </c>
      <c r="T2173" t="s">
        <v>13948</v>
      </c>
      <c r="V2173" t="s">
        <v>2222</v>
      </c>
      <c r="W2173">
        <v>50.978099644497</v>
      </c>
      <c r="X2173">
        <v>5.8406208155934998</v>
      </c>
      <c r="Y2173" t="s">
        <v>7762</v>
      </c>
      <c r="Z2173" t="s">
        <v>13949</v>
      </c>
      <c r="AA2173" t="s">
        <v>13950</v>
      </c>
      <c r="AB2173" t="s">
        <v>2497</v>
      </c>
      <c r="AC2173" t="s">
        <v>13951</v>
      </c>
      <c r="AD2173" s="249" t="str">
        <f>HYPERLINK("https://scontent.cdninstagram.com/t51.2885-15/e15/p320x320/20968461_415890322146122_8530166235130757120_n.jpg")</f>
        <v>https://scontent.cdninstagram.com/t51.2885-15/e15/p320x320/20968461_415890322146122_8530166235130757120_n.jpg</v>
      </c>
      <c r="AE2173" s="249" t="str">
        <f>HYPERLINK("https://scontent.cdninstagram.com/t51.2885-19/s150x150/21148118_721514471376994_2248552745395027968_a.jpg")</f>
        <v>https://scontent.cdninstagram.com/t51.2885-19/s150x150/21148118_721514471376994_2248552745395027968_a.jpg</v>
      </c>
    </row>
    <row r="2174" spans="1:31" ht="15" x14ac:dyDescent="0.25">
      <c r="A2174" t="s">
        <v>2474</v>
      </c>
      <c r="B2174" t="s">
        <v>13952</v>
      </c>
      <c r="C2174" s="221">
        <v>42969.514710648145</v>
      </c>
      <c r="D2174" t="s">
        <v>13953</v>
      </c>
      <c r="E2174" s="249" t="str">
        <f>HYPERLINK("https://www.instagram.com/p/BYGkKrCngG8/")</f>
        <v>https://www.instagram.com/p/BYGkKrCngG8/</v>
      </c>
      <c r="F2174" t="s">
        <v>13954</v>
      </c>
      <c r="G2174" t="s">
        <v>2478</v>
      </c>
      <c r="H2174">
        <v>301</v>
      </c>
      <c r="I2174" t="s">
        <v>8378</v>
      </c>
      <c r="J2174">
        <v>2</v>
      </c>
      <c r="K2174">
        <v>52</v>
      </c>
      <c r="L2174">
        <v>54</v>
      </c>
      <c r="Q2174">
        <v>0</v>
      </c>
      <c r="R2174">
        <v>0</v>
      </c>
      <c r="S2174">
        <v>54</v>
      </c>
      <c r="T2174" t="s">
        <v>13955</v>
      </c>
      <c r="V2174" t="s">
        <v>2154</v>
      </c>
      <c r="W2174">
        <v>49.706388888889002</v>
      </c>
      <c r="X2174">
        <v>0.20666666666667</v>
      </c>
      <c r="Y2174" t="s">
        <v>9529</v>
      </c>
      <c r="Z2174" t="s">
        <v>3936</v>
      </c>
      <c r="AA2174" t="s">
        <v>13956</v>
      </c>
      <c r="AB2174" t="s">
        <v>13957</v>
      </c>
      <c r="AC2174" t="s">
        <v>13958</v>
      </c>
      <c r="AD2174" s="249" t="str">
        <f>HYPERLINK("https://scontent.cdninstagram.com/t51.2885-15/s320x320/e35/20968509_130093370943202_23135416865521664_n.jpg")</f>
        <v>https://scontent.cdninstagram.com/t51.2885-15/s320x320/e35/20968509_130093370943202_23135416865521664_n.jpg</v>
      </c>
      <c r="AE2174" s="249" t="str">
        <f>HYPERLINK("https://scontent.cdninstagram.com/t51.2885-19/s150x150/18812082_297409074055168_6250641806254407680_a.jpg")</f>
        <v>https://scontent.cdninstagram.com/t51.2885-19/s150x150/18812082_297409074055168_6250641806254407680_a.jpg</v>
      </c>
    </row>
    <row r="2175" spans="1:31" ht="15" x14ac:dyDescent="0.25">
      <c r="A2175" t="s">
        <v>2474</v>
      </c>
      <c r="B2175" t="s">
        <v>13959</v>
      </c>
      <c r="C2175" s="221">
        <v>42969.518587962964</v>
      </c>
      <c r="D2175" t="s">
        <v>13960</v>
      </c>
      <c r="E2175" s="249" t="str">
        <f>HYPERLINK("https://www.instagram.com/p/BYGkzmwDbbZ/")</f>
        <v>https://www.instagram.com/p/BYGkzmwDbbZ/</v>
      </c>
      <c r="F2175" t="s">
        <v>13961</v>
      </c>
      <c r="G2175" t="s">
        <v>2478</v>
      </c>
      <c r="H2175">
        <v>361</v>
      </c>
      <c r="I2175" t="s">
        <v>2903</v>
      </c>
      <c r="J2175">
        <v>0</v>
      </c>
      <c r="K2175">
        <v>9</v>
      </c>
      <c r="L2175">
        <v>9</v>
      </c>
      <c r="Q2175">
        <v>0</v>
      </c>
      <c r="R2175">
        <v>0</v>
      </c>
      <c r="S2175">
        <v>9</v>
      </c>
      <c r="Y2175" t="s">
        <v>5619</v>
      </c>
      <c r="Z2175" t="s">
        <v>12681</v>
      </c>
      <c r="AA2175" t="s">
        <v>3153</v>
      </c>
      <c r="AB2175" t="s">
        <v>13962</v>
      </c>
      <c r="AC2175" t="s">
        <v>13963</v>
      </c>
      <c r="AD2175" s="249" t="str">
        <f>HYPERLINK("https://scontent.cdninstagram.com/t51.2885-15/s320x320/e35/20905724_1922571284651521_1121801241026887680_n.jpg")</f>
        <v>https://scontent.cdninstagram.com/t51.2885-15/s320x320/e35/20905724_1922571284651521_1121801241026887680_n.jpg</v>
      </c>
      <c r="AE2175" s="249" t="str">
        <f>HYPERLINK("https://scontent.cdninstagram.com/t51.2885-19/s150x150/20838979_121395315097411_1207800397691879424_a.jpg")</f>
        <v>https://scontent.cdninstagram.com/t51.2885-19/s150x150/20838979_121395315097411_1207800397691879424_a.jpg</v>
      </c>
    </row>
    <row r="2176" spans="1:31" ht="15" x14ac:dyDescent="0.25">
      <c r="A2176" t="s">
        <v>2474</v>
      </c>
      <c r="B2176" t="s">
        <v>13964</v>
      </c>
      <c r="C2176" s="221">
        <v>42969.522638888891</v>
      </c>
      <c r="D2176" t="s">
        <v>13965</v>
      </c>
      <c r="E2176" s="249" t="str">
        <f>HYPERLINK("https://www.instagram.com/p/BYGleTWhoI7/")</f>
        <v>https://www.instagram.com/p/BYGleTWhoI7/</v>
      </c>
      <c r="F2176" t="s">
        <v>13966</v>
      </c>
      <c r="G2176" t="s">
        <v>2478</v>
      </c>
      <c r="H2176">
        <v>2139</v>
      </c>
      <c r="I2176" t="s">
        <v>2479</v>
      </c>
      <c r="J2176">
        <v>0</v>
      </c>
      <c r="K2176">
        <v>263</v>
      </c>
      <c r="L2176">
        <v>263</v>
      </c>
      <c r="Q2176">
        <v>0</v>
      </c>
      <c r="R2176">
        <v>0</v>
      </c>
      <c r="S2176">
        <v>263</v>
      </c>
      <c r="Y2176" t="s">
        <v>4993</v>
      </c>
      <c r="Z2176" t="s">
        <v>12487</v>
      </c>
      <c r="AA2176" t="s">
        <v>13967</v>
      </c>
      <c r="AB2176" t="s">
        <v>6706</v>
      </c>
      <c r="AC2176" t="s">
        <v>9529</v>
      </c>
      <c r="AD2176" s="249" t="str">
        <f>HYPERLINK("https://scontent.cdninstagram.com/t51.2885-15/s320x320/e35/21042836_676085382588101_8429393769652027392_n.jpg")</f>
        <v>https://scontent.cdninstagram.com/t51.2885-15/s320x320/e35/21042836_676085382588101_8429393769652027392_n.jpg</v>
      </c>
      <c r="AE2176" s="249" t="str">
        <f>HYPERLINK("https://scontent.cdninstagram.com/t51.2885-19/10727445_374524696033166_1902493572_a.jpg")</f>
        <v>https://scontent.cdninstagram.com/t51.2885-19/10727445_374524696033166_1902493572_a.jpg</v>
      </c>
    </row>
    <row r="2177" spans="1:31" ht="15" x14ac:dyDescent="0.25">
      <c r="A2177" t="s">
        <v>2474</v>
      </c>
      <c r="B2177" t="s">
        <v>13968</v>
      </c>
      <c r="C2177" s="221">
        <v>42969.522928240738</v>
      </c>
      <c r="D2177" t="s">
        <v>13969</v>
      </c>
      <c r="E2177" s="249" t="str">
        <f>HYPERLINK("https://www.instagram.com/p/BYGlhYlnWV5/")</f>
        <v>https://www.instagram.com/p/BYGlhYlnWV5/</v>
      </c>
      <c r="F2177" t="s">
        <v>13970</v>
      </c>
      <c r="G2177" t="s">
        <v>2478</v>
      </c>
      <c r="H2177">
        <v>183</v>
      </c>
      <c r="I2177" t="s">
        <v>2910</v>
      </c>
      <c r="J2177">
        <v>1</v>
      </c>
      <c r="K2177">
        <v>25</v>
      </c>
      <c r="L2177">
        <v>26</v>
      </c>
      <c r="Q2177">
        <v>0</v>
      </c>
      <c r="R2177">
        <v>0</v>
      </c>
      <c r="S2177">
        <v>26</v>
      </c>
      <c r="Y2177" t="s">
        <v>2497</v>
      </c>
      <c r="Z2177" t="s">
        <v>13971</v>
      </c>
      <c r="AA2177" t="s">
        <v>13972</v>
      </c>
      <c r="AD2177" s="249" t="str">
        <f>HYPERLINK("https://scontent.cdninstagram.com/t51.2885-15/e35/p320x320/21042065_1970321006542028_2971686334504108032_n.jpg")</f>
        <v>https://scontent.cdninstagram.com/t51.2885-15/e35/p320x320/21042065_1970321006542028_2971686334504108032_n.jpg</v>
      </c>
      <c r="AE2177" s="249" t="str">
        <f>HYPERLINK("https://scontent.cdninstagram.com/t51.2885-19/s150x150/18879114_1110584799041300_6802018399065997312_a.jpg")</f>
        <v>https://scontent.cdninstagram.com/t51.2885-19/s150x150/18879114_1110584799041300_6802018399065997312_a.jpg</v>
      </c>
    </row>
    <row r="2178" spans="1:31" ht="15" x14ac:dyDescent="0.25">
      <c r="A2178" t="s">
        <v>2474</v>
      </c>
      <c r="B2178" t="s">
        <v>13973</v>
      </c>
      <c r="C2178" s="221">
        <v>42969.527789351851</v>
      </c>
      <c r="D2178" t="s">
        <v>13974</v>
      </c>
      <c r="E2178" s="249" t="str">
        <f>HYPERLINK("https://www.instagram.com/p/BYGmUsNjyd5/")</f>
        <v>https://www.instagram.com/p/BYGmUsNjyd5/</v>
      </c>
      <c r="F2178" t="s">
        <v>13975</v>
      </c>
      <c r="G2178" t="s">
        <v>2478</v>
      </c>
      <c r="H2178">
        <v>244</v>
      </c>
      <c r="I2178" t="s">
        <v>2903</v>
      </c>
      <c r="J2178">
        <v>0</v>
      </c>
      <c r="K2178">
        <v>8</v>
      </c>
      <c r="L2178">
        <v>8</v>
      </c>
      <c r="Q2178">
        <v>0</v>
      </c>
      <c r="R2178">
        <v>0</v>
      </c>
      <c r="S2178">
        <v>8</v>
      </c>
      <c r="Y2178" t="s">
        <v>2497</v>
      </c>
      <c r="Z2178" t="s">
        <v>13976</v>
      </c>
      <c r="AD2178" s="249" t="str">
        <f>HYPERLINK("https://scontent.cdninstagram.com/t51.2885-15/s320x320/e35/21041964_827339740750475_9138905711068053504_n.jpg")</f>
        <v>https://scontent.cdninstagram.com/t51.2885-15/s320x320/e35/21041964_827339740750475_9138905711068053504_n.jpg</v>
      </c>
      <c r="AE2178" s="249" t="str">
        <f>HYPERLINK("https://scontent.cdninstagram.com/t51.2885-19/s150x150/14712330_649569978554527_4902801873867636736_a.jpg")</f>
        <v>https://scontent.cdninstagram.com/t51.2885-19/s150x150/14712330_649569978554527_4902801873867636736_a.jpg</v>
      </c>
    </row>
    <row r="2179" spans="1:31" ht="15" x14ac:dyDescent="0.25">
      <c r="A2179" t="s">
        <v>2474</v>
      </c>
      <c r="B2179" t="s">
        <v>13977</v>
      </c>
      <c r="C2179" s="221">
        <v>42969.528252314813</v>
      </c>
      <c r="D2179" t="s">
        <v>13978</v>
      </c>
      <c r="E2179" s="249" t="str">
        <f>HYPERLINK("https://www.instagram.com/p/BYGmZfgg7Pm/")</f>
        <v>https://www.instagram.com/p/BYGmZfgg7Pm/</v>
      </c>
      <c r="F2179" t="s">
        <v>13979</v>
      </c>
      <c r="G2179" t="s">
        <v>2631</v>
      </c>
      <c r="H2179">
        <v>287</v>
      </c>
      <c r="I2179" t="s">
        <v>2479</v>
      </c>
      <c r="J2179">
        <v>5</v>
      </c>
      <c r="K2179">
        <v>45</v>
      </c>
      <c r="L2179">
        <v>50</v>
      </c>
      <c r="Q2179">
        <v>0</v>
      </c>
      <c r="R2179">
        <v>0</v>
      </c>
      <c r="S2179">
        <v>50</v>
      </c>
      <c r="T2179" t="s">
        <v>13980</v>
      </c>
      <c r="V2179" t="s">
        <v>2239</v>
      </c>
      <c r="W2179">
        <v>51.25</v>
      </c>
      <c r="X2179">
        <v>22.566700000000001</v>
      </c>
      <c r="Y2179" t="s">
        <v>13981</v>
      </c>
      <c r="Z2179" t="s">
        <v>13982</v>
      </c>
      <c r="AA2179" t="s">
        <v>13983</v>
      </c>
      <c r="AB2179" t="s">
        <v>13984</v>
      </c>
      <c r="AC2179" t="s">
        <v>13985</v>
      </c>
      <c r="AD2179" s="249" t="str">
        <f>HYPERLINK("https://scontent.cdninstagram.com/t51.2885-15/s320x320/e15/20986972_1918077791781347_5649405552283877376_n.jpg")</f>
        <v>https://scontent.cdninstagram.com/t51.2885-15/s320x320/e15/20986972_1918077791781347_5649405552283877376_n.jpg</v>
      </c>
      <c r="AE2179" s="249" t="str">
        <f>HYPERLINK("https://scontent.cdninstagram.com/t51.2885-19/s150x150/18644805_1562207183799854_3293556298972397568_a.jpg")</f>
        <v>https://scontent.cdninstagram.com/t51.2885-19/s150x150/18644805_1562207183799854_3293556298972397568_a.jpg</v>
      </c>
    </row>
    <row r="2180" spans="1:31" ht="15" x14ac:dyDescent="0.25">
      <c r="A2180" t="s">
        <v>2474</v>
      </c>
      <c r="B2180" t="s">
        <v>4744</v>
      </c>
      <c r="C2180" s="221">
        <v>42969.528379629628</v>
      </c>
      <c r="D2180" t="s">
        <v>13986</v>
      </c>
      <c r="E2180" s="249" t="str">
        <f>HYPERLINK("https://www.instagram.com/p/BYGma2uhcVL/")</f>
        <v>https://www.instagram.com/p/BYGma2uhcVL/</v>
      </c>
      <c r="F2180" t="s">
        <v>13987</v>
      </c>
      <c r="G2180" t="s">
        <v>2478</v>
      </c>
      <c r="H2180">
        <v>247</v>
      </c>
      <c r="I2180" t="s">
        <v>2542</v>
      </c>
      <c r="J2180">
        <v>4</v>
      </c>
      <c r="K2180">
        <v>44</v>
      </c>
      <c r="L2180">
        <v>48</v>
      </c>
      <c r="Q2180">
        <v>0</v>
      </c>
      <c r="R2180">
        <v>0</v>
      </c>
      <c r="S2180">
        <v>48</v>
      </c>
      <c r="T2180" t="s">
        <v>13988</v>
      </c>
      <c r="V2180" t="s">
        <v>2110</v>
      </c>
      <c r="W2180">
        <v>50.966700000000003</v>
      </c>
      <c r="X2180">
        <v>3.98333</v>
      </c>
      <c r="Y2180" t="s">
        <v>13989</v>
      </c>
      <c r="Z2180" t="s">
        <v>13990</v>
      </c>
      <c r="AA2180" t="s">
        <v>13991</v>
      </c>
      <c r="AB2180" t="s">
        <v>13992</v>
      </c>
      <c r="AC2180" t="s">
        <v>13993</v>
      </c>
      <c r="AD2180" s="249" t="str">
        <f>HYPERLINK("https://scontent.cdninstagram.com/t51.2885-15/e35/p320x320/21041966_121933388455720_3802597068434833408_n.jpg")</f>
        <v>https://scontent.cdninstagram.com/t51.2885-15/e35/p320x320/21041966_121933388455720_3802597068434833408_n.jpg</v>
      </c>
      <c r="AE2180" s="249" t="str">
        <f>HYPERLINK("https://scontent.cdninstagram.com/t51.2885-19/s150x150/20838865_737083769816426_4377609605010685952_a.jpg")</f>
        <v>https://scontent.cdninstagram.com/t51.2885-19/s150x150/20838865_737083769816426_4377609605010685952_a.jpg</v>
      </c>
    </row>
    <row r="2181" spans="1:31" ht="15" x14ac:dyDescent="0.25">
      <c r="A2181" t="s">
        <v>2474</v>
      </c>
      <c r="B2181" t="s">
        <v>5251</v>
      </c>
      <c r="C2181" s="221">
        <v>42969.528553240743</v>
      </c>
      <c r="D2181" t="s">
        <v>13994</v>
      </c>
      <c r="E2181" s="249" t="str">
        <f>HYPERLINK("https://www.instagram.com/p/BYGmcrNDA0Q/")</f>
        <v>https://www.instagram.com/p/BYGmcrNDA0Q/</v>
      </c>
      <c r="F2181" t="s">
        <v>13995</v>
      </c>
      <c r="G2181" t="s">
        <v>2631</v>
      </c>
      <c r="H2181">
        <v>420</v>
      </c>
      <c r="I2181" t="s">
        <v>2479</v>
      </c>
      <c r="J2181">
        <v>1</v>
      </c>
      <c r="K2181">
        <v>27</v>
      </c>
      <c r="L2181">
        <v>28</v>
      </c>
      <c r="Q2181">
        <v>0</v>
      </c>
      <c r="R2181">
        <v>0</v>
      </c>
      <c r="S2181">
        <v>28</v>
      </c>
      <c r="T2181" t="s">
        <v>11811</v>
      </c>
      <c r="V2181" t="s">
        <v>2110</v>
      </c>
      <c r="W2181">
        <v>51.217170699999997</v>
      </c>
      <c r="X2181">
        <v>4.2595200999999996</v>
      </c>
      <c r="Y2181" t="s">
        <v>5257</v>
      </c>
      <c r="Z2181" t="s">
        <v>13996</v>
      </c>
      <c r="AA2181" t="s">
        <v>13997</v>
      </c>
      <c r="AB2181" t="s">
        <v>13998</v>
      </c>
      <c r="AC2181" t="s">
        <v>7830</v>
      </c>
      <c r="AD2181" s="249" t="str">
        <f>HYPERLINK("https://scontent.cdninstagram.com/t51.2885-15/e15/p320x320/21041207_411789965881905_6844629641487974400_n.jpg")</f>
        <v>https://scontent.cdninstagram.com/t51.2885-15/e15/p320x320/21041207_411789965881905_6844629641487974400_n.jpg</v>
      </c>
      <c r="AE2181" s="249" t="str">
        <f>HYPERLINK("https://scontent.cdninstagram.com/t51.2885-19/s150x150/16908014_1328109893917679_7028138896667967488_a.jpg")</f>
        <v>https://scontent.cdninstagram.com/t51.2885-19/s150x150/16908014_1328109893917679_7028138896667967488_a.jpg</v>
      </c>
    </row>
    <row r="2182" spans="1:31" ht="15" x14ac:dyDescent="0.25">
      <c r="A2182" t="s">
        <v>2474</v>
      </c>
      <c r="B2182" t="s">
        <v>2644</v>
      </c>
      <c r="C2182" s="221">
        <v>42969.533738425926</v>
      </c>
      <c r="D2182" t="s">
        <v>13999</v>
      </c>
      <c r="E2182" s="249" t="str">
        <f>HYPERLINK("https://www.instagram.com/p/BYGnTX4AXmu/")</f>
        <v>https://www.instagram.com/p/BYGnTX4AXmu/</v>
      </c>
      <c r="F2182" t="s">
        <v>14000</v>
      </c>
      <c r="G2182" t="s">
        <v>2478</v>
      </c>
      <c r="H2182">
        <v>1746</v>
      </c>
      <c r="I2182" t="s">
        <v>2479</v>
      </c>
      <c r="J2182">
        <v>0</v>
      </c>
      <c r="K2182">
        <v>74</v>
      </c>
      <c r="L2182">
        <v>74</v>
      </c>
      <c r="Q2182">
        <v>0</v>
      </c>
      <c r="R2182">
        <v>0</v>
      </c>
      <c r="S2182">
        <v>74</v>
      </c>
      <c r="T2182" t="s">
        <v>14001</v>
      </c>
      <c r="V2182" t="s">
        <v>2648</v>
      </c>
      <c r="W2182">
        <v>55.728153097505</v>
      </c>
      <c r="X2182">
        <v>37.602026828376999</v>
      </c>
      <c r="Y2182" t="s">
        <v>7428</v>
      </c>
      <c r="Z2182" t="s">
        <v>7429</v>
      </c>
      <c r="AA2182" t="s">
        <v>3634</v>
      </c>
      <c r="AB2182" t="s">
        <v>5494</v>
      </c>
      <c r="AC2182" t="s">
        <v>5796</v>
      </c>
      <c r="AD2182" s="249" t="str">
        <f>HYPERLINK("https://scontent.cdninstagram.com/t51.2885-15/s320x320/e35/20968937_274747293013432_8793525769931325440_n.jpg")</f>
        <v>https://scontent.cdninstagram.com/t51.2885-15/s320x320/e35/20968937_274747293013432_8793525769931325440_n.jpg</v>
      </c>
      <c r="AE2182" s="249" t="str">
        <f>HYPERLINK("https://scontent.cdninstagram.com/t51.2885-19/11372086_1598451257062069_1320225693_a.jpg")</f>
        <v>https://scontent.cdninstagram.com/t51.2885-19/11372086_1598451257062069_1320225693_a.jpg</v>
      </c>
    </row>
    <row r="2183" spans="1:31" ht="15" x14ac:dyDescent="0.25">
      <c r="A2183" t="s">
        <v>2474</v>
      </c>
      <c r="B2183" t="s">
        <v>14002</v>
      </c>
      <c r="C2183" s="221">
        <v>42969.539988425924</v>
      </c>
      <c r="D2183" t="s">
        <v>14003</v>
      </c>
      <c r="E2183" s="249" t="str">
        <f>HYPERLINK("https://www.instagram.com/p/BYGoVXlFOo0/")</f>
        <v>https://www.instagram.com/p/BYGoVXlFOo0/</v>
      </c>
      <c r="F2183" t="s">
        <v>14004</v>
      </c>
      <c r="G2183" t="s">
        <v>2631</v>
      </c>
      <c r="H2183">
        <v>136</v>
      </c>
      <c r="I2183" t="s">
        <v>5670</v>
      </c>
      <c r="J2183">
        <v>1</v>
      </c>
      <c r="K2183">
        <v>25</v>
      </c>
      <c r="L2183">
        <v>26</v>
      </c>
      <c r="Q2183">
        <v>0</v>
      </c>
      <c r="R2183">
        <v>0</v>
      </c>
      <c r="S2183">
        <v>26</v>
      </c>
      <c r="T2183" t="s">
        <v>14005</v>
      </c>
      <c r="V2183" t="s">
        <v>2239</v>
      </c>
      <c r="W2183">
        <v>53.740741651964001</v>
      </c>
      <c r="X2183">
        <v>20.492935180663999</v>
      </c>
      <c r="Y2183" t="s">
        <v>14006</v>
      </c>
      <c r="Z2183" t="s">
        <v>6806</v>
      </c>
      <c r="AA2183" t="s">
        <v>14007</v>
      </c>
      <c r="AB2183" t="s">
        <v>2497</v>
      </c>
      <c r="AC2183" t="s">
        <v>14008</v>
      </c>
      <c r="AD2183" s="249" t="str">
        <f>HYPERLINK("https://scontent.cdninstagram.com/t51.2885-15/e15/p320x320/20986907_1422359721213391_4639039187666862080_n.jpg")</f>
        <v>https://scontent.cdninstagram.com/t51.2885-15/e15/p320x320/20986907_1422359721213391_4639039187666862080_n.jpg</v>
      </c>
      <c r="AE2183" s="249" t="str">
        <f>HYPERLINK("https://scontent.cdninstagram.com/t51.2885-19/s150x150/20760027_1433402906753072_9173258083567140864_a.jpg")</f>
        <v>https://scontent.cdninstagram.com/t51.2885-19/s150x150/20760027_1433402906753072_9173258083567140864_a.jpg</v>
      </c>
    </row>
    <row r="2184" spans="1:31" ht="15" x14ac:dyDescent="0.25">
      <c r="A2184" t="s">
        <v>2474</v>
      </c>
      <c r="B2184" t="s">
        <v>14009</v>
      </c>
      <c r="C2184" s="221">
        <v>42969.542187500003</v>
      </c>
      <c r="D2184" t="s">
        <v>14010</v>
      </c>
      <c r="E2184" s="249" t="str">
        <f>HYPERLINK("https://www.instagram.com/p/BYGosdXlfKA/")</f>
        <v>https://www.instagram.com/p/BYGosdXlfKA/</v>
      </c>
      <c r="F2184" t="s">
        <v>14011</v>
      </c>
      <c r="G2184" t="s">
        <v>2478</v>
      </c>
      <c r="H2184">
        <v>27173</v>
      </c>
      <c r="I2184" t="s">
        <v>2479</v>
      </c>
      <c r="J2184">
        <v>8</v>
      </c>
      <c r="K2184">
        <v>114</v>
      </c>
      <c r="L2184">
        <v>122</v>
      </c>
      <c r="Q2184">
        <v>0</v>
      </c>
      <c r="R2184">
        <v>0</v>
      </c>
      <c r="S2184">
        <v>122</v>
      </c>
      <c r="Y2184" t="s">
        <v>14012</v>
      </c>
      <c r="Z2184" t="s">
        <v>11897</v>
      </c>
      <c r="AA2184" t="s">
        <v>14013</v>
      </c>
      <c r="AB2184" t="s">
        <v>4548</v>
      </c>
      <c r="AC2184" t="s">
        <v>14014</v>
      </c>
      <c r="AD2184" s="249" t="str">
        <f>HYPERLINK("https://scontent.cdninstagram.com/t51.2885-15/s320x320/e35/21041831_1909855936005049_6704670998207135744_n.jpg")</f>
        <v>https://scontent.cdninstagram.com/t51.2885-15/s320x320/e35/21041831_1909855936005049_6704670998207135744_n.jpg</v>
      </c>
      <c r="AE2184" s="249" t="str">
        <f>HYPERLINK("https://scontent.cdninstagram.com/t51.2885-19/s150x150/18252404_825448897609831_8199238536822521856_a.jpg")</f>
        <v>https://scontent.cdninstagram.com/t51.2885-19/s150x150/18252404_825448897609831_8199238536822521856_a.jpg</v>
      </c>
    </row>
    <row r="2185" spans="1:31" ht="15" x14ac:dyDescent="0.25">
      <c r="A2185" t="s">
        <v>2474</v>
      </c>
      <c r="B2185" t="s">
        <v>14015</v>
      </c>
      <c r="C2185" s="221">
        <v>42969.542685185188</v>
      </c>
      <c r="D2185" t="s">
        <v>14016</v>
      </c>
      <c r="E2185" s="249" t="str">
        <f>HYPERLINK("https://www.instagram.com/p/BYGoxzvl6kg/")</f>
        <v>https://www.instagram.com/p/BYGoxzvl6kg/</v>
      </c>
      <c r="F2185" t="s">
        <v>14017</v>
      </c>
      <c r="G2185" t="s">
        <v>2478</v>
      </c>
      <c r="H2185">
        <v>104</v>
      </c>
      <c r="I2185" t="s">
        <v>2479</v>
      </c>
      <c r="J2185">
        <v>1</v>
      </c>
      <c r="K2185">
        <v>49</v>
      </c>
      <c r="L2185">
        <v>50</v>
      </c>
      <c r="Q2185">
        <v>0</v>
      </c>
      <c r="R2185">
        <v>0</v>
      </c>
      <c r="S2185">
        <v>50</v>
      </c>
      <c r="T2185" t="s">
        <v>14018</v>
      </c>
      <c r="V2185" t="s">
        <v>2153</v>
      </c>
      <c r="W2185">
        <v>60.444400000000002</v>
      </c>
      <c r="X2185">
        <v>24.803100000000001</v>
      </c>
      <c r="Y2185" t="s">
        <v>4514</v>
      </c>
      <c r="Z2185" t="s">
        <v>2984</v>
      </c>
      <c r="AA2185" t="s">
        <v>14019</v>
      </c>
      <c r="AB2185" t="s">
        <v>6219</v>
      </c>
      <c r="AC2185" t="s">
        <v>14020</v>
      </c>
      <c r="AD2185" s="249" t="str">
        <f>HYPERLINK("https://scontent.cdninstagram.com/t51.2885-15/s320x320/e35/20905315_417483848652861_8562068818413748224_n.jpg")</f>
        <v>https://scontent.cdninstagram.com/t51.2885-15/s320x320/e35/20905315_417483848652861_8562068818413748224_n.jpg</v>
      </c>
      <c r="AE2185" s="249" t="str">
        <f>HYPERLINK("https://scontent.cdninstagram.com/t51.2885-19/s150x150/19051859_1877702702454489_451368279324229632_a.jpg")</f>
        <v>https://scontent.cdninstagram.com/t51.2885-19/s150x150/19051859_1877702702454489_451368279324229632_a.jpg</v>
      </c>
    </row>
    <row r="2186" spans="1:31" ht="15" x14ac:dyDescent="0.25">
      <c r="A2186" t="s">
        <v>2474</v>
      </c>
      <c r="B2186" t="s">
        <v>14021</v>
      </c>
      <c r="C2186" s="221">
        <v>42969.551516203705</v>
      </c>
      <c r="D2186" t="s">
        <v>14022</v>
      </c>
      <c r="E2186" s="249" t="str">
        <f>HYPERLINK("https://www.instagram.com/p/BYGqO6pB3K0/")</f>
        <v>https://www.instagram.com/p/BYGqO6pB3K0/</v>
      </c>
      <c r="F2186" t="s">
        <v>14023</v>
      </c>
      <c r="G2186" t="s">
        <v>2478</v>
      </c>
      <c r="H2186">
        <v>727</v>
      </c>
      <c r="I2186" t="s">
        <v>2479</v>
      </c>
      <c r="J2186">
        <v>7</v>
      </c>
      <c r="K2186">
        <v>48</v>
      </c>
      <c r="L2186">
        <v>55</v>
      </c>
      <c r="Q2186">
        <v>0</v>
      </c>
      <c r="R2186">
        <v>0</v>
      </c>
      <c r="S2186">
        <v>55</v>
      </c>
      <c r="Y2186" t="s">
        <v>14024</v>
      </c>
      <c r="Z2186" t="s">
        <v>14025</v>
      </c>
      <c r="AA2186" t="s">
        <v>14026</v>
      </c>
      <c r="AB2186" t="s">
        <v>14027</v>
      </c>
      <c r="AC2186" t="s">
        <v>7692</v>
      </c>
      <c r="AD2186" s="249" t="str">
        <f>HYPERLINK("https://scontent.cdninstagram.com/t51.2885-15/s320x320/e35/21040927_328051920954680_3808254171723857920_n.jpg")</f>
        <v>https://scontent.cdninstagram.com/t51.2885-15/s320x320/e35/21040927_328051920954680_3808254171723857920_n.jpg</v>
      </c>
      <c r="AE2186" s="249" t="str">
        <f>HYPERLINK("https://scontent.cdninstagram.com/t51.2885-19/s150x150/20968775_712687592255986_5533810068039925760_a.jpg")</f>
        <v>https://scontent.cdninstagram.com/t51.2885-19/s150x150/20968775_712687592255986_5533810068039925760_a.jpg</v>
      </c>
    </row>
    <row r="2187" spans="1:31" ht="15" x14ac:dyDescent="0.25">
      <c r="A2187" t="s">
        <v>2474</v>
      </c>
      <c r="B2187" t="s">
        <v>7421</v>
      </c>
      <c r="C2187" s="221">
        <v>42969.55263888889</v>
      </c>
      <c r="D2187" t="s">
        <v>14028</v>
      </c>
      <c r="E2187" s="249" t="str">
        <f>HYPERLINK("https://www.instagram.com/p/BYGqaxaDWPd/")</f>
        <v>https://www.instagram.com/p/BYGqaxaDWPd/</v>
      </c>
      <c r="F2187" t="s">
        <v>14029</v>
      </c>
      <c r="G2187" t="s">
        <v>2478</v>
      </c>
      <c r="H2187">
        <v>510</v>
      </c>
      <c r="I2187" t="s">
        <v>3575</v>
      </c>
      <c r="J2187">
        <v>11</v>
      </c>
      <c r="K2187">
        <v>83</v>
      </c>
      <c r="L2187">
        <v>94</v>
      </c>
      <c r="Q2187">
        <v>0</v>
      </c>
      <c r="R2187">
        <v>0</v>
      </c>
      <c r="S2187">
        <v>94</v>
      </c>
      <c r="T2187" t="s">
        <v>14030</v>
      </c>
      <c r="V2187" t="s">
        <v>2270</v>
      </c>
      <c r="W2187">
        <v>59.657772861292003</v>
      </c>
      <c r="X2187">
        <v>16.547099660234998</v>
      </c>
      <c r="AD2187" s="249" t="str">
        <f>HYPERLINK("https://scontent.cdninstagram.com/t51.2885-15/e35/p320x320/21041404_139597589975031_7588138482434834432_n.jpg")</f>
        <v>https://scontent.cdninstagram.com/t51.2885-15/e35/p320x320/21041404_139597589975031_7588138482434834432_n.jpg</v>
      </c>
      <c r="AE2187" s="249" t="str">
        <f>HYPERLINK("https://scontent.cdninstagram.com/t51.2885-19/s150x150/21149381_111820502847444_8601511457303035904_a.jpg")</f>
        <v>https://scontent.cdninstagram.com/t51.2885-19/s150x150/21149381_111820502847444_8601511457303035904_a.jpg</v>
      </c>
    </row>
    <row r="2188" spans="1:31" ht="15" x14ac:dyDescent="0.25">
      <c r="A2188" t="s">
        <v>2474</v>
      </c>
      <c r="B2188" t="s">
        <v>14031</v>
      </c>
      <c r="C2188" s="221">
        <v>42969.553391203706</v>
      </c>
      <c r="D2188" t="s">
        <v>14032</v>
      </c>
      <c r="E2188" s="249" t="str">
        <f>HYPERLINK("https://www.instagram.com/p/BYGqirKg9dZ/")</f>
        <v>https://www.instagram.com/p/BYGqirKg9dZ/</v>
      </c>
      <c r="F2188" t="s">
        <v>14033</v>
      </c>
      <c r="G2188" t="s">
        <v>2478</v>
      </c>
      <c r="H2188">
        <v>257</v>
      </c>
      <c r="I2188" t="s">
        <v>2542</v>
      </c>
      <c r="J2188">
        <v>0</v>
      </c>
      <c r="K2188">
        <v>11</v>
      </c>
      <c r="L2188">
        <v>11</v>
      </c>
      <c r="Q2188">
        <v>0</v>
      </c>
      <c r="R2188">
        <v>0</v>
      </c>
      <c r="S2188">
        <v>11</v>
      </c>
      <c r="Y2188" t="s">
        <v>14034</v>
      </c>
      <c r="Z2188" t="s">
        <v>14035</v>
      </c>
      <c r="AA2188" t="s">
        <v>6864</v>
      </c>
      <c r="AB2188" t="s">
        <v>14036</v>
      </c>
      <c r="AC2188" t="s">
        <v>14037</v>
      </c>
      <c r="AD2188" s="249" t="str">
        <f>HYPERLINK("https://scontent.cdninstagram.com/t51.2885-15/s320x320/e35/21042192_127194467909520_4652618912184139776_n.jpg")</f>
        <v>https://scontent.cdninstagram.com/t51.2885-15/s320x320/e35/21042192_127194467909520_4652618912184139776_n.jpg</v>
      </c>
      <c r="AE2188" s="249" t="str">
        <f>HYPERLINK("https://scontent.cdninstagram.com/t51.2885-19/18947457_532613823794473_1117399926045671424_a.jpg")</f>
        <v>https://scontent.cdninstagram.com/t51.2885-19/18947457_532613823794473_1117399926045671424_a.jpg</v>
      </c>
    </row>
    <row r="2189" spans="1:31" ht="15" x14ac:dyDescent="0.25">
      <c r="A2189" t="s">
        <v>2474</v>
      </c>
      <c r="B2189" t="s">
        <v>2548</v>
      </c>
      <c r="C2189" s="221">
        <v>42969.555428240739</v>
      </c>
      <c r="D2189" t="s">
        <v>14038</v>
      </c>
      <c r="E2189" s="249" t="str">
        <f>HYPERLINK("https://www.instagram.com/p/BYGq4JSHfU3/")</f>
        <v>https://www.instagram.com/p/BYGq4JSHfU3/</v>
      </c>
      <c r="F2189" t="s">
        <v>14039</v>
      </c>
      <c r="G2189" t="s">
        <v>2478</v>
      </c>
      <c r="H2189">
        <v>533</v>
      </c>
      <c r="I2189" t="s">
        <v>4567</v>
      </c>
      <c r="J2189">
        <v>4</v>
      </c>
      <c r="K2189">
        <v>39</v>
      </c>
      <c r="L2189">
        <v>43</v>
      </c>
      <c r="Q2189">
        <v>0</v>
      </c>
      <c r="R2189">
        <v>0</v>
      </c>
      <c r="S2189">
        <v>43</v>
      </c>
      <c r="Y2189" t="s">
        <v>4042</v>
      </c>
      <c r="Z2189" t="s">
        <v>7907</v>
      </c>
      <c r="AA2189" t="s">
        <v>14040</v>
      </c>
      <c r="AB2189" t="s">
        <v>5739</v>
      </c>
      <c r="AC2189" t="s">
        <v>2861</v>
      </c>
      <c r="AD2189" s="249" t="str">
        <f>HYPERLINK("https://scontent.cdninstagram.com/t51.2885-15/s320x320/e35/20987019_1911649649093767_4781865838309277696_n.jpg")</f>
        <v>https://scontent.cdninstagram.com/t51.2885-15/s320x320/e35/20987019_1911649649093767_4781865838309277696_n.jpg</v>
      </c>
      <c r="AE2189" s="249" t="str">
        <f>HYPERLINK("https://scontent.cdninstagram.com/t51.2885-19/s150x150/20902268_463519954020811_6603510379353997312_a.jpg")</f>
        <v>https://scontent.cdninstagram.com/t51.2885-19/s150x150/20902268_463519954020811_6603510379353997312_a.jpg</v>
      </c>
    </row>
    <row r="2190" spans="1:31" ht="15" x14ac:dyDescent="0.25">
      <c r="A2190" t="s">
        <v>2474</v>
      </c>
      <c r="B2190" t="s">
        <v>14041</v>
      </c>
      <c r="C2190" s="221">
        <v>42969.560069444444</v>
      </c>
      <c r="D2190" t="s">
        <v>14042</v>
      </c>
      <c r="E2190" s="249" t="str">
        <f>HYPERLINK("https://www.instagram.com/p/BYGrpDXnue_/")</f>
        <v>https://www.instagram.com/p/BYGrpDXnue_/</v>
      </c>
      <c r="F2190" t="s">
        <v>14043</v>
      </c>
      <c r="G2190" t="s">
        <v>2631</v>
      </c>
      <c r="H2190">
        <v>1123</v>
      </c>
      <c r="I2190" t="s">
        <v>2542</v>
      </c>
      <c r="J2190">
        <v>7</v>
      </c>
      <c r="K2190">
        <v>149</v>
      </c>
      <c r="L2190">
        <v>156</v>
      </c>
      <c r="Q2190">
        <v>0</v>
      </c>
      <c r="R2190">
        <v>0</v>
      </c>
      <c r="S2190">
        <v>156</v>
      </c>
      <c r="T2190" t="s">
        <v>14044</v>
      </c>
      <c r="V2190" t="s">
        <v>2222</v>
      </c>
      <c r="W2190">
        <v>52.98368</v>
      </c>
      <c r="X2190">
        <v>6.96075</v>
      </c>
      <c r="Y2190" t="s">
        <v>14045</v>
      </c>
      <c r="Z2190" t="s">
        <v>14046</v>
      </c>
      <c r="AA2190" t="s">
        <v>2735</v>
      </c>
      <c r="AB2190" t="s">
        <v>12156</v>
      </c>
      <c r="AC2190" t="s">
        <v>3982</v>
      </c>
      <c r="AD2190" s="249" t="str">
        <f>HYPERLINK("https://scontent.cdninstagram.com/t51.2885-15/s320x320/e15/20987150_333552097104258_1571329165519486976_n.jpg")</f>
        <v>https://scontent.cdninstagram.com/t51.2885-15/s320x320/e15/20987150_333552097104258_1571329165519486976_n.jpg</v>
      </c>
      <c r="AE2190" s="249" t="str">
        <f>HYPERLINK("https://scontent.cdninstagram.com/t51.2885-19/s150x150/17662577_402524420103305_4119226438362595328_a.jpg")</f>
        <v>https://scontent.cdninstagram.com/t51.2885-19/s150x150/17662577_402524420103305_4119226438362595328_a.jpg</v>
      </c>
    </row>
    <row r="2191" spans="1:31" ht="15" x14ac:dyDescent="0.25">
      <c r="A2191" t="s">
        <v>2474</v>
      </c>
      <c r="B2191" t="s">
        <v>14047</v>
      </c>
      <c r="C2191" s="221">
        <v>42969.561990740738</v>
      </c>
      <c r="D2191" t="s">
        <v>14048</v>
      </c>
      <c r="E2191" s="249" t="str">
        <f>HYPERLINK("https://www.instagram.com/p/BYGr9UUFw5P/")</f>
        <v>https://www.instagram.com/p/BYGr9UUFw5P/</v>
      </c>
      <c r="F2191" t="s">
        <v>14049</v>
      </c>
      <c r="G2191" t="s">
        <v>2478</v>
      </c>
      <c r="H2191">
        <v>229</v>
      </c>
      <c r="I2191" t="s">
        <v>2479</v>
      </c>
      <c r="J2191">
        <v>0</v>
      </c>
      <c r="K2191">
        <v>26</v>
      </c>
      <c r="L2191">
        <v>26</v>
      </c>
      <c r="Q2191">
        <v>0</v>
      </c>
      <c r="R2191">
        <v>0</v>
      </c>
      <c r="S2191">
        <v>26</v>
      </c>
      <c r="T2191" t="s">
        <v>14050</v>
      </c>
      <c r="V2191" t="s">
        <v>2288</v>
      </c>
      <c r="W2191">
        <v>51.887500000000003</v>
      </c>
      <c r="X2191">
        <v>-3.4516666666667</v>
      </c>
      <c r="Y2191" t="s">
        <v>14051</v>
      </c>
      <c r="Z2191" t="s">
        <v>14052</v>
      </c>
      <c r="AA2191" t="s">
        <v>14053</v>
      </c>
      <c r="AB2191" t="s">
        <v>3316</v>
      </c>
      <c r="AC2191" t="s">
        <v>10509</v>
      </c>
      <c r="AD2191" s="249" t="str">
        <f>HYPERLINK("https://scontent.cdninstagram.com/t51.2885-15/s320x320/e35/20905291_112137306121709_4527757925057298432_n.jpg")</f>
        <v>https://scontent.cdninstagram.com/t51.2885-15/s320x320/e35/20905291_112137306121709_4527757925057298432_n.jpg</v>
      </c>
      <c r="AE2191" s="249" t="str">
        <f>HYPERLINK("https://scontent.cdninstagram.com/t51.2885-19/s150x150/15803388_1745796749072021_4853132501234745344_a.jpg")</f>
        <v>https://scontent.cdninstagram.com/t51.2885-19/s150x150/15803388_1745796749072021_4853132501234745344_a.jpg</v>
      </c>
    </row>
    <row r="2192" spans="1:31" ht="15" x14ac:dyDescent="0.25">
      <c r="A2192" t="s">
        <v>2474</v>
      </c>
      <c r="B2192" t="s">
        <v>7241</v>
      </c>
      <c r="C2192" s="221">
        <v>42969.564189814817</v>
      </c>
      <c r="D2192" t="s">
        <v>14054</v>
      </c>
      <c r="E2192" s="249" t="str">
        <f>HYPERLINK("https://www.instagram.com/p/BYGsUlzB2yN/")</f>
        <v>https://www.instagram.com/p/BYGsUlzB2yN/</v>
      </c>
      <c r="F2192" t="s">
        <v>14055</v>
      </c>
      <c r="G2192" t="s">
        <v>2478</v>
      </c>
      <c r="H2192">
        <v>416</v>
      </c>
      <c r="I2192" t="s">
        <v>2748</v>
      </c>
      <c r="J2192">
        <v>1</v>
      </c>
      <c r="K2192">
        <v>15</v>
      </c>
      <c r="L2192">
        <v>16</v>
      </c>
      <c r="Q2192">
        <v>0</v>
      </c>
      <c r="R2192">
        <v>0</v>
      </c>
      <c r="S2192">
        <v>16</v>
      </c>
      <c r="Y2192" t="s">
        <v>14056</v>
      </c>
      <c r="Z2192" t="s">
        <v>8001</v>
      </c>
      <c r="AA2192" t="s">
        <v>14057</v>
      </c>
      <c r="AB2192" t="s">
        <v>6597</v>
      </c>
      <c r="AC2192" t="s">
        <v>14058</v>
      </c>
      <c r="AD2192" s="249" t="str">
        <f>HYPERLINK("https://scontent.cdninstagram.com/t51.2885-15/e35/p320x320/20905367_1160574664044265_7818430359648862208_n.jpg")</f>
        <v>https://scontent.cdninstagram.com/t51.2885-15/e35/p320x320/20905367_1160574664044265_7818430359648862208_n.jpg</v>
      </c>
      <c r="AE2192" s="249" t="str">
        <f>HYPERLINK("https://scontent.cdninstagram.com/t51.2885-19/s150x150/20759624_1657792777595092_374058807866687488_a.jpg")</f>
        <v>https://scontent.cdninstagram.com/t51.2885-19/s150x150/20759624_1657792777595092_374058807866687488_a.jpg</v>
      </c>
    </row>
    <row r="2193" spans="1:31" ht="15" x14ac:dyDescent="0.25">
      <c r="A2193" t="s">
        <v>2474</v>
      </c>
      <c r="B2193" t="s">
        <v>14059</v>
      </c>
      <c r="C2193" s="221">
        <v>42969.564895833333</v>
      </c>
      <c r="D2193" t="s">
        <v>14060</v>
      </c>
      <c r="E2193" s="249" t="str">
        <f>HYPERLINK("https://www.instagram.com/p/BYGscBIl0DP/")</f>
        <v>https://www.instagram.com/p/BYGscBIl0DP/</v>
      </c>
      <c r="F2193" t="s">
        <v>14061</v>
      </c>
      <c r="G2193" t="s">
        <v>2478</v>
      </c>
      <c r="H2193">
        <v>68</v>
      </c>
      <c r="I2193" t="s">
        <v>2479</v>
      </c>
      <c r="J2193">
        <v>0</v>
      </c>
      <c r="K2193">
        <v>22</v>
      </c>
      <c r="L2193">
        <v>22</v>
      </c>
      <c r="Q2193">
        <v>0</v>
      </c>
      <c r="R2193">
        <v>0</v>
      </c>
      <c r="S2193">
        <v>22</v>
      </c>
      <c r="Y2193" t="s">
        <v>14062</v>
      </c>
      <c r="Z2193" t="s">
        <v>5552</v>
      </c>
      <c r="AA2193" t="s">
        <v>4317</v>
      </c>
      <c r="AB2193" t="s">
        <v>4831</v>
      </c>
      <c r="AC2193" t="s">
        <v>3316</v>
      </c>
      <c r="AD2193" s="249" t="str">
        <f>HYPERLINK("https://scontent.cdninstagram.com/t51.2885-15/e35/p320x320/20968636_112469596107677_1321874170727890944_n.jpg")</f>
        <v>https://scontent.cdninstagram.com/t51.2885-15/e35/p320x320/20968636_112469596107677_1321874170727890944_n.jpg</v>
      </c>
      <c r="AE2193" s="249" t="str">
        <f>HYPERLINK("https://scontent.cdninstagram.com/t51.2885-19/s150x150/17818920_1684343305199804_3020021144834015232_a.jpg")</f>
        <v>https://scontent.cdninstagram.com/t51.2885-19/s150x150/17818920_1684343305199804_3020021144834015232_a.jpg</v>
      </c>
    </row>
    <row r="2194" spans="1:31" ht="15" x14ac:dyDescent="0.25">
      <c r="A2194" t="s">
        <v>2474</v>
      </c>
      <c r="B2194" t="s">
        <v>14063</v>
      </c>
      <c r="C2194" s="221">
        <v>42969.564918981479</v>
      </c>
      <c r="D2194" t="s">
        <v>14064</v>
      </c>
      <c r="E2194" s="249" t="str">
        <f>HYPERLINK("https://www.instagram.com/p/BYGscNnjg08/")</f>
        <v>https://www.instagram.com/p/BYGscNnjg08/</v>
      </c>
      <c r="F2194" t="s">
        <v>14065</v>
      </c>
      <c r="G2194" t="s">
        <v>2478</v>
      </c>
      <c r="H2194">
        <v>157</v>
      </c>
      <c r="I2194" t="s">
        <v>2639</v>
      </c>
      <c r="J2194">
        <v>0</v>
      </c>
      <c r="K2194">
        <v>12</v>
      </c>
      <c r="L2194">
        <v>12</v>
      </c>
      <c r="Q2194">
        <v>0</v>
      </c>
      <c r="R2194">
        <v>0</v>
      </c>
      <c r="S2194">
        <v>12</v>
      </c>
      <c r="T2194" t="s">
        <v>14066</v>
      </c>
      <c r="V2194" t="s">
        <v>2230</v>
      </c>
      <c r="W2194">
        <v>62.048611111111001</v>
      </c>
      <c r="X2194">
        <v>7.2691666666666999</v>
      </c>
      <c r="Y2194" t="s">
        <v>3174</v>
      </c>
      <c r="Z2194" t="s">
        <v>6460</v>
      </c>
      <c r="AA2194" t="s">
        <v>12044</v>
      </c>
      <c r="AB2194" t="s">
        <v>14067</v>
      </c>
      <c r="AC2194" t="s">
        <v>2497</v>
      </c>
      <c r="AD2194" s="249" t="str">
        <f>HYPERLINK("https://scontent.cdninstagram.com/t51.2885-15/s320x320/e35/20986979_111993526135410_7154879924124254208_n.jpg")</f>
        <v>https://scontent.cdninstagram.com/t51.2885-15/s320x320/e35/20986979_111993526135410_7154879924124254208_n.jpg</v>
      </c>
      <c r="AE2194" s="249" t="str">
        <f>HYPERLINK("https://scontent.cdninstagram.com/t51.2885-19/s150x150/20904938_168191853729164_337734955184422912_a.jpg")</f>
        <v>https://scontent.cdninstagram.com/t51.2885-19/s150x150/20904938_168191853729164_337734955184422912_a.jpg</v>
      </c>
    </row>
    <row r="2195" spans="1:31" ht="15" x14ac:dyDescent="0.25">
      <c r="A2195" t="s">
        <v>2474</v>
      </c>
      <c r="B2195" t="s">
        <v>14068</v>
      </c>
      <c r="C2195" s="221">
        <v>42969.56559027778</v>
      </c>
      <c r="D2195" t="s">
        <v>14069</v>
      </c>
      <c r="E2195" s="249" t="str">
        <f>HYPERLINK("https://www.instagram.com/p/BYGsjSpFgHL/")</f>
        <v>https://www.instagram.com/p/BYGsjSpFgHL/</v>
      </c>
      <c r="F2195" t="s">
        <v>14070</v>
      </c>
      <c r="G2195" t="s">
        <v>2478</v>
      </c>
      <c r="H2195">
        <v>913</v>
      </c>
      <c r="I2195" t="s">
        <v>2479</v>
      </c>
      <c r="J2195">
        <v>1</v>
      </c>
      <c r="K2195">
        <v>25</v>
      </c>
      <c r="L2195">
        <v>26</v>
      </c>
      <c r="Q2195">
        <v>0</v>
      </c>
      <c r="R2195">
        <v>0</v>
      </c>
      <c r="S2195">
        <v>26</v>
      </c>
      <c r="Y2195" t="s">
        <v>5466</v>
      </c>
      <c r="Z2195" t="s">
        <v>14071</v>
      </c>
      <c r="AA2195" t="s">
        <v>12626</v>
      </c>
      <c r="AB2195" t="s">
        <v>14072</v>
      </c>
      <c r="AC2195" t="s">
        <v>5383</v>
      </c>
      <c r="AD2195" s="249" t="str">
        <f>HYPERLINK("https://scontent.cdninstagram.com/t51.2885-15/s320x320/e35/21040981_1334864636640122_8556081496564170752_n.jpg")</f>
        <v>https://scontent.cdninstagram.com/t51.2885-15/s320x320/e35/21040981_1334864636640122_8556081496564170752_n.jpg</v>
      </c>
      <c r="AE2195" s="249" t="str">
        <f>HYPERLINK("https://scontent.cdninstagram.com/t51.2885-19/s150x150/20686844_332082700567941_584265687132798976_a.jpg")</f>
        <v>https://scontent.cdninstagram.com/t51.2885-19/s150x150/20686844_332082700567941_584265687132798976_a.jpg</v>
      </c>
    </row>
    <row r="2196" spans="1:31" ht="15" x14ac:dyDescent="0.25">
      <c r="A2196" t="s">
        <v>2474</v>
      </c>
      <c r="B2196" t="s">
        <v>14073</v>
      </c>
      <c r="C2196" s="221">
        <v>42969.566678240742</v>
      </c>
      <c r="D2196" t="s">
        <v>14074</v>
      </c>
      <c r="E2196" s="249" t="str">
        <f>HYPERLINK("https://www.instagram.com/p/BYGsu01l7Ec/")</f>
        <v>https://www.instagram.com/p/BYGsu01l7Ec/</v>
      </c>
      <c r="F2196" t="s">
        <v>14075</v>
      </c>
      <c r="G2196" t="s">
        <v>2478</v>
      </c>
      <c r="H2196">
        <v>727</v>
      </c>
      <c r="I2196" t="s">
        <v>4052</v>
      </c>
      <c r="J2196">
        <v>2</v>
      </c>
      <c r="K2196">
        <v>37</v>
      </c>
      <c r="L2196">
        <v>39</v>
      </c>
      <c r="Q2196">
        <v>0</v>
      </c>
      <c r="R2196">
        <v>0</v>
      </c>
      <c r="S2196">
        <v>39</v>
      </c>
      <c r="T2196" t="s">
        <v>14076</v>
      </c>
      <c r="V2196" t="s">
        <v>2182</v>
      </c>
      <c r="W2196">
        <v>44.068906206295999</v>
      </c>
      <c r="X2196">
        <v>12.579531934074</v>
      </c>
      <c r="Y2196" t="s">
        <v>14077</v>
      </c>
      <c r="Z2196" t="s">
        <v>14078</v>
      </c>
      <c r="AA2196" t="s">
        <v>2497</v>
      </c>
      <c r="AB2196" t="s">
        <v>3619</v>
      </c>
      <c r="AC2196" t="s">
        <v>4374</v>
      </c>
      <c r="AD2196" s="249" t="str">
        <f>HYPERLINK("https://scontent.cdninstagram.com/t51.2885-15/s320x320/e35/20968747_115967772397932_4400837720155357184_n.jpg")</f>
        <v>https://scontent.cdninstagram.com/t51.2885-15/s320x320/e35/20968747_115967772397932_4400837720155357184_n.jpg</v>
      </c>
      <c r="AE2196" s="249" t="str">
        <f>HYPERLINK("https://scontent.cdninstagram.com/t51.2885-19/s150x150/20968659_111631046211826_6637211003450818560_a.jpg")</f>
        <v>https://scontent.cdninstagram.com/t51.2885-19/s150x150/20968659_111631046211826_6637211003450818560_a.jpg</v>
      </c>
    </row>
    <row r="2197" spans="1:31" ht="15" x14ac:dyDescent="0.25">
      <c r="A2197" t="s">
        <v>2474</v>
      </c>
      <c r="B2197" t="s">
        <v>14079</v>
      </c>
      <c r="C2197" s="221">
        <v>42969.567453703705</v>
      </c>
      <c r="D2197" t="s">
        <v>14080</v>
      </c>
      <c r="E2197" s="249" t="str">
        <f>HYPERLINK("https://www.instagram.com/p/BYGs3BKBazt/")</f>
        <v>https://www.instagram.com/p/BYGs3BKBazt/</v>
      </c>
      <c r="F2197" t="s">
        <v>14081</v>
      </c>
      <c r="G2197" t="s">
        <v>2478</v>
      </c>
      <c r="H2197">
        <v>325</v>
      </c>
      <c r="I2197" t="s">
        <v>2479</v>
      </c>
      <c r="J2197">
        <v>1</v>
      </c>
      <c r="K2197">
        <v>16</v>
      </c>
      <c r="L2197">
        <v>17</v>
      </c>
      <c r="Q2197">
        <v>0</v>
      </c>
      <c r="R2197">
        <v>0</v>
      </c>
      <c r="S2197">
        <v>17</v>
      </c>
      <c r="T2197" t="s">
        <v>14082</v>
      </c>
      <c r="V2197" t="s">
        <v>2102</v>
      </c>
      <c r="W2197">
        <v>-31.68674</v>
      </c>
      <c r="X2197">
        <v>115.71521</v>
      </c>
      <c r="Y2197" t="s">
        <v>3854</v>
      </c>
      <c r="Z2197" t="s">
        <v>9006</v>
      </c>
      <c r="AA2197" t="s">
        <v>4420</v>
      </c>
      <c r="AB2197" t="s">
        <v>14083</v>
      </c>
      <c r="AC2197" t="s">
        <v>2497</v>
      </c>
      <c r="AD2197" s="249" t="str">
        <f>HYPERLINK("https://scontent.cdninstagram.com/t51.2885-15/s320x320/e35/20969290_278276419322387_7108344159630524416_n.jpg")</f>
        <v>https://scontent.cdninstagram.com/t51.2885-15/s320x320/e35/20969290_278276419322387_7108344159630524416_n.jpg</v>
      </c>
      <c r="AE2197" s="249" t="str">
        <f>HYPERLINK("https://scontent.cdninstagram.com/t51.2885-19/s150x150/16123687_656573094529488_6748491407066923008_n.jpg")</f>
        <v>https://scontent.cdninstagram.com/t51.2885-19/s150x150/16123687_656573094529488_6748491407066923008_n.jpg</v>
      </c>
    </row>
    <row r="2198" spans="1:31" ht="15" x14ac:dyDescent="0.25">
      <c r="A2198" t="s">
        <v>2474</v>
      </c>
      <c r="B2198" t="s">
        <v>4616</v>
      </c>
      <c r="C2198" s="221">
        <v>42969.572094907409</v>
      </c>
      <c r="D2198" t="s">
        <v>14084</v>
      </c>
      <c r="E2198" s="249" t="str">
        <f>HYPERLINK("https://www.instagram.com/p/BYGtn_LBDcn/")</f>
        <v>https://www.instagram.com/p/BYGtn_LBDcn/</v>
      </c>
      <c r="F2198" t="s">
        <v>14085</v>
      </c>
      <c r="G2198" t="s">
        <v>2478</v>
      </c>
      <c r="H2198">
        <v>116</v>
      </c>
      <c r="I2198" t="s">
        <v>2479</v>
      </c>
      <c r="J2198">
        <v>0</v>
      </c>
      <c r="K2198">
        <v>29</v>
      </c>
      <c r="L2198">
        <v>29</v>
      </c>
      <c r="Q2198">
        <v>0</v>
      </c>
      <c r="R2198">
        <v>0</v>
      </c>
      <c r="S2198">
        <v>29</v>
      </c>
      <c r="T2198" t="s">
        <v>7823</v>
      </c>
      <c r="V2198" t="s">
        <v>2125</v>
      </c>
      <c r="W2198">
        <v>45</v>
      </c>
      <c r="X2198">
        <v>-79.3</v>
      </c>
      <c r="Y2198" t="s">
        <v>2673</v>
      </c>
      <c r="Z2198" t="s">
        <v>6429</v>
      </c>
      <c r="AA2198" t="s">
        <v>4620</v>
      </c>
      <c r="AB2198" t="s">
        <v>5005</v>
      </c>
      <c r="AC2198" t="s">
        <v>5006</v>
      </c>
      <c r="AD2198" s="249" t="str">
        <f>HYPERLINK("https://scontent.cdninstagram.com/t51.2885-15/s320x320/e35/20969210_111197232928308_9001420934589972480_n.jpg")</f>
        <v>https://scontent.cdninstagram.com/t51.2885-15/s320x320/e35/20969210_111197232928308_9001420934589972480_n.jpg</v>
      </c>
      <c r="AE2198" s="249" t="str">
        <f>HYPERLINK("https://scontent.cdninstagram.com/t51.2885-19/s150x150/17494353_1347957098574282_2527511313651859456_a.jpg")</f>
        <v>https://scontent.cdninstagram.com/t51.2885-19/s150x150/17494353_1347957098574282_2527511313651859456_a.jpg</v>
      </c>
    </row>
    <row r="2199" spans="1:31" ht="15" x14ac:dyDescent="0.25">
      <c r="A2199" t="s">
        <v>2474</v>
      </c>
      <c r="B2199" t="s">
        <v>14086</v>
      </c>
      <c r="C2199" s="221">
        <v>42969.582615740743</v>
      </c>
      <c r="D2199" t="s">
        <v>14087</v>
      </c>
      <c r="E2199" s="249" t="str">
        <f>HYPERLINK("https://www.instagram.com/p/BYGvW5vBLEn/")</f>
        <v>https://www.instagram.com/p/BYGvW5vBLEn/</v>
      </c>
      <c r="F2199" t="s">
        <v>14088</v>
      </c>
      <c r="G2199" t="s">
        <v>2478</v>
      </c>
      <c r="H2199">
        <v>70</v>
      </c>
      <c r="I2199" t="s">
        <v>2479</v>
      </c>
      <c r="J2199">
        <v>0</v>
      </c>
      <c r="K2199">
        <v>5</v>
      </c>
      <c r="L2199">
        <v>5</v>
      </c>
      <c r="Q2199">
        <v>0</v>
      </c>
      <c r="R2199">
        <v>0</v>
      </c>
      <c r="S2199">
        <v>5</v>
      </c>
      <c r="Y2199" t="s">
        <v>2497</v>
      </c>
      <c r="Z2199" t="s">
        <v>14089</v>
      </c>
      <c r="AA2199" t="s">
        <v>14090</v>
      </c>
      <c r="AD2199" s="249" t="str">
        <f>HYPERLINK("https://scontent.cdninstagram.com/t51.2885-15/s320x320/e35/20968781_1908966606094799_1211266771307200512_n.jpg")</f>
        <v>https://scontent.cdninstagram.com/t51.2885-15/s320x320/e35/20968781_1908966606094799_1211266771307200512_n.jpg</v>
      </c>
      <c r="AE2199" s="249" t="str">
        <f>HYPERLINK("https://scontent.cdninstagram.com/t51.2885-19/s150x150/17438938_1660117044284622_4927271969000259584_a.jpg")</f>
        <v>https://scontent.cdninstagram.com/t51.2885-19/s150x150/17438938_1660117044284622_4927271969000259584_a.jpg</v>
      </c>
    </row>
    <row r="2200" spans="1:31" ht="15" x14ac:dyDescent="0.25">
      <c r="A2200" t="s">
        <v>2474</v>
      </c>
      <c r="B2200" t="s">
        <v>14091</v>
      </c>
      <c r="C2200" s="221">
        <v>42969.583784722221</v>
      </c>
      <c r="D2200" t="s">
        <v>14092</v>
      </c>
      <c r="E2200" s="249" t="str">
        <f>HYPERLINK("https://www.instagram.com/p/BYGvjL4hJpI/")</f>
        <v>https://www.instagram.com/p/BYGvjL4hJpI/</v>
      </c>
      <c r="F2200" t="s">
        <v>14093</v>
      </c>
      <c r="G2200" t="s">
        <v>2478</v>
      </c>
      <c r="H2200">
        <v>101</v>
      </c>
      <c r="I2200" t="s">
        <v>2896</v>
      </c>
      <c r="J2200">
        <v>0</v>
      </c>
      <c r="K2200">
        <v>13</v>
      </c>
      <c r="L2200">
        <v>13</v>
      </c>
      <c r="Q2200">
        <v>0</v>
      </c>
      <c r="R2200">
        <v>0</v>
      </c>
      <c r="S2200">
        <v>13</v>
      </c>
      <c r="Y2200" t="s">
        <v>14094</v>
      </c>
      <c r="Z2200" t="s">
        <v>14095</v>
      </c>
      <c r="AA2200" t="s">
        <v>14096</v>
      </c>
      <c r="AB2200" t="s">
        <v>14097</v>
      </c>
      <c r="AC2200" t="s">
        <v>13751</v>
      </c>
      <c r="AD2200" s="249" t="str">
        <f>HYPERLINK("https://scontent.cdninstagram.com/t51.2885-15/s320x320/e35/20905612_146489262612825_7826235943018299392_n.jpg")</f>
        <v>https://scontent.cdninstagram.com/t51.2885-15/s320x320/e35/20905612_146489262612825_7826235943018299392_n.jpg</v>
      </c>
      <c r="AE2200" s="249" t="str">
        <f>HYPERLINK("https://scontent.cdninstagram.com/t51.2885-19/s150x150/19624851_173821943157519_3435663108801036288_a.jpg")</f>
        <v>https://scontent.cdninstagram.com/t51.2885-19/s150x150/19624851_173821943157519_3435663108801036288_a.jpg</v>
      </c>
    </row>
    <row r="2201" spans="1:31" ht="15" x14ac:dyDescent="0.25">
      <c r="A2201" t="s">
        <v>2474</v>
      </c>
      <c r="B2201" t="s">
        <v>14098</v>
      </c>
      <c r="C2201" s="221">
        <v>42969.586122685185</v>
      </c>
      <c r="D2201" t="s">
        <v>14099</v>
      </c>
      <c r="E2201" s="249" t="str">
        <f>HYPERLINK("https://www.instagram.com/p/BYGv77fFxw8/")</f>
        <v>https://www.instagram.com/p/BYGv77fFxw8/</v>
      </c>
      <c r="F2201" t="s">
        <v>14100</v>
      </c>
      <c r="G2201" t="s">
        <v>2478</v>
      </c>
      <c r="H2201">
        <v>195</v>
      </c>
      <c r="I2201" t="s">
        <v>2542</v>
      </c>
      <c r="J2201">
        <v>1</v>
      </c>
      <c r="K2201">
        <v>5</v>
      </c>
      <c r="L2201">
        <v>6</v>
      </c>
      <c r="Q2201">
        <v>0</v>
      </c>
      <c r="R2201">
        <v>0</v>
      </c>
      <c r="S2201">
        <v>6</v>
      </c>
      <c r="Y2201" t="s">
        <v>14101</v>
      </c>
      <c r="Z2201" t="s">
        <v>2497</v>
      </c>
      <c r="AA2201" t="s">
        <v>14102</v>
      </c>
      <c r="AB2201" t="s">
        <v>14103</v>
      </c>
      <c r="AC2201" t="s">
        <v>14104</v>
      </c>
      <c r="AD2201" s="249" t="str">
        <f>HYPERLINK("https://scontent.cdninstagram.com/t51.2885-15/s320x320/e35/20968870_1701473230162060_690424325068554240_n.jpg")</f>
        <v>https://scontent.cdninstagram.com/t51.2885-15/s320x320/e35/20968870_1701473230162060_690424325068554240_n.jpg</v>
      </c>
      <c r="AE2201" s="249" t="str">
        <f>HYPERLINK("https://scontent.cdninstagram.com/t51.2885-19/s150x150/18950371_248781122283613_3987478539896094720_a.jpg")</f>
        <v>https://scontent.cdninstagram.com/t51.2885-19/s150x150/18950371_248781122283613_3987478539896094720_a.jpg</v>
      </c>
    </row>
    <row r="2202" spans="1:31" ht="15" x14ac:dyDescent="0.25">
      <c r="A2202" t="s">
        <v>2474</v>
      </c>
      <c r="B2202" t="s">
        <v>14105</v>
      </c>
      <c r="C2202" s="221">
        <v>42969.593576388892</v>
      </c>
      <c r="D2202" t="s">
        <v>14106</v>
      </c>
      <c r="E2202" s="249" t="str">
        <f>HYPERLINK("https://www.instagram.com/p/BYGxKgNF6Lb/")</f>
        <v>https://www.instagram.com/p/BYGxKgNF6Lb/</v>
      </c>
      <c r="F2202" t="s">
        <v>14107</v>
      </c>
      <c r="G2202" t="s">
        <v>2478</v>
      </c>
      <c r="H2202">
        <v>4869</v>
      </c>
      <c r="I2202" t="s">
        <v>4052</v>
      </c>
      <c r="J2202">
        <v>0</v>
      </c>
      <c r="K2202">
        <v>4</v>
      </c>
      <c r="L2202">
        <v>4</v>
      </c>
      <c r="Q2202">
        <v>0</v>
      </c>
      <c r="R2202">
        <v>0</v>
      </c>
      <c r="S2202">
        <v>4</v>
      </c>
      <c r="Y2202" t="s">
        <v>2497</v>
      </c>
      <c r="Z2202" t="s">
        <v>2730</v>
      </c>
      <c r="AA2202" t="s">
        <v>10126</v>
      </c>
      <c r="AB2202" t="s">
        <v>4993</v>
      </c>
      <c r="AC2202" t="s">
        <v>14108</v>
      </c>
      <c r="AD2202" s="249" t="str">
        <f>HYPERLINK("https://scontent.cdninstagram.com/t51.2885-15/s320x320/e35/c0.134.1080.1080/20986927_338804173237073_1458166544025518080_n.jpg")</f>
        <v>https://scontent.cdninstagram.com/t51.2885-15/s320x320/e35/c0.134.1080.1080/20986927_338804173237073_1458166544025518080_n.jpg</v>
      </c>
      <c r="AE2202" s="249" t="str">
        <f>HYPERLINK("https://scontent.cdninstagram.com/t51.2885-19/s150x150/20213976_746845908839726_8299050419980599296_a.jpg")</f>
        <v>https://scontent.cdninstagram.com/t51.2885-19/s150x150/20213976_746845908839726_8299050419980599296_a.jpg</v>
      </c>
    </row>
    <row r="2203" spans="1:31" ht="15" x14ac:dyDescent="0.25">
      <c r="A2203" t="s">
        <v>2474</v>
      </c>
      <c r="B2203" t="s">
        <v>14109</v>
      </c>
      <c r="C2203" s="221">
        <v>42969.594490740739</v>
      </c>
      <c r="D2203" t="s">
        <v>14110</v>
      </c>
      <c r="E2203" s="249" t="str">
        <f>HYPERLINK("https://www.instagram.com/p/BYGxUI5h3og/")</f>
        <v>https://www.instagram.com/p/BYGxUI5h3og/</v>
      </c>
      <c r="F2203" t="s">
        <v>14111</v>
      </c>
      <c r="G2203" t="s">
        <v>2478</v>
      </c>
      <c r="H2203">
        <v>12629</v>
      </c>
      <c r="I2203" t="s">
        <v>2542</v>
      </c>
      <c r="J2203">
        <v>0</v>
      </c>
      <c r="K2203">
        <v>9</v>
      </c>
      <c r="L2203">
        <v>9</v>
      </c>
      <c r="Q2203">
        <v>0</v>
      </c>
      <c r="R2203">
        <v>0</v>
      </c>
      <c r="S2203">
        <v>9</v>
      </c>
      <c r="Y2203" t="s">
        <v>14112</v>
      </c>
      <c r="Z2203" t="s">
        <v>7553</v>
      </c>
      <c r="AA2203" t="s">
        <v>14113</v>
      </c>
      <c r="AB2203" t="s">
        <v>3952</v>
      </c>
      <c r="AC2203" t="s">
        <v>2497</v>
      </c>
      <c r="AD2203" s="249" t="str">
        <f>HYPERLINK("https://scontent.cdninstagram.com/t51.2885-15/s320x320/e35/20987506_338700023248948_7852450439118192640_n.jpg")</f>
        <v>https://scontent.cdninstagram.com/t51.2885-15/s320x320/e35/20987506_338700023248948_7852450439118192640_n.jpg</v>
      </c>
      <c r="AE2203" s="249" t="str">
        <f>HYPERLINK("https://scontent.cdninstagram.com/t51.2885-19/s150x150/14487173_1185164171572779_8459711909434753024_a.jpg")</f>
        <v>https://scontent.cdninstagram.com/t51.2885-19/s150x150/14487173_1185164171572779_8459711909434753024_a.jpg</v>
      </c>
    </row>
    <row r="2204" spans="1:31" ht="15" x14ac:dyDescent="0.25">
      <c r="A2204" t="s">
        <v>2474</v>
      </c>
      <c r="B2204" t="s">
        <v>14114</v>
      </c>
      <c r="C2204" s="221">
        <v>42969.594953703701</v>
      </c>
      <c r="D2204" t="s">
        <v>14115</v>
      </c>
      <c r="E2204" s="249" t="str">
        <f>HYPERLINK("https://www.instagram.com/p/BYGxZBEDd6v/")</f>
        <v>https://www.instagram.com/p/BYGxZBEDd6v/</v>
      </c>
      <c r="F2204" t="s">
        <v>14116</v>
      </c>
      <c r="G2204" t="s">
        <v>2478</v>
      </c>
      <c r="H2204">
        <v>606</v>
      </c>
      <c r="I2204" t="s">
        <v>2479</v>
      </c>
      <c r="J2204">
        <v>0</v>
      </c>
      <c r="K2204">
        <v>18</v>
      </c>
      <c r="L2204">
        <v>18</v>
      </c>
      <c r="Q2204">
        <v>0</v>
      </c>
      <c r="R2204">
        <v>0</v>
      </c>
      <c r="S2204">
        <v>18</v>
      </c>
      <c r="Y2204" t="s">
        <v>2730</v>
      </c>
      <c r="Z2204" t="s">
        <v>14117</v>
      </c>
      <c r="AA2204" t="s">
        <v>8093</v>
      </c>
      <c r="AB2204" t="s">
        <v>3477</v>
      </c>
      <c r="AC2204" t="s">
        <v>14118</v>
      </c>
      <c r="AD2204" s="249" t="str">
        <f>HYPERLINK("https://scontent.cdninstagram.com/t51.2885-15/s320x320/e35/20987118_114023309254663_3455568894943559680_n.jpg")</f>
        <v>https://scontent.cdninstagram.com/t51.2885-15/s320x320/e35/20987118_114023309254663_3455568894943559680_n.jpg</v>
      </c>
      <c r="AE2204" s="249" t="str">
        <f>HYPERLINK("https://scontent.cdninstagram.com/t51.2885-19/s150x150/17882761_223968894746226_2284291451732885504_a.jpg")</f>
        <v>https://scontent.cdninstagram.com/t51.2885-19/s150x150/17882761_223968894746226_2284291451732885504_a.jpg</v>
      </c>
    </row>
    <row r="2205" spans="1:31" ht="15" x14ac:dyDescent="0.25">
      <c r="A2205" t="s">
        <v>2474</v>
      </c>
      <c r="B2205" t="s">
        <v>9126</v>
      </c>
      <c r="C2205" s="221">
        <v>42969.601111111115</v>
      </c>
      <c r="D2205" t="s">
        <v>14119</v>
      </c>
      <c r="E2205" s="249" t="str">
        <f>HYPERLINK("https://www.instagram.com/p/BYGyZ62HMJ5/")</f>
        <v>https://www.instagram.com/p/BYGyZ62HMJ5/</v>
      </c>
      <c r="F2205" t="s">
        <v>14120</v>
      </c>
      <c r="G2205" t="s">
        <v>2478</v>
      </c>
      <c r="H2205">
        <v>193</v>
      </c>
      <c r="I2205" t="s">
        <v>2479</v>
      </c>
      <c r="J2205">
        <v>2</v>
      </c>
      <c r="K2205">
        <v>48</v>
      </c>
      <c r="L2205">
        <v>50</v>
      </c>
      <c r="Q2205">
        <v>0</v>
      </c>
      <c r="R2205">
        <v>0</v>
      </c>
      <c r="S2205">
        <v>50</v>
      </c>
      <c r="T2205" t="s">
        <v>14121</v>
      </c>
      <c r="V2205" t="s">
        <v>2161</v>
      </c>
      <c r="W2205">
        <v>49.2</v>
      </c>
      <c r="X2205">
        <v>9.5</v>
      </c>
      <c r="Y2205" t="s">
        <v>14122</v>
      </c>
      <c r="Z2205" t="s">
        <v>12468</v>
      </c>
      <c r="AA2205" t="s">
        <v>2730</v>
      </c>
      <c r="AB2205" t="s">
        <v>9760</v>
      </c>
      <c r="AC2205" t="s">
        <v>9762</v>
      </c>
      <c r="AD2205" s="249" t="str">
        <f>HYPERLINK("https://scontent.cdninstagram.com/t51.2885-15/e35/p320x320/21041743_1090926801040787_7569188034457894912_n.jpg")</f>
        <v>https://scontent.cdninstagram.com/t51.2885-15/e35/p320x320/21041743_1090926801040787_7569188034457894912_n.jpg</v>
      </c>
      <c r="AE2205" s="249" t="str">
        <f>HYPERLINK("https://scontent.cdninstagram.com/t51.2885-19/s150x150/19227577_258376517975559_3503307812920885248_a.jpg")</f>
        <v>https://scontent.cdninstagram.com/t51.2885-19/s150x150/19227577_258376517975559_3503307812920885248_a.jpg</v>
      </c>
    </row>
    <row r="2206" spans="1:31" ht="15" x14ac:dyDescent="0.25">
      <c r="A2206" t="s">
        <v>2474</v>
      </c>
      <c r="B2206" t="s">
        <v>14123</v>
      </c>
      <c r="C2206" s="221">
        <v>42969.602569444447</v>
      </c>
      <c r="D2206" t="s">
        <v>14124</v>
      </c>
      <c r="E2206" s="249" t="str">
        <f>HYPERLINK("https://www.instagram.com/p/BYGypYnBpfV/")</f>
        <v>https://www.instagram.com/p/BYGypYnBpfV/</v>
      </c>
      <c r="F2206" t="s">
        <v>14125</v>
      </c>
      <c r="G2206" t="s">
        <v>2478</v>
      </c>
      <c r="H2206">
        <v>2058</v>
      </c>
      <c r="I2206" t="s">
        <v>2479</v>
      </c>
      <c r="J2206">
        <v>3</v>
      </c>
      <c r="K2206">
        <v>46</v>
      </c>
      <c r="L2206">
        <v>49</v>
      </c>
      <c r="Q2206">
        <v>0</v>
      </c>
      <c r="R2206">
        <v>0</v>
      </c>
      <c r="S2206">
        <v>49</v>
      </c>
      <c r="Y2206" t="s">
        <v>3885</v>
      </c>
      <c r="Z2206" t="s">
        <v>2730</v>
      </c>
      <c r="AA2206" t="s">
        <v>14126</v>
      </c>
      <c r="AB2206" t="s">
        <v>2492</v>
      </c>
      <c r="AC2206" t="s">
        <v>14127</v>
      </c>
      <c r="AD2206" s="249" t="str">
        <f>HYPERLINK("https://scontent.cdninstagram.com/t51.2885-15/s320x320/e35/20969127_421329158264359_729583487526371328_n.jpg")</f>
        <v>https://scontent.cdninstagram.com/t51.2885-15/s320x320/e35/20969127_421329158264359_729583487526371328_n.jpg</v>
      </c>
      <c r="AE2206" s="249" t="str">
        <f>HYPERLINK("https://scontent.cdninstagram.com/t51.2885-19/s150x150/18443103_828581170623198_2110086714918699008_a.jpg")</f>
        <v>https://scontent.cdninstagram.com/t51.2885-19/s150x150/18443103_828581170623198_2110086714918699008_a.jpg</v>
      </c>
    </row>
    <row r="2207" spans="1:31" ht="15" x14ac:dyDescent="0.25">
      <c r="A2207" t="s">
        <v>2474</v>
      </c>
      <c r="B2207" t="s">
        <v>14128</v>
      </c>
      <c r="C2207" s="221">
        <v>42969.605034722219</v>
      </c>
      <c r="D2207" t="s">
        <v>14129</v>
      </c>
      <c r="E2207" s="249" t="str">
        <f>HYPERLINK("https://www.instagram.com/p/BYGzDXVD5xQ/")</f>
        <v>https://www.instagram.com/p/BYGzDXVD5xQ/</v>
      </c>
      <c r="F2207" t="s">
        <v>14130</v>
      </c>
      <c r="G2207" t="s">
        <v>2478</v>
      </c>
      <c r="H2207">
        <v>11769</v>
      </c>
      <c r="I2207" t="s">
        <v>2479</v>
      </c>
      <c r="J2207">
        <v>0</v>
      </c>
      <c r="K2207">
        <v>38</v>
      </c>
      <c r="L2207">
        <v>38</v>
      </c>
      <c r="Q2207">
        <v>0</v>
      </c>
      <c r="R2207">
        <v>0</v>
      </c>
      <c r="S2207">
        <v>38</v>
      </c>
      <c r="T2207" t="s">
        <v>14131</v>
      </c>
      <c r="U2207" t="s">
        <v>116</v>
      </c>
      <c r="V2207" t="s">
        <v>2299</v>
      </c>
      <c r="W2207">
        <v>32.788965594959997</v>
      </c>
      <c r="X2207">
        <v>-96.802102859715006</v>
      </c>
      <c r="Y2207" t="s">
        <v>2497</v>
      </c>
      <c r="AD2207" s="249" t="str">
        <f>HYPERLINK("https://scontent.cdninstagram.com/t51.2885-15/s320x320/e35/20905840_874545219362307_8373124703027462144_n.jpg")</f>
        <v>https://scontent.cdninstagram.com/t51.2885-15/s320x320/e35/20905840_874545219362307_8373124703027462144_n.jpg</v>
      </c>
      <c r="AE2207" s="249" t="str">
        <f>HYPERLINK("https://scontent.cdninstagram.com/t51.2885-19/s150x150/14374316_760249417411108_8813019106069446656_a.jpg")</f>
        <v>https://scontent.cdninstagram.com/t51.2885-19/s150x150/14374316_760249417411108_8813019106069446656_a.jpg</v>
      </c>
    </row>
    <row r="2208" spans="1:31" ht="15" x14ac:dyDescent="0.25">
      <c r="A2208" t="s">
        <v>2474</v>
      </c>
      <c r="B2208" t="s">
        <v>14132</v>
      </c>
      <c r="C2208" s="221">
        <v>42969.607118055559</v>
      </c>
      <c r="D2208" t="s">
        <v>14133</v>
      </c>
      <c r="E2208" s="249" t="str">
        <f>HYPERLINK("https://www.instagram.com/p/BYGzZWrFIrf/")</f>
        <v>https://www.instagram.com/p/BYGzZWrFIrf/</v>
      </c>
      <c r="F2208" t="s">
        <v>14134</v>
      </c>
      <c r="G2208" t="s">
        <v>2478</v>
      </c>
      <c r="H2208">
        <v>1078</v>
      </c>
      <c r="I2208" t="s">
        <v>2479</v>
      </c>
      <c r="J2208">
        <v>2</v>
      </c>
      <c r="K2208">
        <v>90</v>
      </c>
      <c r="L2208">
        <v>92</v>
      </c>
      <c r="Q2208">
        <v>0</v>
      </c>
      <c r="R2208">
        <v>0</v>
      </c>
      <c r="S2208">
        <v>92</v>
      </c>
      <c r="Y2208" t="s">
        <v>3209</v>
      </c>
      <c r="Z2208" t="s">
        <v>14135</v>
      </c>
      <c r="AA2208" t="s">
        <v>14136</v>
      </c>
      <c r="AB2208" t="s">
        <v>11489</v>
      </c>
      <c r="AC2208" t="s">
        <v>14137</v>
      </c>
      <c r="AD2208" s="249" t="str">
        <f>HYPERLINK("https://scontent.cdninstagram.com/t51.2885-15/s320x320/e35/21041595_1453293444761926_6487629460173488128_n.jpg")</f>
        <v>https://scontent.cdninstagram.com/t51.2885-15/s320x320/e35/21041595_1453293444761926_6487629460173488128_n.jpg</v>
      </c>
      <c r="AE2208" s="249" t="str">
        <f>HYPERLINK("https://scontent.cdninstagram.com/t51.2885-19/s150x150/17437975_413158762394931_7817681102604075008_a.jpg")</f>
        <v>https://scontent.cdninstagram.com/t51.2885-19/s150x150/17437975_413158762394931_7817681102604075008_a.jpg</v>
      </c>
    </row>
    <row r="2209" spans="1:31" ht="15" x14ac:dyDescent="0.25">
      <c r="A2209" t="s">
        <v>2474</v>
      </c>
      <c r="B2209" t="s">
        <v>14138</v>
      </c>
      <c r="C2209" s="221">
        <v>42969.61142361111</v>
      </c>
      <c r="D2209" t="s">
        <v>14139</v>
      </c>
      <c r="E2209" s="249" t="str">
        <f>HYPERLINK("https://www.instagram.com/p/BYG0Gv2luuq/")</f>
        <v>https://www.instagram.com/p/BYG0Gv2luuq/</v>
      </c>
      <c r="F2209" t="s">
        <v>14140</v>
      </c>
      <c r="G2209" t="s">
        <v>2478</v>
      </c>
      <c r="H2209">
        <v>220</v>
      </c>
      <c r="I2209" t="s">
        <v>2479</v>
      </c>
      <c r="J2209">
        <v>0</v>
      </c>
      <c r="K2209">
        <v>30</v>
      </c>
      <c r="L2209">
        <v>30</v>
      </c>
      <c r="Q2209">
        <v>0</v>
      </c>
      <c r="R2209">
        <v>0</v>
      </c>
      <c r="S2209">
        <v>30</v>
      </c>
      <c r="T2209" t="s">
        <v>7301</v>
      </c>
      <c r="V2209" t="s">
        <v>2125</v>
      </c>
      <c r="W2209">
        <v>43.7166</v>
      </c>
      <c r="X2209">
        <v>-79.340699999999998</v>
      </c>
      <c r="Y2209" t="s">
        <v>2547</v>
      </c>
      <c r="Z2209" t="s">
        <v>11500</v>
      </c>
      <c r="AA2209" t="s">
        <v>7144</v>
      </c>
      <c r="AB2209" t="s">
        <v>14141</v>
      </c>
      <c r="AC2209" t="s">
        <v>8481</v>
      </c>
      <c r="AD2209" s="249" t="str">
        <f>HYPERLINK("https://scontent.cdninstagram.com/t51.2885-15/s320x320/e35/20986785_1985964391636687_8204693501770727424_n.jpg")</f>
        <v>https://scontent.cdninstagram.com/t51.2885-15/s320x320/e35/20986785_1985964391636687_8204693501770727424_n.jpg</v>
      </c>
      <c r="AE2209" s="249" t="str">
        <f>HYPERLINK("https://scontent.cdninstagram.com/t51.2885-19/s150x150/17127091_1859236237667566_2981689983351390208_a.jpg")</f>
        <v>https://scontent.cdninstagram.com/t51.2885-19/s150x150/17127091_1859236237667566_2981689983351390208_a.jpg</v>
      </c>
    </row>
    <row r="2210" spans="1:31" ht="15" x14ac:dyDescent="0.25">
      <c r="A2210" t="s">
        <v>2474</v>
      </c>
      <c r="B2210" t="s">
        <v>14142</v>
      </c>
      <c r="C2210" s="221">
        <v>42969.615416666667</v>
      </c>
      <c r="D2210" t="s">
        <v>14143</v>
      </c>
      <c r="E2210" s="249" t="str">
        <f>HYPERLINK("https://www.instagram.com/p/BYG0w2HDRfh/")</f>
        <v>https://www.instagram.com/p/BYG0w2HDRfh/</v>
      </c>
      <c r="F2210" t="s">
        <v>14144</v>
      </c>
      <c r="G2210" t="s">
        <v>2478</v>
      </c>
      <c r="H2210">
        <v>432</v>
      </c>
      <c r="I2210" t="s">
        <v>2510</v>
      </c>
      <c r="J2210">
        <v>2</v>
      </c>
      <c r="K2210">
        <v>46</v>
      </c>
      <c r="L2210">
        <v>48</v>
      </c>
      <c r="Q2210">
        <v>0</v>
      </c>
      <c r="R2210">
        <v>0</v>
      </c>
      <c r="S2210">
        <v>48</v>
      </c>
      <c r="Y2210" t="s">
        <v>14145</v>
      </c>
      <c r="Z2210" t="s">
        <v>3722</v>
      </c>
      <c r="AA2210" t="s">
        <v>14146</v>
      </c>
      <c r="AB2210" t="s">
        <v>9888</v>
      </c>
      <c r="AC2210" t="s">
        <v>14147</v>
      </c>
      <c r="AD2210" s="249" t="str">
        <f>HYPERLINK("https://scontent.cdninstagram.com/t51.2885-15/s320x320/e35/20969264_125453498095628_2721129654831284224_n.jpg")</f>
        <v>https://scontent.cdninstagram.com/t51.2885-15/s320x320/e35/20969264_125453498095628_2721129654831284224_n.jpg</v>
      </c>
      <c r="AE2210" s="249" t="str">
        <f>HYPERLINK("https://scontent.cdninstagram.com/t51.2885-19/s150x150/14723005_1293903434008449_9180623969659650048_a.jpg")</f>
        <v>https://scontent.cdninstagram.com/t51.2885-19/s150x150/14723005_1293903434008449_9180623969659650048_a.jpg</v>
      </c>
    </row>
    <row r="2211" spans="1:31" ht="15" x14ac:dyDescent="0.25">
      <c r="A2211" t="s">
        <v>2474</v>
      </c>
      <c r="B2211" t="s">
        <v>2907</v>
      </c>
      <c r="C2211" s="221">
        <v>42969.616516203707</v>
      </c>
      <c r="D2211" t="s">
        <v>14148</v>
      </c>
      <c r="E2211" s="249" t="str">
        <f>HYPERLINK("https://www.instagram.com/p/BYG08eUAwF_/")</f>
        <v>https://www.instagram.com/p/BYG08eUAwF_/</v>
      </c>
      <c r="F2211" t="s">
        <v>14149</v>
      </c>
      <c r="G2211" t="s">
        <v>2478</v>
      </c>
      <c r="H2211">
        <v>76</v>
      </c>
      <c r="I2211" t="s">
        <v>2599</v>
      </c>
      <c r="J2211">
        <v>0</v>
      </c>
      <c r="K2211">
        <v>25</v>
      </c>
      <c r="L2211">
        <v>25</v>
      </c>
      <c r="Q2211">
        <v>0</v>
      </c>
      <c r="R2211">
        <v>0</v>
      </c>
      <c r="S2211">
        <v>25</v>
      </c>
      <c r="T2211" t="s">
        <v>14150</v>
      </c>
      <c r="V2211" t="s">
        <v>2161</v>
      </c>
      <c r="W2211">
        <v>52.071763382602001</v>
      </c>
      <c r="X2211">
        <v>8.6641744562602003</v>
      </c>
      <c r="Y2211" t="s">
        <v>5802</v>
      </c>
      <c r="Z2211" t="s">
        <v>14151</v>
      </c>
      <c r="AA2211" t="s">
        <v>2913</v>
      </c>
      <c r="AB2211" t="s">
        <v>2911</v>
      </c>
      <c r="AC2211" t="s">
        <v>12698</v>
      </c>
      <c r="AD2211" s="249" t="str">
        <f>HYPERLINK("https://scontent.cdninstagram.com/t51.2885-15/s320x320/e35/20986624_1226111244160738_3405188971511152640_n.jpg")</f>
        <v>https://scontent.cdninstagram.com/t51.2885-15/s320x320/e35/20986624_1226111244160738_3405188971511152640_n.jpg</v>
      </c>
      <c r="AE2211" s="249" t="str">
        <f>HYPERLINK("https://scontent.cdninstagram.com/t51.2885-19/s150x150/12357630_513986308780959_401409989_a.jpg")</f>
        <v>https://scontent.cdninstagram.com/t51.2885-19/s150x150/12357630_513986308780959_401409989_a.jpg</v>
      </c>
    </row>
    <row r="2212" spans="1:31" ht="15" x14ac:dyDescent="0.25">
      <c r="A2212" t="s">
        <v>2474</v>
      </c>
      <c r="B2212" t="s">
        <v>6443</v>
      </c>
      <c r="C2212" s="221">
        <v>42969.616712962961</v>
      </c>
      <c r="D2212" t="s">
        <v>14152</v>
      </c>
      <c r="E2212" s="249" t="str">
        <f>HYPERLINK("https://www.instagram.com/p/BYG0-fHAi7S/")</f>
        <v>https://www.instagram.com/p/BYG0-fHAi7S/</v>
      </c>
      <c r="F2212" t="s">
        <v>14153</v>
      </c>
      <c r="G2212" t="s">
        <v>2478</v>
      </c>
      <c r="H2212">
        <v>58564</v>
      </c>
      <c r="I2212" t="s">
        <v>2479</v>
      </c>
      <c r="J2212">
        <v>34</v>
      </c>
      <c r="K2212">
        <v>1888</v>
      </c>
      <c r="L2212">
        <v>1922</v>
      </c>
      <c r="Q2212">
        <v>0</v>
      </c>
      <c r="R2212">
        <v>0</v>
      </c>
      <c r="S2212">
        <v>1922</v>
      </c>
      <c r="Y2212" t="s">
        <v>4514</v>
      </c>
      <c r="Z2212" t="s">
        <v>14154</v>
      </c>
      <c r="AA2212" t="s">
        <v>11897</v>
      </c>
      <c r="AB2212" t="s">
        <v>4946</v>
      </c>
      <c r="AC2212" t="s">
        <v>2681</v>
      </c>
      <c r="AD2212" s="249" t="str">
        <f>HYPERLINK("https://scontent.cdninstagram.com/t51.2885-15/e35/p320x320/21041702_760740747431103_5079616559228387328_n.jpg")</f>
        <v>https://scontent.cdninstagram.com/t51.2885-15/e35/p320x320/21041702_760740747431103_5079616559228387328_n.jpg</v>
      </c>
      <c r="AE2212" s="249" t="str">
        <f>HYPERLINK("https://scontent.cdninstagram.com/t51.2885-19/s150x150/18011200_1823639797956189_2351181908055949312_a.jpg")</f>
        <v>https://scontent.cdninstagram.com/t51.2885-19/s150x150/18011200_1823639797956189_2351181908055949312_a.jpg</v>
      </c>
    </row>
    <row r="2213" spans="1:31" ht="15" x14ac:dyDescent="0.25">
      <c r="A2213" t="s">
        <v>2474</v>
      </c>
      <c r="B2213" t="s">
        <v>14155</v>
      </c>
      <c r="C2213" s="221">
        <v>42969.617673611108</v>
      </c>
      <c r="D2213" t="s">
        <v>14156</v>
      </c>
      <c r="E2213" s="249" t="str">
        <f>HYPERLINK("https://www.instagram.com/p/BYG1Io8lIFo/")</f>
        <v>https://www.instagram.com/p/BYG1Io8lIFo/</v>
      </c>
      <c r="F2213" t="s">
        <v>14157</v>
      </c>
      <c r="G2213" t="s">
        <v>2478</v>
      </c>
      <c r="H2213">
        <v>58</v>
      </c>
      <c r="I2213" t="s">
        <v>4052</v>
      </c>
      <c r="J2213">
        <v>0</v>
      </c>
      <c r="K2213">
        <v>14</v>
      </c>
      <c r="L2213">
        <v>14</v>
      </c>
      <c r="Q2213">
        <v>0</v>
      </c>
      <c r="R2213">
        <v>0</v>
      </c>
      <c r="S2213">
        <v>14</v>
      </c>
      <c r="Y2213" t="s">
        <v>13885</v>
      </c>
      <c r="Z2213" t="s">
        <v>2911</v>
      </c>
      <c r="AA2213" t="s">
        <v>2529</v>
      </c>
      <c r="AB2213" t="s">
        <v>5090</v>
      </c>
      <c r="AC2213" t="s">
        <v>14158</v>
      </c>
      <c r="AD2213" s="249" t="str">
        <f>HYPERLINK("https://scontent.cdninstagram.com/t51.2885-15/s320x320/e35/21041090_342665326156047_5613202585751126016_n.jpg")</f>
        <v>https://scontent.cdninstagram.com/t51.2885-15/s320x320/e35/21041090_342665326156047_5613202585751126016_n.jpg</v>
      </c>
      <c r="AE2213" s="249" t="str">
        <f>HYPERLINK("https://scontent.cdninstagram.com/t51.2885-19/s150x150/20398220_231347267388087_4347526082111471616_a.jpg")</f>
        <v>https://scontent.cdninstagram.com/t51.2885-19/s150x150/20398220_231347267388087_4347526082111471616_a.jpg</v>
      </c>
    </row>
    <row r="2214" spans="1:31" ht="15" x14ac:dyDescent="0.25">
      <c r="A2214" t="s">
        <v>2474</v>
      </c>
      <c r="B2214" t="s">
        <v>14159</v>
      </c>
      <c r="C2214" s="221">
        <v>42969.621168981481</v>
      </c>
      <c r="D2214" t="s">
        <v>14160</v>
      </c>
      <c r="E2214" s="249" t="str">
        <f>HYPERLINK("https://www.instagram.com/p/BYG1th-HXVV/")</f>
        <v>https://www.instagram.com/p/BYG1th-HXVV/</v>
      </c>
      <c r="F2214" t="s">
        <v>14161</v>
      </c>
      <c r="G2214" t="s">
        <v>2478</v>
      </c>
      <c r="H2214">
        <v>497</v>
      </c>
      <c r="I2214" t="s">
        <v>2927</v>
      </c>
      <c r="J2214">
        <v>4</v>
      </c>
      <c r="K2214">
        <v>40</v>
      </c>
      <c r="L2214">
        <v>44</v>
      </c>
      <c r="Q2214">
        <v>0</v>
      </c>
      <c r="R2214">
        <v>0</v>
      </c>
      <c r="S2214">
        <v>44</v>
      </c>
      <c r="Y2214" t="s">
        <v>4514</v>
      </c>
      <c r="Z2214" t="s">
        <v>3145</v>
      </c>
      <c r="AA2214" t="s">
        <v>4122</v>
      </c>
      <c r="AB2214" t="s">
        <v>8047</v>
      </c>
      <c r="AC2214" t="s">
        <v>10286</v>
      </c>
      <c r="AD2214" s="249" t="str">
        <f>HYPERLINK("https://scontent.cdninstagram.com/t51.2885-15/s320x320/e35/20987540_289727271436232_3042670899682607104_n.jpg")</f>
        <v>https://scontent.cdninstagram.com/t51.2885-15/s320x320/e35/20987540_289727271436232_3042670899682607104_n.jpg</v>
      </c>
      <c r="AE2214" s="249" t="str">
        <f>HYPERLINK("https://scontent.cdninstagram.com/t51.2885-19/s150x150/18645510_1441744075848353_2573050164696580096_a.jpg")</f>
        <v>https://scontent.cdninstagram.com/t51.2885-19/s150x150/18645510_1441744075848353_2573050164696580096_a.jpg</v>
      </c>
    </row>
    <row r="2215" spans="1:31" ht="15" x14ac:dyDescent="0.25">
      <c r="A2215" t="s">
        <v>2474</v>
      </c>
      <c r="B2215" t="s">
        <v>14162</v>
      </c>
      <c r="C2215" s="221">
        <v>42969.631793981483</v>
      </c>
      <c r="D2215" t="s">
        <v>14163</v>
      </c>
      <c r="E2215" s="249" t="str">
        <f>HYPERLINK("https://www.instagram.com/p/BYG3djIFoBw/")</f>
        <v>https://www.instagram.com/p/BYG3djIFoBw/</v>
      </c>
      <c r="F2215" t="s">
        <v>14164</v>
      </c>
      <c r="G2215" t="s">
        <v>2478</v>
      </c>
      <c r="H2215">
        <v>1720</v>
      </c>
      <c r="I2215" t="s">
        <v>2479</v>
      </c>
      <c r="J2215">
        <v>1</v>
      </c>
      <c r="K2215">
        <v>22</v>
      </c>
      <c r="L2215">
        <v>23</v>
      </c>
      <c r="Q2215">
        <v>0</v>
      </c>
      <c r="R2215">
        <v>0</v>
      </c>
      <c r="S2215">
        <v>23</v>
      </c>
      <c r="T2215" t="s">
        <v>9284</v>
      </c>
      <c r="V2215" t="s">
        <v>2182</v>
      </c>
      <c r="W2215">
        <v>45.438600000000001</v>
      </c>
      <c r="X2215">
        <v>12.326700000000001</v>
      </c>
      <c r="Y2215" t="s">
        <v>14165</v>
      </c>
      <c r="Z2215" t="s">
        <v>2492</v>
      </c>
      <c r="AA2215" t="s">
        <v>14166</v>
      </c>
      <c r="AB2215" t="s">
        <v>14167</v>
      </c>
      <c r="AC2215" t="s">
        <v>14168</v>
      </c>
      <c r="AD2215" s="249" t="str">
        <f>HYPERLINK("https://scontent.cdninstagram.com/t51.2885-15/s320x320/e35/20905803_1938121719738985_6198900919355047936_n.jpg")</f>
        <v>https://scontent.cdninstagram.com/t51.2885-15/s320x320/e35/20905803_1938121719738985_6198900919355047936_n.jpg</v>
      </c>
      <c r="AE2215" s="249" t="str">
        <f>HYPERLINK("https://scontent.cdninstagram.com/t51.2885-19/s150x150/20987408_337675433352736_7441373638839762944_a.jpg")</f>
        <v>https://scontent.cdninstagram.com/t51.2885-19/s150x150/20987408_337675433352736_7441373638839762944_a.jpg</v>
      </c>
    </row>
    <row r="2216" spans="1:31" ht="15" x14ac:dyDescent="0.25">
      <c r="A2216" t="s">
        <v>2474</v>
      </c>
      <c r="B2216" t="s">
        <v>5225</v>
      </c>
      <c r="C2216" s="221">
        <v>42969.635775462964</v>
      </c>
      <c r="D2216" t="s">
        <v>14169</v>
      </c>
      <c r="E2216" s="249" t="str">
        <f>HYPERLINK("https://www.instagram.com/p/BYG4Hg0gb5i/")</f>
        <v>https://www.instagram.com/p/BYG4Hg0gb5i/</v>
      </c>
      <c r="F2216" t="s">
        <v>14170</v>
      </c>
      <c r="G2216" t="s">
        <v>2478</v>
      </c>
      <c r="H2216">
        <v>56</v>
      </c>
      <c r="I2216" t="s">
        <v>2479</v>
      </c>
      <c r="J2216">
        <v>0</v>
      </c>
      <c r="K2216">
        <v>25</v>
      </c>
      <c r="L2216">
        <v>25</v>
      </c>
      <c r="Q2216">
        <v>0</v>
      </c>
      <c r="R2216">
        <v>0</v>
      </c>
      <c r="S2216">
        <v>25</v>
      </c>
      <c r="T2216" t="s">
        <v>5228</v>
      </c>
      <c r="V2216" t="s">
        <v>2154</v>
      </c>
      <c r="W2216">
        <v>47.498634698221998</v>
      </c>
      <c r="X2216">
        <v>-0.50784128552246999</v>
      </c>
      <c r="Y2216" t="s">
        <v>5231</v>
      </c>
      <c r="Z2216" t="s">
        <v>8704</v>
      </c>
      <c r="AA2216" t="s">
        <v>14171</v>
      </c>
      <c r="AB2216" t="s">
        <v>3804</v>
      </c>
      <c r="AC2216" t="s">
        <v>4779</v>
      </c>
      <c r="AD2216" s="249" t="str">
        <f>HYPERLINK("https://scontent.cdninstagram.com/t51.2885-15/s320x320/e35/20968622_267792730380476_6856278589227139072_n.jpg")</f>
        <v>https://scontent.cdninstagram.com/t51.2885-15/s320x320/e35/20968622_267792730380476_6856278589227139072_n.jpg</v>
      </c>
      <c r="AE2216" s="249" t="str">
        <f>HYPERLINK("https://scontent.cdninstagram.com/t51.2885-19/s150x150/18949503_1122155304550657_4049188449616396288_a.jpg")</f>
        <v>https://scontent.cdninstagram.com/t51.2885-19/s150x150/18949503_1122155304550657_4049188449616396288_a.jpg</v>
      </c>
    </row>
    <row r="2217" spans="1:31" ht="15" x14ac:dyDescent="0.25">
      <c r="A2217" t="s">
        <v>2474</v>
      </c>
      <c r="B2217" t="s">
        <v>5876</v>
      </c>
      <c r="C2217" s="221">
        <v>42969.641365740739</v>
      </c>
      <c r="D2217" t="s">
        <v>14172</v>
      </c>
      <c r="E2217" s="249" t="str">
        <f>HYPERLINK("https://www.instagram.com/p/BYG5Cf5DZFA/")</f>
        <v>https://www.instagram.com/p/BYG5Cf5DZFA/</v>
      </c>
      <c r="F2217" t="s">
        <v>14173</v>
      </c>
      <c r="G2217" t="s">
        <v>2478</v>
      </c>
      <c r="H2217">
        <v>834</v>
      </c>
      <c r="I2217" t="s">
        <v>2479</v>
      </c>
      <c r="J2217">
        <v>3</v>
      </c>
      <c r="K2217">
        <v>57</v>
      </c>
      <c r="L2217">
        <v>60</v>
      </c>
      <c r="Q2217">
        <v>0</v>
      </c>
      <c r="R2217">
        <v>0</v>
      </c>
      <c r="S2217">
        <v>60</v>
      </c>
      <c r="T2217" t="s">
        <v>14174</v>
      </c>
      <c r="V2217" t="s">
        <v>2180</v>
      </c>
      <c r="W2217">
        <v>53.360509999999998</v>
      </c>
      <c r="X2217">
        <v>-6.2708500000000003</v>
      </c>
      <c r="Y2217" t="s">
        <v>5169</v>
      </c>
      <c r="Z2217" t="s">
        <v>5837</v>
      </c>
      <c r="AA2217" t="s">
        <v>14175</v>
      </c>
      <c r="AB2217" t="s">
        <v>14176</v>
      </c>
      <c r="AC2217" t="s">
        <v>12669</v>
      </c>
      <c r="AD2217" s="249" t="str">
        <f>HYPERLINK("https://scontent.cdninstagram.com/t51.2885-15/s320x320/e35/20968423_337409180038449_3814979888645931008_n.jpg")</f>
        <v>https://scontent.cdninstagram.com/t51.2885-15/s320x320/e35/20968423_337409180038449_3814979888645931008_n.jpg</v>
      </c>
      <c r="AE2217" s="249" t="str">
        <f>HYPERLINK("https://scontent.cdninstagram.com/t51.2885-19/s150x150/18161135_111635326070562_6461956323226419200_a.jpg")</f>
        <v>https://scontent.cdninstagram.com/t51.2885-19/s150x150/18161135_111635326070562_6461956323226419200_a.jpg</v>
      </c>
    </row>
    <row r="2218" spans="1:31" ht="15" x14ac:dyDescent="0.25">
      <c r="A2218" t="s">
        <v>2474</v>
      </c>
      <c r="B2218" t="s">
        <v>14177</v>
      </c>
      <c r="C2218" s="221">
        <v>42969.645497685182</v>
      </c>
      <c r="D2218" t="s">
        <v>14178</v>
      </c>
      <c r="E2218" s="249" t="str">
        <f>HYPERLINK("https://www.instagram.com/p/BYG5uIoAZjt/")</f>
        <v>https://www.instagram.com/p/BYG5uIoAZjt/</v>
      </c>
      <c r="F2218" t="s">
        <v>14179</v>
      </c>
      <c r="G2218" t="s">
        <v>2478</v>
      </c>
      <c r="H2218">
        <v>195</v>
      </c>
      <c r="I2218" t="s">
        <v>2599</v>
      </c>
      <c r="J2218">
        <v>2</v>
      </c>
      <c r="K2218">
        <v>25</v>
      </c>
      <c r="L2218">
        <v>27</v>
      </c>
      <c r="Q2218">
        <v>0</v>
      </c>
      <c r="R2218">
        <v>0</v>
      </c>
      <c r="S2218">
        <v>27</v>
      </c>
      <c r="Y2218" t="s">
        <v>2696</v>
      </c>
      <c r="Z2218" t="s">
        <v>2730</v>
      </c>
      <c r="AA2218" t="s">
        <v>3269</v>
      </c>
      <c r="AB2218" t="s">
        <v>4620</v>
      </c>
      <c r="AC2218" t="s">
        <v>8178</v>
      </c>
      <c r="AD2218" s="249" t="str">
        <f>HYPERLINK("https://scontent.cdninstagram.com/t51.2885-15/e35/p320x320/20986900_143474712911841_3118724338019205120_n.jpg")</f>
        <v>https://scontent.cdninstagram.com/t51.2885-15/e35/p320x320/20986900_143474712911841_3118724338019205120_n.jpg</v>
      </c>
      <c r="AE2218" s="249" t="str">
        <f>HYPERLINK("https://scontent.cdninstagram.com/t51.2885-19/s150x150/21148064_139171966690296_7706503288576802816_a.jpg")</f>
        <v>https://scontent.cdninstagram.com/t51.2885-19/s150x150/21148064_139171966690296_7706503288576802816_a.jpg</v>
      </c>
    </row>
    <row r="2219" spans="1:31" ht="15" x14ac:dyDescent="0.25">
      <c r="A2219" t="s">
        <v>2474</v>
      </c>
      <c r="B2219" t="s">
        <v>14180</v>
      </c>
      <c r="C2219" s="221">
        <v>42969.65421296296</v>
      </c>
      <c r="D2219" t="s">
        <v>14181</v>
      </c>
      <c r="E2219" s="249" t="str">
        <f>HYPERLINK("https://www.instagram.com/p/BYG7KFfl9Zs/")</f>
        <v>https://www.instagram.com/p/BYG7KFfl9Zs/</v>
      </c>
      <c r="F2219" t="s">
        <v>14182</v>
      </c>
      <c r="G2219" t="s">
        <v>2478</v>
      </c>
      <c r="H2219">
        <v>220</v>
      </c>
      <c r="I2219" t="s">
        <v>2479</v>
      </c>
      <c r="J2219">
        <v>0</v>
      </c>
      <c r="K2219">
        <v>24</v>
      </c>
      <c r="L2219">
        <v>24</v>
      </c>
      <c r="Q2219">
        <v>0</v>
      </c>
      <c r="R2219">
        <v>0</v>
      </c>
      <c r="S2219">
        <v>24</v>
      </c>
      <c r="Y2219" t="s">
        <v>14183</v>
      </c>
      <c r="Z2219" t="s">
        <v>4026</v>
      </c>
      <c r="AA2219" t="s">
        <v>14184</v>
      </c>
      <c r="AB2219" t="s">
        <v>14185</v>
      </c>
      <c r="AC2219" t="s">
        <v>2497</v>
      </c>
      <c r="AD2219" s="249" t="str">
        <f>HYPERLINK("https://scontent.cdninstagram.com/t51.2885-15/s320x320/e35/20987258_120331035285720_4926953943851859968_n.jpg")</f>
        <v>https://scontent.cdninstagram.com/t51.2885-15/s320x320/e35/20987258_120331035285720_4926953943851859968_n.jpg</v>
      </c>
      <c r="AE2219" s="249" t="str">
        <f>HYPERLINK("https://scontent.cdninstagram.com/t51.2885-19/s150x150/20905089_112506159456870_7995024223561056256_a.jpg")</f>
        <v>https://scontent.cdninstagram.com/t51.2885-19/s150x150/20905089_112506159456870_7995024223561056256_a.jpg</v>
      </c>
    </row>
    <row r="2220" spans="1:31" ht="15" x14ac:dyDescent="0.25">
      <c r="A2220" t="s">
        <v>2474</v>
      </c>
      <c r="B2220" t="s">
        <v>14186</v>
      </c>
      <c r="C2220" s="221">
        <v>42969.656064814815</v>
      </c>
      <c r="D2220" t="s">
        <v>14187</v>
      </c>
      <c r="E2220" s="249" t="str">
        <f>HYPERLINK("https://www.instagram.com/p/BYG7dgfndRp/")</f>
        <v>https://www.instagram.com/p/BYG7dgfndRp/</v>
      </c>
      <c r="F2220" t="s">
        <v>14188</v>
      </c>
      <c r="G2220" t="s">
        <v>2478</v>
      </c>
      <c r="H2220">
        <v>110</v>
      </c>
      <c r="I2220" t="s">
        <v>3170</v>
      </c>
      <c r="J2220">
        <v>0</v>
      </c>
      <c r="K2220">
        <v>2</v>
      </c>
      <c r="L2220">
        <v>2</v>
      </c>
      <c r="Q2220">
        <v>0</v>
      </c>
      <c r="R2220">
        <v>0</v>
      </c>
      <c r="S2220">
        <v>2</v>
      </c>
      <c r="Y2220" t="s">
        <v>4514</v>
      </c>
      <c r="Z2220" t="s">
        <v>14189</v>
      </c>
      <c r="AA2220" t="s">
        <v>9679</v>
      </c>
      <c r="AB2220" t="s">
        <v>14190</v>
      </c>
      <c r="AC2220" t="s">
        <v>6182</v>
      </c>
      <c r="AD2220" s="249" t="str">
        <f>HYPERLINK("https://scontent.cdninstagram.com/t51.2885-15/s320x320/e35/c0.90.720.720/20987361_480626732304399_6468401574489096192_n.jpg")</f>
        <v>https://scontent.cdninstagram.com/t51.2885-15/s320x320/e35/c0.90.720.720/20987361_480626732304399_6468401574489096192_n.jpg</v>
      </c>
      <c r="AE2220" s="249" t="str">
        <f>HYPERLINK("https://scontent.cdninstagram.com/t51.2885-19/s150x150/15535494_197981997273419_1102111873991442432_a.jpg")</f>
        <v>https://scontent.cdninstagram.com/t51.2885-19/s150x150/15535494_197981997273419_1102111873991442432_a.jpg</v>
      </c>
    </row>
    <row r="2221" spans="1:31" ht="15" x14ac:dyDescent="0.25">
      <c r="A2221" t="s">
        <v>2474</v>
      </c>
      <c r="B2221" t="s">
        <v>14186</v>
      </c>
      <c r="C2221" s="221">
        <v>42969.658020833333</v>
      </c>
      <c r="D2221" t="s">
        <v>14191</v>
      </c>
      <c r="E2221" s="249" t="str">
        <f>HYPERLINK("https://www.instagram.com/p/BYG7yNOHuPt/")</f>
        <v>https://www.instagram.com/p/BYG7yNOHuPt/</v>
      </c>
      <c r="F2221" t="s">
        <v>14188</v>
      </c>
      <c r="G2221" t="s">
        <v>2478</v>
      </c>
      <c r="H2221">
        <v>111</v>
      </c>
      <c r="I2221" t="s">
        <v>2582</v>
      </c>
      <c r="J2221">
        <v>0</v>
      </c>
      <c r="K2221">
        <v>33</v>
      </c>
      <c r="L2221">
        <v>33</v>
      </c>
      <c r="Q2221">
        <v>0</v>
      </c>
      <c r="R2221">
        <v>0</v>
      </c>
      <c r="S2221">
        <v>33</v>
      </c>
      <c r="Y2221" t="s">
        <v>14192</v>
      </c>
      <c r="Z2221" t="s">
        <v>4514</v>
      </c>
      <c r="AA2221" t="s">
        <v>9679</v>
      </c>
      <c r="AB2221" t="s">
        <v>3091</v>
      </c>
      <c r="AC2221" t="s">
        <v>14193</v>
      </c>
      <c r="AD2221" s="249" t="str">
        <f>HYPERLINK("https://scontent.cdninstagram.com/t51.2885-15/s320x320/e35/20969230_122821625034229_3045920965859999744_n.jpg")</f>
        <v>https://scontent.cdninstagram.com/t51.2885-15/s320x320/e35/20969230_122821625034229_3045920965859999744_n.jpg</v>
      </c>
      <c r="AE2221" s="249" t="str">
        <f>HYPERLINK("https://scontent.cdninstagram.com/t51.2885-19/s150x150/15535494_197981997273419_1102111873991442432_a.jpg")</f>
        <v>https://scontent.cdninstagram.com/t51.2885-19/s150x150/15535494_197981997273419_1102111873991442432_a.jpg</v>
      </c>
    </row>
    <row r="2222" spans="1:31" ht="15" x14ac:dyDescent="0.25">
      <c r="A2222" t="s">
        <v>2474</v>
      </c>
      <c r="B2222" t="s">
        <v>14194</v>
      </c>
      <c r="C2222" s="221">
        <v>42969.659155092595</v>
      </c>
      <c r="D2222" t="s">
        <v>14195</v>
      </c>
      <c r="E2222" s="249" t="str">
        <f>HYPERLINK("https://www.instagram.com/p/BYG7-JUHKZ5/")</f>
        <v>https://www.instagram.com/p/BYG7-JUHKZ5/</v>
      </c>
      <c r="F2222" t="s">
        <v>14196</v>
      </c>
      <c r="G2222" t="s">
        <v>2631</v>
      </c>
      <c r="H2222">
        <v>445</v>
      </c>
      <c r="I2222" t="s">
        <v>2479</v>
      </c>
      <c r="J2222">
        <v>0</v>
      </c>
      <c r="K2222">
        <v>20</v>
      </c>
      <c r="L2222">
        <v>20</v>
      </c>
      <c r="Q2222">
        <v>0</v>
      </c>
      <c r="R2222">
        <v>0</v>
      </c>
      <c r="S2222">
        <v>20</v>
      </c>
      <c r="Y2222" t="s">
        <v>14197</v>
      </c>
      <c r="Z2222" t="s">
        <v>2643</v>
      </c>
      <c r="AA2222" t="s">
        <v>14198</v>
      </c>
      <c r="AB2222" t="s">
        <v>2497</v>
      </c>
      <c r="AC2222" t="s">
        <v>14199</v>
      </c>
      <c r="AD2222" s="249" t="str">
        <f>HYPERLINK("https://scontent.cdninstagram.com/t51.2885-15/s320x320/e15/20968742_167618730453667_6083173214542888960_n.jpg")</f>
        <v>https://scontent.cdninstagram.com/t51.2885-15/s320x320/e15/20968742_167618730453667_6083173214542888960_n.jpg</v>
      </c>
      <c r="AE2222" s="249" t="str">
        <f>HYPERLINK("https://scontent.cdninstagram.com/t51.2885-19/s150x150/19228413_275918839540884_6149536012658802688_a.jpg")</f>
        <v>https://scontent.cdninstagram.com/t51.2885-19/s150x150/19228413_275918839540884_6149536012658802688_a.jpg</v>
      </c>
    </row>
    <row r="2223" spans="1:31" ht="15" x14ac:dyDescent="0.25">
      <c r="A2223" t="s">
        <v>2474</v>
      </c>
      <c r="B2223" t="s">
        <v>14200</v>
      </c>
      <c r="C2223" s="221">
        <v>42969.666192129633</v>
      </c>
      <c r="D2223" t="s">
        <v>14201</v>
      </c>
      <c r="E2223" s="249" t="str">
        <f>HYPERLINK("https://www.instagram.com/p/BYG9IVfnyME/")</f>
        <v>https://www.instagram.com/p/BYG9IVfnyME/</v>
      </c>
      <c r="F2223" t="s">
        <v>14202</v>
      </c>
      <c r="G2223" t="s">
        <v>2478</v>
      </c>
      <c r="H2223">
        <v>6384</v>
      </c>
      <c r="I2223" t="s">
        <v>3898</v>
      </c>
      <c r="J2223">
        <v>1</v>
      </c>
      <c r="K2223">
        <v>79</v>
      </c>
      <c r="L2223">
        <v>80</v>
      </c>
      <c r="Q2223">
        <v>0</v>
      </c>
      <c r="R2223">
        <v>0</v>
      </c>
      <c r="S2223">
        <v>80</v>
      </c>
      <c r="Y2223" t="s">
        <v>14203</v>
      </c>
      <c r="Z2223" t="s">
        <v>2696</v>
      </c>
      <c r="AA2223" t="s">
        <v>9850</v>
      </c>
      <c r="AB2223" t="s">
        <v>14204</v>
      </c>
      <c r="AC2223" t="s">
        <v>14205</v>
      </c>
      <c r="AD2223" s="249" t="str">
        <f>HYPERLINK("https://scontent.cdninstagram.com/t51.2885-15/e35/p320x320/20969364_1917114425280802_8385745623340548096_n.jpg")</f>
        <v>https://scontent.cdninstagram.com/t51.2885-15/e35/p320x320/20969364_1917114425280802_8385745623340548096_n.jpg</v>
      </c>
      <c r="AE2223" s="249" t="str">
        <f>HYPERLINK("https://scontent.cdninstagram.com/t51.2885-19/s150x150/20398197_260256311139655_5867322971588132864_a.jpg")</f>
        <v>https://scontent.cdninstagram.com/t51.2885-19/s150x150/20398197_260256311139655_5867322971588132864_a.jpg</v>
      </c>
    </row>
    <row r="2224" spans="1:31" ht="15" x14ac:dyDescent="0.25">
      <c r="A2224" t="s">
        <v>2474</v>
      </c>
      <c r="B2224" t="s">
        <v>14206</v>
      </c>
      <c r="C2224" s="221">
        <v>42969.66946759259</v>
      </c>
      <c r="D2224" t="s">
        <v>14207</v>
      </c>
      <c r="E2224" s="249" t="str">
        <f>HYPERLINK("https://www.instagram.com/p/BYG9q4pDebJ/")</f>
        <v>https://www.instagram.com/p/BYG9q4pDebJ/</v>
      </c>
      <c r="F2224" t="s">
        <v>14208</v>
      </c>
      <c r="G2224" t="s">
        <v>2478</v>
      </c>
      <c r="H2224">
        <v>129</v>
      </c>
      <c r="I2224" t="s">
        <v>2479</v>
      </c>
      <c r="J2224">
        <v>2</v>
      </c>
      <c r="K2224">
        <v>40</v>
      </c>
      <c r="L2224">
        <v>42</v>
      </c>
      <c r="Q2224">
        <v>0</v>
      </c>
      <c r="R2224">
        <v>0</v>
      </c>
      <c r="S2224">
        <v>42</v>
      </c>
      <c r="Y2224" t="s">
        <v>3145</v>
      </c>
      <c r="Z2224" t="s">
        <v>4194</v>
      </c>
      <c r="AA2224" t="s">
        <v>3535</v>
      </c>
      <c r="AB2224" t="s">
        <v>2730</v>
      </c>
      <c r="AC2224" t="s">
        <v>3262</v>
      </c>
      <c r="AD2224" s="249" t="str">
        <f>HYPERLINK("https://scontent.cdninstagram.com/t51.2885-15/s320x320/e35/21041281_1723732487930833_2524765167397371904_n.jpg")</f>
        <v>https://scontent.cdninstagram.com/t51.2885-15/s320x320/e35/21041281_1723732487930833_2524765167397371904_n.jpg</v>
      </c>
      <c r="AE2224" s="249" t="str">
        <f>HYPERLINK("https://scontent.cdninstagram.com/t51.2885-19/s150x150/20225451_255713454928667_8870280215650107392_a.jpg")</f>
        <v>https://scontent.cdninstagram.com/t51.2885-19/s150x150/20225451_255713454928667_8870280215650107392_a.jpg</v>
      </c>
    </row>
    <row r="2225" spans="1:31" ht="15" x14ac:dyDescent="0.25">
      <c r="A2225" t="s">
        <v>2474</v>
      </c>
      <c r="B2225" t="s">
        <v>7540</v>
      </c>
      <c r="C2225" s="221">
        <v>42969.672106481485</v>
      </c>
      <c r="D2225" t="s">
        <v>14209</v>
      </c>
      <c r="E2225" s="249" t="str">
        <f>HYPERLINK("https://www.instagram.com/p/BYG-Gzrg9Yp/")</f>
        <v>https://www.instagram.com/p/BYG-Gzrg9Yp/</v>
      </c>
      <c r="F2225" t="s">
        <v>14210</v>
      </c>
      <c r="G2225" t="s">
        <v>2478</v>
      </c>
      <c r="H2225">
        <v>921</v>
      </c>
      <c r="I2225" t="s">
        <v>2599</v>
      </c>
      <c r="J2225">
        <v>1</v>
      </c>
      <c r="K2225">
        <v>46</v>
      </c>
      <c r="L2225">
        <v>47</v>
      </c>
      <c r="Q2225">
        <v>0</v>
      </c>
      <c r="R2225">
        <v>0</v>
      </c>
      <c r="S2225">
        <v>47</v>
      </c>
      <c r="Y2225" t="s">
        <v>11924</v>
      </c>
      <c r="Z2225" t="s">
        <v>2730</v>
      </c>
      <c r="AA2225" t="s">
        <v>14211</v>
      </c>
      <c r="AB2225" t="s">
        <v>9011</v>
      </c>
      <c r="AC2225" t="s">
        <v>3269</v>
      </c>
      <c r="AD2225" s="249" t="str">
        <f>HYPERLINK("https://scontent.cdninstagram.com/t51.2885-15/s320x320/e35/20969290_682021858649278_586375697191141376_n.jpg")</f>
        <v>https://scontent.cdninstagram.com/t51.2885-15/s320x320/e35/20969290_682021858649278_586375697191141376_n.jpg</v>
      </c>
      <c r="AE2225" s="249" t="str">
        <f>HYPERLINK("https://scontent.cdninstagram.com/t51.2885-19/10601767_517697101694681_1044067692_a.jpg")</f>
        <v>https://scontent.cdninstagram.com/t51.2885-19/10601767_517697101694681_1044067692_a.jpg</v>
      </c>
    </row>
    <row r="2226" spans="1:31" ht="15" x14ac:dyDescent="0.25">
      <c r="A2226" t="s">
        <v>2474</v>
      </c>
      <c r="B2226" t="s">
        <v>14212</v>
      </c>
      <c r="C2226" s="221">
        <v>42969.672627314816</v>
      </c>
      <c r="D2226" t="s">
        <v>14213</v>
      </c>
      <c r="E2226" s="249" t="str">
        <f>HYPERLINK("https://www.instagram.com/p/BYG-MRoHE1O/")</f>
        <v>https://www.instagram.com/p/BYG-MRoHE1O/</v>
      </c>
      <c r="F2226" t="s">
        <v>14214</v>
      </c>
      <c r="G2226" t="s">
        <v>2478</v>
      </c>
      <c r="H2226">
        <v>281</v>
      </c>
      <c r="I2226" t="s">
        <v>2479</v>
      </c>
      <c r="J2226">
        <v>0</v>
      </c>
      <c r="K2226">
        <v>11</v>
      </c>
      <c r="L2226">
        <v>11</v>
      </c>
      <c r="Q2226">
        <v>0</v>
      </c>
      <c r="R2226">
        <v>0</v>
      </c>
      <c r="S2226">
        <v>11</v>
      </c>
      <c r="Y2226" t="s">
        <v>2497</v>
      </c>
      <c r="AD2226" s="249" t="str">
        <f>HYPERLINK("https://scontent.cdninstagram.com/t51.2885-15/s320x320/e35/20968817_507187966284761_6570414396458139648_n.jpg")</f>
        <v>https://scontent.cdninstagram.com/t51.2885-15/s320x320/e35/20968817_507187966284761_6570414396458139648_n.jpg</v>
      </c>
      <c r="AE2226" s="249" t="str">
        <f>HYPERLINK("https://scontent.cdninstagram.com/t51.2885-19/s150x150/17663427_761499400690389_745054200244731904_a.jpg")</f>
        <v>https://scontent.cdninstagram.com/t51.2885-19/s150x150/17663427_761499400690389_745054200244731904_a.jpg</v>
      </c>
    </row>
    <row r="2227" spans="1:31" ht="15" x14ac:dyDescent="0.25">
      <c r="A2227" t="s">
        <v>2474</v>
      </c>
      <c r="B2227" t="s">
        <v>14215</v>
      </c>
      <c r="C2227" s="221">
        <v>42969.672939814816</v>
      </c>
      <c r="D2227" t="s">
        <v>14216</v>
      </c>
      <c r="E2227" s="249" t="str">
        <f>HYPERLINK("https://www.instagram.com/p/BYG-Phaj7ub/")</f>
        <v>https://www.instagram.com/p/BYG-Phaj7ub/</v>
      </c>
      <c r="F2227" t="s">
        <v>14217</v>
      </c>
      <c r="G2227" t="s">
        <v>2631</v>
      </c>
      <c r="H2227">
        <v>179</v>
      </c>
      <c r="I2227" t="s">
        <v>2479</v>
      </c>
      <c r="J2227">
        <v>2</v>
      </c>
      <c r="K2227">
        <v>29</v>
      </c>
      <c r="L2227">
        <v>31</v>
      </c>
      <c r="Q2227">
        <v>0</v>
      </c>
      <c r="R2227">
        <v>0</v>
      </c>
      <c r="S2227">
        <v>31</v>
      </c>
      <c r="T2227" t="s">
        <v>14218</v>
      </c>
      <c r="V2227" t="s">
        <v>2239</v>
      </c>
      <c r="W2227">
        <v>50.014099999999999</v>
      </c>
      <c r="X2227">
        <v>19.928280000000001</v>
      </c>
      <c r="Y2227" t="s">
        <v>14219</v>
      </c>
      <c r="Z2227" t="s">
        <v>14220</v>
      </c>
      <c r="AA2227" t="s">
        <v>3920</v>
      </c>
      <c r="AB2227" t="s">
        <v>14221</v>
      </c>
      <c r="AC2227" t="s">
        <v>14222</v>
      </c>
      <c r="AD2227" s="249" t="str">
        <f>HYPERLINK("https://scontent.cdninstagram.com/t51.2885-15/s320x320/e15/20968815_511328152536152_4763387145245163520_n.jpg")</f>
        <v>https://scontent.cdninstagram.com/t51.2885-15/s320x320/e15/20968815_511328152536152_4763387145245163520_n.jpg</v>
      </c>
      <c r="AE2227" s="249" t="str">
        <f>HYPERLINK("https://scontent.cdninstagram.com/t51.2885-19/s150x150/14711901_866872563413741_6011855677729800192_a.jpg")</f>
        <v>https://scontent.cdninstagram.com/t51.2885-19/s150x150/14711901_866872563413741_6011855677729800192_a.jpg</v>
      </c>
    </row>
    <row r="2228" spans="1:31" ht="15" x14ac:dyDescent="0.25">
      <c r="A2228" t="s">
        <v>2474</v>
      </c>
      <c r="B2228" t="s">
        <v>14223</v>
      </c>
      <c r="C2228" s="221">
        <v>42969.675486111111</v>
      </c>
      <c r="D2228" t="s">
        <v>14224</v>
      </c>
      <c r="E2228" s="249" t="str">
        <f>HYPERLINK("https://www.instagram.com/p/BYG-qawD98q/")</f>
        <v>https://www.instagram.com/p/BYG-qawD98q/</v>
      </c>
      <c r="F2228" t="s">
        <v>14225</v>
      </c>
      <c r="G2228" t="s">
        <v>2478</v>
      </c>
      <c r="H2228">
        <v>284</v>
      </c>
      <c r="I2228" t="s">
        <v>3575</v>
      </c>
      <c r="J2228">
        <v>10</v>
      </c>
      <c r="K2228">
        <v>64</v>
      </c>
      <c r="L2228">
        <v>74</v>
      </c>
      <c r="Q2228">
        <v>0</v>
      </c>
      <c r="R2228">
        <v>0</v>
      </c>
      <c r="S2228">
        <v>74</v>
      </c>
      <c r="AD2228" s="249" t="str">
        <f>HYPERLINK("https://scontent.cdninstagram.com/t51.2885-15/s320x320/e35/20968905_146362442615109_4205590839046438912_n.jpg")</f>
        <v>https://scontent.cdninstagram.com/t51.2885-15/s320x320/e35/20968905_146362442615109_4205590839046438912_n.jpg</v>
      </c>
      <c r="AE2228" s="249" t="str">
        <f>HYPERLINK("https://scontent.cdninstagram.com/t51.2885-19/s150x150/21107725_125595094751141_7260491692464144384_a.jpg")</f>
        <v>https://scontent.cdninstagram.com/t51.2885-19/s150x150/21107725_125595094751141_7260491692464144384_a.jpg</v>
      </c>
    </row>
    <row r="2229" spans="1:31" ht="15" x14ac:dyDescent="0.25">
      <c r="A2229" t="s">
        <v>2474</v>
      </c>
      <c r="B2229" t="s">
        <v>11082</v>
      </c>
      <c r="C2229" s="221">
        <v>42969.678854166668</v>
      </c>
      <c r="D2229" t="s">
        <v>14226</v>
      </c>
      <c r="E2229" s="249" t="str">
        <f>HYPERLINK("https://www.instagram.com/p/BYG_N49js7u/")</f>
        <v>https://www.instagram.com/p/BYG_N49js7u/</v>
      </c>
      <c r="F2229" t="s">
        <v>14227</v>
      </c>
      <c r="G2229" t="s">
        <v>2478</v>
      </c>
      <c r="H2229">
        <v>1015</v>
      </c>
      <c r="I2229" t="s">
        <v>2479</v>
      </c>
      <c r="J2229">
        <v>0</v>
      </c>
      <c r="K2229">
        <v>77</v>
      </c>
      <c r="L2229">
        <v>77</v>
      </c>
      <c r="Q2229">
        <v>0</v>
      </c>
      <c r="R2229">
        <v>0</v>
      </c>
      <c r="S2229">
        <v>77</v>
      </c>
      <c r="T2229" t="s">
        <v>14228</v>
      </c>
      <c r="V2229" t="s">
        <v>2240</v>
      </c>
      <c r="W2229">
        <v>38.799999999999997</v>
      </c>
      <c r="X2229">
        <v>-9.3833300000000008</v>
      </c>
      <c r="Y2229" t="s">
        <v>4514</v>
      </c>
      <c r="Z2229" t="s">
        <v>12468</v>
      </c>
      <c r="AA2229" t="s">
        <v>3262</v>
      </c>
      <c r="AB2229" t="s">
        <v>2766</v>
      </c>
      <c r="AC2229" t="s">
        <v>11085</v>
      </c>
      <c r="AD2229" s="249" t="str">
        <f>HYPERLINK("https://scontent.cdninstagram.com/t51.2885-15/s320x320/e35/21041096_1410971548986986_1958505954559393792_n.jpg")</f>
        <v>https://scontent.cdninstagram.com/t51.2885-15/s320x320/e35/21041096_1410971548986986_1958505954559393792_n.jpg</v>
      </c>
      <c r="AE2229" s="249" t="str">
        <f>HYPERLINK("https://scontent.cdninstagram.com/t51.2885-19/s150x150/16790256_1252551118168038_8589117040680239104_a.jpg")</f>
        <v>https://scontent.cdninstagram.com/t51.2885-19/s150x150/16790256_1252551118168038_8589117040680239104_a.jpg</v>
      </c>
    </row>
    <row r="2230" spans="1:31" ht="15" x14ac:dyDescent="0.25">
      <c r="A2230" t="s">
        <v>2474</v>
      </c>
      <c r="B2230" t="s">
        <v>14229</v>
      </c>
      <c r="C2230" s="221">
        <v>42969.680138888885</v>
      </c>
      <c r="D2230" t="s">
        <v>14230</v>
      </c>
      <c r="E2230" s="249" t="str">
        <f>HYPERLINK("https://www.instagram.com/p/BYG_bcQjtt-/")</f>
        <v>https://www.instagram.com/p/BYG_bcQjtt-/</v>
      </c>
      <c r="F2230" t="s">
        <v>14231</v>
      </c>
      <c r="G2230" t="s">
        <v>2631</v>
      </c>
      <c r="H2230">
        <v>441</v>
      </c>
      <c r="I2230" t="s">
        <v>2479</v>
      </c>
      <c r="J2230">
        <v>0</v>
      </c>
      <c r="K2230">
        <v>18</v>
      </c>
      <c r="L2230">
        <v>18</v>
      </c>
      <c r="Q2230">
        <v>0</v>
      </c>
      <c r="R2230">
        <v>0</v>
      </c>
      <c r="S2230">
        <v>18</v>
      </c>
      <c r="Y2230" t="s">
        <v>10338</v>
      </c>
      <c r="Z2230" t="s">
        <v>14232</v>
      </c>
      <c r="AA2230" t="s">
        <v>2497</v>
      </c>
      <c r="AB2230" t="s">
        <v>14233</v>
      </c>
      <c r="AC2230" t="s">
        <v>14234</v>
      </c>
      <c r="AD2230" s="249" t="str">
        <f>HYPERLINK("https://scontent.cdninstagram.com/t51.2885-15/s320x320/e15/20986688_702511909938220_2541026527760351232_n.jpg")</f>
        <v>https://scontent.cdninstagram.com/t51.2885-15/s320x320/e15/20986688_702511909938220_2541026527760351232_n.jpg</v>
      </c>
      <c r="AE2230" s="249" t="str">
        <f>HYPERLINK("https://scontent.cdninstagram.com/t51.2885-19/s150x150/17077440_418171818518021_4137189344509165568_a.jpg")</f>
        <v>https://scontent.cdninstagram.com/t51.2885-19/s150x150/17077440_418171818518021_4137189344509165568_a.jpg</v>
      </c>
    </row>
    <row r="2231" spans="1:31" ht="15" x14ac:dyDescent="0.25">
      <c r="A2231" t="s">
        <v>2474</v>
      </c>
      <c r="B2231" t="s">
        <v>14235</v>
      </c>
      <c r="C2231" s="221">
        <v>42969.687731481485</v>
      </c>
      <c r="D2231" t="s">
        <v>14236</v>
      </c>
      <c r="E2231" s="249" t="str">
        <f>HYPERLINK("https://www.instagram.com/p/BYHArkolWrP/")</f>
        <v>https://www.instagram.com/p/BYHArkolWrP/</v>
      </c>
      <c r="F2231" t="s">
        <v>14237</v>
      </c>
      <c r="G2231" t="s">
        <v>2478</v>
      </c>
      <c r="H2231">
        <v>430</v>
      </c>
      <c r="I2231" t="s">
        <v>2479</v>
      </c>
      <c r="J2231">
        <v>17</v>
      </c>
      <c r="K2231">
        <v>34</v>
      </c>
      <c r="L2231">
        <v>51</v>
      </c>
      <c r="Q2231">
        <v>0</v>
      </c>
      <c r="R2231">
        <v>0</v>
      </c>
      <c r="S2231">
        <v>51</v>
      </c>
      <c r="Y2231" t="s">
        <v>7256</v>
      </c>
      <c r="Z2231" t="s">
        <v>2497</v>
      </c>
      <c r="AD2231" s="249" t="str">
        <f>HYPERLINK("https://scontent.cdninstagram.com/t51.2885-15/s320x320/e35/20987025_1964172300530939_7023831693010141184_n.jpg")</f>
        <v>https://scontent.cdninstagram.com/t51.2885-15/s320x320/e35/20987025_1964172300530939_7023831693010141184_n.jpg</v>
      </c>
      <c r="AE2231" s="249" t="str">
        <f>HYPERLINK("https://scontent.cdninstagram.com/t51.2885-19/s150x150/21147283_473372616351326_5777582305702838272_a.jpg")</f>
        <v>https://scontent.cdninstagram.com/t51.2885-19/s150x150/21147283_473372616351326_5777582305702838272_a.jpg</v>
      </c>
    </row>
    <row r="2232" spans="1:31" ht="15" x14ac:dyDescent="0.25">
      <c r="A2232" t="s">
        <v>2474</v>
      </c>
      <c r="B2232" t="s">
        <v>14047</v>
      </c>
      <c r="C2232" s="221">
        <v>42969.690682870372</v>
      </c>
      <c r="D2232" t="s">
        <v>14238</v>
      </c>
      <c r="E2232" s="249" t="str">
        <f>HYPERLINK("https://www.instagram.com/p/BYHBKp9Fnix/")</f>
        <v>https://www.instagram.com/p/BYHBKp9Fnix/</v>
      </c>
      <c r="F2232" t="s">
        <v>14239</v>
      </c>
      <c r="G2232" t="s">
        <v>2478</v>
      </c>
      <c r="H2232">
        <v>229</v>
      </c>
      <c r="I2232" t="s">
        <v>2479</v>
      </c>
      <c r="J2232">
        <v>0</v>
      </c>
      <c r="K2232">
        <v>30</v>
      </c>
      <c r="L2232">
        <v>30</v>
      </c>
      <c r="Q2232">
        <v>0</v>
      </c>
      <c r="R2232">
        <v>0</v>
      </c>
      <c r="S2232">
        <v>30</v>
      </c>
      <c r="T2232" t="s">
        <v>14240</v>
      </c>
      <c r="V2232" t="s">
        <v>2288</v>
      </c>
      <c r="W2232">
        <v>51.883280555555999</v>
      </c>
      <c r="X2232">
        <v>-3.4368388888889001</v>
      </c>
      <c r="Y2232" t="s">
        <v>14053</v>
      </c>
      <c r="Z2232" t="s">
        <v>14051</v>
      </c>
      <c r="AA2232" t="s">
        <v>14241</v>
      </c>
      <c r="AB2232" t="s">
        <v>14242</v>
      </c>
      <c r="AC2232" t="s">
        <v>14243</v>
      </c>
      <c r="AD2232" s="249" t="str">
        <f>HYPERLINK("https://scontent.cdninstagram.com/t51.2885-15/s320x320/e35/20905190_165261194031728_9082455160600395776_n.jpg")</f>
        <v>https://scontent.cdninstagram.com/t51.2885-15/s320x320/e35/20905190_165261194031728_9082455160600395776_n.jpg</v>
      </c>
      <c r="AE2232" s="249" t="str">
        <f>HYPERLINK("https://scontent.cdninstagram.com/t51.2885-19/s150x150/15803388_1745796749072021_4853132501234745344_a.jpg")</f>
        <v>https://scontent.cdninstagram.com/t51.2885-19/s150x150/15803388_1745796749072021_4853132501234745344_a.jpg</v>
      </c>
    </row>
    <row r="2233" spans="1:31" ht="15" x14ac:dyDescent="0.25">
      <c r="A2233" t="s">
        <v>2474</v>
      </c>
      <c r="B2233" t="s">
        <v>14244</v>
      </c>
      <c r="C2233" s="221">
        <v>42969.696030092593</v>
      </c>
      <c r="D2233" t="s">
        <v>14245</v>
      </c>
      <c r="E2233" s="249" t="str">
        <f>HYPERLINK("https://www.instagram.com/p/BYHCDC5gc-J/")</f>
        <v>https://www.instagram.com/p/BYHCDC5gc-J/</v>
      </c>
      <c r="F2233" t="s">
        <v>14246</v>
      </c>
      <c r="G2233" t="s">
        <v>2478</v>
      </c>
      <c r="H2233">
        <v>193</v>
      </c>
      <c r="I2233" t="s">
        <v>2599</v>
      </c>
      <c r="J2233">
        <v>3</v>
      </c>
      <c r="K2233">
        <v>34</v>
      </c>
      <c r="L2233">
        <v>37</v>
      </c>
      <c r="Q2233">
        <v>0</v>
      </c>
      <c r="R2233">
        <v>0</v>
      </c>
      <c r="S2233">
        <v>37</v>
      </c>
      <c r="T2233" t="s">
        <v>14247</v>
      </c>
      <c r="V2233" t="s">
        <v>2230</v>
      </c>
      <c r="W2233">
        <v>59.949399999999997</v>
      </c>
      <c r="X2233">
        <v>10.756399999999999</v>
      </c>
      <c r="Y2233" t="s">
        <v>14248</v>
      </c>
      <c r="Z2233" t="s">
        <v>14249</v>
      </c>
      <c r="AA2233" t="s">
        <v>14250</v>
      </c>
      <c r="AB2233" t="s">
        <v>14251</v>
      </c>
      <c r="AC2233" t="s">
        <v>14252</v>
      </c>
      <c r="AD2233" s="249" t="str">
        <f>HYPERLINK("https://scontent.cdninstagram.com/t51.2885-15/e35/p320x320/20968426_113094002731401_3750592839910686720_n.jpg")</f>
        <v>https://scontent.cdninstagram.com/t51.2885-15/e35/p320x320/20968426_113094002731401_3750592839910686720_n.jpg</v>
      </c>
      <c r="AE2233" s="249" t="str">
        <f>HYPERLINK("https://scontent.cdninstagram.com/t51.2885-19/s150x150/20635031_1885539981686544_1762954087822786560_a.jpg")</f>
        <v>https://scontent.cdninstagram.com/t51.2885-19/s150x150/20635031_1885539981686544_1762954087822786560_a.jpg</v>
      </c>
    </row>
    <row r="2234" spans="1:31" ht="15" x14ac:dyDescent="0.25">
      <c r="A2234" t="s">
        <v>2474</v>
      </c>
      <c r="B2234" t="s">
        <v>14253</v>
      </c>
      <c r="C2234" s="221">
        <v>42969.696539351855</v>
      </c>
      <c r="D2234" t="s">
        <v>14254</v>
      </c>
      <c r="E2234" s="249" t="str">
        <f>HYPERLINK("https://www.instagram.com/p/BYHCIfDnl3J/")</f>
        <v>https://www.instagram.com/p/BYHCIfDnl3J/</v>
      </c>
      <c r="F2234" t="s">
        <v>14255</v>
      </c>
      <c r="G2234" t="s">
        <v>2478</v>
      </c>
      <c r="H2234">
        <v>231</v>
      </c>
      <c r="I2234" t="s">
        <v>2479</v>
      </c>
      <c r="J2234">
        <v>4</v>
      </c>
      <c r="K2234">
        <v>25</v>
      </c>
      <c r="L2234">
        <v>29</v>
      </c>
      <c r="Q2234">
        <v>0</v>
      </c>
      <c r="R2234">
        <v>0</v>
      </c>
      <c r="S2234">
        <v>29</v>
      </c>
      <c r="Y2234" t="s">
        <v>6187</v>
      </c>
      <c r="Z2234" t="s">
        <v>2617</v>
      </c>
      <c r="AA2234" t="s">
        <v>3535</v>
      </c>
      <c r="AB2234" t="s">
        <v>5769</v>
      </c>
      <c r="AC2234" t="s">
        <v>2554</v>
      </c>
      <c r="AD2234" s="249" t="str">
        <f>HYPERLINK("https://scontent.cdninstagram.com/t51.2885-15/e35/p320x320/20987220_126367301324639_8511430818986459136_n.jpg")</f>
        <v>https://scontent.cdninstagram.com/t51.2885-15/e35/p320x320/20987220_126367301324639_8511430818986459136_n.jpg</v>
      </c>
      <c r="AE2234" s="249" t="str">
        <f>HYPERLINK("https://scontent.cdninstagram.com/t51.2885-19/11272853_1446292942332524_1537763337_a.jpg")</f>
        <v>https://scontent.cdninstagram.com/t51.2885-19/11272853_1446292942332524_1537763337_a.jpg</v>
      </c>
    </row>
    <row r="2235" spans="1:31" ht="15" x14ac:dyDescent="0.25">
      <c r="A2235" t="s">
        <v>2474</v>
      </c>
      <c r="B2235" t="s">
        <v>14256</v>
      </c>
      <c r="C2235" s="221">
        <v>42969.704317129632</v>
      </c>
      <c r="D2235" t="s">
        <v>14257</v>
      </c>
      <c r="E2235" s="249" t="str">
        <f>HYPERLINK("https://www.instagram.com/p/BYHDag8DVTo/")</f>
        <v>https://www.instagram.com/p/BYHDag8DVTo/</v>
      </c>
      <c r="F2235" t="s">
        <v>14258</v>
      </c>
      <c r="G2235" t="s">
        <v>2488</v>
      </c>
      <c r="H2235">
        <v>68</v>
      </c>
      <c r="I2235" t="s">
        <v>2479</v>
      </c>
      <c r="J2235">
        <v>12</v>
      </c>
      <c r="K2235">
        <v>24</v>
      </c>
      <c r="L2235">
        <v>36</v>
      </c>
      <c r="Q2235">
        <v>0</v>
      </c>
      <c r="R2235">
        <v>0</v>
      </c>
      <c r="S2235">
        <v>36</v>
      </c>
      <c r="Y2235" t="s">
        <v>2696</v>
      </c>
      <c r="Z2235" t="s">
        <v>11041</v>
      </c>
      <c r="AA2235" t="s">
        <v>14259</v>
      </c>
      <c r="AB2235" t="s">
        <v>2492</v>
      </c>
      <c r="AC2235" t="s">
        <v>14260</v>
      </c>
      <c r="AD2235" s="249" t="str">
        <f>HYPERLINK("https://scontent.cdninstagram.com/t51.2885-15/s320x320/e15/20968819_347739959009841_7429385431633887232_n.jpg")</f>
        <v>https://scontent.cdninstagram.com/t51.2885-15/s320x320/e15/20968819_347739959009841_7429385431633887232_n.jpg</v>
      </c>
      <c r="AE2235" s="249" t="str">
        <f>HYPERLINK("https://scontent.cdninstagram.com/t51.2885-19/s150x150/20686576_352139141890703_289155383258251264_a.jpg")</f>
        <v>https://scontent.cdninstagram.com/t51.2885-19/s150x150/20686576_352139141890703_289155383258251264_a.jpg</v>
      </c>
    </row>
    <row r="2236" spans="1:31" ht="15" x14ac:dyDescent="0.25">
      <c r="A2236" t="s">
        <v>2474</v>
      </c>
      <c r="B2236" t="s">
        <v>14261</v>
      </c>
      <c r="C2236" s="221">
        <v>42969.70685185185</v>
      </c>
      <c r="D2236" t="s">
        <v>14262</v>
      </c>
      <c r="E2236" s="249" t="str">
        <f>HYPERLINK("https://www.instagram.com/p/BYHD1KtH6ua/")</f>
        <v>https://www.instagram.com/p/BYHD1KtH6ua/</v>
      </c>
      <c r="F2236" t="s">
        <v>14263</v>
      </c>
      <c r="G2236" t="s">
        <v>2478</v>
      </c>
      <c r="H2236">
        <v>294</v>
      </c>
      <c r="I2236" t="s">
        <v>2479</v>
      </c>
      <c r="J2236">
        <v>0</v>
      </c>
      <c r="K2236">
        <v>3</v>
      </c>
      <c r="L2236">
        <v>3</v>
      </c>
      <c r="Q2236">
        <v>0</v>
      </c>
      <c r="R2236">
        <v>0</v>
      </c>
      <c r="S2236">
        <v>3</v>
      </c>
      <c r="Y2236" t="s">
        <v>2497</v>
      </c>
      <c r="Z2236" t="s">
        <v>14264</v>
      </c>
      <c r="AD2236" s="249" t="str">
        <f>HYPERLINK("https://scontent.cdninstagram.com/t51.2885-15/e35/20968423_1974069799497359_2854309838991654912_n.jpg")</f>
        <v>https://scontent.cdninstagram.com/t51.2885-15/e35/20968423_1974069799497359_2854309838991654912_n.jpg</v>
      </c>
      <c r="AE2236" s="249" t="str">
        <f>HYPERLINK("https://scontent.cdninstagram.com/t51.2885-19/s150x150/19622798_445440812500533_2515259704691654656_a.jpg")</f>
        <v>https://scontent.cdninstagram.com/t51.2885-19/s150x150/19622798_445440812500533_2515259704691654656_a.jpg</v>
      </c>
    </row>
    <row r="2237" spans="1:31" ht="15" x14ac:dyDescent="0.25">
      <c r="A2237" t="s">
        <v>2474</v>
      </c>
      <c r="B2237" t="s">
        <v>14265</v>
      </c>
      <c r="C2237" s="221">
        <v>42969.710787037038</v>
      </c>
      <c r="D2237" t="s">
        <v>14266</v>
      </c>
      <c r="E2237" s="249" t="str">
        <f>HYPERLINK("https://www.instagram.com/p/BYHEevanSUt/")</f>
        <v>https://www.instagram.com/p/BYHEevanSUt/</v>
      </c>
      <c r="F2237" t="s">
        <v>14267</v>
      </c>
      <c r="G2237" t="s">
        <v>2478</v>
      </c>
      <c r="H2237">
        <v>1411</v>
      </c>
      <c r="I2237" t="s">
        <v>2542</v>
      </c>
      <c r="J2237">
        <v>2</v>
      </c>
      <c r="K2237">
        <v>134</v>
      </c>
      <c r="L2237">
        <v>136</v>
      </c>
      <c r="Q2237">
        <v>0</v>
      </c>
      <c r="R2237">
        <v>0</v>
      </c>
      <c r="S2237">
        <v>136</v>
      </c>
      <c r="Y2237" t="s">
        <v>14268</v>
      </c>
      <c r="Z2237" t="s">
        <v>14269</v>
      </c>
      <c r="AA2237" t="s">
        <v>13359</v>
      </c>
      <c r="AB2237" t="s">
        <v>14270</v>
      </c>
      <c r="AC2237" t="s">
        <v>14271</v>
      </c>
      <c r="AD2237" s="249" t="str">
        <f>HYPERLINK("https://scontent.cdninstagram.com/t51.2885-15/s320x320/e35/20969368_1831598590395980_8423218366889590784_n.jpg")</f>
        <v>https://scontent.cdninstagram.com/t51.2885-15/s320x320/e35/20969368_1831598590395980_8423218366889590784_n.jpg</v>
      </c>
      <c r="AE2237" s="249" t="str">
        <f>HYPERLINK("https://scontent.cdninstagram.com/t51.2885-19/s150x150/18299314_1943642379203612_1982748648353562624_a.jpg")</f>
        <v>https://scontent.cdninstagram.com/t51.2885-19/s150x150/18299314_1943642379203612_1982748648353562624_a.jpg</v>
      </c>
    </row>
    <row r="2238" spans="1:31" ht="15" x14ac:dyDescent="0.25">
      <c r="A2238" t="s">
        <v>2474</v>
      </c>
      <c r="B2238" t="s">
        <v>14272</v>
      </c>
      <c r="C2238" s="221">
        <v>42969.716412037036</v>
      </c>
      <c r="D2238" t="s">
        <v>14273</v>
      </c>
      <c r="E2238" s="249" t="str">
        <f>HYPERLINK("https://www.instagram.com/p/BYHFaE0BObL/")</f>
        <v>https://www.instagram.com/p/BYHFaE0BObL/</v>
      </c>
      <c r="F2238" t="s">
        <v>14274</v>
      </c>
      <c r="G2238" t="s">
        <v>2478</v>
      </c>
      <c r="H2238">
        <v>915</v>
      </c>
      <c r="I2238" t="s">
        <v>2519</v>
      </c>
      <c r="J2238">
        <v>0</v>
      </c>
      <c r="K2238">
        <v>27</v>
      </c>
      <c r="L2238">
        <v>27</v>
      </c>
      <c r="Q2238">
        <v>0</v>
      </c>
      <c r="R2238">
        <v>0</v>
      </c>
      <c r="S2238">
        <v>27</v>
      </c>
      <c r="Y2238" t="s">
        <v>3663</v>
      </c>
      <c r="Z2238" t="s">
        <v>2497</v>
      </c>
      <c r="AD2238" s="249" t="str">
        <f>HYPERLINK("https://scontent.cdninstagram.com/t51.2885-15/s320x320/e35/21041196_2022236287996075_1423845005096648704_n.jpg")</f>
        <v>https://scontent.cdninstagram.com/t51.2885-15/s320x320/e35/21041196_2022236287996075_1423845005096648704_n.jpg</v>
      </c>
      <c r="AE2238" s="249" t="str">
        <f>HYPERLINK("https://scontent.cdninstagram.com/t51.2885-19/s150x150/16465155_1850342705244333_5460650540012666880_a.jpg")</f>
        <v>https://scontent.cdninstagram.com/t51.2885-19/s150x150/16465155_1850342705244333_5460650540012666880_a.jpg</v>
      </c>
    </row>
    <row r="2239" spans="1:31" ht="15" x14ac:dyDescent="0.25">
      <c r="A2239" t="s">
        <v>2474</v>
      </c>
      <c r="B2239" t="s">
        <v>14275</v>
      </c>
      <c r="C2239" s="221">
        <v>42969.723043981481</v>
      </c>
      <c r="D2239" t="s">
        <v>14276</v>
      </c>
      <c r="E2239" s="249" t="str">
        <f>HYPERLINK("https://www.instagram.com/p/BYHGf9vg3iT/")</f>
        <v>https://www.instagram.com/p/BYHGf9vg3iT/</v>
      </c>
      <c r="F2239" t="s">
        <v>14277</v>
      </c>
      <c r="G2239" t="s">
        <v>2478</v>
      </c>
      <c r="H2239">
        <v>569</v>
      </c>
      <c r="I2239" t="s">
        <v>2519</v>
      </c>
      <c r="J2239">
        <v>0</v>
      </c>
      <c r="K2239">
        <v>19</v>
      </c>
      <c r="L2239">
        <v>19</v>
      </c>
      <c r="Q2239">
        <v>0</v>
      </c>
      <c r="R2239">
        <v>0</v>
      </c>
      <c r="S2239">
        <v>19</v>
      </c>
      <c r="Y2239" t="s">
        <v>14278</v>
      </c>
      <c r="Z2239" t="s">
        <v>2898</v>
      </c>
      <c r="AA2239" t="s">
        <v>14279</v>
      </c>
      <c r="AB2239" t="s">
        <v>2734</v>
      </c>
      <c r="AC2239" t="s">
        <v>3196</v>
      </c>
      <c r="AD2239" s="249" t="str">
        <f>HYPERLINK("https://scontent.cdninstagram.com/t51.2885-15/s320x320/e35/20987071_1170457249764441_5735956878534377472_n.jpg")</f>
        <v>https://scontent.cdninstagram.com/t51.2885-15/s320x320/e35/20987071_1170457249764441_5735956878534377472_n.jpg</v>
      </c>
      <c r="AE2239" s="249" t="str">
        <f>HYPERLINK("https://scontent.cdninstagram.com/t51.2885-19/s150x150/20225413_109530469708184_5103072561042817024_a.jpg")</f>
        <v>https://scontent.cdninstagram.com/t51.2885-19/s150x150/20225413_109530469708184_5103072561042817024_a.jpg</v>
      </c>
    </row>
    <row r="2240" spans="1:31" ht="15" x14ac:dyDescent="0.25">
      <c r="A2240" t="s">
        <v>2474</v>
      </c>
      <c r="B2240" t="s">
        <v>14280</v>
      </c>
      <c r="C2240" s="221">
        <v>42969.726203703707</v>
      </c>
      <c r="D2240" t="s">
        <v>14281</v>
      </c>
      <c r="E2240" s="249" t="str">
        <f>HYPERLINK("https://www.instagram.com/p/BYHHBUUlk_i/")</f>
        <v>https://www.instagram.com/p/BYHHBUUlk_i/</v>
      </c>
      <c r="F2240" t="s">
        <v>14282</v>
      </c>
      <c r="G2240" t="s">
        <v>2478</v>
      </c>
      <c r="H2240">
        <v>119</v>
      </c>
      <c r="I2240" t="s">
        <v>2479</v>
      </c>
      <c r="J2240">
        <v>0</v>
      </c>
      <c r="K2240">
        <v>5</v>
      </c>
      <c r="L2240">
        <v>5</v>
      </c>
      <c r="Q2240">
        <v>0</v>
      </c>
      <c r="R2240">
        <v>0</v>
      </c>
      <c r="S2240">
        <v>5</v>
      </c>
      <c r="Y2240" t="s">
        <v>14283</v>
      </c>
      <c r="Z2240" t="s">
        <v>8844</v>
      </c>
      <c r="AA2240" t="s">
        <v>14284</v>
      </c>
      <c r="AB2240" t="s">
        <v>14285</v>
      </c>
      <c r="AC2240" t="s">
        <v>14286</v>
      </c>
      <c r="AD2240" s="249" t="str">
        <f>HYPERLINK("https://scontent.cdninstagram.com/t51.2885-15/e15/p320x320/20184713_130812234204552_4244033643908956160_n.jpg")</f>
        <v>https://scontent.cdninstagram.com/t51.2885-15/e15/p320x320/20184713_130812234204552_4244033643908956160_n.jpg</v>
      </c>
      <c r="AE2240" s="249" t="str">
        <f>HYPERLINK("https://scontent.cdninstagram.com/t51.2885-19/s150x150/12918382_1522583064714829_1230596626_a.jpg")</f>
        <v>https://scontent.cdninstagram.com/t51.2885-19/s150x150/12918382_1522583064714829_1230596626_a.jpg</v>
      </c>
    </row>
    <row r="2241" spans="1:31" ht="15" x14ac:dyDescent="0.25">
      <c r="A2241" t="s">
        <v>2474</v>
      </c>
      <c r="B2241" t="s">
        <v>7305</v>
      </c>
      <c r="C2241" s="221">
        <v>42969.72960648148</v>
      </c>
      <c r="D2241" t="s">
        <v>14287</v>
      </c>
      <c r="E2241" s="249" t="str">
        <f>HYPERLINK("https://www.instagram.com/p/BYHHlJKltc5/")</f>
        <v>https://www.instagram.com/p/BYHHlJKltc5/</v>
      </c>
      <c r="F2241" t="s">
        <v>14288</v>
      </c>
      <c r="G2241" t="s">
        <v>2478</v>
      </c>
      <c r="H2241">
        <v>246</v>
      </c>
      <c r="I2241" t="s">
        <v>3898</v>
      </c>
      <c r="J2241">
        <v>2</v>
      </c>
      <c r="K2241">
        <v>74</v>
      </c>
      <c r="L2241">
        <v>76</v>
      </c>
      <c r="Q2241">
        <v>0</v>
      </c>
      <c r="R2241">
        <v>0</v>
      </c>
      <c r="S2241">
        <v>76</v>
      </c>
      <c r="Y2241" t="s">
        <v>14289</v>
      </c>
      <c r="Z2241" t="s">
        <v>2497</v>
      </c>
      <c r="AA2241" t="s">
        <v>14290</v>
      </c>
      <c r="AB2241" t="s">
        <v>14291</v>
      </c>
      <c r="AD2241" s="249" t="str">
        <f>HYPERLINK("https://scontent.cdninstagram.com/t51.2885-15/s320x320/e35/20969088_127846524506673_3390807161851346944_n.jpg")</f>
        <v>https://scontent.cdninstagram.com/t51.2885-15/s320x320/e35/20969088_127846524506673_3390807161851346944_n.jpg</v>
      </c>
      <c r="AE2241" s="249" t="str">
        <f>HYPERLINK("https://scontent.cdninstagram.com/t51.2885-19/s150x150/18299262_1358444194247452_6262739522241429504_a.jpg")</f>
        <v>https://scontent.cdninstagram.com/t51.2885-19/s150x150/18299262_1358444194247452_6262739522241429504_a.jpg</v>
      </c>
    </row>
    <row r="2242" spans="1:31" ht="15" x14ac:dyDescent="0.25">
      <c r="A2242" t="s">
        <v>2474</v>
      </c>
      <c r="B2242" t="s">
        <v>14292</v>
      </c>
      <c r="C2242" s="221">
        <v>42969.731400462966</v>
      </c>
      <c r="D2242" t="s">
        <v>14293</v>
      </c>
      <c r="E2242" s="249" t="str">
        <f>HYPERLINK("https://www.instagram.com/p/BYHH4EOhblT/")</f>
        <v>https://www.instagram.com/p/BYHH4EOhblT/</v>
      </c>
      <c r="F2242" t="s">
        <v>14294</v>
      </c>
      <c r="G2242" t="s">
        <v>2478</v>
      </c>
      <c r="H2242">
        <v>201</v>
      </c>
      <c r="I2242" t="s">
        <v>3170</v>
      </c>
      <c r="J2242">
        <v>0</v>
      </c>
      <c r="K2242">
        <v>8</v>
      </c>
      <c r="L2242">
        <v>8</v>
      </c>
      <c r="Q2242">
        <v>0</v>
      </c>
      <c r="R2242">
        <v>0</v>
      </c>
      <c r="S2242">
        <v>8</v>
      </c>
      <c r="Y2242" t="s">
        <v>14295</v>
      </c>
      <c r="Z2242" t="s">
        <v>2493</v>
      </c>
      <c r="AA2242" t="s">
        <v>2497</v>
      </c>
      <c r="AB2242" t="s">
        <v>2833</v>
      </c>
      <c r="AC2242" t="s">
        <v>14296</v>
      </c>
      <c r="AD2242" s="249" t="str">
        <f>HYPERLINK("https://scontent.cdninstagram.com/t51.2885-15/e35/p320x320/21041558_349490495506860_6959217298771017728_n.jpg")</f>
        <v>https://scontent.cdninstagram.com/t51.2885-15/e35/p320x320/21041558_349490495506860_6959217298771017728_n.jpg</v>
      </c>
      <c r="AE2242" s="249" t="str">
        <f>HYPERLINK("https://scontent.cdninstagram.com/t51.2885-19/s150x150/15802628_253738301727321_2686460945105944576_n.jpg")</f>
        <v>https://scontent.cdninstagram.com/t51.2885-19/s150x150/15802628_253738301727321_2686460945105944576_n.jpg</v>
      </c>
    </row>
    <row r="2243" spans="1:31" ht="15" x14ac:dyDescent="0.25">
      <c r="A2243" t="s">
        <v>2474</v>
      </c>
      <c r="B2243" t="s">
        <v>12606</v>
      </c>
      <c r="C2243" s="221">
        <v>42969.732407407406</v>
      </c>
      <c r="D2243" t="s">
        <v>14297</v>
      </c>
      <c r="E2243" s="249" t="str">
        <f>HYPERLINK("https://www.instagram.com/p/BYHICywFMaT/")</f>
        <v>https://www.instagram.com/p/BYHICywFMaT/</v>
      </c>
      <c r="F2243" t="s">
        <v>14298</v>
      </c>
      <c r="G2243" t="s">
        <v>2478</v>
      </c>
      <c r="H2243">
        <v>194</v>
      </c>
      <c r="I2243" t="s">
        <v>2479</v>
      </c>
      <c r="J2243">
        <v>0</v>
      </c>
      <c r="K2243">
        <v>14</v>
      </c>
      <c r="L2243">
        <v>14</v>
      </c>
      <c r="Q2243">
        <v>0</v>
      </c>
      <c r="R2243">
        <v>0</v>
      </c>
      <c r="S2243">
        <v>14</v>
      </c>
      <c r="Y2243" t="s">
        <v>14299</v>
      </c>
      <c r="Z2243" t="s">
        <v>14300</v>
      </c>
      <c r="AA2243" t="s">
        <v>14301</v>
      </c>
      <c r="AB2243" t="s">
        <v>14302</v>
      </c>
      <c r="AC2243" t="s">
        <v>14303</v>
      </c>
      <c r="AD2243" s="249" t="str">
        <f>HYPERLINK("https://scontent.cdninstagram.com/t51.2885-15/e35/p320x320/21041662_113068202693786_8355758608356474880_n.jpg")</f>
        <v>https://scontent.cdninstagram.com/t51.2885-15/e35/p320x320/21041662_113068202693786_8355758608356474880_n.jpg</v>
      </c>
      <c r="AE2243" s="249" t="str">
        <f>HYPERLINK("https://scontent.cdninstagram.com/t51.2885-19/s150x150/21147304_491291301219977_1126739216466706432_a.jpg")</f>
        <v>https://scontent.cdninstagram.com/t51.2885-19/s150x150/21147304_491291301219977_1126739216466706432_a.jpg</v>
      </c>
    </row>
    <row r="2244" spans="1:31" ht="15" x14ac:dyDescent="0.25">
      <c r="A2244" t="s">
        <v>2474</v>
      </c>
      <c r="B2244" t="s">
        <v>14304</v>
      </c>
      <c r="C2244" s="221">
        <v>42969.737175925926</v>
      </c>
      <c r="D2244" t="s">
        <v>14305</v>
      </c>
      <c r="E2244" s="249" t="str">
        <f>HYPERLINK("https://www.instagram.com/p/BYHI1AQhjjL/")</f>
        <v>https://www.instagram.com/p/BYHI1AQhjjL/</v>
      </c>
      <c r="F2244" t="s">
        <v>14306</v>
      </c>
      <c r="G2244" t="s">
        <v>2478</v>
      </c>
      <c r="H2244">
        <v>593</v>
      </c>
      <c r="I2244" t="s">
        <v>3025</v>
      </c>
      <c r="J2244">
        <v>0</v>
      </c>
      <c r="K2244">
        <v>11</v>
      </c>
      <c r="L2244">
        <v>11</v>
      </c>
      <c r="Q2244">
        <v>0</v>
      </c>
      <c r="R2244">
        <v>0</v>
      </c>
      <c r="S2244">
        <v>11</v>
      </c>
      <c r="Y2244" t="s">
        <v>9976</v>
      </c>
      <c r="Z2244" t="s">
        <v>2497</v>
      </c>
      <c r="AA2244" t="s">
        <v>14307</v>
      </c>
      <c r="AB2244" t="s">
        <v>14308</v>
      </c>
      <c r="AC2244" t="s">
        <v>14309</v>
      </c>
      <c r="AD2244" s="249" t="str">
        <f>HYPERLINK("https://scontent.cdninstagram.com/t51.2885-15/s320x320/e35/20905727_954349844717580_5957747903073091584_n.jpg")</f>
        <v>https://scontent.cdninstagram.com/t51.2885-15/s320x320/e35/20905727_954349844717580_5957747903073091584_n.jpg</v>
      </c>
      <c r="AE2244" s="249" t="str">
        <f>HYPERLINK("https://scontent.cdninstagram.com/t51.2885-19/s150x150/20766903_1720081728294654_257929394763333632_a.jpg")</f>
        <v>https://scontent.cdninstagram.com/t51.2885-19/s150x150/20766903_1720081728294654_257929394763333632_a.jpg</v>
      </c>
    </row>
    <row r="2245" spans="1:31" ht="15" x14ac:dyDescent="0.25">
      <c r="A2245" t="s">
        <v>2474</v>
      </c>
      <c r="B2245" t="s">
        <v>14310</v>
      </c>
      <c r="C2245" s="221">
        <v>42969.768634259257</v>
      </c>
      <c r="D2245" t="s">
        <v>14311</v>
      </c>
      <c r="E2245" s="249" t="str">
        <f>HYPERLINK("https://www.instagram.com/p/BYHOAw9g14f/")</f>
        <v>https://www.instagram.com/p/BYHOAw9g14f/</v>
      </c>
      <c r="F2245" t="s">
        <v>14312</v>
      </c>
      <c r="G2245" t="s">
        <v>2478</v>
      </c>
      <c r="H2245">
        <v>158</v>
      </c>
      <c r="I2245" t="s">
        <v>2479</v>
      </c>
      <c r="J2245">
        <v>1</v>
      </c>
      <c r="K2245">
        <v>22</v>
      </c>
      <c r="L2245">
        <v>23</v>
      </c>
      <c r="Q2245">
        <v>0</v>
      </c>
      <c r="R2245">
        <v>0</v>
      </c>
      <c r="S2245">
        <v>23</v>
      </c>
      <c r="Y2245" t="s">
        <v>2911</v>
      </c>
      <c r="Z2245" t="s">
        <v>14313</v>
      </c>
      <c r="AA2245" t="s">
        <v>14314</v>
      </c>
      <c r="AB2245" t="s">
        <v>14315</v>
      </c>
      <c r="AC2245" t="s">
        <v>3990</v>
      </c>
      <c r="AD2245" s="249" t="str">
        <f>HYPERLINK("https://scontent.cdninstagram.com/t51.2885-15/s320x320/e35/20969053_338479133262063_8748047812932927488_n.jpg")</f>
        <v>https://scontent.cdninstagram.com/t51.2885-15/s320x320/e35/20969053_338479133262063_8748047812932927488_n.jpg</v>
      </c>
      <c r="AE2245" s="249" t="str">
        <f>HYPERLINK("https://scontent.cdninstagram.com/t51.2885-19/s150x150/16790299_1266180866802444_4854170079434113024_a.jpg")</f>
        <v>https://scontent.cdninstagram.com/t51.2885-19/s150x150/16790299_1266180866802444_4854170079434113024_a.jpg</v>
      </c>
    </row>
    <row r="2246" spans="1:31" ht="15" x14ac:dyDescent="0.25">
      <c r="A2246" t="s">
        <v>2474</v>
      </c>
      <c r="B2246" t="s">
        <v>14316</v>
      </c>
      <c r="C2246" s="221">
        <v>42969.771932870368</v>
      </c>
      <c r="D2246" t="s">
        <v>14317</v>
      </c>
      <c r="E2246" s="249" t="str">
        <f>HYPERLINK("https://www.instagram.com/p/BYHOjpMA16_/")</f>
        <v>https://www.instagram.com/p/BYHOjpMA16_/</v>
      </c>
      <c r="F2246" t="s">
        <v>14318</v>
      </c>
      <c r="G2246" t="s">
        <v>2478</v>
      </c>
      <c r="H2246">
        <v>76</v>
      </c>
      <c r="I2246" t="s">
        <v>2479</v>
      </c>
      <c r="J2246">
        <v>2</v>
      </c>
      <c r="K2246">
        <v>15</v>
      </c>
      <c r="L2246">
        <v>17</v>
      </c>
      <c r="Q2246">
        <v>0</v>
      </c>
      <c r="R2246">
        <v>0</v>
      </c>
      <c r="S2246">
        <v>17</v>
      </c>
      <c r="Y2246" t="s">
        <v>2497</v>
      </c>
      <c r="Z2246" t="s">
        <v>14319</v>
      </c>
      <c r="AA2246" t="s">
        <v>14320</v>
      </c>
      <c r="AB2246" t="s">
        <v>14321</v>
      </c>
      <c r="AC2246" t="s">
        <v>9275</v>
      </c>
      <c r="AD2246" s="249" t="str">
        <f>HYPERLINK("https://scontent.cdninstagram.com/t51.2885-15/s320x320/e35/20968745_1920668174812997_4561626151662911488_n.jpg")</f>
        <v>https://scontent.cdninstagram.com/t51.2885-15/s320x320/e35/20968745_1920668174812997_4561626151662911488_n.jpg</v>
      </c>
      <c r="AE2246" s="249" t="str">
        <f>HYPERLINK("https://scontent.cdninstagram.com/t51.2885-19/s150x150/12568252_1096965227003544_275160027_a.jpg")</f>
        <v>https://scontent.cdninstagram.com/t51.2885-19/s150x150/12568252_1096965227003544_275160027_a.jpg</v>
      </c>
    </row>
    <row r="2247" spans="1:31" ht="15" x14ac:dyDescent="0.25">
      <c r="A2247" t="s">
        <v>2474</v>
      </c>
      <c r="B2247" t="s">
        <v>14322</v>
      </c>
      <c r="C2247" s="221">
        <v>42969.773900462962</v>
      </c>
      <c r="D2247" t="s">
        <v>14323</v>
      </c>
      <c r="E2247" s="249" t="str">
        <f>HYPERLINK("https://www.instagram.com/p/BYHO4YLgiBs/")</f>
        <v>https://www.instagram.com/p/BYHO4YLgiBs/</v>
      </c>
      <c r="F2247" t="s">
        <v>14324</v>
      </c>
      <c r="G2247" t="s">
        <v>2478</v>
      </c>
      <c r="H2247">
        <v>3194</v>
      </c>
      <c r="I2247" t="s">
        <v>2479</v>
      </c>
      <c r="J2247">
        <v>1</v>
      </c>
      <c r="K2247">
        <v>58</v>
      </c>
      <c r="L2247">
        <v>59</v>
      </c>
      <c r="Q2247">
        <v>0</v>
      </c>
      <c r="R2247">
        <v>0</v>
      </c>
      <c r="S2247">
        <v>59</v>
      </c>
      <c r="Y2247" t="s">
        <v>12290</v>
      </c>
      <c r="Z2247" t="s">
        <v>14325</v>
      </c>
      <c r="AA2247" t="s">
        <v>14326</v>
      </c>
      <c r="AB2247" t="s">
        <v>14327</v>
      </c>
      <c r="AC2247" t="s">
        <v>14328</v>
      </c>
      <c r="AD2247" s="249" t="str">
        <f>HYPERLINK("https://scontent.cdninstagram.com/t51.2885-15/s320x320/e35/20968665_269241623591506_3731166771550355456_n.jpg")</f>
        <v>https://scontent.cdninstagram.com/t51.2885-15/s320x320/e35/20968665_269241623591506_3731166771550355456_n.jpg</v>
      </c>
      <c r="AE2247" s="249" t="str">
        <f>HYPERLINK("https://scontent.cdninstagram.com/t51.2885-19/s150x150/14722983_620984121413610_3612595600819748864_a.jpg")</f>
        <v>https://scontent.cdninstagram.com/t51.2885-19/s150x150/14722983_620984121413610_3612595600819748864_a.jpg</v>
      </c>
    </row>
    <row r="2248" spans="1:31" ht="15" x14ac:dyDescent="0.25">
      <c r="A2248" t="s">
        <v>2474</v>
      </c>
      <c r="B2248" t="s">
        <v>14329</v>
      </c>
      <c r="C2248" s="221">
        <v>42969.77548611111</v>
      </c>
      <c r="D2248" t="s">
        <v>14330</v>
      </c>
      <c r="E2248" s="249" t="str">
        <f>HYPERLINK("https://www.instagram.com/p/BYHPJFaFLHt/")</f>
        <v>https://www.instagram.com/p/BYHPJFaFLHt/</v>
      </c>
      <c r="F2248" t="s">
        <v>14331</v>
      </c>
      <c r="G2248" t="s">
        <v>2478</v>
      </c>
      <c r="H2248">
        <v>15619</v>
      </c>
      <c r="I2248" t="s">
        <v>2479</v>
      </c>
      <c r="J2248">
        <v>3</v>
      </c>
      <c r="K2248">
        <v>122</v>
      </c>
      <c r="L2248">
        <v>125</v>
      </c>
      <c r="Q2248">
        <v>0</v>
      </c>
      <c r="R2248">
        <v>0</v>
      </c>
      <c r="S2248">
        <v>125</v>
      </c>
      <c r="Y2248" t="s">
        <v>14332</v>
      </c>
      <c r="Z2248" t="s">
        <v>14333</v>
      </c>
      <c r="AA2248" t="s">
        <v>14334</v>
      </c>
      <c r="AB2248" t="s">
        <v>14335</v>
      </c>
      <c r="AC2248" t="s">
        <v>14336</v>
      </c>
      <c r="AD2248" s="249" t="str">
        <f>HYPERLINK("https://scontent.cdninstagram.com/t51.2885-15/s320x320/e35/21041617_273989866419188_8016370335576227840_n.jpg")</f>
        <v>https://scontent.cdninstagram.com/t51.2885-15/s320x320/e35/21041617_273989866419188_8016370335576227840_n.jpg</v>
      </c>
      <c r="AE2248" s="249" t="str">
        <f>HYPERLINK("https://scontent.cdninstagram.com/t51.2885-19/s150x150/11906268_156099184725297_1043104716_a.jpg")</f>
        <v>https://scontent.cdninstagram.com/t51.2885-19/s150x150/11906268_156099184725297_1043104716_a.jpg</v>
      </c>
    </row>
    <row r="2249" spans="1:31" ht="15" x14ac:dyDescent="0.25">
      <c r="A2249" t="s">
        <v>2474</v>
      </c>
      <c r="B2249" t="s">
        <v>14337</v>
      </c>
      <c r="C2249" s="221">
        <v>42969.778090277781</v>
      </c>
      <c r="D2249" t="s">
        <v>14338</v>
      </c>
      <c r="E2249" s="249" t="str">
        <f>HYPERLINK("https://www.instagram.com/p/BYHPkkZgLzc/")</f>
        <v>https://www.instagram.com/p/BYHPkkZgLzc/</v>
      </c>
      <c r="F2249" t="s">
        <v>14339</v>
      </c>
      <c r="G2249" t="s">
        <v>2631</v>
      </c>
      <c r="H2249">
        <v>578</v>
      </c>
      <c r="I2249" t="s">
        <v>3186</v>
      </c>
      <c r="J2249">
        <v>0</v>
      </c>
      <c r="K2249">
        <v>34</v>
      </c>
      <c r="L2249">
        <v>34</v>
      </c>
      <c r="Q2249">
        <v>0</v>
      </c>
      <c r="R2249">
        <v>0</v>
      </c>
      <c r="S2249">
        <v>34</v>
      </c>
      <c r="Y2249" t="s">
        <v>2730</v>
      </c>
      <c r="Z2249" t="s">
        <v>2513</v>
      </c>
      <c r="AA2249" t="s">
        <v>14340</v>
      </c>
      <c r="AB2249" t="s">
        <v>14341</v>
      </c>
      <c r="AC2249" t="s">
        <v>2497</v>
      </c>
      <c r="AD2249" s="249" t="str">
        <f>HYPERLINK("https://scontent.cdninstagram.com/t51.2885-15/s320x320/e15/20987397_515710422102637_7939639447753064448_n.jpg")</f>
        <v>https://scontent.cdninstagram.com/t51.2885-15/s320x320/e15/20987397_515710422102637_7939639447753064448_n.jpg</v>
      </c>
      <c r="AE2249" s="249" t="str">
        <f>HYPERLINK("https://scontent.cdninstagram.com/t51.2885-19/s150x150/20398271_1794080247275647_4930684908927451136_a.jpg")</f>
        <v>https://scontent.cdninstagram.com/t51.2885-19/s150x150/20398271_1794080247275647_4930684908927451136_a.jpg</v>
      </c>
    </row>
    <row r="2250" spans="1:31" ht="15" x14ac:dyDescent="0.25">
      <c r="A2250" t="s">
        <v>2474</v>
      </c>
      <c r="B2250" t="s">
        <v>6591</v>
      </c>
      <c r="C2250" s="221">
        <v>42969.778599537036</v>
      </c>
      <c r="D2250" t="s">
        <v>14342</v>
      </c>
      <c r="E2250" s="249" t="str">
        <f>HYPERLINK("https://www.instagram.com/p/BYHPp6QlU36/")</f>
        <v>https://www.instagram.com/p/BYHPp6QlU36/</v>
      </c>
      <c r="F2250" t="s">
        <v>14343</v>
      </c>
      <c r="G2250" t="s">
        <v>2478</v>
      </c>
      <c r="H2250">
        <v>671</v>
      </c>
      <c r="I2250" t="s">
        <v>2479</v>
      </c>
      <c r="J2250">
        <v>1</v>
      </c>
      <c r="K2250">
        <v>27</v>
      </c>
      <c r="L2250">
        <v>28</v>
      </c>
      <c r="Q2250">
        <v>0</v>
      </c>
      <c r="R2250">
        <v>0</v>
      </c>
      <c r="S2250">
        <v>28</v>
      </c>
      <c r="Y2250" t="s">
        <v>14344</v>
      </c>
      <c r="Z2250" t="s">
        <v>14345</v>
      </c>
      <c r="AA2250" t="s">
        <v>14346</v>
      </c>
      <c r="AB2250" t="s">
        <v>14347</v>
      </c>
      <c r="AC2250" t="s">
        <v>14348</v>
      </c>
      <c r="AD2250" s="249" t="str">
        <f>HYPERLINK("https://scontent.cdninstagram.com/t51.2885-15/s320x320/e35/20905751_1924729037792158_7197945363632750592_n.jpg")</f>
        <v>https://scontent.cdninstagram.com/t51.2885-15/s320x320/e35/20905751_1924729037792158_7197945363632750592_n.jpg</v>
      </c>
      <c r="AE2250" s="249" t="str">
        <f>HYPERLINK("https://scontent.cdninstagram.com/t51.2885-19/s150x150/15259130_818411351632140_4756890508993757184_a.jpg")</f>
        <v>https://scontent.cdninstagram.com/t51.2885-19/s150x150/15259130_818411351632140_4756890508993757184_a.jpg</v>
      </c>
    </row>
    <row r="2251" spans="1:31" ht="15" x14ac:dyDescent="0.25">
      <c r="A2251" t="s">
        <v>2474</v>
      </c>
      <c r="B2251" t="s">
        <v>14349</v>
      </c>
      <c r="C2251" s="221">
        <v>42969.778923611113</v>
      </c>
      <c r="D2251" t="s">
        <v>14350</v>
      </c>
      <c r="E2251" s="249" t="str">
        <f>HYPERLINK("https://www.instagram.com/p/BYHPtWJj_HX/")</f>
        <v>https://www.instagram.com/p/BYHPtWJj_HX/</v>
      </c>
      <c r="F2251" t="s">
        <v>14351</v>
      </c>
      <c r="G2251" t="s">
        <v>2478</v>
      </c>
      <c r="H2251">
        <v>530</v>
      </c>
      <c r="I2251" t="s">
        <v>2903</v>
      </c>
      <c r="J2251">
        <v>0</v>
      </c>
      <c r="K2251">
        <v>10</v>
      </c>
      <c r="L2251">
        <v>10</v>
      </c>
      <c r="Q2251">
        <v>0</v>
      </c>
      <c r="R2251">
        <v>0</v>
      </c>
      <c r="S2251">
        <v>10</v>
      </c>
      <c r="Y2251" t="s">
        <v>14352</v>
      </c>
      <c r="Z2251" t="s">
        <v>11452</v>
      </c>
      <c r="AA2251" t="s">
        <v>14353</v>
      </c>
      <c r="AB2251" t="s">
        <v>14354</v>
      </c>
      <c r="AC2251" t="s">
        <v>2497</v>
      </c>
      <c r="AD2251" s="249" t="str">
        <f>HYPERLINK("https://scontent.cdninstagram.com/t51.2885-15/s320x320/e35/20986684_152350162013812_2590473945073319936_n.jpg")</f>
        <v>https://scontent.cdninstagram.com/t51.2885-15/s320x320/e35/20986684_152350162013812_2590473945073319936_n.jpg</v>
      </c>
      <c r="AE2251" s="249" t="str">
        <f>HYPERLINK("https://scontent.cdninstagram.com/t51.2885-19/s150x150/20766188_1564235153641212_2344088297120202752_a.jpg")</f>
        <v>https://scontent.cdninstagram.com/t51.2885-19/s150x150/20766188_1564235153641212_2344088297120202752_a.jpg</v>
      </c>
    </row>
    <row r="2252" spans="1:31" ht="15" x14ac:dyDescent="0.25">
      <c r="A2252" t="s">
        <v>2474</v>
      </c>
      <c r="B2252" t="s">
        <v>6591</v>
      </c>
      <c r="C2252" s="221">
        <v>42969.77921296296</v>
      </c>
      <c r="D2252" t="s">
        <v>14355</v>
      </c>
      <c r="E2252" s="249" t="str">
        <f>HYPERLINK("https://www.instagram.com/p/BYHPwYRFNIn/")</f>
        <v>https://www.instagram.com/p/BYHPwYRFNIn/</v>
      </c>
      <c r="F2252" t="s">
        <v>14343</v>
      </c>
      <c r="G2252" t="s">
        <v>2478</v>
      </c>
      <c r="H2252">
        <v>671</v>
      </c>
      <c r="I2252" t="s">
        <v>2479</v>
      </c>
      <c r="J2252">
        <v>3</v>
      </c>
      <c r="K2252">
        <v>31</v>
      </c>
      <c r="L2252">
        <v>34</v>
      </c>
      <c r="Q2252">
        <v>0</v>
      </c>
      <c r="R2252">
        <v>0</v>
      </c>
      <c r="S2252">
        <v>34</v>
      </c>
      <c r="Y2252" t="s">
        <v>14344</v>
      </c>
      <c r="Z2252" t="s">
        <v>14345</v>
      </c>
      <c r="AA2252" t="s">
        <v>14346</v>
      </c>
      <c r="AB2252" t="s">
        <v>14347</v>
      </c>
      <c r="AC2252" t="s">
        <v>14348</v>
      </c>
      <c r="AD2252" s="249" t="str">
        <f>HYPERLINK("https://scontent.cdninstagram.com/t51.2885-15/e35/p320x320/20968650_564169780640585_8903618280082636800_n.jpg")</f>
        <v>https://scontent.cdninstagram.com/t51.2885-15/e35/p320x320/20968650_564169780640585_8903618280082636800_n.jpg</v>
      </c>
      <c r="AE2252" s="249" t="str">
        <f>HYPERLINK("https://scontent.cdninstagram.com/t51.2885-19/s150x150/15259130_818411351632140_4756890508993757184_a.jpg")</f>
        <v>https://scontent.cdninstagram.com/t51.2885-19/s150x150/15259130_818411351632140_4756890508993757184_a.jpg</v>
      </c>
    </row>
    <row r="2253" spans="1:31" ht="15" x14ac:dyDescent="0.25">
      <c r="A2253" t="s">
        <v>2474</v>
      </c>
      <c r="B2253" t="s">
        <v>14356</v>
      </c>
      <c r="C2253" s="221">
        <v>42969.779918981483</v>
      </c>
      <c r="D2253" t="s">
        <v>14357</v>
      </c>
      <c r="E2253" s="249" t="str">
        <f>HYPERLINK("https://www.instagram.com/p/BYHP3ziBHsp/")</f>
        <v>https://www.instagram.com/p/BYHP3ziBHsp/</v>
      </c>
      <c r="F2253" t="s">
        <v>14358</v>
      </c>
      <c r="G2253" t="s">
        <v>2488</v>
      </c>
      <c r="I2253" t="s">
        <v>2479</v>
      </c>
      <c r="J2253">
        <v>0</v>
      </c>
      <c r="K2253">
        <v>19</v>
      </c>
      <c r="L2253">
        <v>19</v>
      </c>
      <c r="Q2253">
        <v>0</v>
      </c>
      <c r="R2253">
        <v>0</v>
      </c>
      <c r="S2253">
        <v>19</v>
      </c>
      <c r="T2253" t="s">
        <v>14359</v>
      </c>
      <c r="V2253" t="s">
        <v>2187</v>
      </c>
      <c r="W2253">
        <v>-4.0791306297428003</v>
      </c>
      <c r="X2253">
        <v>39.669633392047999</v>
      </c>
      <c r="Y2253" t="s">
        <v>4121</v>
      </c>
      <c r="Z2253" t="s">
        <v>2497</v>
      </c>
      <c r="AA2253" t="s">
        <v>14360</v>
      </c>
      <c r="AB2253" t="s">
        <v>14361</v>
      </c>
      <c r="AC2253" t="s">
        <v>14362</v>
      </c>
      <c r="AD2253" s="249" t="str">
        <f>HYPERLINK("https://scontent.cdninstagram.com/t51.2885-15/s320x320/e35/21041091_102683957133166_7917838000485040128_n.jpg")</f>
        <v>https://scontent.cdninstagram.com/t51.2885-15/s320x320/e35/21041091_102683957133166_7917838000485040128_n.jpg</v>
      </c>
      <c r="AE2253" s="249" t="str">
        <f>HYPERLINK("https://scontent.cdninstagram.com/t51.2885-19/s150x150/19534679_628262110707688_612114624447250432_a.jpg")</f>
        <v>https://scontent.cdninstagram.com/t51.2885-19/s150x150/19534679_628262110707688_612114624447250432_a.jpg</v>
      </c>
    </row>
    <row r="2254" spans="1:31" ht="15" x14ac:dyDescent="0.25">
      <c r="A2254" t="s">
        <v>2474</v>
      </c>
      <c r="B2254" t="s">
        <v>6591</v>
      </c>
      <c r="C2254" s="221">
        <v>42969.780590277776</v>
      </c>
      <c r="D2254" t="s">
        <v>14363</v>
      </c>
      <c r="E2254" s="249" t="str">
        <f>HYPERLINK("https://www.instagram.com/p/BYHP-6hF4uc/")</f>
        <v>https://www.instagram.com/p/BYHP-6hF4uc/</v>
      </c>
      <c r="F2254" t="s">
        <v>14364</v>
      </c>
      <c r="G2254" t="s">
        <v>2478</v>
      </c>
      <c r="H2254">
        <v>671</v>
      </c>
      <c r="I2254" t="s">
        <v>2479</v>
      </c>
      <c r="J2254">
        <v>0</v>
      </c>
      <c r="K2254">
        <v>35</v>
      </c>
      <c r="L2254">
        <v>35</v>
      </c>
      <c r="Q2254">
        <v>0</v>
      </c>
      <c r="R2254">
        <v>0</v>
      </c>
      <c r="S2254">
        <v>35</v>
      </c>
      <c r="Y2254" t="s">
        <v>14344</v>
      </c>
      <c r="Z2254" t="s">
        <v>14345</v>
      </c>
      <c r="AA2254" t="s">
        <v>14346</v>
      </c>
      <c r="AB2254" t="s">
        <v>14347</v>
      </c>
      <c r="AC2254" t="s">
        <v>14348</v>
      </c>
      <c r="AD2254" s="249" t="str">
        <f>HYPERLINK("https://scontent.cdninstagram.com/t51.2885-15/s320x320/e35/21041663_113514012657309_3443613522762661888_n.jpg")</f>
        <v>https://scontent.cdninstagram.com/t51.2885-15/s320x320/e35/21041663_113514012657309_3443613522762661888_n.jpg</v>
      </c>
      <c r="AE2254" s="249" t="str">
        <f>HYPERLINK("https://scontent.cdninstagram.com/t51.2885-19/s150x150/15259130_818411351632140_4756890508993757184_a.jpg")</f>
        <v>https://scontent.cdninstagram.com/t51.2885-19/s150x150/15259130_818411351632140_4756890508993757184_a.jpg</v>
      </c>
    </row>
    <row r="2255" spans="1:31" ht="15" x14ac:dyDescent="0.25">
      <c r="A2255" t="s">
        <v>2474</v>
      </c>
      <c r="B2255" t="s">
        <v>6591</v>
      </c>
      <c r="C2255" s="221">
        <v>42969.781967592593</v>
      </c>
      <c r="D2255" t="s">
        <v>14365</v>
      </c>
      <c r="E2255" s="249" t="str">
        <f>HYPERLINK("https://www.instagram.com/p/BYHQNa1Flpa/")</f>
        <v>https://www.instagram.com/p/BYHQNa1Flpa/</v>
      </c>
      <c r="F2255" t="s">
        <v>14366</v>
      </c>
      <c r="G2255" t="s">
        <v>2478</v>
      </c>
      <c r="H2255">
        <v>674</v>
      </c>
      <c r="I2255" t="s">
        <v>2542</v>
      </c>
      <c r="J2255">
        <v>4</v>
      </c>
      <c r="K2255">
        <v>55</v>
      </c>
      <c r="L2255">
        <v>59</v>
      </c>
      <c r="Q2255">
        <v>0</v>
      </c>
      <c r="R2255">
        <v>0</v>
      </c>
      <c r="S2255">
        <v>59</v>
      </c>
      <c r="Y2255" t="s">
        <v>14344</v>
      </c>
      <c r="Z2255" t="s">
        <v>14345</v>
      </c>
      <c r="AA2255" t="s">
        <v>14346</v>
      </c>
      <c r="AB2255" t="s">
        <v>14347</v>
      </c>
      <c r="AC2255" t="s">
        <v>14348</v>
      </c>
      <c r="AD2255" s="249" t="str">
        <f>HYPERLINK("https://scontent.cdninstagram.com/t51.2885-15/s320x320/e35/21041114_1252904654821404_6774787666459230208_n.jpg")</f>
        <v>https://scontent.cdninstagram.com/t51.2885-15/s320x320/e35/21041114_1252904654821404_6774787666459230208_n.jpg</v>
      </c>
      <c r="AE2255" s="249" t="str">
        <f>HYPERLINK("https://scontent.cdninstagram.com/t51.2885-19/s150x150/15259130_818411351632140_4756890508993757184_a.jpg")</f>
        <v>https://scontent.cdninstagram.com/t51.2885-19/s150x150/15259130_818411351632140_4756890508993757184_a.jpg</v>
      </c>
    </row>
    <row r="2256" spans="1:31" ht="15" x14ac:dyDescent="0.25">
      <c r="A2256" t="s">
        <v>2474</v>
      </c>
      <c r="B2256" t="s">
        <v>9035</v>
      </c>
      <c r="C2256" s="221">
        <v>42969.783715277779</v>
      </c>
      <c r="D2256" t="s">
        <v>14367</v>
      </c>
      <c r="E2256" s="249" t="str">
        <f>HYPERLINK("https://www.instagram.com/p/BYHQf0OgjGA/")</f>
        <v>https://www.instagram.com/p/BYHQf0OgjGA/</v>
      </c>
      <c r="F2256" t="s">
        <v>14368</v>
      </c>
      <c r="G2256" t="s">
        <v>2478</v>
      </c>
      <c r="H2256">
        <v>677</v>
      </c>
      <c r="I2256" t="s">
        <v>3025</v>
      </c>
      <c r="J2256">
        <v>1</v>
      </c>
      <c r="K2256">
        <v>14</v>
      </c>
      <c r="L2256">
        <v>15</v>
      </c>
      <c r="Q2256">
        <v>0</v>
      </c>
      <c r="R2256">
        <v>0</v>
      </c>
      <c r="S2256">
        <v>15</v>
      </c>
      <c r="Y2256" t="s">
        <v>14369</v>
      </c>
      <c r="Z2256" t="s">
        <v>14370</v>
      </c>
      <c r="AA2256" t="s">
        <v>4995</v>
      </c>
      <c r="AB2256" t="s">
        <v>14371</v>
      </c>
      <c r="AC2256" t="s">
        <v>3446</v>
      </c>
      <c r="AD2256" s="249" t="str">
        <f>HYPERLINK("https://scontent.cdninstagram.com/t51.2885-15/s320x320/e35/21041809_773981526114596_6839919015847002112_n.jpg")</f>
        <v>https://scontent.cdninstagram.com/t51.2885-15/s320x320/e35/21041809_773981526114596_6839919015847002112_n.jpg</v>
      </c>
      <c r="AE2256" s="249" t="str">
        <f>HYPERLINK("https://scontent.cdninstagram.com/t51.2885-19/s150x150/20837140_158461924709521_656414605060341760_a.jpg")</f>
        <v>https://scontent.cdninstagram.com/t51.2885-19/s150x150/20837140_158461924709521_656414605060341760_a.jpg</v>
      </c>
    </row>
    <row r="2257" spans="1:31" ht="15" x14ac:dyDescent="0.25">
      <c r="A2257" t="s">
        <v>2474</v>
      </c>
      <c r="B2257" t="s">
        <v>6020</v>
      </c>
      <c r="C2257" s="221">
        <v>42969.787592592591</v>
      </c>
      <c r="D2257" t="s">
        <v>14372</v>
      </c>
      <c r="E2257" s="249" t="str">
        <f>HYPERLINK("https://www.instagram.com/p/BYHRIwXAyJf/")</f>
        <v>https://www.instagram.com/p/BYHRIwXAyJf/</v>
      </c>
      <c r="F2257" t="s">
        <v>14373</v>
      </c>
      <c r="G2257" t="s">
        <v>2478</v>
      </c>
      <c r="H2257">
        <v>31620</v>
      </c>
      <c r="I2257" t="s">
        <v>2479</v>
      </c>
      <c r="J2257">
        <v>28</v>
      </c>
      <c r="K2257">
        <v>1076</v>
      </c>
      <c r="L2257">
        <v>1104</v>
      </c>
      <c r="Q2257">
        <v>0</v>
      </c>
      <c r="R2257">
        <v>0</v>
      </c>
      <c r="S2257">
        <v>1104</v>
      </c>
      <c r="Y2257" t="s">
        <v>4995</v>
      </c>
      <c r="Z2257" t="s">
        <v>7172</v>
      </c>
      <c r="AA2257" t="s">
        <v>6277</v>
      </c>
      <c r="AB2257" t="s">
        <v>14374</v>
      </c>
      <c r="AC2257" t="s">
        <v>14375</v>
      </c>
      <c r="AD2257" s="249" t="str">
        <f>HYPERLINK("https://scontent.cdninstagram.com/t51.2885-15/s320x320/e35/21041590_194529064420275_3683013535257853952_n.jpg")</f>
        <v>https://scontent.cdninstagram.com/t51.2885-15/s320x320/e35/21041590_194529064420275_3683013535257853952_n.jpg</v>
      </c>
      <c r="AE2257" s="249" t="str">
        <f>HYPERLINK("https://scontent.cdninstagram.com/t51.2885-19/s150x150/18094683_212156559284851_4534393421896351744_a.jpg")</f>
        <v>https://scontent.cdninstagram.com/t51.2885-19/s150x150/18094683_212156559284851_4534393421896351744_a.jpg</v>
      </c>
    </row>
    <row r="2258" spans="1:31" ht="15" x14ac:dyDescent="0.25">
      <c r="A2258" t="s">
        <v>2474</v>
      </c>
      <c r="B2258" t="s">
        <v>9035</v>
      </c>
      <c r="C2258" s="221">
        <v>42969.799479166664</v>
      </c>
      <c r="D2258" t="s">
        <v>14376</v>
      </c>
      <c r="E2258" s="249" t="str">
        <f>HYPERLINK("https://www.instagram.com/p/BYHTGHlAH-6/")</f>
        <v>https://www.instagram.com/p/BYHTGHlAH-6/</v>
      </c>
      <c r="F2258" t="s">
        <v>14377</v>
      </c>
      <c r="G2258" t="s">
        <v>2478</v>
      </c>
      <c r="H2258">
        <v>677</v>
      </c>
      <c r="I2258" t="s">
        <v>3898</v>
      </c>
      <c r="J2258">
        <v>2</v>
      </c>
      <c r="K2258">
        <v>29</v>
      </c>
      <c r="L2258">
        <v>31</v>
      </c>
      <c r="Q2258">
        <v>0</v>
      </c>
      <c r="R2258">
        <v>0</v>
      </c>
      <c r="S2258">
        <v>31</v>
      </c>
      <c r="Y2258" t="s">
        <v>4246</v>
      </c>
      <c r="Z2258" t="s">
        <v>14378</v>
      </c>
      <c r="AA2258" t="s">
        <v>9005</v>
      </c>
      <c r="AB2258" t="s">
        <v>14379</v>
      </c>
      <c r="AC2258" t="s">
        <v>14380</v>
      </c>
      <c r="AD2258" s="249" t="str">
        <f>HYPERLINK("https://scontent.cdninstagram.com/t51.2885-15/e35/p320x320/21041982_124330918210618_7397725625672269824_n.jpg")</f>
        <v>https://scontent.cdninstagram.com/t51.2885-15/e35/p320x320/21041982_124330918210618_7397725625672269824_n.jpg</v>
      </c>
      <c r="AE2258" s="249" t="str">
        <f>HYPERLINK("https://scontent.cdninstagram.com/t51.2885-19/s150x150/20837140_158461924709521_656414605060341760_a.jpg")</f>
        <v>https://scontent.cdninstagram.com/t51.2885-19/s150x150/20837140_158461924709521_656414605060341760_a.jpg</v>
      </c>
    </row>
    <row r="2259" spans="1:31" ht="15" x14ac:dyDescent="0.25">
      <c r="A2259" t="s">
        <v>2474</v>
      </c>
      <c r="B2259" t="s">
        <v>14381</v>
      </c>
      <c r="C2259" s="221">
        <v>42969.80064814815</v>
      </c>
      <c r="D2259" t="s">
        <v>14382</v>
      </c>
      <c r="E2259" s="249" t="str">
        <f>HYPERLINK("https://www.instagram.com/p/BYHTSbDFAJ2/")</f>
        <v>https://www.instagram.com/p/BYHTSbDFAJ2/</v>
      </c>
      <c r="F2259" t="s">
        <v>14383</v>
      </c>
      <c r="G2259" t="s">
        <v>2478</v>
      </c>
      <c r="H2259">
        <v>86</v>
      </c>
      <c r="I2259" t="s">
        <v>2479</v>
      </c>
      <c r="J2259">
        <v>0</v>
      </c>
      <c r="K2259">
        <v>5</v>
      </c>
      <c r="L2259">
        <v>5</v>
      </c>
      <c r="Q2259">
        <v>0</v>
      </c>
      <c r="R2259">
        <v>0</v>
      </c>
      <c r="S2259">
        <v>5</v>
      </c>
      <c r="Y2259" t="s">
        <v>14384</v>
      </c>
      <c r="Z2259" t="s">
        <v>14385</v>
      </c>
      <c r="AA2259" t="s">
        <v>2497</v>
      </c>
      <c r="AD2259" s="249" t="str">
        <f>HYPERLINK("https://scontent.cdninstagram.com/t51.2885-15/s320x320/e35/21042045_114124555976821_791244219871133696_n.jpg")</f>
        <v>https://scontent.cdninstagram.com/t51.2885-15/s320x320/e35/21042045_114124555976821_791244219871133696_n.jpg</v>
      </c>
      <c r="AE2259" s="249" t="str">
        <f>HYPERLINK("https://scontent.cdninstagram.com/t51.2885-19/s150x150/20478432_1747317192232029_7789439029753151488_a.jpg")</f>
        <v>https://scontent.cdninstagram.com/t51.2885-19/s150x150/20478432_1747317192232029_7789439029753151488_a.jpg</v>
      </c>
    </row>
    <row r="2260" spans="1:31" ht="15" x14ac:dyDescent="0.25">
      <c r="A2260" t="s">
        <v>2474</v>
      </c>
      <c r="B2260" t="s">
        <v>14386</v>
      </c>
      <c r="C2260" s="221">
        <v>42969.800844907404</v>
      </c>
      <c r="D2260" t="s">
        <v>14387</v>
      </c>
      <c r="E2260" s="249" t="str">
        <f>HYPERLINK("https://www.instagram.com/p/BYHTUi6hBts/")</f>
        <v>https://www.instagram.com/p/BYHTUi6hBts/</v>
      </c>
      <c r="F2260" t="s">
        <v>14388</v>
      </c>
      <c r="G2260" t="s">
        <v>2478</v>
      </c>
      <c r="H2260">
        <v>302</v>
      </c>
      <c r="I2260" t="s">
        <v>4052</v>
      </c>
      <c r="J2260">
        <v>2</v>
      </c>
      <c r="K2260">
        <v>20</v>
      </c>
      <c r="L2260">
        <v>22</v>
      </c>
      <c r="Q2260">
        <v>0</v>
      </c>
      <c r="R2260">
        <v>0</v>
      </c>
      <c r="S2260">
        <v>22</v>
      </c>
      <c r="Y2260" t="s">
        <v>14389</v>
      </c>
      <c r="Z2260" t="s">
        <v>14390</v>
      </c>
      <c r="AA2260" t="s">
        <v>14391</v>
      </c>
      <c r="AB2260" t="s">
        <v>14392</v>
      </c>
      <c r="AC2260" t="s">
        <v>14393</v>
      </c>
      <c r="AD2260" s="249" t="str">
        <f>HYPERLINK("https://scontent.cdninstagram.com/t51.2885-15/s320x320/e35/21041353_130757180876378_4435252086212395008_n.jpg")</f>
        <v>https://scontent.cdninstagram.com/t51.2885-15/s320x320/e35/21041353_130757180876378_4435252086212395008_n.jpg</v>
      </c>
      <c r="AE2260" s="249" t="str">
        <f>HYPERLINK("https://scontent.cdninstagram.com/t51.2885-19/s150x150/18380624_1907338196217326_6348743845752078336_a.jpg")</f>
        <v>https://scontent.cdninstagram.com/t51.2885-19/s150x150/18380624_1907338196217326_6348743845752078336_a.jpg</v>
      </c>
    </row>
    <row r="2261" spans="1:31" ht="15" x14ac:dyDescent="0.25">
      <c r="A2261" t="s">
        <v>2474</v>
      </c>
      <c r="B2261" t="s">
        <v>14394</v>
      </c>
      <c r="C2261" s="221">
        <v>42969.804907407408</v>
      </c>
      <c r="D2261" t="s">
        <v>14395</v>
      </c>
      <c r="E2261" s="249" t="str">
        <f>HYPERLINK("https://www.instagram.com/p/BYHT_bUgWft/")</f>
        <v>https://www.instagram.com/p/BYHT_bUgWft/</v>
      </c>
      <c r="F2261" t="s">
        <v>14396</v>
      </c>
      <c r="G2261" t="s">
        <v>2478</v>
      </c>
      <c r="H2261">
        <v>599</v>
      </c>
      <c r="I2261" t="s">
        <v>2479</v>
      </c>
      <c r="J2261">
        <v>0</v>
      </c>
      <c r="K2261">
        <v>24</v>
      </c>
      <c r="L2261">
        <v>24</v>
      </c>
      <c r="Q2261">
        <v>0</v>
      </c>
      <c r="R2261">
        <v>0</v>
      </c>
      <c r="S2261">
        <v>24</v>
      </c>
      <c r="Y2261" t="s">
        <v>14397</v>
      </c>
      <c r="Z2261" t="s">
        <v>14398</v>
      </c>
      <c r="AA2261" t="s">
        <v>2492</v>
      </c>
      <c r="AB2261" t="s">
        <v>14399</v>
      </c>
      <c r="AC2261" t="s">
        <v>2827</v>
      </c>
      <c r="AD2261" s="249" t="str">
        <f>HYPERLINK("https://scontent.cdninstagram.com/t51.2885-15/s320x320/e35/21042439_1688570244487485_2534093445522259968_n.jpg")</f>
        <v>https://scontent.cdninstagram.com/t51.2885-15/s320x320/e35/21042439_1688570244487485_2534093445522259968_n.jpg</v>
      </c>
      <c r="AE2261" s="249" t="str">
        <f>HYPERLINK("https://scontent.cdninstagram.com/t51.2885-19/s150x150/21041970_317102608762949_6841976356721393664_a.jpg")</f>
        <v>https://scontent.cdninstagram.com/t51.2885-19/s150x150/21041970_317102608762949_6841976356721393664_a.jpg</v>
      </c>
    </row>
    <row r="2262" spans="1:31" ht="15" x14ac:dyDescent="0.25">
      <c r="A2262" t="s">
        <v>2474</v>
      </c>
      <c r="B2262" t="s">
        <v>5657</v>
      </c>
      <c r="C2262" s="221">
        <v>42969.807569444441</v>
      </c>
      <c r="D2262" t="s">
        <v>14400</v>
      </c>
      <c r="E2262" s="249" t="str">
        <f>HYPERLINK("https://www.instagram.com/p/BYHUbaZAXra/")</f>
        <v>https://www.instagram.com/p/BYHUbaZAXra/</v>
      </c>
      <c r="F2262" t="s">
        <v>14401</v>
      </c>
      <c r="G2262" t="s">
        <v>2478</v>
      </c>
      <c r="H2262">
        <v>85</v>
      </c>
      <c r="I2262" t="s">
        <v>2479</v>
      </c>
      <c r="J2262">
        <v>2</v>
      </c>
      <c r="K2262">
        <v>41</v>
      </c>
      <c r="L2262">
        <v>43</v>
      </c>
      <c r="Q2262">
        <v>0</v>
      </c>
      <c r="R2262">
        <v>0</v>
      </c>
      <c r="S2262">
        <v>43</v>
      </c>
      <c r="Y2262" t="s">
        <v>2511</v>
      </c>
      <c r="Z2262" t="s">
        <v>2492</v>
      </c>
      <c r="AA2262" t="s">
        <v>4582</v>
      </c>
      <c r="AB2262" t="s">
        <v>14402</v>
      </c>
      <c r="AC2262" t="s">
        <v>4839</v>
      </c>
      <c r="AD2262" s="249" t="str">
        <f>HYPERLINK("https://scontent.cdninstagram.com/t51.2885-15/e35/p320x320/20986693_497752970564002_789915704882102272_n.jpg")</f>
        <v>https://scontent.cdninstagram.com/t51.2885-15/e35/p320x320/20986693_497752970564002_789915704882102272_n.jpg</v>
      </c>
      <c r="AE2262" s="249" t="str">
        <f>HYPERLINK("https://scontent.cdninstagram.com/t51.2885-19/s150x150/18722414_1929874740617287_7467972564577419264_a.jpg")</f>
        <v>https://scontent.cdninstagram.com/t51.2885-19/s150x150/18722414_1929874740617287_7467972564577419264_a.jpg</v>
      </c>
    </row>
    <row r="2263" spans="1:31" ht="15" x14ac:dyDescent="0.25">
      <c r="A2263" t="s">
        <v>2474</v>
      </c>
      <c r="B2263" t="s">
        <v>14403</v>
      </c>
      <c r="C2263" s="221">
        <v>42969.811203703706</v>
      </c>
      <c r="D2263" t="s">
        <v>14404</v>
      </c>
      <c r="E2263" s="249" t="str">
        <f>HYPERLINK("https://www.instagram.com/p/BYHVB0vjcPs/")</f>
        <v>https://www.instagram.com/p/BYHVB0vjcPs/</v>
      </c>
      <c r="F2263" t="s">
        <v>14405</v>
      </c>
      <c r="G2263" t="s">
        <v>2488</v>
      </c>
      <c r="H2263">
        <v>98</v>
      </c>
      <c r="I2263" t="s">
        <v>2479</v>
      </c>
      <c r="J2263">
        <v>1</v>
      </c>
      <c r="K2263">
        <v>5</v>
      </c>
      <c r="L2263">
        <v>6</v>
      </c>
      <c r="Q2263">
        <v>0</v>
      </c>
      <c r="R2263">
        <v>0</v>
      </c>
      <c r="S2263">
        <v>6</v>
      </c>
      <c r="Y2263" t="s">
        <v>14406</v>
      </c>
      <c r="Z2263" t="s">
        <v>5006</v>
      </c>
      <c r="AA2263" t="s">
        <v>14407</v>
      </c>
      <c r="AB2263" t="s">
        <v>14408</v>
      </c>
      <c r="AC2263" t="s">
        <v>5126</v>
      </c>
      <c r="AD2263" s="249" t="str">
        <f>HYPERLINK("https://scontent.cdninstagram.com/t51.2885-15/s320x320/e35/20987136_1909837622609853_6274584883130007552_n.jpg")</f>
        <v>https://scontent.cdninstagram.com/t51.2885-15/s320x320/e35/20987136_1909837622609853_6274584883130007552_n.jpg</v>
      </c>
      <c r="AE2263" s="249" t="str">
        <f>HYPERLINK("https://scontent.cdninstagram.com/t51.2885-19/s150x150/21224731_126772454626346_7472088839759069184_a.jpg")</f>
        <v>https://scontent.cdninstagram.com/t51.2885-19/s150x150/21224731_126772454626346_7472088839759069184_a.jpg</v>
      </c>
    </row>
    <row r="2264" spans="1:31" ht="15" x14ac:dyDescent="0.25">
      <c r="A2264" t="s">
        <v>2474</v>
      </c>
      <c r="B2264" t="s">
        <v>14409</v>
      </c>
      <c r="C2264" s="221">
        <v>42969.830821759257</v>
      </c>
      <c r="D2264" t="s">
        <v>14410</v>
      </c>
      <c r="E2264" s="249" t="str">
        <f>HYPERLINK("https://www.instagram.com/p/BYHYQrbl9c7/")</f>
        <v>https://www.instagram.com/p/BYHYQrbl9c7/</v>
      </c>
      <c r="F2264" t="s">
        <v>14411</v>
      </c>
      <c r="G2264" t="s">
        <v>2478</v>
      </c>
      <c r="H2264">
        <v>210</v>
      </c>
      <c r="I2264" t="s">
        <v>2542</v>
      </c>
      <c r="J2264">
        <v>2</v>
      </c>
      <c r="K2264">
        <v>16</v>
      </c>
      <c r="L2264">
        <v>18</v>
      </c>
      <c r="Q2264">
        <v>0</v>
      </c>
      <c r="R2264">
        <v>0</v>
      </c>
      <c r="S2264">
        <v>18</v>
      </c>
      <c r="Y2264" t="s">
        <v>3262</v>
      </c>
      <c r="Z2264" t="s">
        <v>2876</v>
      </c>
      <c r="AA2264" t="s">
        <v>2492</v>
      </c>
      <c r="AB2264" t="s">
        <v>11278</v>
      </c>
      <c r="AC2264" t="s">
        <v>14412</v>
      </c>
      <c r="AD2264" s="249" t="str">
        <f>HYPERLINK("https://scontent.cdninstagram.com/t51.2885-15/s320x320/e35/21041831_113089302724409_8869185540155506688_n.jpg")</f>
        <v>https://scontent.cdninstagram.com/t51.2885-15/s320x320/e35/21041831_113089302724409_8869185540155506688_n.jpg</v>
      </c>
      <c r="AE2264" s="249" t="str">
        <f>HYPERLINK("https://scontent.cdninstagram.com/t51.2885-19/s150x150/18723347_1753882351295840_2938203937695596544_a.jpg")</f>
        <v>https://scontent.cdninstagram.com/t51.2885-19/s150x150/18723347_1753882351295840_2938203937695596544_a.jpg</v>
      </c>
    </row>
    <row r="2265" spans="1:31" ht="15" x14ac:dyDescent="0.25">
      <c r="A2265" t="s">
        <v>2474</v>
      </c>
      <c r="B2265" t="s">
        <v>14413</v>
      </c>
      <c r="C2265" s="221">
        <v>42969.832731481481</v>
      </c>
      <c r="D2265" t="s">
        <v>14414</v>
      </c>
      <c r="E2265" s="249" t="str">
        <f>HYPERLINK("https://www.instagram.com/p/BYHYk1JjJhc/")</f>
        <v>https://www.instagram.com/p/BYHYk1JjJhc/</v>
      </c>
      <c r="F2265" t="s">
        <v>14415</v>
      </c>
      <c r="G2265" t="s">
        <v>2478</v>
      </c>
      <c r="H2265">
        <v>104</v>
      </c>
      <c r="I2265" t="s">
        <v>2542</v>
      </c>
      <c r="J2265">
        <v>1</v>
      </c>
      <c r="K2265">
        <v>12</v>
      </c>
      <c r="L2265">
        <v>13</v>
      </c>
      <c r="Q2265">
        <v>0</v>
      </c>
      <c r="R2265">
        <v>0</v>
      </c>
      <c r="S2265">
        <v>13</v>
      </c>
      <c r="T2265" t="s">
        <v>14416</v>
      </c>
      <c r="V2265" t="s">
        <v>2125</v>
      </c>
      <c r="W2265">
        <v>45.45</v>
      </c>
      <c r="X2265">
        <v>-73.75</v>
      </c>
      <c r="Y2265" t="s">
        <v>3262</v>
      </c>
      <c r="Z2265" t="s">
        <v>2492</v>
      </c>
      <c r="AA2265" t="s">
        <v>11278</v>
      </c>
      <c r="AB2265" t="s">
        <v>14412</v>
      </c>
      <c r="AC2265" t="s">
        <v>4307</v>
      </c>
      <c r="AD2265" s="249" t="str">
        <f>HYPERLINK("https://scontent.cdninstagram.com/t51.2885-15/s320x320/e35/21042010_1508905915841812_9117069367190749184_n.jpg")</f>
        <v>https://scontent.cdninstagram.com/t51.2885-15/s320x320/e35/21042010_1508905915841812_9117069367190749184_n.jpg</v>
      </c>
      <c r="AE2265" s="249" t="str">
        <f>HYPERLINK("https://scontent.cdninstagram.com/t51.2885-19/s150x150/13261009_1737842409788971_1138433240_a.jpg")</f>
        <v>https://scontent.cdninstagram.com/t51.2885-19/s150x150/13261009_1737842409788971_1138433240_a.jpg</v>
      </c>
    </row>
    <row r="2266" spans="1:31" ht="15" x14ac:dyDescent="0.25">
      <c r="A2266" t="s">
        <v>2474</v>
      </c>
      <c r="B2266" t="s">
        <v>14417</v>
      </c>
      <c r="C2266" s="221">
        <v>42969.837673611109</v>
      </c>
      <c r="D2266" t="s">
        <v>14418</v>
      </c>
      <c r="E2266" s="249" t="str">
        <f>HYPERLINK("https://www.instagram.com/p/BYHZZACFCXL/")</f>
        <v>https://www.instagram.com/p/BYHZZACFCXL/</v>
      </c>
      <c r="F2266" t="s">
        <v>14419</v>
      </c>
      <c r="G2266" t="s">
        <v>2478</v>
      </c>
      <c r="H2266">
        <v>91</v>
      </c>
      <c r="I2266" t="s">
        <v>2479</v>
      </c>
      <c r="J2266">
        <v>1</v>
      </c>
      <c r="K2266">
        <v>28</v>
      </c>
      <c r="L2266">
        <v>29</v>
      </c>
      <c r="Q2266">
        <v>0</v>
      </c>
      <c r="R2266">
        <v>0</v>
      </c>
      <c r="S2266">
        <v>29</v>
      </c>
      <c r="Y2266" t="s">
        <v>3269</v>
      </c>
      <c r="Z2266" t="s">
        <v>2938</v>
      </c>
      <c r="AA2266" t="s">
        <v>14420</v>
      </c>
      <c r="AB2266" t="s">
        <v>9453</v>
      </c>
      <c r="AC2266" t="s">
        <v>14421</v>
      </c>
      <c r="AD2266" s="249" t="str">
        <f>HYPERLINK("https://scontent.cdninstagram.com/t51.2885-15/s320x320/e35/20986909_685918431599615_5331168503082778624_n.jpg")</f>
        <v>https://scontent.cdninstagram.com/t51.2885-15/s320x320/e35/20986909_685918431599615_5331168503082778624_n.jpg</v>
      </c>
      <c r="AE2266" s="249" t="str">
        <f>HYPERLINK("https://scontent.cdninstagram.com/t51.2885-19/s150x150/12627889_1690487177830583_2137903313_a.jpg")</f>
        <v>https://scontent.cdninstagram.com/t51.2885-19/s150x150/12627889_1690487177830583_2137903313_a.jpg</v>
      </c>
    </row>
    <row r="2267" spans="1:31" ht="15" x14ac:dyDescent="0.25">
      <c r="A2267" t="s">
        <v>2474</v>
      </c>
      <c r="B2267" t="s">
        <v>14422</v>
      </c>
      <c r="C2267" s="221">
        <v>42969.8437037037</v>
      </c>
      <c r="D2267" t="s">
        <v>14423</v>
      </c>
      <c r="E2267" s="249" t="str">
        <f>HYPERLINK("https://www.instagram.com/p/BYHaYmWBaJq/")</f>
        <v>https://www.instagram.com/p/BYHaYmWBaJq/</v>
      </c>
      <c r="F2267" t="s">
        <v>14424</v>
      </c>
      <c r="G2267" t="s">
        <v>2478</v>
      </c>
      <c r="H2267">
        <v>408</v>
      </c>
      <c r="I2267" t="s">
        <v>3575</v>
      </c>
      <c r="J2267">
        <v>2</v>
      </c>
      <c r="K2267">
        <v>17</v>
      </c>
      <c r="L2267">
        <v>19</v>
      </c>
      <c r="Q2267">
        <v>0</v>
      </c>
      <c r="R2267">
        <v>0</v>
      </c>
      <c r="S2267">
        <v>19</v>
      </c>
      <c r="Y2267" t="s">
        <v>14425</v>
      </c>
      <c r="Z2267" t="s">
        <v>14426</v>
      </c>
      <c r="AA2267" t="s">
        <v>14427</v>
      </c>
      <c r="AB2267" t="s">
        <v>2497</v>
      </c>
      <c r="AC2267" t="s">
        <v>14428</v>
      </c>
      <c r="AD2267" s="249" t="str">
        <f>HYPERLINK("https://scontent.cdninstagram.com/t51.2885-15/s320x320/e35/21041313_1859585627691336_5613189090963881984_n.jpg")</f>
        <v>https://scontent.cdninstagram.com/t51.2885-15/s320x320/e35/21041313_1859585627691336_5613189090963881984_n.jpg</v>
      </c>
      <c r="AE2267" s="249" t="str">
        <f>HYPERLINK("https://scontent.cdninstagram.com/t51.2885-19/s150x150/17439125_1661820294124654_8558882532500701184_a.jpg")</f>
        <v>https://scontent.cdninstagram.com/t51.2885-19/s150x150/17439125_1661820294124654_8558882532500701184_a.jpg</v>
      </c>
    </row>
    <row r="2268" spans="1:31" ht="15" x14ac:dyDescent="0.25">
      <c r="A2268" t="s">
        <v>2474</v>
      </c>
      <c r="B2268" t="s">
        <v>14429</v>
      </c>
      <c r="C2268" s="221">
        <v>42969.845069444447</v>
      </c>
      <c r="D2268" t="s">
        <v>14430</v>
      </c>
      <c r="E2268" s="249" t="str">
        <f>HYPERLINK("https://www.instagram.com/p/BYHanAEh73O/")</f>
        <v>https://www.instagram.com/p/BYHanAEh73O/</v>
      </c>
      <c r="F2268" t="s">
        <v>14431</v>
      </c>
      <c r="G2268" t="s">
        <v>2478</v>
      </c>
      <c r="H2268">
        <v>497</v>
      </c>
      <c r="I2268" t="s">
        <v>5670</v>
      </c>
      <c r="J2268">
        <v>4</v>
      </c>
      <c r="K2268">
        <v>51</v>
      </c>
      <c r="L2268">
        <v>55</v>
      </c>
      <c r="Q2268">
        <v>0</v>
      </c>
      <c r="R2268">
        <v>0</v>
      </c>
      <c r="S2268">
        <v>55</v>
      </c>
      <c r="Y2268" t="s">
        <v>2705</v>
      </c>
      <c r="Z2268" t="s">
        <v>2911</v>
      </c>
      <c r="AA2268" t="s">
        <v>8787</v>
      </c>
      <c r="AB2268" t="s">
        <v>3262</v>
      </c>
      <c r="AC2268" t="s">
        <v>14432</v>
      </c>
      <c r="AD2268" s="249" t="str">
        <f>HYPERLINK("https://scontent.cdninstagram.com/t51.2885-15/s320x320/e35/20905825_408498816214534_7824177914949140480_n.jpg")</f>
        <v>https://scontent.cdninstagram.com/t51.2885-15/s320x320/e35/20905825_408498816214534_7824177914949140480_n.jpg</v>
      </c>
      <c r="AE2268" s="249" t="str">
        <f>HYPERLINK("https://scontent.cdninstagram.com/t51.2885-19/s150x150/20766988_1309637339163568_489858964482162688_a.jpg")</f>
        <v>https://scontent.cdninstagram.com/t51.2885-19/s150x150/20766988_1309637339163568_489858964482162688_a.jpg</v>
      </c>
    </row>
    <row r="2269" spans="1:31" ht="15" x14ac:dyDescent="0.25">
      <c r="A2269" t="s">
        <v>2474</v>
      </c>
      <c r="B2269" t="s">
        <v>3015</v>
      </c>
      <c r="C2269" s="221">
        <v>42969.845960648148</v>
      </c>
      <c r="D2269" t="s">
        <v>14433</v>
      </c>
      <c r="E2269" s="249" t="str">
        <f>HYPERLINK("https://www.instagram.com/p/BYHawWIA3bD/")</f>
        <v>https://www.instagram.com/p/BYHawWIA3bD/</v>
      </c>
      <c r="F2269" t="s">
        <v>14434</v>
      </c>
      <c r="G2269" t="s">
        <v>2478</v>
      </c>
      <c r="H2269">
        <v>234</v>
      </c>
      <c r="I2269" t="s">
        <v>2479</v>
      </c>
      <c r="J2269">
        <v>0</v>
      </c>
      <c r="K2269">
        <v>32</v>
      </c>
      <c r="L2269">
        <v>32</v>
      </c>
      <c r="Q2269">
        <v>0</v>
      </c>
      <c r="R2269">
        <v>0</v>
      </c>
      <c r="S2269">
        <v>32</v>
      </c>
      <c r="Y2269" t="s">
        <v>3856</v>
      </c>
      <c r="Z2269" t="s">
        <v>4615</v>
      </c>
      <c r="AA2269" t="s">
        <v>6259</v>
      </c>
      <c r="AB2269" t="s">
        <v>2492</v>
      </c>
      <c r="AC2269" t="s">
        <v>3571</v>
      </c>
      <c r="AD2269" s="249" t="str">
        <f>HYPERLINK("https://scontent.cdninstagram.com/t51.2885-15/s320x320/e35/21041214_117180465607507_2818651942463471616_n.jpg")</f>
        <v>https://scontent.cdninstagram.com/t51.2885-15/s320x320/e35/21041214_117180465607507_2818651942463471616_n.jpg</v>
      </c>
      <c r="AE2269" s="249" t="str">
        <f>HYPERLINK("https://scontent.cdninstagram.com/t51.2885-19/s150x150/19761452_1876060406050696_4275948751316582400_a.jpg")</f>
        <v>https://scontent.cdninstagram.com/t51.2885-19/s150x150/19761452_1876060406050696_4275948751316582400_a.jpg</v>
      </c>
    </row>
    <row r="2270" spans="1:31" ht="15" x14ac:dyDescent="0.25">
      <c r="A2270" t="s">
        <v>2474</v>
      </c>
      <c r="B2270" t="s">
        <v>14435</v>
      </c>
      <c r="C2270" s="221">
        <v>42969.878888888888</v>
      </c>
      <c r="D2270" t="s">
        <v>14436</v>
      </c>
      <c r="E2270" s="249" t="str">
        <f>HYPERLINK("https://www.instagram.com/p/BYHgLrdHRd_/")</f>
        <v>https://www.instagram.com/p/BYHgLrdHRd_/</v>
      </c>
      <c r="F2270" t="s">
        <v>14437</v>
      </c>
      <c r="G2270" t="s">
        <v>2478</v>
      </c>
      <c r="H2270">
        <v>22</v>
      </c>
      <c r="I2270" t="s">
        <v>2786</v>
      </c>
      <c r="J2270">
        <v>0</v>
      </c>
      <c r="K2270">
        <v>12</v>
      </c>
      <c r="L2270">
        <v>12</v>
      </c>
      <c r="Q2270">
        <v>0</v>
      </c>
      <c r="R2270">
        <v>0</v>
      </c>
      <c r="S2270">
        <v>12</v>
      </c>
      <c r="Y2270" t="s">
        <v>14438</v>
      </c>
      <c r="Z2270" t="s">
        <v>14439</v>
      </c>
      <c r="AA2270" t="s">
        <v>14440</v>
      </c>
      <c r="AB2270" t="s">
        <v>14441</v>
      </c>
      <c r="AC2270" t="s">
        <v>14442</v>
      </c>
      <c r="AD2270" s="249" t="str">
        <f>HYPERLINK("https://scontent.cdninstagram.com/t51.2885-15/s320x320/e35/21042178_129574997583990_2339168888824004608_n.jpg")</f>
        <v>https://scontent.cdninstagram.com/t51.2885-15/s320x320/e35/21042178_129574997583990_2339168888824004608_n.jpg</v>
      </c>
      <c r="AE2270" s="249" t="str">
        <f>HYPERLINK("https://scontent.cdninstagram.com/t51.2885-19/s150x150/19761637_568270300010016_2955018369587216384_a.jpg")</f>
        <v>https://scontent.cdninstagram.com/t51.2885-19/s150x150/19761637_568270300010016_2955018369587216384_a.jpg</v>
      </c>
    </row>
    <row r="2271" spans="1:31" ht="15" x14ac:dyDescent="0.25">
      <c r="A2271" t="s">
        <v>2474</v>
      </c>
      <c r="B2271" t="s">
        <v>4616</v>
      </c>
      <c r="C2271" s="221">
        <v>42969.879432870373</v>
      </c>
      <c r="D2271" t="s">
        <v>14443</v>
      </c>
      <c r="E2271" s="249" t="str">
        <f>HYPERLINK("https://www.instagram.com/p/BYHgRbUhgyv/")</f>
        <v>https://www.instagram.com/p/BYHgRbUhgyv/</v>
      </c>
      <c r="F2271" t="s">
        <v>14444</v>
      </c>
      <c r="G2271" t="s">
        <v>2478</v>
      </c>
      <c r="H2271">
        <v>118</v>
      </c>
      <c r="I2271" t="s">
        <v>2479</v>
      </c>
      <c r="J2271">
        <v>0</v>
      </c>
      <c r="K2271">
        <v>45</v>
      </c>
      <c r="L2271">
        <v>45</v>
      </c>
      <c r="Q2271">
        <v>0</v>
      </c>
      <c r="R2271">
        <v>0</v>
      </c>
      <c r="S2271">
        <v>45</v>
      </c>
      <c r="T2271" t="s">
        <v>7823</v>
      </c>
      <c r="V2271" t="s">
        <v>2125</v>
      </c>
      <c r="W2271">
        <v>45</v>
      </c>
      <c r="X2271">
        <v>-79.3</v>
      </c>
      <c r="Y2271" t="s">
        <v>7451</v>
      </c>
      <c r="Z2271" t="s">
        <v>9549</v>
      </c>
      <c r="AA2271" t="s">
        <v>3174</v>
      </c>
      <c r="AB2271" t="s">
        <v>4621</v>
      </c>
      <c r="AC2271" t="s">
        <v>5005</v>
      </c>
      <c r="AD2271" s="249" t="str">
        <f>HYPERLINK("https://scontent.cdninstagram.com/t51.2885-15/e35/p320x320/20987440_1881952168686984_4483906326145007616_n.jpg")</f>
        <v>https://scontent.cdninstagram.com/t51.2885-15/e35/p320x320/20987440_1881952168686984_4483906326145007616_n.jpg</v>
      </c>
      <c r="AE2271" s="249" t="str">
        <f>HYPERLINK("https://scontent.cdninstagram.com/t51.2885-19/s150x150/17494353_1347957098574282_2527511313651859456_a.jpg")</f>
        <v>https://scontent.cdninstagram.com/t51.2885-19/s150x150/17494353_1347957098574282_2527511313651859456_a.jpg</v>
      </c>
    </row>
    <row r="2272" spans="1:31" ht="15" x14ac:dyDescent="0.25">
      <c r="A2272" t="s">
        <v>2474</v>
      </c>
      <c r="B2272" t="s">
        <v>10827</v>
      </c>
      <c r="C2272" s="221">
        <v>42969.882557870369</v>
      </c>
      <c r="D2272" t="s">
        <v>14445</v>
      </c>
      <c r="E2272" s="249" t="str">
        <f>HYPERLINK("https://www.instagram.com/p/BYHgyZ3F4vh/")</f>
        <v>https://www.instagram.com/p/BYHgyZ3F4vh/</v>
      </c>
      <c r="F2272" t="s">
        <v>14446</v>
      </c>
      <c r="G2272" t="s">
        <v>2478</v>
      </c>
      <c r="H2272">
        <v>2167</v>
      </c>
      <c r="I2272" t="s">
        <v>2479</v>
      </c>
      <c r="J2272">
        <v>0</v>
      </c>
      <c r="K2272">
        <v>31</v>
      </c>
      <c r="L2272">
        <v>31</v>
      </c>
      <c r="Q2272">
        <v>0</v>
      </c>
      <c r="R2272">
        <v>0</v>
      </c>
      <c r="S2272">
        <v>31</v>
      </c>
      <c r="T2272" t="s">
        <v>9922</v>
      </c>
      <c r="V2272" t="s">
        <v>2102</v>
      </c>
      <c r="W2272">
        <v>-33.888910000000003</v>
      </c>
      <c r="X2272">
        <v>151.26064</v>
      </c>
      <c r="Y2272" t="s">
        <v>5383</v>
      </c>
      <c r="Z2272" t="s">
        <v>14447</v>
      </c>
      <c r="AA2272" t="s">
        <v>14448</v>
      </c>
      <c r="AB2272" t="s">
        <v>14449</v>
      </c>
      <c r="AC2272" t="s">
        <v>3006</v>
      </c>
      <c r="AD2272" s="249" t="str">
        <f>HYPERLINK("https://scontent.cdninstagram.com/t51.2885-15/e35/p320x320/20968685_520679344942820_8138896801819262976_n.jpg")</f>
        <v>https://scontent.cdninstagram.com/t51.2885-15/e35/p320x320/20968685_520679344942820_8138896801819262976_n.jpg</v>
      </c>
      <c r="AE2272" s="249" t="str">
        <f>HYPERLINK("https://scontent.cdninstagram.com/t51.2885-19/s150x150/12818882_528962353950819_1659789532_a.jpg")</f>
        <v>https://scontent.cdninstagram.com/t51.2885-19/s150x150/12818882_528962353950819_1659789532_a.jpg</v>
      </c>
    </row>
    <row r="2273" spans="1:31" ht="15" x14ac:dyDescent="0.25">
      <c r="A2273" t="s">
        <v>2474</v>
      </c>
      <c r="B2273" t="s">
        <v>14450</v>
      </c>
      <c r="C2273" s="221">
        <v>42969.896886574075</v>
      </c>
      <c r="D2273" t="s">
        <v>14451</v>
      </c>
      <c r="E2273" s="249" t="str">
        <f>HYPERLINK("https://www.instagram.com/p/BYHjJeUgpVd/")</f>
        <v>https://www.instagram.com/p/BYHjJeUgpVd/</v>
      </c>
      <c r="F2273" t="s">
        <v>14452</v>
      </c>
      <c r="G2273" t="s">
        <v>2488</v>
      </c>
      <c r="I2273" t="s">
        <v>2479</v>
      </c>
      <c r="J2273">
        <v>1</v>
      </c>
      <c r="K2273">
        <v>26</v>
      </c>
      <c r="L2273">
        <v>27</v>
      </c>
      <c r="Q2273">
        <v>0</v>
      </c>
      <c r="R2273">
        <v>0</v>
      </c>
      <c r="S2273">
        <v>27</v>
      </c>
      <c r="Y2273" t="s">
        <v>14453</v>
      </c>
      <c r="Z2273" t="s">
        <v>14454</v>
      </c>
      <c r="AA2273" t="s">
        <v>14455</v>
      </c>
      <c r="AB2273" t="s">
        <v>14456</v>
      </c>
      <c r="AC2273" t="s">
        <v>14457</v>
      </c>
      <c r="AD2273" s="249" t="str">
        <f>HYPERLINK("https://scontent.cdninstagram.com/t51.2885-15/s320x320/e35/20987364_1636545249753137_7347081076419854336_n.jpg")</f>
        <v>https://scontent.cdninstagram.com/t51.2885-15/s320x320/e35/20987364_1636545249753137_7347081076419854336_n.jpg</v>
      </c>
      <c r="AE2273" s="249" t="str">
        <f>HYPERLINK("https://scontent.cdninstagram.com/t51.2885-19/s150x150/20065898_465102097183322_2934347246042349568_a.jpg")</f>
        <v>https://scontent.cdninstagram.com/t51.2885-19/s150x150/20065898_465102097183322_2934347246042349568_a.jpg</v>
      </c>
    </row>
    <row r="2274" spans="1:31" ht="15" x14ac:dyDescent="0.25">
      <c r="A2274" t="s">
        <v>2474</v>
      </c>
      <c r="B2274" t="s">
        <v>3754</v>
      </c>
      <c r="C2274" s="221">
        <v>42969.897094907406</v>
      </c>
      <c r="D2274" t="s">
        <v>14458</v>
      </c>
      <c r="E2274" s="249" t="str">
        <f>HYPERLINK("https://www.instagram.com/p/BYHjLnaDYR6/")</f>
        <v>https://www.instagram.com/p/BYHjLnaDYR6/</v>
      </c>
      <c r="F2274" t="s">
        <v>14459</v>
      </c>
      <c r="G2274" t="s">
        <v>2478</v>
      </c>
      <c r="H2274">
        <v>201591</v>
      </c>
      <c r="I2274" t="s">
        <v>2479</v>
      </c>
      <c r="J2274">
        <v>1</v>
      </c>
      <c r="K2274">
        <v>51</v>
      </c>
      <c r="L2274">
        <v>52</v>
      </c>
      <c r="Q2274">
        <v>0</v>
      </c>
      <c r="R2274">
        <v>0</v>
      </c>
      <c r="S2274">
        <v>52</v>
      </c>
      <c r="Y2274" t="s">
        <v>5197</v>
      </c>
      <c r="Z2274" t="s">
        <v>3759</v>
      </c>
      <c r="AA2274" t="s">
        <v>3760</v>
      </c>
      <c r="AB2274" t="s">
        <v>13802</v>
      </c>
      <c r="AC2274" t="s">
        <v>8783</v>
      </c>
      <c r="AD2274" s="249" t="str">
        <f>HYPERLINK("https://scontent.cdninstagram.com/t51.2885-15/e35/p320x320/21041463_133026693980837_4042644229422317568_n.jpg")</f>
        <v>https://scontent.cdninstagram.com/t51.2885-15/e35/p320x320/21041463_133026693980837_4042644229422317568_n.jpg</v>
      </c>
      <c r="AE2274" s="249" t="str">
        <f>HYPERLINK("https://scontent.cdninstagram.com/t51.2885-19/s150x150/12905002_1681254462136092_1137392787_a.jpg")</f>
        <v>https://scontent.cdninstagram.com/t51.2885-19/s150x150/12905002_1681254462136092_1137392787_a.jpg</v>
      </c>
    </row>
    <row r="2275" spans="1:31" ht="15" x14ac:dyDescent="0.25">
      <c r="A2275" t="s">
        <v>2474</v>
      </c>
      <c r="B2275" t="s">
        <v>3754</v>
      </c>
      <c r="C2275" s="221">
        <v>42969.902025462965</v>
      </c>
      <c r="D2275" t="s">
        <v>14460</v>
      </c>
      <c r="E2275" s="249" t="str">
        <f>HYPERLINK("https://www.instagram.com/p/BYHj_uZD8A5/")</f>
        <v>https://www.instagram.com/p/BYHj_uZD8A5/</v>
      </c>
      <c r="F2275" t="s">
        <v>14461</v>
      </c>
      <c r="G2275" t="s">
        <v>2478</v>
      </c>
      <c r="H2275">
        <v>201591</v>
      </c>
      <c r="I2275" t="s">
        <v>2479</v>
      </c>
      <c r="J2275">
        <v>1</v>
      </c>
      <c r="K2275">
        <v>136</v>
      </c>
      <c r="L2275">
        <v>137</v>
      </c>
      <c r="Q2275">
        <v>0</v>
      </c>
      <c r="R2275">
        <v>0</v>
      </c>
      <c r="S2275">
        <v>137</v>
      </c>
      <c r="Y2275" t="s">
        <v>5197</v>
      </c>
      <c r="Z2275" t="s">
        <v>3759</v>
      </c>
      <c r="AA2275" t="s">
        <v>3760</v>
      </c>
      <c r="AB2275" t="s">
        <v>13802</v>
      </c>
      <c r="AC2275" t="s">
        <v>8783</v>
      </c>
      <c r="AD2275" s="249" t="str">
        <f>HYPERLINK("https://scontent.cdninstagram.com/t51.2885-15/s320x320/e35/20987446_750146398506951_2081314351045672960_n.jpg")</f>
        <v>https://scontent.cdninstagram.com/t51.2885-15/s320x320/e35/20987446_750146398506951_2081314351045672960_n.jpg</v>
      </c>
      <c r="AE2275" s="249" t="str">
        <f>HYPERLINK("https://scontent.cdninstagram.com/t51.2885-19/s150x150/12905002_1681254462136092_1137392787_a.jpg")</f>
        <v>https://scontent.cdninstagram.com/t51.2885-19/s150x150/12905002_1681254462136092_1137392787_a.jpg</v>
      </c>
    </row>
    <row r="2276" spans="1:31" ht="15" x14ac:dyDescent="0.25">
      <c r="A2276" t="s">
        <v>2474</v>
      </c>
      <c r="B2276" t="s">
        <v>14462</v>
      </c>
      <c r="C2276" s="221">
        <v>42969.903101851851</v>
      </c>
      <c r="D2276" t="s">
        <v>14463</v>
      </c>
      <c r="E2276" s="249" t="str">
        <f>HYPERLINK("https://www.instagram.com/p/BYHkLFDgAF8/")</f>
        <v>https://www.instagram.com/p/BYHkLFDgAF8/</v>
      </c>
      <c r="F2276" t="s">
        <v>14464</v>
      </c>
      <c r="G2276" t="s">
        <v>2478</v>
      </c>
      <c r="H2276">
        <v>908</v>
      </c>
      <c r="I2276" t="s">
        <v>2479</v>
      </c>
      <c r="J2276">
        <v>6</v>
      </c>
      <c r="K2276">
        <v>55</v>
      </c>
      <c r="L2276">
        <v>61</v>
      </c>
      <c r="Q2276">
        <v>0</v>
      </c>
      <c r="R2276">
        <v>0</v>
      </c>
      <c r="S2276">
        <v>61</v>
      </c>
      <c r="Y2276" t="s">
        <v>14465</v>
      </c>
      <c r="Z2276" t="s">
        <v>2868</v>
      </c>
      <c r="AA2276" t="s">
        <v>2497</v>
      </c>
      <c r="AB2276" t="s">
        <v>2577</v>
      </c>
      <c r="AC2276" t="s">
        <v>14466</v>
      </c>
      <c r="AD2276" s="249" t="str">
        <f>HYPERLINK("https://scontent.cdninstagram.com/t51.2885-15/s320x320/e35/21042584_342937532814442_4183929476431740928_n.jpg")</f>
        <v>https://scontent.cdninstagram.com/t51.2885-15/s320x320/e35/21042584_342937532814442_4183929476431740928_n.jpg</v>
      </c>
      <c r="AE2276" s="249" t="str">
        <f>HYPERLINK("https://scontent.cdninstagram.com/t51.2885-19/s150x150/16123062_360679364302685_5637748723279724544_a.jpg")</f>
        <v>https://scontent.cdninstagram.com/t51.2885-19/s150x150/16123062_360679364302685_5637748723279724544_a.jpg</v>
      </c>
    </row>
    <row r="2277" spans="1:31" ht="15" x14ac:dyDescent="0.25">
      <c r="A2277" t="s">
        <v>2474</v>
      </c>
      <c r="B2277" t="s">
        <v>14467</v>
      </c>
      <c r="C2277" s="221">
        <v>42969.903773148151</v>
      </c>
      <c r="D2277" t="s">
        <v>14468</v>
      </c>
      <c r="E2277" s="249" t="str">
        <f>HYPERLINK("https://www.instagram.com/p/BYHkSFRF69x/")</f>
        <v>https://www.instagram.com/p/BYHkSFRF69x/</v>
      </c>
      <c r="F2277" t="s">
        <v>14469</v>
      </c>
      <c r="G2277" t="s">
        <v>2478</v>
      </c>
      <c r="H2277">
        <v>162</v>
      </c>
      <c r="I2277" t="s">
        <v>2479</v>
      </c>
      <c r="J2277">
        <v>2</v>
      </c>
      <c r="K2277">
        <v>36</v>
      </c>
      <c r="L2277">
        <v>38</v>
      </c>
      <c r="Q2277">
        <v>0</v>
      </c>
      <c r="R2277">
        <v>0</v>
      </c>
      <c r="S2277">
        <v>38</v>
      </c>
      <c r="Y2277" t="s">
        <v>2497</v>
      </c>
      <c r="Z2277" t="s">
        <v>4620</v>
      </c>
      <c r="AA2277" t="s">
        <v>4354</v>
      </c>
      <c r="AB2277" t="s">
        <v>9717</v>
      </c>
      <c r="AC2277" t="s">
        <v>14470</v>
      </c>
      <c r="AD2277" s="249" t="str">
        <f>HYPERLINK("https://scontent.cdninstagram.com/t51.2885-15/s320x320/e35/21042646_124720668164584_619149875367378944_n.jpg")</f>
        <v>https://scontent.cdninstagram.com/t51.2885-15/s320x320/e35/21042646_124720668164584_619149875367378944_n.jpg</v>
      </c>
      <c r="AE2277" s="249" t="str">
        <f>HYPERLINK("https://scontent.cdninstagram.com/t51.2885-19/s150x150/20482585_1316594628459650_8006269023467601920_a.jpg")</f>
        <v>https://scontent.cdninstagram.com/t51.2885-19/s150x150/20482585_1316594628459650_8006269023467601920_a.jpg</v>
      </c>
    </row>
    <row r="2278" spans="1:31" ht="15" x14ac:dyDescent="0.25">
      <c r="A2278" t="s">
        <v>2474</v>
      </c>
      <c r="B2278" t="s">
        <v>14471</v>
      </c>
      <c r="C2278" s="221">
        <v>42969.918275462966</v>
      </c>
      <c r="D2278" t="s">
        <v>14472</v>
      </c>
      <c r="E2278" s="249" t="str">
        <f>HYPERLINK("https://www.instagram.com/p/BYHmrBLgnCu/")</f>
        <v>https://www.instagram.com/p/BYHmrBLgnCu/</v>
      </c>
      <c r="F2278" t="s">
        <v>14473</v>
      </c>
      <c r="G2278" t="s">
        <v>2478</v>
      </c>
      <c r="H2278">
        <v>99</v>
      </c>
      <c r="I2278" t="s">
        <v>2479</v>
      </c>
      <c r="J2278">
        <v>0</v>
      </c>
      <c r="K2278">
        <v>6</v>
      </c>
      <c r="L2278">
        <v>6</v>
      </c>
      <c r="Q2278">
        <v>0</v>
      </c>
      <c r="R2278">
        <v>0</v>
      </c>
      <c r="S2278">
        <v>6</v>
      </c>
      <c r="Y2278" t="s">
        <v>2497</v>
      </c>
      <c r="Z2278" t="s">
        <v>14474</v>
      </c>
      <c r="AA2278" t="s">
        <v>14475</v>
      </c>
      <c r="AB2278" t="s">
        <v>5161</v>
      </c>
      <c r="AC2278" t="s">
        <v>14476</v>
      </c>
      <c r="AD2278" s="249" t="str">
        <f>HYPERLINK("https://scontent.cdninstagram.com/t51.2885-15/s320x320/e35/20986790_655777554632067_7387982427936784384_n.jpg")</f>
        <v>https://scontent.cdninstagram.com/t51.2885-15/s320x320/e35/20986790_655777554632067_7387982427936784384_n.jpg</v>
      </c>
      <c r="AE2278" s="249" t="str">
        <f>HYPERLINK("https://scontent.cdninstagram.com/t51.2885-19/s150x150/20968778_1643790235671123_7818034806045802496_a.jpg")</f>
        <v>https://scontent.cdninstagram.com/t51.2885-19/s150x150/20968778_1643790235671123_7818034806045802496_a.jpg</v>
      </c>
    </row>
    <row r="2279" spans="1:31" ht="15" x14ac:dyDescent="0.25">
      <c r="A2279" t="s">
        <v>2474</v>
      </c>
      <c r="B2279" t="s">
        <v>14477</v>
      </c>
      <c r="C2279" s="221">
        <v>42969.922233796293</v>
      </c>
      <c r="D2279" t="s">
        <v>14478</v>
      </c>
      <c r="E2279" s="249" t="str">
        <f>HYPERLINK("https://www.instagram.com/p/BYHnU0zgGB-/")</f>
        <v>https://www.instagram.com/p/BYHnU0zgGB-/</v>
      </c>
      <c r="F2279" t="s">
        <v>14479</v>
      </c>
      <c r="G2279" t="s">
        <v>2478</v>
      </c>
      <c r="H2279">
        <v>88754</v>
      </c>
      <c r="I2279" t="s">
        <v>2479</v>
      </c>
      <c r="J2279">
        <v>62</v>
      </c>
      <c r="K2279">
        <v>4493</v>
      </c>
      <c r="L2279">
        <v>4555</v>
      </c>
      <c r="Q2279">
        <v>0</v>
      </c>
      <c r="R2279">
        <v>0</v>
      </c>
      <c r="S2279">
        <v>4555</v>
      </c>
      <c r="Y2279" t="s">
        <v>14480</v>
      </c>
      <c r="Z2279" t="s">
        <v>14481</v>
      </c>
      <c r="AA2279" t="s">
        <v>14482</v>
      </c>
      <c r="AB2279" t="s">
        <v>14483</v>
      </c>
      <c r="AC2279" t="s">
        <v>14484</v>
      </c>
      <c r="AD2279" s="249" t="str">
        <f>HYPERLINK("https://scontent.cdninstagram.com/t51.2885-15/s320x320/e35/20987430_348290448927772_4364150989981220864_n.jpg")</f>
        <v>https://scontent.cdninstagram.com/t51.2885-15/s320x320/e35/20987430_348290448927772_4364150989981220864_n.jpg</v>
      </c>
      <c r="AE2279" s="249" t="str">
        <f>HYPERLINK("https://scontent.cdninstagram.com/t51.2885-19/s150x150/19428733_146016542632352_8017793795112304640_a.jpg")</f>
        <v>https://scontent.cdninstagram.com/t51.2885-19/s150x150/19428733_146016542632352_8017793795112304640_a.jpg</v>
      </c>
    </row>
    <row r="2280" spans="1:31" ht="15" x14ac:dyDescent="0.25">
      <c r="A2280" t="s">
        <v>2474</v>
      </c>
      <c r="B2280" t="s">
        <v>14485</v>
      </c>
      <c r="C2280" s="221">
        <v>42969.928124999999</v>
      </c>
      <c r="D2280" t="s">
        <v>14486</v>
      </c>
      <c r="E2280" s="249" t="str">
        <f>HYPERLINK("https://www.instagram.com/p/BYHoS5PFaX5/")</f>
        <v>https://www.instagram.com/p/BYHoS5PFaX5/</v>
      </c>
      <c r="F2280" t="s">
        <v>14487</v>
      </c>
      <c r="G2280" t="s">
        <v>2478</v>
      </c>
      <c r="H2280">
        <v>112</v>
      </c>
      <c r="I2280" t="s">
        <v>3186</v>
      </c>
      <c r="J2280">
        <v>4</v>
      </c>
      <c r="K2280">
        <v>61</v>
      </c>
      <c r="L2280">
        <v>65</v>
      </c>
      <c r="Q2280">
        <v>0</v>
      </c>
      <c r="R2280">
        <v>0</v>
      </c>
      <c r="S2280">
        <v>65</v>
      </c>
      <c r="Y2280" t="s">
        <v>5006</v>
      </c>
      <c r="Z2280" t="s">
        <v>14488</v>
      </c>
      <c r="AA2280" t="s">
        <v>2497</v>
      </c>
      <c r="AB2280" t="s">
        <v>14489</v>
      </c>
      <c r="AC2280" t="s">
        <v>14490</v>
      </c>
      <c r="AD2280" s="249" t="str">
        <f>HYPERLINK("https://scontent.cdninstagram.com/t51.2885-15/e35/p320x320/18812615_1919440434977740_4510774159785066496_n.jpg")</f>
        <v>https://scontent.cdninstagram.com/t51.2885-15/e35/p320x320/18812615_1919440434977740_4510774159785066496_n.jpg</v>
      </c>
      <c r="AE2280" s="249" t="str">
        <f>HYPERLINK("https://scontent.cdninstagram.com/t51.2885-19/s150x150/20589539_498076517192203_1567858003015630848_a.jpg")</f>
        <v>https://scontent.cdninstagram.com/t51.2885-19/s150x150/20589539_498076517192203_1567858003015630848_a.jpg</v>
      </c>
    </row>
    <row r="2281" spans="1:31" ht="15" x14ac:dyDescent="0.25">
      <c r="A2281" t="s">
        <v>2474</v>
      </c>
      <c r="B2281" t="s">
        <v>7793</v>
      </c>
      <c r="C2281" s="221">
        <v>42969.931481481479</v>
      </c>
      <c r="D2281" t="s">
        <v>14491</v>
      </c>
      <c r="E2281" s="249" t="str">
        <f>HYPERLINK("https://www.instagram.com/p/BYHo2UpFoYu/")</f>
        <v>https://www.instagram.com/p/BYHo2UpFoYu/</v>
      </c>
      <c r="F2281" t="s">
        <v>14492</v>
      </c>
      <c r="G2281" t="s">
        <v>2478</v>
      </c>
      <c r="H2281">
        <v>5792</v>
      </c>
      <c r="I2281" t="s">
        <v>2479</v>
      </c>
      <c r="J2281">
        <v>1</v>
      </c>
      <c r="K2281">
        <v>171</v>
      </c>
      <c r="L2281">
        <v>172</v>
      </c>
      <c r="Q2281">
        <v>0</v>
      </c>
      <c r="R2281">
        <v>0</v>
      </c>
      <c r="S2281">
        <v>172</v>
      </c>
      <c r="T2281" t="s">
        <v>14493</v>
      </c>
      <c r="V2281" t="s">
        <v>2102</v>
      </c>
      <c r="W2281">
        <v>-33.860740335270997</v>
      </c>
      <c r="X2281">
        <v>151.21069482778</v>
      </c>
      <c r="Y2281" t="s">
        <v>4620</v>
      </c>
      <c r="Z2281" t="s">
        <v>6806</v>
      </c>
      <c r="AA2281" t="s">
        <v>3075</v>
      </c>
      <c r="AB2281" t="s">
        <v>10896</v>
      </c>
      <c r="AC2281" t="s">
        <v>7950</v>
      </c>
      <c r="AD2281" s="249" t="str">
        <f>HYPERLINK("https://scontent.cdninstagram.com/t51.2885-15/s320x320/e35/20968589_573551979702177_848606454456778752_n.jpg")</f>
        <v>https://scontent.cdninstagram.com/t51.2885-15/s320x320/e35/20968589_573551979702177_848606454456778752_n.jpg</v>
      </c>
      <c r="AE2281" s="249" t="str">
        <f>HYPERLINK("https://scontent.cdninstagram.com/t51.2885-19/s150x150/14295311_507350922808081_1928455761_a.jpg")</f>
        <v>https://scontent.cdninstagram.com/t51.2885-19/s150x150/14295311_507350922808081_1928455761_a.jpg</v>
      </c>
    </row>
    <row r="2282" spans="1:31" ht="15" x14ac:dyDescent="0.25">
      <c r="A2282" t="s">
        <v>2474</v>
      </c>
      <c r="B2282" t="s">
        <v>14494</v>
      </c>
      <c r="C2282" s="221">
        <v>42969.944976851853</v>
      </c>
      <c r="D2282" t="s">
        <v>14495</v>
      </c>
      <c r="E2282" s="249" t="str">
        <f>HYPERLINK("https://www.instagram.com/p/BYHrEq6Hs51/")</f>
        <v>https://www.instagram.com/p/BYHrEq6Hs51/</v>
      </c>
      <c r="F2282" t="s">
        <v>14496</v>
      </c>
      <c r="G2282" t="s">
        <v>2478</v>
      </c>
      <c r="H2282">
        <v>815</v>
      </c>
      <c r="I2282" t="s">
        <v>2542</v>
      </c>
      <c r="J2282">
        <v>0</v>
      </c>
      <c r="K2282">
        <v>29</v>
      </c>
      <c r="L2282">
        <v>29</v>
      </c>
      <c r="Q2282">
        <v>0</v>
      </c>
      <c r="R2282">
        <v>0</v>
      </c>
      <c r="S2282">
        <v>29</v>
      </c>
      <c r="Y2282" t="s">
        <v>14497</v>
      </c>
      <c r="Z2282" t="s">
        <v>2497</v>
      </c>
      <c r="AA2282" t="s">
        <v>14498</v>
      </c>
      <c r="AD2282" s="249" t="str">
        <f>HYPERLINK("https://scontent.cdninstagram.com/t51.2885-15/e35/p320x320/20969056_141479123016898_3286287973062017024_n.jpg")</f>
        <v>https://scontent.cdninstagram.com/t51.2885-15/e35/p320x320/20969056_141479123016898_3286287973062017024_n.jpg</v>
      </c>
      <c r="AE2282" s="249" t="str">
        <f>HYPERLINK("https://scontent.cdninstagram.com/t51.2885-19/s150x150/13658354_1088206221273294_91489533_a.jpg")</f>
        <v>https://scontent.cdninstagram.com/t51.2885-19/s150x150/13658354_1088206221273294_91489533_a.jpg</v>
      </c>
    </row>
    <row r="2283" spans="1:31" ht="15" x14ac:dyDescent="0.25">
      <c r="A2283" t="s">
        <v>2474</v>
      </c>
      <c r="B2283" t="s">
        <v>14499</v>
      </c>
      <c r="C2283" s="221">
        <v>42969.95045138889</v>
      </c>
      <c r="D2283" t="s">
        <v>14500</v>
      </c>
      <c r="E2283" s="249" t="str">
        <f>HYPERLINK("https://www.instagram.com/p/BYHr-YcF0Jf/")</f>
        <v>https://www.instagram.com/p/BYHr-YcF0Jf/</v>
      </c>
      <c r="F2283" t="s">
        <v>14501</v>
      </c>
      <c r="G2283" t="s">
        <v>2478</v>
      </c>
      <c r="H2283">
        <v>86</v>
      </c>
      <c r="I2283" t="s">
        <v>3575</v>
      </c>
      <c r="J2283">
        <v>0</v>
      </c>
      <c r="K2283">
        <v>40</v>
      </c>
      <c r="L2283">
        <v>40</v>
      </c>
      <c r="Q2283">
        <v>0</v>
      </c>
      <c r="R2283">
        <v>0</v>
      </c>
      <c r="S2283">
        <v>40</v>
      </c>
      <c r="Y2283" t="s">
        <v>2497</v>
      </c>
      <c r="Z2283" t="s">
        <v>3568</v>
      </c>
      <c r="AA2283" t="s">
        <v>14502</v>
      </c>
      <c r="AB2283" t="s">
        <v>14503</v>
      </c>
      <c r="AC2283" t="s">
        <v>3952</v>
      </c>
      <c r="AD2283" s="249" t="str">
        <f>HYPERLINK("https://scontent.cdninstagram.com/t51.2885-15/s320x320/e35/21041275_149802702283184_2377152450013429760_n.jpg")</f>
        <v>https://scontent.cdninstagram.com/t51.2885-15/s320x320/e35/21041275_149802702283184_2377152450013429760_n.jpg</v>
      </c>
      <c r="AE2283" s="249" t="str">
        <f>HYPERLINK("https://scontent.cdninstagram.com/t51.2885-19/s150x150/18723199_776889192485120_91744177934565376_a.jpg")</f>
        <v>https://scontent.cdninstagram.com/t51.2885-19/s150x150/18723199_776889192485120_91744177934565376_a.jpg</v>
      </c>
    </row>
    <row r="2284" spans="1:31" ht="15" x14ac:dyDescent="0.25">
      <c r="A2284" t="s">
        <v>2474</v>
      </c>
      <c r="B2284" t="s">
        <v>14504</v>
      </c>
      <c r="C2284" s="221">
        <v>42969.952662037038</v>
      </c>
      <c r="D2284" t="s">
        <v>14505</v>
      </c>
      <c r="E2284" s="249" t="str">
        <f>HYPERLINK("https://www.instagram.com/p/BYHsVrcA27k/")</f>
        <v>https://www.instagram.com/p/BYHsVrcA27k/</v>
      </c>
      <c r="F2284" t="s">
        <v>14506</v>
      </c>
      <c r="G2284" t="s">
        <v>2478</v>
      </c>
      <c r="H2284">
        <v>221</v>
      </c>
      <c r="I2284" t="s">
        <v>2479</v>
      </c>
      <c r="J2284">
        <v>0</v>
      </c>
      <c r="K2284">
        <v>13</v>
      </c>
      <c r="L2284">
        <v>13</v>
      </c>
      <c r="Q2284">
        <v>0</v>
      </c>
      <c r="R2284">
        <v>0</v>
      </c>
      <c r="S2284">
        <v>13</v>
      </c>
      <c r="Y2284" t="s">
        <v>2497</v>
      </c>
      <c r="Z2284" t="s">
        <v>7836</v>
      </c>
      <c r="AA2284" t="s">
        <v>14264</v>
      </c>
      <c r="AB2284" t="s">
        <v>14507</v>
      </c>
      <c r="AC2284" t="s">
        <v>14508</v>
      </c>
      <c r="AD2284" s="249" t="str">
        <f>HYPERLINK("https://scontent.cdninstagram.com/t51.2885-15/s320x320/e35/21041238_1662783273732781_6500102238474600448_n.jpg")</f>
        <v>https://scontent.cdninstagram.com/t51.2885-15/s320x320/e35/21041238_1662783273732781_6500102238474600448_n.jpg</v>
      </c>
      <c r="AE2284" s="249" t="str">
        <f>HYPERLINK("https://scontent.cdninstagram.com/t51.2885-19/s150x150/17494913_278176165955981_4326778654177624064_a.jpg")</f>
        <v>https://scontent.cdninstagram.com/t51.2885-19/s150x150/17494913_278176165955981_4326778654177624064_a.jpg</v>
      </c>
    </row>
    <row r="2285" spans="1:31" ht="15" x14ac:dyDescent="0.25">
      <c r="A2285" t="s">
        <v>2474</v>
      </c>
      <c r="B2285" t="s">
        <v>8588</v>
      </c>
      <c r="C2285" s="221">
        <v>42969.976261574076</v>
      </c>
      <c r="D2285" t="s">
        <v>14509</v>
      </c>
      <c r="E2285" s="249" t="str">
        <f>HYPERLINK("https://www.instagram.com/p/BYHwOp8nW7S/")</f>
        <v>https://www.instagram.com/p/BYHwOp8nW7S/</v>
      </c>
      <c r="F2285" t="s">
        <v>14510</v>
      </c>
      <c r="G2285" t="s">
        <v>2478</v>
      </c>
      <c r="H2285">
        <v>117</v>
      </c>
      <c r="I2285" t="s">
        <v>3273</v>
      </c>
      <c r="J2285">
        <v>1</v>
      </c>
      <c r="K2285">
        <v>19</v>
      </c>
      <c r="L2285">
        <v>20</v>
      </c>
      <c r="Q2285">
        <v>0</v>
      </c>
      <c r="R2285">
        <v>0</v>
      </c>
      <c r="S2285">
        <v>20</v>
      </c>
      <c r="Y2285" t="s">
        <v>2737</v>
      </c>
      <c r="Z2285" t="s">
        <v>8592</v>
      </c>
      <c r="AA2285" t="s">
        <v>2497</v>
      </c>
      <c r="AB2285" t="s">
        <v>2730</v>
      </c>
      <c r="AC2285" t="s">
        <v>8787</v>
      </c>
      <c r="AD2285" s="249" t="str">
        <f>HYPERLINK("https://scontent.cdninstagram.com/t51.2885-15/e35/p320x320/20968717_112391409437969_7931927683649241088_n.jpg")</f>
        <v>https://scontent.cdninstagram.com/t51.2885-15/e35/p320x320/20968717_112391409437969_7931927683649241088_n.jpg</v>
      </c>
      <c r="AE2285" s="249" t="str">
        <f>HYPERLINK("https://scontent.cdninstagram.com/t51.2885-19/s150x150/20635188_109311796418036_6462664254095884288_a.jpg")</f>
        <v>https://scontent.cdninstagram.com/t51.2885-19/s150x150/20635188_109311796418036_6462664254095884288_a.jpg</v>
      </c>
    </row>
    <row r="2286" spans="1:31" ht="15" x14ac:dyDescent="0.25">
      <c r="A2286" t="s">
        <v>2474</v>
      </c>
      <c r="B2286" t="s">
        <v>14511</v>
      </c>
      <c r="C2286" s="221">
        <v>42969.979317129626</v>
      </c>
      <c r="D2286" t="s">
        <v>14512</v>
      </c>
      <c r="E2286" s="249" t="str">
        <f>HYPERLINK("https://www.instagram.com/p/BYHwu4FjxIK/")</f>
        <v>https://www.instagram.com/p/BYHwu4FjxIK/</v>
      </c>
      <c r="F2286" t="s">
        <v>14513</v>
      </c>
      <c r="G2286" t="s">
        <v>2478</v>
      </c>
      <c r="H2286">
        <v>256</v>
      </c>
      <c r="I2286" t="s">
        <v>2479</v>
      </c>
      <c r="J2286">
        <v>2</v>
      </c>
      <c r="K2286">
        <v>62</v>
      </c>
      <c r="L2286">
        <v>64</v>
      </c>
      <c r="Q2286">
        <v>0</v>
      </c>
      <c r="R2286">
        <v>0</v>
      </c>
      <c r="S2286">
        <v>64</v>
      </c>
      <c r="Y2286" t="s">
        <v>2497</v>
      </c>
      <c r="Z2286" t="s">
        <v>2513</v>
      </c>
      <c r="AA2286" t="s">
        <v>5229</v>
      </c>
      <c r="AB2286" t="s">
        <v>11627</v>
      </c>
      <c r="AC2286" t="s">
        <v>3982</v>
      </c>
      <c r="AD2286" s="249" t="str">
        <f>HYPERLINK("https://scontent.cdninstagram.com/t51.2885-15/e35/p320x320/21041426_143641709560460_9120799554877259776_n.jpg")</f>
        <v>https://scontent.cdninstagram.com/t51.2885-15/e35/p320x320/21041426_143641709560460_9120799554877259776_n.jpg</v>
      </c>
      <c r="AE2286" s="249" t="str">
        <f>HYPERLINK("https://scontent.cdninstagram.com/t51.2885-19/s150x150/18443704_140291299846174_6816113236190953472_a.jpg")</f>
        <v>https://scontent.cdninstagram.com/t51.2885-19/s150x150/18443704_140291299846174_6816113236190953472_a.jpg</v>
      </c>
    </row>
    <row r="2287" spans="1:31" ht="15" x14ac:dyDescent="0.25">
      <c r="A2287" t="s">
        <v>2474</v>
      </c>
      <c r="B2287" t="s">
        <v>14514</v>
      </c>
      <c r="C2287" s="221">
        <v>42969.981273148151</v>
      </c>
      <c r="D2287" t="s">
        <v>14515</v>
      </c>
      <c r="E2287" s="249" t="str">
        <f>HYPERLINK("https://www.instagram.com/p/BYHxDefALEE/")</f>
        <v>https://www.instagram.com/p/BYHxDefALEE/</v>
      </c>
      <c r="F2287" t="s">
        <v>14516</v>
      </c>
      <c r="G2287" t="s">
        <v>2478</v>
      </c>
      <c r="H2287">
        <v>2291</v>
      </c>
      <c r="I2287" t="s">
        <v>2479</v>
      </c>
      <c r="J2287">
        <v>14</v>
      </c>
      <c r="K2287">
        <v>106</v>
      </c>
      <c r="L2287">
        <v>120</v>
      </c>
      <c r="Q2287">
        <v>0</v>
      </c>
      <c r="R2287">
        <v>0</v>
      </c>
      <c r="S2287">
        <v>120</v>
      </c>
      <c r="Y2287" t="s">
        <v>14517</v>
      </c>
      <c r="Z2287" t="s">
        <v>6678</v>
      </c>
      <c r="AA2287" t="s">
        <v>14518</v>
      </c>
      <c r="AB2287" t="s">
        <v>14519</v>
      </c>
      <c r="AC2287" t="s">
        <v>2607</v>
      </c>
      <c r="AD2287" s="249" t="str">
        <f>HYPERLINK("https://scontent.cdninstagram.com/t51.2885-15/s320x320/e35/20969299_112982466046716_8057381152924631040_n.jpg")</f>
        <v>https://scontent.cdninstagram.com/t51.2885-15/s320x320/e35/20969299_112982466046716_8057381152924631040_n.jpg</v>
      </c>
      <c r="AE2287" s="249" t="str">
        <f>HYPERLINK("https://scontent.cdninstagram.com/t51.2885-19/s150x150/19984621_671203326397397_1733614659417669632_a.jpg")</f>
        <v>https://scontent.cdninstagram.com/t51.2885-19/s150x150/19984621_671203326397397_1733614659417669632_a.jpg</v>
      </c>
    </row>
    <row r="2288" spans="1:31" ht="15" x14ac:dyDescent="0.25">
      <c r="A2288" t="s">
        <v>2474</v>
      </c>
      <c r="B2288" t="s">
        <v>14520</v>
      </c>
      <c r="C2288" s="221">
        <v>42969.989502314813</v>
      </c>
      <c r="D2288" t="s">
        <v>14521</v>
      </c>
      <c r="E2288" s="249" t="str">
        <f>HYPERLINK("https://www.instagram.com/p/BYHyaVGhmqr/")</f>
        <v>https://www.instagram.com/p/BYHyaVGhmqr/</v>
      </c>
      <c r="F2288" t="s">
        <v>14522</v>
      </c>
      <c r="G2288" t="s">
        <v>2478</v>
      </c>
      <c r="H2288">
        <v>148</v>
      </c>
      <c r="I2288" t="s">
        <v>2479</v>
      </c>
      <c r="J2288">
        <v>1</v>
      </c>
      <c r="K2288">
        <v>39</v>
      </c>
      <c r="L2288">
        <v>40</v>
      </c>
      <c r="Q2288">
        <v>0</v>
      </c>
      <c r="R2288">
        <v>0</v>
      </c>
      <c r="S2288">
        <v>40</v>
      </c>
      <c r="Y2288" t="s">
        <v>13836</v>
      </c>
      <c r="Z2288" t="s">
        <v>4180</v>
      </c>
      <c r="AA2288" t="s">
        <v>4354</v>
      </c>
      <c r="AB2288" t="s">
        <v>8753</v>
      </c>
      <c r="AC2288" t="s">
        <v>13517</v>
      </c>
      <c r="AD2288" s="249" t="str">
        <f>HYPERLINK("https://scontent.cdninstagram.com/t51.2885-15/s320x320/e35/20987087_480830795608969_6522134780752953344_n.jpg")</f>
        <v>https://scontent.cdninstagram.com/t51.2885-15/s320x320/e35/20987087_480830795608969_6522134780752953344_n.jpg</v>
      </c>
      <c r="AE2288" s="249" t="str">
        <f>HYPERLINK("https://scontent.cdninstagram.com/t51.2885-19/s150x150/17267355_1464530803559725_1067954888144584704_a.jpg")</f>
        <v>https://scontent.cdninstagram.com/t51.2885-19/s150x150/17267355_1464530803559725_1067954888144584704_a.jpg</v>
      </c>
    </row>
    <row r="2289" spans="1:31" ht="15" x14ac:dyDescent="0.25">
      <c r="A2289" t="s">
        <v>2474</v>
      </c>
      <c r="B2289" t="s">
        <v>14523</v>
      </c>
      <c r="C2289" s="221">
        <v>42970.002905092595</v>
      </c>
      <c r="D2289" t="s">
        <v>14524</v>
      </c>
      <c r="E2289" s="249" t="str">
        <f>HYPERLINK("https://www.instagram.com/p/BYH0noRBE7i/")</f>
        <v>https://www.instagram.com/p/BYH0noRBE7i/</v>
      </c>
      <c r="F2289" t="s">
        <v>14525</v>
      </c>
      <c r="G2289" t="s">
        <v>2478</v>
      </c>
      <c r="H2289">
        <v>765</v>
      </c>
      <c r="I2289" t="s">
        <v>2479</v>
      </c>
      <c r="J2289">
        <v>0</v>
      </c>
      <c r="K2289">
        <v>11</v>
      </c>
      <c r="L2289">
        <v>11</v>
      </c>
      <c r="Q2289">
        <v>0</v>
      </c>
      <c r="R2289">
        <v>0</v>
      </c>
      <c r="S2289">
        <v>11</v>
      </c>
      <c r="Y2289" t="s">
        <v>2497</v>
      </c>
      <c r="Z2289" t="s">
        <v>3982</v>
      </c>
      <c r="AA2289" t="s">
        <v>14526</v>
      </c>
      <c r="AB2289" t="s">
        <v>9903</v>
      </c>
      <c r="AC2289" t="s">
        <v>14527</v>
      </c>
      <c r="AD2289" s="249" t="str">
        <f>HYPERLINK("https://scontent.cdninstagram.com/t51.2885-15/s320x320/e35/20969176_1460856927335905_9121605698763882496_n.jpg")</f>
        <v>https://scontent.cdninstagram.com/t51.2885-15/s320x320/e35/20969176_1460856927335905_9121605698763882496_n.jpg</v>
      </c>
      <c r="AE2289" s="249" t="str">
        <f>HYPERLINK("https://scontent.cdninstagram.com/t51.2885-19/s150x150/21224762_290144394794975_3743347943046905856_a.jpg")</f>
        <v>https://scontent.cdninstagram.com/t51.2885-19/s150x150/21224762_290144394794975_3743347943046905856_a.jpg</v>
      </c>
    </row>
    <row r="2290" spans="1:31" ht="15" x14ac:dyDescent="0.25">
      <c r="A2290" t="s">
        <v>2474</v>
      </c>
      <c r="B2290" t="s">
        <v>7457</v>
      </c>
      <c r="C2290" s="221">
        <v>42970.008263888885</v>
      </c>
      <c r="D2290" t="s">
        <v>14528</v>
      </c>
      <c r="E2290" s="249" t="str">
        <f>HYPERLINK("https://www.instagram.com/p/BYH1gN5lFbU/")</f>
        <v>https://www.instagram.com/p/BYH1gN5lFbU/</v>
      </c>
      <c r="F2290" t="s">
        <v>14529</v>
      </c>
      <c r="G2290" t="s">
        <v>2478</v>
      </c>
      <c r="H2290">
        <v>5903</v>
      </c>
      <c r="I2290" t="s">
        <v>3575</v>
      </c>
      <c r="J2290">
        <v>30</v>
      </c>
      <c r="K2290">
        <v>310</v>
      </c>
      <c r="L2290">
        <v>340</v>
      </c>
      <c r="Q2290">
        <v>0</v>
      </c>
      <c r="R2290">
        <v>0</v>
      </c>
      <c r="S2290">
        <v>340</v>
      </c>
      <c r="Y2290" t="s">
        <v>2497</v>
      </c>
      <c r="Z2290" t="s">
        <v>14530</v>
      </c>
      <c r="AA2290" t="s">
        <v>14531</v>
      </c>
      <c r="AB2290" t="s">
        <v>7461</v>
      </c>
      <c r="AC2290" t="s">
        <v>14532</v>
      </c>
      <c r="AD2290" s="249" t="str">
        <f>HYPERLINK("https://scontent.cdninstagram.com/t51.2885-15/e35/p320x320/20986741_1857108791284686_2162741970290606080_n.jpg")</f>
        <v>https://scontent.cdninstagram.com/t51.2885-15/e35/p320x320/20986741_1857108791284686_2162741970290606080_n.jpg</v>
      </c>
      <c r="AE2290" s="249" t="str">
        <f>HYPERLINK("https://scontent.cdninstagram.com/t51.2885-19/s150x150/18443212_284821451930273_9046638560735657984_a.jpg")</f>
        <v>https://scontent.cdninstagram.com/t51.2885-19/s150x150/18443212_284821451930273_9046638560735657984_a.jpg</v>
      </c>
    </row>
    <row r="2291" spans="1:31" ht="15" x14ac:dyDescent="0.25">
      <c r="A2291" t="s">
        <v>2474</v>
      </c>
      <c r="B2291" t="s">
        <v>14533</v>
      </c>
      <c r="C2291" s="221">
        <v>42970.013807870368</v>
      </c>
      <c r="D2291" t="s">
        <v>14534</v>
      </c>
      <c r="E2291" s="249" t="str">
        <f>HYPERLINK("https://www.instagram.com/p/BYH2allhQmv/")</f>
        <v>https://www.instagram.com/p/BYH2allhQmv/</v>
      </c>
      <c r="F2291" t="s">
        <v>14535</v>
      </c>
      <c r="G2291" t="s">
        <v>2478</v>
      </c>
      <c r="H2291">
        <v>277</v>
      </c>
      <c r="I2291" t="s">
        <v>2479</v>
      </c>
      <c r="J2291">
        <v>0</v>
      </c>
      <c r="K2291">
        <v>8</v>
      </c>
      <c r="L2291">
        <v>8</v>
      </c>
      <c r="Q2291">
        <v>0</v>
      </c>
      <c r="R2291">
        <v>0</v>
      </c>
      <c r="S2291">
        <v>8</v>
      </c>
      <c r="T2291" t="s">
        <v>14536</v>
      </c>
      <c r="V2291" t="s">
        <v>2210</v>
      </c>
      <c r="W2291">
        <v>-20.3155593</v>
      </c>
      <c r="X2291">
        <v>57.51415909</v>
      </c>
      <c r="Y2291" t="s">
        <v>5830</v>
      </c>
      <c r="Z2291" t="s">
        <v>2497</v>
      </c>
      <c r="AA2291" t="s">
        <v>4317</v>
      </c>
      <c r="AD2291" s="249" t="str">
        <f>HYPERLINK("https://scontent.cdninstagram.com/t51.2885-15/s320x320/e35/21041769_167776223794665_4820387331267624960_n.jpg")</f>
        <v>https://scontent.cdninstagram.com/t51.2885-15/s320x320/e35/21041769_167776223794665_4820387331267624960_n.jpg</v>
      </c>
      <c r="AE2291" s="249" t="str">
        <f>HYPERLINK("https://scontent.cdninstagram.com/t51.2885-19/s150x150/20987185_1638281842891347_8940406775211884544_a.jpg")</f>
        <v>https://scontent.cdninstagram.com/t51.2885-19/s150x150/20987185_1638281842891347_8940406775211884544_a.jpg</v>
      </c>
    </row>
    <row r="2292" spans="1:31" ht="15" x14ac:dyDescent="0.25">
      <c r="A2292" t="s">
        <v>2474</v>
      </c>
      <c r="B2292" t="s">
        <v>14537</v>
      </c>
      <c r="C2292" s="221">
        <v>42970.015567129631</v>
      </c>
      <c r="D2292" t="s">
        <v>14538</v>
      </c>
      <c r="E2292" s="249" t="str">
        <f>HYPERLINK("https://www.instagram.com/p/BYH2tIaFO06/")</f>
        <v>https://www.instagram.com/p/BYH2tIaFO06/</v>
      </c>
      <c r="F2292" t="s">
        <v>14539</v>
      </c>
      <c r="G2292" t="s">
        <v>2631</v>
      </c>
      <c r="H2292">
        <v>669</v>
      </c>
      <c r="I2292" t="s">
        <v>2479</v>
      </c>
      <c r="J2292">
        <v>15</v>
      </c>
      <c r="K2292">
        <v>37</v>
      </c>
      <c r="L2292">
        <v>52</v>
      </c>
      <c r="Q2292">
        <v>0</v>
      </c>
      <c r="R2292">
        <v>0</v>
      </c>
      <c r="S2292">
        <v>52</v>
      </c>
      <c r="Y2292" t="s">
        <v>2497</v>
      </c>
      <c r="Z2292" t="s">
        <v>14540</v>
      </c>
      <c r="AA2292" t="s">
        <v>14541</v>
      </c>
      <c r="AB2292" t="s">
        <v>14542</v>
      </c>
      <c r="AC2292" t="s">
        <v>4734</v>
      </c>
      <c r="AD2292" s="249" t="str">
        <f>HYPERLINK("https://scontent.cdninstagram.com/t51.2885-15/e15/p320x320/20969291_118774638780243_5766780621867188224_n.jpg")</f>
        <v>https://scontent.cdninstagram.com/t51.2885-15/e15/p320x320/20969291_118774638780243_5766780621867188224_n.jpg</v>
      </c>
      <c r="AE2292" s="249" t="str">
        <f>HYPERLINK("https://scontent.cdninstagram.com/t51.2885-19/s150x150/18888921_1687779261527677_4846706641749409792_a.jpg")</f>
        <v>https://scontent.cdninstagram.com/t51.2885-19/s150x150/18888921_1687779261527677_4846706641749409792_a.jpg</v>
      </c>
    </row>
    <row r="2293" spans="1:31" ht="15" x14ac:dyDescent="0.25">
      <c r="A2293" t="s">
        <v>2474</v>
      </c>
      <c r="B2293" t="s">
        <v>2644</v>
      </c>
      <c r="C2293" s="221">
        <v>42970.025381944448</v>
      </c>
      <c r="D2293" t="s">
        <v>14543</v>
      </c>
      <c r="E2293" s="249" t="str">
        <f>HYPERLINK("https://www.instagram.com/p/BYH4UpKA0Us/")</f>
        <v>https://www.instagram.com/p/BYH4UpKA0Us/</v>
      </c>
      <c r="F2293" t="s">
        <v>14544</v>
      </c>
      <c r="G2293" t="s">
        <v>2478</v>
      </c>
      <c r="H2293">
        <v>1742</v>
      </c>
      <c r="I2293" t="s">
        <v>2479</v>
      </c>
      <c r="J2293">
        <v>0</v>
      </c>
      <c r="K2293">
        <v>33</v>
      </c>
      <c r="L2293">
        <v>33</v>
      </c>
      <c r="Q2293">
        <v>0</v>
      </c>
      <c r="R2293">
        <v>0</v>
      </c>
      <c r="S2293">
        <v>33</v>
      </c>
      <c r="T2293" t="s">
        <v>14545</v>
      </c>
      <c r="V2293" t="s">
        <v>2648</v>
      </c>
      <c r="W2293">
        <v>55.663699999999999</v>
      </c>
      <c r="X2293">
        <v>37.4833</v>
      </c>
      <c r="Y2293" t="s">
        <v>7195</v>
      </c>
      <c r="Z2293" t="s">
        <v>14546</v>
      </c>
      <c r="AA2293" t="s">
        <v>3343</v>
      </c>
      <c r="AB2293" t="s">
        <v>2844</v>
      </c>
      <c r="AC2293" t="s">
        <v>5493</v>
      </c>
      <c r="AD2293" s="249" t="str">
        <f>HYPERLINK("https://scontent.cdninstagram.com/t51.2885-15/s320x320/e35/20968547_132307170713288_2679267325856710656_n.jpg")</f>
        <v>https://scontent.cdninstagram.com/t51.2885-15/s320x320/e35/20968547_132307170713288_2679267325856710656_n.jpg</v>
      </c>
      <c r="AE2293" s="249" t="str">
        <f>HYPERLINK("https://scontent.cdninstagram.com/t51.2885-19/11372086_1598451257062069_1320225693_a.jpg")</f>
        <v>https://scontent.cdninstagram.com/t51.2885-19/11372086_1598451257062069_1320225693_a.jpg</v>
      </c>
    </row>
    <row r="2294" spans="1:31" ht="15" x14ac:dyDescent="0.25">
      <c r="A2294" t="s">
        <v>2474</v>
      </c>
      <c r="B2294" t="s">
        <v>14547</v>
      </c>
      <c r="C2294" s="221">
        <v>42970.035104166665</v>
      </c>
      <c r="D2294" t="s">
        <v>14548</v>
      </c>
      <c r="E2294" s="249" t="str">
        <f>HYPERLINK("https://www.instagram.com/p/BYH57MxAg4m/")</f>
        <v>https://www.instagram.com/p/BYH57MxAg4m/</v>
      </c>
      <c r="F2294" t="s">
        <v>14549</v>
      </c>
      <c r="G2294" t="s">
        <v>2478</v>
      </c>
      <c r="H2294">
        <v>134</v>
      </c>
      <c r="I2294" t="s">
        <v>2479</v>
      </c>
      <c r="J2294">
        <v>0</v>
      </c>
      <c r="K2294">
        <v>12</v>
      </c>
      <c r="L2294">
        <v>12</v>
      </c>
      <c r="Q2294">
        <v>0</v>
      </c>
      <c r="R2294">
        <v>0</v>
      </c>
      <c r="S2294">
        <v>12</v>
      </c>
      <c r="Y2294" t="s">
        <v>14550</v>
      </c>
      <c r="Z2294" t="s">
        <v>2497</v>
      </c>
      <c r="AA2294" t="s">
        <v>14551</v>
      </c>
      <c r="AB2294" t="s">
        <v>5901</v>
      </c>
      <c r="AC2294" t="s">
        <v>14552</v>
      </c>
      <c r="AD2294" s="249" t="str">
        <f>HYPERLINK("https://scontent.cdninstagram.com/t51.2885-15/s320x320/e35/20968851_252471281928633_7040146779119026176_n.jpg")</f>
        <v>https://scontent.cdninstagram.com/t51.2885-15/s320x320/e35/20968851_252471281928633_7040146779119026176_n.jpg</v>
      </c>
      <c r="AE2294" s="249" t="str">
        <f>HYPERLINK("https://scontent.cdninstagram.com/t51.2885-19/s150x150/19762005_1450577931907367_2846330219252416512_a.jpg")</f>
        <v>https://scontent.cdninstagram.com/t51.2885-19/s150x150/19762005_1450577931907367_2846330219252416512_a.jpg</v>
      </c>
    </row>
    <row r="2295" spans="1:31" ht="15" x14ac:dyDescent="0.25">
      <c r="A2295" t="s">
        <v>2474</v>
      </c>
      <c r="B2295" t="s">
        <v>14553</v>
      </c>
      <c r="C2295" s="221">
        <v>42970.040370370371</v>
      </c>
      <c r="D2295" t="s">
        <v>14554</v>
      </c>
      <c r="E2295" s="249" t="str">
        <f>HYPERLINK("https://www.instagram.com/p/BYH6yw7gHl0/")</f>
        <v>https://www.instagram.com/p/BYH6yw7gHl0/</v>
      </c>
      <c r="F2295" t="s">
        <v>14555</v>
      </c>
      <c r="G2295" t="s">
        <v>2478</v>
      </c>
      <c r="H2295">
        <v>510</v>
      </c>
      <c r="I2295" t="s">
        <v>2479</v>
      </c>
      <c r="J2295">
        <v>6</v>
      </c>
      <c r="K2295">
        <v>14</v>
      </c>
      <c r="L2295">
        <v>20</v>
      </c>
      <c r="Q2295">
        <v>0</v>
      </c>
      <c r="R2295">
        <v>0</v>
      </c>
      <c r="S2295">
        <v>20</v>
      </c>
      <c r="Y2295" t="s">
        <v>9144</v>
      </c>
      <c r="Z2295" t="s">
        <v>2497</v>
      </c>
      <c r="AA2295" t="s">
        <v>2696</v>
      </c>
      <c r="AB2295" t="s">
        <v>2734</v>
      </c>
      <c r="AC2295" t="s">
        <v>14556</v>
      </c>
      <c r="AD2295" s="249" t="str">
        <f>HYPERLINK("https://scontent.cdninstagram.com/t51.2885-15/s320x320/e35/20987547_814485672051471_2551038968405688320_n.jpg")</f>
        <v>https://scontent.cdninstagram.com/t51.2885-15/s320x320/e35/20987547_814485672051471_2551038968405688320_n.jpg</v>
      </c>
      <c r="AE2295" s="249" t="str">
        <f>HYPERLINK("https://scontent.cdninstagram.com/t51.2885-19/s150x150/11821826_672769632857816_465214205_a.jpg")</f>
        <v>https://scontent.cdninstagram.com/t51.2885-19/s150x150/11821826_672769632857816_465214205_a.jpg</v>
      </c>
    </row>
    <row r="2296" spans="1:31" ht="15" x14ac:dyDescent="0.25">
      <c r="A2296" t="s">
        <v>2474</v>
      </c>
      <c r="B2296" t="s">
        <v>9115</v>
      </c>
      <c r="C2296" s="221">
        <v>42970.043923611112</v>
      </c>
      <c r="D2296" t="s">
        <v>14557</v>
      </c>
      <c r="E2296" s="249" t="str">
        <f>HYPERLINK("https://www.instagram.com/p/BYH7YT1FVbK/")</f>
        <v>https://www.instagram.com/p/BYH7YT1FVbK/</v>
      </c>
      <c r="F2296" t="s">
        <v>14558</v>
      </c>
      <c r="G2296" t="s">
        <v>2478</v>
      </c>
      <c r="H2296">
        <v>359</v>
      </c>
      <c r="I2296" t="s">
        <v>2479</v>
      </c>
      <c r="J2296">
        <v>4</v>
      </c>
      <c r="K2296">
        <v>104</v>
      </c>
      <c r="L2296">
        <v>108</v>
      </c>
      <c r="Q2296">
        <v>0</v>
      </c>
      <c r="R2296">
        <v>0</v>
      </c>
      <c r="S2296">
        <v>108</v>
      </c>
      <c r="T2296" t="s">
        <v>14559</v>
      </c>
      <c r="V2296" t="s">
        <v>2141</v>
      </c>
      <c r="W2296">
        <v>56.566699999999997</v>
      </c>
      <c r="X2296">
        <v>9.0333299999999994</v>
      </c>
      <c r="Y2296" t="s">
        <v>14560</v>
      </c>
      <c r="Z2296" t="s">
        <v>14561</v>
      </c>
      <c r="AA2296" t="s">
        <v>5939</v>
      </c>
      <c r="AB2296" t="s">
        <v>14562</v>
      </c>
      <c r="AC2296" t="s">
        <v>6612</v>
      </c>
      <c r="AD2296" s="249" t="str">
        <f>HYPERLINK("https://scontent.cdninstagram.com/t51.2885-15/s320x320/e35/20986910_134125380534179_3328206299820195840_n.jpg")</f>
        <v>https://scontent.cdninstagram.com/t51.2885-15/s320x320/e35/20986910_134125380534179_3328206299820195840_n.jpg</v>
      </c>
      <c r="AE2296" s="249" t="str">
        <f>HYPERLINK("https://scontent.cdninstagram.com/t51.2885-19/s150x150/19932051_831666580331723_3355139275229233152_a.jpg")</f>
        <v>https://scontent.cdninstagram.com/t51.2885-19/s150x150/19932051_831666580331723_3355139275229233152_a.jpg</v>
      </c>
    </row>
    <row r="2297" spans="1:31" ht="15" x14ac:dyDescent="0.25">
      <c r="A2297" t="s">
        <v>2474</v>
      </c>
      <c r="B2297" t="s">
        <v>2516</v>
      </c>
      <c r="C2297" s="221">
        <v>42970.04420138889</v>
      </c>
      <c r="D2297" t="s">
        <v>14563</v>
      </c>
      <c r="E2297" s="249" t="str">
        <f>HYPERLINK("https://www.instagram.com/p/BYH7bLjD5YR/")</f>
        <v>https://www.instagram.com/p/BYH7bLjD5YR/</v>
      </c>
      <c r="F2297" t="s">
        <v>14564</v>
      </c>
      <c r="G2297" t="s">
        <v>2478</v>
      </c>
      <c r="H2297">
        <v>682</v>
      </c>
      <c r="I2297" t="s">
        <v>3170</v>
      </c>
      <c r="J2297">
        <v>0</v>
      </c>
      <c r="K2297">
        <v>19</v>
      </c>
      <c r="L2297">
        <v>19</v>
      </c>
      <c r="Q2297">
        <v>0</v>
      </c>
      <c r="R2297">
        <v>0</v>
      </c>
      <c r="S2297">
        <v>19</v>
      </c>
      <c r="Y2297" t="s">
        <v>2559</v>
      </c>
      <c r="Z2297" t="s">
        <v>2520</v>
      </c>
      <c r="AA2297" t="s">
        <v>14565</v>
      </c>
      <c r="AB2297" t="s">
        <v>5788</v>
      </c>
      <c r="AC2297" t="s">
        <v>14566</v>
      </c>
      <c r="AD2297" s="249" t="str">
        <f>HYPERLINK("https://scontent.cdninstagram.com/t51.2885-15/s320x320/e35/21042377_509472642731480_8815924698689830912_n.jpg")</f>
        <v>https://scontent.cdninstagram.com/t51.2885-15/s320x320/e35/21042377_509472642731480_8815924698689830912_n.jpg</v>
      </c>
      <c r="AE2297" s="249" t="str">
        <f>HYPERLINK("https://scontent.cdninstagram.com/t51.2885-19/s150x150/19955124_1311741785589715_3896736407896457216_a.jpg")</f>
        <v>https://scontent.cdninstagram.com/t51.2885-19/s150x150/19955124_1311741785589715_3896736407896457216_a.jpg</v>
      </c>
    </row>
    <row r="2298" spans="1:31" ht="15" x14ac:dyDescent="0.25">
      <c r="A2298" t="s">
        <v>2474</v>
      </c>
      <c r="B2298" t="s">
        <v>14567</v>
      </c>
      <c r="C2298" s="221">
        <v>42970.048483796294</v>
      </c>
      <c r="D2298" t="s">
        <v>14568</v>
      </c>
      <c r="E2298" s="249" t="str">
        <f>HYPERLINK("https://www.instagram.com/p/BYH8IS-g6cn/")</f>
        <v>https://www.instagram.com/p/BYH8IS-g6cn/</v>
      </c>
      <c r="F2298" t="s">
        <v>14569</v>
      </c>
      <c r="G2298" t="s">
        <v>2478</v>
      </c>
      <c r="H2298">
        <v>610</v>
      </c>
      <c r="I2298" t="s">
        <v>2479</v>
      </c>
      <c r="J2298">
        <v>1</v>
      </c>
      <c r="K2298">
        <v>44</v>
      </c>
      <c r="L2298">
        <v>45</v>
      </c>
      <c r="Q2298">
        <v>0</v>
      </c>
      <c r="R2298">
        <v>0</v>
      </c>
      <c r="S2298">
        <v>45</v>
      </c>
      <c r="Y2298" t="s">
        <v>14570</v>
      </c>
      <c r="Z2298" t="s">
        <v>14571</v>
      </c>
      <c r="AA2298" t="s">
        <v>14572</v>
      </c>
      <c r="AB2298" t="s">
        <v>14573</v>
      </c>
      <c r="AC2298" t="s">
        <v>14574</v>
      </c>
      <c r="AD2298" s="249" t="str">
        <f>HYPERLINK("https://scontent.cdninstagram.com/t51.2885-15/s320x320/e35/20968565_221846825008585_7224414851941007360_n.jpg")</f>
        <v>https://scontent.cdninstagram.com/t51.2885-15/s320x320/e35/20968565_221846825008585_7224414851941007360_n.jpg</v>
      </c>
      <c r="AE2298" s="249" t="str">
        <f>HYPERLINK("https://scontent.cdninstagram.com/t51.2885-19/s150x150/21107721_113927162614742_3645595187469615104_a.jpg")</f>
        <v>https://scontent.cdninstagram.com/t51.2885-19/s150x150/21107721_113927162614742_3645595187469615104_a.jpg</v>
      </c>
    </row>
    <row r="2299" spans="1:31" ht="15" x14ac:dyDescent="0.25">
      <c r="A2299" t="s">
        <v>2474</v>
      </c>
      <c r="B2299" t="s">
        <v>14575</v>
      </c>
      <c r="C2299" s="221">
        <v>42970.059328703705</v>
      </c>
      <c r="D2299" t="s">
        <v>14576</v>
      </c>
      <c r="E2299" s="249" t="str">
        <f>HYPERLINK("https://www.instagram.com/p/BYH96vpH6s1/")</f>
        <v>https://www.instagram.com/p/BYH96vpH6s1/</v>
      </c>
      <c r="F2299" t="s">
        <v>14577</v>
      </c>
      <c r="G2299" t="s">
        <v>2478</v>
      </c>
      <c r="H2299">
        <v>105</v>
      </c>
      <c r="I2299" t="s">
        <v>2479</v>
      </c>
      <c r="J2299">
        <v>6</v>
      </c>
      <c r="K2299">
        <v>35</v>
      </c>
      <c r="L2299">
        <v>41</v>
      </c>
      <c r="Q2299">
        <v>0</v>
      </c>
      <c r="R2299">
        <v>0</v>
      </c>
      <c r="S2299">
        <v>41</v>
      </c>
      <c r="T2299" t="s">
        <v>14578</v>
      </c>
      <c r="W2299">
        <v>35.537199999999999</v>
      </c>
      <c r="X2299">
        <v>129.31700000000001</v>
      </c>
      <c r="Y2299" t="s">
        <v>2513</v>
      </c>
      <c r="Z2299" t="s">
        <v>14579</v>
      </c>
      <c r="AA2299" t="s">
        <v>3165</v>
      </c>
      <c r="AB2299" t="s">
        <v>14580</v>
      </c>
      <c r="AC2299" t="s">
        <v>14581</v>
      </c>
      <c r="AD2299" s="249" t="str">
        <f>HYPERLINK("https://scontent.cdninstagram.com/t51.2885-15/s320x320/e35/21042746_1891198361142318_999822357344288768_n.jpg")</f>
        <v>https://scontent.cdninstagram.com/t51.2885-15/s320x320/e35/21042746_1891198361142318_999822357344288768_n.jpg</v>
      </c>
      <c r="AE2299" s="249" t="str">
        <f>HYPERLINK("https://scontent.cdninstagram.com/t51.2885-19/s150x150/20065842_444690002577685_7346641447862403072_a.jpg")</f>
        <v>https://scontent.cdninstagram.com/t51.2885-19/s150x150/20065842_444690002577685_7346641447862403072_a.jpg</v>
      </c>
    </row>
    <row r="2300" spans="1:31" ht="15" x14ac:dyDescent="0.25">
      <c r="A2300" t="s">
        <v>2474</v>
      </c>
      <c r="B2300" t="s">
        <v>5766</v>
      </c>
      <c r="C2300" s="221">
        <v>42970.059988425928</v>
      </c>
      <c r="D2300" t="s">
        <v>14582</v>
      </c>
      <c r="E2300" s="249" t="str">
        <f>HYPERLINK("https://www.instagram.com/p/BYH-BwEAgyo/")</f>
        <v>https://www.instagram.com/p/BYH-BwEAgyo/</v>
      </c>
      <c r="F2300" t="s">
        <v>14583</v>
      </c>
      <c r="G2300" t="s">
        <v>2478</v>
      </c>
      <c r="H2300">
        <v>137</v>
      </c>
      <c r="I2300" t="s">
        <v>2519</v>
      </c>
      <c r="J2300">
        <v>1</v>
      </c>
      <c r="K2300">
        <v>12</v>
      </c>
      <c r="L2300">
        <v>13</v>
      </c>
      <c r="Q2300">
        <v>0</v>
      </c>
      <c r="R2300">
        <v>0</v>
      </c>
      <c r="S2300">
        <v>13</v>
      </c>
      <c r="Y2300" t="s">
        <v>14584</v>
      </c>
      <c r="Z2300" t="s">
        <v>14585</v>
      </c>
      <c r="AA2300" t="s">
        <v>5802</v>
      </c>
      <c r="AB2300" t="s">
        <v>14586</v>
      </c>
      <c r="AC2300" t="s">
        <v>2513</v>
      </c>
      <c r="AD2300" s="249" t="str">
        <f>HYPERLINK("https://scontent.cdninstagram.com/t51.2885-15/s320x320/e35/21042446_1526265814100566_640945361220796416_n.jpg")</f>
        <v>https://scontent.cdninstagram.com/t51.2885-15/s320x320/e35/21042446_1526265814100566_640945361220796416_n.jpg</v>
      </c>
      <c r="AE2300" s="249" t="str">
        <f>HYPERLINK("https://scontent.cdninstagram.com/t51.2885-19/s150x150/18879663_1692879440726703_2212180471251468288_a.jpg")</f>
        <v>https://scontent.cdninstagram.com/t51.2885-19/s150x150/18879663_1692879440726703_2212180471251468288_a.jpg</v>
      </c>
    </row>
    <row r="2301" spans="1:31" ht="15" x14ac:dyDescent="0.25">
      <c r="A2301" t="s">
        <v>2474</v>
      </c>
      <c r="B2301" t="s">
        <v>4685</v>
      </c>
      <c r="C2301" s="221">
        <v>42970.065069444441</v>
      </c>
      <c r="D2301" t="s">
        <v>14587</v>
      </c>
      <c r="E2301" s="249" t="str">
        <f>HYPERLINK("https://www.instagram.com/p/BYH-3USDhdq/")</f>
        <v>https://www.instagram.com/p/BYH-3USDhdq/</v>
      </c>
      <c r="F2301" t="s">
        <v>14588</v>
      </c>
      <c r="G2301" t="s">
        <v>2478</v>
      </c>
      <c r="H2301">
        <v>345</v>
      </c>
      <c r="I2301" t="s">
        <v>2479</v>
      </c>
      <c r="J2301">
        <v>0</v>
      </c>
      <c r="K2301">
        <v>26</v>
      </c>
      <c r="L2301">
        <v>26</v>
      </c>
      <c r="Q2301">
        <v>0</v>
      </c>
      <c r="R2301">
        <v>0</v>
      </c>
      <c r="S2301">
        <v>26</v>
      </c>
      <c r="Y2301" t="s">
        <v>4692</v>
      </c>
      <c r="Z2301" t="s">
        <v>11657</v>
      </c>
      <c r="AA2301" t="s">
        <v>10084</v>
      </c>
      <c r="AB2301" t="s">
        <v>4688</v>
      </c>
      <c r="AC2301" t="s">
        <v>4691</v>
      </c>
      <c r="AD2301" s="249" t="str">
        <f>HYPERLINK("https://scontent.cdninstagram.com/t51.2885-15/e35/p320x320/21041954_168308507051596_2813983158393896960_n.jpg")</f>
        <v>https://scontent.cdninstagram.com/t51.2885-15/e35/p320x320/21041954_168308507051596_2813983158393896960_n.jpg</v>
      </c>
      <c r="AE2301" s="249" t="str">
        <f>HYPERLINK("https://scontent.cdninstagram.com/t51.2885-19/s150x150/14498866_1223064704423042_5122473061462835200_a.jpg")</f>
        <v>https://scontent.cdninstagram.com/t51.2885-19/s150x150/14498866_1223064704423042_5122473061462835200_a.jpg</v>
      </c>
    </row>
    <row r="2302" spans="1:31" ht="15" x14ac:dyDescent="0.25">
      <c r="A2302" t="s">
        <v>2474</v>
      </c>
      <c r="B2302" t="s">
        <v>14589</v>
      </c>
      <c r="C2302" s="221">
        <v>42970.06559027778</v>
      </c>
      <c r="D2302" t="s">
        <v>14590</v>
      </c>
      <c r="E2302" s="249" t="str">
        <f>HYPERLINK("https://www.instagram.com/p/BYH-8uXgqpq/")</f>
        <v>https://www.instagram.com/p/BYH-8uXgqpq/</v>
      </c>
      <c r="F2302" t="s">
        <v>14591</v>
      </c>
      <c r="G2302" t="s">
        <v>2478</v>
      </c>
      <c r="H2302">
        <v>535</v>
      </c>
      <c r="I2302" t="s">
        <v>2479</v>
      </c>
      <c r="J2302">
        <v>0</v>
      </c>
      <c r="K2302">
        <v>10</v>
      </c>
      <c r="L2302">
        <v>10</v>
      </c>
      <c r="Q2302">
        <v>0</v>
      </c>
      <c r="R2302">
        <v>0</v>
      </c>
      <c r="S2302">
        <v>10</v>
      </c>
      <c r="Y2302" t="s">
        <v>3132</v>
      </c>
      <c r="Z2302" t="s">
        <v>2497</v>
      </c>
      <c r="AA2302" t="s">
        <v>3151</v>
      </c>
      <c r="AB2302" t="s">
        <v>3153</v>
      </c>
      <c r="AC2302" t="s">
        <v>14592</v>
      </c>
      <c r="AD2302" s="249" t="str">
        <f>HYPERLINK("https://scontent.cdninstagram.com/t51.2885-15/e35/p320x320/21041388_254727338367698_5996090845651009536_n.jpg")</f>
        <v>https://scontent.cdninstagram.com/t51.2885-15/e35/p320x320/21041388_254727338367698_5996090845651009536_n.jpg</v>
      </c>
      <c r="AE2302" s="249" t="str">
        <f>HYPERLINK("https://scontent.cdninstagram.com/t51.2885-19/s150x150/19985940_1704380149864481_2879944901053644800_a.jpg")</f>
        <v>https://scontent.cdninstagram.com/t51.2885-19/s150x150/19985940_1704380149864481_2879944901053644800_a.jpg</v>
      </c>
    </row>
    <row r="2303" spans="1:31" ht="15" x14ac:dyDescent="0.25">
      <c r="A2303" t="s">
        <v>2474</v>
      </c>
      <c r="B2303" t="s">
        <v>2507</v>
      </c>
      <c r="C2303" s="221">
        <v>42970.06591435185</v>
      </c>
      <c r="D2303" t="s">
        <v>14593</v>
      </c>
      <c r="E2303" s="249" t="str">
        <f>HYPERLINK("https://www.instagram.com/p/BYH_ALHHtwm/")</f>
        <v>https://www.instagram.com/p/BYH_ALHHtwm/</v>
      </c>
      <c r="F2303" t="s">
        <v>14594</v>
      </c>
      <c r="G2303" t="s">
        <v>2478</v>
      </c>
      <c r="H2303">
        <v>273</v>
      </c>
      <c r="I2303" t="s">
        <v>2927</v>
      </c>
      <c r="J2303">
        <v>5</v>
      </c>
      <c r="K2303">
        <v>63</v>
      </c>
      <c r="L2303">
        <v>68</v>
      </c>
      <c r="Q2303">
        <v>0</v>
      </c>
      <c r="R2303">
        <v>0</v>
      </c>
      <c r="S2303">
        <v>68</v>
      </c>
      <c r="Y2303" t="s">
        <v>4180</v>
      </c>
      <c r="Z2303" t="s">
        <v>4620</v>
      </c>
      <c r="AA2303" t="s">
        <v>5822</v>
      </c>
      <c r="AB2303" t="s">
        <v>14595</v>
      </c>
      <c r="AC2303" t="s">
        <v>2513</v>
      </c>
      <c r="AD2303" s="249" t="str">
        <f>HYPERLINK("https://scontent.cdninstagram.com/t51.2885-15/s320x320/e35/20987592_112405499436202_152507618596749312_n.jpg")</f>
        <v>https://scontent.cdninstagram.com/t51.2885-15/s320x320/e35/20987592_112405499436202_152507618596749312_n.jpg</v>
      </c>
      <c r="AE2303" s="249" t="str">
        <f>HYPERLINK("https://scontent.cdninstagram.com/t51.2885-19/s150x150/20688656_891409331008012_775389051745206272_a.jpg")</f>
        <v>https://scontent.cdninstagram.com/t51.2885-19/s150x150/20688656_891409331008012_775389051745206272_a.jpg</v>
      </c>
    </row>
    <row r="2304" spans="1:31" ht="15" x14ac:dyDescent="0.25">
      <c r="A2304" t="s">
        <v>2474</v>
      </c>
      <c r="B2304" t="s">
        <v>14596</v>
      </c>
      <c r="C2304" s="221">
        <v>42970.068981481483</v>
      </c>
      <c r="D2304" t="s">
        <v>14597</v>
      </c>
      <c r="E2304" s="249" t="str">
        <f>HYPERLINK("https://www.instagram.com/p/BYH_gj_gpWw/")</f>
        <v>https://www.instagram.com/p/BYH_gj_gpWw/</v>
      </c>
      <c r="F2304" t="s">
        <v>14598</v>
      </c>
      <c r="G2304" t="s">
        <v>2478</v>
      </c>
      <c r="H2304">
        <v>67</v>
      </c>
      <c r="I2304" t="s">
        <v>2479</v>
      </c>
      <c r="J2304">
        <v>0</v>
      </c>
      <c r="K2304">
        <v>12</v>
      </c>
      <c r="L2304">
        <v>12</v>
      </c>
      <c r="Q2304">
        <v>0</v>
      </c>
      <c r="R2304">
        <v>0</v>
      </c>
      <c r="S2304">
        <v>12</v>
      </c>
      <c r="Y2304" t="s">
        <v>2844</v>
      </c>
      <c r="Z2304" t="s">
        <v>2497</v>
      </c>
      <c r="AA2304" t="s">
        <v>3225</v>
      </c>
      <c r="AD2304" s="249" t="str">
        <f>HYPERLINK("https://scontent.cdninstagram.com/t51.2885-15/s320x320/e15/20986794_1473792152710518_4443896463809839104_n.jpg")</f>
        <v>https://scontent.cdninstagram.com/t51.2885-15/s320x320/e15/20986794_1473792152710518_4443896463809839104_n.jpg</v>
      </c>
      <c r="AE2304" s="249" t="str">
        <f>HYPERLINK("https://scontent.cdninstagram.com/t51.2885-19/s150x150/20687789_1486375528108269_7104387279275163648_a.jpg")</f>
        <v>https://scontent.cdninstagram.com/t51.2885-19/s150x150/20687789_1486375528108269_7104387279275163648_a.jpg</v>
      </c>
    </row>
    <row r="2305" spans="1:31" ht="15" x14ac:dyDescent="0.25">
      <c r="A2305" t="s">
        <v>2474</v>
      </c>
      <c r="B2305" t="s">
        <v>14599</v>
      </c>
      <c r="C2305" s="221">
        <v>42970.073414351849</v>
      </c>
      <c r="D2305" t="s">
        <v>14600</v>
      </c>
      <c r="E2305" s="249" t="str">
        <f>HYPERLINK("https://www.instagram.com/p/BYIAPQPhDGh/")</f>
        <v>https://www.instagram.com/p/BYIAPQPhDGh/</v>
      </c>
      <c r="F2305" t="s">
        <v>14601</v>
      </c>
      <c r="G2305" t="s">
        <v>2478</v>
      </c>
      <c r="H2305">
        <v>220</v>
      </c>
      <c r="I2305" t="s">
        <v>2479</v>
      </c>
      <c r="J2305">
        <v>0</v>
      </c>
      <c r="K2305">
        <v>29</v>
      </c>
      <c r="L2305">
        <v>29</v>
      </c>
      <c r="Q2305">
        <v>0</v>
      </c>
      <c r="R2305">
        <v>0</v>
      </c>
      <c r="S2305">
        <v>29</v>
      </c>
      <c r="Y2305" t="s">
        <v>6164</v>
      </c>
      <c r="Z2305" t="s">
        <v>11759</v>
      </c>
      <c r="AA2305" t="s">
        <v>2497</v>
      </c>
      <c r="AB2305" t="s">
        <v>8516</v>
      </c>
      <c r="AC2305" t="s">
        <v>6442</v>
      </c>
      <c r="AD2305" s="249" t="str">
        <f>HYPERLINK("https://scontent.cdninstagram.com/t51.2885-15/e35/p320x320/21040894_490381628021101_582131036847079424_n.jpg")</f>
        <v>https://scontent.cdninstagram.com/t51.2885-15/e35/p320x320/21040894_490381628021101_582131036847079424_n.jpg</v>
      </c>
      <c r="AE2305" s="249" t="str">
        <f>HYPERLINK("https://scontent.cdninstagram.com/t51.2885-19/s150x150/15258654_1856140408000909_3238043361340293120_a.jpg")</f>
        <v>https://scontent.cdninstagram.com/t51.2885-19/s150x150/15258654_1856140408000909_3238043361340293120_a.jpg</v>
      </c>
    </row>
    <row r="2306" spans="1:31" ht="15" x14ac:dyDescent="0.25">
      <c r="A2306" t="s">
        <v>2474</v>
      </c>
      <c r="B2306" t="s">
        <v>3754</v>
      </c>
      <c r="C2306" s="221">
        <v>42970.090879629628</v>
      </c>
      <c r="D2306" t="s">
        <v>14602</v>
      </c>
      <c r="E2306" s="249" t="str">
        <f>HYPERLINK("https://www.instagram.com/p/BYIDHfzDOVV/")</f>
        <v>https://www.instagram.com/p/BYIDHfzDOVV/</v>
      </c>
      <c r="F2306" t="s">
        <v>7206</v>
      </c>
      <c r="G2306" t="s">
        <v>2478</v>
      </c>
      <c r="H2306">
        <v>201591</v>
      </c>
      <c r="I2306" t="s">
        <v>2479</v>
      </c>
      <c r="J2306">
        <v>1</v>
      </c>
      <c r="K2306">
        <v>126</v>
      </c>
      <c r="L2306">
        <v>127</v>
      </c>
      <c r="Q2306">
        <v>0</v>
      </c>
      <c r="R2306">
        <v>0</v>
      </c>
      <c r="S2306">
        <v>127</v>
      </c>
      <c r="Y2306" t="s">
        <v>4801</v>
      </c>
      <c r="Z2306" t="s">
        <v>8783</v>
      </c>
      <c r="AA2306" t="s">
        <v>2497</v>
      </c>
      <c r="AB2306" t="s">
        <v>5196</v>
      </c>
      <c r="AC2306" t="s">
        <v>13802</v>
      </c>
      <c r="AD2306" s="249" t="str">
        <f>HYPERLINK("https://scontent.cdninstagram.com/t51.2885-15/s320x320/e35/21042660_145969365991197_2016209243908079616_n.jpg")</f>
        <v>https://scontent.cdninstagram.com/t51.2885-15/s320x320/e35/21042660_145969365991197_2016209243908079616_n.jpg</v>
      </c>
      <c r="AE2306" s="249" t="str">
        <f>HYPERLINK("https://scontent.cdninstagram.com/t51.2885-19/s150x150/12905002_1681254462136092_1137392787_a.jpg")</f>
        <v>https://scontent.cdninstagram.com/t51.2885-19/s150x150/12905002_1681254462136092_1137392787_a.jpg</v>
      </c>
    </row>
    <row r="2307" spans="1:31" ht="15" x14ac:dyDescent="0.25">
      <c r="A2307" t="s">
        <v>2474</v>
      </c>
      <c r="B2307" t="s">
        <v>14322</v>
      </c>
      <c r="C2307" s="221">
        <v>42970.091238425928</v>
      </c>
      <c r="D2307" t="s">
        <v>14603</v>
      </c>
      <c r="E2307" s="249" t="str">
        <f>HYPERLINK("https://www.instagram.com/p/BYIDLPPAz-F/")</f>
        <v>https://www.instagram.com/p/BYIDLPPAz-F/</v>
      </c>
      <c r="F2307" t="s">
        <v>7206</v>
      </c>
      <c r="G2307" t="s">
        <v>2478</v>
      </c>
      <c r="H2307">
        <v>3199</v>
      </c>
      <c r="I2307" t="s">
        <v>2479</v>
      </c>
      <c r="J2307">
        <v>0</v>
      </c>
      <c r="K2307">
        <v>52</v>
      </c>
      <c r="L2307">
        <v>52</v>
      </c>
      <c r="Q2307">
        <v>0</v>
      </c>
      <c r="R2307">
        <v>0</v>
      </c>
      <c r="S2307">
        <v>52</v>
      </c>
      <c r="Y2307" t="s">
        <v>4801</v>
      </c>
      <c r="Z2307" t="s">
        <v>8783</v>
      </c>
      <c r="AA2307" t="s">
        <v>2497</v>
      </c>
      <c r="AB2307" t="s">
        <v>5196</v>
      </c>
      <c r="AC2307" t="s">
        <v>13802</v>
      </c>
      <c r="AD2307" s="249" t="str">
        <f>HYPERLINK("https://scontent.cdninstagram.com/t51.2885-15/s320x320/e35/20968933_503863286616913_2758883993616121856_n.jpg")</f>
        <v>https://scontent.cdninstagram.com/t51.2885-15/s320x320/e35/20968933_503863286616913_2758883993616121856_n.jpg</v>
      </c>
      <c r="AE2307" s="249" t="str">
        <f>HYPERLINK("https://scontent.cdninstagram.com/t51.2885-19/s150x150/14722983_620984121413610_3612595600819748864_a.jpg")</f>
        <v>https://scontent.cdninstagram.com/t51.2885-19/s150x150/14722983_620984121413610_3612595600819748864_a.jpg</v>
      </c>
    </row>
    <row r="2308" spans="1:31" ht="15" x14ac:dyDescent="0.25">
      <c r="A2308" t="s">
        <v>2474</v>
      </c>
      <c r="B2308" t="s">
        <v>2548</v>
      </c>
      <c r="C2308" s="221">
        <v>42970.094861111109</v>
      </c>
      <c r="D2308" t="s">
        <v>14604</v>
      </c>
      <c r="E2308" s="249" t="str">
        <f>HYPERLINK("https://www.instagram.com/p/BYIDxbtHXh2/")</f>
        <v>https://www.instagram.com/p/BYIDxbtHXh2/</v>
      </c>
      <c r="F2308" t="s">
        <v>14605</v>
      </c>
      <c r="G2308" t="s">
        <v>2478</v>
      </c>
      <c r="H2308">
        <v>535</v>
      </c>
      <c r="I2308" t="s">
        <v>2903</v>
      </c>
      <c r="J2308">
        <v>2</v>
      </c>
      <c r="K2308">
        <v>36</v>
      </c>
      <c r="L2308">
        <v>38</v>
      </c>
      <c r="Q2308">
        <v>0</v>
      </c>
      <c r="R2308">
        <v>0</v>
      </c>
      <c r="S2308">
        <v>38</v>
      </c>
      <c r="T2308" t="s">
        <v>14606</v>
      </c>
      <c r="V2308" t="s">
        <v>2222</v>
      </c>
      <c r="W2308">
        <v>52.25</v>
      </c>
      <c r="X2308">
        <v>6.2</v>
      </c>
      <c r="Y2308" t="s">
        <v>7907</v>
      </c>
      <c r="Z2308" t="s">
        <v>4154</v>
      </c>
      <c r="AA2308" t="s">
        <v>5802</v>
      </c>
      <c r="AB2308" t="s">
        <v>14607</v>
      </c>
      <c r="AC2308" t="s">
        <v>2497</v>
      </c>
      <c r="AD2308" s="249" t="str">
        <f>HYPERLINK("https://scontent.cdninstagram.com/t51.2885-15/s320x320/e35/20905004_1625495377494651_206407598440710144_n.jpg")</f>
        <v>https://scontent.cdninstagram.com/t51.2885-15/s320x320/e35/20905004_1625495377494651_206407598440710144_n.jpg</v>
      </c>
      <c r="AE2308" s="249" t="str">
        <f>HYPERLINK("https://scontent.cdninstagram.com/t51.2885-19/s150x150/20902268_463519954020811_6603510379353997312_a.jpg")</f>
        <v>https://scontent.cdninstagram.com/t51.2885-19/s150x150/20902268_463519954020811_6603510379353997312_a.jpg</v>
      </c>
    </row>
    <row r="2309" spans="1:31" ht="15" x14ac:dyDescent="0.25">
      <c r="A2309" t="s">
        <v>2474</v>
      </c>
      <c r="B2309" t="s">
        <v>14608</v>
      </c>
      <c r="C2309" s="221">
        <v>42970.09715277778</v>
      </c>
      <c r="D2309" t="s">
        <v>14609</v>
      </c>
      <c r="E2309" s="249" t="str">
        <f>HYPERLINK("https://www.instagram.com/p/BYIEJoLBgRi/")</f>
        <v>https://www.instagram.com/p/BYIEJoLBgRi/</v>
      </c>
      <c r="F2309" t="s">
        <v>14610</v>
      </c>
      <c r="G2309" t="s">
        <v>2478</v>
      </c>
      <c r="H2309">
        <v>430</v>
      </c>
      <c r="I2309" t="s">
        <v>5670</v>
      </c>
      <c r="J2309">
        <v>0</v>
      </c>
      <c r="K2309">
        <v>16</v>
      </c>
      <c r="L2309">
        <v>16</v>
      </c>
      <c r="Q2309">
        <v>0</v>
      </c>
      <c r="R2309">
        <v>0</v>
      </c>
      <c r="S2309">
        <v>16</v>
      </c>
      <c r="Y2309" t="s">
        <v>14611</v>
      </c>
      <c r="Z2309" t="s">
        <v>14612</v>
      </c>
      <c r="AA2309" t="s">
        <v>10640</v>
      </c>
      <c r="AB2309" t="s">
        <v>2497</v>
      </c>
      <c r="AC2309" t="s">
        <v>14613</v>
      </c>
      <c r="AD2309" s="249" t="str">
        <f>HYPERLINK("https://scontent.cdninstagram.com/t51.2885-15/s320x320/e35/20969265_114520285855877_558752395983585280_n.jpg")</f>
        <v>https://scontent.cdninstagram.com/t51.2885-15/s320x320/e35/20969265_114520285855877_558752395983585280_n.jpg</v>
      </c>
      <c r="AE2309" s="249" t="str">
        <f>HYPERLINK("https://scontent.cdninstagram.com/t51.2885-19/s150x150/21042644_1403180786467832_6082135619163652096_a.jpg")</f>
        <v>https://scontent.cdninstagram.com/t51.2885-19/s150x150/21042644_1403180786467832_6082135619163652096_a.jpg</v>
      </c>
    </row>
    <row r="2310" spans="1:31" ht="15" x14ac:dyDescent="0.25">
      <c r="A2310" t="s">
        <v>2474</v>
      </c>
      <c r="B2310" t="s">
        <v>14614</v>
      </c>
      <c r="C2310" s="221">
        <v>42970.102523148147</v>
      </c>
      <c r="D2310" t="s">
        <v>14615</v>
      </c>
      <c r="E2310" s="249" t="str">
        <f>HYPERLINK("https://www.instagram.com/p/BYIFCUkHOMy/")</f>
        <v>https://www.instagram.com/p/BYIFCUkHOMy/</v>
      </c>
      <c r="F2310" t="s">
        <v>14616</v>
      </c>
      <c r="G2310" t="s">
        <v>2478</v>
      </c>
      <c r="H2310">
        <v>321</v>
      </c>
      <c r="I2310" t="s">
        <v>3025</v>
      </c>
      <c r="J2310">
        <v>6</v>
      </c>
      <c r="K2310">
        <v>58</v>
      </c>
      <c r="L2310">
        <v>64</v>
      </c>
      <c r="Q2310">
        <v>0</v>
      </c>
      <c r="R2310">
        <v>0</v>
      </c>
      <c r="S2310">
        <v>64</v>
      </c>
      <c r="Y2310" t="s">
        <v>7792</v>
      </c>
      <c r="Z2310" t="s">
        <v>14617</v>
      </c>
      <c r="AA2310" t="s">
        <v>9669</v>
      </c>
      <c r="AB2310" t="s">
        <v>2497</v>
      </c>
      <c r="AC2310" t="s">
        <v>8007</v>
      </c>
      <c r="AD2310" s="249" t="str">
        <f>HYPERLINK("https://scontent.cdninstagram.com/t51.2885-15/e35/p320x320/20987494_127374381144613_1590635052104941568_n.jpg")</f>
        <v>https://scontent.cdninstagram.com/t51.2885-15/e35/p320x320/20987494_127374381144613_1590635052104941568_n.jpg</v>
      </c>
      <c r="AE2310" s="249" t="str">
        <f>HYPERLINK("https://scontent.cdninstagram.com/t51.2885-19/s150x150/17931891_209774576185438_635081919112937472_a.jpg")</f>
        <v>https://scontent.cdninstagram.com/t51.2885-19/s150x150/17931891_209774576185438_635081919112937472_a.jpg</v>
      </c>
    </row>
    <row r="2311" spans="1:31" ht="15" x14ac:dyDescent="0.25">
      <c r="A2311" t="s">
        <v>2474</v>
      </c>
      <c r="B2311" t="s">
        <v>14618</v>
      </c>
      <c r="C2311" s="221">
        <v>42970.110069444447</v>
      </c>
      <c r="D2311" t="s">
        <v>14619</v>
      </c>
      <c r="E2311" s="249" t="str">
        <f>HYPERLINK("https://www.instagram.com/p/BYIGR3Hh7f3/")</f>
        <v>https://www.instagram.com/p/BYIGR3Hh7f3/</v>
      </c>
      <c r="F2311" t="s">
        <v>14620</v>
      </c>
      <c r="G2311" t="s">
        <v>2478</v>
      </c>
      <c r="H2311">
        <v>498</v>
      </c>
      <c r="I2311" t="s">
        <v>2479</v>
      </c>
      <c r="J2311">
        <v>2</v>
      </c>
      <c r="K2311">
        <v>36</v>
      </c>
      <c r="L2311">
        <v>38</v>
      </c>
      <c r="Q2311">
        <v>0</v>
      </c>
      <c r="R2311">
        <v>0</v>
      </c>
      <c r="S2311">
        <v>38</v>
      </c>
      <c r="T2311" t="s">
        <v>6180</v>
      </c>
      <c r="V2311" t="s">
        <v>2110</v>
      </c>
      <c r="W2311">
        <v>51.164444444444001</v>
      </c>
      <c r="X2311">
        <v>4.1391666666667</v>
      </c>
      <c r="Y2311" t="s">
        <v>14621</v>
      </c>
      <c r="Z2311" t="s">
        <v>2497</v>
      </c>
      <c r="AA2311" t="s">
        <v>14622</v>
      </c>
      <c r="AB2311" t="s">
        <v>14623</v>
      </c>
      <c r="AD2311" s="249" t="str">
        <f>HYPERLINK("https://scontent.cdninstagram.com/t51.2885-15/s320x320/e35/20968664_1910309595895517_6129987550615437312_n.jpg")</f>
        <v>https://scontent.cdninstagram.com/t51.2885-15/s320x320/e35/20968664_1910309595895517_6129987550615437312_n.jpg</v>
      </c>
      <c r="AE2311" s="249" t="str">
        <f>HYPERLINK("https://scontent.cdninstagram.com/t51.2885-19/s150x150/20482454_711906002343464_2314592720884072448_a.jpg")</f>
        <v>https://scontent.cdninstagram.com/t51.2885-19/s150x150/20482454_711906002343464_2314592720884072448_a.jpg</v>
      </c>
    </row>
    <row r="2312" spans="1:31" ht="15" x14ac:dyDescent="0.25">
      <c r="A2312" t="s">
        <v>2474</v>
      </c>
      <c r="B2312" t="s">
        <v>14624</v>
      </c>
      <c r="C2312" s="221">
        <v>42970.114363425928</v>
      </c>
      <c r="D2312" t="s">
        <v>14625</v>
      </c>
      <c r="E2312" s="249" t="str">
        <f>HYPERLINK("https://www.instagram.com/p/BYIG_L0AA2m/")</f>
        <v>https://www.instagram.com/p/BYIG_L0AA2m/</v>
      </c>
      <c r="F2312" t="s">
        <v>14626</v>
      </c>
      <c r="G2312" t="s">
        <v>2478</v>
      </c>
      <c r="H2312">
        <v>314</v>
      </c>
      <c r="I2312" t="s">
        <v>2479</v>
      </c>
      <c r="J2312">
        <v>1</v>
      </c>
      <c r="K2312">
        <v>32</v>
      </c>
      <c r="L2312">
        <v>33</v>
      </c>
      <c r="Q2312">
        <v>0</v>
      </c>
      <c r="R2312">
        <v>0</v>
      </c>
      <c r="S2312">
        <v>33</v>
      </c>
      <c r="Y2312" t="s">
        <v>14627</v>
      </c>
      <c r="Z2312" t="s">
        <v>7347</v>
      </c>
      <c r="AA2312" t="s">
        <v>14628</v>
      </c>
      <c r="AB2312" t="s">
        <v>14629</v>
      </c>
      <c r="AC2312" t="s">
        <v>2497</v>
      </c>
      <c r="AD2312" s="249" t="str">
        <f>HYPERLINK("https://scontent.cdninstagram.com/t51.2885-15/e35/p320x320/20968767_1404273316324462_9065994900301938688_n.jpg")</f>
        <v>https://scontent.cdninstagram.com/t51.2885-15/e35/p320x320/20968767_1404273316324462_9065994900301938688_n.jpg</v>
      </c>
      <c r="AE2312" s="249" t="str">
        <f>HYPERLINK("https://scontent.cdninstagram.com/t51.2885-19/s150x150/18014028_1633748883331927_8138022561226162176_a.jpg")</f>
        <v>https://scontent.cdninstagram.com/t51.2885-19/s150x150/18014028_1633748883331927_8138022561226162176_a.jpg</v>
      </c>
    </row>
    <row r="2313" spans="1:31" ht="15" x14ac:dyDescent="0.25">
      <c r="A2313" t="s">
        <v>2474</v>
      </c>
      <c r="B2313" t="s">
        <v>14630</v>
      </c>
      <c r="C2313" s="221">
        <v>42970.117326388892</v>
      </c>
      <c r="D2313" t="s">
        <v>14631</v>
      </c>
      <c r="E2313" s="249" t="str">
        <f>HYPERLINK("https://www.instagram.com/p/BYIHeZ8noA1/")</f>
        <v>https://www.instagram.com/p/BYIHeZ8noA1/</v>
      </c>
      <c r="F2313" t="s">
        <v>14632</v>
      </c>
      <c r="G2313" t="s">
        <v>2478</v>
      </c>
      <c r="H2313">
        <v>68</v>
      </c>
      <c r="I2313" t="s">
        <v>2542</v>
      </c>
      <c r="J2313">
        <v>0</v>
      </c>
      <c r="K2313">
        <v>29</v>
      </c>
      <c r="L2313">
        <v>29</v>
      </c>
      <c r="Q2313">
        <v>0</v>
      </c>
      <c r="R2313">
        <v>0</v>
      </c>
      <c r="S2313">
        <v>29</v>
      </c>
      <c r="T2313" t="s">
        <v>14633</v>
      </c>
      <c r="V2313" t="s">
        <v>2103</v>
      </c>
      <c r="W2313">
        <v>48.209699999999998</v>
      </c>
      <c r="X2313">
        <v>16.370380000000001</v>
      </c>
      <c r="Y2313" t="s">
        <v>14634</v>
      </c>
      <c r="Z2313" t="s">
        <v>14635</v>
      </c>
      <c r="AA2313" t="s">
        <v>14636</v>
      </c>
      <c r="AB2313" t="s">
        <v>14637</v>
      </c>
      <c r="AC2313" t="s">
        <v>14638</v>
      </c>
      <c r="AD2313" s="249" t="str">
        <f>HYPERLINK("https://scontent.cdninstagram.com/t51.2885-15/s320x320/e35/20987566_1792458361044304_6239106756752965632_n.jpg")</f>
        <v>https://scontent.cdninstagram.com/t51.2885-15/s320x320/e35/20987566_1792458361044304_6239106756752965632_n.jpg</v>
      </c>
      <c r="AE2313" s="249" t="str">
        <f>HYPERLINK("https://scontent.cdninstagram.com/t51.2885-19/s150x150/14449205_1935083110052346_2719850656520208384_a.jpg")</f>
        <v>https://scontent.cdninstagram.com/t51.2885-19/s150x150/14449205_1935083110052346_2719850656520208384_a.jpg</v>
      </c>
    </row>
    <row r="2314" spans="1:31" ht="15" x14ac:dyDescent="0.25">
      <c r="A2314" t="s">
        <v>2474</v>
      </c>
      <c r="B2314" t="s">
        <v>14639</v>
      </c>
      <c r="C2314" s="221">
        <v>42970.122696759259</v>
      </c>
      <c r="D2314" t="s">
        <v>14640</v>
      </c>
      <c r="E2314" s="249" t="str">
        <f>HYPERLINK("https://www.instagram.com/p/BYIIXA_DdIS/")</f>
        <v>https://www.instagram.com/p/BYIIXA_DdIS/</v>
      </c>
      <c r="F2314" t="s">
        <v>14641</v>
      </c>
      <c r="G2314" t="s">
        <v>2478</v>
      </c>
      <c r="H2314">
        <v>2014</v>
      </c>
      <c r="I2314" t="s">
        <v>2479</v>
      </c>
      <c r="J2314">
        <v>0</v>
      </c>
      <c r="K2314">
        <v>41</v>
      </c>
      <c r="L2314">
        <v>41</v>
      </c>
      <c r="Q2314">
        <v>0</v>
      </c>
      <c r="R2314">
        <v>0</v>
      </c>
      <c r="S2314">
        <v>41</v>
      </c>
      <c r="Y2314" t="s">
        <v>8178</v>
      </c>
      <c r="Z2314" t="s">
        <v>2497</v>
      </c>
      <c r="AA2314" t="s">
        <v>7015</v>
      </c>
      <c r="AB2314" t="s">
        <v>14642</v>
      </c>
      <c r="AD2314" s="249" t="str">
        <f>HYPERLINK("https://scontent.cdninstagram.com/t51.2885-15/s320x320/e35/c1.0.742.742/20986618_1495626320492892_4430745836590202880_n.jpg")</f>
        <v>https://scontent.cdninstagram.com/t51.2885-15/s320x320/e35/c1.0.742.742/20986618_1495626320492892_4430745836590202880_n.jpg</v>
      </c>
      <c r="AE2314" s="249" t="str">
        <f>HYPERLINK("https://scontent.cdninstagram.com/t51.2885-19/s150x150/18948083_669293273280228_7528065775593062400_a.jpg")</f>
        <v>https://scontent.cdninstagram.com/t51.2885-19/s150x150/18948083_669293273280228_7528065775593062400_a.jpg</v>
      </c>
    </row>
    <row r="2315" spans="1:31" ht="15" x14ac:dyDescent="0.25">
      <c r="A2315" t="s">
        <v>2474</v>
      </c>
      <c r="B2315" t="s">
        <v>2628</v>
      </c>
      <c r="C2315" s="221">
        <v>42970.129363425927</v>
      </c>
      <c r="D2315" t="s">
        <v>14643</v>
      </c>
      <c r="E2315" s="249" t="str">
        <f>HYPERLINK("https://www.instagram.com/p/BYIJdWnA913/")</f>
        <v>https://www.instagram.com/p/BYIJdWnA913/</v>
      </c>
      <c r="F2315" t="s">
        <v>6303</v>
      </c>
      <c r="G2315" t="s">
        <v>2631</v>
      </c>
      <c r="H2315">
        <v>178</v>
      </c>
      <c r="I2315" t="s">
        <v>2479</v>
      </c>
      <c r="J2315">
        <v>1</v>
      </c>
      <c r="K2315">
        <v>42</v>
      </c>
      <c r="L2315">
        <v>43</v>
      </c>
      <c r="Q2315">
        <v>0</v>
      </c>
      <c r="R2315">
        <v>0</v>
      </c>
      <c r="S2315">
        <v>43</v>
      </c>
      <c r="Y2315" t="s">
        <v>5084</v>
      </c>
      <c r="Z2315" t="s">
        <v>3132</v>
      </c>
      <c r="AA2315" t="s">
        <v>8753</v>
      </c>
      <c r="AB2315" t="s">
        <v>14644</v>
      </c>
      <c r="AC2315" t="s">
        <v>8048</v>
      </c>
      <c r="AD2315" s="249" t="str">
        <f>HYPERLINK("https://scontent.cdninstagram.com/t51.2885-15/s320x320/e15/21041057_345710469205668_699780005084790784_n.jpg")</f>
        <v>https://scontent.cdninstagram.com/t51.2885-15/s320x320/e15/21041057_345710469205668_699780005084790784_n.jpg</v>
      </c>
      <c r="AE2315" s="249" t="str">
        <f>HYPERLINK("https://scontent.cdninstagram.com/t51.2885-19/s150x150/13739472_923311071148595_1681273203_a.jpg")</f>
        <v>https://scontent.cdninstagram.com/t51.2885-19/s150x150/13739472_923311071148595_1681273203_a.jpg</v>
      </c>
    </row>
    <row r="2316" spans="1:31" ht="15" x14ac:dyDescent="0.25">
      <c r="A2316" t="s">
        <v>2474</v>
      </c>
      <c r="B2316" t="s">
        <v>14645</v>
      </c>
      <c r="C2316" s="221">
        <v>42970.131874999999</v>
      </c>
      <c r="D2316" t="s">
        <v>14646</v>
      </c>
      <c r="E2316" s="249" t="str">
        <f>HYPERLINK("https://www.instagram.com/p/BYIJ32FhvXx/")</f>
        <v>https://www.instagram.com/p/BYIJ32FhvXx/</v>
      </c>
      <c r="F2316" t="s">
        <v>14647</v>
      </c>
      <c r="G2316" t="s">
        <v>2478</v>
      </c>
      <c r="H2316">
        <v>816</v>
      </c>
      <c r="I2316" t="s">
        <v>2479</v>
      </c>
      <c r="J2316">
        <v>14</v>
      </c>
      <c r="K2316">
        <v>98</v>
      </c>
      <c r="L2316">
        <v>112</v>
      </c>
      <c r="Q2316">
        <v>0</v>
      </c>
      <c r="R2316">
        <v>0</v>
      </c>
      <c r="S2316">
        <v>112</v>
      </c>
      <c r="Y2316" t="s">
        <v>5552</v>
      </c>
      <c r="Z2316" t="s">
        <v>14648</v>
      </c>
      <c r="AA2316" t="s">
        <v>14649</v>
      </c>
      <c r="AB2316" t="s">
        <v>14650</v>
      </c>
      <c r="AC2316" t="s">
        <v>14651</v>
      </c>
      <c r="AD2316" s="249" t="str">
        <f>HYPERLINK("https://scontent.cdninstagram.com/t51.2885-15/s320x320/e35/20986756_111541646223801_5345472737043283968_n.jpg")</f>
        <v>https://scontent.cdninstagram.com/t51.2885-15/s320x320/e35/20986756_111541646223801_5345472737043283968_n.jpg</v>
      </c>
      <c r="AE2316" s="249" t="str">
        <f>HYPERLINK("https://scontent.cdninstagram.com/t51.2885-19/s150x150/20482283_151438075435314_6358168288194723840_a.jpg")</f>
        <v>https://scontent.cdninstagram.com/t51.2885-19/s150x150/20482283_151438075435314_6358168288194723840_a.jpg</v>
      </c>
    </row>
    <row r="2317" spans="1:31" ht="15" x14ac:dyDescent="0.25">
      <c r="A2317" t="s">
        <v>2474</v>
      </c>
      <c r="B2317" t="s">
        <v>3001</v>
      </c>
      <c r="C2317" s="221">
        <v>42970.133159722223</v>
      </c>
      <c r="D2317" t="s">
        <v>14652</v>
      </c>
      <c r="E2317" s="249" t="str">
        <f>HYPERLINK("https://www.instagram.com/p/BYIKFXogrbO/")</f>
        <v>https://www.instagram.com/p/BYIKFXogrbO/</v>
      </c>
      <c r="F2317" t="s">
        <v>14653</v>
      </c>
      <c r="G2317" t="s">
        <v>2478</v>
      </c>
      <c r="H2317">
        <v>199</v>
      </c>
      <c r="I2317" t="s">
        <v>2519</v>
      </c>
      <c r="J2317">
        <v>0</v>
      </c>
      <c r="K2317">
        <v>35</v>
      </c>
      <c r="L2317">
        <v>35</v>
      </c>
      <c r="Q2317">
        <v>0</v>
      </c>
      <c r="R2317">
        <v>0</v>
      </c>
      <c r="S2317">
        <v>35</v>
      </c>
      <c r="Y2317" t="s">
        <v>14654</v>
      </c>
      <c r="Z2317" t="s">
        <v>12524</v>
      </c>
      <c r="AA2317" t="s">
        <v>12522</v>
      </c>
      <c r="AB2317" t="s">
        <v>14655</v>
      </c>
      <c r="AC2317" t="s">
        <v>12525</v>
      </c>
      <c r="AD2317" s="249" t="str">
        <f>HYPERLINK("https://scontent.cdninstagram.com/t51.2885-15/e35/p320x320/21041911_1900063990255047_5765892001723580416_n.jpg")</f>
        <v>https://scontent.cdninstagram.com/t51.2885-15/e35/p320x320/21041911_1900063990255047_5765892001723580416_n.jpg</v>
      </c>
      <c r="AE2317" s="249" t="str">
        <f>HYPERLINK("https://scontent.cdninstagram.com/t51.2885-19/s150x150/18444766_1912067969049122_6949567864466571264_a.jpg")</f>
        <v>https://scontent.cdninstagram.com/t51.2885-19/s150x150/18444766_1912067969049122_6949567864466571264_a.jpg</v>
      </c>
    </row>
    <row r="2318" spans="1:31" ht="15" x14ac:dyDescent="0.25">
      <c r="A2318" t="s">
        <v>2474</v>
      </c>
      <c r="B2318" t="s">
        <v>14656</v>
      </c>
      <c r="C2318" s="221">
        <v>42970.139652777776</v>
      </c>
      <c r="D2318" t="s">
        <v>14657</v>
      </c>
      <c r="E2318" s="249" t="str">
        <f>HYPERLINK("https://www.instagram.com/p/BYILJ8SgsCl/")</f>
        <v>https://www.instagram.com/p/BYILJ8SgsCl/</v>
      </c>
      <c r="F2318" t="s">
        <v>14658</v>
      </c>
      <c r="G2318" t="s">
        <v>2478</v>
      </c>
      <c r="H2318">
        <v>438</v>
      </c>
      <c r="I2318" t="s">
        <v>2479</v>
      </c>
      <c r="J2318">
        <v>0</v>
      </c>
      <c r="K2318">
        <v>28</v>
      </c>
      <c r="L2318">
        <v>28</v>
      </c>
      <c r="Q2318">
        <v>0</v>
      </c>
      <c r="R2318">
        <v>0</v>
      </c>
      <c r="S2318">
        <v>28</v>
      </c>
      <c r="Y2318" t="s">
        <v>2497</v>
      </c>
      <c r="AD2318" s="249" t="str">
        <f>HYPERLINK("https://scontent.cdninstagram.com/t51.2885-15/s320x320/e35/20968488_472654683096910_5820869606041976832_n.jpg")</f>
        <v>https://scontent.cdninstagram.com/t51.2885-15/s320x320/e35/20968488_472654683096910_5820869606041976832_n.jpg</v>
      </c>
      <c r="AE2318" s="249" t="str">
        <f>HYPERLINK("https://scontent.cdninstagram.com/t51.2885-19/s150x150/14712153_1605556103082935_6688912209147330560_a.jpg")</f>
        <v>https://scontent.cdninstagram.com/t51.2885-19/s150x150/14712153_1605556103082935_6688912209147330560_a.jpg</v>
      </c>
    </row>
    <row r="2319" spans="1:31" ht="15" x14ac:dyDescent="0.25">
      <c r="A2319" t="s">
        <v>2474</v>
      </c>
      <c r="B2319" t="s">
        <v>14659</v>
      </c>
      <c r="C2319" s="221">
        <v>42970.143703703703</v>
      </c>
      <c r="D2319" t="s">
        <v>14660</v>
      </c>
      <c r="E2319" s="249" t="str">
        <f>HYPERLINK("https://www.instagram.com/p/BYIL0lVA3dr/")</f>
        <v>https://www.instagram.com/p/BYIL0lVA3dr/</v>
      </c>
      <c r="F2319" t="s">
        <v>14661</v>
      </c>
      <c r="G2319" t="s">
        <v>2478</v>
      </c>
      <c r="H2319">
        <v>640</v>
      </c>
      <c r="I2319" t="s">
        <v>2479</v>
      </c>
      <c r="J2319">
        <v>0</v>
      </c>
      <c r="K2319">
        <v>67</v>
      </c>
      <c r="L2319">
        <v>67</v>
      </c>
      <c r="Q2319">
        <v>0</v>
      </c>
      <c r="R2319">
        <v>0</v>
      </c>
      <c r="S2319">
        <v>67</v>
      </c>
      <c r="Y2319" t="s">
        <v>14662</v>
      </c>
      <c r="Z2319" t="s">
        <v>2497</v>
      </c>
      <c r="AA2319" t="s">
        <v>14663</v>
      </c>
      <c r="AB2319" t="s">
        <v>14664</v>
      </c>
      <c r="AC2319" t="s">
        <v>14665</v>
      </c>
      <c r="AD2319" s="249" t="str">
        <f>HYPERLINK("https://scontent.cdninstagram.com/t51.2885-15/s320x320/e35/20986833_844059825756826_310247503792439296_n.jpg")</f>
        <v>https://scontent.cdninstagram.com/t51.2885-15/s320x320/e35/20986833_844059825756826_310247503792439296_n.jpg</v>
      </c>
      <c r="AE2319" s="249" t="str">
        <f>HYPERLINK("https://scontent.cdninstagram.com/t51.2885-19/s150x150/21042139_347862312302321_4988701451715870720_a.jpg")</f>
        <v>https://scontent.cdninstagram.com/t51.2885-19/s150x150/21042139_347862312302321_4988701451715870720_a.jpg</v>
      </c>
    </row>
    <row r="2320" spans="1:31" ht="15" x14ac:dyDescent="0.25">
      <c r="A2320" t="s">
        <v>2474</v>
      </c>
      <c r="B2320" t="s">
        <v>14666</v>
      </c>
      <c r="C2320" s="221">
        <v>42970.149571759262</v>
      </c>
      <c r="D2320" t="s">
        <v>14667</v>
      </c>
      <c r="E2320" s="249" t="str">
        <f>HYPERLINK("https://www.instagram.com/p/BYIMygZHtuW/")</f>
        <v>https://www.instagram.com/p/BYIMygZHtuW/</v>
      </c>
      <c r="F2320" t="s">
        <v>14668</v>
      </c>
      <c r="G2320" t="s">
        <v>2478</v>
      </c>
      <c r="H2320">
        <v>2917</v>
      </c>
      <c r="I2320" t="s">
        <v>2479</v>
      </c>
      <c r="J2320">
        <v>7</v>
      </c>
      <c r="K2320">
        <v>144</v>
      </c>
      <c r="L2320">
        <v>151</v>
      </c>
      <c r="Q2320">
        <v>0</v>
      </c>
      <c r="R2320">
        <v>0</v>
      </c>
      <c r="S2320">
        <v>151</v>
      </c>
      <c r="Y2320" t="s">
        <v>3716</v>
      </c>
      <c r="Z2320" t="s">
        <v>5848</v>
      </c>
      <c r="AA2320" t="s">
        <v>14669</v>
      </c>
      <c r="AB2320" t="s">
        <v>7287</v>
      </c>
      <c r="AC2320" t="s">
        <v>2609</v>
      </c>
      <c r="AD2320" s="249" t="str">
        <f>HYPERLINK("https://scontent.cdninstagram.com/t51.2885-15/s320x320/e35/20968962_1855193521475616_4103111630873690112_n.jpg")</f>
        <v>https://scontent.cdninstagram.com/t51.2885-15/s320x320/e35/20968962_1855193521475616_4103111630873690112_n.jpg</v>
      </c>
      <c r="AE2320" s="249" t="str">
        <f>HYPERLINK("https://scontent.cdninstagram.com/t51.2885-19/s150x150/21042286_269668396855923_1118703839462031360_a.jpg")</f>
        <v>https://scontent.cdninstagram.com/t51.2885-19/s150x150/21042286_269668396855923_1118703839462031360_a.jpg</v>
      </c>
    </row>
    <row r="2321" spans="1:31" ht="15" x14ac:dyDescent="0.25">
      <c r="A2321" t="s">
        <v>2474</v>
      </c>
      <c r="B2321" t="s">
        <v>8312</v>
      </c>
      <c r="C2321" s="221">
        <v>42970.150127314817</v>
      </c>
      <c r="D2321" t="s">
        <v>14670</v>
      </c>
      <c r="E2321" s="249" t="str">
        <f>HYPERLINK("https://www.instagram.com/p/BYIM4ZfFIJ_/")</f>
        <v>https://www.instagram.com/p/BYIM4ZfFIJ_/</v>
      </c>
      <c r="F2321" t="s">
        <v>14671</v>
      </c>
      <c r="G2321" t="s">
        <v>2478</v>
      </c>
      <c r="H2321">
        <v>20</v>
      </c>
      <c r="I2321" t="s">
        <v>2542</v>
      </c>
      <c r="J2321">
        <v>0</v>
      </c>
      <c r="K2321">
        <v>20</v>
      </c>
      <c r="L2321">
        <v>20</v>
      </c>
      <c r="Q2321">
        <v>0</v>
      </c>
      <c r="R2321">
        <v>0</v>
      </c>
      <c r="S2321">
        <v>20</v>
      </c>
      <c r="T2321" t="s">
        <v>10329</v>
      </c>
      <c r="V2321" t="s">
        <v>2264</v>
      </c>
      <c r="W2321">
        <v>42.764014243490003</v>
      </c>
      <c r="X2321">
        <v>-7.9069180053236003</v>
      </c>
      <c r="Y2321" t="s">
        <v>3946</v>
      </c>
      <c r="Z2321" t="s">
        <v>9073</v>
      </c>
      <c r="AA2321" t="s">
        <v>12910</v>
      </c>
      <c r="AB2321" t="s">
        <v>2497</v>
      </c>
      <c r="AC2321" t="s">
        <v>11189</v>
      </c>
      <c r="AD2321" s="249" t="str">
        <f>HYPERLINK("https://scontent.cdninstagram.com/t51.2885-15/s320x320/e35/21041439_338056009940568_373389200990404608_n.jpg")</f>
        <v>https://scontent.cdninstagram.com/t51.2885-15/s320x320/e35/21041439_338056009940568_373389200990404608_n.jpg</v>
      </c>
      <c r="AE2321" s="249" t="str">
        <f>HYPERLINK("https://scontent.cdninstagram.com/t51.2885-19/s150x150/20347739_515336592144896_3974966673097621504_a.jpg")</f>
        <v>https://scontent.cdninstagram.com/t51.2885-19/s150x150/20347739_515336592144896_3974966673097621504_a.jpg</v>
      </c>
    </row>
    <row r="2322" spans="1:31" ht="15" x14ac:dyDescent="0.25">
      <c r="A2322" t="s">
        <v>2474</v>
      </c>
      <c r="B2322" t="s">
        <v>14672</v>
      </c>
      <c r="C2322" s="221">
        <v>42970.153090277781</v>
      </c>
      <c r="D2322" t="s">
        <v>14673</v>
      </c>
      <c r="E2322" s="249" t="str">
        <f>HYPERLINK("https://www.instagram.com/p/BYINXnbgXLv/")</f>
        <v>https://www.instagram.com/p/BYINXnbgXLv/</v>
      </c>
      <c r="F2322" t="s">
        <v>14674</v>
      </c>
      <c r="G2322" t="s">
        <v>2478</v>
      </c>
      <c r="H2322">
        <v>1191</v>
      </c>
      <c r="I2322" t="s">
        <v>2479</v>
      </c>
      <c r="J2322">
        <v>0</v>
      </c>
      <c r="K2322">
        <v>52</v>
      </c>
      <c r="L2322">
        <v>52</v>
      </c>
      <c r="Q2322">
        <v>0</v>
      </c>
      <c r="R2322">
        <v>0</v>
      </c>
      <c r="S2322">
        <v>52</v>
      </c>
      <c r="Y2322" t="s">
        <v>3174</v>
      </c>
      <c r="Z2322" t="s">
        <v>14675</v>
      </c>
      <c r="AA2322" t="s">
        <v>5884</v>
      </c>
      <c r="AB2322" t="s">
        <v>2778</v>
      </c>
      <c r="AC2322" t="s">
        <v>2777</v>
      </c>
      <c r="AD2322" s="249" t="str">
        <f>HYPERLINK("https://scontent.cdninstagram.com/t51.2885-15/s320x320/e35/21042283_339476616510346_5432367115216617472_n.jpg")</f>
        <v>https://scontent.cdninstagram.com/t51.2885-15/s320x320/e35/21042283_339476616510346_5432367115216617472_n.jpg</v>
      </c>
      <c r="AE2322" s="249" t="str">
        <f>HYPERLINK("https://scontent.cdninstagram.com/t51.2885-19/s150x150/18722991_1868892020037723_8638164953020235776_a.jpg")</f>
        <v>https://scontent.cdninstagram.com/t51.2885-19/s150x150/18722991_1868892020037723_8638164953020235776_a.jpg</v>
      </c>
    </row>
    <row r="2323" spans="1:31" ht="15" x14ac:dyDescent="0.25">
      <c r="A2323" t="s">
        <v>2474</v>
      </c>
      <c r="B2323" t="s">
        <v>2636</v>
      </c>
      <c r="C2323" s="221">
        <v>42970.155439814815</v>
      </c>
      <c r="D2323" t="s">
        <v>14676</v>
      </c>
      <c r="E2323" s="249" t="str">
        <f>HYPERLINK("https://www.instagram.com/p/BYINwa_Hu2g/")</f>
        <v>https://www.instagram.com/p/BYINwa_Hu2g/</v>
      </c>
      <c r="F2323" t="s">
        <v>14677</v>
      </c>
      <c r="G2323" t="s">
        <v>2478</v>
      </c>
      <c r="H2323">
        <v>322</v>
      </c>
      <c r="I2323" t="s">
        <v>2599</v>
      </c>
      <c r="J2323">
        <v>4</v>
      </c>
      <c r="K2323">
        <v>48</v>
      </c>
      <c r="L2323">
        <v>52</v>
      </c>
      <c r="Q2323">
        <v>0</v>
      </c>
      <c r="R2323">
        <v>0</v>
      </c>
      <c r="S2323">
        <v>52</v>
      </c>
      <c r="Y2323" t="s">
        <v>8032</v>
      </c>
      <c r="Z2323" t="s">
        <v>14678</v>
      </c>
      <c r="AA2323" t="s">
        <v>14679</v>
      </c>
      <c r="AB2323" t="s">
        <v>3815</v>
      </c>
      <c r="AC2323" t="s">
        <v>14680</v>
      </c>
      <c r="AD2323" s="249" t="str">
        <f>HYPERLINK("https://scontent.cdninstagram.com/t51.2885-15/e35/p320x320/20986984_1952016118411478_1488727508374257664_n.jpg")</f>
        <v>https://scontent.cdninstagram.com/t51.2885-15/e35/p320x320/20986984_1952016118411478_1488727508374257664_n.jpg</v>
      </c>
      <c r="AE2323" s="249" t="str">
        <f>HYPERLINK("https://scontent.cdninstagram.com/t51.2885-19/s150x150/15802797_1331780626878656_4160680230047973376_a.jpg")</f>
        <v>https://scontent.cdninstagram.com/t51.2885-19/s150x150/15802797_1331780626878656_4160680230047973376_a.jpg</v>
      </c>
    </row>
    <row r="2324" spans="1:31" ht="15" x14ac:dyDescent="0.25">
      <c r="A2324" t="s">
        <v>2474</v>
      </c>
      <c r="B2324" t="s">
        <v>14681</v>
      </c>
      <c r="C2324" s="221">
        <v>42970.16034722222</v>
      </c>
      <c r="D2324" t="s">
        <v>14682</v>
      </c>
      <c r="E2324" s="249" t="str">
        <f>HYPERLINK("https://www.instagram.com/p/BYIOkNLFVhY/")</f>
        <v>https://www.instagram.com/p/BYIOkNLFVhY/</v>
      </c>
      <c r="F2324" t="s">
        <v>14683</v>
      </c>
      <c r="G2324" t="s">
        <v>2478</v>
      </c>
      <c r="H2324">
        <v>1950</v>
      </c>
      <c r="I2324" t="s">
        <v>2479</v>
      </c>
      <c r="J2324">
        <v>0</v>
      </c>
      <c r="K2324">
        <v>314</v>
      </c>
      <c r="L2324">
        <v>314</v>
      </c>
      <c r="Q2324">
        <v>0</v>
      </c>
      <c r="R2324">
        <v>0</v>
      </c>
      <c r="S2324">
        <v>314</v>
      </c>
      <c r="Y2324" t="s">
        <v>14684</v>
      </c>
      <c r="Z2324" t="s">
        <v>7393</v>
      </c>
      <c r="AA2324" t="s">
        <v>7553</v>
      </c>
      <c r="AB2324" t="s">
        <v>14685</v>
      </c>
      <c r="AC2324" t="s">
        <v>2497</v>
      </c>
      <c r="AD2324" s="249" t="str">
        <f>HYPERLINK("https://scontent.cdninstagram.com/t51.2885-15/s320x320/e35/20968521_1912092755697262_1218491511889461248_n.jpg")</f>
        <v>https://scontent.cdninstagram.com/t51.2885-15/s320x320/e35/20968521_1912092755697262_1218491511889461248_n.jpg</v>
      </c>
      <c r="AE2324" s="249" t="str">
        <f>HYPERLINK("https://scontent.cdninstagram.com/t51.2885-19/s150x150/20582864_266099353794697_2584843131279114240_a.jpg")</f>
        <v>https://scontent.cdninstagram.com/t51.2885-19/s150x150/20582864_266099353794697_2584843131279114240_a.jpg</v>
      </c>
    </row>
    <row r="2325" spans="1:31" ht="15" x14ac:dyDescent="0.25">
      <c r="A2325" t="s">
        <v>2474</v>
      </c>
      <c r="B2325" t="s">
        <v>14686</v>
      </c>
      <c r="C2325" s="221">
        <v>42970.161481481482</v>
      </c>
      <c r="D2325" t="s">
        <v>14687</v>
      </c>
      <c r="E2325" s="249" t="str">
        <f>HYPERLINK("https://www.instagram.com/p/BYIOwG0FE3-/")</f>
        <v>https://www.instagram.com/p/BYIOwG0FE3-/</v>
      </c>
      <c r="F2325" t="s">
        <v>14688</v>
      </c>
      <c r="G2325" t="s">
        <v>2478</v>
      </c>
      <c r="H2325">
        <v>330</v>
      </c>
      <c r="I2325" t="s">
        <v>2599</v>
      </c>
      <c r="J2325">
        <v>0</v>
      </c>
      <c r="K2325">
        <v>3</v>
      </c>
      <c r="L2325">
        <v>3</v>
      </c>
      <c r="Q2325">
        <v>0</v>
      </c>
      <c r="R2325">
        <v>0</v>
      </c>
      <c r="S2325">
        <v>3</v>
      </c>
      <c r="Y2325" t="s">
        <v>4154</v>
      </c>
      <c r="Z2325" t="s">
        <v>8009</v>
      </c>
      <c r="AA2325" t="s">
        <v>2778</v>
      </c>
      <c r="AB2325" t="s">
        <v>14689</v>
      </c>
      <c r="AC2325" t="s">
        <v>2497</v>
      </c>
      <c r="AD2325" s="249" t="str">
        <f>HYPERLINK("https://scontent.cdninstagram.com/t51.2885-15/s320x320/e35/21107519_111444976235177_327204902260441088_n.jpg")</f>
        <v>https://scontent.cdninstagram.com/t51.2885-15/s320x320/e35/21107519_111444976235177_327204902260441088_n.jpg</v>
      </c>
      <c r="AE2325" s="249" t="str">
        <f>HYPERLINK("https://scontent.cdninstagram.com/t51.2885-19/s150x150/21224239_855651834608264_5780044550324092928_a.jpg")</f>
        <v>https://scontent.cdninstagram.com/t51.2885-19/s150x150/21224239_855651834608264_5780044550324092928_a.jpg</v>
      </c>
    </row>
    <row r="2326" spans="1:31" ht="15" x14ac:dyDescent="0.25">
      <c r="A2326" t="s">
        <v>2474</v>
      </c>
      <c r="B2326" t="s">
        <v>7152</v>
      </c>
      <c r="C2326" s="221">
        <v>42970.163969907408</v>
      </c>
      <c r="D2326" t="s">
        <v>14690</v>
      </c>
      <c r="E2326" s="249" t="str">
        <f>HYPERLINK("https://www.instagram.com/p/BYIPKWrDHy_/")</f>
        <v>https://www.instagram.com/p/BYIPKWrDHy_/</v>
      </c>
      <c r="F2326" t="s">
        <v>14691</v>
      </c>
      <c r="G2326" t="s">
        <v>2478</v>
      </c>
      <c r="H2326">
        <v>111</v>
      </c>
      <c r="I2326" t="s">
        <v>2542</v>
      </c>
      <c r="J2326">
        <v>1</v>
      </c>
      <c r="K2326">
        <v>14</v>
      </c>
      <c r="L2326">
        <v>15</v>
      </c>
      <c r="Q2326">
        <v>0</v>
      </c>
      <c r="R2326">
        <v>0</v>
      </c>
      <c r="S2326">
        <v>15</v>
      </c>
      <c r="Y2326" t="s">
        <v>2876</v>
      </c>
      <c r="Z2326" t="s">
        <v>12651</v>
      </c>
      <c r="AA2326" t="s">
        <v>14692</v>
      </c>
      <c r="AB2326" t="s">
        <v>2497</v>
      </c>
      <c r="AC2326" t="s">
        <v>10979</v>
      </c>
      <c r="AD2326" s="249" t="str">
        <f>HYPERLINK("https://scontent.cdninstagram.com/t51.2885-15/e35/p320x320/20987499_348111828945070_2602423218400657408_n.jpg")</f>
        <v>https://scontent.cdninstagram.com/t51.2885-15/e35/p320x320/20987499_348111828945070_2602423218400657408_n.jpg</v>
      </c>
      <c r="AE2326" s="249" t="str">
        <f>HYPERLINK("https://scontent.cdninstagram.com/t51.2885-19/s150x150/20181062_1791856511105718_4709893984703479808_a.jpg")</f>
        <v>https://scontent.cdninstagram.com/t51.2885-19/s150x150/20181062_1791856511105718_4709893984703479808_a.jpg</v>
      </c>
    </row>
    <row r="2327" spans="1:31" ht="15" x14ac:dyDescent="0.25">
      <c r="A2327" t="s">
        <v>2474</v>
      </c>
      <c r="B2327" t="s">
        <v>3644</v>
      </c>
      <c r="C2327" s="221">
        <v>42970.165324074071</v>
      </c>
      <c r="D2327" t="s">
        <v>14693</v>
      </c>
      <c r="E2327" s="249" t="str">
        <f>HYPERLINK("https://www.instagram.com/p/BYIPYrvFJDs/")</f>
        <v>https://www.instagram.com/p/BYIPYrvFJDs/</v>
      </c>
      <c r="F2327" t="s">
        <v>14694</v>
      </c>
      <c r="G2327" t="s">
        <v>2631</v>
      </c>
      <c r="H2327">
        <v>574</v>
      </c>
      <c r="I2327" t="s">
        <v>2479</v>
      </c>
      <c r="J2327">
        <v>1</v>
      </c>
      <c r="K2327">
        <v>32</v>
      </c>
      <c r="L2327">
        <v>33</v>
      </c>
      <c r="Q2327">
        <v>0</v>
      </c>
      <c r="R2327">
        <v>0</v>
      </c>
      <c r="S2327">
        <v>33</v>
      </c>
      <c r="T2327" t="s">
        <v>3647</v>
      </c>
      <c r="V2327" t="s">
        <v>2141</v>
      </c>
      <c r="W2327">
        <v>55.426879900000003</v>
      </c>
      <c r="X2327">
        <v>10.3903303</v>
      </c>
      <c r="Y2327" t="s">
        <v>7120</v>
      </c>
      <c r="Z2327" t="s">
        <v>6487</v>
      </c>
      <c r="AA2327" t="s">
        <v>5867</v>
      </c>
      <c r="AB2327" t="s">
        <v>10171</v>
      </c>
      <c r="AC2327" t="s">
        <v>14695</v>
      </c>
      <c r="AD2327" s="249" t="str">
        <f>HYPERLINK("https://scontent.cdninstagram.com/t51.2885-15/s320x320/e15/20968751_1945697055671393_1229800603161460736_n.jpg")</f>
        <v>https://scontent.cdninstagram.com/t51.2885-15/s320x320/e15/20968751_1945697055671393_1229800603161460736_n.jpg</v>
      </c>
      <c r="AE2327" s="249" t="str">
        <f>HYPERLINK("https://scontent.cdninstagram.com/t51.2885-19/s150x150/14714495_1790450111234953_7147855754219749376_a.jpg")</f>
        <v>https://scontent.cdninstagram.com/t51.2885-19/s150x150/14714495_1790450111234953_7147855754219749376_a.jpg</v>
      </c>
    </row>
    <row r="2328" spans="1:31" ht="15" x14ac:dyDescent="0.25">
      <c r="A2328" t="s">
        <v>2474</v>
      </c>
      <c r="B2328" t="s">
        <v>14696</v>
      </c>
      <c r="C2328" s="221">
        <v>42970.176527777781</v>
      </c>
      <c r="D2328" t="s">
        <v>14697</v>
      </c>
      <c r="E2328" s="249" t="str">
        <f>HYPERLINK("https://www.instagram.com/p/BYIROyNAOe0/")</f>
        <v>https://www.instagram.com/p/BYIROyNAOe0/</v>
      </c>
      <c r="F2328" t="s">
        <v>14698</v>
      </c>
      <c r="G2328" t="s">
        <v>2478</v>
      </c>
      <c r="H2328">
        <v>646</v>
      </c>
      <c r="I2328" t="s">
        <v>2479</v>
      </c>
      <c r="J2328">
        <v>0</v>
      </c>
      <c r="K2328">
        <v>64</v>
      </c>
      <c r="L2328">
        <v>64</v>
      </c>
      <c r="Q2328">
        <v>0</v>
      </c>
      <c r="R2328">
        <v>0</v>
      </c>
      <c r="S2328">
        <v>64</v>
      </c>
      <c r="Y2328" t="s">
        <v>2734</v>
      </c>
      <c r="Z2328" t="s">
        <v>14699</v>
      </c>
      <c r="AA2328" t="s">
        <v>14700</v>
      </c>
      <c r="AB2328" t="s">
        <v>14701</v>
      </c>
      <c r="AC2328" t="s">
        <v>2497</v>
      </c>
      <c r="AD2328" s="249" t="str">
        <f>HYPERLINK("https://scontent.cdninstagram.com/t51.2885-15/s320x320/e35/21041897_111063806254048_2503800624571744256_n.jpg")</f>
        <v>https://scontent.cdninstagram.com/t51.2885-15/s320x320/e35/21041897_111063806254048_2503800624571744256_n.jpg</v>
      </c>
      <c r="AE2328" s="249" t="str">
        <f>HYPERLINK("https://scontent.cdninstagram.com/t51.2885-19/s150x150/12750280_1202362973110578_1490525497_a.jpg")</f>
        <v>https://scontent.cdninstagram.com/t51.2885-19/s150x150/12750280_1202362973110578_1490525497_a.jpg</v>
      </c>
    </row>
    <row r="2329" spans="1:31" ht="15" x14ac:dyDescent="0.25">
      <c r="A2329" t="s">
        <v>2474</v>
      </c>
      <c r="B2329" t="s">
        <v>14702</v>
      </c>
      <c r="C2329" s="221">
        <v>42970.177685185183</v>
      </c>
      <c r="D2329" t="s">
        <v>14703</v>
      </c>
      <c r="E2329" s="249" t="str">
        <f>HYPERLINK("https://www.instagram.com/p/BYIRbFhjcOO/")</f>
        <v>https://www.instagram.com/p/BYIRbFhjcOO/</v>
      </c>
      <c r="F2329" t="s">
        <v>14704</v>
      </c>
      <c r="G2329" t="s">
        <v>2478</v>
      </c>
      <c r="H2329">
        <v>4101</v>
      </c>
      <c r="I2329" t="s">
        <v>2479</v>
      </c>
      <c r="J2329">
        <v>0</v>
      </c>
      <c r="K2329">
        <v>42</v>
      </c>
      <c r="L2329">
        <v>42</v>
      </c>
      <c r="Q2329">
        <v>0</v>
      </c>
      <c r="R2329">
        <v>0</v>
      </c>
      <c r="S2329">
        <v>42</v>
      </c>
      <c r="Y2329" t="s">
        <v>4801</v>
      </c>
      <c r="Z2329" t="s">
        <v>8783</v>
      </c>
      <c r="AA2329" t="s">
        <v>2497</v>
      </c>
      <c r="AB2329" t="s">
        <v>5196</v>
      </c>
      <c r="AC2329" t="s">
        <v>13802</v>
      </c>
      <c r="AD2329" s="249" t="str">
        <f>HYPERLINK("https://scontent.cdninstagram.com/t51.2885-15/s320x320/e35/20986996_1922281478093962_7181945042792087552_n.jpg")</f>
        <v>https://scontent.cdninstagram.com/t51.2885-15/s320x320/e35/20986996_1922281478093962_7181945042792087552_n.jpg</v>
      </c>
      <c r="AE2329" s="249" t="str">
        <f>HYPERLINK("https://scontent.cdninstagram.com/t51.2885-19/s150x150/14533687_165561283920830_4443058223632613376_a.jpg")</f>
        <v>https://scontent.cdninstagram.com/t51.2885-19/s150x150/14533687_165561283920830_4443058223632613376_a.jpg</v>
      </c>
    </row>
    <row r="2330" spans="1:31" ht="15" x14ac:dyDescent="0.25">
      <c r="A2330" t="s">
        <v>2474</v>
      </c>
      <c r="B2330" t="s">
        <v>14705</v>
      </c>
      <c r="C2330" s="221">
        <v>42970.183900462966</v>
      </c>
      <c r="D2330" t="s">
        <v>14706</v>
      </c>
      <c r="E2330" s="249" t="str">
        <f>HYPERLINK("https://www.instagram.com/p/BYISchJhl8e/")</f>
        <v>https://www.instagram.com/p/BYISchJhl8e/</v>
      </c>
      <c r="F2330" t="s">
        <v>14707</v>
      </c>
      <c r="G2330" t="s">
        <v>2478</v>
      </c>
      <c r="H2330">
        <v>2933</v>
      </c>
      <c r="I2330" t="s">
        <v>2479</v>
      </c>
      <c r="J2330">
        <v>1</v>
      </c>
      <c r="K2330">
        <v>83</v>
      </c>
      <c r="L2330">
        <v>84</v>
      </c>
      <c r="Q2330">
        <v>0</v>
      </c>
      <c r="R2330">
        <v>0</v>
      </c>
      <c r="S2330">
        <v>84</v>
      </c>
      <c r="Y2330" t="s">
        <v>3262</v>
      </c>
      <c r="Z2330" t="s">
        <v>14708</v>
      </c>
      <c r="AA2330" t="s">
        <v>7735</v>
      </c>
      <c r="AB2330" t="s">
        <v>2497</v>
      </c>
      <c r="AC2330" t="s">
        <v>14709</v>
      </c>
      <c r="AD2330" s="249" t="str">
        <f>HYPERLINK("https://scontent.cdninstagram.com/t51.2885-15/e35/p320x320/21041558_703853673144431_1140885636148887552_n.jpg")</f>
        <v>https://scontent.cdninstagram.com/t51.2885-15/e35/p320x320/21041558_703853673144431_1140885636148887552_n.jpg</v>
      </c>
      <c r="AE2330" s="249" t="str">
        <f>HYPERLINK("https://scontent.cdninstagram.com/t51.2885-19/s150x150/16789966_1854041304809010_7440170670039760896_a.jpg")</f>
        <v>https://scontent.cdninstagram.com/t51.2885-19/s150x150/16789966_1854041304809010_7440170670039760896_a.jpg</v>
      </c>
    </row>
    <row r="2331" spans="1:31" ht="15" x14ac:dyDescent="0.25">
      <c r="A2331" t="s">
        <v>2474</v>
      </c>
      <c r="B2331" t="s">
        <v>14710</v>
      </c>
      <c r="C2331" s="221">
        <v>42970.186793981484</v>
      </c>
      <c r="D2331" t="s">
        <v>14711</v>
      </c>
      <c r="E2331" s="249" t="str">
        <f>HYPERLINK("https://www.instagram.com/p/BYIS7J7n3xW/")</f>
        <v>https://www.instagram.com/p/BYIS7J7n3xW/</v>
      </c>
      <c r="F2331" t="s">
        <v>14712</v>
      </c>
      <c r="G2331" t="s">
        <v>2478</v>
      </c>
      <c r="H2331">
        <v>536</v>
      </c>
      <c r="I2331" t="s">
        <v>2479</v>
      </c>
      <c r="J2331">
        <v>0</v>
      </c>
      <c r="K2331">
        <v>37</v>
      </c>
      <c r="L2331">
        <v>37</v>
      </c>
      <c r="Q2331">
        <v>0</v>
      </c>
      <c r="R2331">
        <v>0</v>
      </c>
      <c r="S2331">
        <v>37</v>
      </c>
      <c r="Y2331" t="s">
        <v>14713</v>
      </c>
      <c r="Z2331" t="s">
        <v>14714</v>
      </c>
      <c r="AA2331" t="s">
        <v>14480</v>
      </c>
      <c r="AB2331" t="s">
        <v>2497</v>
      </c>
      <c r="AC2331" t="s">
        <v>14481</v>
      </c>
      <c r="AD2331" s="249" t="str">
        <f>HYPERLINK("https://scontent.cdninstagram.com/t51.2885-15/s320x320/e35/21040997_1859049581089606_6244241802472194048_n.jpg")</f>
        <v>https://scontent.cdninstagram.com/t51.2885-15/s320x320/e35/21040997_1859049581089606_6244241802472194048_n.jpg</v>
      </c>
      <c r="AE2331" s="249" t="str">
        <f>HYPERLINK("https://scontent.cdninstagram.com/t51.2885-19/s150x150/21147813_1452416254846302_1910966396079046656_a.jpg")</f>
        <v>https://scontent.cdninstagram.com/t51.2885-19/s150x150/21147813_1452416254846302_1910966396079046656_a.jpg</v>
      </c>
    </row>
    <row r="2332" spans="1:31" ht="15" x14ac:dyDescent="0.25">
      <c r="A2332" t="s">
        <v>2474</v>
      </c>
      <c r="B2332" t="s">
        <v>2539</v>
      </c>
      <c r="C2332" s="221">
        <v>42970.194004629629</v>
      </c>
      <c r="D2332" t="s">
        <v>14715</v>
      </c>
      <c r="E2332" s="249" t="str">
        <f>HYPERLINK("https://www.instagram.com/p/BYIUHJMF6MU/")</f>
        <v>https://www.instagram.com/p/BYIUHJMF6MU/</v>
      </c>
      <c r="F2332" t="s">
        <v>14716</v>
      </c>
      <c r="G2332" t="s">
        <v>2478</v>
      </c>
      <c r="H2332">
        <v>410</v>
      </c>
      <c r="I2332" t="s">
        <v>3575</v>
      </c>
      <c r="J2332">
        <v>6</v>
      </c>
      <c r="K2332">
        <v>41</v>
      </c>
      <c r="L2332">
        <v>47</v>
      </c>
      <c r="Q2332">
        <v>0</v>
      </c>
      <c r="R2332">
        <v>0</v>
      </c>
      <c r="S2332">
        <v>47</v>
      </c>
      <c r="Y2332" t="s">
        <v>2876</v>
      </c>
      <c r="Z2332" t="s">
        <v>5671</v>
      </c>
      <c r="AA2332" t="s">
        <v>14717</v>
      </c>
      <c r="AB2332" t="s">
        <v>14718</v>
      </c>
      <c r="AC2332" t="s">
        <v>2546</v>
      </c>
      <c r="AD2332" s="249" t="str">
        <f>HYPERLINK("https://scontent.cdninstagram.com/t51.2885-15/e35/p320x320/21042044_130740627544262_2077080947810893824_n.jpg")</f>
        <v>https://scontent.cdninstagram.com/t51.2885-15/e35/p320x320/21042044_130740627544262_2077080947810893824_n.jpg</v>
      </c>
      <c r="AE2332" s="249" t="str">
        <f>HYPERLINK("https://scontent.cdninstagram.com/t51.2885-19/s150x150/19227114_291634031306626_657711552039747584_a.jpg")</f>
        <v>https://scontent.cdninstagram.com/t51.2885-19/s150x150/19227114_291634031306626_657711552039747584_a.jpg</v>
      </c>
    </row>
    <row r="2333" spans="1:31" ht="15" x14ac:dyDescent="0.25">
      <c r="A2333" t="s">
        <v>2474</v>
      </c>
      <c r="B2333" t="s">
        <v>14719</v>
      </c>
      <c r="C2333" s="221">
        <v>42970.194085648145</v>
      </c>
      <c r="D2333" t="s">
        <v>14720</v>
      </c>
      <c r="E2333" s="249" t="str">
        <f>HYPERLINK("https://www.instagram.com/p/BYIUIBuHxny/")</f>
        <v>https://www.instagram.com/p/BYIUIBuHxny/</v>
      </c>
      <c r="F2333" t="s">
        <v>14173</v>
      </c>
      <c r="G2333" t="s">
        <v>2478</v>
      </c>
      <c r="H2333">
        <v>68</v>
      </c>
      <c r="I2333" t="s">
        <v>2479</v>
      </c>
      <c r="J2333">
        <v>1</v>
      </c>
      <c r="K2333">
        <v>14</v>
      </c>
      <c r="L2333">
        <v>15</v>
      </c>
      <c r="Q2333">
        <v>0</v>
      </c>
      <c r="R2333">
        <v>0</v>
      </c>
      <c r="S2333">
        <v>15</v>
      </c>
      <c r="Y2333" t="s">
        <v>7322</v>
      </c>
      <c r="Z2333" t="s">
        <v>14721</v>
      </c>
      <c r="AA2333" t="s">
        <v>5671</v>
      </c>
      <c r="AB2333" t="s">
        <v>14176</v>
      </c>
      <c r="AC2333" t="s">
        <v>14722</v>
      </c>
      <c r="AD2333" s="249" t="str">
        <f>HYPERLINK("https://scontent.cdninstagram.com/t51.2885-15/s320x320/e35/20968823_1091444964321421_1100656399769141248_n.jpg")</f>
        <v>https://scontent.cdninstagram.com/t51.2885-15/s320x320/e35/20968823_1091444964321421_1100656399769141248_n.jpg</v>
      </c>
      <c r="AE2333" s="249" t="str">
        <f>HYPERLINK("https://scontent.cdninstagram.com/t51.2885-19/s150x150/20904853_1577974285581088_5873637849118539776_n.jpg")</f>
        <v>https://scontent.cdninstagram.com/t51.2885-19/s150x150/20904853_1577974285581088_5873637849118539776_n.jpg</v>
      </c>
    </row>
    <row r="2334" spans="1:31" ht="15" x14ac:dyDescent="0.25">
      <c r="A2334" t="s">
        <v>2474</v>
      </c>
      <c r="B2334" t="s">
        <v>14723</v>
      </c>
      <c r="C2334" s="221">
        <v>42970.195648148147</v>
      </c>
      <c r="D2334" t="s">
        <v>14724</v>
      </c>
      <c r="E2334" s="249" t="str">
        <f>HYPERLINK("https://www.instagram.com/p/BYIUYa7Adiw/")</f>
        <v>https://www.instagram.com/p/BYIUYa7Adiw/</v>
      </c>
      <c r="F2334" t="s">
        <v>14725</v>
      </c>
      <c r="G2334" t="s">
        <v>2631</v>
      </c>
      <c r="H2334">
        <v>308</v>
      </c>
      <c r="I2334" t="s">
        <v>2510</v>
      </c>
      <c r="J2334">
        <v>0</v>
      </c>
      <c r="K2334">
        <v>44</v>
      </c>
      <c r="L2334">
        <v>44</v>
      </c>
      <c r="Q2334">
        <v>0</v>
      </c>
      <c r="R2334">
        <v>0</v>
      </c>
      <c r="S2334">
        <v>44</v>
      </c>
      <c r="Y2334" t="s">
        <v>14726</v>
      </c>
      <c r="Z2334" t="s">
        <v>3962</v>
      </c>
      <c r="AA2334" t="s">
        <v>14727</v>
      </c>
      <c r="AB2334" t="s">
        <v>2609</v>
      </c>
      <c r="AC2334" t="s">
        <v>14728</v>
      </c>
      <c r="AD2334" s="249" t="str">
        <f>HYPERLINK("https://scontent.cdninstagram.com/t51.2885-15/s320x320/e15/20969209_138993936704012_247237189644058624_n.jpg")</f>
        <v>https://scontent.cdninstagram.com/t51.2885-15/s320x320/e15/20969209_138993936704012_247237189644058624_n.jpg</v>
      </c>
      <c r="AE2334" s="249" t="str">
        <f>HYPERLINK("https://scontent.cdninstagram.com/t51.2885-19/s150x150/12717097_956565874438539_1558668006_a.jpg")</f>
        <v>https://scontent.cdninstagram.com/t51.2885-19/s150x150/12717097_956565874438539_1558668006_a.jpg</v>
      </c>
    </row>
    <row r="2335" spans="1:31" ht="15" x14ac:dyDescent="0.25">
      <c r="A2335" t="s">
        <v>2474</v>
      </c>
      <c r="B2335" t="s">
        <v>2685</v>
      </c>
      <c r="C2335" s="221">
        <v>42970.197777777779</v>
      </c>
      <c r="D2335" t="s">
        <v>14729</v>
      </c>
      <c r="E2335" s="249" t="str">
        <f>HYPERLINK("https://www.instagram.com/p/BYIUu8_FE3m/")</f>
        <v>https://www.instagram.com/p/BYIUu8_FE3m/</v>
      </c>
      <c r="F2335" t="s">
        <v>14730</v>
      </c>
      <c r="G2335" t="s">
        <v>2478</v>
      </c>
      <c r="H2335">
        <v>227</v>
      </c>
      <c r="I2335" t="s">
        <v>2479</v>
      </c>
      <c r="J2335">
        <v>0</v>
      </c>
      <c r="K2335">
        <v>39</v>
      </c>
      <c r="L2335">
        <v>39</v>
      </c>
      <c r="Q2335">
        <v>0</v>
      </c>
      <c r="R2335">
        <v>0</v>
      </c>
      <c r="S2335">
        <v>39</v>
      </c>
      <c r="Y2335" t="s">
        <v>2691</v>
      </c>
      <c r="Z2335" t="s">
        <v>14731</v>
      </c>
      <c r="AA2335" t="s">
        <v>14732</v>
      </c>
      <c r="AB2335" t="s">
        <v>5727</v>
      </c>
      <c r="AC2335" t="s">
        <v>14733</v>
      </c>
      <c r="AD2335" s="249" t="str">
        <f>HYPERLINK("https://scontent.cdninstagram.com/t51.2885-15/s320x320/e35/21040982_1740057339632637_8583578907985313792_n.jpg")</f>
        <v>https://scontent.cdninstagram.com/t51.2885-15/s320x320/e35/21040982_1740057339632637_8583578907985313792_n.jpg</v>
      </c>
      <c r="AE2335" s="249" t="str">
        <f>HYPERLINK("https://scontent.cdninstagram.com/t51.2885-19/s150x150/12339026_997056470351354_891418646_a.jpg")</f>
        <v>https://scontent.cdninstagram.com/t51.2885-19/s150x150/12339026_997056470351354_891418646_a.jpg</v>
      </c>
    </row>
    <row r="2336" spans="1:31" ht="15" x14ac:dyDescent="0.25">
      <c r="A2336" t="s">
        <v>2474</v>
      </c>
      <c r="B2336" t="s">
        <v>14734</v>
      </c>
      <c r="C2336" s="221">
        <v>42970.208668981482</v>
      </c>
      <c r="D2336" t="s">
        <v>14735</v>
      </c>
      <c r="E2336" s="249" t="str">
        <f>HYPERLINK("https://www.instagram.com/p/BYIWhwEnwv6/")</f>
        <v>https://www.instagram.com/p/BYIWhwEnwv6/</v>
      </c>
      <c r="F2336" t="s">
        <v>14736</v>
      </c>
      <c r="G2336" t="s">
        <v>2478</v>
      </c>
      <c r="H2336">
        <v>205</v>
      </c>
      <c r="I2336" t="s">
        <v>2479</v>
      </c>
      <c r="J2336">
        <v>1</v>
      </c>
      <c r="K2336">
        <v>29</v>
      </c>
      <c r="L2336">
        <v>30</v>
      </c>
      <c r="Q2336">
        <v>0</v>
      </c>
      <c r="R2336">
        <v>0</v>
      </c>
      <c r="S2336">
        <v>30</v>
      </c>
      <c r="Y2336" t="s">
        <v>8407</v>
      </c>
      <c r="Z2336" t="s">
        <v>14737</v>
      </c>
      <c r="AA2336" t="s">
        <v>3196</v>
      </c>
      <c r="AB2336" t="s">
        <v>2937</v>
      </c>
      <c r="AC2336" t="s">
        <v>4988</v>
      </c>
      <c r="AD2336" s="249" t="str">
        <f>HYPERLINK("https://scontent.cdninstagram.com/t51.2885-15/s320x320/e35/20905811_1883844408600465_2354474498704539648_n.jpg")</f>
        <v>https://scontent.cdninstagram.com/t51.2885-15/s320x320/e35/20905811_1883844408600465_2354474498704539648_n.jpg</v>
      </c>
      <c r="AE2336" s="249" t="str">
        <f>HYPERLINK("https://scontent.cdninstagram.com/t51.2885-19/s150x150/20635237_1151844741626143_108666039843160064_a.jpg")</f>
        <v>https://scontent.cdninstagram.com/t51.2885-19/s150x150/20635237_1151844741626143_108666039843160064_a.jpg</v>
      </c>
    </row>
    <row r="2337" spans="1:31" ht="15" x14ac:dyDescent="0.25">
      <c r="A2337" t="s">
        <v>2474</v>
      </c>
      <c r="B2337" t="s">
        <v>3895</v>
      </c>
      <c r="C2337" s="221">
        <v>42970.210659722223</v>
      </c>
      <c r="D2337" t="s">
        <v>14738</v>
      </c>
      <c r="E2337" s="249" t="str">
        <f>HYPERLINK("https://www.instagram.com/p/BYIW211FnEU/")</f>
        <v>https://www.instagram.com/p/BYIW211FnEU/</v>
      </c>
      <c r="F2337" t="s">
        <v>14739</v>
      </c>
      <c r="G2337" t="s">
        <v>2478</v>
      </c>
      <c r="H2337">
        <v>431</v>
      </c>
      <c r="I2337" t="s">
        <v>2910</v>
      </c>
      <c r="J2337">
        <v>2</v>
      </c>
      <c r="K2337">
        <v>81</v>
      </c>
      <c r="L2337">
        <v>83</v>
      </c>
      <c r="Q2337">
        <v>0</v>
      </c>
      <c r="R2337">
        <v>0</v>
      </c>
      <c r="S2337">
        <v>83</v>
      </c>
      <c r="Y2337" t="s">
        <v>7905</v>
      </c>
      <c r="Z2337" t="s">
        <v>5552</v>
      </c>
      <c r="AA2337" t="s">
        <v>3903</v>
      </c>
      <c r="AB2337" t="s">
        <v>11748</v>
      </c>
      <c r="AC2337" t="s">
        <v>9108</v>
      </c>
      <c r="AD2337" s="249" t="str">
        <f>HYPERLINK("https://scontent.cdninstagram.com/t51.2885-15/s320x320/e35/21041815_168706593699931_1794206859733762048_n.jpg")</f>
        <v>https://scontent.cdninstagram.com/t51.2885-15/s320x320/e35/21041815_168706593699931_1794206859733762048_n.jpg</v>
      </c>
      <c r="AE2337" s="249" t="str">
        <f>HYPERLINK("https://scontent.cdninstagram.com/t51.2885-19/s150x150/20902130_1390331654386412_4188068892897181696_a.jpg")</f>
        <v>https://scontent.cdninstagram.com/t51.2885-19/s150x150/20902130_1390331654386412_4188068892897181696_a.jpg</v>
      </c>
    </row>
    <row r="2338" spans="1:31" ht="15" x14ac:dyDescent="0.25">
      <c r="A2338" t="s">
        <v>2474</v>
      </c>
      <c r="B2338" t="s">
        <v>14740</v>
      </c>
      <c r="C2338" s="221">
        <v>42970.214907407404</v>
      </c>
      <c r="D2338" t="s">
        <v>14741</v>
      </c>
      <c r="E2338" s="249" t="str">
        <f>HYPERLINK("https://www.instagram.com/p/BYIXjmVAGF8/")</f>
        <v>https://www.instagram.com/p/BYIXjmVAGF8/</v>
      </c>
      <c r="F2338" t="s">
        <v>14742</v>
      </c>
      <c r="G2338" t="s">
        <v>2478</v>
      </c>
      <c r="H2338">
        <v>546</v>
      </c>
      <c r="I2338" t="s">
        <v>2479</v>
      </c>
      <c r="J2338">
        <v>0</v>
      </c>
      <c r="K2338">
        <v>55</v>
      </c>
      <c r="L2338">
        <v>55</v>
      </c>
      <c r="Q2338">
        <v>0</v>
      </c>
      <c r="R2338">
        <v>0</v>
      </c>
      <c r="S2338">
        <v>55</v>
      </c>
      <c r="T2338" t="s">
        <v>14743</v>
      </c>
      <c r="V2338" t="s">
        <v>2109</v>
      </c>
      <c r="W2338">
        <v>53.530862801189002</v>
      </c>
      <c r="X2338">
        <v>28.036243661821999</v>
      </c>
      <c r="Y2338" t="s">
        <v>14744</v>
      </c>
      <c r="Z2338" t="s">
        <v>14745</v>
      </c>
      <c r="AA2338" t="s">
        <v>14746</v>
      </c>
      <c r="AB2338" t="s">
        <v>14747</v>
      </c>
      <c r="AC2338" t="s">
        <v>14748</v>
      </c>
      <c r="AD2338" s="249" t="str">
        <f>HYPERLINK("https://scontent.cdninstagram.com/t51.2885-15/s320x320/e35/21041702_149773355606782_4466180046926643200_n.jpg")</f>
        <v>https://scontent.cdninstagram.com/t51.2885-15/s320x320/e35/21041702_149773355606782_4466180046926643200_n.jpg</v>
      </c>
      <c r="AE2338" s="249" t="str">
        <f>HYPERLINK("https://scontent.cdninstagram.com/t51.2885-19/11352182_1607385846208551_1770563506_a.jpg")</f>
        <v>https://scontent.cdninstagram.com/t51.2885-19/11352182_1607385846208551_1770563506_a.jpg</v>
      </c>
    </row>
    <row r="2339" spans="1:31" ht="15" x14ac:dyDescent="0.25">
      <c r="A2339" t="s">
        <v>2474</v>
      </c>
      <c r="B2339" t="s">
        <v>12796</v>
      </c>
      <c r="C2339" s="221">
        <v>42970.221203703702</v>
      </c>
      <c r="D2339" t="s">
        <v>14749</v>
      </c>
      <c r="E2339" s="249" t="str">
        <f>HYPERLINK("https://www.instagram.com/p/BYIYmC1A_Wg/")</f>
        <v>https://www.instagram.com/p/BYIYmC1A_Wg/</v>
      </c>
      <c r="F2339" t="s">
        <v>14750</v>
      </c>
      <c r="G2339" t="s">
        <v>2478</v>
      </c>
      <c r="H2339">
        <v>186</v>
      </c>
      <c r="I2339" t="s">
        <v>4523</v>
      </c>
      <c r="J2339">
        <v>0</v>
      </c>
      <c r="K2339">
        <v>39</v>
      </c>
      <c r="L2339">
        <v>39</v>
      </c>
      <c r="Q2339">
        <v>0</v>
      </c>
      <c r="R2339">
        <v>0</v>
      </c>
      <c r="S2339">
        <v>39</v>
      </c>
      <c r="T2339" t="s">
        <v>14751</v>
      </c>
      <c r="V2339" t="s">
        <v>2182</v>
      </c>
      <c r="W2339">
        <v>40</v>
      </c>
      <c r="X2339">
        <v>9</v>
      </c>
      <c r="Y2339" t="s">
        <v>14752</v>
      </c>
      <c r="Z2339" t="s">
        <v>14753</v>
      </c>
      <c r="AA2339" t="s">
        <v>14754</v>
      </c>
      <c r="AB2339" t="s">
        <v>14755</v>
      </c>
      <c r="AC2339" t="s">
        <v>14756</v>
      </c>
      <c r="AD2339" s="249" t="str">
        <f>HYPERLINK("https://scontent.cdninstagram.com/t51.2885-15/s320x320/e35/20987253_496422904032311_4901597036756860928_n.jpg")</f>
        <v>https://scontent.cdninstagram.com/t51.2885-15/s320x320/e35/20987253_496422904032311_4901597036756860928_n.jpg</v>
      </c>
      <c r="AE2339" s="249" t="str">
        <f>HYPERLINK("https://scontent.cdninstagram.com/t51.2885-19/s150x150/21147194_265891230582525_8491411529743204352_a.jpg")</f>
        <v>https://scontent.cdninstagram.com/t51.2885-19/s150x150/21147194_265891230582525_8491411529743204352_a.jpg</v>
      </c>
    </row>
    <row r="2340" spans="1:31" ht="15" x14ac:dyDescent="0.25">
      <c r="A2340" t="s">
        <v>2474</v>
      </c>
      <c r="B2340" t="s">
        <v>4320</v>
      </c>
      <c r="C2340" s="221">
        <v>42970.223298611112</v>
      </c>
      <c r="D2340" t="s">
        <v>14757</v>
      </c>
      <c r="E2340" s="249" t="str">
        <f>HYPERLINK("https://www.instagram.com/p/BYIY8DnA0HE/")</f>
        <v>https://www.instagram.com/p/BYIY8DnA0HE/</v>
      </c>
      <c r="F2340" t="s">
        <v>14758</v>
      </c>
      <c r="G2340" t="s">
        <v>2478</v>
      </c>
      <c r="H2340">
        <v>199</v>
      </c>
      <c r="I2340" t="s">
        <v>2479</v>
      </c>
      <c r="J2340">
        <v>0</v>
      </c>
      <c r="K2340">
        <v>55</v>
      </c>
      <c r="L2340">
        <v>55</v>
      </c>
      <c r="Q2340">
        <v>0</v>
      </c>
      <c r="R2340">
        <v>0</v>
      </c>
      <c r="S2340">
        <v>55</v>
      </c>
      <c r="T2340" t="s">
        <v>14759</v>
      </c>
      <c r="V2340" t="s">
        <v>2141</v>
      </c>
      <c r="W2340">
        <v>55.666666669999998</v>
      </c>
      <c r="X2340">
        <v>12.58333333</v>
      </c>
      <c r="Y2340" t="s">
        <v>14760</v>
      </c>
      <c r="Z2340" t="s">
        <v>14761</v>
      </c>
      <c r="AA2340" t="s">
        <v>11093</v>
      </c>
      <c r="AB2340" t="s">
        <v>14762</v>
      </c>
      <c r="AC2340" t="s">
        <v>4324</v>
      </c>
      <c r="AD2340" s="249" t="str">
        <f>HYPERLINK("https://scontent.cdninstagram.com/t51.2885-15/s320x320/e35/21040925_112127659497502_4232522027749081088_n.jpg")</f>
        <v>https://scontent.cdninstagram.com/t51.2885-15/s320x320/e35/21040925_112127659497502_4232522027749081088_n.jpg</v>
      </c>
      <c r="AE2340" s="249" t="str">
        <f>HYPERLINK("https://scontent.cdninstagram.com/t51.2885-19/s150x150/21042251_211233842744431_6961971055707553792_a.jpg")</f>
        <v>https://scontent.cdninstagram.com/t51.2885-19/s150x150/21042251_211233842744431_6961971055707553792_a.jpg</v>
      </c>
    </row>
    <row r="2341" spans="1:31" ht="15" x14ac:dyDescent="0.25">
      <c r="A2341" t="s">
        <v>2474</v>
      </c>
      <c r="B2341" t="s">
        <v>14763</v>
      </c>
      <c r="C2341" s="221">
        <v>42970.237291666665</v>
      </c>
      <c r="D2341" t="s">
        <v>14764</v>
      </c>
      <c r="E2341" s="249" t="str">
        <f>HYPERLINK("https://www.instagram.com/p/BYIbPrLlpZ0/")</f>
        <v>https://www.instagram.com/p/BYIbPrLlpZ0/</v>
      </c>
      <c r="F2341" t="s">
        <v>14765</v>
      </c>
      <c r="G2341" t="s">
        <v>2478</v>
      </c>
      <c r="H2341">
        <v>184</v>
      </c>
      <c r="I2341" t="s">
        <v>3575</v>
      </c>
      <c r="J2341">
        <v>0</v>
      </c>
      <c r="K2341">
        <v>8</v>
      </c>
      <c r="L2341">
        <v>8</v>
      </c>
      <c r="Q2341">
        <v>0</v>
      </c>
      <c r="R2341">
        <v>0</v>
      </c>
      <c r="S2341">
        <v>8</v>
      </c>
      <c r="Y2341" t="s">
        <v>13689</v>
      </c>
      <c r="Z2341" t="s">
        <v>14766</v>
      </c>
      <c r="AA2341" t="s">
        <v>2497</v>
      </c>
      <c r="AB2341" t="s">
        <v>8753</v>
      </c>
      <c r="AD2341" s="249" t="str">
        <f>HYPERLINK("https://scontent.cdninstagram.com/t51.2885-15/s320x320/e35/20987036_1591519734226112_2187927864672780288_n.jpg")</f>
        <v>https://scontent.cdninstagram.com/t51.2885-15/s320x320/e35/20987036_1591519734226112_2187927864672780288_n.jpg</v>
      </c>
      <c r="AE2341" s="249" t="str">
        <f>HYPERLINK("https://scontent.cdninstagram.com/t51.2885-19/s150x150/20688574_1220902324681661_2284264140035850240_a.jpg")</f>
        <v>https://scontent.cdninstagram.com/t51.2885-19/s150x150/20688574_1220902324681661_2284264140035850240_a.jpg</v>
      </c>
    </row>
    <row r="2342" spans="1:31" ht="15" x14ac:dyDescent="0.25">
      <c r="A2342" t="s">
        <v>2474</v>
      </c>
      <c r="B2342" t="s">
        <v>14767</v>
      </c>
      <c r="C2342" s="221">
        <v>42970.248425925929</v>
      </c>
      <c r="D2342" t="s">
        <v>14768</v>
      </c>
      <c r="E2342" s="249" t="str">
        <f>HYPERLINK("https://www.instagram.com/p/BYIdFIjF7i5/")</f>
        <v>https://www.instagram.com/p/BYIdFIjF7i5/</v>
      </c>
      <c r="F2342" t="s">
        <v>14769</v>
      </c>
      <c r="G2342" t="s">
        <v>2478</v>
      </c>
      <c r="H2342">
        <v>473</v>
      </c>
      <c r="I2342" t="s">
        <v>2479</v>
      </c>
      <c r="J2342">
        <v>4</v>
      </c>
      <c r="K2342">
        <v>73</v>
      </c>
      <c r="L2342">
        <v>77</v>
      </c>
      <c r="Q2342">
        <v>0</v>
      </c>
      <c r="R2342">
        <v>0</v>
      </c>
      <c r="S2342">
        <v>77</v>
      </c>
      <c r="Y2342" t="s">
        <v>14770</v>
      </c>
      <c r="Z2342" t="s">
        <v>14771</v>
      </c>
      <c r="AA2342" t="s">
        <v>14772</v>
      </c>
      <c r="AB2342" t="s">
        <v>14767</v>
      </c>
      <c r="AC2342" t="s">
        <v>14773</v>
      </c>
      <c r="AD2342" s="249" t="str">
        <f>HYPERLINK("https://scontent.cdninstagram.com/t51.2885-15/s320x320/e35/20968967_473459559682545_140833120097140736_n.jpg")</f>
        <v>https://scontent.cdninstagram.com/t51.2885-15/s320x320/e35/20968967_473459559682545_140833120097140736_n.jpg</v>
      </c>
      <c r="AE2342" s="249" t="str">
        <f>HYPERLINK("https://scontent.cdninstagram.com/t51.2885-19/s150x150/17266254_573931299481009_1727044970067525632_a.jpg")</f>
        <v>https://scontent.cdninstagram.com/t51.2885-19/s150x150/17266254_573931299481009_1727044970067525632_a.jpg</v>
      </c>
    </row>
    <row r="2343" spans="1:31" ht="15" x14ac:dyDescent="0.25">
      <c r="A2343" t="s">
        <v>2474</v>
      </c>
      <c r="B2343" t="s">
        <v>14774</v>
      </c>
      <c r="C2343" s="221">
        <v>42970.248796296299</v>
      </c>
      <c r="D2343" t="s">
        <v>14775</v>
      </c>
      <c r="E2343" s="249" t="str">
        <f>HYPERLINK("https://www.instagram.com/p/BYIdJFklzSB/")</f>
        <v>https://www.instagram.com/p/BYIdJFklzSB/</v>
      </c>
      <c r="F2343" t="s">
        <v>14776</v>
      </c>
      <c r="G2343" t="s">
        <v>2478</v>
      </c>
      <c r="H2343">
        <v>1217</v>
      </c>
      <c r="I2343" t="s">
        <v>2479</v>
      </c>
      <c r="J2343">
        <v>1</v>
      </c>
      <c r="K2343">
        <v>26</v>
      </c>
      <c r="L2343">
        <v>27</v>
      </c>
      <c r="Q2343">
        <v>0</v>
      </c>
      <c r="R2343">
        <v>0</v>
      </c>
      <c r="S2343">
        <v>27</v>
      </c>
      <c r="T2343" t="s">
        <v>14777</v>
      </c>
      <c r="V2343" t="s">
        <v>2182</v>
      </c>
      <c r="W2343">
        <v>45.55</v>
      </c>
      <c r="X2343">
        <v>11.55</v>
      </c>
      <c r="Y2343" t="s">
        <v>3686</v>
      </c>
      <c r="Z2343" t="s">
        <v>2879</v>
      </c>
      <c r="AA2343" t="s">
        <v>2730</v>
      </c>
      <c r="AB2343" t="s">
        <v>14648</v>
      </c>
      <c r="AC2343" t="s">
        <v>5287</v>
      </c>
      <c r="AD2343" s="249" t="str">
        <f>HYPERLINK("https://scontent.cdninstagram.com/t51.2885-15/s320x320/e35/21042252_125899544714201_5505115279866200064_n.jpg")</f>
        <v>https://scontent.cdninstagram.com/t51.2885-15/s320x320/e35/21042252_125899544714201_5505115279866200064_n.jpg</v>
      </c>
      <c r="AE2343" s="249" t="str">
        <f>HYPERLINK("https://scontent.cdninstagram.com/t51.2885-19/s150x150/20987373_359460111133454_2424119034086686720_a.jpg")</f>
        <v>https://scontent.cdninstagram.com/t51.2885-19/s150x150/20987373_359460111133454_2424119034086686720_a.jpg</v>
      </c>
    </row>
    <row r="2344" spans="1:31" ht="15" x14ac:dyDescent="0.25">
      <c r="A2344" t="s">
        <v>2474</v>
      </c>
      <c r="B2344" t="s">
        <v>5657</v>
      </c>
      <c r="C2344" s="221">
        <v>42970.26457175926</v>
      </c>
      <c r="D2344" t="s">
        <v>14778</v>
      </c>
      <c r="E2344" s="249" t="str">
        <f>HYPERLINK("https://www.instagram.com/p/BYIfvaCAdXW/")</f>
        <v>https://www.instagram.com/p/BYIfvaCAdXW/</v>
      </c>
      <c r="F2344" t="s">
        <v>14779</v>
      </c>
      <c r="G2344" t="s">
        <v>2478</v>
      </c>
      <c r="H2344">
        <v>90</v>
      </c>
      <c r="I2344" t="s">
        <v>2510</v>
      </c>
      <c r="J2344">
        <v>1</v>
      </c>
      <c r="K2344">
        <v>32</v>
      </c>
      <c r="L2344">
        <v>33</v>
      </c>
      <c r="Q2344">
        <v>0</v>
      </c>
      <c r="R2344">
        <v>0</v>
      </c>
      <c r="S2344">
        <v>33</v>
      </c>
      <c r="Y2344" t="s">
        <v>12047</v>
      </c>
      <c r="Z2344" t="s">
        <v>2497</v>
      </c>
      <c r="AA2344" t="s">
        <v>5660</v>
      </c>
      <c r="AB2344" t="s">
        <v>14780</v>
      </c>
      <c r="AC2344" t="s">
        <v>4839</v>
      </c>
      <c r="AD2344" s="249" t="str">
        <f>HYPERLINK("https://scontent.cdninstagram.com/t51.2885-15/s320x320/e35/21042119_614560888931979_8036660800464617472_n.jpg")</f>
        <v>https://scontent.cdninstagram.com/t51.2885-15/s320x320/e35/21042119_614560888931979_8036660800464617472_n.jpg</v>
      </c>
      <c r="AE2344" s="249" t="str">
        <f>HYPERLINK("https://scontent.cdninstagram.com/t51.2885-19/s150x150/18722414_1929874740617287_7467972564577419264_a.jpg")</f>
        <v>https://scontent.cdninstagram.com/t51.2885-19/s150x150/18722414_1929874740617287_7467972564577419264_a.jpg</v>
      </c>
    </row>
    <row r="2345" spans="1:31" ht="15" x14ac:dyDescent="0.25">
      <c r="A2345" t="s">
        <v>2474</v>
      </c>
      <c r="B2345" t="s">
        <v>14781</v>
      </c>
      <c r="C2345" s="221">
        <v>42970.265185185184</v>
      </c>
      <c r="D2345" t="s">
        <v>14782</v>
      </c>
      <c r="E2345" s="249" t="str">
        <f>HYPERLINK("https://www.instagram.com/p/BYIf13pAzvP/")</f>
        <v>https://www.instagram.com/p/BYIf13pAzvP/</v>
      </c>
      <c r="F2345" t="s">
        <v>14783</v>
      </c>
      <c r="G2345" t="s">
        <v>2478</v>
      </c>
      <c r="H2345">
        <v>662</v>
      </c>
      <c r="I2345" t="s">
        <v>2599</v>
      </c>
      <c r="J2345">
        <v>2</v>
      </c>
      <c r="K2345">
        <v>48</v>
      </c>
      <c r="L2345">
        <v>50</v>
      </c>
      <c r="Q2345">
        <v>0</v>
      </c>
      <c r="R2345">
        <v>0</v>
      </c>
      <c r="S2345">
        <v>50</v>
      </c>
      <c r="T2345" t="s">
        <v>14784</v>
      </c>
      <c r="V2345" t="s">
        <v>2239</v>
      </c>
      <c r="W2345">
        <v>52.229987575319001</v>
      </c>
      <c r="X2345">
        <v>21.003051348741</v>
      </c>
      <c r="Y2345" t="s">
        <v>3952</v>
      </c>
      <c r="Z2345" t="s">
        <v>2497</v>
      </c>
      <c r="AA2345" t="s">
        <v>14785</v>
      </c>
      <c r="AB2345" t="s">
        <v>14786</v>
      </c>
      <c r="AD2345" s="249" t="str">
        <f>HYPERLINK("https://scontent.cdninstagram.com/t51.2885-15/s320x320/e35/21041525_1544517802280762_8497427224146739200_n.jpg")</f>
        <v>https://scontent.cdninstagram.com/t51.2885-15/s320x320/e35/21041525_1544517802280762_8497427224146739200_n.jpg</v>
      </c>
      <c r="AE2345" s="249" t="str">
        <f>HYPERLINK("https://scontent.cdninstagram.com/t51.2885-19/s150x150/16585553_1725903137722688_2284831621179768832_a.jpg")</f>
        <v>https://scontent.cdninstagram.com/t51.2885-19/s150x150/16585553_1725903137722688_2284831621179768832_a.jpg</v>
      </c>
    </row>
    <row r="2346" spans="1:31" ht="15" x14ac:dyDescent="0.25">
      <c r="A2346" t="s">
        <v>2474</v>
      </c>
      <c r="B2346" t="s">
        <v>14787</v>
      </c>
      <c r="C2346" s="221">
        <v>42970.268055555556</v>
      </c>
      <c r="D2346" t="s">
        <v>14788</v>
      </c>
      <c r="E2346" s="249" t="str">
        <f>HYPERLINK("https://www.instagram.com/p/BYIgULohpBT/")</f>
        <v>https://www.instagram.com/p/BYIgULohpBT/</v>
      </c>
      <c r="F2346" t="s">
        <v>14789</v>
      </c>
      <c r="G2346" t="s">
        <v>2488</v>
      </c>
      <c r="H2346">
        <v>4483</v>
      </c>
      <c r="I2346" t="s">
        <v>2479</v>
      </c>
      <c r="J2346">
        <v>0</v>
      </c>
      <c r="K2346">
        <v>78</v>
      </c>
      <c r="L2346">
        <v>78</v>
      </c>
      <c r="Q2346">
        <v>0</v>
      </c>
      <c r="R2346">
        <v>0</v>
      </c>
      <c r="S2346">
        <v>78</v>
      </c>
      <c r="T2346" t="s">
        <v>14790</v>
      </c>
      <c r="V2346" t="s">
        <v>2131</v>
      </c>
      <c r="W2346">
        <v>22.297409999999999</v>
      </c>
      <c r="X2346">
        <v>114.1742</v>
      </c>
      <c r="Y2346" t="s">
        <v>7717</v>
      </c>
      <c r="Z2346" t="s">
        <v>14791</v>
      </c>
      <c r="AA2346" t="s">
        <v>14792</v>
      </c>
      <c r="AB2346" t="s">
        <v>14793</v>
      </c>
      <c r="AC2346" t="s">
        <v>14794</v>
      </c>
      <c r="AD2346" s="249" t="str">
        <f>HYPERLINK("https://scontent.cdninstagram.com/t51.2885-15/s320x320/e35/21041426_112363119441457_6455065469106782208_n.jpg")</f>
        <v>https://scontent.cdninstagram.com/t51.2885-15/s320x320/e35/21041426_112363119441457_6455065469106782208_n.jpg</v>
      </c>
      <c r="AE2346" s="249" t="str">
        <f>HYPERLINK("https://scontent.cdninstagram.com/t51.2885-19/s150x150/15624410_1185730751510927_1640034537582886912_a.jpg")</f>
        <v>https://scontent.cdninstagram.com/t51.2885-19/s150x150/15624410_1185730751510927_1640034537582886912_a.jpg</v>
      </c>
    </row>
    <row r="2347" spans="1:31" ht="15" x14ac:dyDescent="0.25">
      <c r="A2347" t="s">
        <v>2474</v>
      </c>
      <c r="B2347" t="s">
        <v>14795</v>
      </c>
      <c r="C2347" s="221">
        <v>42970.268969907411</v>
      </c>
      <c r="D2347" t="s">
        <v>14796</v>
      </c>
      <c r="E2347" s="249" t="str">
        <f>HYPERLINK("https://www.instagram.com/p/BYIgdz4BKbv/")</f>
        <v>https://www.instagram.com/p/BYIgdz4BKbv/</v>
      </c>
      <c r="F2347" t="s">
        <v>14797</v>
      </c>
      <c r="G2347" t="s">
        <v>2478</v>
      </c>
      <c r="H2347">
        <v>1145</v>
      </c>
      <c r="I2347" t="s">
        <v>2542</v>
      </c>
      <c r="J2347">
        <v>6</v>
      </c>
      <c r="K2347">
        <v>171</v>
      </c>
      <c r="L2347">
        <v>177</v>
      </c>
      <c r="Q2347">
        <v>0</v>
      </c>
      <c r="R2347">
        <v>0</v>
      </c>
      <c r="S2347">
        <v>177</v>
      </c>
      <c r="AD2347" s="249" t="str">
        <f>HYPERLINK("https://scontent.cdninstagram.com/t51.2885-15/s320x320/e35/21107202_481991408829894_1703317114003128320_n.jpg")</f>
        <v>https://scontent.cdninstagram.com/t51.2885-15/s320x320/e35/21107202_481991408829894_1703317114003128320_n.jpg</v>
      </c>
      <c r="AE2347" s="249" t="str">
        <f>HYPERLINK("https://scontent.cdninstagram.com/t51.2885-19/s150x150/18095286_1452654188089941_6869766491638595584_a.jpg")</f>
        <v>https://scontent.cdninstagram.com/t51.2885-19/s150x150/18095286_1452654188089941_6869766491638595584_a.jpg</v>
      </c>
    </row>
    <row r="2348" spans="1:31" ht="15" x14ac:dyDescent="0.25">
      <c r="A2348" t="s">
        <v>2474</v>
      </c>
      <c r="B2348" t="s">
        <v>14798</v>
      </c>
      <c r="C2348" s="221">
        <v>42970.275381944448</v>
      </c>
      <c r="D2348" t="s">
        <v>14799</v>
      </c>
      <c r="E2348" s="249" t="str">
        <f>HYPERLINK("https://www.instagram.com/p/BYIhhaWF6Kv/")</f>
        <v>https://www.instagram.com/p/BYIhhaWF6Kv/</v>
      </c>
      <c r="F2348" t="s">
        <v>14800</v>
      </c>
      <c r="G2348" t="s">
        <v>2478</v>
      </c>
      <c r="H2348">
        <v>1386</v>
      </c>
      <c r="I2348" t="s">
        <v>2542</v>
      </c>
      <c r="J2348">
        <v>0</v>
      </c>
      <c r="K2348">
        <v>69</v>
      </c>
      <c r="L2348">
        <v>69</v>
      </c>
      <c r="Q2348">
        <v>0</v>
      </c>
      <c r="R2348">
        <v>0</v>
      </c>
      <c r="S2348">
        <v>69</v>
      </c>
      <c r="Y2348" t="s">
        <v>9998</v>
      </c>
      <c r="Z2348" t="s">
        <v>2641</v>
      </c>
      <c r="AA2348" t="s">
        <v>2497</v>
      </c>
      <c r="AB2348" t="s">
        <v>2554</v>
      </c>
      <c r="AC2348" t="s">
        <v>13684</v>
      </c>
      <c r="AD2348" s="249" t="str">
        <f>HYPERLINK("https://scontent.cdninstagram.com/t51.2885-15/s320x320/e35/20987427_608254662896290_4998338160032219136_n.jpg")</f>
        <v>https://scontent.cdninstagram.com/t51.2885-15/s320x320/e35/20987427_608254662896290_4998338160032219136_n.jpg</v>
      </c>
      <c r="AE2348" s="249" t="str">
        <f>HYPERLINK("https://scontent.cdninstagram.com/t51.2885-19/s150x150/14676708_636074439907843_2365605301589114880_a.jpg")</f>
        <v>https://scontent.cdninstagram.com/t51.2885-19/s150x150/14676708_636074439907843_2365605301589114880_a.jpg</v>
      </c>
    </row>
    <row r="2349" spans="1:31" ht="15" x14ac:dyDescent="0.25">
      <c r="A2349" t="s">
        <v>2474</v>
      </c>
      <c r="B2349" t="s">
        <v>11855</v>
      </c>
      <c r="C2349" s="221">
        <v>42970.278506944444</v>
      </c>
      <c r="D2349" t="s">
        <v>14801</v>
      </c>
      <c r="E2349" s="249" t="str">
        <f>HYPERLINK("https://www.instagram.com/p/BYIiCZxj3rm/")</f>
        <v>https://www.instagram.com/p/BYIiCZxj3rm/</v>
      </c>
      <c r="F2349" t="s">
        <v>14802</v>
      </c>
      <c r="G2349" t="s">
        <v>2478</v>
      </c>
      <c r="H2349">
        <v>12866</v>
      </c>
      <c r="I2349" t="s">
        <v>3186</v>
      </c>
      <c r="J2349">
        <v>5</v>
      </c>
      <c r="K2349">
        <v>1033</v>
      </c>
      <c r="L2349">
        <v>1038</v>
      </c>
      <c r="Q2349">
        <v>0</v>
      </c>
      <c r="R2349">
        <v>0</v>
      </c>
      <c r="S2349">
        <v>1038</v>
      </c>
      <c r="T2349" t="s">
        <v>14803</v>
      </c>
      <c r="U2349" t="s">
        <v>99</v>
      </c>
      <c r="V2349" t="s">
        <v>2299</v>
      </c>
      <c r="W2349">
        <v>40.65</v>
      </c>
      <c r="X2349">
        <v>-73.95</v>
      </c>
      <c r="Y2349" t="s">
        <v>14804</v>
      </c>
      <c r="Z2349" t="s">
        <v>2497</v>
      </c>
      <c r="AA2349" t="s">
        <v>4908</v>
      </c>
      <c r="AB2349" t="s">
        <v>4779</v>
      </c>
      <c r="AC2349" t="s">
        <v>14805</v>
      </c>
      <c r="AD2349" s="249" t="str">
        <f>HYPERLINK("https://scontent.cdninstagram.com/t51.2885-15/e35/p320x320/20986630_807739796071334_4440834371171123200_n.jpg")</f>
        <v>https://scontent.cdninstagram.com/t51.2885-15/e35/p320x320/20986630_807739796071334_4440834371171123200_n.jpg</v>
      </c>
      <c r="AE2349" s="249" t="str">
        <f>HYPERLINK("https://scontent.cdninstagram.com/t51.2885-19/10748230_1575769195976818_2090489231_a.jpg")</f>
        <v>https://scontent.cdninstagram.com/t51.2885-19/10748230_1575769195976818_2090489231_a.jpg</v>
      </c>
    </row>
    <row r="2350" spans="1:31" ht="15" x14ac:dyDescent="0.25">
      <c r="A2350" t="s">
        <v>2474</v>
      </c>
      <c r="B2350" t="s">
        <v>14806</v>
      </c>
      <c r="C2350" s="221">
        <v>42970.283796296295</v>
      </c>
      <c r="D2350" t="s">
        <v>14807</v>
      </c>
      <c r="E2350" s="249" t="str">
        <f>HYPERLINK("https://www.instagram.com/p/BYIi6KBhDbR/")</f>
        <v>https://www.instagram.com/p/BYIi6KBhDbR/</v>
      </c>
      <c r="F2350" t="s">
        <v>14808</v>
      </c>
      <c r="G2350" t="s">
        <v>2631</v>
      </c>
      <c r="H2350">
        <v>77</v>
      </c>
      <c r="I2350" t="s">
        <v>2479</v>
      </c>
      <c r="J2350">
        <v>3</v>
      </c>
      <c r="K2350">
        <v>37</v>
      </c>
      <c r="L2350">
        <v>40</v>
      </c>
      <c r="Q2350">
        <v>0</v>
      </c>
      <c r="R2350">
        <v>0</v>
      </c>
      <c r="S2350">
        <v>40</v>
      </c>
      <c r="Y2350" t="s">
        <v>14809</v>
      </c>
      <c r="Z2350" t="s">
        <v>14810</v>
      </c>
      <c r="AA2350" t="s">
        <v>14811</v>
      </c>
      <c r="AB2350" t="s">
        <v>14812</v>
      </c>
      <c r="AC2350" t="s">
        <v>9144</v>
      </c>
      <c r="AD2350" s="249" t="str">
        <f>HYPERLINK("https://scontent.cdninstagram.com/t51.2885-15/s320x320/e15/21042200_1566180243470280_5996745763739140096_n.jpg")</f>
        <v>https://scontent.cdninstagram.com/t51.2885-15/s320x320/e15/21042200_1566180243470280_5996745763739140096_n.jpg</v>
      </c>
      <c r="AE2350" s="249" t="str">
        <f>HYPERLINK("https://scontent.cdninstagram.com/t51.2885-19/s150x150/20213826_1925598224345107_2404975630409007104_a.jpg")</f>
        <v>https://scontent.cdninstagram.com/t51.2885-19/s150x150/20213826_1925598224345107_2404975630409007104_a.jpg</v>
      </c>
    </row>
    <row r="2351" spans="1:31" ht="15" x14ac:dyDescent="0.25">
      <c r="A2351" t="s">
        <v>2474</v>
      </c>
      <c r="B2351" t="s">
        <v>14813</v>
      </c>
      <c r="C2351" s="221">
        <v>42970.294363425928</v>
      </c>
      <c r="D2351" t="s">
        <v>14814</v>
      </c>
      <c r="E2351" s="249" t="str">
        <f>HYPERLINK("https://www.instagram.com/p/BYIkpqBlnt8/")</f>
        <v>https://www.instagram.com/p/BYIkpqBlnt8/</v>
      </c>
      <c r="F2351" t="s">
        <v>14815</v>
      </c>
      <c r="G2351" t="s">
        <v>2478</v>
      </c>
      <c r="H2351">
        <v>1173</v>
      </c>
      <c r="I2351" t="s">
        <v>2510</v>
      </c>
      <c r="J2351">
        <v>2</v>
      </c>
      <c r="K2351">
        <v>29</v>
      </c>
      <c r="L2351">
        <v>31</v>
      </c>
      <c r="Q2351">
        <v>0</v>
      </c>
      <c r="R2351">
        <v>0</v>
      </c>
      <c r="S2351">
        <v>31</v>
      </c>
      <c r="Y2351" t="s">
        <v>14816</v>
      </c>
      <c r="Z2351" t="s">
        <v>3543</v>
      </c>
      <c r="AA2351" t="s">
        <v>14817</v>
      </c>
      <c r="AB2351" t="s">
        <v>14818</v>
      </c>
      <c r="AC2351" t="s">
        <v>14819</v>
      </c>
      <c r="AD2351" s="249" t="str">
        <f>HYPERLINK("https://scontent.cdninstagram.com/t51.2885-15/s320x320/e35/20969407_324946377967448_5563486251945820160_n.jpg")</f>
        <v>https://scontent.cdninstagram.com/t51.2885-15/s320x320/e35/20969407_324946377967448_5563486251945820160_n.jpg</v>
      </c>
      <c r="AE2351" s="249" t="str">
        <f>HYPERLINK("https://scontent.cdninstagram.com/t51.2885-19/s150x150/21224387_118750158742582_4928462697143468032_a.jpg")</f>
        <v>https://scontent.cdninstagram.com/t51.2885-19/s150x150/21224387_118750158742582_4928462697143468032_a.jpg</v>
      </c>
    </row>
    <row r="2352" spans="1:31" ht="15" x14ac:dyDescent="0.25">
      <c r="A2352" t="s">
        <v>2474</v>
      </c>
      <c r="B2352" t="s">
        <v>14820</v>
      </c>
      <c r="C2352" s="221">
        <v>42970.296759259261</v>
      </c>
      <c r="D2352" t="s">
        <v>14821</v>
      </c>
      <c r="E2352" s="249" t="str">
        <f>HYPERLINK("https://www.instagram.com/p/BYIlC3glX58/")</f>
        <v>https://www.instagram.com/p/BYIlC3glX58/</v>
      </c>
      <c r="F2352" t="s">
        <v>14822</v>
      </c>
      <c r="G2352" t="s">
        <v>2478</v>
      </c>
      <c r="H2352">
        <v>26</v>
      </c>
      <c r="I2352" t="s">
        <v>3273</v>
      </c>
      <c r="J2352">
        <v>5</v>
      </c>
      <c r="K2352">
        <v>10</v>
      </c>
      <c r="L2352">
        <v>15</v>
      </c>
      <c r="Q2352">
        <v>0</v>
      </c>
      <c r="R2352">
        <v>0</v>
      </c>
      <c r="S2352">
        <v>15</v>
      </c>
      <c r="Y2352" t="s">
        <v>5328</v>
      </c>
      <c r="Z2352" t="s">
        <v>8838</v>
      </c>
      <c r="AA2352" t="s">
        <v>2497</v>
      </c>
      <c r="AB2352" t="s">
        <v>14823</v>
      </c>
      <c r="AC2352" t="s">
        <v>14824</v>
      </c>
      <c r="AD2352" s="249" t="str">
        <f>HYPERLINK("https://scontent.cdninstagram.com/t51.2885-15/e35/p320x320/21041411_301092266965820_9063326995466682368_n.jpg")</f>
        <v>https://scontent.cdninstagram.com/t51.2885-15/e35/p320x320/21041411_301092266965820_9063326995466682368_n.jpg</v>
      </c>
      <c r="AE2352" s="249" t="str">
        <f>HYPERLINK("https://scontent.cdninstagram.com/t51.2885-19/s150x150/16465457_366907323696570_1092010278414974976_a.jpg")</f>
        <v>https://scontent.cdninstagram.com/t51.2885-19/s150x150/16465457_366907323696570_1092010278414974976_a.jpg</v>
      </c>
    </row>
    <row r="2353" spans="1:31" ht="15" x14ac:dyDescent="0.25">
      <c r="A2353" t="s">
        <v>2474</v>
      </c>
      <c r="B2353" t="s">
        <v>14825</v>
      </c>
      <c r="C2353" s="221">
        <v>42970.296967592592</v>
      </c>
      <c r="D2353" t="s">
        <v>14826</v>
      </c>
      <c r="E2353" s="249" t="str">
        <f>HYPERLINK("https://www.instagram.com/p/BYIlFCRBda_/")</f>
        <v>https://www.instagram.com/p/BYIlFCRBda_/</v>
      </c>
      <c r="F2353" t="s">
        <v>14827</v>
      </c>
      <c r="G2353" t="s">
        <v>2478</v>
      </c>
      <c r="H2353">
        <v>530</v>
      </c>
      <c r="I2353" t="s">
        <v>2479</v>
      </c>
      <c r="J2353">
        <v>2</v>
      </c>
      <c r="K2353">
        <v>27</v>
      </c>
      <c r="L2353">
        <v>29</v>
      </c>
      <c r="Q2353">
        <v>0</v>
      </c>
      <c r="R2353">
        <v>0</v>
      </c>
      <c r="S2353">
        <v>29</v>
      </c>
      <c r="Y2353" t="s">
        <v>14828</v>
      </c>
      <c r="Z2353" t="s">
        <v>2497</v>
      </c>
      <c r="AA2353" t="s">
        <v>14829</v>
      </c>
      <c r="AB2353" t="s">
        <v>14830</v>
      </c>
      <c r="AC2353" t="s">
        <v>14831</v>
      </c>
      <c r="AD2353" s="249" t="str">
        <f>HYPERLINK("https://scontent.cdninstagram.com/t51.2885-15/s320x320/e35/21042119_121234648531653_2305792801046003712_n.jpg")</f>
        <v>https://scontent.cdninstagram.com/t51.2885-15/s320x320/e35/21042119_121234648531653_2305792801046003712_n.jpg</v>
      </c>
      <c r="AE2353" s="249" t="str">
        <f>HYPERLINK("https://scontent.cdninstagram.com/t51.2885-19/s150x150/18950335_249684598846539_4636627829818130432_a.jpg")</f>
        <v>https://scontent.cdninstagram.com/t51.2885-19/s150x150/18950335_249684598846539_4636627829818130432_a.jpg</v>
      </c>
    </row>
    <row r="2354" spans="1:31" ht="15" x14ac:dyDescent="0.25">
      <c r="A2354" t="s">
        <v>2474</v>
      </c>
      <c r="B2354" t="s">
        <v>14832</v>
      </c>
      <c r="C2354" s="221">
        <v>42970.306747685187</v>
      </c>
      <c r="D2354" t="s">
        <v>14833</v>
      </c>
      <c r="E2354" s="249" t="str">
        <f>HYPERLINK("https://www.instagram.com/p/BYImsSTDKQe/")</f>
        <v>https://www.instagram.com/p/BYImsSTDKQe/</v>
      </c>
      <c r="F2354" t="s">
        <v>14834</v>
      </c>
      <c r="G2354" t="s">
        <v>2478</v>
      </c>
      <c r="H2354">
        <v>417</v>
      </c>
      <c r="I2354" t="s">
        <v>2903</v>
      </c>
      <c r="J2354">
        <v>4</v>
      </c>
      <c r="K2354">
        <v>52</v>
      </c>
      <c r="L2354">
        <v>56</v>
      </c>
      <c r="Q2354">
        <v>0</v>
      </c>
      <c r="R2354">
        <v>0</v>
      </c>
      <c r="S2354">
        <v>56</v>
      </c>
      <c r="Y2354" t="s">
        <v>11121</v>
      </c>
      <c r="Z2354" t="s">
        <v>14835</v>
      </c>
      <c r="AA2354" t="s">
        <v>14836</v>
      </c>
      <c r="AB2354" t="s">
        <v>14837</v>
      </c>
      <c r="AC2354" t="s">
        <v>3952</v>
      </c>
      <c r="AD2354" s="249" t="str">
        <f>HYPERLINK("https://scontent.cdninstagram.com/t51.2885-15/s320x320/e35/21041506_1844321219215664_5127235213826457600_n.jpg")</f>
        <v>https://scontent.cdninstagram.com/t51.2885-15/s320x320/e35/21041506_1844321219215664_5127235213826457600_n.jpg</v>
      </c>
      <c r="AE2354" s="249" t="str">
        <f>HYPERLINK("https://scontent.cdninstagram.com/t51.2885-19/s150x150/20583129_178602139349096_8939667388001943552_a.jpg")</f>
        <v>https://scontent.cdninstagram.com/t51.2885-19/s150x150/20583129_178602139349096_8939667388001943552_a.jpg</v>
      </c>
    </row>
    <row r="2355" spans="1:31" ht="15" x14ac:dyDescent="0.25">
      <c r="A2355" t="s">
        <v>2474</v>
      </c>
      <c r="B2355" t="s">
        <v>5657</v>
      </c>
      <c r="C2355" s="221">
        <v>42970.311365740738</v>
      </c>
      <c r="D2355" t="s">
        <v>14838</v>
      </c>
      <c r="E2355" s="249" t="str">
        <f>HYPERLINK("https://www.instagram.com/p/BYInc6KgpUW/")</f>
        <v>https://www.instagram.com/p/BYInc6KgpUW/</v>
      </c>
      <c r="F2355" t="s">
        <v>14839</v>
      </c>
      <c r="G2355" t="s">
        <v>2478</v>
      </c>
      <c r="H2355">
        <v>91</v>
      </c>
      <c r="I2355" t="s">
        <v>4523</v>
      </c>
      <c r="J2355">
        <v>1</v>
      </c>
      <c r="K2355">
        <v>42</v>
      </c>
      <c r="L2355">
        <v>43</v>
      </c>
      <c r="Q2355">
        <v>0</v>
      </c>
      <c r="R2355">
        <v>0</v>
      </c>
      <c r="S2355">
        <v>43</v>
      </c>
      <c r="Y2355" t="s">
        <v>14840</v>
      </c>
      <c r="Z2355" t="s">
        <v>12047</v>
      </c>
      <c r="AA2355" t="s">
        <v>4839</v>
      </c>
      <c r="AB2355" t="s">
        <v>14402</v>
      </c>
      <c r="AC2355" t="s">
        <v>14841</v>
      </c>
      <c r="AD2355" s="249" t="str">
        <f>HYPERLINK("https://scontent.cdninstagram.com/t51.2885-15/e35/p320x320/21040886_1543792125667023_7813538305999372288_n.jpg")</f>
        <v>https://scontent.cdninstagram.com/t51.2885-15/e35/p320x320/21040886_1543792125667023_7813538305999372288_n.jpg</v>
      </c>
      <c r="AE2355" s="249" t="str">
        <f>HYPERLINK("https://scontent.cdninstagram.com/t51.2885-19/s150x150/18722414_1929874740617287_7467972564577419264_a.jpg")</f>
        <v>https://scontent.cdninstagram.com/t51.2885-19/s150x150/18722414_1929874740617287_7467972564577419264_a.jpg</v>
      </c>
    </row>
    <row r="2356" spans="1:31" ht="15" x14ac:dyDescent="0.25">
      <c r="A2356" t="s">
        <v>2474</v>
      </c>
      <c r="B2356" t="s">
        <v>14842</v>
      </c>
      <c r="C2356" s="221">
        <v>42970.327511574076</v>
      </c>
      <c r="D2356" t="s">
        <v>14843</v>
      </c>
      <c r="E2356" s="249" t="str">
        <f>HYPERLINK("https://www.instagram.com/p/BYIqHN8BUyM/")</f>
        <v>https://www.instagram.com/p/BYIqHN8BUyM/</v>
      </c>
      <c r="F2356" t="s">
        <v>14844</v>
      </c>
      <c r="G2356" t="s">
        <v>2478</v>
      </c>
      <c r="H2356">
        <v>751</v>
      </c>
      <c r="I2356" t="s">
        <v>2479</v>
      </c>
      <c r="J2356">
        <v>0</v>
      </c>
      <c r="K2356">
        <v>47</v>
      </c>
      <c r="L2356">
        <v>47</v>
      </c>
      <c r="Q2356">
        <v>0</v>
      </c>
      <c r="R2356">
        <v>0</v>
      </c>
      <c r="S2356">
        <v>47</v>
      </c>
      <c r="Y2356" t="s">
        <v>2497</v>
      </c>
      <c r="AD2356" s="249" t="str">
        <f>HYPERLINK("https://scontent.cdninstagram.com/t51.2885-15/e35/p320x320/21041048_1584214894986650_3296613473873559552_n.jpg")</f>
        <v>https://scontent.cdninstagram.com/t51.2885-15/e35/p320x320/21041048_1584214894986650_3296613473873559552_n.jpg</v>
      </c>
      <c r="AE2356" s="249" t="str">
        <f>HYPERLINK("https://scontent.cdninstagram.com/t51.2885-19/s150x150/19761780_118570238753904_5299705926314360832_a.jpg")</f>
        <v>https://scontent.cdninstagram.com/t51.2885-19/s150x150/19761780_118570238753904_5299705926314360832_a.jpg</v>
      </c>
    </row>
    <row r="2357" spans="1:31" ht="15" x14ac:dyDescent="0.25">
      <c r="A2357" t="s">
        <v>2474</v>
      </c>
      <c r="B2357" t="s">
        <v>6591</v>
      </c>
      <c r="C2357" s="221">
        <v>42970.3280787037</v>
      </c>
      <c r="D2357" t="s">
        <v>14845</v>
      </c>
      <c r="E2357" s="249" t="str">
        <f>HYPERLINK("https://www.instagram.com/p/BYIqNNYlaak/")</f>
        <v>https://www.instagram.com/p/BYIqNNYlaak/</v>
      </c>
      <c r="F2357" t="s">
        <v>14846</v>
      </c>
      <c r="G2357" t="s">
        <v>2478</v>
      </c>
      <c r="H2357">
        <v>678</v>
      </c>
      <c r="I2357" t="s">
        <v>2542</v>
      </c>
      <c r="J2357">
        <v>6</v>
      </c>
      <c r="K2357">
        <v>62</v>
      </c>
      <c r="L2357">
        <v>68</v>
      </c>
      <c r="Q2357">
        <v>0</v>
      </c>
      <c r="R2357">
        <v>0</v>
      </c>
      <c r="S2357">
        <v>68</v>
      </c>
      <c r="Y2357" t="s">
        <v>9488</v>
      </c>
      <c r="Z2357" t="s">
        <v>14347</v>
      </c>
      <c r="AA2357" t="s">
        <v>14847</v>
      </c>
      <c r="AB2357" t="s">
        <v>14848</v>
      </c>
      <c r="AC2357" t="s">
        <v>14849</v>
      </c>
      <c r="AD2357" s="249" t="str">
        <f>HYPERLINK("https://scontent.cdninstagram.com/t51.2885-15/s320x320/e35/21041047_1281824355279947_6162523521315504128_n.jpg")</f>
        <v>https://scontent.cdninstagram.com/t51.2885-15/s320x320/e35/21041047_1281824355279947_6162523521315504128_n.jpg</v>
      </c>
      <c r="AE2357" s="249" t="str">
        <f>HYPERLINK("https://scontent.cdninstagram.com/t51.2885-19/s150x150/15259130_818411351632140_4756890508993757184_a.jpg")</f>
        <v>https://scontent.cdninstagram.com/t51.2885-19/s150x150/15259130_818411351632140_4756890508993757184_a.jpg</v>
      </c>
    </row>
    <row r="2358" spans="1:31" ht="15" x14ac:dyDescent="0.25">
      <c r="A2358" t="s">
        <v>2474</v>
      </c>
      <c r="B2358" t="s">
        <v>14850</v>
      </c>
      <c r="C2358" s="221">
        <v>42970.332870370374</v>
      </c>
      <c r="D2358" t="s">
        <v>14851</v>
      </c>
      <c r="E2358" s="249" t="str">
        <f>HYPERLINK("https://www.instagram.com/p/BYIq_zdnycM/")</f>
        <v>https://www.instagram.com/p/BYIq_zdnycM/</v>
      </c>
      <c r="F2358" t="s">
        <v>14852</v>
      </c>
      <c r="G2358" t="s">
        <v>2478</v>
      </c>
      <c r="H2358">
        <v>161</v>
      </c>
      <c r="I2358" t="s">
        <v>2479</v>
      </c>
      <c r="J2358">
        <v>4</v>
      </c>
      <c r="K2358">
        <v>17</v>
      </c>
      <c r="L2358">
        <v>21</v>
      </c>
      <c r="Q2358">
        <v>0</v>
      </c>
      <c r="R2358">
        <v>0</v>
      </c>
      <c r="S2358">
        <v>21</v>
      </c>
      <c r="T2358" t="s">
        <v>14853</v>
      </c>
      <c r="V2358" t="s">
        <v>2118</v>
      </c>
      <c r="W2358">
        <v>-25.582886257950001</v>
      </c>
      <c r="X2358">
        <v>-49.396876572987999</v>
      </c>
      <c r="Y2358" t="s">
        <v>14854</v>
      </c>
      <c r="Z2358" t="s">
        <v>2497</v>
      </c>
      <c r="AA2358" t="s">
        <v>8449</v>
      </c>
      <c r="AB2358" t="s">
        <v>14855</v>
      </c>
      <c r="AC2358" t="s">
        <v>3813</v>
      </c>
      <c r="AD2358" s="249" t="str">
        <f>HYPERLINK("https://scontent.cdninstagram.com/t51.2885-15/s320x320/e35/20968650_267751820398286_7901759098922729472_n.jpg")</f>
        <v>https://scontent.cdninstagram.com/t51.2885-15/s320x320/e35/20968650_267751820398286_7901759098922729472_n.jpg</v>
      </c>
      <c r="AE2358" s="249" t="str">
        <f>HYPERLINK("https://scontent.cdninstagram.com/t51.2885-19/s150x150/18444161_1436830003071069_3366156729631899648_a.jpg")</f>
        <v>https://scontent.cdninstagram.com/t51.2885-19/s150x150/18444161_1436830003071069_3366156729631899648_a.jpg</v>
      </c>
    </row>
    <row r="2359" spans="1:31" ht="15" x14ac:dyDescent="0.25">
      <c r="A2359" t="s">
        <v>2474</v>
      </c>
      <c r="B2359" t="s">
        <v>14856</v>
      </c>
      <c r="C2359" s="221">
        <v>42970.336886574078</v>
      </c>
      <c r="D2359" t="s">
        <v>14857</v>
      </c>
      <c r="E2359" s="249" t="str">
        <f>HYPERLINK("https://www.instagram.com/p/BYIrqDYD2Aa/")</f>
        <v>https://www.instagram.com/p/BYIrqDYD2Aa/</v>
      </c>
      <c r="F2359" t="s">
        <v>14858</v>
      </c>
      <c r="G2359" t="s">
        <v>2478</v>
      </c>
      <c r="H2359">
        <v>692</v>
      </c>
      <c r="I2359" t="s">
        <v>2599</v>
      </c>
      <c r="J2359">
        <v>8</v>
      </c>
      <c r="K2359">
        <v>87</v>
      </c>
      <c r="L2359">
        <v>95</v>
      </c>
      <c r="Q2359">
        <v>0</v>
      </c>
      <c r="R2359">
        <v>0</v>
      </c>
      <c r="S2359">
        <v>95</v>
      </c>
      <c r="Y2359" t="s">
        <v>14859</v>
      </c>
      <c r="Z2359" t="s">
        <v>14860</v>
      </c>
      <c r="AA2359" t="s">
        <v>2497</v>
      </c>
      <c r="AB2359" t="s">
        <v>14861</v>
      </c>
      <c r="AC2359" t="s">
        <v>14862</v>
      </c>
      <c r="AD2359" s="249" t="str">
        <f>HYPERLINK("https://scontent.cdninstagram.com/t51.2885-15/e35/p320x320/20968544_1465899206839958_1469084986547109888_n.jpg")</f>
        <v>https://scontent.cdninstagram.com/t51.2885-15/e35/p320x320/20968544_1465899206839958_1469084986547109888_n.jpg</v>
      </c>
      <c r="AE2359" s="249" t="str">
        <f>HYPERLINK("https://scontent.cdninstagram.com/t51.2885-19/s150x150/17933739_1898876607049237_9025557512627159040_a.jpg")</f>
        <v>https://scontent.cdninstagram.com/t51.2885-19/s150x150/17933739_1898876607049237_9025557512627159040_a.jpg</v>
      </c>
    </row>
    <row r="2360" spans="1:31" ht="15" x14ac:dyDescent="0.25">
      <c r="A2360" t="s">
        <v>2474</v>
      </c>
      <c r="B2360" t="s">
        <v>3754</v>
      </c>
      <c r="C2360" s="221">
        <v>42970.340590277781</v>
      </c>
      <c r="D2360" t="s">
        <v>14863</v>
      </c>
      <c r="E2360" s="249" t="str">
        <f>HYPERLINK("https://www.instagram.com/p/BYIsRJRjCs2/")</f>
        <v>https://www.instagram.com/p/BYIsRJRjCs2/</v>
      </c>
      <c r="F2360" t="s">
        <v>7206</v>
      </c>
      <c r="G2360" t="s">
        <v>2478</v>
      </c>
      <c r="H2360">
        <v>201588</v>
      </c>
      <c r="I2360" t="s">
        <v>2479</v>
      </c>
      <c r="J2360">
        <v>1</v>
      </c>
      <c r="K2360">
        <v>230</v>
      </c>
      <c r="L2360">
        <v>231</v>
      </c>
      <c r="Q2360">
        <v>0</v>
      </c>
      <c r="R2360">
        <v>0</v>
      </c>
      <c r="S2360">
        <v>231</v>
      </c>
      <c r="Y2360" t="s">
        <v>6789</v>
      </c>
      <c r="Z2360" t="s">
        <v>6242</v>
      </c>
      <c r="AA2360" t="s">
        <v>6790</v>
      </c>
      <c r="AB2360" t="s">
        <v>8783</v>
      </c>
      <c r="AC2360" t="s">
        <v>8654</v>
      </c>
      <c r="AD2360" s="249" t="str">
        <f>HYPERLINK("https://scontent.cdninstagram.com/t51.2885-15/s320x320/e35/21041428_482036872175368_241539464554348544_n.jpg")</f>
        <v>https://scontent.cdninstagram.com/t51.2885-15/s320x320/e35/21041428_482036872175368_241539464554348544_n.jpg</v>
      </c>
      <c r="AE2360" s="249" t="str">
        <f>HYPERLINK("https://scontent.cdninstagram.com/t51.2885-19/s150x150/12905002_1681254462136092_1137392787_a.jpg")</f>
        <v>https://scontent.cdninstagram.com/t51.2885-19/s150x150/12905002_1681254462136092_1137392787_a.jpg</v>
      </c>
    </row>
    <row r="2361" spans="1:31" ht="15" x14ac:dyDescent="0.25">
      <c r="A2361" t="s">
        <v>2474</v>
      </c>
      <c r="B2361" t="s">
        <v>14864</v>
      </c>
      <c r="C2361" s="221">
        <v>42970.348217592589</v>
      </c>
      <c r="D2361" t="s">
        <v>14865</v>
      </c>
      <c r="E2361" s="249" t="str">
        <f>HYPERLINK("https://www.instagram.com/p/BYIthpIHzQ4/")</f>
        <v>https://www.instagram.com/p/BYIthpIHzQ4/</v>
      </c>
      <c r="F2361" t="s">
        <v>2872</v>
      </c>
      <c r="G2361" t="s">
        <v>2478</v>
      </c>
      <c r="H2361">
        <v>1164</v>
      </c>
      <c r="I2361" t="s">
        <v>2479</v>
      </c>
      <c r="J2361">
        <v>10</v>
      </c>
      <c r="K2361">
        <v>129</v>
      </c>
      <c r="L2361">
        <v>139</v>
      </c>
      <c r="Q2361">
        <v>0</v>
      </c>
      <c r="R2361">
        <v>0</v>
      </c>
      <c r="S2361">
        <v>139</v>
      </c>
      <c r="Y2361" t="s">
        <v>2497</v>
      </c>
      <c r="AD2361" s="249" t="str">
        <f>HYPERLINK("https://scontent.cdninstagram.com/t51.2885-15/s320x320/e35/21107345_495466540808079_8234650353199480832_n.jpg")</f>
        <v>https://scontent.cdninstagram.com/t51.2885-15/s320x320/e35/21107345_495466540808079_8234650353199480832_n.jpg</v>
      </c>
      <c r="AE2361" s="249" t="str">
        <f>HYPERLINK("https://scontent.cdninstagram.com/t51.2885-19/s150x150/13627912_1819300701618750_1471077647_a.jpg")</f>
        <v>https://scontent.cdninstagram.com/t51.2885-19/s150x150/13627912_1819300701618750_1471077647_a.jpg</v>
      </c>
    </row>
    <row r="2362" spans="1:31" ht="15" x14ac:dyDescent="0.25">
      <c r="A2362" t="s">
        <v>2474</v>
      </c>
      <c r="B2362" t="s">
        <v>5275</v>
      </c>
      <c r="C2362" s="221">
        <v>42970.357418981483</v>
      </c>
      <c r="D2362" t="s">
        <v>14866</v>
      </c>
      <c r="E2362" s="249" t="str">
        <f>HYPERLINK("https://www.instagram.com/p/BYIvCtvnM8W/")</f>
        <v>https://www.instagram.com/p/BYIvCtvnM8W/</v>
      </c>
      <c r="F2362" t="s">
        <v>14867</v>
      </c>
      <c r="G2362" t="s">
        <v>2478</v>
      </c>
      <c r="H2362">
        <v>297</v>
      </c>
      <c r="I2362" t="s">
        <v>2479</v>
      </c>
      <c r="J2362">
        <v>2</v>
      </c>
      <c r="K2362">
        <v>43</v>
      </c>
      <c r="L2362">
        <v>45</v>
      </c>
      <c r="Q2362">
        <v>0</v>
      </c>
      <c r="R2362">
        <v>0</v>
      </c>
      <c r="S2362">
        <v>45</v>
      </c>
      <c r="Y2362" t="s">
        <v>4207</v>
      </c>
      <c r="Z2362" t="s">
        <v>5275</v>
      </c>
      <c r="AA2362" t="s">
        <v>3219</v>
      </c>
      <c r="AB2362" t="s">
        <v>3952</v>
      </c>
      <c r="AC2362" t="s">
        <v>14868</v>
      </c>
      <c r="AD2362" s="249" t="str">
        <f>HYPERLINK("https://scontent.cdninstagram.com/t51.2885-15/s320x320/e35/21107576_335612126897624_8801344324101996544_n.jpg")</f>
        <v>https://scontent.cdninstagram.com/t51.2885-15/s320x320/e35/21107576_335612126897624_8801344324101996544_n.jpg</v>
      </c>
      <c r="AE2362" s="249" t="str">
        <f>HYPERLINK("https://scontent.cdninstagram.com/t51.2885-19/s150x150/18013697_427125890977264_7000566800060514304_a.jpg")</f>
        <v>https://scontent.cdninstagram.com/t51.2885-19/s150x150/18013697_427125890977264_7000566800060514304_a.jpg</v>
      </c>
    </row>
    <row r="2363" spans="1:31" ht="15" x14ac:dyDescent="0.25">
      <c r="A2363" t="s">
        <v>2474</v>
      </c>
      <c r="B2363" t="s">
        <v>14869</v>
      </c>
      <c r="C2363" s="221">
        <v>42970.361192129632</v>
      </c>
      <c r="D2363" t="s">
        <v>14870</v>
      </c>
      <c r="E2363" s="249" t="str">
        <f>HYPERLINK("https://www.instagram.com/p/BYIvqcqFtAP/")</f>
        <v>https://www.instagram.com/p/BYIvqcqFtAP/</v>
      </c>
      <c r="F2363" t="s">
        <v>14871</v>
      </c>
      <c r="G2363" t="s">
        <v>2478</v>
      </c>
      <c r="H2363">
        <v>1360</v>
      </c>
      <c r="I2363" t="s">
        <v>2479</v>
      </c>
      <c r="J2363">
        <v>0</v>
      </c>
      <c r="K2363">
        <v>65</v>
      </c>
      <c r="L2363">
        <v>65</v>
      </c>
      <c r="Q2363">
        <v>0</v>
      </c>
      <c r="R2363">
        <v>0</v>
      </c>
      <c r="S2363">
        <v>65</v>
      </c>
      <c r="T2363" t="s">
        <v>14872</v>
      </c>
      <c r="V2363" t="s">
        <v>2103</v>
      </c>
      <c r="W2363">
        <v>46.910800000000002</v>
      </c>
      <c r="X2363">
        <v>14.8817</v>
      </c>
      <c r="Y2363" t="s">
        <v>3698</v>
      </c>
      <c r="Z2363" t="s">
        <v>14873</v>
      </c>
      <c r="AA2363" t="s">
        <v>5307</v>
      </c>
      <c r="AB2363" t="s">
        <v>14874</v>
      </c>
      <c r="AC2363" t="s">
        <v>14875</v>
      </c>
      <c r="AD2363" s="249" t="str">
        <f>HYPERLINK("https://scontent.cdninstagram.com/t51.2885-15/s320x320/e35/21041449_276762976173317_3145362390908928000_n.jpg")</f>
        <v>https://scontent.cdninstagram.com/t51.2885-15/s320x320/e35/21041449_276762976173317_3145362390908928000_n.jpg</v>
      </c>
      <c r="AE2363" s="249" t="str">
        <f>HYPERLINK("https://scontent.cdninstagram.com/t51.2885-19/s150x150/21041053_124866731492726_4142899301665734656_a.jpg")</f>
        <v>https://scontent.cdninstagram.com/t51.2885-19/s150x150/21041053_124866731492726_4142899301665734656_a.jpg</v>
      </c>
    </row>
    <row r="2364" spans="1:31" ht="15" x14ac:dyDescent="0.25">
      <c r="A2364" t="s">
        <v>2474</v>
      </c>
      <c r="B2364" t="s">
        <v>14876</v>
      </c>
      <c r="C2364" s="221">
        <v>42970.362858796296</v>
      </c>
      <c r="D2364" t="s">
        <v>14877</v>
      </c>
      <c r="E2364" s="249" t="str">
        <f>HYPERLINK("https://www.instagram.com/p/BYIv8EWBtzR/")</f>
        <v>https://www.instagram.com/p/BYIv8EWBtzR/</v>
      </c>
      <c r="F2364" t="s">
        <v>14878</v>
      </c>
      <c r="G2364" t="s">
        <v>2478</v>
      </c>
      <c r="H2364">
        <v>984</v>
      </c>
      <c r="I2364" t="s">
        <v>2479</v>
      </c>
      <c r="J2364">
        <v>2</v>
      </c>
      <c r="K2364">
        <v>43</v>
      </c>
      <c r="L2364">
        <v>45</v>
      </c>
      <c r="Q2364">
        <v>0</v>
      </c>
      <c r="R2364">
        <v>0</v>
      </c>
      <c r="S2364">
        <v>45</v>
      </c>
      <c r="T2364" t="s">
        <v>14879</v>
      </c>
      <c r="U2364" t="s">
        <v>99</v>
      </c>
      <c r="V2364" t="s">
        <v>2299</v>
      </c>
      <c r="W2364">
        <v>40.711130555555997</v>
      </c>
      <c r="X2364">
        <v>-73.814130555556005</v>
      </c>
      <c r="Y2364" t="s">
        <v>14880</v>
      </c>
      <c r="Z2364" t="s">
        <v>2730</v>
      </c>
      <c r="AA2364" t="s">
        <v>4369</v>
      </c>
      <c r="AB2364" t="s">
        <v>14881</v>
      </c>
      <c r="AC2364" t="s">
        <v>14882</v>
      </c>
      <c r="AD2364" s="249" t="str">
        <f>HYPERLINK("https://scontent.cdninstagram.com/t51.2885-15/s320x320/e35/21041597_333953737031603_9086511383549313024_n.jpg")</f>
        <v>https://scontent.cdninstagram.com/t51.2885-15/s320x320/e35/21041597_333953737031603_9086511383549313024_n.jpg</v>
      </c>
      <c r="AE2364" s="249" t="str">
        <f>HYPERLINK("https://scontent.cdninstagram.com/t51.2885-19/s150x150/12750013_914712948647325_191649467_a.jpg")</f>
        <v>https://scontent.cdninstagram.com/t51.2885-19/s150x150/12750013_914712948647325_191649467_a.jpg</v>
      </c>
    </row>
    <row r="2365" spans="1:31" ht="15" x14ac:dyDescent="0.25">
      <c r="A2365" t="s">
        <v>2474</v>
      </c>
      <c r="B2365" t="s">
        <v>13053</v>
      </c>
      <c r="C2365" s="221">
        <v>42970.366180555553</v>
      </c>
      <c r="D2365" t="s">
        <v>14883</v>
      </c>
      <c r="E2365" s="249" t="str">
        <f>HYPERLINK("https://www.instagram.com/p/BYIwfCnBp-N/")</f>
        <v>https://www.instagram.com/p/BYIwfCnBp-N/</v>
      </c>
      <c r="F2365" t="s">
        <v>14884</v>
      </c>
      <c r="G2365" t="s">
        <v>2478</v>
      </c>
      <c r="H2365">
        <v>569</v>
      </c>
      <c r="I2365" t="s">
        <v>2542</v>
      </c>
      <c r="J2365">
        <v>1</v>
      </c>
      <c r="K2365">
        <v>24</v>
      </c>
      <c r="L2365">
        <v>25</v>
      </c>
      <c r="Q2365">
        <v>0</v>
      </c>
      <c r="R2365">
        <v>0</v>
      </c>
      <c r="S2365">
        <v>25</v>
      </c>
      <c r="Y2365" t="s">
        <v>14885</v>
      </c>
      <c r="Z2365" t="s">
        <v>14886</v>
      </c>
      <c r="AA2365" t="s">
        <v>14887</v>
      </c>
      <c r="AB2365" t="s">
        <v>5884</v>
      </c>
      <c r="AC2365" t="s">
        <v>14888</v>
      </c>
      <c r="AD2365" s="249" t="str">
        <f>HYPERLINK("https://scontent.cdninstagram.com/t51.2885-15/s320x320/e35/20969177_1423570791064085_5138865882184810496_n.jpg")</f>
        <v>https://scontent.cdninstagram.com/t51.2885-15/s320x320/e35/20969177_1423570791064085_5138865882184810496_n.jpg</v>
      </c>
      <c r="AE2365" s="249" t="str">
        <f>HYPERLINK("https://scontent.cdninstagram.com/t51.2885-19/s150x150/18512791_101765410410438_1751000416448937984_a.jpg")</f>
        <v>https://scontent.cdninstagram.com/t51.2885-19/s150x150/18512791_101765410410438_1751000416448937984_a.jpg</v>
      </c>
    </row>
    <row r="2366" spans="1:31" ht="15" x14ac:dyDescent="0.25">
      <c r="A2366" t="s">
        <v>2474</v>
      </c>
      <c r="B2366" t="s">
        <v>14889</v>
      </c>
      <c r="C2366" s="221">
        <v>42970.369189814817</v>
      </c>
      <c r="D2366" t="s">
        <v>14890</v>
      </c>
      <c r="E2366" s="249" t="str">
        <f>HYPERLINK("https://www.instagram.com/p/BYIw-0IANu5/")</f>
        <v>https://www.instagram.com/p/BYIw-0IANu5/</v>
      </c>
      <c r="F2366" t="s">
        <v>14891</v>
      </c>
      <c r="G2366" t="s">
        <v>2478</v>
      </c>
      <c r="H2366">
        <v>193</v>
      </c>
      <c r="I2366" t="s">
        <v>2479</v>
      </c>
      <c r="J2366">
        <v>0</v>
      </c>
      <c r="K2366">
        <v>23</v>
      </c>
      <c r="L2366">
        <v>23</v>
      </c>
      <c r="Q2366">
        <v>0</v>
      </c>
      <c r="R2366">
        <v>0</v>
      </c>
      <c r="S2366">
        <v>23</v>
      </c>
      <c r="T2366" t="s">
        <v>14892</v>
      </c>
      <c r="V2366" t="s">
        <v>2204</v>
      </c>
      <c r="W2366">
        <v>4.0384108610356</v>
      </c>
      <c r="X2366">
        <v>102.17240856251</v>
      </c>
      <c r="Y2366" t="s">
        <v>2497</v>
      </c>
      <c r="Z2366" t="s">
        <v>5950</v>
      </c>
      <c r="AA2366" t="s">
        <v>12390</v>
      </c>
      <c r="AB2366" t="s">
        <v>11363</v>
      </c>
      <c r="AC2366" t="s">
        <v>6678</v>
      </c>
      <c r="AD2366" s="249" t="str">
        <f>HYPERLINK("https://scontent.cdninstagram.com/t51.2885-15/e35/p320x320/20987086_275403246279381_5631241109091909632_n.jpg")</f>
        <v>https://scontent.cdninstagram.com/t51.2885-15/e35/p320x320/20987086_275403246279381_5631241109091909632_n.jpg</v>
      </c>
      <c r="AE2366" s="249" t="str">
        <f>HYPERLINK("https://scontent.cdninstagram.com/t51.2885-19/s150x150/19986200_279725752435358_6454144705427931136_a.jpg")</f>
        <v>https://scontent.cdninstagram.com/t51.2885-19/s150x150/19986200_279725752435358_6454144705427931136_a.jpg</v>
      </c>
    </row>
    <row r="2367" spans="1:31" ht="15" x14ac:dyDescent="0.25">
      <c r="A2367" t="s">
        <v>2474</v>
      </c>
      <c r="B2367" t="s">
        <v>14869</v>
      </c>
      <c r="C2367" s="221">
        <v>42970.370416666665</v>
      </c>
      <c r="D2367" t="s">
        <v>14893</v>
      </c>
      <c r="E2367" s="249" t="str">
        <f>HYPERLINK("https://www.instagram.com/p/BYIxLv7Fl5W/")</f>
        <v>https://www.instagram.com/p/BYIxLv7Fl5W/</v>
      </c>
      <c r="F2367" t="s">
        <v>14894</v>
      </c>
      <c r="G2367" t="s">
        <v>2478</v>
      </c>
      <c r="H2367">
        <v>1360</v>
      </c>
      <c r="I2367" t="s">
        <v>2479</v>
      </c>
      <c r="J2367">
        <v>2</v>
      </c>
      <c r="K2367">
        <v>57</v>
      </c>
      <c r="L2367">
        <v>59</v>
      </c>
      <c r="Q2367">
        <v>0</v>
      </c>
      <c r="R2367">
        <v>0</v>
      </c>
      <c r="S2367">
        <v>59</v>
      </c>
      <c r="Y2367" t="s">
        <v>14873</v>
      </c>
      <c r="Z2367" t="s">
        <v>5307</v>
      </c>
      <c r="AA2367" t="s">
        <v>14753</v>
      </c>
      <c r="AB2367" t="s">
        <v>4218</v>
      </c>
      <c r="AC2367" t="s">
        <v>14056</v>
      </c>
      <c r="AD2367" s="249" t="str">
        <f>HYPERLINK("https://scontent.cdninstagram.com/t51.2885-15/s320x320/e35/20969012_337585313365236_1861583115512709120_n.jpg")</f>
        <v>https://scontent.cdninstagram.com/t51.2885-15/s320x320/e35/20969012_337585313365236_1861583115512709120_n.jpg</v>
      </c>
      <c r="AE2367" s="249" t="str">
        <f>HYPERLINK("https://scontent.cdninstagram.com/t51.2885-19/s150x150/21041053_124866731492726_4142899301665734656_a.jpg")</f>
        <v>https://scontent.cdninstagram.com/t51.2885-19/s150x150/21041053_124866731492726_4142899301665734656_a.jpg</v>
      </c>
    </row>
    <row r="2368" spans="1:31" ht="15" x14ac:dyDescent="0.25">
      <c r="A2368" t="s">
        <v>2474</v>
      </c>
      <c r="B2368" t="s">
        <v>14895</v>
      </c>
      <c r="C2368" s="221">
        <v>42970.373553240737</v>
      </c>
      <c r="D2368" t="s">
        <v>14896</v>
      </c>
      <c r="E2368" s="249" t="str">
        <f>HYPERLINK("https://www.instagram.com/p/BYIxsyrDtPS/")</f>
        <v>https://www.instagram.com/p/BYIxsyrDtPS/</v>
      </c>
      <c r="F2368" t="s">
        <v>14897</v>
      </c>
      <c r="G2368" t="s">
        <v>2478</v>
      </c>
      <c r="H2368">
        <v>19094</v>
      </c>
      <c r="I2368" t="s">
        <v>2479</v>
      </c>
      <c r="J2368">
        <v>12</v>
      </c>
      <c r="K2368">
        <v>273</v>
      </c>
      <c r="L2368">
        <v>285</v>
      </c>
      <c r="Q2368">
        <v>0</v>
      </c>
      <c r="R2368">
        <v>0</v>
      </c>
      <c r="S2368">
        <v>285</v>
      </c>
      <c r="T2368" t="s">
        <v>14898</v>
      </c>
      <c r="V2368" t="s">
        <v>2230</v>
      </c>
      <c r="W2368">
        <v>59.912846600000002</v>
      </c>
      <c r="X2368">
        <v>10.7519981</v>
      </c>
      <c r="Y2368" t="s">
        <v>14899</v>
      </c>
      <c r="Z2368" t="s">
        <v>2497</v>
      </c>
      <c r="AA2368" t="s">
        <v>2554</v>
      </c>
      <c r="AD2368" s="249" t="str">
        <f>HYPERLINK("https://scontent.cdninstagram.com/t51.2885-15/e35/p320x320/20968916_124527504855595_4485185281506410496_n.jpg")</f>
        <v>https://scontent.cdninstagram.com/t51.2885-15/e35/p320x320/20968916_124527504855595_4485185281506410496_n.jpg</v>
      </c>
      <c r="AE2368" s="249" t="str">
        <f>HYPERLINK("https://scontent.cdninstagram.com/t51.2885-19/s150x150/14553287_383966718615952_3611609768386363392_a.jpg")</f>
        <v>https://scontent.cdninstagram.com/t51.2885-19/s150x150/14553287_383966718615952_3611609768386363392_a.jpg</v>
      </c>
    </row>
    <row r="2369" spans="1:31" ht="15" x14ac:dyDescent="0.25">
      <c r="A2369" t="s">
        <v>2474</v>
      </c>
      <c r="B2369" t="s">
        <v>14900</v>
      </c>
      <c r="C2369" s="221">
        <v>42970.3750462963</v>
      </c>
      <c r="D2369" t="s">
        <v>14901</v>
      </c>
      <c r="E2369" s="249" t="str">
        <f>HYPERLINK("https://www.instagram.com/p/BYIx8h7HBsA/")</f>
        <v>https://www.instagram.com/p/BYIx8h7HBsA/</v>
      </c>
      <c r="F2369" t="s">
        <v>14902</v>
      </c>
      <c r="G2369" t="s">
        <v>2478</v>
      </c>
      <c r="H2369">
        <v>46439</v>
      </c>
      <c r="I2369" t="s">
        <v>2479</v>
      </c>
      <c r="J2369">
        <v>20</v>
      </c>
      <c r="K2369">
        <v>587</v>
      </c>
      <c r="L2369">
        <v>607</v>
      </c>
      <c r="Q2369">
        <v>0</v>
      </c>
      <c r="R2369">
        <v>0</v>
      </c>
      <c r="S2369">
        <v>607</v>
      </c>
      <c r="Y2369" t="s">
        <v>4547</v>
      </c>
      <c r="Z2369" t="s">
        <v>4100</v>
      </c>
      <c r="AA2369" t="s">
        <v>11676</v>
      </c>
      <c r="AB2369" t="s">
        <v>14903</v>
      </c>
      <c r="AC2369" t="s">
        <v>14904</v>
      </c>
      <c r="AD2369" s="249" t="str">
        <f>HYPERLINK("https://scontent.cdninstagram.com/t51.2885-15/e35/p320x320/20968459_811634335671843_7745425235695894528_n.jpg")</f>
        <v>https://scontent.cdninstagram.com/t51.2885-15/e35/p320x320/20968459_811634335671843_7745425235695894528_n.jpg</v>
      </c>
      <c r="AE2369" s="249" t="str">
        <f>HYPERLINK("https://scontent.cdninstagram.com/t51.2885-19/s150x150/18298609_1355354691167876_5683572652778717184_a.jpg")</f>
        <v>https://scontent.cdninstagram.com/t51.2885-19/s150x150/18298609_1355354691167876_5683572652778717184_a.jpg</v>
      </c>
    </row>
    <row r="2370" spans="1:31" ht="15" x14ac:dyDescent="0.25">
      <c r="A2370" t="s">
        <v>2474</v>
      </c>
      <c r="B2370" t="s">
        <v>3754</v>
      </c>
      <c r="C2370" s="221">
        <v>42970.381365740737</v>
      </c>
      <c r="D2370" t="s">
        <v>14905</v>
      </c>
      <c r="E2370" s="249" t="str">
        <f>HYPERLINK("https://www.instagram.com/p/BYIy_MXjena/")</f>
        <v>https://www.instagram.com/p/BYIy_MXjena/</v>
      </c>
      <c r="F2370" t="s">
        <v>7206</v>
      </c>
      <c r="G2370" t="s">
        <v>2478</v>
      </c>
      <c r="H2370">
        <v>201591</v>
      </c>
      <c r="I2370" t="s">
        <v>2479</v>
      </c>
      <c r="J2370">
        <v>2</v>
      </c>
      <c r="K2370">
        <v>325</v>
      </c>
      <c r="L2370">
        <v>327</v>
      </c>
      <c r="Q2370">
        <v>0</v>
      </c>
      <c r="R2370">
        <v>0</v>
      </c>
      <c r="S2370">
        <v>327</v>
      </c>
      <c r="Y2370" t="s">
        <v>6789</v>
      </c>
      <c r="Z2370" t="s">
        <v>6242</v>
      </c>
      <c r="AA2370" t="s">
        <v>6790</v>
      </c>
      <c r="AB2370" t="s">
        <v>8783</v>
      </c>
      <c r="AC2370" t="s">
        <v>8654</v>
      </c>
      <c r="AD2370" s="249" t="str">
        <f>HYPERLINK("https://scontent.cdninstagram.com/t51.2885-15/e35/p320x320/21041390_141674673101704_7833176618758569984_n.jpg")</f>
        <v>https://scontent.cdninstagram.com/t51.2885-15/e35/p320x320/21041390_141674673101704_7833176618758569984_n.jpg</v>
      </c>
      <c r="AE2370" s="249" t="str">
        <f>HYPERLINK("https://scontent.cdninstagram.com/t51.2885-19/s150x150/12905002_1681254462136092_1137392787_a.jpg")</f>
        <v>https://scontent.cdninstagram.com/t51.2885-19/s150x150/12905002_1681254462136092_1137392787_a.jpg</v>
      </c>
    </row>
    <row r="2371" spans="1:31" ht="15" x14ac:dyDescent="0.25">
      <c r="A2371" t="s">
        <v>2474</v>
      </c>
      <c r="B2371" t="s">
        <v>14906</v>
      </c>
      <c r="C2371" s="221">
        <v>42970.381828703707</v>
      </c>
      <c r="D2371" t="s">
        <v>14907</v>
      </c>
      <c r="E2371" s="249" t="str">
        <f>HYPERLINK("https://www.instagram.com/p/BYIzEJ-lKxA/")</f>
        <v>https://www.instagram.com/p/BYIzEJ-lKxA/</v>
      </c>
      <c r="F2371" t="s">
        <v>14908</v>
      </c>
      <c r="G2371" t="s">
        <v>2478</v>
      </c>
      <c r="H2371">
        <v>1645</v>
      </c>
      <c r="I2371" t="s">
        <v>2479</v>
      </c>
      <c r="J2371">
        <v>1</v>
      </c>
      <c r="K2371">
        <v>139</v>
      </c>
      <c r="L2371">
        <v>140</v>
      </c>
      <c r="Q2371">
        <v>0</v>
      </c>
      <c r="R2371">
        <v>0</v>
      </c>
      <c r="S2371">
        <v>140</v>
      </c>
      <c r="Y2371" t="s">
        <v>14909</v>
      </c>
      <c r="Z2371" t="s">
        <v>14910</v>
      </c>
      <c r="AA2371" t="s">
        <v>2497</v>
      </c>
      <c r="AD2371" s="249" t="str">
        <f>HYPERLINK("https://scontent.cdninstagram.com/t51.2885-15/e35/p320x320/20986960_1538641706256610_4009716579179692032_n.jpg")</f>
        <v>https://scontent.cdninstagram.com/t51.2885-15/e35/p320x320/20986960_1538641706256610_4009716579179692032_n.jpg</v>
      </c>
      <c r="AE2371" s="249" t="str">
        <f>HYPERLINK("https://scontent.cdninstagram.com/t51.2885-19/s150x150/15253094_354157064941112_2424095038104403968_a.jpg")</f>
        <v>https://scontent.cdninstagram.com/t51.2885-19/s150x150/15253094_354157064941112_2424095038104403968_a.jpg</v>
      </c>
    </row>
    <row r="2372" spans="1:31" ht="15" x14ac:dyDescent="0.25">
      <c r="A2372" t="s">
        <v>2474</v>
      </c>
      <c r="B2372" t="s">
        <v>14911</v>
      </c>
      <c r="C2372" s="221">
        <v>42970.383518518516</v>
      </c>
      <c r="D2372" t="s">
        <v>14912</v>
      </c>
      <c r="E2372" s="249" t="str">
        <f>HYPERLINK("https://www.instagram.com/p/BYIzV7bA565/")</f>
        <v>https://www.instagram.com/p/BYIzV7bA565/</v>
      </c>
      <c r="F2372" t="s">
        <v>14913</v>
      </c>
      <c r="G2372" t="s">
        <v>2631</v>
      </c>
      <c r="H2372">
        <v>142</v>
      </c>
      <c r="I2372" t="s">
        <v>3170</v>
      </c>
      <c r="J2372">
        <v>3</v>
      </c>
      <c r="K2372">
        <v>38</v>
      </c>
      <c r="L2372">
        <v>41</v>
      </c>
      <c r="Q2372">
        <v>0</v>
      </c>
      <c r="R2372">
        <v>0</v>
      </c>
      <c r="S2372">
        <v>41</v>
      </c>
      <c r="T2372" t="s">
        <v>10357</v>
      </c>
      <c r="V2372" t="s">
        <v>2264</v>
      </c>
      <c r="W2372">
        <v>41.394154569340003</v>
      </c>
      <c r="X2372">
        <v>2.1499363690437998</v>
      </c>
      <c r="Y2372" t="s">
        <v>2497</v>
      </c>
      <c r="Z2372" t="s">
        <v>3323</v>
      </c>
      <c r="AA2372" t="s">
        <v>3014</v>
      </c>
      <c r="AB2372" t="s">
        <v>5932</v>
      </c>
      <c r="AC2372" t="s">
        <v>14914</v>
      </c>
      <c r="AD2372" s="249" t="str">
        <f>HYPERLINK("https://scontent.cdninstagram.com/t51.2885-15/s320x320/e15/21041002_804858906358466_4201853349915525120_n.jpg")</f>
        <v>https://scontent.cdninstagram.com/t51.2885-15/s320x320/e15/21041002_804858906358466_4201853349915525120_n.jpg</v>
      </c>
      <c r="AE2372" s="249" t="str">
        <f>HYPERLINK("https://scontent.cdninstagram.com/t51.2885-19/10296832_566472136799060_37695476_a.jpg")</f>
        <v>https://scontent.cdninstagram.com/t51.2885-19/10296832_566472136799060_37695476_a.jpg</v>
      </c>
    </row>
    <row r="2373" spans="1:31" ht="15" x14ac:dyDescent="0.25">
      <c r="A2373" t="s">
        <v>2474</v>
      </c>
      <c r="B2373" t="s">
        <v>14915</v>
      </c>
      <c r="C2373" s="221">
        <v>42970.38490740741</v>
      </c>
      <c r="D2373" t="s">
        <v>14916</v>
      </c>
      <c r="E2373" s="249" t="str">
        <f>HYPERLINK("https://www.instagram.com/p/BYIzkm5FiOf/")</f>
        <v>https://www.instagram.com/p/BYIzkm5FiOf/</v>
      </c>
      <c r="F2373" t="s">
        <v>14917</v>
      </c>
      <c r="G2373" t="s">
        <v>2478</v>
      </c>
      <c r="H2373">
        <v>5626</v>
      </c>
      <c r="I2373" t="s">
        <v>2479</v>
      </c>
      <c r="J2373">
        <v>15</v>
      </c>
      <c r="K2373">
        <v>1375</v>
      </c>
      <c r="L2373">
        <v>1390</v>
      </c>
      <c r="Q2373">
        <v>0</v>
      </c>
      <c r="R2373">
        <v>0</v>
      </c>
      <c r="S2373">
        <v>1390</v>
      </c>
      <c r="T2373" t="s">
        <v>14918</v>
      </c>
      <c r="V2373" t="s">
        <v>2270</v>
      </c>
      <c r="W2373">
        <v>57.700732700000003</v>
      </c>
      <c r="X2373">
        <v>11.9773715</v>
      </c>
      <c r="Y2373" t="s">
        <v>14919</v>
      </c>
      <c r="Z2373" t="s">
        <v>14920</v>
      </c>
      <c r="AA2373" t="s">
        <v>2497</v>
      </c>
      <c r="AB2373" t="s">
        <v>14921</v>
      </c>
      <c r="AD2373" s="249" t="str">
        <f>HYPERLINK("https://scontent.cdninstagram.com/t51.2885-15/s320x320/e35/21107200_2016012635337673_5679571152008118272_n.jpg")</f>
        <v>https://scontent.cdninstagram.com/t51.2885-15/s320x320/e35/21107200_2016012635337673_5679571152008118272_n.jpg</v>
      </c>
      <c r="AE2373" s="249" t="str">
        <f>HYPERLINK("https://scontent.cdninstagram.com/t51.2885-19/s150x150/17494603_1012709575539141_6393665368262443008_a.jpg")</f>
        <v>https://scontent.cdninstagram.com/t51.2885-19/s150x150/17494603_1012709575539141_6393665368262443008_a.jpg</v>
      </c>
    </row>
    <row r="2374" spans="1:31" ht="15" x14ac:dyDescent="0.25">
      <c r="A2374" t="s">
        <v>2474</v>
      </c>
      <c r="B2374" t="s">
        <v>14922</v>
      </c>
      <c r="C2374" s="221">
        <v>42970.397557870368</v>
      </c>
      <c r="D2374" t="s">
        <v>14923</v>
      </c>
      <c r="E2374" s="249" t="str">
        <f>HYPERLINK("https://www.instagram.com/p/BYI1p8Ng4uu/")</f>
        <v>https://www.instagram.com/p/BYI1p8Ng4uu/</v>
      </c>
      <c r="F2374" t="s">
        <v>14924</v>
      </c>
      <c r="G2374" t="s">
        <v>2478</v>
      </c>
      <c r="H2374">
        <v>1029</v>
      </c>
      <c r="I2374" t="s">
        <v>2479</v>
      </c>
      <c r="J2374">
        <v>0</v>
      </c>
      <c r="K2374">
        <v>18</v>
      </c>
      <c r="L2374">
        <v>18</v>
      </c>
      <c r="Q2374">
        <v>0</v>
      </c>
      <c r="R2374">
        <v>0</v>
      </c>
      <c r="S2374">
        <v>18</v>
      </c>
      <c r="Y2374" t="s">
        <v>3953</v>
      </c>
      <c r="Z2374" t="s">
        <v>14925</v>
      </c>
      <c r="AA2374" t="s">
        <v>14926</v>
      </c>
      <c r="AB2374" t="s">
        <v>13517</v>
      </c>
      <c r="AC2374" t="s">
        <v>14927</v>
      </c>
      <c r="AD2374" s="249" t="str">
        <f>HYPERLINK("https://scontent.cdninstagram.com/t51.2885-15/s320x320/e35/21040996_112223346175264_156680333943635968_n.jpg")</f>
        <v>https://scontent.cdninstagram.com/t51.2885-15/s320x320/e35/21040996_112223346175264_156680333943635968_n.jpg</v>
      </c>
      <c r="AE2374" s="249" t="str">
        <f>HYPERLINK("https://scontent.cdninstagram.com/t51.2885-19/s150x150/12141973_777189035719246_1356770351_a.jpg")</f>
        <v>https://scontent.cdninstagram.com/t51.2885-19/s150x150/12141973_777189035719246_1356770351_a.jpg</v>
      </c>
    </row>
    <row r="2375" spans="1:31" ht="15" x14ac:dyDescent="0.25">
      <c r="A2375" t="s">
        <v>2474</v>
      </c>
      <c r="B2375" t="s">
        <v>13580</v>
      </c>
      <c r="C2375" s="221">
        <v>42970.401296296295</v>
      </c>
      <c r="D2375" t="s">
        <v>14928</v>
      </c>
      <c r="E2375" s="249" t="str">
        <f>HYPERLINK("https://www.instagram.com/p/BYI2RaxjbHW/")</f>
        <v>https://www.instagram.com/p/BYI2RaxjbHW/</v>
      </c>
      <c r="F2375" t="s">
        <v>14929</v>
      </c>
      <c r="G2375" t="s">
        <v>2478</v>
      </c>
      <c r="H2375">
        <v>181</v>
      </c>
      <c r="I2375" t="s">
        <v>2542</v>
      </c>
      <c r="J2375">
        <v>0</v>
      </c>
      <c r="K2375">
        <v>2</v>
      </c>
      <c r="L2375">
        <v>2</v>
      </c>
      <c r="Q2375">
        <v>0</v>
      </c>
      <c r="R2375">
        <v>0</v>
      </c>
      <c r="S2375">
        <v>2</v>
      </c>
      <c r="Y2375" t="s">
        <v>14930</v>
      </c>
      <c r="Z2375" t="s">
        <v>14629</v>
      </c>
      <c r="AA2375" t="s">
        <v>14931</v>
      </c>
      <c r="AB2375" t="s">
        <v>2968</v>
      </c>
      <c r="AC2375" t="s">
        <v>6843</v>
      </c>
      <c r="AD2375" s="249" t="str">
        <f>HYPERLINK("https://scontent.cdninstagram.com/t51.2885-15/e35/p320x320/20968998_337439980001479_2235480282285211648_n.jpg")</f>
        <v>https://scontent.cdninstagram.com/t51.2885-15/e35/p320x320/20968998_337439980001479_2235480282285211648_n.jpg</v>
      </c>
      <c r="AE2375" s="249" t="str">
        <f>HYPERLINK("https://scontent.cdninstagram.com/t51.2885-19/s150x150/14026560_334941486843632_1644773945_a.jpg")</f>
        <v>https://scontent.cdninstagram.com/t51.2885-19/s150x150/14026560_334941486843632_1644773945_a.jpg</v>
      </c>
    </row>
    <row r="2376" spans="1:31" ht="15" x14ac:dyDescent="0.25">
      <c r="A2376" t="s">
        <v>2474</v>
      </c>
      <c r="B2376" t="s">
        <v>14932</v>
      </c>
      <c r="C2376" s="221">
        <v>42970.403958333336</v>
      </c>
      <c r="D2376" t="s">
        <v>14933</v>
      </c>
      <c r="E2376" s="249" t="str">
        <f>HYPERLINK("https://www.instagram.com/p/BYI2tc6HkGu/")</f>
        <v>https://www.instagram.com/p/BYI2tc6HkGu/</v>
      </c>
      <c r="F2376" t="s">
        <v>14934</v>
      </c>
      <c r="G2376" t="s">
        <v>2488</v>
      </c>
      <c r="H2376">
        <v>563</v>
      </c>
      <c r="I2376" t="s">
        <v>2479</v>
      </c>
      <c r="J2376">
        <v>0</v>
      </c>
      <c r="K2376">
        <v>32</v>
      </c>
      <c r="L2376">
        <v>32</v>
      </c>
      <c r="Q2376">
        <v>0</v>
      </c>
      <c r="R2376">
        <v>0</v>
      </c>
      <c r="S2376">
        <v>32</v>
      </c>
      <c r="Y2376" t="s">
        <v>14935</v>
      </c>
      <c r="Z2376" t="s">
        <v>14936</v>
      </c>
      <c r="AA2376" t="s">
        <v>14937</v>
      </c>
      <c r="AB2376" t="s">
        <v>7830</v>
      </c>
      <c r="AC2376" t="s">
        <v>2497</v>
      </c>
      <c r="AD2376" s="249" t="str">
        <f>HYPERLINK("https://scontent.cdninstagram.com/t51.2885-15/s320x320/e35/20969284_125602221401892_2385932677426446336_n.jpg")</f>
        <v>https://scontent.cdninstagram.com/t51.2885-15/s320x320/e35/20969284_125602221401892_2385932677426446336_n.jpg</v>
      </c>
      <c r="AE2376" s="249" t="str">
        <f>HYPERLINK("https://scontent.cdninstagram.com/t51.2885-19/11380063_1015218245176625_1187490458_a.jpg")</f>
        <v>https://scontent.cdninstagram.com/t51.2885-19/11380063_1015218245176625_1187490458_a.jpg</v>
      </c>
    </row>
    <row r="2377" spans="1:31" ht="15" x14ac:dyDescent="0.25">
      <c r="A2377" t="s">
        <v>2474</v>
      </c>
      <c r="B2377" t="s">
        <v>13580</v>
      </c>
      <c r="C2377" s="221">
        <v>42970.404247685183</v>
      </c>
      <c r="D2377" t="s">
        <v>14938</v>
      </c>
      <c r="E2377" s="249" t="str">
        <f>HYPERLINK("https://www.instagram.com/p/BYI2wkjjKmi/")</f>
        <v>https://www.instagram.com/p/BYI2wkjjKmi/</v>
      </c>
      <c r="F2377" t="s">
        <v>14939</v>
      </c>
      <c r="G2377" t="s">
        <v>2478</v>
      </c>
      <c r="H2377">
        <v>181</v>
      </c>
      <c r="I2377" t="s">
        <v>2542</v>
      </c>
      <c r="J2377">
        <v>0</v>
      </c>
      <c r="K2377">
        <v>8</v>
      </c>
      <c r="L2377">
        <v>8</v>
      </c>
      <c r="Q2377">
        <v>0</v>
      </c>
      <c r="R2377">
        <v>0</v>
      </c>
      <c r="S2377">
        <v>8</v>
      </c>
      <c r="Y2377" t="s">
        <v>14930</v>
      </c>
      <c r="Z2377" t="s">
        <v>14931</v>
      </c>
      <c r="AA2377" t="s">
        <v>2968</v>
      </c>
      <c r="AB2377" t="s">
        <v>6843</v>
      </c>
      <c r="AC2377" t="s">
        <v>10101</v>
      </c>
      <c r="AD2377" s="249" t="str">
        <f>HYPERLINK("https://scontent.cdninstagram.com/t51.2885-15/s320x320/e35/21041891_157484224829925_9014419760485498880_n.jpg")</f>
        <v>https://scontent.cdninstagram.com/t51.2885-15/s320x320/e35/21041891_157484224829925_9014419760485498880_n.jpg</v>
      </c>
      <c r="AE2377" s="249" t="str">
        <f>HYPERLINK("https://scontent.cdninstagram.com/t51.2885-19/s150x150/14026560_334941486843632_1644773945_a.jpg")</f>
        <v>https://scontent.cdninstagram.com/t51.2885-19/s150x150/14026560_334941486843632_1644773945_a.jpg</v>
      </c>
    </row>
    <row r="2378" spans="1:31" ht="15" x14ac:dyDescent="0.25">
      <c r="A2378" t="s">
        <v>2474</v>
      </c>
      <c r="B2378" t="s">
        <v>13580</v>
      </c>
      <c r="C2378" s="221">
        <v>42970.406412037039</v>
      </c>
      <c r="D2378" t="s">
        <v>14940</v>
      </c>
      <c r="E2378" s="249" t="str">
        <f>HYPERLINK("https://www.instagram.com/p/BYI3HYWDEGC/")</f>
        <v>https://www.instagram.com/p/BYI3HYWDEGC/</v>
      </c>
      <c r="F2378" t="s">
        <v>14939</v>
      </c>
      <c r="G2378" t="s">
        <v>2478</v>
      </c>
      <c r="H2378">
        <v>181</v>
      </c>
      <c r="I2378" t="s">
        <v>2786</v>
      </c>
      <c r="J2378">
        <v>0</v>
      </c>
      <c r="K2378">
        <v>6</v>
      </c>
      <c r="L2378">
        <v>6</v>
      </c>
      <c r="Q2378">
        <v>0</v>
      </c>
      <c r="R2378">
        <v>0</v>
      </c>
      <c r="S2378">
        <v>6</v>
      </c>
      <c r="Y2378" t="s">
        <v>14930</v>
      </c>
      <c r="Z2378" t="s">
        <v>14931</v>
      </c>
      <c r="AA2378" t="s">
        <v>2968</v>
      </c>
      <c r="AB2378" t="s">
        <v>6843</v>
      </c>
      <c r="AC2378" t="s">
        <v>10101</v>
      </c>
      <c r="AD2378" s="249" t="str">
        <f>HYPERLINK("https://scontent.cdninstagram.com/t51.2885-15/s320x320/e35/21042004_1486640264783730_7901725392019390464_n.jpg")</f>
        <v>https://scontent.cdninstagram.com/t51.2885-15/s320x320/e35/21042004_1486640264783730_7901725392019390464_n.jpg</v>
      </c>
      <c r="AE2378" s="249" t="str">
        <f>HYPERLINK("https://scontent.cdninstagram.com/t51.2885-19/s150x150/14026560_334941486843632_1644773945_a.jpg")</f>
        <v>https://scontent.cdninstagram.com/t51.2885-19/s150x150/14026560_334941486843632_1644773945_a.jpg</v>
      </c>
    </row>
    <row r="2379" spans="1:31" ht="15" x14ac:dyDescent="0.25">
      <c r="A2379" t="s">
        <v>2474</v>
      </c>
      <c r="B2379" t="s">
        <v>14941</v>
      </c>
      <c r="C2379" s="221">
        <v>42970.418136574073</v>
      </c>
      <c r="D2379" t="s">
        <v>14942</v>
      </c>
      <c r="E2379" s="249" t="str">
        <f>HYPERLINK("https://www.instagram.com/p/BYI5C-hHgGU/")</f>
        <v>https://www.instagram.com/p/BYI5C-hHgGU/</v>
      </c>
      <c r="F2379" t="s">
        <v>14943</v>
      </c>
      <c r="G2379" t="s">
        <v>2478</v>
      </c>
      <c r="H2379">
        <v>135</v>
      </c>
      <c r="I2379" t="s">
        <v>3186</v>
      </c>
      <c r="J2379">
        <v>1</v>
      </c>
      <c r="K2379">
        <v>31</v>
      </c>
      <c r="L2379">
        <v>32</v>
      </c>
      <c r="Q2379">
        <v>0</v>
      </c>
      <c r="R2379">
        <v>0</v>
      </c>
      <c r="S2379">
        <v>32</v>
      </c>
      <c r="Y2379" t="s">
        <v>3671</v>
      </c>
      <c r="Z2379" t="s">
        <v>5884</v>
      </c>
      <c r="AA2379" t="s">
        <v>5629</v>
      </c>
      <c r="AB2379" t="s">
        <v>3477</v>
      </c>
      <c r="AC2379" t="s">
        <v>14944</v>
      </c>
      <c r="AD2379" s="249" t="str">
        <f>HYPERLINK("https://scontent.cdninstagram.com/t51.2885-15/s320x320/e35/21042398_2004146226531360_6759918133198192640_n.jpg")</f>
        <v>https://scontent.cdninstagram.com/t51.2885-15/s320x320/e35/21042398_2004146226531360_6759918133198192640_n.jpg</v>
      </c>
      <c r="AE2379" s="249" t="str">
        <f>HYPERLINK("https://scontent.cdninstagram.com/t51.2885-19/s150x150/16122947_1328529543857245_1559779474474532864_a.jpg")</f>
        <v>https://scontent.cdninstagram.com/t51.2885-19/s150x150/16122947_1328529543857245_1559779474474532864_a.jpg</v>
      </c>
    </row>
    <row r="2380" spans="1:31" ht="15" x14ac:dyDescent="0.25">
      <c r="A2380" t="s">
        <v>2474</v>
      </c>
      <c r="B2380" t="s">
        <v>10842</v>
      </c>
      <c r="C2380" s="221">
        <v>42970.421087962961</v>
      </c>
      <c r="D2380" t="s">
        <v>14945</v>
      </c>
      <c r="E2380" s="249" t="str">
        <f>HYPERLINK("https://www.instagram.com/p/BYI5iMQD2xj/")</f>
        <v>https://www.instagram.com/p/BYI5iMQD2xj/</v>
      </c>
      <c r="F2380" t="s">
        <v>14946</v>
      </c>
      <c r="G2380" t="s">
        <v>2478</v>
      </c>
      <c r="H2380">
        <v>159</v>
      </c>
      <c r="I2380" t="s">
        <v>2903</v>
      </c>
      <c r="J2380">
        <v>2</v>
      </c>
      <c r="K2380">
        <v>36</v>
      </c>
      <c r="L2380">
        <v>38</v>
      </c>
      <c r="Q2380">
        <v>0</v>
      </c>
      <c r="R2380">
        <v>0</v>
      </c>
      <c r="S2380">
        <v>38</v>
      </c>
      <c r="Y2380" t="s">
        <v>14947</v>
      </c>
      <c r="Z2380" t="s">
        <v>10845</v>
      </c>
      <c r="AA2380" t="s">
        <v>14948</v>
      </c>
      <c r="AB2380" t="s">
        <v>14949</v>
      </c>
      <c r="AC2380" t="s">
        <v>6317</v>
      </c>
      <c r="AD2380" s="249" t="str">
        <f>HYPERLINK("https://scontent.cdninstagram.com/t51.2885-15/s320x320/e35/20968635_1912080579058083_5576918135098834944_n.jpg")</f>
        <v>https://scontent.cdninstagram.com/t51.2885-15/s320x320/e35/20968635_1912080579058083_5576918135098834944_n.jpg</v>
      </c>
      <c r="AE2380" s="249" t="str">
        <f>HYPERLINK("https://scontent.cdninstagram.com/t51.2885-19/s150x150/18095042_408023269553738_1962483193059737600_a.jpg")</f>
        <v>https://scontent.cdninstagram.com/t51.2885-19/s150x150/18095042_408023269553738_1962483193059737600_a.jpg</v>
      </c>
    </row>
    <row r="2381" spans="1:31" ht="15" x14ac:dyDescent="0.25">
      <c r="A2381" t="s">
        <v>2474</v>
      </c>
      <c r="B2381" t="s">
        <v>14950</v>
      </c>
      <c r="C2381" s="221">
        <v>42970.427256944444</v>
      </c>
      <c r="D2381" t="s">
        <v>14951</v>
      </c>
      <c r="E2381" s="249" t="str">
        <f>HYPERLINK("https://www.instagram.com/p/BYI6jPrB8ft/")</f>
        <v>https://www.instagram.com/p/BYI6jPrB8ft/</v>
      </c>
      <c r="F2381" t="s">
        <v>14952</v>
      </c>
      <c r="G2381" t="s">
        <v>2478</v>
      </c>
      <c r="H2381">
        <v>999</v>
      </c>
      <c r="I2381" t="s">
        <v>2479</v>
      </c>
      <c r="J2381">
        <v>6</v>
      </c>
      <c r="K2381">
        <v>105</v>
      </c>
      <c r="L2381">
        <v>111</v>
      </c>
      <c r="Q2381">
        <v>0</v>
      </c>
      <c r="R2381">
        <v>0</v>
      </c>
      <c r="S2381">
        <v>111</v>
      </c>
      <c r="T2381" t="s">
        <v>14953</v>
      </c>
      <c r="V2381" t="s">
        <v>2288</v>
      </c>
      <c r="W2381">
        <v>53.106753914617997</v>
      </c>
      <c r="X2381">
        <v>-2.0217839771663999</v>
      </c>
      <c r="Y2381" t="s">
        <v>4620</v>
      </c>
      <c r="Z2381" t="s">
        <v>8592</v>
      </c>
      <c r="AA2381" t="s">
        <v>13867</v>
      </c>
      <c r="AB2381" t="s">
        <v>14954</v>
      </c>
      <c r="AC2381" t="s">
        <v>2511</v>
      </c>
      <c r="AD2381" s="249" t="str">
        <f>HYPERLINK("https://scontent.cdninstagram.com/t51.2885-15/e35/p320x320/21041022_1440468242697528_5318897927546994688_n.jpg")</f>
        <v>https://scontent.cdninstagram.com/t51.2885-15/e35/p320x320/21041022_1440468242697528_5318897927546994688_n.jpg</v>
      </c>
      <c r="AE2381" s="249" t="str">
        <f>HYPERLINK("https://scontent.cdninstagram.com/t51.2885-19/s150x150/20766311_118402045482734_5795925260620529664_a.jpg")</f>
        <v>https://scontent.cdninstagram.com/t51.2885-19/s150x150/20766311_118402045482734_5795925260620529664_a.jpg</v>
      </c>
    </row>
    <row r="2382" spans="1:31" ht="15" x14ac:dyDescent="0.25">
      <c r="A2382" t="s">
        <v>2474</v>
      </c>
      <c r="B2382" t="s">
        <v>14955</v>
      </c>
      <c r="C2382" s="221">
        <v>42970.429722222223</v>
      </c>
      <c r="D2382" t="s">
        <v>14956</v>
      </c>
      <c r="E2382" s="249" t="str">
        <f>HYPERLINK("https://www.instagram.com/p/BYI69ReFxeW/")</f>
        <v>https://www.instagram.com/p/BYI69ReFxeW/</v>
      </c>
      <c r="F2382" t="s">
        <v>14957</v>
      </c>
      <c r="G2382" t="s">
        <v>2478</v>
      </c>
      <c r="H2382">
        <v>561</v>
      </c>
      <c r="I2382" t="s">
        <v>2479</v>
      </c>
      <c r="J2382">
        <v>6</v>
      </c>
      <c r="K2382">
        <v>132</v>
      </c>
      <c r="L2382">
        <v>138</v>
      </c>
      <c r="Q2382">
        <v>0</v>
      </c>
      <c r="R2382">
        <v>0</v>
      </c>
      <c r="S2382">
        <v>138</v>
      </c>
      <c r="T2382" t="s">
        <v>14958</v>
      </c>
      <c r="U2382" t="s">
        <v>120</v>
      </c>
      <c r="V2382" t="s">
        <v>2299</v>
      </c>
      <c r="W2382">
        <v>47.656481624549997</v>
      </c>
      <c r="X2382">
        <v>-122.20713041133</v>
      </c>
      <c r="Y2382" t="s">
        <v>4571</v>
      </c>
      <c r="Z2382" t="s">
        <v>14959</v>
      </c>
      <c r="AA2382" t="s">
        <v>14960</v>
      </c>
      <c r="AB2382" t="s">
        <v>4464</v>
      </c>
      <c r="AC2382" t="s">
        <v>2911</v>
      </c>
      <c r="AD2382" s="249" t="str">
        <f>HYPERLINK("https://scontent.cdninstagram.com/t51.2885-15/s320x320/e35/20968629_824322367733127_8731120857193119744_n.jpg")</f>
        <v>https://scontent.cdninstagram.com/t51.2885-15/s320x320/e35/20968629_824322367733127_8731120857193119744_n.jpg</v>
      </c>
      <c r="AE2382" s="249" t="str">
        <f>HYPERLINK("https://scontent.cdninstagram.com/t51.2885-19/s150x150/18011533_281973615585542_8267416873449029632_a.jpg")</f>
        <v>https://scontent.cdninstagram.com/t51.2885-19/s150x150/18011533_281973615585542_8267416873449029632_a.jpg</v>
      </c>
    </row>
    <row r="2383" spans="1:31" ht="15" x14ac:dyDescent="0.25">
      <c r="A2383" t="s">
        <v>2474</v>
      </c>
      <c r="B2383" t="s">
        <v>4811</v>
      </c>
      <c r="C2383" s="221">
        <v>42970.441782407404</v>
      </c>
      <c r="D2383" t="s">
        <v>14961</v>
      </c>
      <c r="E2383" s="249" t="str">
        <f>HYPERLINK("https://www.instagram.com/p/BYI88blgTXu/")</f>
        <v>https://www.instagram.com/p/BYI88blgTXu/</v>
      </c>
      <c r="F2383" t="s">
        <v>14962</v>
      </c>
      <c r="G2383" t="s">
        <v>2478</v>
      </c>
      <c r="H2383">
        <v>990</v>
      </c>
      <c r="I2383" t="s">
        <v>2479</v>
      </c>
      <c r="J2383">
        <v>13</v>
      </c>
      <c r="K2383">
        <v>100</v>
      </c>
      <c r="L2383">
        <v>113</v>
      </c>
      <c r="Q2383">
        <v>0</v>
      </c>
      <c r="R2383">
        <v>0</v>
      </c>
      <c r="S2383">
        <v>113</v>
      </c>
      <c r="Y2383" t="s">
        <v>3246</v>
      </c>
      <c r="Z2383" t="s">
        <v>5838</v>
      </c>
      <c r="AA2383" t="s">
        <v>8095</v>
      </c>
      <c r="AB2383" t="s">
        <v>12100</v>
      </c>
      <c r="AC2383" t="s">
        <v>14963</v>
      </c>
      <c r="AD2383" s="249" t="str">
        <f>HYPERLINK("https://scontent.cdninstagram.com/t51.2885-15/s320x320/e35/21042280_133150273964232_3239144320372047872_n.jpg")</f>
        <v>https://scontent.cdninstagram.com/t51.2885-15/s320x320/e35/21042280_133150273964232_3239144320372047872_n.jpg</v>
      </c>
      <c r="AE2383" s="249" t="str">
        <f>HYPERLINK("https://scontent.cdninstagram.com/t51.2885-19/s150x150/16124251_1913091765603634_8004330562992996352_a.jpg")</f>
        <v>https://scontent.cdninstagram.com/t51.2885-19/s150x150/16124251_1913091765603634_8004330562992996352_a.jpg</v>
      </c>
    </row>
    <row r="2384" spans="1:31" ht="15" x14ac:dyDescent="0.25">
      <c r="A2384" t="s">
        <v>2474</v>
      </c>
      <c r="B2384" t="s">
        <v>3601</v>
      </c>
      <c r="C2384" s="221">
        <v>42970.445694444446</v>
      </c>
      <c r="D2384" t="s">
        <v>14964</v>
      </c>
      <c r="E2384" s="249" t="str">
        <f>HYPERLINK("https://www.instagram.com/p/BYI9lu7HmWo/")</f>
        <v>https://www.instagram.com/p/BYI9lu7HmWo/</v>
      </c>
      <c r="F2384" t="s">
        <v>14965</v>
      </c>
      <c r="G2384" t="s">
        <v>2488</v>
      </c>
      <c r="H2384">
        <v>674</v>
      </c>
      <c r="I2384" t="s">
        <v>2479</v>
      </c>
      <c r="J2384">
        <v>2</v>
      </c>
      <c r="K2384">
        <v>30</v>
      </c>
      <c r="L2384">
        <v>32</v>
      </c>
      <c r="Q2384">
        <v>0</v>
      </c>
      <c r="R2384">
        <v>0</v>
      </c>
      <c r="S2384">
        <v>32</v>
      </c>
      <c r="Y2384" t="s">
        <v>14966</v>
      </c>
      <c r="Z2384" t="s">
        <v>2949</v>
      </c>
      <c r="AA2384" t="s">
        <v>14967</v>
      </c>
      <c r="AB2384" t="s">
        <v>14968</v>
      </c>
      <c r="AC2384" t="s">
        <v>6294</v>
      </c>
      <c r="AD2384" s="249" t="str">
        <f>HYPERLINK("https://scontent.cdninstagram.com/t51.2885-15/s320x320/e35/21040958_112292876105215_2570306462278483968_n.jpg")</f>
        <v>https://scontent.cdninstagram.com/t51.2885-15/s320x320/e35/21040958_112292876105215_2570306462278483968_n.jpg</v>
      </c>
      <c r="AE2384" s="249" t="str">
        <f>HYPERLINK("https://scontent.cdninstagram.com/t51.2885-19/s150x150/15048246_1010636362391741_270322140643852288_a.jpg")</f>
        <v>https://scontent.cdninstagram.com/t51.2885-19/s150x150/15048246_1010636362391741_270322140643852288_a.jpg</v>
      </c>
    </row>
    <row r="2385" spans="1:31" ht="15" x14ac:dyDescent="0.25">
      <c r="A2385" t="s">
        <v>2474</v>
      </c>
      <c r="B2385" t="s">
        <v>14969</v>
      </c>
      <c r="C2385" s="221">
        <v>42970.44672453704</v>
      </c>
      <c r="D2385" t="s">
        <v>14970</v>
      </c>
      <c r="E2385" s="249" t="str">
        <f>HYPERLINK("https://www.instagram.com/p/BYI9wkWnmTz/")</f>
        <v>https://www.instagram.com/p/BYI9wkWnmTz/</v>
      </c>
      <c r="F2385" t="s">
        <v>14971</v>
      </c>
      <c r="G2385" t="s">
        <v>2478</v>
      </c>
      <c r="H2385">
        <v>134</v>
      </c>
      <c r="I2385" t="s">
        <v>3575</v>
      </c>
      <c r="J2385">
        <v>12</v>
      </c>
      <c r="K2385">
        <v>41</v>
      </c>
      <c r="L2385">
        <v>53</v>
      </c>
      <c r="Q2385">
        <v>0</v>
      </c>
      <c r="R2385">
        <v>0</v>
      </c>
      <c r="S2385">
        <v>53</v>
      </c>
      <c r="Y2385" t="s">
        <v>3982</v>
      </c>
      <c r="Z2385" t="s">
        <v>14972</v>
      </c>
      <c r="AA2385" t="s">
        <v>2513</v>
      </c>
      <c r="AB2385" t="s">
        <v>2497</v>
      </c>
      <c r="AC2385" t="s">
        <v>14973</v>
      </c>
      <c r="AD2385" s="249" t="str">
        <f>HYPERLINK("https://scontent.cdninstagram.com/t51.2885-15/s320x320/e35/21041451_469048940133727_5851260442441154560_n.jpg")</f>
        <v>https://scontent.cdninstagram.com/t51.2885-15/s320x320/e35/21041451_469048940133727_5851260442441154560_n.jpg</v>
      </c>
      <c r="AE2385" s="249" t="str">
        <f>HYPERLINK("https://scontent.cdninstagram.com/t51.2885-19/s150x150/13256804_1550105158627906_595334428_a.jpg")</f>
        <v>https://scontent.cdninstagram.com/t51.2885-19/s150x150/13256804_1550105158627906_595334428_a.jpg</v>
      </c>
    </row>
    <row r="2386" spans="1:31" ht="15" x14ac:dyDescent="0.25">
      <c r="A2386" t="s">
        <v>2474</v>
      </c>
      <c r="B2386" t="s">
        <v>14974</v>
      </c>
      <c r="C2386" s="221">
        <v>42970.448611111111</v>
      </c>
      <c r="D2386" t="s">
        <v>14975</v>
      </c>
      <c r="E2386" s="249" t="str">
        <f>HYPERLINK("https://www.instagram.com/p/BYI-EZdHnmS/")</f>
        <v>https://www.instagram.com/p/BYI-EZdHnmS/</v>
      </c>
      <c r="F2386" t="s">
        <v>14976</v>
      </c>
      <c r="G2386" t="s">
        <v>2478</v>
      </c>
      <c r="H2386">
        <v>18</v>
      </c>
      <c r="I2386" t="s">
        <v>2542</v>
      </c>
      <c r="J2386">
        <v>1</v>
      </c>
      <c r="K2386">
        <v>25</v>
      </c>
      <c r="L2386">
        <v>26</v>
      </c>
      <c r="Q2386">
        <v>0</v>
      </c>
      <c r="R2386">
        <v>0</v>
      </c>
      <c r="S2386">
        <v>26</v>
      </c>
      <c r="Y2386" t="s">
        <v>7419</v>
      </c>
      <c r="Z2386" t="s">
        <v>14977</v>
      </c>
      <c r="AA2386" t="s">
        <v>10557</v>
      </c>
      <c r="AB2386" t="s">
        <v>14978</v>
      </c>
      <c r="AC2386" t="s">
        <v>14979</v>
      </c>
      <c r="AD2386" s="249" t="str">
        <f>HYPERLINK("https://scontent.cdninstagram.com/t51.2885-15/s320x320/e35/21042263_111073496278427_7478574785836875776_n.jpg")</f>
        <v>https://scontent.cdninstagram.com/t51.2885-15/s320x320/e35/21042263_111073496278427_7478574785836875776_n.jpg</v>
      </c>
      <c r="AE2386" s="249" t="str">
        <f>HYPERLINK("https://scontent.cdninstagram.com/t51.2885-19/s150x150/20759277_111122262890748_5224940020388855808_a.jpg")</f>
        <v>https://scontent.cdninstagram.com/t51.2885-19/s150x150/20759277_111122262890748_5224940020388855808_a.jpg</v>
      </c>
    </row>
    <row r="2387" spans="1:31" ht="15" x14ac:dyDescent="0.25">
      <c r="A2387" t="s">
        <v>2474</v>
      </c>
      <c r="B2387" t="s">
        <v>3754</v>
      </c>
      <c r="C2387" s="221">
        <v>42970.449143518519</v>
      </c>
      <c r="D2387" t="s">
        <v>14980</v>
      </c>
      <c r="E2387" s="249" t="str">
        <f>HYPERLINK("https://www.instagram.com/p/BYI-KF0DtH7/")</f>
        <v>https://www.instagram.com/p/BYI-KF0DtH7/</v>
      </c>
      <c r="F2387" t="s">
        <v>7206</v>
      </c>
      <c r="G2387" t="s">
        <v>2478</v>
      </c>
      <c r="H2387">
        <v>201584</v>
      </c>
      <c r="I2387" t="s">
        <v>2479</v>
      </c>
      <c r="J2387">
        <v>0</v>
      </c>
      <c r="K2387">
        <v>79</v>
      </c>
      <c r="L2387">
        <v>79</v>
      </c>
      <c r="Q2387">
        <v>0</v>
      </c>
      <c r="R2387">
        <v>0</v>
      </c>
      <c r="S2387">
        <v>79</v>
      </c>
      <c r="Y2387" t="s">
        <v>8783</v>
      </c>
      <c r="Z2387" t="s">
        <v>4564</v>
      </c>
      <c r="AA2387" t="s">
        <v>5197</v>
      </c>
      <c r="AB2387" t="s">
        <v>3757</v>
      </c>
      <c r="AC2387" t="s">
        <v>4232</v>
      </c>
      <c r="AD2387" s="249" t="str">
        <f>HYPERLINK("https://scontent.cdninstagram.com/t51.2885-15/e35/p320x320/21107581_665282010329714_7795447366877708288_n.jpg")</f>
        <v>https://scontent.cdninstagram.com/t51.2885-15/e35/p320x320/21107581_665282010329714_7795447366877708288_n.jpg</v>
      </c>
      <c r="AE2387" s="249" t="str">
        <f>HYPERLINK("https://scontent.cdninstagram.com/t51.2885-19/s150x150/12905002_1681254462136092_1137392787_a.jpg")</f>
        <v>https://scontent.cdninstagram.com/t51.2885-19/s150x150/12905002_1681254462136092_1137392787_a.jpg</v>
      </c>
    </row>
    <row r="2388" spans="1:31" ht="15" x14ac:dyDescent="0.25">
      <c r="A2388" t="s">
        <v>2474</v>
      </c>
      <c r="B2388" t="s">
        <v>14981</v>
      </c>
      <c r="C2388" s="221">
        <v>42970.449849537035</v>
      </c>
      <c r="D2388" t="s">
        <v>14982</v>
      </c>
      <c r="E2388" s="249" t="str">
        <f>HYPERLINK("https://www.instagram.com/p/BYI-ReGFFp9/")</f>
        <v>https://www.instagram.com/p/BYI-ReGFFp9/</v>
      </c>
      <c r="F2388" t="s">
        <v>14983</v>
      </c>
      <c r="G2388" t="s">
        <v>2478</v>
      </c>
      <c r="H2388">
        <v>127</v>
      </c>
      <c r="I2388" t="s">
        <v>3898</v>
      </c>
      <c r="J2388">
        <v>0</v>
      </c>
      <c r="K2388">
        <v>6</v>
      </c>
      <c r="L2388">
        <v>6</v>
      </c>
      <c r="Q2388">
        <v>0</v>
      </c>
      <c r="R2388">
        <v>0</v>
      </c>
      <c r="S2388">
        <v>6</v>
      </c>
      <c r="Y2388" t="s">
        <v>14984</v>
      </c>
      <c r="Z2388" t="s">
        <v>12660</v>
      </c>
      <c r="AA2388" t="s">
        <v>9011</v>
      </c>
      <c r="AB2388" t="s">
        <v>14985</v>
      </c>
      <c r="AC2388" t="s">
        <v>4981</v>
      </c>
      <c r="AD2388" s="249" t="str">
        <f>HYPERLINK("https://scontent.cdninstagram.com/t51.2885-15/s320x320/e35/20987092_269266980242537_7381059417397002240_n.jpg")</f>
        <v>https://scontent.cdninstagram.com/t51.2885-15/s320x320/e35/20987092_269266980242537_7381059417397002240_n.jpg</v>
      </c>
      <c r="AE2388" s="249" t="str">
        <f>HYPERLINK("https://scontent.cdninstagram.com/t51.2885-19/s150x150/12940041_1716129078656347_474779280_a.jpg")</f>
        <v>https://scontent.cdninstagram.com/t51.2885-19/s150x150/12940041_1716129078656347_474779280_a.jpg</v>
      </c>
    </row>
    <row r="2389" spans="1:31" ht="15" x14ac:dyDescent="0.25">
      <c r="A2389" t="s">
        <v>2474</v>
      </c>
      <c r="B2389" t="s">
        <v>14986</v>
      </c>
      <c r="C2389" s="221">
        <v>42970.454745370371</v>
      </c>
      <c r="D2389" t="s">
        <v>14987</v>
      </c>
      <c r="E2389" s="249" t="str">
        <f>HYPERLINK("https://www.instagram.com/p/BYI_FJmH-iW/")</f>
        <v>https://www.instagram.com/p/BYI_FJmH-iW/</v>
      </c>
      <c r="F2389" t="s">
        <v>14988</v>
      </c>
      <c r="G2389" t="s">
        <v>2478</v>
      </c>
      <c r="H2389">
        <v>2505</v>
      </c>
      <c r="I2389" t="s">
        <v>2479</v>
      </c>
      <c r="J2389">
        <v>1</v>
      </c>
      <c r="K2389">
        <v>28</v>
      </c>
      <c r="L2389">
        <v>29</v>
      </c>
      <c r="Q2389">
        <v>0</v>
      </c>
      <c r="R2389">
        <v>0</v>
      </c>
      <c r="S2389">
        <v>29</v>
      </c>
      <c r="T2389" t="s">
        <v>14989</v>
      </c>
      <c r="V2389" t="s">
        <v>2271</v>
      </c>
      <c r="W2389">
        <v>47.366700000000002</v>
      </c>
      <c r="X2389">
        <v>8.5500000000000007</v>
      </c>
      <c r="Y2389" t="s">
        <v>3671</v>
      </c>
      <c r="Z2389" t="s">
        <v>14990</v>
      </c>
      <c r="AA2389" t="s">
        <v>14991</v>
      </c>
      <c r="AB2389" t="s">
        <v>4987</v>
      </c>
      <c r="AC2389" t="s">
        <v>14992</v>
      </c>
      <c r="AD2389" s="249" t="str">
        <f>HYPERLINK("https://scontent.cdninstagram.com/t51.2885-15/s320x320/e35/21041408_1923426384648381_5917969676914130944_n.jpg")</f>
        <v>https://scontent.cdninstagram.com/t51.2885-15/s320x320/e35/21041408_1923426384648381_5917969676914130944_n.jpg</v>
      </c>
      <c r="AE2389" s="249" t="str">
        <f>HYPERLINK("https://scontent.cdninstagram.com/t51.2885-19/s150x150/20836993_505913513083177_6928255648333299712_a.jpg")</f>
        <v>https://scontent.cdninstagram.com/t51.2885-19/s150x150/20836993_505913513083177_6928255648333299712_a.jpg</v>
      </c>
    </row>
    <row r="2390" spans="1:31" ht="15" x14ac:dyDescent="0.25">
      <c r="A2390" t="s">
        <v>2474</v>
      </c>
      <c r="B2390" t="s">
        <v>14993</v>
      </c>
      <c r="C2390" s="221">
        <v>42970.459537037037</v>
      </c>
      <c r="D2390" t="s">
        <v>14994</v>
      </c>
      <c r="E2390" s="249" t="str">
        <f>HYPERLINK("https://www.instagram.com/p/BYI_3uAAlR0/")</f>
        <v>https://www.instagram.com/p/BYI_3uAAlR0/</v>
      </c>
      <c r="F2390" t="s">
        <v>14995</v>
      </c>
      <c r="G2390" t="s">
        <v>2488</v>
      </c>
      <c r="H2390">
        <v>509</v>
      </c>
      <c r="I2390" t="s">
        <v>2479</v>
      </c>
      <c r="J2390">
        <v>0</v>
      </c>
      <c r="K2390">
        <v>53</v>
      </c>
      <c r="L2390">
        <v>53</v>
      </c>
      <c r="Q2390">
        <v>0</v>
      </c>
      <c r="R2390">
        <v>0</v>
      </c>
      <c r="S2390">
        <v>53</v>
      </c>
      <c r="T2390" t="s">
        <v>14996</v>
      </c>
      <c r="V2390" t="s">
        <v>2264</v>
      </c>
      <c r="W2390">
        <v>42.768988677503998</v>
      </c>
      <c r="X2390">
        <v>-7.4447405627174001</v>
      </c>
      <c r="Y2390" t="s">
        <v>14997</v>
      </c>
      <c r="Z2390" t="s">
        <v>8838</v>
      </c>
      <c r="AA2390" t="s">
        <v>3165</v>
      </c>
      <c r="AB2390" t="s">
        <v>9407</v>
      </c>
      <c r="AC2390" t="s">
        <v>9400</v>
      </c>
      <c r="AD2390" s="249" t="str">
        <f>HYPERLINK("https://scontent.cdninstagram.com/t51.2885-15/s320x320/e35/20987168_615541725500237_2541105812856635392_n.jpg")</f>
        <v>https://scontent.cdninstagram.com/t51.2885-15/s320x320/e35/20987168_615541725500237_2541105812856635392_n.jpg</v>
      </c>
      <c r="AE2390" s="249" t="str">
        <f>HYPERLINK("https://scontent.cdninstagram.com/t51.2885-19/s150x150/20635314_129017384376955_1140532177520295936_a.jpg")</f>
        <v>https://scontent.cdninstagram.com/t51.2885-19/s150x150/20635314_129017384376955_1140532177520295936_a.jpg</v>
      </c>
    </row>
    <row r="2391" spans="1:31" ht="15" x14ac:dyDescent="0.25">
      <c r="A2391" t="s">
        <v>2474</v>
      </c>
      <c r="B2391" t="s">
        <v>8312</v>
      </c>
      <c r="C2391" s="221">
        <v>42970.463206018518</v>
      </c>
      <c r="D2391" t="s">
        <v>14998</v>
      </c>
      <c r="E2391" s="249" t="str">
        <f>HYPERLINK("https://www.instagram.com/p/BYJAeWLF3by/")</f>
        <v>https://www.instagram.com/p/BYJAeWLF3by/</v>
      </c>
      <c r="F2391" t="s">
        <v>14999</v>
      </c>
      <c r="G2391" t="s">
        <v>2478</v>
      </c>
      <c r="H2391">
        <v>24</v>
      </c>
      <c r="I2391" t="s">
        <v>2479</v>
      </c>
      <c r="J2391">
        <v>0</v>
      </c>
      <c r="K2391">
        <v>15</v>
      </c>
      <c r="L2391">
        <v>15</v>
      </c>
      <c r="Q2391">
        <v>0</v>
      </c>
      <c r="R2391">
        <v>0</v>
      </c>
      <c r="S2391">
        <v>15</v>
      </c>
      <c r="T2391" t="s">
        <v>10329</v>
      </c>
      <c r="V2391" t="s">
        <v>2264</v>
      </c>
      <c r="W2391">
        <v>42.764014243490003</v>
      </c>
      <c r="X2391">
        <v>-7.9069180053236003</v>
      </c>
      <c r="Y2391" t="s">
        <v>6466</v>
      </c>
      <c r="Z2391" t="s">
        <v>10331</v>
      </c>
      <c r="AA2391" t="s">
        <v>11189</v>
      </c>
      <c r="AB2391" t="s">
        <v>11190</v>
      </c>
      <c r="AC2391" t="s">
        <v>7131</v>
      </c>
      <c r="AD2391" s="249" t="str">
        <f>HYPERLINK("https://scontent.cdninstagram.com/t51.2885-15/s320x320/e35/21041149_112153252831055_7595768539080818688_n.jpg")</f>
        <v>https://scontent.cdninstagram.com/t51.2885-15/s320x320/e35/21041149_112153252831055_7595768539080818688_n.jpg</v>
      </c>
      <c r="AE2391" s="249" t="str">
        <f>HYPERLINK("https://scontent.cdninstagram.com/t51.2885-19/s150x150/20347739_515336592144896_3974966673097621504_a.jpg")</f>
        <v>https://scontent.cdninstagram.com/t51.2885-19/s150x150/20347739_515336592144896_3974966673097621504_a.jpg</v>
      </c>
    </row>
    <row r="2392" spans="1:31" ht="15" x14ac:dyDescent="0.25">
      <c r="A2392" t="s">
        <v>2474</v>
      </c>
      <c r="B2392" t="s">
        <v>10423</v>
      </c>
      <c r="C2392" s="221">
        <v>42970.466157407405</v>
      </c>
      <c r="D2392" t="s">
        <v>15000</v>
      </c>
      <c r="E2392" s="249" t="str">
        <f>HYPERLINK("https://www.instagram.com/p/BYJA9fZAjQZ/")</f>
        <v>https://www.instagram.com/p/BYJA9fZAjQZ/</v>
      </c>
      <c r="F2392" t="s">
        <v>15001</v>
      </c>
      <c r="G2392" t="s">
        <v>2478</v>
      </c>
      <c r="H2392">
        <v>20368</v>
      </c>
      <c r="I2392" t="s">
        <v>2479</v>
      </c>
      <c r="J2392">
        <v>9</v>
      </c>
      <c r="K2392">
        <v>724</v>
      </c>
      <c r="L2392">
        <v>733</v>
      </c>
      <c r="Q2392">
        <v>0</v>
      </c>
      <c r="R2392">
        <v>0</v>
      </c>
      <c r="S2392">
        <v>733</v>
      </c>
      <c r="AD2392" s="249" t="str">
        <f>HYPERLINK("https://scontent.cdninstagram.com/t51.2885-15/e35/p320x320/20987304_842455409266655_3282040258996207616_n.jpg")</f>
        <v>https://scontent.cdninstagram.com/t51.2885-15/e35/p320x320/20987304_842455409266655_3282040258996207616_n.jpg</v>
      </c>
      <c r="AE2392" s="249" t="str">
        <f>HYPERLINK("https://scontent.cdninstagram.com/t51.2885-19/15623907_313482635712930_8946707745638187008_a.jpg")</f>
        <v>https://scontent.cdninstagram.com/t51.2885-19/15623907_313482635712930_8946707745638187008_a.jpg</v>
      </c>
    </row>
    <row r="2393" spans="1:31" ht="15" x14ac:dyDescent="0.25">
      <c r="A2393" t="s">
        <v>2474</v>
      </c>
      <c r="B2393" t="s">
        <v>15002</v>
      </c>
      <c r="C2393" s="221">
        <v>42970.466377314813</v>
      </c>
      <c r="D2393" t="s">
        <v>15003</v>
      </c>
      <c r="E2393" s="249" t="str">
        <f>HYPERLINK("https://www.instagram.com/p/BYJA_4nAt7P/")</f>
        <v>https://www.instagram.com/p/BYJA_4nAt7P/</v>
      </c>
      <c r="F2393" t="s">
        <v>15004</v>
      </c>
      <c r="G2393" t="s">
        <v>2478</v>
      </c>
      <c r="H2393">
        <v>435</v>
      </c>
      <c r="I2393" t="s">
        <v>2519</v>
      </c>
      <c r="J2393">
        <v>0</v>
      </c>
      <c r="K2393">
        <v>16</v>
      </c>
      <c r="L2393">
        <v>16</v>
      </c>
      <c r="Q2393">
        <v>0</v>
      </c>
      <c r="R2393">
        <v>0</v>
      </c>
      <c r="S2393">
        <v>16</v>
      </c>
      <c r="Y2393" t="s">
        <v>11924</v>
      </c>
      <c r="Z2393" t="s">
        <v>15005</v>
      </c>
      <c r="AA2393" t="s">
        <v>15006</v>
      </c>
      <c r="AB2393" t="s">
        <v>15007</v>
      </c>
      <c r="AC2393" t="s">
        <v>2497</v>
      </c>
      <c r="AD2393" s="249" t="str">
        <f>HYPERLINK("https://scontent.cdninstagram.com/t51.2885-15/s320x320/e35/21041841_1937594883121552_6181148007044481024_n.jpg")</f>
        <v>https://scontent.cdninstagram.com/t51.2885-15/s320x320/e35/21041841_1937594883121552_6181148007044481024_n.jpg</v>
      </c>
      <c r="AE2393" s="249" t="str">
        <f>HYPERLINK("https://scontent.cdninstagram.com/t51.2885-19/s150x150/13408948_1711977912353063_1169705355_a.jpg")</f>
        <v>https://scontent.cdninstagram.com/t51.2885-19/s150x150/13408948_1711977912353063_1169705355_a.jpg</v>
      </c>
    </row>
    <row r="2394" spans="1:31" ht="15" x14ac:dyDescent="0.25">
      <c r="A2394" t="s">
        <v>2474</v>
      </c>
      <c r="B2394" t="s">
        <v>15008</v>
      </c>
      <c r="C2394" s="221">
        <v>42970.47252314815</v>
      </c>
      <c r="D2394" t="s">
        <v>15009</v>
      </c>
      <c r="E2394" s="249" t="str">
        <f>HYPERLINK("https://www.instagram.com/p/BYJCAoUjhkc/")</f>
        <v>https://www.instagram.com/p/BYJCAoUjhkc/</v>
      </c>
      <c r="F2394" t="s">
        <v>15010</v>
      </c>
      <c r="G2394" t="s">
        <v>2478</v>
      </c>
      <c r="H2394">
        <v>698</v>
      </c>
      <c r="I2394" t="s">
        <v>2479</v>
      </c>
      <c r="J2394">
        <v>4</v>
      </c>
      <c r="K2394">
        <v>18</v>
      </c>
      <c r="L2394">
        <v>22</v>
      </c>
      <c r="Q2394">
        <v>0</v>
      </c>
      <c r="R2394">
        <v>0</v>
      </c>
      <c r="S2394">
        <v>22</v>
      </c>
      <c r="T2394" t="s">
        <v>15011</v>
      </c>
      <c r="U2394" t="s">
        <v>380</v>
      </c>
      <c r="V2394" t="s">
        <v>2299</v>
      </c>
      <c r="W2394">
        <v>32.045099999999998</v>
      </c>
      <c r="X2394">
        <v>-81.070980000000006</v>
      </c>
      <c r="Y2394" t="s">
        <v>12532</v>
      </c>
      <c r="Z2394" t="s">
        <v>6724</v>
      </c>
      <c r="AA2394" t="s">
        <v>15012</v>
      </c>
      <c r="AB2394" t="s">
        <v>2036</v>
      </c>
      <c r="AC2394" t="s">
        <v>15013</v>
      </c>
      <c r="AD2394" s="249" t="str">
        <f>HYPERLINK("https://scontent.cdninstagram.com/t51.2885-15/e35/p320x320/20968645_1534295933300425_4077658731259625472_n.jpg")</f>
        <v>https://scontent.cdninstagram.com/t51.2885-15/e35/p320x320/20968645_1534295933300425_4077658731259625472_n.jpg</v>
      </c>
      <c r="AE2394" s="249" t="str">
        <f>HYPERLINK("https://scontent.cdninstagram.com/t51.2885-19/s150x150/21042628_546288485714003_6171878909273964544_a.jpg")</f>
        <v>https://scontent.cdninstagram.com/t51.2885-19/s150x150/21042628_546288485714003_6171878909273964544_a.jpg</v>
      </c>
    </row>
    <row r="2395" spans="1:31" ht="15" x14ac:dyDescent="0.25">
      <c r="A2395" t="s">
        <v>2474</v>
      </c>
      <c r="B2395" t="s">
        <v>15014</v>
      </c>
      <c r="C2395" s="221">
        <v>42970.481006944443</v>
      </c>
      <c r="D2395" t="s">
        <v>15015</v>
      </c>
      <c r="E2395" s="249" t="str">
        <f>HYPERLINK("https://www.instagram.com/p/BYJDaJxlcDO/")</f>
        <v>https://www.instagram.com/p/BYJDaJxlcDO/</v>
      </c>
      <c r="F2395" t="s">
        <v>15016</v>
      </c>
      <c r="G2395" t="s">
        <v>2478</v>
      </c>
      <c r="H2395">
        <v>197</v>
      </c>
      <c r="I2395" t="s">
        <v>2479</v>
      </c>
      <c r="J2395">
        <v>3</v>
      </c>
      <c r="K2395">
        <v>28</v>
      </c>
      <c r="L2395">
        <v>31</v>
      </c>
      <c r="Q2395">
        <v>0</v>
      </c>
      <c r="R2395">
        <v>0</v>
      </c>
      <c r="S2395">
        <v>31</v>
      </c>
      <c r="Y2395" t="s">
        <v>5721</v>
      </c>
      <c r="Z2395" t="s">
        <v>5884</v>
      </c>
      <c r="AA2395" t="s">
        <v>6835</v>
      </c>
      <c r="AB2395" t="s">
        <v>15017</v>
      </c>
      <c r="AC2395" t="s">
        <v>15018</v>
      </c>
      <c r="AD2395" s="249" t="str">
        <f>HYPERLINK("https://scontent.cdninstagram.com/t51.2885-15/e35/p320x320/21041972_1622318191141021_3514595656989671424_n.jpg")</f>
        <v>https://scontent.cdninstagram.com/t51.2885-15/e35/p320x320/21041972_1622318191141021_3514595656989671424_n.jpg</v>
      </c>
      <c r="AE2395" s="249" t="str">
        <f>HYPERLINK("https://scontent.cdninstagram.com/t51.2885-19/s150x150/21147587_1917477815192117_8375629137112465408_a.jpg")</f>
        <v>https://scontent.cdninstagram.com/t51.2885-19/s150x150/21147587_1917477815192117_8375629137112465408_a.jpg</v>
      </c>
    </row>
    <row r="2396" spans="1:31" ht="15" x14ac:dyDescent="0.25">
      <c r="A2396" t="s">
        <v>2474</v>
      </c>
      <c r="B2396" t="s">
        <v>15019</v>
      </c>
      <c r="C2396" s="221">
        <v>42970.481307870374</v>
      </c>
      <c r="D2396" t="s">
        <v>15020</v>
      </c>
      <c r="E2396" s="249" t="str">
        <f>HYPERLINK("https://www.instagram.com/p/BYJDdP4j1D5/")</f>
        <v>https://www.instagram.com/p/BYJDdP4j1D5/</v>
      </c>
      <c r="F2396" t="s">
        <v>15021</v>
      </c>
      <c r="G2396" t="s">
        <v>2478</v>
      </c>
      <c r="H2396">
        <v>435</v>
      </c>
      <c r="I2396" t="s">
        <v>2479</v>
      </c>
      <c r="J2396">
        <v>9</v>
      </c>
      <c r="K2396">
        <v>84</v>
      </c>
      <c r="L2396">
        <v>93</v>
      </c>
      <c r="Q2396">
        <v>0</v>
      </c>
      <c r="R2396">
        <v>0</v>
      </c>
      <c r="S2396">
        <v>93</v>
      </c>
      <c r="T2396" t="s">
        <v>15022</v>
      </c>
      <c r="V2396" t="s">
        <v>2130</v>
      </c>
      <c r="W2396">
        <v>-29.945545488733</v>
      </c>
      <c r="X2396">
        <v>-71.291012763976994</v>
      </c>
      <c r="Y2396" t="s">
        <v>4620</v>
      </c>
      <c r="Z2396" t="s">
        <v>15023</v>
      </c>
      <c r="AA2396" t="s">
        <v>8838</v>
      </c>
      <c r="AB2396" t="s">
        <v>2736</v>
      </c>
      <c r="AC2396" t="s">
        <v>15024</v>
      </c>
      <c r="AD2396" s="249" t="str">
        <f>HYPERLINK("https://scontent.cdninstagram.com/t51.2885-15/e35/p320x320/21107575_1719274261700510_6403752197741346816_n.jpg")</f>
        <v>https://scontent.cdninstagram.com/t51.2885-15/e35/p320x320/21107575_1719274261700510_6403752197741346816_n.jpg</v>
      </c>
      <c r="AE2396" s="249" t="str">
        <f>HYPERLINK("https://scontent.cdninstagram.com/t51.2885-19/s150x150/20969103_1911847932390270_8753044487690780672_a.jpg")</f>
        <v>https://scontent.cdninstagram.com/t51.2885-19/s150x150/20969103_1911847932390270_8753044487690780672_a.jpg</v>
      </c>
    </row>
    <row r="2397" spans="1:31" ht="15" x14ac:dyDescent="0.25">
      <c r="A2397" t="s">
        <v>2474</v>
      </c>
      <c r="B2397" t="s">
        <v>15025</v>
      </c>
      <c r="C2397" s="221">
        <v>42970.481550925928</v>
      </c>
      <c r="D2397" t="s">
        <v>15026</v>
      </c>
      <c r="E2397" s="249" t="str">
        <f>HYPERLINK("https://www.instagram.com/p/BYJDf2-FDa8/")</f>
        <v>https://www.instagram.com/p/BYJDf2-FDa8/</v>
      </c>
      <c r="F2397" t="s">
        <v>15027</v>
      </c>
      <c r="G2397" t="s">
        <v>2478</v>
      </c>
      <c r="H2397">
        <v>555</v>
      </c>
      <c r="I2397" t="s">
        <v>2542</v>
      </c>
      <c r="J2397">
        <v>0</v>
      </c>
      <c r="K2397">
        <v>12</v>
      </c>
      <c r="L2397">
        <v>12</v>
      </c>
      <c r="Q2397">
        <v>0</v>
      </c>
      <c r="R2397">
        <v>0</v>
      </c>
      <c r="S2397">
        <v>12</v>
      </c>
      <c r="Y2397" t="s">
        <v>2906</v>
      </c>
      <c r="Z2397" t="s">
        <v>15028</v>
      </c>
      <c r="AA2397" t="s">
        <v>15029</v>
      </c>
      <c r="AB2397" t="s">
        <v>15030</v>
      </c>
      <c r="AC2397" t="s">
        <v>2497</v>
      </c>
      <c r="AD2397" s="249" t="str">
        <f>HYPERLINK("https://scontent.cdninstagram.com/t51.2885-15/s320x320/e35/20968619_464271470610116_7851108386392244224_n.jpg")</f>
        <v>https://scontent.cdninstagram.com/t51.2885-15/s320x320/e35/20968619_464271470610116_7851108386392244224_n.jpg</v>
      </c>
      <c r="AE2397" s="249" t="str">
        <f>HYPERLINK("https://scontent.cdninstagram.com/t51.2885-19/s150x150/21148985_1925716301023834_612653840411394048_a.jpg")</f>
        <v>https://scontent.cdninstagram.com/t51.2885-19/s150x150/21148985_1925716301023834_612653840411394048_a.jpg</v>
      </c>
    </row>
    <row r="2398" spans="1:31" ht="15" x14ac:dyDescent="0.25">
      <c r="A2398" t="s">
        <v>2474</v>
      </c>
      <c r="B2398" t="s">
        <v>15031</v>
      </c>
      <c r="C2398" s="221">
        <v>42970.483900462961</v>
      </c>
      <c r="D2398" t="s">
        <v>15032</v>
      </c>
      <c r="E2398" s="249" t="str">
        <f>HYPERLINK("https://www.instagram.com/p/BYJD4nOhAg8/")</f>
        <v>https://www.instagram.com/p/BYJD4nOhAg8/</v>
      </c>
      <c r="F2398" t="s">
        <v>15033</v>
      </c>
      <c r="G2398" t="s">
        <v>2478</v>
      </c>
      <c r="H2398">
        <v>754</v>
      </c>
      <c r="I2398" t="s">
        <v>2479</v>
      </c>
      <c r="J2398">
        <v>1</v>
      </c>
      <c r="K2398">
        <v>31</v>
      </c>
      <c r="L2398">
        <v>32</v>
      </c>
      <c r="Q2398">
        <v>0</v>
      </c>
      <c r="R2398">
        <v>0</v>
      </c>
      <c r="S2398">
        <v>32</v>
      </c>
      <c r="Y2398" t="s">
        <v>10102</v>
      </c>
      <c r="Z2398" t="s">
        <v>15034</v>
      </c>
      <c r="AA2398" t="s">
        <v>5629</v>
      </c>
      <c r="AB2398" t="s">
        <v>10100</v>
      </c>
      <c r="AC2398" t="s">
        <v>15035</v>
      </c>
      <c r="AD2398" s="249" t="str">
        <f>HYPERLINK("https://scontent.cdninstagram.com/t51.2885-15/s320x320/e35/20969151_1835415560104013_8856982953952018432_n.jpg")</f>
        <v>https://scontent.cdninstagram.com/t51.2885-15/s320x320/e35/20969151_1835415560104013_8856982953952018432_n.jpg</v>
      </c>
      <c r="AE2398" s="249" t="str">
        <f>HYPERLINK("https://scontent.cdninstagram.com/t51.2885-19/s150x150/16465333_1903575579888534_7457130087142391808_a.jpg")</f>
        <v>https://scontent.cdninstagram.com/t51.2885-19/s150x150/16465333_1903575579888534_7457130087142391808_a.jpg</v>
      </c>
    </row>
    <row r="2399" spans="1:31" ht="15" x14ac:dyDescent="0.25">
      <c r="A2399" t="s">
        <v>2474</v>
      </c>
      <c r="B2399" t="s">
        <v>15036</v>
      </c>
      <c r="C2399" s="221">
        <v>42970.484502314815</v>
      </c>
      <c r="D2399" t="s">
        <v>15037</v>
      </c>
      <c r="E2399" s="249" t="str">
        <f>HYPERLINK("https://www.instagram.com/p/BYJD_CLgJsL/")</f>
        <v>https://www.instagram.com/p/BYJD_CLgJsL/</v>
      </c>
      <c r="F2399" t="s">
        <v>15038</v>
      </c>
      <c r="G2399" t="s">
        <v>2478</v>
      </c>
      <c r="H2399">
        <v>806</v>
      </c>
      <c r="I2399" t="s">
        <v>2479</v>
      </c>
      <c r="J2399">
        <v>0</v>
      </c>
      <c r="K2399">
        <v>30</v>
      </c>
      <c r="L2399">
        <v>30</v>
      </c>
      <c r="Q2399">
        <v>0</v>
      </c>
      <c r="R2399">
        <v>0</v>
      </c>
      <c r="S2399">
        <v>30</v>
      </c>
      <c r="Y2399" t="s">
        <v>15039</v>
      </c>
      <c r="Z2399" t="s">
        <v>6429</v>
      </c>
      <c r="AA2399" t="s">
        <v>15040</v>
      </c>
      <c r="AB2399" t="s">
        <v>15041</v>
      </c>
      <c r="AC2399" t="s">
        <v>4174</v>
      </c>
      <c r="AD2399" s="249" t="str">
        <f>HYPERLINK("https://scontent.cdninstagram.com/t51.2885-15/s320x320/e35/21041264_192412294632469_5135905644695519232_n.jpg")</f>
        <v>https://scontent.cdninstagram.com/t51.2885-15/s320x320/e35/21041264_192412294632469_5135905644695519232_n.jpg</v>
      </c>
      <c r="AE2399" s="249" t="str">
        <f>HYPERLINK("https://scontent.cdninstagram.com/t51.2885-19/s150x150/20904860_1719228108385181_4358453870481899520_a.jpg")</f>
        <v>https://scontent.cdninstagram.com/t51.2885-19/s150x150/20904860_1719228108385181_4358453870481899520_a.jpg</v>
      </c>
    </row>
    <row r="2400" spans="1:31" ht="15" x14ac:dyDescent="0.25">
      <c r="A2400" t="s">
        <v>2474</v>
      </c>
      <c r="B2400" t="s">
        <v>15042</v>
      </c>
      <c r="C2400" s="221">
        <v>42970.486041666663</v>
      </c>
      <c r="D2400" t="s">
        <v>15043</v>
      </c>
      <c r="E2400" s="249" t="str">
        <f>HYPERLINK("https://www.instagram.com/p/BYJEPKtAdsq/")</f>
        <v>https://www.instagram.com/p/BYJEPKtAdsq/</v>
      </c>
      <c r="F2400" t="s">
        <v>15044</v>
      </c>
      <c r="G2400" t="s">
        <v>2478</v>
      </c>
      <c r="H2400">
        <v>262</v>
      </c>
      <c r="I2400" t="s">
        <v>3170</v>
      </c>
      <c r="J2400">
        <v>0</v>
      </c>
      <c r="K2400">
        <v>24</v>
      </c>
      <c r="L2400">
        <v>24</v>
      </c>
      <c r="Q2400">
        <v>0</v>
      </c>
      <c r="R2400">
        <v>0</v>
      </c>
      <c r="S2400">
        <v>24</v>
      </c>
      <c r="T2400" t="s">
        <v>15045</v>
      </c>
      <c r="V2400" t="s">
        <v>15046</v>
      </c>
      <c r="W2400">
        <v>47.005600000000001</v>
      </c>
      <c r="X2400">
        <v>28.857500000000002</v>
      </c>
      <c r="Y2400" t="s">
        <v>15047</v>
      </c>
      <c r="Z2400" t="s">
        <v>15048</v>
      </c>
      <c r="AA2400" t="s">
        <v>15049</v>
      </c>
      <c r="AB2400" t="s">
        <v>15050</v>
      </c>
      <c r="AC2400" t="s">
        <v>15051</v>
      </c>
      <c r="AD2400" s="249" t="str">
        <f>HYPERLINK("https://scontent.cdninstagram.com/t51.2885-15/s320x320/e35/20969268_681391798721294_2080931553495482368_n.jpg")</f>
        <v>https://scontent.cdninstagram.com/t51.2885-15/s320x320/e35/20969268_681391798721294_2080931553495482368_n.jpg</v>
      </c>
      <c r="AE2400" s="249" t="str">
        <f>HYPERLINK("https://scontent.cdninstagram.com/t51.2885-19/s150x150/18161989_833231036834955_292242412477087744_a.jpg")</f>
        <v>https://scontent.cdninstagram.com/t51.2885-19/s150x150/18161989_833231036834955_292242412477087744_a.jpg</v>
      </c>
    </row>
    <row r="2401" spans="1:31" ht="15" x14ac:dyDescent="0.25">
      <c r="A2401" t="s">
        <v>2474</v>
      </c>
      <c r="B2401" t="s">
        <v>8538</v>
      </c>
      <c r="C2401" s="221">
        <v>42970.487384259257</v>
      </c>
      <c r="D2401" t="s">
        <v>15052</v>
      </c>
      <c r="E2401" s="249" t="str">
        <f>HYPERLINK("https://www.instagram.com/p/BYJEdbKAOh_/")</f>
        <v>https://www.instagram.com/p/BYJEdbKAOh_/</v>
      </c>
      <c r="F2401" t="s">
        <v>15053</v>
      </c>
      <c r="G2401" t="s">
        <v>2478</v>
      </c>
      <c r="H2401">
        <v>5525</v>
      </c>
      <c r="I2401" t="s">
        <v>2479</v>
      </c>
      <c r="J2401">
        <v>3</v>
      </c>
      <c r="K2401">
        <v>411</v>
      </c>
      <c r="L2401">
        <v>414</v>
      </c>
      <c r="Q2401">
        <v>0</v>
      </c>
      <c r="R2401">
        <v>0</v>
      </c>
      <c r="S2401">
        <v>414</v>
      </c>
      <c r="T2401" t="s">
        <v>15054</v>
      </c>
      <c r="V2401" t="s">
        <v>2264</v>
      </c>
      <c r="W2401">
        <v>41.298166000000002</v>
      </c>
      <c r="X2401">
        <v>2.0834809999999999</v>
      </c>
      <c r="Y2401" t="s">
        <v>8541</v>
      </c>
      <c r="Z2401" t="s">
        <v>2497</v>
      </c>
      <c r="AA2401" t="s">
        <v>11089</v>
      </c>
      <c r="AB2401" t="s">
        <v>11090</v>
      </c>
      <c r="AD2401" s="249" t="str">
        <f>HYPERLINK("https://scontent.cdninstagram.com/t51.2885-15/e35/p320x320/20987041_1938395449734237_2239036029874995200_n.jpg")</f>
        <v>https://scontent.cdninstagram.com/t51.2885-15/e35/p320x320/20987041_1938395449734237_2239036029874995200_n.jpg</v>
      </c>
      <c r="AE2401" s="249" t="str">
        <f>HYPERLINK("https://scontent.cdninstagram.com/t51.2885-19/s150x150/18950246_1127968397303807_6772371073045364736_a.jpg")</f>
        <v>https://scontent.cdninstagram.com/t51.2885-19/s150x150/18950246_1127968397303807_6772371073045364736_a.jpg</v>
      </c>
    </row>
    <row r="2402" spans="1:31" ht="15" x14ac:dyDescent="0.25">
      <c r="A2402" t="s">
        <v>2474</v>
      </c>
      <c r="B2402" t="s">
        <v>15055</v>
      </c>
      <c r="C2402" s="221">
        <v>42970.491701388892</v>
      </c>
      <c r="D2402" t="s">
        <v>15056</v>
      </c>
      <c r="E2402" s="249" t="str">
        <f>HYPERLINK("https://www.instagram.com/p/BYJFK3pl5NJ/")</f>
        <v>https://www.instagram.com/p/BYJFK3pl5NJ/</v>
      </c>
      <c r="F2402" t="s">
        <v>15057</v>
      </c>
      <c r="G2402" t="s">
        <v>2478</v>
      </c>
      <c r="H2402">
        <v>1156</v>
      </c>
      <c r="I2402" t="s">
        <v>13274</v>
      </c>
      <c r="J2402">
        <v>2</v>
      </c>
      <c r="K2402">
        <v>86</v>
      </c>
      <c r="L2402">
        <v>88</v>
      </c>
      <c r="Q2402">
        <v>0</v>
      </c>
      <c r="R2402">
        <v>0</v>
      </c>
      <c r="S2402">
        <v>88</v>
      </c>
      <c r="Y2402" t="s">
        <v>2554</v>
      </c>
      <c r="Z2402" t="s">
        <v>2497</v>
      </c>
      <c r="AA2402" t="s">
        <v>4620</v>
      </c>
      <c r="AB2402" t="s">
        <v>2734</v>
      </c>
      <c r="AD2402" s="249" t="str">
        <f>HYPERLINK("https://scontent.cdninstagram.com/t51.2885-15/e35/p320x320/20987364_314508429012079_3918642884294737920_n.jpg")</f>
        <v>https://scontent.cdninstagram.com/t51.2885-15/e35/p320x320/20987364_314508429012079_3918642884294737920_n.jpg</v>
      </c>
      <c r="AE2402" s="249" t="str">
        <f>HYPERLINK("https://scontent.cdninstagram.com/t51.2885-19/s150x150/21042296_961837407297563_6030165256456634368_a.jpg")</f>
        <v>https://scontent.cdninstagram.com/t51.2885-19/s150x150/21042296_961837407297563_6030165256456634368_a.jpg</v>
      </c>
    </row>
    <row r="2403" spans="1:31" ht="15" x14ac:dyDescent="0.25">
      <c r="A2403" t="s">
        <v>2474</v>
      </c>
      <c r="B2403" t="s">
        <v>15058</v>
      </c>
      <c r="C2403" s="221">
        <v>42970.493125000001</v>
      </c>
      <c r="D2403" t="s">
        <v>15059</v>
      </c>
      <c r="E2403" s="249" t="str">
        <f>HYPERLINK("https://www.instagram.com/p/BYJFZ6AFvYq/")</f>
        <v>https://www.instagram.com/p/BYJFZ6AFvYq/</v>
      </c>
      <c r="F2403" t="s">
        <v>15060</v>
      </c>
      <c r="G2403" t="s">
        <v>2478</v>
      </c>
      <c r="H2403">
        <v>20</v>
      </c>
      <c r="I2403" t="s">
        <v>2479</v>
      </c>
      <c r="J2403">
        <v>0</v>
      </c>
      <c r="K2403">
        <v>12</v>
      </c>
      <c r="L2403">
        <v>12</v>
      </c>
      <c r="Q2403">
        <v>0</v>
      </c>
      <c r="R2403">
        <v>0</v>
      </c>
      <c r="S2403">
        <v>12</v>
      </c>
      <c r="Y2403" t="s">
        <v>9338</v>
      </c>
      <c r="Z2403" t="s">
        <v>15061</v>
      </c>
      <c r="AA2403" t="s">
        <v>15062</v>
      </c>
      <c r="AB2403" t="s">
        <v>15063</v>
      </c>
      <c r="AC2403" t="s">
        <v>15064</v>
      </c>
      <c r="AD2403" s="249" t="str">
        <f>HYPERLINK("https://scontent.cdninstagram.com/t51.2885-15/s320x320/e35/20905551_286023695207804_4316059949110132736_n.jpg")</f>
        <v>https://scontent.cdninstagram.com/t51.2885-15/s320x320/e35/20905551_286023695207804_4316059949110132736_n.jpg</v>
      </c>
      <c r="AE2403" s="249" t="str">
        <f>HYPERLINK("https://scontent.cdninstagram.com/t51.2885-19/s150x150/20837469_459759794399867_1557119115896815616_a.jpg")</f>
        <v>https://scontent.cdninstagram.com/t51.2885-19/s150x150/20837469_459759794399867_1557119115896815616_a.jpg</v>
      </c>
    </row>
    <row r="2404" spans="1:31" ht="15" x14ac:dyDescent="0.25">
      <c r="A2404" t="s">
        <v>2474</v>
      </c>
      <c r="B2404" t="s">
        <v>15065</v>
      </c>
      <c r="C2404" s="221">
        <v>42970.503148148149</v>
      </c>
      <c r="D2404" t="s">
        <v>15066</v>
      </c>
      <c r="E2404" s="249" t="str">
        <f>HYPERLINK("https://www.instagram.com/p/BYJHDoSlaXX/")</f>
        <v>https://www.instagram.com/p/BYJHDoSlaXX/</v>
      </c>
      <c r="F2404" t="s">
        <v>15067</v>
      </c>
      <c r="G2404" t="s">
        <v>2478</v>
      </c>
      <c r="H2404">
        <v>694</v>
      </c>
      <c r="I2404" t="s">
        <v>5670</v>
      </c>
      <c r="J2404">
        <v>1</v>
      </c>
      <c r="K2404">
        <v>104</v>
      </c>
      <c r="L2404">
        <v>105</v>
      </c>
      <c r="Q2404">
        <v>0</v>
      </c>
      <c r="R2404">
        <v>0</v>
      </c>
      <c r="S2404">
        <v>105</v>
      </c>
      <c r="T2404" t="s">
        <v>15068</v>
      </c>
      <c r="V2404" t="s">
        <v>2264</v>
      </c>
      <c r="W2404">
        <v>41.234734754089999</v>
      </c>
      <c r="X2404">
        <v>1.8080688488532</v>
      </c>
      <c r="Y2404" t="s">
        <v>15069</v>
      </c>
      <c r="Z2404" t="s">
        <v>15070</v>
      </c>
      <c r="AA2404" t="s">
        <v>15071</v>
      </c>
      <c r="AB2404" t="s">
        <v>15072</v>
      </c>
      <c r="AC2404" t="s">
        <v>2497</v>
      </c>
      <c r="AD2404" s="249" t="str">
        <f>HYPERLINK("https://scontent.cdninstagram.com/t51.2885-15/e35/p320x320/21042256_1639205312777380_270377824894844928_n.jpg")</f>
        <v>https://scontent.cdninstagram.com/t51.2885-15/e35/p320x320/21042256_1639205312777380_270377824894844928_n.jpg</v>
      </c>
      <c r="AE2404" s="249" t="str">
        <f>HYPERLINK("https://scontent.cdninstagram.com/t51.2885-19/s150x150/19932981_101391090498980_2733207957566128128_a.jpg")</f>
        <v>https://scontent.cdninstagram.com/t51.2885-19/s150x150/19932981_101391090498980_2733207957566128128_a.jpg</v>
      </c>
    </row>
    <row r="2405" spans="1:31" ht="15" x14ac:dyDescent="0.25">
      <c r="A2405" t="s">
        <v>2474</v>
      </c>
      <c r="B2405" t="s">
        <v>3644</v>
      </c>
      <c r="C2405" s="221">
        <v>42970.504988425928</v>
      </c>
      <c r="D2405" t="s">
        <v>15073</v>
      </c>
      <c r="E2405" s="249" t="str">
        <f>HYPERLINK("https://www.instagram.com/p/BYJHXFYlerY/")</f>
        <v>https://www.instagram.com/p/BYJHXFYlerY/</v>
      </c>
      <c r="F2405" t="s">
        <v>15074</v>
      </c>
      <c r="G2405" t="s">
        <v>2631</v>
      </c>
      <c r="H2405">
        <v>575</v>
      </c>
      <c r="I2405" t="s">
        <v>2479</v>
      </c>
      <c r="J2405">
        <v>3</v>
      </c>
      <c r="K2405">
        <v>45</v>
      </c>
      <c r="L2405">
        <v>48</v>
      </c>
      <c r="Q2405">
        <v>0</v>
      </c>
      <c r="R2405">
        <v>0</v>
      </c>
      <c r="S2405">
        <v>48</v>
      </c>
      <c r="T2405" t="s">
        <v>15075</v>
      </c>
      <c r="V2405" t="s">
        <v>2141</v>
      </c>
      <c r="W2405">
        <v>55.688333333300001</v>
      </c>
      <c r="X2405">
        <v>12.5597222222</v>
      </c>
      <c r="Y2405" t="s">
        <v>3145</v>
      </c>
      <c r="Z2405" t="s">
        <v>3649</v>
      </c>
      <c r="AA2405" t="s">
        <v>3607</v>
      </c>
      <c r="AB2405" t="s">
        <v>3651</v>
      </c>
      <c r="AC2405" t="s">
        <v>14695</v>
      </c>
      <c r="AD2405" s="249" t="str">
        <f>HYPERLINK("https://scontent.cdninstagram.com/t51.2885-15/e15/p320x320/20987472_422331298167401_557437538990555136_n.jpg")</f>
        <v>https://scontent.cdninstagram.com/t51.2885-15/e15/p320x320/20987472_422331298167401_557437538990555136_n.jpg</v>
      </c>
      <c r="AE2405" s="249" t="str">
        <f>HYPERLINK("https://scontent.cdninstagram.com/t51.2885-19/s150x150/14714495_1790450111234953_7147855754219749376_a.jpg")</f>
        <v>https://scontent.cdninstagram.com/t51.2885-19/s150x150/14714495_1790450111234953_7147855754219749376_a.jpg</v>
      </c>
    </row>
    <row r="2406" spans="1:31" ht="15" x14ac:dyDescent="0.25">
      <c r="A2406" t="s">
        <v>2474</v>
      </c>
      <c r="B2406" t="s">
        <v>4616</v>
      </c>
      <c r="C2406" s="221">
        <v>42970.505243055559</v>
      </c>
      <c r="D2406" t="s">
        <v>15076</v>
      </c>
      <c r="E2406" s="249" t="str">
        <f>HYPERLINK("https://www.instagram.com/p/BYJHZtrBF3V/")</f>
        <v>https://www.instagram.com/p/BYJHZtrBF3V/</v>
      </c>
      <c r="F2406" t="s">
        <v>15077</v>
      </c>
      <c r="G2406" t="s">
        <v>2478</v>
      </c>
      <c r="H2406">
        <v>121</v>
      </c>
      <c r="I2406" t="s">
        <v>2479</v>
      </c>
      <c r="J2406">
        <v>0</v>
      </c>
      <c r="K2406">
        <v>41</v>
      </c>
      <c r="L2406">
        <v>41</v>
      </c>
      <c r="Q2406">
        <v>0</v>
      </c>
      <c r="R2406">
        <v>0</v>
      </c>
      <c r="S2406">
        <v>41</v>
      </c>
      <c r="T2406" t="s">
        <v>15078</v>
      </c>
      <c r="V2406" t="s">
        <v>2276</v>
      </c>
      <c r="W2406">
        <v>7.7615100228977001</v>
      </c>
      <c r="X2406">
        <v>98.771329328011007</v>
      </c>
      <c r="Y2406" t="s">
        <v>5211</v>
      </c>
      <c r="Z2406" t="s">
        <v>6429</v>
      </c>
      <c r="AA2406" t="s">
        <v>6294</v>
      </c>
      <c r="AB2406" t="s">
        <v>3174</v>
      </c>
      <c r="AC2406" t="s">
        <v>2944</v>
      </c>
      <c r="AD2406" s="249" t="str">
        <f>HYPERLINK("https://scontent.cdninstagram.com/t51.2885-15/s320x320/e35/21042843_708382712681132_5206594170663206912_n.jpg")</f>
        <v>https://scontent.cdninstagram.com/t51.2885-15/s320x320/e35/21042843_708382712681132_5206594170663206912_n.jpg</v>
      </c>
      <c r="AE2406" s="249" t="str">
        <f>HYPERLINK("https://scontent.cdninstagram.com/t51.2885-19/s150x150/17494353_1347957098574282_2527511313651859456_a.jpg")</f>
        <v>https://scontent.cdninstagram.com/t51.2885-19/s150x150/17494353_1347957098574282_2527511313651859456_a.jpg</v>
      </c>
    </row>
    <row r="2407" spans="1:31" ht="15" x14ac:dyDescent="0.25">
      <c r="A2407" t="s">
        <v>2474</v>
      </c>
      <c r="B2407" t="s">
        <v>3015</v>
      </c>
      <c r="C2407" s="221">
        <v>42970.519525462965</v>
      </c>
      <c r="D2407" t="s">
        <v>15079</v>
      </c>
      <c r="E2407" s="249" t="str">
        <f>HYPERLINK("https://www.instagram.com/p/BYJJwYUg8ab/")</f>
        <v>https://www.instagram.com/p/BYJJwYUg8ab/</v>
      </c>
      <c r="F2407" t="s">
        <v>15080</v>
      </c>
      <c r="G2407" t="s">
        <v>2478</v>
      </c>
      <c r="H2407">
        <v>236</v>
      </c>
      <c r="I2407" t="s">
        <v>2479</v>
      </c>
      <c r="J2407">
        <v>0</v>
      </c>
      <c r="K2407">
        <v>35</v>
      </c>
      <c r="L2407">
        <v>35</v>
      </c>
      <c r="Q2407">
        <v>0</v>
      </c>
      <c r="R2407">
        <v>0</v>
      </c>
      <c r="S2407">
        <v>35</v>
      </c>
      <c r="Y2407" t="s">
        <v>3018</v>
      </c>
      <c r="Z2407" t="s">
        <v>3727</v>
      </c>
      <c r="AA2407" t="s">
        <v>7275</v>
      </c>
      <c r="AB2407" t="s">
        <v>3726</v>
      </c>
      <c r="AC2407" t="s">
        <v>2497</v>
      </c>
      <c r="AD2407" s="249" t="str">
        <f>HYPERLINK("https://scontent.cdninstagram.com/t51.2885-15/s320x320/e35/21041376_514127062260119_5014937551501262848_n.jpg")</f>
        <v>https://scontent.cdninstagram.com/t51.2885-15/s320x320/e35/21041376_514127062260119_5014937551501262848_n.jpg</v>
      </c>
      <c r="AE2407" s="249" t="str">
        <f>HYPERLINK("https://scontent.cdninstagram.com/t51.2885-19/s150x150/19761452_1876060406050696_4275948751316582400_a.jpg")</f>
        <v>https://scontent.cdninstagram.com/t51.2885-19/s150x150/19761452_1876060406050696_4275948751316582400_a.jpg</v>
      </c>
    </row>
    <row r="2408" spans="1:31" ht="15" x14ac:dyDescent="0.25">
      <c r="A2408" t="s">
        <v>2474</v>
      </c>
      <c r="B2408" t="s">
        <v>7241</v>
      </c>
      <c r="C2408" s="221">
        <v>42970.520046296297</v>
      </c>
      <c r="D2408" t="s">
        <v>15081</v>
      </c>
      <c r="E2408" s="249" t="str">
        <f>HYPERLINK("https://www.instagram.com/p/BYJJ13uh0CA/")</f>
        <v>https://www.instagram.com/p/BYJJ13uh0CA/</v>
      </c>
      <c r="F2408" t="s">
        <v>15082</v>
      </c>
      <c r="G2408" t="s">
        <v>2478</v>
      </c>
      <c r="H2408">
        <v>421</v>
      </c>
      <c r="I2408" t="s">
        <v>2748</v>
      </c>
      <c r="J2408">
        <v>1</v>
      </c>
      <c r="K2408">
        <v>29</v>
      </c>
      <c r="L2408">
        <v>30</v>
      </c>
      <c r="Q2408">
        <v>0</v>
      </c>
      <c r="R2408">
        <v>0</v>
      </c>
      <c r="S2408">
        <v>30</v>
      </c>
      <c r="Y2408" t="s">
        <v>15083</v>
      </c>
      <c r="Z2408" t="s">
        <v>5423</v>
      </c>
      <c r="AA2408" t="s">
        <v>14607</v>
      </c>
      <c r="AB2408" t="s">
        <v>15084</v>
      </c>
      <c r="AC2408" t="s">
        <v>15085</v>
      </c>
      <c r="AD2408" s="249" t="str">
        <f>HYPERLINK("https://scontent.cdninstagram.com/t51.2885-15/e35/p320x320/21042415_113462889320667_3351905358128873472_n.jpg")</f>
        <v>https://scontent.cdninstagram.com/t51.2885-15/e35/p320x320/21042415_113462889320667_3351905358128873472_n.jpg</v>
      </c>
      <c r="AE2408" s="249" t="str">
        <f>HYPERLINK("https://scontent.cdninstagram.com/t51.2885-19/s150x150/20759624_1657792777595092_374058807866687488_a.jpg")</f>
        <v>https://scontent.cdninstagram.com/t51.2885-19/s150x150/20759624_1657792777595092_374058807866687488_a.jpg</v>
      </c>
    </row>
    <row r="2409" spans="1:31" ht="15" x14ac:dyDescent="0.25">
      <c r="A2409" t="s">
        <v>2474</v>
      </c>
      <c r="B2409" t="s">
        <v>15086</v>
      </c>
      <c r="C2409" s="221">
        <v>42970.522002314814</v>
      </c>
      <c r="D2409" t="s">
        <v>15087</v>
      </c>
      <c r="E2409" s="249" t="str">
        <f>HYPERLINK("https://www.instagram.com/p/BYJKKgJg9Sb/")</f>
        <v>https://www.instagram.com/p/BYJKKgJg9Sb/</v>
      </c>
      <c r="F2409" t="s">
        <v>15088</v>
      </c>
      <c r="G2409" t="s">
        <v>2478</v>
      </c>
      <c r="H2409">
        <v>604</v>
      </c>
      <c r="I2409" t="s">
        <v>2479</v>
      </c>
      <c r="J2409">
        <v>0</v>
      </c>
      <c r="K2409">
        <v>9</v>
      </c>
      <c r="L2409">
        <v>9</v>
      </c>
      <c r="Q2409">
        <v>0</v>
      </c>
      <c r="R2409">
        <v>0</v>
      </c>
      <c r="S2409">
        <v>9</v>
      </c>
      <c r="Y2409" t="s">
        <v>15089</v>
      </c>
      <c r="Z2409" t="s">
        <v>15090</v>
      </c>
      <c r="AA2409" t="s">
        <v>2497</v>
      </c>
      <c r="AB2409" t="s">
        <v>15091</v>
      </c>
      <c r="AD2409" s="249" t="str">
        <f>HYPERLINK("https://scontent.cdninstagram.com/t51.2885-15/s320x320/e35/21041274_1697572996921101_4563567373801488384_n.jpg")</f>
        <v>https://scontent.cdninstagram.com/t51.2885-15/s320x320/e35/21041274_1697572996921101_4563567373801488384_n.jpg</v>
      </c>
      <c r="AE2409" s="249" t="str">
        <f>HYPERLINK("https://scontent.cdninstagram.com/t51.2885-19/s150x150/20688218_1685982724807247_5349179409783848960_a.jpg")</f>
        <v>https://scontent.cdninstagram.com/t51.2885-19/s150x150/20688218_1685982724807247_5349179409783848960_a.jpg</v>
      </c>
    </row>
    <row r="2410" spans="1:31" ht="15" x14ac:dyDescent="0.25">
      <c r="A2410" t="s">
        <v>2474</v>
      </c>
      <c r="B2410" t="s">
        <v>15092</v>
      </c>
      <c r="C2410" s="221">
        <v>42970.526400462964</v>
      </c>
      <c r="D2410" t="s">
        <v>15093</v>
      </c>
      <c r="E2410" s="249" t="str">
        <f>HYPERLINK("https://www.instagram.com/p/BYJK44DAOw9/")</f>
        <v>https://www.instagram.com/p/BYJK44DAOw9/</v>
      </c>
      <c r="F2410" t="s">
        <v>15094</v>
      </c>
      <c r="G2410" t="s">
        <v>2478</v>
      </c>
      <c r="H2410">
        <v>830</v>
      </c>
      <c r="I2410" t="s">
        <v>3273</v>
      </c>
      <c r="J2410">
        <v>6</v>
      </c>
      <c r="K2410">
        <v>116</v>
      </c>
      <c r="L2410">
        <v>122</v>
      </c>
      <c r="Q2410">
        <v>0</v>
      </c>
      <c r="R2410">
        <v>0</v>
      </c>
      <c r="S2410">
        <v>122</v>
      </c>
      <c r="Y2410" t="s">
        <v>15095</v>
      </c>
      <c r="Z2410" t="s">
        <v>5229</v>
      </c>
      <c r="AA2410" t="s">
        <v>3237</v>
      </c>
      <c r="AB2410" t="s">
        <v>2730</v>
      </c>
      <c r="AC2410" t="s">
        <v>12593</v>
      </c>
      <c r="AD2410" s="249" t="str">
        <f>HYPERLINK("https://scontent.cdninstagram.com/t51.2885-15/e35/p320x320/20987524_122911291693326_2422975932835823616_n.jpg")</f>
        <v>https://scontent.cdninstagram.com/t51.2885-15/e35/p320x320/20987524_122911291693326_2422975932835823616_n.jpg</v>
      </c>
      <c r="AE2410" s="249" t="str">
        <f>HYPERLINK("https://scontent.cdninstagram.com/t51.2885-19/s150x150/19764950_1045804225555904_1153139353938034688_a.jpg")</f>
        <v>https://scontent.cdninstagram.com/t51.2885-19/s150x150/19764950_1045804225555904_1153139353938034688_a.jpg</v>
      </c>
    </row>
    <row r="2411" spans="1:31" ht="15" x14ac:dyDescent="0.25">
      <c r="A2411" t="s">
        <v>2474</v>
      </c>
      <c r="B2411" t="s">
        <v>15096</v>
      </c>
      <c r="C2411" s="221">
        <v>42970.527731481481</v>
      </c>
      <c r="D2411" t="s">
        <v>15097</v>
      </c>
      <c r="E2411" s="249" t="str">
        <f>HYPERLINK("https://www.instagram.com/p/BYJLG7_FyiQ/")</f>
        <v>https://www.instagram.com/p/BYJLG7_FyiQ/</v>
      </c>
      <c r="F2411" t="s">
        <v>15098</v>
      </c>
      <c r="G2411" t="s">
        <v>2478</v>
      </c>
      <c r="H2411">
        <v>208</v>
      </c>
      <c r="I2411" t="s">
        <v>2910</v>
      </c>
      <c r="J2411">
        <v>0</v>
      </c>
      <c r="K2411">
        <v>7</v>
      </c>
      <c r="L2411">
        <v>7</v>
      </c>
      <c r="Q2411">
        <v>0</v>
      </c>
      <c r="R2411">
        <v>0</v>
      </c>
      <c r="S2411">
        <v>7</v>
      </c>
      <c r="Y2411" t="s">
        <v>2906</v>
      </c>
      <c r="Z2411" t="s">
        <v>15099</v>
      </c>
      <c r="AA2411" t="s">
        <v>15100</v>
      </c>
      <c r="AB2411" t="s">
        <v>3349</v>
      </c>
      <c r="AC2411" t="s">
        <v>15101</v>
      </c>
      <c r="AD2411" s="249" t="str">
        <f>HYPERLINK("https://scontent.cdninstagram.com/t51.2885-15/s320x320/e35/20968843_116375059024903_5642670334894145536_n.jpg")</f>
        <v>https://scontent.cdninstagram.com/t51.2885-15/s320x320/e35/20968843_116375059024903_5642670334894145536_n.jpg</v>
      </c>
      <c r="AE2411" s="249" t="str">
        <f>HYPERLINK("https://scontent.cdninstagram.com/t51.2885-19/s150x150/20398182_1588562531217187_5650079084760268800_a.jpg")</f>
        <v>https://scontent.cdninstagram.com/t51.2885-19/s150x150/20398182_1588562531217187_5650079084760268800_a.jpg</v>
      </c>
    </row>
    <row r="2412" spans="1:31" ht="15" x14ac:dyDescent="0.25">
      <c r="A2412" t="s">
        <v>2474</v>
      </c>
      <c r="B2412" t="s">
        <v>2907</v>
      </c>
      <c r="C2412" s="221">
        <v>42970.529953703706</v>
      </c>
      <c r="D2412" t="s">
        <v>15102</v>
      </c>
      <c r="E2412" s="249" t="str">
        <f>HYPERLINK("https://www.instagram.com/p/BYJLeZpgZHj/")</f>
        <v>https://www.instagram.com/p/BYJLeZpgZHj/</v>
      </c>
      <c r="F2412" t="s">
        <v>15103</v>
      </c>
      <c r="G2412" t="s">
        <v>2478</v>
      </c>
      <c r="H2412">
        <v>76</v>
      </c>
      <c r="I2412" t="s">
        <v>3186</v>
      </c>
      <c r="J2412">
        <v>0</v>
      </c>
      <c r="K2412">
        <v>52</v>
      </c>
      <c r="L2412">
        <v>52</v>
      </c>
      <c r="Q2412">
        <v>0</v>
      </c>
      <c r="R2412">
        <v>0</v>
      </c>
      <c r="S2412">
        <v>52</v>
      </c>
      <c r="Y2412" t="s">
        <v>15104</v>
      </c>
      <c r="Z2412" t="s">
        <v>2491</v>
      </c>
      <c r="AA2412" t="s">
        <v>2492</v>
      </c>
      <c r="AB2412" t="s">
        <v>5802</v>
      </c>
      <c r="AC2412" t="s">
        <v>5229</v>
      </c>
      <c r="AD2412" s="249" t="str">
        <f>HYPERLINK("https://scontent.cdninstagram.com/t51.2885-15/e35/p320x320/21042688_813374898830647_4614363075837952000_n.jpg")</f>
        <v>https://scontent.cdninstagram.com/t51.2885-15/e35/p320x320/21042688_813374898830647_4614363075837952000_n.jpg</v>
      </c>
      <c r="AE2412" s="249" t="str">
        <f>HYPERLINK("https://scontent.cdninstagram.com/t51.2885-19/s150x150/12357630_513986308780959_401409989_a.jpg")</f>
        <v>https://scontent.cdninstagram.com/t51.2885-19/s150x150/12357630_513986308780959_401409989_a.jpg</v>
      </c>
    </row>
    <row r="2413" spans="1:31" ht="15" x14ac:dyDescent="0.25">
      <c r="A2413" t="s">
        <v>2474</v>
      </c>
      <c r="B2413" t="s">
        <v>15105</v>
      </c>
      <c r="C2413" s="221">
        <v>42970.530995370369</v>
      </c>
      <c r="D2413" t="s">
        <v>15106</v>
      </c>
      <c r="E2413" s="249" t="str">
        <f>HYPERLINK("https://www.instagram.com/p/BYJLpV4AGWN/")</f>
        <v>https://www.instagram.com/p/BYJLpV4AGWN/</v>
      </c>
      <c r="F2413" t="s">
        <v>15107</v>
      </c>
      <c r="G2413" t="s">
        <v>2478</v>
      </c>
      <c r="H2413">
        <v>2018</v>
      </c>
      <c r="I2413" t="s">
        <v>2599</v>
      </c>
      <c r="J2413">
        <v>1</v>
      </c>
      <c r="K2413">
        <v>84</v>
      </c>
      <c r="L2413">
        <v>85</v>
      </c>
      <c r="Q2413">
        <v>0</v>
      </c>
      <c r="R2413">
        <v>0</v>
      </c>
      <c r="S2413">
        <v>85</v>
      </c>
      <c r="T2413" t="s">
        <v>15108</v>
      </c>
      <c r="U2413" t="s">
        <v>146</v>
      </c>
      <c r="V2413" t="s">
        <v>2299</v>
      </c>
      <c r="W2413">
        <v>32.714041000000002</v>
      </c>
      <c r="X2413">
        <v>-117.139898</v>
      </c>
      <c r="Y2413" t="s">
        <v>15109</v>
      </c>
      <c r="Z2413" t="s">
        <v>2696</v>
      </c>
      <c r="AA2413" t="s">
        <v>15110</v>
      </c>
      <c r="AB2413" t="s">
        <v>15111</v>
      </c>
      <c r="AC2413" t="s">
        <v>15112</v>
      </c>
      <c r="AD2413" s="249" t="str">
        <f>HYPERLINK("https://scontent.cdninstagram.com/t51.2885-15/s320x320/e35/21041429_1479150005500058_8075017985154088960_n.jpg")</f>
        <v>https://scontent.cdninstagram.com/t51.2885-15/s320x320/e35/21041429_1479150005500058_8075017985154088960_n.jpg</v>
      </c>
      <c r="AE2413" s="249" t="str">
        <f>HYPERLINK("https://scontent.cdninstagram.com/t51.2885-19/s150x150/14474393_1768043086769493_9146875538281857024_a.jpg")</f>
        <v>https://scontent.cdninstagram.com/t51.2885-19/s150x150/14474393_1768043086769493_9146875538281857024_a.jpg</v>
      </c>
    </row>
    <row r="2414" spans="1:31" ht="15" x14ac:dyDescent="0.25">
      <c r="A2414" t="s">
        <v>2474</v>
      </c>
      <c r="B2414" t="s">
        <v>15113</v>
      </c>
      <c r="C2414" s="221">
        <v>42970.532129629632</v>
      </c>
      <c r="D2414" t="s">
        <v>15114</v>
      </c>
      <c r="E2414" s="249" t="str">
        <f>HYPERLINK("https://www.instagram.com/p/BYJL1UvhHoo/")</f>
        <v>https://www.instagram.com/p/BYJL1UvhHoo/</v>
      </c>
      <c r="F2414" t="s">
        <v>15115</v>
      </c>
      <c r="G2414" t="s">
        <v>2478</v>
      </c>
      <c r="H2414">
        <v>265</v>
      </c>
      <c r="I2414" t="s">
        <v>2599</v>
      </c>
      <c r="J2414">
        <v>0</v>
      </c>
      <c r="K2414">
        <v>29</v>
      </c>
      <c r="L2414">
        <v>29</v>
      </c>
      <c r="Q2414">
        <v>0</v>
      </c>
      <c r="R2414">
        <v>0</v>
      </c>
      <c r="S2414">
        <v>29</v>
      </c>
      <c r="Y2414" t="s">
        <v>15116</v>
      </c>
      <c r="Z2414" t="s">
        <v>3174</v>
      </c>
      <c r="AA2414" t="s">
        <v>5061</v>
      </c>
      <c r="AB2414" t="s">
        <v>15117</v>
      </c>
      <c r="AC2414" t="s">
        <v>7830</v>
      </c>
      <c r="AD2414" s="249" t="str">
        <f>HYPERLINK("https://scontent.cdninstagram.com/t51.2885-15/e35/p320x320/21042080_1979792252263755_4099760925022617600_n.jpg")</f>
        <v>https://scontent.cdninstagram.com/t51.2885-15/e35/p320x320/21042080_1979792252263755_4099760925022617600_n.jpg</v>
      </c>
      <c r="AE2414" s="249" t="str">
        <f>HYPERLINK("https://scontent.cdninstagram.com/t51.2885-19/s150x150/16228671_300480487020941_2742648441711624192_a.jpg")</f>
        <v>https://scontent.cdninstagram.com/t51.2885-19/s150x150/16228671_300480487020941_2742648441711624192_a.jpg</v>
      </c>
    </row>
    <row r="2415" spans="1:31" ht="15" x14ac:dyDescent="0.25">
      <c r="A2415" t="s">
        <v>2474</v>
      </c>
      <c r="B2415" t="s">
        <v>15118</v>
      </c>
      <c r="C2415" s="221">
        <v>42970.534872685188</v>
      </c>
      <c r="D2415" t="s">
        <v>15119</v>
      </c>
      <c r="E2415" s="249" t="str">
        <f>HYPERLINK("https://www.instagram.com/p/BYJMSReg4V0/")</f>
        <v>https://www.instagram.com/p/BYJMSReg4V0/</v>
      </c>
      <c r="F2415" t="s">
        <v>15120</v>
      </c>
      <c r="G2415" t="s">
        <v>2478</v>
      </c>
      <c r="H2415">
        <v>13726</v>
      </c>
      <c r="I2415" t="s">
        <v>2479</v>
      </c>
      <c r="J2415">
        <v>3</v>
      </c>
      <c r="K2415">
        <v>9</v>
      </c>
      <c r="L2415">
        <v>12</v>
      </c>
      <c r="Q2415">
        <v>0</v>
      </c>
      <c r="R2415">
        <v>0</v>
      </c>
      <c r="S2415">
        <v>12</v>
      </c>
      <c r="T2415" t="s">
        <v>15121</v>
      </c>
      <c r="V2415" t="s">
        <v>2264</v>
      </c>
      <c r="W2415">
        <v>43.36</v>
      </c>
      <c r="X2415">
        <v>-5.8449999999999998</v>
      </c>
      <c r="Y2415" t="s">
        <v>2696</v>
      </c>
      <c r="Z2415" t="s">
        <v>2497</v>
      </c>
      <c r="AD2415" s="249" t="str">
        <f>HYPERLINK("https://scontent.cdninstagram.com/t51.2885-15/s320x320/e35/21107566_116688198992750_2114137470374248448_n.jpg")</f>
        <v>https://scontent.cdninstagram.com/t51.2885-15/s320x320/e35/21107566_116688198992750_2114137470374248448_n.jpg</v>
      </c>
      <c r="AE2415" s="249" t="str">
        <f>HYPERLINK("https://scontent.cdninstagram.com/t51.2885-19/s150x150/20759216_161745377718076_3672718945325940736_a.jpg")</f>
        <v>https://scontent.cdninstagram.com/t51.2885-19/s150x150/20759216_161745377718076_3672718945325940736_a.jpg</v>
      </c>
    </row>
    <row r="2416" spans="1:31" ht="15" x14ac:dyDescent="0.25">
      <c r="A2416" t="s">
        <v>2474</v>
      </c>
      <c r="B2416" t="s">
        <v>15122</v>
      </c>
      <c r="C2416" s="221">
        <v>42970.544409722221</v>
      </c>
      <c r="D2416" t="s">
        <v>15123</v>
      </c>
      <c r="E2416" s="249" t="str">
        <f>HYPERLINK("https://www.instagram.com/p/BYJN24HAYJo/")</f>
        <v>https://www.instagram.com/p/BYJN24HAYJo/</v>
      </c>
      <c r="F2416" t="s">
        <v>15124</v>
      </c>
      <c r="G2416" t="s">
        <v>2478</v>
      </c>
      <c r="H2416">
        <v>221</v>
      </c>
      <c r="I2416" t="s">
        <v>2479</v>
      </c>
      <c r="J2416">
        <v>1</v>
      </c>
      <c r="K2416">
        <v>51</v>
      </c>
      <c r="L2416">
        <v>52</v>
      </c>
      <c r="Q2416">
        <v>0</v>
      </c>
      <c r="R2416">
        <v>0</v>
      </c>
      <c r="S2416">
        <v>52</v>
      </c>
      <c r="Y2416" t="s">
        <v>15125</v>
      </c>
      <c r="Z2416" t="s">
        <v>12569</v>
      </c>
      <c r="AA2416" t="s">
        <v>15126</v>
      </c>
      <c r="AB2416" t="s">
        <v>9091</v>
      </c>
      <c r="AC2416" t="s">
        <v>15127</v>
      </c>
      <c r="AD2416" s="249" t="str">
        <f>HYPERLINK("https://scontent.cdninstagram.com/t51.2885-15/s320x320/e35/18809577_121002258554687_3462042037723856896_n.jpg")</f>
        <v>https://scontent.cdninstagram.com/t51.2885-15/s320x320/e35/18809577_121002258554687_3462042037723856896_n.jpg</v>
      </c>
      <c r="AE2416" s="249" t="str">
        <f>HYPERLINK("https://scontent.cdninstagram.com/t51.2885-19/s150x150/13414374_144307469320790_1614198466_a.jpg")</f>
        <v>https://scontent.cdninstagram.com/t51.2885-19/s150x150/13414374_144307469320790_1614198466_a.jpg</v>
      </c>
    </row>
    <row r="2417" spans="1:31" ht="15" x14ac:dyDescent="0.25">
      <c r="A2417" t="s">
        <v>2474</v>
      </c>
      <c r="B2417" t="s">
        <v>15128</v>
      </c>
      <c r="C2417" s="221">
        <v>42970.547152777777</v>
      </c>
      <c r="D2417" t="s">
        <v>15129</v>
      </c>
      <c r="E2417" s="249" t="str">
        <f>HYPERLINK("https://www.instagram.com/p/BYJOTwwDH2m/")</f>
        <v>https://www.instagram.com/p/BYJOTwwDH2m/</v>
      </c>
      <c r="F2417" t="s">
        <v>15130</v>
      </c>
      <c r="G2417" t="s">
        <v>2478</v>
      </c>
      <c r="H2417">
        <v>56</v>
      </c>
      <c r="I2417" t="s">
        <v>3273</v>
      </c>
      <c r="J2417">
        <v>0</v>
      </c>
      <c r="K2417">
        <v>14</v>
      </c>
      <c r="L2417">
        <v>14</v>
      </c>
      <c r="Q2417">
        <v>0</v>
      </c>
      <c r="R2417">
        <v>0</v>
      </c>
      <c r="S2417">
        <v>14</v>
      </c>
      <c r="Y2417" t="s">
        <v>15131</v>
      </c>
      <c r="Z2417" t="s">
        <v>15132</v>
      </c>
      <c r="AA2417" t="s">
        <v>4907</v>
      </c>
      <c r="AB2417" t="s">
        <v>3099</v>
      </c>
      <c r="AC2417" t="s">
        <v>15133</v>
      </c>
      <c r="AD2417" s="249" t="str">
        <f>HYPERLINK("https://scontent.cdninstagram.com/t51.2885-15/s320x320/e35/20969357_168032490429524_5087425230679310336_n.jpg")</f>
        <v>https://scontent.cdninstagram.com/t51.2885-15/s320x320/e35/20969357_168032490429524_5087425230679310336_n.jpg</v>
      </c>
      <c r="AE2417" s="249" t="str">
        <f>HYPERLINK("https://scontent.cdninstagram.com/t51.2885-19/s150x150/21224637_121464501843021_2171729734818332672_a.jpg")</f>
        <v>https://scontent.cdninstagram.com/t51.2885-19/s150x150/21224637_121464501843021_2171729734818332672_a.jpg</v>
      </c>
    </row>
    <row r="2418" spans="1:31" ht="15" x14ac:dyDescent="0.25">
      <c r="A2418" t="s">
        <v>2474</v>
      </c>
      <c r="B2418" t="s">
        <v>15134</v>
      </c>
      <c r="C2418" s="221">
        <v>42970.547488425924</v>
      </c>
      <c r="D2418" t="s">
        <v>15135</v>
      </c>
      <c r="E2418" s="249" t="str">
        <f>HYPERLINK("https://www.instagram.com/p/BYJOXPpAPtL/")</f>
        <v>https://www.instagram.com/p/BYJOXPpAPtL/</v>
      </c>
      <c r="F2418" t="s">
        <v>15136</v>
      </c>
      <c r="G2418" t="s">
        <v>2478</v>
      </c>
      <c r="H2418">
        <v>853</v>
      </c>
      <c r="I2418" t="s">
        <v>2896</v>
      </c>
      <c r="J2418">
        <v>0</v>
      </c>
      <c r="K2418">
        <v>17</v>
      </c>
      <c r="L2418">
        <v>17</v>
      </c>
      <c r="Q2418">
        <v>0</v>
      </c>
      <c r="R2418">
        <v>0</v>
      </c>
      <c r="S2418">
        <v>17</v>
      </c>
      <c r="Y2418" t="s">
        <v>15137</v>
      </c>
      <c r="Z2418" t="s">
        <v>15138</v>
      </c>
      <c r="AA2418" t="s">
        <v>15139</v>
      </c>
      <c r="AB2418" t="s">
        <v>15140</v>
      </c>
      <c r="AC2418" t="s">
        <v>15141</v>
      </c>
      <c r="AD2418" s="249" t="str">
        <f>HYPERLINK("https://scontent.cdninstagram.com/t51.2885-15/e35/p320x320/20986760_1958884304394299_5653271770174586880_n.jpg")</f>
        <v>https://scontent.cdninstagram.com/t51.2885-15/e35/p320x320/20986760_1958884304394299_5653271770174586880_n.jpg</v>
      </c>
      <c r="AE2418" s="249" t="str">
        <f>HYPERLINK("https://scontent.cdninstagram.com/t51.2885-19/s150x150/20905327_238380000017378_3145727098056867840_a.jpg")</f>
        <v>https://scontent.cdninstagram.com/t51.2885-19/s150x150/20905327_238380000017378_3145727098056867840_a.jpg</v>
      </c>
    </row>
    <row r="2419" spans="1:31" ht="15" x14ac:dyDescent="0.25">
      <c r="A2419" t="s">
        <v>2474</v>
      </c>
      <c r="B2419" t="s">
        <v>15142</v>
      </c>
      <c r="C2419" s="221">
        <v>42970.54760416667</v>
      </c>
      <c r="D2419" t="s">
        <v>15143</v>
      </c>
      <c r="E2419" s="249" t="str">
        <f>HYPERLINK("https://www.instagram.com/p/BYJOYkzDNYP/")</f>
        <v>https://www.instagram.com/p/BYJOYkzDNYP/</v>
      </c>
      <c r="F2419" t="s">
        <v>15144</v>
      </c>
      <c r="G2419" t="s">
        <v>2478</v>
      </c>
      <c r="H2419">
        <v>186</v>
      </c>
      <c r="I2419" t="s">
        <v>2479</v>
      </c>
      <c r="J2419">
        <v>0</v>
      </c>
      <c r="K2419">
        <v>24</v>
      </c>
      <c r="L2419">
        <v>24</v>
      </c>
      <c r="Q2419">
        <v>0</v>
      </c>
      <c r="R2419">
        <v>0</v>
      </c>
      <c r="S2419">
        <v>24</v>
      </c>
      <c r="Y2419" t="s">
        <v>15145</v>
      </c>
      <c r="Z2419" t="s">
        <v>8047</v>
      </c>
      <c r="AA2419" t="s">
        <v>15146</v>
      </c>
      <c r="AB2419" t="s">
        <v>15147</v>
      </c>
      <c r="AC2419" t="s">
        <v>15148</v>
      </c>
      <c r="AD2419" s="249" t="str">
        <f>HYPERLINK("https://scontent.cdninstagram.com/t51.2885-15/s320x320/e35/20986786_1469774549773948_7034307375943122944_n.jpg")</f>
        <v>https://scontent.cdninstagram.com/t51.2885-15/s320x320/e35/20986786_1469774549773948_7034307375943122944_n.jpg</v>
      </c>
      <c r="AE2419" s="249" t="str">
        <f>HYPERLINK("https://scontent.cdninstagram.com/t51.2885-19/s150x150/14726225_892591224205601_2157789181508583424_a.jpg")</f>
        <v>https://scontent.cdninstagram.com/t51.2885-19/s150x150/14726225_892591224205601_2157789181508583424_a.jpg</v>
      </c>
    </row>
    <row r="2420" spans="1:31" ht="15" x14ac:dyDescent="0.25">
      <c r="A2420" t="s">
        <v>2474</v>
      </c>
      <c r="B2420" t="s">
        <v>2548</v>
      </c>
      <c r="C2420" s="221">
        <v>42970.558055555557</v>
      </c>
      <c r="D2420" t="s">
        <v>15149</v>
      </c>
      <c r="E2420" s="249" t="str">
        <f>HYPERLINK("https://www.instagram.com/p/BYJQGtgH6DZ/")</f>
        <v>https://www.instagram.com/p/BYJQGtgH6DZ/</v>
      </c>
      <c r="F2420" t="s">
        <v>15150</v>
      </c>
      <c r="G2420" t="s">
        <v>2478</v>
      </c>
      <c r="H2420">
        <v>536</v>
      </c>
      <c r="I2420" t="s">
        <v>2479</v>
      </c>
      <c r="J2420">
        <v>7</v>
      </c>
      <c r="K2420">
        <v>46</v>
      </c>
      <c r="L2420">
        <v>53</v>
      </c>
      <c r="Q2420">
        <v>0</v>
      </c>
      <c r="R2420">
        <v>0</v>
      </c>
      <c r="S2420">
        <v>53</v>
      </c>
      <c r="T2420" t="s">
        <v>5737</v>
      </c>
      <c r="V2420" t="s">
        <v>2222</v>
      </c>
      <c r="W2420">
        <v>52.26305</v>
      </c>
      <c r="X2420">
        <v>6.1649200000000004</v>
      </c>
      <c r="Y2420" t="s">
        <v>3262</v>
      </c>
      <c r="Z2420" t="s">
        <v>5738</v>
      </c>
      <c r="AA2420" t="s">
        <v>2861</v>
      </c>
      <c r="AB2420" t="s">
        <v>9794</v>
      </c>
      <c r="AC2420" t="s">
        <v>8592</v>
      </c>
      <c r="AD2420" s="249" t="str">
        <f>HYPERLINK("https://scontent.cdninstagram.com/t51.2885-15/e35/p320x320/21041047_341208803001049_585407946570072064_n.jpg")</f>
        <v>https://scontent.cdninstagram.com/t51.2885-15/e35/p320x320/21041047_341208803001049_585407946570072064_n.jpg</v>
      </c>
      <c r="AE2420" s="249" t="str">
        <f>HYPERLINK("https://scontent.cdninstagram.com/t51.2885-19/s150x150/20902268_463519954020811_6603510379353997312_a.jpg")</f>
        <v>https://scontent.cdninstagram.com/t51.2885-19/s150x150/20902268_463519954020811_6603510379353997312_a.jpg</v>
      </c>
    </row>
    <row r="2421" spans="1:31" ht="15" x14ac:dyDescent="0.25">
      <c r="A2421" t="s">
        <v>2474</v>
      </c>
      <c r="B2421" t="s">
        <v>15151</v>
      </c>
      <c r="C2421" s="221">
        <v>42970.569618055553</v>
      </c>
      <c r="D2421" t="s">
        <v>15152</v>
      </c>
      <c r="E2421" s="249" t="str">
        <f>HYPERLINK("https://www.instagram.com/p/BYJSAvkFkRv/")</f>
        <v>https://www.instagram.com/p/BYJSAvkFkRv/</v>
      </c>
      <c r="F2421" t="s">
        <v>15153</v>
      </c>
      <c r="G2421" t="s">
        <v>2478</v>
      </c>
      <c r="H2421">
        <v>12</v>
      </c>
      <c r="I2421" t="s">
        <v>2479</v>
      </c>
      <c r="J2421">
        <v>0</v>
      </c>
      <c r="K2421">
        <v>4</v>
      </c>
      <c r="L2421">
        <v>4</v>
      </c>
      <c r="Q2421">
        <v>0</v>
      </c>
      <c r="R2421">
        <v>0</v>
      </c>
      <c r="S2421">
        <v>4</v>
      </c>
      <c r="Y2421" t="s">
        <v>4724</v>
      </c>
      <c r="Z2421" t="s">
        <v>2730</v>
      </c>
      <c r="AA2421" t="s">
        <v>2497</v>
      </c>
      <c r="AB2421" t="s">
        <v>15154</v>
      </c>
      <c r="AD2421" s="249" t="str">
        <f>HYPERLINK("https://scontent.cdninstagram.com/t51.2885-15/s320x320/e35/20986827_1665210140156397_3161381858713796608_n.jpg")</f>
        <v>https://scontent.cdninstagram.com/t51.2885-15/s320x320/e35/20986827_1665210140156397_3161381858713796608_n.jpg</v>
      </c>
      <c r="AE2421" s="249" t="str">
        <f>HYPERLINK("https://scontent.cdninstagram.com/t51.2885-19/s150x150/20838167_662876160573586_1783664828145991680_a.jpg")</f>
        <v>https://scontent.cdninstagram.com/t51.2885-19/s150x150/20838167_662876160573586_1783664828145991680_a.jpg</v>
      </c>
    </row>
    <row r="2422" spans="1:31" ht="15" x14ac:dyDescent="0.25">
      <c r="A2422" t="s">
        <v>2474</v>
      </c>
      <c r="B2422" t="s">
        <v>5876</v>
      </c>
      <c r="C2422" s="221">
        <v>42970.56962962963</v>
      </c>
      <c r="D2422" t="s">
        <v>15155</v>
      </c>
      <c r="E2422" s="249" t="str">
        <f>HYPERLINK("https://www.instagram.com/p/BYJSAzDDVUO/")</f>
        <v>https://www.instagram.com/p/BYJSAzDDVUO/</v>
      </c>
      <c r="F2422" t="s">
        <v>15156</v>
      </c>
      <c r="G2422" t="s">
        <v>2478</v>
      </c>
      <c r="H2422">
        <v>844</v>
      </c>
      <c r="I2422" t="s">
        <v>2748</v>
      </c>
      <c r="J2422">
        <v>2</v>
      </c>
      <c r="K2422">
        <v>39</v>
      </c>
      <c r="L2422">
        <v>41</v>
      </c>
      <c r="Q2422">
        <v>0</v>
      </c>
      <c r="R2422">
        <v>0</v>
      </c>
      <c r="S2422">
        <v>41</v>
      </c>
      <c r="T2422" t="s">
        <v>15157</v>
      </c>
      <c r="V2422" t="s">
        <v>2180</v>
      </c>
      <c r="W2422">
        <v>53.264954079355</v>
      </c>
      <c r="X2422">
        <v>-6.1943529394838999</v>
      </c>
      <c r="Y2422" t="s">
        <v>6628</v>
      </c>
      <c r="Z2422" t="s">
        <v>2741</v>
      </c>
      <c r="AA2422" t="s">
        <v>9954</v>
      </c>
      <c r="AB2422" t="s">
        <v>6864</v>
      </c>
      <c r="AC2422" t="s">
        <v>15158</v>
      </c>
      <c r="AD2422" s="249" t="str">
        <f>HYPERLINK("https://scontent.cdninstagram.com/t51.2885-15/e35/p320x320/20969067_270517573449853_5563992894877990912_n.jpg")</f>
        <v>https://scontent.cdninstagram.com/t51.2885-15/e35/p320x320/20969067_270517573449853_5563992894877990912_n.jpg</v>
      </c>
      <c r="AE2422" s="249" t="str">
        <f>HYPERLINK("https://scontent.cdninstagram.com/t51.2885-19/s150x150/18161135_111635326070562_6461956323226419200_a.jpg")</f>
        <v>https://scontent.cdninstagram.com/t51.2885-19/s150x150/18161135_111635326070562_6461956323226419200_a.jpg</v>
      </c>
    </row>
    <row r="2423" spans="1:31" ht="15" x14ac:dyDescent="0.25">
      <c r="A2423" t="s">
        <v>2474</v>
      </c>
      <c r="B2423" t="s">
        <v>15159</v>
      </c>
      <c r="C2423" s="221">
        <v>42970.583055555559</v>
      </c>
      <c r="D2423" t="s">
        <v>15160</v>
      </c>
      <c r="E2423" s="249" t="str">
        <f>HYPERLINK("https://www.instagram.com/p/BYJUOc9hdlS/")</f>
        <v>https://www.instagram.com/p/BYJUOc9hdlS/</v>
      </c>
      <c r="F2423" t="s">
        <v>15161</v>
      </c>
      <c r="G2423" t="s">
        <v>2478</v>
      </c>
      <c r="I2423" t="s">
        <v>2910</v>
      </c>
      <c r="J2423">
        <v>2</v>
      </c>
      <c r="K2423">
        <v>28</v>
      </c>
      <c r="L2423">
        <v>30</v>
      </c>
      <c r="Q2423">
        <v>0</v>
      </c>
      <c r="R2423">
        <v>0</v>
      </c>
      <c r="S2423">
        <v>30</v>
      </c>
      <c r="Y2423" t="s">
        <v>7279</v>
      </c>
      <c r="Z2423" t="s">
        <v>5499</v>
      </c>
      <c r="AA2423" t="s">
        <v>6550</v>
      </c>
      <c r="AB2423" t="s">
        <v>5848</v>
      </c>
      <c r="AC2423" t="s">
        <v>13118</v>
      </c>
      <c r="AD2423" s="249" t="str">
        <f>HYPERLINK("https://scontent.cdninstagram.com/t51.2885-15/s320x320/e35/20987417_113654519295398_5502587730267209728_n.jpg")</f>
        <v>https://scontent.cdninstagram.com/t51.2885-15/s320x320/e35/20987417_113654519295398_5502587730267209728_n.jpg</v>
      </c>
      <c r="AE2423" s="249" t="str">
        <f>HYPERLINK("https://scontent.cdninstagram.com/t51.2885-19/s150x150/19533785_1741677726126780_8398988759860772864_a.jpg")</f>
        <v>https://scontent.cdninstagram.com/t51.2885-19/s150x150/19533785_1741677726126780_8398988759860772864_a.jpg</v>
      </c>
    </row>
    <row r="2424" spans="1:31" ht="15" x14ac:dyDescent="0.25">
      <c r="A2424" t="s">
        <v>2474</v>
      </c>
      <c r="B2424" t="s">
        <v>3133</v>
      </c>
      <c r="C2424" s="221">
        <v>42970.584305555552</v>
      </c>
      <c r="D2424" t="s">
        <v>15162</v>
      </c>
      <c r="E2424" s="249" t="str">
        <f>HYPERLINK("https://www.instagram.com/p/BYJUboyFzEK/")</f>
        <v>https://www.instagram.com/p/BYJUboyFzEK/</v>
      </c>
      <c r="F2424" t="s">
        <v>15163</v>
      </c>
      <c r="G2424" t="s">
        <v>2478</v>
      </c>
      <c r="H2424">
        <v>329</v>
      </c>
      <c r="I2424" t="s">
        <v>2479</v>
      </c>
      <c r="J2424">
        <v>1</v>
      </c>
      <c r="K2424">
        <v>43</v>
      </c>
      <c r="L2424">
        <v>44</v>
      </c>
      <c r="Q2424">
        <v>0</v>
      </c>
      <c r="R2424">
        <v>0</v>
      </c>
      <c r="S2424">
        <v>44</v>
      </c>
      <c r="Y2424" t="s">
        <v>5325</v>
      </c>
      <c r="Z2424" t="s">
        <v>3145</v>
      </c>
      <c r="AA2424" t="s">
        <v>15164</v>
      </c>
      <c r="AB2424" t="s">
        <v>4582</v>
      </c>
      <c r="AC2424" t="s">
        <v>3137</v>
      </c>
      <c r="AD2424" s="249" t="str">
        <f>HYPERLINK("https://scontent.cdninstagram.com/t51.2885-15/s320x320/e35/21041090_1605423066167232_5020891711908347904_n.jpg")</f>
        <v>https://scontent.cdninstagram.com/t51.2885-15/s320x320/e35/21041090_1605423066167232_5020891711908347904_n.jpg</v>
      </c>
      <c r="AE2424" s="249" t="str">
        <f>HYPERLINK("https://scontent.cdninstagram.com/t51.2885-19/s150x150/20986643_111635112861159_488548642974597120_a.jpg")</f>
        <v>https://scontent.cdninstagram.com/t51.2885-19/s150x150/20986643_111635112861159_488548642974597120_a.jpg</v>
      </c>
    </row>
    <row r="2425" spans="1:31" ht="15" x14ac:dyDescent="0.25">
      <c r="A2425" t="s">
        <v>2474</v>
      </c>
      <c r="B2425" t="s">
        <v>7802</v>
      </c>
      <c r="C2425" s="221">
        <v>42970.586423611108</v>
      </c>
      <c r="D2425" t="s">
        <v>15165</v>
      </c>
      <c r="E2425" s="249" t="str">
        <f>HYPERLINK("https://www.instagram.com/p/BYJUx7UhdtN/")</f>
        <v>https://www.instagram.com/p/BYJUx7UhdtN/</v>
      </c>
      <c r="F2425" t="s">
        <v>15166</v>
      </c>
      <c r="G2425" t="s">
        <v>2478</v>
      </c>
      <c r="H2425">
        <v>185</v>
      </c>
      <c r="I2425" t="s">
        <v>2542</v>
      </c>
      <c r="J2425">
        <v>0</v>
      </c>
      <c r="K2425">
        <v>27</v>
      </c>
      <c r="L2425">
        <v>27</v>
      </c>
      <c r="Q2425">
        <v>0</v>
      </c>
      <c r="R2425">
        <v>0</v>
      </c>
      <c r="S2425">
        <v>27</v>
      </c>
      <c r="T2425" t="s">
        <v>7805</v>
      </c>
      <c r="U2425" t="s">
        <v>202</v>
      </c>
      <c r="V2425" t="s">
        <v>2299</v>
      </c>
      <c r="W2425">
        <v>39.86504</v>
      </c>
      <c r="X2425">
        <v>-84.11721</v>
      </c>
      <c r="Y2425" t="s">
        <v>9942</v>
      </c>
      <c r="Z2425" t="s">
        <v>15167</v>
      </c>
      <c r="AA2425" t="s">
        <v>15168</v>
      </c>
      <c r="AB2425" t="s">
        <v>7809</v>
      </c>
      <c r="AC2425" t="s">
        <v>15169</v>
      </c>
      <c r="AD2425" s="249" t="str">
        <f>HYPERLINK("https://scontent.cdninstagram.com/t51.2885-15/s320x320/e35/21042840_282210682185816_48598005925806080_n.jpg")</f>
        <v>https://scontent.cdninstagram.com/t51.2885-15/s320x320/e35/21042840_282210682185816_48598005925806080_n.jpg</v>
      </c>
      <c r="AE2425" s="249" t="str">
        <f>HYPERLINK("https://scontent.cdninstagram.com/t51.2885-19/s150x150/18879149_1471896259560338_6915572966390497280_a.jpg")</f>
        <v>https://scontent.cdninstagram.com/t51.2885-19/s150x150/18879149_1471896259560338_6915572966390497280_a.jpg</v>
      </c>
    </row>
    <row r="2426" spans="1:31" ht="15" x14ac:dyDescent="0.25">
      <c r="A2426" t="s">
        <v>2474</v>
      </c>
      <c r="B2426" t="s">
        <v>15170</v>
      </c>
      <c r="C2426" s="221">
        <v>42970.586782407408</v>
      </c>
      <c r="D2426" t="s">
        <v>15171</v>
      </c>
      <c r="E2426" s="249" t="str">
        <f>HYPERLINK("https://www.instagram.com/p/BYJU1sPBv2T/")</f>
        <v>https://www.instagram.com/p/BYJU1sPBv2T/</v>
      </c>
      <c r="F2426" t="s">
        <v>15172</v>
      </c>
      <c r="G2426" t="s">
        <v>2478</v>
      </c>
      <c r="H2426">
        <v>415</v>
      </c>
      <c r="I2426" t="s">
        <v>2479</v>
      </c>
      <c r="J2426">
        <v>8</v>
      </c>
      <c r="K2426">
        <v>54</v>
      </c>
      <c r="L2426">
        <v>62</v>
      </c>
      <c r="Q2426">
        <v>0</v>
      </c>
      <c r="R2426">
        <v>0</v>
      </c>
      <c r="S2426">
        <v>62</v>
      </c>
      <c r="T2426" t="s">
        <v>15173</v>
      </c>
      <c r="V2426" t="s">
        <v>2264</v>
      </c>
      <c r="W2426">
        <v>41.381529999999998</v>
      </c>
      <c r="X2426">
        <v>2.1726999999999999</v>
      </c>
      <c r="AD2426" s="249" t="str">
        <f>HYPERLINK("https://scontent.cdninstagram.com/t51.2885-15/s320x320/e35/21042341_327857747661087_7271018902119776256_n.jpg")</f>
        <v>https://scontent.cdninstagram.com/t51.2885-15/s320x320/e35/21042341_327857747661087_7271018902119776256_n.jpg</v>
      </c>
      <c r="AE2426" s="249" t="str">
        <f>HYPERLINK("https://scontent.cdninstagram.com/t51.2885-19/s150x150/18644861_509883519354019_5763865979750711296_a.jpg")</f>
        <v>https://scontent.cdninstagram.com/t51.2885-19/s150x150/18644861_509883519354019_5763865979750711296_a.jpg</v>
      </c>
    </row>
    <row r="2427" spans="1:31" ht="15" x14ac:dyDescent="0.25">
      <c r="A2427" t="s">
        <v>2474</v>
      </c>
      <c r="B2427" t="s">
        <v>15174</v>
      </c>
      <c r="C2427" s="221">
        <v>42970.601423611108</v>
      </c>
      <c r="D2427" t="s">
        <v>15175</v>
      </c>
      <c r="E2427" s="249" t="str">
        <f>HYPERLINK("https://www.instagram.com/p/BYJXQH1h_vg/")</f>
        <v>https://www.instagram.com/p/BYJXQH1h_vg/</v>
      </c>
      <c r="F2427" t="s">
        <v>15176</v>
      </c>
      <c r="G2427" t="s">
        <v>2478</v>
      </c>
      <c r="H2427">
        <v>120</v>
      </c>
      <c r="I2427" t="s">
        <v>2542</v>
      </c>
      <c r="J2427">
        <v>5</v>
      </c>
      <c r="K2427">
        <v>40</v>
      </c>
      <c r="L2427">
        <v>45</v>
      </c>
      <c r="Q2427">
        <v>0</v>
      </c>
      <c r="R2427">
        <v>0</v>
      </c>
      <c r="S2427">
        <v>45</v>
      </c>
      <c r="T2427" t="s">
        <v>15177</v>
      </c>
      <c r="U2427" t="s">
        <v>144</v>
      </c>
      <c r="V2427" t="s">
        <v>2299</v>
      </c>
      <c r="W2427">
        <v>39.739199999999997</v>
      </c>
      <c r="X2427">
        <v>-104.98399999999999</v>
      </c>
      <c r="Y2427" t="s">
        <v>15178</v>
      </c>
      <c r="Z2427" t="s">
        <v>15179</v>
      </c>
      <c r="AD2427" s="249" t="str">
        <f>HYPERLINK("https://scontent.cdninstagram.com/t51.2885-15/s320x320/e35/21042676_431811947215010_908284526818492416_n.jpg")</f>
        <v>https://scontent.cdninstagram.com/t51.2885-15/s320x320/e35/21042676_431811947215010_908284526818492416_n.jpg</v>
      </c>
      <c r="AE2427" s="249" t="str">
        <f>HYPERLINK("https://scontent.cdninstagram.com/t51.2885-19/s150x150/20066480_1928041897465486_5078657308347596800_a.jpg")</f>
        <v>https://scontent.cdninstagram.com/t51.2885-19/s150x150/20066480_1928041897465486_5078657308347596800_a.jpg</v>
      </c>
    </row>
    <row r="2428" spans="1:31" ht="15" x14ac:dyDescent="0.25">
      <c r="A2428" t="s">
        <v>2474</v>
      </c>
      <c r="B2428" t="s">
        <v>2516</v>
      </c>
      <c r="C2428" s="221">
        <v>42970.602210648147</v>
      </c>
      <c r="D2428" t="s">
        <v>15180</v>
      </c>
      <c r="E2428" s="249" t="str">
        <f>HYPERLINK("https://www.instagram.com/p/BYJXYZ_jKWj/")</f>
        <v>https://www.instagram.com/p/BYJXYZ_jKWj/</v>
      </c>
      <c r="F2428" t="s">
        <v>15181</v>
      </c>
      <c r="G2428" t="s">
        <v>2478</v>
      </c>
      <c r="H2428">
        <v>681</v>
      </c>
      <c r="I2428" t="s">
        <v>2479</v>
      </c>
      <c r="J2428">
        <v>1</v>
      </c>
      <c r="K2428">
        <v>27</v>
      </c>
      <c r="L2428">
        <v>28</v>
      </c>
      <c r="Q2428">
        <v>0</v>
      </c>
      <c r="R2428">
        <v>0</v>
      </c>
      <c r="S2428">
        <v>28</v>
      </c>
      <c r="Y2428" t="s">
        <v>12390</v>
      </c>
      <c r="Z2428" t="s">
        <v>10712</v>
      </c>
      <c r="AA2428" t="s">
        <v>4715</v>
      </c>
      <c r="AB2428" t="s">
        <v>6733</v>
      </c>
      <c r="AC2428" t="s">
        <v>6922</v>
      </c>
      <c r="AD2428" s="249" t="str">
        <f>HYPERLINK("https://scontent.cdninstagram.com/t51.2885-15/s320x320/e35/21041272_326801974414015_8651260733507502080_n.jpg")</f>
        <v>https://scontent.cdninstagram.com/t51.2885-15/s320x320/e35/21041272_326801974414015_8651260733507502080_n.jpg</v>
      </c>
      <c r="AE2428" s="249" t="str">
        <f>HYPERLINK("https://scontent.cdninstagram.com/t51.2885-19/s150x150/19955124_1311741785589715_3896736407896457216_a.jpg")</f>
        <v>https://scontent.cdninstagram.com/t51.2885-19/s150x150/19955124_1311741785589715_3896736407896457216_a.jpg</v>
      </c>
    </row>
    <row r="2429" spans="1:31" ht="15" x14ac:dyDescent="0.25">
      <c r="A2429" t="s">
        <v>2474</v>
      </c>
      <c r="B2429" t="s">
        <v>15182</v>
      </c>
      <c r="C2429" s="221">
        <v>42970.602268518516</v>
      </c>
      <c r="D2429" t="s">
        <v>15183</v>
      </c>
      <c r="E2429" s="249" t="str">
        <f>HYPERLINK("https://www.instagram.com/p/BYJXZGpg1z4/")</f>
        <v>https://www.instagram.com/p/BYJXZGpg1z4/</v>
      </c>
      <c r="F2429" t="s">
        <v>15184</v>
      </c>
      <c r="G2429" t="s">
        <v>2478</v>
      </c>
      <c r="H2429">
        <v>733</v>
      </c>
      <c r="I2429" t="s">
        <v>2479</v>
      </c>
      <c r="J2429">
        <v>1</v>
      </c>
      <c r="K2429">
        <v>97</v>
      </c>
      <c r="L2429">
        <v>98</v>
      </c>
      <c r="Q2429">
        <v>0</v>
      </c>
      <c r="R2429">
        <v>0</v>
      </c>
      <c r="S2429">
        <v>98</v>
      </c>
      <c r="Y2429" t="s">
        <v>10644</v>
      </c>
      <c r="Z2429" t="s">
        <v>15185</v>
      </c>
      <c r="AA2429" t="s">
        <v>14243</v>
      </c>
      <c r="AB2429" t="s">
        <v>15186</v>
      </c>
      <c r="AC2429" t="s">
        <v>15187</v>
      </c>
      <c r="AD2429" s="249" t="str">
        <f>HYPERLINK("https://scontent.cdninstagram.com/t51.2885-15/s320x320/e15/21041020_334720926980917_5853840321921679360_n.jpg")</f>
        <v>https://scontent.cdninstagram.com/t51.2885-15/s320x320/e15/21041020_334720926980917_5853840321921679360_n.jpg</v>
      </c>
      <c r="AE2429" s="249" t="str">
        <f>HYPERLINK("https://scontent.cdninstagram.com/t51.2885-19/s150x150/18513619_1254348571345625_691913201251516416_a.jpg")</f>
        <v>https://scontent.cdninstagram.com/t51.2885-19/s150x150/18513619_1254348571345625_691913201251516416_a.jpg</v>
      </c>
    </row>
    <row r="2430" spans="1:31" ht="15" x14ac:dyDescent="0.25">
      <c r="A2430" t="s">
        <v>2474</v>
      </c>
      <c r="B2430" t="s">
        <v>7185</v>
      </c>
      <c r="C2430" s="221">
        <v>42970.608356481483</v>
      </c>
      <c r="D2430" t="s">
        <v>15188</v>
      </c>
      <c r="E2430" s="249" t="str">
        <f>HYPERLINK("https://www.instagram.com/p/BYJYZSPhIC_/")</f>
        <v>https://www.instagram.com/p/BYJYZSPhIC_/</v>
      </c>
      <c r="F2430" t="s">
        <v>15189</v>
      </c>
      <c r="G2430" t="s">
        <v>2478</v>
      </c>
      <c r="H2430">
        <v>460</v>
      </c>
      <c r="I2430" t="s">
        <v>2479</v>
      </c>
      <c r="J2430">
        <v>3</v>
      </c>
      <c r="K2430">
        <v>63</v>
      </c>
      <c r="L2430">
        <v>66</v>
      </c>
      <c r="Q2430">
        <v>0</v>
      </c>
      <c r="R2430">
        <v>0</v>
      </c>
      <c r="S2430">
        <v>66</v>
      </c>
      <c r="T2430" t="s">
        <v>15190</v>
      </c>
      <c r="V2430" t="s">
        <v>2168</v>
      </c>
      <c r="W2430">
        <v>15.4</v>
      </c>
      <c r="X2430">
        <v>-90.7667</v>
      </c>
      <c r="Y2430" t="s">
        <v>7711</v>
      </c>
      <c r="Z2430" t="s">
        <v>4863</v>
      </c>
      <c r="AA2430" t="s">
        <v>7490</v>
      </c>
      <c r="AB2430" t="s">
        <v>3337</v>
      </c>
      <c r="AC2430" t="s">
        <v>7710</v>
      </c>
      <c r="AD2430" s="249" t="str">
        <f>HYPERLINK("https://scontent.cdninstagram.com/t51.2885-15/s320x320/e35/21041080_1792959624049354_8183790424222072832_n.jpg")</f>
        <v>https://scontent.cdninstagram.com/t51.2885-15/s320x320/e35/21041080_1792959624049354_8183790424222072832_n.jpg</v>
      </c>
      <c r="AE2430" s="249" t="str">
        <f>HYPERLINK("https://scontent.cdninstagram.com/t51.2885-19/s150x150/17882752_1488967831123186_392500985118851072_a.jpg")</f>
        <v>https://scontent.cdninstagram.com/t51.2885-19/s150x150/17882752_1488967831123186_392500985118851072_a.jpg</v>
      </c>
    </row>
    <row r="2431" spans="1:31" ht="15" x14ac:dyDescent="0.25">
      <c r="A2431" t="s">
        <v>2474</v>
      </c>
      <c r="B2431" t="s">
        <v>15191</v>
      </c>
      <c r="C2431" s="221">
        <v>42970.610335648147</v>
      </c>
      <c r="D2431" t="s">
        <v>15192</v>
      </c>
      <c r="E2431" s="249" t="str">
        <f>HYPERLINK("https://www.instagram.com/p/BYJYuHoFN-o/")</f>
        <v>https://www.instagram.com/p/BYJYuHoFN-o/</v>
      </c>
      <c r="F2431" t="s">
        <v>15193</v>
      </c>
      <c r="G2431" t="s">
        <v>2478</v>
      </c>
      <c r="H2431">
        <v>230</v>
      </c>
      <c r="I2431" t="s">
        <v>2479</v>
      </c>
      <c r="J2431">
        <v>0</v>
      </c>
      <c r="K2431">
        <v>22</v>
      </c>
      <c r="L2431">
        <v>22</v>
      </c>
      <c r="Q2431">
        <v>0</v>
      </c>
      <c r="R2431">
        <v>0</v>
      </c>
      <c r="S2431">
        <v>22</v>
      </c>
      <c r="Y2431" t="s">
        <v>15194</v>
      </c>
      <c r="Z2431" t="s">
        <v>15195</v>
      </c>
      <c r="AA2431" t="s">
        <v>15196</v>
      </c>
      <c r="AB2431" t="s">
        <v>2696</v>
      </c>
      <c r="AC2431" t="s">
        <v>3535</v>
      </c>
      <c r="AD2431" s="249" t="str">
        <f>HYPERLINK("https://scontent.cdninstagram.com/t51.2885-15/s320x320/e35/21040885_114666242595285_8766630096313253888_n.jpg")</f>
        <v>https://scontent.cdninstagram.com/t51.2885-15/s320x320/e35/21040885_114666242595285_8766630096313253888_n.jpg</v>
      </c>
      <c r="AE2431" s="249" t="str">
        <f>HYPERLINK("https://scontent.cdninstagram.com/t51.2885-19/s150x150/18251861_193505791168773_5462677923490168832_a.jpg")</f>
        <v>https://scontent.cdninstagram.com/t51.2885-19/s150x150/18251861_193505791168773_5462677923490168832_a.jpg</v>
      </c>
    </row>
    <row r="2432" spans="1:31" ht="15" x14ac:dyDescent="0.25">
      <c r="A2432" t="s">
        <v>2474</v>
      </c>
      <c r="B2432" t="s">
        <v>15197</v>
      </c>
      <c r="C2432" s="221">
        <v>42970.612905092596</v>
      </c>
      <c r="D2432" t="s">
        <v>15198</v>
      </c>
      <c r="E2432" s="249" t="str">
        <f>HYPERLINK("https://www.instagram.com/p/BYJZJPUFgnl/")</f>
        <v>https://www.instagram.com/p/BYJZJPUFgnl/</v>
      </c>
      <c r="F2432" t="s">
        <v>15199</v>
      </c>
      <c r="G2432" t="s">
        <v>2478</v>
      </c>
      <c r="H2432">
        <v>130</v>
      </c>
      <c r="I2432" t="s">
        <v>2479</v>
      </c>
      <c r="J2432">
        <v>1</v>
      </c>
      <c r="K2432">
        <v>7</v>
      </c>
      <c r="L2432">
        <v>8</v>
      </c>
      <c r="Q2432">
        <v>0</v>
      </c>
      <c r="R2432">
        <v>0</v>
      </c>
      <c r="S2432">
        <v>8</v>
      </c>
      <c r="Y2432" t="s">
        <v>2493</v>
      </c>
      <c r="Z2432" t="s">
        <v>15200</v>
      </c>
      <c r="AA2432" t="s">
        <v>2497</v>
      </c>
      <c r="AB2432" t="s">
        <v>15201</v>
      </c>
      <c r="AD2432" s="249" t="str">
        <f>HYPERLINK("https://scontent.cdninstagram.com/t51.2885-15/s320x320/e35/21042193_269193406914029_1861605097155330048_n.jpg")</f>
        <v>https://scontent.cdninstagram.com/t51.2885-15/s320x320/e35/21042193_269193406914029_1861605097155330048_n.jpg</v>
      </c>
      <c r="AE2432" s="249" t="str">
        <f>HYPERLINK("https://scontent.cdninstagram.com/t51.2885-19/s150x150/19955280_538813689814652_6228912033400619008_a.jpg")</f>
        <v>https://scontent.cdninstagram.com/t51.2885-19/s150x150/19955280_538813689814652_6228912033400619008_a.jpg</v>
      </c>
    </row>
    <row r="2433" spans="1:31" ht="15" x14ac:dyDescent="0.25">
      <c r="A2433" t="s">
        <v>2474</v>
      </c>
      <c r="B2433" t="s">
        <v>9523</v>
      </c>
      <c r="C2433" s="221">
        <v>42970.616111111114</v>
      </c>
      <c r="D2433" t="s">
        <v>15202</v>
      </c>
      <c r="E2433" s="249" t="str">
        <f>HYPERLINK("https://www.instagram.com/p/BYJZrEulAXY/")</f>
        <v>https://www.instagram.com/p/BYJZrEulAXY/</v>
      </c>
      <c r="F2433" t="s">
        <v>15203</v>
      </c>
      <c r="G2433" t="s">
        <v>2478</v>
      </c>
      <c r="H2433">
        <v>204</v>
      </c>
      <c r="I2433" t="s">
        <v>2542</v>
      </c>
      <c r="J2433">
        <v>0</v>
      </c>
      <c r="K2433">
        <v>83</v>
      </c>
      <c r="L2433">
        <v>83</v>
      </c>
      <c r="Q2433">
        <v>0</v>
      </c>
      <c r="R2433">
        <v>0</v>
      </c>
      <c r="S2433">
        <v>83</v>
      </c>
      <c r="T2433" t="s">
        <v>15204</v>
      </c>
      <c r="V2433" t="s">
        <v>2182</v>
      </c>
      <c r="W2433">
        <v>46.147299064366003</v>
      </c>
      <c r="X2433">
        <v>12.317992011096999</v>
      </c>
      <c r="Y2433" t="s">
        <v>4620</v>
      </c>
      <c r="Z2433" t="s">
        <v>4987</v>
      </c>
      <c r="AA2433" t="s">
        <v>15205</v>
      </c>
      <c r="AB2433" t="s">
        <v>3337</v>
      </c>
      <c r="AC2433" t="s">
        <v>2497</v>
      </c>
      <c r="AD2433" s="249" t="str">
        <f>HYPERLINK("https://scontent.cdninstagram.com/t51.2885-15/s320x320/e35/21042349_345084739266913_23542742973939712_n.jpg")</f>
        <v>https://scontent.cdninstagram.com/t51.2885-15/s320x320/e35/21042349_345084739266913_23542742973939712_n.jpg</v>
      </c>
      <c r="AE2433" s="249" t="str">
        <f>HYPERLINK("https://scontent.cdninstagram.com/t51.2885-19/s150x150/20634101_160299947875119_211998636542787584_a.jpg")</f>
        <v>https://scontent.cdninstagram.com/t51.2885-19/s150x150/20634101_160299947875119_211998636542787584_a.jpg</v>
      </c>
    </row>
    <row r="2434" spans="1:31" ht="15" x14ac:dyDescent="0.25">
      <c r="A2434" t="s">
        <v>2474</v>
      </c>
      <c r="B2434" t="s">
        <v>15206</v>
      </c>
      <c r="C2434" s="221">
        <v>42970.618113425924</v>
      </c>
      <c r="D2434" t="s">
        <v>15207</v>
      </c>
      <c r="E2434" s="249" t="str">
        <f>HYPERLINK("https://www.instagram.com/p/BYJaAIBlN6w/")</f>
        <v>https://www.instagram.com/p/BYJaAIBlN6w/</v>
      </c>
      <c r="F2434" t="s">
        <v>15208</v>
      </c>
      <c r="G2434" t="s">
        <v>2478</v>
      </c>
      <c r="H2434">
        <v>60049</v>
      </c>
      <c r="I2434" t="s">
        <v>2479</v>
      </c>
      <c r="J2434">
        <v>23</v>
      </c>
      <c r="K2434">
        <v>1678</v>
      </c>
      <c r="L2434">
        <v>1701</v>
      </c>
      <c r="Q2434">
        <v>0</v>
      </c>
      <c r="R2434">
        <v>0</v>
      </c>
      <c r="S2434">
        <v>1701</v>
      </c>
      <c r="AD2434" s="249" t="str">
        <f>HYPERLINK("https://scontent.cdninstagram.com/t51.2885-15/e35/p320x320/20986697_2019583078262994_8490817999622635520_n.jpg")</f>
        <v>https://scontent.cdninstagram.com/t51.2885-15/e35/p320x320/20986697_2019583078262994_8490817999622635520_n.jpg</v>
      </c>
      <c r="AE2434" s="249" t="str">
        <f>HYPERLINK("https://scontent.cdninstagram.com/t51.2885-19/17663530_1657274724581959_2295744149531394048_n.jpg")</f>
        <v>https://scontent.cdninstagram.com/t51.2885-19/17663530_1657274724581959_2295744149531394048_n.jpg</v>
      </c>
    </row>
    <row r="2435" spans="1:31" ht="15" x14ac:dyDescent="0.25">
      <c r="A2435" t="s">
        <v>2474</v>
      </c>
      <c r="B2435" t="s">
        <v>15209</v>
      </c>
      <c r="C2435" s="221">
        <v>42970.619016203702</v>
      </c>
      <c r="D2435" t="s">
        <v>15210</v>
      </c>
      <c r="E2435" s="249" t="str">
        <f>HYPERLINK("https://www.instagram.com/p/BYJaJqsFa5-/")</f>
        <v>https://www.instagram.com/p/BYJaJqsFa5-/</v>
      </c>
      <c r="F2435" t="s">
        <v>15211</v>
      </c>
      <c r="G2435" t="s">
        <v>2478</v>
      </c>
      <c r="H2435">
        <v>47</v>
      </c>
      <c r="I2435" t="s">
        <v>2479</v>
      </c>
      <c r="J2435">
        <v>4</v>
      </c>
      <c r="K2435">
        <v>15</v>
      </c>
      <c r="L2435">
        <v>19</v>
      </c>
      <c r="Q2435">
        <v>0</v>
      </c>
      <c r="R2435">
        <v>0</v>
      </c>
      <c r="S2435">
        <v>19</v>
      </c>
      <c r="Y2435" t="s">
        <v>15212</v>
      </c>
      <c r="Z2435" t="s">
        <v>15213</v>
      </c>
      <c r="AA2435" t="s">
        <v>3849</v>
      </c>
      <c r="AB2435" t="s">
        <v>15214</v>
      </c>
      <c r="AC2435" t="s">
        <v>2497</v>
      </c>
      <c r="AD2435" s="249" t="str">
        <f>HYPERLINK("https://scontent.cdninstagram.com/t51.2885-15/s320x320/e35/20986669_931173623698479_2380807192304418816_n.jpg")</f>
        <v>https://scontent.cdninstagram.com/t51.2885-15/s320x320/e35/20986669_931173623698479_2380807192304418816_n.jpg</v>
      </c>
      <c r="AE2435" s="249" t="str">
        <f>HYPERLINK("https://scontent.cdninstagram.com/t51.2885-19/s150x150/21149294_717907831750024_671058944596115456_a.jpg")</f>
        <v>https://scontent.cdninstagram.com/t51.2885-19/s150x150/21149294_717907831750024_671058944596115456_a.jpg</v>
      </c>
    </row>
    <row r="2436" spans="1:31" ht="15" x14ac:dyDescent="0.25">
      <c r="A2436" t="s">
        <v>2474</v>
      </c>
      <c r="B2436" t="s">
        <v>15215</v>
      </c>
      <c r="C2436" s="221">
        <v>42970.621111111112</v>
      </c>
      <c r="D2436" t="s">
        <v>15216</v>
      </c>
      <c r="E2436" s="249" t="str">
        <f>HYPERLINK("https://www.instagram.com/p/BYJaf0zB-sw/")</f>
        <v>https://www.instagram.com/p/BYJaf0zB-sw/</v>
      </c>
      <c r="F2436" t="s">
        <v>15217</v>
      </c>
      <c r="G2436" t="s">
        <v>2478</v>
      </c>
      <c r="H2436">
        <v>56405</v>
      </c>
      <c r="I2436" t="s">
        <v>2479</v>
      </c>
      <c r="J2436">
        <v>33</v>
      </c>
      <c r="K2436">
        <v>1629</v>
      </c>
      <c r="L2436">
        <v>1662</v>
      </c>
      <c r="Q2436">
        <v>0</v>
      </c>
      <c r="R2436">
        <v>0</v>
      </c>
      <c r="S2436">
        <v>1662</v>
      </c>
      <c r="Y2436" t="s">
        <v>10905</v>
      </c>
      <c r="Z2436" t="s">
        <v>2497</v>
      </c>
      <c r="AA2436" t="s">
        <v>15218</v>
      </c>
      <c r="AB2436" t="s">
        <v>15219</v>
      </c>
      <c r="AC2436" t="s">
        <v>10000</v>
      </c>
      <c r="AD2436" s="249" t="str">
        <f>HYPERLINK("https://scontent.cdninstagram.com/t51.2885-15/e35/p320x320/20969050_1558948400854408_1033815138001485824_n.jpg")</f>
        <v>https://scontent.cdninstagram.com/t51.2885-15/e35/p320x320/20969050_1558948400854408_1033815138001485824_n.jpg</v>
      </c>
      <c r="AE2436" s="249" t="str">
        <f>HYPERLINK("https://scontent.cdninstagram.com/t51.2885-19/s150x150/19932865_641502086046126_7825033261981106176_n.jpg")</f>
        <v>https://scontent.cdninstagram.com/t51.2885-19/s150x150/19932865_641502086046126_7825033261981106176_n.jpg</v>
      </c>
    </row>
    <row r="2437" spans="1:31" ht="15" x14ac:dyDescent="0.25">
      <c r="A2437" t="s">
        <v>2474</v>
      </c>
      <c r="B2437" t="s">
        <v>6479</v>
      </c>
      <c r="C2437" s="221">
        <v>42970.625057870369</v>
      </c>
      <c r="D2437" t="s">
        <v>15220</v>
      </c>
      <c r="E2437" s="249" t="str">
        <f>HYPERLINK("https://www.instagram.com/p/BYJbJduFM9E/")</f>
        <v>https://www.instagram.com/p/BYJbJduFM9E/</v>
      </c>
      <c r="F2437" t="s">
        <v>15221</v>
      </c>
      <c r="G2437" t="s">
        <v>2478</v>
      </c>
      <c r="H2437">
        <v>72294</v>
      </c>
      <c r="I2437" t="s">
        <v>2479</v>
      </c>
      <c r="J2437">
        <v>30</v>
      </c>
      <c r="K2437">
        <v>3352</v>
      </c>
      <c r="L2437">
        <v>3382</v>
      </c>
      <c r="Q2437">
        <v>0</v>
      </c>
      <c r="R2437">
        <v>0</v>
      </c>
      <c r="S2437">
        <v>3382</v>
      </c>
      <c r="T2437" t="s">
        <v>15222</v>
      </c>
      <c r="V2437" t="s">
        <v>2222</v>
      </c>
      <c r="W2437">
        <v>53.223239900000003</v>
      </c>
      <c r="X2437">
        <v>6.5666099999999998</v>
      </c>
      <c r="AD2437" s="249" t="str">
        <f>HYPERLINK("https://scontent.cdninstagram.com/t51.2885-15/s320x320/e35/20969250_358881721199750_7758158890310565888_n.jpg")</f>
        <v>https://scontent.cdninstagram.com/t51.2885-15/s320x320/e35/20969250_358881721199750_7758158890310565888_n.jpg</v>
      </c>
      <c r="AE2437" s="249" t="str">
        <f>HYPERLINK("https://scontent.cdninstagram.com/t51.2885-19/s150x150/17439144_1895752470643302_743998926780104704_n.jpg")</f>
        <v>https://scontent.cdninstagram.com/t51.2885-19/s150x150/17439144_1895752470643302_743998926780104704_n.jpg</v>
      </c>
    </row>
    <row r="2438" spans="1:31" ht="15" x14ac:dyDescent="0.25">
      <c r="A2438" t="s">
        <v>2474</v>
      </c>
      <c r="B2438" t="s">
        <v>15223</v>
      </c>
      <c r="C2438" s="221">
        <v>42970.628078703703</v>
      </c>
      <c r="D2438" t="s">
        <v>15224</v>
      </c>
      <c r="E2438" s="249" t="str">
        <f>HYPERLINK("https://www.instagram.com/p/BYJbpRynlkH/")</f>
        <v>https://www.instagram.com/p/BYJbpRynlkH/</v>
      </c>
      <c r="F2438" t="s">
        <v>15225</v>
      </c>
      <c r="G2438" t="s">
        <v>2478</v>
      </c>
      <c r="H2438">
        <v>86</v>
      </c>
      <c r="I2438" t="s">
        <v>2582</v>
      </c>
      <c r="J2438">
        <v>0</v>
      </c>
      <c r="K2438">
        <v>17</v>
      </c>
      <c r="L2438">
        <v>17</v>
      </c>
      <c r="Q2438">
        <v>0</v>
      </c>
      <c r="R2438">
        <v>0</v>
      </c>
      <c r="S2438">
        <v>17</v>
      </c>
      <c r="Y2438" t="s">
        <v>4253</v>
      </c>
      <c r="Z2438" t="s">
        <v>15226</v>
      </c>
      <c r="AA2438" t="s">
        <v>2497</v>
      </c>
      <c r="AB2438" t="s">
        <v>15227</v>
      </c>
      <c r="AC2438" t="s">
        <v>15228</v>
      </c>
      <c r="AD2438" s="249" t="str">
        <f>HYPERLINK("https://scontent.cdninstagram.com/t51.2885-15/s320x320/e35/20968933_778577418994255_5122817144177819648_n.jpg")</f>
        <v>https://scontent.cdninstagram.com/t51.2885-15/s320x320/e35/20968933_778577418994255_5122817144177819648_n.jpg</v>
      </c>
      <c r="AE2438" s="249" t="str">
        <f>HYPERLINK("https://scontent.cdninstagram.com/t51.2885-19/s150x150/21147664_223210248209343_574470992739434496_a.jpg")</f>
        <v>https://scontent.cdninstagram.com/t51.2885-19/s150x150/21147664_223210248209343_574470992739434496_a.jpg</v>
      </c>
    </row>
    <row r="2439" spans="1:31" ht="15" x14ac:dyDescent="0.25">
      <c r="A2439" t="s">
        <v>2474</v>
      </c>
      <c r="B2439" t="s">
        <v>15229</v>
      </c>
      <c r="C2439" s="221">
        <v>42970.630532407406</v>
      </c>
      <c r="D2439" t="s">
        <v>15230</v>
      </c>
      <c r="E2439" s="249" t="str">
        <f>HYPERLINK("https://www.instagram.com/p/BYJcDMHjDBI/")</f>
        <v>https://www.instagram.com/p/BYJcDMHjDBI/</v>
      </c>
      <c r="F2439" t="s">
        <v>15231</v>
      </c>
      <c r="G2439" t="s">
        <v>2478</v>
      </c>
      <c r="H2439">
        <v>550</v>
      </c>
      <c r="I2439" t="s">
        <v>2479</v>
      </c>
      <c r="J2439">
        <v>1</v>
      </c>
      <c r="K2439">
        <v>21</v>
      </c>
      <c r="L2439">
        <v>22</v>
      </c>
      <c r="Q2439">
        <v>0</v>
      </c>
      <c r="R2439">
        <v>0</v>
      </c>
      <c r="S2439">
        <v>22</v>
      </c>
      <c r="Y2439" t="s">
        <v>2559</v>
      </c>
      <c r="Z2439" t="s">
        <v>3165</v>
      </c>
      <c r="AA2439" t="s">
        <v>8013</v>
      </c>
      <c r="AB2439" t="s">
        <v>2696</v>
      </c>
      <c r="AC2439" t="s">
        <v>2497</v>
      </c>
      <c r="AD2439" s="249" t="str">
        <f>HYPERLINK("https://scontent.cdninstagram.com/t51.2885-15/e35/p320x320/21041180_490899894606309_8393014769589682176_n.jpg")</f>
        <v>https://scontent.cdninstagram.com/t51.2885-15/e35/p320x320/21041180_490899894606309_8393014769589682176_n.jpg</v>
      </c>
      <c r="AE2439" s="249" t="str">
        <f>HYPERLINK("https://scontent.cdninstagram.com/t51.2885-19/s150x150/20482456_870530883097591_1750832938494197760_a.jpg")</f>
        <v>https://scontent.cdninstagram.com/t51.2885-19/s150x150/20482456_870530883097591_1750832938494197760_a.jpg</v>
      </c>
    </row>
    <row r="2440" spans="1:31" ht="15" x14ac:dyDescent="0.25">
      <c r="A2440" t="s">
        <v>2474</v>
      </c>
      <c r="B2440" t="s">
        <v>15232</v>
      </c>
      <c r="C2440" s="221">
        <v>42970.633067129631</v>
      </c>
      <c r="D2440" t="s">
        <v>15233</v>
      </c>
      <c r="E2440" s="249" t="str">
        <f>HYPERLINK("https://www.instagram.com/p/BYJcd1fDczn/")</f>
        <v>https://www.instagram.com/p/BYJcd1fDczn/</v>
      </c>
      <c r="F2440" t="s">
        <v>15234</v>
      </c>
      <c r="G2440" t="s">
        <v>2478</v>
      </c>
      <c r="H2440">
        <v>190</v>
      </c>
      <c r="I2440" t="s">
        <v>2542</v>
      </c>
      <c r="J2440">
        <v>2</v>
      </c>
      <c r="K2440">
        <v>57</v>
      </c>
      <c r="L2440">
        <v>59</v>
      </c>
      <c r="Q2440">
        <v>0</v>
      </c>
      <c r="R2440">
        <v>0</v>
      </c>
      <c r="S2440">
        <v>59</v>
      </c>
      <c r="T2440" t="s">
        <v>15235</v>
      </c>
      <c r="V2440" t="s">
        <v>2288</v>
      </c>
      <c r="W2440">
        <v>55.598935042154999</v>
      </c>
      <c r="X2440">
        <v>-4.4810967092264997</v>
      </c>
      <c r="Y2440" t="s">
        <v>3145</v>
      </c>
      <c r="Z2440" t="s">
        <v>15236</v>
      </c>
      <c r="AA2440" t="s">
        <v>2497</v>
      </c>
      <c r="AB2440" t="s">
        <v>15237</v>
      </c>
      <c r="AC2440" t="s">
        <v>4158</v>
      </c>
      <c r="AD2440" s="249" t="str">
        <f>HYPERLINK("https://scontent.cdninstagram.com/t51.2885-15/s320x320/e35/21107257_479304249089913_4924031325981114368_n.jpg")</f>
        <v>https://scontent.cdninstagram.com/t51.2885-15/s320x320/e35/21107257_479304249089913_4924031325981114368_n.jpg</v>
      </c>
      <c r="AE2440" s="249" t="str">
        <f>HYPERLINK("https://scontent.cdninstagram.com/t51.2885-19/s150x150/20987243_2393910927501660_7892762177524727808_a.jpg")</f>
        <v>https://scontent.cdninstagram.com/t51.2885-19/s150x150/20987243_2393910927501660_7892762177524727808_a.jpg</v>
      </c>
    </row>
    <row r="2441" spans="1:31" ht="15" x14ac:dyDescent="0.25">
      <c r="A2441" t="s">
        <v>2474</v>
      </c>
      <c r="B2441" t="s">
        <v>15238</v>
      </c>
      <c r="C2441" s="221">
        <v>42970.642442129632</v>
      </c>
      <c r="D2441" t="s">
        <v>15239</v>
      </c>
      <c r="E2441" s="249" t="str">
        <f>HYPERLINK("https://www.instagram.com/p/BYJeAtEAe-5/")</f>
        <v>https://www.instagram.com/p/BYJeAtEAe-5/</v>
      </c>
      <c r="F2441" t="s">
        <v>15240</v>
      </c>
      <c r="G2441" t="s">
        <v>2478</v>
      </c>
      <c r="H2441">
        <v>46</v>
      </c>
      <c r="I2441" t="s">
        <v>2479</v>
      </c>
      <c r="J2441">
        <v>0</v>
      </c>
      <c r="K2441">
        <v>1</v>
      </c>
      <c r="L2441">
        <v>1</v>
      </c>
      <c r="Q2441">
        <v>0</v>
      </c>
      <c r="R2441">
        <v>0</v>
      </c>
      <c r="S2441">
        <v>1</v>
      </c>
      <c r="Y2441" t="s">
        <v>4253</v>
      </c>
      <c r="Z2441" t="s">
        <v>3165</v>
      </c>
      <c r="AA2441" t="s">
        <v>2497</v>
      </c>
      <c r="AB2441" t="s">
        <v>3571</v>
      </c>
      <c r="AC2441" t="s">
        <v>3570</v>
      </c>
      <c r="AD2441" s="249" t="str">
        <f>HYPERLINK("https://scontent.cdninstagram.com/t51.2885-15/s320x320/e35/20987205_2342749285950857_7937626207602868224_n.jpg")</f>
        <v>https://scontent.cdninstagram.com/t51.2885-15/s320x320/e35/20987205_2342749285950857_7937626207602868224_n.jpg</v>
      </c>
      <c r="AE2441" s="249" t="str">
        <f>HYPERLINK("https://scontent.cdninstagram.com/t51.2885-19/s150x150/20634166_492548884423709_5222315971464658944_a.jpg")</f>
        <v>https://scontent.cdninstagram.com/t51.2885-19/s150x150/20634166_492548884423709_5222315971464658944_a.jpg</v>
      </c>
    </row>
    <row r="2442" spans="1:31" ht="15" x14ac:dyDescent="0.25">
      <c r="A2442" t="s">
        <v>2474</v>
      </c>
      <c r="B2442" t="s">
        <v>15241</v>
      </c>
      <c r="C2442" s="221">
        <v>42970.643043981479</v>
      </c>
      <c r="D2442" t="s">
        <v>15242</v>
      </c>
      <c r="E2442" s="249" t="str">
        <f>HYPERLINK("https://www.instagram.com/p/BYJeHDQhYfe/")</f>
        <v>https://www.instagram.com/p/BYJeHDQhYfe/</v>
      </c>
      <c r="F2442" t="s">
        <v>15243</v>
      </c>
      <c r="G2442" t="s">
        <v>2478</v>
      </c>
      <c r="H2442">
        <v>173</v>
      </c>
      <c r="I2442" t="s">
        <v>2542</v>
      </c>
      <c r="J2442">
        <v>2</v>
      </c>
      <c r="K2442">
        <v>29</v>
      </c>
      <c r="L2442">
        <v>31</v>
      </c>
      <c r="Q2442">
        <v>0</v>
      </c>
      <c r="R2442">
        <v>0</v>
      </c>
      <c r="S2442">
        <v>31</v>
      </c>
      <c r="T2442" t="s">
        <v>15244</v>
      </c>
      <c r="V2442" t="s">
        <v>2110</v>
      </c>
      <c r="W2442">
        <v>50.791236486829</v>
      </c>
      <c r="X2442">
        <v>3.9185032625945002</v>
      </c>
      <c r="Y2442" t="s">
        <v>15245</v>
      </c>
      <c r="Z2442" t="s">
        <v>3145</v>
      </c>
      <c r="AA2442" t="s">
        <v>2497</v>
      </c>
      <c r="AB2442" t="s">
        <v>15246</v>
      </c>
      <c r="AC2442" t="s">
        <v>15247</v>
      </c>
      <c r="AD2442" s="249" t="str">
        <f>HYPERLINK("https://scontent.cdninstagram.com/t51.2885-15/s320x320/e35/21042145_1389659097756229_2984454907202895872_n.jpg")</f>
        <v>https://scontent.cdninstagram.com/t51.2885-15/s320x320/e35/21042145_1389659097756229_2984454907202895872_n.jpg</v>
      </c>
      <c r="AE2442" s="249" t="str">
        <f>HYPERLINK("https://scontent.cdninstagram.com/t51.2885-19/s150x150/12558531_1274701442546449_1121925338_a.jpg")</f>
        <v>https://scontent.cdninstagram.com/t51.2885-19/s150x150/12558531_1274701442546449_1121925338_a.jpg</v>
      </c>
    </row>
    <row r="2443" spans="1:31" ht="15" x14ac:dyDescent="0.25">
      <c r="A2443" t="s">
        <v>2474</v>
      </c>
      <c r="B2443" t="s">
        <v>10587</v>
      </c>
      <c r="C2443" s="221">
        <v>42970.643310185187</v>
      </c>
      <c r="D2443" t="s">
        <v>15248</v>
      </c>
      <c r="E2443" s="249" t="str">
        <f>HYPERLINK("https://www.instagram.com/p/BYJeJ9eFK_S/")</f>
        <v>https://www.instagram.com/p/BYJeJ9eFK_S/</v>
      </c>
      <c r="F2443" t="s">
        <v>15249</v>
      </c>
      <c r="G2443" t="s">
        <v>2478</v>
      </c>
      <c r="H2443">
        <v>452</v>
      </c>
      <c r="I2443" t="s">
        <v>2479</v>
      </c>
      <c r="J2443">
        <v>0</v>
      </c>
      <c r="K2443">
        <v>16</v>
      </c>
      <c r="L2443">
        <v>16</v>
      </c>
      <c r="Q2443">
        <v>0</v>
      </c>
      <c r="R2443">
        <v>0</v>
      </c>
      <c r="S2443">
        <v>16</v>
      </c>
      <c r="Y2443" t="s">
        <v>5267</v>
      </c>
      <c r="Z2443" t="s">
        <v>15250</v>
      </c>
      <c r="AA2443" t="s">
        <v>2497</v>
      </c>
      <c r="AB2443" t="s">
        <v>15251</v>
      </c>
      <c r="AC2443" t="s">
        <v>3194</v>
      </c>
      <c r="AD2443" s="249" t="str">
        <f>HYPERLINK("https://scontent.cdninstagram.com/t51.2885-15/s320x320/e35/c0.135.1080.1080/20987602_740171406191032_7272973511671414784_n.jpg")</f>
        <v>https://scontent.cdninstagram.com/t51.2885-15/s320x320/e35/c0.135.1080.1080/20987602_740171406191032_7272973511671414784_n.jpg</v>
      </c>
      <c r="AE2443" s="249" t="str">
        <f>HYPERLINK("https://scontent.cdninstagram.com/t51.2885-19/s150x150/12750328_1126907957321376_632654108_a.jpg")</f>
        <v>https://scontent.cdninstagram.com/t51.2885-19/s150x150/12750328_1126907957321376_632654108_a.jpg</v>
      </c>
    </row>
    <row r="2444" spans="1:31" ht="15" x14ac:dyDescent="0.25">
      <c r="A2444" t="s">
        <v>2474</v>
      </c>
      <c r="B2444" t="s">
        <v>15252</v>
      </c>
      <c r="C2444" s="221">
        <v>42970.646099537036</v>
      </c>
      <c r="D2444" t="s">
        <v>15253</v>
      </c>
      <c r="E2444" s="249" t="str">
        <f>HYPERLINK("https://www.instagram.com/p/BYJenUvjTp7/")</f>
        <v>https://www.instagram.com/p/BYJenUvjTp7/</v>
      </c>
      <c r="F2444" t="s">
        <v>15254</v>
      </c>
      <c r="G2444" t="s">
        <v>2478</v>
      </c>
      <c r="H2444">
        <v>497</v>
      </c>
      <c r="I2444" t="s">
        <v>2479</v>
      </c>
      <c r="J2444">
        <v>0</v>
      </c>
      <c r="K2444">
        <v>32</v>
      </c>
      <c r="L2444">
        <v>32</v>
      </c>
      <c r="Q2444">
        <v>0</v>
      </c>
      <c r="R2444">
        <v>0</v>
      </c>
      <c r="S2444">
        <v>32</v>
      </c>
      <c r="Y2444" t="s">
        <v>6922</v>
      </c>
      <c r="Z2444" t="s">
        <v>2497</v>
      </c>
      <c r="AA2444" t="s">
        <v>8178</v>
      </c>
      <c r="AB2444" t="s">
        <v>5162</v>
      </c>
      <c r="AC2444" t="s">
        <v>8481</v>
      </c>
      <c r="AD2444" s="249" t="str">
        <f>HYPERLINK("https://scontent.cdninstagram.com/t51.2885-15/s320x320/e35/20969083_1782320801793165_8156943335274053632_n.jpg")</f>
        <v>https://scontent.cdninstagram.com/t51.2885-15/s320x320/e35/20969083_1782320801793165_8156943335274053632_n.jpg</v>
      </c>
      <c r="AE2444" s="249" t="str">
        <f>HYPERLINK("https://scontent.cdninstagram.com/t51.2885-19/11850307_325773950948043_875629669_a.jpg")</f>
        <v>https://scontent.cdninstagram.com/t51.2885-19/11850307_325773950948043_875629669_a.jpg</v>
      </c>
    </row>
    <row r="2445" spans="1:31" ht="15" x14ac:dyDescent="0.25">
      <c r="A2445" t="s">
        <v>2474</v>
      </c>
      <c r="B2445" t="s">
        <v>15255</v>
      </c>
      <c r="C2445" s="221">
        <v>42970.646840277775</v>
      </c>
      <c r="D2445" t="s">
        <v>15256</v>
      </c>
      <c r="E2445" s="249" t="str">
        <f>HYPERLINK("https://www.instagram.com/p/BYJevKTgOfw/")</f>
        <v>https://www.instagram.com/p/BYJevKTgOfw/</v>
      </c>
      <c r="F2445" t="s">
        <v>15257</v>
      </c>
      <c r="G2445" t="s">
        <v>2478</v>
      </c>
      <c r="H2445">
        <v>1181</v>
      </c>
      <c r="I2445" t="s">
        <v>2479</v>
      </c>
      <c r="J2445">
        <v>1</v>
      </c>
      <c r="K2445">
        <v>89</v>
      </c>
      <c r="L2445">
        <v>90</v>
      </c>
      <c r="Q2445">
        <v>0</v>
      </c>
      <c r="R2445">
        <v>0</v>
      </c>
      <c r="S2445">
        <v>90</v>
      </c>
      <c r="T2445" t="s">
        <v>15258</v>
      </c>
      <c r="V2445" t="s">
        <v>2182</v>
      </c>
      <c r="W2445">
        <v>46.697855830051999</v>
      </c>
      <c r="X2445">
        <v>11.682310999554</v>
      </c>
      <c r="Y2445" t="s">
        <v>15259</v>
      </c>
      <c r="Z2445" t="s">
        <v>15260</v>
      </c>
      <c r="AA2445" t="s">
        <v>15261</v>
      </c>
      <c r="AB2445" t="s">
        <v>15262</v>
      </c>
      <c r="AC2445" t="s">
        <v>2497</v>
      </c>
      <c r="AD2445" s="249" t="str">
        <f>HYPERLINK("https://scontent.cdninstagram.com/t51.2885-15/s320x320/e35/20986861_1440667372683001_3321904762458210304_n.jpg")</f>
        <v>https://scontent.cdninstagram.com/t51.2885-15/s320x320/e35/20986861_1440667372683001_3321904762458210304_n.jpg</v>
      </c>
      <c r="AE2445" s="249" t="str">
        <f>HYPERLINK("https://scontent.cdninstagram.com/t51.2885-19/s150x150/13768250_996472830473103_555950218_a.jpg")</f>
        <v>https://scontent.cdninstagram.com/t51.2885-19/s150x150/13768250_996472830473103_555950218_a.jpg</v>
      </c>
    </row>
    <row r="2446" spans="1:31" ht="15" x14ac:dyDescent="0.25">
      <c r="A2446" t="s">
        <v>2474</v>
      </c>
      <c r="B2446" t="s">
        <v>15263</v>
      </c>
      <c r="C2446" s="221">
        <v>42970.650694444441</v>
      </c>
      <c r="D2446" t="s">
        <v>15264</v>
      </c>
      <c r="E2446" s="249" t="str">
        <f>HYPERLINK("https://www.instagram.com/p/BYJfXvZBjw4/")</f>
        <v>https://www.instagram.com/p/BYJfXvZBjw4/</v>
      </c>
      <c r="F2446" t="s">
        <v>15265</v>
      </c>
      <c r="G2446" t="s">
        <v>2478</v>
      </c>
      <c r="H2446">
        <v>138</v>
      </c>
      <c r="I2446" t="s">
        <v>2479</v>
      </c>
      <c r="J2446">
        <v>1</v>
      </c>
      <c r="K2446">
        <v>10</v>
      </c>
      <c r="L2446">
        <v>11</v>
      </c>
      <c r="Q2446">
        <v>0</v>
      </c>
      <c r="R2446">
        <v>0</v>
      </c>
      <c r="S2446">
        <v>11</v>
      </c>
      <c r="Y2446" t="s">
        <v>15266</v>
      </c>
      <c r="Z2446" t="s">
        <v>5746</v>
      </c>
      <c r="AA2446" t="s">
        <v>15267</v>
      </c>
      <c r="AB2446" t="s">
        <v>2497</v>
      </c>
      <c r="AC2446" t="s">
        <v>15268</v>
      </c>
      <c r="AD2446" s="249" t="str">
        <f>HYPERLINK("https://scontent.cdninstagram.com/t51.2885-15/s320x320/e35/21042369_113073692695895_5655578721663320064_n.jpg")</f>
        <v>https://scontent.cdninstagram.com/t51.2885-15/s320x320/e35/21042369_113073692695895_5655578721663320064_n.jpg</v>
      </c>
      <c r="AE2446" s="249" t="str">
        <f>HYPERLINK("https://scontent.cdninstagram.com/t51.2885-19/s150x150/18095212_308298816256849_431690676204208128_a.jpg")</f>
        <v>https://scontent.cdninstagram.com/t51.2885-19/s150x150/18095212_308298816256849_431690676204208128_a.jpg</v>
      </c>
    </row>
    <row r="2447" spans="1:31" ht="15" x14ac:dyDescent="0.25">
      <c r="A2447" t="s">
        <v>2474</v>
      </c>
      <c r="B2447" t="s">
        <v>15269</v>
      </c>
      <c r="C2447" s="221">
        <v>42970.652696759258</v>
      </c>
      <c r="D2447" t="s">
        <v>15270</v>
      </c>
      <c r="E2447" s="249" t="str">
        <f>HYPERLINK("https://www.instagram.com/p/BYJfs4wD4NK/")</f>
        <v>https://www.instagram.com/p/BYJfs4wD4NK/</v>
      </c>
      <c r="F2447" t="s">
        <v>15271</v>
      </c>
      <c r="G2447" t="s">
        <v>2478</v>
      </c>
      <c r="H2447">
        <v>1223</v>
      </c>
      <c r="I2447" t="s">
        <v>2786</v>
      </c>
      <c r="J2447">
        <v>0</v>
      </c>
      <c r="K2447">
        <v>34</v>
      </c>
      <c r="L2447">
        <v>34</v>
      </c>
      <c r="Q2447">
        <v>0</v>
      </c>
      <c r="R2447">
        <v>0</v>
      </c>
      <c r="S2447">
        <v>34</v>
      </c>
      <c r="T2447" t="s">
        <v>6157</v>
      </c>
      <c r="V2447" t="s">
        <v>2270</v>
      </c>
      <c r="W2447">
        <v>59.35</v>
      </c>
      <c r="X2447">
        <v>18.066700000000001</v>
      </c>
      <c r="Y2447" t="s">
        <v>2696</v>
      </c>
      <c r="Z2447" t="s">
        <v>2497</v>
      </c>
      <c r="AA2447" t="s">
        <v>15272</v>
      </c>
      <c r="AB2447" t="s">
        <v>2734</v>
      </c>
      <c r="AC2447" t="s">
        <v>2492</v>
      </c>
      <c r="AD2447" s="249" t="str">
        <f>HYPERLINK("https://scontent.cdninstagram.com/t51.2885-15/e35/p320x320/21041079_460848284298054_4305892760793120768_n.jpg")</f>
        <v>https://scontent.cdninstagram.com/t51.2885-15/e35/p320x320/21041079_460848284298054_4305892760793120768_n.jpg</v>
      </c>
      <c r="AE2447" s="249" t="str">
        <f>HYPERLINK("https://scontent.cdninstagram.com/t51.2885-19/11373946_389788894543682_222869749_a.jpg")</f>
        <v>https://scontent.cdninstagram.com/t51.2885-19/11373946_389788894543682_222869749_a.jpg</v>
      </c>
    </row>
    <row r="2448" spans="1:31" ht="15" x14ac:dyDescent="0.25">
      <c r="A2448" t="s">
        <v>2474</v>
      </c>
      <c r="B2448" t="s">
        <v>7844</v>
      </c>
      <c r="C2448" s="221">
        <v>42970.653900462959</v>
      </c>
      <c r="D2448" t="s">
        <v>15273</v>
      </c>
      <c r="E2448" s="249" t="str">
        <f>HYPERLINK("https://www.instagram.com/p/BYJf5lfDbh_/")</f>
        <v>https://www.instagram.com/p/BYJf5lfDbh_/</v>
      </c>
      <c r="F2448" t="s">
        <v>15274</v>
      </c>
      <c r="G2448" t="s">
        <v>2478</v>
      </c>
      <c r="H2448">
        <v>422</v>
      </c>
      <c r="I2448" t="s">
        <v>2479</v>
      </c>
      <c r="J2448">
        <v>4</v>
      </c>
      <c r="K2448">
        <v>29</v>
      </c>
      <c r="L2448">
        <v>33</v>
      </c>
      <c r="Q2448">
        <v>0</v>
      </c>
      <c r="R2448">
        <v>0</v>
      </c>
      <c r="S2448">
        <v>33</v>
      </c>
      <c r="Y2448" t="s">
        <v>4620</v>
      </c>
      <c r="Z2448" t="s">
        <v>2497</v>
      </c>
      <c r="AA2448" t="s">
        <v>4388</v>
      </c>
      <c r="AB2448" t="s">
        <v>10639</v>
      </c>
      <c r="AC2448" t="s">
        <v>3187</v>
      </c>
      <c r="AD2448" s="249" t="str">
        <f>HYPERLINK("https://scontent.cdninstagram.com/t51.2885-15/e35/p320x320/21041643_178130976064995_8119348627538706432_n.jpg")</f>
        <v>https://scontent.cdninstagram.com/t51.2885-15/e35/p320x320/21041643_178130976064995_8119348627538706432_n.jpg</v>
      </c>
      <c r="AE2448" s="249" t="str">
        <f>HYPERLINK("https://scontent.cdninstagram.com/t51.2885-19/s150x150/14659433_124185214720398_460441517996113920_a.jpg")</f>
        <v>https://scontent.cdninstagram.com/t51.2885-19/s150x150/14659433_124185214720398_460441517996113920_a.jpg</v>
      </c>
    </row>
    <row r="2449" spans="1:31" ht="15" x14ac:dyDescent="0.25">
      <c r="A2449" t="s">
        <v>2474</v>
      </c>
      <c r="B2449" t="s">
        <v>15275</v>
      </c>
      <c r="C2449" s="221">
        <v>42970.656666666669</v>
      </c>
      <c r="D2449" t="s">
        <v>15276</v>
      </c>
      <c r="E2449" s="249" t="str">
        <f>HYPERLINK("https://www.instagram.com/p/BYJgW0yhFyP/")</f>
        <v>https://www.instagram.com/p/BYJgW0yhFyP/</v>
      </c>
      <c r="F2449" t="s">
        <v>15277</v>
      </c>
      <c r="G2449" t="s">
        <v>2478</v>
      </c>
      <c r="H2449">
        <v>14619</v>
      </c>
      <c r="I2449" t="s">
        <v>2479</v>
      </c>
      <c r="J2449">
        <v>4</v>
      </c>
      <c r="K2449">
        <v>121</v>
      </c>
      <c r="L2449">
        <v>125</v>
      </c>
      <c r="Q2449">
        <v>0</v>
      </c>
      <c r="R2449">
        <v>0</v>
      </c>
      <c r="S2449">
        <v>125</v>
      </c>
      <c r="Y2449" t="s">
        <v>3225</v>
      </c>
      <c r="Z2449" t="s">
        <v>2497</v>
      </c>
      <c r="AA2449" t="s">
        <v>9692</v>
      </c>
      <c r="AB2449" t="s">
        <v>5619</v>
      </c>
      <c r="AC2449" t="s">
        <v>13329</v>
      </c>
      <c r="AD2449" s="249" t="str">
        <f>HYPERLINK("https://scontent.cdninstagram.com/t51.2885-15/s320x320/e35/21041188_346628765769478_6731794373811372032_n.jpg")</f>
        <v>https://scontent.cdninstagram.com/t51.2885-15/s320x320/e35/21041188_346628765769478_6731794373811372032_n.jpg</v>
      </c>
      <c r="AE2449" s="249" t="str">
        <f>HYPERLINK("https://scontent.cdninstagram.com/t51.2885-19/s150x150/19052251_339862286437862_5833565224426274816_a.jpg")</f>
        <v>https://scontent.cdninstagram.com/t51.2885-19/s150x150/19052251_339862286437862_5833565224426274816_a.jpg</v>
      </c>
    </row>
    <row r="2450" spans="1:31" ht="15" x14ac:dyDescent="0.25">
      <c r="A2450" t="s">
        <v>2474</v>
      </c>
      <c r="B2450" t="s">
        <v>15278</v>
      </c>
      <c r="C2450" s="221">
        <v>42970.659178240741</v>
      </c>
      <c r="D2450" t="s">
        <v>15279</v>
      </c>
      <c r="E2450" s="249" t="str">
        <f>HYPERLINK("https://www.instagram.com/p/BYJgxTNhpcb/")</f>
        <v>https://www.instagram.com/p/BYJgxTNhpcb/</v>
      </c>
      <c r="F2450" t="s">
        <v>15280</v>
      </c>
      <c r="G2450" t="s">
        <v>2478</v>
      </c>
      <c r="H2450">
        <v>403</v>
      </c>
      <c r="I2450" t="s">
        <v>2479</v>
      </c>
      <c r="J2450">
        <v>5</v>
      </c>
      <c r="K2450">
        <v>62</v>
      </c>
      <c r="L2450">
        <v>67</v>
      </c>
      <c r="Q2450">
        <v>0</v>
      </c>
      <c r="R2450">
        <v>0</v>
      </c>
      <c r="S2450">
        <v>67</v>
      </c>
      <c r="Y2450" t="s">
        <v>5802</v>
      </c>
      <c r="Z2450" t="s">
        <v>2497</v>
      </c>
      <c r="AA2450" t="s">
        <v>15281</v>
      </c>
      <c r="AB2450" t="s">
        <v>15282</v>
      </c>
      <c r="AC2450" t="s">
        <v>4240</v>
      </c>
      <c r="AD2450" s="249" t="str">
        <f>HYPERLINK("https://scontent.cdninstagram.com/t51.2885-15/s320x320/e35/20987557_355930364827202_8132300934643449856_n.jpg")</f>
        <v>https://scontent.cdninstagram.com/t51.2885-15/s320x320/e35/20987557_355930364827202_8132300934643449856_n.jpg</v>
      </c>
      <c r="AE2450" s="249" t="str">
        <f>HYPERLINK("https://scontent.cdninstagram.com/t51.2885-19/s150x150/16908855_388991034803307_77526118197886976_a.jpg")</f>
        <v>https://scontent.cdninstagram.com/t51.2885-19/s150x150/16908855_388991034803307_77526118197886976_a.jpg</v>
      </c>
    </row>
    <row r="2451" spans="1:31" ht="15" x14ac:dyDescent="0.25">
      <c r="A2451" t="s">
        <v>2474</v>
      </c>
      <c r="B2451" t="s">
        <v>15283</v>
      </c>
      <c r="C2451" s="221">
        <v>42970.66133101852</v>
      </c>
      <c r="D2451" t="s">
        <v>15284</v>
      </c>
      <c r="E2451" s="249" t="str">
        <f>HYPERLINK("https://www.instagram.com/p/BYJhH99jjLP/")</f>
        <v>https://www.instagram.com/p/BYJhH99jjLP/</v>
      </c>
      <c r="F2451" t="s">
        <v>15285</v>
      </c>
      <c r="G2451" t="s">
        <v>2478</v>
      </c>
      <c r="H2451">
        <v>2604</v>
      </c>
      <c r="I2451" t="s">
        <v>2479</v>
      </c>
      <c r="J2451">
        <v>0</v>
      </c>
      <c r="K2451">
        <v>129</v>
      </c>
      <c r="L2451">
        <v>129</v>
      </c>
      <c r="Q2451">
        <v>0</v>
      </c>
      <c r="R2451">
        <v>0</v>
      </c>
      <c r="S2451">
        <v>129</v>
      </c>
      <c r="T2451" t="s">
        <v>15286</v>
      </c>
      <c r="V2451" t="s">
        <v>2099</v>
      </c>
      <c r="W2451">
        <v>-34.604371428760999</v>
      </c>
      <c r="X2451">
        <v>-58.407311439513997</v>
      </c>
      <c r="Y2451" t="s">
        <v>15283</v>
      </c>
      <c r="Z2451" t="s">
        <v>15287</v>
      </c>
      <c r="AA2451" t="s">
        <v>15288</v>
      </c>
      <c r="AB2451" t="s">
        <v>15289</v>
      </c>
      <c r="AC2451" t="s">
        <v>2497</v>
      </c>
      <c r="AD2451" s="249" t="str">
        <f>HYPERLINK("https://scontent.cdninstagram.com/t51.2885-15/s320x320/e35/21042314_651180741759416_1722125806584463360_n.jpg")</f>
        <v>https://scontent.cdninstagram.com/t51.2885-15/s320x320/e35/21042314_651180741759416_1722125806584463360_n.jpg</v>
      </c>
      <c r="AE2451" s="249" t="str">
        <f>HYPERLINK("https://scontent.cdninstagram.com/t51.2885-19/s150x150/17437915_195731700922999_843055071787745280_a.jpg")</f>
        <v>https://scontent.cdninstagram.com/t51.2885-19/s150x150/17437915_195731700922999_843055071787745280_a.jpg</v>
      </c>
    </row>
    <row r="2452" spans="1:31" ht="15" x14ac:dyDescent="0.25">
      <c r="A2452" t="s">
        <v>2474</v>
      </c>
      <c r="B2452" t="s">
        <v>15290</v>
      </c>
      <c r="C2452" s="221">
        <v>42970.668576388889</v>
      </c>
      <c r="D2452" t="s">
        <v>15291</v>
      </c>
      <c r="E2452" s="249" t="str">
        <f>HYPERLINK("https://www.instagram.com/p/BYJiUZpj_3V/")</f>
        <v>https://www.instagram.com/p/BYJiUZpj_3V/</v>
      </c>
      <c r="F2452" t="s">
        <v>15292</v>
      </c>
      <c r="G2452" t="s">
        <v>2478</v>
      </c>
      <c r="H2452">
        <v>1109</v>
      </c>
      <c r="I2452" t="s">
        <v>2479</v>
      </c>
      <c r="J2452">
        <v>2</v>
      </c>
      <c r="K2452">
        <v>63</v>
      </c>
      <c r="L2452">
        <v>65</v>
      </c>
      <c r="Q2452">
        <v>0</v>
      </c>
      <c r="R2452">
        <v>0</v>
      </c>
      <c r="S2452">
        <v>65</v>
      </c>
      <c r="T2452" t="s">
        <v>15293</v>
      </c>
      <c r="U2452" t="s">
        <v>192</v>
      </c>
      <c r="V2452" t="s">
        <v>2299</v>
      </c>
      <c r="W2452">
        <v>37.604358699999999</v>
      </c>
      <c r="X2452">
        <v>-77.643867499999999</v>
      </c>
      <c r="Y2452" t="s">
        <v>2497</v>
      </c>
      <c r="Z2452" t="s">
        <v>15290</v>
      </c>
      <c r="AD2452" s="249" t="str">
        <f>HYPERLINK("https://scontent.cdninstagram.com/t51.2885-15/s320x320/e35/21107821_336016720178339_5651038984181121024_n.jpg")</f>
        <v>https://scontent.cdninstagram.com/t51.2885-15/s320x320/e35/21107821_336016720178339_5651038984181121024_n.jpg</v>
      </c>
      <c r="AE2452" s="249" t="str">
        <f>HYPERLINK("https://scontent.cdninstagram.com/t51.2885-19/10990558_1622434037989103_417979683_a.jpg")</f>
        <v>https://scontent.cdninstagram.com/t51.2885-19/10990558_1622434037989103_417979683_a.jpg</v>
      </c>
    </row>
    <row r="2453" spans="1:31" ht="15" x14ac:dyDescent="0.25">
      <c r="A2453" t="s">
        <v>2474</v>
      </c>
      <c r="B2453" t="s">
        <v>15294</v>
      </c>
      <c r="C2453" s="221">
        <v>42970.670127314814</v>
      </c>
      <c r="D2453" t="s">
        <v>15295</v>
      </c>
      <c r="E2453" s="249" t="str">
        <f>HYPERLINK("https://www.instagram.com/p/BYJikyphf_2/")</f>
        <v>https://www.instagram.com/p/BYJikyphf_2/</v>
      </c>
      <c r="F2453" t="s">
        <v>15296</v>
      </c>
      <c r="G2453" t="s">
        <v>2478</v>
      </c>
      <c r="H2453">
        <v>559</v>
      </c>
      <c r="I2453" t="s">
        <v>2896</v>
      </c>
      <c r="J2453">
        <v>33</v>
      </c>
      <c r="K2453">
        <v>394</v>
      </c>
      <c r="L2453">
        <v>427</v>
      </c>
      <c r="Q2453">
        <v>0</v>
      </c>
      <c r="R2453">
        <v>0</v>
      </c>
      <c r="S2453">
        <v>427</v>
      </c>
      <c r="Y2453" t="s">
        <v>2769</v>
      </c>
      <c r="Z2453" t="s">
        <v>2497</v>
      </c>
      <c r="AA2453" t="s">
        <v>15297</v>
      </c>
      <c r="AB2453" t="s">
        <v>10806</v>
      </c>
      <c r="AC2453" t="s">
        <v>11627</v>
      </c>
      <c r="AD2453" s="249" t="str">
        <f>HYPERLINK("https://scontent.cdninstagram.com/t51.2885-15/s320x320/e35/21041258_1764861400477716_5706645135488450560_n.jpg")</f>
        <v>https://scontent.cdninstagram.com/t51.2885-15/s320x320/e35/21041258_1764861400477716_5706645135488450560_n.jpg</v>
      </c>
      <c r="AE2453" s="249" t="str">
        <f>HYPERLINK("https://scontent.cdninstagram.com/t51.2885-19/s150x150/20225786_733731756828915_2886541193431220224_a.jpg")</f>
        <v>https://scontent.cdninstagram.com/t51.2885-19/s150x150/20225786_733731756828915_2886541193431220224_a.jpg</v>
      </c>
    </row>
    <row r="2454" spans="1:31" ht="15" x14ac:dyDescent="0.25">
      <c r="A2454" t="s">
        <v>2474</v>
      </c>
      <c r="B2454" t="s">
        <v>13977</v>
      </c>
      <c r="C2454" s="221">
        <v>42970.670324074075</v>
      </c>
      <c r="D2454" t="s">
        <v>15298</v>
      </c>
      <c r="E2454" s="249" t="str">
        <f>HYPERLINK("https://www.instagram.com/p/BYJim3BgISQ/")</f>
        <v>https://www.instagram.com/p/BYJim3BgISQ/</v>
      </c>
      <c r="F2454" t="s">
        <v>15299</v>
      </c>
      <c r="G2454" t="s">
        <v>2631</v>
      </c>
      <c r="H2454">
        <v>289</v>
      </c>
      <c r="I2454" t="s">
        <v>2479</v>
      </c>
      <c r="J2454">
        <v>0</v>
      </c>
      <c r="K2454">
        <v>37</v>
      </c>
      <c r="L2454">
        <v>37</v>
      </c>
      <c r="Q2454">
        <v>0</v>
      </c>
      <c r="R2454">
        <v>0</v>
      </c>
      <c r="S2454">
        <v>37</v>
      </c>
      <c r="Y2454" t="s">
        <v>15300</v>
      </c>
      <c r="Z2454" t="s">
        <v>15301</v>
      </c>
      <c r="AA2454" t="s">
        <v>2497</v>
      </c>
      <c r="AB2454" t="s">
        <v>2899</v>
      </c>
      <c r="AC2454" t="s">
        <v>15302</v>
      </c>
      <c r="AD2454" s="249" t="str">
        <f>HYPERLINK("https://scontent.cdninstagram.com/t51.2885-15/s320x320/e15/21041365_111969202848617_2553342509690388480_n.jpg")</f>
        <v>https://scontent.cdninstagram.com/t51.2885-15/s320x320/e15/21041365_111969202848617_2553342509690388480_n.jpg</v>
      </c>
      <c r="AE2454" s="249" t="str">
        <f>HYPERLINK("https://scontent.cdninstagram.com/t51.2885-19/s150x150/18644805_1562207183799854_3293556298972397568_a.jpg")</f>
        <v>https://scontent.cdninstagram.com/t51.2885-19/s150x150/18644805_1562207183799854_3293556298972397568_a.jpg</v>
      </c>
    </row>
    <row r="2455" spans="1:31" ht="15" x14ac:dyDescent="0.25">
      <c r="A2455" t="s">
        <v>2474</v>
      </c>
      <c r="B2455" t="s">
        <v>15303</v>
      </c>
      <c r="C2455" s="221">
        <v>42970.671446759261</v>
      </c>
      <c r="D2455" t="s">
        <v>15304</v>
      </c>
      <c r="E2455" s="249" t="str">
        <f>HYPERLINK("https://www.instagram.com/p/BYJiyr9FSMz/")</f>
        <v>https://www.instagram.com/p/BYJiyr9FSMz/</v>
      </c>
      <c r="F2455" t="s">
        <v>15305</v>
      </c>
      <c r="G2455" t="s">
        <v>2478</v>
      </c>
      <c r="H2455">
        <v>174</v>
      </c>
      <c r="I2455" t="s">
        <v>2479</v>
      </c>
      <c r="J2455">
        <v>10</v>
      </c>
      <c r="K2455">
        <v>20</v>
      </c>
      <c r="L2455">
        <v>30</v>
      </c>
      <c r="Q2455">
        <v>0</v>
      </c>
      <c r="R2455">
        <v>0</v>
      </c>
      <c r="S2455">
        <v>30</v>
      </c>
      <c r="Y2455" t="s">
        <v>15306</v>
      </c>
      <c r="Z2455" t="s">
        <v>15307</v>
      </c>
      <c r="AA2455" t="s">
        <v>15308</v>
      </c>
      <c r="AB2455" t="s">
        <v>2497</v>
      </c>
      <c r="AC2455" t="s">
        <v>15309</v>
      </c>
      <c r="AD2455" s="249" t="str">
        <f>HYPERLINK("https://scontent.cdninstagram.com/t51.2885-15/s320x320/e35/20987534_1456417971104321_5914326604049285120_n.jpg")</f>
        <v>https://scontent.cdninstagram.com/t51.2885-15/s320x320/e35/20987534_1456417971104321_5914326604049285120_n.jpg</v>
      </c>
      <c r="AE2455" s="249" t="str">
        <f>HYPERLINK("https://scontent.cdninstagram.com/t51.2885-19/10326440_314236555397288_251390915_a.jpg")</f>
        <v>https://scontent.cdninstagram.com/t51.2885-19/10326440_314236555397288_251390915_a.jpg</v>
      </c>
    </row>
    <row r="2456" spans="1:31" ht="15" x14ac:dyDescent="0.25">
      <c r="A2456" t="s">
        <v>2474</v>
      </c>
      <c r="B2456" t="s">
        <v>15310</v>
      </c>
      <c r="C2456" s="221">
        <v>42970.67523148148</v>
      </c>
      <c r="D2456" t="s">
        <v>15311</v>
      </c>
      <c r="E2456" s="249" t="str">
        <f>HYPERLINK("https://www.instagram.com/p/BYJjamdA5zg/")</f>
        <v>https://www.instagram.com/p/BYJjamdA5zg/</v>
      </c>
      <c r="F2456" t="s">
        <v>15312</v>
      </c>
      <c r="G2456" t="s">
        <v>2478</v>
      </c>
      <c r="H2456">
        <v>1644</v>
      </c>
      <c r="I2456" t="s">
        <v>2479</v>
      </c>
      <c r="J2456">
        <v>2</v>
      </c>
      <c r="K2456">
        <v>101</v>
      </c>
      <c r="L2456">
        <v>103</v>
      </c>
      <c r="Q2456">
        <v>0</v>
      </c>
      <c r="R2456">
        <v>0</v>
      </c>
      <c r="S2456">
        <v>103</v>
      </c>
      <c r="T2456" t="s">
        <v>15313</v>
      </c>
      <c r="V2456" t="s">
        <v>2182</v>
      </c>
      <c r="W2456">
        <v>39.916666666666998</v>
      </c>
      <c r="X2456">
        <v>15.766666666667</v>
      </c>
      <c r="Y2456" t="s">
        <v>15314</v>
      </c>
      <c r="Z2456" t="s">
        <v>2497</v>
      </c>
      <c r="AA2456" t="s">
        <v>15315</v>
      </c>
      <c r="AB2456" t="s">
        <v>15316</v>
      </c>
      <c r="AC2456" t="s">
        <v>15317</v>
      </c>
      <c r="AD2456" s="249" t="str">
        <f>HYPERLINK("https://scontent.cdninstagram.com/t51.2885-15/s320x320/e35/20969244_112080262835225_2281975785755508736_n.jpg")</f>
        <v>https://scontent.cdninstagram.com/t51.2885-15/s320x320/e35/20969244_112080262835225_2281975785755508736_n.jpg</v>
      </c>
      <c r="AE2456" s="249" t="str">
        <f>HYPERLINK("https://scontent.cdninstagram.com/t51.2885-19/s150x150/20759086_1940536892895918_6162396471887921152_a.jpg")</f>
        <v>https://scontent.cdninstagram.com/t51.2885-19/s150x150/20759086_1940536892895918_6162396471887921152_a.jpg</v>
      </c>
    </row>
    <row r="2457" spans="1:31" ht="15" x14ac:dyDescent="0.25">
      <c r="A2457" t="s">
        <v>2474</v>
      </c>
      <c r="B2457" t="s">
        <v>15318</v>
      </c>
      <c r="C2457" s="221">
        <v>42970.682152777779</v>
      </c>
      <c r="D2457" t="s">
        <v>15319</v>
      </c>
      <c r="E2457" s="249" t="str">
        <f>HYPERLINK("https://www.instagram.com/p/BYJkjllgkkb/")</f>
        <v>https://www.instagram.com/p/BYJkjllgkkb/</v>
      </c>
      <c r="F2457" t="s">
        <v>15320</v>
      </c>
      <c r="G2457" t="s">
        <v>2478</v>
      </c>
      <c r="H2457">
        <v>284</v>
      </c>
      <c r="I2457" t="s">
        <v>2639</v>
      </c>
      <c r="J2457">
        <v>1</v>
      </c>
      <c r="K2457">
        <v>30</v>
      </c>
      <c r="L2457">
        <v>31</v>
      </c>
      <c r="Q2457">
        <v>0</v>
      </c>
      <c r="R2457">
        <v>0</v>
      </c>
      <c r="S2457">
        <v>31</v>
      </c>
      <c r="T2457" t="s">
        <v>15321</v>
      </c>
      <c r="U2457" t="s">
        <v>116</v>
      </c>
      <c r="V2457" t="s">
        <v>2299</v>
      </c>
      <c r="W2457">
        <v>33.197200000000002</v>
      </c>
      <c r="X2457">
        <v>-96.639700000000005</v>
      </c>
      <c r="Y2457" t="s">
        <v>10364</v>
      </c>
      <c r="Z2457" t="s">
        <v>2497</v>
      </c>
      <c r="AA2457" t="s">
        <v>15322</v>
      </c>
      <c r="AB2457" t="s">
        <v>7692</v>
      </c>
      <c r="AC2457" t="s">
        <v>8178</v>
      </c>
      <c r="AD2457" s="249" t="str">
        <f>HYPERLINK("https://scontent.cdninstagram.com/t51.2885-15/s320x320/e35/20969080_1974414899503173_2341738675131383808_n.jpg")</f>
        <v>https://scontent.cdninstagram.com/t51.2885-15/s320x320/e35/20969080_1974414899503173_2341738675131383808_n.jpg</v>
      </c>
      <c r="AE2457" s="249" t="str">
        <f>HYPERLINK("https://scontent.cdninstagram.com/t51.2885-19/s150x150/19984810_1968687649811765_828746693183799296_a.jpg")</f>
        <v>https://scontent.cdninstagram.com/t51.2885-19/s150x150/19984810_1968687649811765_828746693183799296_a.jpg</v>
      </c>
    </row>
    <row r="2458" spans="1:31" ht="15" x14ac:dyDescent="0.25">
      <c r="A2458" t="s">
        <v>2474</v>
      </c>
      <c r="B2458" t="s">
        <v>15323</v>
      </c>
      <c r="C2458" s="221">
        <v>42970.694386574076</v>
      </c>
      <c r="D2458" t="s">
        <v>15324</v>
      </c>
      <c r="E2458" s="249" t="str">
        <f>HYPERLINK("https://www.instagram.com/p/BYJmklYlG5j/")</f>
        <v>https://www.instagram.com/p/BYJmklYlG5j/</v>
      </c>
      <c r="F2458" t="s">
        <v>15325</v>
      </c>
      <c r="G2458" t="s">
        <v>2478</v>
      </c>
      <c r="H2458">
        <v>255</v>
      </c>
      <c r="I2458" t="s">
        <v>2479</v>
      </c>
      <c r="J2458">
        <v>2</v>
      </c>
      <c r="K2458">
        <v>27</v>
      </c>
      <c r="L2458">
        <v>29</v>
      </c>
      <c r="Q2458">
        <v>0</v>
      </c>
      <c r="R2458">
        <v>0</v>
      </c>
      <c r="S2458">
        <v>29</v>
      </c>
      <c r="T2458" t="s">
        <v>15326</v>
      </c>
      <c r="V2458" t="s">
        <v>2288</v>
      </c>
      <c r="W2458">
        <v>52.921900000000001</v>
      </c>
      <c r="X2458">
        <v>-1.4758</v>
      </c>
      <c r="Y2458" t="s">
        <v>3145</v>
      </c>
      <c r="Z2458" t="s">
        <v>8501</v>
      </c>
      <c r="AA2458" t="s">
        <v>11948</v>
      </c>
      <c r="AB2458" t="s">
        <v>2497</v>
      </c>
      <c r="AD2458" s="249" t="str">
        <f>HYPERLINK("https://scontent.cdninstagram.com/t51.2885-15/s320x320/e35/20969307_115197859114163_3539551890880593920_n.jpg")</f>
        <v>https://scontent.cdninstagram.com/t51.2885-15/s320x320/e35/20969307_115197859114163_3539551890880593920_n.jpg</v>
      </c>
      <c r="AE2458" s="249" t="str">
        <f>HYPERLINK("https://scontent.cdninstagram.com/t51.2885-19/s150x150/19932826_676364929220509_1179285461273673728_a.jpg")</f>
        <v>https://scontent.cdninstagram.com/t51.2885-19/s150x150/19932826_676364929220509_1179285461273673728_a.jpg</v>
      </c>
    </row>
    <row r="2459" spans="1:31" ht="15" x14ac:dyDescent="0.25">
      <c r="A2459" t="s">
        <v>2474</v>
      </c>
      <c r="B2459" t="s">
        <v>15327</v>
      </c>
      <c r="C2459" s="221">
        <v>42970.702939814815</v>
      </c>
      <c r="D2459" t="s">
        <v>15328</v>
      </c>
      <c r="E2459" s="249" t="str">
        <f>HYPERLINK("https://www.instagram.com/p/BYJn-yVhKhd/")</f>
        <v>https://www.instagram.com/p/BYJn-yVhKhd/</v>
      </c>
      <c r="F2459" t="s">
        <v>15329</v>
      </c>
      <c r="G2459" t="s">
        <v>2478</v>
      </c>
      <c r="H2459">
        <v>149</v>
      </c>
      <c r="I2459" t="s">
        <v>2927</v>
      </c>
      <c r="J2459">
        <v>1</v>
      </c>
      <c r="K2459">
        <v>24</v>
      </c>
      <c r="L2459">
        <v>25</v>
      </c>
      <c r="Q2459">
        <v>0</v>
      </c>
      <c r="R2459">
        <v>0</v>
      </c>
      <c r="S2459">
        <v>25</v>
      </c>
      <c r="Y2459" t="s">
        <v>4839</v>
      </c>
      <c r="Z2459" t="s">
        <v>2497</v>
      </c>
      <c r="AA2459" t="s">
        <v>4180</v>
      </c>
      <c r="AB2459" t="s">
        <v>15330</v>
      </c>
      <c r="AD2459" s="249" t="str">
        <f>HYPERLINK("https://scontent.cdninstagram.com/t51.2885-15/s320x320/e35/20986651_1153245081485513_1830354713246171136_n.jpg")</f>
        <v>https://scontent.cdninstagram.com/t51.2885-15/s320x320/e35/20986651_1153245081485513_1830354713246171136_n.jpg</v>
      </c>
      <c r="AE2459" s="249" t="str">
        <f>HYPERLINK("https://scontent.cdninstagram.com/t51.2885-19/11311585_1586917758256978_146958422_a.jpg")</f>
        <v>https://scontent.cdninstagram.com/t51.2885-19/11311585_1586917758256978_146958422_a.jpg</v>
      </c>
    </row>
    <row r="2460" spans="1:31" ht="15" x14ac:dyDescent="0.25">
      <c r="A2460" t="s">
        <v>2474</v>
      </c>
      <c r="B2460" t="s">
        <v>15331</v>
      </c>
      <c r="C2460" s="221">
        <v>42970.70553240741</v>
      </c>
      <c r="D2460" t="s">
        <v>15332</v>
      </c>
      <c r="E2460" s="249" t="str">
        <f>HYPERLINK("https://www.instagram.com/p/BYJoaJflzTQ/")</f>
        <v>https://www.instagram.com/p/BYJoaJflzTQ/</v>
      </c>
      <c r="F2460" t="s">
        <v>15333</v>
      </c>
      <c r="G2460" t="s">
        <v>2488</v>
      </c>
      <c r="H2460">
        <v>50</v>
      </c>
      <c r="I2460" t="s">
        <v>2479</v>
      </c>
      <c r="J2460">
        <v>1</v>
      </c>
      <c r="K2460">
        <v>24</v>
      </c>
      <c r="L2460">
        <v>25</v>
      </c>
      <c r="Q2460">
        <v>0</v>
      </c>
      <c r="R2460">
        <v>0</v>
      </c>
      <c r="S2460">
        <v>25</v>
      </c>
      <c r="Y2460" t="s">
        <v>15334</v>
      </c>
      <c r="Z2460" t="s">
        <v>2497</v>
      </c>
      <c r="AA2460" t="s">
        <v>15335</v>
      </c>
      <c r="AB2460" t="s">
        <v>2492</v>
      </c>
      <c r="AC2460" t="s">
        <v>15336</v>
      </c>
      <c r="AD2460" s="249" t="str">
        <f>HYPERLINK("https://scontent.cdninstagram.com/t51.2885-15/s320x320/e35/20987091_615979378790279_7779409791490719744_n.jpg")</f>
        <v>https://scontent.cdninstagram.com/t51.2885-15/s320x320/e35/20987091_615979378790279_7779409791490719744_n.jpg</v>
      </c>
      <c r="AE2460" s="249" t="str">
        <f>HYPERLINK("https://scontent.cdninstagram.com/t51.2885-19/s150x150/20687977_198737783997799_4835963146130685952_a.jpg")</f>
        <v>https://scontent.cdninstagram.com/t51.2885-19/s150x150/20687977_198737783997799_4835963146130685952_a.jpg</v>
      </c>
    </row>
    <row r="2461" spans="1:31" ht="15" x14ac:dyDescent="0.25">
      <c r="A2461" t="s">
        <v>2474</v>
      </c>
      <c r="B2461" t="s">
        <v>15337</v>
      </c>
      <c r="C2461" s="221">
        <v>42970.708344907405</v>
      </c>
      <c r="D2461" t="s">
        <v>15338</v>
      </c>
      <c r="E2461" s="249" t="str">
        <f>HYPERLINK("https://www.instagram.com/p/BYJo34ClEth/")</f>
        <v>https://www.instagram.com/p/BYJo34ClEth/</v>
      </c>
      <c r="F2461" t="s">
        <v>15339</v>
      </c>
      <c r="G2461" t="s">
        <v>2478</v>
      </c>
      <c r="H2461">
        <v>368</v>
      </c>
      <c r="I2461" t="s">
        <v>2542</v>
      </c>
      <c r="J2461">
        <v>4</v>
      </c>
      <c r="K2461">
        <v>65</v>
      </c>
      <c r="L2461">
        <v>69</v>
      </c>
      <c r="Q2461">
        <v>0</v>
      </c>
      <c r="R2461">
        <v>0</v>
      </c>
      <c r="S2461">
        <v>69</v>
      </c>
      <c r="T2461" t="s">
        <v>15340</v>
      </c>
      <c r="V2461" t="s">
        <v>2164</v>
      </c>
      <c r="W2461">
        <v>38.005980976208001</v>
      </c>
      <c r="X2461">
        <v>23.872713385229002</v>
      </c>
      <c r="Y2461" t="s">
        <v>4464</v>
      </c>
      <c r="Z2461" t="s">
        <v>15341</v>
      </c>
      <c r="AA2461" t="s">
        <v>7385</v>
      </c>
      <c r="AB2461" t="s">
        <v>15342</v>
      </c>
      <c r="AC2461" t="s">
        <v>5414</v>
      </c>
      <c r="AD2461" s="249" t="str">
        <f>HYPERLINK("https://scontent.cdninstagram.com/t51.2885-15/s320x320/e35/21041972_1949784991965318_1211439527776747520_n.jpg")</f>
        <v>https://scontent.cdninstagram.com/t51.2885-15/s320x320/e35/21041972_1949784991965318_1211439527776747520_n.jpg</v>
      </c>
      <c r="AE2461" s="249" t="str">
        <f>HYPERLINK("https://scontent.cdninstagram.com/t51.2885-19/s150x150/13557091_167903633625338_11916800_a.jpg")</f>
        <v>https://scontent.cdninstagram.com/t51.2885-19/s150x150/13557091_167903633625338_11916800_a.jpg</v>
      </c>
    </row>
    <row r="2462" spans="1:31" ht="15" x14ac:dyDescent="0.25">
      <c r="A2462" t="s">
        <v>2474</v>
      </c>
      <c r="B2462" t="s">
        <v>15343</v>
      </c>
      <c r="C2462" s="221">
        <v>42970.71020833333</v>
      </c>
      <c r="D2462" t="s">
        <v>15344</v>
      </c>
      <c r="E2462" s="249" t="str">
        <f>HYPERLINK("https://www.instagram.com/p/BYJpLiXgn1z/")</f>
        <v>https://www.instagram.com/p/BYJpLiXgn1z/</v>
      </c>
      <c r="F2462" t="s">
        <v>15345</v>
      </c>
      <c r="G2462" t="s">
        <v>2631</v>
      </c>
      <c r="H2462">
        <v>180</v>
      </c>
      <c r="I2462" t="s">
        <v>2786</v>
      </c>
      <c r="J2462">
        <v>0</v>
      </c>
      <c r="K2462">
        <v>16</v>
      </c>
      <c r="L2462">
        <v>16</v>
      </c>
      <c r="Q2462">
        <v>0</v>
      </c>
      <c r="R2462">
        <v>0</v>
      </c>
      <c r="S2462">
        <v>16</v>
      </c>
      <c r="Y2462" t="s">
        <v>15343</v>
      </c>
      <c r="Z2462" t="s">
        <v>15346</v>
      </c>
      <c r="AA2462" t="s">
        <v>2497</v>
      </c>
      <c r="AB2462" t="s">
        <v>2984</v>
      </c>
      <c r="AC2462" t="s">
        <v>2983</v>
      </c>
      <c r="AD2462" s="249" t="str">
        <f>HYPERLINK("https://scontent.cdninstagram.com/t51.2885-15/s320x320/e15/20969091_113520112703085_7238448464307159040_n.jpg")</f>
        <v>https://scontent.cdninstagram.com/t51.2885-15/s320x320/e15/20969091_113520112703085_7238448464307159040_n.jpg</v>
      </c>
      <c r="AE2462" s="249" t="str">
        <f>HYPERLINK("https://scontent.cdninstagram.com/t51.2885-19/s150x150/13652154_473215932881926_1035427169_a.jpg")</f>
        <v>https://scontent.cdninstagram.com/t51.2885-19/s150x150/13652154_473215932881926_1035427169_a.jpg</v>
      </c>
    </row>
    <row r="2463" spans="1:31" ht="15" x14ac:dyDescent="0.25">
      <c r="A2463" t="s">
        <v>2474</v>
      </c>
      <c r="B2463" t="s">
        <v>15347</v>
      </c>
      <c r="C2463" s="221">
        <v>42970.712013888886</v>
      </c>
      <c r="D2463" t="s">
        <v>15348</v>
      </c>
      <c r="E2463" s="249" t="str">
        <f>HYPERLINK("https://www.instagram.com/p/BYJpehKgmxv/")</f>
        <v>https://www.instagram.com/p/BYJpehKgmxv/</v>
      </c>
      <c r="F2463" t="s">
        <v>15349</v>
      </c>
      <c r="G2463" t="s">
        <v>2478</v>
      </c>
      <c r="H2463">
        <v>239</v>
      </c>
      <c r="I2463" t="s">
        <v>2479</v>
      </c>
      <c r="J2463">
        <v>3</v>
      </c>
      <c r="K2463">
        <v>60</v>
      </c>
      <c r="L2463">
        <v>63</v>
      </c>
      <c r="Q2463">
        <v>0</v>
      </c>
      <c r="R2463">
        <v>0</v>
      </c>
      <c r="S2463">
        <v>63</v>
      </c>
      <c r="Y2463" t="s">
        <v>15350</v>
      </c>
      <c r="Z2463" t="s">
        <v>2497</v>
      </c>
      <c r="AA2463" t="s">
        <v>15351</v>
      </c>
      <c r="AB2463" t="s">
        <v>15352</v>
      </c>
      <c r="AC2463" t="s">
        <v>15353</v>
      </c>
      <c r="AD2463" s="249" t="str">
        <f>HYPERLINK("https://scontent.cdninstagram.com/t51.2885-15/s320x320/e35/20987575_1291411431005398_8404432244361396224_n.jpg")</f>
        <v>https://scontent.cdninstagram.com/t51.2885-15/s320x320/e35/20987575_1291411431005398_8404432244361396224_n.jpg</v>
      </c>
      <c r="AE2463" s="249" t="str">
        <f>HYPERLINK("https://scontent.cdninstagram.com/t51.2885-19/s150x150/20180933_804552939719210_8977240139864473600_a.jpg")</f>
        <v>https://scontent.cdninstagram.com/t51.2885-19/s150x150/20180933_804552939719210_8977240139864473600_a.jpg</v>
      </c>
    </row>
    <row r="2464" spans="1:31" ht="15" x14ac:dyDescent="0.25">
      <c r="A2464" t="s">
        <v>2474</v>
      </c>
      <c r="B2464" t="s">
        <v>11132</v>
      </c>
      <c r="C2464" s="221">
        <v>42970.71434027778</v>
      </c>
      <c r="D2464" t="s">
        <v>15354</v>
      </c>
      <c r="E2464" s="249" t="str">
        <f>HYPERLINK("https://www.instagram.com/p/BYJp3GSls_U/")</f>
        <v>https://www.instagram.com/p/BYJp3GSls_U/</v>
      </c>
      <c r="F2464" t="s">
        <v>15355</v>
      </c>
      <c r="G2464" t="s">
        <v>2478</v>
      </c>
      <c r="H2464">
        <v>1127</v>
      </c>
      <c r="I2464" t="s">
        <v>2479</v>
      </c>
      <c r="J2464">
        <v>7</v>
      </c>
      <c r="K2464">
        <v>112</v>
      </c>
      <c r="L2464">
        <v>119</v>
      </c>
      <c r="Q2464">
        <v>0</v>
      </c>
      <c r="R2464">
        <v>0</v>
      </c>
      <c r="S2464">
        <v>119</v>
      </c>
      <c r="T2464" t="s">
        <v>2936</v>
      </c>
      <c r="V2464" t="s">
        <v>2288</v>
      </c>
      <c r="W2464">
        <v>51.507114863623997</v>
      </c>
      <c r="X2464">
        <v>-0.12731805236353</v>
      </c>
      <c r="Y2464" t="s">
        <v>15356</v>
      </c>
      <c r="Z2464" t="s">
        <v>2497</v>
      </c>
      <c r="AA2464" t="s">
        <v>5902</v>
      </c>
      <c r="AB2464" t="s">
        <v>3174</v>
      </c>
      <c r="AC2464" t="s">
        <v>5950</v>
      </c>
      <c r="AD2464" s="249" t="str">
        <f>HYPERLINK("https://scontent.cdninstagram.com/t51.2885-15/s320x320/e35/20986694_255563184954364_3712330762977017856_n.jpg")</f>
        <v>https://scontent.cdninstagram.com/t51.2885-15/s320x320/e35/20986694_255563184954364_3712330762977017856_n.jpg</v>
      </c>
      <c r="AE2464" s="249" t="str">
        <f>HYPERLINK("https://scontent.cdninstagram.com/t51.2885-19/s150x150/18300132_130894844126279_8438538321960894464_a.jpg")</f>
        <v>https://scontent.cdninstagram.com/t51.2885-19/s150x150/18300132_130894844126279_8438538321960894464_a.jpg</v>
      </c>
    </row>
    <row r="2465" spans="1:31" ht="15" x14ac:dyDescent="0.25">
      <c r="A2465" t="s">
        <v>2474</v>
      </c>
      <c r="B2465" t="s">
        <v>6847</v>
      </c>
      <c r="C2465" s="221">
        <v>42970.718622685185</v>
      </c>
      <c r="D2465" t="s">
        <v>15357</v>
      </c>
      <c r="E2465" s="249" t="str">
        <f>HYPERLINK("https://www.instagram.com/p/BYJqkPVhZCg/")</f>
        <v>https://www.instagram.com/p/BYJqkPVhZCg/</v>
      </c>
      <c r="F2465" t="s">
        <v>15358</v>
      </c>
      <c r="G2465" t="s">
        <v>2478</v>
      </c>
      <c r="H2465">
        <v>144</v>
      </c>
      <c r="I2465" t="s">
        <v>2910</v>
      </c>
      <c r="J2465">
        <v>6</v>
      </c>
      <c r="K2465">
        <v>44</v>
      </c>
      <c r="L2465">
        <v>50</v>
      </c>
      <c r="Q2465">
        <v>0</v>
      </c>
      <c r="R2465">
        <v>0</v>
      </c>
      <c r="S2465">
        <v>50</v>
      </c>
      <c r="T2465" t="s">
        <v>6850</v>
      </c>
      <c r="V2465" t="s">
        <v>2161</v>
      </c>
      <c r="W2465">
        <v>50.95</v>
      </c>
      <c r="X2465">
        <v>6.9667000000000003</v>
      </c>
      <c r="Y2465" t="s">
        <v>4796</v>
      </c>
      <c r="Z2465" t="s">
        <v>3110</v>
      </c>
      <c r="AA2465" t="s">
        <v>4105</v>
      </c>
      <c r="AB2465" t="s">
        <v>15359</v>
      </c>
      <c r="AC2465" t="s">
        <v>2497</v>
      </c>
      <c r="AD2465" s="249" t="str">
        <f>HYPERLINK("https://scontent.cdninstagram.com/t51.2885-15/e35/p320x320/21107162_310632476069111_2433686468875517952_n.jpg")</f>
        <v>https://scontent.cdninstagram.com/t51.2885-15/e35/p320x320/21107162_310632476069111_2433686468875517952_n.jpg</v>
      </c>
      <c r="AE2465" s="249" t="str">
        <f>HYPERLINK("https://scontent.cdninstagram.com/t51.2885-19/s150x150/20759948_2040958986128138_1613724504230461440_a.jpg")</f>
        <v>https://scontent.cdninstagram.com/t51.2885-19/s150x150/20759948_2040958986128138_1613724504230461440_a.jpg</v>
      </c>
    </row>
    <row r="2466" spans="1:31" ht="15" x14ac:dyDescent="0.25">
      <c r="A2466" t="s">
        <v>2474</v>
      </c>
      <c r="B2466" t="s">
        <v>15360</v>
      </c>
      <c r="C2466" s="221">
        <v>42970.72152777778</v>
      </c>
      <c r="D2466" t="s">
        <v>15361</v>
      </c>
      <c r="E2466" s="249" t="str">
        <f>HYPERLINK("https://www.instagram.com/p/BYJrC0FlXoS/")</f>
        <v>https://www.instagram.com/p/BYJrC0FlXoS/</v>
      </c>
      <c r="F2466" t="s">
        <v>15362</v>
      </c>
      <c r="G2466" t="s">
        <v>2478</v>
      </c>
      <c r="H2466">
        <v>185</v>
      </c>
      <c r="I2466" t="s">
        <v>3575</v>
      </c>
      <c r="J2466">
        <v>2</v>
      </c>
      <c r="K2466">
        <v>45</v>
      </c>
      <c r="L2466">
        <v>47</v>
      </c>
      <c r="Q2466">
        <v>0</v>
      </c>
      <c r="R2466">
        <v>0</v>
      </c>
      <c r="S2466">
        <v>47</v>
      </c>
      <c r="Y2466" t="s">
        <v>15363</v>
      </c>
      <c r="Z2466" t="s">
        <v>15364</v>
      </c>
      <c r="AA2466" t="s">
        <v>15365</v>
      </c>
      <c r="AB2466" t="s">
        <v>15366</v>
      </c>
      <c r="AC2466" t="s">
        <v>15367</v>
      </c>
      <c r="AD2466" s="249" t="str">
        <f>HYPERLINK("https://scontent.cdninstagram.com/t51.2885-15/s320x320/e35/21042290_445640585820482_6629542128890413056_n.jpg")</f>
        <v>https://scontent.cdninstagram.com/t51.2885-15/s320x320/e35/21042290_445640585820482_6629542128890413056_n.jpg</v>
      </c>
      <c r="AE2466" s="249" t="str">
        <f>HYPERLINK("https://scontent.cdninstagram.com/t51.2885-19/s150x150/20905391_1852627481421781_956989924106567680_a.jpg")</f>
        <v>https://scontent.cdninstagram.com/t51.2885-19/s150x150/20905391_1852627481421781_956989924106567680_a.jpg</v>
      </c>
    </row>
    <row r="2467" spans="1:31" ht="15" x14ac:dyDescent="0.25">
      <c r="A2467" t="s">
        <v>2474</v>
      </c>
      <c r="B2467" t="s">
        <v>15368</v>
      </c>
      <c r="C2467" s="221">
        <v>42970.723344907405</v>
      </c>
      <c r="D2467" t="s">
        <v>15369</v>
      </c>
      <c r="E2467" s="249" t="str">
        <f>HYPERLINK("https://www.instagram.com/p/BYJrV_jlf1y/")</f>
        <v>https://www.instagram.com/p/BYJrV_jlf1y/</v>
      </c>
      <c r="F2467" t="s">
        <v>15370</v>
      </c>
      <c r="G2467" t="s">
        <v>2478</v>
      </c>
      <c r="H2467">
        <v>2443</v>
      </c>
      <c r="I2467" t="s">
        <v>2479</v>
      </c>
      <c r="J2467">
        <v>1</v>
      </c>
      <c r="K2467">
        <v>39</v>
      </c>
      <c r="L2467">
        <v>40</v>
      </c>
      <c r="Q2467">
        <v>0</v>
      </c>
      <c r="R2467">
        <v>0</v>
      </c>
      <c r="S2467">
        <v>40</v>
      </c>
      <c r="T2467" t="s">
        <v>15371</v>
      </c>
      <c r="V2467" t="s">
        <v>2222</v>
      </c>
      <c r="W2467">
        <v>52</v>
      </c>
      <c r="X2467">
        <v>4.6666666666666998</v>
      </c>
      <c r="Y2467" t="s">
        <v>13056</v>
      </c>
      <c r="Z2467" t="s">
        <v>4683</v>
      </c>
      <c r="AA2467" t="s">
        <v>15372</v>
      </c>
      <c r="AB2467" t="s">
        <v>15366</v>
      </c>
      <c r="AC2467" t="s">
        <v>15368</v>
      </c>
      <c r="AD2467" s="249" t="str">
        <f>HYPERLINK("https://scontent.cdninstagram.com/t51.2885-15/s320x320/e35/c6.0.738.738/20986785_1899610230359118_4903254387326976000_n.jpg")</f>
        <v>https://scontent.cdninstagram.com/t51.2885-15/s320x320/e35/c6.0.738.738/20986785_1899610230359118_4903254387326976000_n.jpg</v>
      </c>
      <c r="AE2467" s="249" t="str">
        <f>HYPERLINK("https://scontent.cdninstagram.com/t51.2885-19/s150x150/21107459_338086156640738_3679948187033927680_a.jpg")</f>
        <v>https://scontent.cdninstagram.com/t51.2885-19/s150x150/21107459_338086156640738_3679948187033927680_a.jpg</v>
      </c>
    </row>
    <row r="2468" spans="1:31" ht="15" x14ac:dyDescent="0.25">
      <c r="A2468" t="s">
        <v>2474</v>
      </c>
      <c r="B2468" t="s">
        <v>14356</v>
      </c>
      <c r="C2468" s="221">
        <v>42970.72583333333</v>
      </c>
      <c r="D2468" t="s">
        <v>15373</v>
      </c>
      <c r="E2468" s="249" t="str">
        <f>HYPERLINK("https://www.instagram.com/p/BYJrwSRBuoD/")</f>
        <v>https://www.instagram.com/p/BYJrwSRBuoD/</v>
      </c>
      <c r="F2468" t="s">
        <v>15374</v>
      </c>
      <c r="G2468" t="s">
        <v>2488</v>
      </c>
      <c r="H2468">
        <v>1000</v>
      </c>
      <c r="I2468" t="s">
        <v>2479</v>
      </c>
      <c r="J2468">
        <v>1</v>
      </c>
      <c r="K2468">
        <v>27</v>
      </c>
      <c r="L2468">
        <v>28</v>
      </c>
      <c r="Q2468">
        <v>0</v>
      </c>
      <c r="R2468">
        <v>0</v>
      </c>
      <c r="S2468">
        <v>28</v>
      </c>
      <c r="Y2468" t="s">
        <v>15375</v>
      </c>
      <c r="Z2468" t="s">
        <v>4121</v>
      </c>
      <c r="AA2468" t="s">
        <v>15376</v>
      </c>
      <c r="AB2468" t="s">
        <v>2497</v>
      </c>
      <c r="AC2468" t="s">
        <v>14361</v>
      </c>
      <c r="AD2468" s="249" t="str">
        <f>HYPERLINK("https://scontent.cdninstagram.com/t51.2885-15/s320x320/e35/20986885_495858640767560_5852345119251890176_n.jpg")</f>
        <v>https://scontent.cdninstagram.com/t51.2885-15/s320x320/e35/20986885_495858640767560_5852345119251890176_n.jpg</v>
      </c>
      <c r="AE2468" s="249" t="str">
        <f>HYPERLINK("https://scontent.cdninstagram.com/t51.2885-19/s150x150/19534679_628262110707688_612114624447250432_a.jpg")</f>
        <v>https://scontent.cdninstagram.com/t51.2885-19/s150x150/19534679_628262110707688_612114624447250432_a.jpg</v>
      </c>
    </row>
    <row r="2469" spans="1:31" ht="15" x14ac:dyDescent="0.25">
      <c r="A2469" t="s">
        <v>2474</v>
      </c>
      <c r="B2469" t="s">
        <v>7802</v>
      </c>
      <c r="C2469" s="221">
        <v>42970.729814814818</v>
      </c>
      <c r="D2469" t="s">
        <v>15377</v>
      </c>
      <c r="E2469" s="249" t="str">
        <f>HYPERLINK("https://www.instagram.com/p/BYJsaSUhDQ6/")</f>
        <v>https://www.instagram.com/p/BYJsaSUhDQ6/</v>
      </c>
      <c r="F2469" t="s">
        <v>15378</v>
      </c>
      <c r="G2469" t="s">
        <v>2478</v>
      </c>
      <c r="H2469">
        <v>185</v>
      </c>
      <c r="I2469" t="s">
        <v>2542</v>
      </c>
      <c r="J2469">
        <v>0</v>
      </c>
      <c r="K2469">
        <v>9</v>
      </c>
      <c r="L2469">
        <v>9</v>
      </c>
      <c r="Q2469">
        <v>0</v>
      </c>
      <c r="R2469">
        <v>0</v>
      </c>
      <c r="S2469">
        <v>9</v>
      </c>
      <c r="T2469" t="s">
        <v>7805</v>
      </c>
      <c r="U2469" t="s">
        <v>202</v>
      </c>
      <c r="V2469" t="s">
        <v>2299</v>
      </c>
      <c r="W2469">
        <v>39.86504</v>
      </c>
      <c r="X2469">
        <v>-84.11721</v>
      </c>
      <c r="Y2469" t="s">
        <v>15379</v>
      </c>
      <c r="Z2469" t="s">
        <v>15380</v>
      </c>
      <c r="AA2469" t="s">
        <v>15381</v>
      </c>
      <c r="AB2469" t="s">
        <v>7809</v>
      </c>
      <c r="AC2469" t="s">
        <v>7807</v>
      </c>
      <c r="AD2469" s="249" t="str">
        <f>HYPERLINK("https://scontent.cdninstagram.com/t51.2885-15/s320x320/e35/21042086_133070560637576_3679146299459895296_n.jpg")</f>
        <v>https://scontent.cdninstagram.com/t51.2885-15/s320x320/e35/21042086_133070560637576_3679146299459895296_n.jpg</v>
      </c>
      <c r="AE2469" s="249" t="str">
        <f>HYPERLINK("https://scontent.cdninstagram.com/t51.2885-19/s150x150/18879149_1471896259560338_6915572966390497280_a.jpg")</f>
        <v>https://scontent.cdninstagram.com/t51.2885-19/s150x150/18879149_1471896259560338_6915572966390497280_a.jpg</v>
      </c>
    </row>
    <row r="2470" spans="1:31" ht="15" x14ac:dyDescent="0.25">
      <c r="A2470" t="s">
        <v>2474</v>
      </c>
      <c r="B2470" t="s">
        <v>4535</v>
      </c>
      <c r="C2470" s="221">
        <v>42970.729884259257</v>
      </c>
      <c r="D2470" t="s">
        <v>15382</v>
      </c>
      <c r="E2470" s="249" t="str">
        <f>HYPERLINK("https://www.instagram.com/p/BYJsbDjF9Ij/")</f>
        <v>https://www.instagram.com/p/BYJsbDjF9Ij/</v>
      </c>
      <c r="F2470" t="s">
        <v>15383</v>
      </c>
      <c r="G2470" t="s">
        <v>2478</v>
      </c>
      <c r="H2470">
        <v>165</v>
      </c>
      <c r="I2470" t="s">
        <v>2479</v>
      </c>
      <c r="J2470">
        <v>2</v>
      </c>
      <c r="K2470">
        <v>29</v>
      </c>
      <c r="L2470">
        <v>31</v>
      </c>
      <c r="Q2470">
        <v>0</v>
      </c>
      <c r="R2470">
        <v>0</v>
      </c>
      <c r="S2470">
        <v>31</v>
      </c>
      <c r="Y2470" t="s">
        <v>10684</v>
      </c>
      <c r="Z2470" t="s">
        <v>8845</v>
      </c>
      <c r="AA2470" t="s">
        <v>13436</v>
      </c>
      <c r="AB2470" t="s">
        <v>5605</v>
      </c>
      <c r="AC2470" t="s">
        <v>4542</v>
      </c>
      <c r="AD2470" s="249" t="str">
        <f>HYPERLINK("https://scontent.cdninstagram.com/t51.2885-15/s320x320/e35/21041400_127269434563948_8838691903714099200_n.jpg")</f>
        <v>https://scontent.cdninstagram.com/t51.2885-15/s320x320/e35/21041400_127269434563948_8838691903714099200_n.jpg</v>
      </c>
      <c r="AE2470" s="249" t="str">
        <f>HYPERLINK("https://scontent.cdninstagram.com/t51.2885-19/s150x150/20399028_1624608414236560_533007696291430400_a.jpg")</f>
        <v>https://scontent.cdninstagram.com/t51.2885-19/s150x150/20399028_1624608414236560_533007696291430400_a.jpg</v>
      </c>
    </row>
    <row r="2471" spans="1:31" ht="15" x14ac:dyDescent="0.25">
      <c r="A2471" t="s">
        <v>2474</v>
      </c>
      <c r="B2471" t="s">
        <v>15384</v>
      </c>
      <c r="C2471" s="221">
        <v>42970.73641203704</v>
      </c>
      <c r="D2471" t="s">
        <v>15385</v>
      </c>
      <c r="E2471" s="249" t="str">
        <f>HYPERLINK("https://www.instagram.com/p/BYJtfzUAzpn/")</f>
        <v>https://www.instagram.com/p/BYJtfzUAzpn/</v>
      </c>
      <c r="F2471" t="s">
        <v>15386</v>
      </c>
      <c r="G2471" t="s">
        <v>2478</v>
      </c>
      <c r="H2471">
        <v>248</v>
      </c>
      <c r="I2471" t="s">
        <v>2479</v>
      </c>
      <c r="J2471">
        <v>3</v>
      </c>
      <c r="K2471">
        <v>30</v>
      </c>
      <c r="L2471">
        <v>33</v>
      </c>
      <c r="Q2471">
        <v>0</v>
      </c>
      <c r="R2471">
        <v>0</v>
      </c>
      <c r="S2471">
        <v>33</v>
      </c>
      <c r="T2471" t="s">
        <v>15387</v>
      </c>
      <c r="V2471" t="s">
        <v>2182</v>
      </c>
      <c r="W2471">
        <v>39.433333333333003</v>
      </c>
      <c r="X2471">
        <v>9.6166666666666991</v>
      </c>
      <c r="Y2471" t="s">
        <v>15388</v>
      </c>
      <c r="Z2471" t="s">
        <v>15389</v>
      </c>
      <c r="AA2471" t="s">
        <v>15390</v>
      </c>
      <c r="AB2471" t="s">
        <v>15391</v>
      </c>
      <c r="AC2471" t="s">
        <v>3619</v>
      </c>
      <c r="AD2471" s="249" t="str">
        <f>HYPERLINK("https://scontent.cdninstagram.com/t51.2885-15/s320x320/e35/21107265_269125660258916_783878887829405696_n.jpg")</f>
        <v>https://scontent.cdninstagram.com/t51.2885-15/s320x320/e35/21107265_269125660258916_783878887829405696_n.jpg</v>
      </c>
      <c r="AE2471" s="249" t="str">
        <f>HYPERLINK("https://scontent.cdninstagram.com/t51.2885-19/s150x150/18949827_2034145823482454_2346028759049568256_a.jpg")</f>
        <v>https://scontent.cdninstagram.com/t51.2885-19/s150x150/18949827_2034145823482454_2346028759049568256_a.jpg</v>
      </c>
    </row>
    <row r="2472" spans="1:31" ht="15" x14ac:dyDescent="0.25">
      <c r="A2472" t="s">
        <v>2474</v>
      </c>
      <c r="B2472" t="s">
        <v>15392</v>
      </c>
      <c r="C2472" s="221">
        <v>42970.739907407406</v>
      </c>
      <c r="D2472" t="s">
        <v>15393</v>
      </c>
      <c r="E2472" s="249" t="str">
        <f>HYPERLINK("https://www.instagram.com/p/BYJuErehPKA/")</f>
        <v>https://www.instagram.com/p/BYJuErehPKA/</v>
      </c>
      <c r="F2472" t="s">
        <v>15394</v>
      </c>
      <c r="G2472" t="s">
        <v>2478</v>
      </c>
      <c r="H2472">
        <v>219</v>
      </c>
      <c r="I2472" t="s">
        <v>2479</v>
      </c>
      <c r="J2472">
        <v>14</v>
      </c>
      <c r="K2472">
        <v>52</v>
      </c>
      <c r="L2472">
        <v>66</v>
      </c>
      <c r="Q2472">
        <v>0</v>
      </c>
      <c r="R2472">
        <v>0</v>
      </c>
      <c r="S2472">
        <v>66</v>
      </c>
      <c r="T2472" t="s">
        <v>15395</v>
      </c>
      <c r="V2472" t="s">
        <v>2288</v>
      </c>
      <c r="W2472">
        <v>57.588569999999997</v>
      </c>
      <c r="X2472">
        <v>-3.8629799999999999</v>
      </c>
      <c r="Y2472" t="s">
        <v>2497</v>
      </c>
      <c r="Z2472" t="s">
        <v>4879</v>
      </c>
      <c r="AD2472" s="249" t="str">
        <f>HYPERLINK("https://scontent.cdninstagram.com/t51.2885-15/s320x320/e35/21041651_110881456271227_6856510032129818624_n.jpg")</f>
        <v>https://scontent.cdninstagram.com/t51.2885-15/s320x320/e35/21041651_110881456271227_6856510032129818624_n.jpg</v>
      </c>
      <c r="AE2472" s="249" t="str">
        <f>HYPERLINK("https://scontent.cdninstagram.com/t51.2885-19/s150x150/20478963_1832947057016075_3996485017596329984_a.jpg")</f>
        <v>https://scontent.cdninstagram.com/t51.2885-19/s150x150/20478963_1832947057016075_3996485017596329984_a.jpg</v>
      </c>
    </row>
    <row r="2473" spans="1:31" ht="15" x14ac:dyDescent="0.25">
      <c r="A2473" t="s">
        <v>2474</v>
      </c>
      <c r="B2473" t="s">
        <v>15396</v>
      </c>
      <c r="C2473" s="221">
        <v>42970.743252314816</v>
      </c>
      <c r="D2473" t="s">
        <v>15397</v>
      </c>
      <c r="E2473" s="249" t="str">
        <f>HYPERLINK("https://www.instagram.com/p/BYJuoAilfNy/")</f>
        <v>https://www.instagram.com/p/BYJuoAilfNy/</v>
      </c>
      <c r="F2473" t="s">
        <v>15398</v>
      </c>
      <c r="G2473" t="s">
        <v>2478</v>
      </c>
      <c r="H2473">
        <v>1720</v>
      </c>
      <c r="I2473" t="s">
        <v>2479</v>
      </c>
      <c r="J2473">
        <v>9</v>
      </c>
      <c r="K2473">
        <v>104</v>
      </c>
      <c r="L2473">
        <v>113</v>
      </c>
      <c r="Q2473">
        <v>0</v>
      </c>
      <c r="R2473">
        <v>0</v>
      </c>
      <c r="S2473">
        <v>113</v>
      </c>
      <c r="T2473" t="s">
        <v>15399</v>
      </c>
      <c r="U2473" t="s">
        <v>180</v>
      </c>
      <c r="V2473" t="s">
        <v>2299</v>
      </c>
      <c r="W2473">
        <v>41.6</v>
      </c>
      <c r="X2473">
        <v>-72.7</v>
      </c>
      <c r="Y2473" t="s">
        <v>15400</v>
      </c>
      <c r="Z2473" t="s">
        <v>3225</v>
      </c>
      <c r="AA2473" t="s">
        <v>4180</v>
      </c>
      <c r="AB2473" t="s">
        <v>15401</v>
      </c>
      <c r="AC2473" t="s">
        <v>15402</v>
      </c>
      <c r="AD2473" s="249" t="str">
        <f>HYPERLINK("https://scontent.cdninstagram.com/t51.2885-15/s320x320/e35/21042160_119031372087299_5335669938046631936_n.jpg")</f>
        <v>https://scontent.cdninstagram.com/t51.2885-15/s320x320/e35/21042160_119031372087299_5335669938046631936_n.jpg</v>
      </c>
      <c r="AE2473" s="249" t="str">
        <f>HYPERLINK("https://scontent.cdninstagram.com/t51.2885-19/s150x150/20686528_507056686312205_770781166016921600_a.jpg")</f>
        <v>https://scontent.cdninstagram.com/t51.2885-19/s150x150/20686528_507056686312205_770781166016921600_a.jpg</v>
      </c>
    </row>
    <row r="2474" spans="1:31" ht="15" x14ac:dyDescent="0.25">
      <c r="A2474" t="s">
        <v>2474</v>
      </c>
      <c r="B2474" t="s">
        <v>15403</v>
      </c>
      <c r="C2474" s="221">
        <v>42970.744652777779</v>
      </c>
      <c r="D2474" t="s">
        <v>15404</v>
      </c>
      <c r="E2474" s="249" t="str">
        <f>HYPERLINK("https://www.instagram.com/p/BYJu2uBArCr/")</f>
        <v>https://www.instagram.com/p/BYJu2uBArCr/</v>
      </c>
      <c r="F2474" t="s">
        <v>15405</v>
      </c>
      <c r="G2474" t="s">
        <v>2478</v>
      </c>
      <c r="H2474">
        <v>656</v>
      </c>
      <c r="I2474" t="s">
        <v>3575</v>
      </c>
      <c r="J2474">
        <v>0</v>
      </c>
      <c r="K2474">
        <v>29</v>
      </c>
      <c r="L2474">
        <v>29</v>
      </c>
      <c r="Q2474">
        <v>0</v>
      </c>
      <c r="R2474">
        <v>0</v>
      </c>
      <c r="S2474">
        <v>29</v>
      </c>
      <c r="Y2474" t="s">
        <v>3813</v>
      </c>
      <c r="Z2474" t="s">
        <v>3427</v>
      </c>
      <c r="AA2474" t="s">
        <v>5884</v>
      </c>
      <c r="AB2474" t="s">
        <v>4161</v>
      </c>
      <c r="AC2474" t="s">
        <v>15406</v>
      </c>
      <c r="AD2474" s="249" t="str">
        <f>HYPERLINK("https://scontent.cdninstagram.com/t51.2885-15/s320x320/e35/20987144_314674088996166_3697511669811904512_n.jpg")</f>
        <v>https://scontent.cdninstagram.com/t51.2885-15/s320x320/e35/20987144_314674088996166_3697511669811904512_n.jpg</v>
      </c>
      <c r="AE2474" s="249" t="str">
        <f>HYPERLINK("https://scontent.cdninstagram.com/t51.2885-19/s150x150/13402293_588530254653565_803509532_a.jpg")</f>
        <v>https://scontent.cdninstagram.com/t51.2885-19/s150x150/13402293_588530254653565_803509532_a.jpg</v>
      </c>
    </row>
    <row r="2475" spans="1:31" ht="15" x14ac:dyDescent="0.25">
      <c r="A2475" t="s">
        <v>2474</v>
      </c>
      <c r="B2475" t="s">
        <v>5275</v>
      </c>
      <c r="C2475" s="221">
        <v>42970.750057870369</v>
      </c>
      <c r="D2475" t="s">
        <v>15407</v>
      </c>
      <c r="E2475" s="249" t="str">
        <f>HYPERLINK("https://www.instagram.com/p/BYJvvz-BjX4/")</f>
        <v>https://www.instagram.com/p/BYJvvz-BjX4/</v>
      </c>
      <c r="F2475" t="s">
        <v>15408</v>
      </c>
      <c r="G2475" t="s">
        <v>2478</v>
      </c>
      <c r="H2475">
        <v>303</v>
      </c>
      <c r="I2475" t="s">
        <v>2479</v>
      </c>
      <c r="J2475">
        <v>1</v>
      </c>
      <c r="K2475">
        <v>15</v>
      </c>
      <c r="L2475">
        <v>16</v>
      </c>
      <c r="Q2475">
        <v>0</v>
      </c>
      <c r="R2475">
        <v>0</v>
      </c>
      <c r="S2475">
        <v>16</v>
      </c>
      <c r="Y2475" t="s">
        <v>2968</v>
      </c>
      <c r="Z2475" t="s">
        <v>6779</v>
      </c>
      <c r="AA2475" t="s">
        <v>5275</v>
      </c>
      <c r="AB2475" t="s">
        <v>15409</v>
      </c>
      <c r="AC2475" t="s">
        <v>5279</v>
      </c>
      <c r="AD2475" s="249" t="str">
        <f>HYPERLINK("https://scontent.cdninstagram.com/t51.2885-15/s320x320/e35/21041548_1714112665550734_7961219343428091904_n.jpg")</f>
        <v>https://scontent.cdninstagram.com/t51.2885-15/s320x320/e35/21041548_1714112665550734_7961219343428091904_n.jpg</v>
      </c>
      <c r="AE2475" s="249" t="str">
        <f>HYPERLINK("https://scontent.cdninstagram.com/t51.2885-19/s150x150/18013697_427125890977264_7000566800060514304_a.jpg")</f>
        <v>https://scontent.cdninstagram.com/t51.2885-19/s150x150/18013697_427125890977264_7000566800060514304_a.jpg</v>
      </c>
    </row>
    <row r="2476" spans="1:31" ht="15" x14ac:dyDescent="0.25">
      <c r="A2476" t="s">
        <v>2474</v>
      </c>
      <c r="B2476" t="s">
        <v>15410</v>
      </c>
      <c r="C2476" s="221">
        <v>42970.751307870371</v>
      </c>
      <c r="D2476" t="s">
        <v>15411</v>
      </c>
      <c r="E2476" s="249" t="str">
        <f>HYPERLINK("https://www.instagram.com/p/BYJv8-IBZch/")</f>
        <v>https://www.instagram.com/p/BYJv8-IBZch/</v>
      </c>
      <c r="F2476" t="s">
        <v>15412</v>
      </c>
      <c r="G2476" t="s">
        <v>2478</v>
      </c>
      <c r="H2476">
        <v>1298</v>
      </c>
      <c r="I2476" t="s">
        <v>2542</v>
      </c>
      <c r="J2476">
        <v>1</v>
      </c>
      <c r="K2476">
        <v>74</v>
      </c>
      <c r="L2476">
        <v>75</v>
      </c>
      <c r="Q2476">
        <v>0</v>
      </c>
      <c r="R2476">
        <v>0</v>
      </c>
      <c r="S2476">
        <v>75</v>
      </c>
      <c r="T2476" t="s">
        <v>15413</v>
      </c>
      <c r="V2476" t="s">
        <v>2280</v>
      </c>
      <c r="W2476">
        <v>36.802799999999998</v>
      </c>
      <c r="X2476">
        <v>10.1797</v>
      </c>
      <c r="Y2476" t="s">
        <v>15414</v>
      </c>
      <c r="Z2476" t="s">
        <v>15415</v>
      </c>
      <c r="AA2476" t="s">
        <v>15416</v>
      </c>
      <c r="AB2476" t="s">
        <v>3936</v>
      </c>
      <c r="AC2476" t="s">
        <v>2497</v>
      </c>
      <c r="AD2476" s="249" t="str">
        <f>HYPERLINK("https://scontent.cdninstagram.com/t51.2885-15/s320x320/e35/21107403_117004665627799_2780799729963892736_n.jpg")</f>
        <v>https://scontent.cdninstagram.com/t51.2885-15/s320x320/e35/21107403_117004665627799_2780799729963892736_n.jpg</v>
      </c>
      <c r="AE2476" s="249" t="str">
        <f>HYPERLINK("https://scontent.cdninstagram.com/t51.2885-19/s150x150/21107555_111567292869631_7089807398608568320_a.jpg")</f>
        <v>https://scontent.cdninstagram.com/t51.2885-19/s150x150/21107555_111567292869631_7089807398608568320_a.jpg</v>
      </c>
    </row>
    <row r="2477" spans="1:31" ht="15" x14ac:dyDescent="0.25">
      <c r="A2477" t="s">
        <v>2474</v>
      </c>
      <c r="B2477" t="s">
        <v>15417</v>
      </c>
      <c r="C2477" s="221">
        <v>42970.780543981484</v>
      </c>
      <c r="D2477" t="s">
        <v>15418</v>
      </c>
      <c r="E2477" s="249" t="str">
        <f>HYPERLINK("https://www.instagram.com/p/BYJ0xRJD2tI/")</f>
        <v>https://www.instagram.com/p/BYJ0xRJD2tI/</v>
      </c>
      <c r="F2477" t="s">
        <v>15419</v>
      </c>
      <c r="G2477" t="s">
        <v>2478</v>
      </c>
      <c r="H2477">
        <v>66</v>
      </c>
      <c r="I2477" t="s">
        <v>4062</v>
      </c>
      <c r="J2477">
        <v>1</v>
      </c>
      <c r="K2477">
        <v>11</v>
      </c>
      <c r="L2477">
        <v>12</v>
      </c>
      <c r="Q2477">
        <v>0</v>
      </c>
      <c r="R2477">
        <v>0</v>
      </c>
      <c r="S2477">
        <v>12</v>
      </c>
      <c r="Y2477" t="s">
        <v>8009</v>
      </c>
      <c r="Z2477" t="s">
        <v>8112</v>
      </c>
      <c r="AA2477" t="s">
        <v>15420</v>
      </c>
      <c r="AB2477" t="s">
        <v>15421</v>
      </c>
      <c r="AC2477" t="s">
        <v>15422</v>
      </c>
      <c r="AD2477" s="249" t="str">
        <f>HYPERLINK("https://scontent.cdninstagram.com/t51.2885-15/s320x320/e35/20969371_112959726078309_4308797283966648320_n.jpg")</f>
        <v>https://scontent.cdninstagram.com/t51.2885-15/s320x320/e35/20969371_112959726078309_4308797283966648320_n.jpg</v>
      </c>
      <c r="AE2477" s="249" t="str">
        <f>HYPERLINK("https://scontent.cdninstagram.com/t51.2885-19/s150x150/20905720_1785135338445312_1468349486282571776_a.jpg")</f>
        <v>https://scontent.cdninstagram.com/t51.2885-19/s150x150/20905720_1785135338445312_1468349486282571776_a.jpg</v>
      </c>
    </row>
    <row r="2478" spans="1:31" ht="15" x14ac:dyDescent="0.25">
      <c r="A2478" t="s">
        <v>2474</v>
      </c>
      <c r="B2478" t="s">
        <v>15423</v>
      </c>
      <c r="C2478" s="221">
        <v>42970.788587962961</v>
      </c>
      <c r="D2478" t="s">
        <v>15424</v>
      </c>
      <c r="E2478" s="249" t="str">
        <f>HYPERLINK("https://www.instagram.com/p/BYJ2GKIjI9j/")</f>
        <v>https://www.instagram.com/p/BYJ2GKIjI9j/</v>
      </c>
      <c r="F2478" t="s">
        <v>15425</v>
      </c>
      <c r="G2478" t="s">
        <v>2478</v>
      </c>
      <c r="H2478">
        <v>1866</v>
      </c>
      <c r="I2478" t="s">
        <v>2479</v>
      </c>
      <c r="J2478">
        <v>0</v>
      </c>
      <c r="K2478">
        <v>11</v>
      </c>
      <c r="L2478">
        <v>11</v>
      </c>
      <c r="Q2478">
        <v>0</v>
      </c>
      <c r="R2478">
        <v>0</v>
      </c>
      <c r="S2478">
        <v>11</v>
      </c>
      <c r="T2478" t="s">
        <v>15426</v>
      </c>
      <c r="U2478" t="s">
        <v>114</v>
      </c>
      <c r="V2478" t="s">
        <v>2299</v>
      </c>
      <c r="W2478">
        <v>33.543489999999998</v>
      </c>
      <c r="X2478">
        <v>-84.36609</v>
      </c>
      <c r="Y2478" t="s">
        <v>15427</v>
      </c>
      <c r="Z2478" t="s">
        <v>15428</v>
      </c>
      <c r="AA2478" t="s">
        <v>15429</v>
      </c>
      <c r="AB2478" t="s">
        <v>15430</v>
      </c>
      <c r="AC2478" t="s">
        <v>15431</v>
      </c>
      <c r="AD2478" s="249" t="str">
        <f>HYPERLINK("https://scontent.cdninstagram.com/t51.2885-15/s320x320/e35/20987341_121219828529700_7200867951438725120_n.jpg")</f>
        <v>https://scontent.cdninstagram.com/t51.2885-15/s320x320/e35/20987341_121219828529700_7200867951438725120_n.jpg</v>
      </c>
      <c r="AE2478" s="249" t="str">
        <f>HYPERLINK("https://scontent.cdninstagram.com/t51.2885-19/s150x150/20837059_1930919623790797_2375042594573910016_a.jpg")</f>
        <v>https://scontent.cdninstagram.com/t51.2885-19/s150x150/20837059_1930919623790797_2375042594573910016_a.jpg</v>
      </c>
    </row>
    <row r="2479" spans="1:31" ht="15" x14ac:dyDescent="0.25">
      <c r="A2479" t="s">
        <v>2474</v>
      </c>
      <c r="B2479" t="s">
        <v>7802</v>
      </c>
      <c r="C2479" s="221">
        <v>42970.79078703704</v>
      </c>
      <c r="D2479" t="s">
        <v>15432</v>
      </c>
      <c r="E2479" s="249" t="str">
        <f>HYPERLINK("https://www.instagram.com/p/BYJ2dYWBaKR/")</f>
        <v>https://www.instagram.com/p/BYJ2dYWBaKR/</v>
      </c>
      <c r="F2479" t="s">
        <v>15433</v>
      </c>
      <c r="G2479" t="s">
        <v>2478</v>
      </c>
      <c r="H2479">
        <v>187</v>
      </c>
      <c r="I2479" t="s">
        <v>2542</v>
      </c>
      <c r="J2479">
        <v>2</v>
      </c>
      <c r="K2479">
        <v>8</v>
      </c>
      <c r="L2479">
        <v>10</v>
      </c>
      <c r="Q2479">
        <v>0</v>
      </c>
      <c r="R2479">
        <v>0</v>
      </c>
      <c r="S2479">
        <v>10</v>
      </c>
      <c r="T2479" t="s">
        <v>7805</v>
      </c>
      <c r="U2479" t="s">
        <v>202</v>
      </c>
      <c r="V2479" t="s">
        <v>2299</v>
      </c>
      <c r="W2479">
        <v>39.86504</v>
      </c>
      <c r="X2479">
        <v>-84.11721</v>
      </c>
      <c r="Y2479" t="s">
        <v>7807</v>
      </c>
      <c r="Z2479" t="s">
        <v>15381</v>
      </c>
      <c r="AA2479" t="s">
        <v>8546</v>
      </c>
      <c r="AB2479" t="s">
        <v>7809</v>
      </c>
      <c r="AC2479" t="s">
        <v>15434</v>
      </c>
      <c r="AD2479" s="249" t="str">
        <f>HYPERLINK("https://scontent.cdninstagram.com/t51.2885-15/s320x320/e35/20987436_339686026457767_8498206073516195840_n.jpg")</f>
        <v>https://scontent.cdninstagram.com/t51.2885-15/s320x320/e35/20987436_339686026457767_8498206073516195840_n.jpg</v>
      </c>
      <c r="AE2479" s="249" t="str">
        <f>HYPERLINK("https://scontent.cdninstagram.com/t51.2885-19/s150x150/18879149_1471896259560338_6915572966390497280_a.jpg")</f>
        <v>https://scontent.cdninstagram.com/t51.2885-19/s150x150/18879149_1471896259560338_6915572966390497280_a.jpg</v>
      </c>
    </row>
    <row r="2480" spans="1:31" ht="15" x14ac:dyDescent="0.25">
      <c r="A2480" t="s">
        <v>2474</v>
      </c>
      <c r="B2480" t="s">
        <v>6899</v>
      </c>
      <c r="C2480" s="221">
        <v>42970.792037037034</v>
      </c>
      <c r="D2480" t="s">
        <v>15435</v>
      </c>
      <c r="E2480" s="249" t="str">
        <f>HYPERLINK("https://www.instagram.com/p/BYJ2qjZg4r8/")</f>
        <v>https://www.instagram.com/p/BYJ2qjZg4r8/</v>
      </c>
      <c r="F2480" t="s">
        <v>15436</v>
      </c>
      <c r="G2480" t="s">
        <v>2478</v>
      </c>
      <c r="H2480">
        <v>35959</v>
      </c>
      <c r="I2480" t="s">
        <v>2479</v>
      </c>
      <c r="J2480">
        <v>3</v>
      </c>
      <c r="K2480">
        <v>783</v>
      </c>
      <c r="L2480">
        <v>786</v>
      </c>
      <c r="Q2480">
        <v>0</v>
      </c>
      <c r="R2480">
        <v>0</v>
      </c>
      <c r="S2480">
        <v>786</v>
      </c>
      <c r="Y2480" t="s">
        <v>15437</v>
      </c>
      <c r="Z2480" t="s">
        <v>15438</v>
      </c>
      <c r="AA2480" t="s">
        <v>15439</v>
      </c>
      <c r="AB2480" t="s">
        <v>15440</v>
      </c>
      <c r="AC2480" t="s">
        <v>9914</v>
      </c>
      <c r="AD2480" s="249" t="str">
        <f>HYPERLINK("https://scontent.cdninstagram.com/t51.2885-15/s320x320/e35/21042095_128038157828931_8983807252234240000_n.jpg")</f>
        <v>https://scontent.cdninstagram.com/t51.2885-15/s320x320/e35/21042095_128038157828931_8983807252234240000_n.jpg</v>
      </c>
      <c r="AE2480" s="249" t="str">
        <f>HYPERLINK("https://scontent.cdninstagram.com/t51.2885-19/s150x150/17493776_1474371442636277_6993911971573661696_n.jpg")</f>
        <v>https://scontent.cdninstagram.com/t51.2885-19/s150x150/17493776_1474371442636277_6993911971573661696_n.jpg</v>
      </c>
    </row>
    <row r="2481" spans="1:31" ht="15" x14ac:dyDescent="0.25">
      <c r="A2481" t="s">
        <v>2474</v>
      </c>
      <c r="B2481" t="s">
        <v>15441</v>
      </c>
      <c r="C2481" s="221">
        <v>42970.798541666663</v>
      </c>
      <c r="D2481" t="s">
        <v>15442</v>
      </c>
      <c r="E2481" s="249" t="str">
        <f>HYPERLINK("https://www.instagram.com/p/BYJ3vEulaRv/")</f>
        <v>https://www.instagram.com/p/BYJ3vEulaRv/</v>
      </c>
      <c r="F2481" t="s">
        <v>15443</v>
      </c>
      <c r="G2481" t="s">
        <v>2478</v>
      </c>
      <c r="H2481">
        <v>217</v>
      </c>
      <c r="I2481" t="s">
        <v>3186</v>
      </c>
      <c r="J2481">
        <v>0</v>
      </c>
      <c r="K2481">
        <v>30</v>
      </c>
      <c r="L2481">
        <v>30</v>
      </c>
      <c r="Q2481">
        <v>0</v>
      </c>
      <c r="R2481">
        <v>0</v>
      </c>
      <c r="S2481">
        <v>30</v>
      </c>
      <c r="Y2481" t="s">
        <v>15444</v>
      </c>
      <c r="Z2481" t="s">
        <v>15445</v>
      </c>
      <c r="AA2481" t="s">
        <v>15446</v>
      </c>
      <c r="AB2481" t="s">
        <v>10997</v>
      </c>
      <c r="AC2481" t="s">
        <v>15447</v>
      </c>
      <c r="AD2481" s="249" t="str">
        <f>HYPERLINK("https://scontent.cdninstagram.com/t51.2885-15/s320x320/e35/21042019_1352217218224359_5996423907479912448_n.jpg")</f>
        <v>https://scontent.cdninstagram.com/t51.2885-15/s320x320/e35/21042019_1352217218224359_5996423907479912448_n.jpg</v>
      </c>
      <c r="AE2481" s="249" t="str">
        <f>HYPERLINK("https://scontent.cdninstagram.com/t51.2885-19/s150x150/12362141_512894862225017_2011812527_a.jpg")</f>
        <v>https://scontent.cdninstagram.com/t51.2885-19/s150x150/12362141_512894862225017_2011812527_a.jpg</v>
      </c>
    </row>
    <row r="2482" spans="1:31" ht="15" x14ac:dyDescent="0.25">
      <c r="A2482" t="s">
        <v>2474</v>
      </c>
      <c r="B2482" t="s">
        <v>15448</v>
      </c>
      <c r="C2482" s="221">
        <v>42970.801585648151</v>
      </c>
      <c r="D2482" t="s">
        <v>15449</v>
      </c>
      <c r="E2482" s="249" t="str">
        <f>HYPERLINK("https://www.instagram.com/p/BYJ4POVBZWa/")</f>
        <v>https://www.instagram.com/p/BYJ4POVBZWa/</v>
      </c>
      <c r="F2482" t="s">
        <v>15450</v>
      </c>
      <c r="G2482" t="s">
        <v>2488</v>
      </c>
      <c r="H2482">
        <v>314</v>
      </c>
      <c r="I2482" t="s">
        <v>2479</v>
      </c>
      <c r="J2482">
        <v>0</v>
      </c>
      <c r="K2482">
        <v>25</v>
      </c>
      <c r="L2482">
        <v>25</v>
      </c>
      <c r="Q2482">
        <v>0</v>
      </c>
      <c r="R2482">
        <v>0</v>
      </c>
      <c r="S2482">
        <v>25</v>
      </c>
      <c r="Y2482" t="s">
        <v>15451</v>
      </c>
      <c r="Z2482" t="s">
        <v>15452</v>
      </c>
      <c r="AA2482" t="s">
        <v>15453</v>
      </c>
      <c r="AB2482" t="s">
        <v>15454</v>
      </c>
      <c r="AC2482" t="s">
        <v>2497</v>
      </c>
      <c r="AD2482" s="249" t="str">
        <f>HYPERLINK("https://scontent.cdninstagram.com/t51.2885-15/s320x320/e35/21041217_1016959491776355_1244389202611666944_n.jpg")</f>
        <v>https://scontent.cdninstagram.com/t51.2885-15/s320x320/e35/21041217_1016959491776355_1244389202611666944_n.jpg</v>
      </c>
      <c r="AE2482" s="249" t="str">
        <f>HYPERLINK("https://scontent.cdninstagram.com/t51.2885-19/s150x150/14719090_237249633412240_5504596563780960256_a.jpg")</f>
        <v>https://scontent.cdninstagram.com/t51.2885-19/s150x150/14719090_237249633412240_5504596563780960256_a.jpg</v>
      </c>
    </row>
    <row r="2483" spans="1:31" ht="15" x14ac:dyDescent="0.25">
      <c r="A2483" t="s">
        <v>2474</v>
      </c>
      <c r="B2483" t="s">
        <v>9497</v>
      </c>
      <c r="C2483" s="221">
        <v>42970.832939814813</v>
      </c>
      <c r="D2483" t="s">
        <v>15455</v>
      </c>
      <c r="E2483" s="249" t="str">
        <f>HYPERLINK("https://www.instagram.com/p/BYJ9Z-ZD-wz/")</f>
        <v>https://www.instagram.com/p/BYJ9Z-ZD-wz/</v>
      </c>
      <c r="F2483" t="s">
        <v>15456</v>
      </c>
      <c r="G2483" t="s">
        <v>2478</v>
      </c>
      <c r="H2483">
        <v>2803</v>
      </c>
      <c r="I2483" t="s">
        <v>2519</v>
      </c>
      <c r="J2483">
        <v>9</v>
      </c>
      <c r="K2483">
        <v>72</v>
      </c>
      <c r="L2483">
        <v>81</v>
      </c>
      <c r="Q2483">
        <v>0</v>
      </c>
      <c r="R2483">
        <v>0</v>
      </c>
      <c r="S2483">
        <v>81</v>
      </c>
      <c r="Y2483" t="s">
        <v>5934</v>
      </c>
      <c r="Z2483" t="s">
        <v>15457</v>
      </c>
      <c r="AA2483" t="s">
        <v>2497</v>
      </c>
      <c r="AD2483" s="249" t="str">
        <f>HYPERLINK("https://scontent.cdninstagram.com/t51.2885-15/s320x320/e35/21041374_340063503086613_9048884253105848320_n.jpg")</f>
        <v>https://scontent.cdninstagram.com/t51.2885-15/s320x320/e35/21041374_340063503086613_9048884253105848320_n.jpg</v>
      </c>
      <c r="AE2483" s="249" t="str">
        <f>HYPERLINK("https://scontent.cdninstagram.com/t51.2885-19/s150x150/12783914_1520867321553159_846241989_a.jpg")</f>
        <v>https://scontent.cdninstagram.com/t51.2885-19/s150x150/12783914_1520867321553159_846241989_a.jpg</v>
      </c>
    </row>
    <row r="2484" spans="1:31" ht="15" x14ac:dyDescent="0.25">
      <c r="A2484" t="s">
        <v>2474</v>
      </c>
      <c r="B2484" t="s">
        <v>3015</v>
      </c>
      <c r="C2484" s="221">
        <v>42970.83315972222</v>
      </c>
      <c r="D2484" t="s">
        <v>15458</v>
      </c>
      <c r="E2484" s="249" t="str">
        <f>HYPERLINK("https://www.instagram.com/p/BYJ9cOQAFP6/")</f>
        <v>https://www.instagram.com/p/BYJ9cOQAFP6/</v>
      </c>
      <c r="F2484" t="s">
        <v>15459</v>
      </c>
      <c r="G2484" t="s">
        <v>2478</v>
      </c>
      <c r="H2484">
        <v>237</v>
      </c>
      <c r="I2484" t="s">
        <v>2479</v>
      </c>
      <c r="J2484">
        <v>1</v>
      </c>
      <c r="K2484">
        <v>40</v>
      </c>
      <c r="L2484">
        <v>41</v>
      </c>
      <c r="Q2484">
        <v>0</v>
      </c>
      <c r="R2484">
        <v>0</v>
      </c>
      <c r="S2484">
        <v>41</v>
      </c>
      <c r="Y2484" t="s">
        <v>7275</v>
      </c>
      <c r="Z2484" t="s">
        <v>3492</v>
      </c>
      <c r="AA2484" t="s">
        <v>3494</v>
      </c>
      <c r="AB2484" t="s">
        <v>6259</v>
      </c>
      <c r="AC2484" t="s">
        <v>2492</v>
      </c>
      <c r="AD2484" s="249" t="str">
        <f>HYPERLINK("https://scontent.cdninstagram.com/t51.2885-15/s320x320/e35/21041253_258490467979230_8790126908906930176_n.jpg")</f>
        <v>https://scontent.cdninstagram.com/t51.2885-15/s320x320/e35/21041253_258490467979230_8790126908906930176_n.jpg</v>
      </c>
      <c r="AE2484" s="249" t="str">
        <f>HYPERLINK("https://scontent.cdninstagram.com/t51.2885-19/s150x150/19761452_1876060406050696_4275948751316582400_a.jpg")</f>
        <v>https://scontent.cdninstagram.com/t51.2885-19/s150x150/19761452_1876060406050696_4275948751316582400_a.jpg</v>
      </c>
    </row>
    <row r="2485" spans="1:31" ht="15" x14ac:dyDescent="0.25">
      <c r="A2485" t="s">
        <v>2474</v>
      </c>
      <c r="B2485" t="s">
        <v>15460</v>
      </c>
      <c r="C2485" s="221">
        <v>42970.857499999998</v>
      </c>
      <c r="D2485" t="s">
        <v>15461</v>
      </c>
      <c r="E2485" s="249" t="str">
        <f>HYPERLINK("https://www.instagram.com/p/BYKBc9olUpO/")</f>
        <v>https://www.instagram.com/p/BYKBc9olUpO/</v>
      </c>
      <c r="F2485" t="s">
        <v>15462</v>
      </c>
      <c r="G2485" t="s">
        <v>2478</v>
      </c>
      <c r="H2485">
        <v>99</v>
      </c>
      <c r="I2485" t="s">
        <v>2519</v>
      </c>
      <c r="J2485">
        <v>0</v>
      </c>
      <c r="K2485">
        <v>8</v>
      </c>
      <c r="L2485">
        <v>8</v>
      </c>
      <c r="Q2485">
        <v>0</v>
      </c>
      <c r="R2485">
        <v>0</v>
      </c>
      <c r="S2485">
        <v>8</v>
      </c>
      <c r="Y2485" t="s">
        <v>15463</v>
      </c>
      <c r="Z2485" t="s">
        <v>15464</v>
      </c>
      <c r="AA2485" t="s">
        <v>15465</v>
      </c>
      <c r="AB2485" t="s">
        <v>15466</v>
      </c>
      <c r="AC2485" t="s">
        <v>15467</v>
      </c>
      <c r="AD2485" s="249" t="str">
        <f>HYPERLINK("https://scontent.cdninstagram.com/t51.2885-15/s320x320/e35/21041486_127828524512075_5733272098772615168_n.jpg")</f>
        <v>https://scontent.cdninstagram.com/t51.2885-15/s320x320/e35/21041486_127828524512075_5733272098772615168_n.jpg</v>
      </c>
      <c r="AE2485" s="249" t="str">
        <f>HYPERLINK("https://scontent.cdninstagram.com/t51.2885-19/s150x150/14280545_1066225060141608_229242175_a.jpg")</f>
        <v>https://scontent.cdninstagram.com/t51.2885-19/s150x150/14280545_1066225060141608_229242175_a.jpg</v>
      </c>
    </row>
    <row r="2486" spans="1:31" ht="15" x14ac:dyDescent="0.25">
      <c r="A2486" t="s">
        <v>2474</v>
      </c>
      <c r="B2486" t="s">
        <v>15468</v>
      </c>
      <c r="C2486" s="221">
        <v>42970.865613425929</v>
      </c>
      <c r="D2486" t="s">
        <v>15469</v>
      </c>
      <c r="E2486" s="249" t="str">
        <f>HYPERLINK("https://www.instagram.com/p/BYKCyfnj97E/")</f>
        <v>https://www.instagram.com/p/BYKCyfnj97E/</v>
      </c>
      <c r="F2486" t="s">
        <v>15470</v>
      </c>
      <c r="G2486" t="s">
        <v>2478</v>
      </c>
      <c r="H2486">
        <v>92</v>
      </c>
      <c r="I2486" t="s">
        <v>2479</v>
      </c>
      <c r="J2486">
        <v>0</v>
      </c>
      <c r="K2486">
        <v>2</v>
      </c>
      <c r="L2486">
        <v>2</v>
      </c>
      <c r="Q2486">
        <v>0</v>
      </c>
      <c r="R2486">
        <v>0</v>
      </c>
      <c r="S2486">
        <v>2</v>
      </c>
      <c r="T2486" t="s">
        <v>15471</v>
      </c>
      <c r="U2486" t="s">
        <v>150</v>
      </c>
      <c r="V2486" t="s">
        <v>2299</v>
      </c>
      <c r="W2486">
        <v>38.992550000000001</v>
      </c>
      <c r="X2486">
        <v>-94.129230000000007</v>
      </c>
      <c r="Y2486" t="s">
        <v>15472</v>
      </c>
      <c r="Z2486" t="s">
        <v>2497</v>
      </c>
      <c r="AA2486" t="s">
        <v>4582</v>
      </c>
      <c r="AD2486" s="249" t="str">
        <f>HYPERLINK("https://scontent.cdninstagram.com/t51.2885-15/s320x320/e35/20969074_361306260971127_7869956498183421952_n.jpg")</f>
        <v>https://scontent.cdninstagram.com/t51.2885-15/s320x320/e35/20969074_361306260971127_7869956498183421952_n.jpg</v>
      </c>
      <c r="AE2486" s="249" t="str">
        <f>HYPERLINK("https://scontent.cdninstagram.com/t51.2885-19/s150x150/13827395_1178545555540135_496149648_a.jpg")</f>
        <v>https://scontent.cdninstagram.com/t51.2885-19/s150x150/13827395_1178545555540135_496149648_a.jpg</v>
      </c>
    </row>
    <row r="2487" spans="1:31" ht="15" x14ac:dyDescent="0.25">
      <c r="A2487" t="s">
        <v>2474</v>
      </c>
      <c r="B2487" t="s">
        <v>15473</v>
      </c>
      <c r="C2487" s="221">
        <v>42970.879699074074</v>
      </c>
      <c r="D2487" t="s">
        <v>15474</v>
      </c>
      <c r="E2487" s="249" t="str">
        <f>HYPERLINK("https://www.instagram.com/p/BYKFHDQjB6v/")</f>
        <v>https://www.instagram.com/p/BYKFHDQjB6v/</v>
      </c>
      <c r="F2487" t="s">
        <v>15475</v>
      </c>
      <c r="G2487" t="s">
        <v>2478</v>
      </c>
      <c r="H2487">
        <v>570</v>
      </c>
      <c r="I2487" t="s">
        <v>2479</v>
      </c>
      <c r="J2487">
        <v>2</v>
      </c>
      <c r="K2487">
        <v>47</v>
      </c>
      <c r="L2487">
        <v>49</v>
      </c>
      <c r="Q2487">
        <v>0</v>
      </c>
      <c r="R2487">
        <v>0</v>
      </c>
      <c r="S2487">
        <v>49</v>
      </c>
      <c r="Y2487" t="s">
        <v>2562</v>
      </c>
      <c r="Z2487" t="s">
        <v>2547</v>
      </c>
      <c r="AA2487" t="s">
        <v>3269</v>
      </c>
      <c r="AB2487" t="s">
        <v>2696</v>
      </c>
      <c r="AC2487" t="s">
        <v>15476</v>
      </c>
      <c r="AD2487" s="249" t="str">
        <f>HYPERLINK("https://scontent.cdninstagram.com/t51.2885-15/e35/p320x320/21041236_161112984464273_6403203786252222464_n.jpg")</f>
        <v>https://scontent.cdninstagram.com/t51.2885-15/e35/p320x320/21041236_161112984464273_6403203786252222464_n.jpg</v>
      </c>
      <c r="AE2487" s="249" t="str">
        <f>HYPERLINK("https://scontent.cdninstagram.com/t51.2885-19/s150x150/18889183_157015281506214_1165360545939849216_a.jpg")</f>
        <v>https://scontent.cdninstagram.com/t51.2885-19/s150x150/18889183_157015281506214_1165360545939849216_a.jpg</v>
      </c>
    </row>
    <row r="2488" spans="1:31" ht="15" x14ac:dyDescent="0.25">
      <c r="A2488" t="s">
        <v>2474</v>
      </c>
      <c r="B2488" t="s">
        <v>15477</v>
      </c>
      <c r="C2488" s="221">
        <v>42970.897592592592</v>
      </c>
      <c r="D2488" t="s">
        <v>15478</v>
      </c>
      <c r="E2488" s="249" t="str">
        <f>HYPERLINK("https://www.instagram.com/p/BYKID2WF2HM/")</f>
        <v>https://www.instagram.com/p/BYKID2WF2HM/</v>
      </c>
      <c r="F2488" t="s">
        <v>15479</v>
      </c>
      <c r="G2488" t="s">
        <v>2478</v>
      </c>
      <c r="H2488">
        <v>8555</v>
      </c>
      <c r="I2488" t="s">
        <v>2479</v>
      </c>
      <c r="J2488">
        <v>16</v>
      </c>
      <c r="K2488">
        <v>1043</v>
      </c>
      <c r="L2488">
        <v>1059</v>
      </c>
      <c r="Q2488">
        <v>0</v>
      </c>
      <c r="R2488">
        <v>0</v>
      </c>
      <c r="S2488">
        <v>1059</v>
      </c>
      <c r="T2488" t="s">
        <v>7931</v>
      </c>
      <c r="V2488" t="s">
        <v>2204</v>
      </c>
      <c r="W2488">
        <v>3.0833300000000001</v>
      </c>
      <c r="X2488">
        <v>101.65</v>
      </c>
      <c r="AD2488" s="249" t="str">
        <f>HYPERLINK("https://scontent.cdninstagram.com/t51.2885-15/s320x320/e35/20986940_869054779911980_6027976219000045568_n.jpg")</f>
        <v>https://scontent.cdninstagram.com/t51.2885-15/s320x320/e35/20986940_869054779911980_6027976219000045568_n.jpg</v>
      </c>
      <c r="AE2488" s="249" t="str">
        <f>HYPERLINK("https://scontent.cdninstagram.com/t51.2885-19/s150x150/11352136_490319701145662_1262124909_a.jpg")</f>
        <v>https://scontent.cdninstagram.com/t51.2885-19/s150x150/11352136_490319701145662_1262124909_a.jpg</v>
      </c>
    </row>
    <row r="2489" spans="1:31" ht="15" x14ac:dyDescent="0.25">
      <c r="A2489" t="s">
        <v>2474</v>
      </c>
      <c r="B2489" t="s">
        <v>15480</v>
      </c>
      <c r="C2489" s="221">
        <v>42970.904907407406</v>
      </c>
      <c r="D2489" t="s">
        <v>15481</v>
      </c>
      <c r="E2489" s="249" t="str">
        <f>HYPERLINK("https://www.instagram.com/p/BYKJQ-2FKXB/")</f>
        <v>https://www.instagram.com/p/BYKJQ-2FKXB/</v>
      </c>
      <c r="F2489" t="s">
        <v>15482</v>
      </c>
      <c r="G2489" t="s">
        <v>2631</v>
      </c>
      <c r="H2489">
        <v>1760</v>
      </c>
      <c r="I2489" t="s">
        <v>3273</v>
      </c>
      <c r="J2489">
        <v>0</v>
      </c>
      <c r="K2489">
        <v>31</v>
      </c>
      <c r="L2489">
        <v>31</v>
      </c>
      <c r="Q2489">
        <v>0</v>
      </c>
      <c r="R2489">
        <v>0</v>
      </c>
      <c r="S2489">
        <v>31</v>
      </c>
      <c r="Y2489" t="s">
        <v>15483</v>
      </c>
      <c r="Z2489" t="s">
        <v>15484</v>
      </c>
      <c r="AA2489" t="s">
        <v>3982</v>
      </c>
      <c r="AB2489" t="s">
        <v>15485</v>
      </c>
      <c r="AC2489" t="s">
        <v>9918</v>
      </c>
      <c r="AD2489" s="249" t="str">
        <f>HYPERLINK("https://scontent.cdninstagram.com/t51.2885-15/e15/p320x320/21042439_334419836997703_2770979381730869248_n.jpg")</f>
        <v>https://scontent.cdninstagram.com/t51.2885-15/e15/p320x320/21042439_334419836997703_2770979381730869248_n.jpg</v>
      </c>
      <c r="AE2489" s="249" t="str">
        <f>HYPERLINK("https://scontent.cdninstagram.com/t51.2885-19/s150x150/18512687_222077568285255_2339476271043444736_a.jpg")</f>
        <v>https://scontent.cdninstagram.com/t51.2885-19/s150x150/18512687_222077568285255_2339476271043444736_a.jpg</v>
      </c>
    </row>
    <row r="2490" spans="1:31" ht="15" x14ac:dyDescent="0.25">
      <c r="A2490" t="s">
        <v>2474</v>
      </c>
      <c r="B2490" t="s">
        <v>15486</v>
      </c>
      <c r="C2490" s="221">
        <v>42970.911446759259</v>
      </c>
      <c r="D2490" t="s">
        <v>15487</v>
      </c>
      <c r="E2490" s="249" t="str">
        <f>HYPERLINK("https://www.instagram.com/p/BYKKV9ghy3o/")</f>
        <v>https://www.instagram.com/p/BYKKV9ghy3o/</v>
      </c>
      <c r="F2490" t="s">
        <v>15488</v>
      </c>
      <c r="G2490" t="s">
        <v>2478</v>
      </c>
      <c r="H2490">
        <v>2569</v>
      </c>
      <c r="I2490" t="s">
        <v>2542</v>
      </c>
      <c r="J2490">
        <v>1</v>
      </c>
      <c r="K2490">
        <v>13</v>
      </c>
      <c r="L2490">
        <v>14</v>
      </c>
      <c r="Q2490">
        <v>0</v>
      </c>
      <c r="R2490">
        <v>0</v>
      </c>
      <c r="S2490">
        <v>14</v>
      </c>
      <c r="Y2490" t="s">
        <v>9194</v>
      </c>
      <c r="Z2490" t="s">
        <v>15489</v>
      </c>
      <c r="AA2490" t="s">
        <v>2497</v>
      </c>
      <c r="AB2490" t="s">
        <v>15490</v>
      </c>
      <c r="AC2490" t="s">
        <v>4589</v>
      </c>
      <c r="AD2490" s="249" t="str">
        <f>HYPERLINK("https://scontent.cdninstagram.com/t51.2885-15/e35/21040993_241227379732710_7286901085589995520_n.jpg")</f>
        <v>https://scontent.cdninstagram.com/t51.2885-15/e35/21040993_241227379732710_7286901085589995520_n.jpg</v>
      </c>
      <c r="AE2490" s="249" t="str">
        <f>HYPERLINK("https://scontent.cdninstagram.com/t51.2885-19/s150x150/16789033_973578232772950_7087870432782581760_a.jpg")</f>
        <v>https://scontent.cdninstagram.com/t51.2885-19/s150x150/16789033_973578232772950_7087870432782581760_a.jpg</v>
      </c>
    </row>
    <row r="2491" spans="1:31" ht="15" x14ac:dyDescent="0.25">
      <c r="A2491" t="s">
        <v>2474</v>
      </c>
      <c r="B2491" t="s">
        <v>15491</v>
      </c>
      <c r="C2491" s="221">
        <v>42970.91878472222</v>
      </c>
      <c r="D2491" t="s">
        <v>15492</v>
      </c>
      <c r="E2491" s="249" t="str">
        <f>HYPERLINK("https://www.instagram.com/p/BYKLjWlhVws/")</f>
        <v>https://www.instagram.com/p/BYKLjWlhVws/</v>
      </c>
      <c r="F2491" t="s">
        <v>15493</v>
      </c>
      <c r="G2491" t="s">
        <v>2478</v>
      </c>
      <c r="H2491">
        <v>115</v>
      </c>
      <c r="I2491" t="s">
        <v>2786</v>
      </c>
      <c r="J2491">
        <v>2</v>
      </c>
      <c r="K2491">
        <v>29</v>
      </c>
      <c r="L2491">
        <v>31</v>
      </c>
      <c r="Q2491">
        <v>0</v>
      </c>
      <c r="R2491">
        <v>0</v>
      </c>
      <c r="S2491">
        <v>31</v>
      </c>
      <c r="Y2491" t="s">
        <v>15494</v>
      </c>
      <c r="Z2491" t="s">
        <v>2577</v>
      </c>
      <c r="AA2491" t="s">
        <v>7757</v>
      </c>
      <c r="AB2491" t="s">
        <v>8111</v>
      </c>
      <c r="AC2491" t="s">
        <v>15495</v>
      </c>
      <c r="AD2491" s="249" t="str">
        <f>HYPERLINK("https://scontent.cdninstagram.com/t51.2885-15/s320x320/e35/21041139_143412559587907_2340419351372365824_n.jpg")</f>
        <v>https://scontent.cdninstagram.com/t51.2885-15/s320x320/e35/21041139_143412559587907_2340419351372365824_n.jpg</v>
      </c>
      <c r="AE2491" s="249" t="str">
        <f>HYPERLINK("https://scontent.cdninstagram.com/t51.2885-19/s150x150/12918648_1729823817257687_2006335791_a.jpg")</f>
        <v>https://scontent.cdninstagram.com/t51.2885-19/s150x150/12918648_1729823817257687_2006335791_a.jpg</v>
      </c>
    </row>
    <row r="2492" spans="1:31" ht="15" x14ac:dyDescent="0.25">
      <c r="A2492" t="s">
        <v>2474</v>
      </c>
      <c r="B2492" t="s">
        <v>15496</v>
      </c>
      <c r="C2492" s="221">
        <v>42970.920868055553</v>
      </c>
      <c r="D2492" t="s">
        <v>15497</v>
      </c>
      <c r="E2492" s="249" t="str">
        <f>HYPERLINK("https://www.instagram.com/p/BYKL5RVFP8H/")</f>
        <v>https://www.instagram.com/p/BYKL5RVFP8H/</v>
      </c>
      <c r="F2492" t="s">
        <v>15498</v>
      </c>
      <c r="G2492" t="s">
        <v>2478</v>
      </c>
      <c r="H2492">
        <v>416</v>
      </c>
      <c r="I2492" t="s">
        <v>2479</v>
      </c>
      <c r="J2492">
        <v>1</v>
      </c>
      <c r="K2492">
        <v>32</v>
      </c>
      <c r="L2492">
        <v>33</v>
      </c>
      <c r="Q2492">
        <v>0</v>
      </c>
      <c r="R2492">
        <v>0</v>
      </c>
      <c r="S2492">
        <v>33</v>
      </c>
      <c r="Y2492" t="s">
        <v>15499</v>
      </c>
      <c r="Z2492" t="s">
        <v>15500</v>
      </c>
      <c r="AA2492" t="s">
        <v>5924</v>
      </c>
      <c r="AB2492" t="s">
        <v>5564</v>
      </c>
      <c r="AC2492" t="s">
        <v>14737</v>
      </c>
      <c r="AD2492" s="249" t="str">
        <f>HYPERLINK("https://scontent.cdninstagram.com/t51.2885-15/s320x320/e35/21041407_152650085313601_7744776558195245056_n.jpg")</f>
        <v>https://scontent.cdninstagram.com/t51.2885-15/s320x320/e35/21041407_152650085313601_7744776558195245056_n.jpg</v>
      </c>
      <c r="AE2492" s="249" t="str">
        <f>HYPERLINK("https://scontent.cdninstagram.com/t51.2885-19/s150x150/12530999_827554867385847_405183882_a.jpg")</f>
        <v>https://scontent.cdninstagram.com/t51.2885-19/s150x150/12530999_827554867385847_405183882_a.jpg</v>
      </c>
    </row>
    <row r="2493" spans="1:31" ht="15" x14ac:dyDescent="0.25">
      <c r="A2493" t="s">
        <v>2474</v>
      </c>
      <c r="B2493" t="s">
        <v>15501</v>
      </c>
      <c r="C2493" s="221">
        <v>42970.921643518515</v>
      </c>
      <c r="D2493" t="s">
        <v>15502</v>
      </c>
      <c r="E2493" s="249" t="str">
        <f>HYPERLINK("https://www.instagram.com/p/BYKMBeABblY/")</f>
        <v>https://www.instagram.com/p/BYKMBeABblY/</v>
      </c>
      <c r="F2493" t="s">
        <v>15503</v>
      </c>
      <c r="G2493" t="s">
        <v>2478</v>
      </c>
      <c r="H2493">
        <v>270</v>
      </c>
      <c r="I2493" t="s">
        <v>2479</v>
      </c>
      <c r="J2493">
        <v>1</v>
      </c>
      <c r="K2493">
        <v>44</v>
      </c>
      <c r="L2493">
        <v>45</v>
      </c>
      <c r="Q2493">
        <v>0</v>
      </c>
      <c r="R2493">
        <v>0</v>
      </c>
      <c r="S2493">
        <v>45</v>
      </c>
      <c r="T2493" t="s">
        <v>15504</v>
      </c>
      <c r="U2493" t="s">
        <v>148</v>
      </c>
      <c r="V2493" t="s">
        <v>2299</v>
      </c>
      <c r="W2493">
        <v>45.518887350815</v>
      </c>
      <c r="X2493">
        <v>-122.65254735947001</v>
      </c>
      <c r="Y2493" t="s">
        <v>15505</v>
      </c>
      <c r="Z2493" t="s">
        <v>15506</v>
      </c>
      <c r="AA2493" t="s">
        <v>15507</v>
      </c>
      <c r="AB2493" t="s">
        <v>15508</v>
      </c>
      <c r="AC2493" t="s">
        <v>2497</v>
      </c>
      <c r="AD2493" s="249" t="str">
        <f>HYPERLINK("https://scontent.cdninstagram.com/t51.2885-15/s320x320/e35/21041434_1828657567463753_8291004481651343360_n.jpg")</f>
        <v>https://scontent.cdninstagram.com/t51.2885-15/s320x320/e35/21041434_1828657567463753_8291004481651343360_n.jpg</v>
      </c>
      <c r="AE2493" s="249" t="str">
        <f>HYPERLINK("https://scontent.cdninstagram.com/t51.2885-19/s150x150/21148976_140030049934570_3487795413249949696_a.jpg")</f>
        <v>https://scontent.cdninstagram.com/t51.2885-19/s150x150/21148976_140030049934570_3487795413249949696_a.jpg</v>
      </c>
    </row>
    <row r="2494" spans="1:31" ht="15" x14ac:dyDescent="0.25">
      <c r="A2494" t="s">
        <v>2474</v>
      </c>
      <c r="B2494" t="s">
        <v>15509</v>
      </c>
      <c r="C2494" s="221">
        <v>42970.922650462962</v>
      </c>
      <c r="D2494" t="s">
        <v>15510</v>
      </c>
      <c r="E2494" s="249" t="str">
        <f>HYPERLINK("https://www.instagram.com/p/BYKMMGWHXzB/")</f>
        <v>https://www.instagram.com/p/BYKMMGWHXzB/</v>
      </c>
      <c r="F2494" t="s">
        <v>15511</v>
      </c>
      <c r="G2494" t="s">
        <v>2631</v>
      </c>
      <c r="H2494">
        <v>191</v>
      </c>
      <c r="I2494" t="s">
        <v>2479</v>
      </c>
      <c r="J2494">
        <v>4</v>
      </c>
      <c r="K2494">
        <v>57</v>
      </c>
      <c r="L2494">
        <v>61</v>
      </c>
      <c r="Q2494">
        <v>0</v>
      </c>
      <c r="R2494">
        <v>0</v>
      </c>
      <c r="S2494">
        <v>61</v>
      </c>
      <c r="Y2494" t="s">
        <v>2911</v>
      </c>
      <c r="Z2494" t="s">
        <v>2861</v>
      </c>
      <c r="AA2494" t="s">
        <v>15512</v>
      </c>
      <c r="AB2494" t="s">
        <v>6043</v>
      </c>
      <c r="AC2494" t="s">
        <v>2492</v>
      </c>
      <c r="AD2494" s="249" t="str">
        <f>HYPERLINK("https://scontent.cdninstagram.com/t51.2885-15/e15/p320x320/21107520_267965033704935_7226922730589782016_n.jpg")</f>
        <v>https://scontent.cdninstagram.com/t51.2885-15/e15/p320x320/21107520_267965033704935_7226922730589782016_n.jpg</v>
      </c>
      <c r="AE2494" s="249" t="str">
        <f>HYPERLINK("https://scontent.cdninstagram.com/t51.2885-19/s150x150/18879291_142739099605184_5075845440503545856_a.jpg")</f>
        <v>https://scontent.cdninstagram.com/t51.2885-19/s150x150/18879291_142739099605184_5075845440503545856_a.jpg</v>
      </c>
    </row>
    <row r="2495" spans="1:31" ht="15" x14ac:dyDescent="0.25">
      <c r="A2495" t="s">
        <v>2474</v>
      </c>
      <c r="B2495" t="s">
        <v>15513</v>
      </c>
      <c r="C2495" s="221">
        <v>42970.922696759262</v>
      </c>
      <c r="D2495" t="s">
        <v>15514</v>
      </c>
      <c r="E2495" s="249" t="str">
        <f>HYPERLINK("https://www.instagram.com/p/BYKMMn5AEe5/")</f>
        <v>https://www.instagram.com/p/BYKMMn5AEe5/</v>
      </c>
      <c r="F2495" t="s">
        <v>15515</v>
      </c>
      <c r="G2495" t="s">
        <v>2478</v>
      </c>
      <c r="H2495">
        <v>13</v>
      </c>
      <c r="I2495" t="s">
        <v>2479</v>
      </c>
      <c r="J2495">
        <v>0</v>
      </c>
      <c r="K2495">
        <v>2</v>
      </c>
      <c r="L2495">
        <v>2</v>
      </c>
      <c r="Q2495">
        <v>0</v>
      </c>
      <c r="R2495">
        <v>0</v>
      </c>
      <c r="S2495">
        <v>2</v>
      </c>
      <c r="Y2495" t="s">
        <v>15516</v>
      </c>
      <c r="Z2495" t="s">
        <v>2721</v>
      </c>
      <c r="AA2495" t="s">
        <v>6231</v>
      </c>
      <c r="AB2495" t="s">
        <v>15517</v>
      </c>
      <c r="AC2495" t="s">
        <v>3014</v>
      </c>
      <c r="AD2495" s="249" t="str">
        <f>HYPERLINK("https://scontent.cdninstagram.com/t51.2885-15/s320x320/e35/21041908_110392922991287_3664517700979261440_n.jpg")</f>
        <v>https://scontent.cdninstagram.com/t51.2885-15/s320x320/e35/21041908_110392922991287_3664517700979261440_n.jpg</v>
      </c>
      <c r="AE2495" s="249" t="str">
        <f>HYPERLINK("https://scontent.cdninstagram.com/t51.2885-19/s150x150/20902709_591208761268707_7232367267357392896_a.jpg")</f>
        <v>https://scontent.cdninstagram.com/t51.2885-19/s150x150/20902709_591208761268707_7232367267357392896_a.jpg</v>
      </c>
    </row>
    <row r="2496" spans="1:31" ht="15" x14ac:dyDescent="0.25">
      <c r="A2496" t="s">
        <v>2474</v>
      </c>
      <c r="B2496" t="s">
        <v>14322</v>
      </c>
      <c r="C2496" s="221">
        <v>42970.924525462964</v>
      </c>
      <c r="D2496" t="s">
        <v>15518</v>
      </c>
      <c r="E2496" s="249" t="str">
        <f>HYPERLINK("https://www.instagram.com/p/BYKMfz6gf8Y/")</f>
        <v>https://www.instagram.com/p/BYKMfz6gf8Y/</v>
      </c>
      <c r="F2496" t="s">
        <v>7206</v>
      </c>
      <c r="G2496" t="s">
        <v>2478</v>
      </c>
      <c r="H2496">
        <v>3209</v>
      </c>
      <c r="I2496" t="s">
        <v>2479</v>
      </c>
      <c r="J2496">
        <v>0</v>
      </c>
      <c r="K2496">
        <v>31</v>
      </c>
      <c r="L2496">
        <v>31</v>
      </c>
      <c r="Q2496">
        <v>0</v>
      </c>
      <c r="R2496">
        <v>0</v>
      </c>
      <c r="S2496">
        <v>31</v>
      </c>
      <c r="Y2496" t="s">
        <v>4233</v>
      </c>
      <c r="Z2496" t="s">
        <v>3759</v>
      </c>
      <c r="AA2496" t="s">
        <v>8654</v>
      </c>
      <c r="AB2496" t="s">
        <v>11395</v>
      </c>
      <c r="AC2496" t="s">
        <v>13341</v>
      </c>
      <c r="AD2496" s="249" t="str">
        <f>HYPERLINK("https://scontent.cdninstagram.com/t51.2885-15/s320x320/e35/20987584_837035409796812_1496865243039531008_n.jpg")</f>
        <v>https://scontent.cdninstagram.com/t51.2885-15/s320x320/e35/20987584_837035409796812_1496865243039531008_n.jpg</v>
      </c>
      <c r="AE2496" s="249" t="str">
        <f>HYPERLINK("https://scontent.cdninstagram.com/t51.2885-19/s150x150/14722983_620984121413610_3612595600819748864_a.jpg")</f>
        <v>https://scontent.cdninstagram.com/t51.2885-19/s150x150/14722983_620984121413610_3612595600819748864_a.jpg</v>
      </c>
    </row>
    <row r="2497" spans="1:31" ht="15" x14ac:dyDescent="0.25">
      <c r="A2497" t="s">
        <v>2474</v>
      </c>
      <c r="B2497" t="s">
        <v>5657</v>
      </c>
      <c r="C2497" s="221">
        <v>42970.925439814811</v>
      </c>
      <c r="D2497" t="s">
        <v>15519</v>
      </c>
      <c r="E2497" s="249" t="str">
        <f>HYPERLINK("https://www.instagram.com/p/BYKMpgJg7fg/")</f>
        <v>https://www.instagram.com/p/BYKMpgJg7fg/</v>
      </c>
      <c r="F2497" t="s">
        <v>15520</v>
      </c>
      <c r="G2497" t="s">
        <v>2478</v>
      </c>
      <c r="H2497">
        <v>89</v>
      </c>
      <c r="I2497" t="s">
        <v>2927</v>
      </c>
      <c r="J2497">
        <v>2</v>
      </c>
      <c r="K2497">
        <v>26</v>
      </c>
      <c r="L2497">
        <v>28</v>
      </c>
      <c r="Q2497">
        <v>0</v>
      </c>
      <c r="R2497">
        <v>0</v>
      </c>
      <c r="S2497">
        <v>28</v>
      </c>
      <c r="Y2497" t="s">
        <v>15521</v>
      </c>
      <c r="Z2497" t="s">
        <v>12047</v>
      </c>
      <c r="AA2497" t="s">
        <v>4582</v>
      </c>
      <c r="AB2497" t="s">
        <v>2861</v>
      </c>
      <c r="AC2497" t="s">
        <v>5660</v>
      </c>
      <c r="AD2497" s="249" t="str">
        <f>HYPERLINK("https://scontent.cdninstagram.com/t51.2885-15/e35/p320x320/21041116_2012410338785259_7749513194158161920_n.jpg")</f>
        <v>https://scontent.cdninstagram.com/t51.2885-15/e35/p320x320/21041116_2012410338785259_7749513194158161920_n.jpg</v>
      </c>
      <c r="AE2497" s="249" t="str">
        <f>HYPERLINK("https://scontent.cdninstagram.com/t51.2885-19/s150x150/18722414_1929874740617287_7467972564577419264_a.jpg")</f>
        <v>https://scontent.cdninstagram.com/t51.2885-19/s150x150/18722414_1929874740617287_7467972564577419264_a.jpg</v>
      </c>
    </row>
    <row r="2498" spans="1:31" ht="15" x14ac:dyDescent="0.25">
      <c r="A2498" t="s">
        <v>2474</v>
      </c>
      <c r="B2498" t="s">
        <v>3754</v>
      </c>
      <c r="C2498" s="221">
        <v>42970.927916666667</v>
      </c>
      <c r="D2498" t="s">
        <v>15522</v>
      </c>
      <c r="E2498" s="249" t="str">
        <f>HYPERLINK("https://www.instagram.com/p/BYKNDpNDFi2/")</f>
        <v>https://www.instagram.com/p/BYKNDpNDFi2/</v>
      </c>
      <c r="F2498" t="s">
        <v>7206</v>
      </c>
      <c r="G2498" t="s">
        <v>2478</v>
      </c>
      <c r="H2498">
        <v>201569</v>
      </c>
      <c r="I2498" t="s">
        <v>2479</v>
      </c>
      <c r="J2498">
        <v>0</v>
      </c>
      <c r="K2498">
        <v>125</v>
      </c>
      <c r="L2498">
        <v>125</v>
      </c>
      <c r="Q2498">
        <v>0</v>
      </c>
      <c r="R2498">
        <v>0</v>
      </c>
      <c r="S2498">
        <v>125</v>
      </c>
      <c r="Y2498" t="s">
        <v>4233</v>
      </c>
      <c r="Z2498" t="s">
        <v>3759</v>
      </c>
      <c r="AA2498" t="s">
        <v>8654</v>
      </c>
      <c r="AB2498" t="s">
        <v>11395</v>
      </c>
      <c r="AC2498" t="s">
        <v>13341</v>
      </c>
      <c r="AD2498" s="249" t="str">
        <f>HYPERLINK("https://scontent.cdninstagram.com/t51.2885-15/s320x320/e35/21041707_1517574461613986_3590372426417963008_n.jpg")</f>
        <v>https://scontent.cdninstagram.com/t51.2885-15/s320x320/e35/21041707_1517574461613986_3590372426417963008_n.jpg</v>
      </c>
      <c r="AE2498" s="249" t="str">
        <f>HYPERLINK("https://scontent.cdninstagram.com/t51.2885-19/s150x150/12905002_1681254462136092_1137392787_a.jpg")</f>
        <v>https://scontent.cdninstagram.com/t51.2885-19/s150x150/12905002_1681254462136092_1137392787_a.jpg</v>
      </c>
    </row>
    <row r="2499" spans="1:31" ht="15" x14ac:dyDescent="0.25">
      <c r="A2499" t="s">
        <v>2474</v>
      </c>
      <c r="B2499" t="s">
        <v>13053</v>
      </c>
      <c r="C2499" s="221">
        <v>42970.928518518522</v>
      </c>
      <c r="D2499" t="s">
        <v>15523</v>
      </c>
      <c r="E2499" s="249" t="str">
        <f>HYPERLINK("https://www.instagram.com/p/BYKNJ9nByjD/")</f>
        <v>https://www.instagram.com/p/BYKNJ9nByjD/</v>
      </c>
      <c r="F2499" t="s">
        <v>15524</v>
      </c>
      <c r="G2499" t="s">
        <v>2478</v>
      </c>
      <c r="H2499">
        <v>570</v>
      </c>
      <c r="I2499" t="s">
        <v>2479</v>
      </c>
      <c r="J2499">
        <v>2</v>
      </c>
      <c r="K2499">
        <v>10</v>
      </c>
      <c r="L2499">
        <v>12</v>
      </c>
      <c r="Q2499">
        <v>0</v>
      </c>
      <c r="R2499">
        <v>0</v>
      </c>
      <c r="S2499">
        <v>12</v>
      </c>
      <c r="Y2499" t="s">
        <v>4808</v>
      </c>
      <c r="Z2499" t="s">
        <v>15525</v>
      </c>
      <c r="AA2499" t="s">
        <v>15526</v>
      </c>
      <c r="AB2499" t="s">
        <v>15527</v>
      </c>
      <c r="AC2499" t="s">
        <v>15528</v>
      </c>
      <c r="AD2499" s="249" t="str">
        <f>HYPERLINK("https://scontent.cdninstagram.com/t51.2885-15/s320x320/e35/20987447_342435086181467_1364533091581820928_n.jpg")</f>
        <v>https://scontent.cdninstagram.com/t51.2885-15/s320x320/e35/20987447_342435086181467_1364533091581820928_n.jpg</v>
      </c>
      <c r="AE2499" s="249" t="str">
        <f>HYPERLINK("https://scontent.cdninstagram.com/t51.2885-19/s150x150/18512791_101765410410438_1751000416448937984_a.jpg")</f>
        <v>https://scontent.cdninstagram.com/t51.2885-19/s150x150/18512791_101765410410438_1751000416448937984_a.jpg</v>
      </c>
    </row>
    <row r="2500" spans="1:31" ht="15" x14ac:dyDescent="0.25">
      <c r="A2500" t="s">
        <v>2474</v>
      </c>
      <c r="B2500" t="s">
        <v>9213</v>
      </c>
      <c r="C2500" s="221">
        <v>42970.930833333332</v>
      </c>
      <c r="D2500" t="s">
        <v>15529</v>
      </c>
      <c r="E2500" s="249" t="str">
        <f>HYPERLINK("https://www.instagram.com/p/BYKNiVuFXDq/")</f>
        <v>https://www.instagram.com/p/BYKNiVuFXDq/</v>
      </c>
      <c r="F2500" t="s">
        <v>15530</v>
      </c>
      <c r="G2500" t="s">
        <v>2478</v>
      </c>
      <c r="H2500">
        <v>740</v>
      </c>
      <c r="I2500" t="s">
        <v>2510</v>
      </c>
      <c r="J2500">
        <v>0</v>
      </c>
      <c r="K2500">
        <v>57</v>
      </c>
      <c r="L2500">
        <v>57</v>
      </c>
      <c r="Q2500">
        <v>0</v>
      </c>
      <c r="R2500">
        <v>0</v>
      </c>
      <c r="S2500">
        <v>57</v>
      </c>
      <c r="Y2500" t="s">
        <v>5705</v>
      </c>
      <c r="Z2500" t="s">
        <v>3165</v>
      </c>
      <c r="AA2500" t="s">
        <v>15531</v>
      </c>
      <c r="AB2500" t="s">
        <v>15532</v>
      </c>
      <c r="AC2500" t="s">
        <v>8178</v>
      </c>
      <c r="AD2500" s="249" t="str">
        <f>HYPERLINK("https://scontent.cdninstagram.com/t51.2885-15/e35/p320x320/20987397_870904743078108_5712234094826356736_n.jpg")</f>
        <v>https://scontent.cdninstagram.com/t51.2885-15/e35/p320x320/20987397_870904743078108_5712234094826356736_n.jpg</v>
      </c>
      <c r="AE2500" s="249" t="str">
        <f>HYPERLINK("https://scontent.cdninstagram.com/t51.2885-19/s150x150/17819115_1903839693165292_376181475193651200_a.jpg")</f>
        <v>https://scontent.cdninstagram.com/t51.2885-19/s150x150/17819115_1903839693165292_376181475193651200_a.jpg</v>
      </c>
    </row>
    <row r="2501" spans="1:31" ht="15" x14ac:dyDescent="0.25">
      <c r="A2501" t="s">
        <v>2474</v>
      </c>
      <c r="B2501" t="s">
        <v>3471</v>
      </c>
      <c r="C2501" s="221">
        <v>42970.941203703704</v>
      </c>
      <c r="D2501" t="s">
        <v>15533</v>
      </c>
      <c r="E2501" s="249" t="str">
        <f>HYPERLINK("https://www.instagram.com/p/BYKPPz_Hm2s/")</f>
        <v>https://www.instagram.com/p/BYKPPz_Hm2s/</v>
      </c>
      <c r="F2501" t="s">
        <v>15534</v>
      </c>
      <c r="G2501" t="s">
        <v>2488</v>
      </c>
      <c r="H2501">
        <v>197</v>
      </c>
      <c r="I2501" t="s">
        <v>2479</v>
      </c>
      <c r="J2501">
        <v>0</v>
      </c>
      <c r="K2501">
        <v>29</v>
      </c>
      <c r="L2501">
        <v>29</v>
      </c>
      <c r="Q2501">
        <v>0</v>
      </c>
      <c r="R2501">
        <v>0</v>
      </c>
      <c r="S2501">
        <v>29</v>
      </c>
      <c r="T2501" t="s">
        <v>3474</v>
      </c>
      <c r="V2501" t="s">
        <v>2258</v>
      </c>
      <c r="W2501">
        <v>1.2930600000000001</v>
      </c>
      <c r="X2501">
        <v>103.85599999999999</v>
      </c>
      <c r="Y2501" t="s">
        <v>15535</v>
      </c>
      <c r="Z2501" t="s">
        <v>5113</v>
      </c>
      <c r="AA2501" t="s">
        <v>2832</v>
      </c>
      <c r="AB2501" t="s">
        <v>3851</v>
      </c>
      <c r="AC2501" t="s">
        <v>6774</v>
      </c>
      <c r="AD2501" s="249" t="str">
        <f>HYPERLINK("https://scontent.cdninstagram.com/t51.2885-15/s320x320/e35/20986657_113854405980616_326425735063404544_n.jpg")</f>
        <v>https://scontent.cdninstagram.com/t51.2885-15/s320x320/e35/20986657_113854405980616_326425735063404544_n.jpg</v>
      </c>
      <c r="AE2501" s="249" t="str">
        <f>HYPERLINK("https://scontent.cdninstagram.com/t51.2885-19/s150x150/19986209_741127056067001_1270489010199855104_a.jpg")</f>
        <v>https://scontent.cdninstagram.com/t51.2885-19/s150x150/19986209_741127056067001_1270489010199855104_a.jpg</v>
      </c>
    </row>
    <row r="2502" spans="1:31" ht="15" x14ac:dyDescent="0.25">
      <c r="A2502" t="s">
        <v>2474</v>
      </c>
      <c r="B2502" t="s">
        <v>15536</v>
      </c>
      <c r="C2502" s="221">
        <v>42970.942662037036</v>
      </c>
      <c r="D2502" t="s">
        <v>15537</v>
      </c>
      <c r="E2502" s="249" t="str">
        <f>HYPERLINK("https://www.instagram.com/p/BYKPfKrAfWq/")</f>
        <v>https://www.instagram.com/p/BYKPfKrAfWq/</v>
      </c>
      <c r="F2502" t="s">
        <v>15538</v>
      </c>
      <c r="G2502" t="s">
        <v>2478</v>
      </c>
      <c r="H2502">
        <v>38</v>
      </c>
      <c r="I2502" t="s">
        <v>2479</v>
      </c>
      <c r="J2502">
        <v>0</v>
      </c>
      <c r="K2502">
        <v>17</v>
      </c>
      <c r="L2502">
        <v>17</v>
      </c>
      <c r="Q2502">
        <v>0</v>
      </c>
      <c r="R2502">
        <v>0</v>
      </c>
      <c r="S2502">
        <v>17</v>
      </c>
      <c r="Y2502" t="s">
        <v>15539</v>
      </c>
      <c r="Z2502" t="s">
        <v>15540</v>
      </c>
      <c r="AA2502" t="s">
        <v>8786</v>
      </c>
      <c r="AB2502" t="s">
        <v>3370</v>
      </c>
      <c r="AC2502" t="s">
        <v>15541</v>
      </c>
      <c r="AD2502" s="249" t="str">
        <f>HYPERLINK("https://scontent.cdninstagram.com/t51.2885-15/e35/p320x320/20969143_1875850429344736_6104963902917836800_n.jpg")</f>
        <v>https://scontent.cdninstagram.com/t51.2885-15/e35/p320x320/20969143_1875850429344736_6104963902917836800_n.jpg</v>
      </c>
      <c r="AE2502" s="249" t="str">
        <f>HYPERLINK("https://scontent.cdninstagram.com/t51.2885-19/s150x150/20838355_528618384146304_8527210584666537984_a.jpg")</f>
        <v>https://scontent.cdninstagram.com/t51.2885-19/s150x150/20838355_528618384146304_8527210584666537984_a.jpg</v>
      </c>
    </row>
    <row r="2503" spans="1:31" ht="15" x14ac:dyDescent="0.25">
      <c r="A2503" t="s">
        <v>2474</v>
      </c>
      <c r="B2503" t="s">
        <v>15542</v>
      </c>
      <c r="C2503" s="221">
        <v>42970.946967592594</v>
      </c>
      <c r="D2503" t="s">
        <v>15543</v>
      </c>
      <c r="E2503" s="249" t="str">
        <f>HYPERLINK("https://www.instagram.com/p/BYKQMiYANgq/")</f>
        <v>https://www.instagram.com/p/BYKQMiYANgq/</v>
      </c>
      <c r="F2503" t="s">
        <v>15544</v>
      </c>
      <c r="G2503" t="s">
        <v>2478</v>
      </c>
      <c r="H2503">
        <v>191</v>
      </c>
      <c r="I2503" t="s">
        <v>2519</v>
      </c>
      <c r="J2503">
        <v>0</v>
      </c>
      <c r="K2503">
        <v>14</v>
      </c>
      <c r="L2503">
        <v>14</v>
      </c>
      <c r="Q2503">
        <v>0</v>
      </c>
      <c r="R2503">
        <v>0</v>
      </c>
      <c r="S2503">
        <v>14</v>
      </c>
      <c r="Y2503" t="s">
        <v>15545</v>
      </c>
      <c r="Z2503" t="s">
        <v>15546</v>
      </c>
      <c r="AA2503" t="s">
        <v>2735</v>
      </c>
      <c r="AB2503" t="s">
        <v>2497</v>
      </c>
      <c r="AC2503" t="s">
        <v>3012</v>
      </c>
      <c r="AD2503" s="249" t="str">
        <f>HYPERLINK("https://scontent.cdninstagram.com/t51.2885-15/s320x320/e35/20969124_1820831274611125_368111974673809408_n.jpg")</f>
        <v>https://scontent.cdninstagram.com/t51.2885-15/s320x320/e35/20969124_1820831274611125_368111974673809408_n.jpg</v>
      </c>
      <c r="AE2503" s="249" t="str">
        <f>HYPERLINK("https://scontent.cdninstagram.com/t51.2885-19/s150x150/21042567_161759677709838_7100474246240927744_a.jpg")</f>
        <v>https://scontent.cdninstagram.com/t51.2885-19/s150x150/21042567_161759677709838_7100474246240927744_a.jpg</v>
      </c>
    </row>
    <row r="2504" spans="1:31" ht="15" x14ac:dyDescent="0.25">
      <c r="A2504" t="s">
        <v>2474</v>
      </c>
      <c r="B2504" t="s">
        <v>5699</v>
      </c>
      <c r="C2504" s="221">
        <v>42970.947291666664</v>
      </c>
      <c r="D2504" t="s">
        <v>15547</v>
      </c>
      <c r="E2504" s="249" t="str">
        <f>HYPERLINK("https://www.instagram.com/p/BYKQP7lFk0f/")</f>
        <v>https://www.instagram.com/p/BYKQP7lFk0f/</v>
      </c>
      <c r="F2504" t="s">
        <v>15548</v>
      </c>
      <c r="G2504" t="s">
        <v>2478</v>
      </c>
      <c r="H2504">
        <v>94</v>
      </c>
      <c r="I2504" t="s">
        <v>2542</v>
      </c>
      <c r="J2504">
        <v>2</v>
      </c>
      <c r="K2504">
        <v>24</v>
      </c>
      <c r="L2504">
        <v>26</v>
      </c>
      <c r="Q2504">
        <v>0</v>
      </c>
      <c r="R2504">
        <v>0</v>
      </c>
      <c r="S2504">
        <v>26</v>
      </c>
      <c r="Y2504" t="s">
        <v>5113</v>
      </c>
      <c r="Z2504" t="s">
        <v>5705</v>
      </c>
      <c r="AA2504" t="s">
        <v>5706</v>
      </c>
      <c r="AB2504" t="s">
        <v>9408</v>
      </c>
      <c r="AC2504" t="s">
        <v>10236</v>
      </c>
      <c r="AD2504" s="249" t="str">
        <f>HYPERLINK("https://scontent.cdninstagram.com/t51.2885-15/s320x320/e35/21040926_1733762816928246_1457109385070247936_n.jpg")</f>
        <v>https://scontent.cdninstagram.com/t51.2885-15/s320x320/e35/21040926_1733762816928246_1457109385070247936_n.jpg</v>
      </c>
      <c r="AE2504" s="249" t="str">
        <f>HYPERLINK("https://scontent.cdninstagram.com/t51.2885-19/s150x150/18252635_446319085720165_2717160400675143680_a.jpg")</f>
        <v>https://scontent.cdninstagram.com/t51.2885-19/s150x150/18252635_446319085720165_2717160400675143680_a.jpg</v>
      </c>
    </row>
    <row r="2505" spans="1:31" ht="15" x14ac:dyDescent="0.25">
      <c r="A2505" t="s">
        <v>2474</v>
      </c>
      <c r="B2505" t="s">
        <v>15549</v>
      </c>
      <c r="C2505" s="221">
        <v>42970.958252314813</v>
      </c>
      <c r="D2505" t="s">
        <v>15550</v>
      </c>
      <c r="E2505" s="249" t="str">
        <f>HYPERLINK("https://www.instagram.com/p/BYKSDjdlUYR/")</f>
        <v>https://www.instagram.com/p/BYKSDjdlUYR/</v>
      </c>
      <c r="F2505" t="s">
        <v>15551</v>
      </c>
      <c r="G2505" t="s">
        <v>2478</v>
      </c>
      <c r="H2505">
        <v>89</v>
      </c>
      <c r="I2505" t="s">
        <v>2479</v>
      </c>
      <c r="J2505">
        <v>4</v>
      </c>
      <c r="K2505">
        <v>25</v>
      </c>
      <c r="L2505">
        <v>29</v>
      </c>
      <c r="Q2505">
        <v>0</v>
      </c>
      <c r="R2505">
        <v>0</v>
      </c>
      <c r="S2505">
        <v>29</v>
      </c>
      <c r="Y2505" t="s">
        <v>15552</v>
      </c>
      <c r="Z2505" t="s">
        <v>3543</v>
      </c>
      <c r="AA2505" t="s">
        <v>15553</v>
      </c>
      <c r="AB2505" t="s">
        <v>3706</v>
      </c>
      <c r="AC2505" t="s">
        <v>8753</v>
      </c>
      <c r="AD2505" s="249" t="str">
        <f>HYPERLINK("https://scontent.cdninstagram.com/t51.2885-15/s320x320/e35/21042530_2135834929976700_2990277985208107008_n.jpg")</f>
        <v>https://scontent.cdninstagram.com/t51.2885-15/s320x320/e35/21042530_2135834929976700_2990277985208107008_n.jpg</v>
      </c>
      <c r="AE2505" s="249" t="str">
        <f>HYPERLINK("https://scontent.cdninstagram.com/t51.2885-19/s150x150/18160310_1857341967837172_7826598635826577408_a.jpg")</f>
        <v>https://scontent.cdninstagram.com/t51.2885-19/s150x150/18160310_1857341967837172_7826598635826577408_a.jpg</v>
      </c>
    </row>
    <row r="2506" spans="1:31" ht="15" x14ac:dyDescent="0.25">
      <c r="A2506" t="s">
        <v>2474</v>
      </c>
      <c r="B2506" t="s">
        <v>15554</v>
      </c>
      <c r="C2506" s="221">
        <v>42970.963935185187</v>
      </c>
      <c r="D2506" t="s">
        <v>15555</v>
      </c>
      <c r="E2506" s="249" t="str">
        <f>HYPERLINK("https://www.instagram.com/p/BYKS_kBBCSg/")</f>
        <v>https://www.instagram.com/p/BYKS_kBBCSg/</v>
      </c>
      <c r="F2506" t="s">
        <v>15556</v>
      </c>
      <c r="G2506" t="s">
        <v>2478</v>
      </c>
      <c r="H2506">
        <v>1036</v>
      </c>
      <c r="I2506" t="s">
        <v>2479</v>
      </c>
      <c r="J2506">
        <v>4</v>
      </c>
      <c r="K2506">
        <v>82</v>
      </c>
      <c r="L2506">
        <v>86</v>
      </c>
      <c r="Q2506">
        <v>0</v>
      </c>
      <c r="R2506">
        <v>0</v>
      </c>
      <c r="S2506">
        <v>86</v>
      </c>
      <c r="Y2506" t="s">
        <v>15557</v>
      </c>
      <c r="Z2506" t="s">
        <v>15558</v>
      </c>
      <c r="AA2506" t="s">
        <v>7552</v>
      </c>
      <c r="AB2506" t="s">
        <v>15559</v>
      </c>
      <c r="AC2506" t="s">
        <v>15560</v>
      </c>
      <c r="AD2506" s="249" t="str">
        <f>HYPERLINK("https://scontent.cdninstagram.com/t51.2885-15/s320x320/e35/20987254_481732705536250_8564887412176584704_n.jpg")</f>
        <v>https://scontent.cdninstagram.com/t51.2885-15/s320x320/e35/20987254_481732705536250_8564887412176584704_n.jpg</v>
      </c>
      <c r="AE2506" s="249" t="str">
        <f>HYPERLINK("https://scontent.cdninstagram.com/t51.2885-19/s150x150/18879060_385034078558093_1067785735152599040_a.jpg")</f>
        <v>https://scontent.cdninstagram.com/t51.2885-19/s150x150/18879060_385034078558093_1067785735152599040_a.jpg</v>
      </c>
    </row>
    <row r="2507" spans="1:31" ht="15" x14ac:dyDescent="0.25">
      <c r="A2507" t="s">
        <v>2474</v>
      </c>
      <c r="B2507" t="s">
        <v>15561</v>
      </c>
      <c r="C2507" s="221">
        <v>42970.973460648151</v>
      </c>
      <c r="D2507" t="s">
        <v>15562</v>
      </c>
      <c r="E2507" s="249" t="str">
        <f>HYPERLINK("https://www.instagram.com/p/BYKUj-Pn9e6/")</f>
        <v>https://www.instagram.com/p/BYKUj-Pn9e6/</v>
      </c>
      <c r="F2507" t="s">
        <v>15563</v>
      </c>
      <c r="G2507" t="s">
        <v>2478</v>
      </c>
      <c r="H2507">
        <v>1781</v>
      </c>
      <c r="I2507" t="s">
        <v>2479</v>
      </c>
      <c r="J2507">
        <v>0</v>
      </c>
      <c r="K2507">
        <v>69</v>
      </c>
      <c r="L2507">
        <v>69</v>
      </c>
      <c r="Q2507">
        <v>0</v>
      </c>
      <c r="R2507">
        <v>0</v>
      </c>
      <c r="S2507">
        <v>69</v>
      </c>
      <c r="Y2507" t="s">
        <v>15564</v>
      </c>
      <c r="Z2507" t="s">
        <v>15565</v>
      </c>
      <c r="AA2507" t="s">
        <v>2497</v>
      </c>
      <c r="AB2507" t="s">
        <v>15566</v>
      </c>
      <c r="AC2507" t="s">
        <v>15567</v>
      </c>
      <c r="AD2507" s="249" t="str">
        <f>HYPERLINK("https://scontent.cdninstagram.com/t51.2885-15/e35/p320x320/21041546_1556955631032076_7392745563847917568_n.jpg")</f>
        <v>https://scontent.cdninstagram.com/t51.2885-15/e35/p320x320/21041546_1556955631032076_7392745563847917568_n.jpg</v>
      </c>
      <c r="AE2507" s="249" t="str">
        <f>HYPERLINK("https://scontent.cdninstagram.com/t51.2885-19/s150x150/20986923_470742776616881_1874315498817060864_a.jpg")</f>
        <v>https://scontent.cdninstagram.com/t51.2885-19/s150x150/20986923_470742776616881_1874315498817060864_a.jpg</v>
      </c>
    </row>
    <row r="2508" spans="1:31" ht="15" x14ac:dyDescent="0.25">
      <c r="A2508" t="s">
        <v>2474</v>
      </c>
      <c r="B2508" t="s">
        <v>15568</v>
      </c>
      <c r="C2508" s="221">
        <v>42970.97625</v>
      </c>
      <c r="D2508" t="s">
        <v>15569</v>
      </c>
      <c r="E2508" s="249" t="str">
        <f>HYPERLINK("https://www.instagram.com/p/BYKVBbel-lL/")</f>
        <v>https://www.instagram.com/p/BYKVBbel-lL/</v>
      </c>
      <c r="F2508" t="s">
        <v>15570</v>
      </c>
      <c r="G2508" t="s">
        <v>2478</v>
      </c>
      <c r="H2508">
        <v>1582</v>
      </c>
      <c r="I2508" t="s">
        <v>2479</v>
      </c>
      <c r="J2508">
        <v>0</v>
      </c>
      <c r="K2508">
        <v>81</v>
      </c>
      <c r="L2508">
        <v>81</v>
      </c>
      <c r="Q2508">
        <v>0</v>
      </c>
      <c r="R2508">
        <v>0</v>
      </c>
      <c r="S2508">
        <v>81</v>
      </c>
      <c r="Y2508" t="s">
        <v>2497</v>
      </c>
      <c r="Z2508" t="s">
        <v>15571</v>
      </c>
      <c r="AA2508" t="s">
        <v>15572</v>
      </c>
      <c r="AD2508" s="249" t="str">
        <f>HYPERLINK("https://scontent.cdninstagram.com/t51.2885-15/s320x320/e35/21042559_857171437780273_376324935691272192_n.jpg")</f>
        <v>https://scontent.cdninstagram.com/t51.2885-15/s320x320/e35/21042559_857171437780273_376324935691272192_n.jpg</v>
      </c>
      <c r="AE2508" s="249" t="str">
        <f>HYPERLINK("https://scontent.cdninstagram.com/t51.2885-19/s150x150/20987362_144961322766403_2973605570705096704_a.jpg")</f>
        <v>https://scontent.cdninstagram.com/t51.2885-19/s150x150/20987362_144961322766403_2973605570705096704_a.jpg</v>
      </c>
    </row>
    <row r="2509" spans="1:31" ht="15" x14ac:dyDescent="0.25">
      <c r="A2509" t="s">
        <v>2474</v>
      </c>
      <c r="B2509" t="s">
        <v>15573</v>
      </c>
      <c r="C2509" s="221">
        <v>42970.98060185185</v>
      </c>
      <c r="D2509" t="s">
        <v>15574</v>
      </c>
      <c r="E2509" s="249" t="str">
        <f>HYPERLINK("https://www.instagram.com/p/BYKVvQOlT2_/")</f>
        <v>https://www.instagram.com/p/BYKVvQOlT2_/</v>
      </c>
      <c r="F2509" t="s">
        <v>15575</v>
      </c>
      <c r="G2509" t="s">
        <v>2478</v>
      </c>
      <c r="H2509">
        <v>681</v>
      </c>
      <c r="I2509" t="s">
        <v>2479</v>
      </c>
      <c r="J2509">
        <v>0</v>
      </c>
      <c r="K2509">
        <v>50</v>
      </c>
      <c r="L2509">
        <v>50</v>
      </c>
      <c r="Q2509">
        <v>0</v>
      </c>
      <c r="R2509">
        <v>0</v>
      </c>
      <c r="S2509">
        <v>50</v>
      </c>
      <c r="Y2509" t="s">
        <v>13515</v>
      </c>
      <c r="Z2509" t="s">
        <v>15576</v>
      </c>
      <c r="AA2509" t="s">
        <v>15577</v>
      </c>
      <c r="AB2509" t="s">
        <v>2492</v>
      </c>
      <c r="AC2509" t="s">
        <v>8181</v>
      </c>
      <c r="AD2509" s="249" t="str">
        <f>HYPERLINK("https://scontent.cdninstagram.com/t51.2885-15/e35/p320x320/20987390_204653456737868_3272560815202369536_n.jpg")</f>
        <v>https://scontent.cdninstagram.com/t51.2885-15/e35/p320x320/20987390_204653456737868_3272560815202369536_n.jpg</v>
      </c>
      <c r="AE2509" s="249" t="str">
        <f>HYPERLINK("https://scontent.cdninstagram.com/t51.2885-19/s150x150/17265800_259014251224891_4137193678131167232_a.jpg")</f>
        <v>https://scontent.cdninstagram.com/t51.2885-19/s150x150/17265800_259014251224891_4137193678131167232_a.jpg</v>
      </c>
    </row>
    <row r="2510" spans="1:31" ht="15" x14ac:dyDescent="0.25">
      <c r="A2510" t="s">
        <v>2474</v>
      </c>
      <c r="B2510" t="s">
        <v>15578</v>
      </c>
      <c r="C2510" s="221">
        <v>42970.982453703706</v>
      </c>
      <c r="D2510" t="s">
        <v>15579</v>
      </c>
      <c r="E2510" s="249" t="str">
        <f>HYPERLINK("https://www.instagram.com/p/BYKWC31AuL-/")</f>
        <v>https://www.instagram.com/p/BYKWC31AuL-/</v>
      </c>
      <c r="F2510" t="s">
        <v>15580</v>
      </c>
      <c r="G2510" t="s">
        <v>2478</v>
      </c>
      <c r="H2510">
        <v>69</v>
      </c>
      <c r="I2510" t="s">
        <v>3186</v>
      </c>
      <c r="J2510">
        <v>5</v>
      </c>
      <c r="K2510">
        <v>21</v>
      </c>
      <c r="L2510">
        <v>26</v>
      </c>
      <c r="Q2510">
        <v>0</v>
      </c>
      <c r="R2510">
        <v>0</v>
      </c>
      <c r="S2510">
        <v>26</v>
      </c>
      <c r="Y2510" t="s">
        <v>15581</v>
      </c>
      <c r="Z2510" t="s">
        <v>3006</v>
      </c>
      <c r="AA2510" t="s">
        <v>2497</v>
      </c>
      <c r="AB2510" t="s">
        <v>15582</v>
      </c>
      <c r="AC2510" t="s">
        <v>6612</v>
      </c>
      <c r="AD2510" s="249" t="str">
        <f>HYPERLINK("https://scontent.cdninstagram.com/t51.2885-15/e35/p320x320/21041989_2045910228964157_1181903389869473792_n.jpg")</f>
        <v>https://scontent.cdninstagram.com/t51.2885-15/e35/p320x320/21041989_2045910228964157_1181903389869473792_n.jpg</v>
      </c>
      <c r="AE2510" s="249" t="str">
        <f>HYPERLINK("https://scontent.cdninstagram.com/t51.2885-19/s150x150/16908482_257317424718985_8684820182029303808_a.jpg")</f>
        <v>https://scontent.cdninstagram.com/t51.2885-19/s150x150/16908482_257317424718985_8684820182029303808_a.jpg</v>
      </c>
    </row>
    <row r="2511" spans="1:31" ht="15" x14ac:dyDescent="0.25">
      <c r="A2511" t="s">
        <v>2474</v>
      </c>
      <c r="B2511" t="s">
        <v>15583</v>
      </c>
      <c r="C2511" s="221">
        <v>42970.992349537039</v>
      </c>
      <c r="D2511" t="s">
        <v>15584</v>
      </c>
      <c r="E2511" s="249" t="str">
        <f>HYPERLINK("https://www.instagram.com/p/BYKXrO1lL5I/")</f>
        <v>https://www.instagram.com/p/BYKXrO1lL5I/</v>
      </c>
      <c r="F2511" t="s">
        <v>15585</v>
      </c>
      <c r="G2511" t="s">
        <v>2478</v>
      </c>
      <c r="H2511">
        <v>315</v>
      </c>
      <c r="I2511" t="s">
        <v>2927</v>
      </c>
      <c r="J2511">
        <v>0</v>
      </c>
      <c r="K2511">
        <v>32</v>
      </c>
      <c r="L2511">
        <v>32</v>
      </c>
      <c r="Q2511">
        <v>0</v>
      </c>
      <c r="R2511">
        <v>0</v>
      </c>
      <c r="S2511">
        <v>32</v>
      </c>
      <c r="T2511" t="s">
        <v>15586</v>
      </c>
      <c r="U2511" t="s">
        <v>97</v>
      </c>
      <c r="V2511" t="s">
        <v>2299</v>
      </c>
      <c r="W2511">
        <v>33.692900000000002</v>
      </c>
      <c r="X2511">
        <v>-118</v>
      </c>
      <c r="Y2511" t="s">
        <v>15587</v>
      </c>
      <c r="Z2511" t="s">
        <v>15588</v>
      </c>
      <c r="AA2511" t="s">
        <v>2497</v>
      </c>
      <c r="AB2511" t="s">
        <v>15589</v>
      </c>
      <c r="AC2511" t="s">
        <v>15590</v>
      </c>
      <c r="AD2511" s="249" t="str">
        <f>HYPERLINK("https://scontent.cdninstagram.com/t51.2885-15/s320x320/e35/21041703_112116922801019_4941490909205233664_n.jpg")</f>
        <v>https://scontent.cdninstagram.com/t51.2885-15/s320x320/e35/21041703_112116922801019_4941490909205233664_n.jpg</v>
      </c>
      <c r="AE2511" s="249" t="str">
        <f>HYPERLINK("https://scontent.cdninstagram.com/t51.2885-19/10787928_1505976456353489_522912353_a.jpg")</f>
        <v>https://scontent.cdninstagram.com/t51.2885-19/10787928_1505976456353489_522912353_a.jpg</v>
      </c>
    </row>
    <row r="2512" spans="1:31" ht="15" x14ac:dyDescent="0.25">
      <c r="A2512" t="s">
        <v>2474</v>
      </c>
      <c r="B2512" t="s">
        <v>15591</v>
      </c>
      <c r="C2512" s="221">
        <v>42970.999444444446</v>
      </c>
      <c r="D2512" t="s">
        <v>15592</v>
      </c>
      <c r="E2512" s="249" t="str">
        <f>HYPERLINK("https://www.instagram.com/p/BYKY1_wDCo-/")</f>
        <v>https://www.instagram.com/p/BYKY1_wDCo-/</v>
      </c>
      <c r="F2512" t="s">
        <v>15593</v>
      </c>
      <c r="G2512" t="s">
        <v>2478</v>
      </c>
      <c r="H2512">
        <v>1172</v>
      </c>
      <c r="I2512" t="s">
        <v>2479</v>
      </c>
      <c r="J2512">
        <v>1</v>
      </c>
      <c r="K2512">
        <v>37</v>
      </c>
      <c r="L2512">
        <v>38</v>
      </c>
      <c r="Q2512">
        <v>0</v>
      </c>
      <c r="R2512">
        <v>0</v>
      </c>
      <c r="S2512">
        <v>38</v>
      </c>
      <c r="T2512" t="s">
        <v>15594</v>
      </c>
      <c r="U2512" t="s">
        <v>142</v>
      </c>
      <c r="V2512" t="s">
        <v>2299</v>
      </c>
      <c r="W2512">
        <v>33.597184654463</v>
      </c>
      <c r="X2512">
        <v>-112.03600259181999</v>
      </c>
      <c r="Y2512" t="s">
        <v>15595</v>
      </c>
      <c r="Z2512" t="s">
        <v>9803</v>
      </c>
      <c r="AA2512" t="s">
        <v>15596</v>
      </c>
      <c r="AB2512" t="s">
        <v>15597</v>
      </c>
      <c r="AC2512" t="s">
        <v>15598</v>
      </c>
      <c r="AD2512" s="249" t="str">
        <f>HYPERLINK("https://scontent.cdninstagram.com/t51.2885-15/s320x320/e35/21107356_1009243775889317_3056912555969609728_n.jpg")</f>
        <v>https://scontent.cdninstagram.com/t51.2885-15/s320x320/e35/21107356_1009243775889317_3056912555969609728_n.jpg</v>
      </c>
      <c r="AE2512" s="249" t="str">
        <f>HYPERLINK("https://scontent.cdninstagram.com/t51.2885-19/s150x150/20838616_335261533568999_3666562345930326016_a.jpg")</f>
        <v>https://scontent.cdninstagram.com/t51.2885-19/s150x150/20838616_335261533568999_3666562345930326016_a.jpg</v>
      </c>
    </row>
    <row r="2513" spans="1:31" ht="15" x14ac:dyDescent="0.25">
      <c r="A2513" t="s">
        <v>2474</v>
      </c>
      <c r="B2513" t="s">
        <v>15599</v>
      </c>
      <c r="C2513" s="221">
        <v>42971.003935185188</v>
      </c>
      <c r="D2513" t="s">
        <v>15600</v>
      </c>
      <c r="E2513" s="249" t="str">
        <f>HYPERLINK("https://www.instagram.com/p/BYKZlVrhKVM/")</f>
        <v>https://www.instagram.com/p/BYKZlVrhKVM/</v>
      </c>
      <c r="F2513" t="s">
        <v>15601</v>
      </c>
      <c r="G2513" t="s">
        <v>2488</v>
      </c>
      <c r="H2513">
        <v>130</v>
      </c>
      <c r="I2513" t="s">
        <v>2479</v>
      </c>
      <c r="J2513">
        <v>2</v>
      </c>
      <c r="K2513">
        <v>20</v>
      </c>
      <c r="L2513">
        <v>22</v>
      </c>
      <c r="Q2513">
        <v>0</v>
      </c>
      <c r="R2513">
        <v>0</v>
      </c>
      <c r="S2513">
        <v>22</v>
      </c>
      <c r="T2513" t="s">
        <v>15602</v>
      </c>
      <c r="U2513" t="s">
        <v>108</v>
      </c>
      <c r="V2513" t="s">
        <v>2299</v>
      </c>
      <c r="W2513">
        <v>38.9283</v>
      </c>
      <c r="X2513">
        <v>-77.175399999999996</v>
      </c>
      <c r="Y2513" t="s">
        <v>15603</v>
      </c>
      <c r="Z2513" t="s">
        <v>15604</v>
      </c>
      <c r="AA2513" t="s">
        <v>15605</v>
      </c>
      <c r="AB2513" t="s">
        <v>15606</v>
      </c>
      <c r="AC2513" t="s">
        <v>2497</v>
      </c>
      <c r="AD2513" s="249" t="str">
        <f>HYPERLINK("https://scontent.cdninstagram.com/t51.2885-15/s320x320/e15/20986965_114228682616912_5568303143667630080_n.jpg")</f>
        <v>https://scontent.cdninstagram.com/t51.2885-15/s320x320/e15/20986965_114228682616912_5568303143667630080_n.jpg</v>
      </c>
      <c r="AE2513" s="249" t="str">
        <f>HYPERLINK("https://scontent.cdninstagram.com/t51.2885-19/s150x150/14295449_179977365769071_25675810_a.jpg")</f>
        <v>https://scontent.cdninstagram.com/t51.2885-19/s150x150/14295449_179977365769071_25675810_a.jpg</v>
      </c>
    </row>
    <row r="2514" spans="1:31" ht="15" x14ac:dyDescent="0.25">
      <c r="A2514" t="s">
        <v>2474</v>
      </c>
      <c r="B2514" t="s">
        <v>15607</v>
      </c>
      <c r="C2514" s="221">
        <v>42971.019166666665</v>
      </c>
      <c r="D2514" t="s">
        <v>15608</v>
      </c>
      <c r="E2514" s="249" t="str">
        <f>HYPERLINK("https://www.instagram.com/p/BYKcF_Xl0x0/")</f>
        <v>https://www.instagram.com/p/BYKcF_Xl0x0/</v>
      </c>
      <c r="F2514" t="s">
        <v>15609</v>
      </c>
      <c r="G2514" t="s">
        <v>2478</v>
      </c>
      <c r="H2514">
        <v>357</v>
      </c>
      <c r="I2514" t="s">
        <v>2910</v>
      </c>
      <c r="J2514">
        <v>0</v>
      </c>
      <c r="K2514">
        <v>51</v>
      </c>
      <c r="L2514">
        <v>51</v>
      </c>
      <c r="Q2514">
        <v>0</v>
      </c>
      <c r="R2514">
        <v>0</v>
      </c>
      <c r="S2514">
        <v>51</v>
      </c>
      <c r="Y2514" t="s">
        <v>10364</v>
      </c>
      <c r="Z2514" t="s">
        <v>15610</v>
      </c>
      <c r="AA2514" t="s">
        <v>4514</v>
      </c>
      <c r="AB2514" t="s">
        <v>2778</v>
      </c>
      <c r="AC2514" t="s">
        <v>3698</v>
      </c>
      <c r="AD2514" s="249" t="str">
        <f>HYPERLINK("https://scontent.cdninstagram.com/t51.2885-15/s320x320/e35/20969049_495091564162384_5258487395757588480_n.jpg")</f>
        <v>https://scontent.cdninstagram.com/t51.2885-15/s320x320/e35/20969049_495091564162384_5258487395757588480_n.jpg</v>
      </c>
      <c r="AE2514" s="249" t="str">
        <f>HYPERLINK("https://scontent.cdninstagram.com/t51.2885-19/s150x150/15305942_671900596302257_4869138817849753600_a.jpg")</f>
        <v>https://scontent.cdninstagram.com/t51.2885-19/s150x150/15305942_671900596302257_4869138817849753600_a.jpg</v>
      </c>
    </row>
    <row r="2515" spans="1:31" ht="15" x14ac:dyDescent="0.25">
      <c r="A2515" t="s">
        <v>2474</v>
      </c>
      <c r="B2515" t="s">
        <v>15611</v>
      </c>
      <c r="C2515" s="221">
        <v>42971.021203703705</v>
      </c>
      <c r="D2515" t="s">
        <v>15612</v>
      </c>
      <c r="E2515" s="249" t="str">
        <f>HYPERLINK("https://www.instagram.com/p/BYKcbh7lBR3/")</f>
        <v>https://www.instagram.com/p/BYKcbh7lBR3/</v>
      </c>
      <c r="F2515" t="s">
        <v>15613</v>
      </c>
      <c r="G2515" t="s">
        <v>2478</v>
      </c>
      <c r="H2515">
        <v>4</v>
      </c>
      <c r="I2515" t="s">
        <v>2479</v>
      </c>
      <c r="J2515">
        <v>0</v>
      </c>
      <c r="K2515">
        <v>2</v>
      </c>
      <c r="L2515">
        <v>2</v>
      </c>
      <c r="Q2515">
        <v>0</v>
      </c>
      <c r="R2515">
        <v>0</v>
      </c>
      <c r="S2515">
        <v>2</v>
      </c>
      <c r="Y2515" t="s">
        <v>2497</v>
      </c>
      <c r="AD2515" s="249" t="str">
        <f>HYPERLINK("https://scontent.cdninstagram.com/t51.2885-15/s320x320/e35/21041884_1577642725653511_3647933771392483328_n.jpg")</f>
        <v>https://scontent.cdninstagram.com/t51.2885-15/s320x320/e35/21041884_1577642725653511_3647933771392483328_n.jpg</v>
      </c>
      <c r="AE2515" s="249" t="str">
        <f>HYPERLINK("https://scontent.cdninstagram.com/t51.2885-19/s150x150/20214043_2078240975795420_7949784877765754880_a.jpg")</f>
        <v>https://scontent.cdninstagram.com/t51.2885-19/s150x150/20214043_2078240975795420_7949784877765754880_a.jpg</v>
      </c>
    </row>
    <row r="2516" spans="1:31" ht="15" x14ac:dyDescent="0.25">
      <c r="A2516" t="s">
        <v>2474</v>
      </c>
      <c r="B2516" t="s">
        <v>15614</v>
      </c>
      <c r="C2516" s="221">
        <v>42971.022800925923</v>
      </c>
      <c r="D2516" t="s">
        <v>15615</v>
      </c>
      <c r="E2516" s="249" t="str">
        <f>HYPERLINK("https://www.instagram.com/p/BYKcsXtFu5a/")</f>
        <v>https://www.instagram.com/p/BYKcsXtFu5a/</v>
      </c>
      <c r="F2516" t="s">
        <v>15616</v>
      </c>
      <c r="G2516" t="s">
        <v>2478</v>
      </c>
      <c r="H2516">
        <v>390</v>
      </c>
      <c r="I2516" t="s">
        <v>2479</v>
      </c>
      <c r="J2516">
        <v>3</v>
      </c>
      <c r="K2516">
        <v>54</v>
      </c>
      <c r="L2516">
        <v>57</v>
      </c>
      <c r="Q2516">
        <v>0</v>
      </c>
      <c r="R2516">
        <v>0</v>
      </c>
      <c r="S2516">
        <v>57</v>
      </c>
      <c r="T2516" t="s">
        <v>15617</v>
      </c>
      <c r="V2516" t="s">
        <v>2125</v>
      </c>
      <c r="W2516">
        <v>51</v>
      </c>
      <c r="X2516">
        <v>-118.18300000000001</v>
      </c>
      <c r="Y2516" t="s">
        <v>3535</v>
      </c>
      <c r="Z2516" t="s">
        <v>3006</v>
      </c>
      <c r="AA2516" t="s">
        <v>2529</v>
      </c>
      <c r="AB2516" t="s">
        <v>3262</v>
      </c>
      <c r="AC2516" t="s">
        <v>15618</v>
      </c>
      <c r="AD2516" s="249" t="str">
        <f>HYPERLINK("https://scontent.cdninstagram.com/t51.2885-15/s320x320/e35/21041492_102634060472242_5553967230028349440_n.jpg")</f>
        <v>https://scontent.cdninstagram.com/t51.2885-15/s320x320/e35/21041492_102634060472242_5553967230028349440_n.jpg</v>
      </c>
      <c r="AE2516" s="249" t="str">
        <f>HYPERLINK("https://scontent.cdninstagram.com/t51.2885-19/s150x150/14714510_1024596914352460_8411592899736633344_a.jpg")</f>
        <v>https://scontent.cdninstagram.com/t51.2885-19/s150x150/14714510_1024596914352460_8411592899736633344_a.jpg</v>
      </c>
    </row>
    <row r="2517" spans="1:31" ht="15" x14ac:dyDescent="0.25">
      <c r="A2517" t="s">
        <v>2474</v>
      </c>
      <c r="B2517" t="s">
        <v>15619</v>
      </c>
      <c r="C2517" s="221">
        <v>42971.026504629626</v>
      </c>
      <c r="D2517" t="s">
        <v>15620</v>
      </c>
      <c r="E2517" s="249" t="str">
        <f>HYPERLINK("https://www.instagram.com/p/BYKdTZdAEhC/")</f>
        <v>https://www.instagram.com/p/BYKdTZdAEhC/</v>
      </c>
      <c r="F2517" t="s">
        <v>15621</v>
      </c>
      <c r="G2517" t="s">
        <v>2631</v>
      </c>
      <c r="H2517">
        <v>522</v>
      </c>
      <c r="I2517" t="s">
        <v>2479</v>
      </c>
      <c r="J2517">
        <v>1</v>
      </c>
      <c r="K2517">
        <v>78</v>
      </c>
      <c r="L2517">
        <v>79</v>
      </c>
      <c r="Q2517">
        <v>0</v>
      </c>
      <c r="R2517">
        <v>0</v>
      </c>
      <c r="S2517">
        <v>79</v>
      </c>
      <c r="T2517" t="s">
        <v>15622</v>
      </c>
      <c r="U2517" t="s">
        <v>130</v>
      </c>
      <c r="V2517" t="s">
        <v>2299</v>
      </c>
      <c r="W2517">
        <v>38.439467399999998</v>
      </c>
      <c r="X2517">
        <v>-90.377852599999997</v>
      </c>
      <c r="Y2517" t="s">
        <v>3535</v>
      </c>
      <c r="Z2517" t="s">
        <v>5950</v>
      </c>
      <c r="AA2517" t="s">
        <v>3663</v>
      </c>
      <c r="AB2517" t="s">
        <v>15623</v>
      </c>
      <c r="AC2517" t="s">
        <v>6779</v>
      </c>
      <c r="AD2517" s="249" t="str">
        <f>HYPERLINK("https://scontent.cdninstagram.com/t51.2885-15/s320x320/e15/21041349_341898866252093_6765462227307724800_n.jpg")</f>
        <v>https://scontent.cdninstagram.com/t51.2885-15/s320x320/e15/21041349_341898866252093_6765462227307724800_n.jpg</v>
      </c>
      <c r="AE2517" s="249" t="str">
        <f>HYPERLINK("https://scontent.cdninstagram.com/t51.2885-19/s150x150/19623045_359205574495811_8506039363719659520_a.jpg")</f>
        <v>https://scontent.cdninstagram.com/t51.2885-19/s150x150/19623045_359205574495811_8506039363719659520_a.jpg</v>
      </c>
    </row>
    <row r="2518" spans="1:31" ht="15" x14ac:dyDescent="0.25">
      <c r="A2518" t="s">
        <v>2474</v>
      </c>
      <c r="B2518" t="s">
        <v>15624</v>
      </c>
      <c r="C2518" s="221">
        <v>42971.029027777775</v>
      </c>
      <c r="D2518" t="s">
        <v>15625</v>
      </c>
      <c r="E2518" s="249" t="str">
        <f>HYPERLINK("https://www.instagram.com/p/BYKdt_IAz0X/")</f>
        <v>https://www.instagram.com/p/BYKdt_IAz0X/</v>
      </c>
      <c r="F2518" t="s">
        <v>15626</v>
      </c>
      <c r="G2518" t="s">
        <v>2478</v>
      </c>
      <c r="H2518">
        <v>554</v>
      </c>
      <c r="I2518" t="s">
        <v>2542</v>
      </c>
      <c r="J2518">
        <v>1</v>
      </c>
      <c r="K2518">
        <v>19</v>
      </c>
      <c r="L2518">
        <v>20</v>
      </c>
      <c r="Q2518">
        <v>0</v>
      </c>
      <c r="R2518">
        <v>0</v>
      </c>
      <c r="S2518">
        <v>20</v>
      </c>
      <c r="Y2518" t="s">
        <v>3671</v>
      </c>
      <c r="Z2518" t="s">
        <v>2741</v>
      </c>
      <c r="AA2518" t="s">
        <v>15627</v>
      </c>
      <c r="AB2518" t="s">
        <v>15628</v>
      </c>
      <c r="AC2518" t="s">
        <v>3012</v>
      </c>
      <c r="AD2518" s="249" t="str">
        <f>HYPERLINK("https://scontent.cdninstagram.com/t51.2885-15/s320x320/e35/20969235_1927517510850736_8540479319191846912_n.jpg")</f>
        <v>https://scontent.cdninstagram.com/t51.2885-15/s320x320/e35/20969235_1927517510850736_8540479319191846912_n.jpg</v>
      </c>
      <c r="AE2518" s="249" t="str">
        <f>HYPERLINK("https://scontent.cdninstagram.com/t51.2885-19/s150x150/18251647_198270834024362_4031048221450043392_a.jpg")</f>
        <v>https://scontent.cdninstagram.com/t51.2885-19/s150x150/18251647_198270834024362_4031048221450043392_a.jpg</v>
      </c>
    </row>
    <row r="2519" spans="1:31" ht="15" x14ac:dyDescent="0.25">
      <c r="A2519" t="s">
        <v>2474</v>
      </c>
      <c r="B2519" t="s">
        <v>9115</v>
      </c>
      <c r="C2519" s="221">
        <v>42971.032384259262</v>
      </c>
      <c r="D2519" t="s">
        <v>15629</v>
      </c>
      <c r="E2519" s="249" t="str">
        <f>HYPERLINK("https://www.instagram.com/p/BYKeRacFGZ6/")</f>
        <v>https://www.instagram.com/p/BYKeRacFGZ6/</v>
      </c>
      <c r="F2519" t="s">
        <v>15630</v>
      </c>
      <c r="G2519" t="s">
        <v>2478</v>
      </c>
      <c r="H2519">
        <v>362</v>
      </c>
      <c r="I2519" t="s">
        <v>2479</v>
      </c>
      <c r="J2519">
        <v>0</v>
      </c>
      <c r="K2519">
        <v>73</v>
      </c>
      <c r="L2519">
        <v>73</v>
      </c>
      <c r="Q2519">
        <v>0</v>
      </c>
      <c r="R2519">
        <v>0</v>
      </c>
      <c r="S2519">
        <v>73</v>
      </c>
      <c r="T2519" t="s">
        <v>14559</v>
      </c>
      <c r="V2519" t="s">
        <v>2141</v>
      </c>
      <c r="W2519">
        <v>56.566699999999997</v>
      </c>
      <c r="X2519">
        <v>9.0333299999999994</v>
      </c>
      <c r="Y2519" t="s">
        <v>5939</v>
      </c>
      <c r="Z2519" t="s">
        <v>15631</v>
      </c>
      <c r="AA2519" t="s">
        <v>15632</v>
      </c>
      <c r="AB2519" t="s">
        <v>15633</v>
      </c>
      <c r="AC2519" t="s">
        <v>15634</v>
      </c>
      <c r="AD2519" s="249" t="str">
        <f>HYPERLINK("https://scontent.cdninstagram.com/t51.2885-15/s320x320/e35/21041550_1650284041682782_2675508344709447680_n.jpg")</f>
        <v>https://scontent.cdninstagram.com/t51.2885-15/s320x320/e35/21041550_1650284041682782_2675508344709447680_n.jpg</v>
      </c>
      <c r="AE2519" s="249" t="str">
        <f>HYPERLINK("https://scontent.cdninstagram.com/t51.2885-19/s150x150/19932051_831666580331723_3355139275229233152_a.jpg")</f>
        <v>https://scontent.cdninstagram.com/t51.2885-19/s150x150/19932051_831666580331723_3355139275229233152_a.jpg</v>
      </c>
    </row>
    <row r="2520" spans="1:31" ht="15" x14ac:dyDescent="0.25">
      <c r="A2520" t="s">
        <v>2474</v>
      </c>
      <c r="B2520" t="s">
        <v>2516</v>
      </c>
      <c r="C2520" s="221">
        <v>42971.047615740739</v>
      </c>
      <c r="D2520" t="s">
        <v>15635</v>
      </c>
      <c r="E2520" s="249" t="str">
        <f>HYPERLINK("https://www.instagram.com/p/BYKgyIXjsJp/")</f>
        <v>https://www.instagram.com/p/BYKgyIXjsJp/</v>
      </c>
      <c r="F2520" t="s">
        <v>15636</v>
      </c>
      <c r="G2520" t="s">
        <v>2478</v>
      </c>
      <c r="H2520">
        <v>681</v>
      </c>
      <c r="I2520" t="s">
        <v>3273</v>
      </c>
      <c r="J2520">
        <v>0</v>
      </c>
      <c r="K2520">
        <v>29</v>
      </c>
      <c r="L2520">
        <v>29</v>
      </c>
      <c r="Q2520">
        <v>0</v>
      </c>
      <c r="R2520">
        <v>0</v>
      </c>
      <c r="S2520">
        <v>29</v>
      </c>
      <c r="Y2520" t="s">
        <v>15637</v>
      </c>
      <c r="Z2520" t="s">
        <v>3543</v>
      </c>
      <c r="AA2520" t="s">
        <v>14565</v>
      </c>
      <c r="AB2520" t="s">
        <v>15638</v>
      </c>
      <c r="AC2520" t="s">
        <v>4339</v>
      </c>
      <c r="AD2520" s="249" t="str">
        <f>HYPERLINK("https://scontent.cdninstagram.com/t51.2885-15/s320x320/e35/21107630_1423123757735714_5140607426998829056_n.jpg")</f>
        <v>https://scontent.cdninstagram.com/t51.2885-15/s320x320/e35/21107630_1423123757735714_5140607426998829056_n.jpg</v>
      </c>
      <c r="AE2520" s="249" t="str">
        <f>HYPERLINK("https://scontent.cdninstagram.com/t51.2885-19/s150x150/19955124_1311741785589715_3896736407896457216_a.jpg")</f>
        <v>https://scontent.cdninstagram.com/t51.2885-19/s150x150/19955124_1311741785589715_3896736407896457216_a.jpg</v>
      </c>
    </row>
    <row r="2521" spans="1:31" ht="15" x14ac:dyDescent="0.25">
      <c r="A2521" t="s">
        <v>2474</v>
      </c>
      <c r="B2521" t="s">
        <v>15639</v>
      </c>
      <c r="C2521" s="221">
        <v>42971.048819444448</v>
      </c>
      <c r="D2521" t="s">
        <v>15640</v>
      </c>
      <c r="E2521" s="249" t="str">
        <f>HYPERLINK("https://www.instagram.com/p/BYKg-uen7SO/")</f>
        <v>https://www.instagram.com/p/BYKg-uen7SO/</v>
      </c>
      <c r="F2521" t="s">
        <v>15641</v>
      </c>
      <c r="G2521" t="s">
        <v>2478</v>
      </c>
      <c r="H2521">
        <v>223</v>
      </c>
      <c r="I2521" t="s">
        <v>2479</v>
      </c>
      <c r="J2521">
        <v>1</v>
      </c>
      <c r="K2521">
        <v>41</v>
      </c>
      <c r="L2521">
        <v>42</v>
      </c>
      <c r="Q2521">
        <v>0</v>
      </c>
      <c r="R2521">
        <v>0</v>
      </c>
      <c r="S2521">
        <v>42</v>
      </c>
      <c r="T2521" t="s">
        <v>15642</v>
      </c>
      <c r="U2521" t="s">
        <v>97</v>
      </c>
      <c r="V2521" t="s">
        <v>2299</v>
      </c>
      <c r="W2521">
        <v>33.751399999999997</v>
      </c>
      <c r="X2521">
        <v>-117.994</v>
      </c>
      <c r="Y2521" t="s">
        <v>15643</v>
      </c>
      <c r="Z2521" t="s">
        <v>15644</v>
      </c>
      <c r="AA2521" t="s">
        <v>15645</v>
      </c>
      <c r="AB2521" t="s">
        <v>2497</v>
      </c>
      <c r="AC2521" t="s">
        <v>15646</v>
      </c>
      <c r="AD2521" s="249" t="str">
        <f>HYPERLINK("https://scontent.cdninstagram.com/t51.2885-15/s320x320/e35/20987347_145156959406130_6782701349860540416_n.jpg")</f>
        <v>https://scontent.cdninstagram.com/t51.2885-15/s320x320/e35/20987347_145156959406130_6782701349860540416_n.jpg</v>
      </c>
      <c r="AE2521" s="249" t="str">
        <f>HYPERLINK("https://scontent.cdninstagram.com/t51.2885-19/11352434_1018028041541927_1513629504_a.jpg")</f>
        <v>https://scontent.cdninstagram.com/t51.2885-19/11352434_1018028041541927_1513629504_a.jpg</v>
      </c>
    </row>
    <row r="2522" spans="1:31" ht="15" x14ac:dyDescent="0.25">
      <c r="A2522" t="s">
        <v>2474</v>
      </c>
      <c r="B2522" t="s">
        <v>15647</v>
      </c>
      <c r="C2522" s="221">
        <v>42971.049155092594</v>
      </c>
      <c r="D2522" t="s">
        <v>15648</v>
      </c>
      <c r="E2522" s="249" t="str">
        <f>HYPERLINK("https://www.instagram.com/p/BYKhCRfA8eP/")</f>
        <v>https://www.instagram.com/p/BYKhCRfA8eP/</v>
      </c>
      <c r="F2522" t="s">
        <v>15649</v>
      </c>
      <c r="G2522" t="s">
        <v>2478</v>
      </c>
      <c r="H2522">
        <v>14331</v>
      </c>
      <c r="I2522" t="s">
        <v>2479</v>
      </c>
      <c r="J2522">
        <v>14</v>
      </c>
      <c r="K2522">
        <v>454</v>
      </c>
      <c r="L2522">
        <v>468</v>
      </c>
      <c r="Q2522">
        <v>0</v>
      </c>
      <c r="R2522">
        <v>0</v>
      </c>
      <c r="S2522">
        <v>468</v>
      </c>
      <c r="T2522" t="s">
        <v>15650</v>
      </c>
      <c r="V2522" t="s">
        <v>2288</v>
      </c>
      <c r="W2522">
        <v>50.7667</v>
      </c>
      <c r="X2522">
        <v>-0.88333300000000003</v>
      </c>
      <c r="Y2522" t="s">
        <v>9086</v>
      </c>
      <c r="AD2522" s="249" t="str">
        <f>HYPERLINK("https://scontent.cdninstagram.com/t51.2885-15/s320x320/e35/21041884_764885460362129_4353474482967412736_n.jpg")</f>
        <v>https://scontent.cdninstagram.com/t51.2885-15/s320x320/e35/21041884_764885460362129_4353474482967412736_n.jpg</v>
      </c>
      <c r="AE2522" s="249" t="str">
        <f>HYPERLINK("https://scontent.cdninstagram.com/t51.2885-19/s150x150/15035678_244251745989535_20007512442929152_a.jpg")</f>
        <v>https://scontent.cdninstagram.com/t51.2885-19/s150x150/15035678_244251745989535_20007512442929152_a.jpg</v>
      </c>
    </row>
    <row r="2523" spans="1:31" ht="15" x14ac:dyDescent="0.25">
      <c r="A2523" t="s">
        <v>2474</v>
      </c>
      <c r="B2523" t="s">
        <v>5409</v>
      </c>
      <c r="C2523" s="221">
        <v>42971.05064814815</v>
      </c>
      <c r="D2523" t="s">
        <v>15651</v>
      </c>
      <c r="E2523" s="249" t="str">
        <f>HYPERLINK("https://www.instagram.com/p/BYKhSBKBaoZ/")</f>
        <v>https://www.instagram.com/p/BYKhSBKBaoZ/</v>
      </c>
      <c r="F2523" t="s">
        <v>15652</v>
      </c>
      <c r="G2523" t="s">
        <v>2478</v>
      </c>
      <c r="H2523">
        <v>644</v>
      </c>
      <c r="I2523" t="s">
        <v>2479</v>
      </c>
      <c r="J2523">
        <v>5</v>
      </c>
      <c r="K2523">
        <v>58</v>
      </c>
      <c r="L2523">
        <v>63</v>
      </c>
      <c r="Q2523">
        <v>0</v>
      </c>
      <c r="R2523">
        <v>0</v>
      </c>
      <c r="S2523">
        <v>63</v>
      </c>
      <c r="Y2523" t="s">
        <v>3006</v>
      </c>
      <c r="Z2523" t="s">
        <v>15653</v>
      </c>
      <c r="AA2523" t="s">
        <v>5414</v>
      </c>
      <c r="AB2523" t="s">
        <v>15654</v>
      </c>
      <c r="AC2523" t="s">
        <v>15655</v>
      </c>
      <c r="AD2523" s="249" t="str">
        <f>HYPERLINK("https://scontent.cdninstagram.com/t51.2885-15/s320x320/e35/20987276_599508470436649_4641555097904480256_n.jpg")</f>
        <v>https://scontent.cdninstagram.com/t51.2885-15/s320x320/e35/20987276_599508470436649_4641555097904480256_n.jpg</v>
      </c>
      <c r="AE2523" s="249" t="str">
        <f>HYPERLINK("https://scontent.cdninstagram.com/t51.2885-19/s150x150/20482666_330708970704858_7693193017422774272_a.jpg")</f>
        <v>https://scontent.cdninstagram.com/t51.2885-19/s150x150/20482666_330708970704858_7693193017422774272_a.jpg</v>
      </c>
    </row>
    <row r="2524" spans="1:31" ht="15" x14ac:dyDescent="0.25">
      <c r="A2524" t="s">
        <v>2474</v>
      </c>
      <c r="B2524" t="s">
        <v>15656</v>
      </c>
      <c r="C2524" s="221">
        <v>42971.050937499997</v>
      </c>
      <c r="D2524" t="s">
        <v>15657</v>
      </c>
      <c r="E2524" s="249" t="str">
        <f>HYPERLINK("https://www.instagram.com/p/BYKhVG1lYYI/")</f>
        <v>https://www.instagram.com/p/BYKhVG1lYYI/</v>
      </c>
      <c r="F2524" t="s">
        <v>15658</v>
      </c>
      <c r="G2524" t="s">
        <v>2478</v>
      </c>
      <c r="H2524">
        <v>1104</v>
      </c>
      <c r="I2524" t="s">
        <v>2582</v>
      </c>
      <c r="J2524">
        <v>2</v>
      </c>
      <c r="K2524">
        <v>24</v>
      </c>
      <c r="L2524">
        <v>26</v>
      </c>
      <c r="Q2524">
        <v>0</v>
      </c>
      <c r="R2524">
        <v>0</v>
      </c>
      <c r="S2524">
        <v>26</v>
      </c>
      <c r="Y2524" t="s">
        <v>4646</v>
      </c>
      <c r="Z2524" t="s">
        <v>3543</v>
      </c>
      <c r="AA2524" t="s">
        <v>4620</v>
      </c>
      <c r="AB2524" t="s">
        <v>2665</v>
      </c>
      <c r="AC2524" t="s">
        <v>4388</v>
      </c>
      <c r="AD2524" s="249" t="str">
        <f>HYPERLINK("https://scontent.cdninstagram.com/t51.2885-15/e35/p320x320/21042209_1552617858117307_5858965622360113152_n.jpg")</f>
        <v>https://scontent.cdninstagram.com/t51.2885-15/e35/p320x320/21042209_1552617858117307_5858965622360113152_n.jpg</v>
      </c>
      <c r="AE2524" s="249" t="str">
        <f>HYPERLINK("https://scontent.cdninstagram.com/t51.2885-19/s150x150/20759951_1270165499772314_8958619665634951168_a.jpg")</f>
        <v>https://scontent.cdninstagram.com/t51.2885-19/s150x150/20759951_1270165499772314_8958619665634951168_a.jpg</v>
      </c>
    </row>
    <row r="2525" spans="1:31" ht="15" x14ac:dyDescent="0.25">
      <c r="A2525" t="s">
        <v>2474</v>
      </c>
      <c r="B2525" t="s">
        <v>15659</v>
      </c>
      <c r="C2525" s="221">
        <v>42971.051041666666</v>
      </c>
      <c r="D2525" t="s">
        <v>15660</v>
      </c>
      <c r="E2525" s="249" t="str">
        <f>HYPERLINK("https://www.instagram.com/p/BYKhWO2DC41/")</f>
        <v>https://www.instagram.com/p/BYKhWO2DC41/</v>
      </c>
      <c r="F2525" t="s">
        <v>15661</v>
      </c>
      <c r="G2525" t="s">
        <v>2478</v>
      </c>
      <c r="H2525">
        <v>191</v>
      </c>
      <c r="I2525" t="s">
        <v>2479</v>
      </c>
      <c r="J2525">
        <v>5</v>
      </c>
      <c r="K2525">
        <v>40</v>
      </c>
      <c r="L2525">
        <v>45</v>
      </c>
      <c r="Q2525">
        <v>0</v>
      </c>
      <c r="R2525">
        <v>0</v>
      </c>
      <c r="S2525">
        <v>45</v>
      </c>
      <c r="Y2525" t="s">
        <v>4354</v>
      </c>
      <c r="Z2525" t="s">
        <v>14968</v>
      </c>
      <c r="AA2525" t="s">
        <v>8178</v>
      </c>
      <c r="AB2525" t="s">
        <v>5884</v>
      </c>
      <c r="AC2525" t="s">
        <v>3053</v>
      </c>
      <c r="AD2525" s="249" t="str">
        <f>HYPERLINK("https://scontent.cdninstagram.com/t51.2885-15/s320x320/e35/20986841_656009577932934_1611338250465574912_n.jpg")</f>
        <v>https://scontent.cdninstagram.com/t51.2885-15/s320x320/e35/20986841_656009577932934_1611338250465574912_n.jpg</v>
      </c>
      <c r="AE2525" s="249" t="str">
        <f>HYPERLINK("https://scontent.cdninstagram.com/t51.2885-19/s150x150/14294820_1589731131323586_2042601627_a.jpg")</f>
        <v>https://scontent.cdninstagram.com/t51.2885-19/s150x150/14294820_1589731131323586_2042601627_a.jpg</v>
      </c>
    </row>
    <row r="2526" spans="1:31" ht="15" x14ac:dyDescent="0.25">
      <c r="A2526" t="s">
        <v>2474</v>
      </c>
      <c r="B2526" t="s">
        <v>15662</v>
      </c>
      <c r="C2526" s="221">
        <v>42971.064456018517</v>
      </c>
      <c r="D2526" t="s">
        <v>15663</v>
      </c>
      <c r="E2526" s="249" t="str">
        <f>HYPERLINK("https://www.instagram.com/p/BYKjjs8jhEt/")</f>
        <v>https://www.instagram.com/p/BYKjjs8jhEt/</v>
      </c>
      <c r="F2526" t="s">
        <v>15664</v>
      </c>
      <c r="G2526" t="s">
        <v>2478</v>
      </c>
      <c r="H2526">
        <v>1545</v>
      </c>
      <c r="I2526" t="s">
        <v>2479</v>
      </c>
      <c r="J2526">
        <v>1</v>
      </c>
      <c r="K2526">
        <v>35</v>
      </c>
      <c r="L2526">
        <v>36</v>
      </c>
      <c r="Q2526">
        <v>0</v>
      </c>
      <c r="R2526">
        <v>0</v>
      </c>
      <c r="S2526">
        <v>36</v>
      </c>
      <c r="Y2526" t="s">
        <v>2673</v>
      </c>
      <c r="Z2526" t="s">
        <v>2949</v>
      </c>
      <c r="AA2526" t="s">
        <v>15665</v>
      </c>
      <c r="AB2526" t="s">
        <v>2497</v>
      </c>
      <c r="AC2526" t="s">
        <v>2866</v>
      </c>
      <c r="AD2526" s="249" t="str">
        <f>HYPERLINK("https://scontent.cdninstagram.com/t51.2885-15/e35/p320x320/20969315_459985607716390_3719957864685502464_n.jpg")</f>
        <v>https://scontent.cdninstagram.com/t51.2885-15/e35/p320x320/20969315_459985607716390_3719957864685502464_n.jpg</v>
      </c>
      <c r="AE2526" s="249" t="str">
        <f>HYPERLINK("https://scontent.cdninstagram.com/t51.2885-19/s150x150/20634739_496478820700872_1335182277218402304_a.jpg")</f>
        <v>https://scontent.cdninstagram.com/t51.2885-19/s150x150/20634739_496478820700872_1335182277218402304_a.jpg</v>
      </c>
    </row>
    <row r="2527" spans="1:31" ht="15" x14ac:dyDescent="0.25">
      <c r="A2527" t="s">
        <v>2474</v>
      </c>
      <c r="B2527" t="s">
        <v>2856</v>
      </c>
      <c r="C2527" s="221">
        <v>42971.068287037036</v>
      </c>
      <c r="D2527" t="s">
        <v>15666</v>
      </c>
      <c r="E2527" s="249" t="str">
        <f>HYPERLINK("https://www.instagram.com/p/BYKkMGVFcQZ/")</f>
        <v>https://www.instagram.com/p/BYKkMGVFcQZ/</v>
      </c>
      <c r="F2527" t="s">
        <v>15667</v>
      </c>
      <c r="G2527" t="s">
        <v>2478</v>
      </c>
      <c r="H2527">
        <v>306</v>
      </c>
      <c r="I2527" t="s">
        <v>2542</v>
      </c>
      <c r="J2527">
        <v>0</v>
      </c>
      <c r="K2527">
        <v>37</v>
      </c>
      <c r="L2527">
        <v>37</v>
      </c>
      <c r="Q2527">
        <v>0</v>
      </c>
      <c r="R2527">
        <v>0</v>
      </c>
      <c r="S2527">
        <v>37</v>
      </c>
      <c r="Y2527" t="s">
        <v>4584</v>
      </c>
      <c r="Z2527" t="s">
        <v>15668</v>
      </c>
      <c r="AA2527" t="s">
        <v>2862</v>
      </c>
      <c r="AB2527" t="s">
        <v>13991</v>
      </c>
      <c r="AC2527" t="s">
        <v>15669</v>
      </c>
      <c r="AD2527" s="249" t="str">
        <f>HYPERLINK("https://scontent.cdninstagram.com/t51.2885-15/e35/p320x320/21107839_330706657399432_4751270686020861952_n.jpg")</f>
        <v>https://scontent.cdninstagram.com/t51.2885-15/e35/p320x320/21107839_330706657399432_4751270686020861952_n.jpg</v>
      </c>
      <c r="AE2527" s="249" t="str">
        <f>HYPERLINK("https://scontent.cdninstagram.com/t51.2885-19/s150x150/20065705_1706576016312315_6418665848906448896_a.jpg")</f>
        <v>https://scontent.cdninstagram.com/t51.2885-19/s150x150/20065705_1706576016312315_6418665848906448896_a.jpg</v>
      </c>
    </row>
    <row r="2528" spans="1:31" ht="15" x14ac:dyDescent="0.25">
      <c r="A2528" t="s">
        <v>2474</v>
      </c>
      <c r="B2528" t="s">
        <v>12463</v>
      </c>
      <c r="C2528" s="221">
        <v>42971.088680555556</v>
      </c>
      <c r="D2528" t="s">
        <v>15670</v>
      </c>
      <c r="E2528" s="249" t="str">
        <f>HYPERLINK("https://www.instagram.com/p/BYKnjIMnz43/")</f>
        <v>https://www.instagram.com/p/BYKnjIMnz43/</v>
      </c>
      <c r="F2528" t="s">
        <v>15671</v>
      </c>
      <c r="G2528" t="s">
        <v>2478</v>
      </c>
      <c r="H2528">
        <v>459</v>
      </c>
      <c r="I2528" t="s">
        <v>2479</v>
      </c>
      <c r="J2528">
        <v>1</v>
      </c>
      <c r="K2528">
        <v>30</v>
      </c>
      <c r="L2528">
        <v>31</v>
      </c>
      <c r="Q2528">
        <v>0</v>
      </c>
      <c r="R2528">
        <v>0</v>
      </c>
      <c r="S2528">
        <v>31</v>
      </c>
      <c r="T2528" t="s">
        <v>15672</v>
      </c>
      <c r="V2528" t="s">
        <v>2263</v>
      </c>
      <c r="W2528">
        <v>-33.906384422872001</v>
      </c>
      <c r="X2528">
        <v>18.402871704195999</v>
      </c>
      <c r="Y2528" t="s">
        <v>15673</v>
      </c>
      <c r="Z2528" t="s">
        <v>6806</v>
      </c>
      <c r="AA2528" t="s">
        <v>15674</v>
      </c>
      <c r="AB2528" t="s">
        <v>2984</v>
      </c>
      <c r="AC2528" t="s">
        <v>3256</v>
      </c>
      <c r="AD2528" s="249" t="str">
        <f>HYPERLINK("https://scontent.cdninstagram.com/t51.2885-15/e35/p320x320/21042146_254439928401093_6509697319967916032_n.jpg")</f>
        <v>https://scontent.cdninstagram.com/t51.2885-15/e35/p320x320/21042146_254439928401093_6509697319967916032_n.jpg</v>
      </c>
      <c r="AE2528" s="249" t="str">
        <f>HYPERLINK("https://scontent.cdninstagram.com/t51.2885-19/s150x150/13525503_919839664794533_1806905681_a.jpg")</f>
        <v>https://scontent.cdninstagram.com/t51.2885-19/s150x150/13525503_919839664794533_1806905681_a.jpg</v>
      </c>
    </row>
    <row r="2529" spans="1:31" ht="15" x14ac:dyDescent="0.25">
      <c r="A2529" t="s">
        <v>2474</v>
      </c>
      <c r="B2529" t="s">
        <v>4685</v>
      </c>
      <c r="C2529" s="221">
        <v>42971.089155092595</v>
      </c>
      <c r="D2529" t="s">
        <v>15675</v>
      </c>
      <c r="E2529" s="249" t="str">
        <f>HYPERLINK("https://www.instagram.com/p/BYKnoOljpIB/")</f>
        <v>https://www.instagram.com/p/BYKnoOljpIB/</v>
      </c>
      <c r="F2529" t="s">
        <v>15676</v>
      </c>
      <c r="G2529" t="s">
        <v>2478</v>
      </c>
      <c r="H2529">
        <v>345</v>
      </c>
      <c r="I2529" t="s">
        <v>2542</v>
      </c>
      <c r="J2529">
        <v>0</v>
      </c>
      <c r="K2529">
        <v>27</v>
      </c>
      <c r="L2529">
        <v>27</v>
      </c>
      <c r="Q2529">
        <v>0</v>
      </c>
      <c r="R2529">
        <v>0</v>
      </c>
      <c r="S2529">
        <v>27</v>
      </c>
      <c r="Y2529" t="s">
        <v>11818</v>
      </c>
      <c r="Z2529" t="s">
        <v>4692</v>
      </c>
      <c r="AA2529" t="s">
        <v>10084</v>
      </c>
      <c r="AB2529" t="s">
        <v>11657</v>
      </c>
      <c r="AC2529" t="s">
        <v>8523</v>
      </c>
      <c r="AD2529" s="249" t="str">
        <f>HYPERLINK("https://scontent.cdninstagram.com/t51.2885-15/e35/p320x320/21041458_161196474435277_1498058904645402624_n.jpg")</f>
        <v>https://scontent.cdninstagram.com/t51.2885-15/e35/p320x320/21041458_161196474435277_1498058904645402624_n.jpg</v>
      </c>
      <c r="AE2529" s="249" t="str">
        <f>HYPERLINK("https://scontent.cdninstagram.com/t51.2885-19/s150x150/14498866_1223064704423042_5122473061462835200_a.jpg")</f>
        <v>https://scontent.cdninstagram.com/t51.2885-19/s150x150/14498866_1223064704423042_5122473061462835200_a.jpg</v>
      </c>
    </row>
    <row r="2530" spans="1:31" ht="15" x14ac:dyDescent="0.25">
      <c r="A2530" t="s">
        <v>2474</v>
      </c>
      <c r="B2530" t="s">
        <v>15677</v>
      </c>
      <c r="C2530" s="221">
        <v>42971.096967592595</v>
      </c>
      <c r="D2530" t="s">
        <v>15678</v>
      </c>
      <c r="E2530" s="249" t="str">
        <f>HYPERLINK("https://www.instagram.com/p/BYKo6nfgN_1/")</f>
        <v>https://www.instagram.com/p/BYKo6nfgN_1/</v>
      </c>
      <c r="F2530" t="s">
        <v>15679</v>
      </c>
      <c r="G2530" t="s">
        <v>2478</v>
      </c>
      <c r="H2530">
        <v>1762</v>
      </c>
      <c r="I2530" t="s">
        <v>2479</v>
      </c>
      <c r="J2530">
        <v>0</v>
      </c>
      <c r="K2530">
        <v>28</v>
      </c>
      <c r="L2530">
        <v>28</v>
      </c>
      <c r="Q2530">
        <v>0</v>
      </c>
      <c r="R2530">
        <v>0</v>
      </c>
      <c r="S2530">
        <v>28</v>
      </c>
      <c r="Y2530" t="s">
        <v>15680</v>
      </c>
      <c r="Z2530" t="s">
        <v>10958</v>
      </c>
      <c r="AA2530" t="s">
        <v>2497</v>
      </c>
      <c r="AB2530" t="s">
        <v>15681</v>
      </c>
      <c r="AC2530" t="s">
        <v>15682</v>
      </c>
      <c r="AD2530" s="249" t="str">
        <f>HYPERLINK("https://scontent.cdninstagram.com/t51.2885-15/e35/20987021_1707497812596466_94487519575408640_n.jpg")</f>
        <v>https://scontent.cdninstagram.com/t51.2885-15/e35/20987021_1707497812596466_94487519575408640_n.jpg</v>
      </c>
      <c r="AE2530" s="249" t="str">
        <f>HYPERLINK("https://scontent.cdninstagram.com/t51.2885-19/s150x150/18160833_421419408238760_2796824021017034752_a.jpg")</f>
        <v>https://scontent.cdninstagram.com/t51.2885-19/s150x150/18160833_421419408238760_2796824021017034752_a.jpg</v>
      </c>
    </row>
    <row r="2531" spans="1:31" ht="15" x14ac:dyDescent="0.25">
      <c r="A2531" t="s">
        <v>2474</v>
      </c>
      <c r="B2531" t="s">
        <v>3754</v>
      </c>
      <c r="C2531" s="221">
        <v>42971.103437500002</v>
      </c>
      <c r="D2531" t="s">
        <v>15683</v>
      </c>
      <c r="E2531" s="249" t="str">
        <f>HYPERLINK("https://www.instagram.com/p/BYKp-3ljOyj/")</f>
        <v>https://www.instagram.com/p/BYKp-3ljOyj/</v>
      </c>
      <c r="F2531" t="s">
        <v>7206</v>
      </c>
      <c r="G2531" t="s">
        <v>2478</v>
      </c>
      <c r="H2531">
        <v>201566</v>
      </c>
      <c r="I2531" t="s">
        <v>2479</v>
      </c>
      <c r="J2531">
        <v>0</v>
      </c>
      <c r="K2531">
        <v>318</v>
      </c>
      <c r="L2531">
        <v>318</v>
      </c>
      <c r="Q2531">
        <v>0</v>
      </c>
      <c r="R2531">
        <v>0</v>
      </c>
      <c r="S2531">
        <v>318</v>
      </c>
      <c r="Y2531" t="s">
        <v>4561</v>
      </c>
      <c r="Z2531" t="s">
        <v>3760</v>
      </c>
      <c r="AA2531" t="s">
        <v>4802</v>
      </c>
      <c r="AB2531" t="s">
        <v>13341</v>
      </c>
      <c r="AC2531" t="s">
        <v>2575</v>
      </c>
      <c r="AD2531" s="249" t="str">
        <f>HYPERLINK("https://scontent.cdninstagram.com/t51.2885-15/s320x320/e35/21042793_169764420260205_5636306765319503872_n.jpg")</f>
        <v>https://scontent.cdninstagram.com/t51.2885-15/s320x320/e35/21042793_169764420260205_5636306765319503872_n.jpg</v>
      </c>
      <c r="AE2531" s="249" t="str">
        <f>HYPERLINK("https://scontent.cdninstagram.com/t51.2885-19/s150x150/12905002_1681254462136092_1137392787_a.jpg")</f>
        <v>https://scontent.cdninstagram.com/t51.2885-19/s150x150/12905002_1681254462136092_1137392787_a.jpg</v>
      </c>
    </row>
    <row r="2532" spans="1:31" ht="15" x14ac:dyDescent="0.25">
      <c r="A2532" t="s">
        <v>2474</v>
      </c>
      <c r="B2532" t="s">
        <v>7152</v>
      </c>
      <c r="C2532" s="221">
        <v>42971.114502314813</v>
      </c>
      <c r="D2532" t="s">
        <v>15684</v>
      </c>
      <c r="E2532" s="249" t="str">
        <f>HYPERLINK("https://www.instagram.com/p/BYKrzhHDmHA/")</f>
        <v>https://www.instagram.com/p/BYKrzhHDmHA/</v>
      </c>
      <c r="F2532" t="s">
        <v>15685</v>
      </c>
      <c r="G2532" t="s">
        <v>2478</v>
      </c>
      <c r="H2532">
        <v>112</v>
      </c>
      <c r="I2532" t="s">
        <v>2542</v>
      </c>
      <c r="J2532">
        <v>2</v>
      </c>
      <c r="K2532">
        <v>37</v>
      </c>
      <c r="L2532">
        <v>39</v>
      </c>
      <c r="Q2532">
        <v>0</v>
      </c>
      <c r="R2532">
        <v>0</v>
      </c>
      <c r="S2532">
        <v>39</v>
      </c>
      <c r="Y2532" t="s">
        <v>6747</v>
      </c>
      <c r="Z2532" t="s">
        <v>10979</v>
      </c>
      <c r="AA2532" t="s">
        <v>7898</v>
      </c>
      <c r="AB2532" t="s">
        <v>5981</v>
      </c>
      <c r="AC2532" t="s">
        <v>4419</v>
      </c>
      <c r="AD2532" s="249" t="str">
        <f>HYPERLINK("https://scontent.cdninstagram.com/t51.2885-15/s320x320/e35/21041968_348721445549794_1013141317217157120_n.jpg")</f>
        <v>https://scontent.cdninstagram.com/t51.2885-15/s320x320/e35/21041968_348721445549794_1013141317217157120_n.jpg</v>
      </c>
      <c r="AE2532" s="249" t="str">
        <f>HYPERLINK("https://scontent.cdninstagram.com/t51.2885-19/s150x150/20181062_1791856511105718_4709893984703479808_a.jpg")</f>
        <v>https://scontent.cdninstagram.com/t51.2885-19/s150x150/20181062_1791856511105718_4709893984703479808_a.jpg</v>
      </c>
    </row>
    <row r="2533" spans="1:31" ht="15" x14ac:dyDescent="0.25">
      <c r="A2533" t="s">
        <v>2474</v>
      </c>
      <c r="B2533" t="s">
        <v>15686</v>
      </c>
      <c r="C2533" s="221">
        <v>42971.114606481482</v>
      </c>
      <c r="D2533" t="s">
        <v>15687</v>
      </c>
      <c r="E2533" s="249" t="str">
        <f>HYPERLINK("https://www.instagram.com/p/BYKr0myFRZf/")</f>
        <v>https://www.instagram.com/p/BYKr0myFRZf/</v>
      </c>
      <c r="F2533" t="s">
        <v>15688</v>
      </c>
      <c r="G2533" t="s">
        <v>2478</v>
      </c>
      <c r="H2533">
        <v>3697</v>
      </c>
      <c r="I2533" t="s">
        <v>2510</v>
      </c>
      <c r="J2533">
        <v>2</v>
      </c>
      <c r="K2533">
        <v>99</v>
      </c>
      <c r="L2533">
        <v>101</v>
      </c>
      <c r="Q2533">
        <v>0</v>
      </c>
      <c r="R2533">
        <v>0</v>
      </c>
      <c r="S2533">
        <v>101</v>
      </c>
      <c r="Y2533" t="s">
        <v>9804</v>
      </c>
      <c r="Z2533" t="s">
        <v>5047</v>
      </c>
      <c r="AA2533" t="s">
        <v>2736</v>
      </c>
      <c r="AB2533" t="s">
        <v>8629</v>
      </c>
      <c r="AC2533" t="s">
        <v>3982</v>
      </c>
      <c r="AD2533" s="249" t="str">
        <f>HYPERLINK("https://scontent.cdninstagram.com/t51.2885-15/e35/p320x320/21107350_111138569578414_304621191123959808_n.jpg")</f>
        <v>https://scontent.cdninstagram.com/t51.2885-15/e35/p320x320/21107350_111138569578414_304621191123959808_n.jpg</v>
      </c>
      <c r="AE2533" s="249" t="str">
        <f>HYPERLINK("https://scontent.cdninstagram.com/t51.2885-19/s150x150/18947958_122655108313794_4598519379569672192_a.jpg")</f>
        <v>https://scontent.cdninstagram.com/t51.2885-19/s150x150/18947958_122655108313794_4598519379569672192_a.jpg</v>
      </c>
    </row>
    <row r="2534" spans="1:31" ht="15" x14ac:dyDescent="0.25">
      <c r="A2534" t="s">
        <v>2474</v>
      </c>
      <c r="B2534" t="s">
        <v>15689</v>
      </c>
      <c r="C2534" s="221">
        <v>42971.116539351853</v>
      </c>
      <c r="D2534" t="s">
        <v>15690</v>
      </c>
      <c r="E2534" s="249" t="str">
        <f>HYPERLINK("https://www.instagram.com/p/BYKsJCNl5Y7/")</f>
        <v>https://www.instagram.com/p/BYKsJCNl5Y7/</v>
      </c>
      <c r="F2534" t="s">
        <v>15691</v>
      </c>
      <c r="G2534" t="s">
        <v>2478</v>
      </c>
      <c r="H2534">
        <v>42</v>
      </c>
      <c r="I2534" t="s">
        <v>2542</v>
      </c>
      <c r="J2534">
        <v>0</v>
      </c>
      <c r="K2534">
        <v>13</v>
      </c>
      <c r="L2534">
        <v>13</v>
      </c>
      <c r="Q2534">
        <v>0</v>
      </c>
      <c r="R2534">
        <v>0</v>
      </c>
      <c r="S2534">
        <v>13</v>
      </c>
      <c r="Y2534" t="s">
        <v>2492</v>
      </c>
      <c r="Z2534" t="s">
        <v>15692</v>
      </c>
      <c r="AA2534" t="s">
        <v>2497</v>
      </c>
      <c r="AB2534" t="s">
        <v>15693</v>
      </c>
      <c r="AC2534" t="s">
        <v>4839</v>
      </c>
      <c r="AD2534" s="249" t="str">
        <f>HYPERLINK("https://scontent.cdninstagram.com/t51.2885-15/e35/p320x320/21041879_173734649839145_6976661291263852544_n.jpg")</f>
        <v>https://scontent.cdninstagram.com/t51.2885-15/e35/p320x320/21041879_173734649839145_6976661291263852544_n.jpg</v>
      </c>
      <c r="AE2534" s="249" t="str">
        <f>HYPERLINK("https://scontent.cdninstagram.com/t51.2885-19/s150x150/20633252_1974034729492359_2075013453633814528_a.jpg")</f>
        <v>https://scontent.cdninstagram.com/t51.2885-19/s150x150/20633252_1974034729492359_2075013453633814528_a.jpg</v>
      </c>
    </row>
    <row r="2535" spans="1:31" ht="15" x14ac:dyDescent="0.25">
      <c r="A2535" t="s">
        <v>2474</v>
      </c>
      <c r="B2535" t="s">
        <v>15694</v>
      </c>
      <c r="C2535" s="221">
        <v>42971.118379629632</v>
      </c>
      <c r="D2535" t="s">
        <v>15695</v>
      </c>
      <c r="E2535" s="249" t="str">
        <f>HYPERLINK("https://www.instagram.com/p/BYKsceNHS7o/")</f>
        <v>https://www.instagram.com/p/BYKsceNHS7o/</v>
      </c>
      <c r="F2535" t="s">
        <v>15696</v>
      </c>
      <c r="G2535" t="s">
        <v>2478</v>
      </c>
      <c r="H2535">
        <v>101</v>
      </c>
      <c r="I2535" t="s">
        <v>2479</v>
      </c>
      <c r="J2535">
        <v>3</v>
      </c>
      <c r="K2535">
        <v>38</v>
      </c>
      <c r="L2535">
        <v>41</v>
      </c>
      <c r="Q2535">
        <v>0</v>
      </c>
      <c r="R2535">
        <v>0</v>
      </c>
      <c r="S2535">
        <v>41</v>
      </c>
      <c r="Y2535" t="s">
        <v>15697</v>
      </c>
      <c r="Z2535" t="s">
        <v>2737</v>
      </c>
      <c r="AA2535" t="s">
        <v>2827</v>
      </c>
      <c r="AB2535" t="s">
        <v>15698</v>
      </c>
      <c r="AC2535" t="s">
        <v>5229</v>
      </c>
      <c r="AD2535" s="249" t="str">
        <f>HYPERLINK("https://scontent.cdninstagram.com/t51.2885-15/e35/p320x320/21042372_289013608249739_5319160723710935040_n.jpg")</f>
        <v>https://scontent.cdninstagram.com/t51.2885-15/e35/p320x320/21042372_289013608249739_5319160723710935040_n.jpg</v>
      </c>
      <c r="AE2535" s="249" t="str">
        <f>HYPERLINK("https://scontent.cdninstagram.com/t51.2885-19/s150x150/16464092_429384630736882_8788215107294330880_a.jpg")</f>
        <v>https://scontent.cdninstagram.com/t51.2885-19/s150x150/16464092_429384630736882_8788215107294330880_a.jpg</v>
      </c>
    </row>
    <row r="2536" spans="1:31" ht="15" x14ac:dyDescent="0.25">
      <c r="A2536" t="s">
        <v>2474</v>
      </c>
      <c r="B2536" t="s">
        <v>15699</v>
      </c>
      <c r="C2536" s="221">
        <v>42971.118483796294</v>
      </c>
      <c r="D2536" t="s">
        <v>15700</v>
      </c>
      <c r="E2536" s="249" t="str">
        <f>HYPERLINK("https://www.instagram.com/p/BYKsdiwFk9w/")</f>
        <v>https://www.instagram.com/p/BYKsdiwFk9w/</v>
      </c>
      <c r="F2536" t="s">
        <v>15701</v>
      </c>
      <c r="G2536" t="s">
        <v>2478</v>
      </c>
      <c r="H2536">
        <v>245</v>
      </c>
      <c r="I2536" t="s">
        <v>2479</v>
      </c>
      <c r="J2536">
        <v>3</v>
      </c>
      <c r="K2536">
        <v>44</v>
      </c>
      <c r="L2536">
        <v>47</v>
      </c>
      <c r="Q2536">
        <v>0</v>
      </c>
      <c r="R2536">
        <v>0</v>
      </c>
      <c r="S2536">
        <v>47</v>
      </c>
      <c r="Y2536" t="s">
        <v>15702</v>
      </c>
      <c r="Z2536" t="s">
        <v>15703</v>
      </c>
      <c r="AA2536" t="s">
        <v>3768</v>
      </c>
      <c r="AB2536" t="s">
        <v>15704</v>
      </c>
      <c r="AC2536" t="s">
        <v>15705</v>
      </c>
      <c r="AD2536" s="249" t="str">
        <f>HYPERLINK("https://scontent.cdninstagram.com/t51.2885-15/s320x320/e35/20987488_510045582678927_6820192883891503104_n.jpg")</f>
        <v>https://scontent.cdninstagram.com/t51.2885-15/s320x320/e35/20987488_510045582678927_6820192883891503104_n.jpg</v>
      </c>
      <c r="AE2536" s="249" t="str">
        <f>HYPERLINK("https://scontent.cdninstagram.com/t51.2885-19/s150x150/20688309_1457137714377259_8590929748807385088_a.jpg")</f>
        <v>https://scontent.cdninstagram.com/t51.2885-19/s150x150/20688309_1457137714377259_8590929748807385088_a.jpg</v>
      </c>
    </row>
    <row r="2537" spans="1:31" ht="15" x14ac:dyDescent="0.25">
      <c r="A2537" t="s">
        <v>2474</v>
      </c>
      <c r="B2537" t="s">
        <v>15706</v>
      </c>
      <c r="C2537" s="221">
        <v>42971.119317129633</v>
      </c>
      <c r="D2537" t="s">
        <v>15707</v>
      </c>
      <c r="E2537" s="249" t="str">
        <f>HYPERLINK("https://www.instagram.com/p/BYKsmTvADYI/")</f>
        <v>https://www.instagram.com/p/BYKsmTvADYI/</v>
      </c>
      <c r="F2537" t="s">
        <v>15708</v>
      </c>
      <c r="G2537" t="s">
        <v>2478</v>
      </c>
      <c r="H2537">
        <v>157</v>
      </c>
      <c r="I2537" t="s">
        <v>2748</v>
      </c>
      <c r="J2537">
        <v>1</v>
      </c>
      <c r="K2537">
        <v>22</v>
      </c>
      <c r="L2537">
        <v>23</v>
      </c>
      <c r="Q2537">
        <v>0</v>
      </c>
      <c r="R2537">
        <v>0</v>
      </c>
      <c r="S2537">
        <v>23</v>
      </c>
      <c r="Y2537" t="s">
        <v>15709</v>
      </c>
      <c r="Z2537" t="s">
        <v>15710</v>
      </c>
      <c r="AA2537" t="s">
        <v>15711</v>
      </c>
      <c r="AB2537" t="s">
        <v>15706</v>
      </c>
      <c r="AC2537" t="s">
        <v>15712</v>
      </c>
      <c r="AD2537" s="249" t="str">
        <f>HYPERLINK("https://scontent.cdninstagram.com/t51.2885-15/s320x320/e35/20987255_875151865966634_8250271492852416512_n.jpg")</f>
        <v>https://scontent.cdninstagram.com/t51.2885-15/s320x320/e35/20987255_875151865966634_8250271492852416512_n.jpg</v>
      </c>
      <c r="AE2537" s="249" t="str">
        <f>HYPERLINK("https://scontent.cdninstagram.com/t51.2885-19/s150x150/19120620_792925110885674_2699704274899697664_a.jpg")</f>
        <v>https://scontent.cdninstagram.com/t51.2885-19/s150x150/19120620_792925110885674_2699704274899697664_a.jpg</v>
      </c>
    </row>
    <row r="2538" spans="1:31" ht="15" x14ac:dyDescent="0.25">
      <c r="A2538" t="s">
        <v>2474</v>
      </c>
      <c r="B2538" t="s">
        <v>5699</v>
      </c>
      <c r="C2538" s="221">
        <v>42971.123437499999</v>
      </c>
      <c r="D2538" t="s">
        <v>15713</v>
      </c>
      <c r="E2538" s="249" t="str">
        <f>HYPERLINK("https://www.instagram.com/p/BYKtRtfFGw_/")</f>
        <v>https://www.instagram.com/p/BYKtRtfFGw_/</v>
      </c>
      <c r="F2538" t="s">
        <v>15714</v>
      </c>
      <c r="G2538" t="s">
        <v>2631</v>
      </c>
      <c r="H2538">
        <v>94</v>
      </c>
      <c r="I2538" t="s">
        <v>2479</v>
      </c>
      <c r="J2538">
        <v>0</v>
      </c>
      <c r="K2538">
        <v>26</v>
      </c>
      <c r="L2538">
        <v>26</v>
      </c>
      <c r="Q2538">
        <v>0</v>
      </c>
      <c r="R2538">
        <v>0</v>
      </c>
      <c r="S2538">
        <v>26</v>
      </c>
      <c r="Y2538" t="s">
        <v>3475</v>
      </c>
      <c r="Z2538" t="s">
        <v>3476</v>
      </c>
      <c r="AA2538" t="s">
        <v>5841</v>
      </c>
      <c r="AB2538" t="s">
        <v>3479</v>
      </c>
      <c r="AC2538" t="s">
        <v>10236</v>
      </c>
      <c r="AD2538" s="249" t="str">
        <f>HYPERLINK("https://scontent.cdninstagram.com/t51.2885-15/s320x320/e15/20986748_2016811085247327_2232586075623129088_n.jpg")</f>
        <v>https://scontent.cdninstagram.com/t51.2885-15/s320x320/e15/20986748_2016811085247327_2232586075623129088_n.jpg</v>
      </c>
      <c r="AE2538" s="249" t="str">
        <f>HYPERLINK("https://scontent.cdninstagram.com/t51.2885-19/s150x150/18252635_446319085720165_2717160400675143680_a.jpg")</f>
        <v>https://scontent.cdninstagram.com/t51.2885-19/s150x150/18252635_446319085720165_2717160400675143680_a.jpg</v>
      </c>
    </row>
    <row r="2539" spans="1:31" ht="15" x14ac:dyDescent="0.25">
      <c r="A2539" t="s">
        <v>2474</v>
      </c>
      <c r="B2539" t="s">
        <v>3895</v>
      </c>
      <c r="C2539" s="221">
        <v>42971.144907407404</v>
      </c>
      <c r="D2539" t="s">
        <v>15715</v>
      </c>
      <c r="E2539" s="249" t="str">
        <f>HYPERLINK("https://www.instagram.com/p/BYKw0Nmlg5z/")</f>
        <v>https://www.instagram.com/p/BYKw0Nmlg5z/</v>
      </c>
      <c r="F2539" t="s">
        <v>15716</v>
      </c>
      <c r="G2539" t="s">
        <v>2478</v>
      </c>
      <c r="H2539">
        <v>434</v>
      </c>
      <c r="I2539" t="s">
        <v>2479</v>
      </c>
      <c r="J2539">
        <v>3</v>
      </c>
      <c r="K2539">
        <v>95</v>
      </c>
      <c r="L2539">
        <v>98</v>
      </c>
      <c r="Q2539">
        <v>0</v>
      </c>
      <c r="R2539">
        <v>0</v>
      </c>
      <c r="S2539">
        <v>98</v>
      </c>
      <c r="Y2539" t="s">
        <v>2617</v>
      </c>
      <c r="Z2539" t="s">
        <v>11096</v>
      </c>
      <c r="AA2539" t="s">
        <v>6187</v>
      </c>
      <c r="AB2539" t="s">
        <v>3157</v>
      </c>
      <c r="AC2539" t="s">
        <v>7905</v>
      </c>
      <c r="AD2539" s="249" t="str">
        <f>HYPERLINK("https://scontent.cdninstagram.com/t51.2885-15/s320x320/e35/21041071_101365100599669_7035005217934409728_n.jpg")</f>
        <v>https://scontent.cdninstagram.com/t51.2885-15/s320x320/e35/21041071_101365100599669_7035005217934409728_n.jpg</v>
      </c>
      <c r="AE2539" s="249" t="str">
        <f>HYPERLINK("https://scontent.cdninstagram.com/t51.2885-19/s150x150/20902130_1390331654386412_4188068892897181696_a.jpg")</f>
        <v>https://scontent.cdninstagram.com/t51.2885-19/s150x150/20902130_1390331654386412_4188068892897181696_a.jpg</v>
      </c>
    </row>
    <row r="2540" spans="1:31" ht="15" x14ac:dyDescent="0.25">
      <c r="A2540" t="s">
        <v>2474</v>
      </c>
      <c r="B2540" t="s">
        <v>15717</v>
      </c>
      <c r="C2540" s="221">
        <v>42971.158553240741</v>
      </c>
      <c r="D2540" t="s">
        <v>15718</v>
      </c>
      <c r="E2540" s="249" t="str">
        <f>HYPERLINK("https://www.instagram.com/p/BYKzEKfhGM_/")</f>
        <v>https://www.instagram.com/p/BYKzEKfhGM_/</v>
      </c>
      <c r="F2540" t="s">
        <v>15719</v>
      </c>
      <c r="G2540" t="s">
        <v>2478</v>
      </c>
      <c r="H2540">
        <v>77</v>
      </c>
      <c r="I2540" t="s">
        <v>2479</v>
      </c>
      <c r="J2540">
        <v>2</v>
      </c>
      <c r="K2540">
        <v>4</v>
      </c>
      <c r="L2540">
        <v>6</v>
      </c>
      <c r="Q2540">
        <v>0</v>
      </c>
      <c r="R2540">
        <v>0</v>
      </c>
      <c r="S2540">
        <v>6</v>
      </c>
      <c r="Y2540" t="s">
        <v>2562</v>
      </c>
      <c r="Z2540" t="s">
        <v>15720</v>
      </c>
      <c r="AA2540" t="s">
        <v>15721</v>
      </c>
      <c r="AB2540" t="s">
        <v>15722</v>
      </c>
      <c r="AC2540" t="s">
        <v>3706</v>
      </c>
      <c r="AD2540" s="249" t="str">
        <f>HYPERLINK("https://scontent.cdninstagram.com/t51.2885-15/s320x320/e35/21041234_1932594640288656_4568015920538058752_n.jpg")</f>
        <v>https://scontent.cdninstagram.com/t51.2885-15/s320x320/e35/21041234_1932594640288656_4568015920538058752_n.jpg</v>
      </c>
      <c r="AE2540" s="249" t="str">
        <f>HYPERLINK("https://scontent.cdninstagram.com/t51.2885-19/s150x150/20347063_253842608445391_8788120914366562304_a.jpg")</f>
        <v>https://scontent.cdninstagram.com/t51.2885-19/s150x150/20347063_253842608445391_8788120914366562304_a.jpg</v>
      </c>
    </row>
    <row r="2541" spans="1:31" ht="15" x14ac:dyDescent="0.25">
      <c r="A2541" t="s">
        <v>2474</v>
      </c>
      <c r="B2541" t="s">
        <v>2941</v>
      </c>
      <c r="C2541" s="221">
        <v>42971.171249999999</v>
      </c>
      <c r="D2541" t="s">
        <v>15723</v>
      </c>
      <c r="E2541" s="249" t="str">
        <f>HYPERLINK("https://www.instagram.com/p/BYK1KFijvBq/")</f>
        <v>https://www.instagram.com/p/BYK1KFijvBq/</v>
      </c>
      <c r="F2541" t="s">
        <v>15724</v>
      </c>
      <c r="G2541" t="s">
        <v>2478</v>
      </c>
      <c r="H2541">
        <v>227</v>
      </c>
      <c r="I2541" t="s">
        <v>2542</v>
      </c>
      <c r="J2541">
        <v>0</v>
      </c>
      <c r="K2541">
        <v>32</v>
      </c>
      <c r="L2541">
        <v>32</v>
      </c>
      <c r="Q2541">
        <v>0</v>
      </c>
      <c r="R2541">
        <v>0</v>
      </c>
      <c r="S2541">
        <v>32</v>
      </c>
      <c r="Y2541" t="s">
        <v>13824</v>
      </c>
      <c r="Z2541" t="s">
        <v>3549</v>
      </c>
      <c r="AA2541" t="s">
        <v>15725</v>
      </c>
      <c r="AB2541" t="s">
        <v>15726</v>
      </c>
      <c r="AC2541" t="s">
        <v>3738</v>
      </c>
      <c r="AD2541" s="249" t="str">
        <f>HYPERLINK("https://scontent.cdninstagram.com/t51.2885-15/e35/p320x320/20986981_1441174342628043_3750885576291647488_n.jpg")</f>
        <v>https://scontent.cdninstagram.com/t51.2885-15/e35/p320x320/20986981_1441174342628043_3750885576291647488_n.jpg</v>
      </c>
      <c r="AE2541" s="249" t="str">
        <f>HYPERLINK("https://scontent.cdninstagram.com/t51.2885-19/s150x150/20686926_123784664915170_1777034476677758976_a.jpg")</f>
        <v>https://scontent.cdninstagram.com/t51.2885-19/s150x150/20686926_123784664915170_1777034476677758976_a.jpg</v>
      </c>
    </row>
    <row r="2542" spans="1:31" ht="15" x14ac:dyDescent="0.25">
      <c r="A2542" t="s">
        <v>2474</v>
      </c>
      <c r="B2542" t="s">
        <v>2636</v>
      </c>
      <c r="C2542" s="221">
        <v>42971.171493055554</v>
      </c>
      <c r="D2542" t="s">
        <v>15727</v>
      </c>
      <c r="E2542" s="249" t="str">
        <f>HYPERLINK("https://www.instagram.com/p/BYK1MoDHzgq/")</f>
        <v>https://www.instagram.com/p/BYK1MoDHzgq/</v>
      </c>
      <c r="F2542" t="s">
        <v>15728</v>
      </c>
      <c r="G2542" t="s">
        <v>2478</v>
      </c>
      <c r="H2542">
        <v>323</v>
      </c>
      <c r="I2542" t="s">
        <v>2542</v>
      </c>
      <c r="J2542">
        <v>0</v>
      </c>
      <c r="K2542">
        <v>56</v>
      </c>
      <c r="L2542">
        <v>56</v>
      </c>
      <c r="Q2542">
        <v>0</v>
      </c>
      <c r="R2542">
        <v>0</v>
      </c>
      <c r="S2542">
        <v>56</v>
      </c>
      <c r="Y2542" t="s">
        <v>5423</v>
      </c>
      <c r="Z2542" t="s">
        <v>14680</v>
      </c>
      <c r="AA2542" t="s">
        <v>14679</v>
      </c>
      <c r="AB2542" t="s">
        <v>2641</v>
      </c>
      <c r="AC2542" t="s">
        <v>4464</v>
      </c>
      <c r="AD2542" s="249" t="str">
        <f>HYPERLINK("https://scontent.cdninstagram.com/t51.2885-15/s320x320/e35/21107112_302898876842437_8369527371564318720_n.jpg")</f>
        <v>https://scontent.cdninstagram.com/t51.2885-15/s320x320/e35/21107112_302898876842437_8369527371564318720_n.jpg</v>
      </c>
      <c r="AE2542" s="249" t="str">
        <f>HYPERLINK("https://scontent.cdninstagram.com/t51.2885-19/s150x150/15802797_1331780626878656_4160680230047973376_a.jpg")</f>
        <v>https://scontent.cdninstagram.com/t51.2885-19/s150x150/15802797_1331780626878656_4160680230047973376_a.jpg</v>
      </c>
    </row>
    <row r="2543" spans="1:31" ht="15" x14ac:dyDescent="0.25">
      <c r="A2543" t="s">
        <v>2474</v>
      </c>
      <c r="B2543" t="s">
        <v>3644</v>
      </c>
      <c r="C2543" s="221">
        <v>42971.174108796295</v>
      </c>
      <c r="D2543" t="s">
        <v>15729</v>
      </c>
      <c r="E2543" s="249" t="str">
        <f>HYPERLINK("https://www.instagram.com/p/BYK1oKLlSC5/")</f>
        <v>https://www.instagram.com/p/BYK1oKLlSC5/</v>
      </c>
      <c r="F2543" t="s">
        <v>15730</v>
      </c>
      <c r="G2543" t="s">
        <v>2478</v>
      </c>
      <c r="H2543">
        <v>577</v>
      </c>
      <c r="I2543" t="s">
        <v>2599</v>
      </c>
      <c r="J2543">
        <v>1</v>
      </c>
      <c r="K2543">
        <v>45</v>
      </c>
      <c r="L2543">
        <v>46</v>
      </c>
      <c r="Q2543">
        <v>0</v>
      </c>
      <c r="R2543">
        <v>0</v>
      </c>
      <c r="S2543">
        <v>46</v>
      </c>
      <c r="T2543" t="s">
        <v>5864</v>
      </c>
      <c r="V2543" t="s">
        <v>2141</v>
      </c>
      <c r="W2543">
        <v>55.391785028820003</v>
      </c>
      <c r="X2543">
        <v>10.381952565774</v>
      </c>
      <c r="Y2543" t="s">
        <v>8234</v>
      </c>
      <c r="Z2543" t="s">
        <v>3651</v>
      </c>
      <c r="AA2543" t="s">
        <v>5865</v>
      </c>
      <c r="AB2543" t="s">
        <v>7119</v>
      </c>
      <c r="AC2543" t="s">
        <v>7120</v>
      </c>
      <c r="AD2543" s="249" t="str">
        <f>HYPERLINK("https://scontent.cdninstagram.com/t51.2885-15/s320x320/e35/21042030_1738634259497596_2362284308321796096_n.jpg")</f>
        <v>https://scontent.cdninstagram.com/t51.2885-15/s320x320/e35/21042030_1738634259497596_2362284308321796096_n.jpg</v>
      </c>
      <c r="AE2543" s="249" t="str">
        <f>HYPERLINK("https://scontent.cdninstagram.com/t51.2885-19/s150x150/14714495_1790450111234953_7147855754219749376_a.jpg")</f>
        <v>https://scontent.cdninstagram.com/t51.2885-19/s150x150/14714495_1790450111234953_7147855754219749376_a.jpg</v>
      </c>
    </row>
    <row r="2544" spans="1:31" ht="15" x14ac:dyDescent="0.25">
      <c r="A2544" t="s">
        <v>2474</v>
      </c>
      <c r="B2544" t="s">
        <v>15731</v>
      </c>
      <c r="C2544" s="221">
        <v>42971.181875000002</v>
      </c>
      <c r="D2544" t="s">
        <v>15732</v>
      </c>
      <c r="E2544" s="249" t="str">
        <f>HYPERLINK("https://www.instagram.com/p/BYK26H5j_u6/")</f>
        <v>https://www.instagram.com/p/BYK26H5j_u6/</v>
      </c>
      <c r="F2544" t="s">
        <v>15733</v>
      </c>
      <c r="G2544" t="s">
        <v>2478</v>
      </c>
      <c r="H2544">
        <v>96</v>
      </c>
      <c r="I2544" t="s">
        <v>2542</v>
      </c>
      <c r="J2544">
        <v>4</v>
      </c>
      <c r="K2544">
        <v>29</v>
      </c>
      <c r="L2544">
        <v>33</v>
      </c>
      <c r="Q2544">
        <v>0</v>
      </c>
      <c r="R2544">
        <v>0</v>
      </c>
      <c r="S2544">
        <v>33</v>
      </c>
      <c r="Y2544" t="s">
        <v>15734</v>
      </c>
      <c r="Z2544" t="s">
        <v>15735</v>
      </c>
      <c r="AA2544" t="s">
        <v>14648</v>
      </c>
      <c r="AB2544" t="s">
        <v>15736</v>
      </c>
      <c r="AC2544" t="s">
        <v>15737</v>
      </c>
      <c r="AD2544" s="249" t="str">
        <f>HYPERLINK("https://scontent.cdninstagram.com/t51.2885-15/e35/p320x320/20969238_1400180166746199_7704193854596972544_n.jpg")</f>
        <v>https://scontent.cdninstagram.com/t51.2885-15/e35/p320x320/20969238_1400180166746199_7704193854596972544_n.jpg</v>
      </c>
      <c r="AE2544" s="249" t="str">
        <f>HYPERLINK("https://scontent.cdninstagram.com/t51.2885-19/s150x150/19052215_231581964013187_4515602454645047296_a.jpg")</f>
        <v>https://scontent.cdninstagram.com/t51.2885-19/s150x150/19052215_231581964013187_4515602454645047296_a.jpg</v>
      </c>
    </row>
    <row r="2545" spans="1:31" ht="15" x14ac:dyDescent="0.25">
      <c r="A2545" t="s">
        <v>2474</v>
      </c>
      <c r="B2545" t="s">
        <v>2685</v>
      </c>
      <c r="C2545" s="221">
        <v>42971.186018518521</v>
      </c>
      <c r="D2545" t="s">
        <v>15738</v>
      </c>
      <c r="E2545" s="249" t="str">
        <f>HYPERLINK("https://www.instagram.com/p/BYK3lylFqly/")</f>
        <v>https://www.instagram.com/p/BYK3lylFqly/</v>
      </c>
      <c r="F2545" t="s">
        <v>15739</v>
      </c>
      <c r="G2545" t="s">
        <v>2478</v>
      </c>
      <c r="H2545">
        <v>225</v>
      </c>
      <c r="I2545" t="s">
        <v>2479</v>
      </c>
      <c r="J2545">
        <v>0</v>
      </c>
      <c r="K2545">
        <v>44</v>
      </c>
      <c r="L2545">
        <v>44</v>
      </c>
      <c r="Q2545">
        <v>0</v>
      </c>
      <c r="R2545">
        <v>0</v>
      </c>
      <c r="S2545">
        <v>44</v>
      </c>
      <c r="Y2545" t="s">
        <v>9182</v>
      </c>
      <c r="Z2545" t="s">
        <v>6050</v>
      </c>
      <c r="AA2545" t="s">
        <v>10257</v>
      </c>
      <c r="AB2545" t="s">
        <v>13615</v>
      </c>
      <c r="AC2545" t="s">
        <v>2665</v>
      </c>
      <c r="AD2545" s="249" t="str">
        <f>HYPERLINK("https://scontent.cdninstagram.com/t51.2885-15/s320x320/e35/20987449_348626302258387_3537221630604345344_n.jpg")</f>
        <v>https://scontent.cdninstagram.com/t51.2885-15/s320x320/e35/20987449_348626302258387_3537221630604345344_n.jpg</v>
      </c>
      <c r="AE2545" s="249" t="str">
        <f>HYPERLINK("https://scontent.cdninstagram.com/t51.2885-19/s150x150/12339026_997056470351354_891418646_a.jpg")</f>
        <v>https://scontent.cdninstagram.com/t51.2885-19/s150x150/12339026_997056470351354_891418646_a.jpg</v>
      </c>
    </row>
    <row r="2546" spans="1:31" ht="15" x14ac:dyDescent="0.25">
      <c r="A2546" t="s">
        <v>2474</v>
      </c>
      <c r="B2546" t="s">
        <v>15740</v>
      </c>
      <c r="C2546" s="221">
        <v>42971.193564814814</v>
      </c>
      <c r="D2546" t="s">
        <v>15741</v>
      </c>
      <c r="E2546" s="249" t="str">
        <f>HYPERLINK("https://www.instagram.com/p/BYK41Z8Ftdt/")</f>
        <v>https://www.instagram.com/p/BYK41Z8Ftdt/</v>
      </c>
      <c r="F2546" t="s">
        <v>15742</v>
      </c>
      <c r="G2546" t="s">
        <v>2478</v>
      </c>
      <c r="H2546">
        <v>1774</v>
      </c>
      <c r="I2546" t="s">
        <v>2479</v>
      </c>
      <c r="J2546">
        <v>0</v>
      </c>
      <c r="K2546">
        <v>80</v>
      </c>
      <c r="L2546">
        <v>80</v>
      </c>
      <c r="Q2546">
        <v>0</v>
      </c>
      <c r="R2546">
        <v>0</v>
      </c>
      <c r="S2546">
        <v>80</v>
      </c>
      <c r="Y2546" t="s">
        <v>15743</v>
      </c>
      <c r="Z2546" t="s">
        <v>12748</v>
      </c>
      <c r="AA2546" t="s">
        <v>5924</v>
      </c>
      <c r="AB2546" t="s">
        <v>3885</v>
      </c>
      <c r="AC2546" t="s">
        <v>2968</v>
      </c>
      <c r="AD2546" s="249" t="str">
        <f>HYPERLINK("https://scontent.cdninstagram.com/t51.2885-15/s320x320/e35/21107899_2011338122431876_5240111386771587072_n.jpg")</f>
        <v>https://scontent.cdninstagram.com/t51.2885-15/s320x320/e35/21107899_2011338122431876_5240111386771587072_n.jpg</v>
      </c>
      <c r="AE2546" s="249" t="str">
        <f>HYPERLINK("https://scontent.cdninstagram.com/t51.2885-19/s150x150/19425245_482837005384580_1205645286181961728_a.jpg")</f>
        <v>https://scontent.cdninstagram.com/t51.2885-19/s150x150/19425245_482837005384580_1205645286181961728_a.jpg</v>
      </c>
    </row>
    <row r="2547" spans="1:31" ht="15" x14ac:dyDescent="0.25">
      <c r="A2547" t="s">
        <v>2474</v>
      </c>
      <c r="B2547" t="s">
        <v>15744</v>
      </c>
      <c r="C2547" s="221">
        <v>42971.19358796296</v>
      </c>
      <c r="D2547" t="s">
        <v>15745</v>
      </c>
      <c r="E2547" s="249" t="str">
        <f>HYPERLINK("https://www.instagram.com/p/BYK41rPA8MJ/")</f>
        <v>https://www.instagram.com/p/BYK41rPA8MJ/</v>
      </c>
      <c r="F2547" t="s">
        <v>15746</v>
      </c>
      <c r="G2547" t="s">
        <v>2478</v>
      </c>
      <c r="H2547">
        <v>40</v>
      </c>
      <c r="I2547" t="s">
        <v>2479</v>
      </c>
      <c r="J2547">
        <v>0</v>
      </c>
      <c r="K2547">
        <v>3</v>
      </c>
      <c r="L2547">
        <v>3</v>
      </c>
      <c r="Q2547">
        <v>0</v>
      </c>
      <c r="R2547">
        <v>0</v>
      </c>
      <c r="S2547">
        <v>3</v>
      </c>
      <c r="Y2547" t="s">
        <v>2497</v>
      </c>
      <c r="AD2547" s="249" t="str">
        <f>HYPERLINK("https://scontent.cdninstagram.com/t51.2885-15/s320x320/e35/21107163_1695760960458176_8429125901131710464_n.jpg")</f>
        <v>https://scontent.cdninstagram.com/t51.2885-15/s320x320/e35/21107163_1695760960458176_8429125901131710464_n.jpg</v>
      </c>
      <c r="AE2547" s="249" t="str">
        <f>HYPERLINK("https://scontent.cdninstagram.com/t51.2885-19/s150x150/17663074_143240186206093_7415849953869692928_a.jpg")</f>
        <v>https://scontent.cdninstagram.com/t51.2885-19/s150x150/17663074_143240186206093_7415849953869692928_a.jpg</v>
      </c>
    </row>
    <row r="2548" spans="1:31" ht="15" x14ac:dyDescent="0.25">
      <c r="A2548" t="s">
        <v>2474</v>
      </c>
      <c r="B2548" t="s">
        <v>3251</v>
      </c>
      <c r="C2548" s="221">
        <v>42971.198923611111</v>
      </c>
      <c r="D2548" t="s">
        <v>15747</v>
      </c>
      <c r="E2548" s="249" t="str">
        <f>HYPERLINK("https://www.instagram.com/p/BYK5t3XHZLQ/")</f>
        <v>https://www.instagram.com/p/BYK5t3XHZLQ/</v>
      </c>
      <c r="F2548" t="s">
        <v>15748</v>
      </c>
      <c r="G2548" t="s">
        <v>2478</v>
      </c>
      <c r="H2548">
        <v>297</v>
      </c>
      <c r="I2548" t="s">
        <v>2542</v>
      </c>
      <c r="J2548">
        <v>0</v>
      </c>
      <c r="K2548">
        <v>13</v>
      </c>
      <c r="L2548">
        <v>13</v>
      </c>
      <c r="Q2548">
        <v>0</v>
      </c>
      <c r="R2548">
        <v>0</v>
      </c>
      <c r="S2548">
        <v>13</v>
      </c>
      <c r="Y2548" t="s">
        <v>3969</v>
      </c>
      <c r="Z2548" t="s">
        <v>2778</v>
      </c>
      <c r="AA2548" t="s">
        <v>3257</v>
      </c>
      <c r="AB2548" t="s">
        <v>4844</v>
      </c>
      <c r="AC2548" t="s">
        <v>3968</v>
      </c>
      <c r="AD2548" s="249" t="str">
        <f>HYPERLINK("https://scontent.cdninstagram.com/t51.2885-15/e35/p320x320/20986717_118393195485739_1157520456803155968_n.jpg")</f>
        <v>https://scontent.cdninstagram.com/t51.2885-15/e35/p320x320/20986717_118393195485739_1157520456803155968_n.jpg</v>
      </c>
      <c r="AE2548" s="249" t="str">
        <f>HYPERLINK("https://scontent.cdninstagram.com/t51.2885-19/s150x150/20986614_891746094322067_1272495017625124864_a.jpg")</f>
        <v>https://scontent.cdninstagram.com/t51.2885-19/s150x150/20986614_891746094322067_1272495017625124864_a.jpg</v>
      </c>
    </row>
    <row r="2549" spans="1:31" ht="15" x14ac:dyDescent="0.25">
      <c r="A2549" t="s">
        <v>2474</v>
      </c>
      <c r="B2549" t="s">
        <v>15749</v>
      </c>
      <c r="C2549" s="221">
        <v>42971.202962962961</v>
      </c>
      <c r="D2549" t="s">
        <v>15750</v>
      </c>
      <c r="E2549" s="249" t="str">
        <f>HYPERLINK("https://www.instagram.com/p/BYK6YeGA9hg/")</f>
        <v>https://www.instagram.com/p/BYK6YeGA9hg/</v>
      </c>
      <c r="F2549" t="s">
        <v>15751</v>
      </c>
      <c r="G2549" t="s">
        <v>2478</v>
      </c>
      <c r="H2549">
        <v>1782</v>
      </c>
      <c r="I2549" t="s">
        <v>2479</v>
      </c>
      <c r="J2549">
        <v>4</v>
      </c>
      <c r="K2549">
        <v>52</v>
      </c>
      <c r="L2549">
        <v>56</v>
      </c>
      <c r="Q2549">
        <v>0</v>
      </c>
      <c r="R2549">
        <v>0</v>
      </c>
      <c r="S2549">
        <v>56</v>
      </c>
      <c r="Y2549" t="s">
        <v>15752</v>
      </c>
      <c r="Z2549" t="s">
        <v>15753</v>
      </c>
      <c r="AA2549" t="s">
        <v>15754</v>
      </c>
      <c r="AB2549" t="s">
        <v>15755</v>
      </c>
      <c r="AC2549" t="s">
        <v>15756</v>
      </c>
      <c r="AD2549" s="249" t="str">
        <f>HYPERLINK("https://scontent.cdninstagram.com/t51.2885-15/e35/p320x320/20986657_110937859601263_5236850763564580864_n.jpg")</f>
        <v>https://scontent.cdninstagram.com/t51.2885-15/e35/p320x320/20986657_110937859601263_5236850763564580864_n.jpg</v>
      </c>
      <c r="AE2549" s="249" t="str">
        <f>HYPERLINK("https://scontent.cdninstagram.com/t51.2885-19/s150x150/20346795_446264402416007_6561083773281107968_a.jpg")</f>
        <v>https://scontent.cdninstagram.com/t51.2885-19/s150x150/20346795_446264402416007_6561083773281107968_a.jpg</v>
      </c>
    </row>
    <row r="2550" spans="1:31" ht="15" x14ac:dyDescent="0.25">
      <c r="A2550" t="s">
        <v>2474</v>
      </c>
      <c r="B2550" t="s">
        <v>12526</v>
      </c>
      <c r="C2550" s="221">
        <v>42971.20857638889</v>
      </c>
      <c r="D2550" t="s">
        <v>15757</v>
      </c>
      <c r="E2550" s="249" t="str">
        <f>HYPERLINK("https://www.instagram.com/p/BYK7TqfgGXg/")</f>
        <v>https://www.instagram.com/p/BYK7TqfgGXg/</v>
      </c>
      <c r="F2550" t="s">
        <v>15758</v>
      </c>
      <c r="G2550" t="s">
        <v>2478</v>
      </c>
      <c r="H2550">
        <v>142</v>
      </c>
      <c r="I2550" t="s">
        <v>2542</v>
      </c>
      <c r="J2550">
        <v>0</v>
      </c>
      <c r="K2550">
        <v>4</v>
      </c>
      <c r="L2550">
        <v>4</v>
      </c>
      <c r="Q2550">
        <v>0</v>
      </c>
      <c r="R2550">
        <v>0</v>
      </c>
      <c r="S2550">
        <v>4</v>
      </c>
      <c r="T2550" t="s">
        <v>13483</v>
      </c>
      <c r="V2550" t="s">
        <v>2102</v>
      </c>
      <c r="W2550">
        <v>-38.14866</v>
      </c>
      <c r="X2550">
        <v>144.36322000000001</v>
      </c>
      <c r="Y2550" t="s">
        <v>15759</v>
      </c>
      <c r="Z2550" t="s">
        <v>15760</v>
      </c>
      <c r="AA2550" t="s">
        <v>12531</v>
      </c>
      <c r="AB2550" t="s">
        <v>15761</v>
      </c>
      <c r="AC2550" t="s">
        <v>12533</v>
      </c>
      <c r="AD2550" s="249" t="str">
        <f>HYPERLINK("https://scontent.cdninstagram.com/t51.2885-15/s320x320/e35/20987468_1519794811433580_5895988768732610560_n.jpg")</f>
        <v>https://scontent.cdninstagram.com/t51.2885-15/s320x320/e35/20987468_1519794811433580_5895988768732610560_n.jpg</v>
      </c>
      <c r="AE2550" s="249" t="str">
        <f>HYPERLINK("https://scontent.cdninstagram.com/t51.2885-19/s150x150/18888580_1298452656917156_5296228896885178368_a.jpg")</f>
        <v>https://scontent.cdninstagram.com/t51.2885-19/s150x150/18888580_1298452656917156_5296228896885178368_a.jpg</v>
      </c>
    </row>
    <row r="2551" spans="1:31" ht="15" x14ac:dyDescent="0.25">
      <c r="A2551" t="s">
        <v>2474</v>
      </c>
      <c r="B2551" t="s">
        <v>12526</v>
      </c>
      <c r="C2551" s="221">
        <v>42971.209710648145</v>
      </c>
      <c r="D2551" t="s">
        <v>15762</v>
      </c>
      <c r="E2551" s="249" t="str">
        <f>HYPERLINK("https://www.instagram.com/p/BYK7fsPgQop/")</f>
        <v>https://www.instagram.com/p/BYK7fsPgQop/</v>
      </c>
      <c r="F2551" t="s">
        <v>15763</v>
      </c>
      <c r="G2551" t="s">
        <v>2478</v>
      </c>
      <c r="H2551">
        <v>142</v>
      </c>
      <c r="I2551" t="s">
        <v>3575</v>
      </c>
      <c r="J2551">
        <v>0</v>
      </c>
      <c r="K2551">
        <v>15</v>
      </c>
      <c r="L2551">
        <v>15</v>
      </c>
      <c r="Q2551">
        <v>0</v>
      </c>
      <c r="R2551">
        <v>0</v>
      </c>
      <c r="S2551">
        <v>15</v>
      </c>
      <c r="Y2551" t="s">
        <v>15759</v>
      </c>
      <c r="Z2551" t="s">
        <v>15760</v>
      </c>
      <c r="AA2551" t="s">
        <v>12531</v>
      </c>
      <c r="AB2551" t="s">
        <v>15761</v>
      </c>
      <c r="AC2551" t="s">
        <v>12533</v>
      </c>
      <c r="AD2551" s="249" t="str">
        <f>HYPERLINK("https://scontent.cdninstagram.com/t51.2885-15/s320x320/e35/21041675_1459457530812308_3853925793092599808_n.jpg")</f>
        <v>https://scontent.cdninstagram.com/t51.2885-15/s320x320/e35/21041675_1459457530812308_3853925793092599808_n.jpg</v>
      </c>
      <c r="AE2551" s="249" t="str">
        <f>HYPERLINK("https://scontent.cdninstagram.com/t51.2885-19/s150x150/18888580_1298452656917156_5296228896885178368_a.jpg")</f>
        <v>https://scontent.cdninstagram.com/t51.2885-19/s150x150/18888580_1298452656917156_5296228896885178368_a.jpg</v>
      </c>
    </row>
    <row r="2552" spans="1:31" ht="15" x14ac:dyDescent="0.25">
      <c r="A2552" t="s">
        <v>2474</v>
      </c>
      <c r="B2552" t="s">
        <v>12526</v>
      </c>
      <c r="C2552" s="221">
        <v>42971.212199074071</v>
      </c>
      <c r="D2552" t="s">
        <v>15764</v>
      </c>
      <c r="E2552" s="249" t="str">
        <f>HYPERLINK("https://www.instagram.com/p/BYK7547AeJy/")</f>
        <v>https://www.instagram.com/p/BYK7547AeJy/</v>
      </c>
      <c r="F2552" t="s">
        <v>15765</v>
      </c>
      <c r="G2552" t="s">
        <v>2478</v>
      </c>
      <c r="H2552">
        <v>142</v>
      </c>
      <c r="I2552" t="s">
        <v>2542</v>
      </c>
      <c r="J2552">
        <v>0</v>
      </c>
      <c r="K2552">
        <v>14</v>
      </c>
      <c r="L2552">
        <v>14</v>
      </c>
      <c r="Q2552">
        <v>0</v>
      </c>
      <c r="R2552">
        <v>0</v>
      </c>
      <c r="S2552">
        <v>14</v>
      </c>
      <c r="T2552" t="s">
        <v>13483</v>
      </c>
      <c r="V2552" t="s">
        <v>2102</v>
      </c>
      <c r="W2552">
        <v>-38.14866</v>
      </c>
      <c r="X2552">
        <v>144.36322000000001</v>
      </c>
      <c r="Y2552" t="s">
        <v>15759</v>
      </c>
      <c r="Z2552" t="s">
        <v>15760</v>
      </c>
      <c r="AA2552" t="s">
        <v>12531</v>
      </c>
      <c r="AB2552" t="s">
        <v>15761</v>
      </c>
      <c r="AC2552" t="s">
        <v>15766</v>
      </c>
      <c r="AD2552" s="249" t="str">
        <f>HYPERLINK("https://scontent.cdninstagram.com/t51.2885-15/s320x320/e35/21041798_111774309539523_7965256114470125568_n.jpg")</f>
        <v>https://scontent.cdninstagram.com/t51.2885-15/s320x320/e35/21041798_111774309539523_7965256114470125568_n.jpg</v>
      </c>
      <c r="AE2552" s="249" t="str">
        <f>HYPERLINK("https://scontent.cdninstagram.com/t51.2885-19/s150x150/18888580_1298452656917156_5296228896885178368_a.jpg")</f>
        <v>https://scontent.cdninstagram.com/t51.2885-19/s150x150/18888580_1298452656917156_5296228896885178368_a.jpg</v>
      </c>
    </row>
    <row r="2553" spans="1:31" ht="15" x14ac:dyDescent="0.25">
      <c r="A2553" t="s">
        <v>2474</v>
      </c>
      <c r="B2553" t="s">
        <v>15767</v>
      </c>
      <c r="C2553" s="221">
        <v>42971.21638888889</v>
      </c>
      <c r="D2553" t="s">
        <v>15768</v>
      </c>
      <c r="E2553" s="249" t="str">
        <f>HYPERLINK("https://www.instagram.com/p/BYK8mHQlRax/")</f>
        <v>https://www.instagram.com/p/BYK8mHQlRax/</v>
      </c>
      <c r="F2553" t="s">
        <v>15769</v>
      </c>
      <c r="G2553" t="s">
        <v>2478</v>
      </c>
      <c r="H2553">
        <v>77</v>
      </c>
      <c r="I2553" t="s">
        <v>2479</v>
      </c>
      <c r="J2553">
        <v>1</v>
      </c>
      <c r="K2553">
        <v>3</v>
      </c>
      <c r="L2553">
        <v>4</v>
      </c>
      <c r="Q2553">
        <v>0</v>
      </c>
      <c r="R2553">
        <v>0</v>
      </c>
      <c r="S2553">
        <v>4</v>
      </c>
      <c r="Y2553" t="s">
        <v>15770</v>
      </c>
      <c r="Z2553" t="s">
        <v>2497</v>
      </c>
      <c r="AA2553" t="s">
        <v>15771</v>
      </c>
      <c r="AB2553" t="s">
        <v>3110</v>
      </c>
      <c r="AC2553" t="s">
        <v>15772</v>
      </c>
      <c r="AD2553" s="249" t="str">
        <f>HYPERLINK("https://scontent.cdninstagram.com/t51.2885-15/s320x320/e35/21041186_331491630632120_2578231084961497088_n.jpg")</f>
        <v>https://scontent.cdninstagram.com/t51.2885-15/s320x320/e35/21041186_331491630632120_2578231084961497088_n.jpg</v>
      </c>
      <c r="AE2553" s="249" t="str">
        <f>HYPERLINK("https://scontent.cdninstagram.com/t51.2885-19/11372489_914794501914565_2130436663_a.jpg")</f>
        <v>https://scontent.cdninstagram.com/t51.2885-19/11372489_914794501914565_2130436663_a.jpg</v>
      </c>
    </row>
    <row r="2554" spans="1:31" ht="15" x14ac:dyDescent="0.25">
      <c r="A2554" t="s">
        <v>2474</v>
      </c>
      <c r="B2554" t="s">
        <v>15773</v>
      </c>
      <c r="C2554" s="221">
        <v>42971.219629629632</v>
      </c>
      <c r="D2554" t="s">
        <v>15774</v>
      </c>
      <c r="E2554" s="249" t="str">
        <f>HYPERLINK("https://www.instagram.com/p/BYK9IVCh1Pk/")</f>
        <v>https://www.instagram.com/p/BYK9IVCh1Pk/</v>
      </c>
      <c r="F2554" t="s">
        <v>15775</v>
      </c>
      <c r="G2554" t="s">
        <v>2478</v>
      </c>
      <c r="H2554">
        <v>466</v>
      </c>
      <c r="I2554" t="s">
        <v>2479</v>
      </c>
      <c r="J2554">
        <v>1</v>
      </c>
      <c r="K2554">
        <v>37</v>
      </c>
      <c r="L2554">
        <v>38</v>
      </c>
      <c r="Q2554">
        <v>0</v>
      </c>
      <c r="R2554">
        <v>0</v>
      </c>
      <c r="S2554">
        <v>38</v>
      </c>
      <c r="T2554" t="s">
        <v>5066</v>
      </c>
      <c r="V2554" t="s">
        <v>2154</v>
      </c>
      <c r="W2554">
        <v>48.856699999999996</v>
      </c>
      <c r="X2554">
        <v>2.3508</v>
      </c>
      <c r="Y2554" t="s">
        <v>15770</v>
      </c>
      <c r="Z2554" t="s">
        <v>2497</v>
      </c>
      <c r="AA2554" t="s">
        <v>15771</v>
      </c>
      <c r="AB2554" t="s">
        <v>3110</v>
      </c>
      <c r="AC2554" t="s">
        <v>15772</v>
      </c>
      <c r="AD2554" s="249" t="str">
        <f>HYPERLINK("https://scontent.cdninstagram.com/t51.2885-15/s320x320/e35/21041481_112013582851257_7426423974373883904_n.jpg")</f>
        <v>https://scontent.cdninstagram.com/t51.2885-15/s320x320/e35/21041481_112013582851257_7426423974373883904_n.jpg</v>
      </c>
      <c r="AE2554" s="249" t="str">
        <f>HYPERLINK("https://scontent.cdninstagram.com/t51.2885-19/s150x150/15802069_1252737861469114_531982015151472640_a.jpg")</f>
        <v>https://scontent.cdninstagram.com/t51.2885-19/s150x150/15802069_1252737861469114_531982015151472640_a.jpg</v>
      </c>
    </row>
    <row r="2555" spans="1:31" ht="15" x14ac:dyDescent="0.25">
      <c r="A2555" t="s">
        <v>2474</v>
      </c>
      <c r="B2555" t="s">
        <v>3754</v>
      </c>
      <c r="C2555" s="221">
        <v>42971.233263888891</v>
      </c>
      <c r="D2555" t="s">
        <v>15776</v>
      </c>
      <c r="E2555" s="249" t="str">
        <f>HYPERLINK("https://www.instagram.com/p/BYK_YFjjcFO/")</f>
        <v>https://www.instagram.com/p/BYK_YFjjcFO/</v>
      </c>
      <c r="F2555" t="s">
        <v>15777</v>
      </c>
      <c r="G2555" t="s">
        <v>2478</v>
      </c>
      <c r="H2555">
        <v>201562</v>
      </c>
      <c r="I2555" t="s">
        <v>2479</v>
      </c>
      <c r="J2555">
        <v>0</v>
      </c>
      <c r="K2555">
        <v>135</v>
      </c>
      <c r="L2555">
        <v>135</v>
      </c>
      <c r="Q2555">
        <v>0</v>
      </c>
      <c r="R2555">
        <v>0</v>
      </c>
      <c r="S2555">
        <v>135</v>
      </c>
      <c r="Y2555" t="s">
        <v>4564</v>
      </c>
      <c r="Z2555" t="s">
        <v>6242</v>
      </c>
      <c r="AA2555" t="s">
        <v>10199</v>
      </c>
      <c r="AB2555" t="s">
        <v>5196</v>
      </c>
      <c r="AC2555" t="s">
        <v>3760</v>
      </c>
      <c r="AD2555" s="249" t="str">
        <f>HYPERLINK("https://scontent.cdninstagram.com/t51.2885-15/s320x320/e35/21041240_207624099773882_1034946131739541504_n.jpg")</f>
        <v>https://scontent.cdninstagram.com/t51.2885-15/s320x320/e35/21041240_207624099773882_1034946131739541504_n.jpg</v>
      </c>
      <c r="AE2555" s="249" t="str">
        <f>HYPERLINK("https://scontent.cdninstagram.com/t51.2885-19/s150x150/12905002_1681254462136092_1137392787_a.jpg")</f>
        <v>https://scontent.cdninstagram.com/t51.2885-19/s150x150/12905002_1681254462136092_1137392787_a.jpg</v>
      </c>
    </row>
    <row r="2556" spans="1:31" ht="15" x14ac:dyDescent="0.25">
      <c r="A2556" t="s">
        <v>2474</v>
      </c>
      <c r="B2556" t="s">
        <v>3754</v>
      </c>
      <c r="C2556" s="221">
        <v>42971.234398148146</v>
      </c>
      <c r="D2556" t="s">
        <v>15778</v>
      </c>
      <c r="E2556" s="249" t="str">
        <f>HYPERLINK("https://www.instagram.com/p/BYK_kEhDNQX/")</f>
        <v>https://www.instagram.com/p/BYK_kEhDNQX/</v>
      </c>
      <c r="F2556" t="s">
        <v>15777</v>
      </c>
      <c r="G2556" t="s">
        <v>2478</v>
      </c>
      <c r="H2556">
        <v>201562</v>
      </c>
      <c r="I2556" t="s">
        <v>2479</v>
      </c>
      <c r="J2556">
        <v>0</v>
      </c>
      <c r="K2556">
        <v>272</v>
      </c>
      <c r="L2556">
        <v>272</v>
      </c>
      <c r="Q2556">
        <v>0</v>
      </c>
      <c r="R2556">
        <v>0</v>
      </c>
      <c r="S2556">
        <v>272</v>
      </c>
      <c r="Y2556" t="s">
        <v>4564</v>
      </c>
      <c r="Z2556" t="s">
        <v>6242</v>
      </c>
      <c r="AA2556" t="s">
        <v>10199</v>
      </c>
      <c r="AB2556" t="s">
        <v>5196</v>
      </c>
      <c r="AC2556" t="s">
        <v>3760</v>
      </c>
      <c r="AD2556" s="249" t="str">
        <f>HYPERLINK("https://scontent.cdninstagram.com/t51.2885-15/s320x320/e35/21107704_112929552761553_175711785003778048_n.jpg")</f>
        <v>https://scontent.cdninstagram.com/t51.2885-15/s320x320/e35/21107704_112929552761553_175711785003778048_n.jpg</v>
      </c>
      <c r="AE2556" s="249" t="str">
        <f>HYPERLINK("https://scontent.cdninstagram.com/t51.2885-19/s150x150/12905002_1681254462136092_1137392787_a.jpg")</f>
        <v>https://scontent.cdninstagram.com/t51.2885-19/s150x150/12905002_1681254462136092_1137392787_a.jpg</v>
      </c>
    </row>
    <row r="2557" spans="1:31" ht="15" x14ac:dyDescent="0.25">
      <c r="A2557" t="s">
        <v>2474</v>
      </c>
      <c r="B2557" t="s">
        <v>3754</v>
      </c>
      <c r="C2557" s="221">
        <v>42971.241249999999</v>
      </c>
      <c r="D2557" t="s">
        <v>15779</v>
      </c>
      <c r="E2557" s="249" t="str">
        <f>HYPERLINK("https://www.instagram.com/p/BYLAsWEDC_m/")</f>
        <v>https://www.instagram.com/p/BYLAsWEDC_m/</v>
      </c>
      <c r="F2557" t="s">
        <v>15777</v>
      </c>
      <c r="G2557" t="s">
        <v>2478</v>
      </c>
      <c r="H2557">
        <v>201562</v>
      </c>
      <c r="I2557" t="s">
        <v>2479</v>
      </c>
      <c r="J2557">
        <v>3</v>
      </c>
      <c r="K2557">
        <v>350</v>
      </c>
      <c r="L2557">
        <v>353</v>
      </c>
      <c r="Q2557">
        <v>0</v>
      </c>
      <c r="R2557">
        <v>0</v>
      </c>
      <c r="S2557">
        <v>353</v>
      </c>
      <c r="Y2557" t="s">
        <v>4564</v>
      </c>
      <c r="Z2557" t="s">
        <v>6242</v>
      </c>
      <c r="AA2557" t="s">
        <v>10199</v>
      </c>
      <c r="AB2557" t="s">
        <v>5196</v>
      </c>
      <c r="AC2557" t="s">
        <v>3760</v>
      </c>
      <c r="AD2557" s="249" t="str">
        <f>HYPERLINK("https://scontent.cdninstagram.com/t51.2885-15/e35/p320x320/21041823_1593320684051354_5339035525959385088_n.jpg")</f>
        <v>https://scontent.cdninstagram.com/t51.2885-15/e35/p320x320/21041823_1593320684051354_5339035525959385088_n.jpg</v>
      </c>
      <c r="AE2557" s="249" t="str">
        <f>HYPERLINK("https://scontent.cdninstagram.com/t51.2885-19/s150x150/12905002_1681254462136092_1137392787_a.jpg")</f>
        <v>https://scontent.cdninstagram.com/t51.2885-19/s150x150/12905002_1681254462136092_1137392787_a.jpg</v>
      </c>
    </row>
    <row r="2558" spans="1:31" ht="15" x14ac:dyDescent="0.25">
      <c r="A2558" t="s">
        <v>2474</v>
      </c>
      <c r="B2558" t="s">
        <v>15780</v>
      </c>
      <c r="C2558" s="221">
        <v>42971.255729166667</v>
      </c>
      <c r="D2558" t="s">
        <v>15781</v>
      </c>
      <c r="E2558" s="249" t="str">
        <f>HYPERLINK("https://www.instagram.com/p/BYLDFAcgTwJ/")</f>
        <v>https://www.instagram.com/p/BYLDFAcgTwJ/</v>
      </c>
      <c r="F2558" t="s">
        <v>15782</v>
      </c>
      <c r="G2558" t="s">
        <v>2478</v>
      </c>
      <c r="H2558">
        <v>286</v>
      </c>
      <c r="I2558" t="s">
        <v>2479</v>
      </c>
      <c r="J2558">
        <v>14</v>
      </c>
      <c r="K2558">
        <v>44</v>
      </c>
      <c r="L2558">
        <v>58</v>
      </c>
      <c r="Q2558">
        <v>0</v>
      </c>
      <c r="R2558">
        <v>0</v>
      </c>
      <c r="S2558">
        <v>58</v>
      </c>
      <c r="Y2558" t="s">
        <v>2497</v>
      </c>
      <c r="AD2558" s="249" t="str">
        <f>HYPERLINK("https://scontent.cdninstagram.com/t51.2885-15/s320x320/e35/21108085_1729265404041423_1612862096272261120_n.jpg")</f>
        <v>https://scontent.cdninstagram.com/t51.2885-15/s320x320/e35/21108085_1729265404041423_1612862096272261120_n.jpg</v>
      </c>
      <c r="AE2558" s="249" t="str">
        <f>HYPERLINK("https://scontent.cdninstagram.com/t51.2885-19/s150x150/13092319_465709133623827_859244737_a.jpg")</f>
        <v>https://scontent.cdninstagram.com/t51.2885-19/s150x150/13092319_465709133623827_859244737_a.jpg</v>
      </c>
    </row>
    <row r="2559" spans="1:31" ht="15" x14ac:dyDescent="0.25">
      <c r="A2559" t="s">
        <v>2474</v>
      </c>
      <c r="B2559" t="s">
        <v>15783</v>
      </c>
      <c r="C2559" s="221">
        <v>42971.266064814816</v>
      </c>
      <c r="D2559" t="s">
        <v>15784</v>
      </c>
      <c r="E2559" s="249" t="str">
        <f>HYPERLINK("https://www.instagram.com/p/BYLEyBqg_aQ/")</f>
        <v>https://www.instagram.com/p/BYLEyBqg_aQ/</v>
      </c>
      <c r="F2559" t="s">
        <v>15785</v>
      </c>
      <c r="G2559" t="s">
        <v>2478</v>
      </c>
      <c r="H2559">
        <v>1538</v>
      </c>
      <c r="I2559" t="s">
        <v>2786</v>
      </c>
      <c r="J2559">
        <v>2</v>
      </c>
      <c r="K2559">
        <v>93</v>
      </c>
      <c r="L2559">
        <v>95</v>
      </c>
      <c r="Q2559">
        <v>0</v>
      </c>
      <c r="R2559">
        <v>0</v>
      </c>
      <c r="S2559">
        <v>95</v>
      </c>
      <c r="T2559" t="s">
        <v>15786</v>
      </c>
      <c r="V2559" t="s">
        <v>2288</v>
      </c>
      <c r="W2559">
        <v>51.4899469</v>
      </c>
      <c r="X2559">
        <v>-0.19154060000000001</v>
      </c>
      <c r="Y2559" t="s">
        <v>15787</v>
      </c>
      <c r="Z2559" t="s">
        <v>5848</v>
      </c>
      <c r="AA2559" t="s">
        <v>11736</v>
      </c>
      <c r="AB2559" t="s">
        <v>15788</v>
      </c>
      <c r="AC2559" t="s">
        <v>15789</v>
      </c>
      <c r="AD2559" s="249" t="str">
        <f>HYPERLINK("https://scontent.cdninstagram.com/t51.2885-15/s320x320/e35/21042328_337814803342506_4937329133140049920_n.jpg")</f>
        <v>https://scontent.cdninstagram.com/t51.2885-15/s320x320/e35/21042328_337814803342506_4937329133140049920_n.jpg</v>
      </c>
      <c r="AE2559" s="249" t="str">
        <f>HYPERLINK("https://scontent.cdninstagram.com/t51.2885-19/s150x150/17076686_1269162003172517_6712006329902301184_a.jpg")</f>
        <v>https://scontent.cdninstagram.com/t51.2885-19/s150x150/17076686_1269162003172517_6712006329902301184_a.jpg</v>
      </c>
    </row>
    <row r="2560" spans="1:31" ht="15" x14ac:dyDescent="0.25">
      <c r="A2560" t="s">
        <v>2474</v>
      </c>
      <c r="B2560" t="s">
        <v>15790</v>
      </c>
      <c r="C2560" s="221">
        <v>42971.273449074077</v>
      </c>
      <c r="D2560" t="s">
        <v>15791</v>
      </c>
      <c r="E2560" s="249" t="str">
        <f>HYPERLINK("https://www.instagram.com/p/BYLF_5HFdW6/")</f>
        <v>https://www.instagram.com/p/BYLF_5HFdW6/</v>
      </c>
      <c r="F2560" t="s">
        <v>15792</v>
      </c>
      <c r="G2560" t="s">
        <v>2478</v>
      </c>
      <c r="H2560">
        <v>33</v>
      </c>
      <c r="I2560" t="s">
        <v>2479</v>
      </c>
      <c r="J2560">
        <v>0</v>
      </c>
      <c r="K2560">
        <v>27</v>
      </c>
      <c r="L2560">
        <v>27</v>
      </c>
      <c r="Q2560">
        <v>0</v>
      </c>
      <c r="R2560">
        <v>0</v>
      </c>
      <c r="S2560">
        <v>27</v>
      </c>
      <c r="T2560" t="s">
        <v>15793</v>
      </c>
      <c r="V2560" t="s">
        <v>2200</v>
      </c>
      <c r="W2560">
        <v>49.611522433106998</v>
      </c>
      <c r="X2560">
        <v>6.1364159236702998</v>
      </c>
      <c r="Y2560" t="s">
        <v>15794</v>
      </c>
      <c r="Z2560" t="s">
        <v>15795</v>
      </c>
      <c r="AA2560" t="s">
        <v>15796</v>
      </c>
      <c r="AB2560" t="s">
        <v>15797</v>
      </c>
      <c r="AC2560" t="s">
        <v>2651</v>
      </c>
      <c r="AD2560" s="249" t="str">
        <f>HYPERLINK("https://scontent.cdninstagram.com/t51.2885-15/s320x320/e35/21107860_111465846232063_9074863707120467968_n.jpg")</f>
        <v>https://scontent.cdninstagram.com/t51.2885-15/s320x320/e35/21107860_111465846232063_9074863707120467968_n.jpg</v>
      </c>
      <c r="AE2560" s="249" t="str">
        <f>HYPERLINK("https://scontent.cdninstagram.com/t51.2885-19/s150x150/20398682_797348613805851_6481078106038730752_a.jpg")</f>
        <v>https://scontent.cdninstagram.com/t51.2885-19/s150x150/20398682_797348613805851_6481078106038730752_a.jpg</v>
      </c>
    </row>
    <row r="2561" spans="1:31" ht="15" x14ac:dyDescent="0.25">
      <c r="A2561" t="s">
        <v>2474</v>
      </c>
      <c r="B2561" t="s">
        <v>2644</v>
      </c>
      <c r="C2561" s="221">
        <v>42971.287141203706</v>
      </c>
      <c r="D2561" t="s">
        <v>15798</v>
      </c>
      <c r="E2561" s="249" t="str">
        <f>HYPERLINK("https://www.instagram.com/p/BYLIQSbgogc/")</f>
        <v>https://www.instagram.com/p/BYLIQSbgogc/</v>
      </c>
      <c r="F2561" t="s">
        <v>15799</v>
      </c>
      <c r="G2561" t="s">
        <v>2478</v>
      </c>
      <c r="H2561">
        <v>1753</v>
      </c>
      <c r="I2561" t="s">
        <v>2479</v>
      </c>
      <c r="J2561">
        <v>1</v>
      </c>
      <c r="K2561">
        <v>86</v>
      </c>
      <c r="L2561">
        <v>87</v>
      </c>
      <c r="Q2561">
        <v>0</v>
      </c>
      <c r="R2561">
        <v>0</v>
      </c>
      <c r="S2561">
        <v>87</v>
      </c>
      <c r="T2561" t="s">
        <v>15800</v>
      </c>
      <c r="V2561" t="s">
        <v>2648</v>
      </c>
      <c r="W2561">
        <v>55.755076652493003</v>
      </c>
      <c r="X2561">
        <v>37.640355571223999</v>
      </c>
      <c r="Y2561" t="s">
        <v>2032</v>
      </c>
      <c r="Z2561" t="s">
        <v>3915</v>
      </c>
      <c r="AA2561" t="s">
        <v>3634</v>
      </c>
      <c r="AB2561" t="s">
        <v>5796</v>
      </c>
      <c r="AC2561" t="s">
        <v>2649</v>
      </c>
      <c r="AD2561" s="249" t="str">
        <f>HYPERLINK("https://scontent.cdninstagram.com/t51.2885-15/s320x320/e35/21042016_706370869548869_7464091954251300864_n.jpg")</f>
        <v>https://scontent.cdninstagram.com/t51.2885-15/s320x320/e35/21042016_706370869548869_7464091954251300864_n.jpg</v>
      </c>
      <c r="AE2561" s="249" t="str">
        <f>HYPERLINK("https://scontent.cdninstagram.com/t51.2885-19/11372086_1598451257062069_1320225693_a.jpg")</f>
        <v>https://scontent.cdninstagram.com/t51.2885-19/11372086_1598451257062069_1320225693_a.jpg</v>
      </c>
    </row>
    <row r="2562" spans="1:31" ht="15" x14ac:dyDescent="0.25">
      <c r="A2562" t="s">
        <v>2474</v>
      </c>
      <c r="B2562" t="s">
        <v>15801</v>
      </c>
      <c r="C2562" s="221">
        <v>42971.288854166669</v>
      </c>
      <c r="D2562" t="s">
        <v>15802</v>
      </c>
      <c r="E2562" s="249" t="str">
        <f>HYPERLINK("https://www.instagram.com/p/BYLIiWQl0zk/")</f>
        <v>https://www.instagram.com/p/BYLIiWQl0zk/</v>
      </c>
      <c r="G2562" t="s">
        <v>2478</v>
      </c>
      <c r="H2562">
        <v>207</v>
      </c>
      <c r="I2562" t="s">
        <v>2510</v>
      </c>
      <c r="J2562">
        <v>4</v>
      </c>
      <c r="K2562">
        <v>29</v>
      </c>
      <c r="L2562">
        <v>33</v>
      </c>
      <c r="Q2562">
        <v>0</v>
      </c>
      <c r="R2562">
        <v>0</v>
      </c>
      <c r="S2562">
        <v>33</v>
      </c>
      <c r="Y2562" t="s">
        <v>15803</v>
      </c>
      <c r="Z2562" t="s">
        <v>15804</v>
      </c>
      <c r="AA2562" t="s">
        <v>15805</v>
      </c>
      <c r="AB2562" t="s">
        <v>15806</v>
      </c>
      <c r="AC2562" t="s">
        <v>15807</v>
      </c>
      <c r="AD2562" s="249" t="str">
        <f>HYPERLINK("https://scontent.cdninstagram.com/t51.2885-15/s320x320/e35/21107223_113832515951823_8513535116738297856_n.jpg")</f>
        <v>https://scontent.cdninstagram.com/t51.2885-15/s320x320/e35/21107223_113832515951823_8513535116738297856_n.jpg</v>
      </c>
      <c r="AE2562" s="249" t="str">
        <f>HYPERLINK("https://scontent.cdninstagram.com/t51.2885-19/s150x150/12547279_954947561266331_1148242584_a.jpg")</f>
        <v>https://scontent.cdninstagram.com/t51.2885-19/s150x150/12547279_954947561266331_1148242584_a.jpg</v>
      </c>
    </row>
    <row r="2563" spans="1:31" ht="15" x14ac:dyDescent="0.25">
      <c r="A2563" t="s">
        <v>2474</v>
      </c>
      <c r="B2563" t="s">
        <v>15159</v>
      </c>
      <c r="C2563" s="221">
        <v>42971.291064814817</v>
      </c>
      <c r="D2563" t="s">
        <v>15808</v>
      </c>
      <c r="E2563" s="249" t="str">
        <f>HYPERLINK("https://www.instagram.com/p/BYLI5rDB6X6/")</f>
        <v>https://www.instagram.com/p/BYLI5rDB6X6/</v>
      </c>
      <c r="F2563" t="s">
        <v>15809</v>
      </c>
      <c r="G2563" t="s">
        <v>2478</v>
      </c>
      <c r="H2563">
        <v>1966</v>
      </c>
      <c r="I2563" t="s">
        <v>2479</v>
      </c>
      <c r="J2563">
        <v>1</v>
      </c>
      <c r="K2563">
        <v>34</v>
      </c>
      <c r="L2563">
        <v>35</v>
      </c>
      <c r="Q2563">
        <v>0</v>
      </c>
      <c r="R2563">
        <v>0</v>
      </c>
      <c r="S2563">
        <v>35</v>
      </c>
      <c r="Y2563" t="s">
        <v>2734</v>
      </c>
      <c r="Z2563" t="s">
        <v>15810</v>
      </c>
      <c r="AA2563" t="s">
        <v>7279</v>
      </c>
      <c r="AB2563" t="s">
        <v>5848</v>
      </c>
      <c r="AC2563" t="s">
        <v>6550</v>
      </c>
      <c r="AD2563" s="249" t="str">
        <f>HYPERLINK("https://scontent.cdninstagram.com/t51.2885-15/s320x320/e35/20969381_897195767085284_7657077251611033600_n.jpg")</f>
        <v>https://scontent.cdninstagram.com/t51.2885-15/s320x320/e35/20969381_897195767085284_7657077251611033600_n.jpg</v>
      </c>
      <c r="AE2563" s="249" t="str">
        <f>HYPERLINK("https://scontent.cdninstagram.com/t51.2885-19/s150x150/19533785_1741677726126780_8398988759860772864_a.jpg")</f>
        <v>https://scontent.cdninstagram.com/t51.2885-19/s150x150/19533785_1741677726126780_8398988759860772864_a.jpg</v>
      </c>
    </row>
    <row r="2564" spans="1:31" ht="15" x14ac:dyDescent="0.25">
      <c r="A2564" t="s">
        <v>2474</v>
      </c>
      <c r="B2564" t="s">
        <v>8320</v>
      </c>
      <c r="C2564" s="221">
        <v>42971.292615740742</v>
      </c>
      <c r="D2564" t="s">
        <v>15811</v>
      </c>
      <c r="E2564" s="249" t="str">
        <f>HYPERLINK("https://www.instagram.com/p/BYLJKDsl7ct/")</f>
        <v>https://www.instagram.com/p/BYLJKDsl7ct/</v>
      </c>
      <c r="F2564" t="s">
        <v>15812</v>
      </c>
      <c r="G2564" t="s">
        <v>2478</v>
      </c>
      <c r="H2564">
        <v>2356</v>
      </c>
      <c r="I2564" t="s">
        <v>2479</v>
      </c>
      <c r="J2564">
        <v>0</v>
      </c>
      <c r="K2564">
        <v>70</v>
      </c>
      <c r="L2564">
        <v>70</v>
      </c>
      <c r="Q2564">
        <v>0</v>
      </c>
      <c r="R2564">
        <v>0</v>
      </c>
      <c r="S2564">
        <v>70</v>
      </c>
      <c r="Y2564" t="s">
        <v>6706</v>
      </c>
      <c r="Z2564" t="s">
        <v>15813</v>
      </c>
      <c r="AA2564" t="s">
        <v>4622</v>
      </c>
      <c r="AB2564" t="s">
        <v>15814</v>
      </c>
      <c r="AC2564" t="s">
        <v>15815</v>
      </c>
      <c r="AD2564" s="249" t="str">
        <f>HYPERLINK("https://scontent.cdninstagram.com/t51.2885-15/s320x320/e35/21107189_1483735911684662_1622156968141520896_n.jpg")</f>
        <v>https://scontent.cdninstagram.com/t51.2885-15/s320x320/e35/21107189_1483735911684662_1622156968141520896_n.jpg</v>
      </c>
      <c r="AE2564" s="249" t="str">
        <f>HYPERLINK("https://scontent.cdninstagram.com/t51.2885-19/s150x150/14677160_1118752464886698_3376108667072937984_a.jpg")</f>
        <v>https://scontent.cdninstagram.com/t51.2885-19/s150x150/14677160_1118752464886698_3376108667072937984_a.jpg</v>
      </c>
    </row>
    <row r="2565" spans="1:31" ht="15" x14ac:dyDescent="0.25">
      <c r="A2565" t="s">
        <v>2474</v>
      </c>
      <c r="B2565" t="s">
        <v>15816</v>
      </c>
      <c r="C2565" s="221">
        <v>42971.292870370373</v>
      </c>
      <c r="D2565" t="s">
        <v>15817</v>
      </c>
      <c r="E2565" s="249" t="str">
        <f>HYPERLINK("https://www.instagram.com/p/BYLJMxhHt8v/")</f>
        <v>https://www.instagram.com/p/BYLJMxhHt8v/</v>
      </c>
      <c r="F2565" t="s">
        <v>15818</v>
      </c>
      <c r="G2565" t="s">
        <v>2478</v>
      </c>
      <c r="H2565">
        <v>219</v>
      </c>
      <c r="I2565" t="s">
        <v>2639</v>
      </c>
      <c r="J2565">
        <v>2</v>
      </c>
      <c r="K2565">
        <v>33</v>
      </c>
      <c r="L2565">
        <v>35</v>
      </c>
      <c r="Q2565">
        <v>0</v>
      </c>
      <c r="R2565">
        <v>0</v>
      </c>
      <c r="S2565">
        <v>35</v>
      </c>
      <c r="T2565" t="s">
        <v>15819</v>
      </c>
      <c r="V2565" t="s">
        <v>2207</v>
      </c>
      <c r="W2565">
        <v>35.950000000000003</v>
      </c>
      <c r="X2565">
        <v>14.366666666666999</v>
      </c>
      <c r="Y2565" t="s">
        <v>15820</v>
      </c>
      <c r="Z2565" t="s">
        <v>15821</v>
      </c>
      <c r="AA2565" t="s">
        <v>15822</v>
      </c>
      <c r="AB2565" t="s">
        <v>15823</v>
      </c>
      <c r="AC2565" t="s">
        <v>3843</v>
      </c>
      <c r="AD2565" s="249" t="str">
        <f>HYPERLINK("https://scontent.cdninstagram.com/t51.2885-15/s320x320/e35/21107956_1715867091764896_7107970703634202624_n.jpg")</f>
        <v>https://scontent.cdninstagram.com/t51.2885-15/s320x320/e35/21107956_1715867091764896_7107970703634202624_n.jpg</v>
      </c>
      <c r="AE2565" s="249" t="str">
        <f>HYPERLINK("https://scontent.cdninstagram.com/t51.2885-19/s150x150/14449304_647273408765740_350820337555865600_a.jpg")</f>
        <v>https://scontent.cdninstagram.com/t51.2885-19/s150x150/14449304_647273408765740_350820337555865600_a.jpg</v>
      </c>
    </row>
    <row r="2566" spans="1:31" ht="15" x14ac:dyDescent="0.25">
      <c r="A2566" t="s">
        <v>2474</v>
      </c>
      <c r="B2566" t="s">
        <v>6847</v>
      </c>
      <c r="C2566" s="221">
        <v>42971.295868055553</v>
      </c>
      <c r="D2566" t="s">
        <v>15824</v>
      </c>
      <c r="E2566" s="249" t="str">
        <f>HYPERLINK("https://www.instagram.com/p/BYLJsaAh9EX/")</f>
        <v>https://www.instagram.com/p/BYLJsaAh9EX/</v>
      </c>
      <c r="F2566" t="s">
        <v>15825</v>
      </c>
      <c r="G2566" t="s">
        <v>2478</v>
      </c>
      <c r="H2566">
        <v>147</v>
      </c>
      <c r="I2566" t="s">
        <v>2910</v>
      </c>
      <c r="J2566">
        <v>2</v>
      </c>
      <c r="K2566">
        <v>29</v>
      </c>
      <c r="L2566">
        <v>31</v>
      </c>
      <c r="Q2566">
        <v>0</v>
      </c>
      <c r="R2566">
        <v>0</v>
      </c>
      <c r="S2566">
        <v>31</v>
      </c>
      <c r="T2566" t="s">
        <v>6850</v>
      </c>
      <c r="V2566" t="s">
        <v>2161</v>
      </c>
      <c r="W2566">
        <v>50.95</v>
      </c>
      <c r="X2566">
        <v>6.9667000000000003</v>
      </c>
      <c r="Y2566" t="s">
        <v>11308</v>
      </c>
      <c r="Z2566" t="s">
        <v>15826</v>
      </c>
      <c r="AA2566" t="s">
        <v>15827</v>
      </c>
      <c r="AB2566" t="s">
        <v>15828</v>
      </c>
      <c r="AC2566" t="s">
        <v>5802</v>
      </c>
      <c r="AD2566" s="249" t="str">
        <f>HYPERLINK("https://scontent.cdninstagram.com/t51.2885-15/s320x320/e35/21107660_464548713927242_6754240650289348608_n.jpg")</f>
        <v>https://scontent.cdninstagram.com/t51.2885-15/s320x320/e35/21107660_464548713927242_6754240650289348608_n.jpg</v>
      </c>
      <c r="AE2566" s="249" t="str">
        <f>HYPERLINK("https://scontent.cdninstagram.com/t51.2885-19/s150x150/20759948_2040958986128138_1613724504230461440_a.jpg")</f>
        <v>https://scontent.cdninstagram.com/t51.2885-19/s150x150/20759948_2040958986128138_1613724504230461440_a.jpg</v>
      </c>
    </row>
    <row r="2567" spans="1:31" ht="15" x14ac:dyDescent="0.25">
      <c r="A2567" t="s">
        <v>2474</v>
      </c>
      <c r="B2567" t="s">
        <v>15829</v>
      </c>
      <c r="C2567" s="221">
        <v>42971.301423611112</v>
      </c>
      <c r="D2567" t="s">
        <v>15830</v>
      </c>
      <c r="E2567" s="249" t="str">
        <f>HYPERLINK("https://www.instagram.com/p/BYLKm94AQoj/")</f>
        <v>https://www.instagram.com/p/BYLKm94AQoj/</v>
      </c>
      <c r="F2567" t="s">
        <v>15831</v>
      </c>
      <c r="G2567" t="s">
        <v>2478</v>
      </c>
      <c r="H2567">
        <v>615</v>
      </c>
      <c r="I2567" t="s">
        <v>2542</v>
      </c>
      <c r="J2567">
        <v>4</v>
      </c>
      <c r="K2567">
        <v>70</v>
      </c>
      <c r="L2567">
        <v>74</v>
      </c>
      <c r="Q2567">
        <v>0</v>
      </c>
      <c r="R2567">
        <v>0</v>
      </c>
      <c r="S2567">
        <v>74</v>
      </c>
      <c r="Y2567" t="s">
        <v>15832</v>
      </c>
      <c r="Z2567" t="s">
        <v>10005</v>
      </c>
      <c r="AA2567" t="s">
        <v>15833</v>
      </c>
      <c r="AB2567" t="s">
        <v>2730</v>
      </c>
      <c r="AC2567" t="s">
        <v>15834</v>
      </c>
      <c r="AD2567" s="249" t="str">
        <f>HYPERLINK("https://scontent.cdninstagram.com/t51.2885-15/e35/p320x320/20987338_1963279260583468_1829044159810371584_n.jpg")</f>
        <v>https://scontent.cdninstagram.com/t51.2885-15/e35/p320x320/20987338_1963279260583468_1829044159810371584_n.jpg</v>
      </c>
      <c r="AE2567" s="249" t="str">
        <f>HYPERLINK("https://scontent.cdninstagram.com/t51.2885-19/s150x150/18011719_365590513836965_4664635595023187968_a.jpg")</f>
        <v>https://scontent.cdninstagram.com/t51.2885-19/s150x150/18011719_365590513836965_4664635595023187968_a.jpg</v>
      </c>
    </row>
    <row r="2568" spans="1:31" ht="15" x14ac:dyDescent="0.25">
      <c r="A2568" t="s">
        <v>2474</v>
      </c>
      <c r="B2568" t="s">
        <v>15835</v>
      </c>
      <c r="C2568" s="221">
        <v>42971.302453703705</v>
      </c>
      <c r="D2568" t="s">
        <v>15836</v>
      </c>
      <c r="E2568" s="249" t="str">
        <f>HYPERLINK("https://www.instagram.com/p/BYLKx04FUZ5/")</f>
        <v>https://www.instagram.com/p/BYLKx04FUZ5/</v>
      </c>
      <c r="F2568" t="s">
        <v>15837</v>
      </c>
      <c r="G2568" t="s">
        <v>2488</v>
      </c>
      <c r="H2568">
        <v>568</v>
      </c>
      <c r="I2568" t="s">
        <v>2479</v>
      </c>
      <c r="J2568">
        <v>4</v>
      </c>
      <c r="K2568">
        <v>70</v>
      </c>
      <c r="L2568">
        <v>74</v>
      </c>
      <c r="Q2568">
        <v>0</v>
      </c>
      <c r="R2568">
        <v>0</v>
      </c>
      <c r="S2568">
        <v>74</v>
      </c>
      <c r="T2568" t="s">
        <v>15838</v>
      </c>
      <c r="V2568" t="s">
        <v>2273</v>
      </c>
      <c r="W2568">
        <v>21.996806146400001</v>
      </c>
      <c r="X2568">
        <v>120.744207708</v>
      </c>
      <c r="Y2568" t="s">
        <v>15839</v>
      </c>
      <c r="Z2568" t="s">
        <v>15840</v>
      </c>
      <c r="AA2568" t="s">
        <v>2497</v>
      </c>
      <c r="AB2568" t="s">
        <v>15841</v>
      </c>
      <c r="AD2568" s="249" t="str">
        <f>HYPERLINK("https://scontent.cdninstagram.com/t51.2885-15/s320x320/e35/21107476_110961606267831_2008846682120257536_n.jpg")</f>
        <v>https://scontent.cdninstagram.com/t51.2885-15/s320x320/e35/21107476_110961606267831_2008846682120257536_n.jpg</v>
      </c>
      <c r="AE2568" s="249" t="str">
        <f>HYPERLINK("https://scontent.cdninstagram.com/t51.2885-19/s150x150/17661847_410931102598620_1629902297414762496_a.jpg")</f>
        <v>https://scontent.cdninstagram.com/t51.2885-19/s150x150/17661847_410931102598620_1629902297414762496_a.jpg</v>
      </c>
    </row>
    <row r="2569" spans="1:31" ht="15" x14ac:dyDescent="0.25">
      <c r="A2569" t="s">
        <v>2474</v>
      </c>
      <c r="B2569" t="s">
        <v>15842</v>
      </c>
      <c r="C2569" s="221">
        <v>42971.307743055557</v>
      </c>
      <c r="D2569" t="s">
        <v>15843</v>
      </c>
      <c r="E2569" s="249" t="str">
        <f>HYPERLINK("https://www.instagram.com/p/BYLLppvhI_b/")</f>
        <v>https://www.instagram.com/p/BYLLppvhI_b/</v>
      </c>
      <c r="F2569" t="s">
        <v>15844</v>
      </c>
      <c r="G2569" t="s">
        <v>2478</v>
      </c>
      <c r="H2569">
        <v>410</v>
      </c>
      <c r="I2569" t="s">
        <v>2622</v>
      </c>
      <c r="J2569">
        <v>1</v>
      </c>
      <c r="K2569">
        <v>59</v>
      </c>
      <c r="L2569">
        <v>60</v>
      </c>
      <c r="Q2569">
        <v>0</v>
      </c>
      <c r="R2569">
        <v>0</v>
      </c>
      <c r="S2569">
        <v>60</v>
      </c>
      <c r="Y2569" t="s">
        <v>6597</v>
      </c>
      <c r="Z2569" t="s">
        <v>4620</v>
      </c>
      <c r="AA2569" t="s">
        <v>3982</v>
      </c>
      <c r="AB2569" t="s">
        <v>15845</v>
      </c>
      <c r="AC2569" t="s">
        <v>4871</v>
      </c>
      <c r="AD2569" s="249" t="str">
        <f>HYPERLINK("https://scontent.cdninstagram.com/t51.2885-15/s320x320/e35/20969331_106949036705901_1489734368967524352_n.jpg")</f>
        <v>https://scontent.cdninstagram.com/t51.2885-15/s320x320/e35/20969331_106949036705901_1489734368967524352_n.jpg</v>
      </c>
      <c r="AE2569" s="249" t="str">
        <f>HYPERLINK("https://scontent.cdninstagram.com/t51.2885-19/s150x150/20986634_1714348988860575_5930695931300151296_a.jpg")</f>
        <v>https://scontent.cdninstagram.com/t51.2885-19/s150x150/20986634_1714348988860575_5930695931300151296_a.jpg</v>
      </c>
    </row>
    <row r="2570" spans="1:31" ht="15" x14ac:dyDescent="0.25">
      <c r="A2570" t="s">
        <v>2474</v>
      </c>
      <c r="B2570" t="s">
        <v>15846</v>
      </c>
      <c r="C2570" s="221">
        <v>42971.307997685188</v>
      </c>
      <c r="D2570" t="s">
        <v>15847</v>
      </c>
      <c r="E2570" s="249" t="str">
        <f>HYPERLINK("https://www.instagram.com/p/BYLLsVjgn0y/")</f>
        <v>https://www.instagram.com/p/BYLLsVjgn0y/</v>
      </c>
      <c r="F2570" t="s">
        <v>15848</v>
      </c>
      <c r="G2570" t="s">
        <v>2478</v>
      </c>
      <c r="H2570">
        <v>7</v>
      </c>
      <c r="I2570" t="s">
        <v>2479</v>
      </c>
      <c r="J2570">
        <v>1</v>
      </c>
      <c r="K2570">
        <v>17</v>
      </c>
      <c r="L2570">
        <v>18</v>
      </c>
      <c r="Q2570">
        <v>0</v>
      </c>
      <c r="R2570">
        <v>0</v>
      </c>
      <c r="S2570">
        <v>18</v>
      </c>
      <c r="Y2570" t="s">
        <v>2497</v>
      </c>
      <c r="Z2570" t="s">
        <v>15849</v>
      </c>
      <c r="AD2570" s="249" t="str">
        <f>HYPERLINK("https://scontent.cdninstagram.com/t51.2885-15/s320x320/e35/21041390_916151958536042_4485232912693723136_n.jpg")</f>
        <v>https://scontent.cdninstagram.com/t51.2885-15/s320x320/e35/21041390_916151958536042_4485232912693723136_n.jpg</v>
      </c>
      <c r="AE2570" s="249" t="str">
        <f>HYPERLINK("https://scontent.cdninstagram.com/t51.2885-19/s150x150/21041926_146344462629814_6634291387762212864_a.jpg")</f>
        <v>https://scontent.cdninstagram.com/t51.2885-19/s150x150/21041926_146344462629814_6634291387762212864_a.jpg</v>
      </c>
    </row>
    <row r="2571" spans="1:31" ht="15" x14ac:dyDescent="0.25">
      <c r="A2571" t="s">
        <v>2474</v>
      </c>
      <c r="B2571" t="s">
        <v>15850</v>
      </c>
      <c r="C2571" s="221">
        <v>42971.312152777777</v>
      </c>
      <c r="D2571" t="s">
        <v>15851</v>
      </c>
      <c r="E2571" s="249" t="str">
        <f>HYPERLINK("https://www.instagram.com/p/BYLMYKKlmfP/")</f>
        <v>https://www.instagram.com/p/BYLMYKKlmfP/</v>
      </c>
      <c r="F2571" t="s">
        <v>15852</v>
      </c>
      <c r="G2571" t="s">
        <v>2478</v>
      </c>
      <c r="H2571">
        <v>291</v>
      </c>
      <c r="I2571" t="s">
        <v>3575</v>
      </c>
      <c r="J2571">
        <v>3</v>
      </c>
      <c r="K2571">
        <v>50</v>
      </c>
      <c r="L2571">
        <v>53</v>
      </c>
      <c r="Q2571">
        <v>0</v>
      </c>
      <c r="R2571">
        <v>0</v>
      </c>
      <c r="S2571">
        <v>53</v>
      </c>
      <c r="T2571" t="s">
        <v>15853</v>
      </c>
      <c r="V2571" t="s">
        <v>2164</v>
      </c>
      <c r="W2571">
        <v>37.414912407868997</v>
      </c>
      <c r="X2571">
        <v>25.341800451278999</v>
      </c>
      <c r="Y2571" t="s">
        <v>2497</v>
      </c>
      <c r="Z2571" t="s">
        <v>15854</v>
      </c>
      <c r="AA2571" t="s">
        <v>15855</v>
      </c>
      <c r="AD2571" s="249" t="str">
        <f>HYPERLINK("https://scontent.cdninstagram.com/t51.2885-15/s320x320/e35/20986924_1383851074998227_7925232336440918016_n.jpg")</f>
        <v>https://scontent.cdninstagram.com/t51.2885-15/s320x320/e35/20986924_1383851074998227_7925232336440918016_n.jpg</v>
      </c>
      <c r="AE2571" s="249" t="str">
        <f>HYPERLINK("https://scontent.cdninstagram.com/t51.2885-19/s150x150/16789233_237008320038715_575314296683102208_a.jpg")</f>
        <v>https://scontent.cdninstagram.com/t51.2885-19/s150x150/16789233_237008320038715_575314296683102208_a.jpg</v>
      </c>
    </row>
    <row r="2572" spans="1:31" ht="15" x14ac:dyDescent="0.25">
      <c r="A2572" t="s">
        <v>2474</v>
      </c>
      <c r="B2572" t="s">
        <v>15856</v>
      </c>
      <c r="C2572" s="221">
        <v>42971.320868055554</v>
      </c>
      <c r="D2572" t="s">
        <v>15857</v>
      </c>
      <c r="E2572" s="249" t="str">
        <f>HYPERLINK("https://www.instagram.com/p/BYLN0E1g593/")</f>
        <v>https://www.instagram.com/p/BYLN0E1g593/</v>
      </c>
      <c r="F2572" t="s">
        <v>15858</v>
      </c>
      <c r="G2572" t="s">
        <v>2478</v>
      </c>
      <c r="H2572">
        <v>308</v>
      </c>
      <c r="I2572" t="s">
        <v>2479</v>
      </c>
      <c r="J2572">
        <v>0</v>
      </c>
      <c r="K2572">
        <v>5</v>
      </c>
      <c r="L2572">
        <v>5</v>
      </c>
      <c r="Q2572">
        <v>0</v>
      </c>
      <c r="R2572">
        <v>0</v>
      </c>
      <c r="S2572">
        <v>5</v>
      </c>
      <c r="Y2572" t="s">
        <v>9907</v>
      </c>
      <c r="Z2572" t="s">
        <v>8180</v>
      </c>
      <c r="AA2572" t="s">
        <v>4582</v>
      </c>
      <c r="AB2572" t="s">
        <v>2617</v>
      </c>
      <c r="AC2572" t="s">
        <v>2497</v>
      </c>
      <c r="AD2572" s="249" t="str">
        <f>HYPERLINK("https://scontent.cdninstagram.com/t51.2885-15/s320x320/e35/c0.94.750.750/21041396_344934759283365_2461227688963080192_n.jpg")</f>
        <v>https://scontent.cdninstagram.com/t51.2885-15/s320x320/e35/c0.94.750.750/21041396_344934759283365_2461227688963080192_n.jpg</v>
      </c>
      <c r="AE2572" s="249" t="str">
        <f>HYPERLINK("https://scontent.cdninstagram.com/t51.2885-19/s150x150/18381052_205250586651033_8900970900896088064_a.jpg")</f>
        <v>https://scontent.cdninstagram.com/t51.2885-19/s150x150/18381052_205250586651033_8900970900896088064_a.jpg</v>
      </c>
    </row>
    <row r="2573" spans="1:31" ht="15" x14ac:dyDescent="0.25">
      <c r="A2573" t="s">
        <v>2474</v>
      </c>
      <c r="B2573" t="s">
        <v>2907</v>
      </c>
      <c r="C2573" s="221">
        <v>42971.326493055552</v>
      </c>
      <c r="D2573" t="s">
        <v>15859</v>
      </c>
      <c r="E2573" s="249" t="str">
        <f>HYPERLINK("https://www.instagram.com/p/BYLOvUGgvQW/")</f>
        <v>https://www.instagram.com/p/BYLOvUGgvQW/</v>
      </c>
      <c r="F2573" t="s">
        <v>15860</v>
      </c>
      <c r="G2573" t="s">
        <v>2478</v>
      </c>
      <c r="H2573">
        <v>78</v>
      </c>
      <c r="I2573" t="s">
        <v>3186</v>
      </c>
      <c r="J2573">
        <v>1</v>
      </c>
      <c r="K2573">
        <v>44</v>
      </c>
      <c r="L2573">
        <v>45</v>
      </c>
      <c r="Q2573">
        <v>0</v>
      </c>
      <c r="R2573">
        <v>0</v>
      </c>
      <c r="S2573">
        <v>45</v>
      </c>
      <c r="Y2573" t="s">
        <v>2737</v>
      </c>
      <c r="Z2573" t="s">
        <v>4240</v>
      </c>
      <c r="AA2573" t="s">
        <v>6043</v>
      </c>
      <c r="AB2573" t="s">
        <v>15861</v>
      </c>
      <c r="AC2573" t="s">
        <v>5229</v>
      </c>
      <c r="AD2573" s="249" t="str">
        <f>HYPERLINK("https://scontent.cdninstagram.com/t51.2885-15/s320x320/e35/20986879_502299743454984_8852716359209975808_n.jpg")</f>
        <v>https://scontent.cdninstagram.com/t51.2885-15/s320x320/e35/20986879_502299743454984_8852716359209975808_n.jpg</v>
      </c>
      <c r="AE2573" s="249" t="str">
        <f>HYPERLINK("https://scontent.cdninstagram.com/t51.2885-19/s150x150/12357630_513986308780959_401409989_a.jpg")</f>
        <v>https://scontent.cdninstagram.com/t51.2885-19/s150x150/12357630_513986308780959_401409989_a.jpg</v>
      </c>
    </row>
    <row r="2574" spans="1:31" ht="15" x14ac:dyDescent="0.25">
      <c r="A2574" t="s">
        <v>2474</v>
      </c>
      <c r="B2574" t="s">
        <v>2907</v>
      </c>
      <c r="C2574" s="221">
        <v>42971.332615740743</v>
      </c>
      <c r="D2574" t="s">
        <v>15862</v>
      </c>
      <c r="E2574" s="249" t="str">
        <f>HYPERLINK("https://www.instagram.com/p/BYLPv_QAEnx/")</f>
        <v>https://www.instagram.com/p/BYLPv_QAEnx/</v>
      </c>
      <c r="F2574" t="s">
        <v>15863</v>
      </c>
      <c r="G2574" t="s">
        <v>2631</v>
      </c>
      <c r="H2574">
        <v>78</v>
      </c>
      <c r="I2574" t="s">
        <v>2542</v>
      </c>
      <c r="J2574">
        <v>2</v>
      </c>
      <c r="K2574">
        <v>14</v>
      </c>
      <c r="L2574">
        <v>16</v>
      </c>
      <c r="Q2574">
        <v>0</v>
      </c>
      <c r="R2574">
        <v>0</v>
      </c>
      <c r="S2574">
        <v>16</v>
      </c>
      <c r="Y2574" t="s">
        <v>2913</v>
      </c>
      <c r="Z2574" t="s">
        <v>2491</v>
      </c>
      <c r="AA2574" t="s">
        <v>2737</v>
      </c>
      <c r="AB2574" t="s">
        <v>5229</v>
      </c>
      <c r="AC2574" t="s">
        <v>2911</v>
      </c>
      <c r="AD2574" s="249" t="str">
        <f>HYPERLINK("https://scontent.cdninstagram.com/t51.2885-15/e15/p320x320/21041041_311359212661474_2881534872176820224_n.jpg")</f>
        <v>https://scontent.cdninstagram.com/t51.2885-15/e15/p320x320/21041041_311359212661474_2881534872176820224_n.jpg</v>
      </c>
      <c r="AE2574" s="249" t="str">
        <f>HYPERLINK("https://scontent.cdninstagram.com/t51.2885-19/s150x150/12357630_513986308780959_401409989_a.jpg")</f>
        <v>https://scontent.cdninstagram.com/t51.2885-19/s150x150/12357630_513986308780959_401409989_a.jpg</v>
      </c>
    </row>
    <row r="2575" spans="1:31" ht="15" x14ac:dyDescent="0.25">
      <c r="A2575" t="s">
        <v>2474</v>
      </c>
      <c r="B2575" t="s">
        <v>3015</v>
      </c>
      <c r="C2575" s="221">
        <v>42971.338692129626</v>
      </c>
      <c r="D2575" t="s">
        <v>15864</v>
      </c>
      <c r="E2575" s="249" t="str">
        <f>HYPERLINK("https://www.instagram.com/p/BYLQwCFgePR/")</f>
        <v>https://www.instagram.com/p/BYLQwCFgePR/</v>
      </c>
      <c r="F2575" t="s">
        <v>15865</v>
      </c>
      <c r="G2575" t="s">
        <v>2478</v>
      </c>
      <c r="H2575">
        <v>241</v>
      </c>
      <c r="I2575" t="s">
        <v>2479</v>
      </c>
      <c r="J2575">
        <v>2</v>
      </c>
      <c r="K2575">
        <v>31</v>
      </c>
      <c r="L2575">
        <v>33</v>
      </c>
      <c r="Q2575">
        <v>0</v>
      </c>
      <c r="R2575">
        <v>0</v>
      </c>
      <c r="S2575">
        <v>33</v>
      </c>
      <c r="Y2575" t="s">
        <v>3020</v>
      </c>
      <c r="Z2575" t="s">
        <v>3856</v>
      </c>
      <c r="AA2575" t="s">
        <v>4129</v>
      </c>
      <c r="AB2575" t="s">
        <v>3493</v>
      </c>
      <c r="AC2575" t="s">
        <v>6259</v>
      </c>
      <c r="AD2575" s="249" t="str">
        <f>HYPERLINK("https://scontent.cdninstagram.com/t51.2885-15/s320x320/e35/21042709_1952837121620233_5427504585172320256_n.jpg")</f>
        <v>https://scontent.cdninstagram.com/t51.2885-15/s320x320/e35/21042709_1952837121620233_5427504585172320256_n.jpg</v>
      </c>
      <c r="AE2575" s="249" t="str">
        <f>HYPERLINK("https://scontent.cdninstagram.com/t51.2885-19/s150x150/19761452_1876060406050696_4275948751316582400_a.jpg")</f>
        <v>https://scontent.cdninstagram.com/t51.2885-19/s150x150/19761452_1876060406050696_4275948751316582400_a.jpg</v>
      </c>
    </row>
    <row r="2576" spans="1:31" ht="15" x14ac:dyDescent="0.25">
      <c r="A2576" t="s">
        <v>2474</v>
      </c>
      <c r="B2576" t="s">
        <v>7232</v>
      </c>
      <c r="C2576" s="221">
        <v>42971.340138888889</v>
      </c>
      <c r="D2576" t="s">
        <v>15866</v>
      </c>
      <c r="E2576" s="249" t="str">
        <f>HYPERLINK("https://www.instagram.com/p/BYLQ_SwH9n-/")</f>
        <v>https://www.instagram.com/p/BYLQ_SwH9n-/</v>
      </c>
      <c r="F2576" t="s">
        <v>15867</v>
      </c>
      <c r="G2576" t="s">
        <v>2631</v>
      </c>
      <c r="I2576" t="s">
        <v>2599</v>
      </c>
      <c r="J2576">
        <v>3</v>
      </c>
      <c r="K2576">
        <v>13</v>
      </c>
      <c r="L2576">
        <v>16</v>
      </c>
      <c r="Q2576">
        <v>0</v>
      </c>
      <c r="R2576">
        <v>0</v>
      </c>
      <c r="S2576">
        <v>16</v>
      </c>
      <c r="Y2576" t="s">
        <v>10416</v>
      </c>
      <c r="Z2576" t="s">
        <v>2968</v>
      </c>
      <c r="AA2576" t="s">
        <v>9926</v>
      </c>
      <c r="AB2576" t="s">
        <v>3671</v>
      </c>
      <c r="AC2576" t="s">
        <v>5168</v>
      </c>
      <c r="AD2576" s="249" t="str">
        <f>HYPERLINK("https://scontent.cdninstagram.com/t51.2885-15/e15/p320x320/21040910_115784169145424_9142309854902222848_n.jpg")</f>
        <v>https://scontent.cdninstagram.com/t51.2885-15/e15/p320x320/21040910_115784169145424_9142309854902222848_n.jpg</v>
      </c>
      <c r="AE2576" s="249" t="str">
        <f>HYPERLINK("https://scontent.cdninstagram.com/t51.2885-19/s150x150/14482263_1660577494243200_2334360342223650816_a.jpg")</f>
        <v>https://scontent.cdninstagram.com/t51.2885-19/s150x150/14482263_1660577494243200_2334360342223650816_a.jpg</v>
      </c>
    </row>
    <row r="2577" spans="1:31" ht="15" x14ac:dyDescent="0.25">
      <c r="A2577" t="s">
        <v>2474</v>
      </c>
      <c r="B2577" t="s">
        <v>15868</v>
      </c>
      <c r="C2577" s="221">
        <v>42971.34480324074</v>
      </c>
      <c r="D2577" t="s">
        <v>15869</v>
      </c>
      <c r="E2577" s="249" t="str">
        <f>HYPERLINK("https://www.instagram.com/p/BYLRwhWgDz8/")</f>
        <v>https://www.instagram.com/p/BYLRwhWgDz8/</v>
      </c>
      <c r="F2577" t="s">
        <v>15870</v>
      </c>
      <c r="G2577" t="s">
        <v>2478</v>
      </c>
      <c r="H2577">
        <v>266</v>
      </c>
      <c r="I2577" t="s">
        <v>2479</v>
      </c>
      <c r="J2577">
        <v>1</v>
      </c>
      <c r="K2577">
        <v>37</v>
      </c>
      <c r="L2577">
        <v>38</v>
      </c>
      <c r="Q2577">
        <v>0</v>
      </c>
      <c r="R2577">
        <v>0</v>
      </c>
      <c r="S2577">
        <v>38</v>
      </c>
      <c r="Y2577" t="s">
        <v>15871</v>
      </c>
      <c r="Z2577" t="s">
        <v>10905</v>
      </c>
      <c r="AA2577" t="s">
        <v>5311</v>
      </c>
      <c r="AB2577" t="s">
        <v>15872</v>
      </c>
      <c r="AC2577" t="s">
        <v>15873</v>
      </c>
      <c r="AD2577" s="249" t="str">
        <f>HYPERLINK("https://scontent.cdninstagram.com/t51.2885-15/s320x320/e35/21107676_267285510456440_7192498125330710528_n.jpg")</f>
        <v>https://scontent.cdninstagram.com/t51.2885-15/s320x320/e35/21107676_267285510456440_7192498125330710528_n.jpg</v>
      </c>
      <c r="AE2577" s="249" t="str">
        <f>HYPERLINK("https://scontent.cdninstagram.com/t51.2885-19/s150x150/21041019_132968997320451_861767956533608448_a.jpg")</f>
        <v>https://scontent.cdninstagram.com/t51.2885-19/s150x150/21041019_132968997320451_861767956533608448_a.jpg</v>
      </c>
    </row>
    <row r="2578" spans="1:31" ht="15" x14ac:dyDescent="0.25">
      <c r="A2578" t="s">
        <v>2474</v>
      </c>
      <c r="B2578" t="s">
        <v>3754</v>
      </c>
      <c r="C2578" s="221">
        <v>42971.345023148147</v>
      </c>
      <c r="D2578" t="s">
        <v>15874</v>
      </c>
      <c r="E2578" s="249" t="str">
        <f>HYPERLINK("https://www.instagram.com/p/BYLRyy2Dx0z/")</f>
        <v>https://www.instagram.com/p/BYLRyy2Dx0z/</v>
      </c>
      <c r="F2578" t="s">
        <v>15777</v>
      </c>
      <c r="G2578" t="s">
        <v>2478</v>
      </c>
      <c r="H2578">
        <v>201556</v>
      </c>
      <c r="I2578" t="s">
        <v>2479</v>
      </c>
      <c r="J2578">
        <v>0</v>
      </c>
      <c r="K2578">
        <v>215</v>
      </c>
      <c r="L2578">
        <v>215</v>
      </c>
      <c r="Q2578">
        <v>0</v>
      </c>
      <c r="R2578">
        <v>0</v>
      </c>
      <c r="S2578">
        <v>215</v>
      </c>
      <c r="Y2578" t="s">
        <v>6790</v>
      </c>
      <c r="Z2578" t="s">
        <v>3757</v>
      </c>
      <c r="AA2578" t="s">
        <v>6242</v>
      </c>
      <c r="AB2578" t="s">
        <v>4561</v>
      </c>
      <c r="AC2578" t="s">
        <v>4231</v>
      </c>
      <c r="AD2578" s="249" t="str">
        <f>HYPERLINK("https://scontent.cdninstagram.com/t51.2885-15/s320x320/e35/20987187_137040650236996_581579112074706944_n.jpg")</f>
        <v>https://scontent.cdninstagram.com/t51.2885-15/s320x320/e35/20987187_137040650236996_581579112074706944_n.jpg</v>
      </c>
      <c r="AE2578" s="249" t="str">
        <f>HYPERLINK("https://scontent.cdninstagram.com/t51.2885-19/s150x150/12905002_1681254462136092_1137392787_a.jpg")</f>
        <v>https://scontent.cdninstagram.com/t51.2885-19/s150x150/12905002_1681254462136092_1137392787_a.jpg</v>
      </c>
    </row>
    <row r="2579" spans="1:31" ht="15" x14ac:dyDescent="0.25">
      <c r="A2579" t="s">
        <v>2474</v>
      </c>
      <c r="B2579" t="s">
        <v>15875</v>
      </c>
      <c r="C2579" s="221">
        <v>42971.346087962964</v>
      </c>
      <c r="D2579" t="s">
        <v>15876</v>
      </c>
      <c r="E2579" s="249" t="str">
        <f>HYPERLINK("https://www.instagram.com/p/BYLR9_zlw5s/")</f>
        <v>https://www.instagram.com/p/BYLR9_zlw5s/</v>
      </c>
      <c r="F2579" t="s">
        <v>15877</v>
      </c>
      <c r="G2579" t="s">
        <v>2478</v>
      </c>
      <c r="H2579">
        <v>68</v>
      </c>
      <c r="I2579" t="s">
        <v>2479</v>
      </c>
      <c r="J2579">
        <v>0</v>
      </c>
      <c r="K2579">
        <v>11</v>
      </c>
      <c r="L2579">
        <v>11</v>
      </c>
      <c r="Q2579">
        <v>0</v>
      </c>
      <c r="R2579">
        <v>0</v>
      </c>
      <c r="S2579">
        <v>11</v>
      </c>
      <c r="Y2579" t="s">
        <v>15878</v>
      </c>
      <c r="Z2579" t="s">
        <v>3269</v>
      </c>
      <c r="AA2579" t="s">
        <v>2906</v>
      </c>
      <c r="AB2579" t="s">
        <v>2497</v>
      </c>
      <c r="AC2579" t="s">
        <v>4151</v>
      </c>
      <c r="AD2579" s="249" t="str">
        <f>HYPERLINK("https://scontent.cdninstagram.com/t51.2885-15/s320x320/e35/20905801_1383775621738776_4022568646042714112_n.jpg")</f>
        <v>https://scontent.cdninstagram.com/t51.2885-15/s320x320/e35/20905801_1383775621738776_4022568646042714112_n.jpg</v>
      </c>
      <c r="AE2579" s="249" t="str">
        <f>HYPERLINK("https://scontent.cdninstagram.com/t51.2885-19/s150x150/14590883_258930557874699_7817434193524162560_n.jpg")</f>
        <v>https://scontent.cdninstagram.com/t51.2885-19/s150x150/14590883_258930557874699_7817434193524162560_n.jpg</v>
      </c>
    </row>
    <row r="2580" spans="1:31" ht="15" x14ac:dyDescent="0.25">
      <c r="A2580" t="s">
        <v>2474</v>
      </c>
      <c r="B2580" t="s">
        <v>15879</v>
      </c>
      <c r="C2580" s="221">
        <v>42971.351319444446</v>
      </c>
      <c r="D2580" t="s">
        <v>15880</v>
      </c>
      <c r="E2580" s="249" t="str">
        <f>HYPERLINK("https://www.instagram.com/p/BYLS1O4nzwn/")</f>
        <v>https://www.instagram.com/p/BYLS1O4nzwn/</v>
      </c>
      <c r="F2580" t="s">
        <v>15881</v>
      </c>
      <c r="G2580" t="s">
        <v>2478</v>
      </c>
      <c r="H2580">
        <v>1849</v>
      </c>
      <c r="I2580" t="s">
        <v>2479</v>
      </c>
      <c r="J2580">
        <v>12</v>
      </c>
      <c r="K2580">
        <v>932</v>
      </c>
      <c r="L2580">
        <v>944</v>
      </c>
      <c r="Q2580">
        <v>0</v>
      </c>
      <c r="R2580">
        <v>0</v>
      </c>
      <c r="S2580">
        <v>944</v>
      </c>
      <c r="Y2580" t="s">
        <v>15879</v>
      </c>
      <c r="AD2580" s="249" t="str">
        <f>HYPERLINK("https://scontent.cdninstagram.com/t51.2885-15/s320x320/e35/20987033_1906274009638222_4231774922482909184_n.jpg")</f>
        <v>https://scontent.cdninstagram.com/t51.2885-15/s320x320/e35/20987033_1906274009638222_4231774922482909184_n.jpg</v>
      </c>
      <c r="AE2580" s="249" t="str">
        <f>HYPERLINK("https://scontent.cdninstagram.com/t51.2885-19/s150x150/20214683_485763065114296_8454263558736183296_a.jpg")</f>
        <v>https://scontent.cdninstagram.com/t51.2885-19/s150x150/20214683_485763065114296_8454263558736183296_a.jpg</v>
      </c>
    </row>
    <row r="2581" spans="1:31" ht="15" x14ac:dyDescent="0.25">
      <c r="A2581" t="s">
        <v>2474</v>
      </c>
      <c r="B2581" t="s">
        <v>15151</v>
      </c>
      <c r="C2581" s="221">
        <v>42971.354768518519</v>
      </c>
      <c r="D2581" t="s">
        <v>15882</v>
      </c>
      <c r="E2581" s="249" t="str">
        <f>HYPERLINK("https://www.instagram.com/p/BYLTZnrFc9N/")</f>
        <v>https://www.instagram.com/p/BYLTZnrFc9N/</v>
      </c>
      <c r="F2581" t="s">
        <v>15883</v>
      </c>
      <c r="G2581" t="s">
        <v>2478</v>
      </c>
      <c r="H2581">
        <v>14</v>
      </c>
      <c r="I2581" t="s">
        <v>4523</v>
      </c>
      <c r="J2581">
        <v>0</v>
      </c>
      <c r="K2581">
        <v>6</v>
      </c>
      <c r="L2581">
        <v>6</v>
      </c>
      <c r="Q2581">
        <v>0</v>
      </c>
      <c r="R2581">
        <v>0</v>
      </c>
      <c r="S2581">
        <v>6</v>
      </c>
      <c r="Y2581" t="s">
        <v>4724</v>
      </c>
      <c r="Z2581" t="s">
        <v>7908</v>
      </c>
      <c r="AA2581" t="s">
        <v>2497</v>
      </c>
      <c r="AB2581" t="s">
        <v>15884</v>
      </c>
      <c r="AC2581" t="s">
        <v>15885</v>
      </c>
      <c r="AD2581" s="249" t="str">
        <f>HYPERLINK("https://scontent.cdninstagram.com/t51.2885-15/s320x320/e35/21041359_300889857051955_6042151599646703616_n.jpg")</f>
        <v>https://scontent.cdninstagram.com/t51.2885-15/s320x320/e35/21041359_300889857051955_6042151599646703616_n.jpg</v>
      </c>
      <c r="AE2581" s="249" t="str">
        <f>HYPERLINK("https://scontent.cdninstagram.com/t51.2885-19/s150x150/20838167_662876160573586_1783664828145991680_a.jpg")</f>
        <v>https://scontent.cdninstagram.com/t51.2885-19/s150x150/20838167_662876160573586_1783664828145991680_a.jpg</v>
      </c>
    </row>
    <row r="2582" spans="1:31" ht="15" x14ac:dyDescent="0.25">
      <c r="A2582" t="s">
        <v>2474</v>
      </c>
      <c r="B2582" t="s">
        <v>3644</v>
      </c>
      <c r="C2582" s="221">
        <v>42971.355879629627</v>
      </c>
      <c r="D2582" t="s">
        <v>15886</v>
      </c>
      <c r="E2582" s="249" t="str">
        <f>HYPERLINK("https://www.instagram.com/p/BYLTlSdFg4z/")</f>
        <v>https://www.instagram.com/p/BYLTlSdFg4z/</v>
      </c>
      <c r="F2582" t="s">
        <v>15887</v>
      </c>
      <c r="G2582" t="s">
        <v>2631</v>
      </c>
      <c r="H2582">
        <v>576</v>
      </c>
      <c r="I2582" t="s">
        <v>2479</v>
      </c>
      <c r="J2582">
        <v>1</v>
      </c>
      <c r="K2582">
        <v>15</v>
      </c>
      <c r="L2582">
        <v>16</v>
      </c>
      <c r="Q2582">
        <v>0</v>
      </c>
      <c r="R2582">
        <v>0</v>
      </c>
      <c r="S2582">
        <v>16</v>
      </c>
      <c r="T2582" t="s">
        <v>3647</v>
      </c>
      <c r="V2582" t="s">
        <v>2141</v>
      </c>
      <c r="W2582">
        <v>55.426879900000003</v>
      </c>
      <c r="X2582">
        <v>10.3903303</v>
      </c>
      <c r="Y2582" t="s">
        <v>13820</v>
      </c>
      <c r="Z2582" t="s">
        <v>3145</v>
      </c>
      <c r="AA2582" t="s">
        <v>5867</v>
      </c>
      <c r="AB2582" t="s">
        <v>6994</v>
      </c>
      <c r="AC2582" t="s">
        <v>8234</v>
      </c>
      <c r="AD2582" s="249" t="str">
        <f>HYPERLINK("https://scontent.cdninstagram.com/t51.2885-15/s320x320/e15/20987084_799492093552636_3495342405228429312_n.jpg")</f>
        <v>https://scontent.cdninstagram.com/t51.2885-15/s320x320/e15/20987084_799492093552636_3495342405228429312_n.jpg</v>
      </c>
      <c r="AE2582" s="249" t="str">
        <f>HYPERLINK("https://scontent.cdninstagram.com/t51.2885-19/s150x150/14714495_1790450111234953_7147855754219749376_a.jpg")</f>
        <v>https://scontent.cdninstagram.com/t51.2885-19/s150x150/14714495_1790450111234953_7147855754219749376_a.jpg</v>
      </c>
    </row>
    <row r="2583" spans="1:31" ht="15" x14ac:dyDescent="0.25">
      <c r="A2583" t="s">
        <v>2474</v>
      </c>
      <c r="B2583" t="s">
        <v>15888</v>
      </c>
      <c r="C2583" s="221">
        <v>42971.360023148147</v>
      </c>
      <c r="D2583" t="s">
        <v>15889</v>
      </c>
      <c r="E2583" s="249" t="str">
        <f>HYPERLINK("https://www.instagram.com/p/BYLURA1hUfj/")</f>
        <v>https://www.instagram.com/p/BYLURA1hUfj/</v>
      </c>
      <c r="F2583" t="s">
        <v>15890</v>
      </c>
      <c r="G2583" t="s">
        <v>2478</v>
      </c>
      <c r="H2583">
        <v>643</v>
      </c>
      <c r="I2583" t="s">
        <v>3575</v>
      </c>
      <c r="J2583">
        <v>2</v>
      </c>
      <c r="K2583">
        <v>22</v>
      </c>
      <c r="L2583">
        <v>24</v>
      </c>
      <c r="Q2583">
        <v>0</v>
      </c>
      <c r="R2583">
        <v>0</v>
      </c>
      <c r="S2583">
        <v>24</v>
      </c>
      <c r="Y2583" t="s">
        <v>13777</v>
      </c>
      <c r="Z2583" t="s">
        <v>15891</v>
      </c>
      <c r="AA2583" t="s">
        <v>4231</v>
      </c>
      <c r="AB2583" t="s">
        <v>15892</v>
      </c>
      <c r="AC2583" t="s">
        <v>15893</v>
      </c>
      <c r="AD2583" s="249" t="str">
        <f>HYPERLINK("https://scontent.cdninstagram.com/t51.2885-15/e35/p320x320/21042264_1968528103428413_7923760979429556224_n.jpg")</f>
        <v>https://scontent.cdninstagram.com/t51.2885-15/e35/p320x320/21042264_1968528103428413_7923760979429556224_n.jpg</v>
      </c>
      <c r="AE2583" s="249" t="str">
        <f>HYPERLINK("https://scontent.cdninstagram.com/t51.2885-19/s150x150/13561560_508149856061065_1265884110_a.jpg")</f>
        <v>https://scontent.cdninstagram.com/t51.2885-19/s150x150/13561560_508149856061065_1265884110_a.jpg</v>
      </c>
    </row>
    <row r="2584" spans="1:31" ht="15" x14ac:dyDescent="0.25">
      <c r="A2584" t="s">
        <v>2474</v>
      </c>
      <c r="B2584" t="s">
        <v>15894</v>
      </c>
      <c r="C2584" s="221">
        <v>42971.364270833335</v>
      </c>
      <c r="D2584" t="s">
        <v>15895</v>
      </c>
      <c r="E2584" s="249" t="str">
        <f>HYPERLINK("https://www.instagram.com/p/BYLU9yBnDmV/")</f>
        <v>https://www.instagram.com/p/BYLU9yBnDmV/</v>
      </c>
      <c r="F2584" t="s">
        <v>15896</v>
      </c>
      <c r="G2584" t="s">
        <v>2478</v>
      </c>
      <c r="H2584">
        <v>1241</v>
      </c>
      <c r="I2584" t="s">
        <v>2479</v>
      </c>
      <c r="J2584">
        <v>4</v>
      </c>
      <c r="K2584">
        <v>187</v>
      </c>
      <c r="L2584">
        <v>191</v>
      </c>
      <c r="Q2584">
        <v>0</v>
      </c>
      <c r="R2584">
        <v>0</v>
      </c>
      <c r="S2584">
        <v>191</v>
      </c>
      <c r="T2584" t="s">
        <v>15897</v>
      </c>
      <c r="V2584" t="s">
        <v>2259</v>
      </c>
      <c r="W2584">
        <v>49</v>
      </c>
      <c r="X2584">
        <v>20</v>
      </c>
      <c r="Y2584" t="s">
        <v>2651</v>
      </c>
      <c r="Z2584" t="s">
        <v>15898</v>
      </c>
      <c r="AA2584" t="s">
        <v>2492</v>
      </c>
      <c r="AB2584" t="s">
        <v>2497</v>
      </c>
      <c r="AC2584" t="s">
        <v>15899</v>
      </c>
      <c r="AD2584" s="249" t="str">
        <f>HYPERLINK("https://scontent.cdninstagram.com/t51.2885-15/s320x320/e35/c181.0.718.718/20987317_415839902146852_176699228049899520_n.jpg")</f>
        <v>https://scontent.cdninstagram.com/t51.2885-15/s320x320/e35/c181.0.718.718/20987317_415839902146852_176699228049899520_n.jpg</v>
      </c>
      <c r="AE2584" s="249" t="str">
        <f>HYPERLINK("https://scontent.cdninstagram.com/t51.2885-19/s150x150/19765113_1934647663418413_3846069559173840896_a.jpg")</f>
        <v>https://scontent.cdninstagram.com/t51.2885-19/s150x150/19765113_1934647663418413_3846069559173840896_a.jpg</v>
      </c>
    </row>
    <row r="2585" spans="1:31" ht="15" x14ac:dyDescent="0.25">
      <c r="A2585" t="s">
        <v>2474</v>
      </c>
      <c r="B2585" t="s">
        <v>12856</v>
      </c>
      <c r="C2585" s="221">
        <v>42971.365694444445</v>
      </c>
      <c r="D2585" t="s">
        <v>15900</v>
      </c>
      <c r="E2585" s="249" t="str">
        <f>HYPERLINK("https://www.instagram.com/p/BYLVM0uA13l/")</f>
        <v>https://www.instagram.com/p/BYLVM0uA13l/</v>
      </c>
      <c r="F2585" t="s">
        <v>15901</v>
      </c>
      <c r="G2585" t="s">
        <v>2478</v>
      </c>
      <c r="H2585">
        <v>547</v>
      </c>
      <c r="I2585" t="s">
        <v>2479</v>
      </c>
      <c r="J2585">
        <v>1</v>
      </c>
      <c r="K2585">
        <v>23</v>
      </c>
      <c r="L2585">
        <v>24</v>
      </c>
      <c r="Q2585">
        <v>0</v>
      </c>
      <c r="R2585">
        <v>0</v>
      </c>
      <c r="S2585">
        <v>24</v>
      </c>
      <c r="Y2585" t="s">
        <v>11249</v>
      </c>
      <c r="Z2585" t="s">
        <v>15902</v>
      </c>
      <c r="AA2585" t="s">
        <v>15903</v>
      </c>
      <c r="AB2585" t="s">
        <v>5802</v>
      </c>
      <c r="AC2585" t="s">
        <v>12860</v>
      </c>
      <c r="AD2585" s="249" t="str">
        <f>HYPERLINK("https://scontent.cdninstagram.com/t51.2885-15/s320x320/e35/20987009_488742241494108_8132743844555915264_n.jpg")</f>
        <v>https://scontent.cdninstagram.com/t51.2885-15/s320x320/e35/20987009_488742241494108_8132743844555915264_n.jpg</v>
      </c>
      <c r="AE2585" s="249" t="str">
        <f>HYPERLINK("https://scontent.cdninstagram.com/t51.2885-19/s150x150/20067023_453647364993214_6338662002730205184_a.jpg")</f>
        <v>https://scontent.cdninstagram.com/t51.2885-19/s150x150/20067023_453647364993214_6338662002730205184_a.jpg</v>
      </c>
    </row>
    <row r="2586" spans="1:31" ht="15" x14ac:dyDescent="0.25">
      <c r="A2586" t="s">
        <v>2474</v>
      </c>
      <c r="B2586" t="s">
        <v>13767</v>
      </c>
      <c r="C2586" s="221">
        <v>42971.367361111108</v>
      </c>
      <c r="D2586" t="s">
        <v>15904</v>
      </c>
      <c r="E2586" s="249" t="str">
        <f>HYPERLINK("https://www.instagram.com/p/BYLVeYIAuBw/")</f>
        <v>https://www.instagram.com/p/BYLVeYIAuBw/</v>
      </c>
      <c r="F2586" t="s">
        <v>15905</v>
      </c>
      <c r="G2586" t="s">
        <v>2478</v>
      </c>
      <c r="H2586">
        <v>196</v>
      </c>
      <c r="I2586" t="s">
        <v>3575</v>
      </c>
      <c r="J2586">
        <v>1</v>
      </c>
      <c r="K2586">
        <v>64</v>
      </c>
      <c r="L2586">
        <v>65</v>
      </c>
      <c r="Q2586">
        <v>0</v>
      </c>
      <c r="R2586">
        <v>0</v>
      </c>
      <c r="S2586">
        <v>65</v>
      </c>
      <c r="T2586" t="s">
        <v>8238</v>
      </c>
      <c r="V2586" t="s">
        <v>2095</v>
      </c>
      <c r="W2586">
        <v>42.544166666667003</v>
      </c>
      <c r="X2586">
        <v>1.5163888888889001</v>
      </c>
      <c r="Y2586" t="s">
        <v>15906</v>
      </c>
      <c r="Z2586" t="s">
        <v>13772</v>
      </c>
      <c r="AA2586" t="s">
        <v>8793</v>
      </c>
      <c r="AB2586" t="s">
        <v>15907</v>
      </c>
      <c r="AC2586" t="s">
        <v>15908</v>
      </c>
      <c r="AD2586" s="249" t="str">
        <f>HYPERLINK("https://scontent.cdninstagram.com/t51.2885-15/s320x320/e35/20986664_1203937496418059_3892279979894898688_n.jpg")</f>
        <v>https://scontent.cdninstagram.com/t51.2885-15/s320x320/e35/20986664_1203937496418059_3892279979894898688_n.jpg</v>
      </c>
      <c r="AE2586" s="249" t="str">
        <f>HYPERLINK("https://scontent.cdninstagram.com/t51.2885-19/s150x150/17265326_1445775298828585_4169621415655374848_a.jpg")</f>
        <v>https://scontent.cdninstagram.com/t51.2885-19/s150x150/17265326_1445775298828585_4169621415655374848_a.jpg</v>
      </c>
    </row>
    <row r="2587" spans="1:31" ht="15" x14ac:dyDescent="0.25">
      <c r="A2587" t="s">
        <v>2474</v>
      </c>
      <c r="B2587" t="s">
        <v>15909</v>
      </c>
      <c r="C2587" s="221">
        <v>42971.369699074072</v>
      </c>
      <c r="D2587" t="s">
        <v>15910</v>
      </c>
      <c r="E2587" s="249" t="str">
        <f>HYPERLINK("https://www.instagram.com/p/BYLV3GTDBhL/")</f>
        <v>https://www.instagram.com/p/BYLV3GTDBhL/</v>
      </c>
      <c r="F2587" t="s">
        <v>15911</v>
      </c>
      <c r="G2587" t="s">
        <v>2478</v>
      </c>
      <c r="H2587">
        <v>434</v>
      </c>
      <c r="I2587" t="s">
        <v>2903</v>
      </c>
      <c r="J2587">
        <v>0</v>
      </c>
      <c r="K2587">
        <v>41</v>
      </c>
      <c r="L2587">
        <v>41</v>
      </c>
      <c r="Q2587">
        <v>0</v>
      </c>
      <c r="R2587">
        <v>0</v>
      </c>
      <c r="S2587">
        <v>41</v>
      </c>
      <c r="Y2587" t="s">
        <v>4761</v>
      </c>
      <c r="Z2587" t="s">
        <v>15912</v>
      </c>
      <c r="AA2587" t="s">
        <v>15913</v>
      </c>
      <c r="AB2587" t="s">
        <v>15914</v>
      </c>
      <c r="AC2587" t="s">
        <v>15915</v>
      </c>
      <c r="AD2587" s="249" t="str">
        <f>HYPERLINK("https://scontent.cdninstagram.com/t51.2885-15/s320x320/e35/21107411_801788863315470_6633402660244422656_n.jpg")</f>
        <v>https://scontent.cdninstagram.com/t51.2885-15/s320x320/e35/21107411_801788863315470_6633402660244422656_n.jpg</v>
      </c>
      <c r="AE2587" s="249" t="str">
        <f>HYPERLINK("https://scontent.cdninstagram.com/t51.2885-19/s150x150/19932514_455149648192800_4494791504144891904_n.jpg")</f>
        <v>https://scontent.cdninstagram.com/t51.2885-19/s150x150/19932514_455149648192800_4494791504144891904_n.jpg</v>
      </c>
    </row>
    <row r="2588" spans="1:31" ht="15" x14ac:dyDescent="0.25">
      <c r="A2588" t="s">
        <v>2474</v>
      </c>
      <c r="B2588" t="s">
        <v>15916</v>
      </c>
      <c r="C2588" s="221">
        <v>42971.371215277781</v>
      </c>
      <c r="D2588" t="s">
        <v>15917</v>
      </c>
      <c r="E2588" s="249" t="str">
        <f>HYPERLINK("https://www.instagram.com/p/BYLWHEYFSfC/")</f>
        <v>https://www.instagram.com/p/BYLWHEYFSfC/</v>
      </c>
      <c r="F2588" t="s">
        <v>15918</v>
      </c>
      <c r="G2588" t="s">
        <v>2478</v>
      </c>
      <c r="H2588">
        <v>1521</v>
      </c>
      <c r="I2588" t="s">
        <v>2479</v>
      </c>
      <c r="J2588">
        <v>4</v>
      </c>
      <c r="K2588">
        <v>34</v>
      </c>
      <c r="L2588">
        <v>38</v>
      </c>
      <c r="Q2588">
        <v>0</v>
      </c>
      <c r="R2588">
        <v>0</v>
      </c>
      <c r="S2588">
        <v>38</v>
      </c>
      <c r="Y2588" t="s">
        <v>15919</v>
      </c>
      <c r="Z2588" t="s">
        <v>4589</v>
      </c>
      <c r="AA2588" t="s">
        <v>6404</v>
      </c>
      <c r="AB2588" t="s">
        <v>15920</v>
      </c>
      <c r="AC2588" t="s">
        <v>2497</v>
      </c>
      <c r="AD2588" s="249" t="str">
        <f>HYPERLINK("https://scontent.cdninstagram.com/t51.2885-15/s320x320/e35/20969063_339853536465901_386452975381381120_n.jpg")</f>
        <v>https://scontent.cdninstagram.com/t51.2885-15/s320x320/e35/20969063_339853536465901_386452975381381120_n.jpg</v>
      </c>
      <c r="AE2588" s="249" t="str">
        <f>HYPERLINK("https://scontent.cdninstagram.com/t51.2885-19/s150x150/18808892_278288742642379_7320271375162146816_a.jpg")</f>
        <v>https://scontent.cdninstagram.com/t51.2885-19/s150x150/18808892_278288742642379_7320271375162146816_a.jpg</v>
      </c>
    </row>
    <row r="2589" spans="1:31" ht="15" x14ac:dyDescent="0.25">
      <c r="A2589" t="s">
        <v>2474</v>
      </c>
      <c r="B2589" t="s">
        <v>15921</v>
      </c>
      <c r="C2589" s="221">
        <v>42971.381909722222</v>
      </c>
      <c r="D2589" t="s">
        <v>15922</v>
      </c>
      <c r="E2589" s="249" t="str">
        <f>HYPERLINK("https://www.instagram.com/p/BYLX3yZnMtw/")</f>
        <v>https://www.instagram.com/p/BYLX3yZnMtw/</v>
      </c>
      <c r="F2589" t="s">
        <v>15923</v>
      </c>
      <c r="G2589" t="s">
        <v>2478</v>
      </c>
      <c r="H2589">
        <v>415</v>
      </c>
      <c r="I2589" t="s">
        <v>2479</v>
      </c>
      <c r="J2589">
        <v>0</v>
      </c>
      <c r="K2589">
        <v>14</v>
      </c>
      <c r="L2589">
        <v>14</v>
      </c>
      <c r="Q2589">
        <v>0</v>
      </c>
      <c r="R2589">
        <v>0</v>
      </c>
      <c r="S2589">
        <v>14</v>
      </c>
      <c r="Y2589" t="s">
        <v>15924</v>
      </c>
      <c r="Z2589" t="s">
        <v>8400</v>
      </c>
      <c r="AA2589" t="s">
        <v>13515</v>
      </c>
      <c r="AB2589" t="s">
        <v>15925</v>
      </c>
      <c r="AC2589" t="s">
        <v>15926</v>
      </c>
      <c r="AD2589" s="249" t="str">
        <f>HYPERLINK("https://scontent.cdninstagram.com/t51.2885-15/s320x320/e35/21040941_454376634947432_869919400734490624_n.jpg")</f>
        <v>https://scontent.cdninstagram.com/t51.2885-15/s320x320/e35/21040941_454376634947432_869919400734490624_n.jpg</v>
      </c>
      <c r="AE2589" s="249" t="str">
        <f>HYPERLINK("https://scontent.cdninstagram.com/t51.2885-19/s150x150/20065406_1715611765401146_6412995057556652032_a.jpg")</f>
        <v>https://scontent.cdninstagram.com/t51.2885-19/s150x150/20065406_1715611765401146_6412995057556652032_a.jpg</v>
      </c>
    </row>
    <row r="2590" spans="1:31" ht="15" x14ac:dyDescent="0.25">
      <c r="A2590" t="s">
        <v>2474</v>
      </c>
      <c r="B2590" t="s">
        <v>8538</v>
      </c>
      <c r="C2590" s="221">
        <v>42971.385625000003</v>
      </c>
      <c r="D2590" t="s">
        <v>15927</v>
      </c>
      <c r="E2590" s="249" t="str">
        <f>HYPERLINK("https://www.instagram.com/p/BYLYe_3ABMc/")</f>
        <v>https://www.instagram.com/p/BYLYe_3ABMc/</v>
      </c>
      <c r="F2590" t="s">
        <v>15928</v>
      </c>
      <c r="G2590" t="s">
        <v>2478</v>
      </c>
      <c r="H2590">
        <v>5517</v>
      </c>
      <c r="I2590" t="s">
        <v>2479</v>
      </c>
      <c r="J2590">
        <v>3</v>
      </c>
      <c r="K2590">
        <v>396</v>
      </c>
      <c r="L2590">
        <v>399</v>
      </c>
      <c r="Q2590">
        <v>0</v>
      </c>
      <c r="R2590">
        <v>0</v>
      </c>
      <c r="S2590">
        <v>399</v>
      </c>
      <c r="T2590" t="s">
        <v>15929</v>
      </c>
      <c r="V2590" t="s">
        <v>2648</v>
      </c>
      <c r="W2590">
        <v>55.752200000000002</v>
      </c>
      <c r="X2590">
        <v>37.615600000000001</v>
      </c>
      <c r="Y2590" t="s">
        <v>11089</v>
      </c>
      <c r="Z2590" t="s">
        <v>2497</v>
      </c>
      <c r="AA2590" t="s">
        <v>15930</v>
      </c>
      <c r="AD2590" s="249" t="str">
        <f>HYPERLINK("https://scontent.cdninstagram.com/t51.2885-15/s320x320/e35/21041122_523540814657087_518676013194936320_n.jpg")</f>
        <v>https://scontent.cdninstagram.com/t51.2885-15/s320x320/e35/21041122_523540814657087_518676013194936320_n.jpg</v>
      </c>
      <c r="AE2590" s="249" t="str">
        <f>HYPERLINK("https://scontent.cdninstagram.com/t51.2885-19/s150x150/18950246_1127968397303807_6772371073045364736_a.jpg")</f>
        <v>https://scontent.cdninstagram.com/t51.2885-19/s150x150/18950246_1127968397303807_6772371073045364736_a.jpg</v>
      </c>
    </row>
    <row r="2591" spans="1:31" ht="15" x14ac:dyDescent="0.25">
      <c r="A2591" t="s">
        <v>2474</v>
      </c>
      <c r="B2591" t="s">
        <v>15931</v>
      </c>
      <c r="C2591" s="221">
        <v>42971.389062499999</v>
      </c>
      <c r="D2591" t="s">
        <v>15932</v>
      </c>
      <c r="E2591" s="249" t="str">
        <f>HYPERLINK("https://www.instagram.com/p/BYLZDSTBWJz/")</f>
        <v>https://www.instagram.com/p/BYLZDSTBWJz/</v>
      </c>
      <c r="F2591" t="s">
        <v>15933</v>
      </c>
      <c r="G2591" t="s">
        <v>2478</v>
      </c>
      <c r="H2591">
        <v>137</v>
      </c>
      <c r="I2591" t="s">
        <v>2896</v>
      </c>
      <c r="J2591">
        <v>0</v>
      </c>
      <c r="K2591">
        <v>3</v>
      </c>
      <c r="L2591">
        <v>3</v>
      </c>
      <c r="Q2591">
        <v>0</v>
      </c>
      <c r="R2591">
        <v>0</v>
      </c>
      <c r="S2591">
        <v>3</v>
      </c>
      <c r="Y2591" t="s">
        <v>15934</v>
      </c>
      <c r="Z2591" t="s">
        <v>2705</v>
      </c>
      <c r="AA2591" t="s">
        <v>5884</v>
      </c>
      <c r="AB2591" t="s">
        <v>2497</v>
      </c>
      <c r="AC2591" t="s">
        <v>6052</v>
      </c>
      <c r="AD2591" s="249" t="str">
        <f>HYPERLINK("https://scontent.cdninstagram.com/t51.2885-15/s320x320/e35/21040980_721602254690934_1172820607780257792_n.jpg")</f>
        <v>https://scontent.cdninstagram.com/t51.2885-15/s320x320/e35/21040980_721602254690934_1172820607780257792_n.jpg</v>
      </c>
      <c r="AE2591" s="249" t="str">
        <f>HYPERLINK("https://scontent.cdninstagram.com/t51.2885-19/s150x150/17332841_222915928185343_5620634348052021248_a.jpg")</f>
        <v>https://scontent.cdninstagram.com/t51.2885-19/s150x150/17332841_222915928185343_5620634348052021248_a.jpg</v>
      </c>
    </row>
    <row r="2592" spans="1:31" ht="15" x14ac:dyDescent="0.25">
      <c r="A2592" t="s">
        <v>2474</v>
      </c>
      <c r="B2592" t="s">
        <v>8411</v>
      </c>
      <c r="C2592" s="221">
        <v>42971.390949074077</v>
      </c>
      <c r="D2592" t="s">
        <v>15935</v>
      </c>
      <c r="E2592" s="249" t="str">
        <f>HYPERLINK("https://www.instagram.com/p/BYLZXKRAOo_/")</f>
        <v>https://www.instagram.com/p/BYLZXKRAOo_/</v>
      </c>
      <c r="F2592" t="s">
        <v>15936</v>
      </c>
      <c r="G2592" t="s">
        <v>2478</v>
      </c>
      <c r="H2592">
        <v>111</v>
      </c>
      <c r="I2592" t="s">
        <v>2542</v>
      </c>
      <c r="J2592">
        <v>2</v>
      </c>
      <c r="K2592">
        <v>47</v>
      </c>
      <c r="L2592">
        <v>49</v>
      </c>
      <c r="Q2592">
        <v>0</v>
      </c>
      <c r="R2592">
        <v>0</v>
      </c>
      <c r="S2592">
        <v>49</v>
      </c>
      <c r="Y2592" t="s">
        <v>5279</v>
      </c>
      <c r="Z2592" t="s">
        <v>8415</v>
      </c>
      <c r="AA2592" t="s">
        <v>15937</v>
      </c>
      <c r="AB2592" t="s">
        <v>8414</v>
      </c>
      <c r="AC2592" t="s">
        <v>15938</v>
      </c>
      <c r="AD2592" s="249" t="str">
        <f>HYPERLINK("https://scontent.cdninstagram.com/t51.2885-15/s320x320/e35/21042562_1939209929692140_9137187483631484928_n.jpg")</f>
        <v>https://scontent.cdninstagram.com/t51.2885-15/s320x320/e35/21042562_1939209929692140_9137187483631484928_n.jpg</v>
      </c>
      <c r="AE2592" s="249" t="str">
        <f>HYPERLINK("https://scontent.cdninstagram.com/t51.2885-19/s150x150/18889123_1918404081757651_4999782334195564544_a.jpg")</f>
        <v>https://scontent.cdninstagram.com/t51.2885-19/s150x150/18889123_1918404081757651_4999782334195564544_a.jpg</v>
      </c>
    </row>
    <row r="2593" spans="1:31" ht="15" x14ac:dyDescent="0.25">
      <c r="A2593" t="s">
        <v>2474</v>
      </c>
      <c r="B2593" t="s">
        <v>15939</v>
      </c>
      <c r="C2593" s="221">
        <v>42971.396874999999</v>
      </c>
      <c r="D2593" t="s">
        <v>15940</v>
      </c>
      <c r="E2593" s="249" t="str">
        <f>HYPERLINK("https://www.instagram.com/p/BYLaVuDltto/")</f>
        <v>https://www.instagram.com/p/BYLaVuDltto/</v>
      </c>
      <c r="F2593" t="s">
        <v>15941</v>
      </c>
      <c r="G2593" t="s">
        <v>2478</v>
      </c>
      <c r="H2593">
        <v>659</v>
      </c>
      <c r="I2593" t="s">
        <v>2479</v>
      </c>
      <c r="J2593">
        <v>2</v>
      </c>
      <c r="K2593">
        <v>11</v>
      </c>
      <c r="L2593">
        <v>13</v>
      </c>
      <c r="Q2593">
        <v>0</v>
      </c>
      <c r="R2593">
        <v>0</v>
      </c>
      <c r="S2593">
        <v>13</v>
      </c>
      <c r="Y2593" t="s">
        <v>2497</v>
      </c>
      <c r="Z2593" t="s">
        <v>15942</v>
      </c>
      <c r="AA2593" t="s">
        <v>3392</v>
      </c>
      <c r="AD2593" s="249" t="str">
        <f>HYPERLINK("https://scontent.cdninstagram.com/t51.2885-15/s320x320/e15/21042307_112955952745112_4088815093494579200_n.jpg")</f>
        <v>https://scontent.cdninstagram.com/t51.2885-15/s320x320/e15/21042307_112955952745112_4088815093494579200_n.jpg</v>
      </c>
      <c r="AE2593" s="249" t="str">
        <f>HYPERLINK("https://scontent.cdninstagram.com/t51.2885-19/s150x150/20589419_464736743902827_2122578348126240768_a.jpg")</f>
        <v>https://scontent.cdninstagram.com/t51.2885-19/s150x150/20589419_464736743902827_2122578348126240768_a.jpg</v>
      </c>
    </row>
    <row r="2594" spans="1:31" ht="15" x14ac:dyDescent="0.25">
      <c r="A2594" t="s">
        <v>2474</v>
      </c>
      <c r="B2594" t="s">
        <v>15943</v>
      </c>
      <c r="C2594" s="221">
        <v>42971.400891203702</v>
      </c>
      <c r="D2594" t="s">
        <v>15944</v>
      </c>
      <c r="E2594" s="249" t="str">
        <f>HYPERLINK("https://www.instagram.com/p/BYLbABVDlvb/")</f>
        <v>https://www.instagram.com/p/BYLbABVDlvb/</v>
      </c>
      <c r="F2594" t="s">
        <v>15945</v>
      </c>
      <c r="G2594" t="s">
        <v>2478</v>
      </c>
      <c r="H2594">
        <v>483</v>
      </c>
      <c r="I2594" t="s">
        <v>2479</v>
      </c>
      <c r="J2594">
        <v>1</v>
      </c>
      <c r="K2594">
        <v>32</v>
      </c>
      <c r="L2594">
        <v>33</v>
      </c>
      <c r="Q2594">
        <v>0</v>
      </c>
      <c r="R2594">
        <v>0</v>
      </c>
      <c r="S2594">
        <v>33</v>
      </c>
      <c r="Y2594" t="s">
        <v>15946</v>
      </c>
      <c r="Z2594" t="s">
        <v>6181</v>
      </c>
      <c r="AA2594" t="s">
        <v>8481</v>
      </c>
      <c r="AB2594" t="s">
        <v>4987</v>
      </c>
      <c r="AC2594" t="s">
        <v>7591</v>
      </c>
      <c r="AD2594" s="249" t="str">
        <f>HYPERLINK("https://scontent.cdninstagram.com/t51.2885-15/s320x320/e35/21041607_113272492676765_3223500675090481152_n.jpg")</f>
        <v>https://scontent.cdninstagram.com/t51.2885-15/s320x320/e35/21041607_113272492676765_3223500675090481152_n.jpg</v>
      </c>
      <c r="AE2594" s="249" t="str">
        <f>HYPERLINK("https://scontent.cdninstagram.com/t51.2885-19/s150x150/21107352_473682526333051_2173484121584566272_a.jpg")</f>
        <v>https://scontent.cdninstagram.com/t51.2885-19/s150x150/21107352_473682526333051_2173484121584566272_a.jpg</v>
      </c>
    </row>
    <row r="2595" spans="1:31" ht="15" x14ac:dyDescent="0.25">
      <c r="A2595" t="s">
        <v>2474</v>
      </c>
      <c r="B2595" t="s">
        <v>15947</v>
      </c>
      <c r="C2595" s="221">
        <v>42971.404664351852</v>
      </c>
      <c r="D2595" t="s">
        <v>15948</v>
      </c>
      <c r="E2595" s="249" t="str">
        <f>HYPERLINK("https://www.instagram.com/p/BYLbnzmhf7J/")</f>
        <v>https://www.instagram.com/p/BYLbnzmhf7J/</v>
      </c>
      <c r="F2595" t="s">
        <v>15949</v>
      </c>
      <c r="G2595" t="s">
        <v>2478</v>
      </c>
      <c r="H2595">
        <v>302</v>
      </c>
      <c r="I2595" t="s">
        <v>2479</v>
      </c>
      <c r="J2595">
        <v>0</v>
      </c>
      <c r="K2595">
        <v>22</v>
      </c>
      <c r="L2595">
        <v>22</v>
      </c>
      <c r="Q2595">
        <v>0</v>
      </c>
      <c r="R2595">
        <v>0</v>
      </c>
      <c r="S2595">
        <v>22</v>
      </c>
      <c r="Y2595" t="s">
        <v>15950</v>
      </c>
      <c r="Z2595" t="s">
        <v>15951</v>
      </c>
      <c r="AA2595" t="s">
        <v>15952</v>
      </c>
      <c r="AB2595" t="s">
        <v>11796</v>
      </c>
      <c r="AC2595" t="s">
        <v>15953</v>
      </c>
      <c r="AD2595" s="249" t="str">
        <f>HYPERLINK("https://scontent.cdninstagram.com/t51.2885-15/e35/p320x320/20987460_292955371184470_2740580900289904640_n.jpg")</f>
        <v>https://scontent.cdninstagram.com/t51.2885-15/e35/p320x320/20987460_292955371184470_2740580900289904640_n.jpg</v>
      </c>
      <c r="AE2595" s="249" t="str">
        <f>HYPERLINK("https://scontent.cdninstagram.com/t51.2885-19/s150x150/18809298_1407454066034919_2362825426956451840_a.jpg")</f>
        <v>https://scontent.cdninstagram.com/t51.2885-19/s150x150/18809298_1407454066034919_2362825426956451840_a.jpg</v>
      </c>
    </row>
    <row r="2596" spans="1:31" ht="15" x14ac:dyDescent="0.25">
      <c r="A2596" t="s">
        <v>2474</v>
      </c>
      <c r="B2596" t="s">
        <v>15954</v>
      </c>
      <c r="C2596" s="221">
        <v>42971.412453703706</v>
      </c>
      <c r="D2596" t="s">
        <v>15955</v>
      </c>
      <c r="E2596" s="249" t="str">
        <f>HYPERLINK("https://www.instagram.com/p/BYLc58ulz0o/")</f>
        <v>https://www.instagram.com/p/BYLc58ulz0o/</v>
      </c>
      <c r="F2596" t="s">
        <v>15956</v>
      </c>
      <c r="G2596" t="s">
        <v>2478</v>
      </c>
      <c r="H2596">
        <v>154</v>
      </c>
      <c r="I2596" t="s">
        <v>2479</v>
      </c>
      <c r="J2596">
        <v>0</v>
      </c>
      <c r="K2596">
        <v>2</v>
      </c>
      <c r="L2596">
        <v>2</v>
      </c>
      <c r="Q2596">
        <v>0</v>
      </c>
      <c r="R2596">
        <v>0</v>
      </c>
      <c r="S2596">
        <v>2</v>
      </c>
      <c r="Y2596" t="s">
        <v>15957</v>
      </c>
      <c r="Z2596" t="s">
        <v>5521</v>
      </c>
      <c r="AA2596" t="s">
        <v>5629</v>
      </c>
      <c r="AB2596" t="s">
        <v>7279</v>
      </c>
      <c r="AC2596" t="s">
        <v>2735</v>
      </c>
      <c r="AD2596" s="249" t="str">
        <f>HYPERLINK("https://scontent.cdninstagram.com/t51.2885-15/s320x320/e35/21107829_111344669583654_801652970033774592_n.jpg")</f>
        <v>https://scontent.cdninstagram.com/t51.2885-15/s320x320/e35/21107829_111344669583654_801652970033774592_n.jpg</v>
      </c>
      <c r="AE2596" s="249" t="str">
        <f>HYPERLINK("https://scontent.cdninstagram.com/t51.2885-19/s150x150/13398750_1630945600554823_1159240226_a.jpg")</f>
        <v>https://scontent.cdninstagram.com/t51.2885-19/s150x150/13398750_1630945600554823_1159240226_a.jpg</v>
      </c>
    </row>
    <row r="2597" spans="1:31" ht="15" x14ac:dyDescent="0.25">
      <c r="A2597" t="s">
        <v>2474</v>
      </c>
      <c r="B2597" t="s">
        <v>15958</v>
      </c>
      <c r="C2597" s="221">
        <v>42971.412569444445</v>
      </c>
      <c r="D2597" t="s">
        <v>15959</v>
      </c>
      <c r="E2597" s="249" t="str">
        <f>HYPERLINK("https://www.instagram.com/p/BYLc7Kygn8u/")</f>
        <v>https://www.instagram.com/p/BYLc7Kygn8u/</v>
      </c>
      <c r="F2597" t="s">
        <v>15960</v>
      </c>
      <c r="G2597" t="s">
        <v>2478</v>
      </c>
      <c r="H2597">
        <v>1090</v>
      </c>
      <c r="I2597" t="s">
        <v>2542</v>
      </c>
      <c r="J2597">
        <v>1</v>
      </c>
      <c r="K2597">
        <v>32</v>
      </c>
      <c r="L2597">
        <v>33</v>
      </c>
      <c r="Q2597">
        <v>0</v>
      </c>
      <c r="R2597">
        <v>0</v>
      </c>
      <c r="S2597">
        <v>33</v>
      </c>
      <c r="Y2597" t="s">
        <v>15961</v>
      </c>
      <c r="Z2597" t="s">
        <v>2497</v>
      </c>
      <c r="AA2597" t="s">
        <v>3145</v>
      </c>
      <c r="AB2597" t="s">
        <v>2493</v>
      </c>
      <c r="AD2597" s="249" t="str">
        <f>HYPERLINK("https://scontent.cdninstagram.com/t51.2885-15/s320x320/e35/21042229_809985689126572_5357810253939343360_n.jpg")</f>
        <v>https://scontent.cdninstagram.com/t51.2885-15/s320x320/e35/21042229_809985689126572_5357810253939343360_n.jpg</v>
      </c>
      <c r="AE2597" s="249" t="str">
        <f>HYPERLINK("https://scontent.cdninstagram.com/t51.2885-19/s150x150/17332980_1923652517867095_1253746360096653312_a.jpg")</f>
        <v>https://scontent.cdninstagram.com/t51.2885-19/s150x150/17332980_1923652517867095_1253746360096653312_a.jpg</v>
      </c>
    </row>
    <row r="2598" spans="1:31" ht="15" x14ac:dyDescent="0.25">
      <c r="A2598" t="s">
        <v>2474</v>
      </c>
      <c r="B2598" t="s">
        <v>15962</v>
      </c>
      <c r="C2598" s="221">
        <v>42971.413645833331</v>
      </c>
      <c r="D2598" t="s">
        <v>15963</v>
      </c>
      <c r="E2598" s="249" t="str">
        <f>HYPERLINK("https://www.instagram.com/p/BYLdGgijAG_/")</f>
        <v>https://www.instagram.com/p/BYLdGgijAG_/</v>
      </c>
      <c r="F2598" t="s">
        <v>15964</v>
      </c>
      <c r="G2598" t="s">
        <v>2478</v>
      </c>
      <c r="H2598">
        <v>241</v>
      </c>
      <c r="I2598" t="s">
        <v>2599</v>
      </c>
      <c r="J2598">
        <v>2</v>
      </c>
      <c r="K2598">
        <v>17</v>
      </c>
      <c r="L2598">
        <v>19</v>
      </c>
      <c r="Q2598">
        <v>0</v>
      </c>
      <c r="R2598">
        <v>0</v>
      </c>
      <c r="S2598">
        <v>19</v>
      </c>
      <c r="Y2598" t="s">
        <v>15965</v>
      </c>
      <c r="Z2598" t="s">
        <v>15966</v>
      </c>
      <c r="AA2598" t="s">
        <v>6922</v>
      </c>
      <c r="AB2598" t="s">
        <v>2036</v>
      </c>
      <c r="AC2598" t="s">
        <v>2735</v>
      </c>
      <c r="AD2598" s="249" t="str">
        <f>HYPERLINK("https://scontent.cdninstagram.com/t51.2885-15/e35/p320x320/21041302_1944321752457667_4966217748892876800_n.jpg")</f>
        <v>https://scontent.cdninstagram.com/t51.2885-15/e35/p320x320/21041302_1944321752457667_4966217748892876800_n.jpg</v>
      </c>
      <c r="AE2598" s="249" t="str">
        <f>HYPERLINK("https://scontent.cdninstagram.com/t51.2885-19/s150x150/19425177_440939129638268_6836406857880305664_a.jpg")</f>
        <v>https://scontent.cdninstagram.com/t51.2885-19/s150x150/19425177_440939129638268_6836406857880305664_a.jpg</v>
      </c>
    </row>
    <row r="2599" spans="1:31" ht="15" x14ac:dyDescent="0.25">
      <c r="A2599" t="s">
        <v>2474</v>
      </c>
      <c r="B2599" t="s">
        <v>15967</v>
      </c>
      <c r="C2599" s="221">
        <v>42971.419548611113</v>
      </c>
      <c r="D2599" t="s">
        <v>15968</v>
      </c>
      <c r="E2599" s="249" t="str">
        <f>HYPERLINK("https://www.instagram.com/p/BYLeEwLAGjl/")</f>
        <v>https://www.instagram.com/p/BYLeEwLAGjl/</v>
      </c>
      <c r="F2599" t="s">
        <v>15969</v>
      </c>
      <c r="G2599" t="s">
        <v>2478</v>
      </c>
      <c r="H2599">
        <v>24156</v>
      </c>
      <c r="I2599" t="s">
        <v>2479</v>
      </c>
      <c r="J2599">
        <v>6</v>
      </c>
      <c r="K2599">
        <v>106</v>
      </c>
      <c r="L2599">
        <v>112</v>
      </c>
      <c r="Q2599">
        <v>0</v>
      </c>
      <c r="R2599">
        <v>0</v>
      </c>
      <c r="S2599">
        <v>112</v>
      </c>
      <c r="T2599" t="s">
        <v>15970</v>
      </c>
      <c r="V2599" t="s">
        <v>2118</v>
      </c>
      <c r="W2599">
        <v>-23.659117381599</v>
      </c>
      <c r="X2599">
        <v>-46.427122590673001</v>
      </c>
      <c r="Y2599" t="s">
        <v>5047</v>
      </c>
      <c r="Z2599" t="s">
        <v>15971</v>
      </c>
      <c r="AA2599" t="s">
        <v>3006</v>
      </c>
      <c r="AB2599" t="s">
        <v>2913</v>
      </c>
      <c r="AC2599" t="s">
        <v>2497</v>
      </c>
      <c r="AD2599" s="249" t="str">
        <f>HYPERLINK("https://scontent.cdninstagram.com/t51.2885-15/s320x320/e35/21107119_271634620006268_7608415242082582528_n.jpg")</f>
        <v>https://scontent.cdninstagram.com/t51.2885-15/s320x320/e35/21107119_271634620006268_7608415242082582528_n.jpg</v>
      </c>
      <c r="AE2599" s="249" t="str">
        <f>HYPERLINK("https://scontent.cdninstagram.com/t51.2885-19/s150x150/21148106_168631360366175_751956702315675648_a.jpg")</f>
        <v>https://scontent.cdninstagram.com/t51.2885-19/s150x150/21148106_168631360366175_751956702315675648_a.jpg</v>
      </c>
    </row>
    <row r="2600" spans="1:31" ht="15" x14ac:dyDescent="0.25">
      <c r="A2600" t="s">
        <v>2474</v>
      </c>
      <c r="B2600" t="s">
        <v>2644</v>
      </c>
      <c r="C2600" s="221">
        <v>42971.431574074071</v>
      </c>
      <c r="D2600" t="s">
        <v>15972</v>
      </c>
      <c r="E2600" s="249" t="str">
        <f>HYPERLINK("https://www.instagram.com/p/BYLgDn4g1Ug/")</f>
        <v>https://www.instagram.com/p/BYLgDn4g1Ug/</v>
      </c>
      <c r="F2600" t="s">
        <v>15973</v>
      </c>
      <c r="G2600" t="s">
        <v>2478</v>
      </c>
      <c r="H2600">
        <v>1749</v>
      </c>
      <c r="I2600" t="s">
        <v>2479</v>
      </c>
      <c r="J2600">
        <v>0</v>
      </c>
      <c r="K2600">
        <v>78</v>
      </c>
      <c r="L2600">
        <v>78</v>
      </c>
      <c r="Q2600">
        <v>0</v>
      </c>
      <c r="R2600">
        <v>0</v>
      </c>
      <c r="S2600">
        <v>78</v>
      </c>
      <c r="T2600" t="s">
        <v>15974</v>
      </c>
      <c r="V2600" t="s">
        <v>2648</v>
      </c>
      <c r="W2600">
        <v>59.934800000000003</v>
      </c>
      <c r="X2600">
        <v>30.34761</v>
      </c>
      <c r="Y2600" t="s">
        <v>15975</v>
      </c>
      <c r="Z2600" t="s">
        <v>15976</v>
      </c>
      <c r="AA2600" t="s">
        <v>3636</v>
      </c>
      <c r="AB2600" t="s">
        <v>3742</v>
      </c>
      <c r="AC2600" t="s">
        <v>3635</v>
      </c>
      <c r="AD2600" s="249" t="str">
        <f>HYPERLINK("https://scontent.cdninstagram.com/t51.2885-15/s320x320/e35/21042182_329345824159229_4866871916931055616_n.jpg")</f>
        <v>https://scontent.cdninstagram.com/t51.2885-15/s320x320/e35/21042182_329345824159229_4866871916931055616_n.jpg</v>
      </c>
      <c r="AE2600" s="249" t="str">
        <f>HYPERLINK("https://scontent.cdninstagram.com/t51.2885-19/11372086_1598451257062069_1320225693_a.jpg")</f>
        <v>https://scontent.cdninstagram.com/t51.2885-19/11372086_1598451257062069_1320225693_a.jpg</v>
      </c>
    </row>
    <row r="2601" spans="1:31" ht="15" x14ac:dyDescent="0.25">
      <c r="A2601" t="s">
        <v>2474</v>
      </c>
      <c r="B2601" t="s">
        <v>15977</v>
      </c>
      <c r="C2601" s="221">
        <v>42971.435231481482</v>
      </c>
      <c r="D2601" t="s">
        <v>15978</v>
      </c>
      <c r="E2601" s="249" t="str">
        <f>HYPERLINK("https://www.instagram.com/p/BYLgqKlA39-/")</f>
        <v>https://www.instagram.com/p/BYLgqKlA39-/</v>
      </c>
      <c r="F2601" t="s">
        <v>15979</v>
      </c>
      <c r="G2601" t="s">
        <v>2478</v>
      </c>
      <c r="H2601">
        <v>372</v>
      </c>
      <c r="I2601" t="s">
        <v>2479</v>
      </c>
      <c r="J2601">
        <v>0</v>
      </c>
      <c r="K2601">
        <v>34</v>
      </c>
      <c r="L2601">
        <v>34</v>
      </c>
      <c r="Q2601">
        <v>0</v>
      </c>
      <c r="R2601">
        <v>0</v>
      </c>
      <c r="S2601">
        <v>34</v>
      </c>
      <c r="Y2601" t="s">
        <v>2497</v>
      </c>
      <c r="Z2601" t="s">
        <v>2603</v>
      </c>
      <c r="AD2601" s="249" t="str">
        <f>HYPERLINK("https://scontent.cdninstagram.com/t51.2885-15/e35/p320x320/20986881_1072382246232367_7367156646914555904_n.jpg")</f>
        <v>https://scontent.cdninstagram.com/t51.2885-15/e35/p320x320/20986881_1072382246232367_7367156646914555904_n.jpg</v>
      </c>
      <c r="AE2601" s="249" t="str">
        <f>HYPERLINK("https://scontent.cdninstagram.com/t51.2885-19/s150x150/18809274_1357686707659402_9184859765191213056_a.jpg")</f>
        <v>https://scontent.cdninstagram.com/t51.2885-19/s150x150/18809274_1357686707659402_9184859765191213056_a.jpg</v>
      </c>
    </row>
    <row r="2602" spans="1:31" ht="15" x14ac:dyDescent="0.25">
      <c r="A2602" t="s">
        <v>2474</v>
      </c>
      <c r="B2602" t="s">
        <v>15980</v>
      </c>
      <c r="C2602" s="221">
        <v>42971.437291666669</v>
      </c>
      <c r="D2602" t="s">
        <v>15981</v>
      </c>
      <c r="E2602" s="249" t="str">
        <f>HYPERLINK("https://www.instagram.com/p/BYLg_6MAA7w/")</f>
        <v>https://www.instagram.com/p/BYLg_6MAA7w/</v>
      </c>
      <c r="F2602" t="s">
        <v>15982</v>
      </c>
      <c r="G2602" t="s">
        <v>2478</v>
      </c>
      <c r="H2602">
        <v>76</v>
      </c>
      <c r="I2602" t="s">
        <v>2479</v>
      </c>
      <c r="J2602">
        <v>1</v>
      </c>
      <c r="K2602">
        <v>5</v>
      </c>
      <c r="L2602">
        <v>6</v>
      </c>
      <c r="Q2602">
        <v>0</v>
      </c>
      <c r="R2602">
        <v>0</v>
      </c>
      <c r="S2602">
        <v>6</v>
      </c>
      <c r="Y2602" t="s">
        <v>7369</v>
      </c>
      <c r="Z2602" t="s">
        <v>15983</v>
      </c>
      <c r="AA2602" t="s">
        <v>2497</v>
      </c>
      <c r="AB2602" t="s">
        <v>15984</v>
      </c>
      <c r="AC2602" t="s">
        <v>3224</v>
      </c>
      <c r="AD2602" s="249" t="str">
        <f>HYPERLINK("https://scontent.cdninstagram.com/t51.2885-15/e35/p320x320/21041042_138264933446895_6013065256484470784_n.jpg")</f>
        <v>https://scontent.cdninstagram.com/t51.2885-15/e35/p320x320/21041042_138264933446895_6013065256484470784_n.jpg</v>
      </c>
      <c r="AE2602" s="249" t="str">
        <f>HYPERLINK("https://scontent.cdninstagram.com/t51.2885-19/s150x150/13721147_788713514564608_491475676_a.jpg")</f>
        <v>https://scontent.cdninstagram.com/t51.2885-19/s150x150/13721147_788713514564608_491475676_a.jpg</v>
      </c>
    </row>
    <row r="2603" spans="1:31" ht="15" x14ac:dyDescent="0.25">
      <c r="A2603" t="s">
        <v>2474</v>
      </c>
      <c r="B2603" t="s">
        <v>15985</v>
      </c>
      <c r="C2603" s="221">
        <v>42971.43891203704</v>
      </c>
      <c r="D2603" t="s">
        <v>15986</v>
      </c>
      <c r="E2603" s="249" t="str">
        <f>HYPERLINK("https://www.instagram.com/p/BYLhRDOgaZC/")</f>
        <v>https://www.instagram.com/p/BYLhRDOgaZC/</v>
      </c>
      <c r="F2603" t="s">
        <v>15987</v>
      </c>
      <c r="G2603" t="s">
        <v>2631</v>
      </c>
      <c r="H2603">
        <v>592</v>
      </c>
      <c r="I2603" t="s">
        <v>2479</v>
      </c>
      <c r="J2603">
        <v>13</v>
      </c>
      <c r="K2603">
        <v>98</v>
      </c>
      <c r="L2603">
        <v>111</v>
      </c>
      <c r="Q2603">
        <v>0</v>
      </c>
      <c r="R2603">
        <v>0</v>
      </c>
      <c r="S2603">
        <v>111</v>
      </c>
      <c r="Y2603" t="s">
        <v>15988</v>
      </c>
      <c r="Z2603" t="s">
        <v>15989</v>
      </c>
      <c r="AA2603" t="s">
        <v>15990</v>
      </c>
      <c r="AB2603" t="s">
        <v>15991</v>
      </c>
      <c r="AC2603" t="s">
        <v>5423</v>
      </c>
      <c r="AD2603" s="249" t="str">
        <f>HYPERLINK("https://scontent.cdninstagram.com/t51.2885-15/s320x320/e15/20986799_330888874037883_6323342846522818560_n.jpg")</f>
        <v>https://scontent.cdninstagram.com/t51.2885-15/s320x320/e15/20986799_330888874037883_6323342846522818560_n.jpg</v>
      </c>
      <c r="AE2603" s="249" t="str">
        <f>HYPERLINK("https://scontent.cdninstagram.com/t51.2885-19/s150x150/19931652_289111388165200_4586640621015400448_a.jpg")</f>
        <v>https://scontent.cdninstagram.com/t51.2885-19/s150x150/19931652_289111388165200_4586640621015400448_a.jpg</v>
      </c>
    </row>
    <row r="2604" spans="1:31" ht="15" x14ac:dyDescent="0.25">
      <c r="A2604" t="s">
        <v>2474</v>
      </c>
      <c r="B2604" t="s">
        <v>15992</v>
      </c>
      <c r="C2604" s="221">
        <v>42971.439942129633</v>
      </c>
      <c r="D2604" t="s">
        <v>15993</v>
      </c>
      <c r="E2604" s="249" t="str">
        <f>HYPERLINK("https://www.instagram.com/p/BYLhb1_AOFz/")</f>
        <v>https://www.instagram.com/p/BYLhb1_AOFz/</v>
      </c>
      <c r="F2604" t="s">
        <v>15994</v>
      </c>
      <c r="G2604" t="s">
        <v>2478</v>
      </c>
      <c r="H2604">
        <v>156</v>
      </c>
      <c r="I2604" t="s">
        <v>2542</v>
      </c>
      <c r="J2604">
        <v>0</v>
      </c>
      <c r="K2604">
        <v>10</v>
      </c>
      <c r="L2604">
        <v>10</v>
      </c>
      <c r="Q2604">
        <v>0</v>
      </c>
      <c r="R2604">
        <v>0</v>
      </c>
      <c r="S2604">
        <v>10</v>
      </c>
      <c r="Y2604" t="s">
        <v>15995</v>
      </c>
      <c r="Z2604" t="s">
        <v>2497</v>
      </c>
      <c r="AA2604" t="s">
        <v>15996</v>
      </c>
      <c r="AD2604" s="249" t="str">
        <f>HYPERLINK("https://scontent.cdninstagram.com/t51.2885-15/s320x320/e35/21042255_310153426115939_5721591355390558208_n.jpg")</f>
        <v>https://scontent.cdninstagram.com/t51.2885-15/s320x320/e35/21042255_310153426115939_5721591355390558208_n.jpg</v>
      </c>
      <c r="AE2604" s="249" t="str">
        <f>HYPERLINK("https://scontent.cdninstagram.com/t51.2885-19/s150x150/19121975_1888271484830157_78273193399287808_a.jpg")</f>
        <v>https://scontent.cdninstagram.com/t51.2885-19/s150x150/19121975_1888271484830157_78273193399287808_a.jpg</v>
      </c>
    </row>
    <row r="2605" spans="1:31" ht="15" x14ac:dyDescent="0.25">
      <c r="A2605" t="s">
        <v>2474</v>
      </c>
      <c r="B2605" t="s">
        <v>15997</v>
      </c>
      <c r="C2605" s="221">
        <v>42971.440636574072</v>
      </c>
      <c r="D2605" t="s">
        <v>15998</v>
      </c>
      <c r="E2605" s="249" t="str">
        <f>HYPERLINK("https://www.instagram.com/p/BYLhjK6hAmt/")</f>
        <v>https://www.instagram.com/p/BYLhjK6hAmt/</v>
      </c>
      <c r="F2605" t="s">
        <v>15999</v>
      </c>
      <c r="G2605" t="s">
        <v>2631</v>
      </c>
      <c r="H2605">
        <v>272</v>
      </c>
      <c r="I2605" t="s">
        <v>2479</v>
      </c>
      <c r="J2605">
        <v>4</v>
      </c>
      <c r="K2605">
        <v>67</v>
      </c>
      <c r="L2605">
        <v>71</v>
      </c>
      <c r="Q2605">
        <v>0</v>
      </c>
      <c r="R2605">
        <v>0</v>
      </c>
      <c r="S2605">
        <v>71</v>
      </c>
      <c r="Y2605" t="s">
        <v>16000</v>
      </c>
      <c r="Z2605" t="s">
        <v>16001</v>
      </c>
      <c r="AA2605" t="s">
        <v>16002</v>
      </c>
      <c r="AB2605" t="s">
        <v>11405</v>
      </c>
      <c r="AC2605" t="s">
        <v>4226</v>
      </c>
      <c r="AD2605" s="249" t="str">
        <f>HYPERLINK("https://scontent.cdninstagram.com/t51.2885-15/s320x320/e15/20986645_1802644996693305_4240907161120538624_n.jpg")</f>
        <v>https://scontent.cdninstagram.com/t51.2885-15/s320x320/e15/20986645_1802644996693305_4240907161120538624_n.jpg</v>
      </c>
      <c r="AE2605" s="249" t="str">
        <f>HYPERLINK("https://scontent.cdninstagram.com/t51.2885-19/s150x150/17493495_1499928136687093_1507780490105454592_a.jpg")</f>
        <v>https://scontent.cdninstagram.com/t51.2885-19/s150x150/17493495_1499928136687093_1507780490105454592_a.jpg</v>
      </c>
    </row>
    <row r="2606" spans="1:31" ht="15" x14ac:dyDescent="0.25">
      <c r="A2606" t="s">
        <v>2474</v>
      </c>
      <c r="B2606" t="s">
        <v>16003</v>
      </c>
      <c r="C2606" s="221">
        <v>42971.441354166665</v>
      </c>
      <c r="D2606" t="s">
        <v>16004</v>
      </c>
      <c r="E2606" s="249" t="str">
        <f>HYPERLINK("https://www.instagram.com/p/BYLhqw2BPFX/")</f>
        <v>https://www.instagram.com/p/BYLhqw2BPFX/</v>
      </c>
      <c r="F2606" t="s">
        <v>16005</v>
      </c>
      <c r="G2606" t="s">
        <v>2478</v>
      </c>
      <c r="H2606">
        <v>1542</v>
      </c>
      <c r="I2606" t="s">
        <v>2903</v>
      </c>
      <c r="J2606">
        <v>2</v>
      </c>
      <c r="K2606">
        <v>31</v>
      </c>
      <c r="L2606">
        <v>33</v>
      </c>
      <c r="Q2606">
        <v>0</v>
      </c>
      <c r="R2606">
        <v>0</v>
      </c>
      <c r="S2606">
        <v>33</v>
      </c>
      <c r="Y2606" t="s">
        <v>3671</v>
      </c>
      <c r="Z2606" t="s">
        <v>8753</v>
      </c>
      <c r="AA2606" t="s">
        <v>2497</v>
      </c>
      <c r="AB2606" t="s">
        <v>16006</v>
      </c>
      <c r="AC2606" t="s">
        <v>16007</v>
      </c>
      <c r="AD2606" s="249" t="str">
        <f>HYPERLINK("https://scontent.cdninstagram.com/t51.2885-15/s320x320/e35/20986738_1903101710015866_6482240160980271104_n.jpg")</f>
        <v>https://scontent.cdninstagram.com/t51.2885-15/s320x320/e35/20986738_1903101710015866_6482240160980271104_n.jpg</v>
      </c>
      <c r="AE2606" s="249" t="str">
        <f>HYPERLINK("https://scontent.cdninstagram.com/t51.2885-19/s150x150/19932678_276990742770602_110295610564804608_a.jpg")</f>
        <v>https://scontent.cdninstagram.com/t51.2885-19/s150x150/19932678_276990742770602_110295610564804608_a.jpg</v>
      </c>
    </row>
    <row r="2607" spans="1:31" ht="15" x14ac:dyDescent="0.25">
      <c r="A2607" t="s">
        <v>2474</v>
      </c>
      <c r="B2607" t="s">
        <v>15801</v>
      </c>
      <c r="C2607" s="221">
        <v>42971.445879629631</v>
      </c>
      <c r="D2607" t="s">
        <v>16008</v>
      </c>
      <c r="E2607" s="249" t="str">
        <f>HYPERLINK("https://www.instagram.com/p/BYLiag-l5Ei/")</f>
        <v>https://www.instagram.com/p/BYLiag-l5Ei/</v>
      </c>
      <c r="F2607" t="s">
        <v>16009</v>
      </c>
      <c r="G2607" t="s">
        <v>2478</v>
      </c>
      <c r="H2607">
        <v>208</v>
      </c>
      <c r="I2607" t="s">
        <v>4062</v>
      </c>
      <c r="J2607">
        <v>3</v>
      </c>
      <c r="K2607">
        <v>23</v>
      </c>
      <c r="L2607">
        <v>26</v>
      </c>
      <c r="Q2607">
        <v>0</v>
      </c>
      <c r="R2607">
        <v>0</v>
      </c>
      <c r="S2607">
        <v>26</v>
      </c>
      <c r="Y2607" t="s">
        <v>16010</v>
      </c>
      <c r="Z2607" t="s">
        <v>16011</v>
      </c>
      <c r="AA2607" t="s">
        <v>16012</v>
      </c>
      <c r="AB2607" t="s">
        <v>8687</v>
      </c>
      <c r="AC2607" t="s">
        <v>3336</v>
      </c>
      <c r="AD2607" s="249" t="str">
        <f>HYPERLINK("https://scontent.cdninstagram.com/t51.2885-15/e35/p320x320/21107348_1992336977678624_6358458078228119552_n.jpg")</f>
        <v>https://scontent.cdninstagram.com/t51.2885-15/e35/p320x320/21107348_1992336977678624_6358458078228119552_n.jpg</v>
      </c>
      <c r="AE2607" s="249" t="str">
        <f>HYPERLINK("https://scontent.cdninstagram.com/t51.2885-19/s150x150/12547279_954947561266331_1148242584_a.jpg")</f>
        <v>https://scontent.cdninstagram.com/t51.2885-19/s150x150/12547279_954947561266331_1148242584_a.jpg</v>
      </c>
    </row>
    <row r="2608" spans="1:31" ht="15" x14ac:dyDescent="0.25">
      <c r="A2608" t="s">
        <v>2474</v>
      </c>
      <c r="B2608" t="s">
        <v>3015</v>
      </c>
      <c r="C2608" s="221">
        <v>42971.449178240742</v>
      </c>
      <c r="D2608" t="s">
        <v>16013</v>
      </c>
      <c r="E2608" s="249" t="str">
        <f>HYPERLINK("https://www.instagram.com/p/BYLi9RyA09N/")</f>
        <v>https://www.instagram.com/p/BYLi9RyA09N/</v>
      </c>
      <c r="F2608" t="s">
        <v>16014</v>
      </c>
      <c r="G2608" t="s">
        <v>2488</v>
      </c>
      <c r="H2608">
        <v>240</v>
      </c>
      <c r="I2608" t="s">
        <v>2479</v>
      </c>
      <c r="J2608">
        <v>1</v>
      </c>
      <c r="K2608">
        <v>21</v>
      </c>
      <c r="L2608">
        <v>22</v>
      </c>
      <c r="Q2608">
        <v>0</v>
      </c>
      <c r="R2608">
        <v>0</v>
      </c>
      <c r="S2608">
        <v>22</v>
      </c>
      <c r="Y2608" t="s">
        <v>3493</v>
      </c>
      <c r="Z2608" t="s">
        <v>4128</v>
      </c>
      <c r="AA2608" t="s">
        <v>10468</v>
      </c>
      <c r="AB2608" t="s">
        <v>6259</v>
      </c>
      <c r="AC2608" t="s">
        <v>3021</v>
      </c>
      <c r="AD2608" s="249" t="str">
        <f>HYPERLINK("https://scontent.cdninstagram.com/t51.2885-15/s320x320/e35/21042786_1731328617171635_6109864091235385344_n.jpg")</f>
        <v>https://scontent.cdninstagram.com/t51.2885-15/s320x320/e35/21042786_1731328617171635_6109864091235385344_n.jpg</v>
      </c>
      <c r="AE2608" s="249" t="str">
        <f>HYPERLINK("https://scontent.cdninstagram.com/t51.2885-19/s150x150/19761452_1876060406050696_4275948751316582400_a.jpg")</f>
        <v>https://scontent.cdninstagram.com/t51.2885-19/s150x150/19761452_1876060406050696_4275948751316582400_a.jpg</v>
      </c>
    </row>
    <row r="2609" spans="1:31" ht="15" x14ac:dyDescent="0.25">
      <c r="A2609" t="s">
        <v>2474</v>
      </c>
      <c r="B2609" t="s">
        <v>16015</v>
      </c>
      <c r="C2609" s="221">
        <v>42971.464942129627</v>
      </c>
      <c r="D2609" t="s">
        <v>16016</v>
      </c>
      <c r="E2609" s="249" t="str">
        <f>HYPERLINK("https://www.instagram.com/p/BYLljkslhu-/")</f>
        <v>https://www.instagram.com/p/BYLljkslhu-/</v>
      </c>
      <c r="F2609" t="s">
        <v>16017</v>
      </c>
      <c r="G2609" t="s">
        <v>2478</v>
      </c>
      <c r="H2609">
        <v>4269</v>
      </c>
      <c r="I2609" t="s">
        <v>2479</v>
      </c>
      <c r="J2609">
        <v>25</v>
      </c>
      <c r="K2609">
        <v>196</v>
      </c>
      <c r="L2609">
        <v>221</v>
      </c>
      <c r="Q2609">
        <v>0</v>
      </c>
      <c r="R2609">
        <v>0</v>
      </c>
      <c r="S2609">
        <v>221</v>
      </c>
      <c r="T2609" t="s">
        <v>12685</v>
      </c>
      <c r="V2609" t="s">
        <v>2264</v>
      </c>
      <c r="W2609">
        <v>40</v>
      </c>
      <c r="X2609">
        <v>-3</v>
      </c>
      <c r="Y2609" t="s">
        <v>16018</v>
      </c>
      <c r="Z2609" t="s">
        <v>16019</v>
      </c>
      <c r="AA2609" t="s">
        <v>16020</v>
      </c>
      <c r="AB2609" t="s">
        <v>2497</v>
      </c>
      <c r="AC2609" t="s">
        <v>16021</v>
      </c>
      <c r="AD2609" s="249" t="str">
        <f>HYPERLINK("https://scontent.cdninstagram.com/t51.2885-15/e35/p320x320/20987559_174361979775316_5468835437713817600_n.jpg")</f>
        <v>https://scontent.cdninstagram.com/t51.2885-15/e35/p320x320/20987559_174361979775316_5468835437713817600_n.jpg</v>
      </c>
      <c r="AE2609" s="249" t="str">
        <f>HYPERLINK("https://scontent.cdninstagram.com/t51.2885-19/s150x150/14334801_1800777943501044_5454284208774053888_a.jpg")</f>
        <v>https://scontent.cdninstagram.com/t51.2885-19/s150x150/14334801_1800777943501044_5454284208774053888_a.jpg</v>
      </c>
    </row>
    <row r="2610" spans="1:31" ht="15" x14ac:dyDescent="0.25">
      <c r="A2610" t="s">
        <v>2474</v>
      </c>
      <c r="B2610" t="s">
        <v>3015</v>
      </c>
      <c r="C2610" s="221">
        <v>42971.466053240743</v>
      </c>
      <c r="D2610" t="s">
        <v>16022</v>
      </c>
      <c r="E2610" s="249" t="str">
        <f>HYPERLINK("https://www.instagram.com/p/BYLlvV_AI6p/")</f>
        <v>https://www.instagram.com/p/BYLlvV_AI6p/</v>
      </c>
      <c r="F2610" t="s">
        <v>16023</v>
      </c>
      <c r="G2610" t="s">
        <v>2478</v>
      </c>
      <c r="H2610">
        <v>241</v>
      </c>
      <c r="I2610" t="s">
        <v>2479</v>
      </c>
      <c r="J2610">
        <v>2</v>
      </c>
      <c r="K2610">
        <v>26</v>
      </c>
      <c r="L2610">
        <v>28</v>
      </c>
      <c r="Q2610">
        <v>0</v>
      </c>
      <c r="R2610">
        <v>0</v>
      </c>
      <c r="S2610">
        <v>28</v>
      </c>
      <c r="Y2610" t="s">
        <v>2492</v>
      </c>
      <c r="Z2610" t="s">
        <v>6259</v>
      </c>
      <c r="AA2610" t="s">
        <v>3854</v>
      </c>
      <c r="AB2610" t="s">
        <v>3021</v>
      </c>
      <c r="AC2610" t="s">
        <v>3018</v>
      </c>
      <c r="AD2610" s="249" t="str">
        <f>HYPERLINK("https://scontent.cdninstagram.com/t51.2885-15/s320x320/e35/20987134_223786261481468_5692789815804690432_n.jpg")</f>
        <v>https://scontent.cdninstagram.com/t51.2885-15/s320x320/e35/20987134_223786261481468_5692789815804690432_n.jpg</v>
      </c>
      <c r="AE2610" s="249" t="str">
        <f>HYPERLINK("https://scontent.cdninstagram.com/t51.2885-19/s150x150/19761452_1876060406050696_4275948751316582400_a.jpg")</f>
        <v>https://scontent.cdninstagram.com/t51.2885-19/s150x150/19761452_1876060406050696_4275948751316582400_a.jpg</v>
      </c>
    </row>
    <row r="2611" spans="1:31" ht="15" x14ac:dyDescent="0.25">
      <c r="A2611" t="s">
        <v>2474</v>
      </c>
      <c r="B2611" t="s">
        <v>16024</v>
      </c>
      <c r="C2611" s="221">
        <v>42971.466238425928</v>
      </c>
      <c r="D2611" t="s">
        <v>16025</v>
      </c>
      <c r="E2611" s="249" t="str">
        <f>HYPERLINK("https://www.instagram.com/p/BYLlxPFBIzv/")</f>
        <v>https://www.instagram.com/p/BYLlxPFBIzv/</v>
      </c>
      <c r="F2611" t="s">
        <v>16026</v>
      </c>
      <c r="G2611" t="s">
        <v>2478</v>
      </c>
      <c r="H2611">
        <v>6</v>
      </c>
      <c r="I2611" t="s">
        <v>2910</v>
      </c>
      <c r="J2611">
        <v>0</v>
      </c>
      <c r="K2611">
        <v>21</v>
      </c>
      <c r="L2611">
        <v>21</v>
      </c>
      <c r="Q2611">
        <v>0</v>
      </c>
      <c r="R2611">
        <v>0</v>
      </c>
      <c r="S2611">
        <v>21</v>
      </c>
      <c r="T2611" t="s">
        <v>16027</v>
      </c>
      <c r="U2611" t="s">
        <v>524</v>
      </c>
      <c r="V2611" t="s">
        <v>2299</v>
      </c>
      <c r="W2611">
        <v>32.268000000000001</v>
      </c>
      <c r="X2611">
        <v>-80.878950000000003</v>
      </c>
      <c r="Y2611" t="s">
        <v>16028</v>
      </c>
      <c r="Z2611" t="s">
        <v>16029</v>
      </c>
      <c r="AA2611" t="s">
        <v>16030</v>
      </c>
      <c r="AB2611" t="s">
        <v>16031</v>
      </c>
      <c r="AC2611" t="s">
        <v>16032</v>
      </c>
      <c r="AD2611" s="249" t="str">
        <f>HYPERLINK("https://scontent.cdninstagram.com/t51.2885-15/s320x320/e35/20987472_165923270640106_7733737628956098560_n.jpg")</f>
        <v>https://scontent.cdninstagram.com/t51.2885-15/s320x320/e35/20987472_165923270640106_7733737628956098560_n.jpg</v>
      </c>
      <c r="AE2611" s="249" t="str">
        <f>HYPERLINK("https://scontent.cdninstagram.com/t51.2885-19/s150x150/20968697_157398944814591_6832359048772321280_a.jpg")</f>
        <v>https://scontent.cdninstagram.com/t51.2885-19/s150x150/20968697_157398944814591_6832359048772321280_a.jpg</v>
      </c>
    </row>
    <row r="2612" spans="1:31" ht="15" x14ac:dyDescent="0.25">
      <c r="A2612" t="s">
        <v>2474</v>
      </c>
      <c r="B2612" t="s">
        <v>16033</v>
      </c>
      <c r="C2612" s="221">
        <v>42971.466273148151</v>
      </c>
      <c r="D2612" t="s">
        <v>16034</v>
      </c>
      <c r="E2612" s="249" t="str">
        <f>HYPERLINK("https://www.instagram.com/p/BYLlxmSlHnn/")</f>
        <v>https://www.instagram.com/p/BYLlxmSlHnn/</v>
      </c>
      <c r="F2612" t="s">
        <v>16035</v>
      </c>
      <c r="G2612" t="s">
        <v>2478</v>
      </c>
      <c r="H2612">
        <v>70</v>
      </c>
      <c r="I2612" t="s">
        <v>2479</v>
      </c>
      <c r="J2612">
        <v>0</v>
      </c>
      <c r="K2612">
        <v>12</v>
      </c>
      <c r="L2612">
        <v>12</v>
      </c>
      <c r="Q2612">
        <v>0</v>
      </c>
      <c r="R2612">
        <v>0</v>
      </c>
      <c r="S2612">
        <v>12</v>
      </c>
      <c r="Y2612" t="s">
        <v>2562</v>
      </c>
      <c r="Z2612" t="s">
        <v>16036</v>
      </c>
      <c r="AA2612" t="s">
        <v>16037</v>
      </c>
      <c r="AB2612" t="s">
        <v>16038</v>
      </c>
      <c r="AC2612" t="s">
        <v>5706</v>
      </c>
      <c r="AD2612" s="249" t="str">
        <f>HYPERLINK("https://scontent.cdninstagram.com/t51.2885-15/e35/p320x320/21041385_1432308073531413_7004990431691800576_n.jpg")</f>
        <v>https://scontent.cdninstagram.com/t51.2885-15/e35/p320x320/21041385_1432308073531413_7004990431691800576_n.jpg</v>
      </c>
      <c r="AE2612" s="249" t="str">
        <f>HYPERLINK("https://scontent.cdninstagram.com/t51.2885-19/s150x150/20635090_107527323297523_2126826388609564672_a.jpg")</f>
        <v>https://scontent.cdninstagram.com/t51.2885-19/s150x150/20635090_107527323297523_2126826388609564672_a.jpg</v>
      </c>
    </row>
    <row r="2613" spans="1:31" ht="15" x14ac:dyDescent="0.25">
      <c r="A2613" t="s">
        <v>2474</v>
      </c>
      <c r="B2613" t="s">
        <v>16039</v>
      </c>
      <c r="C2613" s="221">
        <v>42971.469976851855</v>
      </c>
      <c r="D2613" t="s">
        <v>16040</v>
      </c>
      <c r="E2613" s="249" t="str">
        <f>HYPERLINK("https://www.instagram.com/p/BYLmYoHhYfE/")</f>
        <v>https://www.instagram.com/p/BYLmYoHhYfE/</v>
      </c>
      <c r="F2613" t="s">
        <v>2872</v>
      </c>
      <c r="G2613" t="s">
        <v>2478</v>
      </c>
      <c r="H2613">
        <v>103</v>
      </c>
      <c r="I2613" t="s">
        <v>2599</v>
      </c>
      <c r="J2613">
        <v>0</v>
      </c>
      <c r="K2613">
        <v>7</v>
      </c>
      <c r="L2613">
        <v>7</v>
      </c>
      <c r="Q2613">
        <v>0</v>
      </c>
      <c r="R2613">
        <v>0</v>
      </c>
      <c r="S2613">
        <v>7</v>
      </c>
      <c r="Y2613" t="s">
        <v>2497</v>
      </c>
      <c r="AD2613" s="249" t="str">
        <f>HYPERLINK("https://scontent.cdninstagram.com/t51.2885-15/s320x320/e35/21041862_1223748921104486_5528311019547394048_n.jpg")</f>
        <v>https://scontent.cdninstagram.com/t51.2885-15/s320x320/e35/21041862_1223748921104486_5528311019547394048_n.jpg</v>
      </c>
      <c r="AE2613" s="249" t="str">
        <f>HYPERLINK("https://scontent.cdninstagram.com/t51.2885-19/11426454_1480172005627163_582485055_a.jpg")</f>
        <v>https://scontent.cdninstagram.com/t51.2885-19/11426454_1480172005627163_582485055_a.jpg</v>
      </c>
    </row>
    <row r="2614" spans="1:31" ht="15" x14ac:dyDescent="0.25">
      <c r="A2614" t="s">
        <v>2474</v>
      </c>
      <c r="B2614" t="s">
        <v>12826</v>
      </c>
      <c r="C2614" s="221">
        <v>42971.477523148147</v>
      </c>
      <c r="D2614" t="s">
        <v>16041</v>
      </c>
      <c r="E2614" s="249" t="str">
        <f>HYPERLINK("https://www.instagram.com/p/BYLnoQSgupP/")</f>
        <v>https://www.instagram.com/p/BYLnoQSgupP/</v>
      </c>
      <c r="F2614" t="s">
        <v>16042</v>
      </c>
      <c r="G2614" t="s">
        <v>2478</v>
      </c>
      <c r="H2614">
        <v>204</v>
      </c>
      <c r="I2614" t="s">
        <v>2479</v>
      </c>
      <c r="J2614">
        <v>0</v>
      </c>
      <c r="K2614">
        <v>20</v>
      </c>
      <c r="L2614">
        <v>20</v>
      </c>
      <c r="Q2614">
        <v>0</v>
      </c>
      <c r="R2614">
        <v>0</v>
      </c>
      <c r="S2614">
        <v>20</v>
      </c>
      <c r="Y2614" t="s">
        <v>16043</v>
      </c>
      <c r="Z2614" t="s">
        <v>12830</v>
      </c>
      <c r="AA2614" t="s">
        <v>4180</v>
      </c>
      <c r="AB2614" t="s">
        <v>5077</v>
      </c>
      <c r="AC2614" t="s">
        <v>2497</v>
      </c>
      <c r="AD2614" s="249" t="str">
        <f>HYPERLINK("https://scontent.cdninstagram.com/t51.2885-15/e35/p320x320/20987508_1450558201724412_2853414664727953408_n.jpg")</f>
        <v>https://scontent.cdninstagram.com/t51.2885-15/e35/p320x320/20987508_1450558201724412_2853414664727953408_n.jpg</v>
      </c>
      <c r="AE2614" s="249" t="str">
        <f>HYPERLINK("https://scontent.cdninstagram.com/t51.2885-19/s150x150/14134981_675465352604169_948337492_a.jpg")</f>
        <v>https://scontent.cdninstagram.com/t51.2885-19/s150x150/14134981_675465352604169_948337492_a.jpg</v>
      </c>
    </row>
    <row r="2615" spans="1:31" ht="15" x14ac:dyDescent="0.25">
      <c r="A2615" t="s">
        <v>2474</v>
      </c>
      <c r="B2615" t="s">
        <v>16044</v>
      </c>
      <c r="C2615" s="221">
        <v>42971.479895833334</v>
      </c>
      <c r="D2615" t="s">
        <v>16045</v>
      </c>
      <c r="E2615" s="249" t="str">
        <f>HYPERLINK("https://www.instagram.com/p/BYLoBVNlNou/")</f>
        <v>https://www.instagram.com/p/BYLoBVNlNou/</v>
      </c>
      <c r="F2615" t="s">
        <v>16046</v>
      </c>
      <c r="G2615" t="s">
        <v>2478</v>
      </c>
      <c r="H2615">
        <v>192</v>
      </c>
      <c r="I2615" t="s">
        <v>2599</v>
      </c>
      <c r="J2615">
        <v>2</v>
      </c>
      <c r="K2615">
        <v>65</v>
      </c>
      <c r="L2615">
        <v>67</v>
      </c>
      <c r="Q2615">
        <v>0</v>
      </c>
      <c r="R2615">
        <v>0</v>
      </c>
      <c r="S2615">
        <v>67</v>
      </c>
      <c r="T2615" t="s">
        <v>16047</v>
      </c>
      <c r="V2615" t="s">
        <v>2182</v>
      </c>
      <c r="W2615">
        <v>46.916699999999999</v>
      </c>
      <c r="X2615">
        <v>11.95</v>
      </c>
      <c r="Y2615" t="s">
        <v>16048</v>
      </c>
      <c r="Z2615" t="s">
        <v>6506</v>
      </c>
      <c r="AA2615" t="s">
        <v>16049</v>
      </c>
      <c r="AB2615" t="s">
        <v>16050</v>
      </c>
      <c r="AC2615" t="s">
        <v>16051</v>
      </c>
      <c r="AD2615" s="249" t="str">
        <f>HYPERLINK("https://scontent.cdninstagram.com/t51.2885-15/s320x320/e35/21042793_112881826047407_6122021747785990144_n.jpg")</f>
        <v>https://scontent.cdninstagram.com/t51.2885-15/s320x320/e35/21042793_112881826047407_6122021747785990144_n.jpg</v>
      </c>
      <c r="AE2615" s="249" t="str">
        <f>HYPERLINK("https://scontent.cdninstagram.com/t51.2885-19/s150x150/20633850_1952539121660161_7341143829593980928_a.jpg")</f>
        <v>https://scontent.cdninstagram.com/t51.2885-19/s150x150/20633850_1952539121660161_7341143829593980928_a.jpg</v>
      </c>
    </row>
    <row r="2616" spans="1:31" ht="15" x14ac:dyDescent="0.25">
      <c r="A2616" t="s">
        <v>2474</v>
      </c>
      <c r="B2616" t="s">
        <v>16052</v>
      </c>
      <c r="C2616" s="221">
        <v>42971.481874999998</v>
      </c>
      <c r="D2616" t="s">
        <v>16053</v>
      </c>
      <c r="E2616" s="249" t="str">
        <f>HYPERLINK("https://www.instagram.com/p/BYLoWG2n7IU/")</f>
        <v>https://www.instagram.com/p/BYLoWG2n7IU/</v>
      </c>
      <c r="F2616" t="s">
        <v>16054</v>
      </c>
      <c r="G2616" t="s">
        <v>2488</v>
      </c>
      <c r="H2616">
        <v>468</v>
      </c>
      <c r="I2616" t="s">
        <v>2479</v>
      </c>
      <c r="J2616">
        <v>2</v>
      </c>
      <c r="K2616">
        <v>43</v>
      </c>
      <c r="L2616">
        <v>45</v>
      </c>
      <c r="Q2616">
        <v>0</v>
      </c>
      <c r="R2616">
        <v>0</v>
      </c>
      <c r="S2616">
        <v>45</v>
      </c>
      <c r="T2616" t="s">
        <v>16055</v>
      </c>
      <c r="V2616" t="s">
        <v>2264</v>
      </c>
      <c r="W2616">
        <v>42.808233549999997</v>
      </c>
      <c r="X2616">
        <v>-7.6149403400000004</v>
      </c>
      <c r="Y2616" t="s">
        <v>2497</v>
      </c>
      <c r="Z2616" t="s">
        <v>3945</v>
      </c>
      <c r="AD2616" s="249" t="str">
        <f>HYPERLINK("https://scontent.cdninstagram.com/t51.2885-15/s320x320/e35/21107753_112597546075489_6522776135334363136_n.jpg")</f>
        <v>https://scontent.cdninstagram.com/t51.2885-15/s320x320/e35/21107753_112597546075489_6522776135334363136_n.jpg</v>
      </c>
      <c r="AE2616" s="249" t="str">
        <f>HYPERLINK("https://scontent.cdninstagram.com/t51.2885-19/s150x150/19955094_125584228049171_4009620268833046528_a.jpg")</f>
        <v>https://scontent.cdninstagram.com/t51.2885-19/s150x150/19955094_125584228049171_4009620268833046528_a.jpg</v>
      </c>
    </row>
    <row r="2617" spans="1:31" ht="15" x14ac:dyDescent="0.25">
      <c r="A2617" t="s">
        <v>2474</v>
      </c>
      <c r="B2617" t="s">
        <v>3290</v>
      </c>
      <c r="C2617" s="221">
        <v>42971.482812499999</v>
      </c>
      <c r="D2617" t="s">
        <v>16056</v>
      </c>
      <c r="E2617" s="249" t="str">
        <f>HYPERLINK("https://www.instagram.com/p/BYLogDEnb-7/")</f>
        <v>https://www.instagram.com/p/BYLogDEnb-7/</v>
      </c>
      <c r="F2617" t="s">
        <v>16057</v>
      </c>
      <c r="G2617" t="s">
        <v>2478</v>
      </c>
      <c r="H2617">
        <v>1907</v>
      </c>
      <c r="I2617" t="s">
        <v>2479</v>
      </c>
      <c r="J2617">
        <v>8</v>
      </c>
      <c r="K2617">
        <v>340</v>
      </c>
      <c r="L2617">
        <v>348</v>
      </c>
      <c r="Q2617">
        <v>0</v>
      </c>
      <c r="R2617">
        <v>0</v>
      </c>
      <c r="S2617">
        <v>348</v>
      </c>
      <c r="Y2617" t="s">
        <v>9603</v>
      </c>
      <c r="Z2617" t="s">
        <v>6414</v>
      </c>
      <c r="AA2617" t="s">
        <v>7590</v>
      </c>
      <c r="AB2617" t="s">
        <v>16058</v>
      </c>
      <c r="AC2617" t="s">
        <v>2547</v>
      </c>
      <c r="AD2617" s="249" t="str">
        <f>HYPERLINK("https://scontent.cdninstagram.com/t51.2885-15/s320x320/e35/21042161_1894761704180464_7370114109854973952_n.jpg")</f>
        <v>https://scontent.cdninstagram.com/t51.2885-15/s320x320/e35/21042161_1894761704180464_7370114109854973952_n.jpg</v>
      </c>
      <c r="AE2617" s="249" t="str">
        <f>HYPERLINK("https://scontent.cdninstagram.com/t51.2885-19/s150x150/18380245_313241119112969_3297379408276357120_a.jpg")</f>
        <v>https://scontent.cdninstagram.com/t51.2885-19/s150x150/18380245_313241119112969_3297379408276357120_a.jpg</v>
      </c>
    </row>
    <row r="2618" spans="1:31" ht="15" x14ac:dyDescent="0.25">
      <c r="A2618" t="s">
        <v>2474</v>
      </c>
      <c r="B2618" t="s">
        <v>7531</v>
      </c>
      <c r="C2618" s="221">
        <v>42971.487662037034</v>
      </c>
      <c r="D2618" t="s">
        <v>16059</v>
      </c>
      <c r="E2618" s="249" t="str">
        <f>HYPERLINK("https://www.instagram.com/p/BYLpTLQgl0H/")</f>
        <v>https://www.instagram.com/p/BYLpTLQgl0H/</v>
      </c>
      <c r="F2618" t="s">
        <v>16060</v>
      </c>
      <c r="G2618" t="s">
        <v>2488</v>
      </c>
      <c r="H2618">
        <v>70</v>
      </c>
      <c r="I2618" t="s">
        <v>2479</v>
      </c>
      <c r="J2618">
        <v>2</v>
      </c>
      <c r="K2618">
        <v>31</v>
      </c>
      <c r="L2618">
        <v>33</v>
      </c>
      <c r="Q2618">
        <v>0</v>
      </c>
      <c r="R2618">
        <v>0</v>
      </c>
      <c r="S2618">
        <v>33</v>
      </c>
      <c r="T2618" t="s">
        <v>16061</v>
      </c>
      <c r="V2618" t="s">
        <v>2176</v>
      </c>
      <c r="W2618">
        <v>18.96</v>
      </c>
      <c r="X2618">
        <v>72.819999999999993</v>
      </c>
      <c r="Y2618" t="s">
        <v>16062</v>
      </c>
      <c r="Z2618" t="s">
        <v>6561</v>
      </c>
      <c r="AA2618" t="s">
        <v>16063</v>
      </c>
      <c r="AB2618" t="s">
        <v>16064</v>
      </c>
      <c r="AC2618" t="s">
        <v>2497</v>
      </c>
      <c r="AD2618" s="249" t="str">
        <f>HYPERLINK("https://scontent.cdninstagram.com/t51.2885-15/s320x320/e35/21041092_113292599359940_5211824135159676928_n.jpg")</f>
        <v>https://scontent.cdninstagram.com/t51.2885-15/s320x320/e35/21041092_113292599359940_5211824135159676928_n.jpg</v>
      </c>
      <c r="AE2618" s="249" t="str">
        <f>HYPERLINK("https://scontent.cdninstagram.com/t51.2885-19/s150x150/20766448_264241500730069_3573716405805121536_a.jpg")</f>
        <v>https://scontent.cdninstagram.com/t51.2885-19/s150x150/20766448_264241500730069_3573716405805121536_a.jpg</v>
      </c>
    </row>
    <row r="2619" spans="1:31" ht="15" x14ac:dyDescent="0.25">
      <c r="A2619" t="s">
        <v>2474</v>
      </c>
      <c r="B2619" t="s">
        <v>16065</v>
      </c>
      <c r="C2619" s="221">
        <v>42971.492199074077</v>
      </c>
      <c r="D2619" t="s">
        <v>16066</v>
      </c>
      <c r="E2619" s="249" t="str">
        <f>HYPERLINK("https://www.instagram.com/p/BYLqDCtgQ1-/")</f>
        <v>https://www.instagram.com/p/BYLqDCtgQ1-/</v>
      </c>
      <c r="F2619" t="s">
        <v>16067</v>
      </c>
      <c r="G2619" t="s">
        <v>2478</v>
      </c>
      <c r="H2619">
        <v>634</v>
      </c>
      <c r="I2619" t="s">
        <v>2542</v>
      </c>
      <c r="J2619">
        <v>3</v>
      </c>
      <c r="K2619">
        <v>87</v>
      </c>
      <c r="L2619">
        <v>90</v>
      </c>
      <c r="Q2619">
        <v>0</v>
      </c>
      <c r="R2619">
        <v>0</v>
      </c>
      <c r="S2619">
        <v>90</v>
      </c>
      <c r="T2619" t="s">
        <v>16068</v>
      </c>
      <c r="V2619" t="s">
        <v>2204</v>
      </c>
      <c r="W2619">
        <v>3.1087654573451</v>
      </c>
      <c r="X2619">
        <v>101.46133436971</v>
      </c>
      <c r="Y2619" t="s">
        <v>16069</v>
      </c>
      <c r="Z2619" t="s">
        <v>3982</v>
      </c>
      <c r="AA2619" t="s">
        <v>16070</v>
      </c>
      <c r="AB2619" t="s">
        <v>16071</v>
      </c>
      <c r="AC2619" t="s">
        <v>16072</v>
      </c>
      <c r="AD2619" s="249" t="str">
        <f>HYPERLINK("https://scontent.cdninstagram.com/t51.2885-15/e35/p320x320/20987020_168969326998044_5842250189464666112_n.jpg")</f>
        <v>https://scontent.cdninstagram.com/t51.2885-15/e35/p320x320/20987020_168969326998044_5842250189464666112_n.jpg</v>
      </c>
      <c r="AE2619" s="249" t="str">
        <f>HYPERLINK("https://scontent.cdninstagram.com/t51.2885-19/s150x150/18095317_424729927898262_7772791624844705792_a.jpg")</f>
        <v>https://scontent.cdninstagram.com/t51.2885-19/s150x150/18095317_424729927898262_7772791624844705792_a.jpg</v>
      </c>
    </row>
    <row r="2620" spans="1:31" ht="15" x14ac:dyDescent="0.25">
      <c r="A2620" t="s">
        <v>2474</v>
      </c>
      <c r="B2620" t="s">
        <v>16073</v>
      </c>
      <c r="C2620" s="221">
        <v>42971.493344907409</v>
      </c>
      <c r="D2620" t="s">
        <v>16074</v>
      </c>
      <c r="E2620" s="249" t="str">
        <f>HYPERLINK("https://www.instagram.com/p/BYLqPHLn9zS/")</f>
        <v>https://www.instagram.com/p/BYLqPHLn9zS/</v>
      </c>
      <c r="F2620" t="s">
        <v>16075</v>
      </c>
      <c r="G2620" t="s">
        <v>2478</v>
      </c>
      <c r="H2620">
        <v>1639</v>
      </c>
      <c r="I2620" t="s">
        <v>2582</v>
      </c>
      <c r="J2620">
        <v>0</v>
      </c>
      <c r="K2620">
        <v>18</v>
      </c>
      <c r="L2620">
        <v>18</v>
      </c>
      <c r="Q2620">
        <v>0</v>
      </c>
      <c r="R2620">
        <v>0</v>
      </c>
      <c r="S2620">
        <v>18</v>
      </c>
      <c r="T2620" t="s">
        <v>16076</v>
      </c>
      <c r="V2620" t="s">
        <v>2118</v>
      </c>
      <c r="W2620">
        <v>-20.816700000000001</v>
      </c>
      <c r="X2620">
        <v>-49.633299999999998</v>
      </c>
      <c r="Y2620" t="s">
        <v>5229</v>
      </c>
      <c r="Z2620" t="s">
        <v>16077</v>
      </c>
      <c r="AA2620" t="s">
        <v>2984</v>
      </c>
      <c r="AB2620" t="s">
        <v>4620</v>
      </c>
      <c r="AC2620" t="s">
        <v>2497</v>
      </c>
      <c r="AD2620" s="249" t="str">
        <f>HYPERLINK("https://scontent.cdninstagram.com/t51.2885-15/s320x320/e35/21042778_1730309773940908_1109964689116233728_n.jpg")</f>
        <v>https://scontent.cdninstagram.com/t51.2885-15/s320x320/e35/21042778_1730309773940908_1109964689116233728_n.jpg</v>
      </c>
      <c r="AE2620" s="249" t="str">
        <f>HYPERLINK("https://scontent.cdninstagram.com/t51.2885-19/s150x150/20482137_1860053810678622_8742033179386314752_a.jpg")</f>
        <v>https://scontent.cdninstagram.com/t51.2885-19/s150x150/20482137_1860053810678622_8742033179386314752_a.jpg</v>
      </c>
    </row>
    <row r="2621" spans="1:31" ht="15" x14ac:dyDescent="0.25">
      <c r="A2621" t="s">
        <v>2474</v>
      </c>
      <c r="B2621" t="s">
        <v>16078</v>
      </c>
      <c r="C2621" s="221">
        <v>42971.496967592589</v>
      </c>
      <c r="D2621" t="s">
        <v>16079</v>
      </c>
      <c r="E2621" s="249" t="str">
        <f>HYPERLINK("https://www.instagram.com/p/BYLq1VgAxMW/")</f>
        <v>https://www.instagram.com/p/BYLq1VgAxMW/</v>
      </c>
      <c r="F2621" t="s">
        <v>16080</v>
      </c>
      <c r="G2621" t="s">
        <v>2478</v>
      </c>
      <c r="H2621">
        <v>376</v>
      </c>
      <c r="I2621" t="s">
        <v>2479</v>
      </c>
      <c r="J2621">
        <v>0</v>
      </c>
      <c r="K2621">
        <v>11</v>
      </c>
      <c r="L2621">
        <v>11</v>
      </c>
      <c r="Q2621">
        <v>0</v>
      </c>
      <c r="R2621">
        <v>0</v>
      </c>
      <c r="S2621">
        <v>11</v>
      </c>
      <c r="Y2621" t="s">
        <v>6164</v>
      </c>
      <c r="Z2621" t="s">
        <v>16081</v>
      </c>
      <c r="AA2621" t="s">
        <v>6628</v>
      </c>
      <c r="AB2621" t="s">
        <v>8014</v>
      </c>
      <c r="AC2621" t="s">
        <v>2492</v>
      </c>
      <c r="AD2621" s="249" t="str">
        <f>HYPERLINK("https://scontent.cdninstagram.com/t51.2885-15/s320x320/e35/21107560_1532053130190226_192660022306537472_n.jpg")</f>
        <v>https://scontent.cdninstagram.com/t51.2885-15/s320x320/e35/21107560_1532053130190226_192660022306537472_n.jpg</v>
      </c>
      <c r="AE2621" s="249" t="str">
        <f>HYPERLINK("https://scontent.cdninstagram.com/t51.2885-19/s150x150/19954915_1164705506967050_1282601896011366400_a.jpg")</f>
        <v>https://scontent.cdninstagram.com/t51.2885-19/s150x150/19954915_1164705506967050_1282601896011366400_a.jpg</v>
      </c>
    </row>
    <row r="2622" spans="1:31" ht="15" x14ac:dyDescent="0.25">
      <c r="A2622" t="s">
        <v>2474</v>
      </c>
      <c r="B2622" t="s">
        <v>16082</v>
      </c>
      <c r="C2622" s="221">
        <v>42971.506793981483</v>
      </c>
      <c r="D2622" t="s">
        <v>16083</v>
      </c>
      <c r="E2622" s="249" t="str">
        <f>HYPERLINK("https://www.instagram.com/p/BYLsc6jjYF2/")</f>
        <v>https://www.instagram.com/p/BYLsc6jjYF2/</v>
      </c>
      <c r="F2622" t="s">
        <v>16084</v>
      </c>
      <c r="G2622" t="s">
        <v>2478</v>
      </c>
      <c r="H2622">
        <v>1052</v>
      </c>
      <c r="I2622" t="s">
        <v>2479</v>
      </c>
      <c r="J2622">
        <v>5</v>
      </c>
      <c r="K2622">
        <v>116</v>
      </c>
      <c r="L2622">
        <v>121</v>
      </c>
      <c r="Q2622">
        <v>0</v>
      </c>
      <c r="R2622">
        <v>0</v>
      </c>
      <c r="S2622">
        <v>121</v>
      </c>
      <c r="Y2622" t="s">
        <v>2513</v>
      </c>
      <c r="Z2622" t="s">
        <v>2911</v>
      </c>
      <c r="AA2622" t="s">
        <v>16085</v>
      </c>
      <c r="AB2622" t="s">
        <v>8587</v>
      </c>
      <c r="AC2622" t="s">
        <v>2497</v>
      </c>
      <c r="AD2622" s="249" t="str">
        <f>HYPERLINK("https://scontent.cdninstagram.com/t51.2885-15/s320x320/e35/20214511_111328656250509_2732930884930895872_n.jpg")</f>
        <v>https://scontent.cdninstagram.com/t51.2885-15/s320x320/e35/20214511_111328656250509_2732930884930895872_n.jpg</v>
      </c>
      <c r="AE2622" s="249" t="str">
        <f>HYPERLINK("https://scontent.cdninstagram.com/t51.2885-19/s150x150/14723669_1780267085518625_910998228890025984_a.jpg")</f>
        <v>https://scontent.cdninstagram.com/t51.2885-19/s150x150/14723669_1780267085518625_910998228890025984_a.jpg</v>
      </c>
    </row>
    <row r="2623" spans="1:31" ht="15" x14ac:dyDescent="0.25">
      <c r="A2623" t="s">
        <v>2474</v>
      </c>
      <c r="B2623" t="s">
        <v>15182</v>
      </c>
      <c r="C2623" s="221">
        <v>42971.507986111108</v>
      </c>
      <c r="D2623" t="s">
        <v>16086</v>
      </c>
      <c r="E2623" s="249" t="str">
        <f>HYPERLINK("https://www.instagram.com/p/BYLspimANrA/")</f>
        <v>https://www.instagram.com/p/BYLspimANrA/</v>
      </c>
      <c r="F2623" t="s">
        <v>16087</v>
      </c>
      <c r="G2623" t="s">
        <v>2478</v>
      </c>
      <c r="H2623">
        <v>736</v>
      </c>
      <c r="I2623" t="s">
        <v>16088</v>
      </c>
      <c r="J2623">
        <v>11</v>
      </c>
      <c r="K2623">
        <v>87</v>
      </c>
      <c r="L2623">
        <v>98</v>
      </c>
      <c r="Q2623">
        <v>0</v>
      </c>
      <c r="R2623">
        <v>0</v>
      </c>
      <c r="S2623">
        <v>98</v>
      </c>
      <c r="Y2623" t="s">
        <v>15187</v>
      </c>
      <c r="Z2623" t="s">
        <v>15185</v>
      </c>
      <c r="AA2623" t="s">
        <v>16089</v>
      </c>
      <c r="AB2623" t="s">
        <v>2497</v>
      </c>
      <c r="AC2623" t="s">
        <v>2778</v>
      </c>
      <c r="AD2623" s="249" t="str">
        <f>HYPERLINK("https://scontent.cdninstagram.com/t51.2885-15/s320x320/e15/21107283_264972433997688_6431718830044610560_n.jpg")</f>
        <v>https://scontent.cdninstagram.com/t51.2885-15/s320x320/e15/21107283_264972433997688_6431718830044610560_n.jpg</v>
      </c>
      <c r="AE2623" s="249" t="str">
        <f>HYPERLINK("https://scontent.cdninstagram.com/t51.2885-19/s150x150/18513619_1254348571345625_691913201251516416_a.jpg")</f>
        <v>https://scontent.cdninstagram.com/t51.2885-19/s150x150/18513619_1254348571345625_691913201251516416_a.jpg</v>
      </c>
    </row>
    <row r="2624" spans="1:31" ht="15" x14ac:dyDescent="0.25">
      <c r="A2624" t="s">
        <v>2474</v>
      </c>
      <c r="B2624" t="s">
        <v>16090</v>
      </c>
      <c r="C2624" s="221">
        <v>42971.510879629626</v>
      </c>
      <c r="D2624" t="s">
        <v>16091</v>
      </c>
      <c r="E2624" s="249" t="str">
        <f>HYPERLINK("https://www.instagram.com/p/BYLtIA0n4-y/")</f>
        <v>https://www.instagram.com/p/BYLtIA0n4-y/</v>
      </c>
      <c r="F2624" t="s">
        <v>16092</v>
      </c>
      <c r="G2624" t="s">
        <v>2478</v>
      </c>
      <c r="H2624">
        <v>125</v>
      </c>
      <c r="I2624" t="s">
        <v>2542</v>
      </c>
      <c r="J2624">
        <v>0</v>
      </c>
      <c r="K2624">
        <v>18</v>
      </c>
      <c r="L2624">
        <v>18</v>
      </c>
      <c r="Q2624">
        <v>0</v>
      </c>
      <c r="R2624">
        <v>0</v>
      </c>
      <c r="S2624">
        <v>18</v>
      </c>
      <c r="Y2624" t="s">
        <v>16093</v>
      </c>
      <c r="Z2624" t="s">
        <v>2735</v>
      </c>
      <c r="AA2624" t="s">
        <v>16089</v>
      </c>
      <c r="AB2624" t="s">
        <v>5843</v>
      </c>
      <c r="AC2624" t="s">
        <v>2497</v>
      </c>
      <c r="AD2624" s="249" t="str">
        <f>HYPERLINK("https://scontent.cdninstagram.com/t51.2885-15/s320x320/e35/20987358_806274382888848_5432125647860269056_n.jpg")</f>
        <v>https://scontent.cdninstagram.com/t51.2885-15/s320x320/e35/20987358_806274382888848_5432125647860269056_n.jpg</v>
      </c>
      <c r="AE2624" s="249" t="str">
        <f>HYPERLINK("https://scontent.cdninstagram.com/t51.2885-19/s150x150/20837761_335486110245647_823863693325369344_a.jpg")</f>
        <v>https://scontent.cdninstagram.com/t51.2885-19/s150x150/20837761_335486110245647_823863693325369344_a.jpg</v>
      </c>
    </row>
    <row r="2625" spans="1:31" ht="15" x14ac:dyDescent="0.25">
      <c r="A2625" t="s">
        <v>2474</v>
      </c>
      <c r="B2625" t="s">
        <v>16094</v>
      </c>
      <c r="C2625" s="221">
        <v>42971.512511574074</v>
      </c>
      <c r="D2625" t="s">
        <v>16095</v>
      </c>
      <c r="E2625" s="249" t="str">
        <f>HYPERLINK("https://www.instagram.com/p/BYLtZP3HKnV/")</f>
        <v>https://www.instagram.com/p/BYLtZP3HKnV/</v>
      </c>
      <c r="F2625" t="s">
        <v>16096</v>
      </c>
      <c r="G2625" t="s">
        <v>2478</v>
      </c>
      <c r="H2625">
        <v>304</v>
      </c>
      <c r="I2625" t="s">
        <v>2479</v>
      </c>
      <c r="J2625">
        <v>0</v>
      </c>
      <c r="K2625">
        <v>27</v>
      </c>
      <c r="L2625">
        <v>27</v>
      </c>
      <c r="Q2625">
        <v>0</v>
      </c>
      <c r="R2625">
        <v>0</v>
      </c>
      <c r="S2625">
        <v>27</v>
      </c>
      <c r="Y2625" t="s">
        <v>16097</v>
      </c>
      <c r="Z2625" t="s">
        <v>16098</v>
      </c>
      <c r="AA2625" t="s">
        <v>3392</v>
      </c>
      <c r="AB2625" t="s">
        <v>16099</v>
      </c>
      <c r="AC2625" t="s">
        <v>16100</v>
      </c>
      <c r="AD2625" s="249" t="str">
        <f>HYPERLINK("https://scontent.cdninstagram.com/t51.2885-15/s320x320/e35/21041267_329516884174915_4354258451937886208_n.jpg")</f>
        <v>https://scontent.cdninstagram.com/t51.2885-15/s320x320/e35/21041267_329516884174915_4354258451937886208_n.jpg</v>
      </c>
      <c r="AE2625" s="249" t="str">
        <f>HYPERLINK("https://scontent.cdninstagram.com/t51.2885-19/s150x150/20904933_1518643974862898_3508321551583805440_a.jpg")</f>
        <v>https://scontent.cdninstagram.com/t51.2885-19/s150x150/20904933_1518643974862898_3508321551583805440_a.jpg</v>
      </c>
    </row>
    <row r="2626" spans="1:31" ht="15" x14ac:dyDescent="0.25">
      <c r="A2626" t="s">
        <v>2474</v>
      </c>
      <c r="B2626" t="s">
        <v>16101</v>
      </c>
      <c r="C2626" s="221">
        <v>42971.523900462962</v>
      </c>
      <c r="D2626" t="s">
        <v>16102</v>
      </c>
      <c r="E2626" s="249" t="str">
        <f>HYPERLINK("https://www.instagram.com/p/BYLvRVjHpFG/")</f>
        <v>https://www.instagram.com/p/BYLvRVjHpFG/</v>
      </c>
      <c r="F2626" t="s">
        <v>16103</v>
      </c>
      <c r="G2626" t="s">
        <v>2478</v>
      </c>
      <c r="H2626">
        <v>171</v>
      </c>
      <c r="I2626" t="s">
        <v>2542</v>
      </c>
      <c r="J2626">
        <v>0</v>
      </c>
      <c r="K2626">
        <v>34</v>
      </c>
      <c r="L2626">
        <v>34</v>
      </c>
      <c r="Q2626">
        <v>0</v>
      </c>
      <c r="R2626">
        <v>0</v>
      </c>
      <c r="S2626">
        <v>34</v>
      </c>
      <c r="Y2626" t="s">
        <v>3034</v>
      </c>
      <c r="Z2626" t="s">
        <v>6352</v>
      </c>
      <c r="AA2626" t="s">
        <v>8546</v>
      </c>
      <c r="AB2626" t="s">
        <v>16104</v>
      </c>
      <c r="AC2626" t="s">
        <v>2497</v>
      </c>
      <c r="AD2626" s="249" t="str">
        <f>HYPERLINK("https://scontent.cdninstagram.com/t51.2885-15/s320x320/e35/20987087_169860083574269_3931685965533282304_n.jpg")</f>
        <v>https://scontent.cdninstagram.com/t51.2885-15/s320x320/e35/20987087_169860083574269_3931685965533282304_n.jpg</v>
      </c>
      <c r="AE2626" s="249" t="str">
        <f>HYPERLINK("https://scontent.cdninstagram.com/t51.2885-19/s150x150/14723490_1773500162867417_6411267617415233536_a.jpg")</f>
        <v>https://scontent.cdninstagram.com/t51.2885-19/s150x150/14723490_1773500162867417_6411267617415233536_a.jpg</v>
      </c>
    </row>
    <row r="2627" spans="1:31" ht="15" x14ac:dyDescent="0.25">
      <c r="A2627" t="s">
        <v>2474</v>
      </c>
      <c r="B2627" t="s">
        <v>4744</v>
      </c>
      <c r="C2627" s="221">
        <v>42971.527418981481</v>
      </c>
      <c r="D2627" t="s">
        <v>16105</v>
      </c>
      <c r="E2627" s="249" t="str">
        <f>HYPERLINK("https://www.instagram.com/p/BYLv2dShDqy/")</f>
        <v>https://www.instagram.com/p/BYLv2dShDqy/</v>
      </c>
      <c r="F2627" t="s">
        <v>16106</v>
      </c>
      <c r="G2627" t="s">
        <v>2478</v>
      </c>
      <c r="H2627">
        <v>255</v>
      </c>
      <c r="I2627" t="s">
        <v>2542</v>
      </c>
      <c r="J2627">
        <v>1</v>
      </c>
      <c r="K2627">
        <v>36</v>
      </c>
      <c r="L2627">
        <v>37</v>
      </c>
      <c r="Q2627">
        <v>0</v>
      </c>
      <c r="R2627">
        <v>0</v>
      </c>
      <c r="S2627">
        <v>37</v>
      </c>
      <c r="Y2627" t="s">
        <v>16107</v>
      </c>
      <c r="Z2627" t="s">
        <v>6678</v>
      </c>
      <c r="AA2627" t="s">
        <v>16108</v>
      </c>
      <c r="AB2627" t="s">
        <v>4715</v>
      </c>
      <c r="AC2627" t="s">
        <v>16109</v>
      </c>
      <c r="AD2627" s="249" t="str">
        <f>HYPERLINK("https://scontent.cdninstagram.com/t51.2885-15/s320x320/e35/20987238_1724872834475706_3613709745401102336_n.jpg")</f>
        <v>https://scontent.cdninstagram.com/t51.2885-15/s320x320/e35/20987238_1724872834475706_3613709745401102336_n.jpg</v>
      </c>
      <c r="AE2627" s="249" t="str">
        <f>HYPERLINK("https://scontent.cdninstagram.com/t51.2885-19/s150x150/20838865_737083769816426_4377609605010685952_a.jpg")</f>
        <v>https://scontent.cdninstagram.com/t51.2885-19/s150x150/20838865_737083769816426_4377609605010685952_a.jpg</v>
      </c>
    </row>
    <row r="2628" spans="1:31" ht="15" x14ac:dyDescent="0.25">
      <c r="A2628" t="s">
        <v>2474</v>
      </c>
      <c r="B2628" t="s">
        <v>16110</v>
      </c>
      <c r="C2628" s="221">
        <v>42971.533530092594</v>
      </c>
      <c r="D2628" t="s">
        <v>16111</v>
      </c>
      <c r="E2628" s="249" t="str">
        <f>HYPERLINK("https://www.instagram.com/p/BYLw3A0F0iA/")</f>
        <v>https://www.instagram.com/p/BYLw3A0F0iA/</v>
      </c>
      <c r="F2628" t="s">
        <v>16112</v>
      </c>
      <c r="G2628" t="s">
        <v>2478</v>
      </c>
      <c r="H2628">
        <v>221</v>
      </c>
      <c r="I2628" t="s">
        <v>2479</v>
      </c>
      <c r="J2628">
        <v>0</v>
      </c>
      <c r="K2628">
        <v>35</v>
      </c>
      <c r="L2628">
        <v>35</v>
      </c>
      <c r="Q2628">
        <v>0</v>
      </c>
      <c r="R2628">
        <v>0</v>
      </c>
      <c r="S2628">
        <v>35</v>
      </c>
      <c r="T2628" t="s">
        <v>16113</v>
      </c>
      <c r="V2628" t="s">
        <v>2161</v>
      </c>
      <c r="W2628">
        <v>50.55</v>
      </c>
      <c r="X2628">
        <v>9.6666699999999999</v>
      </c>
      <c r="Y2628" t="s">
        <v>4863</v>
      </c>
      <c r="Z2628" t="s">
        <v>5084</v>
      </c>
      <c r="AA2628" t="s">
        <v>3174</v>
      </c>
      <c r="AB2628" t="s">
        <v>2832</v>
      </c>
      <c r="AC2628" t="s">
        <v>2497</v>
      </c>
      <c r="AD2628" s="249" t="str">
        <f>HYPERLINK("https://scontent.cdninstagram.com/t51.2885-15/s320x320/e35/20969040_152430342005019_8179570850781986816_n.jpg")</f>
        <v>https://scontent.cdninstagram.com/t51.2885-15/s320x320/e35/20969040_152430342005019_8179570850781986816_n.jpg</v>
      </c>
      <c r="AE2628" s="249" t="str">
        <f>HYPERLINK("https://scontent.cdninstagram.com/t51.2885-19/s150x150/16789863_1240569492705992_5870280717996392448_a.jpg")</f>
        <v>https://scontent.cdninstagram.com/t51.2885-19/s150x150/16789863_1240569492705992_5870280717996392448_a.jpg</v>
      </c>
    </row>
    <row r="2629" spans="1:31" ht="15" x14ac:dyDescent="0.25">
      <c r="A2629" t="s">
        <v>2474</v>
      </c>
      <c r="B2629" t="s">
        <v>16114</v>
      </c>
      <c r="C2629" s="221">
        <v>42971.535196759258</v>
      </c>
      <c r="D2629" t="s">
        <v>16115</v>
      </c>
      <c r="E2629" s="249" t="str">
        <f>HYPERLINK("https://www.instagram.com/p/BYLxIlPD3UV/")</f>
        <v>https://www.instagram.com/p/BYLxIlPD3UV/</v>
      </c>
      <c r="F2629" t="s">
        <v>16116</v>
      </c>
      <c r="G2629" t="s">
        <v>2478</v>
      </c>
      <c r="H2629">
        <v>181</v>
      </c>
      <c r="I2629" t="s">
        <v>2542</v>
      </c>
      <c r="J2629">
        <v>5</v>
      </c>
      <c r="K2629">
        <v>42</v>
      </c>
      <c r="L2629">
        <v>47</v>
      </c>
      <c r="Q2629">
        <v>0</v>
      </c>
      <c r="R2629">
        <v>0</v>
      </c>
      <c r="S2629">
        <v>47</v>
      </c>
      <c r="Y2629" t="s">
        <v>16117</v>
      </c>
      <c r="Z2629" t="s">
        <v>16114</v>
      </c>
      <c r="AA2629" t="s">
        <v>16118</v>
      </c>
      <c r="AB2629" t="s">
        <v>13451</v>
      </c>
      <c r="AC2629" t="s">
        <v>16119</v>
      </c>
      <c r="AD2629" s="249" t="str">
        <f>HYPERLINK("https://scontent.cdninstagram.com/t51.2885-15/s320x320/e35/20987177_133553047262074_7341268057228050432_n.jpg")</f>
        <v>https://scontent.cdninstagram.com/t51.2885-15/s320x320/e35/20987177_133553047262074_7341268057228050432_n.jpg</v>
      </c>
      <c r="AE2629" s="249" t="str">
        <f>HYPERLINK("https://scontent.cdninstagram.com/t51.2885-19/s150x150/13707050_271000483280787_1430782657_a.jpg")</f>
        <v>https://scontent.cdninstagram.com/t51.2885-19/s150x150/13707050_271000483280787_1430782657_a.jpg</v>
      </c>
    </row>
    <row r="2630" spans="1:31" ht="15" x14ac:dyDescent="0.25">
      <c r="A2630" t="s">
        <v>2474</v>
      </c>
      <c r="B2630" t="s">
        <v>16120</v>
      </c>
      <c r="C2630" s="221">
        <v>42971.54415509259</v>
      </c>
      <c r="D2630" t="s">
        <v>16121</v>
      </c>
      <c r="E2630" s="249" t="str">
        <f>HYPERLINK("https://www.instagram.com/p/BYLynEUlYiL/")</f>
        <v>https://www.instagram.com/p/BYLynEUlYiL/</v>
      </c>
      <c r="F2630" t="s">
        <v>16122</v>
      </c>
      <c r="G2630" t="s">
        <v>2478</v>
      </c>
      <c r="H2630">
        <v>22188</v>
      </c>
      <c r="I2630" t="s">
        <v>2479</v>
      </c>
      <c r="J2630">
        <v>0</v>
      </c>
      <c r="K2630">
        <v>19</v>
      </c>
      <c r="L2630">
        <v>19</v>
      </c>
      <c r="Q2630">
        <v>0</v>
      </c>
      <c r="R2630">
        <v>0</v>
      </c>
      <c r="S2630">
        <v>19</v>
      </c>
      <c r="T2630" t="s">
        <v>16123</v>
      </c>
      <c r="U2630" t="s">
        <v>99</v>
      </c>
      <c r="V2630" t="s">
        <v>2299</v>
      </c>
      <c r="W2630">
        <v>40.7135696</v>
      </c>
      <c r="X2630">
        <v>-73.961646999999999</v>
      </c>
      <c r="Y2630" t="s">
        <v>6043</v>
      </c>
      <c r="Z2630" t="s">
        <v>16124</v>
      </c>
      <c r="AA2630" t="s">
        <v>16125</v>
      </c>
      <c r="AB2630" t="s">
        <v>16126</v>
      </c>
      <c r="AC2630" t="s">
        <v>2497</v>
      </c>
      <c r="AD2630" s="249" t="str">
        <f>HYPERLINK("https://scontent.cdninstagram.com/t51.2885-15/s320x320/e35/20987185_168917740347600_1501495106115469312_n.jpg")</f>
        <v>https://scontent.cdninstagram.com/t51.2885-15/s320x320/e35/20987185_168917740347600_1501495106115469312_n.jpg</v>
      </c>
      <c r="AE2630" s="249" t="str">
        <f>HYPERLINK("https://scontent.cdninstagram.com/t51.2885-19/s150x150/14276626_1104949346221659_1675634488_a.jpg")</f>
        <v>https://scontent.cdninstagram.com/t51.2885-19/s150x150/14276626_1104949346221659_1675634488_a.jpg</v>
      </c>
    </row>
    <row r="2631" spans="1:31" ht="15" x14ac:dyDescent="0.25">
      <c r="A2631" t="s">
        <v>2474</v>
      </c>
      <c r="B2631" t="s">
        <v>16127</v>
      </c>
      <c r="C2631" s="221">
        <v>42971.551782407405</v>
      </c>
      <c r="D2631" t="s">
        <v>16128</v>
      </c>
      <c r="E2631" s="249" t="str">
        <f>HYPERLINK("https://www.instagram.com/p/BYLz3cfHuCk/")</f>
        <v>https://www.instagram.com/p/BYLz3cfHuCk/</v>
      </c>
      <c r="F2631" t="s">
        <v>16129</v>
      </c>
      <c r="G2631" t="s">
        <v>2478</v>
      </c>
      <c r="H2631">
        <v>126</v>
      </c>
      <c r="I2631" t="s">
        <v>2599</v>
      </c>
      <c r="J2631">
        <v>0</v>
      </c>
      <c r="K2631">
        <v>36</v>
      </c>
      <c r="L2631">
        <v>36</v>
      </c>
      <c r="Q2631">
        <v>0</v>
      </c>
      <c r="R2631">
        <v>0</v>
      </c>
      <c r="S2631">
        <v>36</v>
      </c>
      <c r="Y2631" t="s">
        <v>16130</v>
      </c>
      <c r="Z2631" t="s">
        <v>16131</v>
      </c>
      <c r="AA2631" t="s">
        <v>16132</v>
      </c>
      <c r="AB2631" t="s">
        <v>7379</v>
      </c>
      <c r="AC2631" t="s">
        <v>16133</v>
      </c>
      <c r="AD2631" s="249" t="str">
        <f>HYPERLINK("https://scontent.cdninstagram.com/t51.2885-15/e35/p320x320/20987106_201035620432107_1101724695574609920_n.jpg")</f>
        <v>https://scontent.cdninstagram.com/t51.2885-15/e35/p320x320/20987106_201035620432107_1101724695574609920_n.jpg</v>
      </c>
      <c r="AE2631" s="249" t="str">
        <f>HYPERLINK("https://scontent.cdninstagram.com/t51.2885-19/s150x150/19765134_661934770680310_3934832153631653888_a.jpg")</f>
        <v>https://scontent.cdninstagram.com/t51.2885-19/s150x150/19765134_661934770680310_3934832153631653888_a.jpg</v>
      </c>
    </row>
    <row r="2632" spans="1:31" ht="15" x14ac:dyDescent="0.25">
      <c r="A2632" t="s">
        <v>2474</v>
      </c>
      <c r="B2632" t="s">
        <v>16134</v>
      </c>
      <c r="C2632" s="221">
        <v>42971.556944444441</v>
      </c>
      <c r="D2632" t="s">
        <v>16135</v>
      </c>
      <c r="E2632" s="249" t="str">
        <f>HYPERLINK("https://www.instagram.com/p/BYL0t8-gQRo/")</f>
        <v>https://www.instagram.com/p/BYL0t8-gQRo/</v>
      </c>
      <c r="F2632" t="s">
        <v>16136</v>
      </c>
      <c r="G2632" t="s">
        <v>2478</v>
      </c>
      <c r="H2632">
        <v>390</v>
      </c>
      <c r="I2632" t="s">
        <v>2479</v>
      </c>
      <c r="J2632">
        <v>0</v>
      </c>
      <c r="K2632">
        <v>35</v>
      </c>
      <c r="L2632">
        <v>35</v>
      </c>
      <c r="Q2632">
        <v>0</v>
      </c>
      <c r="R2632">
        <v>0</v>
      </c>
      <c r="S2632">
        <v>35</v>
      </c>
      <c r="Y2632" t="s">
        <v>16137</v>
      </c>
      <c r="Z2632" t="s">
        <v>16138</v>
      </c>
      <c r="AA2632" t="s">
        <v>16134</v>
      </c>
      <c r="AB2632" t="s">
        <v>16139</v>
      </c>
      <c r="AC2632" t="s">
        <v>5077</v>
      </c>
      <c r="AD2632" s="249" t="str">
        <f>HYPERLINK("https://scontent.cdninstagram.com/t51.2885-15/s320x320/e35/20987132_269154450155760_609754243565355008_n.jpg")</f>
        <v>https://scontent.cdninstagram.com/t51.2885-15/s320x320/e35/20987132_269154450155760_609754243565355008_n.jpg</v>
      </c>
      <c r="AE2632" s="249" t="str">
        <f>HYPERLINK("https://scontent.cdninstagram.com/t51.2885-19/11850424_817725681681927_513643848_a.jpg")</f>
        <v>https://scontent.cdninstagram.com/t51.2885-19/11850424_817725681681927_513643848_a.jpg</v>
      </c>
    </row>
    <row r="2633" spans="1:31" ht="15" x14ac:dyDescent="0.25">
      <c r="A2633" t="s">
        <v>2474</v>
      </c>
      <c r="B2633" t="s">
        <v>16140</v>
      </c>
      <c r="C2633" s="221">
        <v>42971.570127314815</v>
      </c>
      <c r="D2633" t="s">
        <v>16141</v>
      </c>
      <c r="E2633" s="249" t="str">
        <f>HYPERLINK("https://www.instagram.com/p/BYL24-tDeBB/")</f>
        <v>https://www.instagram.com/p/BYL24-tDeBB/</v>
      </c>
      <c r="F2633" t="s">
        <v>16142</v>
      </c>
      <c r="G2633" t="s">
        <v>2631</v>
      </c>
      <c r="H2633">
        <v>224</v>
      </c>
      <c r="I2633" t="s">
        <v>2748</v>
      </c>
      <c r="J2633">
        <v>3</v>
      </c>
      <c r="K2633">
        <v>45</v>
      </c>
      <c r="L2633">
        <v>48</v>
      </c>
      <c r="Q2633">
        <v>0</v>
      </c>
      <c r="R2633">
        <v>0</v>
      </c>
      <c r="S2633">
        <v>48</v>
      </c>
      <c r="Y2633" t="s">
        <v>12586</v>
      </c>
      <c r="Z2633" t="s">
        <v>16143</v>
      </c>
      <c r="AA2633" t="s">
        <v>2730</v>
      </c>
      <c r="AB2633" t="s">
        <v>4048</v>
      </c>
      <c r="AC2633" t="s">
        <v>16144</v>
      </c>
      <c r="AD2633" s="249" t="str">
        <f>HYPERLINK("https://scontent.cdninstagram.com/t51.2885-15/s320x320/e15/20987480_1782296378727242_896878605508804608_n.jpg")</f>
        <v>https://scontent.cdninstagram.com/t51.2885-15/s320x320/e15/20987480_1782296378727242_896878605508804608_n.jpg</v>
      </c>
      <c r="AE2633" s="249" t="str">
        <f>HYPERLINK("https://scontent.cdninstagram.com/t51.2885-19/s150x150/20479381_1248410105268875_1278259525161320448_a.jpg")</f>
        <v>https://scontent.cdninstagram.com/t51.2885-19/s150x150/20479381_1248410105268875_1278259525161320448_a.jpg</v>
      </c>
    </row>
    <row r="2634" spans="1:31" ht="15" x14ac:dyDescent="0.25">
      <c r="A2634" t="s">
        <v>2474</v>
      </c>
      <c r="B2634" t="s">
        <v>16145</v>
      </c>
      <c r="C2634" s="221">
        <v>42971.570902777778</v>
      </c>
      <c r="D2634" t="s">
        <v>16146</v>
      </c>
      <c r="E2634" s="249" t="str">
        <f>HYPERLINK("https://www.instagram.com/p/BYL3BFVAk3B/")</f>
        <v>https://www.instagram.com/p/BYL3BFVAk3B/</v>
      </c>
      <c r="F2634" t="s">
        <v>16147</v>
      </c>
      <c r="G2634" t="s">
        <v>2478</v>
      </c>
      <c r="H2634">
        <v>657</v>
      </c>
      <c r="I2634" t="s">
        <v>2542</v>
      </c>
      <c r="J2634">
        <v>1</v>
      </c>
      <c r="K2634">
        <v>26</v>
      </c>
      <c r="L2634">
        <v>27</v>
      </c>
      <c r="Q2634">
        <v>0</v>
      </c>
      <c r="R2634">
        <v>0</v>
      </c>
      <c r="S2634">
        <v>27</v>
      </c>
      <c r="T2634" t="s">
        <v>16148</v>
      </c>
      <c r="U2634" t="s">
        <v>102</v>
      </c>
      <c r="V2634" t="s">
        <v>2299</v>
      </c>
      <c r="W2634">
        <v>41.799815290932997</v>
      </c>
      <c r="X2634">
        <v>-87.589307404661</v>
      </c>
      <c r="Y2634" t="s">
        <v>16149</v>
      </c>
      <c r="Z2634" t="s">
        <v>2497</v>
      </c>
      <c r="AD2634" s="249" t="str">
        <f>HYPERLINK("https://scontent.cdninstagram.com/t51.2885-15/s320x320/e35/21040910_116573182338415_4115602959138553856_n.jpg")</f>
        <v>https://scontent.cdninstagram.com/t51.2885-15/s320x320/e35/21040910_116573182338415_4115602959138553856_n.jpg</v>
      </c>
      <c r="AE2634" s="249" t="str">
        <f>HYPERLINK("https://scontent.cdninstagram.com/t51.2885-19/s150x150/14269238_492844557581169_1220015878_a.jpg")</f>
        <v>https://scontent.cdninstagram.com/t51.2885-19/s150x150/14269238_492844557581169_1220015878_a.jpg</v>
      </c>
    </row>
    <row r="2635" spans="1:31" ht="15" x14ac:dyDescent="0.25">
      <c r="A2635" t="s">
        <v>2474</v>
      </c>
      <c r="B2635" t="s">
        <v>5766</v>
      </c>
      <c r="C2635" s="221">
        <v>42971.571238425924</v>
      </c>
      <c r="D2635" t="s">
        <v>16150</v>
      </c>
      <c r="E2635" s="249" t="str">
        <f>HYPERLINK("https://www.instagram.com/p/BYL3EpkA3Yp/")</f>
        <v>https://www.instagram.com/p/BYL3EpkA3Yp/</v>
      </c>
      <c r="F2635" t="s">
        <v>16151</v>
      </c>
      <c r="G2635" t="s">
        <v>2478</v>
      </c>
      <c r="H2635">
        <v>139</v>
      </c>
      <c r="I2635" t="s">
        <v>3273</v>
      </c>
      <c r="J2635">
        <v>1</v>
      </c>
      <c r="K2635">
        <v>37</v>
      </c>
      <c r="L2635">
        <v>38</v>
      </c>
      <c r="Q2635">
        <v>0</v>
      </c>
      <c r="R2635">
        <v>0</v>
      </c>
      <c r="S2635">
        <v>38</v>
      </c>
      <c r="Y2635" t="s">
        <v>16152</v>
      </c>
      <c r="Z2635" t="s">
        <v>13171</v>
      </c>
      <c r="AA2635" t="s">
        <v>13173</v>
      </c>
      <c r="AB2635" t="s">
        <v>16153</v>
      </c>
      <c r="AC2635" t="s">
        <v>2497</v>
      </c>
      <c r="AD2635" s="249" t="str">
        <f>HYPERLINK("https://scontent.cdninstagram.com/t51.2885-15/s320x320/e35/20986719_258643424647273_4178940214787440640_n.jpg")</f>
        <v>https://scontent.cdninstagram.com/t51.2885-15/s320x320/e35/20986719_258643424647273_4178940214787440640_n.jpg</v>
      </c>
      <c r="AE2635" s="249" t="str">
        <f>HYPERLINK("https://scontent.cdninstagram.com/t51.2885-19/s150x150/18879663_1692879440726703_2212180471251468288_a.jpg")</f>
        <v>https://scontent.cdninstagram.com/t51.2885-19/s150x150/18879663_1692879440726703_2212180471251468288_a.jpg</v>
      </c>
    </row>
    <row r="2636" spans="1:31" ht="15" x14ac:dyDescent="0.25">
      <c r="A2636" t="s">
        <v>2474</v>
      </c>
      <c r="B2636" t="s">
        <v>5486</v>
      </c>
      <c r="C2636" s="221">
        <v>42971.574884259258</v>
      </c>
      <c r="D2636" t="s">
        <v>16154</v>
      </c>
      <c r="E2636" s="249" t="str">
        <f>HYPERLINK("https://www.instagram.com/p/BYL3rERjmVb/")</f>
        <v>https://www.instagram.com/p/BYL3rERjmVb/</v>
      </c>
      <c r="G2636" t="s">
        <v>2478</v>
      </c>
      <c r="H2636">
        <v>33212</v>
      </c>
      <c r="I2636" t="s">
        <v>2479</v>
      </c>
      <c r="J2636">
        <v>6</v>
      </c>
      <c r="K2636">
        <v>593</v>
      </c>
      <c r="L2636">
        <v>599</v>
      </c>
      <c r="Q2636">
        <v>0</v>
      </c>
      <c r="R2636">
        <v>0</v>
      </c>
      <c r="S2636">
        <v>599</v>
      </c>
      <c r="AD2636" s="249" t="str">
        <f>HYPERLINK("https://scontent.cdninstagram.com/t51.2885-15/s320x320/e35/21042837_112484439471852_8832720602092535808_n.jpg")</f>
        <v>https://scontent.cdninstagram.com/t51.2885-15/s320x320/e35/21042837_112484439471852_8832720602092535808_n.jpg</v>
      </c>
      <c r="AE2636" s="249" t="str">
        <f>HYPERLINK("https://scontent.cdninstagram.com/t51.2885-19/18096331_1858853611040874_8999714561263140864_n.jpg")</f>
        <v>https://scontent.cdninstagram.com/t51.2885-19/18096331_1858853611040874_8999714561263140864_n.jpg</v>
      </c>
    </row>
    <row r="2637" spans="1:31" ht="15" x14ac:dyDescent="0.25">
      <c r="A2637" t="s">
        <v>2474</v>
      </c>
      <c r="B2637" t="s">
        <v>16155</v>
      </c>
      <c r="C2637" s="221">
        <v>42971.582905092589</v>
      </c>
      <c r="D2637" t="s">
        <v>16156</v>
      </c>
      <c r="E2637" s="249" t="str">
        <f>HYPERLINK("https://www.instagram.com/p/BYL4_uQgZvV/")</f>
        <v>https://www.instagram.com/p/BYL4_uQgZvV/</v>
      </c>
      <c r="F2637" t="s">
        <v>16157</v>
      </c>
      <c r="G2637" t="s">
        <v>2478</v>
      </c>
      <c r="H2637">
        <v>1277</v>
      </c>
      <c r="I2637" t="s">
        <v>2479</v>
      </c>
      <c r="J2637">
        <v>11</v>
      </c>
      <c r="K2637">
        <v>149</v>
      </c>
      <c r="L2637">
        <v>160</v>
      </c>
      <c r="Q2637">
        <v>0</v>
      </c>
      <c r="R2637">
        <v>0</v>
      </c>
      <c r="S2637">
        <v>160</v>
      </c>
      <c r="T2637" t="s">
        <v>16158</v>
      </c>
      <c r="V2637" t="s">
        <v>2125</v>
      </c>
      <c r="W2637">
        <v>50.093890000000002</v>
      </c>
      <c r="X2637">
        <v>-122.99106999999999</v>
      </c>
      <c r="Y2637" t="s">
        <v>16159</v>
      </c>
      <c r="Z2637" t="s">
        <v>16160</v>
      </c>
      <c r="AA2637" t="s">
        <v>16161</v>
      </c>
      <c r="AB2637" t="s">
        <v>2529</v>
      </c>
      <c r="AC2637" t="s">
        <v>4514</v>
      </c>
      <c r="AD2637" s="249" t="str">
        <f>HYPERLINK("https://scontent.cdninstagram.com/t51.2885-15/s320x320/e35/21041753_317402295390088_1658846313950740480_n.jpg")</f>
        <v>https://scontent.cdninstagram.com/t51.2885-15/s320x320/e35/21041753_317402295390088_1658846313950740480_n.jpg</v>
      </c>
      <c r="AE2637" s="249" t="str">
        <f>HYPERLINK("https://scontent.cdninstagram.com/t51.2885-19/s150x150/21149329_480261879018827_5657034483648430080_a.jpg")</f>
        <v>https://scontent.cdninstagram.com/t51.2885-19/s150x150/21149329_480261879018827_5657034483648430080_a.jpg</v>
      </c>
    </row>
    <row r="2638" spans="1:31" ht="15" x14ac:dyDescent="0.25">
      <c r="A2638" t="s">
        <v>2474</v>
      </c>
      <c r="B2638" t="s">
        <v>16162</v>
      </c>
      <c r="C2638" s="221">
        <v>42971.591724537036</v>
      </c>
      <c r="D2638" t="s">
        <v>16163</v>
      </c>
      <c r="E2638" s="249" t="str">
        <f>HYPERLINK("https://www.instagram.com/p/BYL6csfAVsR/")</f>
        <v>https://www.instagram.com/p/BYL6csfAVsR/</v>
      </c>
      <c r="F2638" t="s">
        <v>16164</v>
      </c>
      <c r="G2638" t="s">
        <v>2478</v>
      </c>
      <c r="H2638">
        <v>234</v>
      </c>
      <c r="I2638" t="s">
        <v>2599</v>
      </c>
      <c r="J2638">
        <v>0</v>
      </c>
      <c r="K2638">
        <v>14</v>
      </c>
      <c r="L2638">
        <v>14</v>
      </c>
      <c r="Q2638">
        <v>0</v>
      </c>
      <c r="R2638">
        <v>0</v>
      </c>
      <c r="S2638">
        <v>14</v>
      </c>
      <c r="Y2638" t="s">
        <v>2529</v>
      </c>
      <c r="Z2638" t="s">
        <v>2497</v>
      </c>
      <c r="AA2638" t="s">
        <v>16165</v>
      </c>
      <c r="AB2638" t="s">
        <v>16166</v>
      </c>
      <c r="AD2638" s="249" t="str">
        <f>HYPERLINK("https://scontent.cdninstagram.com/t51.2885-15/s320x320/e35/20987331_261117934377426_6621619825489739776_n.jpg")</f>
        <v>https://scontent.cdninstagram.com/t51.2885-15/s320x320/e35/20987331_261117934377426_6621619825489739776_n.jpg</v>
      </c>
      <c r="AE2638" s="249" t="str">
        <f>HYPERLINK("https://scontent.cdninstagram.com/t51.2885-19/s150x150/18947677_434041413620762_6520365009413865472_a.jpg")</f>
        <v>https://scontent.cdninstagram.com/t51.2885-19/s150x150/18947677_434041413620762_6520365009413865472_a.jpg</v>
      </c>
    </row>
    <row r="2639" spans="1:31" ht="15" x14ac:dyDescent="0.25">
      <c r="A2639" t="s">
        <v>2474</v>
      </c>
      <c r="B2639" t="s">
        <v>16167</v>
      </c>
      <c r="C2639" s="221">
        <v>42971.596180555556</v>
      </c>
      <c r="D2639" t="s">
        <v>16168</v>
      </c>
      <c r="E2639" s="249" t="str">
        <f>HYPERLINK("https://www.instagram.com/p/BYL7LuZn091/")</f>
        <v>https://www.instagram.com/p/BYL7LuZn091/</v>
      </c>
      <c r="F2639" t="s">
        <v>16169</v>
      </c>
      <c r="G2639" t="s">
        <v>2478</v>
      </c>
      <c r="H2639">
        <v>405</v>
      </c>
      <c r="I2639" t="s">
        <v>3898</v>
      </c>
      <c r="J2639">
        <v>1</v>
      </c>
      <c r="K2639">
        <v>45</v>
      </c>
      <c r="L2639">
        <v>46</v>
      </c>
      <c r="Q2639">
        <v>0</v>
      </c>
      <c r="R2639">
        <v>0</v>
      </c>
      <c r="S2639">
        <v>46</v>
      </c>
      <c r="Y2639" t="s">
        <v>16170</v>
      </c>
      <c r="Z2639" t="s">
        <v>16171</v>
      </c>
      <c r="AA2639" t="s">
        <v>2497</v>
      </c>
      <c r="AB2639" t="s">
        <v>12468</v>
      </c>
      <c r="AC2639" t="s">
        <v>16172</v>
      </c>
      <c r="AD2639" s="249" t="str">
        <f>HYPERLINK("https://scontent.cdninstagram.com/t51.2885-15/e35/p320x320/21041827_315616318901365_7002850597380554752_n.jpg")</f>
        <v>https://scontent.cdninstagram.com/t51.2885-15/e35/p320x320/21041827_315616318901365_7002850597380554752_n.jpg</v>
      </c>
      <c r="AE2639" s="249" t="str">
        <f>HYPERLINK("https://scontent.cdninstagram.com/t51.2885-19/s150x150/18013556_370094476720547_192658506183081984_a.jpg")</f>
        <v>https://scontent.cdninstagram.com/t51.2885-19/s150x150/18013556_370094476720547_192658506183081984_a.jpg</v>
      </c>
    </row>
    <row r="2640" spans="1:31" ht="15" x14ac:dyDescent="0.25">
      <c r="A2640" t="s">
        <v>2474</v>
      </c>
      <c r="B2640" t="s">
        <v>16173</v>
      </c>
      <c r="C2640" s="221">
        <v>42971.596203703702</v>
      </c>
      <c r="D2640" t="s">
        <v>16174</v>
      </c>
      <c r="E2640" s="249" t="str">
        <f>HYPERLINK("https://www.instagram.com/p/BYL7MAxBP-o/")</f>
        <v>https://www.instagram.com/p/BYL7MAxBP-o/</v>
      </c>
      <c r="F2640" t="s">
        <v>16175</v>
      </c>
      <c r="G2640" t="s">
        <v>2478</v>
      </c>
      <c r="H2640">
        <v>327</v>
      </c>
      <c r="I2640" t="s">
        <v>2479</v>
      </c>
      <c r="J2640">
        <v>1</v>
      </c>
      <c r="K2640">
        <v>64</v>
      </c>
      <c r="L2640">
        <v>65</v>
      </c>
      <c r="Q2640">
        <v>0</v>
      </c>
      <c r="R2640">
        <v>0</v>
      </c>
      <c r="S2640">
        <v>65</v>
      </c>
      <c r="Y2640" t="s">
        <v>3446</v>
      </c>
      <c r="Z2640" t="s">
        <v>16176</v>
      </c>
      <c r="AA2640" t="s">
        <v>16177</v>
      </c>
      <c r="AB2640" t="s">
        <v>16178</v>
      </c>
      <c r="AC2640" t="s">
        <v>11627</v>
      </c>
      <c r="AD2640" s="249" t="str">
        <f>HYPERLINK("https://scontent.cdninstagram.com/t51.2885-15/e35/p320x320/20987362_2027330777501545_3760422065841111040_n.jpg")</f>
        <v>https://scontent.cdninstagram.com/t51.2885-15/e35/p320x320/20987362_2027330777501545_3760422065841111040_n.jpg</v>
      </c>
      <c r="AE2640" s="249" t="str">
        <f>HYPERLINK("https://scontent.cdninstagram.com/t51.2885-19/s150x150/17332504_1906204799612132_7944776683905613824_a.jpg")</f>
        <v>https://scontent.cdninstagram.com/t51.2885-19/s150x150/17332504_1906204799612132_7944776683905613824_a.jpg</v>
      </c>
    </row>
    <row r="2641" spans="1:31" ht="15" x14ac:dyDescent="0.25">
      <c r="A2641" t="s">
        <v>2474</v>
      </c>
      <c r="B2641" t="s">
        <v>16179</v>
      </c>
      <c r="C2641" s="221">
        <v>42971.601724537039</v>
      </c>
      <c r="D2641" t="s">
        <v>16180</v>
      </c>
      <c r="E2641" s="249" t="str">
        <f>HYPERLINK("https://www.instagram.com/p/BYL8GP-hhAE/")</f>
        <v>https://www.instagram.com/p/BYL8GP-hhAE/</v>
      </c>
      <c r="F2641" t="s">
        <v>16181</v>
      </c>
      <c r="G2641" t="s">
        <v>2631</v>
      </c>
      <c r="H2641">
        <v>837</v>
      </c>
      <c r="I2641" t="s">
        <v>2479</v>
      </c>
      <c r="J2641">
        <v>0</v>
      </c>
      <c r="K2641">
        <v>32</v>
      </c>
      <c r="L2641">
        <v>32</v>
      </c>
      <c r="Q2641">
        <v>0</v>
      </c>
      <c r="R2641">
        <v>0</v>
      </c>
      <c r="S2641">
        <v>32</v>
      </c>
      <c r="Y2641" t="s">
        <v>16182</v>
      </c>
      <c r="Z2641" t="s">
        <v>10776</v>
      </c>
      <c r="AA2641" t="s">
        <v>16183</v>
      </c>
      <c r="AB2641" t="s">
        <v>16184</v>
      </c>
      <c r="AC2641" t="s">
        <v>10712</v>
      </c>
      <c r="AD2641" s="249" t="str">
        <f>HYPERLINK("https://scontent.cdninstagram.com/t51.2885-15/s320x320/e15/20968628_1502926679786806_6443152831850479616_n.jpg")</f>
        <v>https://scontent.cdninstagram.com/t51.2885-15/s320x320/e15/20968628_1502926679786806_6443152831850479616_n.jpg</v>
      </c>
      <c r="AE2641" s="249" t="str">
        <f>HYPERLINK("https://scontent.cdninstagram.com/t51.2885-19/s150x150/18512450_1935389023343702_8063289537570275328_a.jpg")</f>
        <v>https://scontent.cdninstagram.com/t51.2885-19/s150x150/18512450_1935389023343702_8063289537570275328_a.jpg</v>
      </c>
    </row>
    <row r="2642" spans="1:31" ht="15" x14ac:dyDescent="0.25">
      <c r="A2642" t="s">
        <v>2474</v>
      </c>
      <c r="B2642" t="s">
        <v>16185</v>
      </c>
      <c r="C2642" s="221">
        <v>42971.602662037039</v>
      </c>
      <c r="D2642" t="s">
        <v>16186</v>
      </c>
      <c r="E2642" s="249" t="str">
        <f>HYPERLINK("https://www.instagram.com/p/BYL8QE8jqq7/")</f>
        <v>https://www.instagram.com/p/BYL8QE8jqq7/</v>
      </c>
      <c r="F2642" t="s">
        <v>16187</v>
      </c>
      <c r="G2642" t="s">
        <v>2478</v>
      </c>
      <c r="I2642" t="s">
        <v>2479</v>
      </c>
      <c r="J2642">
        <v>1</v>
      </c>
      <c r="K2642">
        <v>58</v>
      </c>
      <c r="L2642">
        <v>59</v>
      </c>
      <c r="Q2642">
        <v>0</v>
      </c>
      <c r="R2642">
        <v>0</v>
      </c>
      <c r="S2642">
        <v>59</v>
      </c>
      <c r="Y2642" t="s">
        <v>16188</v>
      </c>
      <c r="Z2642" t="s">
        <v>16189</v>
      </c>
      <c r="AA2642" t="s">
        <v>16190</v>
      </c>
      <c r="AB2642" t="s">
        <v>9483</v>
      </c>
      <c r="AC2642" t="s">
        <v>2529</v>
      </c>
      <c r="AD2642" s="249" t="str">
        <f>HYPERLINK("https://scontent.cdninstagram.com/t51.2885-15/s320x320/e35/c0.124.1080.1080/21108085_145910669332218_141155599126626304_n.jpg")</f>
        <v>https://scontent.cdninstagram.com/t51.2885-15/s320x320/e35/c0.124.1080.1080/21108085_145910669332218_141155599126626304_n.jpg</v>
      </c>
      <c r="AE2642" s="249" t="str">
        <f>HYPERLINK("https://scontent.cdninstagram.com/t51.2885-19/s150x150/11906387_1039800229372465_1991977266_a.jpg")</f>
        <v>https://scontent.cdninstagram.com/t51.2885-19/s150x150/11906387_1039800229372465_1991977266_a.jpg</v>
      </c>
    </row>
    <row r="2643" spans="1:31" ht="15" x14ac:dyDescent="0.25">
      <c r="A2643" t="s">
        <v>2474</v>
      </c>
      <c r="B2643" t="s">
        <v>16191</v>
      </c>
      <c r="C2643" s="221">
        <v>42971.609803240739</v>
      </c>
      <c r="D2643" t="s">
        <v>16192</v>
      </c>
      <c r="E2643" s="249" t="str">
        <f>HYPERLINK("https://www.instagram.com/p/BYL9bazgJ6F/")</f>
        <v>https://www.instagram.com/p/BYL9bazgJ6F/</v>
      </c>
      <c r="F2643" t="s">
        <v>16193</v>
      </c>
      <c r="G2643" t="s">
        <v>2478</v>
      </c>
      <c r="H2643">
        <v>1445</v>
      </c>
      <c r="I2643" t="s">
        <v>2479</v>
      </c>
      <c r="J2643">
        <v>0</v>
      </c>
      <c r="K2643">
        <v>49</v>
      </c>
      <c r="L2643">
        <v>49</v>
      </c>
      <c r="Q2643">
        <v>0</v>
      </c>
      <c r="R2643">
        <v>0</v>
      </c>
      <c r="S2643">
        <v>49</v>
      </c>
      <c r="Y2643" t="s">
        <v>16194</v>
      </c>
      <c r="Z2643" t="s">
        <v>16195</v>
      </c>
      <c r="AA2643" t="s">
        <v>16196</v>
      </c>
      <c r="AB2643" t="s">
        <v>16197</v>
      </c>
      <c r="AC2643" t="s">
        <v>16198</v>
      </c>
      <c r="AD2643" s="249" t="str">
        <f>HYPERLINK("https://scontent.cdninstagram.com/t51.2885-15/e35/21107424_138022280137658_1608654553035571200_n.jpg")</f>
        <v>https://scontent.cdninstagram.com/t51.2885-15/e35/21107424_138022280137658_1608654553035571200_n.jpg</v>
      </c>
      <c r="AE2643" s="249" t="str">
        <f>HYPERLINK("https://scontent.cdninstagram.com/t51.2885-19/s150x150/20836989_820107244814917_509940384722321408_a.jpg")</f>
        <v>https://scontent.cdninstagram.com/t51.2885-19/s150x150/20836989_820107244814917_509940384722321408_a.jpg</v>
      </c>
    </row>
    <row r="2644" spans="1:31" ht="15" x14ac:dyDescent="0.25">
      <c r="A2644" t="s">
        <v>2474</v>
      </c>
      <c r="B2644" t="s">
        <v>16199</v>
      </c>
      <c r="C2644" s="221">
        <v>42971.618055555555</v>
      </c>
      <c r="D2644" t="s">
        <v>16200</v>
      </c>
      <c r="E2644" s="249" t="str">
        <f>HYPERLINK("https://www.instagram.com/p/BYL-yaVhm17/")</f>
        <v>https://www.instagram.com/p/BYL-yaVhm17/</v>
      </c>
      <c r="F2644" t="s">
        <v>16201</v>
      </c>
      <c r="G2644" t="s">
        <v>2488</v>
      </c>
      <c r="H2644">
        <v>2492</v>
      </c>
      <c r="I2644" t="s">
        <v>2479</v>
      </c>
      <c r="J2644">
        <v>1</v>
      </c>
      <c r="K2644">
        <v>60</v>
      </c>
      <c r="L2644">
        <v>61</v>
      </c>
      <c r="Q2644">
        <v>0</v>
      </c>
      <c r="R2644">
        <v>0</v>
      </c>
      <c r="S2644">
        <v>61</v>
      </c>
      <c r="T2644" t="s">
        <v>16202</v>
      </c>
      <c r="V2644" t="s">
        <v>2263</v>
      </c>
      <c r="W2644">
        <v>-33.928016691339003</v>
      </c>
      <c r="X2644">
        <v>18.432342535658002</v>
      </c>
      <c r="Y2644" t="s">
        <v>5466</v>
      </c>
      <c r="Z2644" t="s">
        <v>2705</v>
      </c>
      <c r="AA2644" t="s">
        <v>2497</v>
      </c>
      <c r="AB2644" t="s">
        <v>16203</v>
      </c>
      <c r="AC2644" t="s">
        <v>3849</v>
      </c>
      <c r="AD2644" s="249" t="str">
        <f>HYPERLINK("https://scontent.cdninstagram.com/t51.2885-15/s320x320/e15/21041368_364527563984161_5192567872626360320_n.jpg")</f>
        <v>https://scontent.cdninstagram.com/t51.2885-15/s320x320/e15/21041368_364527563984161_5192567872626360320_n.jpg</v>
      </c>
      <c r="AE2644" s="249" t="str">
        <f>HYPERLINK("https://scontent.cdninstagram.com/t51.2885-19/11249595_1657726374463249_824605066_a.jpg")</f>
        <v>https://scontent.cdninstagram.com/t51.2885-19/11249595_1657726374463249_824605066_a.jpg</v>
      </c>
    </row>
    <row r="2645" spans="1:31" ht="15" x14ac:dyDescent="0.25">
      <c r="A2645" t="s">
        <v>2474</v>
      </c>
      <c r="B2645" t="s">
        <v>16204</v>
      </c>
      <c r="C2645" s="221">
        <v>42971.626851851855</v>
      </c>
      <c r="D2645" t="s">
        <v>16205</v>
      </c>
      <c r="E2645" s="249" t="str">
        <f>HYPERLINK("https://www.instagram.com/p/BYMAPPYlS95/")</f>
        <v>https://www.instagram.com/p/BYMAPPYlS95/</v>
      </c>
      <c r="F2645" t="s">
        <v>16206</v>
      </c>
      <c r="G2645" t="s">
        <v>2478</v>
      </c>
      <c r="I2645" t="s">
        <v>2479</v>
      </c>
      <c r="J2645">
        <v>1</v>
      </c>
      <c r="K2645">
        <v>21</v>
      </c>
      <c r="L2645">
        <v>22</v>
      </c>
      <c r="Q2645">
        <v>0</v>
      </c>
      <c r="R2645">
        <v>0</v>
      </c>
      <c r="S2645">
        <v>22</v>
      </c>
      <c r="Y2645" t="s">
        <v>2497</v>
      </c>
      <c r="AD2645" s="249" t="str">
        <f>HYPERLINK("https://scontent.cdninstagram.com/t51.2885-15/s320x320/e35/20987352_277796389387342_4165282459304329216_n.jpg")</f>
        <v>https://scontent.cdninstagram.com/t51.2885-15/s320x320/e35/20987352_277796389387342_4165282459304329216_n.jpg</v>
      </c>
      <c r="AE2645" s="249" t="str">
        <f>HYPERLINK("https://scontent.cdninstagram.com/t51.2885-19/s150x150/21147805_169684136911432_9109123076397727744_a.jpg")</f>
        <v>https://scontent.cdninstagram.com/t51.2885-19/s150x150/21147805_169684136911432_9109123076397727744_a.jpg</v>
      </c>
    </row>
    <row r="2646" spans="1:31" ht="15" x14ac:dyDescent="0.25">
      <c r="A2646" t="s">
        <v>2474</v>
      </c>
      <c r="B2646" t="s">
        <v>16207</v>
      </c>
      <c r="C2646" s="221">
        <v>42971.629837962966</v>
      </c>
      <c r="D2646" t="s">
        <v>16208</v>
      </c>
      <c r="E2646" s="249" t="str">
        <f>HYPERLINK("https://www.instagram.com/p/BYMAuugFu8w/")</f>
        <v>https://www.instagram.com/p/BYMAuugFu8w/</v>
      </c>
      <c r="F2646" t="s">
        <v>16209</v>
      </c>
      <c r="G2646" t="s">
        <v>2478</v>
      </c>
      <c r="H2646">
        <v>126</v>
      </c>
      <c r="I2646" t="s">
        <v>2479</v>
      </c>
      <c r="J2646">
        <v>4</v>
      </c>
      <c r="K2646">
        <v>25</v>
      </c>
      <c r="L2646">
        <v>29</v>
      </c>
      <c r="Q2646">
        <v>0</v>
      </c>
      <c r="R2646">
        <v>0</v>
      </c>
      <c r="S2646">
        <v>29</v>
      </c>
      <c r="Y2646" t="s">
        <v>16210</v>
      </c>
      <c r="Z2646" t="s">
        <v>3901</v>
      </c>
      <c r="AA2646" t="s">
        <v>16211</v>
      </c>
      <c r="AB2646" t="s">
        <v>16212</v>
      </c>
      <c r="AC2646" t="s">
        <v>16213</v>
      </c>
      <c r="AD2646" s="249" t="str">
        <f>HYPERLINK("https://scontent.cdninstagram.com/t51.2885-15/s320x320/e35/21041265_268630196970502_5564993373149855744_n.jpg")</f>
        <v>https://scontent.cdninstagram.com/t51.2885-15/s320x320/e35/21041265_268630196970502_5564993373149855744_n.jpg</v>
      </c>
      <c r="AE2646" s="249" t="str">
        <f>HYPERLINK("https://scontent.cdninstagram.com/t51.2885-19/s150x150/21042713_332832850502251_5977148979018727424_a.jpg")</f>
        <v>https://scontent.cdninstagram.com/t51.2885-19/s150x150/21042713_332832850502251_5977148979018727424_a.jpg</v>
      </c>
    </row>
    <row r="2647" spans="1:31" ht="15" x14ac:dyDescent="0.25">
      <c r="A2647" t="s">
        <v>2474</v>
      </c>
      <c r="B2647" t="s">
        <v>16214</v>
      </c>
      <c r="C2647" s="221">
        <v>42971.646423611113</v>
      </c>
      <c r="D2647" t="s">
        <v>16215</v>
      </c>
      <c r="E2647" s="249" t="str">
        <f>HYPERLINK("https://www.instagram.com/p/BYMDdrAglzg/")</f>
        <v>https://www.instagram.com/p/BYMDdrAglzg/</v>
      </c>
      <c r="F2647" t="s">
        <v>16216</v>
      </c>
      <c r="G2647" t="s">
        <v>2478</v>
      </c>
      <c r="H2647">
        <v>450</v>
      </c>
      <c r="I2647" t="s">
        <v>2479</v>
      </c>
      <c r="J2647">
        <v>1</v>
      </c>
      <c r="K2647">
        <v>24</v>
      </c>
      <c r="L2647">
        <v>25</v>
      </c>
      <c r="Q2647">
        <v>0</v>
      </c>
      <c r="R2647">
        <v>0</v>
      </c>
      <c r="S2647">
        <v>25</v>
      </c>
      <c r="Y2647" t="s">
        <v>2497</v>
      </c>
      <c r="Z2647" t="s">
        <v>3849</v>
      </c>
      <c r="AA2647" t="s">
        <v>16217</v>
      </c>
      <c r="AD2647" s="249" t="str">
        <f>HYPERLINK("https://scontent.cdninstagram.com/t51.2885-15/s320x320/e35/20987500_112778392744930_4843684767184453632_n.jpg")</f>
        <v>https://scontent.cdninstagram.com/t51.2885-15/s320x320/e35/20987500_112778392744930_4843684767184453632_n.jpg</v>
      </c>
      <c r="AE2647" s="249" t="str">
        <f>HYPERLINK("https://scontent.cdninstagram.com/t51.2885-19/s150x150/13741324_544527515743951_1639842891_a.jpg")</f>
        <v>https://scontent.cdninstagram.com/t51.2885-19/s150x150/13741324_544527515743951_1639842891_a.jpg</v>
      </c>
    </row>
    <row r="2648" spans="1:31" ht="15" x14ac:dyDescent="0.25">
      <c r="A2648" t="s">
        <v>2474</v>
      </c>
      <c r="B2648" t="s">
        <v>16218</v>
      </c>
      <c r="C2648" s="221">
        <v>42971.656342592592</v>
      </c>
      <c r="D2648" t="s">
        <v>16219</v>
      </c>
      <c r="E2648" s="249" t="str">
        <f>HYPERLINK("https://www.instagram.com/p/BYMFGSdlzYa/")</f>
        <v>https://www.instagram.com/p/BYMFGSdlzYa/</v>
      </c>
      <c r="F2648" t="s">
        <v>16220</v>
      </c>
      <c r="G2648" t="s">
        <v>2478</v>
      </c>
      <c r="H2648">
        <v>4</v>
      </c>
      <c r="I2648" t="s">
        <v>2479</v>
      </c>
      <c r="J2648">
        <v>1</v>
      </c>
      <c r="K2648">
        <v>8</v>
      </c>
      <c r="L2648">
        <v>9</v>
      </c>
      <c r="Q2648">
        <v>0</v>
      </c>
      <c r="R2648">
        <v>0</v>
      </c>
      <c r="S2648">
        <v>9</v>
      </c>
      <c r="Y2648" t="s">
        <v>2492</v>
      </c>
      <c r="Z2648" t="s">
        <v>16221</v>
      </c>
      <c r="AA2648" t="s">
        <v>16222</v>
      </c>
      <c r="AB2648" t="s">
        <v>3262</v>
      </c>
      <c r="AC2648" t="s">
        <v>4734</v>
      </c>
      <c r="AD2648" s="249" t="str">
        <f>HYPERLINK("https://scontent.cdninstagram.com/t51.2885-15/s320x320/e35/21107964_1474856055924027_8025537389218758656_n.jpg")</f>
        <v>https://scontent.cdninstagram.com/t51.2885-15/s320x320/e35/21107964_1474856055924027_8025537389218758656_n.jpg</v>
      </c>
      <c r="AE2648" s="249" t="str">
        <f>HYPERLINK("https://scontent.cdninstagram.com/t51.2885-19/s150x150/20582454_780709628774135_8079605087535628288_a.jpg")</f>
        <v>https://scontent.cdninstagram.com/t51.2885-19/s150x150/20582454_780709628774135_8079605087535628288_a.jpg</v>
      </c>
    </row>
    <row r="2649" spans="1:31" ht="15" x14ac:dyDescent="0.25">
      <c r="A2649" t="s">
        <v>2474</v>
      </c>
      <c r="B2649" t="s">
        <v>16223</v>
      </c>
      <c r="C2649" s="221">
        <v>42971.656597222223</v>
      </c>
      <c r="D2649" t="s">
        <v>16224</v>
      </c>
      <c r="E2649" s="249" t="str">
        <f>HYPERLINK("https://www.instagram.com/p/BYMFI81AFA_/")</f>
        <v>https://www.instagram.com/p/BYMFI81AFA_/</v>
      </c>
      <c r="F2649" t="s">
        <v>16225</v>
      </c>
      <c r="G2649" t="s">
        <v>2478</v>
      </c>
      <c r="H2649">
        <v>50</v>
      </c>
      <c r="I2649" t="s">
        <v>2479</v>
      </c>
      <c r="J2649">
        <v>0</v>
      </c>
      <c r="K2649">
        <v>9</v>
      </c>
      <c r="L2649">
        <v>9</v>
      </c>
      <c r="Q2649">
        <v>0</v>
      </c>
      <c r="R2649">
        <v>0</v>
      </c>
      <c r="S2649">
        <v>9</v>
      </c>
      <c r="Y2649" t="s">
        <v>2497</v>
      </c>
      <c r="Z2649" t="s">
        <v>16226</v>
      </c>
      <c r="AA2649" t="s">
        <v>16227</v>
      </c>
      <c r="AD2649" s="249" t="str">
        <f>HYPERLINK("https://scontent.cdninstagram.com/t51.2885-15/e35/p320x320/21042596_170470216832722_7870959858378342400_n.jpg")</f>
        <v>https://scontent.cdninstagram.com/t51.2885-15/e35/p320x320/21042596_170470216832722_7870959858378342400_n.jpg</v>
      </c>
      <c r="AE2649" s="249" t="str">
        <f>HYPERLINK("https://scontent.cdninstagram.com/t51.2885-19/s150x150/21108099_499444583739560_7109024615594196992_a.jpg")</f>
        <v>https://scontent.cdninstagram.com/t51.2885-19/s150x150/21108099_499444583739560_7109024615594196992_a.jpg</v>
      </c>
    </row>
    <row r="2650" spans="1:31" ht="15" x14ac:dyDescent="0.25">
      <c r="A2650" t="s">
        <v>2474</v>
      </c>
      <c r="B2650" t="s">
        <v>16228</v>
      </c>
      <c r="C2650" s="221">
        <v>42971.658761574072</v>
      </c>
      <c r="D2650" t="s">
        <v>16229</v>
      </c>
      <c r="E2650" s="249" t="str">
        <f>HYPERLINK("https://www.instagram.com/p/BYMFfxZHxAD/")</f>
        <v>https://www.instagram.com/p/BYMFfxZHxAD/</v>
      </c>
      <c r="F2650" t="s">
        <v>16230</v>
      </c>
      <c r="G2650" t="s">
        <v>2478</v>
      </c>
      <c r="H2650">
        <v>177</v>
      </c>
      <c r="I2650" t="s">
        <v>2542</v>
      </c>
      <c r="J2650">
        <v>0</v>
      </c>
      <c r="K2650">
        <v>10</v>
      </c>
      <c r="L2650">
        <v>10</v>
      </c>
      <c r="Q2650">
        <v>0</v>
      </c>
      <c r="R2650">
        <v>0</v>
      </c>
      <c r="S2650">
        <v>10</v>
      </c>
      <c r="Y2650" t="s">
        <v>16231</v>
      </c>
      <c r="Z2650" t="s">
        <v>9555</v>
      </c>
      <c r="AA2650" t="s">
        <v>2906</v>
      </c>
      <c r="AB2650" t="s">
        <v>16232</v>
      </c>
      <c r="AC2650" t="s">
        <v>16233</v>
      </c>
      <c r="AD2650" s="249" t="str">
        <f>HYPERLINK("https://scontent.cdninstagram.com/t51.2885-15/s320x320/e35/21041603_168480913701411_2358269737965715456_n.jpg")</f>
        <v>https://scontent.cdninstagram.com/t51.2885-15/s320x320/e35/21041603_168480913701411_2358269737965715456_n.jpg</v>
      </c>
      <c r="AE2650" s="249" t="str">
        <f>HYPERLINK("https://scontent.cdninstagram.com/t51.2885-19/s150x150/15251572_1196445483735230_5825568940213927936_a.jpg")</f>
        <v>https://scontent.cdninstagram.com/t51.2885-19/s150x150/15251572_1196445483735230_5825568940213927936_a.jpg</v>
      </c>
    </row>
    <row r="2651" spans="1:31" ht="15" x14ac:dyDescent="0.25">
      <c r="A2651" t="s">
        <v>2474</v>
      </c>
      <c r="B2651" t="s">
        <v>16234</v>
      </c>
      <c r="C2651" s="221">
        <v>42971.669537037036</v>
      </c>
      <c r="D2651" t="s">
        <v>16235</v>
      </c>
      <c r="E2651" s="249" t="str">
        <f>HYPERLINK("https://www.instagram.com/p/BYMHRajAfYr/")</f>
        <v>https://www.instagram.com/p/BYMHRajAfYr/</v>
      </c>
      <c r="F2651" t="s">
        <v>16236</v>
      </c>
      <c r="G2651" t="s">
        <v>2478</v>
      </c>
      <c r="H2651">
        <v>79</v>
      </c>
      <c r="I2651" t="s">
        <v>2542</v>
      </c>
      <c r="J2651">
        <v>0</v>
      </c>
      <c r="K2651">
        <v>43</v>
      </c>
      <c r="L2651">
        <v>43</v>
      </c>
      <c r="Q2651">
        <v>0</v>
      </c>
      <c r="R2651">
        <v>0</v>
      </c>
      <c r="S2651">
        <v>43</v>
      </c>
      <c r="Y2651" t="s">
        <v>2949</v>
      </c>
      <c r="Z2651" t="s">
        <v>2492</v>
      </c>
      <c r="AA2651" t="s">
        <v>16237</v>
      </c>
      <c r="AB2651" t="s">
        <v>16238</v>
      </c>
      <c r="AC2651" t="s">
        <v>16239</v>
      </c>
      <c r="AD2651" s="249" t="str">
        <f>HYPERLINK("https://scontent.cdninstagram.com/t51.2885-15/s320x320/e35/21042856_169914670245698_4598284371844136960_n.jpg")</f>
        <v>https://scontent.cdninstagram.com/t51.2885-15/s320x320/e35/21042856_169914670245698_4598284371844136960_n.jpg</v>
      </c>
      <c r="AE2651" s="249" t="str">
        <f>HYPERLINK("https://scontent.cdninstagram.com/t51.2885-19/s150x150/20686663_486204785068431_900535031426973696_a.jpg")</f>
        <v>https://scontent.cdninstagram.com/t51.2885-19/s150x150/20686663_486204785068431_900535031426973696_a.jpg</v>
      </c>
    </row>
    <row r="2652" spans="1:31" ht="15" x14ac:dyDescent="0.25">
      <c r="A2652" t="s">
        <v>2474</v>
      </c>
      <c r="B2652" t="s">
        <v>16240</v>
      </c>
      <c r="C2652" s="221">
        <v>42971.671770833331</v>
      </c>
      <c r="D2652" t="s">
        <v>16241</v>
      </c>
      <c r="E2652" s="249" t="str">
        <f>HYPERLINK("https://www.instagram.com/p/BYMHo7pnBm_/")</f>
        <v>https://www.instagram.com/p/BYMHo7pnBm_/</v>
      </c>
      <c r="F2652" t="s">
        <v>16242</v>
      </c>
      <c r="G2652" t="s">
        <v>2478</v>
      </c>
      <c r="H2652">
        <v>1779</v>
      </c>
      <c r="I2652" t="s">
        <v>2479</v>
      </c>
      <c r="J2652">
        <v>2</v>
      </c>
      <c r="K2652">
        <v>67</v>
      </c>
      <c r="L2652">
        <v>69</v>
      </c>
      <c r="Q2652">
        <v>0</v>
      </c>
      <c r="R2652">
        <v>0</v>
      </c>
      <c r="S2652">
        <v>69</v>
      </c>
      <c r="Y2652" t="s">
        <v>16243</v>
      </c>
      <c r="Z2652" t="s">
        <v>16244</v>
      </c>
      <c r="AA2652" t="s">
        <v>16245</v>
      </c>
      <c r="AB2652" t="s">
        <v>10796</v>
      </c>
      <c r="AC2652" t="s">
        <v>16246</v>
      </c>
      <c r="AD2652" s="249" t="str">
        <f>HYPERLINK("https://scontent.cdninstagram.com/t51.2885-15/s320x320/e35/21040899_1920092304914393_5282743322345996288_n.jpg")</f>
        <v>https://scontent.cdninstagram.com/t51.2885-15/s320x320/e35/21040899_1920092304914393_5282743322345996288_n.jpg</v>
      </c>
      <c r="AE2652" s="249" t="str">
        <f>HYPERLINK("https://scontent.cdninstagram.com/t51.2885-19/s150x150/15623737_1707667199544329_3547995075030024192_a.jpg")</f>
        <v>https://scontent.cdninstagram.com/t51.2885-19/s150x150/15623737_1707667199544329_3547995075030024192_a.jpg</v>
      </c>
    </row>
    <row r="2653" spans="1:31" ht="15" x14ac:dyDescent="0.25">
      <c r="A2653" t="s">
        <v>2474</v>
      </c>
      <c r="B2653" t="s">
        <v>3055</v>
      </c>
      <c r="C2653" s="221">
        <v>42971.679872685185</v>
      </c>
      <c r="D2653" t="s">
        <v>16247</v>
      </c>
      <c r="E2653" s="249" t="str">
        <f>HYPERLINK("https://www.instagram.com/p/BYMI-X3H7f4/")</f>
        <v>https://www.instagram.com/p/BYMI-X3H7f4/</v>
      </c>
      <c r="F2653" t="s">
        <v>16248</v>
      </c>
      <c r="G2653" t="s">
        <v>2478</v>
      </c>
      <c r="H2653">
        <v>154</v>
      </c>
      <c r="I2653" t="s">
        <v>2479</v>
      </c>
      <c r="J2653">
        <v>0</v>
      </c>
      <c r="K2653">
        <v>34</v>
      </c>
      <c r="L2653">
        <v>34</v>
      </c>
      <c r="Q2653">
        <v>0</v>
      </c>
      <c r="R2653">
        <v>0</v>
      </c>
      <c r="S2653">
        <v>34</v>
      </c>
      <c r="Y2653" t="s">
        <v>16249</v>
      </c>
      <c r="Z2653" t="s">
        <v>16250</v>
      </c>
      <c r="AA2653" t="s">
        <v>3006</v>
      </c>
      <c r="AB2653" t="s">
        <v>2497</v>
      </c>
      <c r="AC2653" t="s">
        <v>16251</v>
      </c>
      <c r="AD2653" s="249" t="str">
        <f>HYPERLINK("https://scontent.cdninstagram.com/t51.2885-15/s320x320/e35/21041985_1631696120195658_898309495338303488_n.jpg")</f>
        <v>https://scontent.cdninstagram.com/t51.2885-15/s320x320/e35/21041985_1631696120195658_898309495338303488_n.jpg</v>
      </c>
      <c r="AE2653" s="249" t="str">
        <f>HYPERLINK("https://scontent.cdninstagram.com/t51.2885-19/s150x150/12534162_1031877433501510_1281420640_a.jpg")</f>
        <v>https://scontent.cdninstagram.com/t51.2885-19/s150x150/12534162_1031877433501510_1281420640_a.jpg</v>
      </c>
    </row>
    <row r="2654" spans="1:31" ht="15" x14ac:dyDescent="0.25">
      <c r="A2654" t="s">
        <v>2474</v>
      </c>
      <c r="B2654" t="s">
        <v>9087</v>
      </c>
      <c r="C2654" s="221">
        <v>42971.686203703706</v>
      </c>
      <c r="D2654" t="s">
        <v>16252</v>
      </c>
      <c r="E2654" s="249" t="str">
        <f>HYPERLINK("https://www.instagram.com/p/BYMKBOYgKTs/")</f>
        <v>https://www.instagram.com/p/BYMKBOYgKTs/</v>
      </c>
      <c r="F2654" t="s">
        <v>16253</v>
      </c>
      <c r="G2654" t="s">
        <v>2478</v>
      </c>
      <c r="H2654">
        <v>78</v>
      </c>
      <c r="I2654" t="s">
        <v>2599</v>
      </c>
      <c r="J2654">
        <v>0</v>
      </c>
      <c r="K2654">
        <v>16</v>
      </c>
      <c r="L2654">
        <v>16</v>
      </c>
      <c r="Q2654">
        <v>0</v>
      </c>
      <c r="R2654">
        <v>0</v>
      </c>
      <c r="S2654">
        <v>16</v>
      </c>
      <c r="Y2654" t="s">
        <v>16254</v>
      </c>
      <c r="Z2654" t="s">
        <v>16255</v>
      </c>
      <c r="AA2654" t="s">
        <v>16256</v>
      </c>
      <c r="AB2654" t="s">
        <v>16257</v>
      </c>
      <c r="AC2654" t="s">
        <v>3197</v>
      </c>
      <c r="AD2654" s="249" t="str">
        <f>HYPERLINK("https://scontent.cdninstagram.com/t51.2885-15/s320x320/e35/21108009_465274177179130_4708297206057140224_n.jpg")</f>
        <v>https://scontent.cdninstagram.com/t51.2885-15/s320x320/e35/21108009_465274177179130_4708297206057140224_n.jpg</v>
      </c>
      <c r="AE2654" s="249" t="str">
        <f>HYPERLINK("https://scontent.cdninstagram.com/t51.2885-19/s150x150/18812370_1311189488980282_3866534627367714816_a.jpg")</f>
        <v>https://scontent.cdninstagram.com/t51.2885-19/s150x150/18812370_1311189488980282_3866534627367714816_a.jpg</v>
      </c>
    </row>
    <row r="2655" spans="1:31" ht="15" x14ac:dyDescent="0.25">
      <c r="A2655" t="s">
        <v>2474</v>
      </c>
      <c r="B2655" t="s">
        <v>3248</v>
      </c>
      <c r="C2655" s="221">
        <v>42971.704872685186</v>
      </c>
      <c r="D2655" t="s">
        <v>16258</v>
      </c>
      <c r="E2655" s="249" t="str">
        <f>HYPERLINK("https://www.instagram.com/p/BYMNGJCnwEi/")</f>
        <v>https://www.instagram.com/p/BYMNGJCnwEi/</v>
      </c>
      <c r="G2655" t="s">
        <v>2478</v>
      </c>
      <c r="H2655">
        <v>32064</v>
      </c>
      <c r="I2655" t="s">
        <v>2479</v>
      </c>
      <c r="J2655">
        <v>4</v>
      </c>
      <c r="K2655">
        <v>522</v>
      </c>
      <c r="L2655">
        <v>526</v>
      </c>
      <c r="Q2655">
        <v>0</v>
      </c>
      <c r="R2655">
        <v>0</v>
      </c>
      <c r="S2655">
        <v>526</v>
      </c>
      <c r="Y2655" t="s">
        <v>16259</v>
      </c>
      <c r="Z2655" t="s">
        <v>16260</v>
      </c>
      <c r="AA2655" t="s">
        <v>16261</v>
      </c>
      <c r="AB2655" t="s">
        <v>16262</v>
      </c>
      <c r="AC2655" t="s">
        <v>16263</v>
      </c>
      <c r="AD2655" s="249" t="str">
        <f>HYPERLINK("https://scontent.cdninstagram.com/t51.2885-15/s320x320/e35/21041739_109736139759438_1786212873328918528_n.jpg")</f>
        <v>https://scontent.cdninstagram.com/t51.2885-15/s320x320/e35/21041739_109736139759438_1786212873328918528_n.jpg</v>
      </c>
      <c r="AE2655" s="249" t="str">
        <f>HYPERLINK("https://scontent.cdninstagram.com/t51.2885-19/s150x150/16229301_1876915245885793_5124596849776263168_n.jpg")</f>
        <v>https://scontent.cdninstagram.com/t51.2885-19/s150x150/16229301_1876915245885793_5124596849776263168_n.jpg</v>
      </c>
    </row>
    <row r="2656" spans="1:31" ht="15" x14ac:dyDescent="0.25">
      <c r="A2656" t="s">
        <v>2474</v>
      </c>
      <c r="B2656" t="s">
        <v>16264</v>
      </c>
      <c r="C2656" s="221">
        <v>42971.71197916667</v>
      </c>
      <c r="D2656" t="s">
        <v>16265</v>
      </c>
      <c r="E2656" s="249" t="str">
        <f>HYPERLINK("https://www.instagram.com/p/BYMORAfHtYn/")</f>
        <v>https://www.instagram.com/p/BYMORAfHtYn/</v>
      </c>
      <c r="F2656" t="s">
        <v>16266</v>
      </c>
      <c r="G2656" t="s">
        <v>2478</v>
      </c>
      <c r="H2656">
        <v>3421</v>
      </c>
      <c r="I2656" t="s">
        <v>2910</v>
      </c>
      <c r="J2656">
        <v>5</v>
      </c>
      <c r="K2656">
        <v>50</v>
      </c>
      <c r="L2656">
        <v>55</v>
      </c>
      <c r="Q2656">
        <v>0</v>
      </c>
      <c r="R2656">
        <v>0</v>
      </c>
      <c r="S2656">
        <v>55</v>
      </c>
      <c r="T2656" t="s">
        <v>16267</v>
      </c>
      <c r="U2656" t="s">
        <v>97</v>
      </c>
      <c r="V2656" t="s">
        <v>2299</v>
      </c>
      <c r="W2656">
        <v>34.068980000000003</v>
      </c>
      <c r="X2656">
        <v>-118.40396</v>
      </c>
      <c r="Y2656" t="s">
        <v>16268</v>
      </c>
      <c r="Z2656" t="s">
        <v>16269</v>
      </c>
      <c r="AA2656" t="s">
        <v>16270</v>
      </c>
      <c r="AB2656" t="s">
        <v>16271</v>
      </c>
      <c r="AC2656" t="s">
        <v>16272</v>
      </c>
      <c r="AD2656" s="249" t="str">
        <f>HYPERLINK("https://scontent.cdninstagram.com/t51.2885-15/s320x320/e35/21041570_1970709316540141_2776664797444308992_n.jpg")</f>
        <v>https://scontent.cdninstagram.com/t51.2885-15/s320x320/e35/21041570_1970709316540141_2776664797444308992_n.jpg</v>
      </c>
      <c r="AE2656" s="249" t="str">
        <f>HYPERLINK("https://scontent.cdninstagram.com/t51.2885-19/s150x150/14240469_306973546326115_1674513459_a.jpg")</f>
        <v>https://scontent.cdninstagram.com/t51.2885-19/s150x150/14240469_306973546326115_1674513459_a.jpg</v>
      </c>
    </row>
    <row r="2657" spans="1:31" ht="15" x14ac:dyDescent="0.25">
      <c r="A2657" t="s">
        <v>2474</v>
      </c>
      <c r="B2657" t="s">
        <v>16273</v>
      </c>
      <c r="C2657" s="221">
        <v>42971.726006944446</v>
      </c>
      <c r="D2657" t="s">
        <v>16274</v>
      </c>
      <c r="E2657" s="249" t="str">
        <f>HYPERLINK("https://www.instagram.com/p/BYMQlBng1HJ/")</f>
        <v>https://www.instagram.com/p/BYMQlBng1HJ/</v>
      </c>
      <c r="F2657" t="s">
        <v>16275</v>
      </c>
      <c r="G2657" t="s">
        <v>2488</v>
      </c>
      <c r="H2657">
        <v>81</v>
      </c>
      <c r="I2657" t="s">
        <v>2479</v>
      </c>
      <c r="J2657">
        <v>0</v>
      </c>
      <c r="K2657">
        <v>22</v>
      </c>
      <c r="L2657">
        <v>22</v>
      </c>
      <c r="Q2657">
        <v>0</v>
      </c>
      <c r="R2657">
        <v>0</v>
      </c>
      <c r="S2657">
        <v>22</v>
      </c>
      <c r="Y2657" t="s">
        <v>16276</v>
      </c>
      <c r="Z2657" t="s">
        <v>16277</v>
      </c>
      <c r="AA2657" t="s">
        <v>2497</v>
      </c>
      <c r="AB2657" t="s">
        <v>16278</v>
      </c>
      <c r="AC2657" t="s">
        <v>16279</v>
      </c>
      <c r="AD2657" s="249" t="str">
        <f>HYPERLINK("https://scontent.cdninstagram.com/t51.2885-15/s320x320/e35/20987581_596792634044781_1870821598756339712_n.jpg")</f>
        <v>https://scontent.cdninstagram.com/t51.2885-15/s320x320/e35/20987581_596792634044781_1870821598756339712_n.jpg</v>
      </c>
      <c r="AE2657" s="249" t="str">
        <f>HYPERLINK("https://scontent.cdninstagram.com/t51.2885-19/s150x150/19050534_647765958753153_7069429552610541568_a.jpg")</f>
        <v>https://scontent.cdninstagram.com/t51.2885-19/s150x150/19050534_647765958753153_7069429552610541568_a.jpg</v>
      </c>
    </row>
    <row r="2658" spans="1:31" ht="15" x14ac:dyDescent="0.25">
      <c r="A2658" t="s">
        <v>2474</v>
      </c>
      <c r="B2658" t="s">
        <v>14915</v>
      </c>
      <c r="C2658" s="221">
        <v>42971.727835648147</v>
      </c>
      <c r="D2658" t="s">
        <v>16280</v>
      </c>
      <c r="E2658" s="249" t="str">
        <f>HYPERLINK("https://www.instagram.com/p/BYMQ4PdFT0K/")</f>
        <v>https://www.instagram.com/p/BYMQ4PdFT0K/</v>
      </c>
      <c r="F2658" t="s">
        <v>16281</v>
      </c>
      <c r="G2658" t="s">
        <v>2478</v>
      </c>
      <c r="H2658">
        <v>5730</v>
      </c>
      <c r="I2658" t="s">
        <v>2479</v>
      </c>
      <c r="J2658">
        <v>6</v>
      </c>
      <c r="K2658">
        <v>907</v>
      </c>
      <c r="L2658">
        <v>913</v>
      </c>
      <c r="Q2658">
        <v>0</v>
      </c>
      <c r="R2658">
        <v>0</v>
      </c>
      <c r="S2658">
        <v>913</v>
      </c>
      <c r="Y2658" t="s">
        <v>2497</v>
      </c>
      <c r="Z2658" t="s">
        <v>14920</v>
      </c>
      <c r="AA2658" t="s">
        <v>16282</v>
      </c>
      <c r="AD2658" s="249" t="str">
        <f>HYPERLINK("https://scontent.cdninstagram.com/t51.2885-15/s320x320/e35/21042430_1925258507723149_1913758120526479360_n.jpg")</f>
        <v>https://scontent.cdninstagram.com/t51.2885-15/s320x320/e35/21042430_1925258507723149_1913758120526479360_n.jpg</v>
      </c>
      <c r="AE2658" s="249" t="str">
        <f>HYPERLINK("https://scontent.cdninstagram.com/t51.2885-19/s150x150/17494603_1012709575539141_6393665368262443008_a.jpg")</f>
        <v>https://scontent.cdninstagram.com/t51.2885-19/s150x150/17494603_1012709575539141_6393665368262443008_a.jpg</v>
      </c>
    </row>
    <row r="2659" spans="1:31" ht="15" x14ac:dyDescent="0.25">
      <c r="A2659" t="s">
        <v>2474</v>
      </c>
      <c r="B2659" t="s">
        <v>16283</v>
      </c>
      <c r="C2659" s="221">
        <v>42971.728009259263</v>
      </c>
      <c r="D2659" t="s">
        <v>16284</v>
      </c>
      <c r="E2659" s="249" t="str">
        <f>HYPERLINK("https://www.instagram.com/p/BYMQ6FBhfRs/")</f>
        <v>https://www.instagram.com/p/BYMQ6FBhfRs/</v>
      </c>
      <c r="F2659" t="s">
        <v>16285</v>
      </c>
      <c r="G2659" t="s">
        <v>2478</v>
      </c>
      <c r="H2659">
        <v>397</v>
      </c>
      <c r="I2659" t="s">
        <v>2479</v>
      </c>
      <c r="J2659">
        <v>0</v>
      </c>
      <c r="K2659">
        <v>11</v>
      </c>
      <c r="L2659">
        <v>11</v>
      </c>
      <c r="Q2659">
        <v>0</v>
      </c>
      <c r="R2659">
        <v>0</v>
      </c>
      <c r="S2659">
        <v>11</v>
      </c>
      <c r="Y2659" t="s">
        <v>3706</v>
      </c>
      <c r="Z2659" t="s">
        <v>2562</v>
      </c>
      <c r="AA2659" t="s">
        <v>2497</v>
      </c>
      <c r="AB2659" t="s">
        <v>2730</v>
      </c>
      <c r="AC2659" t="s">
        <v>16286</v>
      </c>
      <c r="AD2659" s="249" t="str">
        <f>HYPERLINK("https://scontent.cdninstagram.com/t51.2885-15/s320x320/e35/20987337_340344193083214_7909479221032910848_n.jpg")</f>
        <v>https://scontent.cdninstagram.com/t51.2885-15/s320x320/e35/20987337_340344193083214_7909479221032910848_n.jpg</v>
      </c>
      <c r="AE2659" s="249" t="str">
        <f>HYPERLINK("https://scontent.cdninstagram.com/t51.2885-19/s150x150/18721986_1318208818257590_2749831813168889856_a.jpg")</f>
        <v>https://scontent.cdninstagram.com/t51.2885-19/s150x150/18721986_1318208818257590_2749831813168889856_a.jpg</v>
      </c>
    </row>
    <row r="2660" spans="1:31" ht="15" x14ac:dyDescent="0.25">
      <c r="A2660" t="s">
        <v>2474</v>
      </c>
      <c r="B2660" t="s">
        <v>16287</v>
      </c>
      <c r="C2660" s="221">
        <v>42971.736331018517</v>
      </c>
      <c r="D2660" t="s">
        <v>16288</v>
      </c>
      <c r="E2660" s="249" t="str">
        <f>HYPERLINK("https://www.instagram.com/p/BYMSR4uHIyz/")</f>
        <v>https://www.instagram.com/p/BYMSR4uHIyz/</v>
      </c>
      <c r="F2660" t="s">
        <v>16289</v>
      </c>
      <c r="G2660" t="s">
        <v>2478</v>
      </c>
      <c r="H2660">
        <v>312</v>
      </c>
      <c r="I2660" t="s">
        <v>3170</v>
      </c>
      <c r="J2660">
        <v>9</v>
      </c>
      <c r="K2660">
        <v>60</v>
      </c>
      <c r="L2660">
        <v>69</v>
      </c>
      <c r="Q2660">
        <v>0</v>
      </c>
      <c r="R2660">
        <v>0</v>
      </c>
      <c r="S2660">
        <v>69</v>
      </c>
      <c r="Y2660" t="s">
        <v>2497</v>
      </c>
      <c r="Z2660" t="s">
        <v>8007</v>
      </c>
      <c r="AA2660" t="s">
        <v>4369</v>
      </c>
      <c r="AB2660" t="s">
        <v>16290</v>
      </c>
      <c r="AD2660" s="249" t="str">
        <f>HYPERLINK("https://scontent.cdninstagram.com/t51.2885-15/s320x320/e35/20905553_294593951008261_5347582601072738304_n.jpg")</f>
        <v>https://scontent.cdninstagram.com/t51.2885-15/s320x320/e35/20905553_294593951008261_5347582601072738304_n.jpg</v>
      </c>
      <c r="AE2660" s="249" t="str">
        <f>HYPERLINK("https://scontent.cdninstagram.com/t51.2885-19/s150x150/17265921_655724671285754_7186728137416245248_a.jpg")</f>
        <v>https://scontent.cdninstagram.com/t51.2885-19/s150x150/17265921_655724671285754_7186728137416245248_a.jpg</v>
      </c>
    </row>
    <row r="2661" spans="1:31" ht="15" x14ac:dyDescent="0.25">
      <c r="A2661" t="s">
        <v>2474</v>
      </c>
      <c r="B2661" t="s">
        <v>16291</v>
      </c>
      <c r="C2661" s="221">
        <v>42971.743900462963</v>
      </c>
      <c r="D2661" t="s">
        <v>16292</v>
      </c>
      <c r="E2661" s="249" t="str">
        <f>HYPERLINK("https://www.instagram.com/p/BYMThuIFSyI/")</f>
        <v>https://www.instagram.com/p/BYMThuIFSyI/</v>
      </c>
      <c r="F2661" t="s">
        <v>16293</v>
      </c>
      <c r="G2661" t="s">
        <v>2478</v>
      </c>
      <c r="H2661">
        <v>326</v>
      </c>
      <c r="I2661" t="s">
        <v>2479</v>
      </c>
      <c r="J2661">
        <v>0</v>
      </c>
      <c r="K2661">
        <v>3</v>
      </c>
      <c r="L2661">
        <v>3</v>
      </c>
      <c r="Q2661">
        <v>0</v>
      </c>
      <c r="R2661">
        <v>0</v>
      </c>
      <c r="S2661">
        <v>3</v>
      </c>
      <c r="Y2661" t="s">
        <v>16294</v>
      </c>
      <c r="Z2661" t="s">
        <v>16295</v>
      </c>
      <c r="AA2661" t="s">
        <v>2497</v>
      </c>
      <c r="AD2661" s="249" t="str">
        <f>HYPERLINK("https://scontent.cdninstagram.com/t51.2885-15/s320x320/e35/21041628_996289610474736_8601938394232127488_n.jpg")</f>
        <v>https://scontent.cdninstagram.com/t51.2885-15/s320x320/e35/21041628_996289610474736_8601938394232127488_n.jpg</v>
      </c>
      <c r="AE2661" s="249" t="str">
        <f>HYPERLINK("https://scontent.cdninstagram.com/t51.2885-19/s150x150/21041293_306750659790792_5030857762611920896_a.jpg")</f>
        <v>https://scontent.cdninstagram.com/t51.2885-19/s150x150/21041293_306750659790792_5030857762611920896_a.jpg</v>
      </c>
    </row>
    <row r="2662" spans="1:31" ht="15" x14ac:dyDescent="0.25">
      <c r="A2662" t="s">
        <v>2474</v>
      </c>
      <c r="B2662" t="s">
        <v>16296</v>
      </c>
      <c r="C2662" s="221">
        <v>42971.744641203702</v>
      </c>
      <c r="D2662" t="s">
        <v>16297</v>
      </c>
      <c r="E2662" s="249" t="str">
        <f>HYPERLINK("https://www.instagram.com/p/BYMTph0FZRi/")</f>
        <v>https://www.instagram.com/p/BYMTph0FZRi/</v>
      </c>
      <c r="F2662" t="s">
        <v>16298</v>
      </c>
      <c r="G2662" t="s">
        <v>2478</v>
      </c>
      <c r="H2662">
        <v>1766</v>
      </c>
      <c r="I2662" t="s">
        <v>2479</v>
      </c>
      <c r="J2662">
        <v>1</v>
      </c>
      <c r="K2662">
        <v>30</v>
      </c>
      <c r="L2662">
        <v>31</v>
      </c>
      <c r="Q2662">
        <v>0</v>
      </c>
      <c r="R2662">
        <v>0</v>
      </c>
      <c r="S2662">
        <v>31</v>
      </c>
      <c r="Y2662" t="s">
        <v>16299</v>
      </c>
      <c r="Z2662" t="s">
        <v>16300</v>
      </c>
      <c r="AA2662" t="s">
        <v>16301</v>
      </c>
      <c r="AB2662" t="s">
        <v>6864</v>
      </c>
      <c r="AC2662" t="s">
        <v>16302</v>
      </c>
      <c r="AD2662" s="249" t="str">
        <f>HYPERLINK("https://scontent.cdninstagram.com/t51.2885-15/s320x320/e35/21042387_2024027771162510_7724321776448045056_n.jpg")</f>
        <v>https://scontent.cdninstagram.com/t51.2885-15/s320x320/e35/21042387_2024027771162510_7724321776448045056_n.jpg</v>
      </c>
      <c r="AE2662" s="249" t="str">
        <f>HYPERLINK("https://scontent.cdninstagram.com/t51.2885-19/s150x150/18012007_1872551519634939_6019607707152023552_a.jpg")</f>
        <v>https://scontent.cdninstagram.com/t51.2885-19/s150x150/18012007_1872551519634939_6019607707152023552_a.jpg</v>
      </c>
    </row>
    <row r="2663" spans="1:31" ht="15" x14ac:dyDescent="0.25">
      <c r="A2663" t="s">
        <v>2474</v>
      </c>
      <c r="B2663" t="s">
        <v>16303</v>
      </c>
      <c r="C2663" s="221">
        <v>42971.744687500002</v>
      </c>
      <c r="D2663" t="s">
        <v>16304</v>
      </c>
      <c r="E2663" s="249" t="str">
        <f>HYPERLINK("https://www.instagram.com/p/BYMTqAPhuTp/")</f>
        <v>https://www.instagram.com/p/BYMTqAPhuTp/</v>
      </c>
      <c r="F2663" t="s">
        <v>16305</v>
      </c>
      <c r="G2663" t="s">
        <v>2631</v>
      </c>
      <c r="H2663">
        <v>441</v>
      </c>
      <c r="I2663" t="s">
        <v>2479</v>
      </c>
      <c r="J2663">
        <v>4</v>
      </c>
      <c r="K2663">
        <v>53</v>
      </c>
      <c r="L2663">
        <v>57</v>
      </c>
      <c r="Q2663">
        <v>0</v>
      </c>
      <c r="R2663">
        <v>0</v>
      </c>
      <c r="S2663">
        <v>57</v>
      </c>
      <c r="Y2663" t="s">
        <v>9136</v>
      </c>
      <c r="Z2663" t="s">
        <v>16306</v>
      </c>
      <c r="AA2663" t="s">
        <v>3982</v>
      </c>
      <c r="AB2663" t="s">
        <v>16307</v>
      </c>
      <c r="AC2663" t="s">
        <v>11249</v>
      </c>
      <c r="AD2663" s="249" t="str">
        <f>HYPERLINK("https://scontent.cdninstagram.com/t51.2885-15/s320x320/e15/20987575_689097684617916_495466220380749824_n.jpg")</f>
        <v>https://scontent.cdninstagram.com/t51.2885-15/s320x320/e15/20987575_689097684617916_495466220380749824_n.jpg</v>
      </c>
      <c r="AE2663" s="249" t="str">
        <f>HYPERLINK("https://scontent.cdninstagram.com/t51.2885-19/s150x150/20688750_101276063914017_5523583196857368576_a.jpg")</f>
        <v>https://scontent.cdninstagram.com/t51.2885-19/s150x150/20688750_101276063914017_5523583196857368576_a.jpg</v>
      </c>
    </row>
    <row r="2664" spans="1:31" ht="15" x14ac:dyDescent="0.25">
      <c r="A2664" t="s">
        <v>2474</v>
      </c>
      <c r="B2664" t="s">
        <v>15801</v>
      </c>
      <c r="C2664" s="221">
        <v>42971.754988425928</v>
      </c>
      <c r="D2664" t="s">
        <v>16308</v>
      </c>
      <c r="E2664" s="249" t="str">
        <f>HYPERLINK("https://www.instagram.com/p/BYMVWo-lk8L/")</f>
        <v>https://www.instagram.com/p/BYMVWo-lk8L/</v>
      </c>
      <c r="F2664" t="s">
        <v>16309</v>
      </c>
      <c r="G2664" t="s">
        <v>2478</v>
      </c>
      <c r="H2664">
        <v>209</v>
      </c>
      <c r="I2664" t="s">
        <v>2510</v>
      </c>
      <c r="J2664">
        <v>1</v>
      </c>
      <c r="K2664">
        <v>24</v>
      </c>
      <c r="L2664">
        <v>25</v>
      </c>
      <c r="Q2664">
        <v>0</v>
      </c>
      <c r="R2664">
        <v>0</v>
      </c>
      <c r="S2664">
        <v>25</v>
      </c>
      <c r="Y2664" t="s">
        <v>16310</v>
      </c>
      <c r="Z2664" t="s">
        <v>3153</v>
      </c>
      <c r="AA2664" t="s">
        <v>16311</v>
      </c>
      <c r="AB2664" t="s">
        <v>16312</v>
      </c>
      <c r="AC2664" t="s">
        <v>16313</v>
      </c>
      <c r="AD2664" s="249" t="str">
        <f>HYPERLINK("https://scontent.cdninstagram.com/t51.2885-15/e35/p320x320/20987467_1515092448557844_5301929890445000704_n.jpg")</f>
        <v>https://scontent.cdninstagram.com/t51.2885-15/e35/p320x320/20987467_1515092448557844_5301929890445000704_n.jpg</v>
      </c>
      <c r="AE2664" s="249" t="str">
        <f>HYPERLINK("https://scontent.cdninstagram.com/t51.2885-19/s150x150/12547279_954947561266331_1148242584_a.jpg")</f>
        <v>https://scontent.cdninstagram.com/t51.2885-19/s150x150/12547279_954947561266331_1148242584_a.jpg</v>
      </c>
    </row>
    <row r="2665" spans="1:31" ht="15" x14ac:dyDescent="0.25">
      <c r="A2665" t="s">
        <v>2474</v>
      </c>
      <c r="B2665" t="s">
        <v>16314</v>
      </c>
      <c r="C2665" s="221">
        <v>42971.755358796298</v>
      </c>
      <c r="D2665" t="s">
        <v>16315</v>
      </c>
      <c r="E2665" s="249" t="str">
        <f>HYPERLINK("https://www.instagram.com/p/BYMVagvBHCo/")</f>
        <v>https://www.instagram.com/p/BYMVagvBHCo/</v>
      </c>
      <c r="F2665" t="s">
        <v>16316</v>
      </c>
      <c r="G2665" t="s">
        <v>2478</v>
      </c>
      <c r="H2665">
        <v>107</v>
      </c>
      <c r="I2665" t="s">
        <v>2903</v>
      </c>
      <c r="J2665">
        <v>1</v>
      </c>
      <c r="K2665">
        <v>30</v>
      </c>
      <c r="L2665">
        <v>31</v>
      </c>
      <c r="Q2665">
        <v>0</v>
      </c>
      <c r="R2665">
        <v>0</v>
      </c>
      <c r="S2665">
        <v>31</v>
      </c>
      <c r="Y2665" t="s">
        <v>8054</v>
      </c>
      <c r="Z2665" t="s">
        <v>2492</v>
      </c>
      <c r="AA2665" t="s">
        <v>16317</v>
      </c>
      <c r="AB2665" t="s">
        <v>16318</v>
      </c>
      <c r="AC2665" t="s">
        <v>13689</v>
      </c>
      <c r="AD2665" s="249" t="str">
        <f>HYPERLINK("https://scontent.cdninstagram.com/t51.2885-15/s320x320/e35/21107445_741049429435602_7240287053907230720_n.jpg")</f>
        <v>https://scontent.cdninstagram.com/t51.2885-15/s320x320/e35/21107445_741049429435602_7240287053907230720_n.jpg</v>
      </c>
      <c r="AE2665" s="249" t="str">
        <f>HYPERLINK("https://scontent.cdninstagram.com/t51.2885-19/s150x150/21107446_1257365961042055_6609621370491895808_n.jpg")</f>
        <v>https://scontent.cdninstagram.com/t51.2885-19/s150x150/21107446_1257365961042055_6609621370491895808_n.jpg</v>
      </c>
    </row>
    <row r="2666" spans="1:31" ht="15" x14ac:dyDescent="0.25">
      <c r="A2666" t="s">
        <v>2474</v>
      </c>
      <c r="B2666" t="s">
        <v>16319</v>
      </c>
      <c r="C2666" s="221">
        <v>42971.759675925925</v>
      </c>
      <c r="D2666" t="s">
        <v>16320</v>
      </c>
      <c r="E2666" s="249" t="str">
        <f>HYPERLINK("https://www.instagram.com/p/BYMWICpFwZ7/")</f>
        <v>https://www.instagram.com/p/BYMWICpFwZ7/</v>
      </c>
      <c r="F2666" t="s">
        <v>16321</v>
      </c>
      <c r="G2666" t="s">
        <v>2478</v>
      </c>
      <c r="H2666">
        <v>8</v>
      </c>
      <c r="I2666" t="s">
        <v>2479</v>
      </c>
      <c r="J2666">
        <v>0</v>
      </c>
      <c r="K2666">
        <v>33</v>
      </c>
      <c r="L2666">
        <v>33</v>
      </c>
      <c r="Q2666">
        <v>0</v>
      </c>
      <c r="R2666">
        <v>0</v>
      </c>
      <c r="S2666">
        <v>33</v>
      </c>
      <c r="Y2666" t="s">
        <v>16322</v>
      </c>
      <c r="Z2666" t="s">
        <v>4240</v>
      </c>
      <c r="AA2666" t="s">
        <v>16323</v>
      </c>
      <c r="AB2666" t="s">
        <v>3663</v>
      </c>
      <c r="AC2666" t="s">
        <v>16324</v>
      </c>
      <c r="AD2666" s="249" t="str">
        <f>HYPERLINK("https://scontent.cdninstagram.com/t51.2885-15/s320x320/e15/20986957_1876926529291043_7995973243829747712_n.jpg")</f>
        <v>https://scontent.cdninstagram.com/t51.2885-15/s320x320/e15/20986957_1876926529291043_7995973243829747712_n.jpg</v>
      </c>
      <c r="AE2666" s="249" t="str">
        <f>HYPERLINK("https://scontent.cdninstagram.com/t51.2885-19/s150x150/21041615_434812040245887_1312412860285976576_a.jpg")</f>
        <v>https://scontent.cdninstagram.com/t51.2885-19/s150x150/21041615_434812040245887_1312412860285976576_a.jpg</v>
      </c>
    </row>
    <row r="2667" spans="1:31" ht="15" x14ac:dyDescent="0.25">
      <c r="A2667" t="s">
        <v>2474</v>
      </c>
      <c r="B2667" t="s">
        <v>16325</v>
      </c>
      <c r="C2667" s="221">
        <v>42971.762627314813</v>
      </c>
      <c r="D2667" t="s">
        <v>16326</v>
      </c>
      <c r="E2667" s="249" t="str">
        <f>HYPERLINK("https://www.instagram.com/p/BYMWnRVBoaO/")</f>
        <v>https://www.instagram.com/p/BYMWnRVBoaO/</v>
      </c>
      <c r="F2667" t="s">
        <v>16327</v>
      </c>
      <c r="G2667" t="s">
        <v>2478</v>
      </c>
      <c r="H2667">
        <v>165</v>
      </c>
      <c r="I2667" t="s">
        <v>2479</v>
      </c>
      <c r="J2667">
        <v>0</v>
      </c>
      <c r="K2667">
        <v>18</v>
      </c>
      <c r="L2667">
        <v>18</v>
      </c>
      <c r="Q2667">
        <v>0</v>
      </c>
      <c r="R2667">
        <v>0</v>
      </c>
      <c r="S2667">
        <v>18</v>
      </c>
      <c r="Y2667" t="s">
        <v>16328</v>
      </c>
      <c r="Z2667" t="s">
        <v>5229</v>
      </c>
      <c r="AA2667" t="s">
        <v>2497</v>
      </c>
      <c r="AB2667" t="s">
        <v>16329</v>
      </c>
      <c r="AC2667" t="s">
        <v>16330</v>
      </c>
      <c r="AD2667" s="249" t="str">
        <f>HYPERLINK("https://scontent.cdninstagram.com/t51.2885-15/s320x320/e35/20987325_140908333179332_7335645678749614080_n.jpg")</f>
        <v>https://scontent.cdninstagram.com/t51.2885-15/s320x320/e35/20987325_140908333179332_7335645678749614080_n.jpg</v>
      </c>
      <c r="AE2667" s="249" t="str">
        <f>HYPERLINK("https://scontent.cdninstagram.com/t51.2885-19/11230543_1618011361744148_1396750209_a.jpg")</f>
        <v>https://scontent.cdninstagram.com/t51.2885-19/11230543_1618011361744148_1396750209_a.jpg</v>
      </c>
    </row>
    <row r="2668" spans="1:31" ht="15" x14ac:dyDescent="0.25">
      <c r="A2668" t="s">
        <v>2474</v>
      </c>
      <c r="B2668" t="s">
        <v>16331</v>
      </c>
      <c r="C2668" s="221">
        <v>42971.763657407406</v>
      </c>
      <c r="D2668" t="s">
        <v>16332</v>
      </c>
      <c r="E2668" s="249" t="str">
        <f>HYPERLINK("https://www.instagram.com/p/BYMWyIMnayI/")</f>
        <v>https://www.instagram.com/p/BYMWyIMnayI/</v>
      </c>
      <c r="F2668" t="s">
        <v>16333</v>
      </c>
      <c r="G2668" t="s">
        <v>2631</v>
      </c>
      <c r="H2668">
        <v>10</v>
      </c>
      <c r="I2668" t="s">
        <v>2479</v>
      </c>
      <c r="J2668">
        <v>1</v>
      </c>
      <c r="K2668">
        <v>13</v>
      </c>
      <c r="L2668">
        <v>14</v>
      </c>
      <c r="Q2668">
        <v>0</v>
      </c>
      <c r="R2668">
        <v>0</v>
      </c>
      <c r="S2668">
        <v>14</v>
      </c>
      <c r="Y2668" t="s">
        <v>3633</v>
      </c>
      <c r="Z2668" t="s">
        <v>16334</v>
      </c>
      <c r="AA2668" t="s">
        <v>14880</v>
      </c>
      <c r="AB2668" t="s">
        <v>16335</v>
      </c>
      <c r="AC2668" t="s">
        <v>16336</v>
      </c>
      <c r="AD2668" s="249" t="str">
        <f>HYPERLINK("https://scontent.cdninstagram.com/t51.2885-15/e15/p320x320/21041344_1374776272633524_5039250420766081024_n.jpg")</f>
        <v>https://scontent.cdninstagram.com/t51.2885-15/e15/p320x320/21041344_1374776272633524_5039250420766081024_n.jpg</v>
      </c>
      <c r="AE2668" s="249" t="str">
        <f>HYPERLINK("https://scontent.cdninstagram.com/t51.2885-19/s150x150/12940845_990311751056832_1778130239_a.jpg")</f>
        <v>https://scontent.cdninstagram.com/t51.2885-19/s150x150/12940845_990311751056832_1778130239_a.jpg</v>
      </c>
    </row>
    <row r="2669" spans="1:31" ht="15" x14ac:dyDescent="0.25">
      <c r="A2669" t="s">
        <v>2474</v>
      </c>
      <c r="B2669" t="s">
        <v>16337</v>
      </c>
      <c r="C2669" s="221">
        <v>42971.770775462966</v>
      </c>
      <c r="D2669" t="s">
        <v>16338</v>
      </c>
      <c r="E2669" s="249" t="str">
        <f>HYPERLINK("https://www.instagram.com/p/BYMX9K5D0vD/")</f>
        <v>https://www.instagram.com/p/BYMX9K5D0vD/</v>
      </c>
      <c r="F2669" t="s">
        <v>16339</v>
      </c>
      <c r="G2669" t="s">
        <v>2478</v>
      </c>
      <c r="H2669">
        <v>47</v>
      </c>
      <c r="I2669" t="s">
        <v>2479</v>
      </c>
      <c r="J2669">
        <v>4</v>
      </c>
      <c r="K2669">
        <v>33</v>
      </c>
      <c r="L2669">
        <v>37</v>
      </c>
      <c r="Q2669">
        <v>0</v>
      </c>
      <c r="R2669">
        <v>0</v>
      </c>
      <c r="S2669">
        <v>37</v>
      </c>
      <c r="Y2669" t="s">
        <v>16340</v>
      </c>
      <c r="Z2669" t="s">
        <v>4660</v>
      </c>
      <c r="AA2669" t="s">
        <v>16341</v>
      </c>
      <c r="AB2669" t="s">
        <v>16342</v>
      </c>
      <c r="AC2669" t="s">
        <v>16343</v>
      </c>
      <c r="AD2669" s="249" t="str">
        <f>HYPERLINK("https://scontent.cdninstagram.com/t51.2885-15/e35/p320x320/20986709_469277386787894_7584480342824714240_n.jpg")</f>
        <v>https://scontent.cdninstagram.com/t51.2885-15/e35/p320x320/20986709_469277386787894_7584480342824714240_n.jpg</v>
      </c>
      <c r="AE2669" s="249" t="str">
        <f>HYPERLINK("https://scontent.cdninstagram.com/t51.2885-19/s150x150/21041438_1822462627771408_4565737139739820032_a.jpg")</f>
        <v>https://scontent.cdninstagram.com/t51.2885-19/s150x150/21041438_1822462627771408_4565737139739820032_a.jpg</v>
      </c>
    </row>
    <row r="2670" spans="1:31" ht="15" x14ac:dyDescent="0.25">
      <c r="A2670" t="s">
        <v>2474</v>
      </c>
      <c r="B2670" t="s">
        <v>16344</v>
      </c>
      <c r="C2670" s="221">
        <v>42971.775185185186</v>
      </c>
      <c r="D2670" t="s">
        <v>16345</v>
      </c>
      <c r="E2670" s="249" t="str">
        <f>HYPERLINK("https://www.instagram.com/p/BYMYrn0j3Ea/")</f>
        <v>https://www.instagram.com/p/BYMYrn0j3Ea/</v>
      </c>
      <c r="F2670" t="s">
        <v>16346</v>
      </c>
      <c r="G2670" t="s">
        <v>2478</v>
      </c>
      <c r="H2670">
        <v>685</v>
      </c>
      <c r="I2670" t="s">
        <v>2599</v>
      </c>
      <c r="J2670">
        <v>5</v>
      </c>
      <c r="K2670">
        <v>28</v>
      </c>
      <c r="L2670">
        <v>33</v>
      </c>
      <c r="Q2670">
        <v>0</v>
      </c>
      <c r="R2670">
        <v>0</v>
      </c>
      <c r="S2670">
        <v>33</v>
      </c>
      <c r="Y2670" t="s">
        <v>16347</v>
      </c>
      <c r="Z2670" t="s">
        <v>3952</v>
      </c>
      <c r="AA2670" t="s">
        <v>16348</v>
      </c>
      <c r="AB2670" t="s">
        <v>2497</v>
      </c>
      <c r="AD2670" s="249" t="str">
        <f>HYPERLINK("https://scontent.cdninstagram.com/t51.2885-15/s320x320/e35/21107402_115789605810876_1741354705881137152_n.jpg")</f>
        <v>https://scontent.cdninstagram.com/t51.2885-15/s320x320/e35/21107402_115789605810876_1741354705881137152_n.jpg</v>
      </c>
      <c r="AE2670" s="249" t="str">
        <f>HYPERLINK("https://scontent.cdninstagram.com/t51.2885-19/s150x150/20583000_503847503299867_5802533140819869696_a.jpg")</f>
        <v>https://scontent.cdninstagram.com/t51.2885-19/s150x150/20583000_503847503299867_5802533140819869696_a.jpg</v>
      </c>
    </row>
    <row r="2671" spans="1:31" ht="15" x14ac:dyDescent="0.25">
      <c r="A2671" t="s">
        <v>2474</v>
      </c>
      <c r="B2671" t="s">
        <v>16349</v>
      </c>
      <c r="C2671" s="221">
        <v>42971.776134259257</v>
      </c>
      <c r="D2671" t="s">
        <v>16350</v>
      </c>
      <c r="E2671" s="249" t="str">
        <f>HYPERLINK("https://www.instagram.com/p/BYMY1s0H_eN/")</f>
        <v>https://www.instagram.com/p/BYMY1s0H_eN/</v>
      </c>
      <c r="F2671" t="s">
        <v>16351</v>
      </c>
      <c r="G2671" t="s">
        <v>2478</v>
      </c>
      <c r="H2671">
        <v>436</v>
      </c>
      <c r="I2671" t="s">
        <v>3273</v>
      </c>
      <c r="J2671">
        <v>0</v>
      </c>
      <c r="K2671">
        <v>11</v>
      </c>
      <c r="L2671">
        <v>11</v>
      </c>
      <c r="Q2671">
        <v>0</v>
      </c>
      <c r="R2671">
        <v>0</v>
      </c>
      <c r="S2671">
        <v>11</v>
      </c>
      <c r="Y2671" t="s">
        <v>2497</v>
      </c>
      <c r="Z2671" t="s">
        <v>16352</v>
      </c>
      <c r="AA2671" t="s">
        <v>12213</v>
      </c>
      <c r="AD2671" s="249" t="str">
        <f>HYPERLINK("https://scontent.cdninstagram.com/t51.2885-15/e35/p320x320/20986823_166573157243680_2812179349438988288_n.jpg")</f>
        <v>https://scontent.cdninstagram.com/t51.2885-15/e35/p320x320/20986823_166573157243680_2812179349438988288_n.jpg</v>
      </c>
      <c r="AE2671" s="249" t="str">
        <f>HYPERLINK("https://scontent.cdninstagram.com/t51.2885-19/s150x150/20687833_322321514883499_4100060911308374016_a.jpg")</f>
        <v>https://scontent.cdninstagram.com/t51.2885-19/s150x150/20687833_322321514883499_4100060911308374016_a.jpg</v>
      </c>
    </row>
    <row r="2672" spans="1:31" ht="15" x14ac:dyDescent="0.25">
      <c r="A2672" t="s">
        <v>2474</v>
      </c>
      <c r="B2672" t="s">
        <v>16353</v>
      </c>
      <c r="C2672" s="221">
        <v>42971.800763888888</v>
      </c>
      <c r="D2672" t="s">
        <v>16354</v>
      </c>
      <c r="E2672" s="249" t="str">
        <f>HYPERLINK("https://www.instagram.com/p/BYMc5Yhg2b_/")</f>
        <v>https://www.instagram.com/p/BYMc5Yhg2b_/</v>
      </c>
      <c r="F2672" t="s">
        <v>16355</v>
      </c>
      <c r="G2672" t="s">
        <v>2478</v>
      </c>
      <c r="H2672">
        <v>2357</v>
      </c>
      <c r="I2672" t="s">
        <v>2479</v>
      </c>
      <c r="J2672">
        <v>8</v>
      </c>
      <c r="K2672">
        <v>47</v>
      </c>
      <c r="L2672">
        <v>55</v>
      </c>
      <c r="Q2672">
        <v>0</v>
      </c>
      <c r="R2672">
        <v>0</v>
      </c>
      <c r="S2672">
        <v>55</v>
      </c>
      <c r="T2672" t="s">
        <v>16356</v>
      </c>
      <c r="V2672" t="s">
        <v>2176</v>
      </c>
      <c r="W2672">
        <v>26.916699999999999</v>
      </c>
      <c r="X2672">
        <v>75.816699999999997</v>
      </c>
      <c r="Y2672" t="s">
        <v>16357</v>
      </c>
      <c r="Z2672" t="s">
        <v>2497</v>
      </c>
      <c r="AD2672" s="249" t="str">
        <f>HYPERLINK("https://scontent.cdninstagram.com/t51.2885-15/s320x320/e35/20987006_142070189724374_8310779541874278400_n.jpg")</f>
        <v>https://scontent.cdninstagram.com/t51.2885-15/s320x320/e35/20987006_142070189724374_8310779541874278400_n.jpg</v>
      </c>
      <c r="AE2672" s="249" t="str">
        <f>HYPERLINK("https://scontent.cdninstagram.com/t51.2885-19/s150x150/19534224_1786363788360800_105050914330509312_a.jpg")</f>
        <v>https://scontent.cdninstagram.com/t51.2885-19/s150x150/19534224_1786363788360800_105050914330509312_a.jpg</v>
      </c>
    </row>
    <row r="2673" spans="1:31" ht="15" x14ac:dyDescent="0.25">
      <c r="A2673" t="s">
        <v>2474</v>
      </c>
      <c r="B2673" t="s">
        <v>16358</v>
      </c>
      <c r="C2673" s="221">
        <v>42971.814201388886</v>
      </c>
      <c r="D2673" t="s">
        <v>16359</v>
      </c>
      <c r="E2673" s="249" t="str">
        <f>HYPERLINK("https://www.instagram.com/p/BYMfHIoAONC/")</f>
        <v>https://www.instagram.com/p/BYMfHIoAONC/</v>
      </c>
      <c r="F2673" t="s">
        <v>16360</v>
      </c>
      <c r="G2673" t="s">
        <v>2478</v>
      </c>
      <c r="H2673">
        <v>2140</v>
      </c>
      <c r="I2673" t="s">
        <v>2896</v>
      </c>
      <c r="J2673">
        <v>0</v>
      </c>
      <c r="K2673">
        <v>21</v>
      </c>
      <c r="L2673">
        <v>21</v>
      </c>
      <c r="Q2673">
        <v>0</v>
      </c>
      <c r="R2673">
        <v>0</v>
      </c>
      <c r="S2673">
        <v>21</v>
      </c>
      <c r="T2673" t="s">
        <v>16361</v>
      </c>
      <c r="V2673" t="s">
        <v>2279</v>
      </c>
      <c r="W2673">
        <v>10.2667</v>
      </c>
      <c r="X2673">
        <v>-61.383299999999998</v>
      </c>
      <c r="Y2673" t="s">
        <v>16362</v>
      </c>
      <c r="Z2673" t="s">
        <v>16363</v>
      </c>
      <c r="AA2673" t="s">
        <v>2497</v>
      </c>
      <c r="AB2673" t="s">
        <v>16364</v>
      </c>
      <c r="AC2673" t="s">
        <v>16365</v>
      </c>
      <c r="AD2673" s="249" t="str">
        <f>HYPERLINK("https://scontent.cdninstagram.com/t51.2885-15/s320x320/e35/21041974_270267693465479_1284044377957597184_n.jpg")</f>
        <v>https://scontent.cdninstagram.com/t51.2885-15/s320x320/e35/21041974_270267693465479_1284044377957597184_n.jpg</v>
      </c>
      <c r="AE2673" s="249" t="str">
        <f>HYPERLINK("https://scontent.cdninstagram.com/t51.2885-19/s150x150/14533495_1207890255937049_6779899704038653952_a.jpg")</f>
        <v>https://scontent.cdninstagram.com/t51.2885-19/s150x150/14533495_1207890255937049_6779899704038653952_a.jpg</v>
      </c>
    </row>
    <row r="2674" spans="1:31" ht="15" x14ac:dyDescent="0.25">
      <c r="A2674" t="s">
        <v>2474</v>
      </c>
      <c r="B2674" t="s">
        <v>16366</v>
      </c>
      <c r="C2674" s="221">
        <v>42971.824421296296</v>
      </c>
      <c r="D2674" t="s">
        <v>16367</v>
      </c>
      <c r="E2674" s="249" t="str">
        <f>HYPERLINK("https://www.instagram.com/p/BYMgy_TFDpl/")</f>
        <v>https://www.instagram.com/p/BYMgy_TFDpl/</v>
      </c>
      <c r="F2674" t="s">
        <v>16368</v>
      </c>
      <c r="G2674" t="s">
        <v>2478</v>
      </c>
      <c r="H2674">
        <v>25450</v>
      </c>
      <c r="I2674" t="s">
        <v>2479</v>
      </c>
      <c r="J2674">
        <v>10</v>
      </c>
      <c r="K2674">
        <v>814</v>
      </c>
      <c r="L2674">
        <v>824</v>
      </c>
      <c r="Q2674">
        <v>0</v>
      </c>
      <c r="R2674">
        <v>0</v>
      </c>
      <c r="S2674">
        <v>824</v>
      </c>
      <c r="Y2674" t="s">
        <v>2906</v>
      </c>
      <c r="Z2674" t="s">
        <v>5838</v>
      </c>
      <c r="AA2674" t="s">
        <v>3768</v>
      </c>
      <c r="AB2674" t="s">
        <v>4988</v>
      </c>
      <c r="AC2674" t="s">
        <v>4733</v>
      </c>
      <c r="AD2674" s="249" t="str">
        <f>HYPERLINK("https://scontent.cdninstagram.com/t51.2885-15/s320x320/e35/20987287_262402704268957_2388078503217070080_n.jpg")</f>
        <v>https://scontent.cdninstagram.com/t51.2885-15/s320x320/e35/20987287_262402704268957_2388078503217070080_n.jpg</v>
      </c>
      <c r="AE2674" s="249" t="str">
        <f>HYPERLINK("https://scontent.cdninstagram.com/t51.2885-19/s150x150/19761346_146332135936283_478197642942218240_a.jpg")</f>
        <v>https://scontent.cdninstagram.com/t51.2885-19/s150x150/19761346_146332135936283_478197642942218240_a.jpg</v>
      </c>
    </row>
    <row r="2675" spans="1:31" ht="15" x14ac:dyDescent="0.25">
      <c r="A2675" t="s">
        <v>2474</v>
      </c>
      <c r="B2675" t="s">
        <v>16369</v>
      </c>
      <c r="C2675" s="221">
        <v>42971.832627314812</v>
      </c>
      <c r="D2675" t="s">
        <v>16370</v>
      </c>
      <c r="E2675" s="249" t="str">
        <f>HYPERLINK("https://www.instagram.com/p/BYMiJfFBWGA/")</f>
        <v>https://www.instagram.com/p/BYMiJfFBWGA/</v>
      </c>
      <c r="F2675" t="s">
        <v>16371</v>
      </c>
      <c r="G2675" t="s">
        <v>2478</v>
      </c>
      <c r="H2675">
        <v>843</v>
      </c>
      <c r="I2675" t="s">
        <v>2479</v>
      </c>
      <c r="J2675">
        <v>1</v>
      </c>
      <c r="K2675">
        <v>38</v>
      </c>
      <c r="L2675">
        <v>39</v>
      </c>
      <c r="Q2675">
        <v>0</v>
      </c>
      <c r="R2675">
        <v>0</v>
      </c>
      <c r="S2675">
        <v>39</v>
      </c>
      <c r="Y2675" t="s">
        <v>14541</v>
      </c>
      <c r="Z2675" t="s">
        <v>3655</v>
      </c>
      <c r="AA2675" t="s">
        <v>12686</v>
      </c>
      <c r="AB2675" t="s">
        <v>2497</v>
      </c>
      <c r="AC2675" t="s">
        <v>16372</v>
      </c>
      <c r="AD2675" s="249" t="str">
        <f>HYPERLINK("https://scontent.cdninstagram.com/t51.2885-15/s320x320/e35/20987429_137626790176297_7740362044779528192_n.jpg")</f>
        <v>https://scontent.cdninstagram.com/t51.2885-15/s320x320/e35/20987429_137626790176297_7740362044779528192_n.jpg</v>
      </c>
      <c r="AE2675" s="249" t="str">
        <f>HYPERLINK("https://scontent.cdninstagram.com/t51.2885-19/s150x150/17881719_617748721752636_7745875829304852480_a.jpg")</f>
        <v>https://scontent.cdninstagram.com/t51.2885-19/s150x150/17881719_617748721752636_7745875829304852480_a.jpg</v>
      </c>
    </row>
    <row r="2676" spans="1:31" ht="15" x14ac:dyDescent="0.25">
      <c r="A2676" t="s">
        <v>2474</v>
      </c>
      <c r="B2676" t="s">
        <v>3015</v>
      </c>
      <c r="C2676" s="221">
        <v>42971.832870370374</v>
      </c>
      <c r="D2676" t="s">
        <v>16373</v>
      </c>
      <c r="E2676" s="249" t="str">
        <f>HYPERLINK("https://www.instagram.com/p/BYMiMCigL-y/")</f>
        <v>https://www.instagram.com/p/BYMiMCigL-y/</v>
      </c>
      <c r="F2676" t="s">
        <v>16374</v>
      </c>
      <c r="G2676" t="s">
        <v>2478</v>
      </c>
      <c r="H2676">
        <v>242</v>
      </c>
      <c r="I2676" t="s">
        <v>2479</v>
      </c>
      <c r="J2676">
        <v>0</v>
      </c>
      <c r="K2676">
        <v>31</v>
      </c>
      <c r="L2676">
        <v>31</v>
      </c>
      <c r="Q2676">
        <v>0</v>
      </c>
      <c r="R2676">
        <v>0</v>
      </c>
      <c r="S2676">
        <v>31</v>
      </c>
      <c r="Y2676" t="s">
        <v>3493</v>
      </c>
      <c r="Z2676" t="s">
        <v>2492</v>
      </c>
      <c r="AA2676" t="s">
        <v>4919</v>
      </c>
      <c r="AB2676" t="s">
        <v>4126</v>
      </c>
      <c r="AC2676" t="s">
        <v>3728</v>
      </c>
      <c r="AD2676" s="249" t="str">
        <f>HYPERLINK("https://scontent.cdninstagram.com/t51.2885-15/s320x320/e35/20987033_162350910988246_8961573731256238080_n.jpg")</f>
        <v>https://scontent.cdninstagram.com/t51.2885-15/s320x320/e35/20987033_162350910988246_8961573731256238080_n.jpg</v>
      </c>
      <c r="AE2676" s="249" t="str">
        <f>HYPERLINK("https://scontent.cdninstagram.com/t51.2885-19/s150x150/19761452_1876060406050696_4275948751316582400_a.jpg")</f>
        <v>https://scontent.cdninstagram.com/t51.2885-19/s150x150/19761452_1876060406050696_4275948751316582400_a.jpg</v>
      </c>
    </row>
    <row r="2677" spans="1:31" ht="15" x14ac:dyDescent="0.25">
      <c r="A2677" t="s">
        <v>2474</v>
      </c>
      <c r="B2677" t="s">
        <v>16375</v>
      </c>
      <c r="C2677" s="221">
        <v>42971.84443287037</v>
      </c>
      <c r="D2677" t="s">
        <v>16376</v>
      </c>
      <c r="E2677" s="249" t="str">
        <f>HYPERLINK("https://www.instagram.com/p/BYMkGDMlr6Z/")</f>
        <v>https://www.instagram.com/p/BYMkGDMlr6Z/</v>
      </c>
      <c r="F2677" t="s">
        <v>16377</v>
      </c>
      <c r="G2677" t="s">
        <v>2478</v>
      </c>
      <c r="H2677">
        <v>3255</v>
      </c>
      <c r="I2677" t="s">
        <v>2479</v>
      </c>
      <c r="J2677">
        <v>0</v>
      </c>
      <c r="K2677">
        <v>117</v>
      </c>
      <c r="L2677">
        <v>117</v>
      </c>
      <c r="Q2677">
        <v>0</v>
      </c>
      <c r="R2677">
        <v>0</v>
      </c>
      <c r="S2677">
        <v>117</v>
      </c>
      <c r="T2677" t="s">
        <v>16378</v>
      </c>
      <c r="V2677" t="s">
        <v>2141</v>
      </c>
      <c r="W2677">
        <v>55.683076922041003</v>
      </c>
      <c r="X2677">
        <v>12.57595539093</v>
      </c>
      <c r="Y2677" t="s">
        <v>16379</v>
      </c>
      <c r="Z2677" t="s">
        <v>16380</v>
      </c>
      <c r="AA2677" t="s">
        <v>16381</v>
      </c>
      <c r="AB2677" t="s">
        <v>16382</v>
      </c>
      <c r="AC2677" t="s">
        <v>16383</v>
      </c>
      <c r="AD2677" s="249" t="str">
        <f>HYPERLINK("https://scontent.cdninstagram.com/t51.2885-15/e35/p320x320/21107551_122782558370275_7257800358582288384_n.jpg")</f>
        <v>https://scontent.cdninstagram.com/t51.2885-15/e35/p320x320/21107551_122782558370275_7257800358582288384_n.jpg</v>
      </c>
      <c r="AE2677" s="249" t="str">
        <f>HYPERLINK("https://scontent.cdninstagram.com/t51.2885-19/10723821_1586423171579253_1984121773_a.jpg")</f>
        <v>https://scontent.cdninstagram.com/t51.2885-19/10723821_1586423171579253_1984121773_a.jpg</v>
      </c>
    </row>
    <row r="2678" spans="1:31" ht="15" x14ac:dyDescent="0.25">
      <c r="A2678" t="s">
        <v>2474</v>
      </c>
      <c r="B2678" t="s">
        <v>16384</v>
      </c>
      <c r="C2678" s="221">
        <v>42971.846539351849</v>
      </c>
      <c r="D2678" t="s">
        <v>16385</v>
      </c>
      <c r="E2678" s="249" t="str">
        <f>HYPERLINK("https://www.instagram.com/p/BYMkcLxFQT2/")</f>
        <v>https://www.instagram.com/p/BYMkcLxFQT2/</v>
      </c>
      <c r="F2678" t="s">
        <v>16386</v>
      </c>
      <c r="G2678" t="s">
        <v>2478</v>
      </c>
      <c r="H2678">
        <v>13356</v>
      </c>
      <c r="I2678" t="s">
        <v>2599</v>
      </c>
      <c r="J2678">
        <v>0</v>
      </c>
      <c r="K2678">
        <v>16</v>
      </c>
      <c r="L2678">
        <v>16</v>
      </c>
      <c r="Q2678">
        <v>0</v>
      </c>
      <c r="R2678">
        <v>0</v>
      </c>
      <c r="S2678">
        <v>16</v>
      </c>
      <c r="T2678" t="s">
        <v>16387</v>
      </c>
      <c r="U2678" t="s">
        <v>97</v>
      </c>
      <c r="V2678" t="s">
        <v>2299</v>
      </c>
      <c r="W2678">
        <v>34.149126350391001</v>
      </c>
      <c r="X2678">
        <v>-118.33850376346</v>
      </c>
      <c r="Y2678" t="s">
        <v>16388</v>
      </c>
      <c r="Z2678" t="s">
        <v>2492</v>
      </c>
      <c r="AA2678" t="s">
        <v>16389</v>
      </c>
      <c r="AB2678" t="s">
        <v>16390</v>
      </c>
      <c r="AC2678" t="s">
        <v>16391</v>
      </c>
      <c r="AD2678" s="249" t="str">
        <f>HYPERLINK("https://scontent.cdninstagram.com/t51.2885-15/s320x320/e35/21040915_112059962806903_6360062738139447296_n.jpg")</f>
        <v>https://scontent.cdninstagram.com/t51.2885-15/s320x320/e35/21040915_112059962806903_6360062738139447296_n.jpg</v>
      </c>
      <c r="AE2678" s="249" t="str">
        <f>HYPERLINK("https://scontent.cdninstagram.com/t51.2885-19/s150x150/15875879_291617221240534_7663548285562388480_n.jpg")</f>
        <v>https://scontent.cdninstagram.com/t51.2885-19/s150x150/15875879_291617221240534_7663548285562388480_n.jpg</v>
      </c>
    </row>
    <row r="2679" spans="1:31" ht="15" x14ac:dyDescent="0.25">
      <c r="A2679" t="s">
        <v>2474</v>
      </c>
      <c r="B2679" t="s">
        <v>3565</v>
      </c>
      <c r="C2679" s="221">
        <v>42971.851261574076</v>
      </c>
      <c r="D2679" t="s">
        <v>16392</v>
      </c>
      <c r="E2679" s="249" t="str">
        <f>HYPERLINK("https://www.instagram.com/p/BYMlOC7g8Zq/")</f>
        <v>https://www.instagram.com/p/BYMlOC7g8Zq/</v>
      </c>
      <c r="F2679" t="s">
        <v>16393</v>
      </c>
      <c r="G2679" t="s">
        <v>2478</v>
      </c>
      <c r="H2679">
        <v>57535</v>
      </c>
      <c r="I2679" t="s">
        <v>2479</v>
      </c>
      <c r="J2679">
        <v>2</v>
      </c>
      <c r="K2679">
        <v>399</v>
      </c>
      <c r="L2679">
        <v>401</v>
      </c>
      <c r="Q2679">
        <v>0</v>
      </c>
      <c r="R2679">
        <v>0</v>
      </c>
      <c r="S2679">
        <v>401</v>
      </c>
      <c r="Y2679" t="s">
        <v>2968</v>
      </c>
      <c r="Z2679" t="s">
        <v>16394</v>
      </c>
      <c r="AA2679" t="s">
        <v>16395</v>
      </c>
      <c r="AB2679" t="s">
        <v>3570</v>
      </c>
      <c r="AC2679" t="s">
        <v>3568</v>
      </c>
      <c r="AD2679" s="249" t="str">
        <f>HYPERLINK("https://scontent.cdninstagram.com/t51.2885-15/s320x320/e35/21041171_346213685834089_7742072047353724928_n.jpg")</f>
        <v>https://scontent.cdninstagram.com/t51.2885-15/s320x320/e35/21041171_346213685834089_7742072047353724928_n.jpg</v>
      </c>
      <c r="AE2679" s="249" t="str">
        <f>HYPERLINK("https://scontent.cdninstagram.com/t51.2885-19/s150x150/10268950_1639938246262719_2023719557_a.jpg")</f>
        <v>https://scontent.cdninstagram.com/t51.2885-19/s150x150/10268950_1639938246262719_2023719557_a.jpg</v>
      </c>
    </row>
    <row r="2680" spans="1:31" ht="15" x14ac:dyDescent="0.25">
      <c r="A2680" t="s">
        <v>2474</v>
      </c>
      <c r="B2680" t="s">
        <v>7793</v>
      </c>
      <c r="C2680" s="221">
        <v>42971.854826388888</v>
      </c>
      <c r="D2680" t="s">
        <v>16396</v>
      </c>
      <c r="E2680" s="249" t="str">
        <f>HYPERLINK("https://www.instagram.com/p/BYMlzmAloIx/")</f>
        <v>https://www.instagram.com/p/BYMlzmAloIx/</v>
      </c>
      <c r="F2680" t="s">
        <v>16397</v>
      </c>
      <c r="G2680" t="s">
        <v>2478</v>
      </c>
      <c r="H2680">
        <v>5777</v>
      </c>
      <c r="I2680" t="s">
        <v>2479</v>
      </c>
      <c r="J2680">
        <v>1</v>
      </c>
      <c r="K2680">
        <v>114</v>
      </c>
      <c r="L2680">
        <v>115</v>
      </c>
      <c r="Q2680">
        <v>0</v>
      </c>
      <c r="R2680">
        <v>0</v>
      </c>
      <c r="S2680">
        <v>115</v>
      </c>
      <c r="T2680" t="s">
        <v>8942</v>
      </c>
      <c r="V2680" t="s">
        <v>2102</v>
      </c>
      <c r="W2680">
        <v>-33.86</v>
      </c>
      <c r="X2680">
        <v>151.21100000000001</v>
      </c>
      <c r="Y2680" t="s">
        <v>10896</v>
      </c>
      <c r="Z2680" t="s">
        <v>3446</v>
      </c>
      <c r="AA2680" t="s">
        <v>2497</v>
      </c>
      <c r="AB2680" t="s">
        <v>7950</v>
      </c>
      <c r="AC2680" t="s">
        <v>4174</v>
      </c>
      <c r="AD2680" s="249" t="str">
        <f>HYPERLINK("https://scontent.cdninstagram.com/t51.2885-15/s320x320/e35/20987129_167890710448198_2857241549308166144_n.jpg")</f>
        <v>https://scontent.cdninstagram.com/t51.2885-15/s320x320/e35/20987129_167890710448198_2857241549308166144_n.jpg</v>
      </c>
      <c r="AE2680" s="249" t="str">
        <f>HYPERLINK("https://scontent.cdninstagram.com/t51.2885-19/s150x150/14295311_507350922808081_1928455761_a.jpg")</f>
        <v>https://scontent.cdninstagram.com/t51.2885-19/s150x150/14295311_507350922808081_1928455761_a.jpg</v>
      </c>
    </row>
    <row r="2681" spans="1:31" ht="15" x14ac:dyDescent="0.25">
      <c r="A2681" t="s">
        <v>2474</v>
      </c>
      <c r="B2681" t="s">
        <v>16398</v>
      </c>
      <c r="C2681" s="221">
        <v>42971.863865740743</v>
      </c>
      <c r="D2681" t="s">
        <v>16399</v>
      </c>
      <c r="E2681" s="249" t="str">
        <f>HYPERLINK("https://www.instagram.com/p/BYMnS9Dn1Rl/")</f>
        <v>https://www.instagram.com/p/BYMnS9Dn1Rl/</v>
      </c>
      <c r="F2681" t="s">
        <v>16400</v>
      </c>
      <c r="G2681" t="s">
        <v>2478</v>
      </c>
      <c r="H2681">
        <v>117</v>
      </c>
      <c r="I2681" t="s">
        <v>2542</v>
      </c>
      <c r="J2681">
        <v>2</v>
      </c>
      <c r="K2681">
        <v>6</v>
      </c>
      <c r="L2681">
        <v>8</v>
      </c>
      <c r="Q2681">
        <v>0</v>
      </c>
      <c r="R2681">
        <v>0</v>
      </c>
      <c r="S2681">
        <v>8</v>
      </c>
      <c r="Y2681" t="s">
        <v>2861</v>
      </c>
      <c r="Z2681" t="s">
        <v>10491</v>
      </c>
      <c r="AA2681" t="s">
        <v>2497</v>
      </c>
      <c r="AB2681" t="s">
        <v>3982</v>
      </c>
      <c r="AC2681" t="s">
        <v>4012</v>
      </c>
      <c r="AD2681" s="249" t="str">
        <f>HYPERLINK("https://scontent.cdninstagram.com/t51.2885-15/s320x320/e35/20902468_1821713281472255_6763961698878488576_n.jpg")</f>
        <v>https://scontent.cdninstagram.com/t51.2885-15/s320x320/e35/20902468_1821713281472255_6763961698878488576_n.jpg</v>
      </c>
      <c r="AE2681" s="249" t="str">
        <f>HYPERLINK("https://scontent.cdninstagram.com/t51.2885-19/s150x150/21107229_287197328429182_2284786377994272768_a.jpg")</f>
        <v>https://scontent.cdninstagram.com/t51.2885-19/s150x150/21107229_287197328429182_2284786377994272768_a.jpg</v>
      </c>
    </row>
    <row r="2682" spans="1:31" ht="15" x14ac:dyDescent="0.25">
      <c r="A2682" t="s">
        <v>2474</v>
      </c>
      <c r="B2682" t="s">
        <v>16401</v>
      </c>
      <c r="C2682" s="221">
        <v>42971.879351851851</v>
      </c>
      <c r="D2682" t="s">
        <v>16402</v>
      </c>
      <c r="E2682" s="249" t="str">
        <f>HYPERLINK("https://www.instagram.com/p/BYMp2O3FibR/")</f>
        <v>https://www.instagram.com/p/BYMp2O3FibR/</v>
      </c>
      <c r="F2682" t="s">
        <v>16403</v>
      </c>
      <c r="G2682" t="s">
        <v>2478</v>
      </c>
      <c r="H2682">
        <v>297</v>
      </c>
      <c r="I2682" t="s">
        <v>2927</v>
      </c>
      <c r="J2682">
        <v>1</v>
      </c>
      <c r="K2682">
        <v>17</v>
      </c>
      <c r="L2682">
        <v>18</v>
      </c>
      <c r="Q2682">
        <v>0</v>
      </c>
      <c r="R2682">
        <v>0</v>
      </c>
      <c r="S2682">
        <v>18</v>
      </c>
      <c r="T2682" t="s">
        <v>16404</v>
      </c>
      <c r="V2682" t="s">
        <v>2212</v>
      </c>
      <c r="W2682">
        <v>19.05</v>
      </c>
      <c r="X2682">
        <v>-98.416700000000006</v>
      </c>
      <c r="Y2682" t="s">
        <v>4407</v>
      </c>
      <c r="Z2682" t="s">
        <v>16405</v>
      </c>
      <c r="AA2682" t="s">
        <v>16406</v>
      </c>
      <c r="AB2682" t="s">
        <v>2497</v>
      </c>
      <c r="AC2682" t="s">
        <v>16407</v>
      </c>
      <c r="AD2682" s="249" t="str">
        <f>HYPERLINK("https://scontent.cdninstagram.com/t51.2885-15/s320x320/e35/21108041_468683593510437_7113459946716397568_n.jpg")</f>
        <v>https://scontent.cdninstagram.com/t51.2885-15/s320x320/e35/21108041_468683593510437_7113459946716397568_n.jpg</v>
      </c>
      <c r="AE2682" s="249" t="str">
        <f>HYPERLINK("https://scontent.cdninstagram.com/t51.2885-19/s150x150/18579863_1537589379585561_4037411988593180672_a.jpg")</f>
        <v>https://scontent.cdninstagram.com/t51.2885-19/s150x150/18579863_1537589379585561_4037411988593180672_a.jpg</v>
      </c>
    </row>
    <row r="2683" spans="1:31" ht="15" x14ac:dyDescent="0.25">
      <c r="A2683" t="s">
        <v>2474</v>
      </c>
      <c r="B2683" t="s">
        <v>16408</v>
      </c>
      <c r="C2683" s="221">
        <v>42971.880474537036</v>
      </c>
      <c r="D2683" t="s">
        <v>16409</v>
      </c>
      <c r="E2683" s="249" t="str">
        <f>HYPERLINK("https://www.instagram.com/p/BYMqCImHgZ-/")</f>
        <v>https://www.instagram.com/p/BYMqCImHgZ-/</v>
      </c>
      <c r="F2683" t="s">
        <v>16410</v>
      </c>
      <c r="G2683" t="s">
        <v>2478</v>
      </c>
      <c r="H2683">
        <v>362</v>
      </c>
      <c r="I2683" t="s">
        <v>2910</v>
      </c>
      <c r="J2683">
        <v>0</v>
      </c>
      <c r="K2683">
        <v>23</v>
      </c>
      <c r="L2683">
        <v>23</v>
      </c>
      <c r="Q2683">
        <v>0</v>
      </c>
      <c r="R2683">
        <v>0</v>
      </c>
      <c r="S2683">
        <v>23</v>
      </c>
      <c r="Y2683" t="s">
        <v>16411</v>
      </c>
      <c r="Z2683" t="s">
        <v>16412</v>
      </c>
      <c r="AA2683" t="s">
        <v>16413</v>
      </c>
      <c r="AB2683" t="s">
        <v>16414</v>
      </c>
      <c r="AC2683" t="s">
        <v>16415</v>
      </c>
      <c r="AD2683" s="249" t="str">
        <f>HYPERLINK("https://scontent.cdninstagram.com/t51.2885-15/s320x320/e35/20987158_522998808031282_4827367254419046400_n.jpg")</f>
        <v>https://scontent.cdninstagram.com/t51.2885-15/s320x320/e35/20987158_522998808031282_4827367254419046400_n.jpg</v>
      </c>
      <c r="AE2683" s="249" t="str">
        <f>HYPERLINK("https://scontent.cdninstagram.com/t51.2885-19/s150x150/18514172_418925108489308_2814652267053973504_a.jpg")</f>
        <v>https://scontent.cdninstagram.com/t51.2885-19/s150x150/18514172_418925108489308_2814652267053973504_a.jpg</v>
      </c>
    </row>
    <row r="2684" spans="1:31" ht="15" x14ac:dyDescent="0.25">
      <c r="A2684" t="s">
        <v>2474</v>
      </c>
      <c r="B2684" t="s">
        <v>4616</v>
      </c>
      <c r="C2684" s="221">
        <v>42971.88653935185</v>
      </c>
      <c r="D2684" t="s">
        <v>16416</v>
      </c>
      <c r="E2684" s="249" t="str">
        <f>HYPERLINK("https://www.instagram.com/p/BYMrCHsBtSP/")</f>
        <v>https://www.instagram.com/p/BYMrCHsBtSP/</v>
      </c>
      <c r="F2684" t="s">
        <v>16417</v>
      </c>
      <c r="G2684" t="s">
        <v>2478</v>
      </c>
      <c r="H2684">
        <v>118</v>
      </c>
      <c r="I2684" t="s">
        <v>2479</v>
      </c>
      <c r="J2684">
        <v>0</v>
      </c>
      <c r="K2684">
        <v>28</v>
      </c>
      <c r="L2684">
        <v>28</v>
      </c>
      <c r="Q2684">
        <v>0</v>
      </c>
      <c r="R2684">
        <v>0</v>
      </c>
      <c r="S2684">
        <v>28</v>
      </c>
      <c r="T2684" t="s">
        <v>11493</v>
      </c>
      <c r="V2684" t="s">
        <v>2125</v>
      </c>
      <c r="W2684">
        <v>45.240200000000002</v>
      </c>
      <c r="X2684">
        <v>-79.048599999999993</v>
      </c>
      <c r="Y2684" t="s">
        <v>9549</v>
      </c>
      <c r="Z2684" t="s">
        <v>5587</v>
      </c>
      <c r="AA2684" t="s">
        <v>5007</v>
      </c>
      <c r="AB2684" t="s">
        <v>6429</v>
      </c>
      <c r="AC2684" t="s">
        <v>2944</v>
      </c>
      <c r="AD2684" s="249" t="str">
        <f>HYPERLINK("https://scontent.cdninstagram.com/t51.2885-15/s320x320/e35/20986805_509692822712360_535780290954526720_n.jpg")</f>
        <v>https://scontent.cdninstagram.com/t51.2885-15/s320x320/e35/20986805_509692822712360_535780290954526720_n.jpg</v>
      </c>
      <c r="AE2684" s="249" t="str">
        <f>HYPERLINK("https://scontent.cdninstagram.com/t51.2885-19/s150x150/17494353_1347957098574282_2527511313651859456_a.jpg")</f>
        <v>https://scontent.cdninstagram.com/t51.2885-19/s150x150/17494353_1347957098574282_2527511313651859456_a.jpg</v>
      </c>
    </row>
    <row r="2685" spans="1:31" ht="15" x14ac:dyDescent="0.25">
      <c r="A2685" t="s">
        <v>2474</v>
      </c>
      <c r="B2685" t="s">
        <v>16418</v>
      </c>
      <c r="C2685" s="221">
        <v>42971.887754629628</v>
      </c>
      <c r="D2685" t="s">
        <v>16419</v>
      </c>
      <c r="E2685" s="249" t="str">
        <f>HYPERLINK("https://www.instagram.com/p/BYMrO7IgMfy/")</f>
        <v>https://www.instagram.com/p/BYMrO7IgMfy/</v>
      </c>
      <c r="F2685" t="s">
        <v>16420</v>
      </c>
      <c r="G2685" t="s">
        <v>2478</v>
      </c>
      <c r="H2685">
        <v>10</v>
      </c>
      <c r="I2685" t="s">
        <v>3575</v>
      </c>
      <c r="J2685">
        <v>0</v>
      </c>
      <c r="K2685">
        <v>2</v>
      </c>
      <c r="L2685">
        <v>2</v>
      </c>
      <c r="Q2685">
        <v>0</v>
      </c>
      <c r="R2685">
        <v>0</v>
      </c>
      <c r="S2685">
        <v>2</v>
      </c>
      <c r="Y2685" t="s">
        <v>8862</v>
      </c>
      <c r="Z2685" t="s">
        <v>2497</v>
      </c>
      <c r="AD2685" s="249" t="str">
        <f>HYPERLINK("https://scontent.cdninstagram.com/t51.2885-15/s320x320/e35/20986834_1952813844972814_1695181470986928128_n.jpg")</f>
        <v>https://scontent.cdninstagram.com/t51.2885-15/s320x320/e35/20986834_1952813844972814_1695181470986928128_n.jpg</v>
      </c>
      <c r="AE2685" s="249" t="str">
        <f>HYPERLINK("https://scontent.cdninstagram.com/t51.2885-19/s150x150/17076395_431610993843681_2426595078437863424_a.jpg")</f>
        <v>https://scontent.cdninstagram.com/t51.2885-19/s150x150/17076395_431610993843681_2426595078437863424_a.jpg</v>
      </c>
    </row>
    <row r="2686" spans="1:31" ht="15" x14ac:dyDescent="0.25">
      <c r="A2686" t="s">
        <v>2474</v>
      </c>
      <c r="B2686" t="s">
        <v>16421</v>
      </c>
      <c r="C2686" s="221">
        <v>42971.894409722219</v>
      </c>
      <c r="D2686" t="s">
        <v>16422</v>
      </c>
      <c r="E2686" s="249" t="str">
        <f>HYPERLINK("https://www.instagram.com/p/BYMsVHRgN5W/")</f>
        <v>https://www.instagram.com/p/BYMsVHRgN5W/</v>
      </c>
      <c r="F2686" t="s">
        <v>16423</v>
      </c>
      <c r="G2686" t="s">
        <v>2478</v>
      </c>
      <c r="H2686">
        <v>5618</v>
      </c>
      <c r="I2686" t="s">
        <v>2479</v>
      </c>
      <c r="J2686">
        <v>11</v>
      </c>
      <c r="K2686">
        <v>199</v>
      </c>
      <c r="L2686">
        <v>210</v>
      </c>
      <c r="Q2686">
        <v>0</v>
      </c>
      <c r="R2686">
        <v>0</v>
      </c>
      <c r="S2686">
        <v>210</v>
      </c>
      <c r="Y2686" t="s">
        <v>4571</v>
      </c>
      <c r="Z2686" t="s">
        <v>16424</v>
      </c>
      <c r="AA2686" t="s">
        <v>16425</v>
      </c>
      <c r="AB2686" t="s">
        <v>16426</v>
      </c>
      <c r="AC2686" t="s">
        <v>6272</v>
      </c>
      <c r="AD2686" s="249" t="str">
        <f>HYPERLINK("https://scontent.cdninstagram.com/t51.2885-15/e35/p320x320/21147990_2062257110674295_4807296395503468544_n.jpg")</f>
        <v>https://scontent.cdninstagram.com/t51.2885-15/e35/p320x320/21147990_2062257110674295_4807296395503468544_n.jpg</v>
      </c>
      <c r="AE2686" s="249" t="str">
        <f>HYPERLINK("https://scontent.cdninstagram.com/t51.2885-19/s150x150/19931898_1183020875136852_5595608213568356352_a.jpg")</f>
        <v>https://scontent.cdninstagram.com/t51.2885-19/s150x150/19931898_1183020875136852_5595608213568356352_a.jpg</v>
      </c>
    </row>
    <row r="2687" spans="1:31" ht="15" x14ac:dyDescent="0.25">
      <c r="A2687" t="s">
        <v>2474</v>
      </c>
      <c r="B2687" t="s">
        <v>5699</v>
      </c>
      <c r="C2687" s="221">
        <v>42971.899467592593</v>
      </c>
      <c r="D2687" t="s">
        <v>16427</v>
      </c>
      <c r="E2687" s="249" t="str">
        <f>HYPERLINK("https://www.instagram.com/p/BYMtKdnhU5s/")</f>
        <v>https://www.instagram.com/p/BYMtKdnhU5s/</v>
      </c>
      <c r="F2687" t="s">
        <v>16428</v>
      </c>
      <c r="G2687" t="s">
        <v>2631</v>
      </c>
      <c r="H2687">
        <v>94</v>
      </c>
      <c r="I2687" t="s">
        <v>2542</v>
      </c>
      <c r="J2687">
        <v>0</v>
      </c>
      <c r="K2687">
        <v>33</v>
      </c>
      <c r="L2687">
        <v>33</v>
      </c>
      <c r="Q2687">
        <v>0</v>
      </c>
      <c r="R2687">
        <v>0</v>
      </c>
      <c r="S2687">
        <v>33</v>
      </c>
      <c r="T2687" t="s">
        <v>3474</v>
      </c>
      <c r="V2687" t="s">
        <v>2258</v>
      </c>
      <c r="W2687">
        <v>1.2930600000000001</v>
      </c>
      <c r="X2687">
        <v>103.85599999999999</v>
      </c>
      <c r="Y2687" t="s">
        <v>8951</v>
      </c>
      <c r="Z2687" t="s">
        <v>16429</v>
      </c>
      <c r="AA2687" t="s">
        <v>16430</v>
      </c>
      <c r="AB2687" t="s">
        <v>16431</v>
      </c>
      <c r="AC2687" t="s">
        <v>3479</v>
      </c>
      <c r="AD2687" s="249" t="str">
        <f>HYPERLINK("https://scontent.cdninstagram.com/t51.2885-15/s320x320/e15/21041756_1937746236465655_1101183254817406976_n.jpg")</f>
        <v>https://scontent.cdninstagram.com/t51.2885-15/s320x320/e15/21041756_1937746236465655_1101183254817406976_n.jpg</v>
      </c>
      <c r="AE2687" s="249" t="str">
        <f>HYPERLINK("https://scontent.cdninstagram.com/t51.2885-19/s150x150/18252635_446319085720165_2717160400675143680_a.jpg")</f>
        <v>https://scontent.cdninstagram.com/t51.2885-19/s150x150/18252635_446319085720165_2717160400675143680_a.jpg</v>
      </c>
    </row>
    <row r="2688" spans="1:31" ht="15" x14ac:dyDescent="0.25">
      <c r="A2688" t="s">
        <v>2474</v>
      </c>
      <c r="B2688" t="s">
        <v>7185</v>
      </c>
      <c r="C2688" s="221">
        <v>42971.905578703707</v>
      </c>
      <c r="D2688" t="s">
        <v>16432</v>
      </c>
      <c r="E2688" s="249" t="str">
        <f>HYPERLINK("https://www.instagram.com/p/BYMuK76BPS0/")</f>
        <v>https://www.instagram.com/p/BYMuK76BPS0/</v>
      </c>
      <c r="F2688" t="s">
        <v>16433</v>
      </c>
      <c r="G2688" t="s">
        <v>2478</v>
      </c>
      <c r="H2688">
        <v>461</v>
      </c>
      <c r="I2688" t="s">
        <v>2479</v>
      </c>
      <c r="J2688">
        <v>2</v>
      </c>
      <c r="K2688">
        <v>68</v>
      </c>
      <c r="L2688">
        <v>70</v>
      </c>
      <c r="Q2688">
        <v>0</v>
      </c>
      <c r="R2688">
        <v>0</v>
      </c>
      <c r="S2688">
        <v>70</v>
      </c>
      <c r="T2688" t="s">
        <v>16434</v>
      </c>
      <c r="V2688" t="s">
        <v>2168</v>
      </c>
      <c r="W2688">
        <v>15.53333333</v>
      </c>
      <c r="X2688">
        <v>-89.961111110000004</v>
      </c>
      <c r="Y2688" t="s">
        <v>7710</v>
      </c>
      <c r="Z2688" t="s">
        <v>4863</v>
      </c>
      <c r="AA2688" t="s">
        <v>4653</v>
      </c>
      <c r="AB2688" t="s">
        <v>8340</v>
      </c>
      <c r="AC2688" t="s">
        <v>16435</v>
      </c>
      <c r="AD2688" s="249" t="str">
        <f>HYPERLINK("https://scontent.cdninstagram.com/t51.2885-15/s320x320/e35/21041535_593114027746168_7067497087910281216_n.jpg")</f>
        <v>https://scontent.cdninstagram.com/t51.2885-15/s320x320/e35/21041535_593114027746168_7067497087910281216_n.jpg</v>
      </c>
      <c r="AE2688" s="249" t="str">
        <f>HYPERLINK("https://scontent.cdninstagram.com/t51.2885-19/s150x150/17882752_1488967831123186_392500985118851072_a.jpg")</f>
        <v>https://scontent.cdninstagram.com/t51.2885-19/s150x150/17882752_1488967831123186_392500985118851072_a.jpg</v>
      </c>
    </row>
    <row r="2689" spans="1:31" ht="15" x14ac:dyDescent="0.25">
      <c r="A2689" t="s">
        <v>2474</v>
      </c>
      <c r="B2689" t="s">
        <v>14409</v>
      </c>
      <c r="C2689" s="221">
        <v>42971.906064814815</v>
      </c>
      <c r="D2689" t="s">
        <v>16436</v>
      </c>
      <c r="E2689" s="249" t="str">
        <f>HYPERLINK("https://www.instagram.com/p/BYMuQBFlj6L/")</f>
        <v>https://www.instagram.com/p/BYMuQBFlj6L/</v>
      </c>
      <c r="F2689" t="s">
        <v>16437</v>
      </c>
      <c r="G2689" t="s">
        <v>2631</v>
      </c>
      <c r="H2689">
        <v>210</v>
      </c>
      <c r="I2689" t="s">
        <v>2479</v>
      </c>
      <c r="J2689">
        <v>3</v>
      </c>
      <c r="K2689">
        <v>29</v>
      </c>
      <c r="L2689">
        <v>32</v>
      </c>
      <c r="Q2689">
        <v>0</v>
      </c>
      <c r="R2689">
        <v>0</v>
      </c>
      <c r="S2689">
        <v>32</v>
      </c>
      <c r="T2689" t="s">
        <v>16438</v>
      </c>
      <c r="V2689" t="s">
        <v>2125</v>
      </c>
      <c r="W2689">
        <v>45.450084500000003</v>
      </c>
      <c r="X2689">
        <v>-73.852378200000004</v>
      </c>
      <c r="Y2689" t="s">
        <v>2492</v>
      </c>
      <c r="Z2689" t="s">
        <v>14413</v>
      </c>
      <c r="AA2689" t="s">
        <v>2735</v>
      </c>
      <c r="AB2689" t="s">
        <v>16439</v>
      </c>
      <c r="AC2689" t="s">
        <v>2984</v>
      </c>
      <c r="AD2689" s="249" t="str">
        <f>HYPERLINK("https://scontent.cdninstagram.com/t51.2885-15/s320x320/e15/20987027_116227802436315_8191176024214470656_n.jpg")</f>
        <v>https://scontent.cdninstagram.com/t51.2885-15/s320x320/e15/20987027_116227802436315_8191176024214470656_n.jpg</v>
      </c>
      <c r="AE2689" s="249" t="str">
        <f>HYPERLINK("https://scontent.cdninstagram.com/t51.2885-19/s150x150/18723347_1753882351295840_2938203937695596544_a.jpg")</f>
        <v>https://scontent.cdninstagram.com/t51.2885-19/s150x150/18723347_1753882351295840_2938203937695596544_a.jpg</v>
      </c>
    </row>
    <row r="2690" spans="1:31" ht="15" x14ac:dyDescent="0.25">
      <c r="A2690" t="s">
        <v>2474</v>
      </c>
      <c r="B2690" t="s">
        <v>16440</v>
      </c>
      <c r="C2690" s="221">
        <v>42971.913506944446</v>
      </c>
      <c r="D2690" t="s">
        <v>16441</v>
      </c>
      <c r="E2690" s="249" t="str">
        <f>HYPERLINK("https://www.instagram.com/p/BYMvefpgbc9/")</f>
        <v>https://www.instagram.com/p/BYMvefpgbc9/</v>
      </c>
      <c r="F2690" t="s">
        <v>16442</v>
      </c>
      <c r="G2690" t="s">
        <v>2478</v>
      </c>
      <c r="H2690">
        <v>1171</v>
      </c>
      <c r="I2690" t="s">
        <v>2479</v>
      </c>
      <c r="J2690">
        <v>1</v>
      </c>
      <c r="K2690">
        <v>86</v>
      </c>
      <c r="L2690">
        <v>87</v>
      </c>
      <c r="Q2690">
        <v>0</v>
      </c>
      <c r="R2690">
        <v>0</v>
      </c>
      <c r="S2690">
        <v>87</v>
      </c>
      <c r="Y2690" t="s">
        <v>2492</v>
      </c>
      <c r="Z2690" t="s">
        <v>16443</v>
      </c>
      <c r="AA2690" t="s">
        <v>16444</v>
      </c>
      <c r="AB2690" t="s">
        <v>16445</v>
      </c>
      <c r="AC2690" t="s">
        <v>16446</v>
      </c>
      <c r="AD2690" s="249" t="str">
        <f>HYPERLINK("https://scontent.cdninstagram.com/t51.2885-15/s320x320/e35/20987048_1403205469797758_7833390198892265472_n.jpg")</f>
        <v>https://scontent.cdninstagram.com/t51.2885-15/s320x320/e35/20987048_1403205469797758_7833390198892265472_n.jpg</v>
      </c>
      <c r="AE2690" s="249" t="str">
        <f>HYPERLINK("https://scontent.cdninstagram.com/t51.2885-19/s150x150/914749_1035713493160720_1022238015_a.jpg")</f>
        <v>https://scontent.cdninstagram.com/t51.2885-19/s150x150/914749_1035713493160720_1022238015_a.jpg</v>
      </c>
    </row>
    <row r="2691" spans="1:31" ht="15" x14ac:dyDescent="0.25">
      <c r="A2691" t="s">
        <v>2474</v>
      </c>
      <c r="B2691" t="s">
        <v>14413</v>
      </c>
      <c r="C2691" s="221">
        <v>42971.914340277777</v>
      </c>
      <c r="D2691" t="s">
        <v>16447</v>
      </c>
      <c r="E2691" s="249" t="str">
        <f>HYPERLINK("https://www.instagram.com/p/BYMvnUJBA74/")</f>
        <v>https://www.instagram.com/p/BYMvnUJBA74/</v>
      </c>
      <c r="F2691" t="s">
        <v>16448</v>
      </c>
      <c r="G2691" t="s">
        <v>2631</v>
      </c>
      <c r="H2691">
        <v>103</v>
      </c>
      <c r="I2691" t="s">
        <v>2479</v>
      </c>
      <c r="J2691">
        <v>2</v>
      </c>
      <c r="K2691">
        <v>16</v>
      </c>
      <c r="L2691">
        <v>18</v>
      </c>
      <c r="Q2691">
        <v>0</v>
      </c>
      <c r="R2691">
        <v>0</v>
      </c>
      <c r="S2691">
        <v>18</v>
      </c>
      <c r="Y2691" t="s">
        <v>2492</v>
      </c>
      <c r="Z2691" t="s">
        <v>14413</v>
      </c>
      <c r="AA2691" t="s">
        <v>2735</v>
      </c>
      <c r="AB2691" t="s">
        <v>16439</v>
      </c>
      <c r="AC2691" t="s">
        <v>2984</v>
      </c>
      <c r="AD2691" s="249" t="str">
        <f>HYPERLINK("https://scontent.cdninstagram.com/t51.2885-15/s320x320/e15/21042313_1973968766221996_6506423910643269632_n.jpg")</f>
        <v>https://scontent.cdninstagram.com/t51.2885-15/s320x320/e15/21042313_1973968766221996_6506423910643269632_n.jpg</v>
      </c>
      <c r="AE2691" s="249" t="str">
        <f>HYPERLINK("https://scontent.cdninstagram.com/t51.2885-19/s150x150/13261009_1737842409788971_1138433240_a.jpg")</f>
        <v>https://scontent.cdninstagram.com/t51.2885-19/s150x150/13261009_1737842409788971_1138433240_a.jpg</v>
      </c>
    </row>
    <row r="2692" spans="1:31" ht="15" x14ac:dyDescent="0.25">
      <c r="A2692" t="s">
        <v>2474</v>
      </c>
      <c r="B2692" t="s">
        <v>16449</v>
      </c>
      <c r="C2692" s="221">
        <v>42971.916597222225</v>
      </c>
      <c r="D2692" t="s">
        <v>16450</v>
      </c>
      <c r="E2692" s="249" t="str">
        <f>HYPERLINK("https://www.instagram.com/p/BYMv_D2Biot/")</f>
        <v>https://www.instagram.com/p/BYMv_D2Biot/</v>
      </c>
      <c r="F2692" t="s">
        <v>16451</v>
      </c>
      <c r="G2692" t="s">
        <v>2478</v>
      </c>
      <c r="H2692">
        <v>271</v>
      </c>
      <c r="I2692" t="s">
        <v>2479</v>
      </c>
      <c r="J2692">
        <v>1</v>
      </c>
      <c r="K2692">
        <v>29</v>
      </c>
      <c r="L2692">
        <v>30</v>
      </c>
      <c r="Q2692">
        <v>0</v>
      </c>
      <c r="R2692">
        <v>0</v>
      </c>
      <c r="S2692">
        <v>30</v>
      </c>
      <c r="Y2692" t="s">
        <v>16452</v>
      </c>
      <c r="Z2692" t="s">
        <v>4248</v>
      </c>
      <c r="AA2692" t="s">
        <v>16453</v>
      </c>
      <c r="AB2692" t="s">
        <v>16454</v>
      </c>
      <c r="AC2692" t="s">
        <v>2497</v>
      </c>
      <c r="AD2692" s="249" t="str">
        <f>HYPERLINK("https://scontent.cdninstagram.com/t51.2885-15/s320x320/e35/21041641_1500114343369541_8665290441748381696_n.jpg")</f>
        <v>https://scontent.cdninstagram.com/t51.2885-15/s320x320/e35/21041641_1500114343369541_8665290441748381696_n.jpg</v>
      </c>
      <c r="AE2692" s="249" t="str">
        <f>HYPERLINK("https://scontent.cdninstagram.com/t51.2885-19/s150x150/16789343_1657393404555301_2278917283709452288_a.jpg")</f>
        <v>https://scontent.cdninstagram.com/t51.2885-19/s150x150/16789343_1657393404555301_2278917283709452288_a.jpg</v>
      </c>
    </row>
    <row r="2693" spans="1:31" ht="15" x14ac:dyDescent="0.25">
      <c r="A2693" t="s">
        <v>2474</v>
      </c>
      <c r="B2693" t="s">
        <v>16455</v>
      </c>
      <c r="C2693" s="221">
        <v>42971.917581018519</v>
      </c>
      <c r="D2693" t="s">
        <v>16456</v>
      </c>
      <c r="E2693" s="249" t="str">
        <f>HYPERLINK("https://www.instagram.com/p/BYMwJeWg4wI/")</f>
        <v>https://www.instagram.com/p/BYMwJeWg4wI/</v>
      </c>
      <c r="F2693" t="s">
        <v>16457</v>
      </c>
      <c r="G2693" t="s">
        <v>2478</v>
      </c>
      <c r="H2693">
        <v>156</v>
      </c>
      <c r="I2693" t="s">
        <v>2479</v>
      </c>
      <c r="J2693">
        <v>1</v>
      </c>
      <c r="K2693">
        <v>41</v>
      </c>
      <c r="L2693">
        <v>42</v>
      </c>
      <c r="Q2693">
        <v>0</v>
      </c>
      <c r="R2693">
        <v>0</v>
      </c>
      <c r="S2693">
        <v>42</v>
      </c>
      <c r="T2693" t="s">
        <v>16458</v>
      </c>
      <c r="U2693" t="s">
        <v>1082</v>
      </c>
      <c r="V2693" t="s">
        <v>2299</v>
      </c>
      <c r="W2693">
        <v>32.692100000000003</v>
      </c>
      <c r="X2693">
        <v>-114.61499999999999</v>
      </c>
      <c r="Y2693" t="s">
        <v>5989</v>
      </c>
      <c r="Z2693" t="s">
        <v>6429</v>
      </c>
      <c r="AA2693" t="s">
        <v>2576</v>
      </c>
      <c r="AB2693" t="s">
        <v>5188</v>
      </c>
      <c r="AC2693" t="s">
        <v>2497</v>
      </c>
      <c r="AD2693" s="249" t="str">
        <f>HYPERLINK("https://scontent.cdninstagram.com/t51.2885-15/s320x320/e35/21041877_127213507915970_1773957733905596416_n.jpg")</f>
        <v>https://scontent.cdninstagram.com/t51.2885-15/s320x320/e35/21041877_127213507915970_1773957733905596416_n.jpg</v>
      </c>
      <c r="AE2693" s="249" t="str">
        <f>HYPERLINK("https://scontent.cdninstagram.com/t51.2885-19/s150x150/18888398_400652000334973_8107212832371638272_a.jpg")</f>
        <v>https://scontent.cdninstagram.com/t51.2885-19/s150x150/18888398_400652000334973_8107212832371638272_a.jpg</v>
      </c>
    </row>
    <row r="2694" spans="1:31" ht="15" x14ac:dyDescent="0.25">
      <c r="A2694" t="s">
        <v>2474</v>
      </c>
      <c r="B2694" t="s">
        <v>16459</v>
      </c>
      <c r="C2694" s="221">
        <v>42971.919594907406</v>
      </c>
      <c r="D2694" t="s">
        <v>16460</v>
      </c>
      <c r="E2694" s="249" t="str">
        <f>HYPERLINK("https://www.instagram.com/p/BYMweq4lnqi/")</f>
        <v>https://www.instagram.com/p/BYMweq4lnqi/</v>
      </c>
      <c r="F2694" t="s">
        <v>16461</v>
      </c>
      <c r="G2694" t="s">
        <v>2478</v>
      </c>
      <c r="H2694">
        <v>70</v>
      </c>
      <c r="I2694" t="s">
        <v>2542</v>
      </c>
      <c r="J2694">
        <v>2</v>
      </c>
      <c r="K2694">
        <v>13</v>
      </c>
      <c r="L2694">
        <v>15</v>
      </c>
      <c r="Q2694">
        <v>0</v>
      </c>
      <c r="R2694">
        <v>0</v>
      </c>
      <c r="S2694">
        <v>15</v>
      </c>
      <c r="Y2694" t="s">
        <v>2497</v>
      </c>
      <c r="Z2694" t="s">
        <v>3661</v>
      </c>
      <c r="AA2694" t="s">
        <v>16462</v>
      </c>
      <c r="AD2694" s="249" t="str">
        <f>HYPERLINK("https://scontent.cdninstagram.com/t51.2885-15/s320x320/e35/21041057_112309812791870_8751683833461473280_n.jpg")</f>
        <v>https://scontent.cdninstagram.com/t51.2885-15/s320x320/e35/21041057_112309812791870_8751683833461473280_n.jpg</v>
      </c>
      <c r="AE2694" s="249" t="str">
        <f>HYPERLINK("https://scontent.cdninstagram.com/t51.2885-19/s150x150/20687852_699025483640507_1016469118007640064_a.jpg")</f>
        <v>https://scontent.cdninstagram.com/t51.2885-19/s150x150/20687852_699025483640507_1016469118007640064_a.jpg</v>
      </c>
    </row>
    <row r="2695" spans="1:31" ht="15" x14ac:dyDescent="0.25">
      <c r="A2695" t="s">
        <v>2474</v>
      </c>
      <c r="B2695" t="s">
        <v>10736</v>
      </c>
      <c r="C2695" s="221">
        <v>42971.92559027778</v>
      </c>
      <c r="D2695" t="s">
        <v>16463</v>
      </c>
      <c r="E2695" s="249" t="str">
        <f>HYPERLINK("https://www.instagram.com/p/BYMxd6HAPlQ/")</f>
        <v>https://www.instagram.com/p/BYMxd6HAPlQ/</v>
      </c>
      <c r="F2695" t="s">
        <v>16464</v>
      </c>
      <c r="G2695" t="s">
        <v>2478</v>
      </c>
      <c r="H2695">
        <v>186</v>
      </c>
      <c r="I2695" t="s">
        <v>2542</v>
      </c>
      <c r="J2695">
        <v>0</v>
      </c>
      <c r="K2695">
        <v>8</v>
      </c>
      <c r="L2695">
        <v>8</v>
      </c>
      <c r="Q2695">
        <v>0</v>
      </c>
      <c r="R2695">
        <v>0</v>
      </c>
      <c r="S2695">
        <v>8</v>
      </c>
      <c r="Y2695" t="s">
        <v>10736</v>
      </c>
      <c r="Z2695" t="s">
        <v>2497</v>
      </c>
      <c r="AD2695" s="249" t="str">
        <f>HYPERLINK("https://scontent.cdninstagram.com/t51.2885-15/e35/p320x320/21041779_1102168093247051_3537004373978644480_n.jpg")</f>
        <v>https://scontent.cdninstagram.com/t51.2885-15/e35/p320x320/21041779_1102168093247051_3537004373978644480_n.jpg</v>
      </c>
      <c r="AE2695" s="249" t="str">
        <f>HYPERLINK("https://scontent.cdninstagram.com/t51.2885-19/s150x150/14099257_273302949721135_1868814294_a.jpg")</f>
        <v>https://scontent.cdninstagram.com/t51.2885-19/s150x150/14099257_273302949721135_1868814294_a.jpg</v>
      </c>
    </row>
    <row r="2696" spans="1:31" ht="15" x14ac:dyDescent="0.25">
      <c r="A2696" t="s">
        <v>2474</v>
      </c>
      <c r="B2696" t="s">
        <v>3471</v>
      </c>
      <c r="C2696" s="221">
        <v>42971.927141203705</v>
      </c>
      <c r="D2696" t="s">
        <v>16465</v>
      </c>
      <c r="E2696" s="249" t="str">
        <f>HYPERLINK("https://www.instagram.com/p/BYMxuXinGkw/")</f>
        <v>https://www.instagram.com/p/BYMxuXinGkw/</v>
      </c>
      <c r="F2696" t="s">
        <v>16466</v>
      </c>
      <c r="G2696" t="s">
        <v>2631</v>
      </c>
      <c r="H2696">
        <v>200</v>
      </c>
      <c r="I2696" t="s">
        <v>2542</v>
      </c>
      <c r="J2696">
        <v>1</v>
      </c>
      <c r="K2696">
        <v>31</v>
      </c>
      <c r="L2696">
        <v>32</v>
      </c>
      <c r="Q2696">
        <v>0</v>
      </c>
      <c r="R2696">
        <v>0</v>
      </c>
      <c r="S2696">
        <v>32</v>
      </c>
      <c r="T2696" t="s">
        <v>3474</v>
      </c>
      <c r="V2696" t="s">
        <v>2258</v>
      </c>
      <c r="W2696">
        <v>1.2930600000000001</v>
      </c>
      <c r="X2696">
        <v>103.85599999999999</v>
      </c>
      <c r="Y2696" t="s">
        <v>8951</v>
      </c>
      <c r="Z2696" t="s">
        <v>16430</v>
      </c>
      <c r="AA2696" t="s">
        <v>3479</v>
      </c>
      <c r="AB2696" t="s">
        <v>16467</v>
      </c>
      <c r="AC2696" t="s">
        <v>3475</v>
      </c>
      <c r="AD2696" s="249" t="str">
        <f>HYPERLINK("https://scontent.cdninstagram.com/t51.2885-15/s320x320/e15/20987473_1470269689736208_8701335533873266688_n.jpg")</f>
        <v>https://scontent.cdninstagram.com/t51.2885-15/s320x320/e15/20987473_1470269689736208_8701335533873266688_n.jpg</v>
      </c>
      <c r="AE2696" s="249" t="str">
        <f>HYPERLINK("https://scontent.cdninstagram.com/t51.2885-19/s150x150/19986209_741127056067001_1270489010199855104_a.jpg")</f>
        <v>https://scontent.cdninstagram.com/t51.2885-19/s150x150/19986209_741127056067001_1270489010199855104_a.jpg</v>
      </c>
    </row>
    <row r="2697" spans="1:31" ht="15" x14ac:dyDescent="0.25">
      <c r="A2697" t="s">
        <v>2474</v>
      </c>
      <c r="B2697" t="s">
        <v>7802</v>
      </c>
      <c r="C2697" s="221">
        <v>42971.936851851853</v>
      </c>
      <c r="D2697" t="s">
        <v>16468</v>
      </c>
      <c r="E2697" s="249" t="str">
        <f>HYPERLINK("https://www.instagram.com/p/BYMzUvUhNQB/")</f>
        <v>https://www.instagram.com/p/BYMzUvUhNQB/</v>
      </c>
      <c r="F2697" t="s">
        <v>16469</v>
      </c>
      <c r="G2697" t="s">
        <v>2478</v>
      </c>
      <c r="H2697">
        <v>187</v>
      </c>
      <c r="I2697" t="s">
        <v>2542</v>
      </c>
      <c r="J2697">
        <v>0</v>
      </c>
      <c r="K2697">
        <v>21</v>
      </c>
      <c r="L2697">
        <v>21</v>
      </c>
      <c r="Q2697">
        <v>0</v>
      </c>
      <c r="R2697">
        <v>0</v>
      </c>
      <c r="S2697">
        <v>21</v>
      </c>
      <c r="T2697" t="s">
        <v>7805</v>
      </c>
      <c r="U2697" t="s">
        <v>202</v>
      </c>
      <c r="V2697" t="s">
        <v>2299</v>
      </c>
      <c r="W2697">
        <v>39.86504</v>
      </c>
      <c r="X2697">
        <v>-84.11721</v>
      </c>
      <c r="Y2697" t="s">
        <v>16470</v>
      </c>
      <c r="Z2697" t="s">
        <v>15169</v>
      </c>
      <c r="AA2697" t="s">
        <v>7809</v>
      </c>
      <c r="AB2697" t="s">
        <v>7807</v>
      </c>
      <c r="AC2697" t="s">
        <v>16471</v>
      </c>
      <c r="AD2697" s="249" t="str">
        <f>HYPERLINK("https://scontent.cdninstagram.com/t51.2885-15/e35/p320x320/21041312_271655556664547_4364417776169779200_n.jpg")</f>
        <v>https://scontent.cdninstagram.com/t51.2885-15/e35/p320x320/21041312_271655556664547_4364417776169779200_n.jpg</v>
      </c>
      <c r="AE2697" s="249" t="str">
        <f>HYPERLINK("https://scontent.cdninstagram.com/t51.2885-19/s150x150/18879149_1471896259560338_6915572966390497280_a.jpg")</f>
        <v>https://scontent.cdninstagram.com/t51.2885-19/s150x150/18879149_1471896259560338_6915572966390497280_a.jpg</v>
      </c>
    </row>
    <row r="2698" spans="1:31" ht="15" x14ac:dyDescent="0.25">
      <c r="A2698" t="s">
        <v>2474</v>
      </c>
      <c r="B2698" t="s">
        <v>16472</v>
      </c>
      <c r="C2698" s="221">
        <v>42971.938437500001</v>
      </c>
      <c r="D2698" t="s">
        <v>16473</v>
      </c>
      <c r="E2698" s="249" t="str">
        <f>HYPERLINK("https://www.instagram.com/p/BYMzlfFlWCe/")</f>
        <v>https://www.instagram.com/p/BYMzlfFlWCe/</v>
      </c>
      <c r="F2698" t="s">
        <v>16474</v>
      </c>
      <c r="G2698" t="s">
        <v>2478</v>
      </c>
      <c r="H2698">
        <v>7318</v>
      </c>
      <c r="I2698" t="s">
        <v>2479</v>
      </c>
      <c r="J2698">
        <v>69</v>
      </c>
      <c r="K2698">
        <v>312</v>
      </c>
      <c r="L2698">
        <v>381</v>
      </c>
      <c r="Q2698">
        <v>0</v>
      </c>
      <c r="R2698">
        <v>0</v>
      </c>
      <c r="S2698">
        <v>381</v>
      </c>
      <c r="T2698" t="s">
        <v>16475</v>
      </c>
      <c r="U2698" t="s">
        <v>114</v>
      </c>
      <c r="V2698" t="s">
        <v>2299</v>
      </c>
      <c r="W2698">
        <v>33.757840793973998</v>
      </c>
      <c r="X2698">
        <v>-84.394714609670004</v>
      </c>
      <c r="Y2698" t="s">
        <v>16476</v>
      </c>
      <c r="Z2698" t="s">
        <v>16477</v>
      </c>
      <c r="AA2698" t="s">
        <v>15610</v>
      </c>
      <c r="AD2698" s="249" t="str">
        <f>HYPERLINK("https://scontent.cdninstagram.com/t51.2885-15/e35/p320x320/21041174_160189031201653_9039285984746799104_n.jpg")</f>
        <v>https://scontent.cdninstagram.com/t51.2885-15/e35/p320x320/21041174_160189031201653_9039285984746799104_n.jpg</v>
      </c>
      <c r="AE2698" s="249" t="str">
        <f>HYPERLINK("https://scontent.cdninstagram.com/t51.2885-19/s150x150/16908307_337659639962216_8221709685456109568_a.jpg")</f>
        <v>https://scontent.cdninstagram.com/t51.2885-19/s150x150/16908307_337659639962216_8221709685456109568_a.jpg</v>
      </c>
    </row>
    <row r="2699" spans="1:31" ht="15" x14ac:dyDescent="0.25">
      <c r="A2699" t="s">
        <v>2474</v>
      </c>
      <c r="B2699" t="s">
        <v>16478</v>
      </c>
      <c r="C2699" s="221">
        <v>42971.941666666666</v>
      </c>
      <c r="D2699" t="s">
        <v>16479</v>
      </c>
      <c r="E2699" s="249" t="str">
        <f>HYPERLINK("https://www.instagram.com/p/BYM0HdTgLkz/")</f>
        <v>https://www.instagram.com/p/BYM0HdTgLkz/</v>
      </c>
      <c r="F2699" t="s">
        <v>16480</v>
      </c>
      <c r="G2699" t="s">
        <v>2478</v>
      </c>
      <c r="H2699">
        <v>2138</v>
      </c>
      <c r="I2699" t="s">
        <v>2479</v>
      </c>
      <c r="J2699">
        <v>3</v>
      </c>
      <c r="K2699">
        <v>95</v>
      </c>
      <c r="L2699">
        <v>98</v>
      </c>
      <c r="Q2699">
        <v>0</v>
      </c>
      <c r="R2699">
        <v>0</v>
      </c>
      <c r="S2699">
        <v>98</v>
      </c>
      <c r="Y2699" t="s">
        <v>16481</v>
      </c>
      <c r="Z2699" t="s">
        <v>4831</v>
      </c>
      <c r="AA2699" t="s">
        <v>6324</v>
      </c>
      <c r="AB2699" t="s">
        <v>16482</v>
      </c>
      <c r="AC2699" t="s">
        <v>16483</v>
      </c>
      <c r="AD2699" s="249" t="str">
        <f>HYPERLINK("https://scontent.cdninstagram.com/t51.2885-15/e35/p320x320/20987017_112904109380618_3171816657853087744_n.jpg")</f>
        <v>https://scontent.cdninstagram.com/t51.2885-15/e35/p320x320/20987017_112904109380618_3171816657853087744_n.jpg</v>
      </c>
      <c r="AE2699" s="249" t="str">
        <f>HYPERLINK("https://scontent.cdninstagram.com/t51.2885-19/s150x150/20987158_307918666284080_2406649104286351360_a.jpg")</f>
        <v>https://scontent.cdninstagram.com/t51.2885-19/s150x150/20987158_307918666284080_2406649104286351360_a.jpg</v>
      </c>
    </row>
    <row r="2700" spans="1:31" ht="15" x14ac:dyDescent="0.25">
      <c r="A2700" t="s">
        <v>2474</v>
      </c>
      <c r="B2700" t="s">
        <v>16484</v>
      </c>
      <c r="C2700" s="221">
        <v>42971.942256944443</v>
      </c>
      <c r="D2700" t="s">
        <v>16485</v>
      </c>
      <c r="E2700" s="249" t="str">
        <f>HYPERLINK("https://www.instagram.com/p/BYM0Nt6F2GB/")</f>
        <v>https://www.instagram.com/p/BYM0Nt6F2GB/</v>
      </c>
      <c r="F2700" t="s">
        <v>16486</v>
      </c>
      <c r="G2700" t="s">
        <v>2478</v>
      </c>
      <c r="H2700">
        <v>90</v>
      </c>
      <c r="I2700" t="s">
        <v>2479</v>
      </c>
      <c r="J2700">
        <v>1</v>
      </c>
      <c r="K2700">
        <v>19</v>
      </c>
      <c r="L2700">
        <v>20</v>
      </c>
      <c r="Q2700">
        <v>0</v>
      </c>
      <c r="R2700">
        <v>0</v>
      </c>
      <c r="S2700">
        <v>20</v>
      </c>
      <c r="Y2700" t="s">
        <v>16487</v>
      </c>
      <c r="Z2700" t="s">
        <v>16488</v>
      </c>
      <c r="AA2700" t="s">
        <v>2497</v>
      </c>
      <c r="AB2700" t="s">
        <v>16489</v>
      </c>
      <c r="AC2700" t="s">
        <v>16490</v>
      </c>
      <c r="AD2700" s="249" t="str">
        <f>HYPERLINK("https://scontent.cdninstagram.com/t51.2885-15/e35/p320x320/20987250_261991300985732_237293030388793344_n.jpg")</f>
        <v>https://scontent.cdninstagram.com/t51.2885-15/e35/p320x320/20987250_261991300985732_237293030388793344_n.jpg</v>
      </c>
      <c r="AE2700" s="249" t="str">
        <f>HYPERLINK("https://scontent.cdninstagram.com/t51.2885-19/s150x150/18251380_434678326882223_2240186634433724416_a.jpg")</f>
        <v>https://scontent.cdninstagram.com/t51.2885-19/s150x150/18251380_434678326882223_2240186634433724416_a.jpg</v>
      </c>
    </row>
    <row r="2701" spans="1:31" ht="15" x14ac:dyDescent="0.25">
      <c r="A2701" t="s">
        <v>2474</v>
      </c>
      <c r="B2701" t="s">
        <v>16491</v>
      </c>
      <c r="C2701" s="221">
        <v>42971.947013888886</v>
      </c>
      <c r="D2701" t="s">
        <v>16492</v>
      </c>
      <c r="E2701" s="249" t="str">
        <f>HYPERLINK("https://www.instagram.com/p/BYM0_8lgusX/")</f>
        <v>https://www.instagram.com/p/BYM0_8lgusX/</v>
      </c>
      <c r="F2701" t="s">
        <v>16493</v>
      </c>
      <c r="G2701" t="s">
        <v>2478</v>
      </c>
      <c r="H2701">
        <v>779</v>
      </c>
      <c r="I2701" t="s">
        <v>2479</v>
      </c>
      <c r="J2701">
        <v>0</v>
      </c>
      <c r="K2701">
        <v>34</v>
      </c>
      <c r="L2701">
        <v>34</v>
      </c>
      <c r="Q2701">
        <v>0</v>
      </c>
      <c r="R2701">
        <v>0</v>
      </c>
      <c r="S2701">
        <v>34</v>
      </c>
      <c r="Y2701" t="s">
        <v>16494</v>
      </c>
      <c r="Z2701" t="s">
        <v>2492</v>
      </c>
      <c r="AA2701" t="s">
        <v>16495</v>
      </c>
      <c r="AB2701" t="s">
        <v>2497</v>
      </c>
      <c r="AD2701" s="249" t="str">
        <f>HYPERLINK("https://scontent.cdninstagram.com/t51.2885-15/s320x320/e35/21107289_111995956157718_3699621216013778944_n.jpg")</f>
        <v>https://scontent.cdninstagram.com/t51.2885-15/s320x320/e35/21107289_111995956157718_3699621216013778944_n.jpg</v>
      </c>
      <c r="AE2701" s="249" t="str">
        <f>HYPERLINK("https://scontent.cdninstagram.com/t51.2885-19/s150x150/19761933_274920272914940_2316597985280000_a.jpg")</f>
        <v>https://scontent.cdninstagram.com/t51.2885-19/s150x150/19761933_274920272914940_2316597985280000_a.jpg</v>
      </c>
    </row>
    <row r="2702" spans="1:31" ht="15" x14ac:dyDescent="0.25">
      <c r="A2702" t="s">
        <v>2474</v>
      </c>
      <c r="B2702" t="s">
        <v>8202</v>
      </c>
      <c r="C2702" s="221">
        <v>42971.959872685184</v>
      </c>
      <c r="D2702" t="s">
        <v>16496</v>
      </c>
      <c r="E2702" s="249" t="str">
        <f>HYPERLINK("https://www.instagram.com/p/BYM3Hg1B21D/")</f>
        <v>https://www.instagram.com/p/BYM3Hg1B21D/</v>
      </c>
      <c r="F2702" t="s">
        <v>16497</v>
      </c>
      <c r="G2702" t="s">
        <v>2478</v>
      </c>
      <c r="H2702">
        <v>43305</v>
      </c>
      <c r="I2702" t="s">
        <v>2479</v>
      </c>
      <c r="J2702">
        <v>30</v>
      </c>
      <c r="K2702">
        <v>1632</v>
      </c>
      <c r="L2702">
        <v>1662</v>
      </c>
      <c r="Q2702">
        <v>0</v>
      </c>
      <c r="R2702">
        <v>0</v>
      </c>
      <c r="S2702">
        <v>1662</v>
      </c>
      <c r="Y2702" t="s">
        <v>11898</v>
      </c>
      <c r="Z2702" t="s">
        <v>16498</v>
      </c>
      <c r="AA2702" t="s">
        <v>16499</v>
      </c>
      <c r="AB2702" t="s">
        <v>6824</v>
      </c>
      <c r="AC2702" t="s">
        <v>6830</v>
      </c>
      <c r="AD2702" s="249" t="str">
        <f>HYPERLINK("https://scontent.cdninstagram.com/t51.2885-15/e35/p320x320/21041542_467091043648113_5038539891441401856_n.jpg")</f>
        <v>https://scontent.cdninstagram.com/t51.2885-15/e35/p320x320/21041542_467091043648113_5038539891441401856_n.jpg</v>
      </c>
      <c r="AE2702" s="249" t="str">
        <f>HYPERLINK("https://scontent.cdninstagram.com/t51.2885-19/s150x150/20479365_288964168246039_8270596716911132672_a.jpg")</f>
        <v>https://scontent.cdninstagram.com/t51.2885-19/s150x150/20479365_288964168246039_8270596716911132672_a.jpg</v>
      </c>
    </row>
    <row r="2703" spans="1:31" ht="15" x14ac:dyDescent="0.25">
      <c r="A2703" t="s">
        <v>2474</v>
      </c>
      <c r="B2703" t="s">
        <v>16500</v>
      </c>
      <c r="C2703" s="221">
        <v>42971.971701388888</v>
      </c>
      <c r="D2703" t="s">
        <v>16501</v>
      </c>
      <c r="E2703" s="249" t="str">
        <f>HYPERLINK("https://www.instagram.com/p/BYM5EVFD4Y3/")</f>
        <v>https://www.instagram.com/p/BYM5EVFD4Y3/</v>
      </c>
      <c r="F2703" t="s">
        <v>16502</v>
      </c>
      <c r="G2703" t="s">
        <v>2478</v>
      </c>
      <c r="H2703">
        <v>440</v>
      </c>
      <c r="I2703" t="s">
        <v>2542</v>
      </c>
      <c r="J2703">
        <v>5</v>
      </c>
      <c r="K2703">
        <v>154</v>
      </c>
      <c r="L2703">
        <v>159</v>
      </c>
      <c r="Q2703">
        <v>0</v>
      </c>
      <c r="R2703">
        <v>0</v>
      </c>
      <c r="S2703">
        <v>159</v>
      </c>
      <c r="T2703" t="s">
        <v>16503</v>
      </c>
      <c r="V2703" t="s">
        <v>2177</v>
      </c>
      <c r="W2703">
        <v>-8.8750226389716005</v>
      </c>
      <c r="X2703">
        <v>116.16359710693</v>
      </c>
      <c r="Y2703" t="s">
        <v>14270</v>
      </c>
      <c r="Z2703" t="s">
        <v>2696</v>
      </c>
      <c r="AA2703" t="s">
        <v>13835</v>
      </c>
      <c r="AB2703" t="s">
        <v>2734</v>
      </c>
      <c r="AC2703" t="s">
        <v>16504</v>
      </c>
      <c r="AD2703" s="249" t="str">
        <f>HYPERLINK("https://scontent.cdninstagram.com/t51.2885-15/s320x320/e35/21041294_359829981119032_1284578096363601920_n.jpg")</f>
        <v>https://scontent.cdninstagram.com/t51.2885-15/s320x320/e35/21041294_359829981119032_1284578096363601920_n.jpg</v>
      </c>
      <c r="AE2703" s="249" t="str">
        <f>HYPERLINK("https://scontent.cdninstagram.com/t51.2885-19/s150x150/12819024_1222592754435443_2139031268_a.jpg")</f>
        <v>https://scontent.cdninstagram.com/t51.2885-19/s150x150/12819024_1222592754435443_2139031268_a.jpg</v>
      </c>
    </row>
    <row r="2704" spans="1:31" ht="15" x14ac:dyDescent="0.25">
      <c r="A2704" t="s">
        <v>2474</v>
      </c>
      <c r="B2704" t="s">
        <v>4543</v>
      </c>
      <c r="C2704" s="221">
        <v>42972.000057870369</v>
      </c>
      <c r="D2704" t="s">
        <v>16505</v>
      </c>
      <c r="E2704" s="249" t="str">
        <f>HYPERLINK("https://www.instagram.com/p/BYM9vY7A2tB/")</f>
        <v>https://www.instagram.com/p/BYM9vY7A2tB/</v>
      </c>
      <c r="F2704" t="s">
        <v>16506</v>
      </c>
      <c r="G2704" t="s">
        <v>2478</v>
      </c>
      <c r="H2704">
        <v>49923</v>
      </c>
      <c r="I2704" t="s">
        <v>2479</v>
      </c>
      <c r="J2704">
        <v>35</v>
      </c>
      <c r="K2704">
        <v>1414</v>
      </c>
      <c r="L2704">
        <v>1449</v>
      </c>
      <c r="Q2704">
        <v>0</v>
      </c>
      <c r="R2704">
        <v>0</v>
      </c>
      <c r="S2704">
        <v>1449</v>
      </c>
      <c r="Y2704" t="s">
        <v>8646</v>
      </c>
      <c r="Z2704" t="s">
        <v>7007</v>
      </c>
      <c r="AA2704" t="s">
        <v>16507</v>
      </c>
      <c r="AB2704" t="s">
        <v>8206</v>
      </c>
      <c r="AC2704" t="s">
        <v>6830</v>
      </c>
      <c r="AD2704" s="249" t="str">
        <f>HYPERLINK("https://scontent.cdninstagram.com/t51.2885-15/e35/p320x320/21042191_1280330842095618_2027645779744653312_n.jpg")</f>
        <v>https://scontent.cdninstagram.com/t51.2885-15/e35/p320x320/21042191_1280330842095618_2027645779744653312_n.jpg</v>
      </c>
      <c r="AE2704" s="249" t="str">
        <f>HYPERLINK("https://scontent.cdninstagram.com/t51.2885-19/s150x150/19761795_1388053727930717_4754212395021238272_n.jpg")</f>
        <v>https://scontent.cdninstagram.com/t51.2885-19/s150x150/19761795_1388053727930717_4754212395021238272_n.jpg</v>
      </c>
    </row>
    <row r="2705" spans="1:31" ht="15" x14ac:dyDescent="0.25">
      <c r="A2705" t="s">
        <v>2474</v>
      </c>
      <c r="B2705" t="s">
        <v>10033</v>
      </c>
      <c r="C2705" s="221">
        <v>42972.034456018519</v>
      </c>
      <c r="D2705" t="s">
        <v>16508</v>
      </c>
      <c r="E2705" s="249" t="str">
        <f>HYPERLINK("https://www.instagram.com/p/BYNDaGuD1yP/")</f>
        <v>https://www.instagram.com/p/BYNDaGuD1yP/</v>
      </c>
      <c r="F2705" t="s">
        <v>10035</v>
      </c>
      <c r="G2705" t="s">
        <v>2478</v>
      </c>
      <c r="H2705">
        <v>810</v>
      </c>
      <c r="I2705" t="s">
        <v>2479</v>
      </c>
      <c r="J2705">
        <v>2</v>
      </c>
      <c r="K2705">
        <v>47</v>
      </c>
      <c r="L2705">
        <v>49</v>
      </c>
      <c r="Q2705">
        <v>0</v>
      </c>
      <c r="R2705">
        <v>0</v>
      </c>
      <c r="S2705">
        <v>49</v>
      </c>
      <c r="Y2705" t="s">
        <v>2492</v>
      </c>
      <c r="Z2705" t="s">
        <v>5521</v>
      </c>
      <c r="AA2705" t="s">
        <v>16509</v>
      </c>
      <c r="AB2705" t="s">
        <v>3535</v>
      </c>
      <c r="AC2705" t="s">
        <v>2753</v>
      </c>
      <c r="AD2705" s="249" t="str">
        <f>HYPERLINK("https://scontent.cdninstagram.com/t51.2885-15/e35/p320x320/21041342_847009212128651_786478060303024128_n.jpg")</f>
        <v>https://scontent.cdninstagram.com/t51.2885-15/e35/p320x320/21041342_847009212128651_786478060303024128_n.jpg</v>
      </c>
      <c r="AE2705" s="249" t="str">
        <f>HYPERLINK("https://scontent.cdninstagram.com/t51.2885-19/s150x150/13731142_1128127230628861_1631822748_a.jpg")</f>
        <v>https://scontent.cdninstagram.com/t51.2885-19/s150x150/13731142_1128127230628861_1631822748_a.jpg</v>
      </c>
    </row>
    <row r="2706" spans="1:31" ht="15" x14ac:dyDescent="0.25">
      <c r="A2706" t="s">
        <v>2474</v>
      </c>
      <c r="B2706" t="s">
        <v>16510</v>
      </c>
      <c r="C2706" s="221">
        <v>42972.039317129631</v>
      </c>
      <c r="D2706" t="s">
        <v>16511</v>
      </c>
      <c r="E2706" s="249" t="str">
        <f>HYPERLINK("https://www.instagram.com/p/BYNENY-g3pb/")</f>
        <v>https://www.instagram.com/p/BYNENY-g3pb/</v>
      </c>
      <c r="F2706" t="s">
        <v>16512</v>
      </c>
      <c r="G2706" t="s">
        <v>2631</v>
      </c>
      <c r="H2706">
        <v>847</v>
      </c>
      <c r="I2706" t="s">
        <v>2786</v>
      </c>
      <c r="J2706">
        <v>5</v>
      </c>
      <c r="K2706">
        <v>168</v>
      </c>
      <c r="L2706">
        <v>173</v>
      </c>
      <c r="Q2706">
        <v>0</v>
      </c>
      <c r="R2706">
        <v>0</v>
      </c>
      <c r="S2706">
        <v>173</v>
      </c>
      <c r="T2706" t="s">
        <v>2936</v>
      </c>
      <c r="V2706" t="s">
        <v>2288</v>
      </c>
      <c r="W2706">
        <v>51.507114863623997</v>
      </c>
      <c r="X2706">
        <v>-0.12731805236353</v>
      </c>
      <c r="Y2706" t="s">
        <v>3813</v>
      </c>
      <c r="Z2706" t="s">
        <v>6864</v>
      </c>
      <c r="AA2706" t="s">
        <v>3716</v>
      </c>
      <c r="AB2706" t="s">
        <v>16323</v>
      </c>
      <c r="AC2706" t="s">
        <v>3982</v>
      </c>
      <c r="AD2706" s="249" t="str">
        <f>HYPERLINK("https://scontent.cdninstagram.com/t51.2885-15/e15/p320x320/21042112_718685811664762_4773381967934652416_n.jpg")</f>
        <v>https://scontent.cdninstagram.com/t51.2885-15/e15/p320x320/21042112_718685811664762_4773381967934652416_n.jpg</v>
      </c>
      <c r="AE2706" s="249" t="str">
        <f>HYPERLINK("https://scontent.cdninstagram.com/t51.2885-19/s150x150/20634179_329048180880631_5117091123843563520_a.jpg")</f>
        <v>https://scontent.cdninstagram.com/t51.2885-19/s150x150/20634179_329048180880631_5117091123843563520_a.jpg</v>
      </c>
    </row>
    <row r="2707" spans="1:31" ht="15" x14ac:dyDescent="0.25">
      <c r="A2707" t="s">
        <v>2474</v>
      </c>
      <c r="B2707" t="s">
        <v>3644</v>
      </c>
      <c r="C2707" s="221">
        <v>42972.042326388888</v>
      </c>
      <c r="D2707" t="s">
        <v>16513</v>
      </c>
      <c r="E2707" s="249" t="str">
        <f>HYPERLINK("https://www.instagram.com/p/BYNEtNGFLUI/")</f>
        <v>https://www.instagram.com/p/BYNEtNGFLUI/</v>
      </c>
      <c r="F2707" t="s">
        <v>16514</v>
      </c>
      <c r="G2707" t="s">
        <v>2488</v>
      </c>
      <c r="H2707">
        <v>576</v>
      </c>
      <c r="I2707" t="s">
        <v>2479</v>
      </c>
      <c r="J2707">
        <v>1</v>
      </c>
      <c r="K2707">
        <v>35</v>
      </c>
      <c r="L2707">
        <v>36</v>
      </c>
      <c r="Q2707">
        <v>0</v>
      </c>
      <c r="R2707">
        <v>0</v>
      </c>
      <c r="S2707">
        <v>36</v>
      </c>
      <c r="T2707" t="s">
        <v>9465</v>
      </c>
      <c r="V2707" t="s">
        <v>2141</v>
      </c>
      <c r="W2707">
        <v>55.4</v>
      </c>
      <c r="X2707">
        <v>10.3833</v>
      </c>
      <c r="Y2707" t="s">
        <v>8234</v>
      </c>
      <c r="Z2707" t="s">
        <v>7120</v>
      </c>
      <c r="AA2707" t="s">
        <v>6993</v>
      </c>
      <c r="AB2707" t="s">
        <v>7119</v>
      </c>
      <c r="AC2707" t="s">
        <v>14695</v>
      </c>
      <c r="AD2707" s="249" t="str">
        <f>HYPERLINK("https://scontent.cdninstagram.com/t51.2885-15/s320x320/e15/21042768_114742622493662_18845251342958592_n.jpg")</f>
        <v>https://scontent.cdninstagram.com/t51.2885-15/s320x320/e15/21042768_114742622493662_18845251342958592_n.jpg</v>
      </c>
      <c r="AE2707" s="249" t="str">
        <f>HYPERLINK("https://scontent.cdninstagram.com/t51.2885-19/s150x150/14714495_1790450111234953_7147855754219749376_a.jpg")</f>
        <v>https://scontent.cdninstagram.com/t51.2885-19/s150x150/14714495_1790450111234953_7147855754219749376_a.jpg</v>
      </c>
    </row>
    <row r="2708" spans="1:31" ht="15" x14ac:dyDescent="0.25">
      <c r="A2708" t="s">
        <v>2474</v>
      </c>
      <c r="B2708" t="s">
        <v>2516</v>
      </c>
      <c r="C2708" s="221">
        <v>42972.048425925925</v>
      </c>
      <c r="D2708" t="s">
        <v>16515</v>
      </c>
      <c r="E2708" s="249" t="str">
        <f>HYPERLINK("https://www.instagram.com/p/BYNFteWDrgt/")</f>
        <v>https://www.instagram.com/p/BYNFteWDrgt/</v>
      </c>
      <c r="F2708" t="s">
        <v>16516</v>
      </c>
      <c r="G2708" t="s">
        <v>2478</v>
      </c>
      <c r="H2708">
        <v>680</v>
      </c>
      <c r="I2708" t="s">
        <v>2519</v>
      </c>
      <c r="J2708">
        <v>0</v>
      </c>
      <c r="K2708">
        <v>29</v>
      </c>
      <c r="L2708">
        <v>29</v>
      </c>
      <c r="Q2708">
        <v>0</v>
      </c>
      <c r="R2708">
        <v>0</v>
      </c>
      <c r="S2708">
        <v>29</v>
      </c>
      <c r="Y2708" t="s">
        <v>6344</v>
      </c>
      <c r="Z2708" t="s">
        <v>2559</v>
      </c>
      <c r="AA2708" t="s">
        <v>2735</v>
      </c>
      <c r="AB2708" t="s">
        <v>2601</v>
      </c>
      <c r="AC2708" t="s">
        <v>16517</v>
      </c>
      <c r="AD2708" s="249" t="str">
        <f>HYPERLINK("https://scontent.cdninstagram.com/t51.2885-15/s320x320/e35/21108008_761448684027003_8296484421834375168_n.jpg")</f>
        <v>https://scontent.cdninstagram.com/t51.2885-15/s320x320/e35/21108008_761448684027003_8296484421834375168_n.jpg</v>
      </c>
      <c r="AE2708" s="249" t="str">
        <f>HYPERLINK("https://scontent.cdninstagram.com/t51.2885-19/s150x150/19955124_1311741785589715_3896736407896457216_a.jpg")</f>
        <v>https://scontent.cdninstagram.com/t51.2885-19/s150x150/19955124_1311741785589715_3896736407896457216_a.jpg</v>
      </c>
    </row>
    <row r="2709" spans="1:31" ht="15" x14ac:dyDescent="0.25">
      <c r="A2709" t="s">
        <v>2474</v>
      </c>
      <c r="B2709" t="s">
        <v>16518</v>
      </c>
      <c r="C2709" s="221">
        <v>42972.055763888886</v>
      </c>
      <c r="D2709" t="s">
        <v>16519</v>
      </c>
      <c r="E2709" s="249" t="str">
        <f>HYPERLINK("https://www.instagram.com/p/BYNG65kjC9O/")</f>
        <v>https://www.instagram.com/p/BYNG65kjC9O/</v>
      </c>
      <c r="F2709" t="s">
        <v>16520</v>
      </c>
      <c r="G2709" t="s">
        <v>2478</v>
      </c>
      <c r="H2709">
        <v>137</v>
      </c>
      <c r="I2709" t="s">
        <v>2479</v>
      </c>
      <c r="J2709">
        <v>5</v>
      </c>
      <c r="K2709">
        <v>34</v>
      </c>
      <c r="L2709">
        <v>39</v>
      </c>
      <c r="Q2709">
        <v>0</v>
      </c>
      <c r="R2709">
        <v>0</v>
      </c>
      <c r="S2709">
        <v>39</v>
      </c>
      <c r="Y2709" t="s">
        <v>4180</v>
      </c>
      <c r="Z2709" t="s">
        <v>16521</v>
      </c>
      <c r="AA2709" t="s">
        <v>8753</v>
      </c>
      <c r="AB2709" t="s">
        <v>16522</v>
      </c>
      <c r="AC2709" t="s">
        <v>16523</v>
      </c>
      <c r="AD2709" s="249" t="str">
        <f>HYPERLINK("https://scontent.cdninstagram.com/t51.2885-15/s320x320/e35/21041568_226597381202640_8484824892452110336_n.jpg")</f>
        <v>https://scontent.cdninstagram.com/t51.2885-15/s320x320/e35/21041568_226597381202640_8484824892452110336_n.jpg</v>
      </c>
      <c r="AE2709" s="249" t="str">
        <f>HYPERLINK("https://scontent.cdninstagram.com/t51.2885-19/s150x150/20766382_1527562337320944_4369891767823106048_a.jpg")</f>
        <v>https://scontent.cdninstagram.com/t51.2885-19/s150x150/20766382_1527562337320944_4369891767823106048_a.jpg</v>
      </c>
    </row>
    <row r="2710" spans="1:31" ht="15" x14ac:dyDescent="0.25">
      <c r="A2710" t="s">
        <v>2474</v>
      </c>
      <c r="B2710" t="s">
        <v>16524</v>
      </c>
      <c r="C2710" s="221">
        <v>42972.058657407404</v>
      </c>
      <c r="D2710" t="s">
        <v>16525</v>
      </c>
      <c r="E2710" s="249" t="str">
        <f>HYPERLINK("https://www.instagram.com/p/BYNHZWqAAg4/")</f>
        <v>https://www.instagram.com/p/BYNHZWqAAg4/</v>
      </c>
      <c r="F2710" t="s">
        <v>16526</v>
      </c>
      <c r="G2710" t="s">
        <v>2478</v>
      </c>
      <c r="H2710">
        <v>1147</v>
      </c>
      <c r="I2710" t="s">
        <v>2479</v>
      </c>
      <c r="J2710">
        <v>1</v>
      </c>
      <c r="K2710">
        <v>11</v>
      </c>
      <c r="L2710">
        <v>12</v>
      </c>
      <c r="Q2710">
        <v>0</v>
      </c>
      <c r="R2710">
        <v>0</v>
      </c>
      <c r="S2710">
        <v>12</v>
      </c>
      <c r="Y2710" t="s">
        <v>16527</v>
      </c>
      <c r="Z2710" t="s">
        <v>3110</v>
      </c>
      <c r="AA2710" t="s">
        <v>2787</v>
      </c>
      <c r="AB2710" t="s">
        <v>2778</v>
      </c>
      <c r="AC2710" t="s">
        <v>2497</v>
      </c>
      <c r="AD2710" s="249" t="str">
        <f>HYPERLINK("https://scontent.cdninstagram.com/t51.2885-15/s320x320/e35/21042409_264528007387119_2027990734337998848_n.jpg")</f>
        <v>https://scontent.cdninstagram.com/t51.2885-15/s320x320/e35/21042409_264528007387119_2027990734337998848_n.jpg</v>
      </c>
      <c r="AE2710" s="249" t="str">
        <f>HYPERLINK("https://scontent.cdninstagram.com/t51.2885-19/s150x150/17076058_398643210511422_3143136627186991104_a.jpg")</f>
        <v>https://scontent.cdninstagram.com/t51.2885-19/s150x150/17076058_398643210511422_3143136627186991104_a.jpg</v>
      </c>
    </row>
    <row r="2711" spans="1:31" ht="15" x14ac:dyDescent="0.25">
      <c r="A2711" t="s">
        <v>2474</v>
      </c>
      <c r="B2711" t="s">
        <v>16528</v>
      </c>
      <c r="C2711" s="221">
        <v>42972.069282407407</v>
      </c>
      <c r="D2711" t="s">
        <v>16529</v>
      </c>
      <c r="E2711" s="249" t="str">
        <f>HYPERLINK("https://www.instagram.com/p/BYNJJajFcRn/")</f>
        <v>https://www.instagram.com/p/BYNJJajFcRn/</v>
      </c>
      <c r="F2711" t="s">
        <v>16530</v>
      </c>
      <c r="G2711" t="s">
        <v>2478</v>
      </c>
      <c r="H2711">
        <v>192</v>
      </c>
      <c r="I2711" t="s">
        <v>2510</v>
      </c>
      <c r="J2711">
        <v>0</v>
      </c>
      <c r="K2711">
        <v>13</v>
      </c>
      <c r="L2711">
        <v>13</v>
      </c>
      <c r="Q2711">
        <v>0</v>
      </c>
      <c r="R2711">
        <v>0</v>
      </c>
      <c r="S2711">
        <v>13</v>
      </c>
      <c r="T2711" t="s">
        <v>16531</v>
      </c>
      <c r="V2711" t="s">
        <v>2131</v>
      </c>
      <c r="W2711">
        <v>22.267865822156001</v>
      </c>
      <c r="X2711">
        <v>114.24284901251001</v>
      </c>
      <c r="Y2711" t="s">
        <v>3535</v>
      </c>
      <c r="Z2711" t="s">
        <v>9408</v>
      </c>
      <c r="AA2711" t="s">
        <v>16532</v>
      </c>
      <c r="AB2711" t="s">
        <v>16533</v>
      </c>
      <c r="AC2711" t="s">
        <v>16534</v>
      </c>
      <c r="AD2711" s="249" t="str">
        <f>HYPERLINK("https://scontent.cdninstagram.com/t51.2885-15/e35/p320x320/21107650_1268911723239200_9243658679222272_n.jpg")</f>
        <v>https://scontent.cdninstagram.com/t51.2885-15/e35/p320x320/21107650_1268911723239200_9243658679222272_n.jpg</v>
      </c>
      <c r="AE2711" s="249" t="str">
        <f>HYPERLINK("https://scontent.cdninstagram.com/t51.2885-19/s150x150/20394365_124566178154257_6441880568048123904_a.jpg")</f>
        <v>https://scontent.cdninstagram.com/t51.2885-19/s150x150/20394365_124566178154257_6441880568048123904_a.jpg</v>
      </c>
    </row>
    <row r="2712" spans="1:31" ht="15" x14ac:dyDescent="0.25">
      <c r="A2712" t="s">
        <v>2474</v>
      </c>
      <c r="B2712" t="s">
        <v>3710</v>
      </c>
      <c r="C2712" s="221">
        <v>42972.073981481481</v>
      </c>
      <c r="D2712" t="s">
        <v>16535</v>
      </c>
      <c r="E2712" s="249" t="str">
        <f>HYPERLINK("https://www.instagram.com/p/BYNJ6-2gh0N/")</f>
        <v>https://www.instagram.com/p/BYNJ6-2gh0N/</v>
      </c>
      <c r="F2712" t="s">
        <v>16536</v>
      </c>
      <c r="G2712" t="s">
        <v>2478</v>
      </c>
      <c r="H2712">
        <v>13917</v>
      </c>
      <c r="I2712" t="s">
        <v>2479</v>
      </c>
      <c r="J2712">
        <v>8</v>
      </c>
      <c r="K2712">
        <v>224</v>
      </c>
      <c r="L2712">
        <v>232</v>
      </c>
      <c r="Q2712">
        <v>0</v>
      </c>
      <c r="R2712">
        <v>0</v>
      </c>
      <c r="S2712">
        <v>232</v>
      </c>
      <c r="Y2712" t="s">
        <v>9086</v>
      </c>
      <c r="AD2712" s="249" t="str">
        <f>HYPERLINK("https://scontent.cdninstagram.com/t51.2885-15/s320x320/e35/21147492_1917340968541045_6058642251133747200_n.jpg")</f>
        <v>https://scontent.cdninstagram.com/t51.2885-15/s320x320/e35/21147492_1917340968541045_6058642251133747200_n.jpg</v>
      </c>
      <c r="AE2712" s="249" t="str">
        <f>HYPERLINK("https://scontent.cdninstagram.com/t51.2885-19/s150x150/15625245_101041737067360_8349613132926156800_a.jpg")</f>
        <v>https://scontent.cdninstagram.com/t51.2885-19/s150x150/15625245_101041737067360_8349613132926156800_a.jpg</v>
      </c>
    </row>
    <row r="2713" spans="1:31" ht="15" x14ac:dyDescent="0.25">
      <c r="A2713" t="s">
        <v>2474</v>
      </c>
      <c r="B2713" t="s">
        <v>7152</v>
      </c>
      <c r="C2713" s="221">
        <v>42972.074004629627</v>
      </c>
      <c r="D2713" t="s">
        <v>16537</v>
      </c>
      <c r="E2713" s="249" t="str">
        <f>HYPERLINK("https://www.instagram.com/p/BYNJ7TxDXIf/")</f>
        <v>https://www.instagram.com/p/BYNJ7TxDXIf/</v>
      </c>
      <c r="F2713" t="s">
        <v>16538</v>
      </c>
      <c r="G2713" t="s">
        <v>2478</v>
      </c>
      <c r="H2713">
        <v>116</v>
      </c>
      <c r="I2713" t="s">
        <v>2542</v>
      </c>
      <c r="J2713">
        <v>2</v>
      </c>
      <c r="K2713">
        <v>29</v>
      </c>
      <c r="L2713">
        <v>31</v>
      </c>
      <c r="Q2713">
        <v>0</v>
      </c>
      <c r="R2713">
        <v>0</v>
      </c>
      <c r="S2713">
        <v>31</v>
      </c>
      <c r="Y2713" t="s">
        <v>5383</v>
      </c>
      <c r="Z2713" t="s">
        <v>7286</v>
      </c>
      <c r="AA2713" t="s">
        <v>4582</v>
      </c>
      <c r="AB2713" t="s">
        <v>6391</v>
      </c>
      <c r="AC2713" t="s">
        <v>2876</v>
      </c>
      <c r="AD2713" s="249" t="str">
        <f>HYPERLINK("https://scontent.cdninstagram.com/t51.2885-15/s320x320/e35/21042001_318790485198251_1011941943304781824_n.jpg")</f>
        <v>https://scontent.cdninstagram.com/t51.2885-15/s320x320/e35/21042001_318790485198251_1011941943304781824_n.jpg</v>
      </c>
      <c r="AE2713" s="249" t="str">
        <f>HYPERLINK("https://scontent.cdninstagram.com/t51.2885-19/s150x150/20181062_1791856511105718_4709893984703479808_a.jpg")</f>
        <v>https://scontent.cdninstagram.com/t51.2885-19/s150x150/20181062_1791856511105718_4709893984703479808_a.jpg</v>
      </c>
    </row>
    <row r="2714" spans="1:31" ht="15" x14ac:dyDescent="0.25">
      <c r="A2714" t="s">
        <v>2474</v>
      </c>
      <c r="B2714" t="s">
        <v>16539</v>
      </c>
      <c r="C2714" s="221">
        <v>42972.081087962964</v>
      </c>
      <c r="D2714" t="s">
        <v>16540</v>
      </c>
      <c r="E2714" s="249" t="str">
        <f>HYPERLINK("https://www.instagram.com/p/BYNLF7SAn3w/")</f>
        <v>https://www.instagram.com/p/BYNLF7SAn3w/</v>
      </c>
      <c r="F2714" t="s">
        <v>16541</v>
      </c>
      <c r="G2714" t="s">
        <v>2478</v>
      </c>
      <c r="H2714">
        <v>124</v>
      </c>
      <c r="I2714" t="s">
        <v>3898</v>
      </c>
      <c r="J2714">
        <v>0</v>
      </c>
      <c r="K2714">
        <v>24</v>
      </c>
      <c r="L2714">
        <v>24</v>
      </c>
      <c r="Q2714">
        <v>0</v>
      </c>
      <c r="R2714">
        <v>0</v>
      </c>
      <c r="S2714">
        <v>24</v>
      </c>
      <c r="T2714" t="s">
        <v>16542</v>
      </c>
      <c r="V2714" t="s">
        <v>2161</v>
      </c>
      <c r="W2714">
        <v>51.728611111111</v>
      </c>
      <c r="X2714">
        <v>10.252222222222001</v>
      </c>
      <c r="Y2714" t="s">
        <v>16543</v>
      </c>
      <c r="Z2714" t="s">
        <v>16544</v>
      </c>
      <c r="AA2714" t="s">
        <v>16545</v>
      </c>
      <c r="AB2714" t="s">
        <v>16546</v>
      </c>
      <c r="AC2714" t="s">
        <v>5186</v>
      </c>
      <c r="AD2714" s="249" t="str">
        <f>HYPERLINK("https://scontent.cdninstagram.com/t51.2885-15/s320x320/e35/20987006_271379976682064_2916522448864149504_n.jpg")</f>
        <v>https://scontent.cdninstagram.com/t51.2885-15/s320x320/e35/20987006_271379976682064_2916522448864149504_n.jpg</v>
      </c>
      <c r="AE2714" s="249" t="str">
        <f>HYPERLINK("https://scontent.cdninstagram.com/t51.2885-19/s150x150/18879392_1483727425005781_3908491613126524928_a.jpg")</f>
        <v>https://scontent.cdninstagram.com/t51.2885-19/s150x150/18879392_1483727425005781_3908491613126524928_a.jpg</v>
      </c>
    </row>
    <row r="2715" spans="1:31" ht="15" x14ac:dyDescent="0.25">
      <c r="A2715" t="s">
        <v>2474</v>
      </c>
      <c r="B2715" t="s">
        <v>16547</v>
      </c>
      <c r="C2715" s="221">
        <v>42972.08556712963</v>
      </c>
      <c r="D2715" t="s">
        <v>16548</v>
      </c>
      <c r="E2715" s="249" t="str">
        <f>HYPERLINK("https://www.instagram.com/p/BYNL1M_gFS4/")</f>
        <v>https://www.instagram.com/p/BYNL1M_gFS4/</v>
      </c>
      <c r="F2715" t="s">
        <v>16549</v>
      </c>
      <c r="G2715" t="s">
        <v>2478</v>
      </c>
      <c r="H2715">
        <v>306</v>
      </c>
      <c r="I2715" t="s">
        <v>2622</v>
      </c>
      <c r="J2715">
        <v>0</v>
      </c>
      <c r="K2715">
        <v>7</v>
      </c>
      <c r="L2715">
        <v>7</v>
      </c>
      <c r="Q2715">
        <v>0</v>
      </c>
      <c r="R2715">
        <v>0</v>
      </c>
      <c r="S2715">
        <v>7</v>
      </c>
      <c r="Y2715" t="s">
        <v>16550</v>
      </c>
      <c r="Z2715" t="s">
        <v>16551</v>
      </c>
      <c r="AA2715" t="s">
        <v>16552</v>
      </c>
      <c r="AB2715" t="s">
        <v>16553</v>
      </c>
      <c r="AC2715" t="s">
        <v>2497</v>
      </c>
      <c r="AD2715" s="249" t="str">
        <f>HYPERLINK("https://scontent.cdninstagram.com/t51.2885-15/e35/p320x320/21042241_164740320743268_2322995390606999552_n.jpg")</f>
        <v>https://scontent.cdninstagram.com/t51.2885-15/e35/p320x320/21042241_164740320743268_2322995390606999552_n.jpg</v>
      </c>
      <c r="AE2715" s="249" t="str">
        <f>HYPERLINK("https://scontent.cdninstagram.com/t51.2885-19/s150x150/21107670_921199941352912_6272573760398688256_a.jpg")</f>
        <v>https://scontent.cdninstagram.com/t51.2885-19/s150x150/21107670_921199941352912_6272573760398688256_a.jpg</v>
      </c>
    </row>
    <row r="2716" spans="1:31" ht="15" x14ac:dyDescent="0.25">
      <c r="A2716" t="s">
        <v>2474</v>
      </c>
      <c r="B2716" t="s">
        <v>3754</v>
      </c>
      <c r="C2716" s="221">
        <v>42972.098425925928</v>
      </c>
      <c r="D2716" t="s">
        <v>16554</v>
      </c>
      <c r="E2716" s="249" t="str">
        <f>HYPERLINK("https://www.instagram.com/p/BYNN8zYjyZV/")</f>
        <v>https://www.instagram.com/p/BYNN8zYjyZV/</v>
      </c>
      <c r="F2716" t="s">
        <v>16555</v>
      </c>
      <c r="G2716" t="s">
        <v>2478</v>
      </c>
      <c r="H2716">
        <v>201524</v>
      </c>
      <c r="I2716" t="s">
        <v>2479</v>
      </c>
      <c r="J2716">
        <v>0</v>
      </c>
      <c r="K2716">
        <v>390</v>
      </c>
      <c r="L2716">
        <v>390</v>
      </c>
      <c r="Q2716">
        <v>0</v>
      </c>
      <c r="R2716">
        <v>0</v>
      </c>
      <c r="S2716">
        <v>390</v>
      </c>
      <c r="Y2716" t="s">
        <v>16556</v>
      </c>
      <c r="Z2716" t="s">
        <v>16557</v>
      </c>
      <c r="AA2716" t="s">
        <v>5197</v>
      </c>
      <c r="AB2716" t="s">
        <v>3754</v>
      </c>
      <c r="AC2716" t="s">
        <v>4803</v>
      </c>
      <c r="AD2716" s="249" t="str">
        <f>HYPERLINK("https://scontent.cdninstagram.com/t51.2885-15/e35/p320x320/20986639_376939949389481_4818827966081400832_n.jpg")</f>
        <v>https://scontent.cdninstagram.com/t51.2885-15/e35/p320x320/20986639_376939949389481_4818827966081400832_n.jpg</v>
      </c>
      <c r="AE2716" s="249" t="str">
        <f>HYPERLINK("https://scontent.cdninstagram.com/t51.2885-19/s150x150/12905002_1681254462136092_1137392787_a.jpg")</f>
        <v>https://scontent.cdninstagram.com/t51.2885-19/s150x150/12905002_1681254462136092_1137392787_a.jpg</v>
      </c>
    </row>
    <row r="2717" spans="1:31" ht="15" x14ac:dyDescent="0.25">
      <c r="A2717" t="s">
        <v>2474</v>
      </c>
      <c r="B2717" t="s">
        <v>15206</v>
      </c>
      <c r="C2717" s="221">
        <v>42972.104247685187</v>
      </c>
      <c r="D2717" t="s">
        <v>16558</v>
      </c>
      <c r="E2717" s="249" t="str">
        <f>HYPERLINK("https://www.instagram.com/p/BYNO6QrF6TB/")</f>
        <v>https://www.instagram.com/p/BYNO6QrF6TB/</v>
      </c>
      <c r="F2717" t="s">
        <v>16559</v>
      </c>
      <c r="G2717" t="s">
        <v>2478</v>
      </c>
      <c r="H2717">
        <v>60526</v>
      </c>
      <c r="I2717" t="s">
        <v>2479</v>
      </c>
      <c r="J2717">
        <v>13</v>
      </c>
      <c r="K2717">
        <v>1122</v>
      </c>
      <c r="L2717">
        <v>1135</v>
      </c>
      <c r="Q2717">
        <v>0</v>
      </c>
      <c r="R2717">
        <v>0</v>
      </c>
      <c r="S2717">
        <v>1135</v>
      </c>
      <c r="AD2717" s="249" t="str">
        <f>HYPERLINK("https://scontent.cdninstagram.com/t51.2885-15/e35/p320x320/21042856_567638620293051_390164887982047232_n.jpg")</f>
        <v>https://scontent.cdninstagram.com/t51.2885-15/e35/p320x320/21042856_567638620293051_390164887982047232_n.jpg</v>
      </c>
      <c r="AE2717" s="249" t="str">
        <f>HYPERLINK("https://scontent.cdninstagram.com/t51.2885-19/17663530_1657274724581959_2295744149531394048_n.jpg")</f>
        <v>https://scontent.cdninstagram.com/t51.2885-19/17663530_1657274724581959_2295744149531394048_n.jpg</v>
      </c>
    </row>
    <row r="2718" spans="1:31" ht="15" x14ac:dyDescent="0.25">
      <c r="A2718" t="s">
        <v>2474</v>
      </c>
      <c r="B2718" t="s">
        <v>8175</v>
      </c>
      <c r="C2718" s="221">
        <v>42972.131053240744</v>
      </c>
      <c r="D2718" t="s">
        <v>16560</v>
      </c>
      <c r="E2718" s="249" t="str">
        <f>HYPERLINK("https://www.instagram.com/p/BYNTVAnBKXR/")</f>
        <v>https://www.instagram.com/p/BYNTVAnBKXR/</v>
      </c>
      <c r="F2718" t="s">
        <v>16561</v>
      </c>
      <c r="G2718" t="s">
        <v>2478</v>
      </c>
      <c r="H2718">
        <v>92</v>
      </c>
      <c r="I2718" t="s">
        <v>2479</v>
      </c>
      <c r="J2718">
        <v>0</v>
      </c>
      <c r="K2718">
        <v>36</v>
      </c>
      <c r="L2718">
        <v>36</v>
      </c>
      <c r="Q2718">
        <v>0</v>
      </c>
      <c r="R2718">
        <v>0</v>
      </c>
      <c r="S2718">
        <v>36</v>
      </c>
      <c r="Y2718" t="s">
        <v>14517</v>
      </c>
      <c r="Z2718" t="s">
        <v>4815</v>
      </c>
      <c r="AA2718" t="s">
        <v>2750</v>
      </c>
      <c r="AB2718" t="s">
        <v>7418</v>
      </c>
      <c r="AC2718" t="s">
        <v>2497</v>
      </c>
      <c r="AD2718" s="249" t="str">
        <f>HYPERLINK("https://scontent.cdninstagram.com/t51.2885-15/e35/21041386_2408111689414240_7255048938107961344_n.jpg")</f>
        <v>https://scontent.cdninstagram.com/t51.2885-15/e35/21041386_2408111689414240_7255048938107961344_n.jpg</v>
      </c>
      <c r="AE2718" s="249" t="str">
        <f>HYPERLINK("https://scontent.cdninstagram.com/t51.2885-19/s150x150/18723480_1930046670566246_8792132581324750848_a.jpg")</f>
        <v>https://scontent.cdninstagram.com/t51.2885-19/s150x150/18723480_1930046670566246_8792132581324750848_a.jpg</v>
      </c>
    </row>
    <row r="2719" spans="1:31" ht="15" x14ac:dyDescent="0.25">
      <c r="A2719" t="s">
        <v>2474</v>
      </c>
      <c r="B2719" t="s">
        <v>16562</v>
      </c>
      <c r="C2719" s="221">
        <v>42972.152048611111</v>
      </c>
      <c r="D2719" t="s">
        <v>16563</v>
      </c>
      <c r="E2719" s="249" t="str">
        <f>HYPERLINK("https://www.instagram.com/p/BYNWyXwBfqu/")</f>
        <v>https://www.instagram.com/p/BYNWyXwBfqu/</v>
      </c>
      <c r="F2719" t="s">
        <v>16564</v>
      </c>
      <c r="G2719" t="s">
        <v>2478</v>
      </c>
      <c r="H2719">
        <v>715</v>
      </c>
      <c r="I2719" t="s">
        <v>2479</v>
      </c>
      <c r="J2719">
        <v>0</v>
      </c>
      <c r="K2719">
        <v>51</v>
      </c>
      <c r="L2719">
        <v>51</v>
      </c>
      <c r="Q2719">
        <v>0</v>
      </c>
      <c r="R2719">
        <v>0</v>
      </c>
      <c r="S2719">
        <v>51</v>
      </c>
      <c r="Y2719" t="s">
        <v>2983</v>
      </c>
      <c r="Z2719" t="s">
        <v>16565</v>
      </c>
      <c r="AA2719" t="s">
        <v>16566</v>
      </c>
      <c r="AB2719" t="s">
        <v>16567</v>
      </c>
      <c r="AC2719" t="s">
        <v>16568</v>
      </c>
      <c r="AD2719" s="249" t="str">
        <f>HYPERLINK("https://scontent.cdninstagram.com/t51.2885-15/e35/p320x320/21107518_231272814063984_2999832595224592384_n.jpg")</f>
        <v>https://scontent.cdninstagram.com/t51.2885-15/e35/p320x320/21107518_231272814063984_2999832595224592384_n.jpg</v>
      </c>
      <c r="AE2719" s="249" t="str">
        <f>HYPERLINK("https://scontent.cdninstagram.com/t51.2885-19/s150x150/19424758_254854178326220_9192200671753928704_a.jpg")</f>
        <v>https://scontent.cdninstagram.com/t51.2885-19/s150x150/19424758_254854178326220_9192200671753928704_a.jpg</v>
      </c>
    </row>
    <row r="2720" spans="1:31" ht="15" x14ac:dyDescent="0.25">
      <c r="A2720" t="s">
        <v>2474</v>
      </c>
      <c r="B2720" t="s">
        <v>16569</v>
      </c>
      <c r="C2720" s="221">
        <v>42972.153263888889</v>
      </c>
      <c r="D2720" t="s">
        <v>16570</v>
      </c>
      <c r="E2720" s="249" t="str">
        <f>HYPERLINK("https://www.instagram.com/p/BYNW_KCAeV2/")</f>
        <v>https://www.instagram.com/p/BYNW_KCAeV2/</v>
      </c>
      <c r="F2720" t="s">
        <v>16571</v>
      </c>
      <c r="G2720" t="s">
        <v>2478</v>
      </c>
      <c r="H2720">
        <v>2187</v>
      </c>
      <c r="I2720" t="s">
        <v>2479</v>
      </c>
      <c r="J2720">
        <v>21</v>
      </c>
      <c r="K2720">
        <v>142</v>
      </c>
      <c r="L2720">
        <v>163</v>
      </c>
      <c r="Q2720">
        <v>0</v>
      </c>
      <c r="R2720">
        <v>0</v>
      </c>
      <c r="S2720">
        <v>163</v>
      </c>
      <c r="AD2720" s="249" t="str">
        <f>HYPERLINK("https://scontent.cdninstagram.com/t51.2885-15/s320x320/e35/21042631_776184619233475_3378370791988002816_n.jpg")</f>
        <v>https://scontent.cdninstagram.com/t51.2885-15/s320x320/e35/21042631_776184619233475_3378370791988002816_n.jpg</v>
      </c>
      <c r="AE2720" s="249" t="str">
        <f>HYPERLINK("https://scontent.cdninstagram.com/t51.2885-19/s150x150/19379545_123461264911056_6005338648973672448_a.jpg")</f>
        <v>https://scontent.cdninstagram.com/t51.2885-19/s150x150/19379545_123461264911056_6005338648973672448_a.jpg</v>
      </c>
    </row>
    <row r="2721" spans="1:31" ht="15" x14ac:dyDescent="0.25">
      <c r="A2721" t="s">
        <v>2474</v>
      </c>
      <c r="B2721" t="s">
        <v>16572</v>
      </c>
      <c r="C2721" s="221">
        <v>42972.156111111108</v>
      </c>
      <c r="D2721" t="s">
        <v>16573</v>
      </c>
      <c r="E2721" s="249" t="str">
        <f>HYPERLINK("https://www.instagram.com/p/BYNXdSbF8V6/")</f>
        <v>https://www.instagram.com/p/BYNXdSbF8V6/</v>
      </c>
      <c r="F2721" t="s">
        <v>16574</v>
      </c>
      <c r="G2721" t="s">
        <v>2478</v>
      </c>
      <c r="H2721">
        <v>189</v>
      </c>
      <c r="I2721" t="s">
        <v>2479</v>
      </c>
      <c r="J2721">
        <v>0</v>
      </c>
      <c r="K2721">
        <v>43</v>
      </c>
      <c r="L2721">
        <v>43</v>
      </c>
      <c r="Q2721">
        <v>0</v>
      </c>
      <c r="R2721">
        <v>0</v>
      </c>
      <c r="S2721">
        <v>43</v>
      </c>
      <c r="Y2721" t="s">
        <v>5383</v>
      </c>
      <c r="Z2721" t="s">
        <v>16575</v>
      </c>
      <c r="AA2721" t="s">
        <v>6393</v>
      </c>
      <c r="AB2721" t="s">
        <v>16576</v>
      </c>
      <c r="AC2721" t="s">
        <v>16577</v>
      </c>
      <c r="AD2721" s="249" t="str">
        <f>HYPERLINK("https://scontent.cdninstagram.com/t51.2885-15/s320x320/e35/21042107_511331065869177_7776320915435945984_n.jpg")</f>
        <v>https://scontent.cdninstagram.com/t51.2885-15/s320x320/e35/21042107_511331065869177_7776320915435945984_n.jpg</v>
      </c>
      <c r="AE2721" s="249" t="str">
        <f>HYPERLINK("https://scontent.cdninstagram.com/t51.2885-19/s150x150/20067096_506973179641330_1605601694576541696_a.jpg")</f>
        <v>https://scontent.cdninstagram.com/t51.2885-19/s150x150/20067096_506973179641330_1605601694576541696_a.jpg</v>
      </c>
    </row>
    <row r="2722" spans="1:31" ht="15" x14ac:dyDescent="0.25">
      <c r="A2722" t="s">
        <v>2474</v>
      </c>
      <c r="B2722" t="s">
        <v>16578</v>
      </c>
      <c r="C2722" s="221">
        <v>42972.157673611109</v>
      </c>
      <c r="D2722" t="s">
        <v>16579</v>
      </c>
      <c r="E2722" s="249" t="str">
        <f>HYPERLINK("https://www.instagram.com/p/BYNXtqyAQXK/")</f>
        <v>https://www.instagram.com/p/BYNXtqyAQXK/</v>
      </c>
      <c r="F2722" t="s">
        <v>16580</v>
      </c>
      <c r="G2722" t="s">
        <v>2478</v>
      </c>
      <c r="H2722">
        <v>847</v>
      </c>
      <c r="I2722" t="s">
        <v>2542</v>
      </c>
      <c r="J2722">
        <v>3</v>
      </c>
      <c r="K2722">
        <v>58</v>
      </c>
      <c r="L2722">
        <v>61</v>
      </c>
      <c r="Q2722">
        <v>0</v>
      </c>
      <c r="R2722">
        <v>0</v>
      </c>
      <c r="S2722">
        <v>61</v>
      </c>
      <c r="T2722" t="s">
        <v>16581</v>
      </c>
      <c r="V2722" t="s">
        <v>2288</v>
      </c>
      <c r="W2722">
        <v>57</v>
      </c>
      <c r="X2722">
        <v>-5</v>
      </c>
      <c r="Y2722" t="s">
        <v>16582</v>
      </c>
      <c r="Z2722" t="s">
        <v>16578</v>
      </c>
      <c r="AA2722" t="s">
        <v>16583</v>
      </c>
      <c r="AB2722" t="s">
        <v>13517</v>
      </c>
      <c r="AC2722" t="s">
        <v>16584</v>
      </c>
      <c r="AD2722" s="249" t="str">
        <f>HYPERLINK("https://scontent.cdninstagram.com/t51.2885-15/s320x320/e35/21042322_111733119542554_5026639288683462656_n.jpg")</f>
        <v>https://scontent.cdninstagram.com/t51.2885-15/s320x320/e35/21042322_111733119542554_5026639288683462656_n.jpg</v>
      </c>
      <c r="AE2722" s="249" t="str">
        <f>HYPERLINK("https://scontent.cdninstagram.com/t51.2885-19/s150x150/14504954_543091702548555_5770588522691952640_a.jpg")</f>
        <v>https://scontent.cdninstagram.com/t51.2885-19/s150x150/14504954_543091702548555_5770588522691952640_a.jpg</v>
      </c>
    </row>
    <row r="2723" spans="1:31" ht="15" x14ac:dyDescent="0.25">
      <c r="A2723" t="s">
        <v>2474</v>
      </c>
      <c r="B2723" t="s">
        <v>16585</v>
      </c>
      <c r="C2723" s="221">
        <v>42972.178900462961</v>
      </c>
      <c r="D2723" t="s">
        <v>16586</v>
      </c>
      <c r="E2723" s="249" t="str">
        <f>HYPERLINK("https://www.instagram.com/p/BYNbNo7FblB/")</f>
        <v>https://www.instagram.com/p/BYNbNo7FblB/</v>
      </c>
      <c r="F2723" t="s">
        <v>16587</v>
      </c>
      <c r="G2723" t="s">
        <v>2478</v>
      </c>
      <c r="H2723">
        <v>1621</v>
      </c>
      <c r="I2723" t="s">
        <v>2599</v>
      </c>
      <c r="J2723">
        <v>1</v>
      </c>
      <c r="K2723">
        <v>175</v>
      </c>
      <c r="L2723">
        <v>176</v>
      </c>
      <c r="Q2723">
        <v>0</v>
      </c>
      <c r="R2723">
        <v>0</v>
      </c>
      <c r="S2723">
        <v>176</v>
      </c>
      <c r="Y2723" t="s">
        <v>16588</v>
      </c>
      <c r="Z2723" t="s">
        <v>16589</v>
      </c>
      <c r="AA2723" t="s">
        <v>7098</v>
      </c>
      <c r="AB2723" t="s">
        <v>16590</v>
      </c>
      <c r="AC2723" t="s">
        <v>2497</v>
      </c>
      <c r="AD2723" s="249" t="str">
        <f>HYPERLINK("https://scontent.cdninstagram.com/t51.2885-15/s320x320/e35/21041470_165103454056582_4318469799425343488_n.jpg")</f>
        <v>https://scontent.cdninstagram.com/t51.2885-15/s320x320/e35/21041470_165103454056582_4318469799425343488_n.jpg</v>
      </c>
      <c r="AE2723" s="249" t="str">
        <f>HYPERLINK("https://scontent.cdninstagram.com/t51.2885-19/s150x150/14719318_1499066436775406_7381581994657841152_a.jpg")</f>
        <v>https://scontent.cdninstagram.com/t51.2885-19/s150x150/14719318_1499066436775406_7381581994657841152_a.jpg</v>
      </c>
    </row>
    <row r="2724" spans="1:31" ht="15" x14ac:dyDescent="0.25">
      <c r="A2724" t="s">
        <v>2474</v>
      </c>
      <c r="B2724" t="s">
        <v>5920</v>
      </c>
      <c r="C2724" s="221">
        <v>42972.186805555553</v>
      </c>
      <c r="D2724" t="s">
        <v>16591</v>
      </c>
      <c r="E2724" s="249" t="str">
        <f>HYPERLINK("https://www.instagram.com/p/BYNcg6IgkzE/")</f>
        <v>https://www.instagram.com/p/BYNcg6IgkzE/</v>
      </c>
      <c r="F2724" t="s">
        <v>16592</v>
      </c>
      <c r="G2724" t="s">
        <v>2478</v>
      </c>
      <c r="H2724">
        <v>26</v>
      </c>
      <c r="I2724" t="s">
        <v>3575</v>
      </c>
      <c r="J2724">
        <v>0</v>
      </c>
      <c r="K2724">
        <v>6</v>
      </c>
      <c r="L2724">
        <v>6</v>
      </c>
      <c r="Q2724">
        <v>0</v>
      </c>
      <c r="R2724">
        <v>0</v>
      </c>
      <c r="S2724">
        <v>6</v>
      </c>
      <c r="T2724" t="s">
        <v>16593</v>
      </c>
      <c r="V2724" t="s">
        <v>2270</v>
      </c>
      <c r="W2724">
        <v>57.134240363665</v>
      </c>
      <c r="X2724">
        <v>12.714307165878999</v>
      </c>
      <c r="Y2724" t="s">
        <v>5924</v>
      </c>
      <c r="Z2724" t="s">
        <v>16594</v>
      </c>
      <c r="AA2724" t="s">
        <v>16595</v>
      </c>
      <c r="AB2724" t="s">
        <v>4519</v>
      </c>
      <c r="AC2724" t="s">
        <v>3952</v>
      </c>
      <c r="AD2724" s="249" t="str">
        <f>HYPERLINK("https://scontent.cdninstagram.com/t51.2885-15/s320x320/e35/20968968_1399760503464095_878434585715671040_n.jpg")</f>
        <v>https://scontent.cdninstagram.com/t51.2885-15/s320x320/e35/20968968_1399760503464095_878434585715671040_n.jpg</v>
      </c>
      <c r="AE2724" s="249" t="str">
        <f>HYPERLINK("https://scontent.cdninstagram.com/t51.2885-19/s150x150/20065313_312266842554112_1367471824169861120_a.jpg")</f>
        <v>https://scontent.cdninstagram.com/t51.2885-19/s150x150/20065313_312266842554112_1367471824169861120_a.jpg</v>
      </c>
    </row>
    <row r="2725" spans="1:31" ht="15" x14ac:dyDescent="0.25">
      <c r="A2725" t="s">
        <v>2474</v>
      </c>
      <c r="B2725" t="s">
        <v>3644</v>
      </c>
      <c r="C2725" s="221">
        <v>42972.187025462961</v>
      </c>
      <c r="D2725" t="s">
        <v>16596</v>
      </c>
      <c r="E2725" s="249" t="str">
        <f>HYPERLINK("https://www.instagram.com/p/BYNcjVFFaDY/")</f>
        <v>https://www.instagram.com/p/BYNcjVFFaDY/</v>
      </c>
      <c r="F2725" t="s">
        <v>16597</v>
      </c>
      <c r="G2725" t="s">
        <v>2478</v>
      </c>
      <c r="H2725">
        <v>578</v>
      </c>
      <c r="I2725" t="s">
        <v>2479</v>
      </c>
      <c r="J2725">
        <v>2</v>
      </c>
      <c r="K2725">
        <v>44</v>
      </c>
      <c r="L2725">
        <v>46</v>
      </c>
      <c r="Q2725">
        <v>0</v>
      </c>
      <c r="R2725">
        <v>0</v>
      </c>
      <c r="S2725">
        <v>46</v>
      </c>
      <c r="T2725" t="s">
        <v>16598</v>
      </c>
      <c r="V2725" t="s">
        <v>2141</v>
      </c>
      <c r="W2725">
        <v>55.394480000000001</v>
      </c>
      <c r="X2725">
        <v>10.38547</v>
      </c>
      <c r="Y2725" t="s">
        <v>8234</v>
      </c>
      <c r="Z2725" t="s">
        <v>7119</v>
      </c>
      <c r="AA2725" t="s">
        <v>6486</v>
      </c>
      <c r="AB2725" t="s">
        <v>5865</v>
      </c>
      <c r="AC2725" t="s">
        <v>6992</v>
      </c>
      <c r="AD2725" s="249" t="str">
        <f>HYPERLINK("https://scontent.cdninstagram.com/t51.2885-15/s320x320/e35/21107473_1297268353715908_8596913505834106880_n.jpg")</f>
        <v>https://scontent.cdninstagram.com/t51.2885-15/s320x320/e35/21107473_1297268353715908_8596913505834106880_n.jpg</v>
      </c>
      <c r="AE2725" s="249" t="str">
        <f>HYPERLINK("https://scontent.cdninstagram.com/t51.2885-19/s150x150/14714495_1790450111234953_7147855754219749376_a.jpg")</f>
        <v>https://scontent.cdninstagram.com/t51.2885-19/s150x150/14714495_1790450111234953_7147855754219749376_a.jpg</v>
      </c>
    </row>
    <row r="2726" spans="1:31" ht="15" x14ac:dyDescent="0.25">
      <c r="A2726" t="s">
        <v>2474</v>
      </c>
      <c r="B2726" t="s">
        <v>2628</v>
      </c>
      <c r="C2726" s="221">
        <v>42972.203946759262</v>
      </c>
      <c r="D2726" t="s">
        <v>16599</v>
      </c>
      <c r="E2726" s="249" t="str">
        <f>HYPERLINK("https://www.instagram.com/p/BYNfVsrAdc3/")</f>
        <v>https://www.instagram.com/p/BYNfVsrAdc3/</v>
      </c>
      <c r="F2726" t="s">
        <v>6303</v>
      </c>
      <c r="G2726" t="s">
        <v>2631</v>
      </c>
      <c r="H2726">
        <v>182</v>
      </c>
      <c r="I2726" t="s">
        <v>2479</v>
      </c>
      <c r="J2726">
        <v>2</v>
      </c>
      <c r="K2726">
        <v>28</v>
      </c>
      <c r="L2726">
        <v>30</v>
      </c>
      <c r="Q2726">
        <v>0</v>
      </c>
      <c r="R2726">
        <v>0</v>
      </c>
      <c r="S2726">
        <v>30</v>
      </c>
      <c r="Y2726" t="s">
        <v>5884</v>
      </c>
      <c r="Z2726" t="s">
        <v>2696</v>
      </c>
      <c r="AA2726" t="s">
        <v>2778</v>
      </c>
      <c r="AB2726" t="s">
        <v>5084</v>
      </c>
      <c r="AC2726" t="s">
        <v>4817</v>
      </c>
      <c r="AD2726" s="249" t="str">
        <f>HYPERLINK("https://scontent.cdninstagram.com/t51.2885-15/s320x320/e15/21042419_115505379172409_6617080375770349568_n.jpg")</f>
        <v>https://scontent.cdninstagram.com/t51.2885-15/s320x320/e15/21042419_115505379172409_6617080375770349568_n.jpg</v>
      </c>
      <c r="AE2726" s="249" t="str">
        <f>HYPERLINK("https://scontent.cdninstagram.com/t51.2885-19/s150x150/13739472_923311071148595_1681273203_a.jpg")</f>
        <v>https://scontent.cdninstagram.com/t51.2885-19/s150x150/13739472_923311071148595_1681273203_a.jpg</v>
      </c>
    </row>
    <row r="2727" spans="1:31" ht="15" x14ac:dyDescent="0.25">
      <c r="A2727" t="s">
        <v>2474</v>
      </c>
      <c r="B2727" t="s">
        <v>3015</v>
      </c>
      <c r="C2727" s="221">
        <v>42972.214097222219</v>
      </c>
      <c r="D2727" t="s">
        <v>16600</v>
      </c>
      <c r="E2727" s="249" t="str">
        <f>HYPERLINK("https://www.instagram.com/p/BYNhA2JAJdT/")</f>
        <v>https://www.instagram.com/p/BYNhA2JAJdT/</v>
      </c>
      <c r="F2727" t="s">
        <v>16601</v>
      </c>
      <c r="G2727" t="s">
        <v>2478</v>
      </c>
      <c r="H2727">
        <v>241</v>
      </c>
      <c r="I2727" t="s">
        <v>2479</v>
      </c>
      <c r="J2727">
        <v>1</v>
      </c>
      <c r="K2727">
        <v>40</v>
      </c>
      <c r="L2727">
        <v>41</v>
      </c>
      <c r="Q2727">
        <v>0</v>
      </c>
      <c r="R2727">
        <v>0</v>
      </c>
      <c r="S2727">
        <v>41</v>
      </c>
      <c r="Y2727" t="s">
        <v>4129</v>
      </c>
      <c r="Z2727" t="s">
        <v>3725</v>
      </c>
      <c r="AA2727" t="s">
        <v>3494</v>
      </c>
      <c r="AB2727" t="s">
        <v>2492</v>
      </c>
      <c r="AC2727" t="s">
        <v>4919</v>
      </c>
      <c r="AD2727" s="249" t="str">
        <f>HYPERLINK("https://scontent.cdninstagram.com/t51.2885-15/e35/p320x320/21107851_113555965980455_6785785557285863424_n.jpg")</f>
        <v>https://scontent.cdninstagram.com/t51.2885-15/e35/p320x320/21107851_113555965980455_6785785557285863424_n.jpg</v>
      </c>
      <c r="AE2727" s="249" t="str">
        <f>HYPERLINK("https://scontent.cdninstagram.com/t51.2885-19/s150x150/19761452_1876060406050696_4275948751316582400_a.jpg")</f>
        <v>https://scontent.cdninstagram.com/t51.2885-19/s150x150/19761452_1876060406050696_4275948751316582400_a.jpg</v>
      </c>
    </row>
    <row r="2728" spans="1:31" ht="15" x14ac:dyDescent="0.25">
      <c r="A2728" t="s">
        <v>2474</v>
      </c>
      <c r="B2728" t="s">
        <v>2636</v>
      </c>
      <c r="C2728" s="221">
        <v>42972.215671296297</v>
      </c>
      <c r="D2728" t="s">
        <v>16602</v>
      </c>
      <c r="E2728" s="249" t="str">
        <f>HYPERLINK("https://www.instagram.com/p/BYNhRayHjzd/")</f>
        <v>https://www.instagram.com/p/BYNhRayHjzd/</v>
      </c>
      <c r="F2728" t="s">
        <v>16603</v>
      </c>
      <c r="G2728" t="s">
        <v>2478</v>
      </c>
      <c r="H2728">
        <v>324</v>
      </c>
      <c r="I2728" t="s">
        <v>2479</v>
      </c>
      <c r="J2728">
        <v>2</v>
      </c>
      <c r="K2728">
        <v>30</v>
      </c>
      <c r="L2728">
        <v>32</v>
      </c>
      <c r="Q2728">
        <v>0</v>
      </c>
      <c r="R2728">
        <v>0</v>
      </c>
      <c r="S2728">
        <v>32</v>
      </c>
      <c r="Y2728" t="s">
        <v>4666</v>
      </c>
      <c r="Z2728" t="s">
        <v>3982</v>
      </c>
      <c r="AA2728" t="s">
        <v>4513</v>
      </c>
      <c r="AB2728" t="s">
        <v>2493</v>
      </c>
      <c r="AC2728" t="s">
        <v>2643</v>
      </c>
      <c r="AD2728" s="249" t="str">
        <f>HYPERLINK("https://scontent.cdninstagram.com/t51.2885-15/s320x320/e35/21107324_1874414206209038_8393220227940220928_n.jpg")</f>
        <v>https://scontent.cdninstagram.com/t51.2885-15/s320x320/e35/21107324_1874414206209038_8393220227940220928_n.jpg</v>
      </c>
      <c r="AE2728" s="249" t="str">
        <f>HYPERLINK("https://scontent.cdninstagram.com/t51.2885-19/s150x150/15802797_1331780626878656_4160680230047973376_a.jpg")</f>
        <v>https://scontent.cdninstagram.com/t51.2885-19/s150x150/15802797_1331780626878656_4160680230047973376_a.jpg</v>
      </c>
    </row>
    <row r="2729" spans="1:31" ht="15" x14ac:dyDescent="0.25">
      <c r="A2729" t="s">
        <v>2474</v>
      </c>
      <c r="B2729" t="s">
        <v>14723</v>
      </c>
      <c r="C2729" s="221">
        <v>42972.222187500003</v>
      </c>
      <c r="D2729" t="s">
        <v>16604</v>
      </c>
      <c r="E2729" s="249" t="str">
        <f>HYPERLINK("https://www.instagram.com/p/BYNiWFQgZet/")</f>
        <v>https://www.instagram.com/p/BYNiWFQgZet/</v>
      </c>
      <c r="F2729" t="s">
        <v>16605</v>
      </c>
      <c r="G2729" t="s">
        <v>2478</v>
      </c>
      <c r="H2729">
        <v>306</v>
      </c>
      <c r="I2729" t="s">
        <v>2896</v>
      </c>
      <c r="J2729">
        <v>0</v>
      </c>
      <c r="K2729">
        <v>33</v>
      </c>
      <c r="L2729">
        <v>33</v>
      </c>
      <c r="Q2729">
        <v>0</v>
      </c>
      <c r="R2729">
        <v>0</v>
      </c>
      <c r="S2729">
        <v>33</v>
      </c>
      <c r="Y2729" t="s">
        <v>10479</v>
      </c>
      <c r="Z2729" t="s">
        <v>13951</v>
      </c>
      <c r="AA2729" t="s">
        <v>16606</v>
      </c>
      <c r="AB2729" t="s">
        <v>2497</v>
      </c>
      <c r="AC2729" t="s">
        <v>16607</v>
      </c>
      <c r="AD2729" s="249" t="str">
        <f>HYPERLINK("https://scontent.cdninstagram.com/t51.2885-15/s320x320/e35/21040905_142480083016716_5388124463826993152_n.jpg")</f>
        <v>https://scontent.cdninstagram.com/t51.2885-15/s320x320/e35/21040905_142480083016716_5388124463826993152_n.jpg</v>
      </c>
      <c r="AE2729" s="249" t="str">
        <f>HYPERLINK("https://scontent.cdninstagram.com/t51.2885-19/s150x150/12717097_956565874438539_1558668006_a.jpg")</f>
        <v>https://scontent.cdninstagram.com/t51.2885-19/s150x150/12717097_956565874438539_1558668006_a.jpg</v>
      </c>
    </row>
    <row r="2730" spans="1:31" ht="15" x14ac:dyDescent="0.25">
      <c r="A2730" t="s">
        <v>2474</v>
      </c>
      <c r="B2730" t="s">
        <v>2685</v>
      </c>
      <c r="C2730" s="221">
        <v>42972.223553240743</v>
      </c>
      <c r="D2730" t="s">
        <v>16608</v>
      </c>
      <c r="E2730" s="249" t="str">
        <f>HYPERLINK("https://www.instagram.com/p/BYNikfElRfb/")</f>
        <v>https://www.instagram.com/p/BYNikfElRfb/</v>
      </c>
      <c r="F2730" t="s">
        <v>16609</v>
      </c>
      <c r="G2730" t="s">
        <v>2478</v>
      </c>
      <c r="H2730">
        <v>228</v>
      </c>
      <c r="I2730" t="s">
        <v>2479</v>
      </c>
      <c r="J2730">
        <v>4</v>
      </c>
      <c r="K2730">
        <v>49</v>
      </c>
      <c r="L2730">
        <v>53</v>
      </c>
      <c r="Q2730">
        <v>0</v>
      </c>
      <c r="R2730">
        <v>0</v>
      </c>
      <c r="S2730">
        <v>53</v>
      </c>
      <c r="Y2730" t="s">
        <v>16610</v>
      </c>
      <c r="Z2730" t="s">
        <v>2689</v>
      </c>
      <c r="AA2730" t="s">
        <v>7218</v>
      </c>
      <c r="AB2730" t="s">
        <v>16611</v>
      </c>
      <c r="AC2730" t="s">
        <v>6052</v>
      </c>
      <c r="AD2730" s="249" t="str">
        <f>HYPERLINK("https://scontent.cdninstagram.com/t51.2885-15/s320x320/e35/21147509_172522813293464_6472959462503088128_n.jpg")</f>
        <v>https://scontent.cdninstagram.com/t51.2885-15/s320x320/e35/21147509_172522813293464_6472959462503088128_n.jpg</v>
      </c>
      <c r="AE2730" s="249" t="str">
        <f>HYPERLINK("https://scontent.cdninstagram.com/t51.2885-19/s150x150/12339026_997056470351354_891418646_a.jpg")</f>
        <v>https://scontent.cdninstagram.com/t51.2885-19/s150x150/12339026_997056470351354_891418646_a.jpg</v>
      </c>
    </row>
    <row r="2731" spans="1:31" ht="15" x14ac:dyDescent="0.25">
      <c r="A2731" t="s">
        <v>2474</v>
      </c>
      <c r="B2731" t="s">
        <v>16612</v>
      </c>
      <c r="C2731" s="221">
        <v>42972.2262962963</v>
      </c>
      <c r="D2731" t="s">
        <v>16613</v>
      </c>
      <c r="E2731" s="249" t="str">
        <f>HYPERLINK("https://www.instagram.com/p/BYNjBh8lpHN/")</f>
        <v>https://www.instagram.com/p/BYNjBh8lpHN/</v>
      </c>
      <c r="F2731" t="s">
        <v>16614</v>
      </c>
      <c r="G2731" t="s">
        <v>2478</v>
      </c>
      <c r="H2731">
        <v>252</v>
      </c>
      <c r="I2731" t="s">
        <v>2748</v>
      </c>
      <c r="J2731">
        <v>1</v>
      </c>
      <c r="K2731">
        <v>35</v>
      </c>
      <c r="L2731">
        <v>36</v>
      </c>
      <c r="Q2731">
        <v>0</v>
      </c>
      <c r="R2731">
        <v>0</v>
      </c>
      <c r="S2731">
        <v>36</v>
      </c>
      <c r="Y2731" t="s">
        <v>16615</v>
      </c>
      <c r="Z2731" t="s">
        <v>2660</v>
      </c>
      <c r="AA2731" t="s">
        <v>2861</v>
      </c>
      <c r="AB2731" t="s">
        <v>3256</v>
      </c>
      <c r="AC2731" t="s">
        <v>3392</v>
      </c>
      <c r="AD2731" s="249" t="str">
        <f>HYPERLINK("https://scontent.cdninstagram.com/t51.2885-15/e35/p320x320/21041829_272823579882676_585886380157042688_n.jpg")</f>
        <v>https://scontent.cdninstagram.com/t51.2885-15/e35/p320x320/21041829_272823579882676_585886380157042688_n.jpg</v>
      </c>
      <c r="AE2731" s="249" t="str">
        <f>HYPERLINK("https://scontent.cdninstagram.com/t51.2885-19/s150x150/18513223_127202364515090_3401499899546566656_a.jpg")</f>
        <v>https://scontent.cdninstagram.com/t51.2885-19/s150x150/18513223_127202364515090_3401499899546566656_a.jpg</v>
      </c>
    </row>
    <row r="2732" spans="1:31" ht="15" x14ac:dyDescent="0.25">
      <c r="A2732" t="s">
        <v>2474</v>
      </c>
      <c r="B2732" t="s">
        <v>12623</v>
      </c>
      <c r="C2732" s="221">
        <v>42972.243634259263</v>
      </c>
      <c r="D2732" t="s">
        <v>16616</v>
      </c>
      <c r="E2732" s="249" t="str">
        <f>HYPERLINK("https://www.instagram.com/p/BYNl4SEB7HJ/")</f>
        <v>https://www.instagram.com/p/BYNl4SEB7HJ/</v>
      </c>
      <c r="F2732" t="s">
        <v>16617</v>
      </c>
      <c r="G2732" t="s">
        <v>2478</v>
      </c>
      <c r="H2732">
        <v>46</v>
      </c>
      <c r="I2732" t="s">
        <v>2479</v>
      </c>
      <c r="J2732">
        <v>1</v>
      </c>
      <c r="K2732">
        <v>7</v>
      </c>
      <c r="L2732">
        <v>8</v>
      </c>
      <c r="Q2732">
        <v>0</v>
      </c>
      <c r="R2732">
        <v>0</v>
      </c>
      <c r="S2732">
        <v>8</v>
      </c>
      <c r="Y2732" t="s">
        <v>13648</v>
      </c>
      <c r="Z2732" t="s">
        <v>16618</v>
      </c>
      <c r="AA2732" t="s">
        <v>3132</v>
      </c>
      <c r="AB2732" t="s">
        <v>16619</v>
      </c>
      <c r="AC2732" t="s">
        <v>4839</v>
      </c>
      <c r="AD2732" s="249" t="str">
        <f>HYPERLINK("https://scontent.cdninstagram.com/t51.2885-15/s320x320/e35/21042684_744731592396808_744150753874018304_n.jpg")</f>
        <v>https://scontent.cdninstagram.com/t51.2885-15/s320x320/e35/21042684_744731592396808_744150753874018304_n.jpg</v>
      </c>
      <c r="AE2732" s="249" t="str">
        <f>HYPERLINK("https://scontent.cdninstagram.com/t51.2885-19/s150x150/20905221_267313190438379_2128714709635956736_a.jpg")</f>
        <v>https://scontent.cdninstagram.com/t51.2885-19/s150x150/20905221_267313190438379_2128714709635956736_a.jpg</v>
      </c>
    </row>
    <row r="2733" spans="1:31" ht="15" x14ac:dyDescent="0.25">
      <c r="A2733" t="s">
        <v>2474</v>
      </c>
      <c r="B2733" t="s">
        <v>16620</v>
      </c>
      <c r="C2733" s="221">
        <v>42972.245972222219</v>
      </c>
      <c r="D2733" t="s">
        <v>16621</v>
      </c>
      <c r="E2733" s="249" t="str">
        <f>HYPERLINK("https://www.instagram.com/p/BYNmQ8th_Y3/")</f>
        <v>https://www.instagram.com/p/BYNmQ8th_Y3/</v>
      </c>
      <c r="F2733" t="s">
        <v>16622</v>
      </c>
      <c r="G2733" t="s">
        <v>2478</v>
      </c>
      <c r="H2733">
        <v>38</v>
      </c>
      <c r="I2733" t="s">
        <v>2479</v>
      </c>
      <c r="J2733">
        <v>0</v>
      </c>
      <c r="K2733">
        <v>17</v>
      </c>
      <c r="L2733">
        <v>17</v>
      </c>
      <c r="Q2733">
        <v>0</v>
      </c>
      <c r="R2733">
        <v>0</v>
      </c>
      <c r="S2733">
        <v>17</v>
      </c>
      <c r="Y2733" t="s">
        <v>8587</v>
      </c>
      <c r="Z2733" t="s">
        <v>16623</v>
      </c>
      <c r="AA2733" t="s">
        <v>2497</v>
      </c>
      <c r="AB2733" t="s">
        <v>16624</v>
      </c>
      <c r="AC2733" t="s">
        <v>16625</v>
      </c>
      <c r="AD2733" s="249" t="str">
        <f>HYPERLINK("https://scontent.cdninstagram.com/t51.2885-15/s320x320/e35/21042717_1926883434246667_7199437838998306816_n.jpg")</f>
        <v>https://scontent.cdninstagram.com/t51.2885-15/s320x320/e35/21042717_1926883434246667_7199437838998306816_n.jpg</v>
      </c>
      <c r="AE2733" s="249" t="str">
        <f>HYPERLINK("https://scontent.cdninstagram.com/t51.2885-19/s150x150/19379844_1365953786816224_6160753097141387264_a.jpg")</f>
        <v>https://scontent.cdninstagram.com/t51.2885-19/s150x150/19379844_1365953786816224_6160753097141387264_a.jpg</v>
      </c>
    </row>
    <row r="2734" spans="1:31" ht="15" x14ac:dyDescent="0.25">
      <c r="A2734" t="s">
        <v>2474</v>
      </c>
      <c r="B2734" t="s">
        <v>16626</v>
      </c>
      <c r="C2734" s="221">
        <v>42972.248425925929</v>
      </c>
      <c r="D2734" t="s">
        <v>16627</v>
      </c>
      <c r="E2734" s="249" t="str">
        <f>HYPERLINK("https://www.instagram.com/p/BYNmq0jAoY3/")</f>
        <v>https://www.instagram.com/p/BYNmq0jAoY3/</v>
      </c>
      <c r="F2734" t="s">
        <v>16628</v>
      </c>
      <c r="G2734" t="s">
        <v>2478</v>
      </c>
      <c r="H2734">
        <v>295</v>
      </c>
      <c r="I2734" t="s">
        <v>2519</v>
      </c>
      <c r="J2734">
        <v>2</v>
      </c>
      <c r="K2734">
        <v>48</v>
      </c>
      <c r="L2734">
        <v>50</v>
      </c>
      <c r="Q2734">
        <v>0</v>
      </c>
      <c r="R2734">
        <v>0</v>
      </c>
      <c r="S2734">
        <v>50</v>
      </c>
      <c r="T2734" t="s">
        <v>16629</v>
      </c>
      <c r="V2734" t="s">
        <v>2161</v>
      </c>
      <c r="W2734">
        <v>50.725760000000001</v>
      </c>
      <c r="X2734">
        <v>7.101896</v>
      </c>
      <c r="Y2734" t="s">
        <v>2968</v>
      </c>
      <c r="Z2734" t="s">
        <v>16630</v>
      </c>
      <c r="AA2734" t="s">
        <v>2497</v>
      </c>
      <c r="AD2734" s="249" t="str">
        <f>HYPERLINK("https://scontent.cdninstagram.com/t51.2885-15/s320x320/e35/19955037_112714242781097_3193750372933959680_n.jpg")</f>
        <v>https://scontent.cdninstagram.com/t51.2885-15/s320x320/e35/19955037_112714242781097_3193750372933959680_n.jpg</v>
      </c>
      <c r="AE2734" s="249" t="str">
        <f>HYPERLINK("https://scontent.cdninstagram.com/t51.2885-19/s150x150/17267563_974685939332552_245190972734963712_a.jpg")</f>
        <v>https://scontent.cdninstagram.com/t51.2885-19/s150x150/17267563_974685939332552_245190972734963712_a.jpg</v>
      </c>
    </row>
    <row r="2735" spans="1:31" ht="15" x14ac:dyDescent="0.25">
      <c r="A2735" t="s">
        <v>2474</v>
      </c>
      <c r="B2735" t="s">
        <v>5024</v>
      </c>
      <c r="C2735" s="221">
        <v>42972.254363425927</v>
      </c>
      <c r="D2735" t="s">
        <v>16631</v>
      </c>
      <c r="E2735" s="249" t="str">
        <f>HYPERLINK("https://www.instagram.com/p/BYNnpgwgImy/")</f>
        <v>https://www.instagram.com/p/BYNnpgwgImy/</v>
      </c>
      <c r="F2735" t="s">
        <v>16632</v>
      </c>
      <c r="G2735" t="s">
        <v>2478</v>
      </c>
      <c r="H2735">
        <v>50</v>
      </c>
      <c r="I2735" t="s">
        <v>2479</v>
      </c>
      <c r="J2735">
        <v>5</v>
      </c>
      <c r="K2735">
        <v>47</v>
      </c>
      <c r="L2735">
        <v>52</v>
      </c>
      <c r="Q2735">
        <v>0</v>
      </c>
      <c r="R2735">
        <v>0</v>
      </c>
      <c r="S2735">
        <v>52</v>
      </c>
      <c r="T2735" t="s">
        <v>16633</v>
      </c>
      <c r="V2735" t="s">
        <v>2137</v>
      </c>
      <c r="W2735">
        <v>44.868299999999998</v>
      </c>
      <c r="X2735">
        <v>13.848100000000001</v>
      </c>
      <c r="Y2735" t="s">
        <v>5307</v>
      </c>
      <c r="Z2735" t="s">
        <v>16634</v>
      </c>
      <c r="AA2735" t="s">
        <v>7523</v>
      </c>
      <c r="AB2735" t="s">
        <v>16635</v>
      </c>
      <c r="AC2735" t="s">
        <v>7490</v>
      </c>
      <c r="AD2735" s="249" t="str">
        <f>HYPERLINK("https://scontent.cdninstagram.com/t51.2885-15/s320x320/e35/20987223_1099874330149178_2180087526427983872_n.jpg")</f>
        <v>https://scontent.cdninstagram.com/t51.2885-15/s320x320/e35/20987223_1099874330149178_2180087526427983872_n.jpg</v>
      </c>
      <c r="AE2735" s="249" t="str">
        <f>HYPERLINK("https://scontent.cdninstagram.com/t51.2885-19/10932401_149489572054521_218726755_a.jpg")</f>
        <v>https://scontent.cdninstagram.com/t51.2885-19/10932401_149489572054521_218726755_a.jpg</v>
      </c>
    </row>
    <row r="2736" spans="1:31" ht="15" x14ac:dyDescent="0.25">
      <c r="A2736" t="s">
        <v>2474</v>
      </c>
      <c r="B2736" t="s">
        <v>16636</v>
      </c>
      <c r="C2736" s="221">
        <v>42972.256111111114</v>
      </c>
      <c r="D2736" t="s">
        <v>16637</v>
      </c>
      <c r="E2736" s="249" t="str">
        <f>HYPERLINK("https://www.instagram.com/p/BYNn7-qDCoR/")</f>
        <v>https://www.instagram.com/p/BYNn7-qDCoR/</v>
      </c>
      <c r="F2736" t="s">
        <v>16638</v>
      </c>
      <c r="G2736" t="s">
        <v>2478</v>
      </c>
      <c r="H2736">
        <v>121</v>
      </c>
      <c r="I2736" t="s">
        <v>2479</v>
      </c>
      <c r="J2736">
        <v>0</v>
      </c>
      <c r="K2736">
        <v>35</v>
      </c>
      <c r="L2736">
        <v>35</v>
      </c>
      <c r="Q2736">
        <v>0</v>
      </c>
      <c r="R2736">
        <v>0</v>
      </c>
      <c r="S2736">
        <v>35</v>
      </c>
      <c r="Y2736" t="s">
        <v>2769</v>
      </c>
      <c r="Z2736" t="s">
        <v>2497</v>
      </c>
      <c r="AA2736" t="s">
        <v>5278</v>
      </c>
      <c r="AB2736" t="s">
        <v>2577</v>
      </c>
      <c r="AC2736" t="s">
        <v>16639</v>
      </c>
      <c r="AD2736" s="249" t="str">
        <f>HYPERLINK("https://scontent.cdninstagram.com/t51.2885-15/s320x320/e35/20986741_115976355794646_948754259891978240_n.jpg")</f>
        <v>https://scontent.cdninstagram.com/t51.2885-15/s320x320/e35/20986741_115976355794646_948754259891978240_n.jpg</v>
      </c>
      <c r="AE2736" s="249" t="str">
        <f>HYPERLINK("https://scontent.cdninstagram.com/t51.2885-19/s150x150/18888541_1855268018056779_8660433366312550400_a.jpg")</f>
        <v>https://scontent.cdninstagram.com/t51.2885-19/s150x150/18888541_1855268018056779_8660433366312550400_a.jpg</v>
      </c>
    </row>
    <row r="2737" spans="1:31" ht="15" x14ac:dyDescent="0.25">
      <c r="A2737" t="s">
        <v>2474</v>
      </c>
      <c r="B2737" t="s">
        <v>12550</v>
      </c>
      <c r="C2737" s="221">
        <v>42972.258692129632</v>
      </c>
      <c r="D2737" t="s">
        <v>16640</v>
      </c>
      <c r="E2737" s="249" t="str">
        <f>HYPERLINK("https://www.instagram.com/p/BYNoXI2Hukm/")</f>
        <v>https://www.instagram.com/p/BYNoXI2Hukm/</v>
      </c>
      <c r="F2737" t="s">
        <v>16641</v>
      </c>
      <c r="G2737" t="s">
        <v>2478</v>
      </c>
      <c r="H2737">
        <v>834</v>
      </c>
      <c r="I2737" t="s">
        <v>2599</v>
      </c>
      <c r="J2737">
        <v>6</v>
      </c>
      <c r="K2737">
        <v>46</v>
      </c>
      <c r="L2737">
        <v>52</v>
      </c>
      <c r="Q2737">
        <v>0</v>
      </c>
      <c r="R2737">
        <v>0</v>
      </c>
      <c r="S2737">
        <v>52</v>
      </c>
      <c r="T2737" t="s">
        <v>16642</v>
      </c>
      <c r="V2737" t="s">
        <v>2207</v>
      </c>
      <c r="W2737">
        <v>35.946462530788999</v>
      </c>
      <c r="X2737">
        <v>14.390872696053</v>
      </c>
      <c r="Y2737" t="s">
        <v>12556</v>
      </c>
      <c r="Z2737" t="s">
        <v>2696</v>
      </c>
      <c r="AA2737" t="s">
        <v>3174</v>
      </c>
      <c r="AB2737" t="s">
        <v>4525</v>
      </c>
      <c r="AC2737" t="s">
        <v>16643</v>
      </c>
      <c r="AD2737" s="249" t="str">
        <f>HYPERLINK("https://scontent.cdninstagram.com/t51.2885-15/s320x320/e35/21042298_453328071717219_6375083029047541760_n.jpg")</f>
        <v>https://scontent.cdninstagram.com/t51.2885-15/s320x320/e35/21042298_453328071717219_6375083029047541760_n.jpg</v>
      </c>
      <c r="AE2737" s="249" t="str">
        <f>HYPERLINK("https://scontent.cdninstagram.com/t51.2885-19/s150x150/19534736_1894547127467294_2028662634726817792_a.jpg")</f>
        <v>https://scontent.cdninstagram.com/t51.2885-19/s150x150/19534736_1894547127467294_2028662634726817792_a.jpg</v>
      </c>
    </row>
    <row r="2738" spans="1:31" ht="15" x14ac:dyDescent="0.25">
      <c r="A2738" t="s">
        <v>2474</v>
      </c>
      <c r="B2738" t="s">
        <v>16644</v>
      </c>
      <c r="C2738" s="221">
        <v>42972.25953703704</v>
      </c>
      <c r="D2738" t="s">
        <v>16645</v>
      </c>
      <c r="E2738" s="249" t="str">
        <f>HYPERLINK("https://www.instagram.com/p/BYNogAPlikR/")</f>
        <v>https://www.instagram.com/p/BYNogAPlikR/</v>
      </c>
      <c r="F2738" t="s">
        <v>16646</v>
      </c>
      <c r="G2738" t="s">
        <v>2478</v>
      </c>
      <c r="H2738">
        <v>109</v>
      </c>
      <c r="I2738" t="s">
        <v>2542</v>
      </c>
      <c r="J2738">
        <v>1</v>
      </c>
      <c r="K2738">
        <v>48</v>
      </c>
      <c r="L2738">
        <v>49</v>
      </c>
      <c r="Q2738">
        <v>0</v>
      </c>
      <c r="R2738">
        <v>0</v>
      </c>
      <c r="S2738">
        <v>49</v>
      </c>
      <c r="T2738" t="s">
        <v>16647</v>
      </c>
      <c r="V2738" t="s">
        <v>2161</v>
      </c>
      <c r="W2738">
        <v>52.458649625551999</v>
      </c>
      <c r="X2738">
        <v>9.6965801155312992</v>
      </c>
      <c r="Y2738" t="s">
        <v>3952</v>
      </c>
      <c r="Z2738" t="s">
        <v>2497</v>
      </c>
      <c r="AA2738" t="s">
        <v>8007</v>
      </c>
      <c r="AB2738" t="s">
        <v>16648</v>
      </c>
      <c r="AC2738" t="s">
        <v>15158</v>
      </c>
      <c r="AD2738" s="249" t="str">
        <f>HYPERLINK("https://scontent.cdninstagram.com/t51.2885-15/s320x320/e35/20987128_116298499098037_3606404976693215232_n.jpg")</f>
        <v>https://scontent.cdninstagram.com/t51.2885-15/s320x320/e35/20987128_116298499098037_3606404976693215232_n.jpg</v>
      </c>
      <c r="AE2738" s="249" t="str">
        <f>HYPERLINK("https://scontent.cdninstagram.com/t51.2885-19/s150x150/20837358_1719820024987189_3930613211551760384_a.jpg")</f>
        <v>https://scontent.cdninstagram.com/t51.2885-19/s150x150/20837358_1719820024987189_3930613211551760384_a.jpg</v>
      </c>
    </row>
    <row r="2739" spans="1:31" ht="15" x14ac:dyDescent="0.25">
      <c r="A2739" t="s">
        <v>2474</v>
      </c>
      <c r="B2739" t="s">
        <v>16649</v>
      </c>
      <c r="C2739" s="221">
        <v>42972.292731481481</v>
      </c>
      <c r="D2739" t="s">
        <v>16650</v>
      </c>
      <c r="E2739" s="249" t="str">
        <f>HYPERLINK("https://www.instagram.com/p/BYNt-JJhRwP/")</f>
        <v>https://www.instagram.com/p/BYNt-JJhRwP/</v>
      </c>
      <c r="F2739" t="s">
        <v>16651</v>
      </c>
      <c r="G2739" t="s">
        <v>2478</v>
      </c>
      <c r="H2739">
        <v>87</v>
      </c>
      <c r="I2739" t="s">
        <v>2542</v>
      </c>
      <c r="J2739">
        <v>0</v>
      </c>
      <c r="K2739">
        <v>22</v>
      </c>
      <c r="L2739">
        <v>22</v>
      </c>
      <c r="Q2739">
        <v>0</v>
      </c>
      <c r="R2739">
        <v>0</v>
      </c>
      <c r="S2739">
        <v>22</v>
      </c>
      <c r="Y2739" t="s">
        <v>16652</v>
      </c>
      <c r="Z2739" t="s">
        <v>16653</v>
      </c>
      <c r="AA2739" t="s">
        <v>16654</v>
      </c>
      <c r="AB2739" t="s">
        <v>14732</v>
      </c>
      <c r="AC2739" t="s">
        <v>16655</v>
      </c>
      <c r="AD2739" s="249" t="str">
        <f>HYPERLINK("https://scontent.cdninstagram.com/t51.2885-15/e35/p320x320/20987547_168083673753703_1353828379517779968_n.jpg")</f>
        <v>https://scontent.cdninstagram.com/t51.2885-15/e35/p320x320/20987547_168083673753703_1353828379517779968_n.jpg</v>
      </c>
      <c r="AE2739" s="249" t="str">
        <f>HYPERLINK("https://scontent.cdninstagram.com/t51.2885-19/s150x150/14241051_1651846575125731_1076006723463938048_a.jpg")</f>
        <v>https://scontent.cdninstagram.com/t51.2885-19/s150x150/14241051_1651846575125731_1076006723463938048_a.jpg</v>
      </c>
    </row>
    <row r="2740" spans="1:31" ht="15" x14ac:dyDescent="0.25">
      <c r="A2740" t="s">
        <v>2474</v>
      </c>
      <c r="B2740" t="s">
        <v>7152</v>
      </c>
      <c r="C2740" s="221">
        <v>42972.301053240742</v>
      </c>
      <c r="D2740" t="s">
        <v>16656</v>
      </c>
      <c r="E2740" s="249" t="str">
        <f>HYPERLINK("https://www.instagram.com/p/BYNvV-pDVx-/")</f>
        <v>https://www.instagram.com/p/BYNvV-pDVx-/</v>
      </c>
      <c r="F2740" t="s">
        <v>16657</v>
      </c>
      <c r="G2740" t="s">
        <v>2478</v>
      </c>
      <c r="H2740">
        <v>119</v>
      </c>
      <c r="I2740" t="s">
        <v>2542</v>
      </c>
      <c r="J2740">
        <v>2</v>
      </c>
      <c r="K2740">
        <v>20</v>
      </c>
      <c r="L2740">
        <v>22</v>
      </c>
      <c r="Q2740">
        <v>0</v>
      </c>
      <c r="R2740">
        <v>0</v>
      </c>
      <c r="S2740">
        <v>22</v>
      </c>
      <c r="Y2740" t="s">
        <v>2660</v>
      </c>
      <c r="Z2740" t="s">
        <v>2876</v>
      </c>
      <c r="AA2740" t="s">
        <v>7155</v>
      </c>
      <c r="AB2740" t="s">
        <v>7286</v>
      </c>
      <c r="AC2740" t="s">
        <v>7418</v>
      </c>
      <c r="AD2740" s="249" t="str">
        <f>HYPERLINK("https://scontent.cdninstagram.com/t51.2885-15/s320x320/e35/21107888_1934329916854567_4403608936133951488_n.jpg")</f>
        <v>https://scontent.cdninstagram.com/t51.2885-15/s320x320/e35/21107888_1934329916854567_4403608936133951488_n.jpg</v>
      </c>
      <c r="AE2740" s="249" t="str">
        <f>HYPERLINK("https://scontent.cdninstagram.com/t51.2885-19/s150x150/20181062_1791856511105718_4709893984703479808_a.jpg")</f>
        <v>https://scontent.cdninstagram.com/t51.2885-19/s150x150/20181062_1791856511105718_4709893984703479808_a.jpg</v>
      </c>
    </row>
    <row r="2741" spans="1:31" ht="15" x14ac:dyDescent="0.25">
      <c r="A2741" t="s">
        <v>2474</v>
      </c>
      <c r="B2741" t="s">
        <v>15801</v>
      </c>
      <c r="C2741" s="221">
        <v>42972.305439814816</v>
      </c>
      <c r="D2741" t="s">
        <v>16658</v>
      </c>
      <c r="E2741" s="249" t="str">
        <f>HYPERLINK("https://www.instagram.com/p/BYNwEKFFzSL/")</f>
        <v>https://www.instagram.com/p/BYNwEKFFzSL/</v>
      </c>
      <c r="G2741" t="s">
        <v>2478</v>
      </c>
      <c r="H2741">
        <v>209</v>
      </c>
      <c r="I2741" t="s">
        <v>2510</v>
      </c>
      <c r="J2741">
        <v>3</v>
      </c>
      <c r="K2741">
        <v>21</v>
      </c>
      <c r="L2741">
        <v>24</v>
      </c>
      <c r="Q2741">
        <v>0</v>
      </c>
      <c r="R2741">
        <v>0</v>
      </c>
      <c r="S2741">
        <v>24</v>
      </c>
      <c r="Y2741" t="s">
        <v>16659</v>
      </c>
      <c r="Z2741" t="s">
        <v>16312</v>
      </c>
      <c r="AA2741" t="s">
        <v>2861</v>
      </c>
      <c r="AB2741" t="s">
        <v>16660</v>
      </c>
      <c r="AC2741" t="s">
        <v>15807</v>
      </c>
      <c r="AD2741" s="249" t="str">
        <f>HYPERLINK("https://scontent.cdninstagram.com/t51.2885-15/s320x320/e35/20987438_133337110614391_2648848907177558016_n.jpg")</f>
        <v>https://scontent.cdninstagram.com/t51.2885-15/s320x320/e35/20987438_133337110614391_2648848907177558016_n.jpg</v>
      </c>
      <c r="AE2741" s="249" t="str">
        <f>HYPERLINK("https://scontent.cdninstagram.com/t51.2885-19/s150x150/12547279_954947561266331_1148242584_a.jpg")</f>
        <v>https://scontent.cdninstagram.com/t51.2885-19/s150x150/12547279_954947561266331_1148242584_a.jpg</v>
      </c>
    </row>
    <row r="2742" spans="1:31" ht="15" x14ac:dyDescent="0.25">
      <c r="A2742" t="s">
        <v>2474</v>
      </c>
      <c r="B2742" t="s">
        <v>16661</v>
      </c>
      <c r="C2742" s="221">
        <v>42972.308217592596</v>
      </c>
      <c r="D2742" t="s">
        <v>16662</v>
      </c>
      <c r="E2742" s="249" t="str">
        <f>HYPERLINK("https://www.instagram.com/p/BYNwhcKlRHA/")</f>
        <v>https://www.instagram.com/p/BYNwhcKlRHA/</v>
      </c>
      <c r="F2742" t="s">
        <v>16663</v>
      </c>
      <c r="G2742" t="s">
        <v>2478</v>
      </c>
      <c r="H2742">
        <v>1575</v>
      </c>
      <c r="I2742" t="s">
        <v>4963</v>
      </c>
      <c r="J2742">
        <v>7</v>
      </c>
      <c r="K2742">
        <v>240</v>
      </c>
      <c r="L2742">
        <v>247</v>
      </c>
      <c r="Q2742">
        <v>0</v>
      </c>
      <c r="R2742">
        <v>0</v>
      </c>
      <c r="S2742">
        <v>247</v>
      </c>
      <c r="Y2742" t="s">
        <v>16664</v>
      </c>
      <c r="Z2742" t="s">
        <v>16665</v>
      </c>
      <c r="AA2742" t="s">
        <v>16666</v>
      </c>
      <c r="AB2742" t="s">
        <v>16667</v>
      </c>
      <c r="AC2742" t="s">
        <v>2906</v>
      </c>
      <c r="AD2742" s="249" t="str">
        <f>HYPERLINK("https://scontent.cdninstagram.com/t51.2885-15/s320x320/e35/21107866_1491192954260442_5317849113713180672_n.jpg")</f>
        <v>https://scontent.cdninstagram.com/t51.2885-15/s320x320/e35/21107866_1491192954260442_5317849113713180672_n.jpg</v>
      </c>
      <c r="AE2742" s="249" t="str">
        <f>HYPERLINK("https://scontent.cdninstagram.com/t51.2885-19/s150x150/12383590_550879305091418_32687236_a.jpg")</f>
        <v>https://scontent.cdninstagram.com/t51.2885-19/s150x150/12383590_550879305091418_32687236_a.jpg</v>
      </c>
    </row>
    <row r="2743" spans="1:31" ht="15" x14ac:dyDescent="0.25">
      <c r="A2743" t="s">
        <v>2474</v>
      </c>
      <c r="B2743" t="s">
        <v>6847</v>
      </c>
      <c r="C2743" s="221">
        <v>42972.312604166669</v>
      </c>
      <c r="D2743" t="s">
        <v>16668</v>
      </c>
      <c r="E2743" s="249" t="str">
        <f>HYPERLINK("https://www.instagram.com/p/BYNxPxIh3Ep/")</f>
        <v>https://www.instagram.com/p/BYNxPxIh3Ep/</v>
      </c>
      <c r="F2743" t="s">
        <v>16669</v>
      </c>
      <c r="G2743" t="s">
        <v>2478</v>
      </c>
      <c r="H2743">
        <v>152</v>
      </c>
      <c r="I2743" t="s">
        <v>3025</v>
      </c>
      <c r="J2743">
        <v>3</v>
      </c>
      <c r="K2743">
        <v>42</v>
      </c>
      <c r="L2743">
        <v>45</v>
      </c>
      <c r="Q2743">
        <v>0</v>
      </c>
      <c r="R2743">
        <v>0</v>
      </c>
      <c r="S2743">
        <v>45</v>
      </c>
      <c r="T2743" t="s">
        <v>6850</v>
      </c>
      <c r="V2743" t="s">
        <v>2161</v>
      </c>
      <c r="W2743">
        <v>50.95</v>
      </c>
      <c r="X2743">
        <v>6.9667000000000003</v>
      </c>
      <c r="Y2743" t="s">
        <v>5047</v>
      </c>
      <c r="Z2743" t="s">
        <v>7145</v>
      </c>
      <c r="AA2743" t="s">
        <v>2576</v>
      </c>
      <c r="AB2743" t="s">
        <v>7155</v>
      </c>
      <c r="AC2743" t="s">
        <v>11827</v>
      </c>
      <c r="AD2743" s="249" t="str">
        <f>HYPERLINK("https://scontent.cdninstagram.com/t51.2885-15/s320x320/e35/20987175_1879614382357757_1039259953941970944_n.jpg")</f>
        <v>https://scontent.cdninstagram.com/t51.2885-15/s320x320/e35/20987175_1879614382357757_1039259953941970944_n.jpg</v>
      </c>
      <c r="AE2743" s="249" t="str">
        <f>HYPERLINK("https://scontent.cdninstagram.com/t51.2885-19/s150x150/20759948_2040958986128138_1613724504230461440_a.jpg")</f>
        <v>https://scontent.cdninstagram.com/t51.2885-19/s150x150/20759948_2040958986128138_1613724504230461440_a.jpg</v>
      </c>
    </row>
    <row r="2744" spans="1:31" ht="15" x14ac:dyDescent="0.25">
      <c r="A2744" t="s">
        <v>2474</v>
      </c>
      <c r="B2744" t="s">
        <v>16670</v>
      </c>
      <c r="C2744" s="221">
        <v>42972.322881944441</v>
      </c>
      <c r="D2744" t="s">
        <v>16671</v>
      </c>
      <c r="E2744" s="249" t="str">
        <f>HYPERLINK("https://www.instagram.com/p/BYNy8L_lbbR/")</f>
        <v>https://www.instagram.com/p/BYNy8L_lbbR/</v>
      </c>
      <c r="F2744" t="s">
        <v>16672</v>
      </c>
      <c r="G2744" t="s">
        <v>2478</v>
      </c>
      <c r="H2744">
        <v>218</v>
      </c>
      <c r="I2744" t="s">
        <v>2479</v>
      </c>
      <c r="J2744">
        <v>0</v>
      </c>
      <c r="K2744">
        <v>21</v>
      </c>
      <c r="L2744">
        <v>21</v>
      </c>
      <c r="Q2744">
        <v>0</v>
      </c>
      <c r="R2744">
        <v>0</v>
      </c>
      <c r="S2744">
        <v>21</v>
      </c>
      <c r="Y2744" t="s">
        <v>16673</v>
      </c>
      <c r="Z2744" t="s">
        <v>16674</v>
      </c>
      <c r="AA2744" t="s">
        <v>5084</v>
      </c>
      <c r="AB2744" t="s">
        <v>16675</v>
      </c>
      <c r="AC2744" t="s">
        <v>16676</v>
      </c>
      <c r="AD2744" s="249" t="str">
        <f>HYPERLINK("https://scontent.cdninstagram.com/t51.2885-15/s320x320/e35/21042121_110007886362757_3876513056167034880_n.jpg")</f>
        <v>https://scontent.cdninstagram.com/t51.2885-15/s320x320/e35/21042121_110007886362757_3876513056167034880_n.jpg</v>
      </c>
      <c r="AE2744" s="249" t="str">
        <f>HYPERLINK("https://scontent.cdninstagram.com/t51.2885-19/s150x150/19228254_278874515919519_68833112980717568_a.jpg")</f>
        <v>https://scontent.cdninstagram.com/t51.2885-19/s150x150/19228254_278874515919519_68833112980717568_a.jpg</v>
      </c>
    </row>
    <row r="2745" spans="1:31" ht="15" x14ac:dyDescent="0.25">
      <c r="A2745" t="s">
        <v>2474</v>
      </c>
      <c r="B2745" t="s">
        <v>16677</v>
      </c>
      <c r="C2745" s="221">
        <v>42972.326423611114</v>
      </c>
      <c r="D2745" t="s">
        <v>16678</v>
      </c>
      <c r="E2745" s="249" t="str">
        <f>HYPERLINK("https://www.instagram.com/p/BYNzhdQDN2y/")</f>
        <v>https://www.instagram.com/p/BYNzhdQDN2y/</v>
      </c>
      <c r="F2745" t="s">
        <v>16679</v>
      </c>
      <c r="G2745" t="s">
        <v>2478</v>
      </c>
      <c r="H2745">
        <v>368</v>
      </c>
      <c r="I2745" t="s">
        <v>2479</v>
      </c>
      <c r="J2745">
        <v>0</v>
      </c>
      <c r="K2745">
        <v>12</v>
      </c>
      <c r="L2745">
        <v>12</v>
      </c>
      <c r="Q2745">
        <v>0</v>
      </c>
      <c r="R2745">
        <v>0</v>
      </c>
      <c r="S2745">
        <v>12</v>
      </c>
      <c r="Y2745" t="s">
        <v>16680</v>
      </c>
      <c r="Z2745" t="s">
        <v>2497</v>
      </c>
      <c r="AA2745" t="s">
        <v>15957</v>
      </c>
      <c r="AB2745" t="s">
        <v>16681</v>
      </c>
      <c r="AD2745" s="249" t="str">
        <f>HYPERLINK("https://scontent.cdninstagram.com/t51.2885-15/e35/p320x320/21041554_336489590126547_2773624411570307072_n.jpg")</f>
        <v>https://scontent.cdninstagram.com/t51.2885-15/e35/p320x320/21041554_336489590126547_2773624411570307072_n.jpg</v>
      </c>
      <c r="AE2745" s="249" t="str">
        <f>HYPERLINK("https://scontent.cdninstagram.com/t51.2885-19/s150x150/21041466_1963951487156186_47667690239688704_a.jpg")</f>
        <v>https://scontent.cdninstagram.com/t51.2885-19/s150x150/21041466_1963951487156186_47667690239688704_a.jpg</v>
      </c>
    </row>
    <row r="2746" spans="1:31" ht="15" x14ac:dyDescent="0.25">
      <c r="A2746" t="s">
        <v>2474</v>
      </c>
      <c r="B2746" t="s">
        <v>16682</v>
      </c>
      <c r="C2746" s="221">
        <v>42972.327986111108</v>
      </c>
      <c r="D2746" t="s">
        <v>16683</v>
      </c>
      <c r="E2746" s="249" t="str">
        <f>HYPERLINK("https://www.instagram.com/p/BYNzx84leI_/")</f>
        <v>https://www.instagram.com/p/BYNzx84leI_/</v>
      </c>
      <c r="F2746" t="s">
        <v>16684</v>
      </c>
      <c r="G2746" t="s">
        <v>2478</v>
      </c>
      <c r="H2746">
        <v>582</v>
      </c>
      <c r="I2746" t="s">
        <v>2479</v>
      </c>
      <c r="J2746">
        <v>0</v>
      </c>
      <c r="K2746">
        <v>40</v>
      </c>
      <c r="L2746">
        <v>40</v>
      </c>
      <c r="Q2746">
        <v>0</v>
      </c>
      <c r="R2746">
        <v>0</v>
      </c>
      <c r="S2746">
        <v>40</v>
      </c>
      <c r="T2746" t="s">
        <v>16685</v>
      </c>
      <c r="V2746" t="s">
        <v>2204</v>
      </c>
      <c r="W2746">
        <v>5.3442322249999998</v>
      </c>
      <c r="X2746">
        <v>100.434196055</v>
      </c>
      <c r="Y2746" t="s">
        <v>2492</v>
      </c>
      <c r="Z2746" t="s">
        <v>5521</v>
      </c>
      <c r="AA2746" t="s">
        <v>2497</v>
      </c>
      <c r="AB2746" t="s">
        <v>5274</v>
      </c>
      <c r="AD2746" s="249" t="str">
        <f>HYPERLINK("https://scontent.cdninstagram.com/t51.2885-15/s320x320/e35/21042788_126551727973605_5141861093592793088_n.jpg")</f>
        <v>https://scontent.cdninstagram.com/t51.2885-15/s320x320/e35/21042788_126551727973605_5141861093592793088_n.jpg</v>
      </c>
      <c r="AE2746" s="249" t="str">
        <f>HYPERLINK("https://scontent.cdninstagram.com/t51.2885-19/s150x150/20688729_254616638379642_3235870631874527232_a.jpg")</f>
        <v>https://scontent.cdninstagram.com/t51.2885-19/s150x150/20688729_254616638379642_3235870631874527232_a.jpg</v>
      </c>
    </row>
    <row r="2747" spans="1:31" ht="15" x14ac:dyDescent="0.25">
      <c r="A2747" t="s">
        <v>2474</v>
      </c>
      <c r="B2747" t="s">
        <v>16686</v>
      </c>
      <c r="C2747" s="221">
        <v>42972.344548611109</v>
      </c>
      <c r="D2747" t="s">
        <v>16687</v>
      </c>
      <c r="E2747" s="249" t="str">
        <f>HYPERLINK("https://www.instagram.com/p/BYN2grQAqnx/")</f>
        <v>https://www.instagram.com/p/BYN2grQAqnx/</v>
      </c>
      <c r="F2747" t="s">
        <v>16688</v>
      </c>
      <c r="G2747" t="s">
        <v>2478</v>
      </c>
      <c r="H2747">
        <v>76</v>
      </c>
      <c r="I2747" t="s">
        <v>2479</v>
      </c>
      <c r="J2747">
        <v>0</v>
      </c>
      <c r="K2747">
        <v>7</v>
      </c>
      <c r="L2747">
        <v>7</v>
      </c>
      <c r="Q2747">
        <v>0</v>
      </c>
      <c r="R2747">
        <v>0</v>
      </c>
      <c r="S2747">
        <v>7</v>
      </c>
      <c r="Y2747" t="s">
        <v>16689</v>
      </c>
      <c r="Z2747" t="s">
        <v>16690</v>
      </c>
      <c r="AA2747" t="s">
        <v>9113</v>
      </c>
      <c r="AB2747" t="s">
        <v>9803</v>
      </c>
      <c r="AC2747" t="s">
        <v>9011</v>
      </c>
      <c r="AD2747" s="249" t="str">
        <f>HYPERLINK("https://scontent.cdninstagram.com/t51.2885-15/s320x320/e35/21042099_1652239934827444_8589850672634003456_n.jpg")</f>
        <v>https://scontent.cdninstagram.com/t51.2885-15/s320x320/e35/21042099_1652239934827444_8589850672634003456_n.jpg</v>
      </c>
      <c r="AE2747" s="249" t="str">
        <f>HYPERLINK("https://scontent.cdninstagram.com/t51.2885-19/s150x150/20066081_1917786528463309_6238418432409206784_a.jpg")</f>
        <v>https://scontent.cdninstagram.com/t51.2885-19/s150x150/20066081_1917786528463309_6238418432409206784_a.jpg</v>
      </c>
    </row>
    <row r="2748" spans="1:31" ht="15" x14ac:dyDescent="0.25">
      <c r="A2748" t="s">
        <v>2474</v>
      </c>
      <c r="B2748" t="s">
        <v>16686</v>
      </c>
      <c r="C2748" s="221">
        <v>42972.345381944448</v>
      </c>
      <c r="D2748" t="s">
        <v>16691</v>
      </c>
      <c r="E2748" s="249" t="str">
        <f>HYPERLINK("https://www.instagram.com/p/BYN2paGAT5d/")</f>
        <v>https://www.instagram.com/p/BYN2paGAT5d/</v>
      </c>
      <c r="F2748" t="s">
        <v>16688</v>
      </c>
      <c r="G2748" t="s">
        <v>2478</v>
      </c>
      <c r="H2748">
        <v>76</v>
      </c>
      <c r="I2748" t="s">
        <v>2479</v>
      </c>
      <c r="J2748">
        <v>0</v>
      </c>
      <c r="K2748">
        <v>7</v>
      </c>
      <c r="L2748">
        <v>7</v>
      </c>
      <c r="Q2748">
        <v>0</v>
      </c>
      <c r="R2748">
        <v>0</v>
      </c>
      <c r="S2748">
        <v>7</v>
      </c>
      <c r="Y2748" t="s">
        <v>16689</v>
      </c>
      <c r="Z2748" t="s">
        <v>16690</v>
      </c>
      <c r="AA2748" t="s">
        <v>9113</v>
      </c>
      <c r="AB2748" t="s">
        <v>9803</v>
      </c>
      <c r="AC2748" t="s">
        <v>9011</v>
      </c>
      <c r="AD2748" s="249" t="str">
        <f>HYPERLINK("https://scontent.cdninstagram.com/t51.2885-15/e35/p320x320/20902468_112536046093037_1939716056754946048_n.jpg")</f>
        <v>https://scontent.cdninstagram.com/t51.2885-15/e35/p320x320/20902468_112536046093037_1939716056754946048_n.jpg</v>
      </c>
      <c r="AE2748" s="249" t="str">
        <f>HYPERLINK("https://scontent.cdninstagram.com/t51.2885-19/s150x150/20066081_1917786528463309_6238418432409206784_a.jpg")</f>
        <v>https://scontent.cdninstagram.com/t51.2885-19/s150x150/20066081_1917786528463309_6238418432409206784_a.jpg</v>
      </c>
    </row>
    <row r="2749" spans="1:31" ht="15" x14ac:dyDescent="0.25">
      <c r="A2749" t="s">
        <v>2474</v>
      </c>
      <c r="B2749" t="s">
        <v>16686</v>
      </c>
      <c r="C2749" s="221">
        <v>42972.345937500002</v>
      </c>
      <c r="D2749" t="s">
        <v>16692</v>
      </c>
      <c r="E2749" s="249" t="str">
        <f>HYPERLINK("https://www.instagram.com/p/BYN2vWdAlCP/")</f>
        <v>https://www.instagram.com/p/BYN2vWdAlCP/</v>
      </c>
      <c r="F2749" t="s">
        <v>16688</v>
      </c>
      <c r="G2749" t="s">
        <v>2478</v>
      </c>
      <c r="H2749">
        <v>76</v>
      </c>
      <c r="I2749" t="s">
        <v>2479</v>
      </c>
      <c r="J2749">
        <v>0</v>
      </c>
      <c r="K2749">
        <v>10</v>
      </c>
      <c r="L2749">
        <v>10</v>
      </c>
      <c r="Q2749">
        <v>0</v>
      </c>
      <c r="R2749">
        <v>0</v>
      </c>
      <c r="S2749">
        <v>10</v>
      </c>
      <c r="Y2749" t="s">
        <v>16689</v>
      </c>
      <c r="Z2749" t="s">
        <v>16690</v>
      </c>
      <c r="AA2749" t="s">
        <v>9113</v>
      </c>
      <c r="AB2749" t="s">
        <v>9803</v>
      </c>
      <c r="AC2749" t="s">
        <v>9011</v>
      </c>
      <c r="AD2749" s="249" t="str">
        <f>HYPERLINK("https://scontent.cdninstagram.com/t51.2885-15/s320x320/e35/21107655_2045403282356878_8167176228000759808_n.jpg")</f>
        <v>https://scontent.cdninstagram.com/t51.2885-15/s320x320/e35/21107655_2045403282356878_8167176228000759808_n.jpg</v>
      </c>
      <c r="AE2749" s="249" t="str">
        <f>HYPERLINK("https://scontent.cdninstagram.com/t51.2885-19/s150x150/20066081_1917786528463309_6238418432409206784_a.jpg")</f>
        <v>https://scontent.cdninstagram.com/t51.2885-19/s150x150/20066081_1917786528463309_6238418432409206784_a.jpg</v>
      </c>
    </row>
    <row r="2750" spans="1:31" ht="15" x14ac:dyDescent="0.25">
      <c r="A2750" t="s">
        <v>2474</v>
      </c>
      <c r="B2750" t="s">
        <v>16686</v>
      </c>
      <c r="C2750" s="221">
        <v>42972.346620370372</v>
      </c>
      <c r="D2750" t="s">
        <v>16693</v>
      </c>
      <c r="E2750" s="249" t="str">
        <f>HYPERLINK("https://www.instagram.com/p/BYN22hdA_hq/")</f>
        <v>https://www.instagram.com/p/BYN22hdA_hq/</v>
      </c>
      <c r="F2750" t="s">
        <v>16688</v>
      </c>
      <c r="G2750" t="s">
        <v>2478</v>
      </c>
      <c r="H2750">
        <v>76</v>
      </c>
      <c r="I2750" t="s">
        <v>2479</v>
      </c>
      <c r="J2750">
        <v>0</v>
      </c>
      <c r="K2750">
        <v>16</v>
      </c>
      <c r="L2750">
        <v>16</v>
      </c>
      <c r="Q2750">
        <v>0</v>
      </c>
      <c r="R2750">
        <v>0</v>
      </c>
      <c r="S2750">
        <v>16</v>
      </c>
      <c r="Y2750" t="s">
        <v>9113</v>
      </c>
      <c r="Z2750" t="s">
        <v>16690</v>
      </c>
      <c r="AA2750" t="s">
        <v>9803</v>
      </c>
      <c r="AB2750" t="s">
        <v>16694</v>
      </c>
      <c r="AC2750" t="s">
        <v>16689</v>
      </c>
      <c r="AD2750" s="249" t="str">
        <f>HYPERLINK("https://scontent.cdninstagram.com/t51.2885-15/e35/p320x320/21107464_476190046096571_4353491400843591680_n.jpg")</f>
        <v>https://scontent.cdninstagram.com/t51.2885-15/e35/p320x320/21107464_476190046096571_4353491400843591680_n.jpg</v>
      </c>
      <c r="AE2750" s="249" t="str">
        <f>HYPERLINK("https://scontent.cdninstagram.com/t51.2885-19/s150x150/20066081_1917786528463309_6238418432409206784_a.jpg")</f>
        <v>https://scontent.cdninstagram.com/t51.2885-19/s150x150/20066081_1917786528463309_6238418432409206784_a.jpg</v>
      </c>
    </row>
    <row r="2751" spans="1:31" ht="15" x14ac:dyDescent="0.25">
      <c r="A2751" t="s">
        <v>2474</v>
      </c>
      <c r="B2751" t="s">
        <v>16695</v>
      </c>
      <c r="C2751" s="221">
        <v>42972.347210648149</v>
      </c>
      <c r="D2751" t="s">
        <v>16696</v>
      </c>
      <c r="E2751" s="249" t="str">
        <f>HYPERLINK("https://www.instagram.com/p/BYN28xxjN46/")</f>
        <v>https://www.instagram.com/p/BYN28xxjN46/</v>
      </c>
      <c r="F2751" t="s">
        <v>16697</v>
      </c>
      <c r="G2751" t="s">
        <v>2478</v>
      </c>
      <c r="H2751">
        <v>51</v>
      </c>
      <c r="I2751" t="s">
        <v>2479</v>
      </c>
      <c r="J2751">
        <v>0</v>
      </c>
      <c r="K2751">
        <v>11</v>
      </c>
      <c r="L2751">
        <v>11</v>
      </c>
      <c r="Q2751">
        <v>0</v>
      </c>
      <c r="R2751">
        <v>0</v>
      </c>
      <c r="S2751">
        <v>11</v>
      </c>
      <c r="Y2751" t="s">
        <v>16698</v>
      </c>
      <c r="Z2751" t="s">
        <v>16699</v>
      </c>
      <c r="AA2751" t="s">
        <v>4995</v>
      </c>
      <c r="AB2751" t="s">
        <v>16700</v>
      </c>
      <c r="AC2751" t="s">
        <v>16701</v>
      </c>
      <c r="AD2751" s="249" t="str">
        <f>HYPERLINK("https://scontent.cdninstagram.com/t51.2885-15/s320x320/e35/20987147_129070084399655_5842457340032319488_n.jpg")</f>
        <v>https://scontent.cdninstagram.com/t51.2885-15/s320x320/e35/20987147_129070084399655_5842457340032319488_n.jpg</v>
      </c>
      <c r="AE2751" s="249" t="str">
        <f>HYPERLINK("https://scontent.cdninstagram.com/t51.2885-19/s150x150/20837647_128419914444671_7072888560356950016_a.jpg")</f>
        <v>https://scontent.cdninstagram.com/t51.2885-19/s150x150/20837647_128419914444671_7072888560356950016_a.jpg</v>
      </c>
    </row>
    <row r="2752" spans="1:31" ht="15" x14ac:dyDescent="0.25">
      <c r="A2752" t="s">
        <v>2474</v>
      </c>
      <c r="B2752" t="s">
        <v>16702</v>
      </c>
      <c r="C2752" s="221">
        <v>42972.34851851852</v>
      </c>
      <c r="D2752" t="s">
        <v>16703</v>
      </c>
      <c r="E2752" s="249" t="str">
        <f>HYPERLINK("https://www.instagram.com/p/BYN3Kf5HeDs/")</f>
        <v>https://www.instagram.com/p/BYN3Kf5HeDs/</v>
      </c>
      <c r="F2752" t="s">
        <v>16704</v>
      </c>
      <c r="G2752" t="s">
        <v>2478</v>
      </c>
      <c r="H2752">
        <v>534</v>
      </c>
      <c r="I2752" t="s">
        <v>2479</v>
      </c>
      <c r="J2752">
        <v>1</v>
      </c>
      <c r="K2752">
        <v>19</v>
      </c>
      <c r="L2752">
        <v>20</v>
      </c>
      <c r="Q2752">
        <v>0</v>
      </c>
      <c r="R2752">
        <v>0</v>
      </c>
      <c r="S2752">
        <v>20</v>
      </c>
      <c r="Y2752" t="s">
        <v>2497</v>
      </c>
      <c r="Z2752" t="s">
        <v>16705</v>
      </c>
      <c r="AD2752" s="249" t="str">
        <f>HYPERLINK("https://scontent.cdninstagram.com/t51.2885-15/s320x320/e35/21041101_117175498944480_3662778200569675776_n.jpg")</f>
        <v>https://scontent.cdninstagram.com/t51.2885-15/s320x320/e35/21041101_117175498944480_3662778200569675776_n.jpg</v>
      </c>
      <c r="AE2752" s="249" t="str">
        <f>HYPERLINK("https://scontent.cdninstagram.com/t51.2885-19/s150x150/17494159_101577910390151_6453954893643251712_a.jpg")</f>
        <v>https://scontent.cdninstagram.com/t51.2885-19/s150x150/17494159_101577910390151_6453954893643251712_a.jpg</v>
      </c>
    </row>
    <row r="2753" spans="1:31" ht="15" x14ac:dyDescent="0.25">
      <c r="A2753" t="s">
        <v>2474</v>
      </c>
      <c r="B2753" t="s">
        <v>16706</v>
      </c>
      <c r="C2753" s="221">
        <v>42972.348912037036</v>
      </c>
      <c r="D2753" t="s">
        <v>16707</v>
      </c>
      <c r="E2753" s="249" t="str">
        <f>HYPERLINK("https://www.instagram.com/p/BYN3OqWnDQ6/")</f>
        <v>https://www.instagram.com/p/BYN3OqWnDQ6/</v>
      </c>
      <c r="F2753" t="s">
        <v>16708</v>
      </c>
      <c r="G2753" t="s">
        <v>2478</v>
      </c>
      <c r="H2753">
        <v>624</v>
      </c>
      <c r="I2753" t="s">
        <v>2479</v>
      </c>
      <c r="J2753">
        <v>2</v>
      </c>
      <c r="K2753">
        <v>31</v>
      </c>
      <c r="L2753">
        <v>33</v>
      </c>
      <c r="Q2753">
        <v>0</v>
      </c>
      <c r="R2753">
        <v>0</v>
      </c>
      <c r="S2753">
        <v>33</v>
      </c>
      <c r="Y2753" t="s">
        <v>16444</v>
      </c>
      <c r="Z2753" t="s">
        <v>2483</v>
      </c>
      <c r="AA2753" t="s">
        <v>7552</v>
      </c>
      <c r="AB2753" t="s">
        <v>16709</v>
      </c>
      <c r="AC2753" t="s">
        <v>16710</v>
      </c>
      <c r="AD2753" s="249" t="str">
        <f>HYPERLINK("https://scontent.cdninstagram.com/t51.2885-15/s320x320/e35/20987215_167962013777023_8098948769833287680_n.jpg")</f>
        <v>https://scontent.cdninstagram.com/t51.2885-15/s320x320/e35/20987215_167962013777023_8098948769833287680_n.jpg</v>
      </c>
      <c r="AE2753" s="249" t="str">
        <f>HYPERLINK("https://scontent.cdninstagram.com/t51.2885-19/11325369_911178162281666_163295806_a.jpg")</f>
        <v>https://scontent.cdninstagram.com/t51.2885-19/11325369_911178162281666_163295806_a.jpg</v>
      </c>
    </row>
    <row r="2754" spans="1:31" ht="15" x14ac:dyDescent="0.25">
      <c r="A2754" t="s">
        <v>2474</v>
      </c>
      <c r="B2754" t="s">
        <v>7152</v>
      </c>
      <c r="C2754" s="221">
        <v>42972.350624999999</v>
      </c>
      <c r="D2754" t="s">
        <v>16711</v>
      </c>
      <c r="E2754" s="249" t="str">
        <f>HYPERLINK("https://www.instagram.com/p/BYN3gy2DXLo/")</f>
        <v>https://www.instagram.com/p/BYN3gy2DXLo/</v>
      </c>
      <c r="F2754" t="s">
        <v>16712</v>
      </c>
      <c r="G2754" t="s">
        <v>2478</v>
      </c>
      <c r="H2754">
        <v>120</v>
      </c>
      <c r="I2754" t="s">
        <v>2542</v>
      </c>
      <c r="J2754">
        <v>1</v>
      </c>
      <c r="K2754">
        <v>13</v>
      </c>
      <c r="L2754">
        <v>14</v>
      </c>
      <c r="Q2754">
        <v>0</v>
      </c>
      <c r="R2754">
        <v>0</v>
      </c>
      <c r="S2754">
        <v>14</v>
      </c>
      <c r="Y2754" t="s">
        <v>8212</v>
      </c>
      <c r="Z2754" t="s">
        <v>2876</v>
      </c>
      <c r="AA2754" t="s">
        <v>12651</v>
      </c>
      <c r="AB2754" t="s">
        <v>5383</v>
      </c>
      <c r="AC2754" t="s">
        <v>5449</v>
      </c>
      <c r="AD2754" s="249" t="str">
        <f>HYPERLINK("https://scontent.cdninstagram.com/t51.2885-15/e35/p320x320/21041110_1944990585712538_1047691030578593792_n.jpg")</f>
        <v>https://scontent.cdninstagram.com/t51.2885-15/e35/p320x320/21041110_1944990585712538_1047691030578593792_n.jpg</v>
      </c>
      <c r="AE2754" s="249" t="str">
        <f>HYPERLINK("https://scontent.cdninstagram.com/t51.2885-19/s150x150/20181062_1791856511105718_4709893984703479808_a.jpg")</f>
        <v>https://scontent.cdninstagram.com/t51.2885-19/s150x150/20181062_1791856511105718_4709893984703479808_a.jpg</v>
      </c>
    </row>
    <row r="2755" spans="1:31" ht="15" x14ac:dyDescent="0.25">
      <c r="A2755" t="s">
        <v>2474</v>
      </c>
      <c r="B2755" t="s">
        <v>16686</v>
      </c>
      <c r="C2755" s="221">
        <v>42972.350763888891</v>
      </c>
      <c r="D2755" t="s">
        <v>16713</v>
      </c>
      <c r="E2755" s="249" t="str">
        <f>HYPERLINK("https://www.instagram.com/p/BYN3iOFgEBp/")</f>
        <v>https://www.instagram.com/p/BYN3iOFgEBp/</v>
      </c>
      <c r="F2755" t="s">
        <v>16714</v>
      </c>
      <c r="G2755" t="s">
        <v>2478</v>
      </c>
      <c r="H2755">
        <v>76</v>
      </c>
      <c r="I2755" t="s">
        <v>2479</v>
      </c>
      <c r="J2755">
        <v>1</v>
      </c>
      <c r="K2755">
        <v>18</v>
      </c>
      <c r="L2755">
        <v>19</v>
      </c>
      <c r="Q2755">
        <v>0</v>
      </c>
      <c r="R2755">
        <v>0</v>
      </c>
      <c r="S2755">
        <v>19</v>
      </c>
      <c r="Y2755" t="s">
        <v>16715</v>
      </c>
      <c r="Z2755" t="s">
        <v>16716</v>
      </c>
      <c r="AA2755" t="s">
        <v>2497</v>
      </c>
      <c r="AB2755" t="s">
        <v>16717</v>
      </c>
      <c r="AC2755" t="s">
        <v>4271</v>
      </c>
      <c r="AD2755" s="249" t="str">
        <f>HYPERLINK("https://scontent.cdninstagram.com/t51.2885-15/s320x320/e35/21147413_1982037675401802_977075128212914176_n.jpg")</f>
        <v>https://scontent.cdninstagram.com/t51.2885-15/s320x320/e35/21147413_1982037675401802_977075128212914176_n.jpg</v>
      </c>
      <c r="AE2755" s="249" t="str">
        <f>HYPERLINK("https://scontent.cdninstagram.com/t51.2885-19/s150x150/20066081_1917786528463309_6238418432409206784_a.jpg")</f>
        <v>https://scontent.cdninstagram.com/t51.2885-19/s150x150/20066081_1917786528463309_6238418432409206784_a.jpg</v>
      </c>
    </row>
    <row r="2756" spans="1:31" ht="15" x14ac:dyDescent="0.25">
      <c r="A2756" t="s">
        <v>2474</v>
      </c>
      <c r="B2756" t="s">
        <v>16718</v>
      </c>
      <c r="C2756" s="221">
        <v>42972.368692129632</v>
      </c>
      <c r="D2756" t="s">
        <v>16719</v>
      </c>
      <c r="E2756" s="249" t="str">
        <f>HYPERLINK("https://www.instagram.com/p/BYN6fQ7h-sv/")</f>
        <v>https://www.instagram.com/p/BYN6fQ7h-sv/</v>
      </c>
      <c r="F2756" t="s">
        <v>16720</v>
      </c>
      <c r="G2756" t="s">
        <v>2631</v>
      </c>
      <c r="H2756">
        <v>514</v>
      </c>
      <c r="I2756" t="s">
        <v>2542</v>
      </c>
      <c r="J2756">
        <v>0</v>
      </c>
      <c r="K2756">
        <v>30</v>
      </c>
      <c r="L2756">
        <v>30</v>
      </c>
      <c r="Q2756">
        <v>0</v>
      </c>
      <c r="R2756">
        <v>0</v>
      </c>
      <c r="S2756">
        <v>30</v>
      </c>
      <c r="T2756" t="s">
        <v>16721</v>
      </c>
      <c r="V2756" t="s">
        <v>2153</v>
      </c>
      <c r="W2756">
        <v>60.317425065332998</v>
      </c>
      <c r="X2756">
        <v>24.964116692000001</v>
      </c>
      <c r="Y2756" t="s">
        <v>16722</v>
      </c>
      <c r="Z2756" t="s">
        <v>2497</v>
      </c>
      <c r="AA2756" t="s">
        <v>16723</v>
      </c>
      <c r="AD2756" s="249" t="str">
        <f>HYPERLINK("https://scontent.cdninstagram.com/t51.2885-15/e15/p320x320/21040909_178077996069972_7998243297254440960_n.jpg")</f>
        <v>https://scontent.cdninstagram.com/t51.2885-15/e15/p320x320/21040909_178077996069972_7998243297254440960_n.jpg</v>
      </c>
      <c r="AE2756" s="249" t="str">
        <f>HYPERLINK("https://scontent.cdninstagram.com/t51.2885-19/s150x150/19228036_253291121742722_9147240563257376768_a.jpg")</f>
        <v>https://scontent.cdninstagram.com/t51.2885-19/s150x150/19228036_253291121742722_9147240563257376768_a.jpg</v>
      </c>
    </row>
    <row r="2757" spans="1:31" ht="15" x14ac:dyDescent="0.25">
      <c r="A2757" t="s">
        <v>2474</v>
      </c>
      <c r="B2757" t="s">
        <v>7152</v>
      </c>
      <c r="C2757" s="221">
        <v>42972.370046296295</v>
      </c>
      <c r="D2757" t="s">
        <v>16724</v>
      </c>
      <c r="E2757" s="249" t="str">
        <f>HYPERLINK("https://www.instagram.com/p/BYN6tiaDlDG/")</f>
        <v>https://www.instagram.com/p/BYN6tiaDlDG/</v>
      </c>
      <c r="F2757" t="s">
        <v>16725</v>
      </c>
      <c r="G2757" t="s">
        <v>2478</v>
      </c>
      <c r="H2757">
        <v>121</v>
      </c>
      <c r="I2757" t="s">
        <v>2479</v>
      </c>
      <c r="J2757">
        <v>1</v>
      </c>
      <c r="K2757">
        <v>13</v>
      </c>
      <c r="L2757">
        <v>14</v>
      </c>
      <c r="Q2757">
        <v>0</v>
      </c>
      <c r="R2757">
        <v>0</v>
      </c>
      <c r="S2757">
        <v>14</v>
      </c>
      <c r="Y2757" t="s">
        <v>2492</v>
      </c>
      <c r="Z2757" t="s">
        <v>2728</v>
      </c>
      <c r="AA2757" t="s">
        <v>2876</v>
      </c>
      <c r="AB2757" t="s">
        <v>2833</v>
      </c>
      <c r="AC2757" t="s">
        <v>2497</v>
      </c>
      <c r="AD2757" s="249" t="str">
        <f>HYPERLINK("https://scontent.cdninstagram.com/t51.2885-15/s320x320/e35/21042029_1888181648175087_3162029870494515200_n.jpg")</f>
        <v>https://scontent.cdninstagram.com/t51.2885-15/s320x320/e35/21042029_1888181648175087_3162029870494515200_n.jpg</v>
      </c>
      <c r="AE2757" s="249" t="str">
        <f>HYPERLINK("https://scontent.cdninstagram.com/t51.2885-19/s150x150/20181062_1791856511105718_4709893984703479808_a.jpg")</f>
        <v>https://scontent.cdninstagram.com/t51.2885-19/s150x150/20181062_1791856511105718_4709893984703479808_a.jpg</v>
      </c>
    </row>
    <row r="2758" spans="1:31" ht="15" x14ac:dyDescent="0.25">
      <c r="A2758" t="s">
        <v>2474</v>
      </c>
      <c r="B2758" t="s">
        <v>2644</v>
      </c>
      <c r="C2758" s="221">
        <v>42972.371030092596</v>
      </c>
      <c r="D2758" t="s">
        <v>16726</v>
      </c>
      <c r="E2758" s="249" t="str">
        <f>HYPERLINK("https://www.instagram.com/p/BYN6380gbwS/")</f>
        <v>https://www.instagram.com/p/BYN6380gbwS/</v>
      </c>
      <c r="F2758" t="s">
        <v>16727</v>
      </c>
      <c r="G2758" t="s">
        <v>2478</v>
      </c>
      <c r="H2758">
        <v>1743</v>
      </c>
      <c r="I2758" t="s">
        <v>2479</v>
      </c>
      <c r="J2758">
        <v>0</v>
      </c>
      <c r="K2758">
        <v>72</v>
      </c>
      <c r="L2758">
        <v>72</v>
      </c>
      <c r="Q2758">
        <v>0</v>
      </c>
      <c r="R2758">
        <v>0</v>
      </c>
      <c r="S2758">
        <v>72</v>
      </c>
      <c r="T2758" t="s">
        <v>16728</v>
      </c>
      <c r="V2758" t="s">
        <v>2648</v>
      </c>
      <c r="W2758">
        <v>55.760815403597</v>
      </c>
      <c r="X2758">
        <v>37.649923527458</v>
      </c>
      <c r="Y2758" t="s">
        <v>16729</v>
      </c>
      <c r="Z2758" t="s">
        <v>11035</v>
      </c>
      <c r="AA2758" t="s">
        <v>5493</v>
      </c>
      <c r="AB2758" t="s">
        <v>2497</v>
      </c>
      <c r="AC2758" t="s">
        <v>7428</v>
      </c>
      <c r="AD2758" s="249" t="str">
        <f>HYPERLINK("https://scontent.cdninstagram.com/t51.2885-15/e35/p320x320/21041676_1779339675417180_2538169966486618112_n.jpg")</f>
        <v>https://scontent.cdninstagram.com/t51.2885-15/e35/p320x320/21041676_1779339675417180_2538169966486618112_n.jpg</v>
      </c>
      <c r="AE2758" s="249" t="str">
        <f>HYPERLINK("https://scontent.cdninstagram.com/t51.2885-19/11372086_1598451257062069_1320225693_a.jpg")</f>
        <v>https://scontent.cdninstagram.com/t51.2885-19/11372086_1598451257062069_1320225693_a.jpg</v>
      </c>
    </row>
    <row r="2759" spans="1:31" ht="15" x14ac:dyDescent="0.25">
      <c r="A2759" t="s">
        <v>2474</v>
      </c>
      <c r="B2759" t="s">
        <v>16730</v>
      </c>
      <c r="C2759" s="221">
        <v>42972.379328703704</v>
      </c>
      <c r="D2759" t="s">
        <v>16731</v>
      </c>
      <c r="E2759" s="249" t="str">
        <f>HYPERLINK("https://www.instagram.com/p/BYN8PcJD-WX/")</f>
        <v>https://www.instagram.com/p/BYN8PcJD-WX/</v>
      </c>
      <c r="F2759" t="s">
        <v>16732</v>
      </c>
      <c r="G2759" t="s">
        <v>2478</v>
      </c>
      <c r="H2759">
        <v>1233</v>
      </c>
      <c r="I2759" t="s">
        <v>2479</v>
      </c>
      <c r="J2759">
        <v>10</v>
      </c>
      <c r="K2759">
        <v>68</v>
      </c>
      <c r="L2759">
        <v>78</v>
      </c>
      <c r="Q2759">
        <v>0</v>
      </c>
      <c r="R2759">
        <v>0</v>
      </c>
      <c r="S2759">
        <v>78</v>
      </c>
      <c r="Y2759" t="s">
        <v>2492</v>
      </c>
      <c r="Z2759" t="s">
        <v>16730</v>
      </c>
      <c r="AA2759" t="s">
        <v>6806</v>
      </c>
      <c r="AB2759" t="s">
        <v>3671</v>
      </c>
      <c r="AC2759" t="s">
        <v>5162</v>
      </c>
      <c r="AD2759" s="249" t="str">
        <f>HYPERLINK("https://scontent.cdninstagram.com/t51.2885-15/s320x320/e35/20987253_110504772979612_7285075587050242048_n.jpg")</f>
        <v>https://scontent.cdninstagram.com/t51.2885-15/s320x320/e35/20987253_110504772979612_7285075587050242048_n.jpg</v>
      </c>
      <c r="AE2759" s="249" t="str">
        <f>HYPERLINK("https://scontent.cdninstagram.com/t51.2885-19/s150x150/18949806_1030019360468806_2735244218741030912_a.jpg")</f>
        <v>https://scontent.cdninstagram.com/t51.2885-19/s150x150/18949806_1030019360468806_2735244218741030912_a.jpg</v>
      </c>
    </row>
    <row r="2760" spans="1:31" ht="15" x14ac:dyDescent="0.25">
      <c r="A2760" t="s">
        <v>2474</v>
      </c>
      <c r="B2760" t="s">
        <v>16733</v>
      </c>
      <c r="C2760" s="221">
        <v>42972.396956018521</v>
      </c>
      <c r="D2760" t="s">
        <v>16734</v>
      </c>
      <c r="E2760" s="249" t="str">
        <f>HYPERLINK("https://www.instagram.com/p/BYN_JcXnU0d/")</f>
        <v>https://www.instagram.com/p/BYN_JcXnU0d/</v>
      </c>
      <c r="F2760" t="s">
        <v>16735</v>
      </c>
      <c r="G2760" t="s">
        <v>2478</v>
      </c>
      <c r="H2760">
        <v>1113</v>
      </c>
      <c r="I2760" t="s">
        <v>10083</v>
      </c>
      <c r="J2760">
        <v>2</v>
      </c>
      <c r="K2760">
        <v>113</v>
      </c>
      <c r="L2760">
        <v>115</v>
      </c>
      <c r="Q2760">
        <v>0</v>
      </c>
      <c r="R2760">
        <v>0</v>
      </c>
      <c r="S2760">
        <v>115</v>
      </c>
      <c r="Y2760" t="s">
        <v>2492</v>
      </c>
      <c r="Z2760" t="s">
        <v>4583</v>
      </c>
      <c r="AA2760" t="s">
        <v>6043</v>
      </c>
      <c r="AB2760" t="s">
        <v>6922</v>
      </c>
      <c r="AC2760" t="s">
        <v>11796</v>
      </c>
      <c r="AD2760" s="249" t="str">
        <f>HYPERLINK("https://scontent.cdninstagram.com/t51.2885-15/e35/p320x320/21041468_505512829795451_6293993874700369920_n.jpg")</f>
        <v>https://scontent.cdninstagram.com/t51.2885-15/e35/p320x320/21041468_505512829795451_6293993874700369920_n.jpg</v>
      </c>
      <c r="AE2760" s="249" t="str">
        <f>HYPERLINK("https://scontent.cdninstagram.com/t51.2885-19/s150x150/20902076_1432414953512841_3139622768413245440_a.jpg")</f>
        <v>https://scontent.cdninstagram.com/t51.2885-19/s150x150/20902076_1432414953512841_3139622768413245440_a.jpg</v>
      </c>
    </row>
    <row r="2761" spans="1:31" ht="15" x14ac:dyDescent="0.25">
      <c r="A2761" t="s">
        <v>2474</v>
      </c>
      <c r="B2761" t="s">
        <v>4616</v>
      </c>
      <c r="C2761" s="221">
        <v>42972.397407407407</v>
      </c>
      <c r="D2761" t="s">
        <v>16736</v>
      </c>
      <c r="E2761" s="249" t="str">
        <f>HYPERLINK("https://www.instagram.com/p/BYN_OJIBni6/")</f>
        <v>https://www.instagram.com/p/BYN_OJIBni6/</v>
      </c>
      <c r="F2761" t="s">
        <v>16737</v>
      </c>
      <c r="G2761" t="s">
        <v>2478</v>
      </c>
      <c r="H2761">
        <v>116</v>
      </c>
      <c r="I2761" t="s">
        <v>2479</v>
      </c>
      <c r="J2761">
        <v>0</v>
      </c>
      <c r="K2761">
        <v>24</v>
      </c>
      <c r="L2761">
        <v>24</v>
      </c>
      <c r="Q2761">
        <v>0</v>
      </c>
      <c r="R2761">
        <v>0</v>
      </c>
      <c r="S2761">
        <v>24</v>
      </c>
      <c r="T2761" t="s">
        <v>7823</v>
      </c>
      <c r="V2761" t="s">
        <v>2125</v>
      </c>
      <c r="W2761">
        <v>45</v>
      </c>
      <c r="X2761">
        <v>-79.3</v>
      </c>
      <c r="Y2761" t="s">
        <v>5005</v>
      </c>
      <c r="Z2761" t="s">
        <v>2673</v>
      </c>
      <c r="AA2761" t="s">
        <v>5210</v>
      </c>
      <c r="AB2761" t="s">
        <v>5007</v>
      </c>
      <c r="AC2761" t="s">
        <v>3174</v>
      </c>
      <c r="AD2761" s="249" t="str">
        <f>HYPERLINK("https://scontent.cdninstagram.com/t51.2885-15/s320x320/e35/21041456_147198779206873_2584912164288462848_n.jpg")</f>
        <v>https://scontent.cdninstagram.com/t51.2885-15/s320x320/e35/21041456_147198779206873_2584912164288462848_n.jpg</v>
      </c>
      <c r="AE2761" s="249" t="str">
        <f>HYPERLINK("https://scontent.cdninstagram.com/t51.2885-19/s150x150/17494353_1347957098574282_2527511313651859456_a.jpg")</f>
        <v>https://scontent.cdninstagram.com/t51.2885-19/s150x150/17494353_1347957098574282_2527511313651859456_a.jpg</v>
      </c>
    </row>
    <row r="2762" spans="1:31" ht="15" x14ac:dyDescent="0.25">
      <c r="A2762" t="s">
        <v>2474</v>
      </c>
      <c r="B2762" t="s">
        <v>16738</v>
      </c>
      <c r="C2762" s="221">
        <v>42972.397974537038</v>
      </c>
      <c r="D2762" t="s">
        <v>16739</v>
      </c>
      <c r="E2762" s="249" t="str">
        <f>HYPERLINK("https://www.instagram.com/p/BYN_UHUl_ge/")</f>
        <v>https://www.instagram.com/p/BYN_UHUl_ge/</v>
      </c>
      <c r="F2762" t="s">
        <v>16740</v>
      </c>
      <c r="G2762" t="s">
        <v>2478</v>
      </c>
      <c r="H2762">
        <v>277</v>
      </c>
      <c r="I2762" t="s">
        <v>2903</v>
      </c>
      <c r="J2762">
        <v>0</v>
      </c>
      <c r="K2762">
        <v>8</v>
      </c>
      <c r="L2762">
        <v>8</v>
      </c>
      <c r="Q2762">
        <v>0</v>
      </c>
      <c r="R2762">
        <v>0</v>
      </c>
      <c r="S2762">
        <v>8</v>
      </c>
      <c r="Y2762" t="s">
        <v>8178</v>
      </c>
      <c r="Z2762" t="s">
        <v>16741</v>
      </c>
      <c r="AA2762" t="s">
        <v>2523</v>
      </c>
      <c r="AB2762" t="s">
        <v>16742</v>
      </c>
      <c r="AC2762" t="s">
        <v>16743</v>
      </c>
      <c r="AD2762" s="249" t="str">
        <f>HYPERLINK("https://scontent.cdninstagram.com/t51.2885-15/s320x320/e35/21041029_835465593301455_596865016645287936_n.jpg")</f>
        <v>https://scontent.cdninstagram.com/t51.2885-15/s320x320/e35/21041029_835465593301455_596865016645287936_n.jpg</v>
      </c>
      <c r="AE2762" s="249" t="str">
        <f>HYPERLINK("https://scontent.cdninstagram.com/t51.2885-19/s150x150/14736374_722297497925679_620108576492355584_a.jpg")</f>
        <v>https://scontent.cdninstagram.com/t51.2885-19/s150x150/14736374_722297497925679_620108576492355584_a.jpg</v>
      </c>
    </row>
    <row r="2763" spans="1:31" ht="15" x14ac:dyDescent="0.25">
      <c r="A2763" t="s">
        <v>2474</v>
      </c>
      <c r="B2763" t="s">
        <v>16744</v>
      </c>
      <c r="C2763" s="221">
        <v>42972.399247685185</v>
      </c>
      <c r="D2763" t="s">
        <v>16745</v>
      </c>
      <c r="E2763" s="249" t="str">
        <f>HYPERLINK("https://www.instagram.com/p/BYN_hiOAYnT/")</f>
        <v>https://www.instagram.com/p/BYN_hiOAYnT/</v>
      </c>
      <c r="F2763" t="s">
        <v>16746</v>
      </c>
      <c r="G2763" t="s">
        <v>2478</v>
      </c>
      <c r="H2763">
        <v>669</v>
      </c>
      <c r="I2763" t="s">
        <v>2479</v>
      </c>
      <c r="J2763">
        <v>12</v>
      </c>
      <c r="K2763">
        <v>176</v>
      </c>
      <c r="L2763">
        <v>188</v>
      </c>
      <c r="Q2763">
        <v>0</v>
      </c>
      <c r="R2763">
        <v>0</v>
      </c>
      <c r="S2763">
        <v>188</v>
      </c>
      <c r="T2763" t="s">
        <v>16747</v>
      </c>
      <c r="U2763" t="s">
        <v>106</v>
      </c>
      <c r="V2763" t="s">
        <v>2299</v>
      </c>
      <c r="W2763">
        <v>25.787700000000001</v>
      </c>
      <c r="X2763">
        <v>-80.224100000000007</v>
      </c>
      <c r="Y2763" t="s">
        <v>16748</v>
      </c>
      <c r="Z2763" t="s">
        <v>16749</v>
      </c>
      <c r="AA2763" t="s">
        <v>16750</v>
      </c>
      <c r="AB2763" t="s">
        <v>2497</v>
      </c>
      <c r="AC2763" t="s">
        <v>4180</v>
      </c>
      <c r="AD2763" s="249" t="str">
        <f>HYPERLINK("https://scontent.cdninstagram.com/t51.2885-15/s320x320/e35/20987123_843185942511834_2643927128059412480_n.jpg")</f>
        <v>https://scontent.cdninstagram.com/t51.2885-15/s320x320/e35/20987123_843185942511834_2643927128059412480_n.jpg</v>
      </c>
      <c r="AE2763" s="249" t="str">
        <f>HYPERLINK("https://scontent.cdninstagram.com/t51.2885-19/s150x150/18812469_195673227624418_4109912986464813056_a.jpg")</f>
        <v>https://scontent.cdninstagram.com/t51.2885-19/s150x150/18812469_195673227624418_4109912986464813056_a.jpg</v>
      </c>
    </row>
    <row r="2764" spans="1:31" ht="15" x14ac:dyDescent="0.25">
      <c r="A2764" t="s">
        <v>2474</v>
      </c>
      <c r="B2764" t="s">
        <v>16751</v>
      </c>
      <c r="C2764" s="221">
        <v>42972.399375000001</v>
      </c>
      <c r="D2764" t="s">
        <v>16752</v>
      </c>
      <c r="E2764" s="249" t="str">
        <f>HYPERLINK("https://www.instagram.com/p/BYN_i9Jg9cw/")</f>
        <v>https://www.instagram.com/p/BYN_i9Jg9cw/</v>
      </c>
      <c r="F2764" t="s">
        <v>16753</v>
      </c>
      <c r="G2764" t="s">
        <v>2478</v>
      </c>
      <c r="H2764">
        <v>23</v>
      </c>
      <c r="I2764" t="s">
        <v>3575</v>
      </c>
      <c r="J2764">
        <v>1</v>
      </c>
      <c r="K2764">
        <v>7</v>
      </c>
      <c r="L2764">
        <v>8</v>
      </c>
      <c r="Q2764">
        <v>0</v>
      </c>
      <c r="R2764">
        <v>0</v>
      </c>
      <c r="S2764">
        <v>8</v>
      </c>
      <c r="Y2764" t="s">
        <v>16754</v>
      </c>
      <c r="Z2764" t="s">
        <v>16755</v>
      </c>
      <c r="AA2764" t="s">
        <v>11540</v>
      </c>
      <c r="AB2764" t="s">
        <v>16756</v>
      </c>
      <c r="AC2764" t="s">
        <v>2497</v>
      </c>
      <c r="AD2764" s="249" t="str">
        <f>HYPERLINK("https://scontent.cdninstagram.com/t51.2885-15/e35/p320x320/21041173_1915918132008013_1716083307290034176_n.jpg")</f>
        <v>https://scontent.cdninstagram.com/t51.2885-15/e35/p320x320/21041173_1915918132008013_1716083307290034176_n.jpg</v>
      </c>
      <c r="AE2764" s="249" t="str">
        <f>HYPERLINK("https://scontent.cdninstagram.com/t51.2885-19/s150x150/20837327_1500295530016294_570841650885033984_a.jpg")</f>
        <v>https://scontent.cdninstagram.com/t51.2885-19/s150x150/20837327_1500295530016294_570841650885033984_a.jpg</v>
      </c>
    </row>
    <row r="2765" spans="1:31" ht="15" x14ac:dyDescent="0.25">
      <c r="A2765" t="s">
        <v>2474</v>
      </c>
      <c r="B2765" t="s">
        <v>16757</v>
      </c>
      <c r="C2765" s="221">
        <v>42972.402372685188</v>
      </c>
      <c r="D2765" t="s">
        <v>16758</v>
      </c>
      <c r="E2765" s="249" t="str">
        <f>HYPERLINK("https://www.instagram.com/p/BYOACeTg-HR/")</f>
        <v>https://www.instagram.com/p/BYOACeTg-HR/</v>
      </c>
      <c r="F2765" t="s">
        <v>16759</v>
      </c>
      <c r="G2765" t="s">
        <v>2478</v>
      </c>
      <c r="H2765">
        <v>333</v>
      </c>
      <c r="I2765" t="s">
        <v>2479</v>
      </c>
      <c r="J2765">
        <v>1</v>
      </c>
      <c r="K2765">
        <v>10</v>
      </c>
      <c r="L2765">
        <v>11</v>
      </c>
      <c r="Q2765">
        <v>0</v>
      </c>
      <c r="R2765">
        <v>0</v>
      </c>
      <c r="S2765">
        <v>11</v>
      </c>
      <c r="Y2765" t="s">
        <v>16760</v>
      </c>
      <c r="Z2765" t="s">
        <v>16761</v>
      </c>
      <c r="AA2765" t="s">
        <v>2735</v>
      </c>
      <c r="AB2765" t="s">
        <v>3936</v>
      </c>
      <c r="AC2765" t="s">
        <v>2778</v>
      </c>
      <c r="AD2765" s="249" t="str">
        <f>HYPERLINK("https://scontent.cdninstagram.com/t51.2885-15/s320x320/e35/21041729_465278330531829_2345515192630116352_n.jpg")</f>
        <v>https://scontent.cdninstagram.com/t51.2885-15/s320x320/e35/21041729_465278330531829_2345515192630116352_n.jpg</v>
      </c>
      <c r="AE2765" s="249" t="str">
        <f>HYPERLINK("https://scontent.cdninstagram.com/t51.2885-19/s150x150/19379599_1694899887480063_3312992559290122240_a.jpg")</f>
        <v>https://scontent.cdninstagram.com/t51.2885-19/s150x150/19379599_1694899887480063_3312992559290122240_a.jpg</v>
      </c>
    </row>
    <row r="2766" spans="1:31" ht="15" x14ac:dyDescent="0.25">
      <c r="A2766" t="s">
        <v>2474</v>
      </c>
      <c r="B2766" t="s">
        <v>16762</v>
      </c>
      <c r="C2766" s="221">
        <v>42972.407685185186</v>
      </c>
      <c r="D2766" t="s">
        <v>16763</v>
      </c>
      <c r="E2766" s="249" t="str">
        <f>HYPERLINK("https://www.instagram.com/p/BYOA6hPAPof/")</f>
        <v>https://www.instagram.com/p/BYOA6hPAPof/</v>
      </c>
      <c r="F2766" t="s">
        <v>16764</v>
      </c>
      <c r="G2766" t="s">
        <v>2478</v>
      </c>
      <c r="H2766">
        <v>174</v>
      </c>
      <c r="I2766" t="s">
        <v>2748</v>
      </c>
      <c r="J2766">
        <v>1</v>
      </c>
      <c r="K2766">
        <v>16</v>
      </c>
      <c r="L2766">
        <v>17</v>
      </c>
      <c r="Q2766">
        <v>0</v>
      </c>
      <c r="R2766">
        <v>0</v>
      </c>
      <c r="S2766">
        <v>17</v>
      </c>
      <c r="Y2766" t="s">
        <v>2673</v>
      </c>
      <c r="Z2766" t="s">
        <v>16765</v>
      </c>
      <c r="AA2766" t="s">
        <v>16766</v>
      </c>
      <c r="AB2766" t="s">
        <v>2899</v>
      </c>
      <c r="AC2766" t="s">
        <v>2949</v>
      </c>
      <c r="AD2766" s="249" t="str">
        <f>HYPERLINK("https://scontent.cdninstagram.com/t51.2885-15/s320x320/e35/21041766_113646832700663_3808696656434561024_n.jpg")</f>
        <v>https://scontent.cdninstagram.com/t51.2885-15/s320x320/e35/21041766_113646832700663_3808696656434561024_n.jpg</v>
      </c>
      <c r="AE2766" s="249" t="str">
        <f>HYPERLINK("https://scontent.cdninstagram.com/t51.2885-19/s150x150/14597325_1790452877879700_1394210400769146880_a.jpg")</f>
        <v>https://scontent.cdninstagram.com/t51.2885-19/s150x150/14597325_1790452877879700_1394210400769146880_a.jpg</v>
      </c>
    </row>
    <row r="2767" spans="1:31" ht="15" x14ac:dyDescent="0.25">
      <c r="A2767" t="s">
        <v>2474</v>
      </c>
      <c r="B2767" t="s">
        <v>16767</v>
      </c>
      <c r="C2767" s="221">
        <v>42972.410636574074</v>
      </c>
      <c r="D2767" t="s">
        <v>16768</v>
      </c>
      <c r="E2767" s="249" t="str">
        <f>HYPERLINK("https://www.instagram.com/p/BYOBZoyhfVA/")</f>
        <v>https://www.instagram.com/p/BYOBZoyhfVA/</v>
      </c>
      <c r="F2767" t="s">
        <v>16769</v>
      </c>
      <c r="G2767" t="s">
        <v>2478</v>
      </c>
      <c r="H2767">
        <v>582</v>
      </c>
      <c r="I2767" t="s">
        <v>2479</v>
      </c>
      <c r="J2767">
        <v>6</v>
      </c>
      <c r="K2767">
        <v>52</v>
      </c>
      <c r="L2767">
        <v>58</v>
      </c>
      <c r="Q2767">
        <v>0</v>
      </c>
      <c r="R2767">
        <v>0</v>
      </c>
      <c r="S2767">
        <v>58</v>
      </c>
      <c r="Y2767" t="s">
        <v>11544</v>
      </c>
      <c r="Z2767" t="s">
        <v>16770</v>
      </c>
      <c r="AA2767" t="s">
        <v>16771</v>
      </c>
      <c r="AB2767" t="s">
        <v>16772</v>
      </c>
      <c r="AC2767" t="s">
        <v>16773</v>
      </c>
      <c r="AD2767" s="249" t="str">
        <f>HYPERLINK("https://scontent.cdninstagram.com/t51.2885-15/s320x320/e35/21042300_140814629855308_1955112801546534912_n.jpg")</f>
        <v>https://scontent.cdninstagram.com/t51.2885-15/s320x320/e35/21042300_140814629855308_1955112801546534912_n.jpg</v>
      </c>
      <c r="AE2767" s="249" t="str">
        <f>HYPERLINK("https://scontent.cdninstagram.com/t51.2885-19/s150x150/18012146_235036530234589_7337999995137687552_a.jpg")</f>
        <v>https://scontent.cdninstagram.com/t51.2885-19/s150x150/18012146_235036530234589_7337999995137687552_a.jpg</v>
      </c>
    </row>
    <row r="2768" spans="1:31" ht="15" x14ac:dyDescent="0.25">
      <c r="A2768" t="s">
        <v>2474</v>
      </c>
      <c r="B2768" t="s">
        <v>16774</v>
      </c>
      <c r="C2768" s="221">
        <v>42972.425185185188</v>
      </c>
      <c r="D2768" t="s">
        <v>16775</v>
      </c>
      <c r="E2768" s="249" t="str">
        <f>HYPERLINK("https://www.instagram.com/p/BYODzKugG5w/")</f>
        <v>https://www.instagram.com/p/BYODzKugG5w/</v>
      </c>
      <c r="F2768" t="s">
        <v>16776</v>
      </c>
      <c r="G2768" t="s">
        <v>2478</v>
      </c>
      <c r="H2768">
        <v>126</v>
      </c>
      <c r="I2768" t="s">
        <v>2510</v>
      </c>
      <c r="J2768">
        <v>0</v>
      </c>
      <c r="K2768">
        <v>14</v>
      </c>
      <c r="L2768">
        <v>14</v>
      </c>
      <c r="Q2768">
        <v>0</v>
      </c>
      <c r="R2768">
        <v>0</v>
      </c>
      <c r="S2768">
        <v>14</v>
      </c>
      <c r="Y2768" t="s">
        <v>2497</v>
      </c>
      <c r="Z2768" t="s">
        <v>16777</v>
      </c>
      <c r="AA2768" t="s">
        <v>8585</v>
      </c>
      <c r="AB2768" t="s">
        <v>16778</v>
      </c>
      <c r="AC2768" t="s">
        <v>4324</v>
      </c>
      <c r="AD2768" s="249" t="str">
        <f>HYPERLINK("https://scontent.cdninstagram.com/t51.2885-15/e35/p320x320/21041665_1513655758673223_2334598240462176256_n.jpg")</f>
        <v>https://scontent.cdninstagram.com/t51.2885-15/e35/p320x320/21041665_1513655758673223_2334598240462176256_n.jpg</v>
      </c>
      <c r="AE2768" s="249" t="str">
        <f>HYPERLINK("https://scontent.cdninstagram.com/t51.2885-19/s150x150/20393624_673401189515967_2341244818316853248_a.jpg")</f>
        <v>https://scontent.cdninstagram.com/t51.2885-19/s150x150/20393624_673401189515967_2341244818316853248_a.jpg</v>
      </c>
    </row>
    <row r="2769" spans="1:31" ht="15" x14ac:dyDescent="0.25">
      <c r="A2769" t="s">
        <v>2474</v>
      </c>
      <c r="B2769" t="s">
        <v>8411</v>
      </c>
      <c r="C2769" s="221">
        <v>42972.430115740739</v>
      </c>
      <c r="D2769" t="s">
        <v>16779</v>
      </c>
      <c r="E2769" s="249" t="str">
        <f>HYPERLINK("https://www.instagram.com/p/BYOEnFIgDaz/")</f>
        <v>https://www.instagram.com/p/BYOEnFIgDaz/</v>
      </c>
      <c r="F2769" t="s">
        <v>16780</v>
      </c>
      <c r="G2769" t="s">
        <v>2631</v>
      </c>
      <c r="H2769">
        <v>116</v>
      </c>
      <c r="I2769" t="s">
        <v>2479</v>
      </c>
      <c r="J2769">
        <v>1</v>
      </c>
      <c r="K2769">
        <v>16</v>
      </c>
      <c r="L2769">
        <v>17</v>
      </c>
      <c r="Q2769">
        <v>0</v>
      </c>
      <c r="R2769">
        <v>0</v>
      </c>
      <c r="S2769">
        <v>17</v>
      </c>
      <c r="Y2769" t="s">
        <v>10596</v>
      </c>
      <c r="Z2769" t="s">
        <v>16781</v>
      </c>
      <c r="AA2769" t="s">
        <v>8414</v>
      </c>
      <c r="AB2769" t="s">
        <v>6916</v>
      </c>
      <c r="AC2769" t="s">
        <v>16782</v>
      </c>
      <c r="AD2769" s="249" t="str">
        <f>HYPERLINK("https://scontent.cdninstagram.com/t51.2885-15/s320x320/e15/21107251_165619030654695_636906099097731072_n.jpg")</f>
        <v>https://scontent.cdninstagram.com/t51.2885-15/s320x320/e15/21107251_165619030654695_636906099097731072_n.jpg</v>
      </c>
      <c r="AE2769" s="249" t="str">
        <f>HYPERLINK("https://scontent.cdninstagram.com/t51.2885-19/s150x150/18889123_1918404081757651_4999782334195564544_a.jpg")</f>
        <v>https://scontent.cdninstagram.com/t51.2885-19/s150x150/18889123_1918404081757651_4999782334195564544_a.jpg</v>
      </c>
    </row>
    <row r="2770" spans="1:31" ht="15" x14ac:dyDescent="0.25">
      <c r="A2770" t="s">
        <v>2474</v>
      </c>
      <c r="B2770" t="s">
        <v>8538</v>
      </c>
      <c r="C2770" s="221">
        <v>42972.439189814817</v>
      </c>
      <c r="D2770" t="s">
        <v>16783</v>
      </c>
      <c r="E2770" s="249" t="str">
        <f>HYPERLINK("https://www.instagram.com/p/BYOGG3FA2mq/")</f>
        <v>https://www.instagram.com/p/BYOGG3FA2mq/</v>
      </c>
      <c r="F2770" t="s">
        <v>16784</v>
      </c>
      <c r="G2770" t="s">
        <v>2478</v>
      </c>
      <c r="H2770">
        <v>5519</v>
      </c>
      <c r="I2770" t="s">
        <v>2542</v>
      </c>
      <c r="J2770">
        <v>21</v>
      </c>
      <c r="K2770">
        <v>593</v>
      </c>
      <c r="L2770">
        <v>614</v>
      </c>
      <c r="Q2770">
        <v>0</v>
      </c>
      <c r="R2770">
        <v>0</v>
      </c>
      <c r="S2770">
        <v>614</v>
      </c>
      <c r="T2770" t="s">
        <v>15929</v>
      </c>
      <c r="V2770" t="s">
        <v>2648</v>
      </c>
      <c r="W2770">
        <v>55.752200000000002</v>
      </c>
      <c r="X2770">
        <v>37.615600000000001</v>
      </c>
      <c r="Y2770" t="s">
        <v>11089</v>
      </c>
      <c r="Z2770" t="s">
        <v>11090</v>
      </c>
      <c r="AA2770" t="s">
        <v>2497</v>
      </c>
      <c r="AD2770" s="249" t="str">
        <f>HYPERLINK("https://scontent.cdninstagram.com/t51.2885-15/s320x320/e35/20987419_1929139753994683_7922549377745289216_n.jpg")</f>
        <v>https://scontent.cdninstagram.com/t51.2885-15/s320x320/e35/20987419_1929139753994683_7922549377745289216_n.jpg</v>
      </c>
      <c r="AE2770" s="249" t="str">
        <f>HYPERLINK("https://scontent.cdninstagram.com/t51.2885-19/s150x150/18950246_1127968397303807_6772371073045364736_a.jpg")</f>
        <v>https://scontent.cdninstagram.com/t51.2885-19/s150x150/18950246_1127968397303807_6772371073045364736_a.jpg</v>
      </c>
    </row>
    <row r="2771" spans="1:31" ht="15" x14ac:dyDescent="0.25">
      <c r="A2771" t="s">
        <v>2474</v>
      </c>
      <c r="B2771" t="s">
        <v>16785</v>
      </c>
      <c r="C2771" s="221">
        <v>42972.445532407408</v>
      </c>
      <c r="D2771" t="s">
        <v>16786</v>
      </c>
      <c r="E2771" s="249" t="str">
        <f>HYPERLINK("https://www.instagram.com/p/BYOHJx8g7Hp/")</f>
        <v>https://www.instagram.com/p/BYOHJx8g7Hp/</v>
      </c>
      <c r="F2771" t="s">
        <v>16787</v>
      </c>
      <c r="G2771" t="s">
        <v>2478</v>
      </c>
      <c r="H2771">
        <v>328</v>
      </c>
      <c r="I2771" t="s">
        <v>3025</v>
      </c>
      <c r="J2771">
        <v>1</v>
      </c>
      <c r="K2771">
        <v>9</v>
      </c>
      <c r="L2771">
        <v>10</v>
      </c>
      <c r="Q2771">
        <v>0</v>
      </c>
      <c r="R2771">
        <v>0</v>
      </c>
      <c r="S2771">
        <v>10</v>
      </c>
      <c r="Y2771" t="s">
        <v>2497</v>
      </c>
      <c r="Z2771" t="s">
        <v>16788</v>
      </c>
      <c r="AA2771" t="s">
        <v>16789</v>
      </c>
      <c r="AD2771" s="249" t="str">
        <f>HYPERLINK("https://scontent.cdninstagram.com/t51.2885-15/s320x320/e35/21107154_167914510436976_5419709060616290304_n.jpg")</f>
        <v>https://scontent.cdninstagram.com/t51.2885-15/s320x320/e35/21107154_167914510436976_5419709060616290304_n.jpg</v>
      </c>
      <c r="AE2771" s="249" t="str">
        <f>HYPERLINK("https://scontent.cdninstagram.com/t51.2885-19/s150x150/12132680_1513431102310845_1283250015_a.jpg")</f>
        <v>https://scontent.cdninstagram.com/t51.2885-19/s150x150/12132680_1513431102310845_1283250015_a.jpg</v>
      </c>
    </row>
    <row r="2772" spans="1:31" ht="15" x14ac:dyDescent="0.25">
      <c r="A2772" t="s">
        <v>2474</v>
      </c>
      <c r="B2772" t="s">
        <v>16790</v>
      </c>
      <c r="C2772" s="221">
        <v>42972.447488425925</v>
      </c>
      <c r="D2772" t="s">
        <v>16791</v>
      </c>
      <c r="E2772" s="249" t="str">
        <f>HYPERLINK("https://www.instagram.com/p/BYOHeVFFXv_/")</f>
        <v>https://www.instagram.com/p/BYOHeVFFXv_/</v>
      </c>
      <c r="F2772" t="s">
        <v>16792</v>
      </c>
      <c r="G2772" t="s">
        <v>2488</v>
      </c>
      <c r="H2772">
        <v>186</v>
      </c>
      <c r="I2772" t="s">
        <v>2479</v>
      </c>
      <c r="J2772">
        <v>0</v>
      </c>
      <c r="K2772">
        <v>3</v>
      </c>
      <c r="L2772">
        <v>3</v>
      </c>
      <c r="Q2772">
        <v>0</v>
      </c>
      <c r="R2772">
        <v>0</v>
      </c>
      <c r="S2772">
        <v>3</v>
      </c>
      <c r="Y2772" t="s">
        <v>16793</v>
      </c>
      <c r="Z2772" t="s">
        <v>16794</v>
      </c>
      <c r="AA2772" t="s">
        <v>16795</v>
      </c>
      <c r="AB2772" t="s">
        <v>16796</v>
      </c>
      <c r="AC2772" t="s">
        <v>2497</v>
      </c>
      <c r="AD2772" s="249" t="str">
        <f>HYPERLINK("https://scontent.cdninstagram.com/t51.2885-15/s320x320/e35/21042484_1828444990802711_3406938431949897728_n.jpg")</f>
        <v>https://scontent.cdninstagram.com/t51.2885-15/s320x320/e35/21042484_1828444990802711_3406938431949897728_n.jpg</v>
      </c>
      <c r="AE2772" s="249" t="str">
        <f>HYPERLINK("https://scontent.cdninstagram.com/t51.2885-19/s150x150/21147493_525792801098630_7179938051819307008_a.jpg")</f>
        <v>https://scontent.cdninstagram.com/t51.2885-19/s150x150/21147493_525792801098630_7179938051819307008_a.jpg</v>
      </c>
    </row>
    <row r="2773" spans="1:31" ht="15" x14ac:dyDescent="0.25">
      <c r="A2773" t="s">
        <v>2474</v>
      </c>
      <c r="B2773" t="s">
        <v>4811</v>
      </c>
      <c r="C2773" s="221">
        <v>42972.448553240742</v>
      </c>
      <c r="D2773" t="s">
        <v>16797</v>
      </c>
      <c r="E2773" s="249" t="str">
        <f>HYPERLINK("https://www.instagram.com/p/BYOHpoiAWoV/")</f>
        <v>https://www.instagram.com/p/BYOHpoiAWoV/</v>
      </c>
      <c r="F2773" t="s">
        <v>16798</v>
      </c>
      <c r="G2773" t="s">
        <v>2631</v>
      </c>
      <c r="H2773">
        <v>990</v>
      </c>
      <c r="I2773" t="s">
        <v>2479</v>
      </c>
      <c r="J2773">
        <v>3</v>
      </c>
      <c r="K2773">
        <v>97</v>
      </c>
      <c r="L2773">
        <v>100</v>
      </c>
      <c r="Q2773">
        <v>0</v>
      </c>
      <c r="R2773">
        <v>0</v>
      </c>
      <c r="S2773">
        <v>100</v>
      </c>
      <c r="Y2773" t="s">
        <v>3512</v>
      </c>
      <c r="Z2773" t="s">
        <v>7130</v>
      </c>
      <c r="AA2773" t="s">
        <v>6211</v>
      </c>
      <c r="AB2773" t="s">
        <v>3768</v>
      </c>
      <c r="AC2773" t="s">
        <v>4272</v>
      </c>
      <c r="AD2773" s="249" t="str">
        <f>HYPERLINK("https://scontent.cdninstagram.com/t51.2885-15/s320x320/e15/21042529_901630396641917_6430794484363034624_n.jpg")</f>
        <v>https://scontent.cdninstagram.com/t51.2885-15/s320x320/e15/21042529_901630396641917_6430794484363034624_n.jpg</v>
      </c>
      <c r="AE2773" s="249" t="str">
        <f>HYPERLINK("https://scontent.cdninstagram.com/t51.2885-19/s150x150/16124251_1913091765603634_8004330562992996352_a.jpg")</f>
        <v>https://scontent.cdninstagram.com/t51.2885-19/s150x150/16124251_1913091765603634_8004330562992996352_a.jpg</v>
      </c>
    </row>
    <row r="2774" spans="1:31" ht="15" x14ac:dyDescent="0.25">
      <c r="A2774" t="s">
        <v>2474</v>
      </c>
      <c r="B2774" t="s">
        <v>16799</v>
      </c>
      <c r="C2774" s="221">
        <v>42972.456400462965</v>
      </c>
      <c r="D2774" t="s">
        <v>16800</v>
      </c>
      <c r="E2774" s="249" t="str">
        <f>HYPERLINK("https://www.instagram.com/p/BYOI8VIA9XC/")</f>
        <v>https://www.instagram.com/p/BYOI8VIA9XC/</v>
      </c>
      <c r="F2774" t="s">
        <v>16801</v>
      </c>
      <c r="G2774" t="s">
        <v>2478</v>
      </c>
      <c r="H2774">
        <v>552</v>
      </c>
      <c r="I2774" t="s">
        <v>2479</v>
      </c>
      <c r="J2774">
        <v>0</v>
      </c>
      <c r="K2774">
        <v>43</v>
      </c>
      <c r="L2774">
        <v>43</v>
      </c>
      <c r="Q2774">
        <v>0</v>
      </c>
      <c r="R2774">
        <v>0</v>
      </c>
      <c r="S2774">
        <v>43</v>
      </c>
      <c r="Y2774" t="s">
        <v>16802</v>
      </c>
      <c r="Z2774" t="s">
        <v>4571</v>
      </c>
      <c r="AA2774" t="s">
        <v>16803</v>
      </c>
      <c r="AB2774" t="s">
        <v>16804</v>
      </c>
      <c r="AC2774" t="s">
        <v>16805</v>
      </c>
      <c r="AD2774" s="249" t="str">
        <f>HYPERLINK("https://scontent.cdninstagram.com/t51.2885-15/s320x320/e35/21041737_125085188135040_8151718086651674624_n.jpg")</f>
        <v>https://scontent.cdninstagram.com/t51.2885-15/s320x320/e35/21041737_125085188135040_8151718086651674624_n.jpg</v>
      </c>
      <c r="AE2774" s="249" t="str">
        <f>HYPERLINK("https://scontent.cdninstagram.com/t51.2885-19/s150x150/16465879_160305321139458_2685986364104638464_a.jpg")</f>
        <v>https://scontent.cdninstagram.com/t51.2885-19/s150x150/16465879_160305321139458_2685986364104638464_a.jpg</v>
      </c>
    </row>
    <row r="2775" spans="1:31" ht="15" x14ac:dyDescent="0.25">
      <c r="A2775" t="s">
        <v>2474</v>
      </c>
      <c r="B2775" t="s">
        <v>16806</v>
      </c>
      <c r="C2775" s="221">
        <v>42972.457083333335</v>
      </c>
      <c r="D2775" t="s">
        <v>16807</v>
      </c>
      <c r="E2775" s="249" t="str">
        <f>HYPERLINK("https://www.instagram.com/p/BYOJDkrnSAU/")</f>
        <v>https://www.instagram.com/p/BYOJDkrnSAU/</v>
      </c>
      <c r="F2775" t="s">
        <v>16808</v>
      </c>
      <c r="G2775" t="s">
        <v>2631</v>
      </c>
      <c r="H2775">
        <v>596</v>
      </c>
      <c r="I2775" t="s">
        <v>2479</v>
      </c>
      <c r="J2775">
        <v>1</v>
      </c>
      <c r="K2775">
        <v>18</v>
      </c>
      <c r="L2775">
        <v>19</v>
      </c>
      <c r="Q2775">
        <v>0</v>
      </c>
      <c r="R2775">
        <v>0</v>
      </c>
      <c r="S2775">
        <v>19</v>
      </c>
      <c r="T2775" t="s">
        <v>16809</v>
      </c>
      <c r="V2775" t="s">
        <v>2222</v>
      </c>
      <c r="W2775">
        <v>52.357454466690001</v>
      </c>
      <c r="X2775">
        <v>4.8560970369453997</v>
      </c>
      <c r="Y2775" t="s">
        <v>4513</v>
      </c>
      <c r="Z2775" t="s">
        <v>3804</v>
      </c>
      <c r="AA2775" t="s">
        <v>8060</v>
      </c>
      <c r="AB2775" t="s">
        <v>3716</v>
      </c>
      <c r="AC2775" t="s">
        <v>5405</v>
      </c>
      <c r="AD2775" s="249" t="str">
        <f>HYPERLINK("https://scontent.cdninstagram.com/t51.2885-15/s320x320/e15/21042049_1421064637989398_3624825863792492544_n.jpg")</f>
        <v>https://scontent.cdninstagram.com/t51.2885-15/s320x320/e15/21042049_1421064637989398_3624825863792492544_n.jpg</v>
      </c>
      <c r="AE2775" s="249" t="str">
        <f>HYPERLINK("https://scontent.cdninstagram.com/t51.2885-19/s150x150/19955173_107553289928126_4401641312831406080_a.jpg")</f>
        <v>https://scontent.cdninstagram.com/t51.2885-19/s150x150/19955173_107553289928126_4401641312831406080_a.jpg</v>
      </c>
    </row>
    <row r="2776" spans="1:31" ht="15" x14ac:dyDescent="0.25">
      <c r="A2776" t="s">
        <v>2474</v>
      </c>
      <c r="B2776" t="s">
        <v>16810</v>
      </c>
      <c r="C2776" s="221">
        <v>42972.457199074073</v>
      </c>
      <c r="D2776" t="s">
        <v>16811</v>
      </c>
      <c r="E2776" s="249" t="str">
        <f>HYPERLINK("https://www.instagram.com/p/BYOJEzTjYjm/")</f>
        <v>https://www.instagram.com/p/BYOJEzTjYjm/</v>
      </c>
      <c r="F2776" t="s">
        <v>16812</v>
      </c>
      <c r="G2776" t="s">
        <v>2478</v>
      </c>
      <c r="H2776">
        <v>64</v>
      </c>
      <c r="I2776" t="s">
        <v>2479</v>
      </c>
      <c r="J2776">
        <v>3</v>
      </c>
      <c r="K2776">
        <v>17</v>
      </c>
      <c r="L2776">
        <v>20</v>
      </c>
      <c r="Q2776">
        <v>0</v>
      </c>
      <c r="R2776">
        <v>0</v>
      </c>
      <c r="S2776">
        <v>20</v>
      </c>
      <c r="Y2776" t="s">
        <v>2497</v>
      </c>
      <c r="Z2776" t="s">
        <v>16813</v>
      </c>
      <c r="AD2776" s="249" t="str">
        <f>HYPERLINK("https://scontent.cdninstagram.com/t51.2885-15/s320x320/e35/20986780_120938861837856_8363289275164262400_n.jpg")</f>
        <v>https://scontent.cdninstagram.com/t51.2885-15/s320x320/e35/20986780_120938861837856_8363289275164262400_n.jpg</v>
      </c>
      <c r="AE2776" s="249" t="str">
        <f>HYPERLINK("https://scontent.cdninstagram.com/t51.2885-19/s150x150/21107862_326749554402963_2170652363746967552_a.jpg")</f>
        <v>https://scontent.cdninstagram.com/t51.2885-19/s150x150/21107862_326749554402963_2170652363746967552_a.jpg</v>
      </c>
    </row>
    <row r="2777" spans="1:31" ht="15" x14ac:dyDescent="0.25">
      <c r="A2777" t="s">
        <v>2474</v>
      </c>
      <c r="B2777" t="s">
        <v>6430</v>
      </c>
      <c r="C2777" s="221">
        <v>42972.45853009259</v>
      </c>
      <c r="D2777" t="s">
        <v>16814</v>
      </c>
      <c r="E2777" s="249" t="str">
        <f>HYPERLINK("https://www.instagram.com/p/BYOJS0FD_aq/")</f>
        <v>https://www.instagram.com/p/BYOJS0FD_aq/</v>
      </c>
      <c r="F2777" t="s">
        <v>16815</v>
      </c>
      <c r="G2777" t="s">
        <v>2478</v>
      </c>
      <c r="H2777">
        <v>556</v>
      </c>
      <c r="I2777" t="s">
        <v>2479</v>
      </c>
      <c r="J2777">
        <v>2</v>
      </c>
      <c r="K2777">
        <v>84</v>
      </c>
      <c r="L2777">
        <v>86</v>
      </c>
      <c r="Q2777">
        <v>0</v>
      </c>
      <c r="R2777">
        <v>0</v>
      </c>
      <c r="S2777">
        <v>86</v>
      </c>
      <c r="T2777" t="s">
        <v>6380</v>
      </c>
      <c r="V2777" t="s">
        <v>2161</v>
      </c>
      <c r="W2777">
        <v>50.116700000000002</v>
      </c>
      <c r="X2777">
        <v>8.6833299999999998</v>
      </c>
      <c r="Y2777" t="s">
        <v>10061</v>
      </c>
      <c r="Z2777" t="s">
        <v>7830</v>
      </c>
      <c r="AA2777" t="s">
        <v>6434</v>
      </c>
      <c r="AB2777" t="s">
        <v>6437</v>
      </c>
      <c r="AC2777" t="s">
        <v>10060</v>
      </c>
      <c r="AD2777" s="249" t="str">
        <f>HYPERLINK("https://scontent.cdninstagram.com/t51.2885-15/s320x320/e35/20987197_2176542675906172_5801653226574970880_n.jpg")</f>
        <v>https://scontent.cdninstagram.com/t51.2885-15/s320x320/e35/20987197_2176542675906172_5801653226574970880_n.jpg</v>
      </c>
      <c r="AE2777" s="249" t="str">
        <f>HYPERLINK("https://scontent.cdninstagram.com/t51.2885-19/s150x150/21149297_456026118115449_8944803404383780864_a.jpg")</f>
        <v>https://scontent.cdninstagram.com/t51.2885-19/s150x150/21149297_456026118115449_8944803404383780864_a.jpg</v>
      </c>
    </row>
    <row r="2778" spans="1:31" ht="15" x14ac:dyDescent="0.25">
      <c r="A2778" t="s">
        <v>2474</v>
      </c>
      <c r="B2778" t="s">
        <v>16816</v>
      </c>
      <c r="C2778" s="221">
        <v>42972.461574074077</v>
      </c>
      <c r="D2778" t="s">
        <v>16817</v>
      </c>
      <c r="E2778" s="249" t="str">
        <f>HYPERLINK("https://www.instagram.com/p/BYOJy8cBRtj/")</f>
        <v>https://www.instagram.com/p/BYOJy8cBRtj/</v>
      </c>
      <c r="F2778" t="s">
        <v>16818</v>
      </c>
      <c r="G2778" t="s">
        <v>2478</v>
      </c>
      <c r="H2778">
        <v>7418</v>
      </c>
      <c r="I2778" t="s">
        <v>2479</v>
      </c>
      <c r="J2778">
        <v>27</v>
      </c>
      <c r="K2778">
        <v>313</v>
      </c>
      <c r="L2778">
        <v>340</v>
      </c>
      <c r="Q2778">
        <v>0</v>
      </c>
      <c r="R2778">
        <v>0</v>
      </c>
      <c r="S2778">
        <v>340</v>
      </c>
      <c r="AD2778" s="249" t="str">
        <f>HYPERLINK("https://scontent.cdninstagram.com/t51.2885-15/s320x320/e35/20987377_1964223727157520_5056077801984098304_n.jpg")</f>
        <v>https://scontent.cdninstagram.com/t51.2885-15/s320x320/e35/20987377_1964223727157520_5056077801984098304_n.jpg</v>
      </c>
      <c r="AE2778" s="249" t="str">
        <f>HYPERLINK("https://scontent.cdninstagram.com/t51.2885-19/s150x150/20837547_1708092152819678_6011099930989428736_a.jpg")</f>
        <v>https://scontent.cdninstagram.com/t51.2885-19/s150x150/20837547_1708092152819678_6011099930989428736_a.jpg</v>
      </c>
    </row>
    <row r="2779" spans="1:31" ht="15" x14ac:dyDescent="0.25">
      <c r="A2779" t="s">
        <v>2474</v>
      </c>
      <c r="B2779" t="s">
        <v>8717</v>
      </c>
      <c r="C2779" s="221">
        <v>42972.463854166665</v>
      </c>
      <c r="D2779" t="s">
        <v>16819</v>
      </c>
      <c r="E2779" s="249" t="str">
        <f>HYPERLINK("https://www.instagram.com/p/BYOKK79lTeH/")</f>
        <v>https://www.instagram.com/p/BYOKK79lTeH/</v>
      </c>
      <c r="F2779" t="s">
        <v>16820</v>
      </c>
      <c r="G2779" t="s">
        <v>2478</v>
      </c>
      <c r="H2779">
        <v>1645</v>
      </c>
      <c r="I2779" t="s">
        <v>2479</v>
      </c>
      <c r="J2779">
        <v>2</v>
      </c>
      <c r="K2779">
        <v>156</v>
      </c>
      <c r="L2779">
        <v>158</v>
      </c>
      <c r="Q2779">
        <v>0</v>
      </c>
      <c r="R2779">
        <v>0</v>
      </c>
      <c r="S2779">
        <v>158</v>
      </c>
      <c r="Y2779" t="s">
        <v>4908</v>
      </c>
      <c r="Z2779" t="s">
        <v>5577</v>
      </c>
      <c r="AA2779" t="s">
        <v>16821</v>
      </c>
      <c r="AB2779" t="s">
        <v>2861</v>
      </c>
      <c r="AC2779" t="s">
        <v>2497</v>
      </c>
      <c r="AD2779" s="249" t="str">
        <f>HYPERLINK("https://scontent.cdninstagram.com/t51.2885-15/s320x320/e35/21108062_1837379209622366_5481249873179181056_n.jpg")</f>
        <v>https://scontent.cdninstagram.com/t51.2885-15/s320x320/e35/21108062_1837379209622366_5481249873179181056_n.jpg</v>
      </c>
      <c r="AE2779" s="249" t="str">
        <f>HYPERLINK("https://scontent.cdninstagram.com/t51.2885-19/s150x150/13102422_480287725499798_1251561052_a.jpg")</f>
        <v>https://scontent.cdninstagram.com/t51.2885-19/s150x150/13102422_480287725499798_1251561052_a.jpg</v>
      </c>
    </row>
    <row r="2780" spans="1:31" ht="15" x14ac:dyDescent="0.25">
      <c r="A2780" t="s">
        <v>2474</v>
      </c>
      <c r="B2780" t="s">
        <v>6020</v>
      </c>
      <c r="C2780" s="221">
        <v>42972.466666666667</v>
      </c>
      <c r="D2780" t="s">
        <v>16822</v>
      </c>
      <c r="E2780" s="249" t="str">
        <f>HYPERLINK("https://www.instagram.com/p/BYOKolpApjs/")</f>
        <v>https://www.instagram.com/p/BYOKolpApjs/</v>
      </c>
      <c r="F2780" t="s">
        <v>16823</v>
      </c>
      <c r="G2780" t="s">
        <v>2478</v>
      </c>
      <c r="H2780">
        <v>31921</v>
      </c>
      <c r="I2780" t="s">
        <v>2479</v>
      </c>
      <c r="J2780">
        <v>33</v>
      </c>
      <c r="K2780">
        <v>1077</v>
      </c>
      <c r="L2780">
        <v>1110</v>
      </c>
      <c r="Q2780">
        <v>0</v>
      </c>
      <c r="R2780">
        <v>0</v>
      </c>
      <c r="S2780">
        <v>1110</v>
      </c>
      <c r="Y2780" t="s">
        <v>6429</v>
      </c>
      <c r="Z2780" t="s">
        <v>8893</v>
      </c>
      <c r="AA2780" t="s">
        <v>6449</v>
      </c>
      <c r="AB2780" t="s">
        <v>4892</v>
      </c>
      <c r="AC2780" t="s">
        <v>8328</v>
      </c>
      <c r="AD2780" s="249" t="str">
        <f>HYPERLINK("https://scontent.cdninstagram.com/t51.2885-15/e35/p320x320/20987360_115850469137907_1900867429022564352_n.jpg")</f>
        <v>https://scontent.cdninstagram.com/t51.2885-15/e35/p320x320/20987360_115850469137907_1900867429022564352_n.jpg</v>
      </c>
      <c r="AE2780" s="249" t="str">
        <f>HYPERLINK("https://scontent.cdninstagram.com/t51.2885-19/s150x150/18094683_212156559284851_4534393421896351744_a.jpg")</f>
        <v>https://scontent.cdninstagram.com/t51.2885-19/s150x150/18094683_212156559284851_4534393421896351744_a.jpg</v>
      </c>
    </row>
    <row r="2781" spans="1:31" ht="15" x14ac:dyDescent="0.25">
      <c r="A2781" t="s">
        <v>2474</v>
      </c>
      <c r="B2781" t="s">
        <v>15801</v>
      </c>
      <c r="C2781" s="221">
        <v>42972.468472222223</v>
      </c>
      <c r="D2781" t="s">
        <v>16824</v>
      </c>
      <c r="E2781" s="249" t="str">
        <f>HYPERLINK("https://www.instagram.com/p/BYOK7pgFDgP/")</f>
        <v>https://www.instagram.com/p/BYOK7pgFDgP/</v>
      </c>
      <c r="F2781" t="s">
        <v>16825</v>
      </c>
      <c r="G2781" t="s">
        <v>2478</v>
      </c>
      <c r="H2781">
        <v>208</v>
      </c>
      <c r="I2781" t="s">
        <v>2479</v>
      </c>
      <c r="J2781">
        <v>3</v>
      </c>
      <c r="K2781">
        <v>25</v>
      </c>
      <c r="L2781">
        <v>28</v>
      </c>
      <c r="Q2781">
        <v>0</v>
      </c>
      <c r="R2781">
        <v>0</v>
      </c>
      <c r="S2781">
        <v>28</v>
      </c>
      <c r="Y2781" t="s">
        <v>16826</v>
      </c>
      <c r="Z2781" t="s">
        <v>16827</v>
      </c>
      <c r="AA2781" t="s">
        <v>16828</v>
      </c>
      <c r="AB2781" t="s">
        <v>16829</v>
      </c>
      <c r="AC2781" t="s">
        <v>16830</v>
      </c>
      <c r="AD2781" s="249" t="str">
        <f>HYPERLINK("https://scontent.cdninstagram.com/t51.2885-15/e35/p320x320/21147482_345044739264845_8364948657253908480_n.jpg")</f>
        <v>https://scontent.cdninstagram.com/t51.2885-15/e35/p320x320/21147482_345044739264845_8364948657253908480_n.jpg</v>
      </c>
      <c r="AE2781" s="249" t="str">
        <f>HYPERLINK("https://scontent.cdninstagram.com/t51.2885-19/s150x150/12547279_954947561266331_1148242584_a.jpg")</f>
        <v>https://scontent.cdninstagram.com/t51.2885-19/s150x150/12547279_954947561266331_1148242584_a.jpg</v>
      </c>
    </row>
    <row r="2782" spans="1:31" ht="15" x14ac:dyDescent="0.25">
      <c r="A2782" t="s">
        <v>2474</v>
      </c>
      <c r="B2782" t="s">
        <v>3248</v>
      </c>
      <c r="C2782" s="221">
        <v>42972.474907407406</v>
      </c>
      <c r="D2782" t="s">
        <v>16831</v>
      </c>
      <c r="E2782" s="249" t="str">
        <f>HYPERLINK("https://www.instagram.com/p/BYOL_gCHJdE/")</f>
        <v>https://www.instagram.com/p/BYOL_gCHJdE/</v>
      </c>
      <c r="F2782" t="s">
        <v>16832</v>
      </c>
      <c r="G2782" t="s">
        <v>2478</v>
      </c>
      <c r="H2782">
        <v>32176</v>
      </c>
      <c r="I2782" t="s">
        <v>2479</v>
      </c>
      <c r="J2782">
        <v>7</v>
      </c>
      <c r="K2782">
        <v>482</v>
      </c>
      <c r="L2782">
        <v>489</v>
      </c>
      <c r="Q2782">
        <v>0</v>
      </c>
      <c r="R2782">
        <v>0</v>
      </c>
      <c r="S2782">
        <v>489</v>
      </c>
      <c r="AD2782" s="249" t="str">
        <f>HYPERLINK("https://scontent.cdninstagram.com/t51.2885-15/s320x320/e35/21041277_266836163819983_2773160232979791872_n.jpg")</f>
        <v>https://scontent.cdninstagram.com/t51.2885-15/s320x320/e35/21041277_266836163819983_2773160232979791872_n.jpg</v>
      </c>
      <c r="AE2782" s="249" t="str">
        <f>HYPERLINK("https://scontent.cdninstagram.com/t51.2885-19/s150x150/16229301_1876915245885793_5124596849776263168_n.jpg")</f>
        <v>https://scontent.cdninstagram.com/t51.2885-19/s150x150/16229301_1876915245885793_5124596849776263168_n.jpg</v>
      </c>
    </row>
    <row r="2783" spans="1:31" ht="15" x14ac:dyDescent="0.25">
      <c r="A2783" t="s">
        <v>2474</v>
      </c>
      <c r="B2783" t="s">
        <v>15206</v>
      </c>
      <c r="C2783" s="221">
        <v>42972.480844907404</v>
      </c>
      <c r="D2783" t="s">
        <v>16833</v>
      </c>
      <c r="E2783" s="249" t="str">
        <f>HYPERLINK("https://www.instagram.com/p/BYOM-OXFCCl/")</f>
        <v>https://www.instagram.com/p/BYOM-OXFCCl/</v>
      </c>
      <c r="F2783" t="s">
        <v>16834</v>
      </c>
      <c r="G2783" t="s">
        <v>2478</v>
      </c>
      <c r="H2783">
        <v>60646</v>
      </c>
      <c r="I2783" t="s">
        <v>2479</v>
      </c>
      <c r="J2783">
        <v>12</v>
      </c>
      <c r="K2783">
        <v>1347</v>
      </c>
      <c r="L2783">
        <v>1359</v>
      </c>
      <c r="Q2783">
        <v>0</v>
      </c>
      <c r="R2783">
        <v>0</v>
      </c>
      <c r="S2783">
        <v>1359</v>
      </c>
      <c r="AD2783" s="249" t="str">
        <f>HYPERLINK("https://scontent.cdninstagram.com/t51.2885-15/e35/p320x320/21041626_375961502817127_4778967615852773376_n.jpg")</f>
        <v>https://scontent.cdninstagram.com/t51.2885-15/e35/p320x320/21041626_375961502817127_4778967615852773376_n.jpg</v>
      </c>
      <c r="AE2783" s="249" t="str">
        <f>HYPERLINK("https://scontent.cdninstagram.com/t51.2885-19/17663530_1657274724581959_2295744149531394048_n.jpg")</f>
        <v>https://scontent.cdninstagram.com/t51.2885-19/17663530_1657274724581959_2295744149531394048_n.jpg</v>
      </c>
    </row>
    <row r="2784" spans="1:31" ht="15" x14ac:dyDescent="0.25">
      <c r="A2784" t="s">
        <v>2474</v>
      </c>
      <c r="B2784" t="s">
        <v>3601</v>
      </c>
      <c r="C2784" s="221">
        <v>42972.480995370373</v>
      </c>
      <c r="D2784" t="s">
        <v>16835</v>
      </c>
      <c r="E2784" s="249" t="str">
        <f>HYPERLINK("https://www.instagram.com/p/BYOM_x8HHc5/")</f>
        <v>https://www.instagram.com/p/BYOM_x8HHc5/</v>
      </c>
      <c r="F2784" t="s">
        <v>16836</v>
      </c>
      <c r="G2784" t="s">
        <v>2478</v>
      </c>
      <c r="H2784">
        <v>674</v>
      </c>
      <c r="I2784" t="s">
        <v>2599</v>
      </c>
      <c r="J2784">
        <v>1</v>
      </c>
      <c r="K2784">
        <v>18</v>
      </c>
      <c r="L2784">
        <v>19</v>
      </c>
      <c r="Q2784">
        <v>0</v>
      </c>
      <c r="R2784">
        <v>0</v>
      </c>
      <c r="S2784">
        <v>19</v>
      </c>
      <c r="Y2784" t="s">
        <v>2696</v>
      </c>
      <c r="Z2784" t="s">
        <v>2497</v>
      </c>
      <c r="AA2784" t="s">
        <v>12818</v>
      </c>
      <c r="AB2784" t="s">
        <v>5924</v>
      </c>
      <c r="AC2784" t="s">
        <v>9622</v>
      </c>
      <c r="AD2784" s="249" t="str">
        <f>HYPERLINK("https://scontent.cdninstagram.com/t51.2885-15/s320x320/e35/21041302_1423473547740183_6558087166008754176_n.jpg")</f>
        <v>https://scontent.cdninstagram.com/t51.2885-15/s320x320/e35/21041302_1423473547740183_6558087166008754176_n.jpg</v>
      </c>
      <c r="AE2784" s="249" t="str">
        <f>HYPERLINK("https://scontent.cdninstagram.com/t51.2885-19/s150x150/15048246_1010636362391741_270322140643852288_a.jpg")</f>
        <v>https://scontent.cdninstagram.com/t51.2885-19/s150x150/15048246_1010636362391741_270322140643852288_a.jpg</v>
      </c>
    </row>
    <row r="2785" spans="1:31" ht="15" x14ac:dyDescent="0.25">
      <c r="A2785" t="s">
        <v>2474</v>
      </c>
      <c r="B2785" t="s">
        <v>16837</v>
      </c>
      <c r="C2785" s="221">
        <v>42972.482905092591</v>
      </c>
      <c r="D2785" t="s">
        <v>16838</v>
      </c>
      <c r="E2785" s="249" t="str">
        <f>HYPERLINK("https://www.instagram.com/p/BYONT6AAL2r/")</f>
        <v>https://www.instagram.com/p/BYONT6AAL2r/</v>
      </c>
      <c r="F2785" t="s">
        <v>16839</v>
      </c>
      <c r="G2785" t="s">
        <v>2631</v>
      </c>
      <c r="H2785">
        <v>1046</v>
      </c>
      <c r="I2785" t="s">
        <v>2479</v>
      </c>
      <c r="J2785">
        <v>0</v>
      </c>
      <c r="K2785">
        <v>35</v>
      </c>
      <c r="L2785">
        <v>35</v>
      </c>
      <c r="Q2785">
        <v>0</v>
      </c>
      <c r="R2785">
        <v>0</v>
      </c>
      <c r="S2785">
        <v>35</v>
      </c>
      <c r="Y2785" t="s">
        <v>16840</v>
      </c>
      <c r="Z2785" t="s">
        <v>16841</v>
      </c>
      <c r="AA2785" t="s">
        <v>2497</v>
      </c>
      <c r="AB2785" t="s">
        <v>2666</v>
      </c>
      <c r="AC2785" t="s">
        <v>16842</v>
      </c>
      <c r="AD2785" s="249" t="str">
        <f>HYPERLINK("https://scontent.cdninstagram.com/t51.2885-15/e15/p320x320/20986887_123036385014022_8695903370906435584_n.jpg")</f>
        <v>https://scontent.cdninstagram.com/t51.2885-15/e15/p320x320/20986887_123036385014022_8695903370906435584_n.jpg</v>
      </c>
      <c r="AE2785" s="249" t="str">
        <f>HYPERLINK("https://scontent.cdninstagram.com/t51.2885-19/s150x150/20394003_1789417841075076_4370446595993370624_a.jpg")</f>
        <v>https://scontent.cdninstagram.com/t51.2885-19/s150x150/20394003_1789417841075076_4370446595993370624_a.jpg</v>
      </c>
    </row>
    <row r="2786" spans="1:31" ht="15" x14ac:dyDescent="0.25">
      <c r="A2786" t="s">
        <v>2474</v>
      </c>
      <c r="B2786" t="s">
        <v>16843</v>
      </c>
      <c r="C2786" s="221">
        <v>42972.498854166668</v>
      </c>
      <c r="D2786" t="s">
        <v>16844</v>
      </c>
      <c r="E2786" s="249" t="str">
        <f>HYPERLINK("https://www.instagram.com/p/BYOP8HAFWwf/")</f>
        <v>https://www.instagram.com/p/BYOP8HAFWwf/</v>
      </c>
      <c r="F2786" t="s">
        <v>16845</v>
      </c>
      <c r="G2786" t="s">
        <v>2478</v>
      </c>
      <c r="H2786">
        <v>108</v>
      </c>
      <c r="I2786" t="s">
        <v>5670</v>
      </c>
      <c r="J2786">
        <v>0</v>
      </c>
      <c r="K2786">
        <v>4</v>
      </c>
      <c r="L2786">
        <v>4</v>
      </c>
      <c r="Q2786">
        <v>0</v>
      </c>
      <c r="R2786">
        <v>0</v>
      </c>
      <c r="S2786">
        <v>4</v>
      </c>
      <c r="Y2786" t="s">
        <v>16846</v>
      </c>
      <c r="Z2786" t="s">
        <v>2696</v>
      </c>
      <c r="AA2786" t="s">
        <v>16847</v>
      </c>
      <c r="AB2786" t="s">
        <v>16848</v>
      </c>
      <c r="AC2786" t="s">
        <v>2497</v>
      </c>
      <c r="AD2786" s="249" t="str">
        <f>HYPERLINK("https://scontent.cdninstagram.com/t51.2885-15/s320x320/e35/21148145_342811209466256_3948125107477544960_n.jpg")</f>
        <v>https://scontent.cdninstagram.com/t51.2885-15/s320x320/e35/21148145_342811209466256_3948125107477544960_n.jpg</v>
      </c>
      <c r="AE2786" s="249" t="str">
        <f>HYPERLINK("https://scontent.cdninstagram.com/t51.2885-19/s150x150/20902744_190036868202122_3327914113195048960_a.jpg")</f>
        <v>https://scontent.cdninstagram.com/t51.2885-19/s150x150/20902744_190036868202122_3327914113195048960_a.jpg</v>
      </c>
    </row>
    <row r="2787" spans="1:31" ht="15" x14ac:dyDescent="0.25">
      <c r="A2787" t="s">
        <v>2474</v>
      </c>
      <c r="B2787" t="s">
        <v>3393</v>
      </c>
      <c r="C2787" s="221">
        <v>42972.50105324074</v>
      </c>
      <c r="D2787" t="s">
        <v>16849</v>
      </c>
      <c r="E2787" s="249" t="str">
        <f>HYPERLINK("https://www.instagram.com/p/BYOQTQnnFME/")</f>
        <v>https://www.instagram.com/p/BYOQTQnnFME/</v>
      </c>
      <c r="F2787" t="s">
        <v>16850</v>
      </c>
      <c r="G2787" t="s">
        <v>2478</v>
      </c>
      <c r="H2787">
        <v>17996</v>
      </c>
      <c r="I2787" t="s">
        <v>2479</v>
      </c>
      <c r="J2787">
        <v>7</v>
      </c>
      <c r="K2787">
        <v>605</v>
      </c>
      <c r="L2787">
        <v>612</v>
      </c>
      <c r="Q2787">
        <v>0</v>
      </c>
      <c r="R2787">
        <v>0</v>
      </c>
      <c r="S2787">
        <v>612</v>
      </c>
      <c r="AD2787" s="249" t="str">
        <f>HYPERLINK("https://scontent.cdninstagram.com/t51.2885-15/s320x320/e35/20987570_126818327942048_7460004777473081344_n.jpg")</f>
        <v>https://scontent.cdninstagram.com/t51.2885-15/s320x320/e35/20987570_126818327942048_7460004777473081344_n.jpg</v>
      </c>
      <c r="AE2787" s="249" t="str">
        <f>HYPERLINK("https://scontent.cdninstagram.com/t51.2885-19/s150x150/20969318_163506604224066_8451668608215416832_n.jpg")</f>
        <v>https://scontent.cdninstagram.com/t51.2885-19/s150x150/20969318_163506604224066_8451668608215416832_n.jpg</v>
      </c>
    </row>
    <row r="2788" spans="1:31" ht="15" x14ac:dyDescent="0.25">
      <c r="A2788" t="s">
        <v>2474</v>
      </c>
      <c r="B2788" t="s">
        <v>16851</v>
      </c>
      <c r="C2788" s="221">
        <v>42972.513738425929</v>
      </c>
      <c r="D2788" t="s">
        <v>16852</v>
      </c>
      <c r="E2788" s="249" t="str">
        <f>HYPERLINK("https://www.instagram.com/p/BYOSZEmhqMz/")</f>
        <v>https://www.instagram.com/p/BYOSZEmhqMz/</v>
      </c>
      <c r="F2788" t="s">
        <v>16853</v>
      </c>
      <c r="G2788" t="s">
        <v>2478</v>
      </c>
      <c r="H2788">
        <v>671</v>
      </c>
      <c r="I2788" t="s">
        <v>2910</v>
      </c>
      <c r="J2788">
        <v>5</v>
      </c>
      <c r="K2788">
        <v>45</v>
      </c>
      <c r="L2788">
        <v>50</v>
      </c>
      <c r="Q2788">
        <v>0</v>
      </c>
      <c r="R2788">
        <v>0</v>
      </c>
      <c r="S2788">
        <v>50</v>
      </c>
      <c r="T2788" t="s">
        <v>16854</v>
      </c>
      <c r="V2788" t="s">
        <v>2180</v>
      </c>
      <c r="W2788">
        <v>51.874632087513</v>
      </c>
      <c r="X2788">
        <v>-8.4754703779682998</v>
      </c>
      <c r="Y2788" t="s">
        <v>2861</v>
      </c>
      <c r="Z2788" t="s">
        <v>16855</v>
      </c>
      <c r="AA2788" t="s">
        <v>2497</v>
      </c>
      <c r="AB2788" t="s">
        <v>5250</v>
      </c>
      <c r="AC2788" t="s">
        <v>2913</v>
      </c>
      <c r="AD2788" s="249" t="str">
        <f>HYPERLINK("https://scontent.cdninstagram.com/t51.2885-15/s320x320/e35/21042209_213087415890570_9038648474161119232_n.jpg")</f>
        <v>https://scontent.cdninstagram.com/t51.2885-15/s320x320/e35/21042209_213087415890570_9038648474161119232_n.jpg</v>
      </c>
      <c r="AE2788" s="249" t="str">
        <f>HYPERLINK("https://scontent.cdninstagram.com/t51.2885-19/s150x150/21041588_272568583241745_3528826855031308288_a.jpg")</f>
        <v>https://scontent.cdninstagram.com/t51.2885-19/s150x150/21041588_272568583241745_3528826855031308288_a.jpg</v>
      </c>
    </row>
    <row r="2789" spans="1:31" ht="15" x14ac:dyDescent="0.25">
      <c r="A2789" t="s">
        <v>2474</v>
      </c>
      <c r="B2789" t="s">
        <v>16856</v>
      </c>
      <c r="C2789" s="221">
        <v>42972.515046296299</v>
      </c>
      <c r="D2789" t="s">
        <v>16857</v>
      </c>
      <c r="E2789" s="249" t="str">
        <f>HYPERLINK("https://www.instagram.com/p/BYOSm7ZFCJ9/")</f>
        <v>https://www.instagram.com/p/BYOSm7ZFCJ9/</v>
      </c>
      <c r="F2789" t="s">
        <v>16858</v>
      </c>
      <c r="G2789" t="s">
        <v>2478</v>
      </c>
      <c r="H2789">
        <v>240</v>
      </c>
      <c r="I2789" t="s">
        <v>2542</v>
      </c>
      <c r="J2789">
        <v>14</v>
      </c>
      <c r="K2789">
        <v>47</v>
      </c>
      <c r="L2789">
        <v>61</v>
      </c>
      <c r="Q2789">
        <v>0</v>
      </c>
      <c r="R2789">
        <v>0</v>
      </c>
      <c r="S2789">
        <v>61</v>
      </c>
      <c r="T2789" t="s">
        <v>16859</v>
      </c>
      <c r="V2789" t="s">
        <v>2270</v>
      </c>
      <c r="W2789">
        <v>59.315860000000001</v>
      </c>
      <c r="X2789">
        <v>18.032409999999999</v>
      </c>
      <c r="Y2789" t="s">
        <v>16860</v>
      </c>
      <c r="Z2789" t="s">
        <v>16861</v>
      </c>
      <c r="AA2789" t="s">
        <v>2513</v>
      </c>
      <c r="AB2789" t="s">
        <v>2492</v>
      </c>
      <c r="AC2789" t="s">
        <v>16862</v>
      </c>
      <c r="AD2789" s="249" t="str">
        <f>HYPERLINK("https://scontent.cdninstagram.com/t51.2885-15/e35/p320x320/21042052_1952446658368174_3991411295420153856_n.jpg")</f>
        <v>https://scontent.cdninstagram.com/t51.2885-15/e35/p320x320/21042052_1952446658368174_3991411295420153856_n.jpg</v>
      </c>
      <c r="AE2789" s="249" t="str">
        <f>HYPERLINK("https://scontent.cdninstagram.com/t51.2885-19/s150x150/16122811_1784160718500729_277558726745915392_n.jpg")</f>
        <v>https://scontent.cdninstagram.com/t51.2885-19/s150x150/16122811_1784160718500729_277558726745915392_n.jpg</v>
      </c>
    </row>
    <row r="2790" spans="1:31" ht="15" x14ac:dyDescent="0.25">
      <c r="A2790" t="s">
        <v>2474</v>
      </c>
      <c r="B2790" t="s">
        <v>16863</v>
      </c>
      <c r="C2790" s="221">
        <v>42972.52175925926</v>
      </c>
      <c r="D2790" t="s">
        <v>16864</v>
      </c>
      <c r="E2790" s="249" t="str">
        <f>HYPERLINK("https://www.instagram.com/p/BYOTtsKhRk5/")</f>
        <v>https://www.instagram.com/p/BYOTtsKhRk5/</v>
      </c>
      <c r="F2790" t="s">
        <v>16865</v>
      </c>
      <c r="G2790" t="s">
        <v>2478</v>
      </c>
      <c r="H2790">
        <v>111</v>
      </c>
      <c r="I2790" t="s">
        <v>2479</v>
      </c>
      <c r="J2790">
        <v>0</v>
      </c>
      <c r="K2790">
        <v>38</v>
      </c>
      <c r="L2790">
        <v>38</v>
      </c>
      <c r="Q2790">
        <v>0</v>
      </c>
      <c r="R2790">
        <v>0</v>
      </c>
      <c r="S2790">
        <v>38</v>
      </c>
      <c r="T2790" t="s">
        <v>16866</v>
      </c>
      <c r="V2790" t="s">
        <v>2212</v>
      </c>
      <c r="W2790">
        <v>23.316666999999999</v>
      </c>
      <c r="X2790">
        <v>-102.36666700000001</v>
      </c>
      <c r="Y2790" t="s">
        <v>14243</v>
      </c>
      <c r="Z2790" t="s">
        <v>6187</v>
      </c>
      <c r="AA2790" t="s">
        <v>16867</v>
      </c>
      <c r="AB2790" t="s">
        <v>16868</v>
      </c>
      <c r="AC2790" t="s">
        <v>16869</v>
      </c>
      <c r="AD2790" s="249" t="str">
        <f>HYPERLINK("https://scontent.cdninstagram.com/t51.2885-15/e35/p320x320/21041394_1847985348546715_6888815315841449984_n.jpg")</f>
        <v>https://scontent.cdninstagram.com/t51.2885-15/e35/p320x320/21041394_1847985348546715_6888815315841449984_n.jpg</v>
      </c>
      <c r="AE2790" s="249" t="str">
        <f>HYPERLINK("https://scontent.cdninstagram.com/t51.2885-19/s150x150/13721331_261714524208836_493805486_a.jpg")</f>
        <v>https://scontent.cdninstagram.com/t51.2885-19/s150x150/13721331_261714524208836_493805486_a.jpg</v>
      </c>
    </row>
    <row r="2791" spans="1:31" ht="15" x14ac:dyDescent="0.25">
      <c r="A2791" t="s">
        <v>2474</v>
      </c>
      <c r="B2791" t="s">
        <v>16870</v>
      </c>
      <c r="C2791" s="221">
        <v>42972.525462962964</v>
      </c>
      <c r="D2791" t="s">
        <v>16871</v>
      </c>
      <c r="E2791" s="249" t="str">
        <f>HYPERLINK("https://www.instagram.com/p/BYOUUu6Azjt/")</f>
        <v>https://www.instagram.com/p/BYOUUu6Azjt/</v>
      </c>
      <c r="F2791" t="s">
        <v>16872</v>
      </c>
      <c r="G2791" t="s">
        <v>2488</v>
      </c>
      <c r="H2791">
        <v>497</v>
      </c>
      <c r="I2791" t="s">
        <v>2479</v>
      </c>
      <c r="J2791">
        <v>0</v>
      </c>
      <c r="K2791">
        <v>40</v>
      </c>
      <c r="L2791">
        <v>40</v>
      </c>
      <c r="Q2791">
        <v>0</v>
      </c>
      <c r="R2791">
        <v>0</v>
      </c>
      <c r="S2791">
        <v>40</v>
      </c>
      <c r="Y2791" t="s">
        <v>16873</v>
      </c>
      <c r="Z2791" t="s">
        <v>16874</v>
      </c>
      <c r="AA2791" t="s">
        <v>16875</v>
      </c>
      <c r="AB2791" t="s">
        <v>2497</v>
      </c>
      <c r="AC2791" t="s">
        <v>16876</v>
      </c>
      <c r="AD2791" s="249" t="str">
        <f>HYPERLINK("https://scontent.cdninstagram.com/t51.2885-15/s320x320/e15/21041178_268605470302830_1526432691258392576_n.jpg")</f>
        <v>https://scontent.cdninstagram.com/t51.2885-15/s320x320/e15/21041178_268605470302830_1526432691258392576_n.jpg</v>
      </c>
      <c r="AE2791" s="249" t="str">
        <f>HYPERLINK("https://scontent.cdninstagram.com/t51.2885-19/s150x150/11373883_596755307156392_1571758580_a.jpg")</f>
        <v>https://scontent.cdninstagram.com/t51.2885-19/s150x150/11373883_596755307156392_1571758580_a.jpg</v>
      </c>
    </row>
    <row r="2792" spans="1:31" ht="15" x14ac:dyDescent="0.25">
      <c r="A2792" t="s">
        <v>2474</v>
      </c>
      <c r="B2792" t="s">
        <v>16877</v>
      </c>
      <c r="C2792" s="221">
        <v>42972.526909722219</v>
      </c>
      <c r="D2792" t="s">
        <v>16878</v>
      </c>
      <c r="E2792" s="249" t="str">
        <f>HYPERLINK("https://www.instagram.com/p/BYOUj-fg_Ba/")</f>
        <v>https://www.instagram.com/p/BYOUj-fg_Ba/</v>
      </c>
      <c r="F2792" t="s">
        <v>16879</v>
      </c>
      <c r="G2792" t="s">
        <v>2478</v>
      </c>
      <c r="H2792">
        <v>193</v>
      </c>
      <c r="I2792" t="s">
        <v>2582</v>
      </c>
      <c r="J2792">
        <v>1</v>
      </c>
      <c r="K2792">
        <v>23</v>
      </c>
      <c r="L2792">
        <v>24</v>
      </c>
      <c r="Q2792">
        <v>0</v>
      </c>
      <c r="R2792">
        <v>0</v>
      </c>
      <c r="S2792">
        <v>24</v>
      </c>
      <c r="Y2792" t="s">
        <v>2497</v>
      </c>
      <c r="Z2792" t="s">
        <v>16880</v>
      </c>
      <c r="AA2792" t="s">
        <v>16881</v>
      </c>
      <c r="AB2792" t="s">
        <v>2705</v>
      </c>
      <c r="AD2792" s="249" t="str">
        <f>HYPERLINK("https://scontent.cdninstagram.com/t51.2885-15/e35/p320x320/21041155_124049048240113_8280950169369837568_n.jpg")</f>
        <v>https://scontent.cdninstagram.com/t51.2885-15/e35/p320x320/21041155_124049048240113_8280950169369837568_n.jpg</v>
      </c>
      <c r="AE2792" s="249" t="str">
        <f>HYPERLINK("https://scontent.cdninstagram.com/t51.2885-19/s150x150/20987454_1632478606827174_7561413757105078272_a.jpg")</f>
        <v>https://scontent.cdninstagram.com/t51.2885-19/s150x150/20987454_1632478606827174_7561413757105078272_a.jpg</v>
      </c>
    </row>
    <row r="2793" spans="1:31" ht="15" x14ac:dyDescent="0.25">
      <c r="A2793" t="s">
        <v>2474</v>
      </c>
      <c r="B2793" t="s">
        <v>16882</v>
      </c>
      <c r="C2793" s="221">
        <v>42972.527870370373</v>
      </c>
      <c r="D2793" t="s">
        <v>16883</v>
      </c>
      <c r="E2793" s="249" t="str">
        <f>HYPERLINK("https://www.instagram.com/p/BYOUuISAm1c/")</f>
        <v>https://www.instagram.com/p/BYOUuISAm1c/</v>
      </c>
      <c r="F2793" t="s">
        <v>16884</v>
      </c>
      <c r="G2793" t="s">
        <v>2478</v>
      </c>
      <c r="H2793">
        <v>274</v>
      </c>
      <c r="I2793" t="s">
        <v>8378</v>
      </c>
      <c r="J2793">
        <v>0</v>
      </c>
      <c r="K2793">
        <v>13</v>
      </c>
      <c r="L2793">
        <v>13</v>
      </c>
      <c r="Q2793">
        <v>0</v>
      </c>
      <c r="R2793">
        <v>0</v>
      </c>
      <c r="S2793">
        <v>13</v>
      </c>
      <c r="Y2793" t="s">
        <v>16885</v>
      </c>
      <c r="Z2793" t="s">
        <v>16886</v>
      </c>
      <c r="AA2793" t="s">
        <v>2497</v>
      </c>
      <c r="AD2793" s="249" t="str">
        <f>HYPERLINK("https://scontent.cdninstagram.com/t51.2885-15/s320x320/e35/20968740_337236126725236_5211933622465986560_n.jpg")</f>
        <v>https://scontent.cdninstagram.com/t51.2885-15/s320x320/e35/20968740_337236126725236_5211933622465986560_n.jpg</v>
      </c>
      <c r="AE2793" s="249" t="str">
        <f>HYPERLINK("https://scontent.cdninstagram.com/t51.2885-19/s150x150/17437839_197171947442735_1016798567769047040_a.jpg")</f>
        <v>https://scontent.cdninstagram.com/t51.2885-19/s150x150/17437839_197171947442735_1016798567769047040_a.jpg</v>
      </c>
    </row>
    <row r="2794" spans="1:31" ht="15" x14ac:dyDescent="0.25">
      <c r="A2794" t="s">
        <v>2474</v>
      </c>
      <c r="B2794" t="s">
        <v>3895</v>
      </c>
      <c r="C2794" s="221">
        <v>42972.544374999998</v>
      </c>
      <c r="D2794" t="s">
        <v>16887</v>
      </c>
      <c r="E2794" s="249" t="str">
        <f>HYPERLINK("https://www.instagram.com/p/BYOXcK3FhOv/")</f>
        <v>https://www.instagram.com/p/BYOXcK3FhOv/</v>
      </c>
      <c r="F2794" t="s">
        <v>16888</v>
      </c>
      <c r="G2794" t="s">
        <v>2478</v>
      </c>
      <c r="H2794">
        <v>427</v>
      </c>
      <c r="I2794" t="s">
        <v>2479</v>
      </c>
      <c r="J2794">
        <v>4</v>
      </c>
      <c r="K2794">
        <v>85</v>
      </c>
      <c r="L2794">
        <v>89</v>
      </c>
      <c r="Q2794">
        <v>0</v>
      </c>
      <c r="R2794">
        <v>0</v>
      </c>
      <c r="S2794">
        <v>89</v>
      </c>
      <c r="Y2794" t="s">
        <v>3899</v>
      </c>
      <c r="Z2794" t="s">
        <v>3901</v>
      </c>
      <c r="AA2794" t="s">
        <v>16889</v>
      </c>
      <c r="AB2794" t="s">
        <v>7905</v>
      </c>
      <c r="AC2794" t="s">
        <v>9108</v>
      </c>
      <c r="AD2794" s="249" t="str">
        <f>HYPERLINK("https://scontent.cdninstagram.com/t51.2885-15/s320x320/e35/21041545_112250876157419_7865389431824318464_n.jpg")</f>
        <v>https://scontent.cdninstagram.com/t51.2885-15/s320x320/e35/21041545_112250876157419_7865389431824318464_n.jpg</v>
      </c>
      <c r="AE2794" s="249" t="str">
        <f>HYPERLINK("https://scontent.cdninstagram.com/t51.2885-19/s150x150/20902130_1390331654386412_4188068892897181696_a.jpg")</f>
        <v>https://scontent.cdninstagram.com/t51.2885-19/s150x150/20902130_1390331654386412_4188068892897181696_a.jpg</v>
      </c>
    </row>
    <row r="2795" spans="1:31" ht="15" x14ac:dyDescent="0.25">
      <c r="A2795" t="s">
        <v>2474</v>
      </c>
      <c r="B2795" t="s">
        <v>16890</v>
      </c>
      <c r="C2795" s="221">
        <v>42972.556261574071</v>
      </c>
      <c r="D2795" t="s">
        <v>16891</v>
      </c>
      <c r="E2795" s="249" t="str">
        <f>HYPERLINK("https://www.instagram.com/p/BYOZZlFh8rx/")</f>
        <v>https://www.instagram.com/p/BYOZZlFh8rx/</v>
      </c>
      <c r="F2795" t="s">
        <v>16892</v>
      </c>
      <c r="G2795" t="s">
        <v>2478</v>
      </c>
      <c r="H2795">
        <v>333</v>
      </c>
      <c r="I2795" t="s">
        <v>5447</v>
      </c>
      <c r="J2795">
        <v>1</v>
      </c>
      <c r="K2795">
        <v>62</v>
      </c>
      <c r="L2795">
        <v>63</v>
      </c>
      <c r="Q2795">
        <v>0</v>
      </c>
      <c r="R2795">
        <v>0</v>
      </c>
      <c r="S2795">
        <v>63</v>
      </c>
      <c r="T2795" t="s">
        <v>16893</v>
      </c>
      <c r="V2795" t="s">
        <v>2243</v>
      </c>
      <c r="W2795">
        <v>44.477194556514</v>
      </c>
      <c r="X2795">
        <v>26.086889006614001</v>
      </c>
      <c r="Y2795" t="s">
        <v>3343</v>
      </c>
      <c r="Z2795" t="s">
        <v>16894</v>
      </c>
      <c r="AA2795" t="s">
        <v>2497</v>
      </c>
      <c r="AB2795" t="s">
        <v>16895</v>
      </c>
      <c r="AC2795" t="s">
        <v>16896</v>
      </c>
      <c r="AD2795" s="249" t="str">
        <f>HYPERLINK("https://scontent.cdninstagram.com/t51.2885-15/e35/p320x320/20968415_283250642153947_2713122813589323776_n.jpg")</f>
        <v>https://scontent.cdninstagram.com/t51.2885-15/e35/p320x320/20968415_283250642153947_2713122813589323776_n.jpg</v>
      </c>
      <c r="AE2795" s="249" t="str">
        <f>HYPERLINK("https://scontent.cdninstagram.com/t51.2885-19/s150x150/20479107_894748977330215_1048124306879414272_a.jpg")</f>
        <v>https://scontent.cdninstagram.com/t51.2885-19/s150x150/20479107_894748977330215_1048124306879414272_a.jpg</v>
      </c>
    </row>
    <row r="2796" spans="1:31" ht="15" x14ac:dyDescent="0.25">
      <c r="A2796" t="s">
        <v>2474</v>
      </c>
      <c r="B2796" t="s">
        <v>16897</v>
      </c>
      <c r="C2796" s="221">
        <v>42972.561388888891</v>
      </c>
      <c r="D2796" t="s">
        <v>16898</v>
      </c>
      <c r="E2796" s="249" t="str">
        <f>HYPERLINK("https://www.instagram.com/p/BYOaPm5ndYs/")</f>
        <v>https://www.instagram.com/p/BYOaPm5ndYs/</v>
      </c>
      <c r="F2796" t="s">
        <v>16899</v>
      </c>
      <c r="G2796" t="s">
        <v>2478</v>
      </c>
      <c r="H2796">
        <v>898</v>
      </c>
      <c r="I2796" t="s">
        <v>2599</v>
      </c>
      <c r="J2796">
        <v>12</v>
      </c>
      <c r="K2796">
        <v>126</v>
      </c>
      <c r="L2796">
        <v>138</v>
      </c>
      <c r="Q2796">
        <v>0</v>
      </c>
      <c r="R2796">
        <v>0</v>
      </c>
      <c r="S2796">
        <v>138</v>
      </c>
      <c r="Y2796" t="s">
        <v>16900</v>
      </c>
      <c r="Z2796" t="s">
        <v>16901</v>
      </c>
      <c r="AA2796" t="s">
        <v>16902</v>
      </c>
      <c r="AB2796" t="s">
        <v>5884</v>
      </c>
      <c r="AC2796" t="s">
        <v>2497</v>
      </c>
      <c r="AD2796" s="249" t="str">
        <f>HYPERLINK("https://scontent.cdninstagram.com/t51.2885-15/e35/p320x320/20987136_205881363281671_3896986095820210176_n.jpg")</f>
        <v>https://scontent.cdninstagram.com/t51.2885-15/e35/p320x320/20987136_205881363281671_3896986095820210176_n.jpg</v>
      </c>
      <c r="AE2796" s="249" t="str">
        <f>HYPERLINK("https://scontent.cdninstagram.com/t51.2885-19/s150x150/20986874_421375801590906_1941779161475448832_a.jpg")</f>
        <v>https://scontent.cdninstagram.com/t51.2885-19/s150x150/20986874_421375801590906_1941779161475448832_a.jpg</v>
      </c>
    </row>
    <row r="2797" spans="1:31" ht="15" x14ac:dyDescent="0.25">
      <c r="A2797" t="s">
        <v>2474</v>
      </c>
      <c r="B2797" t="s">
        <v>16903</v>
      </c>
      <c r="C2797" s="221">
        <v>42972.566516203704</v>
      </c>
      <c r="D2797" t="s">
        <v>16904</v>
      </c>
      <c r="E2797" s="249" t="str">
        <f>HYPERLINK("https://www.instagram.com/p/BYObFv2j2GN/")</f>
        <v>https://www.instagram.com/p/BYObFv2j2GN/</v>
      </c>
      <c r="F2797" t="s">
        <v>16905</v>
      </c>
      <c r="G2797" t="s">
        <v>2488</v>
      </c>
      <c r="H2797">
        <v>376</v>
      </c>
      <c r="I2797" t="s">
        <v>2479</v>
      </c>
      <c r="J2797">
        <v>0</v>
      </c>
      <c r="K2797">
        <v>13</v>
      </c>
      <c r="L2797">
        <v>13</v>
      </c>
      <c r="Q2797">
        <v>0</v>
      </c>
      <c r="R2797">
        <v>0</v>
      </c>
      <c r="S2797">
        <v>13</v>
      </c>
      <c r="T2797" t="s">
        <v>16906</v>
      </c>
      <c r="U2797" t="s">
        <v>204</v>
      </c>
      <c r="V2797" t="s">
        <v>2299</v>
      </c>
      <c r="W2797">
        <v>21.280955658313999</v>
      </c>
      <c r="X2797">
        <v>-157.83067773111</v>
      </c>
      <c r="Y2797" t="s">
        <v>16907</v>
      </c>
      <c r="Z2797" t="s">
        <v>16908</v>
      </c>
      <c r="AA2797" t="s">
        <v>2497</v>
      </c>
      <c r="AB2797" t="s">
        <v>16909</v>
      </c>
      <c r="AC2797" t="s">
        <v>8976</v>
      </c>
      <c r="AD2797" s="249" t="str">
        <f>HYPERLINK("https://scontent.cdninstagram.com/t51.2885-15/s320x320/e35/21107193_1474888485890637_2113045788471853056_n.jpg")</f>
        <v>https://scontent.cdninstagram.com/t51.2885-15/s320x320/e35/21107193_1474888485890637_2113045788471853056_n.jpg</v>
      </c>
      <c r="AE2797" s="249" t="str">
        <f>HYPERLINK("https://scontent.cdninstagram.com/t51.2885-19/10932358_1410296102602150_527637777_a.jpg")</f>
        <v>https://scontent.cdninstagram.com/t51.2885-19/10932358_1410296102602150_527637777_a.jpg</v>
      </c>
    </row>
    <row r="2798" spans="1:31" ht="15" x14ac:dyDescent="0.25">
      <c r="A2798" t="s">
        <v>2474</v>
      </c>
      <c r="B2798" t="s">
        <v>16910</v>
      </c>
      <c r="C2798" s="221">
        <v>42972.575150462966</v>
      </c>
      <c r="D2798" t="s">
        <v>16911</v>
      </c>
      <c r="E2798" s="249" t="str">
        <f>HYPERLINK("https://www.instagram.com/p/BYOcgzGnGZE/")</f>
        <v>https://www.instagram.com/p/BYOcgzGnGZE/</v>
      </c>
      <c r="F2798" t="s">
        <v>16912</v>
      </c>
      <c r="G2798" t="s">
        <v>2478</v>
      </c>
      <c r="H2798">
        <v>135</v>
      </c>
      <c r="I2798" t="s">
        <v>2479</v>
      </c>
      <c r="J2798">
        <v>2</v>
      </c>
      <c r="K2798">
        <v>56</v>
      </c>
      <c r="L2798">
        <v>58</v>
      </c>
      <c r="Q2798">
        <v>0</v>
      </c>
      <c r="R2798">
        <v>0</v>
      </c>
      <c r="S2798">
        <v>58</v>
      </c>
      <c r="T2798" t="s">
        <v>16913</v>
      </c>
      <c r="V2798" t="s">
        <v>2264</v>
      </c>
      <c r="W2798">
        <v>39.567824923769003</v>
      </c>
      <c r="X2798">
        <v>2.6461382076240998</v>
      </c>
      <c r="Y2798" t="s">
        <v>16914</v>
      </c>
      <c r="Z2798" t="s">
        <v>12014</v>
      </c>
      <c r="AA2798" t="s">
        <v>3936</v>
      </c>
      <c r="AB2798" t="s">
        <v>16915</v>
      </c>
      <c r="AC2798" t="s">
        <v>2497</v>
      </c>
      <c r="AD2798" s="249" t="str">
        <f>HYPERLINK("https://scontent.cdninstagram.com/t51.2885-15/s320x320/e35/21107313_1813874795292757_2876832789225799680_n.jpg")</f>
        <v>https://scontent.cdninstagram.com/t51.2885-15/s320x320/e35/21107313_1813874795292757_2876832789225799680_n.jpg</v>
      </c>
      <c r="AE2798" s="249" t="str">
        <f>HYPERLINK("https://scontent.cdninstagram.com/t51.2885-19/s150x150/20482035_112038562790016_6147578151816921088_a.jpg")</f>
        <v>https://scontent.cdninstagram.com/t51.2885-19/s150x150/20482035_112038562790016_6147578151816921088_a.jpg</v>
      </c>
    </row>
    <row r="2799" spans="1:31" ht="15" x14ac:dyDescent="0.25">
      <c r="A2799" t="s">
        <v>2474</v>
      </c>
      <c r="B2799" t="s">
        <v>10388</v>
      </c>
      <c r="C2799" s="221">
        <v>42972.575185185182</v>
      </c>
      <c r="D2799" t="s">
        <v>16916</v>
      </c>
      <c r="E2799" s="249" t="str">
        <f>HYPERLINK("https://www.instagram.com/p/BYOchLnH8em/")</f>
        <v>https://www.instagram.com/p/BYOchLnH8em/</v>
      </c>
      <c r="F2799" t="s">
        <v>16917</v>
      </c>
      <c r="G2799" t="s">
        <v>2478</v>
      </c>
      <c r="H2799">
        <v>270</v>
      </c>
      <c r="I2799" t="s">
        <v>2542</v>
      </c>
      <c r="J2799">
        <v>3</v>
      </c>
      <c r="K2799">
        <v>25</v>
      </c>
      <c r="L2799">
        <v>28</v>
      </c>
      <c r="Q2799">
        <v>0</v>
      </c>
      <c r="R2799">
        <v>0</v>
      </c>
      <c r="S2799">
        <v>28</v>
      </c>
      <c r="Y2799" t="s">
        <v>3440</v>
      </c>
      <c r="Z2799" t="s">
        <v>16918</v>
      </c>
      <c r="AA2799" t="s">
        <v>16919</v>
      </c>
      <c r="AB2799" t="s">
        <v>9108</v>
      </c>
      <c r="AC2799" t="s">
        <v>16920</v>
      </c>
      <c r="AD2799" s="249" t="str">
        <f>HYPERLINK("https://scontent.cdninstagram.com/t51.2885-15/e35/21042867_121097351877166_5550335130804944896_n.jpg")</f>
        <v>https://scontent.cdninstagram.com/t51.2885-15/e35/21042867_121097351877166_5550335130804944896_n.jpg</v>
      </c>
      <c r="AE2799" s="249" t="str">
        <f>HYPERLINK("https://scontent.cdninstagram.com/t51.2885-19/s150x150/16463995_246291615824475_7975629800519761920_a.jpg")</f>
        <v>https://scontent.cdninstagram.com/t51.2885-19/s150x150/16463995_246291615824475_7975629800519761920_a.jpg</v>
      </c>
    </row>
    <row r="2800" spans="1:31" ht="15" x14ac:dyDescent="0.25">
      <c r="A2800" t="s">
        <v>2474</v>
      </c>
      <c r="B2800" t="s">
        <v>2907</v>
      </c>
      <c r="C2800" s="221">
        <v>42972.577187499999</v>
      </c>
      <c r="D2800" t="s">
        <v>16921</v>
      </c>
      <c r="E2800" s="249" t="str">
        <f>HYPERLINK("https://www.instagram.com/p/BYOc2VdgZJJ/")</f>
        <v>https://www.instagram.com/p/BYOc2VdgZJJ/</v>
      </c>
      <c r="F2800" t="s">
        <v>16922</v>
      </c>
      <c r="G2800" t="s">
        <v>2631</v>
      </c>
      <c r="H2800">
        <v>80</v>
      </c>
      <c r="I2800" t="s">
        <v>2599</v>
      </c>
      <c r="J2800">
        <v>0</v>
      </c>
      <c r="K2800">
        <v>23</v>
      </c>
      <c r="L2800">
        <v>23</v>
      </c>
      <c r="Q2800">
        <v>0</v>
      </c>
      <c r="R2800">
        <v>0</v>
      </c>
      <c r="S2800">
        <v>23</v>
      </c>
      <c r="Y2800" t="s">
        <v>16923</v>
      </c>
      <c r="Z2800" t="s">
        <v>2497</v>
      </c>
      <c r="AA2800" t="s">
        <v>15861</v>
      </c>
      <c r="AB2800" t="s">
        <v>8587</v>
      </c>
      <c r="AC2800" t="s">
        <v>2913</v>
      </c>
      <c r="AD2800" s="249" t="str">
        <f>HYPERLINK("https://scontent.cdninstagram.com/t51.2885-15/e15/p320x320/20987408_342496462862795_4719402445296369664_n.jpg")</f>
        <v>https://scontent.cdninstagram.com/t51.2885-15/e15/p320x320/20987408_342496462862795_4719402445296369664_n.jpg</v>
      </c>
      <c r="AE2800" s="249" t="str">
        <f>HYPERLINK("https://scontent.cdninstagram.com/t51.2885-19/s150x150/12357630_513986308780959_401409989_a.jpg")</f>
        <v>https://scontent.cdninstagram.com/t51.2885-19/s150x150/12357630_513986308780959_401409989_a.jpg</v>
      </c>
    </row>
    <row r="2801" spans="1:31" ht="15" x14ac:dyDescent="0.25">
      <c r="A2801" t="s">
        <v>2474</v>
      </c>
      <c r="B2801" t="s">
        <v>16924</v>
      </c>
      <c r="C2801" s="221">
        <v>42972.577465277776</v>
      </c>
      <c r="D2801" t="s">
        <v>16925</v>
      </c>
      <c r="E2801" s="249" t="str">
        <f>HYPERLINK("https://www.instagram.com/p/BYOc5MpHKb6/")</f>
        <v>https://www.instagram.com/p/BYOc5MpHKb6/</v>
      </c>
      <c r="F2801" t="s">
        <v>16926</v>
      </c>
      <c r="G2801" t="s">
        <v>2478</v>
      </c>
      <c r="H2801">
        <v>369</v>
      </c>
      <c r="I2801" t="s">
        <v>2542</v>
      </c>
      <c r="J2801">
        <v>4</v>
      </c>
      <c r="K2801">
        <v>102</v>
      </c>
      <c r="L2801">
        <v>106</v>
      </c>
      <c r="Q2801">
        <v>0</v>
      </c>
      <c r="R2801">
        <v>0</v>
      </c>
      <c r="S2801">
        <v>106</v>
      </c>
      <c r="T2801" t="s">
        <v>16927</v>
      </c>
      <c r="V2801" t="s">
        <v>2276</v>
      </c>
      <c r="W2801">
        <v>7.8611111111111001</v>
      </c>
      <c r="X2801">
        <v>98.291666666666998</v>
      </c>
      <c r="Y2801" t="s">
        <v>16928</v>
      </c>
      <c r="Z2801" t="s">
        <v>16929</v>
      </c>
      <c r="AA2801" t="s">
        <v>11834</v>
      </c>
      <c r="AB2801" t="s">
        <v>2497</v>
      </c>
      <c r="AC2801" t="s">
        <v>4645</v>
      </c>
      <c r="AD2801" s="249" t="str">
        <f>HYPERLINK("https://scontent.cdninstagram.com/t51.2885-15/s320x320/e35/21041255_1572596289496885_1125797523412221952_n.jpg")</f>
        <v>https://scontent.cdninstagram.com/t51.2885-15/s320x320/e35/21041255_1572596289496885_1125797523412221952_n.jpg</v>
      </c>
      <c r="AE2801" s="249" t="str">
        <f>HYPERLINK("https://scontent.cdninstagram.com/t51.2885-19/s150x150/20905202_134789933791146_1109142409037479936_a.jpg")</f>
        <v>https://scontent.cdninstagram.com/t51.2885-19/s150x150/20905202_134789933791146_1109142409037479936_a.jpg</v>
      </c>
    </row>
    <row r="2802" spans="1:31" ht="15" x14ac:dyDescent="0.25">
      <c r="A2802" t="s">
        <v>2474</v>
      </c>
      <c r="B2802" t="s">
        <v>16930</v>
      </c>
      <c r="C2802" s="221">
        <v>42972.577777777777</v>
      </c>
      <c r="D2802" t="s">
        <v>16931</v>
      </c>
      <c r="E2802" s="249" t="str">
        <f>HYPERLINK("https://www.instagram.com/p/BYOc8dtDlft/")</f>
        <v>https://www.instagram.com/p/BYOc8dtDlft/</v>
      </c>
      <c r="F2802" t="s">
        <v>16932</v>
      </c>
      <c r="G2802" t="s">
        <v>2478</v>
      </c>
      <c r="H2802">
        <v>468</v>
      </c>
      <c r="I2802" t="s">
        <v>2479</v>
      </c>
      <c r="J2802">
        <v>1</v>
      </c>
      <c r="K2802">
        <v>20</v>
      </c>
      <c r="L2802">
        <v>21</v>
      </c>
      <c r="Q2802">
        <v>0</v>
      </c>
      <c r="R2802">
        <v>0</v>
      </c>
      <c r="S2802">
        <v>21</v>
      </c>
      <c r="Y2802" t="s">
        <v>16933</v>
      </c>
      <c r="Z2802" t="s">
        <v>2497</v>
      </c>
      <c r="AA2802" t="s">
        <v>16934</v>
      </c>
      <c r="AB2802" t="s">
        <v>16935</v>
      </c>
      <c r="AC2802" t="s">
        <v>5765</v>
      </c>
      <c r="AD2802" s="249" t="str">
        <f>HYPERLINK("https://scontent.cdninstagram.com/t51.2885-15/s320x320/e35/c0.120.1080.1080/21147455_127648337871883_4383916635635843072_n.jpg")</f>
        <v>https://scontent.cdninstagram.com/t51.2885-15/s320x320/e35/c0.120.1080.1080/21147455_127648337871883_4383916635635843072_n.jpg</v>
      </c>
      <c r="AE2802" s="249" t="str">
        <f>HYPERLINK("https://scontent.cdninstagram.com/t51.2885-19/s150x150/19955140_847279222103478_1747453082700087296_a.jpg")</f>
        <v>https://scontent.cdninstagram.com/t51.2885-19/s150x150/19955140_847279222103478_1747453082700087296_a.jpg</v>
      </c>
    </row>
    <row r="2803" spans="1:31" ht="15" x14ac:dyDescent="0.25">
      <c r="A2803" t="s">
        <v>2474</v>
      </c>
      <c r="B2803" t="s">
        <v>2924</v>
      </c>
      <c r="C2803" s="221">
        <v>42972.580763888887</v>
      </c>
      <c r="D2803" t="s">
        <v>16936</v>
      </c>
      <c r="E2803" s="249" t="str">
        <f>HYPERLINK("https://www.instagram.com/p/BYOdcA5FlUh/")</f>
        <v>https://www.instagram.com/p/BYOdcA5FlUh/</v>
      </c>
      <c r="F2803" t="s">
        <v>16937</v>
      </c>
      <c r="G2803" t="s">
        <v>2478</v>
      </c>
      <c r="H2803">
        <v>240</v>
      </c>
      <c r="I2803" t="s">
        <v>2786</v>
      </c>
      <c r="J2803">
        <v>1</v>
      </c>
      <c r="K2803">
        <v>20</v>
      </c>
      <c r="L2803">
        <v>21</v>
      </c>
      <c r="Q2803">
        <v>0</v>
      </c>
      <c r="R2803">
        <v>0</v>
      </c>
      <c r="S2803">
        <v>21</v>
      </c>
      <c r="T2803" t="s">
        <v>16938</v>
      </c>
      <c r="V2803" t="s">
        <v>2110</v>
      </c>
      <c r="W2803">
        <v>51.034408059980997</v>
      </c>
      <c r="X2803">
        <v>2.8695766169826999</v>
      </c>
      <c r="Y2803" t="s">
        <v>16939</v>
      </c>
      <c r="Z2803" t="s">
        <v>8793</v>
      </c>
      <c r="AA2803" t="s">
        <v>16940</v>
      </c>
      <c r="AB2803" t="s">
        <v>2497</v>
      </c>
      <c r="AC2803" t="s">
        <v>16941</v>
      </c>
      <c r="AD2803" s="249" t="str">
        <f>HYPERLINK("https://scontent.cdninstagram.com/t51.2885-15/s320x320/e35/21148159_1767091753590515_2011283315851526144_n.jpg")</f>
        <v>https://scontent.cdninstagram.com/t51.2885-15/s320x320/e35/21148159_1767091753590515_2011283315851526144_n.jpg</v>
      </c>
      <c r="AE2803" s="249" t="str">
        <f>HYPERLINK("https://scontent.cdninstagram.com/t51.2885-19/s150x150/18253021_1975853552636836_8547343157967192064_a.jpg")</f>
        <v>https://scontent.cdninstagram.com/t51.2885-19/s150x150/18253021_1975853552636836_8547343157967192064_a.jpg</v>
      </c>
    </row>
    <row r="2804" spans="1:31" ht="15" x14ac:dyDescent="0.25">
      <c r="A2804" t="s">
        <v>2474</v>
      </c>
      <c r="B2804" t="s">
        <v>16942</v>
      </c>
      <c r="C2804" s="221">
        <v>42972.58326388889</v>
      </c>
      <c r="D2804" t="s">
        <v>16943</v>
      </c>
      <c r="E2804" s="249" t="str">
        <f>HYPERLINK("https://www.instagram.com/p/BYOd2XLhrIy/")</f>
        <v>https://www.instagram.com/p/BYOd2XLhrIy/</v>
      </c>
      <c r="F2804" t="s">
        <v>16944</v>
      </c>
      <c r="G2804" t="s">
        <v>2478</v>
      </c>
      <c r="H2804">
        <v>295</v>
      </c>
      <c r="I2804" t="s">
        <v>2479</v>
      </c>
      <c r="J2804">
        <v>1</v>
      </c>
      <c r="K2804">
        <v>58</v>
      </c>
      <c r="L2804">
        <v>59</v>
      </c>
      <c r="Q2804">
        <v>0</v>
      </c>
      <c r="R2804">
        <v>0</v>
      </c>
      <c r="S2804">
        <v>59</v>
      </c>
      <c r="Y2804" t="s">
        <v>16945</v>
      </c>
      <c r="Z2804" t="s">
        <v>16946</v>
      </c>
      <c r="AA2804" t="s">
        <v>4273</v>
      </c>
      <c r="AB2804" t="s">
        <v>16947</v>
      </c>
      <c r="AC2804" t="s">
        <v>16948</v>
      </c>
      <c r="AD2804" s="249" t="str">
        <f>HYPERLINK("https://scontent.cdninstagram.com/t51.2885-15/s320x320/e35/21041695_338423319934197_4300981500049883136_n.jpg")</f>
        <v>https://scontent.cdninstagram.com/t51.2885-15/s320x320/e35/21041695_338423319934197_4300981500049883136_n.jpg</v>
      </c>
      <c r="AE2804" s="249" t="str">
        <f>HYPERLINK("https://scontent.cdninstagram.com/t51.2885-19/s150x150/14714510_613641322149847_8405325060688052224_a.jpg")</f>
        <v>https://scontent.cdninstagram.com/t51.2885-19/s150x150/14714510_613641322149847_8405325060688052224_a.jpg</v>
      </c>
    </row>
    <row r="2805" spans="1:31" ht="15" x14ac:dyDescent="0.25">
      <c r="A2805" t="s">
        <v>2474</v>
      </c>
      <c r="B2805" t="s">
        <v>12673</v>
      </c>
      <c r="C2805" s="221">
        <v>42972.585486111115</v>
      </c>
      <c r="D2805" t="s">
        <v>16949</v>
      </c>
      <c r="E2805" s="249" t="str">
        <f>HYPERLINK("https://www.instagram.com/p/BYOeNw9Fgdj/")</f>
        <v>https://www.instagram.com/p/BYOeNw9Fgdj/</v>
      </c>
      <c r="F2805" t="s">
        <v>16950</v>
      </c>
      <c r="G2805" t="s">
        <v>2478</v>
      </c>
      <c r="H2805">
        <v>716</v>
      </c>
      <c r="I2805" t="s">
        <v>2479</v>
      </c>
      <c r="J2805">
        <v>7</v>
      </c>
      <c r="K2805">
        <v>76</v>
      </c>
      <c r="L2805">
        <v>83</v>
      </c>
      <c r="Q2805">
        <v>0</v>
      </c>
      <c r="R2805">
        <v>0</v>
      </c>
      <c r="S2805">
        <v>83</v>
      </c>
      <c r="Y2805" t="s">
        <v>16951</v>
      </c>
      <c r="Z2805" t="s">
        <v>16952</v>
      </c>
      <c r="AA2805" t="s">
        <v>16953</v>
      </c>
      <c r="AB2805" t="s">
        <v>2497</v>
      </c>
      <c r="AC2805" t="s">
        <v>16954</v>
      </c>
      <c r="AD2805" s="249" t="str">
        <f>HYPERLINK("https://scontent.cdninstagram.com/t51.2885-15/s320x320/e35/21107698_113015596054048_2866822221186203648_n.jpg")</f>
        <v>https://scontent.cdninstagram.com/t51.2885-15/s320x320/e35/21107698_113015596054048_2866822221186203648_n.jpg</v>
      </c>
      <c r="AE2805" s="249" t="str">
        <f>HYPERLINK("https://scontent.cdninstagram.com/t51.2885-19/11055507_655092797969829_608773430_a.jpg")</f>
        <v>https://scontent.cdninstagram.com/t51.2885-19/11055507_655092797969829_608773430_a.jpg</v>
      </c>
    </row>
    <row r="2806" spans="1:31" ht="15" x14ac:dyDescent="0.25">
      <c r="A2806" t="s">
        <v>2474</v>
      </c>
      <c r="B2806" t="s">
        <v>16955</v>
      </c>
      <c r="C2806" s="221">
        <v>42972.587511574071</v>
      </c>
      <c r="D2806" t="s">
        <v>16956</v>
      </c>
      <c r="E2806" s="249" t="str">
        <f>HYPERLINK("https://www.instagram.com/p/BYOejI5lHZX/")</f>
        <v>https://www.instagram.com/p/BYOejI5lHZX/</v>
      </c>
      <c r="F2806" t="s">
        <v>16957</v>
      </c>
      <c r="G2806" t="s">
        <v>2478</v>
      </c>
      <c r="H2806">
        <v>653</v>
      </c>
      <c r="I2806" t="s">
        <v>2479</v>
      </c>
      <c r="J2806">
        <v>1</v>
      </c>
      <c r="K2806">
        <v>38</v>
      </c>
      <c r="L2806">
        <v>39</v>
      </c>
      <c r="Q2806">
        <v>0</v>
      </c>
      <c r="R2806">
        <v>0</v>
      </c>
      <c r="S2806">
        <v>39</v>
      </c>
      <c r="Y2806" t="s">
        <v>16958</v>
      </c>
      <c r="Z2806" t="s">
        <v>16959</v>
      </c>
      <c r="AA2806" t="s">
        <v>3535</v>
      </c>
      <c r="AB2806" t="s">
        <v>2497</v>
      </c>
      <c r="AC2806" t="s">
        <v>5168</v>
      </c>
      <c r="AD2806" s="249" t="str">
        <f>HYPERLINK("https://scontent.cdninstagram.com/t51.2885-15/s320x320/e35/20987585_843308519162670_5847247371028660224_n.jpg")</f>
        <v>https://scontent.cdninstagram.com/t51.2885-15/s320x320/e35/20987585_843308519162670_5847247371028660224_n.jpg</v>
      </c>
      <c r="AE2806" s="249" t="str">
        <f>HYPERLINK("https://scontent.cdninstagram.com/t51.2885-19/s150x150/19227780_1912568222349946_5786506466059878400_a.jpg")</f>
        <v>https://scontent.cdninstagram.com/t51.2885-19/s150x150/19227780_1912568222349946_5786506466059878400_a.jpg</v>
      </c>
    </row>
    <row r="2807" spans="1:31" ht="15" x14ac:dyDescent="0.25">
      <c r="A2807" t="s">
        <v>2474</v>
      </c>
      <c r="B2807" t="s">
        <v>16960</v>
      </c>
      <c r="C2807" s="221">
        <v>42972.589247685188</v>
      </c>
      <c r="D2807" t="s">
        <v>16961</v>
      </c>
      <c r="E2807" s="249" t="str">
        <f>HYPERLINK("https://www.instagram.com/p/BYOe1eRFlCg/")</f>
        <v>https://www.instagram.com/p/BYOe1eRFlCg/</v>
      </c>
      <c r="F2807" t="s">
        <v>16962</v>
      </c>
      <c r="G2807" t="s">
        <v>2478</v>
      </c>
      <c r="H2807">
        <v>483</v>
      </c>
      <c r="I2807" t="s">
        <v>2479</v>
      </c>
      <c r="J2807">
        <v>4</v>
      </c>
      <c r="K2807">
        <v>38</v>
      </c>
      <c r="L2807">
        <v>42</v>
      </c>
      <c r="Q2807">
        <v>0</v>
      </c>
      <c r="R2807">
        <v>0</v>
      </c>
      <c r="S2807">
        <v>42</v>
      </c>
      <c r="Y2807" t="s">
        <v>3225</v>
      </c>
      <c r="Z2807" t="s">
        <v>4154</v>
      </c>
      <c r="AA2807" t="s">
        <v>2497</v>
      </c>
      <c r="AB2807" t="s">
        <v>16963</v>
      </c>
      <c r="AD2807" s="249" t="str">
        <f>HYPERLINK("https://scontent.cdninstagram.com/t51.2885-15/s320x320/e35/21041120_1955993314683210_6509511910524715008_n.jpg")</f>
        <v>https://scontent.cdninstagram.com/t51.2885-15/s320x320/e35/21041120_1955993314683210_6509511910524715008_n.jpg</v>
      </c>
      <c r="AE2807" s="249" t="str">
        <f>HYPERLINK("https://scontent.cdninstagram.com/t51.2885-19/s150x150/19424730_1808616326119226_3824103601773477888_a.jpg")</f>
        <v>https://scontent.cdninstagram.com/t51.2885-19/s150x150/19424730_1808616326119226_3824103601773477888_a.jpg</v>
      </c>
    </row>
    <row r="2808" spans="1:31" ht="15" x14ac:dyDescent="0.25">
      <c r="A2808" t="s">
        <v>2474</v>
      </c>
      <c r="B2808" t="s">
        <v>16964</v>
      </c>
      <c r="C2808" s="221">
        <v>42972.593310185184</v>
      </c>
      <c r="D2808" t="s">
        <v>16965</v>
      </c>
      <c r="E2808" s="249" t="str">
        <f>HYPERLINK("https://www.instagram.com/p/BYOfgW-FKHc/")</f>
        <v>https://www.instagram.com/p/BYOfgW-FKHc/</v>
      </c>
      <c r="F2808" t="s">
        <v>16966</v>
      </c>
      <c r="G2808" t="s">
        <v>2478</v>
      </c>
      <c r="H2808">
        <v>834</v>
      </c>
      <c r="I2808" t="s">
        <v>2479</v>
      </c>
      <c r="J2808">
        <v>2</v>
      </c>
      <c r="K2808">
        <v>29</v>
      </c>
      <c r="L2808">
        <v>31</v>
      </c>
      <c r="Q2808">
        <v>0</v>
      </c>
      <c r="R2808">
        <v>0</v>
      </c>
      <c r="S2808">
        <v>31</v>
      </c>
      <c r="T2808" t="s">
        <v>16967</v>
      </c>
      <c r="U2808" t="s">
        <v>150</v>
      </c>
      <c r="V2808" t="s">
        <v>2299</v>
      </c>
      <c r="W2808">
        <v>39.076300000000003</v>
      </c>
      <c r="X2808">
        <v>-94.555400000000006</v>
      </c>
      <c r="Y2808" t="s">
        <v>2547</v>
      </c>
      <c r="Z2808" t="s">
        <v>2968</v>
      </c>
      <c r="AA2808" t="s">
        <v>2734</v>
      </c>
      <c r="AB2808" t="s">
        <v>2497</v>
      </c>
      <c r="AC2808" t="s">
        <v>11049</v>
      </c>
      <c r="AD2808" s="249" t="str">
        <f>HYPERLINK("https://scontent.cdninstagram.com/t51.2885-15/s320x320/e35/21041919_2007607832784297_7204337967186313216_n.jpg")</f>
        <v>https://scontent.cdninstagram.com/t51.2885-15/s320x320/e35/21041919_2007607832784297_7204337967186313216_n.jpg</v>
      </c>
      <c r="AE2808" s="249" t="str">
        <f>HYPERLINK("https://scontent.cdninstagram.com/t51.2885-19/s150x150/19622928_335587236874508_7230325667538141184_a.jpg")</f>
        <v>https://scontent.cdninstagram.com/t51.2885-19/s150x150/19622928_335587236874508_7230325667538141184_a.jpg</v>
      </c>
    </row>
    <row r="2809" spans="1:31" ht="15" x14ac:dyDescent="0.25">
      <c r="A2809" t="s">
        <v>2474</v>
      </c>
      <c r="B2809" t="s">
        <v>16968</v>
      </c>
      <c r="C2809" s="221">
        <v>42972.597303240742</v>
      </c>
      <c r="D2809" t="s">
        <v>16969</v>
      </c>
      <c r="E2809" s="249" t="str">
        <f>HYPERLINK("https://www.instagram.com/p/BYOgKd5Blyv/")</f>
        <v>https://www.instagram.com/p/BYOgKd5Blyv/</v>
      </c>
      <c r="F2809" t="s">
        <v>16970</v>
      </c>
      <c r="G2809" t="s">
        <v>2478</v>
      </c>
      <c r="H2809">
        <v>131</v>
      </c>
      <c r="I2809" t="s">
        <v>2479</v>
      </c>
      <c r="J2809">
        <v>1</v>
      </c>
      <c r="K2809">
        <v>20</v>
      </c>
      <c r="L2809">
        <v>21</v>
      </c>
      <c r="Q2809">
        <v>0</v>
      </c>
      <c r="R2809">
        <v>0</v>
      </c>
      <c r="S2809">
        <v>21</v>
      </c>
      <c r="Y2809" t="s">
        <v>12064</v>
      </c>
      <c r="Z2809" t="s">
        <v>5625</v>
      </c>
      <c r="AA2809" t="s">
        <v>2497</v>
      </c>
      <c r="AB2809" t="s">
        <v>6724</v>
      </c>
      <c r="AC2809" t="s">
        <v>11642</v>
      </c>
      <c r="AD2809" s="249" t="str">
        <f>HYPERLINK("https://scontent.cdninstagram.com/t51.2885-15/s320x320/e35/20987586_695917773927959_8000011045663932416_n.jpg")</f>
        <v>https://scontent.cdninstagram.com/t51.2885-15/s320x320/e35/20987586_695917773927959_8000011045663932416_n.jpg</v>
      </c>
      <c r="AE2809" s="249" t="str">
        <f>HYPERLINK("https://scontent.cdninstagram.com/t51.2885-19/s150x150/15624691_1173943019380619_5899728680225079296_a.jpg")</f>
        <v>https://scontent.cdninstagram.com/t51.2885-19/s150x150/15624691_1173943019380619_5899728680225079296_a.jpg</v>
      </c>
    </row>
    <row r="2810" spans="1:31" ht="15" x14ac:dyDescent="0.25">
      <c r="A2810" t="s">
        <v>2474</v>
      </c>
      <c r="B2810" t="s">
        <v>16971</v>
      </c>
      <c r="C2810" s="221">
        <v>42972.598414351851</v>
      </c>
      <c r="D2810" t="s">
        <v>16972</v>
      </c>
      <c r="E2810" s="249" t="str">
        <f>HYPERLINK("https://www.instagram.com/p/BYOgWMgFxoO/")</f>
        <v>https://www.instagram.com/p/BYOgWMgFxoO/</v>
      </c>
      <c r="F2810" t="s">
        <v>16973</v>
      </c>
      <c r="G2810" t="s">
        <v>2478</v>
      </c>
      <c r="H2810">
        <v>137</v>
      </c>
      <c r="I2810" t="s">
        <v>5670</v>
      </c>
      <c r="J2810">
        <v>0</v>
      </c>
      <c r="K2810">
        <v>21</v>
      </c>
      <c r="L2810">
        <v>21</v>
      </c>
      <c r="Q2810">
        <v>0</v>
      </c>
      <c r="R2810">
        <v>0</v>
      </c>
      <c r="S2810">
        <v>21</v>
      </c>
      <c r="Y2810" t="s">
        <v>4513</v>
      </c>
      <c r="Z2810" t="s">
        <v>3655</v>
      </c>
      <c r="AA2810" t="s">
        <v>16974</v>
      </c>
      <c r="AB2810" t="s">
        <v>2551</v>
      </c>
      <c r="AC2810" t="s">
        <v>16975</v>
      </c>
      <c r="AD2810" s="249" t="str">
        <f>HYPERLINK("https://scontent.cdninstagram.com/t51.2885-15/s320x320/e35/21149042_700328426837607_6364165531418755072_n.jpg")</f>
        <v>https://scontent.cdninstagram.com/t51.2885-15/s320x320/e35/21149042_700328426837607_6364165531418755072_n.jpg</v>
      </c>
      <c r="AE2810" s="249" t="str">
        <f>HYPERLINK("https://scontent.cdninstagram.com/t51.2885-19/s150x150/14240489_1155230404547915_2019215760_a.jpg")</f>
        <v>https://scontent.cdninstagram.com/t51.2885-19/s150x150/14240489_1155230404547915_2019215760_a.jpg</v>
      </c>
    </row>
    <row r="2811" spans="1:31" ht="15" x14ac:dyDescent="0.25">
      <c r="A2811" t="s">
        <v>2474</v>
      </c>
      <c r="B2811" t="s">
        <v>6166</v>
      </c>
      <c r="C2811" s="221">
        <v>42972.599976851852</v>
      </c>
      <c r="D2811" t="s">
        <v>16976</v>
      </c>
      <c r="E2811" s="249" t="str">
        <f>HYPERLINK("https://www.instagram.com/p/BYOgmsaDhaV/")</f>
        <v>https://www.instagram.com/p/BYOgmsaDhaV/</v>
      </c>
      <c r="F2811" t="s">
        <v>16977</v>
      </c>
      <c r="G2811" t="s">
        <v>2478</v>
      </c>
      <c r="H2811">
        <v>229</v>
      </c>
      <c r="I2811" t="s">
        <v>2479</v>
      </c>
      <c r="J2811">
        <v>1</v>
      </c>
      <c r="K2811">
        <v>23</v>
      </c>
      <c r="L2811">
        <v>24</v>
      </c>
      <c r="Q2811">
        <v>0</v>
      </c>
      <c r="R2811">
        <v>0</v>
      </c>
      <c r="S2811">
        <v>24</v>
      </c>
      <c r="Y2811" t="s">
        <v>16978</v>
      </c>
      <c r="Z2811" t="s">
        <v>6171</v>
      </c>
      <c r="AA2811" t="s">
        <v>6169</v>
      </c>
      <c r="AB2811" t="s">
        <v>11952</v>
      </c>
      <c r="AC2811" t="s">
        <v>16979</v>
      </c>
      <c r="AD2811" s="249" t="str">
        <f>HYPERLINK("https://scontent.cdninstagram.com/t51.2885-15/s320x320/e35/21041492_481940798852887_771388448622772224_n.jpg")</f>
        <v>https://scontent.cdninstagram.com/t51.2885-15/s320x320/e35/21041492_481940798852887_771388448622772224_n.jpg</v>
      </c>
      <c r="AE2811" s="249" t="str">
        <f>HYPERLINK("https://scontent.cdninstagram.com/t51.2885-19/s150x150/21149186_128265911142708_5140581481101393920_a.jpg")</f>
        <v>https://scontent.cdninstagram.com/t51.2885-19/s150x150/21149186_128265911142708_5140581481101393920_a.jpg</v>
      </c>
    </row>
    <row r="2812" spans="1:31" ht="15" x14ac:dyDescent="0.25">
      <c r="A2812" t="s">
        <v>2474</v>
      </c>
      <c r="B2812" t="s">
        <v>16980</v>
      </c>
      <c r="C2812" s="221">
        <v>42972.60255787037</v>
      </c>
      <c r="D2812" t="s">
        <v>16981</v>
      </c>
      <c r="E2812" s="249" t="str">
        <f>HYPERLINK("https://www.instagram.com/p/BYOhB5Eh8T2/")</f>
        <v>https://www.instagram.com/p/BYOhB5Eh8T2/</v>
      </c>
      <c r="F2812" t="s">
        <v>16982</v>
      </c>
      <c r="G2812" t="s">
        <v>2478</v>
      </c>
      <c r="H2812">
        <v>75</v>
      </c>
      <c r="I2812" t="s">
        <v>2910</v>
      </c>
      <c r="J2812">
        <v>0</v>
      </c>
      <c r="K2812">
        <v>37</v>
      </c>
      <c r="L2812">
        <v>37</v>
      </c>
      <c r="Q2812">
        <v>0</v>
      </c>
      <c r="R2812">
        <v>0</v>
      </c>
      <c r="S2812">
        <v>37</v>
      </c>
      <c r="T2812" t="s">
        <v>16983</v>
      </c>
      <c r="U2812" t="s">
        <v>97</v>
      </c>
      <c r="V2812" t="s">
        <v>2299</v>
      </c>
      <c r="W2812">
        <v>34.136417216661002</v>
      </c>
      <c r="X2812">
        <v>-118.35336765309</v>
      </c>
      <c r="Y2812" t="s">
        <v>11206</v>
      </c>
      <c r="Z2812" t="s">
        <v>2497</v>
      </c>
      <c r="AA2812" t="s">
        <v>6294</v>
      </c>
      <c r="AB2812" t="s">
        <v>16984</v>
      </c>
      <c r="AC2812" t="s">
        <v>9091</v>
      </c>
      <c r="AD2812" s="249" t="str">
        <f>HYPERLINK("https://scontent.cdninstagram.com/t51.2885-15/s320x320/e15/21042324_126770587954731_7315355982660370432_n.jpg")</f>
        <v>https://scontent.cdninstagram.com/t51.2885-15/s320x320/e15/21042324_126770587954731_7315355982660370432_n.jpg</v>
      </c>
      <c r="AE2812" s="249" t="str">
        <f>HYPERLINK("https://scontent.cdninstagram.com/t51.2885-19/s150x150/17662838_1488900077846637_6510729130026205184_a.jpg")</f>
        <v>https://scontent.cdninstagram.com/t51.2885-19/s150x150/17662838_1488900077846637_6510729130026205184_a.jpg</v>
      </c>
    </row>
    <row r="2813" spans="1:31" ht="15" x14ac:dyDescent="0.25">
      <c r="A2813" t="s">
        <v>2474</v>
      </c>
      <c r="B2813" t="s">
        <v>15182</v>
      </c>
      <c r="C2813" s="221">
        <v>42972.603472222225</v>
      </c>
      <c r="D2813" t="s">
        <v>16985</v>
      </c>
      <c r="E2813" s="249" t="str">
        <f>HYPERLINK("https://www.instagram.com/p/BYOhLg4gq3T/")</f>
        <v>https://www.instagram.com/p/BYOhLg4gq3T/</v>
      </c>
      <c r="F2813" t="s">
        <v>16986</v>
      </c>
      <c r="G2813" t="s">
        <v>2478</v>
      </c>
      <c r="H2813">
        <v>737</v>
      </c>
      <c r="I2813" t="s">
        <v>2479</v>
      </c>
      <c r="J2813">
        <v>4</v>
      </c>
      <c r="K2813">
        <v>60</v>
      </c>
      <c r="L2813">
        <v>64</v>
      </c>
      <c r="Q2813">
        <v>0</v>
      </c>
      <c r="R2813">
        <v>0</v>
      </c>
      <c r="S2813">
        <v>64</v>
      </c>
      <c r="Y2813" t="s">
        <v>16987</v>
      </c>
      <c r="Z2813" t="s">
        <v>16988</v>
      </c>
      <c r="AA2813" t="s">
        <v>16989</v>
      </c>
      <c r="AB2813" t="s">
        <v>2497</v>
      </c>
      <c r="AC2813" t="s">
        <v>15187</v>
      </c>
      <c r="AD2813" s="249" t="str">
        <f>HYPERLINK("https://scontent.cdninstagram.com/t51.2885-15/s320x320/e15/21041359_111506406209300_5476986289209212928_n.jpg")</f>
        <v>https://scontent.cdninstagram.com/t51.2885-15/s320x320/e15/21041359_111506406209300_5476986289209212928_n.jpg</v>
      </c>
      <c r="AE2813" s="249" t="str">
        <f>HYPERLINK("https://scontent.cdninstagram.com/t51.2885-19/s150x150/18513619_1254348571345625_691913201251516416_a.jpg")</f>
        <v>https://scontent.cdninstagram.com/t51.2885-19/s150x150/18513619_1254348571345625_691913201251516416_a.jpg</v>
      </c>
    </row>
    <row r="2814" spans="1:31" ht="15" x14ac:dyDescent="0.25">
      <c r="A2814" t="s">
        <v>2474</v>
      </c>
      <c r="B2814" t="s">
        <v>15842</v>
      </c>
      <c r="C2814" s="221">
        <v>42972.604537037034</v>
      </c>
      <c r="D2814" t="s">
        <v>16990</v>
      </c>
      <c r="E2814" s="249" t="str">
        <f>HYPERLINK("https://www.instagram.com/p/BYOhWtjBcKI/")</f>
        <v>https://www.instagram.com/p/BYOhWtjBcKI/</v>
      </c>
      <c r="F2814" t="s">
        <v>16991</v>
      </c>
      <c r="G2814" t="s">
        <v>2478</v>
      </c>
      <c r="H2814">
        <v>410</v>
      </c>
      <c r="I2814" t="s">
        <v>2927</v>
      </c>
      <c r="J2814">
        <v>1</v>
      </c>
      <c r="K2814">
        <v>58</v>
      </c>
      <c r="L2814">
        <v>59</v>
      </c>
      <c r="Q2814">
        <v>0</v>
      </c>
      <c r="R2814">
        <v>0</v>
      </c>
      <c r="S2814">
        <v>59</v>
      </c>
      <c r="Y2814" t="s">
        <v>6158</v>
      </c>
      <c r="Z2814" t="s">
        <v>3160</v>
      </c>
      <c r="AA2814" t="s">
        <v>9804</v>
      </c>
      <c r="AB2814" t="s">
        <v>2497</v>
      </c>
      <c r="AC2814" t="s">
        <v>4871</v>
      </c>
      <c r="AD2814" s="249" t="str">
        <f>HYPERLINK("https://scontent.cdninstagram.com/t51.2885-15/s320x320/e35/20987385_1592667387451625_37891743378571264_n.jpg")</f>
        <v>https://scontent.cdninstagram.com/t51.2885-15/s320x320/e35/20987385_1592667387451625_37891743378571264_n.jpg</v>
      </c>
      <c r="AE2814" s="249" t="str">
        <f>HYPERLINK("https://scontent.cdninstagram.com/t51.2885-19/s150x150/20986634_1714348988860575_5930695931300151296_a.jpg")</f>
        <v>https://scontent.cdninstagram.com/t51.2885-19/s150x150/20986634_1714348988860575_5930695931300151296_a.jpg</v>
      </c>
    </row>
    <row r="2815" spans="1:31" ht="15" x14ac:dyDescent="0.25">
      <c r="A2815" t="s">
        <v>2474</v>
      </c>
      <c r="B2815" t="s">
        <v>16992</v>
      </c>
      <c r="C2815" s="221">
        <v>42972.607523148145</v>
      </c>
      <c r="D2815" t="s">
        <v>16993</v>
      </c>
      <c r="E2815" s="249" t="str">
        <f>HYPERLINK("https://www.instagram.com/p/BYOh2MqBvN0/")</f>
        <v>https://www.instagram.com/p/BYOh2MqBvN0/</v>
      </c>
      <c r="F2815" t="s">
        <v>16994</v>
      </c>
      <c r="G2815" t="s">
        <v>2478</v>
      </c>
      <c r="H2815">
        <v>15</v>
      </c>
      <c r="I2815" t="s">
        <v>2479</v>
      </c>
      <c r="J2815">
        <v>1</v>
      </c>
      <c r="K2815">
        <v>7</v>
      </c>
      <c r="L2815">
        <v>8</v>
      </c>
      <c r="Q2815">
        <v>0</v>
      </c>
      <c r="R2815">
        <v>0</v>
      </c>
      <c r="S2815">
        <v>8</v>
      </c>
      <c r="Y2815" t="s">
        <v>16995</v>
      </c>
      <c r="Z2815" t="s">
        <v>16996</v>
      </c>
      <c r="AA2815" t="s">
        <v>16997</v>
      </c>
      <c r="AB2815" t="s">
        <v>16998</v>
      </c>
      <c r="AC2815" t="s">
        <v>2497</v>
      </c>
      <c r="AD2815" s="249" t="str">
        <f>HYPERLINK("https://scontent.cdninstagram.com/t51.2885-15/e35/p320x320/21041402_115777242478522_2276160498820972544_n.jpg")</f>
        <v>https://scontent.cdninstagram.com/t51.2885-15/e35/p320x320/21041402_115777242478522_2276160498820972544_n.jpg</v>
      </c>
      <c r="AE2815" s="249" t="str">
        <f>HYPERLINK("https://scontent.cdninstagram.com/t51.2885-19/s150x150/21041727_1255516541242494_8603636478272077824_a.jpg")</f>
        <v>https://scontent.cdninstagram.com/t51.2885-19/s150x150/21041727_1255516541242494_8603636478272077824_a.jpg</v>
      </c>
    </row>
    <row r="2816" spans="1:31" ht="15" x14ac:dyDescent="0.25">
      <c r="A2816" t="s">
        <v>2474</v>
      </c>
      <c r="B2816" t="s">
        <v>14993</v>
      </c>
      <c r="C2816" s="221">
        <v>42972.616701388892</v>
      </c>
      <c r="D2816" t="s">
        <v>16999</v>
      </c>
      <c r="E2816" s="249" t="str">
        <f>HYPERLINK("https://www.instagram.com/p/BYOjXDrgCUZ/")</f>
        <v>https://www.instagram.com/p/BYOjXDrgCUZ/</v>
      </c>
      <c r="F2816" t="s">
        <v>17000</v>
      </c>
      <c r="G2816" t="s">
        <v>2488</v>
      </c>
      <c r="H2816">
        <v>510</v>
      </c>
      <c r="I2816" t="s">
        <v>2479</v>
      </c>
      <c r="J2816">
        <v>1</v>
      </c>
      <c r="K2816">
        <v>48</v>
      </c>
      <c r="L2816">
        <v>49</v>
      </c>
      <c r="Q2816">
        <v>0</v>
      </c>
      <c r="R2816">
        <v>0</v>
      </c>
      <c r="S2816">
        <v>49</v>
      </c>
      <c r="T2816" t="s">
        <v>10329</v>
      </c>
      <c r="V2816" t="s">
        <v>2264</v>
      </c>
      <c r="W2816">
        <v>42.764014243490003</v>
      </c>
      <c r="X2816">
        <v>-7.9069180053236003</v>
      </c>
      <c r="Y2816" t="s">
        <v>3446</v>
      </c>
      <c r="Z2816" t="s">
        <v>2696</v>
      </c>
      <c r="AA2816" t="s">
        <v>17001</v>
      </c>
      <c r="AB2816" t="s">
        <v>17002</v>
      </c>
      <c r="AC2816" t="s">
        <v>5214</v>
      </c>
      <c r="AD2816" s="249" t="str">
        <f>HYPERLINK("https://scontent.cdninstagram.com/t51.2885-15/s320x320/e35/21107441_126985401272412_9087071494529351680_n.jpg")</f>
        <v>https://scontent.cdninstagram.com/t51.2885-15/s320x320/e35/21107441_126985401272412_9087071494529351680_n.jpg</v>
      </c>
      <c r="AE2816" s="249" t="str">
        <f>HYPERLINK("https://scontent.cdninstagram.com/t51.2885-19/s150x150/20635314_129017384376955_1140532177520295936_a.jpg")</f>
        <v>https://scontent.cdninstagram.com/t51.2885-19/s150x150/20635314_129017384376955_1140532177520295936_a.jpg</v>
      </c>
    </row>
    <row r="2817" spans="1:31" ht="15" x14ac:dyDescent="0.25">
      <c r="A2817" t="s">
        <v>2474</v>
      </c>
      <c r="B2817" t="s">
        <v>17003</v>
      </c>
      <c r="C2817" s="221">
        <v>42972.620104166665</v>
      </c>
      <c r="D2817" t="s">
        <v>17004</v>
      </c>
      <c r="E2817" s="249" t="str">
        <f>HYPERLINK("https://www.instagram.com/p/BYOj64Olma8/")</f>
        <v>https://www.instagram.com/p/BYOj64Olma8/</v>
      </c>
      <c r="F2817" t="s">
        <v>17005</v>
      </c>
      <c r="G2817" t="s">
        <v>2478</v>
      </c>
      <c r="H2817">
        <v>176</v>
      </c>
      <c r="I2817" t="s">
        <v>2896</v>
      </c>
      <c r="J2817">
        <v>0</v>
      </c>
      <c r="K2817">
        <v>26</v>
      </c>
      <c r="L2817">
        <v>26</v>
      </c>
      <c r="Q2817">
        <v>0</v>
      </c>
      <c r="R2817">
        <v>0</v>
      </c>
      <c r="S2817">
        <v>26</v>
      </c>
      <c r="Y2817" t="s">
        <v>17006</v>
      </c>
      <c r="Z2817" t="s">
        <v>2497</v>
      </c>
      <c r="AA2817" t="s">
        <v>17007</v>
      </c>
      <c r="AB2817" t="s">
        <v>17008</v>
      </c>
      <c r="AD2817" s="249" t="str">
        <f>HYPERLINK("https://scontent.cdninstagram.com/t51.2885-15/e35/p320x320/20987469_512023472463000_1595927985116938240_n.jpg")</f>
        <v>https://scontent.cdninstagram.com/t51.2885-15/e35/p320x320/20987469_512023472463000_1595927985116938240_n.jpg</v>
      </c>
      <c r="AE2817" s="249" t="str">
        <f>HYPERLINK("https://scontent.cdninstagram.com/t51.2885-19/s150x150/21040974_1796077747093612_2864222189719126016_a.jpg")</f>
        <v>https://scontent.cdninstagram.com/t51.2885-19/s150x150/21040974_1796077747093612_2864222189719126016_a.jpg</v>
      </c>
    </row>
    <row r="2818" spans="1:31" ht="15" x14ac:dyDescent="0.25">
      <c r="A2818" t="s">
        <v>2474</v>
      </c>
      <c r="B2818" t="s">
        <v>11978</v>
      </c>
      <c r="C2818" s="221">
        <v>42972.62059027778</v>
      </c>
      <c r="D2818" t="s">
        <v>17009</v>
      </c>
      <c r="E2818" s="249" t="str">
        <f>HYPERLINK("https://www.instagram.com/p/BYOkABLH5H-/")</f>
        <v>https://www.instagram.com/p/BYOkABLH5H-/</v>
      </c>
      <c r="F2818" t="s">
        <v>17010</v>
      </c>
      <c r="G2818" t="s">
        <v>2478</v>
      </c>
      <c r="H2818">
        <v>150878</v>
      </c>
      <c r="I2818" t="s">
        <v>2479</v>
      </c>
      <c r="J2818">
        <v>41</v>
      </c>
      <c r="K2818">
        <v>1772</v>
      </c>
      <c r="L2818">
        <v>1813</v>
      </c>
      <c r="Q2818">
        <v>0</v>
      </c>
      <c r="R2818">
        <v>0</v>
      </c>
      <c r="S2818">
        <v>1813</v>
      </c>
      <c r="Y2818" t="s">
        <v>11978</v>
      </c>
      <c r="AD2818" s="249" t="str">
        <f>HYPERLINK("https://scontent.cdninstagram.com/t51.2885-15/s320x320/e35/21042755_997799527026307_4028324147032489984_n.jpg")</f>
        <v>https://scontent.cdninstagram.com/t51.2885-15/s320x320/e35/21042755_997799527026307_4028324147032489984_n.jpg</v>
      </c>
      <c r="AE2818" s="249" t="str">
        <f>HYPERLINK("https://scontent.cdninstagram.com/t51.2885-19/s150x150/20766920_169834930230526_973590951958151168_a.jpg")</f>
        <v>https://scontent.cdninstagram.com/t51.2885-19/s150x150/20766920_169834930230526_973590951958151168_a.jpg</v>
      </c>
    </row>
    <row r="2819" spans="1:31" ht="15" x14ac:dyDescent="0.25">
      <c r="A2819" t="s">
        <v>2474</v>
      </c>
      <c r="B2819" t="s">
        <v>17011</v>
      </c>
      <c r="C2819" s="221">
        <v>42972.624594907407</v>
      </c>
      <c r="D2819" t="s">
        <v>17012</v>
      </c>
      <c r="E2819" s="249" t="str">
        <f>HYPERLINK("https://www.instagram.com/p/BYOkqQKhn6p/")</f>
        <v>https://www.instagram.com/p/BYOkqQKhn6p/</v>
      </c>
      <c r="F2819" t="s">
        <v>17013</v>
      </c>
      <c r="G2819" t="s">
        <v>2478</v>
      </c>
      <c r="H2819">
        <v>10342</v>
      </c>
      <c r="I2819" t="s">
        <v>2479</v>
      </c>
      <c r="J2819">
        <v>48</v>
      </c>
      <c r="K2819">
        <v>756</v>
      </c>
      <c r="L2819">
        <v>804</v>
      </c>
      <c r="Q2819">
        <v>0</v>
      </c>
      <c r="R2819">
        <v>0</v>
      </c>
      <c r="S2819">
        <v>804</v>
      </c>
      <c r="T2819" t="s">
        <v>4985</v>
      </c>
      <c r="U2819" t="s">
        <v>2020</v>
      </c>
      <c r="V2819" t="s">
        <v>2299</v>
      </c>
      <c r="W2819">
        <v>40</v>
      </c>
      <c r="X2819">
        <v>-100</v>
      </c>
      <c r="Y2819" t="s">
        <v>17014</v>
      </c>
      <c r="Z2819" t="s">
        <v>17015</v>
      </c>
      <c r="AA2819" t="s">
        <v>2497</v>
      </c>
      <c r="AB2819" t="s">
        <v>17016</v>
      </c>
      <c r="AD2819" s="249" t="str">
        <f>HYPERLINK("https://scontent.cdninstagram.com/t51.2885-15/s320x320/e35/21041414_167897327091580_8379674682772684800_n.jpg")</f>
        <v>https://scontent.cdninstagram.com/t51.2885-15/s320x320/e35/21041414_167897327091580_8379674682772684800_n.jpg</v>
      </c>
      <c r="AE2819" s="249" t="str">
        <f>HYPERLINK("https://scontent.cdninstagram.com/t51.2885-19/s150x150/21041241_116239059104954_3861555523321069568_a.jpg")</f>
        <v>https://scontent.cdninstagram.com/t51.2885-19/s150x150/21041241_116239059104954_3861555523321069568_a.jpg</v>
      </c>
    </row>
    <row r="2820" spans="1:31" ht="15" x14ac:dyDescent="0.25">
      <c r="A2820" t="s">
        <v>2474</v>
      </c>
      <c r="B2820" t="s">
        <v>17017</v>
      </c>
      <c r="C2820" s="221">
        <v>42972.625115740739</v>
      </c>
      <c r="D2820" t="s">
        <v>17018</v>
      </c>
      <c r="E2820" s="249" t="str">
        <f>HYPERLINK("https://www.instagram.com/p/BYOkvulnZ4Z/")</f>
        <v>https://www.instagram.com/p/BYOkvulnZ4Z/</v>
      </c>
      <c r="F2820" t="s">
        <v>17019</v>
      </c>
      <c r="G2820" t="s">
        <v>2478</v>
      </c>
      <c r="H2820">
        <v>1084</v>
      </c>
      <c r="I2820" t="s">
        <v>4052</v>
      </c>
      <c r="J2820">
        <v>0</v>
      </c>
      <c r="K2820">
        <v>38</v>
      </c>
      <c r="L2820">
        <v>38</v>
      </c>
      <c r="Q2820">
        <v>0</v>
      </c>
      <c r="R2820">
        <v>0</v>
      </c>
      <c r="S2820">
        <v>38</v>
      </c>
      <c r="T2820" t="s">
        <v>17020</v>
      </c>
      <c r="V2820" t="s">
        <v>2175</v>
      </c>
      <c r="W2820">
        <v>64.147188999999997</v>
      </c>
      <c r="X2820">
        <v>-21.771488399999999</v>
      </c>
      <c r="Y2820" t="s">
        <v>3262</v>
      </c>
      <c r="Z2820" t="s">
        <v>17021</v>
      </c>
      <c r="AA2820" t="s">
        <v>2497</v>
      </c>
      <c r="AB2820" t="s">
        <v>17022</v>
      </c>
      <c r="AC2820" t="s">
        <v>17023</v>
      </c>
      <c r="AD2820" s="249" t="str">
        <f>HYPERLINK("https://scontent.cdninstagram.com/t51.2885-15/s320x320/e35/21042548_670848666453304_2507583545866715136_n.jpg")</f>
        <v>https://scontent.cdninstagram.com/t51.2885-15/s320x320/e35/21042548_670848666453304_2507583545866715136_n.jpg</v>
      </c>
      <c r="AE2820" s="249" t="str">
        <f>HYPERLINK("https://scontent.cdninstagram.com/t51.2885-19/s150x150/20987055_368690700215269_8175885051582480384_a.jpg")</f>
        <v>https://scontent.cdninstagram.com/t51.2885-19/s150x150/20987055_368690700215269_8175885051582480384_a.jpg</v>
      </c>
    </row>
    <row r="2821" spans="1:31" ht="15" x14ac:dyDescent="0.25">
      <c r="A2821" t="s">
        <v>2474</v>
      </c>
      <c r="B2821" t="s">
        <v>17024</v>
      </c>
      <c r="C2821" s="221">
        <v>42972.639618055553</v>
      </c>
      <c r="D2821" t="s">
        <v>17025</v>
      </c>
      <c r="E2821" s="249" t="str">
        <f>HYPERLINK("https://www.instagram.com/p/BYOnIthgZAv/")</f>
        <v>https://www.instagram.com/p/BYOnIthgZAv/</v>
      </c>
      <c r="F2821" t="s">
        <v>17026</v>
      </c>
      <c r="G2821" t="s">
        <v>2478</v>
      </c>
      <c r="H2821">
        <v>6480</v>
      </c>
      <c r="I2821" t="s">
        <v>2479</v>
      </c>
      <c r="J2821">
        <v>93</v>
      </c>
      <c r="K2821">
        <v>340</v>
      </c>
      <c r="L2821">
        <v>433</v>
      </c>
      <c r="Q2821">
        <v>0</v>
      </c>
      <c r="R2821">
        <v>0</v>
      </c>
      <c r="S2821">
        <v>433</v>
      </c>
      <c r="Y2821" t="s">
        <v>5746</v>
      </c>
      <c r="Z2821" t="s">
        <v>17027</v>
      </c>
      <c r="AA2821" t="s">
        <v>2968</v>
      </c>
      <c r="AB2821" t="s">
        <v>2497</v>
      </c>
      <c r="AC2821" t="s">
        <v>17028</v>
      </c>
      <c r="AD2821" s="249" t="str">
        <f>HYPERLINK("https://scontent.cdninstagram.com/t51.2885-15/e35/p320x320/21041992_114992145813643_7094043486197907456_n.jpg")</f>
        <v>https://scontent.cdninstagram.com/t51.2885-15/e35/p320x320/21041992_114992145813643_7094043486197907456_n.jpg</v>
      </c>
      <c r="AE2821" s="249" t="str">
        <f>HYPERLINK("https://scontent.cdninstagram.com/t51.2885-19/s150x150/20838124_1983627598533154_7904358314346020864_a.jpg")</f>
        <v>https://scontent.cdninstagram.com/t51.2885-19/s150x150/20838124_1983627598533154_7904358314346020864_a.jpg</v>
      </c>
    </row>
    <row r="2822" spans="1:31" ht="15" x14ac:dyDescent="0.25">
      <c r="A2822" t="s">
        <v>2474</v>
      </c>
      <c r="B2822" t="s">
        <v>17029</v>
      </c>
      <c r="C2822" s="221">
        <v>42972.646111111113</v>
      </c>
      <c r="D2822" t="s">
        <v>17030</v>
      </c>
      <c r="E2822" s="249" t="str">
        <f>HYPERLINK("https://www.instagram.com/p/BYOoNM1nPmw/")</f>
        <v>https://www.instagram.com/p/BYOoNM1nPmw/</v>
      </c>
      <c r="F2822" t="s">
        <v>17031</v>
      </c>
      <c r="G2822" t="s">
        <v>2478</v>
      </c>
      <c r="H2822">
        <v>743</v>
      </c>
      <c r="I2822" t="s">
        <v>2896</v>
      </c>
      <c r="J2822">
        <v>1</v>
      </c>
      <c r="K2822">
        <v>75</v>
      </c>
      <c r="L2822">
        <v>76</v>
      </c>
      <c r="Q2822">
        <v>0</v>
      </c>
      <c r="R2822">
        <v>0</v>
      </c>
      <c r="S2822">
        <v>76</v>
      </c>
      <c r="T2822" t="s">
        <v>17032</v>
      </c>
      <c r="V2822" t="s">
        <v>2110</v>
      </c>
      <c r="W2822">
        <v>50.951154866044</v>
      </c>
      <c r="X2822">
        <v>4.1031677491748004</v>
      </c>
      <c r="Y2822" t="s">
        <v>6352</v>
      </c>
      <c r="Z2822" t="s">
        <v>17033</v>
      </c>
      <c r="AA2822" t="s">
        <v>17034</v>
      </c>
      <c r="AB2822" t="s">
        <v>17035</v>
      </c>
      <c r="AC2822" t="s">
        <v>15681</v>
      </c>
      <c r="AD2822" s="249" t="str">
        <f>HYPERLINK("https://scontent.cdninstagram.com/t51.2885-15/e35/p320x320/21040889_778663158973041_2752820530586320896_n.jpg")</f>
        <v>https://scontent.cdninstagram.com/t51.2885-15/e35/p320x320/21040889_778663158973041_2752820530586320896_n.jpg</v>
      </c>
      <c r="AE2822" s="249" t="str">
        <f>HYPERLINK("https://scontent.cdninstagram.com/t51.2885-19/s150x150/19534208_1701362476834154_2339167334045843456_a.jpg")</f>
        <v>https://scontent.cdninstagram.com/t51.2885-19/s150x150/19534208_1701362476834154_2339167334045843456_a.jpg</v>
      </c>
    </row>
    <row r="2823" spans="1:31" ht="15" x14ac:dyDescent="0.25">
      <c r="A2823" t="s">
        <v>2474</v>
      </c>
      <c r="B2823" t="s">
        <v>12826</v>
      </c>
      <c r="C2823" s="221">
        <v>42972.674791666665</v>
      </c>
      <c r="D2823" t="s">
        <v>17036</v>
      </c>
      <c r="E2823" s="249" t="str">
        <f>HYPERLINK("https://www.instagram.com/p/BYOs7tAg1F7/")</f>
        <v>https://www.instagram.com/p/BYOs7tAg1F7/</v>
      </c>
      <c r="F2823" t="s">
        <v>17037</v>
      </c>
      <c r="G2823" t="s">
        <v>2478</v>
      </c>
      <c r="H2823">
        <v>201</v>
      </c>
      <c r="I2823" t="s">
        <v>2479</v>
      </c>
      <c r="J2823">
        <v>0</v>
      </c>
      <c r="K2823">
        <v>12</v>
      </c>
      <c r="L2823">
        <v>12</v>
      </c>
      <c r="Q2823">
        <v>0</v>
      </c>
      <c r="R2823">
        <v>0</v>
      </c>
      <c r="S2823">
        <v>12</v>
      </c>
      <c r="Y2823" t="s">
        <v>7225</v>
      </c>
      <c r="Z2823" t="s">
        <v>13056</v>
      </c>
      <c r="AA2823" t="s">
        <v>2876</v>
      </c>
      <c r="AB2823" t="s">
        <v>2562</v>
      </c>
      <c r="AC2823" t="s">
        <v>12830</v>
      </c>
      <c r="AD2823" s="249" t="str">
        <f>HYPERLINK("https://scontent.cdninstagram.com/t51.2885-15/s320x320/e35/21147186_2003195753232303_2093364775147798528_n.jpg")</f>
        <v>https://scontent.cdninstagram.com/t51.2885-15/s320x320/e35/21147186_2003195753232303_2093364775147798528_n.jpg</v>
      </c>
      <c r="AE2823" s="249" t="str">
        <f>HYPERLINK("https://scontent.cdninstagram.com/t51.2885-19/s150x150/14134981_675465352604169_948337492_a.jpg")</f>
        <v>https://scontent.cdninstagram.com/t51.2885-19/s150x150/14134981_675465352604169_948337492_a.jpg</v>
      </c>
    </row>
    <row r="2824" spans="1:31" ht="15" x14ac:dyDescent="0.25">
      <c r="A2824" t="s">
        <v>2474</v>
      </c>
      <c r="B2824" t="s">
        <v>17038</v>
      </c>
      <c r="C2824" s="221">
        <v>42972.675532407404</v>
      </c>
      <c r="D2824" t="s">
        <v>17039</v>
      </c>
      <c r="E2824" s="249" t="str">
        <f>HYPERLINK("https://www.instagram.com/p/BYOtDg2Byma/")</f>
        <v>https://www.instagram.com/p/BYOtDg2Byma/</v>
      </c>
      <c r="F2824" t="s">
        <v>17040</v>
      </c>
      <c r="G2824" t="s">
        <v>2478</v>
      </c>
      <c r="H2824">
        <v>608</v>
      </c>
      <c r="I2824" t="s">
        <v>2479</v>
      </c>
      <c r="J2824">
        <v>5</v>
      </c>
      <c r="K2824">
        <v>41</v>
      </c>
      <c r="L2824">
        <v>46</v>
      </c>
      <c r="Q2824">
        <v>0</v>
      </c>
      <c r="R2824">
        <v>0</v>
      </c>
      <c r="S2824">
        <v>46</v>
      </c>
      <c r="Y2824" t="s">
        <v>5160</v>
      </c>
      <c r="Z2824" t="s">
        <v>17041</v>
      </c>
      <c r="AA2824" t="s">
        <v>17042</v>
      </c>
      <c r="AB2824" t="s">
        <v>17043</v>
      </c>
      <c r="AC2824" t="s">
        <v>17044</v>
      </c>
      <c r="AD2824" s="249" t="str">
        <f>HYPERLINK("https://scontent.cdninstagram.com/t51.2885-15/s320x320/e35/21042218_472775386427905_2825760405396127744_n.jpg")</f>
        <v>https://scontent.cdninstagram.com/t51.2885-15/s320x320/e35/21042218_472775386427905_2825760405396127744_n.jpg</v>
      </c>
      <c r="AE2824" s="249" t="str">
        <f>HYPERLINK("https://scontent.cdninstagram.com/t51.2885-19/s150x150/19533797_210754286119419_6399281823980978176_a.jpg")</f>
        <v>https://scontent.cdninstagram.com/t51.2885-19/s150x150/19533797_210754286119419_6399281823980978176_a.jpg</v>
      </c>
    </row>
    <row r="2825" spans="1:31" ht="15" x14ac:dyDescent="0.25">
      <c r="A2825" t="s">
        <v>2474</v>
      </c>
      <c r="B2825" t="s">
        <v>3754</v>
      </c>
      <c r="C2825" s="221">
        <v>42972.678831018522</v>
      </c>
      <c r="D2825" t="s">
        <v>17045</v>
      </c>
      <c r="E2825" s="249" t="str">
        <f>HYPERLINK("https://www.instagram.com/p/BYOtmRPD-mP/")</f>
        <v>https://www.instagram.com/p/BYOtmRPD-mP/</v>
      </c>
      <c r="F2825" t="s">
        <v>17046</v>
      </c>
      <c r="G2825" t="s">
        <v>2478</v>
      </c>
      <c r="H2825">
        <v>201496</v>
      </c>
      <c r="I2825" t="s">
        <v>2479</v>
      </c>
      <c r="J2825">
        <v>0</v>
      </c>
      <c r="K2825">
        <v>234</v>
      </c>
      <c r="L2825">
        <v>234</v>
      </c>
      <c r="Q2825">
        <v>0</v>
      </c>
      <c r="R2825">
        <v>0</v>
      </c>
      <c r="S2825">
        <v>234</v>
      </c>
      <c r="Y2825" t="s">
        <v>3757</v>
      </c>
      <c r="Z2825" t="s">
        <v>13341</v>
      </c>
      <c r="AA2825" t="s">
        <v>17047</v>
      </c>
      <c r="AB2825" t="s">
        <v>4561</v>
      </c>
      <c r="AC2825" t="s">
        <v>8654</v>
      </c>
      <c r="AD2825" s="249" t="str">
        <f>HYPERLINK("https://scontent.cdninstagram.com/t51.2885-15/e35/p320x320/21042460_1730843790555133_5137028744283684864_n.jpg")</f>
        <v>https://scontent.cdninstagram.com/t51.2885-15/e35/p320x320/21042460_1730843790555133_5137028744283684864_n.jpg</v>
      </c>
      <c r="AE2825" s="249" t="str">
        <f>HYPERLINK("https://scontent.cdninstagram.com/t51.2885-19/s150x150/12905002_1681254462136092_1137392787_a.jpg")</f>
        <v>https://scontent.cdninstagram.com/t51.2885-19/s150x150/12905002_1681254462136092_1137392787_a.jpg</v>
      </c>
    </row>
    <row r="2826" spans="1:31" ht="15" x14ac:dyDescent="0.25">
      <c r="A2826" t="s">
        <v>2474</v>
      </c>
      <c r="B2826" t="s">
        <v>17048</v>
      </c>
      <c r="C2826" s="221">
        <v>42972.680196759262</v>
      </c>
      <c r="D2826" t="s">
        <v>17049</v>
      </c>
      <c r="E2826" s="249" t="str">
        <f>HYPERLINK("https://www.instagram.com/p/BYOt0usAZOn/")</f>
        <v>https://www.instagram.com/p/BYOt0usAZOn/</v>
      </c>
      <c r="F2826" t="s">
        <v>17050</v>
      </c>
      <c r="G2826" t="s">
        <v>2478</v>
      </c>
      <c r="H2826">
        <v>429</v>
      </c>
      <c r="I2826" t="s">
        <v>2479</v>
      </c>
      <c r="J2826">
        <v>0</v>
      </c>
      <c r="K2826">
        <v>13</v>
      </c>
      <c r="L2826">
        <v>13</v>
      </c>
      <c r="Q2826">
        <v>0</v>
      </c>
      <c r="R2826">
        <v>0</v>
      </c>
      <c r="S2826">
        <v>13</v>
      </c>
      <c r="T2826" t="s">
        <v>17051</v>
      </c>
      <c r="U2826" t="s">
        <v>812</v>
      </c>
      <c r="V2826" t="s">
        <v>2299</v>
      </c>
      <c r="W2826">
        <v>19.649999999999999</v>
      </c>
      <c r="X2826">
        <v>-155.994</v>
      </c>
      <c r="Y2826" t="s">
        <v>17052</v>
      </c>
      <c r="Z2826" t="s">
        <v>13461</v>
      </c>
      <c r="AA2826" t="s">
        <v>17053</v>
      </c>
      <c r="AB2826" t="s">
        <v>17054</v>
      </c>
      <c r="AC2826" t="s">
        <v>17055</v>
      </c>
      <c r="AD2826" s="249" t="str">
        <f>HYPERLINK("https://scontent.cdninstagram.com/t51.2885-15/s320x320/e35/21107955_1666920803318774_4729709666727100416_n.jpg")</f>
        <v>https://scontent.cdninstagram.com/t51.2885-15/s320x320/e35/21107955_1666920803318774_4729709666727100416_n.jpg</v>
      </c>
      <c r="AE2826" s="249" t="str">
        <f>HYPERLINK("https://scontent.cdninstagram.com/t51.2885-19/s150x150/18645291_302276806863564_3732417809624334336_a.jpg")</f>
        <v>https://scontent.cdninstagram.com/t51.2885-19/s150x150/18645291_302276806863564_3732417809624334336_a.jpg</v>
      </c>
    </row>
    <row r="2827" spans="1:31" ht="15" x14ac:dyDescent="0.25">
      <c r="A2827" t="s">
        <v>2474</v>
      </c>
      <c r="B2827" t="s">
        <v>17056</v>
      </c>
      <c r="C2827" s="221">
        <v>42972.690254629626</v>
      </c>
      <c r="D2827" t="s">
        <v>17057</v>
      </c>
      <c r="E2827" s="249" t="str">
        <f>HYPERLINK("https://www.instagram.com/p/BYOveuyHLKF/")</f>
        <v>https://www.instagram.com/p/BYOveuyHLKF/</v>
      </c>
      <c r="F2827" t="s">
        <v>17058</v>
      </c>
      <c r="G2827" t="s">
        <v>2478</v>
      </c>
      <c r="H2827">
        <v>288</v>
      </c>
      <c r="I2827" t="s">
        <v>2479</v>
      </c>
      <c r="J2827">
        <v>5</v>
      </c>
      <c r="K2827">
        <v>90</v>
      </c>
      <c r="L2827">
        <v>95</v>
      </c>
      <c r="Q2827">
        <v>0</v>
      </c>
      <c r="R2827">
        <v>0</v>
      </c>
      <c r="S2827">
        <v>95</v>
      </c>
      <c r="T2827" t="s">
        <v>17059</v>
      </c>
      <c r="V2827" t="s">
        <v>2182</v>
      </c>
      <c r="W2827">
        <v>45.483553999999998</v>
      </c>
      <c r="X2827">
        <v>9.1898440000000008</v>
      </c>
      <c r="Y2827" t="s">
        <v>17060</v>
      </c>
      <c r="Z2827" t="s">
        <v>2497</v>
      </c>
      <c r="AA2827" t="s">
        <v>17061</v>
      </c>
      <c r="AB2827" t="s">
        <v>17062</v>
      </c>
      <c r="AC2827" t="s">
        <v>17063</v>
      </c>
      <c r="AD2827" s="249" t="str">
        <f>HYPERLINK("https://scontent.cdninstagram.com/t51.2885-15/e35/p320x320/21147308_799006930259943_6494561064942829568_n.jpg")</f>
        <v>https://scontent.cdninstagram.com/t51.2885-15/e35/p320x320/21147308_799006930259943_6494561064942829568_n.jpg</v>
      </c>
      <c r="AE2827" s="249" t="str">
        <f>HYPERLINK("https://scontent.cdninstagram.com/t51.2885-19/s150x150/21041871_1938429226413881_6020320568643944448_a.jpg")</f>
        <v>https://scontent.cdninstagram.com/t51.2885-19/s150x150/21041871_1938429226413881_6020320568643944448_a.jpg</v>
      </c>
    </row>
    <row r="2828" spans="1:31" ht="15" x14ac:dyDescent="0.25">
      <c r="A2828" t="s">
        <v>2474</v>
      </c>
      <c r="B2828" t="s">
        <v>15801</v>
      </c>
      <c r="C2828" s="221">
        <v>42972.69158564815</v>
      </c>
      <c r="D2828" t="s">
        <v>17064</v>
      </c>
      <c r="E2828" s="249" t="str">
        <f>HYPERLINK("https://www.instagram.com/p/BYOvsw9lOPW/")</f>
        <v>https://www.instagram.com/p/BYOvsw9lOPW/</v>
      </c>
      <c r="F2828" t="s">
        <v>17065</v>
      </c>
      <c r="G2828" t="s">
        <v>2478</v>
      </c>
      <c r="H2828">
        <v>209</v>
      </c>
      <c r="I2828" t="s">
        <v>2510</v>
      </c>
      <c r="J2828">
        <v>2</v>
      </c>
      <c r="K2828">
        <v>21</v>
      </c>
      <c r="L2828">
        <v>23</v>
      </c>
      <c r="Q2828">
        <v>0</v>
      </c>
      <c r="R2828">
        <v>0</v>
      </c>
      <c r="S2828">
        <v>23</v>
      </c>
      <c r="Y2828" t="s">
        <v>11566</v>
      </c>
      <c r="Z2828" t="s">
        <v>17066</v>
      </c>
      <c r="AA2828" t="s">
        <v>3153</v>
      </c>
      <c r="AB2828" t="s">
        <v>15807</v>
      </c>
      <c r="AC2828" t="s">
        <v>17067</v>
      </c>
      <c r="AD2828" s="249" t="str">
        <f>HYPERLINK("https://scontent.cdninstagram.com/t51.2885-15/e35/p320x320/21147187_515570352112309_6161561525950611456_n.jpg")</f>
        <v>https://scontent.cdninstagram.com/t51.2885-15/e35/p320x320/21147187_515570352112309_6161561525950611456_n.jpg</v>
      </c>
      <c r="AE2828" s="249" t="str">
        <f>HYPERLINK("https://scontent.cdninstagram.com/t51.2885-19/s150x150/12547279_954947561266331_1148242584_a.jpg")</f>
        <v>https://scontent.cdninstagram.com/t51.2885-19/s150x150/12547279_954947561266331_1148242584_a.jpg</v>
      </c>
    </row>
    <row r="2829" spans="1:31" ht="15" x14ac:dyDescent="0.25">
      <c r="A2829" t="s">
        <v>2474</v>
      </c>
      <c r="B2829" t="s">
        <v>17068</v>
      </c>
      <c r="C2829" s="221">
        <v>42972.698888888888</v>
      </c>
      <c r="D2829" t="s">
        <v>17069</v>
      </c>
      <c r="E2829" s="249" t="str">
        <f>HYPERLINK("https://www.instagram.com/p/BYOw505nmpa/")</f>
        <v>https://www.instagram.com/p/BYOw505nmpa/</v>
      </c>
      <c r="F2829" t="s">
        <v>17070</v>
      </c>
      <c r="G2829" t="s">
        <v>2478</v>
      </c>
      <c r="H2829">
        <v>271</v>
      </c>
      <c r="I2829" t="s">
        <v>2479</v>
      </c>
      <c r="J2829">
        <v>3</v>
      </c>
      <c r="K2829">
        <v>21</v>
      </c>
      <c r="L2829">
        <v>24</v>
      </c>
      <c r="Q2829">
        <v>0</v>
      </c>
      <c r="R2829">
        <v>0</v>
      </c>
      <c r="S2829">
        <v>24</v>
      </c>
      <c r="Y2829" t="s">
        <v>2497</v>
      </c>
      <c r="Z2829" t="s">
        <v>17071</v>
      </c>
      <c r="AD2829" s="249" t="str">
        <f>HYPERLINK("https://scontent.cdninstagram.com/t51.2885-15/s320x320/e35/c0.135.1080.1080/21147811_1656024851095973_1914441544312553472_n.jpg")</f>
        <v>https://scontent.cdninstagram.com/t51.2885-15/s320x320/e35/c0.135.1080.1080/21147811_1656024851095973_1914441544312553472_n.jpg</v>
      </c>
      <c r="AE2829" s="249" t="str">
        <f>HYPERLINK("https://scontent.cdninstagram.com/t51.2885-19/s150x150/12519120_763688987100100_250730791_a.jpg")</f>
        <v>https://scontent.cdninstagram.com/t51.2885-19/s150x150/12519120_763688987100100_250730791_a.jpg</v>
      </c>
    </row>
    <row r="2830" spans="1:31" ht="15" x14ac:dyDescent="0.25">
      <c r="A2830" t="s">
        <v>2474</v>
      </c>
      <c r="B2830" t="s">
        <v>17072</v>
      </c>
      <c r="C2830" s="221">
        <v>42972.701944444445</v>
      </c>
      <c r="D2830" t="s">
        <v>17073</v>
      </c>
      <c r="E2830" s="249" t="str">
        <f>HYPERLINK("https://www.instagram.com/p/BYOxaEaDaCJ/")</f>
        <v>https://www.instagram.com/p/BYOxaEaDaCJ/</v>
      </c>
      <c r="F2830" t="s">
        <v>17074</v>
      </c>
      <c r="G2830" t="s">
        <v>2478</v>
      </c>
      <c r="H2830">
        <v>80</v>
      </c>
      <c r="I2830" t="s">
        <v>2479</v>
      </c>
      <c r="J2830">
        <v>6</v>
      </c>
      <c r="K2830">
        <v>79</v>
      </c>
      <c r="L2830">
        <v>85</v>
      </c>
      <c r="Q2830">
        <v>0</v>
      </c>
      <c r="R2830">
        <v>0</v>
      </c>
      <c r="S2830">
        <v>85</v>
      </c>
      <c r="Y2830" t="s">
        <v>16323</v>
      </c>
      <c r="Z2830" t="s">
        <v>4620</v>
      </c>
      <c r="AA2830" t="s">
        <v>17075</v>
      </c>
      <c r="AB2830" t="s">
        <v>4240</v>
      </c>
      <c r="AC2830" t="s">
        <v>4939</v>
      </c>
      <c r="AD2830" s="249" t="str">
        <f>HYPERLINK("https://scontent.cdninstagram.com/t51.2885-15/s320x320/e35/21041203_147090909213632_6985121964520112128_n.jpg")</f>
        <v>https://scontent.cdninstagram.com/t51.2885-15/s320x320/e35/21041203_147090909213632_6985121964520112128_n.jpg</v>
      </c>
      <c r="AE2830" s="249" t="str">
        <f>HYPERLINK("https://scontent.cdninstagram.com/t51.2885-19/s150x150/19436848_315315312252531_6878639301366644736_a.jpg")</f>
        <v>https://scontent.cdninstagram.com/t51.2885-19/s150x150/19436848_315315312252531_6878639301366644736_a.jpg</v>
      </c>
    </row>
    <row r="2831" spans="1:31" ht="15" x14ac:dyDescent="0.25">
      <c r="A2831" t="s">
        <v>2474</v>
      </c>
      <c r="B2831" t="s">
        <v>15206</v>
      </c>
      <c r="C2831" s="221">
        <v>42972.707187499997</v>
      </c>
      <c r="D2831" t="s">
        <v>17076</v>
      </c>
      <c r="E2831" s="249" t="str">
        <f>HYPERLINK("https://www.instagram.com/p/BYOyRXiFBwq/")</f>
        <v>https://www.instagram.com/p/BYOyRXiFBwq/</v>
      </c>
      <c r="F2831" t="s">
        <v>17077</v>
      </c>
      <c r="G2831" t="s">
        <v>2478</v>
      </c>
      <c r="H2831">
        <v>60751</v>
      </c>
      <c r="I2831" t="s">
        <v>2479</v>
      </c>
      <c r="J2831">
        <v>10</v>
      </c>
      <c r="K2831">
        <v>1560</v>
      </c>
      <c r="L2831">
        <v>1570</v>
      </c>
      <c r="Q2831">
        <v>0</v>
      </c>
      <c r="R2831">
        <v>0</v>
      </c>
      <c r="S2831">
        <v>1570</v>
      </c>
      <c r="AD2831" s="249" t="str">
        <f>HYPERLINK("https://scontent.cdninstagram.com/t51.2885-15/e35/p320x320/21041693_465477933818975_1481989941637414912_n.jpg")</f>
        <v>https://scontent.cdninstagram.com/t51.2885-15/e35/p320x320/21041693_465477933818975_1481989941637414912_n.jpg</v>
      </c>
      <c r="AE2831" s="249" t="str">
        <f>HYPERLINK("https://scontent.cdninstagram.com/t51.2885-19/17663530_1657274724581959_2295744149531394048_n.jpg")</f>
        <v>https://scontent.cdninstagram.com/t51.2885-19/17663530_1657274724581959_2295744149531394048_n.jpg</v>
      </c>
    </row>
    <row r="2832" spans="1:31" ht="15" x14ac:dyDescent="0.25">
      <c r="A2832" t="s">
        <v>2474</v>
      </c>
      <c r="B2832" t="s">
        <v>17078</v>
      </c>
      <c r="C2832" s="221">
        <v>42972.710625</v>
      </c>
      <c r="D2832" t="s">
        <v>17079</v>
      </c>
      <c r="E2832" s="249" t="str">
        <f>HYPERLINK("https://www.instagram.com/p/BYOy1o1DcCb/")</f>
        <v>https://www.instagram.com/p/BYOy1o1DcCb/</v>
      </c>
      <c r="F2832" t="s">
        <v>17080</v>
      </c>
      <c r="G2832" t="s">
        <v>2478</v>
      </c>
      <c r="H2832">
        <v>277</v>
      </c>
      <c r="I2832" t="s">
        <v>2599</v>
      </c>
      <c r="J2832">
        <v>4</v>
      </c>
      <c r="K2832">
        <v>38</v>
      </c>
      <c r="L2832">
        <v>42</v>
      </c>
      <c r="Q2832">
        <v>0</v>
      </c>
      <c r="R2832">
        <v>0</v>
      </c>
      <c r="S2832">
        <v>42</v>
      </c>
      <c r="Y2832" t="s">
        <v>17081</v>
      </c>
      <c r="Z2832" t="s">
        <v>2497</v>
      </c>
      <c r="AA2832" t="s">
        <v>9794</v>
      </c>
      <c r="AB2832" t="s">
        <v>3269</v>
      </c>
      <c r="AC2832" t="s">
        <v>17082</v>
      </c>
      <c r="AD2832" s="249" t="str">
        <f>HYPERLINK("https://scontent.cdninstagram.com/t51.2885-15/s320x320/e35/21041261_788341981352801_7999079535976906752_n.jpg")</f>
        <v>https://scontent.cdninstagram.com/t51.2885-15/s320x320/e35/21041261_788341981352801_7999079535976906752_n.jpg</v>
      </c>
      <c r="AE2832" s="249" t="str">
        <f>HYPERLINK("https://scontent.cdninstagram.com/t51.2885-19/s150x150/20902069_1545954602164456_5282752818518687744_a.jpg")</f>
        <v>https://scontent.cdninstagram.com/t51.2885-19/s150x150/20902069_1545954602164456_5282752818518687744_a.jpg</v>
      </c>
    </row>
    <row r="2833" spans="1:31" ht="15" x14ac:dyDescent="0.25">
      <c r="A2833" t="s">
        <v>2474</v>
      </c>
      <c r="B2833" t="s">
        <v>17083</v>
      </c>
      <c r="C2833" s="221">
        <v>42972.716539351852</v>
      </c>
      <c r="D2833" t="s">
        <v>17084</v>
      </c>
      <c r="E2833" s="249" t="str">
        <f>HYPERLINK("https://www.instagram.com/p/BYOz0DCDwKj/")</f>
        <v>https://www.instagram.com/p/BYOz0DCDwKj/</v>
      </c>
      <c r="F2833" t="s">
        <v>17085</v>
      </c>
      <c r="G2833" t="s">
        <v>2478</v>
      </c>
      <c r="H2833">
        <v>210</v>
      </c>
      <c r="I2833" t="s">
        <v>3575</v>
      </c>
      <c r="J2833">
        <v>2</v>
      </c>
      <c r="K2833">
        <v>20</v>
      </c>
      <c r="L2833">
        <v>22</v>
      </c>
      <c r="Q2833">
        <v>0</v>
      </c>
      <c r="R2833">
        <v>0</v>
      </c>
      <c r="S2833">
        <v>22</v>
      </c>
      <c r="Y2833" t="s">
        <v>2497</v>
      </c>
      <c r="Z2833" t="s">
        <v>9794</v>
      </c>
      <c r="AD2833" s="249" t="str">
        <f>HYPERLINK("https://scontent.cdninstagram.com/t51.2885-15/s320x320/e35/21041520_483889765310171_5269686673305763840_n.jpg")</f>
        <v>https://scontent.cdninstagram.com/t51.2885-15/s320x320/e35/21041520_483889765310171_5269686673305763840_n.jpg</v>
      </c>
      <c r="AE2833" s="249" t="str">
        <f>HYPERLINK("https://scontent.cdninstagram.com/t51.2885-19/s150x150/16908395_407232639626320_7056515792837279744_a.jpg")</f>
        <v>https://scontent.cdninstagram.com/t51.2885-19/s150x150/16908395_407232639626320_7056515792837279744_a.jpg</v>
      </c>
    </row>
    <row r="2834" spans="1:31" ht="15" x14ac:dyDescent="0.25">
      <c r="A2834" t="s">
        <v>2474</v>
      </c>
      <c r="B2834" t="s">
        <v>17086</v>
      </c>
      <c r="C2834" s="221">
        <v>42972.717928240738</v>
      </c>
      <c r="D2834" t="s">
        <v>17087</v>
      </c>
      <c r="E2834" s="249" t="str">
        <f>HYPERLINK("https://www.instagram.com/p/BYO0CqLj3cw/")</f>
        <v>https://www.instagram.com/p/BYO0CqLj3cw/</v>
      </c>
      <c r="F2834" t="s">
        <v>17088</v>
      </c>
      <c r="G2834" t="s">
        <v>2478</v>
      </c>
      <c r="H2834">
        <v>56</v>
      </c>
      <c r="I2834" t="s">
        <v>2479</v>
      </c>
      <c r="J2834">
        <v>2</v>
      </c>
      <c r="K2834">
        <v>24</v>
      </c>
      <c r="L2834">
        <v>26</v>
      </c>
      <c r="Q2834">
        <v>0</v>
      </c>
      <c r="R2834">
        <v>0</v>
      </c>
      <c r="S2834">
        <v>26</v>
      </c>
      <c r="Y2834" t="s">
        <v>17089</v>
      </c>
      <c r="Z2834" t="s">
        <v>5467</v>
      </c>
      <c r="AA2834" t="s">
        <v>3849</v>
      </c>
      <c r="AB2834" t="s">
        <v>2968</v>
      </c>
      <c r="AC2834" t="s">
        <v>9011</v>
      </c>
      <c r="AD2834" s="249" t="str">
        <f>HYPERLINK("https://scontent.cdninstagram.com/t51.2885-15/e35/p320x320/21042061_1616671358374625_7300072977192714240_n.jpg")</f>
        <v>https://scontent.cdninstagram.com/t51.2885-15/e35/p320x320/21042061_1616671358374625_7300072977192714240_n.jpg</v>
      </c>
      <c r="AE2834" s="249" t="str">
        <f>HYPERLINK("https://scontent.cdninstagram.com/t51.2885-19/s150x150/20213819_1623489541008643_6054573310786666496_a.jpg")</f>
        <v>https://scontent.cdninstagram.com/t51.2885-19/s150x150/20213819_1623489541008643_6054573310786666496_a.jpg</v>
      </c>
    </row>
    <row r="2835" spans="1:31" ht="15" x14ac:dyDescent="0.25">
      <c r="A2835" t="s">
        <v>2474</v>
      </c>
      <c r="B2835" t="s">
        <v>3154</v>
      </c>
      <c r="C2835" s="221">
        <v>42972.720243055555</v>
      </c>
      <c r="D2835" t="s">
        <v>17090</v>
      </c>
      <c r="E2835" s="249" t="str">
        <f>HYPERLINK("https://www.instagram.com/p/BYO0bHbnfFB/")</f>
        <v>https://www.instagram.com/p/BYO0bHbnfFB/</v>
      </c>
      <c r="F2835" t="s">
        <v>17091</v>
      </c>
      <c r="G2835" t="s">
        <v>2488</v>
      </c>
      <c r="H2835">
        <v>861</v>
      </c>
      <c r="I2835" t="s">
        <v>2479</v>
      </c>
      <c r="J2835">
        <v>4</v>
      </c>
      <c r="K2835">
        <v>94</v>
      </c>
      <c r="L2835">
        <v>98</v>
      </c>
      <c r="Q2835">
        <v>0</v>
      </c>
      <c r="R2835">
        <v>0</v>
      </c>
      <c r="S2835">
        <v>98</v>
      </c>
      <c r="Y2835" t="s">
        <v>2906</v>
      </c>
      <c r="Z2835" t="s">
        <v>3159</v>
      </c>
      <c r="AA2835" t="s">
        <v>2833</v>
      </c>
      <c r="AB2835" t="s">
        <v>3160</v>
      </c>
      <c r="AC2835" t="s">
        <v>2730</v>
      </c>
      <c r="AD2835" s="249" t="str">
        <f>HYPERLINK("https://scontent.cdninstagram.com/t51.2885-15/s320x320/e35/21108085_302281683572112_439365250186215424_n.jpg")</f>
        <v>https://scontent.cdninstagram.com/t51.2885-15/s320x320/e35/21108085_302281683572112_439365250186215424_n.jpg</v>
      </c>
      <c r="AE2835" s="249" t="str">
        <f>HYPERLINK("https://scontent.cdninstagram.com/t51.2885-19/s150x150/19985569_317129912066691_5696369542196887552_a.jpg")</f>
        <v>https://scontent.cdninstagram.com/t51.2885-19/s150x150/19985569_317129912066691_5696369542196887552_a.jpg</v>
      </c>
    </row>
    <row r="2836" spans="1:31" ht="15" x14ac:dyDescent="0.25">
      <c r="A2836" t="s">
        <v>2474</v>
      </c>
      <c r="B2836" t="s">
        <v>17092</v>
      </c>
      <c r="C2836" s="221">
        <v>42972.732986111114</v>
      </c>
      <c r="D2836" t="s">
        <v>17093</v>
      </c>
      <c r="E2836" s="249" t="str">
        <f>HYPERLINK("https://www.instagram.com/p/BYO2hbHDZuc/")</f>
        <v>https://www.instagram.com/p/BYO2hbHDZuc/</v>
      </c>
      <c r="F2836" t="s">
        <v>17094</v>
      </c>
      <c r="G2836" t="s">
        <v>2478</v>
      </c>
      <c r="H2836">
        <v>526</v>
      </c>
      <c r="I2836" t="s">
        <v>2479</v>
      </c>
      <c r="J2836">
        <v>2</v>
      </c>
      <c r="K2836">
        <v>50</v>
      </c>
      <c r="L2836">
        <v>52</v>
      </c>
      <c r="Q2836">
        <v>0</v>
      </c>
      <c r="R2836">
        <v>0</v>
      </c>
      <c r="S2836">
        <v>52</v>
      </c>
      <c r="Y2836" t="s">
        <v>2906</v>
      </c>
      <c r="Z2836" t="s">
        <v>2497</v>
      </c>
      <c r="AD2836" s="249" t="str">
        <f>HYPERLINK("https://scontent.cdninstagram.com/t51.2885-15/s320x320/e35/21041536_1919203101668143_1903199201127301120_n.jpg")</f>
        <v>https://scontent.cdninstagram.com/t51.2885-15/s320x320/e35/21041536_1919203101668143_1903199201127301120_n.jpg</v>
      </c>
      <c r="AE2836" s="249" t="str">
        <f>HYPERLINK("https://scontent.cdninstagram.com/t51.2885-19/10756025_594866883975989_2116129127_a.jpg")</f>
        <v>https://scontent.cdninstagram.com/t51.2885-19/10756025_594866883975989_2116129127_a.jpg</v>
      </c>
    </row>
    <row r="2837" spans="1:31" ht="15" x14ac:dyDescent="0.25">
      <c r="A2837" t="s">
        <v>2474</v>
      </c>
      <c r="B2837" t="s">
        <v>2516</v>
      </c>
      <c r="C2837" s="221">
        <v>42972.751840277779</v>
      </c>
      <c r="D2837" t="s">
        <v>17095</v>
      </c>
      <c r="E2837" s="249" t="str">
        <f>HYPERLINK("https://www.instagram.com/p/BYO5oVgDGod/")</f>
        <v>https://www.instagram.com/p/BYO5oVgDGod/</v>
      </c>
      <c r="F2837" t="s">
        <v>17096</v>
      </c>
      <c r="G2837" t="s">
        <v>2478</v>
      </c>
      <c r="H2837">
        <v>682</v>
      </c>
      <c r="I2837" t="s">
        <v>2479</v>
      </c>
      <c r="J2837">
        <v>0</v>
      </c>
      <c r="K2837">
        <v>35</v>
      </c>
      <c r="L2837">
        <v>35</v>
      </c>
      <c r="Q2837">
        <v>0</v>
      </c>
      <c r="R2837">
        <v>0</v>
      </c>
      <c r="S2837">
        <v>35</v>
      </c>
      <c r="Y2837" t="s">
        <v>17097</v>
      </c>
      <c r="Z2837" t="s">
        <v>17098</v>
      </c>
      <c r="AA2837" t="s">
        <v>2524</v>
      </c>
      <c r="AB2837" t="s">
        <v>4308</v>
      </c>
      <c r="AC2837" t="s">
        <v>17099</v>
      </c>
      <c r="AD2837" s="249" t="str">
        <f>HYPERLINK("https://scontent.cdninstagram.com/t51.2885-15/s320x320/e35/21042549_127663417863912_3864230665176219648_n.jpg")</f>
        <v>https://scontent.cdninstagram.com/t51.2885-15/s320x320/e35/21042549_127663417863912_3864230665176219648_n.jpg</v>
      </c>
      <c r="AE2837" s="249" t="str">
        <f>HYPERLINK("https://scontent.cdninstagram.com/t51.2885-19/s150x150/19955124_1311741785589715_3896736407896457216_a.jpg")</f>
        <v>https://scontent.cdninstagram.com/t51.2885-19/s150x150/19955124_1311741785589715_3896736407896457216_a.jpg</v>
      </c>
    </row>
    <row r="2838" spans="1:31" ht="15" x14ac:dyDescent="0.25">
      <c r="A2838" t="s">
        <v>2474</v>
      </c>
      <c r="B2838" t="s">
        <v>16401</v>
      </c>
      <c r="C2838" s="221">
        <v>42972.771643518521</v>
      </c>
      <c r="D2838" t="s">
        <v>17100</v>
      </c>
      <c r="E2838" s="249" t="str">
        <f>HYPERLINK("https://www.instagram.com/p/BYO85JzBTgi/")</f>
        <v>https://www.instagram.com/p/BYO85JzBTgi/</v>
      </c>
      <c r="F2838" t="s">
        <v>17101</v>
      </c>
      <c r="G2838" t="s">
        <v>2478</v>
      </c>
      <c r="H2838">
        <v>297</v>
      </c>
      <c r="I2838" t="s">
        <v>3575</v>
      </c>
      <c r="J2838">
        <v>2</v>
      </c>
      <c r="K2838">
        <v>24</v>
      </c>
      <c r="L2838">
        <v>26</v>
      </c>
      <c r="Q2838">
        <v>0</v>
      </c>
      <c r="R2838">
        <v>0</v>
      </c>
      <c r="S2838">
        <v>26</v>
      </c>
      <c r="T2838" t="s">
        <v>17102</v>
      </c>
      <c r="V2838" t="s">
        <v>2212</v>
      </c>
      <c r="W2838">
        <v>19.058299999999999</v>
      </c>
      <c r="X2838">
        <v>-97.565299999999993</v>
      </c>
      <c r="Y2838" t="s">
        <v>17103</v>
      </c>
      <c r="Z2838" t="s">
        <v>17104</v>
      </c>
      <c r="AA2838" t="s">
        <v>17105</v>
      </c>
      <c r="AB2838" t="s">
        <v>16407</v>
      </c>
      <c r="AC2838" t="s">
        <v>2497</v>
      </c>
      <c r="AD2838" s="249" t="str">
        <f>HYPERLINK("https://scontent.cdninstagram.com/t51.2885-15/s320x320/e35/21107675_1790169957690494_1954084418872147968_n.jpg")</f>
        <v>https://scontent.cdninstagram.com/t51.2885-15/s320x320/e35/21107675_1790169957690494_1954084418872147968_n.jpg</v>
      </c>
      <c r="AE2838" s="249" t="str">
        <f>HYPERLINK("https://scontent.cdninstagram.com/t51.2885-19/s150x150/18579863_1537589379585561_4037411988593180672_a.jpg")</f>
        <v>https://scontent.cdninstagram.com/t51.2885-19/s150x150/18579863_1537589379585561_4037411988593180672_a.jpg</v>
      </c>
    </row>
    <row r="2839" spans="1:31" ht="15" x14ac:dyDescent="0.25">
      <c r="A2839" t="s">
        <v>2474</v>
      </c>
      <c r="B2839" t="s">
        <v>15801</v>
      </c>
      <c r="C2839" s="221">
        <v>42972.77888888889</v>
      </c>
      <c r="D2839" t="s">
        <v>17106</v>
      </c>
      <c r="E2839" s="249" t="str">
        <f>HYPERLINK("https://www.instagram.com/p/BYO-FimnpM8/")</f>
        <v>https://www.instagram.com/p/BYO-FimnpM8/</v>
      </c>
      <c r="F2839" t="s">
        <v>17107</v>
      </c>
      <c r="G2839" t="s">
        <v>2478</v>
      </c>
      <c r="H2839">
        <v>209</v>
      </c>
      <c r="I2839" t="s">
        <v>2510</v>
      </c>
      <c r="J2839">
        <v>4</v>
      </c>
      <c r="K2839">
        <v>32</v>
      </c>
      <c r="L2839">
        <v>36</v>
      </c>
      <c r="Q2839">
        <v>0</v>
      </c>
      <c r="R2839">
        <v>0</v>
      </c>
      <c r="S2839">
        <v>36</v>
      </c>
      <c r="Y2839" t="s">
        <v>11566</v>
      </c>
      <c r="Z2839" t="s">
        <v>17066</v>
      </c>
      <c r="AA2839" t="s">
        <v>3153</v>
      </c>
      <c r="AB2839" t="s">
        <v>15807</v>
      </c>
      <c r="AC2839" t="s">
        <v>17067</v>
      </c>
      <c r="AD2839" s="249" t="str">
        <f>HYPERLINK("https://scontent.cdninstagram.com/t51.2885-15/s320x320/e35/21108065_145811966005406_3397929523298172928_n.jpg")</f>
        <v>https://scontent.cdninstagram.com/t51.2885-15/s320x320/e35/21108065_145811966005406_3397929523298172928_n.jpg</v>
      </c>
      <c r="AE2839" s="249" t="str">
        <f>HYPERLINK("https://scontent.cdninstagram.com/t51.2885-19/s150x150/12547279_954947561266331_1148242584_a.jpg")</f>
        <v>https://scontent.cdninstagram.com/t51.2885-19/s150x150/12547279_954947561266331_1148242584_a.jpg</v>
      </c>
    </row>
    <row r="2840" spans="1:31" ht="15" x14ac:dyDescent="0.25">
      <c r="A2840" t="s">
        <v>2474</v>
      </c>
      <c r="B2840" t="s">
        <v>5657</v>
      </c>
      <c r="C2840" s="221">
        <v>42972.784571759257</v>
      </c>
      <c r="D2840" t="s">
        <v>17108</v>
      </c>
      <c r="E2840" s="249" t="str">
        <f>HYPERLINK("https://www.instagram.com/p/BYO_Bh5A2ey/")</f>
        <v>https://www.instagram.com/p/BYO_Bh5A2ey/</v>
      </c>
      <c r="F2840" t="s">
        <v>17109</v>
      </c>
      <c r="G2840" t="s">
        <v>2478</v>
      </c>
      <c r="H2840">
        <v>93</v>
      </c>
      <c r="I2840" t="s">
        <v>2479</v>
      </c>
      <c r="J2840">
        <v>3</v>
      </c>
      <c r="K2840">
        <v>40</v>
      </c>
      <c r="L2840">
        <v>43</v>
      </c>
      <c r="Q2840">
        <v>0</v>
      </c>
      <c r="R2840">
        <v>0</v>
      </c>
      <c r="S2840">
        <v>43</v>
      </c>
      <c r="Y2840" t="s">
        <v>4839</v>
      </c>
      <c r="Z2840" t="s">
        <v>5662</v>
      </c>
      <c r="AA2840" t="s">
        <v>17110</v>
      </c>
      <c r="AB2840" t="s">
        <v>12047</v>
      </c>
      <c r="AC2840" t="s">
        <v>17111</v>
      </c>
      <c r="AD2840" s="249" t="str">
        <f>HYPERLINK("https://scontent.cdninstagram.com/t51.2885-15/s320x320/e35/21040878_735821649937354_9188078899014139904_n.jpg")</f>
        <v>https://scontent.cdninstagram.com/t51.2885-15/s320x320/e35/21040878_735821649937354_9188078899014139904_n.jpg</v>
      </c>
      <c r="AE2840" s="249" t="str">
        <f>HYPERLINK("https://scontent.cdninstagram.com/t51.2885-19/s150x150/18722414_1929874740617287_7467972564577419264_a.jpg")</f>
        <v>https://scontent.cdninstagram.com/t51.2885-19/s150x150/18722414_1929874740617287_7467972564577419264_a.jpg</v>
      </c>
    </row>
    <row r="2841" spans="1:31" ht="15" x14ac:dyDescent="0.25">
      <c r="A2841" t="s">
        <v>2474</v>
      </c>
      <c r="B2841" t="s">
        <v>17112</v>
      </c>
      <c r="C2841" s="221">
        <v>42972.786493055559</v>
      </c>
      <c r="D2841" t="s">
        <v>17113</v>
      </c>
      <c r="E2841" s="249" t="str">
        <f>HYPERLINK("https://www.instagram.com/p/BYO_VzUB20Q/")</f>
        <v>https://www.instagram.com/p/BYO_VzUB20Q/</v>
      </c>
      <c r="F2841" t="s">
        <v>17114</v>
      </c>
      <c r="G2841" t="s">
        <v>2478</v>
      </c>
      <c r="H2841">
        <v>1288</v>
      </c>
      <c r="I2841" t="s">
        <v>2479</v>
      </c>
      <c r="J2841">
        <v>1</v>
      </c>
      <c r="K2841">
        <v>79</v>
      </c>
      <c r="L2841">
        <v>80</v>
      </c>
      <c r="Q2841">
        <v>0</v>
      </c>
      <c r="R2841">
        <v>0</v>
      </c>
      <c r="S2841">
        <v>80</v>
      </c>
      <c r="Y2841" t="s">
        <v>17115</v>
      </c>
      <c r="Z2841" t="s">
        <v>17116</v>
      </c>
      <c r="AA2841" t="s">
        <v>3952</v>
      </c>
      <c r="AB2841" t="s">
        <v>5422</v>
      </c>
      <c r="AC2841" t="s">
        <v>17117</v>
      </c>
      <c r="AD2841" s="249" t="str">
        <f>HYPERLINK("https://scontent.cdninstagram.com/t51.2885-15/s320x320/e35/10569961_263156327535187_1752166779242676224_n.jpg")</f>
        <v>https://scontent.cdninstagram.com/t51.2885-15/s320x320/e35/10569961_263156327535187_1752166779242676224_n.jpg</v>
      </c>
      <c r="AE2841" s="249" t="str">
        <f>HYPERLINK("https://scontent.cdninstagram.com/t51.2885-19/s150x150/21041247_114041635964386_1044984711555842048_a.jpg")</f>
        <v>https://scontent.cdninstagram.com/t51.2885-19/s150x150/21041247_114041635964386_1044984711555842048_a.jpg</v>
      </c>
    </row>
    <row r="2842" spans="1:31" ht="15" x14ac:dyDescent="0.25">
      <c r="A2842" t="s">
        <v>2474</v>
      </c>
      <c r="B2842" t="s">
        <v>17118</v>
      </c>
      <c r="C2842" s="221">
        <v>42972.799224537041</v>
      </c>
      <c r="D2842" t="s">
        <v>17119</v>
      </c>
      <c r="E2842" s="249" t="str">
        <f>HYPERLINK("https://www.instagram.com/p/BYPBcGUh_Nj/")</f>
        <v>https://www.instagram.com/p/BYPBcGUh_Nj/</v>
      </c>
      <c r="F2842" t="s">
        <v>17120</v>
      </c>
      <c r="G2842" t="s">
        <v>2478</v>
      </c>
      <c r="H2842">
        <v>1</v>
      </c>
      <c r="I2842" t="s">
        <v>2479</v>
      </c>
      <c r="J2842">
        <v>0</v>
      </c>
      <c r="K2842">
        <v>2</v>
      </c>
      <c r="L2842">
        <v>2</v>
      </c>
      <c r="Q2842">
        <v>0</v>
      </c>
      <c r="R2842">
        <v>0</v>
      </c>
      <c r="S2842">
        <v>2</v>
      </c>
      <c r="Y2842" t="s">
        <v>17121</v>
      </c>
      <c r="Z2842" t="s">
        <v>17122</v>
      </c>
      <c r="AA2842" t="s">
        <v>2497</v>
      </c>
      <c r="AD2842" s="249" t="str">
        <f>HYPERLINK("https://scontent.cdninstagram.com/t51.2885-15/s320x320/e35/21041078_139933956607832_5168920873616277504_n.jpg")</f>
        <v>https://scontent.cdninstagram.com/t51.2885-15/s320x320/e35/21041078_139933956607832_5168920873616277504_n.jpg</v>
      </c>
      <c r="AE2842" s="249" t="str">
        <f>HYPERLINK("https://scontent.cdninstagram.com/t51.2885-19/s150x150/21107162_1713911475326327_4696743159915347968_a.jpg")</f>
        <v>https://scontent.cdninstagram.com/t51.2885-19/s150x150/21107162_1713911475326327_4696743159915347968_a.jpg</v>
      </c>
    </row>
    <row r="2843" spans="1:31" ht="15" x14ac:dyDescent="0.25">
      <c r="A2843" t="s">
        <v>2474</v>
      </c>
      <c r="B2843" t="s">
        <v>17123</v>
      </c>
      <c r="C2843" s="221">
        <v>42972.801134259258</v>
      </c>
      <c r="D2843" t="s">
        <v>17124</v>
      </c>
      <c r="E2843" s="249" t="str">
        <f>HYPERLINK("https://www.instagram.com/p/BYPBwPuh8Si/")</f>
        <v>https://www.instagram.com/p/BYPBwPuh8Si/</v>
      </c>
      <c r="F2843" t="s">
        <v>17125</v>
      </c>
      <c r="G2843" t="s">
        <v>2478</v>
      </c>
      <c r="H2843">
        <v>921</v>
      </c>
      <c r="I2843" t="s">
        <v>2479</v>
      </c>
      <c r="J2843">
        <v>2</v>
      </c>
      <c r="K2843">
        <v>52</v>
      </c>
      <c r="L2843">
        <v>54</v>
      </c>
      <c r="Q2843">
        <v>0</v>
      </c>
      <c r="R2843">
        <v>0</v>
      </c>
      <c r="S2843">
        <v>54</v>
      </c>
      <c r="Y2843" t="s">
        <v>7735</v>
      </c>
      <c r="Z2843" t="s">
        <v>8487</v>
      </c>
      <c r="AA2843" t="s">
        <v>13777</v>
      </c>
      <c r="AB2843" t="s">
        <v>4988</v>
      </c>
      <c r="AC2843" t="s">
        <v>17126</v>
      </c>
      <c r="AD2843" s="249" t="str">
        <f>HYPERLINK("https://scontent.cdninstagram.com/t51.2885-15/s320x320/e35/20987548_1502705396456670_5824749911425417216_n.jpg")</f>
        <v>https://scontent.cdninstagram.com/t51.2885-15/s320x320/e35/20987548_1502705396456670_5824749911425417216_n.jpg</v>
      </c>
      <c r="AE2843" s="249" t="str">
        <f>HYPERLINK("https://scontent.cdninstagram.com/t51.2885-19/s150x150/16583350_376657466034853_3468099715432710144_a.jpg")</f>
        <v>https://scontent.cdninstagram.com/t51.2885-19/s150x150/16583350_376657466034853_3468099715432710144_a.jpg</v>
      </c>
    </row>
    <row r="2844" spans="1:31" ht="15" x14ac:dyDescent="0.25">
      <c r="A2844" t="s">
        <v>2474</v>
      </c>
      <c r="B2844" t="s">
        <v>17127</v>
      </c>
      <c r="C2844" s="221">
        <v>42972.811516203707</v>
      </c>
      <c r="D2844" t="s">
        <v>17128</v>
      </c>
      <c r="E2844" s="249" t="str">
        <f>HYPERLINK("https://www.instagram.com/p/BYPDdvOAQQY/")</f>
        <v>https://www.instagram.com/p/BYPDdvOAQQY/</v>
      </c>
      <c r="F2844" t="s">
        <v>17129</v>
      </c>
      <c r="G2844" t="s">
        <v>2478</v>
      </c>
      <c r="H2844">
        <v>91</v>
      </c>
      <c r="I2844" t="s">
        <v>2479</v>
      </c>
      <c r="J2844">
        <v>0</v>
      </c>
      <c r="K2844">
        <v>13</v>
      </c>
      <c r="L2844">
        <v>13</v>
      </c>
      <c r="Q2844">
        <v>0</v>
      </c>
      <c r="R2844">
        <v>0</v>
      </c>
      <c r="S2844">
        <v>13</v>
      </c>
      <c r="T2844" t="s">
        <v>17130</v>
      </c>
      <c r="U2844" t="s">
        <v>132</v>
      </c>
      <c r="V2844" t="s">
        <v>2299</v>
      </c>
      <c r="W2844">
        <v>39.290300000000002</v>
      </c>
      <c r="X2844">
        <v>-76.612499999999997</v>
      </c>
      <c r="Y2844" t="s">
        <v>3145</v>
      </c>
      <c r="Z2844" t="s">
        <v>4464</v>
      </c>
      <c r="AA2844" t="s">
        <v>17131</v>
      </c>
      <c r="AB2844" t="s">
        <v>17132</v>
      </c>
      <c r="AC2844" t="s">
        <v>2497</v>
      </c>
      <c r="AD2844" s="249" t="str">
        <f>HYPERLINK("https://scontent.cdninstagram.com/t51.2885-15/s320x320/e35/21040938_509090599423370_2339376851140476928_n.jpg")</f>
        <v>https://scontent.cdninstagram.com/t51.2885-15/s320x320/e35/21040938_509090599423370_2339376851140476928_n.jpg</v>
      </c>
      <c r="AE2844" s="249" t="str">
        <f>HYPERLINK("https://scontent.cdninstagram.com/t51.2885-19/s150x150/13151282_468280206695928_1381726271_a.jpg")</f>
        <v>https://scontent.cdninstagram.com/t51.2885-19/s150x150/13151282_468280206695928_1381726271_a.jpg</v>
      </c>
    </row>
    <row r="2845" spans="1:31" ht="15" x14ac:dyDescent="0.25">
      <c r="A2845" t="s">
        <v>2474</v>
      </c>
      <c r="B2845" t="s">
        <v>17133</v>
      </c>
      <c r="C2845" s="221">
        <v>42972.811793981484</v>
      </c>
      <c r="D2845" t="s">
        <v>17134</v>
      </c>
      <c r="E2845" s="249" t="str">
        <f>HYPERLINK("https://www.instagram.com/p/BYPDgqRgwPr/")</f>
        <v>https://www.instagram.com/p/BYPDgqRgwPr/</v>
      </c>
      <c r="F2845" t="s">
        <v>2872</v>
      </c>
      <c r="G2845" t="s">
        <v>2478</v>
      </c>
      <c r="H2845">
        <v>1729</v>
      </c>
      <c r="I2845" t="s">
        <v>2479</v>
      </c>
      <c r="J2845">
        <v>0</v>
      </c>
      <c r="K2845">
        <v>10</v>
      </c>
      <c r="L2845">
        <v>10</v>
      </c>
      <c r="Q2845">
        <v>0</v>
      </c>
      <c r="R2845">
        <v>0</v>
      </c>
      <c r="S2845">
        <v>10</v>
      </c>
      <c r="Y2845" t="s">
        <v>2497</v>
      </c>
      <c r="AD2845" s="249" t="str">
        <f>HYPERLINK("https://scontent.cdninstagram.com/t51.2885-15/s320x320/e35/21040992_1983460708598301_4488862774239166464_n.jpg")</f>
        <v>https://scontent.cdninstagram.com/t51.2885-15/s320x320/e35/21040992_1983460708598301_4488862774239166464_n.jpg</v>
      </c>
      <c r="AE2845" s="249" t="str">
        <f>HYPERLINK("https://scontent.cdninstagram.com/t51.2885-19/s150x150/20969157_678552195680080_1562226931523387392_a.jpg")</f>
        <v>https://scontent.cdninstagram.com/t51.2885-19/s150x150/20969157_678552195680080_1562226931523387392_a.jpg</v>
      </c>
    </row>
    <row r="2846" spans="1:31" ht="15" x14ac:dyDescent="0.25">
      <c r="A2846" t="s">
        <v>2474</v>
      </c>
      <c r="B2846" t="s">
        <v>17135</v>
      </c>
      <c r="C2846" s="221">
        <v>42972.81486111111</v>
      </c>
      <c r="D2846" t="s">
        <v>17136</v>
      </c>
      <c r="E2846" s="249" t="str">
        <f>HYPERLINK("https://www.instagram.com/p/BYPEA7uHVlT/")</f>
        <v>https://www.instagram.com/p/BYPEA7uHVlT/</v>
      </c>
      <c r="F2846" t="s">
        <v>17137</v>
      </c>
      <c r="G2846" t="s">
        <v>2478</v>
      </c>
      <c r="H2846">
        <v>941</v>
      </c>
      <c r="I2846" t="s">
        <v>2479</v>
      </c>
      <c r="J2846">
        <v>0</v>
      </c>
      <c r="K2846">
        <v>139</v>
      </c>
      <c r="L2846">
        <v>139</v>
      </c>
      <c r="Q2846">
        <v>0</v>
      </c>
      <c r="R2846">
        <v>0</v>
      </c>
      <c r="S2846">
        <v>139</v>
      </c>
      <c r="Y2846" t="s">
        <v>6172</v>
      </c>
      <c r="Z2846" t="s">
        <v>12047</v>
      </c>
      <c r="AA2846" t="s">
        <v>17138</v>
      </c>
      <c r="AB2846" t="s">
        <v>17139</v>
      </c>
      <c r="AC2846" t="s">
        <v>7287</v>
      </c>
      <c r="AD2846" s="249" t="str">
        <f>HYPERLINK("https://scontent.cdninstagram.com/t51.2885-15/s320x320/e35/21149016_1726543267648646_6397343681333952512_n.jpg")</f>
        <v>https://scontent.cdninstagram.com/t51.2885-15/s320x320/e35/21149016_1726543267648646_6397343681333952512_n.jpg</v>
      </c>
      <c r="AE2846" s="249" t="str">
        <f>HYPERLINK("https://scontent.cdninstagram.com/t51.2885-19/s150x150/21041514_826811967492680_912877758118363136_n.jpg")</f>
        <v>https://scontent.cdninstagram.com/t51.2885-19/s150x150/21041514_826811967492680_912877758118363136_n.jpg</v>
      </c>
    </row>
    <row r="2847" spans="1:31" ht="15" x14ac:dyDescent="0.25">
      <c r="A2847" t="s">
        <v>2474</v>
      </c>
      <c r="B2847" t="s">
        <v>15206</v>
      </c>
      <c r="C2847" s="221">
        <v>42972.823425925926</v>
      </c>
      <c r="D2847" t="s">
        <v>17140</v>
      </c>
      <c r="E2847" s="249" t="str">
        <f>HYPERLINK("https://www.instagram.com/p/BYPFbWphl5b/")</f>
        <v>https://www.instagram.com/p/BYPFbWphl5b/</v>
      </c>
      <c r="F2847" t="s">
        <v>17141</v>
      </c>
      <c r="G2847" t="s">
        <v>2478</v>
      </c>
      <c r="H2847">
        <v>60797</v>
      </c>
      <c r="I2847" t="s">
        <v>2479</v>
      </c>
      <c r="J2847">
        <v>7</v>
      </c>
      <c r="K2847">
        <v>1112</v>
      </c>
      <c r="L2847">
        <v>1119</v>
      </c>
      <c r="Q2847">
        <v>0</v>
      </c>
      <c r="R2847">
        <v>0</v>
      </c>
      <c r="S2847">
        <v>1119</v>
      </c>
      <c r="AD2847" s="249" t="str">
        <f>HYPERLINK("https://scontent.cdninstagram.com/t51.2885-15/e35/p320x320/21107437_261689331008306_3050699881480978432_n.jpg")</f>
        <v>https://scontent.cdninstagram.com/t51.2885-15/e35/p320x320/21107437_261689331008306_3050699881480978432_n.jpg</v>
      </c>
      <c r="AE2847" s="249" t="str">
        <f>HYPERLINK("https://scontent.cdninstagram.com/t51.2885-19/17663530_1657274724581959_2295744149531394048_n.jpg")</f>
        <v>https://scontent.cdninstagram.com/t51.2885-19/17663530_1657274724581959_2295744149531394048_n.jpg</v>
      </c>
    </row>
    <row r="2848" spans="1:31" ht="15" x14ac:dyDescent="0.25">
      <c r="A2848" t="s">
        <v>2474</v>
      </c>
      <c r="B2848" t="s">
        <v>17142</v>
      </c>
      <c r="C2848" s="221">
        <v>42972.835069444445</v>
      </c>
      <c r="D2848" t="s">
        <v>17143</v>
      </c>
      <c r="E2848" s="249" t="str">
        <f>HYPERLINK("https://www.instagram.com/p/BYPHWIKHm99/")</f>
        <v>https://www.instagram.com/p/BYPHWIKHm99/</v>
      </c>
      <c r="F2848" t="s">
        <v>17144</v>
      </c>
      <c r="G2848" t="s">
        <v>2478</v>
      </c>
      <c r="H2848">
        <v>87</v>
      </c>
      <c r="I2848" t="s">
        <v>2479</v>
      </c>
      <c r="J2848">
        <v>0</v>
      </c>
      <c r="K2848">
        <v>34</v>
      </c>
      <c r="L2848">
        <v>34</v>
      </c>
      <c r="Q2848">
        <v>0</v>
      </c>
      <c r="R2848">
        <v>0</v>
      </c>
      <c r="S2848">
        <v>34</v>
      </c>
      <c r="T2848" t="s">
        <v>17145</v>
      </c>
      <c r="U2848" t="s">
        <v>338</v>
      </c>
      <c r="V2848" t="s">
        <v>2299</v>
      </c>
      <c r="W2848">
        <v>35.320555555555998</v>
      </c>
      <c r="X2848">
        <v>-82.461666666667</v>
      </c>
      <c r="Y2848" t="s">
        <v>9307</v>
      </c>
      <c r="Z2848" t="s">
        <v>17146</v>
      </c>
      <c r="AA2848" t="s">
        <v>2844</v>
      </c>
      <c r="AB2848" t="s">
        <v>2696</v>
      </c>
      <c r="AC2848" t="s">
        <v>2497</v>
      </c>
      <c r="AD2848" s="249" t="str">
        <f>HYPERLINK("https://scontent.cdninstagram.com/t51.2885-15/e35/p320x320/21040960_499914333689817_5094904881865555968_n.jpg")</f>
        <v>https://scontent.cdninstagram.com/t51.2885-15/e35/p320x320/21040960_499914333689817_5094904881865555968_n.jpg</v>
      </c>
      <c r="AE2848" s="249" t="str">
        <f>HYPERLINK("https://scontent.cdninstagram.com/t51.2885-19/s150x150/20398339_1280118012099412_3497595334618513408_a.jpg")</f>
        <v>https://scontent.cdninstagram.com/t51.2885-19/s150x150/20398339_1280118012099412_3497595334618513408_a.jpg</v>
      </c>
    </row>
    <row r="2849" spans="1:31" ht="15" x14ac:dyDescent="0.25">
      <c r="A2849" t="s">
        <v>2474</v>
      </c>
      <c r="B2849" t="s">
        <v>17147</v>
      </c>
      <c r="C2849" s="221">
        <v>42972.85596064815</v>
      </c>
      <c r="D2849" t="s">
        <v>17148</v>
      </c>
      <c r="E2849" s="249" t="str">
        <f>HYPERLINK("https://www.instagram.com/p/BYPKybTgFbc/")</f>
        <v>https://www.instagram.com/p/BYPKybTgFbc/</v>
      </c>
      <c r="F2849" t="s">
        <v>17149</v>
      </c>
      <c r="G2849" t="s">
        <v>2478</v>
      </c>
      <c r="H2849">
        <v>528</v>
      </c>
      <c r="I2849" t="s">
        <v>2479</v>
      </c>
      <c r="J2849">
        <v>1</v>
      </c>
      <c r="K2849">
        <v>39</v>
      </c>
      <c r="L2849">
        <v>40</v>
      </c>
      <c r="Q2849">
        <v>0</v>
      </c>
      <c r="R2849">
        <v>0</v>
      </c>
      <c r="S2849">
        <v>40</v>
      </c>
      <c r="Y2849" t="s">
        <v>2497</v>
      </c>
      <c r="Z2849" t="s">
        <v>4620</v>
      </c>
      <c r="AA2849" t="s">
        <v>5673</v>
      </c>
      <c r="AB2849" t="s">
        <v>17150</v>
      </c>
      <c r="AC2849" t="s">
        <v>12328</v>
      </c>
      <c r="AD2849" s="249" t="str">
        <f>HYPERLINK("https://scontent.cdninstagram.com/t51.2885-15/e35/p320x320/21041209_140027066597460_7631058691919183872_n.jpg")</f>
        <v>https://scontent.cdninstagram.com/t51.2885-15/e35/p320x320/21041209_140027066597460_7631058691919183872_n.jpg</v>
      </c>
      <c r="AE2849" s="249" t="str">
        <f>HYPERLINK("https://scontent.cdninstagram.com/t51.2885-19/s150x150/21041933_343547012761625_6179173413010014208_a.jpg")</f>
        <v>https://scontent.cdninstagram.com/t51.2885-19/s150x150/21041933_343547012761625_6179173413010014208_a.jpg</v>
      </c>
    </row>
    <row r="2850" spans="1:31" ht="15" x14ac:dyDescent="0.25">
      <c r="A2850" t="s">
        <v>2474</v>
      </c>
      <c r="B2850" t="s">
        <v>17151</v>
      </c>
      <c r="C2850" s="221">
        <v>42972.856574074074</v>
      </c>
      <c r="D2850" t="s">
        <v>17152</v>
      </c>
      <c r="E2850" s="249" t="str">
        <f>HYPERLINK("https://www.instagram.com/p/BYPK44yH49U/")</f>
        <v>https://www.instagram.com/p/BYPK44yH49U/</v>
      </c>
      <c r="F2850" t="s">
        <v>17153</v>
      </c>
      <c r="G2850" t="s">
        <v>2478</v>
      </c>
      <c r="H2850">
        <v>63</v>
      </c>
      <c r="I2850" t="s">
        <v>2479</v>
      </c>
      <c r="J2850">
        <v>0</v>
      </c>
      <c r="K2850">
        <v>6</v>
      </c>
      <c r="L2850">
        <v>6</v>
      </c>
      <c r="Q2850">
        <v>0</v>
      </c>
      <c r="R2850">
        <v>0</v>
      </c>
      <c r="S2850">
        <v>6</v>
      </c>
      <c r="Y2850" t="s">
        <v>17154</v>
      </c>
      <c r="Z2850" t="s">
        <v>2497</v>
      </c>
      <c r="AA2850" t="s">
        <v>4808</v>
      </c>
      <c r="AD2850" s="249" t="str">
        <f>HYPERLINK("https://scontent.cdninstagram.com/t51.2885-15/e35/p320x320/21107895_267865220370516_3169593234888327168_n.jpg")</f>
        <v>https://scontent.cdninstagram.com/t51.2885-15/e35/p320x320/21107895_267865220370516_3169593234888327168_n.jpg</v>
      </c>
      <c r="AE2850" s="249" t="str">
        <f>HYPERLINK("https://scontent.cdninstagram.com/t51.2885-19/s150x150/21107753_1867166933308653_4114285306121814016_a.jpg")</f>
        <v>https://scontent.cdninstagram.com/t51.2885-19/s150x150/21107753_1867166933308653_4114285306121814016_a.jpg</v>
      </c>
    </row>
    <row r="2851" spans="1:31" ht="15" x14ac:dyDescent="0.25">
      <c r="A2851" t="s">
        <v>2474</v>
      </c>
      <c r="B2851" t="s">
        <v>17155</v>
      </c>
      <c r="C2851" s="221">
        <v>42972.869629629633</v>
      </c>
      <c r="D2851" t="s">
        <v>17156</v>
      </c>
      <c r="E2851" s="249" t="str">
        <f>HYPERLINK("https://www.instagram.com/p/BYPNCmYF5KZ/")</f>
        <v>https://www.instagram.com/p/BYPNCmYF5KZ/</v>
      </c>
      <c r="F2851" t="s">
        <v>17157</v>
      </c>
      <c r="G2851" t="s">
        <v>2478</v>
      </c>
      <c r="H2851">
        <v>67</v>
      </c>
      <c r="I2851" t="s">
        <v>2479</v>
      </c>
      <c r="J2851">
        <v>0</v>
      </c>
      <c r="K2851">
        <v>5</v>
      </c>
      <c r="L2851">
        <v>5</v>
      </c>
      <c r="Q2851">
        <v>0</v>
      </c>
      <c r="R2851">
        <v>0</v>
      </c>
      <c r="S2851">
        <v>5</v>
      </c>
      <c r="Y2851" t="s">
        <v>2497</v>
      </c>
      <c r="AD2851" s="249" t="str">
        <f>HYPERLINK("https://scontent.cdninstagram.com/t51.2885-15/s320x320/e35/21041226_115932609070914_3952709796087463936_n.jpg")</f>
        <v>https://scontent.cdninstagram.com/t51.2885-15/s320x320/e35/21041226_115932609070914_3952709796087463936_n.jpg</v>
      </c>
      <c r="AE2851" s="249" t="str">
        <f>HYPERLINK("https://scontent.cdninstagram.com/t51.2885-19/s150x150/21149374_117140105599162_450966622572642304_a.jpg")</f>
        <v>https://scontent.cdninstagram.com/t51.2885-19/s150x150/21149374_117140105599162_450966622572642304_a.jpg</v>
      </c>
    </row>
    <row r="2852" spans="1:31" ht="15" x14ac:dyDescent="0.25">
      <c r="A2852" t="s">
        <v>2474</v>
      </c>
      <c r="B2852" t="s">
        <v>17158</v>
      </c>
      <c r="C2852" s="221">
        <v>42972.876747685186</v>
      </c>
      <c r="D2852" t="s">
        <v>17159</v>
      </c>
      <c r="E2852" s="249" t="str">
        <f>HYPERLINK("https://www.instagram.com/p/BYPONvAnSVr/")</f>
        <v>https://www.instagram.com/p/BYPONvAnSVr/</v>
      </c>
      <c r="F2852" t="s">
        <v>17160</v>
      </c>
      <c r="G2852" t="s">
        <v>2478</v>
      </c>
      <c r="H2852">
        <v>355</v>
      </c>
      <c r="I2852" t="s">
        <v>2479</v>
      </c>
      <c r="J2852">
        <v>4</v>
      </c>
      <c r="K2852">
        <v>70</v>
      </c>
      <c r="L2852">
        <v>74</v>
      </c>
      <c r="Q2852">
        <v>0</v>
      </c>
      <c r="R2852">
        <v>0</v>
      </c>
      <c r="S2852">
        <v>74</v>
      </c>
      <c r="Y2852" t="s">
        <v>6760</v>
      </c>
      <c r="Z2852" t="s">
        <v>5982</v>
      </c>
      <c r="AA2852" t="s">
        <v>17161</v>
      </c>
      <c r="AB2852" t="s">
        <v>17162</v>
      </c>
      <c r="AC2852" t="s">
        <v>3534</v>
      </c>
      <c r="AD2852" s="249" t="str">
        <f>HYPERLINK("https://scontent.cdninstagram.com/t51.2885-15/s320x320/e35/21041349_112921102713026_5303778517383643136_n.jpg")</f>
        <v>https://scontent.cdninstagram.com/t51.2885-15/s320x320/e35/21041349_112921102713026_5303778517383643136_n.jpg</v>
      </c>
      <c r="AE2852" s="249" t="str">
        <f>HYPERLINK("https://scontent.cdninstagram.com/t51.2885-19/s150x150/13658639_315931348749567_46952542_a.jpg")</f>
        <v>https://scontent.cdninstagram.com/t51.2885-19/s150x150/13658639_315931348749567_46952542_a.jpg</v>
      </c>
    </row>
    <row r="2853" spans="1:31" ht="15" x14ac:dyDescent="0.25">
      <c r="A2853" t="s">
        <v>2474</v>
      </c>
      <c r="B2853" t="s">
        <v>17163</v>
      </c>
      <c r="C2853" s="221">
        <v>42972.880370370367</v>
      </c>
      <c r="D2853" t="s">
        <v>17164</v>
      </c>
      <c r="E2853" s="249" t="str">
        <f>HYPERLINK("https://www.instagram.com/p/BYPOz5xlY7C/")</f>
        <v>https://www.instagram.com/p/BYPOz5xlY7C/</v>
      </c>
      <c r="F2853" t="s">
        <v>17165</v>
      </c>
      <c r="G2853" t="s">
        <v>2478</v>
      </c>
      <c r="H2853">
        <v>11</v>
      </c>
      <c r="I2853" t="s">
        <v>2479</v>
      </c>
      <c r="J2853">
        <v>0</v>
      </c>
      <c r="K2853">
        <v>6</v>
      </c>
      <c r="L2853">
        <v>6</v>
      </c>
      <c r="Q2853">
        <v>0</v>
      </c>
      <c r="R2853">
        <v>0</v>
      </c>
      <c r="S2853">
        <v>6</v>
      </c>
      <c r="Y2853" t="s">
        <v>3014</v>
      </c>
      <c r="Z2853" t="s">
        <v>17166</v>
      </c>
      <c r="AA2853" t="s">
        <v>2497</v>
      </c>
      <c r="AB2853" t="s">
        <v>17167</v>
      </c>
      <c r="AC2853" t="s">
        <v>17168</v>
      </c>
      <c r="AD2853" s="249" t="str">
        <f>HYPERLINK("https://scontent.cdninstagram.com/t51.2885-15/e35/p320x320/21041304_665121973686795_7576873199829254144_n.jpg")</f>
        <v>https://scontent.cdninstagram.com/t51.2885-15/e35/p320x320/21041304_665121973686795_7576873199829254144_n.jpg</v>
      </c>
      <c r="AE2853" s="249" t="str">
        <f>HYPERLINK("https://scontent.cdninstagram.com/t51.2885-19/s150x150/15251593_1003465866447742_3104185087743229952_a.jpg")</f>
        <v>https://scontent.cdninstagram.com/t51.2885-19/s150x150/15251593_1003465866447742_3104185087743229952_a.jpg</v>
      </c>
    </row>
    <row r="2854" spans="1:31" ht="15" x14ac:dyDescent="0.25">
      <c r="A2854" t="s">
        <v>2474</v>
      </c>
      <c r="B2854" t="s">
        <v>8588</v>
      </c>
      <c r="C2854" s="221">
        <v>42972.886701388888</v>
      </c>
      <c r="D2854" t="s">
        <v>17169</v>
      </c>
      <c r="E2854" s="249" t="str">
        <f>HYPERLINK("https://www.instagram.com/p/BYPP2tOHvGj/")</f>
        <v>https://www.instagram.com/p/BYPP2tOHvGj/</v>
      </c>
      <c r="F2854" t="s">
        <v>17170</v>
      </c>
      <c r="G2854" t="s">
        <v>2478</v>
      </c>
      <c r="H2854">
        <v>119</v>
      </c>
      <c r="I2854" t="s">
        <v>2542</v>
      </c>
      <c r="J2854">
        <v>0</v>
      </c>
      <c r="K2854">
        <v>22</v>
      </c>
      <c r="L2854">
        <v>22</v>
      </c>
      <c r="Q2854">
        <v>0</v>
      </c>
      <c r="R2854">
        <v>0</v>
      </c>
      <c r="S2854">
        <v>22</v>
      </c>
      <c r="Y2854" t="s">
        <v>2737</v>
      </c>
      <c r="Z2854" t="s">
        <v>2497</v>
      </c>
      <c r="AA2854" t="s">
        <v>3160</v>
      </c>
      <c r="AB2854" t="s">
        <v>2827</v>
      </c>
      <c r="AC2854" t="s">
        <v>17171</v>
      </c>
      <c r="AD2854" s="249" t="str">
        <f>HYPERLINK("https://scontent.cdninstagram.com/t51.2885-15/e35/p320x320/21042086_1459040377514527_134992402661244928_n.jpg")</f>
        <v>https://scontent.cdninstagram.com/t51.2885-15/e35/p320x320/21042086_1459040377514527_134992402661244928_n.jpg</v>
      </c>
      <c r="AE2854" s="249" t="str">
        <f>HYPERLINK("https://scontent.cdninstagram.com/t51.2885-19/s150x150/20635188_109311796418036_6462664254095884288_a.jpg")</f>
        <v>https://scontent.cdninstagram.com/t51.2885-19/s150x150/20635188_109311796418036_6462664254095884288_a.jpg</v>
      </c>
    </row>
    <row r="2855" spans="1:31" ht="15" x14ac:dyDescent="0.25">
      <c r="A2855" t="s">
        <v>2474</v>
      </c>
      <c r="B2855" t="s">
        <v>17172</v>
      </c>
      <c r="C2855" s="221">
        <v>42972.896886574075</v>
      </c>
      <c r="D2855" t="s">
        <v>17173</v>
      </c>
      <c r="E2855" s="249" t="str">
        <f>HYPERLINK("https://www.instagram.com/p/BYPRiHIAbgc/")</f>
        <v>https://www.instagram.com/p/BYPRiHIAbgc/</v>
      </c>
      <c r="F2855" t="s">
        <v>17174</v>
      </c>
      <c r="G2855" t="s">
        <v>2478</v>
      </c>
      <c r="H2855">
        <v>322</v>
      </c>
      <c r="I2855" t="s">
        <v>2479</v>
      </c>
      <c r="J2855">
        <v>0</v>
      </c>
      <c r="K2855">
        <v>16</v>
      </c>
      <c r="L2855">
        <v>16</v>
      </c>
      <c r="Q2855">
        <v>0</v>
      </c>
      <c r="R2855">
        <v>0</v>
      </c>
      <c r="S2855">
        <v>16</v>
      </c>
      <c r="Y2855" t="s">
        <v>17175</v>
      </c>
      <c r="Z2855" t="s">
        <v>17176</v>
      </c>
      <c r="AA2855" t="s">
        <v>2497</v>
      </c>
      <c r="AD2855" s="249" t="str">
        <f>HYPERLINK("https://scontent.cdninstagram.com/t51.2885-15/s320x320/e35/21041371_168229840414622_4165883960884199424_n.jpg")</f>
        <v>https://scontent.cdninstagram.com/t51.2885-15/s320x320/e35/21041371_168229840414622_4165883960884199424_n.jpg</v>
      </c>
      <c r="AE2855" s="249" t="str">
        <f>HYPERLINK("https://scontent.cdninstagram.com/t51.2885-19/s150x150/18443677_178215196036342_3857859424789987328_a.jpg")</f>
        <v>https://scontent.cdninstagram.com/t51.2885-19/s150x150/18443677_178215196036342_3857859424789987328_a.jpg</v>
      </c>
    </row>
    <row r="2856" spans="1:31" ht="15" x14ac:dyDescent="0.25">
      <c r="A2856" t="s">
        <v>2474</v>
      </c>
      <c r="B2856" t="s">
        <v>17177</v>
      </c>
      <c r="C2856" s="221">
        <v>42972.911215277774</v>
      </c>
      <c r="D2856" t="s">
        <v>17178</v>
      </c>
      <c r="E2856" s="249" t="str">
        <f>HYPERLINK("https://www.instagram.com/p/BYPT5RcFkSH/")</f>
        <v>https://www.instagram.com/p/BYPT5RcFkSH/</v>
      </c>
      <c r="F2856" t="s">
        <v>17179</v>
      </c>
      <c r="G2856" t="s">
        <v>2478</v>
      </c>
      <c r="H2856">
        <v>18</v>
      </c>
      <c r="I2856" t="s">
        <v>2479</v>
      </c>
      <c r="J2856">
        <v>2</v>
      </c>
      <c r="K2856">
        <v>44</v>
      </c>
      <c r="L2856">
        <v>46</v>
      </c>
      <c r="Q2856">
        <v>0</v>
      </c>
      <c r="R2856">
        <v>0</v>
      </c>
      <c r="S2856">
        <v>46</v>
      </c>
      <c r="Y2856" t="s">
        <v>17180</v>
      </c>
      <c r="Z2856" t="s">
        <v>17181</v>
      </c>
      <c r="AA2856" t="s">
        <v>17182</v>
      </c>
      <c r="AB2856" t="s">
        <v>5943</v>
      </c>
      <c r="AC2856" t="s">
        <v>17183</v>
      </c>
      <c r="AD2856" s="249" t="str">
        <f>HYPERLINK("https://scontent.cdninstagram.com/t51.2885-15/s320x320/e35/21107371_2011451798880915_2477519182816608256_n.jpg")</f>
        <v>https://scontent.cdninstagram.com/t51.2885-15/s320x320/e35/21107371_2011451798880915_2477519182816608256_n.jpg</v>
      </c>
      <c r="AE2856" s="249" t="str">
        <f>HYPERLINK("https://scontent.cdninstagram.com/t51.2885-19/s150x150/20905166_1280234472105463_6296656561150361600_a.jpg")</f>
        <v>https://scontent.cdninstagram.com/t51.2885-19/s150x150/20905166_1280234472105463_6296656561150361600_a.jpg</v>
      </c>
    </row>
    <row r="2857" spans="1:31" ht="15" x14ac:dyDescent="0.25">
      <c r="A2857" t="s">
        <v>2474</v>
      </c>
      <c r="B2857" t="s">
        <v>17184</v>
      </c>
      <c r="C2857" s="221">
        <v>42972.911226851851</v>
      </c>
      <c r="D2857" t="s">
        <v>17185</v>
      </c>
      <c r="E2857" s="249" t="str">
        <f>HYPERLINK("https://www.instagram.com/p/BYPT5Y9l1mE/")</f>
        <v>https://www.instagram.com/p/BYPT5Y9l1mE/</v>
      </c>
      <c r="F2857" t="s">
        <v>17186</v>
      </c>
      <c r="G2857" t="s">
        <v>2478</v>
      </c>
      <c r="H2857">
        <v>58</v>
      </c>
      <c r="I2857" t="s">
        <v>3575</v>
      </c>
      <c r="J2857">
        <v>0</v>
      </c>
      <c r="K2857">
        <v>15</v>
      </c>
      <c r="L2857">
        <v>15</v>
      </c>
      <c r="Q2857">
        <v>0</v>
      </c>
      <c r="R2857">
        <v>0</v>
      </c>
      <c r="S2857">
        <v>15</v>
      </c>
      <c r="Y2857" t="s">
        <v>8007</v>
      </c>
      <c r="Z2857" t="s">
        <v>3246</v>
      </c>
      <c r="AA2857" t="s">
        <v>17187</v>
      </c>
      <c r="AB2857" t="s">
        <v>17188</v>
      </c>
      <c r="AC2857" t="s">
        <v>5655</v>
      </c>
      <c r="AD2857" s="249" t="str">
        <f>HYPERLINK("https://scontent.cdninstagram.com/t51.2885-15/e35/c0.35.320.320/21042399_351753001947040_8301360515385393152_n.jpg")</f>
        <v>https://scontent.cdninstagram.com/t51.2885-15/e35/c0.35.320.320/21042399_351753001947040_8301360515385393152_n.jpg</v>
      </c>
      <c r="AE2857" s="249" t="str">
        <f>HYPERLINK("https://scontent.cdninstagram.com/t51.2885-19/s150x150/16788835_284109418675262_7946259130522533888_a.jpg")</f>
        <v>https://scontent.cdninstagram.com/t51.2885-19/s150x150/16788835_284109418675262_7946259130522533888_a.jpg</v>
      </c>
    </row>
    <row r="2858" spans="1:31" ht="15" x14ac:dyDescent="0.25">
      <c r="A2858" t="s">
        <v>2474</v>
      </c>
      <c r="B2858" t="s">
        <v>17189</v>
      </c>
      <c r="C2858" s="221">
        <v>42972.916250000002</v>
      </c>
      <c r="D2858" t="s">
        <v>17190</v>
      </c>
      <c r="E2858" s="249" t="str">
        <f>HYPERLINK("https://www.instagram.com/p/BYPUuXKls69/")</f>
        <v>https://www.instagram.com/p/BYPUuXKls69/</v>
      </c>
      <c r="F2858" t="s">
        <v>17191</v>
      </c>
      <c r="G2858" t="s">
        <v>2478</v>
      </c>
      <c r="H2858">
        <v>409</v>
      </c>
      <c r="I2858" t="s">
        <v>2479</v>
      </c>
      <c r="J2858">
        <v>10</v>
      </c>
      <c r="K2858">
        <v>45</v>
      </c>
      <c r="L2858">
        <v>55</v>
      </c>
      <c r="Q2858">
        <v>0</v>
      </c>
      <c r="R2858">
        <v>0</v>
      </c>
      <c r="S2858">
        <v>55</v>
      </c>
      <c r="Y2858" t="s">
        <v>2767</v>
      </c>
      <c r="Z2858" t="s">
        <v>17192</v>
      </c>
      <c r="AA2858" t="s">
        <v>17193</v>
      </c>
      <c r="AB2858" t="s">
        <v>17194</v>
      </c>
      <c r="AC2858" t="s">
        <v>3370</v>
      </c>
      <c r="AD2858" s="249" t="str">
        <f>HYPERLINK("https://scontent.cdninstagram.com/t51.2885-15/s320x320/e35/21041570_116265389010587_4888671783651115008_n.jpg")</f>
        <v>https://scontent.cdninstagram.com/t51.2885-15/s320x320/e35/21041570_116265389010587_4888671783651115008_n.jpg</v>
      </c>
      <c r="AE2858" s="249" t="str">
        <f>HYPERLINK("https://scontent.cdninstagram.com/t51.2885-19/s150x150/21147598_1947235482209876_1072008980789723136_a.jpg")</f>
        <v>https://scontent.cdninstagram.com/t51.2885-19/s150x150/21147598_1947235482209876_1072008980789723136_a.jpg</v>
      </c>
    </row>
    <row r="2859" spans="1:31" ht="15" x14ac:dyDescent="0.25">
      <c r="A2859" t="s">
        <v>2474</v>
      </c>
      <c r="B2859" t="s">
        <v>17195</v>
      </c>
      <c r="C2859" s="221">
        <v>42972.921388888892</v>
      </c>
      <c r="D2859" t="s">
        <v>17196</v>
      </c>
      <c r="E2859" s="249" t="str">
        <f>HYPERLINK("https://www.instagram.com/p/BYPVkhXDW2F/")</f>
        <v>https://www.instagram.com/p/BYPVkhXDW2F/</v>
      </c>
      <c r="F2859" t="s">
        <v>17197</v>
      </c>
      <c r="G2859" t="s">
        <v>2631</v>
      </c>
      <c r="H2859">
        <v>239</v>
      </c>
      <c r="I2859" t="s">
        <v>2510</v>
      </c>
      <c r="J2859">
        <v>0</v>
      </c>
      <c r="K2859">
        <v>35</v>
      </c>
      <c r="L2859">
        <v>35</v>
      </c>
      <c r="Q2859">
        <v>0</v>
      </c>
      <c r="R2859">
        <v>0</v>
      </c>
      <c r="S2859">
        <v>35</v>
      </c>
      <c r="Y2859" t="s">
        <v>2513</v>
      </c>
      <c r="Z2859" t="s">
        <v>17198</v>
      </c>
      <c r="AA2859" t="s">
        <v>16665</v>
      </c>
      <c r="AB2859" t="s">
        <v>2497</v>
      </c>
      <c r="AC2859" t="s">
        <v>5884</v>
      </c>
      <c r="AD2859" s="249" t="str">
        <f>HYPERLINK("https://scontent.cdninstagram.com/t51.2885-15/s320x320/e35/20635472_122085951713962_763249932273451008_n.jpg")</f>
        <v>https://scontent.cdninstagram.com/t51.2885-15/s320x320/e35/20635472_122085951713962_763249932273451008_n.jpg</v>
      </c>
      <c r="AE2859" s="249" t="str">
        <f>HYPERLINK("https://scontent.cdninstagram.com/t51.2885-19/s150x150/19050891_748516295331103_6267213911796219904_a.jpg")</f>
        <v>https://scontent.cdninstagram.com/t51.2885-19/s150x150/19050891_748516295331103_6267213911796219904_a.jpg</v>
      </c>
    </row>
    <row r="2860" spans="1:31" ht="15" x14ac:dyDescent="0.25">
      <c r="A2860" t="s">
        <v>2474</v>
      </c>
      <c r="B2860" t="s">
        <v>6831</v>
      </c>
      <c r="C2860" s="221">
        <v>42972.924710648149</v>
      </c>
      <c r="D2860" t="s">
        <v>17199</v>
      </c>
      <c r="E2860" s="249" t="str">
        <f>HYPERLINK("https://www.instagram.com/p/BYPWHlaFJD3/")</f>
        <v>https://www.instagram.com/p/BYPWHlaFJD3/</v>
      </c>
      <c r="F2860" t="s">
        <v>17200</v>
      </c>
      <c r="G2860" t="s">
        <v>2478</v>
      </c>
      <c r="H2860">
        <v>68</v>
      </c>
      <c r="I2860" t="s">
        <v>2479</v>
      </c>
      <c r="J2860">
        <v>0</v>
      </c>
      <c r="K2860">
        <v>19</v>
      </c>
      <c r="L2860">
        <v>19</v>
      </c>
      <c r="Q2860">
        <v>0</v>
      </c>
      <c r="R2860">
        <v>0</v>
      </c>
      <c r="S2860">
        <v>19</v>
      </c>
      <c r="Y2860" t="s">
        <v>17201</v>
      </c>
      <c r="Z2860" t="s">
        <v>17162</v>
      </c>
      <c r="AA2860" t="s">
        <v>2497</v>
      </c>
      <c r="AB2860" t="s">
        <v>17115</v>
      </c>
      <c r="AC2860" t="s">
        <v>2730</v>
      </c>
      <c r="AD2860" s="249" t="str">
        <f>HYPERLINK("https://scontent.cdninstagram.com/t51.2885-15/s320x320/e35/21107943_1943533972525846_8221098833732435968_n.jpg")</f>
        <v>https://scontent.cdninstagram.com/t51.2885-15/s320x320/e35/21107943_1943533972525846_8221098833732435968_n.jpg</v>
      </c>
      <c r="AE2860" s="249" t="str">
        <f>HYPERLINK("https://scontent.cdninstagram.com/t51.2885-19/s150x150/20482501_117348152247416_6073181359675801600_a.jpg")</f>
        <v>https://scontent.cdninstagram.com/t51.2885-19/s150x150/20482501_117348152247416_6073181359675801600_a.jpg</v>
      </c>
    </row>
    <row r="2861" spans="1:31" ht="15" x14ac:dyDescent="0.25">
      <c r="A2861" t="s">
        <v>2474</v>
      </c>
      <c r="B2861" t="s">
        <v>6721</v>
      </c>
      <c r="C2861" s="221">
        <v>42972.926296296297</v>
      </c>
      <c r="D2861" t="s">
        <v>17202</v>
      </c>
      <c r="E2861" s="249" t="str">
        <f>HYPERLINK("https://www.instagram.com/p/BYPWYPYg5_6/")</f>
        <v>https://www.instagram.com/p/BYPWYPYg5_6/</v>
      </c>
      <c r="F2861" t="s">
        <v>17203</v>
      </c>
      <c r="G2861" t="s">
        <v>2478</v>
      </c>
      <c r="H2861">
        <v>101</v>
      </c>
      <c r="I2861" t="s">
        <v>2479</v>
      </c>
      <c r="J2861">
        <v>1</v>
      </c>
      <c r="K2861">
        <v>47</v>
      </c>
      <c r="L2861">
        <v>48</v>
      </c>
      <c r="Q2861">
        <v>0</v>
      </c>
      <c r="R2861">
        <v>0</v>
      </c>
      <c r="S2861">
        <v>48</v>
      </c>
      <c r="Y2861" t="s">
        <v>9794</v>
      </c>
      <c r="Z2861" t="s">
        <v>12213</v>
      </c>
      <c r="AA2861" t="s">
        <v>17204</v>
      </c>
      <c r="AB2861" t="s">
        <v>17183</v>
      </c>
      <c r="AC2861" t="s">
        <v>17205</v>
      </c>
      <c r="AD2861" s="249" t="str">
        <f>HYPERLINK("https://scontent.cdninstagram.com/t51.2885-15/s320x320/e35/21042626_1712269385735657_770010215092322304_n.jpg")</f>
        <v>https://scontent.cdninstagram.com/t51.2885-15/s320x320/e35/21042626_1712269385735657_770010215092322304_n.jpg</v>
      </c>
      <c r="AE2861" s="249" t="str">
        <f>HYPERLINK("https://scontent.cdninstagram.com/t51.2885-19/s150x150/21226962_837497949743188_2621730496555515904_a.jpg")</f>
        <v>https://scontent.cdninstagram.com/t51.2885-19/s150x150/21226962_837497949743188_2621730496555515904_a.jpg</v>
      </c>
    </row>
    <row r="2862" spans="1:31" ht="15" x14ac:dyDescent="0.25">
      <c r="A2862" t="s">
        <v>2474</v>
      </c>
      <c r="B2862" t="s">
        <v>17206</v>
      </c>
      <c r="C2862" s="221">
        <v>42972.93037037037</v>
      </c>
      <c r="D2862" t="s">
        <v>17207</v>
      </c>
      <c r="E2862" s="249" t="str">
        <f>HYPERLINK("https://www.instagram.com/p/BYPXDTNHcjg/")</f>
        <v>https://www.instagram.com/p/BYPXDTNHcjg/</v>
      </c>
      <c r="F2862" t="s">
        <v>17208</v>
      </c>
      <c r="G2862" t="s">
        <v>2478</v>
      </c>
      <c r="H2862">
        <v>15</v>
      </c>
      <c r="I2862" t="s">
        <v>2479</v>
      </c>
      <c r="J2862">
        <v>0</v>
      </c>
      <c r="K2862">
        <v>4</v>
      </c>
      <c r="L2862">
        <v>4</v>
      </c>
      <c r="Q2862">
        <v>0</v>
      </c>
      <c r="R2862">
        <v>0</v>
      </c>
      <c r="S2862">
        <v>4</v>
      </c>
      <c r="Y2862" t="s">
        <v>6049</v>
      </c>
      <c r="Z2862" t="s">
        <v>4987</v>
      </c>
      <c r="AA2862" t="s">
        <v>17209</v>
      </c>
      <c r="AB2862" t="s">
        <v>2497</v>
      </c>
      <c r="AD2862" s="249" t="str">
        <f>HYPERLINK("https://scontent.cdninstagram.com/t51.2885-15/s320x320/e35/21040928_125462528097668_7099057246335664128_n.jpg")</f>
        <v>https://scontent.cdninstagram.com/t51.2885-15/s320x320/e35/21040928_125462528097668_7099057246335664128_n.jpg</v>
      </c>
      <c r="AE2862" s="249" t="str">
        <f>HYPERLINK("https://scontent.cdninstagram.com/t51.2885-19/s150x150/20969162_688709571324894_6906950501716197376_a.jpg")</f>
        <v>https://scontent.cdninstagram.com/t51.2885-19/s150x150/20969162_688709571324894_6906950501716197376_a.jpg</v>
      </c>
    </row>
    <row r="2863" spans="1:31" ht="15" x14ac:dyDescent="0.25">
      <c r="A2863" t="s">
        <v>2474</v>
      </c>
      <c r="B2863" t="s">
        <v>3015</v>
      </c>
      <c r="C2863" s="221">
        <v>42972.93476851852</v>
      </c>
      <c r="D2863" t="s">
        <v>17210</v>
      </c>
      <c r="E2863" s="249" t="str">
        <f>HYPERLINK("https://www.instagram.com/p/BYPXxrfA944/")</f>
        <v>https://www.instagram.com/p/BYPXxrfA944/</v>
      </c>
      <c r="F2863" t="s">
        <v>17211</v>
      </c>
      <c r="G2863" t="s">
        <v>2478</v>
      </c>
      <c r="H2863">
        <v>238</v>
      </c>
      <c r="I2863" t="s">
        <v>2479</v>
      </c>
      <c r="J2863">
        <v>0</v>
      </c>
      <c r="K2863">
        <v>34</v>
      </c>
      <c r="L2863">
        <v>34</v>
      </c>
      <c r="Q2863">
        <v>0</v>
      </c>
      <c r="R2863">
        <v>0</v>
      </c>
      <c r="S2863">
        <v>34</v>
      </c>
      <c r="Y2863" t="s">
        <v>3018</v>
      </c>
      <c r="Z2863" t="s">
        <v>4126</v>
      </c>
      <c r="AA2863" t="s">
        <v>3726</v>
      </c>
      <c r="AB2863" t="s">
        <v>10032</v>
      </c>
      <c r="AC2863" t="s">
        <v>3492</v>
      </c>
      <c r="AD2863" s="249" t="str">
        <f>HYPERLINK("https://scontent.cdninstagram.com/t51.2885-15/s320x320/e35/21041440_1985565208340081_9221903020600590336_n.jpg")</f>
        <v>https://scontent.cdninstagram.com/t51.2885-15/s320x320/e35/21041440_1985565208340081_9221903020600590336_n.jpg</v>
      </c>
      <c r="AE2863" s="249" t="str">
        <f>HYPERLINK("https://scontent.cdninstagram.com/t51.2885-19/s150x150/19761452_1876060406050696_4275948751316582400_a.jpg")</f>
        <v>https://scontent.cdninstagram.com/t51.2885-19/s150x150/19761452_1876060406050696_4275948751316582400_a.jpg</v>
      </c>
    </row>
    <row r="2864" spans="1:31" ht="15" x14ac:dyDescent="0.25">
      <c r="A2864" t="s">
        <v>2474</v>
      </c>
      <c r="B2864" t="s">
        <v>3015</v>
      </c>
      <c r="C2864" s="221">
        <v>42972.938530092593</v>
      </c>
      <c r="D2864" t="s">
        <v>17212</v>
      </c>
      <c r="E2864" s="249" t="str">
        <f>HYPERLINK("https://www.instagram.com/p/BYPYZS5gkdx/")</f>
        <v>https://www.instagram.com/p/BYPYZS5gkdx/</v>
      </c>
      <c r="F2864" t="s">
        <v>17213</v>
      </c>
      <c r="G2864" t="s">
        <v>2478</v>
      </c>
      <c r="H2864">
        <v>238</v>
      </c>
      <c r="I2864" t="s">
        <v>2479</v>
      </c>
      <c r="J2864">
        <v>0</v>
      </c>
      <c r="K2864">
        <v>29</v>
      </c>
      <c r="L2864">
        <v>29</v>
      </c>
      <c r="Q2864">
        <v>0</v>
      </c>
      <c r="R2864">
        <v>0</v>
      </c>
      <c r="S2864">
        <v>29</v>
      </c>
      <c r="Y2864" t="s">
        <v>3018</v>
      </c>
      <c r="Z2864" t="s">
        <v>4126</v>
      </c>
      <c r="AA2864" t="s">
        <v>3726</v>
      </c>
      <c r="AB2864" t="s">
        <v>10032</v>
      </c>
      <c r="AC2864" t="s">
        <v>3492</v>
      </c>
      <c r="AD2864" s="249" t="str">
        <f>HYPERLINK("https://scontent.cdninstagram.com/t51.2885-15/s320x320/e35/c0.0.521.521/21040925_504131129922963_7932392545139556352_n.jpg")</f>
        <v>https://scontent.cdninstagram.com/t51.2885-15/s320x320/e35/c0.0.521.521/21040925_504131129922963_7932392545139556352_n.jpg</v>
      </c>
      <c r="AE2864" s="249" t="str">
        <f>HYPERLINK("https://scontent.cdninstagram.com/t51.2885-19/s150x150/19761452_1876060406050696_4275948751316582400_a.jpg")</f>
        <v>https://scontent.cdninstagram.com/t51.2885-19/s150x150/19761452_1876060406050696_4275948751316582400_a.jpg</v>
      </c>
    </row>
    <row r="2865" spans="1:31" ht="15" x14ac:dyDescent="0.25">
      <c r="A2865" t="s">
        <v>2474</v>
      </c>
      <c r="B2865" t="s">
        <v>3015</v>
      </c>
      <c r="C2865" s="221">
        <v>42972.94153935185</v>
      </c>
      <c r="D2865" t="s">
        <v>17214</v>
      </c>
      <c r="E2865" s="249" t="str">
        <f>HYPERLINK("https://www.instagram.com/p/BYPY5BLAGP1/")</f>
        <v>https://www.instagram.com/p/BYPY5BLAGP1/</v>
      </c>
      <c r="F2865" t="s">
        <v>17215</v>
      </c>
      <c r="G2865" t="s">
        <v>2478</v>
      </c>
      <c r="H2865">
        <v>238</v>
      </c>
      <c r="I2865" t="s">
        <v>2479</v>
      </c>
      <c r="J2865">
        <v>0</v>
      </c>
      <c r="K2865">
        <v>29</v>
      </c>
      <c r="L2865">
        <v>29</v>
      </c>
      <c r="Q2865">
        <v>0</v>
      </c>
      <c r="R2865">
        <v>0</v>
      </c>
      <c r="S2865">
        <v>29</v>
      </c>
      <c r="Y2865" t="s">
        <v>3018</v>
      </c>
      <c r="Z2865" t="s">
        <v>4126</v>
      </c>
      <c r="AA2865" t="s">
        <v>3726</v>
      </c>
      <c r="AB2865" t="s">
        <v>10032</v>
      </c>
      <c r="AC2865" t="s">
        <v>3492</v>
      </c>
      <c r="AD2865" s="249" t="str">
        <f>HYPERLINK("https://scontent.cdninstagram.com/t51.2885-15/s320x320/e35/c0.0.524.524/21041148_467615593608712_3437795826351472640_n.jpg")</f>
        <v>https://scontent.cdninstagram.com/t51.2885-15/s320x320/e35/c0.0.524.524/21041148_467615593608712_3437795826351472640_n.jpg</v>
      </c>
      <c r="AE2865" s="249" t="str">
        <f>HYPERLINK("https://scontent.cdninstagram.com/t51.2885-19/s150x150/19761452_1876060406050696_4275948751316582400_a.jpg")</f>
        <v>https://scontent.cdninstagram.com/t51.2885-19/s150x150/19761452_1876060406050696_4275948751316582400_a.jpg</v>
      </c>
    </row>
    <row r="2866" spans="1:31" ht="15" x14ac:dyDescent="0.25">
      <c r="A2866" t="s">
        <v>2474</v>
      </c>
      <c r="B2866" t="s">
        <v>17216</v>
      </c>
      <c r="C2866" s="221">
        <v>42972.94159722222</v>
      </c>
      <c r="D2866" t="s">
        <v>17217</v>
      </c>
      <c r="E2866" s="249" t="str">
        <f>HYPERLINK("https://www.instagram.com/p/BYPY5qoAQE5/")</f>
        <v>https://www.instagram.com/p/BYPY5qoAQE5/</v>
      </c>
      <c r="F2866" t="s">
        <v>17218</v>
      </c>
      <c r="G2866" t="s">
        <v>2478</v>
      </c>
      <c r="H2866">
        <v>37</v>
      </c>
      <c r="I2866" t="s">
        <v>2479</v>
      </c>
      <c r="J2866">
        <v>1</v>
      </c>
      <c r="K2866">
        <v>23</v>
      </c>
      <c r="L2866">
        <v>24</v>
      </c>
      <c r="Q2866">
        <v>0</v>
      </c>
      <c r="R2866">
        <v>0</v>
      </c>
      <c r="S2866">
        <v>24</v>
      </c>
      <c r="Y2866" t="s">
        <v>17219</v>
      </c>
      <c r="Z2866" t="s">
        <v>3655</v>
      </c>
      <c r="AA2866" t="s">
        <v>2497</v>
      </c>
      <c r="AB2866" t="s">
        <v>7763</v>
      </c>
      <c r="AC2866" t="s">
        <v>4582</v>
      </c>
      <c r="AD2866" s="249" t="str">
        <f>HYPERLINK("https://scontent.cdninstagram.com/t51.2885-15/s320x320/e35/21147755_332280653899034_8180489436912418816_n.jpg")</f>
        <v>https://scontent.cdninstagram.com/t51.2885-15/s320x320/e35/21147755_332280653899034_8180489436912418816_n.jpg</v>
      </c>
      <c r="AE2866" s="249" t="str">
        <f>HYPERLINK("https://scontent.cdninstagram.com/t51.2885-19/s150x150/21148965_509922689345454_4827689016188993536_a.jpg")</f>
        <v>https://scontent.cdninstagram.com/t51.2885-19/s150x150/21148965_509922689345454_4827689016188993536_a.jpg</v>
      </c>
    </row>
    <row r="2867" spans="1:31" ht="15" x14ac:dyDescent="0.25">
      <c r="A2867" t="s">
        <v>2474</v>
      </c>
      <c r="B2867" t="s">
        <v>14009</v>
      </c>
      <c r="C2867" s="221">
        <v>42972.945694444446</v>
      </c>
      <c r="D2867" t="s">
        <v>17220</v>
      </c>
      <c r="E2867" s="249" t="str">
        <f>HYPERLINK("https://www.instagram.com/p/BYPZk11lsLR/")</f>
        <v>https://www.instagram.com/p/BYPZk11lsLR/</v>
      </c>
      <c r="F2867" t="s">
        <v>17221</v>
      </c>
      <c r="G2867" t="s">
        <v>2478</v>
      </c>
      <c r="H2867">
        <v>27164</v>
      </c>
      <c r="I2867" t="s">
        <v>2479</v>
      </c>
      <c r="J2867">
        <v>9</v>
      </c>
      <c r="K2867">
        <v>124</v>
      </c>
      <c r="L2867">
        <v>133</v>
      </c>
      <c r="Q2867">
        <v>0</v>
      </c>
      <c r="R2867">
        <v>0</v>
      </c>
      <c r="S2867">
        <v>133</v>
      </c>
      <c r="Y2867" t="s">
        <v>7007</v>
      </c>
      <c r="Z2867" t="s">
        <v>17222</v>
      </c>
      <c r="AA2867" t="s">
        <v>11674</v>
      </c>
      <c r="AB2867" t="s">
        <v>14927</v>
      </c>
      <c r="AC2867" t="s">
        <v>2497</v>
      </c>
      <c r="AD2867" s="249" t="str">
        <f>HYPERLINK("https://scontent.cdninstagram.com/t51.2885-15/s320x320/e35/21107527_116201692442306_5123585019905835008_n.jpg")</f>
        <v>https://scontent.cdninstagram.com/t51.2885-15/s320x320/e35/21107527_116201692442306_5123585019905835008_n.jpg</v>
      </c>
      <c r="AE2867" s="249" t="str">
        <f>HYPERLINK("https://scontent.cdninstagram.com/t51.2885-19/s150x150/18252404_825448897609831_8199238536822521856_a.jpg")</f>
        <v>https://scontent.cdninstagram.com/t51.2885-19/s150x150/18252404_825448897609831_8199238536822521856_a.jpg</v>
      </c>
    </row>
    <row r="2868" spans="1:31" ht="15" x14ac:dyDescent="0.25">
      <c r="A2868" t="s">
        <v>2474</v>
      </c>
      <c r="B2868" t="s">
        <v>6020</v>
      </c>
      <c r="C2868" s="221">
        <v>42972.948171296295</v>
      </c>
      <c r="D2868" t="s">
        <v>17223</v>
      </c>
      <c r="E2868" s="249" t="str">
        <f>HYPERLINK("https://www.instagram.com/p/BYPZ_DFAZcn/")</f>
        <v>https://www.instagram.com/p/BYPZ_DFAZcn/</v>
      </c>
      <c r="F2868" t="s">
        <v>17224</v>
      </c>
      <c r="G2868" t="s">
        <v>2478</v>
      </c>
      <c r="H2868">
        <v>31954</v>
      </c>
      <c r="I2868" t="s">
        <v>2479</v>
      </c>
      <c r="J2868">
        <v>36</v>
      </c>
      <c r="K2868">
        <v>1609</v>
      </c>
      <c r="L2868">
        <v>1645</v>
      </c>
      <c r="Q2868">
        <v>0</v>
      </c>
      <c r="R2868">
        <v>0</v>
      </c>
      <c r="S2868">
        <v>1645</v>
      </c>
      <c r="Y2868" t="s">
        <v>17225</v>
      </c>
      <c r="Z2868" t="s">
        <v>9535</v>
      </c>
      <c r="AA2868" t="s">
        <v>2497</v>
      </c>
      <c r="AB2868" t="s">
        <v>17226</v>
      </c>
      <c r="AC2868" t="s">
        <v>17227</v>
      </c>
      <c r="AD2868" s="249" t="str">
        <f>HYPERLINK("https://scontent.cdninstagram.com/t51.2885-15/e35/p320x320/21042163_155617968350176_3455314340821860352_n.jpg")</f>
        <v>https://scontent.cdninstagram.com/t51.2885-15/e35/p320x320/21042163_155617968350176_3455314340821860352_n.jpg</v>
      </c>
      <c r="AE2868" s="249" t="str">
        <f>HYPERLINK("https://scontent.cdninstagram.com/t51.2885-19/s150x150/18094683_212156559284851_4534393421896351744_a.jpg")</f>
        <v>https://scontent.cdninstagram.com/t51.2885-19/s150x150/18094683_212156559284851_4534393421896351744_a.jpg</v>
      </c>
    </row>
    <row r="2869" spans="1:31" ht="15" x14ac:dyDescent="0.25">
      <c r="A2869" t="s">
        <v>2474</v>
      </c>
      <c r="B2869" t="s">
        <v>17228</v>
      </c>
      <c r="C2869" s="221">
        <v>42972.965821759259</v>
      </c>
      <c r="D2869" t="s">
        <v>17229</v>
      </c>
      <c r="E2869" s="249" t="str">
        <f>HYPERLINK("https://www.instagram.com/p/BYPc5HSBwEp/")</f>
        <v>https://www.instagram.com/p/BYPc5HSBwEp/</v>
      </c>
      <c r="F2869" t="s">
        <v>17230</v>
      </c>
      <c r="G2869" t="s">
        <v>2478</v>
      </c>
      <c r="H2869">
        <v>174</v>
      </c>
      <c r="I2869" t="s">
        <v>2479</v>
      </c>
      <c r="J2869">
        <v>0</v>
      </c>
      <c r="K2869">
        <v>8</v>
      </c>
      <c r="L2869">
        <v>8</v>
      </c>
      <c r="Q2869">
        <v>0</v>
      </c>
      <c r="R2869">
        <v>0</v>
      </c>
      <c r="S2869">
        <v>8</v>
      </c>
      <c r="Y2869" t="s">
        <v>2497</v>
      </c>
      <c r="Z2869" t="s">
        <v>17231</v>
      </c>
      <c r="AA2869" t="s">
        <v>17232</v>
      </c>
      <c r="AB2869" t="s">
        <v>17233</v>
      </c>
      <c r="AC2869" t="s">
        <v>8786</v>
      </c>
      <c r="AD2869" s="249" t="str">
        <f>HYPERLINK("https://scontent.cdninstagram.com/t51.2885-15/s320x320/e35/21107733_123877381593924_6974218790607257600_n.jpg")</f>
        <v>https://scontent.cdninstagram.com/t51.2885-15/s320x320/e35/21107733_123877381593924_6974218790607257600_n.jpg</v>
      </c>
      <c r="AE2869" s="249" t="str">
        <f>HYPERLINK("https://scontent.cdninstagram.com/t51.2885-19/s150x150/15034755_360171007668576_4342113577209954304_a.jpg")</f>
        <v>https://scontent.cdninstagram.com/t51.2885-19/s150x150/15034755_360171007668576_4342113577209954304_a.jpg</v>
      </c>
    </row>
    <row r="2870" spans="1:31" ht="15" x14ac:dyDescent="0.25">
      <c r="A2870" t="s">
        <v>2474</v>
      </c>
      <c r="B2870" t="s">
        <v>17234</v>
      </c>
      <c r="C2870" s="221">
        <v>42972.971620370372</v>
      </c>
      <c r="D2870" t="s">
        <v>17235</v>
      </c>
      <c r="E2870" s="249" t="str">
        <f>HYPERLINK("https://www.instagram.com/p/BYPd2SwHej8/")</f>
        <v>https://www.instagram.com/p/BYPd2SwHej8/</v>
      </c>
      <c r="F2870" t="s">
        <v>17236</v>
      </c>
      <c r="G2870" t="s">
        <v>2478</v>
      </c>
      <c r="H2870">
        <v>459</v>
      </c>
      <c r="I2870" t="s">
        <v>2479</v>
      </c>
      <c r="J2870">
        <v>0</v>
      </c>
      <c r="K2870">
        <v>22</v>
      </c>
      <c r="L2870">
        <v>22</v>
      </c>
      <c r="Q2870">
        <v>0</v>
      </c>
      <c r="R2870">
        <v>0</v>
      </c>
      <c r="S2870">
        <v>22</v>
      </c>
      <c r="Y2870" t="s">
        <v>17237</v>
      </c>
      <c r="Z2870" t="s">
        <v>17238</v>
      </c>
      <c r="AA2870" t="s">
        <v>2497</v>
      </c>
      <c r="AD2870" s="249" t="str">
        <f>HYPERLINK("https://scontent.cdninstagram.com/t51.2885-15/s320x320/e35/21041889_1864238157162210_4531522713000345600_n.jpg")</f>
        <v>https://scontent.cdninstagram.com/t51.2885-15/s320x320/e35/21041889_1864238157162210_4531522713000345600_n.jpg</v>
      </c>
      <c r="AE2870" s="249" t="str">
        <f>HYPERLINK("https://scontent.cdninstagram.com/t51.2885-19/s150x150/12751138_972854609459849_684187032_a.jpg")</f>
        <v>https://scontent.cdninstagram.com/t51.2885-19/s150x150/12751138_972854609459849_684187032_a.jpg</v>
      </c>
    </row>
    <row r="2871" spans="1:31" ht="15" x14ac:dyDescent="0.25">
      <c r="A2871" t="s">
        <v>2474</v>
      </c>
      <c r="B2871" t="s">
        <v>17239</v>
      </c>
      <c r="C2871" s="221">
        <v>42972.975416666668</v>
      </c>
      <c r="D2871" t="s">
        <v>17240</v>
      </c>
      <c r="E2871" s="249" t="str">
        <f>HYPERLINK("https://www.instagram.com/p/BYPeeSoAprU/")</f>
        <v>https://www.instagram.com/p/BYPeeSoAprU/</v>
      </c>
      <c r="F2871" t="s">
        <v>17241</v>
      </c>
      <c r="G2871" t="s">
        <v>2478</v>
      </c>
      <c r="H2871">
        <v>621</v>
      </c>
      <c r="I2871" t="s">
        <v>2479</v>
      </c>
      <c r="J2871">
        <v>1</v>
      </c>
      <c r="K2871">
        <v>38</v>
      </c>
      <c r="L2871">
        <v>39</v>
      </c>
      <c r="Q2871">
        <v>0</v>
      </c>
      <c r="R2871">
        <v>0</v>
      </c>
      <c r="S2871">
        <v>39</v>
      </c>
      <c r="Y2871" t="s">
        <v>10453</v>
      </c>
      <c r="Z2871" t="s">
        <v>5077</v>
      </c>
      <c r="AA2871" t="s">
        <v>17242</v>
      </c>
      <c r="AB2871" t="s">
        <v>17243</v>
      </c>
      <c r="AC2871" t="s">
        <v>4734</v>
      </c>
      <c r="AD2871" s="249" t="str">
        <f>HYPERLINK("https://scontent.cdninstagram.com/t51.2885-15/s320x320/e35/21041729_1837681096561702_3947375399461191680_n.jpg")</f>
        <v>https://scontent.cdninstagram.com/t51.2885-15/s320x320/e35/21041729_1837681096561702_3947375399461191680_n.jpg</v>
      </c>
      <c r="AE2871" s="249" t="str">
        <f>HYPERLINK("https://scontent.cdninstagram.com/t51.2885-19/s150x150/14561781_328689104156163_911758867598147584_a.jpg")</f>
        <v>https://scontent.cdninstagram.com/t51.2885-19/s150x150/14561781_328689104156163_911758867598147584_a.jpg</v>
      </c>
    </row>
    <row r="2872" spans="1:31" ht="15" x14ac:dyDescent="0.25">
      <c r="A2872" t="s">
        <v>2474</v>
      </c>
      <c r="B2872" t="s">
        <v>17244</v>
      </c>
      <c r="C2872" s="221">
        <v>42973.014039351852</v>
      </c>
      <c r="D2872" t="s">
        <v>17245</v>
      </c>
      <c r="E2872" s="249" t="str">
        <f>HYPERLINK("https://www.instagram.com/p/BYPk1vsnHTT/")</f>
        <v>https://www.instagram.com/p/BYPk1vsnHTT/</v>
      </c>
      <c r="F2872" t="s">
        <v>17246</v>
      </c>
      <c r="G2872" t="s">
        <v>2478</v>
      </c>
      <c r="H2872">
        <v>1668</v>
      </c>
      <c r="I2872" t="s">
        <v>2510</v>
      </c>
      <c r="J2872">
        <v>6</v>
      </c>
      <c r="K2872">
        <v>43</v>
      </c>
      <c r="L2872">
        <v>49</v>
      </c>
      <c r="Q2872">
        <v>0</v>
      </c>
      <c r="R2872">
        <v>0</v>
      </c>
      <c r="S2872">
        <v>49</v>
      </c>
      <c r="Y2872" t="s">
        <v>2601</v>
      </c>
      <c r="Z2872" t="s">
        <v>2497</v>
      </c>
      <c r="AA2872" t="s">
        <v>16743</v>
      </c>
      <c r="AB2872" t="s">
        <v>17247</v>
      </c>
      <c r="AC2872" t="s">
        <v>17248</v>
      </c>
      <c r="AD2872" s="249" t="str">
        <f>HYPERLINK("https://scontent.cdninstagram.com/t51.2885-15/s320x320/e35/21108044_129379587683252_994883024694804480_n.jpg")</f>
        <v>https://scontent.cdninstagram.com/t51.2885-15/s320x320/e35/21108044_129379587683252_994883024694804480_n.jpg</v>
      </c>
      <c r="AE2872" s="249" t="str">
        <f>HYPERLINK("https://scontent.cdninstagram.com/t51.2885-19/s150x150/17663405_1886024038276868_2722702261401681920_n.jpg")</f>
        <v>https://scontent.cdninstagram.com/t51.2885-19/s150x150/17663405_1886024038276868_2722702261401681920_n.jpg</v>
      </c>
    </row>
    <row r="2873" spans="1:31" ht="15" x14ac:dyDescent="0.25">
      <c r="A2873" t="s">
        <v>2474</v>
      </c>
      <c r="B2873" t="s">
        <v>3015</v>
      </c>
      <c r="C2873" s="221">
        <v>42973.037303240744</v>
      </c>
      <c r="D2873" t="s">
        <v>17249</v>
      </c>
      <c r="E2873" s="249" t="str">
        <f>HYPERLINK("https://www.instagram.com/p/BYPorFaAn7R/")</f>
        <v>https://www.instagram.com/p/BYPorFaAn7R/</v>
      </c>
      <c r="F2873" t="s">
        <v>17250</v>
      </c>
      <c r="G2873" t="s">
        <v>2488</v>
      </c>
      <c r="H2873">
        <v>240</v>
      </c>
      <c r="I2873" t="s">
        <v>2479</v>
      </c>
      <c r="J2873">
        <v>0</v>
      </c>
      <c r="K2873">
        <v>42</v>
      </c>
      <c r="L2873">
        <v>42</v>
      </c>
      <c r="Q2873">
        <v>0</v>
      </c>
      <c r="R2873">
        <v>0</v>
      </c>
      <c r="S2873">
        <v>42</v>
      </c>
      <c r="Y2873" t="s">
        <v>3725</v>
      </c>
      <c r="Z2873" t="s">
        <v>4127</v>
      </c>
      <c r="AA2873" t="s">
        <v>3019</v>
      </c>
      <c r="AB2873" t="s">
        <v>3728</v>
      </c>
      <c r="AC2873" t="s">
        <v>3856</v>
      </c>
      <c r="AD2873" s="249" t="str">
        <f>HYPERLINK("https://scontent.cdninstagram.com/t51.2885-15/s320x320/e35/21107720_463859330673970_2069077220420222976_n.jpg")</f>
        <v>https://scontent.cdninstagram.com/t51.2885-15/s320x320/e35/21107720_463859330673970_2069077220420222976_n.jpg</v>
      </c>
      <c r="AE2873" s="249" t="str">
        <f>HYPERLINK("https://scontent.cdninstagram.com/t51.2885-19/s150x150/19761452_1876060406050696_4275948751316582400_a.jpg")</f>
        <v>https://scontent.cdninstagram.com/t51.2885-19/s150x150/19761452_1876060406050696_4275948751316582400_a.jpg</v>
      </c>
    </row>
    <row r="2874" spans="1:31" ht="15" x14ac:dyDescent="0.25">
      <c r="A2874" t="s">
        <v>2474</v>
      </c>
      <c r="B2874" t="s">
        <v>17251</v>
      </c>
      <c r="C2874" s="221">
        <v>42973.061076388891</v>
      </c>
      <c r="D2874" t="s">
        <v>17252</v>
      </c>
      <c r="E2874" s="249" t="str">
        <f>HYPERLINK("https://www.instagram.com/p/BYPslwwju08/")</f>
        <v>https://www.instagram.com/p/BYPslwwju08/</v>
      </c>
      <c r="F2874" t="s">
        <v>17253</v>
      </c>
      <c r="G2874" t="s">
        <v>2478</v>
      </c>
      <c r="H2874">
        <v>28</v>
      </c>
      <c r="I2874" t="s">
        <v>2542</v>
      </c>
      <c r="J2874">
        <v>0</v>
      </c>
      <c r="K2874">
        <v>9</v>
      </c>
      <c r="L2874">
        <v>9</v>
      </c>
      <c r="Q2874">
        <v>0</v>
      </c>
      <c r="R2874">
        <v>0</v>
      </c>
      <c r="S2874">
        <v>9</v>
      </c>
      <c r="T2874" t="s">
        <v>17254</v>
      </c>
      <c r="U2874" t="s">
        <v>558</v>
      </c>
      <c r="V2874" t="s">
        <v>2299</v>
      </c>
      <c r="W2874">
        <v>31.315999999999999</v>
      </c>
      <c r="X2874">
        <v>-89.308700000000002</v>
      </c>
      <c r="Y2874" t="s">
        <v>13328</v>
      </c>
      <c r="Z2874" t="s">
        <v>17255</v>
      </c>
      <c r="AA2874" t="s">
        <v>2497</v>
      </c>
      <c r="AB2874" t="s">
        <v>2675</v>
      </c>
      <c r="AC2874" t="s">
        <v>8573</v>
      </c>
      <c r="AD2874" s="249" t="str">
        <f>HYPERLINK("https://scontent.cdninstagram.com/t51.2885-15/s320x320/e35/21042056_1575800582484516_890492126578606080_n.jpg")</f>
        <v>https://scontent.cdninstagram.com/t51.2885-15/s320x320/e35/21042056_1575800582484516_890492126578606080_n.jpg</v>
      </c>
      <c r="AE2874" s="249" t="str">
        <f>HYPERLINK("https://scontent.cdninstagram.com/t51.2885-19/s150x150/20479233_1178577258913494_8499891448747917312_a.jpg")</f>
        <v>https://scontent.cdninstagram.com/t51.2885-19/s150x150/20479233_1178577258913494_8499891448747917312_a.jpg</v>
      </c>
    </row>
    <row r="2875" spans="1:31" ht="15" x14ac:dyDescent="0.25">
      <c r="A2875" t="s">
        <v>2474</v>
      </c>
      <c r="B2875" t="s">
        <v>17256</v>
      </c>
      <c r="C2875" s="221">
        <v>42973.064675925925</v>
      </c>
      <c r="D2875" t="s">
        <v>17257</v>
      </c>
      <c r="E2875" s="249" t="str">
        <f>HYPERLINK("https://www.instagram.com/p/BYPtLznn0WA/")</f>
        <v>https://www.instagram.com/p/BYPtLznn0WA/</v>
      </c>
      <c r="F2875" t="s">
        <v>17258</v>
      </c>
      <c r="G2875" t="s">
        <v>2478</v>
      </c>
      <c r="H2875">
        <v>944</v>
      </c>
      <c r="I2875" t="s">
        <v>3186</v>
      </c>
      <c r="J2875">
        <v>4</v>
      </c>
      <c r="K2875">
        <v>91</v>
      </c>
      <c r="L2875">
        <v>95</v>
      </c>
      <c r="Q2875">
        <v>0</v>
      </c>
      <c r="R2875">
        <v>0</v>
      </c>
      <c r="S2875">
        <v>95</v>
      </c>
      <c r="T2875" t="s">
        <v>16747</v>
      </c>
      <c r="U2875" t="s">
        <v>106</v>
      </c>
      <c r="V2875" t="s">
        <v>2299</v>
      </c>
      <c r="W2875">
        <v>25.787700000000001</v>
      </c>
      <c r="X2875">
        <v>-80.224100000000007</v>
      </c>
      <c r="Y2875" t="s">
        <v>17259</v>
      </c>
      <c r="Z2875" t="s">
        <v>17260</v>
      </c>
      <c r="AA2875" t="s">
        <v>17261</v>
      </c>
      <c r="AB2875" t="s">
        <v>2497</v>
      </c>
      <c r="AC2875" t="s">
        <v>17262</v>
      </c>
      <c r="AD2875" s="249" t="str">
        <f>HYPERLINK("https://scontent.cdninstagram.com/t51.2885-15/s320x320/e35/21041217_800932746735016_4032932118660120576_n.jpg")</f>
        <v>https://scontent.cdninstagram.com/t51.2885-15/s320x320/e35/21041217_800932746735016_4032932118660120576_n.jpg</v>
      </c>
      <c r="AE2875" s="249" t="str">
        <f>HYPERLINK("https://scontent.cdninstagram.com/t51.2885-19/s150x150/20902733_804125246439299_6165518410600939520_a.jpg")</f>
        <v>https://scontent.cdninstagram.com/t51.2885-19/s150x150/20902733_804125246439299_6165518410600939520_a.jpg</v>
      </c>
    </row>
    <row r="2876" spans="1:31" ht="15" x14ac:dyDescent="0.25">
      <c r="A2876" t="s">
        <v>2474</v>
      </c>
      <c r="B2876" t="s">
        <v>17263</v>
      </c>
      <c r="C2876" s="221">
        <v>42973.066574074073</v>
      </c>
      <c r="D2876" t="s">
        <v>17264</v>
      </c>
      <c r="E2876" s="249" t="str">
        <f>HYPERLINK("https://www.instagram.com/p/BYPtfvRlBnm/")</f>
        <v>https://www.instagram.com/p/BYPtfvRlBnm/</v>
      </c>
      <c r="F2876" t="s">
        <v>17265</v>
      </c>
      <c r="G2876" t="s">
        <v>2478</v>
      </c>
      <c r="H2876">
        <v>602</v>
      </c>
      <c r="I2876" t="s">
        <v>2479</v>
      </c>
      <c r="J2876">
        <v>2</v>
      </c>
      <c r="K2876">
        <v>128</v>
      </c>
      <c r="L2876">
        <v>130</v>
      </c>
      <c r="Q2876">
        <v>0</v>
      </c>
      <c r="R2876">
        <v>0</v>
      </c>
      <c r="S2876">
        <v>130</v>
      </c>
      <c r="Y2876" t="s">
        <v>17266</v>
      </c>
      <c r="Z2876" t="s">
        <v>2497</v>
      </c>
      <c r="AA2876" t="s">
        <v>17267</v>
      </c>
      <c r="AB2876" t="s">
        <v>17268</v>
      </c>
      <c r="AC2876" t="s">
        <v>17269</v>
      </c>
      <c r="AD2876" s="249" t="str">
        <f>HYPERLINK("https://scontent.cdninstagram.com/t51.2885-15/s320x320/e35/21041603_356610348106817_9062544388000841728_n.jpg")</f>
        <v>https://scontent.cdninstagram.com/t51.2885-15/s320x320/e35/21041603_356610348106817_9062544388000841728_n.jpg</v>
      </c>
      <c r="AE2876" s="249" t="str">
        <f>HYPERLINK("https://scontent.cdninstagram.com/t51.2885-19/s150x150/17882920_1833913220266118_2790728092329443328_a.jpg")</f>
        <v>https://scontent.cdninstagram.com/t51.2885-19/s150x150/17882920_1833913220266118_2790728092329443328_a.jpg</v>
      </c>
    </row>
    <row r="2877" spans="1:31" ht="15" x14ac:dyDescent="0.25">
      <c r="A2877" t="s">
        <v>2474</v>
      </c>
      <c r="B2877" t="s">
        <v>14567</v>
      </c>
      <c r="C2877" s="221">
        <v>42973.079016203701</v>
      </c>
      <c r="D2877" t="s">
        <v>17270</v>
      </c>
      <c r="E2877" s="249" t="str">
        <f>HYPERLINK("https://www.instagram.com/p/BYPvjDegZFn/")</f>
        <v>https://www.instagram.com/p/BYPvjDegZFn/</v>
      </c>
      <c r="F2877" t="s">
        <v>17271</v>
      </c>
      <c r="G2877" t="s">
        <v>2478</v>
      </c>
      <c r="H2877">
        <v>614</v>
      </c>
      <c r="I2877" t="s">
        <v>3273</v>
      </c>
      <c r="J2877">
        <v>19</v>
      </c>
      <c r="K2877">
        <v>155</v>
      </c>
      <c r="L2877">
        <v>174</v>
      </c>
      <c r="Q2877">
        <v>0</v>
      </c>
      <c r="R2877">
        <v>0</v>
      </c>
      <c r="S2877">
        <v>174</v>
      </c>
      <c r="Y2877" t="s">
        <v>17272</v>
      </c>
      <c r="Z2877" t="s">
        <v>7905</v>
      </c>
      <c r="AA2877" t="s">
        <v>2511</v>
      </c>
      <c r="AB2877" t="s">
        <v>8250</v>
      </c>
      <c r="AC2877" t="s">
        <v>17273</v>
      </c>
      <c r="AD2877" s="249" t="str">
        <f>HYPERLINK("https://scontent.cdninstagram.com/t51.2885-15/s320x320/e35/21147561_329505910841835_4951458055125467136_n.jpg")</f>
        <v>https://scontent.cdninstagram.com/t51.2885-15/s320x320/e35/21147561_329505910841835_4951458055125467136_n.jpg</v>
      </c>
      <c r="AE2877" s="249" t="str">
        <f>HYPERLINK("https://scontent.cdninstagram.com/t51.2885-19/s150x150/21107721_113927162614742_3645595187469615104_a.jpg")</f>
        <v>https://scontent.cdninstagram.com/t51.2885-19/s150x150/21107721_113927162614742_3645595187469615104_a.jpg</v>
      </c>
    </row>
    <row r="2878" spans="1:31" ht="15" x14ac:dyDescent="0.25">
      <c r="A2878" t="s">
        <v>2474</v>
      </c>
      <c r="B2878" t="s">
        <v>2644</v>
      </c>
      <c r="C2878" s="221">
        <v>42973.081377314818</v>
      </c>
      <c r="D2878" t="s">
        <v>17274</v>
      </c>
      <c r="E2878" s="249" t="str">
        <f>HYPERLINK("https://www.instagram.com/p/BYPv79AgeaS/")</f>
        <v>https://www.instagram.com/p/BYPv79AgeaS/</v>
      </c>
      <c r="F2878" t="s">
        <v>17275</v>
      </c>
      <c r="G2878" t="s">
        <v>2478</v>
      </c>
      <c r="H2878">
        <v>1734</v>
      </c>
      <c r="I2878" t="s">
        <v>2479</v>
      </c>
      <c r="J2878">
        <v>1</v>
      </c>
      <c r="K2878">
        <v>104</v>
      </c>
      <c r="L2878">
        <v>105</v>
      </c>
      <c r="Q2878">
        <v>0</v>
      </c>
      <c r="R2878">
        <v>0</v>
      </c>
      <c r="S2878">
        <v>105</v>
      </c>
      <c r="T2878" t="s">
        <v>17276</v>
      </c>
      <c r="V2878" t="s">
        <v>2648</v>
      </c>
      <c r="W2878">
        <v>55.767207960671001</v>
      </c>
      <c r="X2878">
        <v>37.571852710134998</v>
      </c>
      <c r="Y2878" t="s">
        <v>7428</v>
      </c>
      <c r="Z2878" t="s">
        <v>3742</v>
      </c>
      <c r="AA2878" t="s">
        <v>14546</v>
      </c>
      <c r="AB2878" t="s">
        <v>3075</v>
      </c>
      <c r="AC2878" t="s">
        <v>2497</v>
      </c>
      <c r="AD2878" s="249" t="str">
        <f>HYPERLINK("https://scontent.cdninstagram.com/t51.2885-15/e35/p320x320/21107820_1959347367670918_1424026540479348736_n.jpg")</f>
        <v>https://scontent.cdninstagram.com/t51.2885-15/e35/p320x320/21107820_1959347367670918_1424026540479348736_n.jpg</v>
      </c>
      <c r="AE2878" s="249" t="str">
        <f>HYPERLINK("https://scontent.cdninstagram.com/t51.2885-19/11372086_1598451257062069_1320225693_a.jpg")</f>
        <v>https://scontent.cdninstagram.com/t51.2885-19/11372086_1598451257062069_1320225693_a.jpg</v>
      </c>
    </row>
    <row r="2879" spans="1:31" ht="15" x14ac:dyDescent="0.25">
      <c r="A2879" t="s">
        <v>2474</v>
      </c>
      <c r="B2879" t="s">
        <v>17277</v>
      </c>
      <c r="C2879" s="221">
        <v>42973.08898148148</v>
      </c>
      <c r="D2879" t="s">
        <v>17278</v>
      </c>
      <c r="E2879" s="249" t="str">
        <f>HYPERLINK("https://www.instagram.com/p/BYPxMFbg4nv/")</f>
        <v>https://www.instagram.com/p/BYPxMFbg4nv/</v>
      </c>
      <c r="F2879" t="s">
        <v>17279</v>
      </c>
      <c r="G2879" t="s">
        <v>2478</v>
      </c>
      <c r="H2879">
        <v>277</v>
      </c>
      <c r="I2879" t="s">
        <v>2479</v>
      </c>
      <c r="J2879">
        <v>0</v>
      </c>
      <c r="K2879">
        <v>34</v>
      </c>
      <c r="L2879">
        <v>34</v>
      </c>
      <c r="Q2879">
        <v>0</v>
      </c>
      <c r="R2879">
        <v>0</v>
      </c>
      <c r="S2879">
        <v>34</v>
      </c>
      <c r="Y2879" t="s">
        <v>17280</v>
      </c>
      <c r="Z2879" t="s">
        <v>17281</v>
      </c>
      <c r="AA2879" t="s">
        <v>17282</v>
      </c>
      <c r="AB2879" t="s">
        <v>17283</v>
      </c>
      <c r="AC2879" t="s">
        <v>17284</v>
      </c>
      <c r="AD2879" s="249" t="str">
        <f>HYPERLINK("https://scontent.cdninstagram.com/t51.2885-15/e35/p320x320/21042242_144524072806066_8121013906618449920_n.jpg")</f>
        <v>https://scontent.cdninstagram.com/t51.2885-15/e35/p320x320/21042242_144524072806066_8121013906618449920_n.jpg</v>
      </c>
      <c r="AE2879" s="249" t="str">
        <f>HYPERLINK("https://scontent.cdninstagram.com/t51.2885-19/s150x150/18581309_1155119687925894_6572380177219715072_a.jpg")</f>
        <v>https://scontent.cdninstagram.com/t51.2885-19/s150x150/18581309_1155119687925894_6572380177219715072_a.jpg</v>
      </c>
    </row>
    <row r="2880" spans="1:31" ht="15" x14ac:dyDescent="0.25">
      <c r="A2880" t="s">
        <v>2474</v>
      </c>
      <c r="B2880" t="s">
        <v>13531</v>
      </c>
      <c r="C2880" s="221">
        <v>42973.100393518522</v>
      </c>
      <c r="D2880" t="s">
        <v>17285</v>
      </c>
      <c r="E2880" s="249" t="str">
        <f>HYPERLINK("https://www.instagram.com/p/BYPzEaUDiZZ/")</f>
        <v>https://www.instagram.com/p/BYPzEaUDiZZ/</v>
      </c>
      <c r="F2880" t="s">
        <v>17286</v>
      </c>
      <c r="G2880" t="s">
        <v>2478</v>
      </c>
      <c r="H2880">
        <v>176</v>
      </c>
      <c r="I2880" t="s">
        <v>2479</v>
      </c>
      <c r="J2880">
        <v>2</v>
      </c>
      <c r="K2880">
        <v>70</v>
      </c>
      <c r="L2880">
        <v>72</v>
      </c>
      <c r="Q2880">
        <v>0</v>
      </c>
      <c r="R2880">
        <v>0</v>
      </c>
      <c r="S2880">
        <v>72</v>
      </c>
      <c r="Y2880" t="s">
        <v>17287</v>
      </c>
      <c r="Z2880" t="s">
        <v>17288</v>
      </c>
      <c r="AA2880" t="s">
        <v>17289</v>
      </c>
      <c r="AB2880" t="s">
        <v>2574</v>
      </c>
      <c r="AC2880" t="s">
        <v>2497</v>
      </c>
      <c r="AD2880" s="249" t="str">
        <f>HYPERLINK("https://scontent.cdninstagram.com/t51.2885-15/s320x320/e35/20987504_127050477928353_4466985980359868416_n.jpg")</f>
        <v>https://scontent.cdninstagram.com/t51.2885-15/s320x320/e35/20987504_127050477928353_4466985980359868416_n.jpg</v>
      </c>
      <c r="AE2880" s="249" t="str">
        <f>HYPERLINK("https://scontent.cdninstagram.com/t51.2885-19/11272124_396799533838624_2060075012_a.jpg")</f>
        <v>https://scontent.cdninstagram.com/t51.2885-19/11272124_396799533838624_2060075012_a.jpg</v>
      </c>
    </row>
    <row r="2881" spans="1:31" ht="15" x14ac:dyDescent="0.25">
      <c r="A2881" t="s">
        <v>2474</v>
      </c>
      <c r="B2881" t="s">
        <v>17290</v>
      </c>
      <c r="C2881" s="221">
        <v>42973.113634259258</v>
      </c>
      <c r="D2881" t="s">
        <v>17291</v>
      </c>
      <c r="E2881" s="249" t="str">
        <f>HYPERLINK("https://www.instagram.com/p/BYP1QJHglay/")</f>
        <v>https://www.instagram.com/p/BYP1QJHglay/</v>
      </c>
      <c r="F2881" t="s">
        <v>17292</v>
      </c>
      <c r="G2881" t="s">
        <v>2478</v>
      </c>
      <c r="H2881">
        <v>554</v>
      </c>
      <c r="I2881" t="s">
        <v>2479</v>
      </c>
      <c r="J2881">
        <v>0</v>
      </c>
      <c r="K2881">
        <v>8</v>
      </c>
      <c r="L2881">
        <v>8</v>
      </c>
      <c r="Q2881">
        <v>0</v>
      </c>
      <c r="R2881">
        <v>0</v>
      </c>
      <c r="S2881">
        <v>8</v>
      </c>
      <c r="T2881" t="s">
        <v>17293</v>
      </c>
      <c r="V2881" t="s">
        <v>2238</v>
      </c>
      <c r="W2881">
        <v>14.470572789003</v>
      </c>
      <c r="X2881">
        <v>120.99218872292001</v>
      </c>
      <c r="Y2881" t="s">
        <v>17294</v>
      </c>
      <c r="Z2881" t="s">
        <v>17295</v>
      </c>
      <c r="AA2881" t="s">
        <v>17296</v>
      </c>
      <c r="AB2881" t="s">
        <v>17297</v>
      </c>
      <c r="AC2881" t="s">
        <v>2497</v>
      </c>
      <c r="AD2881" s="249" t="str">
        <f>HYPERLINK("https://scontent.cdninstagram.com/t51.2885-15/s320x320/e35/21041576_1951562161780478_1178540323102523392_n.jpg")</f>
        <v>https://scontent.cdninstagram.com/t51.2885-15/s320x320/e35/21041576_1951562161780478_1178540323102523392_n.jpg</v>
      </c>
      <c r="AE2881" s="249" t="str">
        <f>HYPERLINK("https://scontent.cdninstagram.com/t51.2885-19/s150x150/19050158_2097561197137573_8879071713057308672_a.jpg")</f>
        <v>https://scontent.cdninstagram.com/t51.2885-19/s150x150/19050158_2097561197137573_8879071713057308672_a.jpg</v>
      </c>
    </row>
    <row r="2882" spans="1:31" ht="15" x14ac:dyDescent="0.25">
      <c r="A2882" t="s">
        <v>2474</v>
      </c>
      <c r="B2882" t="s">
        <v>17298</v>
      </c>
      <c r="C2882" s="221">
        <v>42973.121365740742</v>
      </c>
      <c r="D2882" t="s">
        <v>17299</v>
      </c>
      <c r="E2882" s="249" t="str">
        <f>HYPERLINK("https://www.instagram.com/p/BYP2hmLnTnA/")</f>
        <v>https://www.instagram.com/p/BYP2hmLnTnA/</v>
      </c>
      <c r="F2882" t="s">
        <v>17300</v>
      </c>
      <c r="G2882" t="s">
        <v>2631</v>
      </c>
      <c r="H2882">
        <v>516</v>
      </c>
      <c r="I2882" t="s">
        <v>2910</v>
      </c>
      <c r="J2882">
        <v>4</v>
      </c>
      <c r="K2882">
        <v>72</v>
      </c>
      <c r="L2882">
        <v>76</v>
      </c>
      <c r="Q2882">
        <v>0</v>
      </c>
      <c r="R2882">
        <v>0</v>
      </c>
      <c r="S2882">
        <v>76</v>
      </c>
      <c r="Y2882" t="s">
        <v>17301</v>
      </c>
      <c r="Z2882" t="s">
        <v>17302</v>
      </c>
      <c r="AA2882" t="s">
        <v>17303</v>
      </c>
      <c r="AB2882" t="s">
        <v>2497</v>
      </c>
      <c r="AC2882" t="s">
        <v>17304</v>
      </c>
      <c r="AD2882" s="249" t="str">
        <f>HYPERLINK("https://scontent.cdninstagram.com/t51.2885-15/s320x320/e15/21040957_1547670938588769_2542278944518832128_n.jpg")</f>
        <v>https://scontent.cdninstagram.com/t51.2885-15/s320x320/e15/21040957_1547670938588769_2542278944518832128_n.jpg</v>
      </c>
      <c r="AE2882" s="249" t="str">
        <f>HYPERLINK("https://scontent.cdninstagram.com/t51.2885-19/s150x150/18252310_1210325275745489_4064107224677482496_a.jpg")</f>
        <v>https://scontent.cdninstagram.com/t51.2885-19/s150x150/18252310_1210325275745489_4064107224677482496_a.jpg</v>
      </c>
    </row>
    <row r="2883" spans="1:31" ht="15" x14ac:dyDescent="0.25">
      <c r="A2883" t="s">
        <v>2474</v>
      </c>
      <c r="B2883" t="s">
        <v>7415</v>
      </c>
      <c r="C2883" s="221">
        <v>42973.142476851855</v>
      </c>
      <c r="D2883" t="s">
        <v>17305</v>
      </c>
      <c r="E2883" s="249" t="str">
        <f>HYPERLINK("https://www.instagram.com/p/BYP6AX7jnaX/")</f>
        <v>https://www.instagram.com/p/BYP6AX7jnaX/</v>
      </c>
      <c r="F2883" t="s">
        <v>17306</v>
      </c>
      <c r="G2883" t="s">
        <v>2478</v>
      </c>
      <c r="H2883">
        <v>1180</v>
      </c>
      <c r="I2883" t="s">
        <v>2479</v>
      </c>
      <c r="J2883">
        <v>6</v>
      </c>
      <c r="K2883">
        <v>200</v>
      </c>
      <c r="L2883">
        <v>206</v>
      </c>
      <c r="Q2883">
        <v>0</v>
      </c>
      <c r="R2883">
        <v>0</v>
      </c>
      <c r="S2883">
        <v>206</v>
      </c>
      <c r="Y2883" t="s">
        <v>17307</v>
      </c>
      <c r="Z2883" t="s">
        <v>6733</v>
      </c>
      <c r="AA2883" t="s">
        <v>3070</v>
      </c>
      <c r="AB2883" t="s">
        <v>2879</v>
      </c>
      <c r="AC2883" t="s">
        <v>17308</v>
      </c>
      <c r="AD2883" s="249" t="str">
        <f>HYPERLINK("https://scontent.cdninstagram.com/t51.2885-15/s320x320/e35/21041093_1856638131320097_7042580217394626560_n.jpg")</f>
        <v>https://scontent.cdninstagram.com/t51.2885-15/s320x320/e35/21041093_1856638131320097_7042580217394626560_n.jpg</v>
      </c>
      <c r="AE2883" s="249" t="str">
        <f>HYPERLINK("https://scontent.cdninstagram.com/t51.2885-19/s150x150/12747833_1784420145115345_635625181_a.jpg")</f>
        <v>https://scontent.cdninstagram.com/t51.2885-19/s150x150/12747833_1784420145115345_635625181_a.jpg</v>
      </c>
    </row>
    <row r="2884" spans="1:31" ht="15" x14ac:dyDescent="0.25">
      <c r="A2884" t="s">
        <v>2474</v>
      </c>
      <c r="B2884" t="s">
        <v>14915</v>
      </c>
      <c r="C2884" s="221">
        <v>42973.147696759261</v>
      </c>
      <c r="D2884" t="s">
        <v>17309</v>
      </c>
      <c r="E2884" s="249" t="str">
        <f>HYPERLINK("https://www.instagram.com/p/BYP63TyFNnQ/")</f>
        <v>https://www.instagram.com/p/BYP63TyFNnQ/</v>
      </c>
      <c r="F2884" t="s">
        <v>17310</v>
      </c>
      <c r="G2884" t="s">
        <v>2478</v>
      </c>
      <c r="H2884">
        <v>5842</v>
      </c>
      <c r="I2884" t="s">
        <v>2479</v>
      </c>
      <c r="J2884">
        <v>2</v>
      </c>
      <c r="K2884">
        <v>1091</v>
      </c>
      <c r="L2884">
        <v>1093</v>
      </c>
      <c r="Q2884">
        <v>0</v>
      </c>
      <c r="R2884">
        <v>0</v>
      </c>
      <c r="S2884">
        <v>1093</v>
      </c>
      <c r="Y2884" t="s">
        <v>2497</v>
      </c>
      <c r="Z2884" t="s">
        <v>17311</v>
      </c>
      <c r="AD2884" s="249" t="str">
        <f>HYPERLINK("https://scontent.cdninstagram.com/t51.2885-15/s320x320/e35/21148910_112202069470958_4806736477796958208_n.jpg")</f>
        <v>https://scontent.cdninstagram.com/t51.2885-15/s320x320/e35/21148910_112202069470958_4806736477796958208_n.jpg</v>
      </c>
      <c r="AE2884" s="249" t="str">
        <f>HYPERLINK("https://scontent.cdninstagram.com/t51.2885-19/s150x150/17494603_1012709575539141_6393665368262443008_a.jpg")</f>
        <v>https://scontent.cdninstagram.com/t51.2885-19/s150x150/17494603_1012709575539141_6393665368262443008_a.jpg</v>
      </c>
    </row>
    <row r="2885" spans="1:31" ht="15" x14ac:dyDescent="0.25">
      <c r="A2885" t="s">
        <v>2474</v>
      </c>
      <c r="B2885" t="s">
        <v>17312</v>
      </c>
      <c r="C2885" s="221">
        <v>42973.159421296295</v>
      </c>
      <c r="D2885" t="s">
        <v>17313</v>
      </c>
      <c r="E2885" s="249" t="str">
        <f>HYPERLINK("https://www.instagram.com/p/BYP8zBRBV-b/")</f>
        <v>https://www.instagram.com/p/BYP8zBRBV-b/</v>
      </c>
      <c r="F2885" t="s">
        <v>17314</v>
      </c>
      <c r="G2885" t="s">
        <v>2478</v>
      </c>
      <c r="H2885">
        <v>408</v>
      </c>
      <c r="I2885" t="s">
        <v>2479</v>
      </c>
      <c r="J2885">
        <v>2</v>
      </c>
      <c r="K2885">
        <v>104</v>
      </c>
      <c r="L2885">
        <v>106</v>
      </c>
      <c r="Q2885">
        <v>0</v>
      </c>
      <c r="R2885">
        <v>0</v>
      </c>
      <c r="S2885">
        <v>106</v>
      </c>
      <c r="T2885" t="s">
        <v>17315</v>
      </c>
      <c r="V2885" t="s">
        <v>2270</v>
      </c>
      <c r="W2885">
        <v>57.804802510000002</v>
      </c>
      <c r="X2885">
        <v>14.151861674999999</v>
      </c>
      <c r="Y2885" t="s">
        <v>2497</v>
      </c>
      <c r="AD2885" s="249" t="str">
        <f>HYPERLINK("https://scontent.cdninstagram.com/t51.2885-15/s320x320/e35/21041832_1490106687739736_5149677049308250112_n.jpg")</f>
        <v>https://scontent.cdninstagram.com/t51.2885-15/s320x320/e35/21041832_1490106687739736_5149677049308250112_n.jpg</v>
      </c>
      <c r="AE2885" s="249" t="str">
        <f>HYPERLINK("https://scontent.cdninstagram.com/t51.2885-19/s150x150/17494419_1167774989998165_161185668737794048_a.jpg")</f>
        <v>https://scontent.cdninstagram.com/t51.2885-19/s150x150/17494419_1167774989998165_161185668737794048_a.jpg</v>
      </c>
    </row>
    <row r="2886" spans="1:31" ht="15" x14ac:dyDescent="0.25">
      <c r="A2886" t="s">
        <v>2474</v>
      </c>
      <c r="B2886" t="s">
        <v>17316</v>
      </c>
      <c r="C2886" s="221">
        <v>42973.173032407409</v>
      </c>
      <c r="D2886" t="s">
        <v>17317</v>
      </c>
      <c r="E2886" s="249" t="str">
        <f>HYPERLINK("https://www.instagram.com/p/BYP_CiZF_80/")</f>
        <v>https://www.instagram.com/p/BYP_CiZF_80/</v>
      </c>
      <c r="F2886" t="s">
        <v>17318</v>
      </c>
      <c r="G2886" t="s">
        <v>2478</v>
      </c>
      <c r="H2886">
        <v>88</v>
      </c>
      <c r="I2886" t="s">
        <v>2479</v>
      </c>
      <c r="J2886">
        <v>0</v>
      </c>
      <c r="K2886">
        <v>11</v>
      </c>
      <c r="L2886">
        <v>11</v>
      </c>
      <c r="Q2886">
        <v>0</v>
      </c>
      <c r="R2886">
        <v>0</v>
      </c>
      <c r="S2886">
        <v>11</v>
      </c>
      <c r="T2886" t="s">
        <v>17319</v>
      </c>
      <c r="V2886" t="s">
        <v>2264</v>
      </c>
      <c r="W2886">
        <v>41.138491739999999</v>
      </c>
      <c r="X2886">
        <v>1.3780898500000001</v>
      </c>
      <c r="Y2886" t="s">
        <v>2492</v>
      </c>
      <c r="Z2886" t="s">
        <v>2497</v>
      </c>
      <c r="AD2886" s="249" t="str">
        <f>HYPERLINK("https://scontent.cdninstagram.com/t51.2885-15/s320x320/e35/21042578_1921032731556498_7877050083349364736_n.jpg")</f>
        <v>https://scontent.cdninstagram.com/t51.2885-15/s320x320/e35/21042578_1921032731556498_7877050083349364736_n.jpg</v>
      </c>
      <c r="AE2886" s="249" t="str">
        <f>HYPERLINK("https://scontent.cdninstagram.com/t51.2885-19/s150x150/18443396_298503437259092_7476676672285048832_a.jpg")</f>
        <v>https://scontent.cdninstagram.com/t51.2885-19/s150x150/18443396_298503437259092_7476676672285048832_a.jpg</v>
      </c>
    </row>
    <row r="2887" spans="1:31" ht="15" x14ac:dyDescent="0.25">
      <c r="A2887" t="s">
        <v>2474</v>
      </c>
      <c r="B2887" t="s">
        <v>2636</v>
      </c>
      <c r="C2887" s="221">
        <v>42973.185925925929</v>
      </c>
      <c r="D2887" t="s">
        <v>17320</v>
      </c>
      <c r="E2887" s="249" t="str">
        <f>HYPERLINK("https://www.instagram.com/p/BYQBKnGHT0l/")</f>
        <v>https://www.instagram.com/p/BYQBKnGHT0l/</v>
      </c>
      <c r="F2887" t="s">
        <v>17321</v>
      </c>
      <c r="G2887" t="s">
        <v>2478</v>
      </c>
      <c r="H2887">
        <v>329</v>
      </c>
      <c r="I2887" t="s">
        <v>2479</v>
      </c>
      <c r="J2887">
        <v>2</v>
      </c>
      <c r="K2887">
        <v>73</v>
      </c>
      <c r="L2887">
        <v>75</v>
      </c>
      <c r="Q2887">
        <v>0</v>
      </c>
      <c r="R2887">
        <v>0</v>
      </c>
      <c r="S2887">
        <v>75</v>
      </c>
      <c r="Y2887" t="s">
        <v>2753</v>
      </c>
      <c r="Z2887" t="s">
        <v>3815</v>
      </c>
      <c r="AA2887" t="s">
        <v>4464</v>
      </c>
      <c r="AB2887" t="s">
        <v>7252</v>
      </c>
      <c r="AC2887" t="s">
        <v>2641</v>
      </c>
      <c r="AD2887" s="249" t="str">
        <f>HYPERLINK("https://scontent.cdninstagram.com/t51.2885-15/s320x320/e35/21107957_2011588335738454_2774949623729487872_n.jpg")</f>
        <v>https://scontent.cdninstagram.com/t51.2885-15/s320x320/e35/21107957_2011588335738454_2774949623729487872_n.jpg</v>
      </c>
      <c r="AE2887" s="249" t="str">
        <f>HYPERLINK("https://scontent.cdninstagram.com/t51.2885-19/s150x150/15802797_1331780626878656_4160680230047973376_a.jpg")</f>
        <v>https://scontent.cdninstagram.com/t51.2885-19/s150x150/15802797_1331780626878656_4160680230047973376_a.jpg</v>
      </c>
    </row>
    <row r="2888" spans="1:31" ht="15" x14ac:dyDescent="0.25">
      <c r="A2888" t="s">
        <v>2474</v>
      </c>
      <c r="B2888" t="s">
        <v>4718</v>
      </c>
      <c r="C2888" s="221">
        <v>42973.188750000001</v>
      </c>
      <c r="D2888" t="s">
        <v>17322</v>
      </c>
      <c r="E2888" s="249" t="str">
        <f>HYPERLINK("https://www.instagram.com/p/BYQBoTxjlCH/")</f>
        <v>https://www.instagram.com/p/BYQBoTxjlCH/</v>
      </c>
      <c r="F2888" t="s">
        <v>17323</v>
      </c>
      <c r="G2888" t="s">
        <v>2478</v>
      </c>
      <c r="H2888">
        <v>139</v>
      </c>
      <c r="I2888" t="s">
        <v>2542</v>
      </c>
      <c r="J2888">
        <v>0</v>
      </c>
      <c r="K2888">
        <v>10</v>
      </c>
      <c r="L2888">
        <v>10</v>
      </c>
      <c r="Q2888">
        <v>0</v>
      </c>
      <c r="R2888">
        <v>0</v>
      </c>
      <c r="S2888">
        <v>10</v>
      </c>
      <c r="Y2888" t="s">
        <v>17324</v>
      </c>
      <c r="Z2888" t="s">
        <v>17325</v>
      </c>
      <c r="AA2888" t="s">
        <v>9125</v>
      </c>
      <c r="AB2888" t="s">
        <v>2497</v>
      </c>
      <c r="AC2888" t="s">
        <v>17326</v>
      </c>
      <c r="AD2888" s="249" t="str">
        <f>HYPERLINK("https://scontent.cdninstagram.com/t51.2885-15/s320x320/e35/21148136_1380209655426995_4506686459020836864_n.jpg")</f>
        <v>https://scontent.cdninstagram.com/t51.2885-15/s320x320/e35/21148136_1380209655426995_4506686459020836864_n.jpg</v>
      </c>
      <c r="AE2888" s="249" t="str">
        <f>HYPERLINK("https://scontent.cdninstagram.com/t51.2885-19/s150x150/12256656_992849557404948_1319856629_a.jpg")</f>
        <v>https://scontent.cdninstagram.com/t51.2885-19/s150x150/12256656_992849557404948_1319856629_a.jpg</v>
      </c>
    </row>
    <row r="2889" spans="1:31" ht="15" x14ac:dyDescent="0.25">
      <c r="A2889" t="s">
        <v>2474</v>
      </c>
      <c r="B2889" t="s">
        <v>17327</v>
      </c>
      <c r="C2889" s="221">
        <v>42973.201597222222</v>
      </c>
      <c r="D2889" t="s">
        <v>17328</v>
      </c>
      <c r="E2889" s="249" t="str">
        <f>HYPERLINK("https://www.instagram.com/p/BYQDv03Fn0G/")</f>
        <v>https://www.instagram.com/p/BYQDv03Fn0G/</v>
      </c>
      <c r="F2889" t="s">
        <v>17329</v>
      </c>
      <c r="G2889" t="s">
        <v>2478</v>
      </c>
      <c r="H2889">
        <v>188</v>
      </c>
      <c r="I2889" t="s">
        <v>2479</v>
      </c>
      <c r="J2889">
        <v>0</v>
      </c>
      <c r="K2889">
        <v>13</v>
      </c>
      <c r="L2889">
        <v>13</v>
      </c>
      <c r="Q2889">
        <v>0</v>
      </c>
      <c r="R2889">
        <v>0</v>
      </c>
      <c r="S2889">
        <v>13</v>
      </c>
      <c r="Y2889" t="s">
        <v>2603</v>
      </c>
      <c r="Z2889" t="s">
        <v>2497</v>
      </c>
      <c r="AA2889" t="s">
        <v>8778</v>
      </c>
      <c r="AD2889" s="249" t="str">
        <f>HYPERLINK("https://scontent.cdninstagram.com/t51.2885-15/s320x320/e35/21041820_148016555784343_2138306668688048128_n.jpg")</f>
        <v>https://scontent.cdninstagram.com/t51.2885-15/s320x320/e35/21041820_148016555784343_2138306668688048128_n.jpg</v>
      </c>
      <c r="AE2889" s="249" t="str">
        <f>HYPERLINK("https://scontent.cdninstagram.com/t51.2885-19/s150x150/15802690_1734673613421714_6701569142761193472_a.jpg")</f>
        <v>https://scontent.cdninstagram.com/t51.2885-19/s150x150/15802690_1734673613421714_6701569142761193472_a.jpg</v>
      </c>
    </row>
    <row r="2890" spans="1:31" ht="15" x14ac:dyDescent="0.25">
      <c r="A2890" t="s">
        <v>2474</v>
      </c>
      <c r="B2890" t="s">
        <v>4341</v>
      </c>
      <c r="C2890" s="221">
        <v>42973.20925925926</v>
      </c>
      <c r="D2890" t="s">
        <v>17330</v>
      </c>
      <c r="E2890" s="249" t="str">
        <f>HYPERLINK("https://www.instagram.com/p/BYQFAsbA4aL/")</f>
        <v>https://www.instagram.com/p/BYQFAsbA4aL/</v>
      </c>
      <c r="F2890" t="s">
        <v>17331</v>
      </c>
      <c r="G2890" t="s">
        <v>2478</v>
      </c>
      <c r="H2890">
        <v>390131</v>
      </c>
      <c r="I2890" t="s">
        <v>2479</v>
      </c>
      <c r="J2890">
        <v>14</v>
      </c>
      <c r="K2890">
        <v>3527</v>
      </c>
      <c r="L2890">
        <v>3541</v>
      </c>
      <c r="Q2890">
        <v>0</v>
      </c>
      <c r="R2890">
        <v>0</v>
      </c>
      <c r="S2890">
        <v>3541</v>
      </c>
      <c r="AD2890" s="249" t="str">
        <f>HYPERLINK("https://scontent.cdninstagram.com/t51.2885-15/s320x320/e35/21040872_1873677509618747_1533763049381429248_n.jpg")</f>
        <v>https://scontent.cdninstagram.com/t51.2885-15/s320x320/e35/21040872_1873677509618747_1533763049381429248_n.jpg</v>
      </c>
      <c r="AE2890" s="249" t="str">
        <f>HYPERLINK("https://scontent.cdninstagram.com/t51.2885-19/s150x150/12357356_524081691094860_312972369_a.jpg")</f>
        <v>https://scontent.cdninstagram.com/t51.2885-19/s150x150/12357356_524081691094860_312972369_a.jpg</v>
      </c>
    </row>
    <row r="2891" spans="1:31" ht="15" x14ac:dyDescent="0.25">
      <c r="A2891" t="s">
        <v>2474</v>
      </c>
      <c r="B2891" t="s">
        <v>3015</v>
      </c>
      <c r="C2891" s="221">
        <v>42973.216527777775</v>
      </c>
      <c r="D2891" t="s">
        <v>17332</v>
      </c>
      <c r="E2891" s="249" t="str">
        <f>HYPERLINK("https://www.instagram.com/p/BYQGNTPgJrS/")</f>
        <v>https://www.instagram.com/p/BYQGNTPgJrS/</v>
      </c>
      <c r="F2891" t="s">
        <v>17333</v>
      </c>
      <c r="G2891" t="s">
        <v>2478</v>
      </c>
      <c r="H2891">
        <v>239</v>
      </c>
      <c r="I2891" t="s">
        <v>2479</v>
      </c>
      <c r="J2891">
        <v>0</v>
      </c>
      <c r="K2891">
        <v>44</v>
      </c>
      <c r="L2891">
        <v>44</v>
      </c>
      <c r="Q2891">
        <v>0</v>
      </c>
      <c r="R2891">
        <v>0</v>
      </c>
      <c r="S2891">
        <v>44</v>
      </c>
      <c r="Y2891" t="s">
        <v>3165</v>
      </c>
      <c r="Z2891" t="s">
        <v>4126</v>
      </c>
      <c r="AA2891" t="s">
        <v>3726</v>
      </c>
      <c r="AB2891" t="s">
        <v>4919</v>
      </c>
      <c r="AC2891" t="s">
        <v>3725</v>
      </c>
      <c r="AD2891" s="249" t="str">
        <f>HYPERLINK("https://scontent.cdninstagram.com/t51.2885-15/s320x320/e35/21041801_116222662375784_3500424511180767232_n.jpg")</f>
        <v>https://scontent.cdninstagram.com/t51.2885-15/s320x320/e35/21041801_116222662375784_3500424511180767232_n.jpg</v>
      </c>
      <c r="AE2891" s="249" t="str">
        <f>HYPERLINK("https://scontent.cdninstagram.com/t51.2885-19/s150x150/19761452_1876060406050696_4275948751316582400_a.jpg")</f>
        <v>https://scontent.cdninstagram.com/t51.2885-19/s150x150/19761452_1876060406050696_4275948751316582400_a.jpg</v>
      </c>
    </row>
    <row r="2892" spans="1:31" ht="15" x14ac:dyDescent="0.25">
      <c r="A2892" t="s">
        <v>2474</v>
      </c>
      <c r="B2892" t="s">
        <v>3015</v>
      </c>
      <c r="C2892" s="221">
        <v>42973.224895833337</v>
      </c>
      <c r="D2892" t="s">
        <v>17334</v>
      </c>
      <c r="E2892" s="249" t="str">
        <f>HYPERLINK("https://www.instagram.com/p/BYQHlk5gR_p/")</f>
        <v>https://www.instagram.com/p/BYQHlk5gR_p/</v>
      </c>
      <c r="F2892" t="s">
        <v>17335</v>
      </c>
      <c r="G2892" t="s">
        <v>2478</v>
      </c>
      <c r="H2892">
        <v>239</v>
      </c>
      <c r="I2892" t="s">
        <v>2479</v>
      </c>
      <c r="J2892">
        <v>1</v>
      </c>
      <c r="K2892">
        <v>63</v>
      </c>
      <c r="L2892">
        <v>64</v>
      </c>
      <c r="Q2892">
        <v>0</v>
      </c>
      <c r="R2892">
        <v>0</v>
      </c>
      <c r="S2892">
        <v>64</v>
      </c>
      <c r="Y2892" t="s">
        <v>3165</v>
      </c>
      <c r="Z2892" t="s">
        <v>4126</v>
      </c>
      <c r="AA2892" t="s">
        <v>3726</v>
      </c>
      <c r="AB2892" t="s">
        <v>4919</v>
      </c>
      <c r="AC2892" t="s">
        <v>3725</v>
      </c>
      <c r="AD2892" s="249" t="str">
        <f>HYPERLINK("https://scontent.cdninstagram.com/t51.2885-15/e35/p320x320/21108088_118816942109705_7168144788884029440_n.jpg")</f>
        <v>https://scontent.cdninstagram.com/t51.2885-15/e35/p320x320/21108088_118816942109705_7168144788884029440_n.jpg</v>
      </c>
      <c r="AE2892" s="249" t="str">
        <f>HYPERLINK("https://scontent.cdninstagram.com/t51.2885-19/s150x150/19761452_1876060406050696_4275948751316582400_a.jpg")</f>
        <v>https://scontent.cdninstagram.com/t51.2885-19/s150x150/19761452_1876060406050696_4275948751316582400_a.jpg</v>
      </c>
    </row>
    <row r="2893" spans="1:31" ht="15" x14ac:dyDescent="0.25">
      <c r="A2893" t="s">
        <v>2474</v>
      </c>
      <c r="B2893" t="s">
        <v>4811</v>
      </c>
      <c r="C2893" s="221">
        <v>42973.236712962964</v>
      </c>
      <c r="D2893" t="s">
        <v>17336</v>
      </c>
      <c r="E2893" s="249" t="str">
        <f>HYPERLINK("https://www.instagram.com/p/BYQJiJ8Axf1/")</f>
        <v>https://www.instagram.com/p/BYQJiJ8Axf1/</v>
      </c>
      <c r="F2893" t="s">
        <v>17337</v>
      </c>
      <c r="G2893" t="s">
        <v>2631</v>
      </c>
      <c r="H2893">
        <v>989</v>
      </c>
      <c r="I2893" t="s">
        <v>2479</v>
      </c>
      <c r="J2893">
        <v>10</v>
      </c>
      <c r="K2893">
        <v>104</v>
      </c>
      <c r="L2893">
        <v>114</v>
      </c>
      <c r="Q2893">
        <v>0</v>
      </c>
      <c r="R2893">
        <v>0</v>
      </c>
      <c r="S2893">
        <v>114</v>
      </c>
      <c r="Y2893" t="s">
        <v>8501</v>
      </c>
      <c r="Z2893" t="s">
        <v>8578</v>
      </c>
      <c r="AA2893" t="s">
        <v>4816</v>
      </c>
      <c r="AB2893" t="s">
        <v>9012</v>
      </c>
      <c r="AC2893" t="s">
        <v>7136</v>
      </c>
      <c r="AD2893" s="249" t="str">
        <f>HYPERLINK("https://scontent.cdninstagram.com/t51.2885-15/s320x320/e15/21108033_494688170878158_2577306606135934976_n.jpg")</f>
        <v>https://scontent.cdninstagram.com/t51.2885-15/s320x320/e15/21108033_494688170878158_2577306606135934976_n.jpg</v>
      </c>
      <c r="AE2893" s="249" t="str">
        <f>HYPERLINK("https://scontent.cdninstagram.com/t51.2885-19/s150x150/16124251_1913091765603634_8004330562992996352_a.jpg")</f>
        <v>https://scontent.cdninstagram.com/t51.2885-19/s150x150/16124251_1913091765603634_8004330562992996352_a.jpg</v>
      </c>
    </row>
    <row r="2894" spans="1:31" ht="15" x14ac:dyDescent="0.25">
      <c r="A2894" t="s">
        <v>2474</v>
      </c>
      <c r="B2894" t="s">
        <v>17338</v>
      </c>
      <c r="C2894" s="221">
        <v>42973.239953703705</v>
      </c>
      <c r="D2894" t="s">
        <v>17339</v>
      </c>
      <c r="E2894" s="249" t="str">
        <f>HYPERLINK("https://www.instagram.com/p/BYQKEbqBd1y/")</f>
        <v>https://www.instagram.com/p/BYQKEbqBd1y/</v>
      </c>
      <c r="F2894" t="s">
        <v>17340</v>
      </c>
      <c r="G2894" t="s">
        <v>2478</v>
      </c>
      <c r="H2894">
        <v>33</v>
      </c>
      <c r="I2894" t="s">
        <v>2479</v>
      </c>
      <c r="J2894">
        <v>1</v>
      </c>
      <c r="K2894">
        <v>43</v>
      </c>
      <c r="L2894">
        <v>44</v>
      </c>
      <c r="Q2894">
        <v>0</v>
      </c>
      <c r="R2894">
        <v>0</v>
      </c>
      <c r="S2894">
        <v>44</v>
      </c>
      <c r="Y2894" t="s">
        <v>17341</v>
      </c>
      <c r="Z2894" t="s">
        <v>2551</v>
      </c>
      <c r="AA2894" t="s">
        <v>17342</v>
      </c>
      <c r="AB2894" t="s">
        <v>2861</v>
      </c>
      <c r="AC2894" t="s">
        <v>5327</v>
      </c>
      <c r="AD2894" s="249" t="str">
        <f>HYPERLINK("https://scontent.cdninstagram.com/t51.2885-15/s320x320/e35/10005634_1950216488551455_5347831060635844608_n.jpg")</f>
        <v>https://scontent.cdninstagram.com/t51.2885-15/s320x320/e35/10005634_1950216488551455_5347831060635844608_n.jpg</v>
      </c>
      <c r="AE2894" s="249" t="str">
        <f>HYPERLINK("https://scontent.cdninstagram.com/t51.2885-19/s150x150/14310842_1719286561670342_6811069673275129856_a.jpg")</f>
        <v>https://scontent.cdninstagram.com/t51.2885-19/s150x150/14310842_1719286561670342_6811069673275129856_a.jpg</v>
      </c>
    </row>
    <row r="2895" spans="1:31" ht="15" x14ac:dyDescent="0.25">
      <c r="A2895" t="s">
        <v>2474</v>
      </c>
      <c r="B2895" t="s">
        <v>17343</v>
      </c>
      <c r="C2895" s="221">
        <v>42973.243506944447</v>
      </c>
      <c r="D2895" t="s">
        <v>17344</v>
      </c>
      <c r="E2895" s="249" t="str">
        <f>HYPERLINK("https://www.instagram.com/p/BYQKp5wF85x/")</f>
        <v>https://www.instagram.com/p/BYQKp5wF85x/</v>
      </c>
      <c r="F2895" t="s">
        <v>17345</v>
      </c>
      <c r="G2895" t="s">
        <v>2478</v>
      </c>
      <c r="H2895">
        <v>129</v>
      </c>
      <c r="I2895" t="s">
        <v>2582</v>
      </c>
      <c r="J2895">
        <v>0</v>
      </c>
      <c r="K2895">
        <v>19</v>
      </c>
      <c r="L2895">
        <v>19</v>
      </c>
      <c r="Q2895">
        <v>0</v>
      </c>
      <c r="R2895">
        <v>0</v>
      </c>
      <c r="S2895">
        <v>19</v>
      </c>
      <c r="Y2895" t="s">
        <v>5257</v>
      </c>
      <c r="Z2895" t="s">
        <v>8601</v>
      </c>
      <c r="AA2895" t="s">
        <v>5721</v>
      </c>
      <c r="AB2895" t="s">
        <v>17346</v>
      </c>
      <c r="AC2895" t="s">
        <v>2492</v>
      </c>
      <c r="AD2895" s="249" t="str">
        <f>HYPERLINK("https://scontent.cdninstagram.com/t51.2885-15/e35/21107572_169849323574149_7225803805709828096_n.jpg")</f>
        <v>https://scontent.cdninstagram.com/t51.2885-15/e35/21107572_169849323574149_7225803805709828096_n.jpg</v>
      </c>
      <c r="AE2895" s="249" t="str">
        <f>HYPERLINK("https://scontent.cdninstagram.com/t51.2885-19/s150x150/20766966_327950150984704_834355813098192896_a.jpg")</f>
        <v>https://scontent.cdninstagram.com/t51.2885-19/s150x150/20766966_327950150984704_834355813098192896_a.jpg</v>
      </c>
    </row>
    <row r="2896" spans="1:31" ht="15" x14ac:dyDescent="0.25">
      <c r="A2896" t="s">
        <v>2474</v>
      </c>
      <c r="B2896" t="s">
        <v>17347</v>
      </c>
      <c r="C2896" s="221">
        <v>42973.246979166666</v>
      </c>
      <c r="D2896" t="s">
        <v>17348</v>
      </c>
      <c r="E2896" s="249" t="str">
        <f>HYPERLINK("https://www.instagram.com/p/BYQLOcsAowW/")</f>
        <v>https://www.instagram.com/p/BYQLOcsAowW/</v>
      </c>
      <c r="F2896" t="s">
        <v>17349</v>
      </c>
      <c r="G2896" t="s">
        <v>2488</v>
      </c>
      <c r="H2896">
        <v>275</v>
      </c>
      <c r="I2896" t="s">
        <v>2479</v>
      </c>
      <c r="J2896">
        <v>2</v>
      </c>
      <c r="K2896">
        <v>52</v>
      </c>
      <c r="L2896">
        <v>54</v>
      </c>
      <c r="Q2896">
        <v>0</v>
      </c>
      <c r="R2896">
        <v>0</v>
      </c>
      <c r="S2896">
        <v>54</v>
      </c>
      <c r="T2896" t="s">
        <v>17350</v>
      </c>
      <c r="V2896" t="s">
        <v>2161</v>
      </c>
      <c r="W2896">
        <v>51.2667</v>
      </c>
      <c r="X2896">
        <v>7.1833299999999998</v>
      </c>
      <c r="Y2896" t="s">
        <v>11414</v>
      </c>
      <c r="Z2896" t="s">
        <v>17351</v>
      </c>
      <c r="AA2896" t="s">
        <v>17352</v>
      </c>
      <c r="AB2896" t="s">
        <v>17353</v>
      </c>
      <c r="AC2896" t="s">
        <v>17354</v>
      </c>
      <c r="AD2896" s="249" t="str">
        <f>HYPERLINK("https://scontent.cdninstagram.com/t51.2885-15/s320x320/e35/21042361_166817840558128_2392541798871334912_n.jpg")</f>
        <v>https://scontent.cdninstagram.com/t51.2885-15/s320x320/e35/21042361_166817840558128_2392541798871334912_n.jpg</v>
      </c>
      <c r="AE2896" s="249" t="str">
        <f>HYPERLINK("https://scontent.cdninstagram.com/t51.2885-19/s150x150/19367611_235044753665839_2587352221108666368_a.jpg")</f>
        <v>https://scontent.cdninstagram.com/t51.2885-19/s150x150/19367611_235044753665839_2587352221108666368_a.jpg</v>
      </c>
    </row>
    <row r="2897" spans="1:31" ht="15" x14ac:dyDescent="0.25">
      <c r="A2897" t="s">
        <v>2474</v>
      </c>
      <c r="B2897" t="s">
        <v>10388</v>
      </c>
      <c r="C2897" s="221">
        <v>42973.252337962964</v>
      </c>
      <c r="D2897" t="s">
        <v>17355</v>
      </c>
      <c r="E2897" s="249" t="str">
        <f>HYPERLINK("https://www.instagram.com/p/BYQMG-MnyKB/")</f>
        <v>https://www.instagram.com/p/BYQMG-MnyKB/</v>
      </c>
      <c r="F2897" t="s">
        <v>17356</v>
      </c>
      <c r="G2897" t="s">
        <v>2478</v>
      </c>
      <c r="H2897">
        <v>270</v>
      </c>
      <c r="I2897" t="s">
        <v>2599</v>
      </c>
      <c r="J2897">
        <v>2</v>
      </c>
      <c r="K2897">
        <v>31</v>
      </c>
      <c r="L2897">
        <v>33</v>
      </c>
      <c r="Q2897">
        <v>0</v>
      </c>
      <c r="R2897">
        <v>0</v>
      </c>
      <c r="S2897">
        <v>33</v>
      </c>
      <c r="Y2897" t="s">
        <v>17357</v>
      </c>
      <c r="Z2897" t="s">
        <v>17358</v>
      </c>
      <c r="AA2897" t="s">
        <v>3760</v>
      </c>
      <c r="AB2897" t="s">
        <v>17359</v>
      </c>
      <c r="AC2897" t="s">
        <v>17360</v>
      </c>
      <c r="AD2897" s="249" t="str">
        <f>HYPERLINK("https://scontent.cdninstagram.com/t51.2885-15/e35/21108069_429587460775920_3145679187696680960_n.jpg")</f>
        <v>https://scontent.cdninstagram.com/t51.2885-15/e35/21108069_429587460775920_3145679187696680960_n.jpg</v>
      </c>
      <c r="AE2897" s="249" t="str">
        <f>HYPERLINK("https://scontent.cdninstagram.com/t51.2885-19/s150x150/16463995_246291615824475_7975629800519761920_a.jpg")</f>
        <v>https://scontent.cdninstagram.com/t51.2885-19/s150x150/16463995_246291615824475_7975629800519761920_a.jpg</v>
      </c>
    </row>
    <row r="2898" spans="1:31" ht="15" x14ac:dyDescent="0.25">
      <c r="A2898" t="s">
        <v>2474</v>
      </c>
      <c r="B2898" t="s">
        <v>17361</v>
      </c>
      <c r="C2898" s="221">
        <v>42973.253645833334</v>
      </c>
      <c r="D2898" t="s">
        <v>17362</v>
      </c>
      <c r="E2898" s="249" t="str">
        <f>HYPERLINK("https://www.instagram.com/p/BYQMUwSALf1/")</f>
        <v>https://www.instagram.com/p/BYQMUwSALf1/</v>
      </c>
      <c r="F2898" t="s">
        <v>17363</v>
      </c>
      <c r="G2898" t="s">
        <v>2478</v>
      </c>
      <c r="H2898">
        <v>50</v>
      </c>
      <c r="I2898" t="s">
        <v>2479</v>
      </c>
      <c r="J2898">
        <v>0</v>
      </c>
      <c r="K2898">
        <v>10</v>
      </c>
      <c r="L2898">
        <v>10</v>
      </c>
      <c r="Q2898">
        <v>0</v>
      </c>
      <c r="R2898">
        <v>0</v>
      </c>
      <c r="S2898">
        <v>10</v>
      </c>
      <c r="T2898" t="s">
        <v>17364</v>
      </c>
      <c r="V2898" t="s">
        <v>2110</v>
      </c>
      <c r="W2898">
        <v>50.9833</v>
      </c>
      <c r="X2898">
        <v>3.9166699999999999</v>
      </c>
      <c r="Y2898" t="s">
        <v>2736</v>
      </c>
      <c r="Z2898" t="s">
        <v>3145</v>
      </c>
      <c r="AA2898" t="s">
        <v>4801</v>
      </c>
      <c r="AB2898" t="s">
        <v>3137</v>
      </c>
      <c r="AC2898" t="s">
        <v>4324</v>
      </c>
      <c r="AD2898" s="249" t="str">
        <f>HYPERLINK("https://scontent.cdninstagram.com/t51.2885-15/s320x320/e35/21107270_362996107465738_7117953281371930624_n.jpg")</f>
        <v>https://scontent.cdninstagram.com/t51.2885-15/s320x320/e35/21107270_362996107465738_7117953281371930624_n.jpg</v>
      </c>
      <c r="AE2898" s="249" t="str">
        <f>HYPERLINK("https://scontent.cdninstagram.com/t51.2885-19/s150x150/20180919_635374766672048_1794526675883524096_a.jpg")</f>
        <v>https://scontent.cdninstagram.com/t51.2885-19/s150x150/20180919_635374766672048_1794526675883524096_a.jpg</v>
      </c>
    </row>
    <row r="2899" spans="1:31" ht="15" x14ac:dyDescent="0.25">
      <c r="A2899" t="s">
        <v>2474</v>
      </c>
      <c r="B2899" t="s">
        <v>17365</v>
      </c>
      <c r="C2899" s="221">
        <v>42973.256388888891</v>
      </c>
      <c r="D2899" t="s">
        <v>17366</v>
      </c>
      <c r="E2899" s="249" t="str">
        <f>HYPERLINK("https://www.instagram.com/p/BYQMxuWDYep/")</f>
        <v>https://www.instagram.com/p/BYQMxuWDYep/</v>
      </c>
      <c r="F2899" t="s">
        <v>17367</v>
      </c>
      <c r="G2899" t="s">
        <v>2478</v>
      </c>
      <c r="H2899">
        <v>5</v>
      </c>
      <c r="I2899" t="s">
        <v>2479</v>
      </c>
      <c r="J2899">
        <v>3</v>
      </c>
      <c r="K2899">
        <v>23</v>
      </c>
      <c r="L2899">
        <v>26</v>
      </c>
      <c r="Q2899">
        <v>0</v>
      </c>
      <c r="R2899">
        <v>0</v>
      </c>
      <c r="S2899">
        <v>26</v>
      </c>
      <c r="Y2899" t="s">
        <v>12669</v>
      </c>
      <c r="Z2899" t="s">
        <v>2492</v>
      </c>
      <c r="AA2899" t="s">
        <v>17368</v>
      </c>
      <c r="AB2899" t="s">
        <v>17369</v>
      </c>
      <c r="AC2899" t="s">
        <v>17370</v>
      </c>
      <c r="AD2899" s="249" t="str">
        <f>HYPERLINK("https://scontent.cdninstagram.com/t51.2885-15/s320x320/e35/21147536_1283493831756871_6215162507351293952_n.jpg")</f>
        <v>https://scontent.cdninstagram.com/t51.2885-15/s320x320/e35/21147536_1283493831756871_6215162507351293952_n.jpg</v>
      </c>
      <c r="AE2899" s="249" t="str">
        <f>HYPERLINK("https://scontent.cdninstagram.com/t51.2885-19/s150x150/20766123_1988401371404106_652185870455013376_a.jpg")</f>
        <v>https://scontent.cdninstagram.com/t51.2885-19/s150x150/20766123_1988401371404106_652185870455013376_a.jpg</v>
      </c>
    </row>
    <row r="2900" spans="1:31" ht="15" x14ac:dyDescent="0.25">
      <c r="A2900" t="s">
        <v>2474</v>
      </c>
      <c r="B2900" t="s">
        <v>7152</v>
      </c>
      <c r="C2900" s="221">
        <v>42973.259606481479</v>
      </c>
      <c r="D2900" t="s">
        <v>17371</v>
      </c>
      <c r="E2900" s="249" t="str">
        <f>HYPERLINK("https://www.instagram.com/p/BYQNTr7jf9C/")</f>
        <v>https://www.instagram.com/p/BYQNTr7jf9C/</v>
      </c>
      <c r="F2900" t="s">
        <v>17372</v>
      </c>
      <c r="G2900" t="s">
        <v>2478</v>
      </c>
      <c r="H2900">
        <v>123</v>
      </c>
      <c r="I2900" t="s">
        <v>2542</v>
      </c>
      <c r="J2900">
        <v>1</v>
      </c>
      <c r="K2900">
        <v>19</v>
      </c>
      <c r="L2900">
        <v>20</v>
      </c>
      <c r="Q2900">
        <v>0</v>
      </c>
      <c r="R2900">
        <v>0</v>
      </c>
      <c r="S2900">
        <v>20</v>
      </c>
      <c r="Y2900" t="s">
        <v>5383</v>
      </c>
      <c r="Z2900" t="s">
        <v>5449</v>
      </c>
      <c r="AA2900" t="s">
        <v>2551</v>
      </c>
      <c r="AB2900" t="s">
        <v>8264</v>
      </c>
      <c r="AC2900" t="s">
        <v>2660</v>
      </c>
      <c r="AD2900" s="249" t="str">
        <f>HYPERLINK("https://scontent.cdninstagram.com/t51.2885-15/s320x320/e35/21148042_339382619837538_2569935591852474368_n.jpg")</f>
        <v>https://scontent.cdninstagram.com/t51.2885-15/s320x320/e35/21148042_339382619837538_2569935591852474368_n.jpg</v>
      </c>
      <c r="AE2900" s="249" t="str">
        <f>HYPERLINK("https://scontent.cdninstagram.com/t51.2885-19/s150x150/20181062_1791856511105718_4709893984703479808_a.jpg")</f>
        <v>https://scontent.cdninstagram.com/t51.2885-19/s150x150/20181062_1791856511105718_4709893984703479808_a.jpg</v>
      </c>
    </row>
    <row r="2901" spans="1:31" ht="15" x14ac:dyDescent="0.25">
      <c r="A2901" t="s">
        <v>2474</v>
      </c>
      <c r="B2901" t="s">
        <v>3895</v>
      </c>
      <c r="C2901" s="221">
        <v>42973.260196759256</v>
      </c>
      <c r="D2901" t="s">
        <v>17373</v>
      </c>
      <c r="E2901" s="249" t="str">
        <f>HYPERLINK("https://www.instagram.com/p/BYQNZ5KlVPA/")</f>
        <v>https://www.instagram.com/p/BYQNZ5KlVPA/</v>
      </c>
      <c r="F2901" t="s">
        <v>17374</v>
      </c>
      <c r="G2901" t="s">
        <v>2478</v>
      </c>
      <c r="H2901">
        <v>427</v>
      </c>
      <c r="I2901" t="s">
        <v>2479</v>
      </c>
      <c r="J2901">
        <v>2</v>
      </c>
      <c r="K2901">
        <v>91</v>
      </c>
      <c r="L2901">
        <v>93</v>
      </c>
      <c r="Q2901">
        <v>0</v>
      </c>
      <c r="R2901">
        <v>0</v>
      </c>
      <c r="S2901">
        <v>93</v>
      </c>
      <c r="Y2901" t="s">
        <v>3901</v>
      </c>
      <c r="Z2901" t="s">
        <v>3899</v>
      </c>
      <c r="AA2901" t="s">
        <v>3815</v>
      </c>
      <c r="AB2901" t="s">
        <v>3900</v>
      </c>
      <c r="AC2901" t="s">
        <v>6724</v>
      </c>
      <c r="AD2901" s="249" t="str">
        <f>HYPERLINK("https://scontent.cdninstagram.com/t51.2885-15/s320x320/e35/21042242_700606263468453_5962724528923607040_n.jpg")</f>
        <v>https://scontent.cdninstagram.com/t51.2885-15/s320x320/e35/21042242_700606263468453_5962724528923607040_n.jpg</v>
      </c>
      <c r="AE2901" s="249" t="str">
        <f>HYPERLINK("https://scontent.cdninstagram.com/t51.2885-19/s150x150/20902130_1390331654386412_4188068892897181696_a.jpg")</f>
        <v>https://scontent.cdninstagram.com/t51.2885-19/s150x150/20902130_1390331654386412_4188068892897181696_a.jpg</v>
      </c>
    </row>
    <row r="2902" spans="1:31" ht="15" x14ac:dyDescent="0.25">
      <c r="A2902" t="s">
        <v>2474</v>
      </c>
      <c r="B2902" t="s">
        <v>17375</v>
      </c>
      <c r="C2902" s="221">
        <v>42973.26635416667</v>
      </c>
      <c r="D2902" t="s">
        <v>17376</v>
      </c>
      <c r="E2902" s="249" t="str">
        <f>HYPERLINK("https://www.instagram.com/p/BYQOa2xAHgv/")</f>
        <v>https://www.instagram.com/p/BYQOa2xAHgv/</v>
      </c>
      <c r="F2902" t="s">
        <v>17377</v>
      </c>
      <c r="G2902" t="s">
        <v>2478</v>
      </c>
      <c r="I2902" t="s">
        <v>2542</v>
      </c>
      <c r="J2902">
        <v>0</v>
      </c>
      <c r="K2902">
        <v>27</v>
      </c>
      <c r="L2902">
        <v>27</v>
      </c>
      <c r="Q2902">
        <v>0</v>
      </c>
      <c r="R2902">
        <v>0</v>
      </c>
      <c r="S2902">
        <v>27</v>
      </c>
      <c r="T2902" t="s">
        <v>17378</v>
      </c>
      <c r="V2902" t="s">
        <v>2258</v>
      </c>
      <c r="W2902">
        <v>1.2820800000000001</v>
      </c>
      <c r="X2902">
        <v>103.86565</v>
      </c>
      <c r="Y2902" t="s">
        <v>17379</v>
      </c>
      <c r="Z2902" t="s">
        <v>17380</v>
      </c>
      <c r="AA2902" t="s">
        <v>17381</v>
      </c>
      <c r="AB2902" t="s">
        <v>2513</v>
      </c>
      <c r="AC2902" t="s">
        <v>17382</v>
      </c>
      <c r="AD2902" s="249" t="str">
        <f>HYPERLINK("https://scontent.cdninstagram.com/t51.2885-15/s320x320/e35/21107266_113901392664686_4787978878146576384_n.jpg")</f>
        <v>https://scontent.cdninstagram.com/t51.2885-15/s320x320/e35/21107266_113901392664686_4787978878146576384_n.jpg</v>
      </c>
      <c r="AE2902" s="249" t="str">
        <f>HYPERLINK("https://scontent.cdninstagram.com/t51.2885-19/s150x150/12070648_1043727945657602_644684876_a.jpg")</f>
        <v>https://scontent.cdninstagram.com/t51.2885-19/s150x150/12070648_1043727945657602_644684876_a.jpg</v>
      </c>
    </row>
    <row r="2903" spans="1:31" ht="15" x14ac:dyDescent="0.25">
      <c r="A2903" t="s">
        <v>2474</v>
      </c>
      <c r="B2903" t="s">
        <v>17383</v>
      </c>
      <c r="C2903" s="221">
        <v>42973.268541666665</v>
      </c>
      <c r="D2903" t="s">
        <v>17384</v>
      </c>
      <c r="E2903" s="249" t="str">
        <f>HYPERLINK("https://www.instagram.com/p/BYQOx51hmSP/")</f>
        <v>https://www.instagram.com/p/BYQOx51hmSP/</v>
      </c>
      <c r="F2903" t="s">
        <v>17385</v>
      </c>
      <c r="G2903" t="s">
        <v>2478</v>
      </c>
      <c r="H2903">
        <v>163</v>
      </c>
      <c r="I2903" t="s">
        <v>2748</v>
      </c>
      <c r="J2903">
        <v>0</v>
      </c>
      <c r="K2903">
        <v>17</v>
      </c>
      <c r="L2903">
        <v>17</v>
      </c>
      <c r="Q2903">
        <v>0</v>
      </c>
      <c r="R2903">
        <v>0</v>
      </c>
      <c r="S2903">
        <v>17</v>
      </c>
      <c r="Y2903" t="s">
        <v>4271</v>
      </c>
      <c r="Z2903" t="s">
        <v>3722</v>
      </c>
      <c r="AA2903" t="s">
        <v>6597</v>
      </c>
      <c r="AB2903" t="s">
        <v>17386</v>
      </c>
      <c r="AC2903" t="s">
        <v>17387</v>
      </c>
      <c r="AD2903" s="249" t="str">
        <f>HYPERLINK("https://scontent.cdninstagram.com/t51.2885-15/s320x320/e35/21041339_1914186988830636_9138385405844914176_n.jpg")</f>
        <v>https://scontent.cdninstagram.com/t51.2885-15/s320x320/e35/21041339_1914186988830636_9138385405844914176_n.jpg</v>
      </c>
      <c r="AE2903" s="249" t="str">
        <f>HYPERLINK("https://scontent.cdninstagram.com/t51.2885-19/s150x150/18723000_444880825874855_1404343302362234880_a.jpg")</f>
        <v>https://scontent.cdninstagram.com/t51.2885-19/s150x150/18723000_444880825874855_1404343302362234880_a.jpg</v>
      </c>
    </row>
    <row r="2904" spans="1:31" ht="15" x14ac:dyDescent="0.25">
      <c r="A2904" t="s">
        <v>2474</v>
      </c>
      <c r="B2904" t="s">
        <v>13642</v>
      </c>
      <c r="C2904" s="221">
        <v>42973.284884259258</v>
      </c>
      <c r="D2904" t="s">
        <v>17388</v>
      </c>
      <c r="E2904" s="249" t="str">
        <f>HYPERLINK("https://www.instagram.com/p/BYQReSfnHuM/")</f>
        <v>https://www.instagram.com/p/BYQReSfnHuM/</v>
      </c>
      <c r="F2904" t="s">
        <v>17389</v>
      </c>
      <c r="G2904" t="s">
        <v>2478</v>
      </c>
      <c r="H2904">
        <v>5350</v>
      </c>
      <c r="I2904" t="s">
        <v>2479</v>
      </c>
      <c r="J2904">
        <v>0</v>
      </c>
      <c r="K2904">
        <v>170</v>
      </c>
      <c r="L2904">
        <v>170</v>
      </c>
      <c r="Q2904">
        <v>0</v>
      </c>
      <c r="R2904">
        <v>0</v>
      </c>
      <c r="S2904">
        <v>170</v>
      </c>
      <c r="Y2904" t="s">
        <v>11151</v>
      </c>
      <c r="Z2904" t="s">
        <v>3843</v>
      </c>
      <c r="AA2904" t="s">
        <v>17390</v>
      </c>
      <c r="AB2904" t="s">
        <v>17391</v>
      </c>
      <c r="AC2904" t="s">
        <v>17392</v>
      </c>
      <c r="AD2904" s="249" t="str">
        <f>HYPERLINK("https://scontent.cdninstagram.com/t51.2885-15/s320x320/e35/c84.0.720.720/21041138_1829150387398003_6065546020220043264_n.jpg")</f>
        <v>https://scontent.cdninstagram.com/t51.2885-15/s320x320/e35/c84.0.720.720/21041138_1829150387398003_6065546020220043264_n.jpg</v>
      </c>
      <c r="AE2904" s="249" t="str">
        <f>HYPERLINK("https://scontent.cdninstagram.com/t51.2885-19/s150x150/20838524_332124647214643_3539679623207976960_a.jpg")</f>
        <v>https://scontent.cdninstagram.com/t51.2885-19/s150x150/20838524_332124647214643_3539679623207976960_a.jpg</v>
      </c>
    </row>
    <row r="2905" spans="1:31" ht="15" x14ac:dyDescent="0.25">
      <c r="A2905" t="s">
        <v>2474</v>
      </c>
      <c r="B2905" t="s">
        <v>17393</v>
      </c>
      <c r="C2905" s="221">
        <v>42973.290856481479</v>
      </c>
      <c r="D2905" t="s">
        <v>17394</v>
      </c>
      <c r="E2905" s="249" t="str">
        <f>HYPERLINK("https://www.instagram.com/p/BYQSdPKgV7_/")</f>
        <v>https://www.instagram.com/p/BYQSdPKgV7_/</v>
      </c>
      <c r="F2905" t="s">
        <v>17395</v>
      </c>
      <c r="G2905" t="s">
        <v>2478</v>
      </c>
      <c r="H2905">
        <v>402</v>
      </c>
      <c r="I2905" t="s">
        <v>2479</v>
      </c>
      <c r="J2905">
        <v>0</v>
      </c>
      <c r="K2905">
        <v>58</v>
      </c>
      <c r="L2905">
        <v>58</v>
      </c>
      <c r="Q2905">
        <v>0</v>
      </c>
      <c r="R2905">
        <v>0</v>
      </c>
      <c r="S2905">
        <v>58</v>
      </c>
      <c r="Y2905" t="s">
        <v>17396</v>
      </c>
      <c r="Z2905" t="s">
        <v>12314</v>
      </c>
      <c r="AA2905" t="s">
        <v>17227</v>
      </c>
      <c r="AB2905" t="s">
        <v>17397</v>
      </c>
      <c r="AC2905" t="s">
        <v>17398</v>
      </c>
      <c r="AD2905" s="249" t="str">
        <f>HYPERLINK("https://scontent.cdninstagram.com/t51.2885-15/s320x320/e35/21107533_1617122538318754_3348565853552508928_n.jpg")</f>
        <v>https://scontent.cdninstagram.com/t51.2885-15/s320x320/e35/21107533_1617122538318754_3348565853552508928_n.jpg</v>
      </c>
      <c r="AE2905" s="249" t="str">
        <f>HYPERLINK("https://scontent.cdninstagram.com/t51.2885-19/s150x150/18253075_200362040471987_6097075632838017024_a.jpg")</f>
        <v>https://scontent.cdninstagram.com/t51.2885-19/s150x150/18253075_200362040471987_6097075632838017024_a.jpg</v>
      </c>
    </row>
    <row r="2906" spans="1:31" ht="15" x14ac:dyDescent="0.25">
      <c r="A2906" t="s">
        <v>2474</v>
      </c>
      <c r="B2906" t="s">
        <v>17399</v>
      </c>
      <c r="C2906" s="221">
        <v>42973.291956018518</v>
      </c>
      <c r="D2906" t="s">
        <v>17400</v>
      </c>
      <c r="E2906" s="249" t="str">
        <f>HYPERLINK("https://www.instagram.com/p/BYQSo3KlPm9/")</f>
        <v>https://www.instagram.com/p/BYQSo3KlPm9/</v>
      </c>
      <c r="F2906" t="s">
        <v>17401</v>
      </c>
      <c r="G2906" t="s">
        <v>2478</v>
      </c>
      <c r="H2906">
        <v>2067</v>
      </c>
      <c r="I2906" t="s">
        <v>2479</v>
      </c>
      <c r="J2906">
        <v>4</v>
      </c>
      <c r="K2906">
        <v>73</v>
      </c>
      <c r="L2906">
        <v>77</v>
      </c>
      <c r="Q2906">
        <v>0</v>
      </c>
      <c r="R2906">
        <v>0</v>
      </c>
      <c r="S2906">
        <v>77</v>
      </c>
      <c r="Y2906" t="s">
        <v>17402</v>
      </c>
      <c r="Z2906" t="s">
        <v>17403</v>
      </c>
      <c r="AA2906" t="s">
        <v>17404</v>
      </c>
      <c r="AB2906" t="s">
        <v>8417</v>
      </c>
      <c r="AC2906" t="s">
        <v>17405</v>
      </c>
      <c r="AD2906" s="249" t="str">
        <f>HYPERLINK("https://scontent.cdninstagram.com/t51.2885-15/s320x320/e35/21042382_261059087717917_1868053453679362048_n.jpg")</f>
        <v>https://scontent.cdninstagram.com/t51.2885-15/s320x320/e35/21042382_261059087717917_1868053453679362048_n.jpg</v>
      </c>
      <c r="AE2906" s="249" t="str">
        <f>HYPERLINK("https://scontent.cdninstagram.com/t51.2885-19/s150x150/15624994_1898992967047555_817525507007447040_a.jpg")</f>
        <v>https://scontent.cdninstagram.com/t51.2885-19/s150x150/15624994_1898992967047555_817525507007447040_a.jpg</v>
      </c>
    </row>
    <row r="2907" spans="1:31" ht="15" x14ac:dyDescent="0.25">
      <c r="A2907" t="s">
        <v>2474</v>
      </c>
      <c r="B2907" t="s">
        <v>17406</v>
      </c>
      <c r="C2907" s="221">
        <v>42973.293981481482</v>
      </c>
      <c r="D2907" t="s">
        <v>17407</v>
      </c>
      <c r="E2907" s="249" t="str">
        <f>HYPERLINK("https://www.instagram.com/p/BYQS-QZltAo/")</f>
        <v>https://www.instagram.com/p/BYQS-QZltAo/</v>
      </c>
      <c r="F2907" t="s">
        <v>17408</v>
      </c>
      <c r="G2907" t="s">
        <v>2478</v>
      </c>
      <c r="H2907">
        <v>1185</v>
      </c>
      <c r="I2907" t="s">
        <v>2479</v>
      </c>
      <c r="J2907">
        <v>4</v>
      </c>
      <c r="K2907">
        <v>122</v>
      </c>
      <c r="L2907">
        <v>126</v>
      </c>
      <c r="Q2907">
        <v>0</v>
      </c>
      <c r="R2907">
        <v>0</v>
      </c>
      <c r="S2907">
        <v>126</v>
      </c>
      <c r="Y2907" t="s">
        <v>17409</v>
      </c>
      <c r="Z2907" t="s">
        <v>17410</v>
      </c>
      <c r="AA2907" t="s">
        <v>17411</v>
      </c>
      <c r="AB2907" t="s">
        <v>17412</v>
      </c>
      <c r="AC2907" t="s">
        <v>3627</v>
      </c>
      <c r="AD2907" s="249" t="str">
        <f>HYPERLINK("https://scontent.cdninstagram.com/t51.2885-15/e35/p320x320/21147616_167031997193791_4118365799930920960_n.jpg")</f>
        <v>https://scontent.cdninstagram.com/t51.2885-15/e35/p320x320/21147616_167031997193791_4118365799930920960_n.jpg</v>
      </c>
      <c r="AE2907" s="249" t="str">
        <f>HYPERLINK("https://scontent.cdninstagram.com/t51.2885-19/s150x150/21107706_516394452030541_6240801409114046464_a.jpg")</f>
        <v>https://scontent.cdninstagram.com/t51.2885-19/s150x150/21107706_516394452030541_6240801409114046464_a.jpg</v>
      </c>
    </row>
    <row r="2908" spans="1:31" ht="15" x14ac:dyDescent="0.25">
      <c r="A2908" t="s">
        <v>2474</v>
      </c>
      <c r="B2908" t="s">
        <v>3251</v>
      </c>
      <c r="C2908" s="221">
        <v>42973.294189814813</v>
      </c>
      <c r="D2908" t="s">
        <v>17413</v>
      </c>
      <c r="E2908" s="249" t="str">
        <f>HYPERLINK("https://www.instagram.com/p/BYQTAZHnHPx/")</f>
        <v>https://www.instagram.com/p/BYQTAZHnHPx/</v>
      </c>
      <c r="F2908" t="s">
        <v>17414</v>
      </c>
      <c r="G2908" t="s">
        <v>2478</v>
      </c>
      <c r="H2908">
        <v>296</v>
      </c>
      <c r="I2908" t="s">
        <v>3575</v>
      </c>
      <c r="J2908">
        <v>2</v>
      </c>
      <c r="K2908">
        <v>19</v>
      </c>
      <c r="L2908">
        <v>21</v>
      </c>
      <c r="Q2908">
        <v>0</v>
      </c>
      <c r="R2908">
        <v>0</v>
      </c>
      <c r="S2908">
        <v>21</v>
      </c>
      <c r="Y2908" t="s">
        <v>3256</v>
      </c>
      <c r="Z2908" t="s">
        <v>3968</v>
      </c>
      <c r="AA2908" t="s">
        <v>2778</v>
      </c>
      <c r="AB2908" t="s">
        <v>3970</v>
      </c>
      <c r="AC2908" t="s">
        <v>3254</v>
      </c>
      <c r="AD2908" s="249" t="str">
        <f>HYPERLINK("https://scontent.cdninstagram.com/t51.2885-15/s320x320/e35/21041577_2006105622957609_9021760551084097536_n.jpg")</f>
        <v>https://scontent.cdninstagram.com/t51.2885-15/s320x320/e35/21041577_2006105622957609_9021760551084097536_n.jpg</v>
      </c>
      <c r="AE2908" s="249" t="str">
        <f>HYPERLINK("https://scontent.cdninstagram.com/t51.2885-19/s150x150/20986614_891746094322067_1272495017625124864_a.jpg")</f>
        <v>https://scontent.cdninstagram.com/t51.2885-19/s150x150/20986614_891746094322067_1272495017625124864_a.jpg</v>
      </c>
    </row>
    <row r="2909" spans="1:31" ht="15" x14ac:dyDescent="0.25">
      <c r="A2909" t="s">
        <v>2474</v>
      </c>
      <c r="B2909" t="s">
        <v>17415</v>
      </c>
      <c r="C2909" s="221">
        <v>42973.311030092591</v>
      </c>
      <c r="D2909" t="s">
        <v>17416</v>
      </c>
      <c r="E2909" s="249" t="str">
        <f>HYPERLINK("https://www.instagram.com/p/BYQVyFUlu4e/")</f>
        <v>https://www.instagram.com/p/BYQVyFUlu4e/</v>
      </c>
      <c r="F2909" t="s">
        <v>17417</v>
      </c>
      <c r="G2909" t="s">
        <v>2478</v>
      </c>
      <c r="H2909">
        <v>2236</v>
      </c>
      <c r="I2909" t="s">
        <v>2479</v>
      </c>
      <c r="J2909">
        <v>0</v>
      </c>
      <c r="K2909">
        <v>199</v>
      </c>
      <c r="L2909">
        <v>199</v>
      </c>
      <c r="Q2909">
        <v>0</v>
      </c>
      <c r="R2909">
        <v>0</v>
      </c>
      <c r="S2909">
        <v>199</v>
      </c>
      <c r="Y2909" t="s">
        <v>17418</v>
      </c>
      <c r="Z2909" t="s">
        <v>17419</v>
      </c>
      <c r="AA2909" t="s">
        <v>17420</v>
      </c>
      <c r="AB2909" t="s">
        <v>17421</v>
      </c>
      <c r="AC2909" t="s">
        <v>17422</v>
      </c>
      <c r="AD2909" s="249" t="str">
        <f>HYPERLINK("https://scontent.cdninstagram.com/t51.2885-15/s320x320/e35/21042023_1724812497819761_7621632290971451392_n.jpg")</f>
        <v>https://scontent.cdninstagram.com/t51.2885-15/s320x320/e35/21042023_1724812497819761_7621632290971451392_n.jpg</v>
      </c>
      <c r="AE2909" s="249" t="str">
        <f>HYPERLINK("https://scontent.cdninstagram.com/t51.2885-19/s150x150/12917828_597431637094877_604589082_a.jpg")</f>
        <v>https://scontent.cdninstagram.com/t51.2885-19/s150x150/12917828_597431637094877_604589082_a.jpg</v>
      </c>
    </row>
    <row r="2910" spans="1:31" ht="15" x14ac:dyDescent="0.25">
      <c r="A2910" t="s">
        <v>2474</v>
      </c>
      <c r="B2910" t="s">
        <v>17423</v>
      </c>
      <c r="C2910" s="221">
        <v>42973.322928240741</v>
      </c>
      <c r="D2910" t="s">
        <v>17424</v>
      </c>
      <c r="E2910" s="249" t="str">
        <f>HYPERLINK("https://www.instagram.com/p/BYQXvi0ARcw/")</f>
        <v>https://www.instagram.com/p/BYQXvi0ARcw/</v>
      </c>
      <c r="F2910" t="s">
        <v>17425</v>
      </c>
      <c r="G2910" t="s">
        <v>2478</v>
      </c>
      <c r="H2910">
        <v>940</v>
      </c>
      <c r="I2910" t="s">
        <v>2479</v>
      </c>
      <c r="J2910">
        <v>0</v>
      </c>
      <c r="K2910">
        <v>22</v>
      </c>
      <c r="L2910">
        <v>22</v>
      </c>
      <c r="Q2910">
        <v>0</v>
      </c>
      <c r="R2910">
        <v>0</v>
      </c>
      <c r="S2910">
        <v>22</v>
      </c>
      <c r="Y2910" t="s">
        <v>17426</v>
      </c>
      <c r="Z2910" t="s">
        <v>9629</v>
      </c>
      <c r="AA2910" t="s">
        <v>17427</v>
      </c>
      <c r="AB2910" t="s">
        <v>17428</v>
      </c>
      <c r="AC2910" t="s">
        <v>17429</v>
      </c>
      <c r="AD2910" s="249" t="str">
        <f>HYPERLINK("https://scontent.cdninstagram.com/t51.2885-15/e35/p320x320/21041067_1952265278360960_3484226647614291968_n.jpg")</f>
        <v>https://scontent.cdninstagram.com/t51.2885-15/e35/p320x320/21041067_1952265278360960_3484226647614291968_n.jpg</v>
      </c>
      <c r="AE2910" s="249" t="str">
        <f>HYPERLINK("https://scontent.cdninstagram.com/t51.2885-19/s150x150/14272030_643329219173204_1252201748123090944_a.jpg")</f>
        <v>https://scontent.cdninstagram.com/t51.2885-19/s150x150/14272030_643329219173204_1252201748123090944_a.jpg</v>
      </c>
    </row>
    <row r="2911" spans="1:31" ht="15" x14ac:dyDescent="0.25">
      <c r="A2911" t="s">
        <v>2474</v>
      </c>
      <c r="B2911" t="s">
        <v>17430</v>
      </c>
      <c r="C2911" s="221">
        <v>42973.327453703707</v>
      </c>
      <c r="D2911" t="s">
        <v>17431</v>
      </c>
      <c r="E2911" s="249" t="str">
        <f>HYPERLINK("https://www.instagram.com/p/BYQYfO-jxDv/")</f>
        <v>https://www.instagram.com/p/BYQYfO-jxDv/</v>
      </c>
      <c r="F2911" t="s">
        <v>17432</v>
      </c>
      <c r="G2911" t="s">
        <v>2478</v>
      </c>
      <c r="H2911">
        <v>1149</v>
      </c>
      <c r="I2911" t="s">
        <v>2479</v>
      </c>
      <c r="J2911">
        <v>0</v>
      </c>
      <c r="K2911">
        <v>23</v>
      </c>
      <c r="L2911">
        <v>23</v>
      </c>
      <c r="Q2911">
        <v>0</v>
      </c>
      <c r="R2911">
        <v>0</v>
      </c>
      <c r="S2911">
        <v>23</v>
      </c>
      <c r="Y2911" t="s">
        <v>17433</v>
      </c>
      <c r="Z2911" t="s">
        <v>17434</v>
      </c>
      <c r="AA2911" t="s">
        <v>17435</v>
      </c>
      <c r="AB2911" t="s">
        <v>17436</v>
      </c>
      <c r="AC2911" t="s">
        <v>17437</v>
      </c>
      <c r="AD2911" s="249" t="str">
        <f>HYPERLINK("https://scontent.cdninstagram.com/t51.2885-15/s320x320/e35/20987596_2018127335140101_1260745812464369664_n.jpg")</f>
        <v>https://scontent.cdninstagram.com/t51.2885-15/s320x320/e35/20987596_2018127335140101_1260745812464369664_n.jpg</v>
      </c>
      <c r="AE2911" s="249" t="str">
        <f>HYPERLINK("https://scontent.cdninstagram.com/t51.2885-19/s150x150/18513579_909465409196762_5012139990193274880_a.jpg")</f>
        <v>https://scontent.cdninstagram.com/t51.2885-19/s150x150/18513579_909465409196762_5012139990193274880_a.jpg</v>
      </c>
    </row>
    <row r="2912" spans="1:31" ht="15" x14ac:dyDescent="0.25">
      <c r="A2912" t="s">
        <v>2474</v>
      </c>
      <c r="B2912" t="s">
        <v>9202</v>
      </c>
      <c r="C2912" s="221">
        <v>42973.331041666665</v>
      </c>
      <c r="D2912" t="s">
        <v>17438</v>
      </c>
      <c r="E2912" s="249" t="str">
        <f>HYPERLINK("https://www.instagram.com/p/BYQZFDOn26U/")</f>
        <v>https://www.instagram.com/p/BYQZFDOn26U/</v>
      </c>
      <c r="F2912" t="s">
        <v>17439</v>
      </c>
      <c r="G2912" t="s">
        <v>2478</v>
      </c>
      <c r="H2912">
        <v>1308</v>
      </c>
      <c r="I2912" t="s">
        <v>2479</v>
      </c>
      <c r="J2912">
        <v>3</v>
      </c>
      <c r="K2912">
        <v>85</v>
      </c>
      <c r="L2912">
        <v>88</v>
      </c>
      <c r="Q2912">
        <v>0</v>
      </c>
      <c r="R2912">
        <v>0</v>
      </c>
      <c r="S2912">
        <v>88</v>
      </c>
      <c r="T2912" t="s">
        <v>9284</v>
      </c>
      <c r="V2912" t="s">
        <v>2182</v>
      </c>
      <c r="W2912">
        <v>45.438600000000001</v>
      </c>
      <c r="X2912">
        <v>12.326700000000001</v>
      </c>
      <c r="Y2912" t="s">
        <v>17440</v>
      </c>
      <c r="Z2912" t="s">
        <v>5383</v>
      </c>
      <c r="AA2912" t="s">
        <v>17441</v>
      </c>
      <c r="AB2912" t="s">
        <v>2861</v>
      </c>
      <c r="AC2912" t="s">
        <v>17442</v>
      </c>
      <c r="AD2912" s="249" t="str">
        <f>HYPERLINK("https://scontent.cdninstagram.com/t51.2885-15/e35/p320x320/21042218_255297464981083_4568617993348579328_n.jpg")</f>
        <v>https://scontent.cdninstagram.com/t51.2885-15/e35/p320x320/21042218_255297464981083_4568617993348579328_n.jpg</v>
      </c>
      <c r="AE2912" s="249" t="str">
        <f>HYPERLINK("https://scontent.cdninstagram.com/t51.2885-19/s150x150/21107631_113930275955600_738991162416693248_a.jpg")</f>
        <v>https://scontent.cdninstagram.com/t51.2885-19/s150x150/21107631_113930275955600_738991162416693248_a.jpg</v>
      </c>
    </row>
    <row r="2913" spans="1:31" ht="15" x14ac:dyDescent="0.25">
      <c r="A2913" t="s">
        <v>2474</v>
      </c>
      <c r="B2913" t="s">
        <v>17443</v>
      </c>
      <c r="C2913" s="221">
        <v>42973.331770833334</v>
      </c>
      <c r="D2913" t="s">
        <v>17444</v>
      </c>
      <c r="E2913" s="249" t="str">
        <f>HYPERLINK("https://www.instagram.com/p/BYQZMujgeG8/")</f>
        <v>https://www.instagram.com/p/BYQZMujgeG8/</v>
      </c>
      <c r="F2913" t="s">
        <v>17445</v>
      </c>
      <c r="G2913" t="s">
        <v>2478</v>
      </c>
      <c r="H2913">
        <v>612</v>
      </c>
      <c r="I2913" t="s">
        <v>2896</v>
      </c>
      <c r="J2913">
        <v>1</v>
      </c>
      <c r="K2913">
        <v>61</v>
      </c>
      <c r="L2913">
        <v>62</v>
      </c>
      <c r="Q2913">
        <v>0</v>
      </c>
      <c r="R2913">
        <v>0</v>
      </c>
      <c r="S2913">
        <v>62</v>
      </c>
      <c r="T2913" t="s">
        <v>5994</v>
      </c>
      <c r="V2913" t="s">
        <v>2264</v>
      </c>
      <c r="W2913">
        <v>41.383299999999998</v>
      </c>
      <c r="X2913">
        <v>2.1833300000000002</v>
      </c>
      <c r="Y2913" t="s">
        <v>17446</v>
      </c>
      <c r="Z2913" t="s">
        <v>2696</v>
      </c>
      <c r="AA2913" t="s">
        <v>2968</v>
      </c>
      <c r="AB2913" t="s">
        <v>7456</v>
      </c>
      <c r="AC2913" t="s">
        <v>3768</v>
      </c>
      <c r="AD2913" s="249" t="str">
        <f>HYPERLINK("https://scontent.cdninstagram.com/t51.2885-15/e35/p320x320/21041382_1389652007818991_7637258223807889408_n.jpg")</f>
        <v>https://scontent.cdninstagram.com/t51.2885-15/e35/p320x320/21041382_1389652007818991_7637258223807889408_n.jpg</v>
      </c>
      <c r="AE2913" s="249" t="str">
        <f>HYPERLINK("https://scontent.cdninstagram.com/t51.2885-19/s150x150/19436311_1881416395456115_1036800080142663680_a.jpg")</f>
        <v>https://scontent.cdninstagram.com/t51.2885-19/s150x150/19436311_1881416395456115_1036800080142663680_a.jpg</v>
      </c>
    </row>
    <row r="2914" spans="1:31" ht="15" x14ac:dyDescent="0.25">
      <c r="A2914" t="s">
        <v>2474</v>
      </c>
      <c r="B2914" t="s">
        <v>4341</v>
      </c>
      <c r="C2914" s="221">
        <v>42973.332986111112</v>
      </c>
      <c r="D2914" t="s">
        <v>17447</v>
      </c>
      <c r="E2914" s="249" t="str">
        <f>HYPERLINK("https://www.instagram.com/p/BYQZZk6AFhl/")</f>
        <v>https://www.instagram.com/p/BYQZZk6AFhl/</v>
      </c>
      <c r="F2914" t="s">
        <v>17448</v>
      </c>
      <c r="G2914" t="s">
        <v>2478</v>
      </c>
      <c r="H2914">
        <v>390114</v>
      </c>
      <c r="I2914" t="s">
        <v>2479</v>
      </c>
      <c r="J2914">
        <v>26</v>
      </c>
      <c r="K2914">
        <v>5695</v>
      </c>
      <c r="L2914">
        <v>5721</v>
      </c>
      <c r="Q2914">
        <v>0</v>
      </c>
      <c r="R2914">
        <v>0</v>
      </c>
      <c r="S2914">
        <v>5721</v>
      </c>
      <c r="AD2914" s="249" t="str">
        <f>HYPERLINK("https://scontent.cdninstagram.com/t51.2885-15/s320x320/e35/21042251_992942294181476_5982288044827344896_n.jpg")</f>
        <v>https://scontent.cdninstagram.com/t51.2885-15/s320x320/e35/21042251_992942294181476_5982288044827344896_n.jpg</v>
      </c>
      <c r="AE2914" s="249" t="str">
        <f>HYPERLINK("https://scontent.cdninstagram.com/t51.2885-19/s150x150/12357356_524081691094860_312972369_a.jpg")</f>
        <v>https://scontent.cdninstagram.com/t51.2885-19/s150x150/12357356_524081691094860_312972369_a.jpg</v>
      </c>
    </row>
    <row r="2915" spans="1:31" ht="15" x14ac:dyDescent="0.25">
      <c r="A2915" t="s">
        <v>2474</v>
      </c>
      <c r="B2915" t="s">
        <v>17449</v>
      </c>
      <c r="C2915" s="221">
        <v>42973.339907407404</v>
      </c>
      <c r="D2915" t="s">
        <v>17450</v>
      </c>
      <c r="E2915" s="249" t="str">
        <f>HYPERLINK("https://www.instagram.com/p/BYQainFDXhb/")</f>
        <v>https://www.instagram.com/p/BYQainFDXhb/</v>
      </c>
      <c r="F2915" t="s">
        <v>17451</v>
      </c>
      <c r="G2915" t="s">
        <v>2478</v>
      </c>
      <c r="H2915">
        <v>530</v>
      </c>
      <c r="I2915" t="s">
        <v>2479</v>
      </c>
      <c r="J2915">
        <v>0</v>
      </c>
      <c r="K2915">
        <v>26</v>
      </c>
      <c r="L2915">
        <v>26</v>
      </c>
      <c r="Q2915">
        <v>0</v>
      </c>
      <c r="R2915">
        <v>0</v>
      </c>
      <c r="S2915">
        <v>26</v>
      </c>
      <c r="Y2915" t="s">
        <v>17452</v>
      </c>
      <c r="Z2915" t="s">
        <v>17453</v>
      </c>
      <c r="AA2915" t="s">
        <v>9723</v>
      </c>
      <c r="AB2915" t="s">
        <v>17454</v>
      </c>
      <c r="AC2915" t="s">
        <v>17455</v>
      </c>
      <c r="AD2915" s="249" t="str">
        <f>HYPERLINK("https://scontent.cdninstagram.com/t51.2885-15/e35/p320x320/21040882_2005425559675753_4503568926944264192_n.jpg")</f>
        <v>https://scontent.cdninstagram.com/t51.2885-15/e35/p320x320/21040882_2005425559675753_4503568926944264192_n.jpg</v>
      </c>
      <c r="AE2915" s="249" t="str">
        <f>HYPERLINK("https://scontent.cdninstagram.com/t51.2885-19/s150x150/19764518_1808079259503611_935530059882561536_a.jpg")</f>
        <v>https://scontent.cdninstagram.com/t51.2885-19/s150x150/19764518_1808079259503611_935530059882561536_a.jpg</v>
      </c>
    </row>
    <row r="2916" spans="1:31" ht="15" x14ac:dyDescent="0.25">
      <c r="A2916" t="s">
        <v>2474</v>
      </c>
      <c r="B2916" t="s">
        <v>17456</v>
      </c>
      <c r="C2916" s="221">
        <v>42973.340150462966</v>
      </c>
      <c r="D2916" t="s">
        <v>17457</v>
      </c>
      <c r="E2916" s="249" t="str">
        <f>HYPERLINK("https://www.instagram.com/p/BYQalLID-qq/")</f>
        <v>https://www.instagram.com/p/BYQalLID-qq/</v>
      </c>
      <c r="F2916" t="s">
        <v>17458</v>
      </c>
      <c r="G2916" t="s">
        <v>2478</v>
      </c>
      <c r="I2916" t="s">
        <v>5447</v>
      </c>
      <c r="J2916">
        <v>11</v>
      </c>
      <c r="K2916">
        <v>730</v>
      </c>
      <c r="L2916">
        <v>741</v>
      </c>
      <c r="Q2916">
        <v>0</v>
      </c>
      <c r="R2916">
        <v>0</v>
      </c>
      <c r="S2916">
        <v>741</v>
      </c>
      <c r="Y2916" t="s">
        <v>17459</v>
      </c>
      <c r="Z2916" t="s">
        <v>17460</v>
      </c>
      <c r="AA2916" t="s">
        <v>17461</v>
      </c>
      <c r="AB2916" t="s">
        <v>17462</v>
      </c>
      <c r="AC2916" t="s">
        <v>17463</v>
      </c>
      <c r="AD2916" s="249" t="str">
        <f>HYPERLINK("https://scontent.cdninstagram.com/t51.2885-15/s320x320/e35/21041315_112908739423167_1537826663969062912_n.jpg")</f>
        <v>https://scontent.cdninstagram.com/t51.2885-15/s320x320/e35/21041315_112908739423167_1537826663969062912_n.jpg</v>
      </c>
      <c r="AE2916" s="249" t="str">
        <f>HYPERLINK("https://scontent.cdninstagram.com/t51.2885-19/s150x150/16788989_1251484038272987_546196265252159488_a.jpg")</f>
        <v>https://scontent.cdninstagram.com/t51.2885-19/s150x150/16788989_1251484038272987_546196265252159488_a.jpg</v>
      </c>
    </row>
    <row r="2917" spans="1:31" ht="15" x14ac:dyDescent="0.25">
      <c r="A2917" t="s">
        <v>2474</v>
      </c>
      <c r="B2917" t="s">
        <v>7152</v>
      </c>
      <c r="C2917" s="221">
        <v>42973.343958333331</v>
      </c>
      <c r="D2917" t="s">
        <v>17464</v>
      </c>
      <c r="E2917" s="249" t="str">
        <f>HYPERLINK("https://www.instagram.com/p/BYQbNTaDlym/")</f>
        <v>https://www.instagram.com/p/BYQbNTaDlym/</v>
      </c>
      <c r="F2917" t="s">
        <v>17465</v>
      </c>
      <c r="G2917" t="s">
        <v>2478</v>
      </c>
      <c r="H2917">
        <v>124</v>
      </c>
      <c r="I2917" t="s">
        <v>2479</v>
      </c>
      <c r="J2917">
        <v>1</v>
      </c>
      <c r="K2917">
        <v>21</v>
      </c>
      <c r="L2917">
        <v>22</v>
      </c>
      <c r="Q2917">
        <v>0</v>
      </c>
      <c r="R2917">
        <v>0</v>
      </c>
      <c r="S2917">
        <v>22</v>
      </c>
      <c r="Y2917" t="s">
        <v>8264</v>
      </c>
      <c r="Z2917" t="s">
        <v>2778</v>
      </c>
      <c r="AA2917" t="s">
        <v>2660</v>
      </c>
      <c r="AB2917" t="s">
        <v>7763</v>
      </c>
      <c r="AC2917" t="s">
        <v>17466</v>
      </c>
      <c r="AD2917" s="249" t="str">
        <f>HYPERLINK("https://scontent.cdninstagram.com/t51.2885-15/s320x320/e35/21042089_1536565936402469_5443557777060397056_n.jpg")</f>
        <v>https://scontent.cdninstagram.com/t51.2885-15/s320x320/e35/21042089_1536565936402469_5443557777060397056_n.jpg</v>
      </c>
      <c r="AE2917" s="249" t="str">
        <f>HYPERLINK("https://scontent.cdninstagram.com/t51.2885-19/s150x150/20181062_1791856511105718_4709893984703479808_a.jpg")</f>
        <v>https://scontent.cdninstagram.com/t51.2885-19/s150x150/20181062_1791856511105718_4709893984703479808_a.jpg</v>
      </c>
    </row>
    <row r="2918" spans="1:31" ht="15" x14ac:dyDescent="0.25">
      <c r="A2918" t="s">
        <v>2474</v>
      </c>
      <c r="B2918" t="s">
        <v>17467</v>
      </c>
      <c r="C2918" s="221">
        <v>42973.345636574071</v>
      </c>
      <c r="D2918" t="s">
        <v>17468</v>
      </c>
      <c r="E2918" s="249" t="str">
        <f>HYPERLINK("https://www.instagram.com/p/BYQbfAnBzbo/")</f>
        <v>https://www.instagram.com/p/BYQbfAnBzbo/</v>
      </c>
      <c r="F2918" t="s">
        <v>17469</v>
      </c>
      <c r="G2918" t="s">
        <v>2478</v>
      </c>
      <c r="H2918">
        <v>266</v>
      </c>
      <c r="I2918" t="s">
        <v>4523</v>
      </c>
      <c r="J2918">
        <v>5</v>
      </c>
      <c r="K2918">
        <v>58</v>
      </c>
      <c r="L2918">
        <v>63</v>
      </c>
      <c r="Q2918">
        <v>0</v>
      </c>
      <c r="R2918">
        <v>0</v>
      </c>
      <c r="S2918">
        <v>63</v>
      </c>
      <c r="Y2918" t="s">
        <v>2497</v>
      </c>
      <c r="Z2918" t="s">
        <v>17470</v>
      </c>
      <c r="AD2918" s="249" t="str">
        <f>HYPERLINK("https://scontent.cdninstagram.com/t51.2885-15/s320x320/e35/21041886_1963992887153212_4280187411591331840_n.jpg")</f>
        <v>https://scontent.cdninstagram.com/t51.2885-15/s320x320/e35/21041886_1963992887153212_4280187411591331840_n.jpg</v>
      </c>
      <c r="AE2918" s="249" t="str">
        <f>HYPERLINK("https://scontent.cdninstagram.com/t51.2885-19/s150x150/20482633_493343581058179_2485776278918004736_a.jpg")</f>
        <v>https://scontent.cdninstagram.com/t51.2885-19/s150x150/20482633_493343581058179_2485776278918004736_a.jpg</v>
      </c>
    </row>
    <row r="2919" spans="1:31" ht="15" x14ac:dyDescent="0.25">
      <c r="A2919" t="s">
        <v>2474</v>
      </c>
      <c r="B2919" t="s">
        <v>17471</v>
      </c>
      <c r="C2919" s="221">
        <v>42973.347592592596</v>
      </c>
      <c r="D2919" t="s">
        <v>17472</v>
      </c>
      <c r="E2919" s="249" t="str">
        <f>HYPERLINK("https://www.instagram.com/p/BYQbzlYhbb3/")</f>
        <v>https://www.instagram.com/p/BYQbzlYhbb3/</v>
      </c>
      <c r="F2919" t="s">
        <v>17473</v>
      </c>
      <c r="G2919" t="s">
        <v>2478</v>
      </c>
      <c r="I2919" t="s">
        <v>2479</v>
      </c>
      <c r="J2919">
        <v>2</v>
      </c>
      <c r="K2919">
        <v>61</v>
      </c>
      <c r="L2919">
        <v>63</v>
      </c>
      <c r="Q2919">
        <v>0</v>
      </c>
      <c r="R2919">
        <v>0</v>
      </c>
      <c r="S2919">
        <v>63</v>
      </c>
      <c r="T2919" t="s">
        <v>17474</v>
      </c>
      <c r="V2919" t="s">
        <v>2118</v>
      </c>
      <c r="W2919">
        <v>-22.935753399999999</v>
      </c>
      <c r="X2919">
        <v>-47.07177734375</v>
      </c>
      <c r="Y2919" t="s">
        <v>17475</v>
      </c>
      <c r="Z2919" t="s">
        <v>17476</v>
      </c>
      <c r="AA2919" t="s">
        <v>17477</v>
      </c>
      <c r="AB2919" t="s">
        <v>17478</v>
      </c>
      <c r="AC2919" t="s">
        <v>17479</v>
      </c>
      <c r="AD2919" s="249" t="str">
        <f>HYPERLINK("https://scontent.cdninstagram.com/t51.2885-15/e35/p320x320/21041038_2299560700269802_167045490188222464_n.jpg")</f>
        <v>https://scontent.cdninstagram.com/t51.2885-15/e35/p320x320/21041038_2299560700269802_167045490188222464_n.jpg</v>
      </c>
      <c r="AE2919" s="249" t="str">
        <f>HYPERLINK("https://scontent.cdninstagram.com/t51.2885-19/s150x150/19367762_881325188701206_7310546894894137344_a.jpg")</f>
        <v>https://scontent.cdninstagram.com/t51.2885-19/s150x150/19367762_881325188701206_7310546894894137344_a.jpg</v>
      </c>
    </row>
    <row r="2920" spans="1:31" ht="15" x14ac:dyDescent="0.25">
      <c r="A2920" t="s">
        <v>2474</v>
      </c>
      <c r="B2920" t="s">
        <v>17480</v>
      </c>
      <c r="C2920" s="221">
        <v>42973.351851851854</v>
      </c>
      <c r="D2920" t="s">
        <v>17481</v>
      </c>
      <c r="E2920" s="249" t="str">
        <f>HYPERLINK("https://www.instagram.com/p/BYQcggqg_MJ/")</f>
        <v>https://www.instagram.com/p/BYQcggqg_MJ/</v>
      </c>
      <c r="F2920" t="s">
        <v>17482</v>
      </c>
      <c r="G2920" t="s">
        <v>2478</v>
      </c>
      <c r="H2920">
        <v>398</v>
      </c>
      <c r="I2920" t="s">
        <v>3273</v>
      </c>
      <c r="J2920">
        <v>9</v>
      </c>
      <c r="K2920">
        <v>58</v>
      </c>
      <c r="L2920">
        <v>67</v>
      </c>
      <c r="Q2920">
        <v>0</v>
      </c>
      <c r="R2920">
        <v>0</v>
      </c>
      <c r="S2920">
        <v>67</v>
      </c>
      <c r="Y2920" t="s">
        <v>2513</v>
      </c>
      <c r="Z2920" t="s">
        <v>17483</v>
      </c>
      <c r="AA2920" t="s">
        <v>17484</v>
      </c>
      <c r="AB2920" t="s">
        <v>17485</v>
      </c>
      <c r="AC2920" t="s">
        <v>14573</v>
      </c>
      <c r="AD2920" s="249" t="str">
        <f>HYPERLINK("https://scontent.cdninstagram.com/t51.2885-15/s320x320/e35/21041555_1656044144437407_3442866065309171712_n.jpg")</f>
        <v>https://scontent.cdninstagram.com/t51.2885-15/s320x320/e35/21041555_1656044144437407_3442866065309171712_n.jpg</v>
      </c>
      <c r="AE2920" s="249" t="str">
        <f>HYPERLINK("https://scontent.cdninstagram.com/t51.2885-19/s150x150/14717562_100298453782752_6015310622437146624_a.jpg")</f>
        <v>https://scontent.cdninstagram.com/t51.2885-19/s150x150/14717562_100298453782752_6015310622437146624_a.jpg</v>
      </c>
    </row>
    <row r="2921" spans="1:31" ht="15" x14ac:dyDescent="0.25">
      <c r="A2921" t="s">
        <v>2474</v>
      </c>
      <c r="B2921" t="s">
        <v>13059</v>
      </c>
      <c r="C2921" s="221">
        <v>42973.363333333335</v>
      </c>
      <c r="D2921" t="s">
        <v>17486</v>
      </c>
      <c r="E2921" s="249" t="str">
        <f>HYPERLINK("https://www.instagram.com/p/BYQeZsJhPz4/")</f>
        <v>https://www.instagram.com/p/BYQeZsJhPz4/</v>
      </c>
      <c r="F2921" t="s">
        <v>13061</v>
      </c>
      <c r="G2921" t="s">
        <v>2478</v>
      </c>
      <c r="H2921">
        <v>195</v>
      </c>
      <c r="I2921" t="s">
        <v>2903</v>
      </c>
      <c r="J2921">
        <v>0</v>
      </c>
      <c r="K2921">
        <v>26</v>
      </c>
      <c r="L2921">
        <v>26</v>
      </c>
      <c r="Q2921">
        <v>0</v>
      </c>
      <c r="R2921">
        <v>0</v>
      </c>
      <c r="S2921">
        <v>26</v>
      </c>
      <c r="Y2921" t="s">
        <v>17487</v>
      </c>
      <c r="Z2921" t="s">
        <v>17488</v>
      </c>
      <c r="AA2921" t="s">
        <v>5118</v>
      </c>
      <c r="AB2921" t="s">
        <v>4779</v>
      </c>
      <c r="AC2921" t="s">
        <v>10979</v>
      </c>
      <c r="AD2921" s="249" t="str">
        <f>HYPERLINK("https://scontent.cdninstagram.com/t51.2885-15/e35/p320x320/21041888_1530580857007634_9077467805921574912_n.jpg")</f>
        <v>https://scontent.cdninstagram.com/t51.2885-15/e35/p320x320/21041888_1530580857007634_9077467805921574912_n.jpg</v>
      </c>
      <c r="AE2921" s="249" t="str">
        <f>HYPERLINK("https://scontent.cdninstagram.com/t51.2885-19/926474_1618389535052165_1262024776_a.jpg")</f>
        <v>https://scontent.cdninstagram.com/t51.2885-19/926474_1618389535052165_1262024776_a.jpg</v>
      </c>
    </row>
    <row r="2922" spans="1:31" ht="15" x14ac:dyDescent="0.25">
      <c r="A2922" t="s">
        <v>2474</v>
      </c>
      <c r="B2922" t="s">
        <v>14900</v>
      </c>
      <c r="C2922" s="221">
        <v>42973.375115740739</v>
      </c>
      <c r="D2922" t="s">
        <v>17489</v>
      </c>
      <c r="E2922" s="249" t="str">
        <f>HYPERLINK("https://www.instagram.com/p/BYQgV4pn76A/")</f>
        <v>https://www.instagram.com/p/BYQgV4pn76A/</v>
      </c>
      <c r="F2922" t="s">
        <v>17490</v>
      </c>
      <c r="G2922" t="s">
        <v>2478</v>
      </c>
      <c r="H2922">
        <v>46541</v>
      </c>
      <c r="I2922" t="s">
        <v>2479</v>
      </c>
      <c r="J2922">
        <v>23</v>
      </c>
      <c r="K2922">
        <v>563</v>
      </c>
      <c r="L2922">
        <v>586</v>
      </c>
      <c r="Q2922">
        <v>0</v>
      </c>
      <c r="R2922">
        <v>0</v>
      </c>
      <c r="S2922">
        <v>586</v>
      </c>
      <c r="Y2922" t="s">
        <v>2684</v>
      </c>
      <c r="Z2922" t="s">
        <v>4656</v>
      </c>
      <c r="AA2922" t="s">
        <v>8161</v>
      </c>
      <c r="AB2922" t="s">
        <v>4995</v>
      </c>
      <c r="AC2922" t="s">
        <v>17491</v>
      </c>
      <c r="AD2922" s="249" t="str">
        <f>HYPERLINK("https://scontent.cdninstagram.com/t51.2885-15/e35/p320x320/21041211_481917555510668_4694041621191196672_n.jpg")</f>
        <v>https://scontent.cdninstagram.com/t51.2885-15/e35/p320x320/21041211_481917555510668_4694041621191196672_n.jpg</v>
      </c>
      <c r="AE2922" s="249" t="str">
        <f>HYPERLINK("https://scontent.cdninstagram.com/t51.2885-19/s150x150/18298609_1355354691167876_5683572652778717184_a.jpg")</f>
        <v>https://scontent.cdninstagram.com/t51.2885-19/s150x150/18298609_1355354691167876_5683572652778717184_a.jpg</v>
      </c>
    </row>
    <row r="2923" spans="1:31" ht="15" x14ac:dyDescent="0.25">
      <c r="A2923" t="s">
        <v>2474</v>
      </c>
      <c r="B2923" t="s">
        <v>3679</v>
      </c>
      <c r="C2923" s="221">
        <v>42973.375844907408</v>
      </c>
      <c r="D2923" t="s">
        <v>17492</v>
      </c>
      <c r="E2923" s="249" t="str">
        <f>HYPERLINK("https://www.instagram.com/p/BYQgdpVjoFQ/")</f>
        <v>https://www.instagram.com/p/BYQgdpVjoFQ/</v>
      </c>
      <c r="F2923" t="s">
        <v>17493</v>
      </c>
      <c r="G2923" t="s">
        <v>2478</v>
      </c>
      <c r="H2923">
        <v>243</v>
      </c>
      <c r="I2923" t="s">
        <v>2542</v>
      </c>
      <c r="J2923">
        <v>2</v>
      </c>
      <c r="K2923">
        <v>13</v>
      </c>
      <c r="L2923">
        <v>15</v>
      </c>
      <c r="Q2923">
        <v>0</v>
      </c>
      <c r="R2923">
        <v>0</v>
      </c>
      <c r="S2923">
        <v>15</v>
      </c>
      <c r="Y2923" t="s">
        <v>17494</v>
      </c>
      <c r="Z2923" t="s">
        <v>3683</v>
      </c>
      <c r="AA2923" t="s">
        <v>3684</v>
      </c>
      <c r="AB2923" t="s">
        <v>2981</v>
      </c>
      <c r="AC2923" t="s">
        <v>17495</v>
      </c>
      <c r="AD2923" s="249" t="str">
        <f>HYPERLINK("https://scontent.cdninstagram.com/t51.2885-15/s320x320/e35/21147356_744272522447372_892418123058118656_n.jpg")</f>
        <v>https://scontent.cdninstagram.com/t51.2885-15/s320x320/e35/21147356_744272522447372_892418123058118656_n.jpg</v>
      </c>
      <c r="AE2923" s="249" t="str">
        <f>HYPERLINK("https://scontent.cdninstagram.com/t51.2885-19/s150x150/18444007_124322141455729_5810805608609218560_a.jpg")</f>
        <v>https://scontent.cdninstagram.com/t51.2885-19/s150x150/18444007_124322141455729_5810805608609218560_a.jpg</v>
      </c>
    </row>
    <row r="2924" spans="1:31" ht="15" x14ac:dyDescent="0.25">
      <c r="A2924" t="s">
        <v>2474</v>
      </c>
      <c r="B2924" t="s">
        <v>17496</v>
      </c>
      <c r="C2924" s="221">
        <v>42973.377893518518</v>
      </c>
      <c r="D2924" t="s">
        <v>17497</v>
      </c>
      <c r="E2924" s="249" t="str">
        <f>HYPERLINK("https://www.instagram.com/p/BYQgzNOgc9s/")</f>
        <v>https://www.instagram.com/p/BYQgzNOgc9s/</v>
      </c>
      <c r="F2924" t="s">
        <v>17498</v>
      </c>
      <c r="G2924" t="s">
        <v>2478</v>
      </c>
      <c r="H2924">
        <v>772</v>
      </c>
      <c r="I2924" t="s">
        <v>2479</v>
      </c>
      <c r="J2924">
        <v>0</v>
      </c>
      <c r="K2924">
        <v>28</v>
      </c>
      <c r="L2924">
        <v>28</v>
      </c>
      <c r="Q2924">
        <v>0</v>
      </c>
      <c r="R2924">
        <v>0</v>
      </c>
      <c r="S2924">
        <v>28</v>
      </c>
      <c r="Y2924" t="s">
        <v>17499</v>
      </c>
      <c r="Z2924" t="s">
        <v>17500</v>
      </c>
      <c r="AA2924" t="s">
        <v>17501</v>
      </c>
      <c r="AB2924" t="s">
        <v>17502</v>
      </c>
      <c r="AC2924" t="s">
        <v>2899</v>
      </c>
      <c r="AD2924" s="249" t="str">
        <f>HYPERLINK("https://scontent.cdninstagram.com/t51.2885-15/s320x320/e35/21041355_912633752227340_5497754066698108928_n.jpg")</f>
        <v>https://scontent.cdninstagram.com/t51.2885-15/s320x320/e35/21041355_912633752227340_5497754066698108928_n.jpg</v>
      </c>
      <c r="AE2924" s="249" t="str">
        <f>HYPERLINK("https://scontent.cdninstagram.com/t51.2885-19/s150x150/13249773_1072564002836360_1599947483_a.jpg")</f>
        <v>https://scontent.cdninstagram.com/t51.2885-19/s150x150/13249773_1072564002836360_1599947483_a.jpg</v>
      </c>
    </row>
    <row r="2925" spans="1:31" ht="15" x14ac:dyDescent="0.25">
      <c r="A2925" t="s">
        <v>2474</v>
      </c>
      <c r="B2925" t="s">
        <v>3301</v>
      </c>
      <c r="C2925" s="221">
        <v>42973.380335648151</v>
      </c>
      <c r="D2925" t="s">
        <v>17503</v>
      </c>
      <c r="E2925" s="249" t="str">
        <f>HYPERLINK("https://www.instagram.com/p/BYQhNAPDHsP/")</f>
        <v>https://www.instagram.com/p/BYQhNAPDHsP/</v>
      </c>
      <c r="F2925" t="s">
        <v>17504</v>
      </c>
      <c r="G2925" t="s">
        <v>2478</v>
      </c>
      <c r="H2925">
        <v>601</v>
      </c>
      <c r="I2925" t="s">
        <v>2542</v>
      </c>
      <c r="J2925">
        <v>0</v>
      </c>
      <c r="K2925">
        <v>77</v>
      </c>
      <c r="L2925">
        <v>77</v>
      </c>
      <c r="Q2925">
        <v>0</v>
      </c>
      <c r="R2925">
        <v>0</v>
      </c>
      <c r="S2925">
        <v>77</v>
      </c>
      <c r="Y2925" t="s">
        <v>4161</v>
      </c>
      <c r="Z2925" t="s">
        <v>4160</v>
      </c>
      <c r="AA2925" t="s">
        <v>10878</v>
      </c>
      <c r="AB2925" t="s">
        <v>6528</v>
      </c>
      <c r="AC2925" t="s">
        <v>17505</v>
      </c>
      <c r="AD2925" s="249" t="str">
        <f>HYPERLINK("https://scontent.cdninstagram.com/t51.2885-15/s320x320/e35/21041275_150925658827953_2571917800863956992_n.jpg")</f>
        <v>https://scontent.cdninstagram.com/t51.2885-15/s320x320/e35/21041275_150925658827953_2571917800863956992_n.jpg</v>
      </c>
      <c r="AE2925" s="249" t="str">
        <f>HYPERLINK("https://scontent.cdninstagram.com/t51.2885-19/s150x150/19228478_370974479971900_5746578409966796800_a.jpg")</f>
        <v>https://scontent.cdninstagram.com/t51.2885-19/s150x150/19228478_370974479971900_5746578409966796800_a.jpg</v>
      </c>
    </row>
    <row r="2926" spans="1:31" ht="15" x14ac:dyDescent="0.25">
      <c r="A2926" t="s">
        <v>2474</v>
      </c>
      <c r="B2926" t="s">
        <v>17506</v>
      </c>
      <c r="C2926" s="221">
        <v>42973.381655092591</v>
      </c>
      <c r="D2926" t="s">
        <v>17507</v>
      </c>
      <c r="E2926" s="249" t="str">
        <f>HYPERLINK("https://www.instagram.com/p/BYQha2PlnOq/")</f>
        <v>https://www.instagram.com/p/BYQha2PlnOq/</v>
      </c>
      <c r="F2926" t="s">
        <v>17508</v>
      </c>
      <c r="G2926" t="s">
        <v>2478</v>
      </c>
      <c r="H2926">
        <v>112</v>
      </c>
      <c r="I2926" t="s">
        <v>2479</v>
      </c>
      <c r="J2926">
        <v>1</v>
      </c>
      <c r="K2926">
        <v>8</v>
      </c>
      <c r="L2926">
        <v>9</v>
      </c>
      <c r="Q2926">
        <v>0</v>
      </c>
      <c r="R2926">
        <v>0</v>
      </c>
      <c r="S2926">
        <v>9</v>
      </c>
      <c r="Y2926" t="s">
        <v>17509</v>
      </c>
      <c r="Z2926" t="s">
        <v>17510</v>
      </c>
      <c r="AA2926" t="s">
        <v>13800</v>
      </c>
      <c r="AB2926" t="s">
        <v>17511</v>
      </c>
      <c r="AC2926" t="s">
        <v>17512</v>
      </c>
      <c r="AD2926" s="249" t="str">
        <f>HYPERLINK("https://scontent.cdninstagram.com/t51.2885-15/s320x320/e35/21147322_271986569963656_8058362458462486528_n.jpg")</f>
        <v>https://scontent.cdninstagram.com/t51.2885-15/s320x320/e35/21147322_271986569963656_8058362458462486528_n.jpg</v>
      </c>
      <c r="AE2926" s="249" t="str">
        <f>HYPERLINK("https://scontent.cdninstagram.com/t51.2885-19/s150x150/20837833_1961224160763212_4941101050728808448_a.jpg")</f>
        <v>https://scontent.cdninstagram.com/t51.2885-19/s150x150/20837833_1961224160763212_4941101050728808448_a.jpg</v>
      </c>
    </row>
    <row r="2927" spans="1:31" ht="15" x14ac:dyDescent="0.25">
      <c r="A2927" t="s">
        <v>2474</v>
      </c>
      <c r="B2927" t="s">
        <v>17513</v>
      </c>
      <c r="C2927" s="221">
        <v>42973.396516203706</v>
      </c>
      <c r="D2927" t="s">
        <v>17514</v>
      </c>
      <c r="E2927" s="249" t="str">
        <f>HYPERLINK("https://www.instagram.com/p/BYQj3rbDS1b/")</f>
        <v>https://www.instagram.com/p/BYQj3rbDS1b/</v>
      </c>
      <c r="F2927" t="s">
        <v>17515</v>
      </c>
      <c r="G2927" t="s">
        <v>2478</v>
      </c>
      <c r="H2927">
        <v>62</v>
      </c>
      <c r="I2927" t="s">
        <v>2479</v>
      </c>
      <c r="J2927">
        <v>0</v>
      </c>
      <c r="K2927">
        <v>37</v>
      </c>
      <c r="L2927">
        <v>37</v>
      </c>
      <c r="Q2927">
        <v>0</v>
      </c>
      <c r="R2927">
        <v>0</v>
      </c>
      <c r="S2927">
        <v>37</v>
      </c>
      <c r="Y2927" t="s">
        <v>17516</v>
      </c>
      <c r="Z2927" t="s">
        <v>6628</v>
      </c>
      <c r="AA2927" t="s">
        <v>11208</v>
      </c>
      <c r="AB2927" t="s">
        <v>2879</v>
      </c>
      <c r="AC2927" t="s">
        <v>2911</v>
      </c>
      <c r="AD2927" s="249" t="str">
        <f>HYPERLINK("https://scontent.cdninstagram.com/t51.2885-15/e35/p320x320/21041245_772163046320055_5448358515410206720_n.jpg")</f>
        <v>https://scontent.cdninstagram.com/t51.2885-15/e35/p320x320/21041245_772163046320055_5448358515410206720_n.jpg</v>
      </c>
      <c r="AE2927" s="249" t="str">
        <f>HYPERLINK("https://scontent.cdninstagram.com/t51.2885-19/s150x150/15056588_1231614933585850_3598671492939776000_a.jpg")</f>
        <v>https://scontent.cdninstagram.com/t51.2885-19/s150x150/15056588_1231614933585850_3598671492939776000_a.jpg</v>
      </c>
    </row>
    <row r="2928" spans="1:31" ht="15" x14ac:dyDescent="0.25">
      <c r="A2928" t="s">
        <v>2474</v>
      </c>
      <c r="B2928" t="s">
        <v>17517</v>
      </c>
      <c r="C2928" s="221">
        <v>42973.428587962961</v>
      </c>
      <c r="D2928" t="s">
        <v>17518</v>
      </c>
      <c r="E2928" s="249" t="str">
        <f>HYPERLINK("https://www.instagram.com/p/BYQpJ5cg148/")</f>
        <v>https://www.instagram.com/p/BYQpJ5cg148/</v>
      </c>
      <c r="F2928" t="s">
        <v>17519</v>
      </c>
      <c r="G2928" t="s">
        <v>2478</v>
      </c>
      <c r="H2928">
        <v>1237</v>
      </c>
      <c r="I2928" t="s">
        <v>2479</v>
      </c>
      <c r="J2928">
        <v>1</v>
      </c>
      <c r="K2928">
        <v>217</v>
      </c>
      <c r="L2928">
        <v>218</v>
      </c>
      <c r="Q2928">
        <v>0</v>
      </c>
      <c r="R2928">
        <v>0</v>
      </c>
      <c r="S2928">
        <v>218</v>
      </c>
      <c r="T2928" t="s">
        <v>17520</v>
      </c>
      <c r="V2928" t="s">
        <v>2204</v>
      </c>
      <c r="W2928">
        <v>3.1057368029929999</v>
      </c>
      <c r="X2928">
        <v>101.45115862227</v>
      </c>
      <c r="Y2928" t="s">
        <v>17521</v>
      </c>
      <c r="Z2928" t="s">
        <v>17522</v>
      </c>
      <c r="AA2928" t="s">
        <v>17523</v>
      </c>
      <c r="AB2928" t="s">
        <v>17524</v>
      </c>
      <c r="AC2928" t="s">
        <v>17525</v>
      </c>
      <c r="AD2928" s="249" t="str">
        <f>HYPERLINK("https://scontent.cdninstagram.com/t51.2885-15/e35/p320x320/21147627_1491120957648074_5490908069216911360_n.jpg")</f>
        <v>https://scontent.cdninstagram.com/t51.2885-15/e35/p320x320/21147627_1491120957648074_5490908069216911360_n.jpg</v>
      </c>
      <c r="AE2928" s="249" t="str">
        <f>HYPERLINK("https://scontent.cdninstagram.com/t51.2885-19/10724761_769491983086174_594014933_a.jpg")</f>
        <v>https://scontent.cdninstagram.com/t51.2885-19/10724761_769491983086174_594014933_a.jpg</v>
      </c>
    </row>
    <row r="2929" spans="1:31" ht="15" x14ac:dyDescent="0.25">
      <c r="A2929" t="s">
        <v>2474</v>
      </c>
      <c r="B2929" t="s">
        <v>14842</v>
      </c>
      <c r="C2929" s="221">
        <v>42973.434432870374</v>
      </c>
      <c r="D2929" t="s">
        <v>17526</v>
      </c>
      <c r="E2929" s="249" t="str">
        <f>HYPERLINK("https://www.instagram.com/p/BYQqHjchBXo/")</f>
        <v>https://www.instagram.com/p/BYQqHjchBXo/</v>
      </c>
      <c r="F2929" t="s">
        <v>17527</v>
      </c>
      <c r="G2929" t="s">
        <v>2478</v>
      </c>
      <c r="H2929">
        <v>746</v>
      </c>
      <c r="I2929" t="s">
        <v>3170</v>
      </c>
      <c r="J2929">
        <v>0</v>
      </c>
      <c r="K2929">
        <v>20</v>
      </c>
      <c r="L2929">
        <v>20</v>
      </c>
      <c r="Q2929">
        <v>0</v>
      </c>
      <c r="R2929">
        <v>0</v>
      </c>
      <c r="S2929">
        <v>20</v>
      </c>
      <c r="Y2929" t="s">
        <v>17528</v>
      </c>
      <c r="Z2929" t="s">
        <v>17529</v>
      </c>
      <c r="AA2929" t="s">
        <v>17530</v>
      </c>
      <c r="AB2929" t="s">
        <v>2497</v>
      </c>
      <c r="AD2929" s="249" t="str">
        <f>HYPERLINK("https://scontent.cdninstagram.com/t51.2885-15/s320x320/e35/21107273_1513611608678076_713595789594591232_n.jpg")</f>
        <v>https://scontent.cdninstagram.com/t51.2885-15/s320x320/e35/21107273_1513611608678076_713595789594591232_n.jpg</v>
      </c>
      <c r="AE2929" s="249" t="str">
        <f>HYPERLINK("https://scontent.cdninstagram.com/t51.2885-19/s150x150/19761780_118570238753904_5299705926314360832_a.jpg")</f>
        <v>https://scontent.cdninstagram.com/t51.2885-19/s150x150/19761780_118570238753904_5299705926314360832_a.jpg</v>
      </c>
    </row>
    <row r="2930" spans="1:31" ht="15" x14ac:dyDescent="0.25">
      <c r="A2930" t="s">
        <v>2474</v>
      </c>
      <c r="B2930" t="s">
        <v>17531</v>
      </c>
      <c r="C2930" s="221">
        <v>42973.437060185184</v>
      </c>
      <c r="D2930" t="s">
        <v>17532</v>
      </c>
      <c r="E2930" s="249" t="str">
        <f>HYPERLINK("https://www.instagram.com/p/BYQqjOXAFxr/")</f>
        <v>https://www.instagram.com/p/BYQqjOXAFxr/</v>
      </c>
      <c r="F2930" t="s">
        <v>17533</v>
      </c>
      <c r="G2930" t="s">
        <v>2478</v>
      </c>
      <c r="H2930">
        <v>133</v>
      </c>
      <c r="I2930" t="s">
        <v>2479</v>
      </c>
      <c r="J2930">
        <v>4</v>
      </c>
      <c r="K2930">
        <v>42</v>
      </c>
      <c r="L2930">
        <v>46</v>
      </c>
      <c r="Q2930">
        <v>0</v>
      </c>
      <c r="R2930">
        <v>0</v>
      </c>
      <c r="S2930">
        <v>46</v>
      </c>
      <c r="Y2930" t="s">
        <v>17534</v>
      </c>
      <c r="Z2930" t="s">
        <v>17535</v>
      </c>
      <c r="AA2930" t="s">
        <v>17536</v>
      </c>
      <c r="AB2930" t="s">
        <v>17537</v>
      </c>
      <c r="AC2930" t="s">
        <v>17538</v>
      </c>
      <c r="AD2930" s="249" t="str">
        <f>HYPERLINK("https://scontent.cdninstagram.com/t51.2885-15/e35/p320x320/21041859_213833639147708_8482163103650283520_n.jpg")</f>
        <v>https://scontent.cdninstagram.com/t51.2885-15/e35/p320x320/21041859_213833639147708_8482163103650283520_n.jpg</v>
      </c>
      <c r="AE2930" s="249" t="str">
        <f>HYPERLINK("https://scontent.cdninstagram.com/t51.2885-19/s150x150/14733682_1785889608332135_928846876021620736_a.jpg")</f>
        <v>https://scontent.cdninstagram.com/t51.2885-19/s150x150/14733682_1785889608332135_928846876021620736_a.jpg</v>
      </c>
    </row>
    <row r="2931" spans="1:31" ht="15" x14ac:dyDescent="0.25">
      <c r="A2931" t="s">
        <v>2474</v>
      </c>
      <c r="B2931" t="s">
        <v>17539</v>
      </c>
      <c r="C2931" s="221">
        <v>42973.437210648146</v>
      </c>
      <c r="D2931" t="s">
        <v>17540</v>
      </c>
      <c r="E2931" s="249" t="str">
        <f>HYPERLINK("https://www.instagram.com/p/BYQqk5HBBlS/")</f>
        <v>https://www.instagram.com/p/BYQqk5HBBlS/</v>
      </c>
      <c r="F2931" t="s">
        <v>17541</v>
      </c>
      <c r="G2931" t="s">
        <v>2478</v>
      </c>
      <c r="H2931">
        <v>173</v>
      </c>
      <c r="I2931" t="s">
        <v>2582</v>
      </c>
      <c r="J2931">
        <v>0</v>
      </c>
      <c r="K2931">
        <v>2</v>
      </c>
      <c r="L2931">
        <v>2</v>
      </c>
      <c r="Q2931">
        <v>0</v>
      </c>
      <c r="R2931">
        <v>0</v>
      </c>
      <c r="S2931">
        <v>2</v>
      </c>
      <c r="Y2931" t="s">
        <v>4839</v>
      </c>
      <c r="Z2931" t="s">
        <v>17542</v>
      </c>
      <c r="AA2931" t="s">
        <v>2562</v>
      </c>
      <c r="AB2931" t="s">
        <v>2968</v>
      </c>
      <c r="AC2931" t="s">
        <v>2735</v>
      </c>
      <c r="AD2931" s="249" t="str">
        <f>HYPERLINK("https://scontent.cdninstagram.com/t51.2885-15/s320x320/e35/21042775_504643973216816_3165681056552583168_n.jpg")</f>
        <v>https://scontent.cdninstagram.com/t51.2885-15/s320x320/e35/21042775_504643973216816_3165681056552583168_n.jpg</v>
      </c>
      <c r="AE2931" s="249" t="str">
        <f>HYPERLINK("https://scontent.cdninstagram.com/t51.2885-19/s150x150/17662626_1522810094429991_5876398409283272704_a.jpg")</f>
        <v>https://scontent.cdninstagram.com/t51.2885-19/s150x150/17662626_1522810094429991_5876398409283272704_a.jpg</v>
      </c>
    </row>
    <row r="2932" spans="1:31" ht="15" x14ac:dyDescent="0.25">
      <c r="A2932" t="s">
        <v>2474</v>
      </c>
      <c r="B2932" t="s">
        <v>17543</v>
      </c>
      <c r="C2932" s="221">
        <v>42973.43922453704</v>
      </c>
      <c r="D2932" t="s">
        <v>17544</v>
      </c>
      <c r="E2932" s="249" t="str">
        <f>HYPERLINK("https://www.instagram.com/p/BYQq6BYguyA/")</f>
        <v>https://www.instagram.com/p/BYQq6BYguyA/</v>
      </c>
      <c r="F2932" t="s">
        <v>17545</v>
      </c>
      <c r="G2932" t="s">
        <v>2631</v>
      </c>
      <c r="H2932">
        <v>295</v>
      </c>
      <c r="I2932" t="s">
        <v>3170</v>
      </c>
      <c r="J2932">
        <v>8</v>
      </c>
      <c r="K2932">
        <v>60</v>
      </c>
      <c r="L2932">
        <v>68</v>
      </c>
      <c r="Q2932">
        <v>0</v>
      </c>
      <c r="R2932">
        <v>0</v>
      </c>
      <c r="S2932">
        <v>68</v>
      </c>
      <c r="Y2932" t="s">
        <v>17546</v>
      </c>
      <c r="Z2932" t="s">
        <v>9136</v>
      </c>
      <c r="AA2932" t="s">
        <v>17547</v>
      </c>
      <c r="AB2932" t="s">
        <v>17548</v>
      </c>
      <c r="AC2932" t="s">
        <v>17549</v>
      </c>
      <c r="AD2932" s="249" t="str">
        <f>HYPERLINK("https://scontent.cdninstagram.com/t51.2885-15/s320x320/e15/21147848_467827426906231_391485190993608704_n.jpg")</f>
        <v>https://scontent.cdninstagram.com/t51.2885-15/s320x320/e15/21147848_467827426906231_391485190993608704_n.jpg</v>
      </c>
      <c r="AE2932" s="249" t="str">
        <f>HYPERLINK("https://scontent.cdninstagram.com/t51.2885-19/s150x150/16230446_764301623733175_1166376868346068992_a.jpg")</f>
        <v>https://scontent.cdninstagram.com/t51.2885-19/s150x150/16230446_764301623733175_1166376868346068992_a.jpg</v>
      </c>
    </row>
    <row r="2933" spans="1:31" ht="15" x14ac:dyDescent="0.25">
      <c r="A2933" t="s">
        <v>2474</v>
      </c>
      <c r="B2933" t="s">
        <v>17550</v>
      </c>
      <c r="C2933" s="221">
        <v>42973.459675925929</v>
      </c>
      <c r="D2933" t="s">
        <v>17551</v>
      </c>
      <c r="E2933" s="249" t="str">
        <f>HYPERLINK("https://www.instagram.com/p/BYQuRxgAEHQ/")</f>
        <v>https://www.instagram.com/p/BYQuRxgAEHQ/</v>
      </c>
      <c r="F2933" t="s">
        <v>17552</v>
      </c>
      <c r="G2933" t="s">
        <v>2478</v>
      </c>
      <c r="H2933">
        <v>339</v>
      </c>
      <c r="I2933" t="s">
        <v>2479</v>
      </c>
      <c r="J2933">
        <v>0</v>
      </c>
      <c r="K2933">
        <v>15</v>
      </c>
      <c r="L2933">
        <v>15</v>
      </c>
      <c r="Q2933">
        <v>0</v>
      </c>
      <c r="R2933">
        <v>0</v>
      </c>
      <c r="S2933">
        <v>15</v>
      </c>
      <c r="Y2933" t="s">
        <v>17553</v>
      </c>
      <c r="Z2933" t="s">
        <v>17554</v>
      </c>
      <c r="AA2933" t="s">
        <v>2497</v>
      </c>
      <c r="AB2933" t="s">
        <v>17555</v>
      </c>
      <c r="AC2933" t="s">
        <v>17556</v>
      </c>
      <c r="AD2933" s="249" t="str">
        <f>HYPERLINK("https://scontent.cdninstagram.com/t51.2885-15/s320x320/e35/21041175_869964229835015_5030697822324785152_n.jpg")</f>
        <v>https://scontent.cdninstagram.com/t51.2885-15/s320x320/e35/21041175_869964229835015_5030697822324785152_n.jpg</v>
      </c>
      <c r="AE2933" s="249" t="str">
        <f>HYPERLINK("https://scontent.cdninstagram.com/t51.2885-19/s150x150/16465430_1893302327614130_6822367211085103104_a.jpg")</f>
        <v>https://scontent.cdninstagram.com/t51.2885-19/s150x150/16465430_1893302327614130_6822367211085103104_a.jpg</v>
      </c>
    </row>
    <row r="2934" spans="1:31" ht="15" x14ac:dyDescent="0.25">
      <c r="A2934" t="s">
        <v>2474</v>
      </c>
      <c r="B2934" t="s">
        <v>17158</v>
      </c>
      <c r="C2934" s="221">
        <v>42973.467418981483</v>
      </c>
      <c r="D2934" t="s">
        <v>17557</v>
      </c>
      <c r="E2934" s="249" t="str">
        <f>HYPERLINK("https://www.instagram.com/p/BYQvja6n88q/")</f>
        <v>https://www.instagram.com/p/BYQvja6n88q/</v>
      </c>
      <c r="F2934" t="s">
        <v>17558</v>
      </c>
      <c r="G2934" t="s">
        <v>2478</v>
      </c>
      <c r="H2934">
        <v>364</v>
      </c>
      <c r="I2934" t="s">
        <v>2479</v>
      </c>
      <c r="J2934">
        <v>1</v>
      </c>
      <c r="K2934">
        <v>51</v>
      </c>
      <c r="L2934">
        <v>52</v>
      </c>
      <c r="Q2934">
        <v>0</v>
      </c>
      <c r="R2934">
        <v>0</v>
      </c>
      <c r="S2934">
        <v>52</v>
      </c>
      <c r="Y2934" t="s">
        <v>17559</v>
      </c>
      <c r="Z2934" t="s">
        <v>2929</v>
      </c>
      <c r="AA2934" t="s">
        <v>2837</v>
      </c>
      <c r="AB2934" t="s">
        <v>17560</v>
      </c>
      <c r="AC2934" t="s">
        <v>15453</v>
      </c>
      <c r="AD2934" s="249" t="str">
        <f>HYPERLINK("https://scontent.cdninstagram.com/t51.2885-15/s320x320/e35/21041170_332308850564631_2218662453074460672_n.jpg")</f>
        <v>https://scontent.cdninstagram.com/t51.2885-15/s320x320/e35/21041170_332308850564631_2218662453074460672_n.jpg</v>
      </c>
      <c r="AE2934" s="249" t="str">
        <f>HYPERLINK("https://scontent.cdninstagram.com/t51.2885-19/s150x150/13658639_315931348749567_46952542_a.jpg")</f>
        <v>https://scontent.cdninstagram.com/t51.2885-19/s150x150/13658639_315931348749567_46952542_a.jpg</v>
      </c>
    </row>
    <row r="2935" spans="1:31" ht="15" x14ac:dyDescent="0.25">
      <c r="A2935" t="s">
        <v>2474</v>
      </c>
      <c r="B2935" t="s">
        <v>3015</v>
      </c>
      <c r="C2935" s="221">
        <v>42973.467777777776</v>
      </c>
      <c r="D2935" t="s">
        <v>17561</v>
      </c>
      <c r="E2935" s="249" t="str">
        <f>HYPERLINK("https://www.instagram.com/p/BYQvnNJg-eH/")</f>
        <v>https://www.instagram.com/p/BYQvnNJg-eH/</v>
      </c>
      <c r="F2935" t="s">
        <v>17562</v>
      </c>
      <c r="G2935" t="s">
        <v>2478</v>
      </c>
      <c r="H2935">
        <v>245</v>
      </c>
      <c r="I2935" t="s">
        <v>2479</v>
      </c>
      <c r="J2935">
        <v>0</v>
      </c>
      <c r="K2935">
        <v>29</v>
      </c>
      <c r="L2935">
        <v>29</v>
      </c>
      <c r="Q2935">
        <v>0</v>
      </c>
      <c r="R2935">
        <v>0</v>
      </c>
      <c r="S2935">
        <v>29</v>
      </c>
      <c r="Y2935" t="s">
        <v>3021</v>
      </c>
      <c r="Z2935" t="s">
        <v>10468</v>
      </c>
      <c r="AA2935" t="s">
        <v>3019</v>
      </c>
      <c r="AB2935" t="s">
        <v>3728</v>
      </c>
      <c r="AC2935" t="s">
        <v>6259</v>
      </c>
      <c r="AD2935" s="249" t="str">
        <f>HYPERLINK("https://scontent.cdninstagram.com/t51.2885-15/e35/p320x320/21042598_483686421987558_1041602179997106176_n.jpg")</f>
        <v>https://scontent.cdninstagram.com/t51.2885-15/e35/p320x320/21042598_483686421987558_1041602179997106176_n.jpg</v>
      </c>
      <c r="AE2935" s="249" t="str">
        <f>HYPERLINK("https://scontent.cdninstagram.com/t51.2885-19/s150x150/19761452_1876060406050696_4275948751316582400_a.jpg")</f>
        <v>https://scontent.cdninstagram.com/t51.2885-19/s150x150/19761452_1876060406050696_4275948751316582400_a.jpg</v>
      </c>
    </row>
    <row r="2936" spans="1:31" ht="15" x14ac:dyDescent="0.25">
      <c r="A2936" t="s">
        <v>2474</v>
      </c>
      <c r="B2936" t="s">
        <v>17563</v>
      </c>
      <c r="C2936" s="221">
        <v>42973.467974537038</v>
      </c>
      <c r="D2936" t="s">
        <v>17564</v>
      </c>
      <c r="E2936" s="249" t="str">
        <f>HYPERLINK("https://www.instagram.com/p/BYQvpVNHk-r/")</f>
        <v>https://www.instagram.com/p/BYQvpVNHk-r/</v>
      </c>
      <c r="F2936" t="s">
        <v>17565</v>
      </c>
      <c r="G2936" t="s">
        <v>2478</v>
      </c>
      <c r="H2936">
        <v>143</v>
      </c>
      <c r="I2936" t="s">
        <v>3170</v>
      </c>
      <c r="J2936">
        <v>2</v>
      </c>
      <c r="K2936">
        <v>18</v>
      </c>
      <c r="L2936">
        <v>20</v>
      </c>
      <c r="Q2936">
        <v>0</v>
      </c>
      <c r="R2936">
        <v>0</v>
      </c>
      <c r="S2936">
        <v>20</v>
      </c>
      <c r="Y2936" t="s">
        <v>17566</v>
      </c>
      <c r="Z2936" t="s">
        <v>17567</v>
      </c>
      <c r="AA2936" t="s">
        <v>5706</v>
      </c>
      <c r="AB2936" t="s">
        <v>4589</v>
      </c>
      <c r="AC2936" t="s">
        <v>10216</v>
      </c>
      <c r="AD2936" s="249" t="str">
        <f>HYPERLINK("https://scontent.cdninstagram.com/t51.2885-15/s320x320/e35/21107378_117451922249038_6122064993811693568_n.jpg")</f>
        <v>https://scontent.cdninstagram.com/t51.2885-15/s320x320/e35/21107378_117451922249038_6122064993811693568_n.jpg</v>
      </c>
      <c r="AE2936" s="249" t="str">
        <f>HYPERLINK("https://scontent.cdninstagram.com/t51.2885-19/s150x150/18889136_137154330174987_2983576577800929280_a.jpg")</f>
        <v>https://scontent.cdninstagram.com/t51.2885-19/s150x150/18889136_137154330174987_2983576577800929280_a.jpg</v>
      </c>
    </row>
    <row r="2937" spans="1:31" ht="15" x14ac:dyDescent="0.25">
      <c r="A2937" t="s">
        <v>2474</v>
      </c>
      <c r="B2937" t="s">
        <v>3015</v>
      </c>
      <c r="C2937" s="221">
        <v>42973.469652777778</v>
      </c>
      <c r="D2937" t="s">
        <v>17568</v>
      </c>
      <c r="E2937" s="249" t="str">
        <f>HYPERLINK("https://www.instagram.com/p/BYQv7C4A-vX/")</f>
        <v>https://www.instagram.com/p/BYQv7C4A-vX/</v>
      </c>
      <c r="F2937" t="s">
        <v>17569</v>
      </c>
      <c r="G2937" t="s">
        <v>2478</v>
      </c>
      <c r="H2937">
        <v>245</v>
      </c>
      <c r="I2937" t="s">
        <v>2479</v>
      </c>
      <c r="J2937">
        <v>0</v>
      </c>
      <c r="K2937">
        <v>30</v>
      </c>
      <c r="L2937">
        <v>30</v>
      </c>
      <c r="Q2937">
        <v>0</v>
      </c>
      <c r="R2937">
        <v>0</v>
      </c>
      <c r="S2937">
        <v>30</v>
      </c>
      <c r="Y2937" t="s">
        <v>3021</v>
      </c>
      <c r="Z2937" t="s">
        <v>10468</v>
      </c>
      <c r="AA2937" t="s">
        <v>3019</v>
      </c>
      <c r="AB2937" t="s">
        <v>3728</v>
      </c>
      <c r="AC2937" t="s">
        <v>6259</v>
      </c>
      <c r="AD2937" s="249" t="str">
        <f>HYPERLINK("https://scontent.cdninstagram.com/t51.2885-15/s320x320/e35/21148004_1901388300184657_6660191453601333248_n.jpg")</f>
        <v>https://scontent.cdninstagram.com/t51.2885-15/s320x320/e35/21148004_1901388300184657_6660191453601333248_n.jpg</v>
      </c>
      <c r="AE2937" s="249" t="str">
        <f>HYPERLINK("https://scontent.cdninstagram.com/t51.2885-19/s150x150/19761452_1876060406050696_4275948751316582400_a.jpg")</f>
        <v>https://scontent.cdninstagram.com/t51.2885-19/s150x150/19761452_1876060406050696_4275948751316582400_a.jpg</v>
      </c>
    </row>
    <row r="2938" spans="1:31" ht="15" x14ac:dyDescent="0.25">
      <c r="A2938" t="s">
        <v>2474</v>
      </c>
      <c r="B2938" t="s">
        <v>17570</v>
      </c>
      <c r="C2938" s="221">
        <v>42973.470949074072</v>
      </c>
      <c r="D2938" t="s">
        <v>17571</v>
      </c>
      <c r="E2938" s="249" t="str">
        <f>HYPERLINK("https://www.instagram.com/p/BYQwIrYAThV/")</f>
        <v>https://www.instagram.com/p/BYQwIrYAThV/</v>
      </c>
      <c r="F2938" t="s">
        <v>17572</v>
      </c>
      <c r="G2938" t="s">
        <v>2478</v>
      </c>
      <c r="H2938">
        <v>259</v>
      </c>
      <c r="I2938" t="s">
        <v>2479</v>
      </c>
      <c r="J2938">
        <v>7</v>
      </c>
      <c r="K2938">
        <v>20</v>
      </c>
      <c r="L2938">
        <v>27</v>
      </c>
      <c r="Q2938">
        <v>0</v>
      </c>
      <c r="R2938">
        <v>0</v>
      </c>
      <c r="S2938">
        <v>27</v>
      </c>
      <c r="T2938" t="s">
        <v>17573</v>
      </c>
      <c r="V2938" t="s">
        <v>2182</v>
      </c>
      <c r="W2938">
        <v>40.922370000000001</v>
      </c>
      <c r="X2938">
        <v>14.423859999999999</v>
      </c>
      <c r="Y2938" t="s">
        <v>17574</v>
      </c>
      <c r="Z2938" t="s">
        <v>17575</v>
      </c>
      <c r="AA2938" t="s">
        <v>17576</v>
      </c>
      <c r="AB2938" t="s">
        <v>15854</v>
      </c>
      <c r="AC2938" t="s">
        <v>17577</v>
      </c>
      <c r="AD2938" s="249" t="str">
        <f>HYPERLINK("https://scontent.cdninstagram.com/t51.2885-15/e35/p320x320/21041233_1232678533504161_1937981620111802368_n.jpg")</f>
        <v>https://scontent.cdninstagram.com/t51.2885-15/e35/p320x320/21041233_1232678533504161_1937981620111802368_n.jpg</v>
      </c>
      <c r="AE2938" s="249" t="str">
        <f>HYPERLINK("https://scontent.cdninstagram.com/t51.2885-19/s150x150/20837737_147264325861790_5473745714909544448_a.jpg")</f>
        <v>https://scontent.cdninstagram.com/t51.2885-19/s150x150/20837737_147264325861790_5473745714909544448_a.jpg</v>
      </c>
    </row>
    <row r="2939" spans="1:31" ht="15" x14ac:dyDescent="0.25">
      <c r="A2939" t="s">
        <v>2474</v>
      </c>
      <c r="B2939" t="s">
        <v>17578</v>
      </c>
      <c r="C2939" s="221">
        <v>42973.484432870369</v>
      </c>
      <c r="D2939" t="s">
        <v>17579</v>
      </c>
      <c r="E2939" s="249" t="str">
        <f>HYPERLINK("https://www.instagram.com/p/BYQyW3slusy/")</f>
        <v>https://www.instagram.com/p/BYQyW3slusy/</v>
      </c>
      <c r="F2939" t="s">
        <v>17580</v>
      </c>
      <c r="G2939" t="s">
        <v>2478</v>
      </c>
      <c r="H2939">
        <v>590</v>
      </c>
      <c r="I2939" t="s">
        <v>2479</v>
      </c>
      <c r="J2939">
        <v>0</v>
      </c>
      <c r="K2939">
        <v>0</v>
      </c>
      <c r="L2939">
        <v>0</v>
      </c>
      <c r="Q2939">
        <v>0</v>
      </c>
      <c r="R2939">
        <v>0</v>
      </c>
      <c r="S2939">
        <v>0</v>
      </c>
      <c r="Y2939" t="s">
        <v>5787</v>
      </c>
      <c r="Z2939" t="s">
        <v>6138</v>
      </c>
      <c r="AA2939" t="s">
        <v>6082</v>
      </c>
      <c r="AB2939" t="s">
        <v>4379</v>
      </c>
      <c r="AC2939" t="s">
        <v>7322</v>
      </c>
      <c r="AD2939" s="249" t="str">
        <f>HYPERLINK("https://scontent.cdninstagram.com/t51.2885-15/s320x320/e35/21147892_324971011241830_5522569941057798144_n.jpg")</f>
        <v>https://scontent.cdninstagram.com/t51.2885-15/s320x320/e35/21147892_324971011241830_5522569941057798144_n.jpg</v>
      </c>
      <c r="AE2939" s="249" t="str">
        <f>HYPERLINK("https://scontent.cdninstagram.com/t51.2885-19/s150x150/12519092_1689399344658317_310243264_a.jpg")</f>
        <v>https://scontent.cdninstagram.com/t51.2885-19/s150x150/12519092_1689399344658317_310243264_a.jpg</v>
      </c>
    </row>
    <row r="2940" spans="1:31" ht="15" x14ac:dyDescent="0.25">
      <c r="A2940" t="s">
        <v>2474</v>
      </c>
      <c r="B2940" t="s">
        <v>15801</v>
      </c>
      <c r="C2940" s="221">
        <v>42973.492361111108</v>
      </c>
      <c r="D2940" t="s">
        <v>17581</v>
      </c>
      <c r="E2940" s="249" t="str">
        <f>HYPERLINK("https://www.instagram.com/p/BYQzqewFx45/")</f>
        <v>https://www.instagram.com/p/BYQzqewFx45/</v>
      </c>
      <c r="F2940" t="s">
        <v>17582</v>
      </c>
      <c r="G2940" t="s">
        <v>2631</v>
      </c>
      <c r="H2940">
        <v>207</v>
      </c>
      <c r="I2940" t="s">
        <v>2479</v>
      </c>
      <c r="J2940">
        <v>3</v>
      </c>
      <c r="K2940">
        <v>18</v>
      </c>
      <c r="L2940">
        <v>21</v>
      </c>
      <c r="Q2940">
        <v>0</v>
      </c>
      <c r="R2940">
        <v>0</v>
      </c>
      <c r="S2940">
        <v>21</v>
      </c>
      <c r="Y2940" t="s">
        <v>16660</v>
      </c>
      <c r="Z2940" t="s">
        <v>15807</v>
      </c>
      <c r="AA2940" t="s">
        <v>16011</v>
      </c>
      <c r="AB2940" t="s">
        <v>17583</v>
      </c>
      <c r="AC2940" t="s">
        <v>16830</v>
      </c>
      <c r="AD2940" s="249" t="str">
        <f>HYPERLINK("https://scontent.cdninstagram.com/t51.2885-15/s320x320/e35/21147458_113313409357251_1526373008392847360_n.jpg")</f>
        <v>https://scontent.cdninstagram.com/t51.2885-15/s320x320/e35/21147458_113313409357251_1526373008392847360_n.jpg</v>
      </c>
      <c r="AE2940" s="249" t="str">
        <f>HYPERLINK("https://scontent.cdninstagram.com/t51.2885-19/s150x150/12547279_954947561266331_1148242584_a.jpg")</f>
        <v>https://scontent.cdninstagram.com/t51.2885-19/s150x150/12547279_954947561266331_1148242584_a.jpg</v>
      </c>
    </row>
    <row r="2941" spans="1:31" ht="15" x14ac:dyDescent="0.25">
      <c r="A2941" t="s">
        <v>2474</v>
      </c>
      <c r="B2941" t="s">
        <v>17584</v>
      </c>
      <c r="C2941" s="221">
        <v>42973.495266203703</v>
      </c>
      <c r="D2941" t="s">
        <v>17585</v>
      </c>
      <c r="E2941" s="249" t="str">
        <f>HYPERLINK("https://www.instagram.com/p/BYQ0JKLHmsR/")</f>
        <v>https://www.instagram.com/p/BYQ0JKLHmsR/</v>
      </c>
      <c r="F2941" t="s">
        <v>17586</v>
      </c>
      <c r="G2941" t="s">
        <v>2478</v>
      </c>
      <c r="H2941">
        <v>242</v>
      </c>
      <c r="I2941" t="s">
        <v>2479</v>
      </c>
      <c r="J2941">
        <v>8</v>
      </c>
      <c r="K2941">
        <v>53</v>
      </c>
      <c r="L2941">
        <v>61</v>
      </c>
      <c r="Q2941">
        <v>0</v>
      </c>
      <c r="R2941">
        <v>0</v>
      </c>
      <c r="S2941">
        <v>61</v>
      </c>
      <c r="T2941" t="s">
        <v>17587</v>
      </c>
      <c r="V2941" t="s">
        <v>2226</v>
      </c>
      <c r="W2941">
        <v>11.490380070000001</v>
      </c>
      <c r="X2941">
        <v>-85.520626539999995</v>
      </c>
      <c r="AD2941" s="249" t="str">
        <f>HYPERLINK("https://scontent.cdninstagram.com/t51.2885-15/s320x320/e35/21107734_255975168254793_9059906784159858688_n.jpg")</f>
        <v>https://scontent.cdninstagram.com/t51.2885-15/s320x320/e35/21107734_255975168254793_9059906784159858688_n.jpg</v>
      </c>
      <c r="AE2941" s="249" t="str">
        <f>HYPERLINK("https://scontent.cdninstagram.com/t51.2885-19/s150x150/18513986_1895618774031878_4000253593700532224_a.jpg")</f>
        <v>https://scontent.cdninstagram.com/t51.2885-19/s150x150/18513986_1895618774031878_4000253593700532224_a.jpg</v>
      </c>
    </row>
    <row r="2942" spans="1:31" ht="15" x14ac:dyDescent="0.25">
      <c r="A2942" t="s">
        <v>2474</v>
      </c>
      <c r="B2942" t="s">
        <v>9231</v>
      </c>
      <c r="C2942" s="221">
        <v>42973.497453703705</v>
      </c>
      <c r="D2942" t="s">
        <v>17588</v>
      </c>
      <c r="E2942" s="249" t="str">
        <f>HYPERLINK("https://www.instagram.com/p/BYQ0gPqFNTx/")</f>
        <v>https://www.instagram.com/p/BYQ0gPqFNTx/</v>
      </c>
      <c r="F2942" t="s">
        <v>17589</v>
      </c>
      <c r="G2942" t="s">
        <v>2478</v>
      </c>
      <c r="H2942">
        <v>841</v>
      </c>
      <c r="I2942" t="s">
        <v>2479</v>
      </c>
      <c r="J2942">
        <v>0</v>
      </c>
      <c r="K2942">
        <v>66</v>
      </c>
      <c r="L2942">
        <v>66</v>
      </c>
      <c r="Q2942">
        <v>0</v>
      </c>
      <c r="R2942">
        <v>0</v>
      </c>
      <c r="S2942">
        <v>66</v>
      </c>
      <c r="Y2942" t="s">
        <v>17590</v>
      </c>
      <c r="Z2942" t="s">
        <v>3075</v>
      </c>
      <c r="AA2942" t="s">
        <v>8161</v>
      </c>
      <c r="AB2942" t="s">
        <v>3077</v>
      </c>
      <c r="AC2942" t="s">
        <v>9841</v>
      </c>
      <c r="AD2942" s="249" t="str">
        <f>HYPERLINK("https://scontent.cdninstagram.com/t51.2885-15/e35/p320x320/21042809_130787467542477_2953168797755768832_n.jpg")</f>
        <v>https://scontent.cdninstagram.com/t51.2885-15/e35/p320x320/21042809_130787467542477_2953168797755768832_n.jpg</v>
      </c>
      <c r="AE2942" s="249" t="str">
        <f>HYPERLINK("https://scontent.cdninstagram.com/t51.2885-19/s150x150/21147404_1980013075616279_4017279041630371840_a.jpg")</f>
        <v>https://scontent.cdninstagram.com/t51.2885-19/s150x150/21147404_1980013075616279_4017279041630371840_a.jpg</v>
      </c>
    </row>
    <row r="2943" spans="1:31" ht="15" x14ac:dyDescent="0.25">
      <c r="A2943" t="s">
        <v>2474</v>
      </c>
      <c r="B2943" t="s">
        <v>12550</v>
      </c>
      <c r="C2943" s="221">
        <v>42973.500150462962</v>
      </c>
      <c r="D2943" t="s">
        <v>17591</v>
      </c>
      <c r="E2943" s="249" t="str">
        <f>HYPERLINK("https://www.instagram.com/p/BYQ08mrneY5/")</f>
        <v>https://www.instagram.com/p/BYQ08mrneY5/</v>
      </c>
      <c r="F2943" t="s">
        <v>17592</v>
      </c>
      <c r="G2943" t="s">
        <v>2478</v>
      </c>
      <c r="H2943">
        <v>836</v>
      </c>
      <c r="I2943" t="s">
        <v>2599</v>
      </c>
      <c r="J2943">
        <v>5</v>
      </c>
      <c r="K2943">
        <v>60</v>
      </c>
      <c r="L2943">
        <v>65</v>
      </c>
      <c r="Q2943">
        <v>0</v>
      </c>
      <c r="R2943">
        <v>0</v>
      </c>
      <c r="S2943">
        <v>65</v>
      </c>
      <c r="T2943" t="s">
        <v>17593</v>
      </c>
      <c r="V2943" t="s">
        <v>2225</v>
      </c>
      <c r="W2943">
        <v>-40.666666669999998</v>
      </c>
      <c r="X2943">
        <v>172.83333332999999</v>
      </c>
      <c r="Y2943" t="s">
        <v>9032</v>
      </c>
      <c r="Z2943" t="s">
        <v>17594</v>
      </c>
      <c r="AA2943" t="s">
        <v>4989</v>
      </c>
      <c r="AB2943" t="s">
        <v>4879</v>
      </c>
      <c r="AC2943" t="s">
        <v>2651</v>
      </c>
      <c r="AD2943" s="249" t="str">
        <f>HYPERLINK("https://scontent.cdninstagram.com/t51.2885-15/s320x320/e35/21040930_1618209471562780_7999812412016427008_n.jpg")</f>
        <v>https://scontent.cdninstagram.com/t51.2885-15/s320x320/e35/21040930_1618209471562780_7999812412016427008_n.jpg</v>
      </c>
      <c r="AE2943" s="249" t="str">
        <f>HYPERLINK("https://scontent.cdninstagram.com/t51.2885-19/s150x150/19534736_1894547127467294_2028662634726817792_a.jpg")</f>
        <v>https://scontent.cdninstagram.com/t51.2885-19/s150x150/19534736_1894547127467294_2028662634726817792_a.jpg</v>
      </c>
    </row>
    <row r="2944" spans="1:31" ht="15" x14ac:dyDescent="0.25">
      <c r="A2944" t="s">
        <v>2474</v>
      </c>
      <c r="B2944" t="s">
        <v>17595</v>
      </c>
      <c r="C2944" s="221">
        <v>42973.501562500001</v>
      </c>
      <c r="D2944" t="s">
        <v>17596</v>
      </c>
      <c r="E2944" s="249" t="str">
        <f>HYPERLINK("https://www.instagram.com/p/BYQ1LlQhLt1/")</f>
        <v>https://www.instagram.com/p/BYQ1LlQhLt1/</v>
      </c>
      <c r="F2944" t="s">
        <v>17597</v>
      </c>
      <c r="G2944" t="s">
        <v>2478</v>
      </c>
      <c r="H2944">
        <v>228</v>
      </c>
      <c r="I2944" t="s">
        <v>3273</v>
      </c>
      <c r="J2944">
        <v>2</v>
      </c>
      <c r="K2944">
        <v>46</v>
      </c>
      <c r="L2944">
        <v>48</v>
      </c>
      <c r="Q2944">
        <v>0</v>
      </c>
      <c r="R2944">
        <v>0</v>
      </c>
      <c r="S2944">
        <v>48</v>
      </c>
      <c r="T2944" t="s">
        <v>17598</v>
      </c>
      <c r="V2944" t="s">
        <v>2271</v>
      </c>
      <c r="W2944">
        <v>47.433300000000003</v>
      </c>
      <c r="X2944">
        <v>8.1666699999999999</v>
      </c>
      <c r="Y2944" t="s">
        <v>17599</v>
      </c>
      <c r="Z2944" t="s">
        <v>2769</v>
      </c>
      <c r="AA2944" t="s">
        <v>4495</v>
      </c>
      <c r="AB2944" t="s">
        <v>3262</v>
      </c>
      <c r="AC2944" t="s">
        <v>2861</v>
      </c>
      <c r="AD2944" s="249" t="str">
        <f>HYPERLINK("https://scontent.cdninstagram.com/t51.2885-15/e35/p320x320/21041516_140893569844693_4059717312834437120_n.jpg")</f>
        <v>https://scontent.cdninstagram.com/t51.2885-15/e35/p320x320/21041516_140893569844693_4059717312834437120_n.jpg</v>
      </c>
      <c r="AE2944" s="249" t="str">
        <f>HYPERLINK("https://scontent.cdninstagram.com/t51.2885-19/s150x150/18011346_445180539163204_4833687762651578368_a.jpg")</f>
        <v>https://scontent.cdninstagram.com/t51.2885-19/s150x150/18011346_445180539163204_4833687762651578368_a.jpg</v>
      </c>
    </row>
    <row r="2945" spans="1:31" ht="15" x14ac:dyDescent="0.25">
      <c r="A2945" t="s">
        <v>2474</v>
      </c>
      <c r="B2945" t="s">
        <v>17600</v>
      </c>
      <c r="C2945" s="221">
        <v>42973.508414351854</v>
      </c>
      <c r="D2945" t="s">
        <v>17601</v>
      </c>
      <c r="E2945" s="249" t="str">
        <f>HYPERLINK("https://www.instagram.com/p/BYQ2T3aA_iM/")</f>
        <v>https://www.instagram.com/p/BYQ2T3aA_iM/</v>
      </c>
      <c r="F2945" t="s">
        <v>17602</v>
      </c>
      <c r="G2945" t="s">
        <v>2478</v>
      </c>
      <c r="I2945" t="s">
        <v>3186</v>
      </c>
      <c r="J2945">
        <v>3</v>
      </c>
      <c r="K2945">
        <v>40</v>
      </c>
      <c r="L2945">
        <v>43</v>
      </c>
      <c r="Q2945">
        <v>0</v>
      </c>
      <c r="R2945">
        <v>0</v>
      </c>
      <c r="S2945">
        <v>43</v>
      </c>
      <c r="Y2945" t="s">
        <v>2497</v>
      </c>
      <c r="Z2945" t="s">
        <v>17603</v>
      </c>
      <c r="AA2945" t="s">
        <v>17604</v>
      </c>
      <c r="AB2945" t="s">
        <v>17605</v>
      </c>
      <c r="AD2945" s="249" t="str">
        <f>HYPERLINK("https://scontent.cdninstagram.com/t51.2885-15/e35/p320x320/21041389_2012506725702583_511946095794847744_n.jpg")</f>
        <v>https://scontent.cdninstagram.com/t51.2885-15/e35/p320x320/21041389_2012506725702583_511946095794847744_n.jpg</v>
      </c>
      <c r="AE2945" s="249" t="str">
        <f>HYPERLINK("https://scontent.cdninstagram.com/t51.2885-19/s150x150/20968699_267158583796260_8135924710220234752_a.jpg")</f>
        <v>https://scontent.cdninstagram.com/t51.2885-19/s150x150/20968699_267158583796260_8135924710220234752_a.jpg</v>
      </c>
    </row>
    <row r="2946" spans="1:31" ht="15" x14ac:dyDescent="0.25">
      <c r="A2946" t="s">
        <v>2474</v>
      </c>
      <c r="B2946" t="s">
        <v>17606</v>
      </c>
      <c r="C2946" s="221">
        <v>42973.510127314818</v>
      </c>
      <c r="D2946" t="s">
        <v>17607</v>
      </c>
      <c r="E2946" s="249" t="str">
        <f>HYPERLINK("https://www.instagram.com/p/BYQ2l07hwL3/")</f>
        <v>https://www.instagram.com/p/BYQ2l07hwL3/</v>
      </c>
      <c r="F2946" t="s">
        <v>17608</v>
      </c>
      <c r="G2946" t="s">
        <v>2478</v>
      </c>
      <c r="H2946">
        <v>126</v>
      </c>
      <c r="I2946" t="s">
        <v>2542</v>
      </c>
      <c r="J2946">
        <v>6</v>
      </c>
      <c r="K2946">
        <v>28</v>
      </c>
      <c r="L2946">
        <v>34</v>
      </c>
      <c r="Q2946">
        <v>0</v>
      </c>
      <c r="R2946">
        <v>0</v>
      </c>
      <c r="S2946">
        <v>34</v>
      </c>
      <c r="T2946" t="s">
        <v>17609</v>
      </c>
      <c r="U2946" t="s">
        <v>2020</v>
      </c>
      <c r="V2946" t="s">
        <v>2299</v>
      </c>
      <c r="W2946">
        <v>13.4992</v>
      </c>
      <c r="X2946">
        <v>144.839</v>
      </c>
      <c r="Y2946" t="s">
        <v>17610</v>
      </c>
      <c r="Z2946" t="s">
        <v>17611</v>
      </c>
      <c r="AA2946" t="s">
        <v>5186</v>
      </c>
      <c r="AB2946" t="s">
        <v>11893</v>
      </c>
      <c r="AC2946" t="s">
        <v>17612</v>
      </c>
      <c r="AD2946" s="249" t="str">
        <f>HYPERLINK("https://scontent.cdninstagram.com/t51.2885-15/s320x320/e35/21041383_285363881942721_8484591748742381568_n.jpg")</f>
        <v>https://scontent.cdninstagram.com/t51.2885-15/s320x320/e35/21041383_285363881942721_8484591748742381568_n.jpg</v>
      </c>
      <c r="AE2946" s="249" t="str">
        <f>HYPERLINK("https://scontent.cdninstagram.com/t51.2885-19/s150x150/21224477_460955827607091_4321403210548903936_a.jpg")</f>
        <v>https://scontent.cdninstagram.com/t51.2885-19/s150x150/21224477_460955827607091_4321403210548903936_a.jpg</v>
      </c>
    </row>
    <row r="2947" spans="1:31" ht="15" x14ac:dyDescent="0.25">
      <c r="A2947" t="s">
        <v>2474</v>
      </c>
      <c r="B2947" t="s">
        <v>9035</v>
      </c>
      <c r="C2947" s="221">
        <v>42973.511099537034</v>
      </c>
      <c r="D2947" t="s">
        <v>17613</v>
      </c>
      <c r="E2947" s="249" t="str">
        <f>HYPERLINK("https://www.instagram.com/p/BYQ2wIogkjE/")</f>
        <v>https://www.instagram.com/p/BYQ2wIogkjE/</v>
      </c>
      <c r="G2947" t="s">
        <v>2478</v>
      </c>
      <c r="H2947">
        <v>672</v>
      </c>
      <c r="I2947" t="s">
        <v>3898</v>
      </c>
      <c r="J2947">
        <v>2</v>
      </c>
      <c r="K2947">
        <v>24</v>
      </c>
      <c r="L2947">
        <v>26</v>
      </c>
      <c r="Q2947">
        <v>0</v>
      </c>
      <c r="R2947">
        <v>0</v>
      </c>
      <c r="S2947">
        <v>26</v>
      </c>
      <c r="Y2947" t="s">
        <v>17614</v>
      </c>
      <c r="Z2947" t="s">
        <v>10375</v>
      </c>
      <c r="AA2947" t="s">
        <v>17615</v>
      </c>
      <c r="AB2947" t="s">
        <v>17616</v>
      </c>
      <c r="AC2947" t="s">
        <v>12002</v>
      </c>
      <c r="AD2947" s="249" t="str">
        <f>HYPERLINK("https://scontent.cdninstagram.com/t51.2885-15/s320x320/e35/21042219_127152547914791_5348233000855273472_n.jpg")</f>
        <v>https://scontent.cdninstagram.com/t51.2885-15/s320x320/e35/21042219_127152547914791_5348233000855273472_n.jpg</v>
      </c>
      <c r="AE2947" s="249" t="str">
        <f>HYPERLINK("https://scontent.cdninstagram.com/t51.2885-19/s150x150/20837140_158461924709521_656414605060341760_a.jpg")</f>
        <v>https://scontent.cdninstagram.com/t51.2885-19/s150x150/20837140_158461924709521_656414605060341760_a.jpg</v>
      </c>
    </row>
    <row r="2948" spans="1:31" ht="15" x14ac:dyDescent="0.25">
      <c r="A2948" t="s">
        <v>2474</v>
      </c>
      <c r="B2948" t="s">
        <v>17617</v>
      </c>
      <c r="C2948" s="221">
        <v>42973.51226851852</v>
      </c>
      <c r="D2948" t="s">
        <v>17618</v>
      </c>
      <c r="E2948" s="249" t="str">
        <f>HYPERLINK("https://www.instagram.com/p/BYQ28f5BpPK/")</f>
        <v>https://www.instagram.com/p/BYQ28f5BpPK/</v>
      </c>
      <c r="F2948" t="s">
        <v>17619</v>
      </c>
      <c r="G2948" t="s">
        <v>2478</v>
      </c>
      <c r="H2948">
        <v>124</v>
      </c>
      <c r="I2948" t="s">
        <v>13274</v>
      </c>
      <c r="J2948">
        <v>1</v>
      </c>
      <c r="K2948">
        <v>28</v>
      </c>
      <c r="L2948">
        <v>29</v>
      </c>
      <c r="Q2948">
        <v>0</v>
      </c>
      <c r="R2948">
        <v>0</v>
      </c>
      <c r="S2948">
        <v>29</v>
      </c>
      <c r="Y2948" t="s">
        <v>17620</v>
      </c>
      <c r="Z2948" t="s">
        <v>17621</v>
      </c>
      <c r="AA2948" t="s">
        <v>17622</v>
      </c>
      <c r="AB2948" t="s">
        <v>2497</v>
      </c>
      <c r="AD2948" s="249" t="str">
        <f>HYPERLINK("https://scontent.cdninstagram.com/t51.2885-15/e35/p320x320/21041534_811635565685662_6043872537207635968_n.jpg")</f>
        <v>https://scontent.cdninstagram.com/t51.2885-15/e35/p320x320/21041534_811635565685662_6043872537207635968_n.jpg</v>
      </c>
      <c r="AE2948" s="249" t="str">
        <f>HYPERLINK("https://scontent.cdninstagram.com/t51.2885-19/11111321_607005216102234_609531341_a.jpg")</f>
        <v>https://scontent.cdninstagram.com/t51.2885-19/11111321_607005216102234_609531341_a.jpg</v>
      </c>
    </row>
    <row r="2949" spans="1:31" ht="15" x14ac:dyDescent="0.25">
      <c r="A2949" t="s">
        <v>2474</v>
      </c>
      <c r="B2949" t="s">
        <v>17623</v>
      </c>
      <c r="C2949" s="221">
        <v>42973.512858796297</v>
      </c>
      <c r="D2949" t="s">
        <v>17624</v>
      </c>
      <c r="E2949" s="249" t="str">
        <f>HYPERLINK("https://www.instagram.com/p/BYQ3CvVhSb9/")</f>
        <v>https://www.instagram.com/p/BYQ3CvVhSb9/</v>
      </c>
      <c r="F2949" t="s">
        <v>17625</v>
      </c>
      <c r="G2949" t="s">
        <v>2488</v>
      </c>
      <c r="H2949">
        <v>447</v>
      </c>
      <c r="I2949" t="s">
        <v>2479</v>
      </c>
      <c r="J2949">
        <v>6</v>
      </c>
      <c r="K2949">
        <v>25</v>
      </c>
      <c r="L2949">
        <v>31</v>
      </c>
      <c r="Q2949">
        <v>0</v>
      </c>
      <c r="R2949">
        <v>0</v>
      </c>
      <c r="S2949">
        <v>31</v>
      </c>
      <c r="T2949" t="s">
        <v>17626</v>
      </c>
      <c r="U2949" t="s">
        <v>144</v>
      </c>
      <c r="V2949" t="s">
        <v>2299</v>
      </c>
      <c r="W2949">
        <v>39</v>
      </c>
      <c r="X2949">
        <v>-105.5</v>
      </c>
      <c r="Y2949" t="s">
        <v>7703</v>
      </c>
      <c r="Z2949" t="s">
        <v>17627</v>
      </c>
      <c r="AA2949" t="s">
        <v>8014</v>
      </c>
      <c r="AB2949" t="s">
        <v>17628</v>
      </c>
      <c r="AC2949" t="s">
        <v>2497</v>
      </c>
      <c r="AD2949" s="249" t="str">
        <f>HYPERLINK("https://scontent.cdninstagram.com/t51.2885-15/s320x320/e35/21147966_510048149337470_2630675070892113920_n.jpg")</f>
        <v>https://scontent.cdninstagram.com/t51.2885-15/s320x320/e35/21147966_510048149337470_2630675070892113920_n.jpg</v>
      </c>
      <c r="AE2949" s="249" t="str">
        <f>HYPERLINK("https://scontent.cdninstagram.com/t51.2885-19/s150x150/20837321_290789558063629_3305273918943657984_a.jpg")</f>
        <v>https://scontent.cdninstagram.com/t51.2885-19/s150x150/20837321_290789558063629_3305273918943657984_a.jpg</v>
      </c>
    </row>
    <row r="2950" spans="1:31" ht="15" x14ac:dyDescent="0.25">
      <c r="A2950" t="s">
        <v>2474</v>
      </c>
      <c r="B2950" t="s">
        <v>17629</v>
      </c>
      <c r="C2950" s="221">
        <v>42973.514756944445</v>
      </c>
      <c r="D2950" t="s">
        <v>17630</v>
      </c>
      <c r="E2950" s="249" t="str">
        <f>HYPERLINK("https://www.instagram.com/p/BYQ3Ws9nfiK/")</f>
        <v>https://www.instagram.com/p/BYQ3Ws9nfiK/</v>
      </c>
      <c r="F2950" t="s">
        <v>17631</v>
      </c>
      <c r="G2950" t="s">
        <v>2478</v>
      </c>
      <c r="H2950">
        <v>92</v>
      </c>
      <c r="I2950" t="s">
        <v>2479</v>
      </c>
      <c r="J2950">
        <v>2</v>
      </c>
      <c r="K2950">
        <v>45</v>
      </c>
      <c r="L2950">
        <v>47</v>
      </c>
      <c r="Q2950">
        <v>0</v>
      </c>
      <c r="R2950">
        <v>0</v>
      </c>
      <c r="S2950">
        <v>47</v>
      </c>
      <c r="T2950" t="s">
        <v>17632</v>
      </c>
      <c r="V2950" t="s">
        <v>2222</v>
      </c>
      <c r="W2950">
        <v>52.5</v>
      </c>
      <c r="X2950">
        <v>6.0833300000000001</v>
      </c>
      <c r="Y2950" t="s">
        <v>3145</v>
      </c>
      <c r="Z2950" t="s">
        <v>17633</v>
      </c>
      <c r="AA2950" t="s">
        <v>2493</v>
      </c>
      <c r="AB2950" t="s">
        <v>17634</v>
      </c>
      <c r="AC2950" t="s">
        <v>17635</v>
      </c>
      <c r="AD2950" s="249" t="str">
        <f>HYPERLINK("https://scontent.cdninstagram.com/t51.2885-15/s320x320/e35/21147693_120761598579212_7574552633294192640_n.jpg")</f>
        <v>https://scontent.cdninstagram.com/t51.2885-15/s320x320/e35/21147693_120761598579212_7574552633294192640_n.jpg</v>
      </c>
      <c r="AE2950" s="249" t="str">
        <f>HYPERLINK("https://scontent.cdninstagram.com/t51.2885-19/10932067_399475526894827_1371966575_a.jpg")</f>
        <v>https://scontent.cdninstagram.com/t51.2885-19/10932067_399475526894827_1371966575_a.jpg</v>
      </c>
    </row>
    <row r="2951" spans="1:31" ht="15" x14ac:dyDescent="0.25">
      <c r="A2951" t="s">
        <v>2474</v>
      </c>
      <c r="B2951" t="s">
        <v>17636</v>
      </c>
      <c r="C2951" s="221">
        <v>42973.514849537038</v>
      </c>
      <c r="D2951" t="s">
        <v>17637</v>
      </c>
      <c r="E2951" s="249" t="str">
        <f>HYPERLINK("https://www.instagram.com/p/BYQ3XqGARY5/")</f>
        <v>https://www.instagram.com/p/BYQ3XqGARY5/</v>
      </c>
      <c r="F2951" t="s">
        <v>17638</v>
      </c>
      <c r="G2951" t="s">
        <v>2478</v>
      </c>
      <c r="H2951">
        <v>155</v>
      </c>
      <c r="I2951" t="s">
        <v>2479</v>
      </c>
      <c r="J2951">
        <v>0</v>
      </c>
      <c r="K2951">
        <v>4</v>
      </c>
      <c r="L2951">
        <v>4</v>
      </c>
      <c r="Q2951">
        <v>0</v>
      </c>
      <c r="R2951">
        <v>0</v>
      </c>
      <c r="S2951">
        <v>4</v>
      </c>
      <c r="Y2951" t="s">
        <v>2497</v>
      </c>
      <c r="Z2951" t="s">
        <v>9717</v>
      </c>
      <c r="AA2951" t="s">
        <v>17639</v>
      </c>
      <c r="AD2951" s="249" t="str">
        <f>HYPERLINK("https://scontent.cdninstagram.com/t51.2885-15/e35/p320x320/21042379_855574684592691_92207669330313216_n.jpg")</f>
        <v>https://scontent.cdninstagram.com/t51.2885-15/e35/p320x320/21042379_855574684592691_92207669330313216_n.jpg</v>
      </c>
      <c r="AE2951" s="249" t="str">
        <f>HYPERLINK("https://scontent.cdninstagram.com/t51.2885-19/s150x150/17495149_1453742648032873_1592912780636192768_a.jpg")</f>
        <v>https://scontent.cdninstagram.com/t51.2885-19/s150x150/17495149_1453742648032873_1592912780636192768_a.jpg</v>
      </c>
    </row>
    <row r="2952" spans="1:31" ht="15" x14ac:dyDescent="0.25">
      <c r="A2952" t="s">
        <v>2474</v>
      </c>
      <c r="B2952" t="s">
        <v>7844</v>
      </c>
      <c r="C2952" s="221">
        <v>42973.51489583333</v>
      </c>
      <c r="D2952" t="s">
        <v>17640</v>
      </c>
      <c r="E2952" s="249" t="str">
        <f>HYPERLINK("https://www.instagram.com/p/BYQ3YNABzeq/")</f>
        <v>https://www.instagram.com/p/BYQ3YNABzeq/</v>
      </c>
      <c r="F2952" t="s">
        <v>17641</v>
      </c>
      <c r="G2952" t="s">
        <v>2478</v>
      </c>
      <c r="H2952">
        <v>425</v>
      </c>
      <c r="I2952" t="s">
        <v>2479</v>
      </c>
      <c r="J2952">
        <v>0</v>
      </c>
      <c r="K2952">
        <v>41</v>
      </c>
      <c r="L2952">
        <v>41</v>
      </c>
      <c r="Q2952">
        <v>0</v>
      </c>
      <c r="R2952">
        <v>0</v>
      </c>
      <c r="S2952">
        <v>41</v>
      </c>
      <c r="Y2952" t="s">
        <v>3549</v>
      </c>
      <c r="Z2952" t="s">
        <v>4388</v>
      </c>
      <c r="AA2952" t="s">
        <v>10638</v>
      </c>
      <c r="AB2952" t="s">
        <v>3196</v>
      </c>
      <c r="AC2952" t="s">
        <v>9835</v>
      </c>
      <c r="AD2952" s="249" t="str">
        <f>HYPERLINK("https://scontent.cdninstagram.com/t51.2885-15/s320x320/e35/21042419_112375332815209_1076613825681162240_n.jpg")</f>
        <v>https://scontent.cdninstagram.com/t51.2885-15/s320x320/e35/21042419_112375332815209_1076613825681162240_n.jpg</v>
      </c>
      <c r="AE2952" s="249" t="str">
        <f>HYPERLINK("https://scontent.cdninstagram.com/t51.2885-19/s150x150/14659433_124185214720398_460441517996113920_a.jpg")</f>
        <v>https://scontent.cdninstagram.com/t51.2885-19/s150x150/14659433_124185214720398_460441517996113920_a.jpg</v>
      </c>
    </row>
    <row r="2953" spans="1:31" ht="15" x14ac:dyDescent="0.25">
      <c r="A2953" t="s">
        <v>2474</v>
      </c>
      <c r="B2953" t="s">
        <v>17642</v>
      </c>
      <c r="C2953" s="221">
        <v>42973.5156712963</v>
      </c>
      <c r="D2953" t="s">
        <v>17643</v>
      </c>
      <c r="E2953" s="249" t="str">
        <f>HYPERLINK("https://www.instagram.com/p/BYQ3gX4hqxh/")</f>
        <v>https://www.instagram.com/p/BYQ3gX4hqxh/</v>
      </c>
      <c r="F2953" t="s">
        <v>17644</v>
      </c>
      <c r="G2953" t="s">
        <v>2478</v>
      </c>
      <c r="H2953">
        <v>12648</v>
      </c>
      <c r="I2953" t="s">
        <v>2479</v>
      </c>
      <c r="J2953">
        <v>0</v>
      </c>
      <c r="K2953">
        <v>17</v>
      </c>
      <c r="L2953">
        <v>17</v>
      </c>
      <c r="Q2953">
        <v>0</v>
      </c>
      <c r="R2953">
        <v>0</v>
      </c>
      <c r="S2953">
        <v>17</v>
      </c>
      <c r="Y2953" t="s">
        <v>17645</v>
      </c>
      <c r="Z2953" t="s">
        <v>17646</v>
      </c>
      <c r="AA2953" t="s">
        <v>6628</v>
      </c>
      <c r="AB2953" t="s">
        <v>17647</v>
      </c>
      <c r="AC2953" t="s">
        <v>17648</v>
      </c>
      <c r="AD2953" s="249" t="str">
        <f>HYPERLINK("https://scontent.cdninstagram.com/t51.2885-15/e35/p320x320/21107915_113121429397903_4150759216371466240_n.jpg")</f>
        <v>https://scontent.cdninstagram.com/t51.2885-15/e35/p320x320/21107915_113121429397903_4150759216371466240_n.jpg</v>
      </c>
      <c r="AE2953" s="249" t="str">
        <f>HYPERLINK("https://scontent.cdninstagram.com/t51.2885-19/s150x150/1390268_1511173719191221_1580658604_a.jpg")</f>
        <v>https://scontent.cdninstagram.com/t51.2885-19/s150x150/1390268_1511173719191221_1580658604_a.jpg</v>
      </c>
    </row>
    <row r="2954" spans="1:31" ht="15" x14ac:dyDescent="0.25">
      <c r="A2954" t="s">
        <v>2474</v>
      </c>
      <c r="B2954" t="s">
        <v>17649</v>
      </c>
      <c r="C2954" s="221">
        <v>42973.51898148148</v>
      </c>
      <c r="D2954" t="s">
        <v>17650</v>
      </c>
      <c r="E2954" s="249" t="str">
        <f>HYPERLINK("https://www.instagram.com/p/BYQ4DUMFoHH/")</f>
        <v>https://www.instagram.com/p/BYQ4DUMFoHH/</v>
      </c>
      <c r="F2954" t="s">
        <v>17651</v>
      </c>
      <c r="G2954" t="s">
        <v>2478</v>
      </c>
      <c r="I2954" t="s">
        <v>2542</v>
      </c>
      <c r="J2954">
        <v>4</v>
      </c>
      <c r="K2954">
        <v>40</v>
      </c>
      <c r="L2954">
        <v>44</v>
      </c>
      <c r="Q2954">
        <v>0</v>
      </c>
      <c r="R2954">
        <v>0</v>
      </c>
      <c r="S2954">
        <v>44</v>
      </c>
      <c r="Y2954" t="s">
        <v>2626</v>
      </c>
      <c r="Z2954" t="s">
        <v>17652</v>
      </c>
      <c r="AA2954" t="s">
        <v>17653</v>
      </c>
      <c r="AB2954" t="s">
        <v>17654</v>
      </c>
      <c r="AC2954" t="s">
        <v>17655</v>
      </c>
      <c r="AD2954" s="249" t="str">
        <f>HYPERLINK("https://scontent.cdninstagram.com/t51.2885-15/s320x320/e35/21041655_824128524421547_4363795388163948544_n.jpg")</f>
        <v>https://scontent.cdninstagram.com/t51.2885-15/s320x320/e35/21041655_824128524421547_4363795388163948544_n.jpg</v>
      </c>
      <c r="AE2954" s="249" t="str">
        <f>HYPERLINK("https://scontent.cdninstagram.com/t51.2885-19/s150x150/13745105_724814637685457_7328239286820536320_a.jpg")</f>
        <v>https://scontent.cdninstagram.com/t51.2885-19/s150x150/13745105_724814637685457_7328239286820536320_a.jpg</v>
      </c>
    </row>
    <row r="2955" spans="1:31" ht="15" x14ac:dyDescent="0.25">
      <c r="A2955" t="s">
        <v>2474</v>
      </c>
      <c r="B2955" t="s">
        <v>17656</v>
      </c>
      <c r="C2955" s="221">
        <v>42973.535590277781</v>
      </c>
      <c r="D2955" t="s">
        <v>17657</v>
      </c>
      <c r="E2955" s="249" t="str">
        <f>HYPERLINK("https://www.instagram.com/p/BYQ6yezB8dy/")</f>
        <v>https://www.instagram.com/p/BYQ6yezB8dy/</v>
      </c>
      <c r="F2955" t="s">
        <v>17658</v>
      </c>
      <c r="G2955" t="s">
        <v>2478</v>
      </c>
      <c r="H2955">
        <v>233</v>
      </c>
      <c r="I2955" t="s">
        <v>2510</v>
      </c>
      <c r="J2955">
        <v>0</v>
      </c>
      <c r="K2955">
        <v>54</v>
      </c>
      <c r="L2955">
        <v>54</v>
      </c>
      <c r="Q2955">
        <v>0</v>
      </c>
      <c r="R2955">
        <v>0</v>
      </c>
      <c r="S2955">
        <v>54</v>
      </c>
      <c r="Y2955" t="s">
        <v>17659</v>
      </c>
      <c r="Z2955" t="s">
        <v>2497</v>
      </c>
      <c r="AA2955" t="s">
        <v>17660</v>
      </c>
      <c r="AB2955" t="s">
        <v>4331</v>
      </c>
      <c r="AC2955" t="s">
        <v>17661</v>
      </c>
      <c r="AD2955" s="249" t="str">
        <f>HYPERLINK("https://scontent.cdninstagram.com/t51.2885-15/s320x320/e35/21147661_123037138347527_1865172153394003968_n.jpg")</f>
        <v>https://scontent.cdninstagram.com/t51.2885-15/s320x320/e35/21147661_123037138347527_1865172153394003968_n.jpg</v>
      </c>
      <c r="AE2955" s="249" t="str">
        <f>HYPERLINK("https://scontent.cdninstagram.com/t51.2885-19/s150x150/20394171_842344365922910_5953611480199856128_a.jpg")</f>
        <v>https://scontent.cdninstagram.com/t51.2885-19/s150x150/20394171_842344365922910_5953611480199856128_a.jpg</v>
      </c>
    </row>
    <row r="2956" spans="1:31" ht="15" x14ac:dyDescent="0.25">
      <c r="A2956" t="s">
        <v>2474</v>
      </c>
      <c r="B2956" t="s">
        <v>3015</v>
      </c>
      <c r="C2956" s="221">
        <v>42973.539456018516</v>
      </c>
      <c r="D2956" t="s">
        <v>17662</v>
      </c>
      <c r="E2956" s="249" t="str">
        <f>HYPERLINK("https://www.instagram.com/p/BYQ7bOJAmr9/")</f>
        <v>https://www.instagram.com/p/BYQ7bOJAmr9/</v>
      </c>
      <c r="F2956" t="s">
        <v>17663</v>
      </c>
      <c r="G2956" t="s">
        <v>2478</v>
      </c>
      <c r="H2956">
        <v>247</v>
      </c>
      <c r="I2956" t="s">
        <v>2479</v>
      </c>
      <c r="J2956">
        <v>4</v>
      </c>
      <c r="K2956">
        <v>41</v>
      </c>
      <c r="L2956">
        <v>45</v>
      </c>
      <c r="Q2956">
        <v>0</v>
      </c>
      <c r="R2956">
        <v>0</v>
      </c>
      <c r="S2956">
        <v>45</v>
      </c>
      <c r="Y2956" t="s">
        <v>10032</v>
      </c>
      <c r="Z2956" t="s">
        <v>3855</v>
      </c>
      <c r="AA2956" t="s">
        <v>2492</v>
      </c>
      <c r="AB2956" t="s">
        <v>3019</v>
      </c>
      <c r="AC2956" t="s">
        <v>3726</v>
      </c>
      <c r="AD2956" s="249" t="str">
        <f>HYPERLINK("https://scontent.cdninstagram.com/t51.2885-15/s320x320/e35/21041285_276832109466472_2829207756601294848_n.jpg")</f>
        <v>https://scontent.cdninstagram.com/t51.2885-15/s320x320/e35/21041285_276832109466472_2829207756601294848_n.jpg</v>
      </c>
      <c r="AE2956" s="249" t="str">
        <f>HYPERLINK("https://scontent.cdninstagram.com/t51.2885-19/s150x150/19761452_1876060406050696_4275948751316582400_a.jpg")</f>
        <v>https://scontent.cdninstagram.com/t51.2885-19/s150x150/19761452_1876060406050696_4275948751316582400_a.jpg</v>
      </c>
    </row>
    <row r="2957" spans="1:31" ht="15" x14ac:dyDescent="0.25">
      <c r="A2957" t="s">
        <v>2474</v>
      </c>
      <c r="B2957" t="s">
        <v>3754</v>
      </c>
      <c r="C2957" s="221">
        <v>42973.54109953704</v>
      </c>
      <c r="D2957" t="s">
        <v>17664</v>
      </c>
      <c r="E2957" s="249" t="str">
        <f>HYPERLINK("https://www.instagram.com/p/BYQ7sjlj8XJ/")</f>
        <v>https://www.instagram.com/p/BYQ7sjlj8XJ/</v>
      </c>
      <c r="F2957" t="s">
        <v>17665</v>
      </c>
      <c r="G2957" t="s">
        <v>2478</v>
      </c>
      <c r="H2957">
        <v>201477</v>
      </c>
      <c r="I2957" t="s">
        <v>2479</v>
      </c>
      <c r="J2957">
        <v>0</v>
      </c>
      <c r="K2957">
        <v>60</v>
      </c>
      <c r="L2957">
        <v>60</v>
      </c>
      <c r="Q2957">
        <v>0</v>
      </c>
      <c r="R2957">
        <v>0</v>
      </c>
      <c r="S2957">
        <v>60</v>
      </c>
      <c r="Y2957" t="s">
        <v>8654</v>
      </c>
      <c r="Z2957" t="s">
        <v>6790</v>
      </c>
      <c r="AA2957" t="s">
        <v>6789</v>
      </c>
      <c r="AB2957" t="s">
        <v>4231</v>
      </c>
      <c r="AC2957" t="s">
        <v>13341</v>
      </c>
      <c r="AD2957" s="249" t="str">
        <f>HYPERLINK("https://scontent.cdninstagram.com/t51.2885-15/s320x320/e35/21042321_276908316158703_5221092597275033600_n.jpg")</f>
        <v>https://scontent.cdninstagram.com/t51.2885-15/s320x320/e35/21042321_276908316158703_5221092597275033600_n.jpg</v>
      </c>
      <c r="AE2957" s="249" t="str">
        <f>HYPERLINK("https://scontent.cdninstagram.com/t51.2885-19/s150x150/12905002_1681254462136092_1137392787_a.jpg")</f>
        <v>https://scontent.cdninstagram.com/t51.2885-19/s150x150/12905002_1681254462136092_1137392787_a.jpg</v>
      </c>
    </row>
    <row r="2958" spans="1:31" ht="15" x14ac:dyDescent="0.25">
      <c r="A2958" t="s">
        <v>2474</v>
      </c>
      <c r="B2958" t="s">
        <v>3754</v>
      </c>
      <c r="C2958" s="221">
        <v>42973.541400462964</v>
      </c>
      <c r="D2958" t="s">
        <v>17666</v>
      </c>
      <c r="E2958" s="249" t="str">
        <f>HYPERLINK("https://www.instagram.com/p/BYQ7vsiDC1Q/")</f>
        <v>https://www.instagram.com/p/BYQ7vsiDC1Q/</v>
      </c>
      <c r="F2958" t="s">
        <v>17667</v>
      </c>
      <c r="G2958" t="s">
        <v>2478</v>
      </c>
      <c r="H2958">
        <v>201477</v>
      </c>
      <c r="I2958" t="s">
        <v>2479</v>
      </c>
      <c r="J2958">
        <v>5</v>
      </c>
      <c r="K2958">
        <v>192</v>
      </c>
      <c r="L2958">
        <v>197</v>
      </c>
      <c r="Q2958">
        <v>0</v>
      </c>
      <c r="R2958">
        <v>0</v>
      </c>
      <c r="S2958">
        <v>197</v>
      </c>
      <c r="Y2958" t="s">
        <v>5197</v>
      </c>
      <c r="Z2958" t="s">
        <v>3758</v>
      </c>
      <c r="AA2958" t="s">
        <v>8654</v>
      </c>
      <c r="AB2958" t="s">
        <v>17668</v>
      </c>
      <c r="AC2958" t="s">
        <v>13341</v>
      </c>
      <c r="AD2958" s="249" t="str">
        <f>HYPERLINK("https://scontent.cdninstagram.com/t51.2885-15/e35/p320x320/21147201_281856082299203_5257026737509761024_n.jpg")</f>
        <v>https://scontent.cdninstagram.com/t51.2885-15/e35/p320x320/21147201_281856082299203_5257026737509761024_n.jpg</v>
      </c>
      <c r="AE2958" s="249" t="str">
        <f>HYPERLINK("https://scontent.cdninstagram.com/t51.2885-19/s150x150/12905002_1681254462136092_1137392787_a.jpg")</f>
        <v>https://scontent.cdninstagram.com/t51.2885-19/s150x150/12905002_1681254462136092_1137392787_a.jpg</v>
      </c>
    </row>
    <row r="2959" spans="1:31" ht="15" x14ac:dyDescent="0.25">
      <c r="A2959" t="s">
        <v>2474</v>
      </c>
      <c r="B2959" t="s">
        <v>16052</v>
      </c>
      <c r="C2959" s="221">
        <v>42973.544328703705</v>
      </c>
      <c r="D2959" t="s">
        <v>17669</v>
      </c>
      <c r="E2959" s="249" t="str">
        <f>HYPERLINK("https://www.instagram.com/p/BYQ8OlVnR93/")</f>
        <v>https://www.instagram.com/p/BYQ8OlVnR93/</v>
      </c>
      <c r="F2959" t="s">
        <v>17670</v>
      </c>
      <c r="G2959" t="s">
        <v>2478</v>
      </c>
      <c r="H2959">
        <v>468</v>
      </c>
      <c r="I2959" t="s">
        <v>2542</v>
      </c>
      <c r="J2959">
        <v>0</v>
      </c>
      <c r="K2959">
        <v>63</v>
      </c>
      <c r="L2959">
        <v>63</v>
      </c>
      <c r="Q2959">
        <v>0</v>
      </c>
      <c r="R2959">
        <v>0</v>
      </c>
      <c r="S2959">
        <v>63</v>
      </c>
      <c r="Y2959" t="s">
        <v>17671</v>
      </c>
      <c r="Z2959" t="s">
        <v>5077</v>
      </c>
      <c r="AA2959" t="s">
        <v>2497</v>
      </c>
      <c r="AB2959" t="s">
        <v>3936</v>
      </c>
      <c r="AD2959" s="249" t="str">
        <f>HYPERLINK("https://scontent.cdninstagram.com/t51.2885-15/s320x320/e35/21041966_1946183589000871_7239171169864122368_n.jpg")</f>
        <v>https://scontent.cdninstagram.com/t51.2885-15/s320x320/e35/21041966_1946183589000871_7239171169864122368_n.jpg</v>
      </c>
      <c r="AE2959" s="249" t="str">
        <f>HYPERLINK("https://scontent.cdninstagram.com/t51.2885-19/s150x150/19955094_125584228049171_4009620268833046528_a.jpg")</f>
        <v>https://scontent.cdninstagram.com/t51.2885-19/s150x150/19955094_125584228049171_4009620268833046528_a.jpg</v>
      </c>
    </row>
    <row r="2960" spans="1:31" ht="15" x14ac:dyDescent="0.25">
      <c r="A2960" t="s">
        <v>2474</v>
      </c>
      <c r="B2960" t="s">
        <v>17672</v>
      </c>
      <c r="C2960" s="221">
        <v>42973.547673611109</v>
      </c>
      <c r="D2960" t="s">
        <v>17673</v>
      </c>
      <c r="E2960" s="249" t="str">
        <f>HYPERLINK("https://www.instagram.com/p/BYQ8x1bntHU/")</f>
        <v>https://www.instagram.com/p/BYQ8x1bntHU/</v>
      </c>
      <c r="F2960" t="s">
        <v>17674</v>
      </c>
      <c r="G2960" t="s">
        <v>2478</v>
      </c>
      <c r="H2960">
        <v>625</v>
      </c>
      <c r="I2960" t="s">
        <v>2479</v>
      </c>
      <c r="J2960">
        <v>0</v>
      </c>
      <c r="K2960">
        <v>36</v>
      </c>
      <c r="L2960">
        <v>36</v>
      </c>
      <c r="Q2960">
        <v>0</v>
      </c>
      <c r="R2960">
        <v>0</v>
      </c>
      <c r="S2960">
        <v>36</v>
      </c>
      <c r="Y2960" t="s">
        <v>17675</v>
      </c>
      <c r="Z2960" t="s">
        <v>17676</v>
      </c>
      <c r="AA2960" t="s">
        <v>17677</v>
      </c>
      <c r="AB2960" t="s">
        <v>17678</v>
      </c>
      <c r="AC2960" t="s">
        <v>7069</v>
      </c>
      <c r="AD2960" s="249" t="str">
        <f>HYPERLINK("https://scontent.cdninstagram.com/t51.2885-15/e35/p320x320/21041079_203243040213055_7872768825588973568_n.jpg")</f>
        <v>https://scontent.cdninstagram.com/t51.2885-15/e35/p320x320/21041079_203243040213055_7872768825588973568_n.jpg</v>
      </c>
      <c r="AE2960" s="249" t="str">
        <f>HYPERLINK("https://scontent.cdninstagram.com/t51.2885-19/s150x150/18011803_228639367615927_5689453377834975232_n.jpg")</f>
        <v>https://scontent.cdninstagram.com/t51.2885-19/s150x150/18011803_228639367615927_5689453377834975232_n.jpg</v>
      </c>
    </row>
    <row r="2961" spans="1:31" ht="15" x14ac:dyDescent="0.25">
      <c r="A2961" t="s">
        <v>2474</v>
      </c>
      <c r="B2961" t="s">
        <v>17679</v>
      </c>
      <c r="C2961" s="221">
        <v>42973.550659722219</v>
      </c>
      <c r="D2961" t="s">
        <v>17680</v>
      </c>
      <c r="E2961" s="249" t="str">
        <f>HYPERLINK("https://www.instagram.com/p/BYQ9RYsjQ_t/")</f>
        <v>https://www.instagram.com/p/BYQ9RYsjQ_t/</v>
      </c>
      <c r="F2961" t="s">
        <v>17681</v>
      </c>
      <c r="G2961" t="s">
        <v>2478</v>
      </c>
      <c r="H2961">
        <v>575</v>
      </c>
      <c r="I2961" t="s">
        <v>3170</v>
      </c>
      <c r="J2961">
        <v>0</v>
      </c>
      <c r="K2961">
        <v>23</v>
      </c>
      <c r="L2961">
        <v>23</v>
      </c>
      <c r="Q2961">
        <v>0</v>
      </c>
      <c r="R2961">
        <v>0</v>
      </c>
      <c r="S2961">
        <v>23</v>
      </c>
      <c r="Y2961" t="s">
        <v>3446</v>
      </c>
      <c r="Z2961" t="s">
        <v>17682</v>
      </c>
      <c r="AA2961" t="s">
        <v>3829</v>
      </c>
      <c r="AB2961" t="s">
        <v>8889</v>
      </c>
      <c r="AC2961" t="s">
        <v>17683</v>
      </c>
      <c r="AD2961" s="249" t="str">
        <f>HYPERLINK("https://scontent.cdninstagram.com/t51.2885-15/s320x320/e35/21041858_1646483918715351_466607519075139584_n.jpg")</f>
        <v>https://scontent.cdninstagram.com/t51.2885-15/s320x320/e35/21041858_1646483918715351_466607519075139584_n.jpg</v>
      </c>
      <c r="AE2961" s="249" t="str">
        <f>HYPERLINK("https://scontent.cdninstagram.com/t51.2885-19/s150x150/15538460_223543714753273_5457604317278109696_a.jpg")</f>
        <v>https://scontent.cdninstagram.com/t51.2885-19/s150x150/15538460_223543714753273_5457604317278109696_a.jpg</v>
      </c>
    </row>
    <row r="2962" spans="1:31" ht="15" x14ac:dyDescent="0.25">
      <c r="A2962" t="s">
        <v>2474</v>
      </c>
      <c r="B2962" t="s">
        <v>17684</v>
      </c>
      <c r="C2962" s="221">
        <v>42973.55363425926</v>
      </c>
      <c r="D2962" t="s">
        <v>17685</v>
      </c>
      <c r="E2962" s="249" t="str">
        <f>HYPERLINK("https://www.instagram.com/p/BYQ9wySAIl7/")</f>
        <v>https://www.instagram.com/p/BYQ9wySAIl7/</v>
      </c>
      <c r="F2962" t="s">
        <v>17686</v>
      </c>
      <c r="G2962" t="s">
        <v>2478</v>
      </c>
      <c r="H2962">
        <v>539</v>
      </c>
      <c r="I2962" t="s">
        <v>2479</v>
      </c>
      <c r="J2962">
        <v>0</v>
      </c>
      <c r="K2962">
        <v>47</v>
      </c>
      <c r="L2962">
        <v>47</v>
      </c>
      <c r="Q2962">
        <v>0</v>
      </c>
      <c r="R2962">
        <v>0</v>
      </c>
      <c r="S2962">
        <v>47</v>
      </c>
      <c r="Y2962" t="s">
        <v>3061</v>
      </c>
      <c r="Z2962" t="s">
        <v>4271</v>
      </c>
      <c r="AA2962" t="s">
        <v>2497</v>
      </c>
      <c r="AD2962" s="249" t="str">
        <f>HYPERLINK("https://scontent.cdninstagram.com/t51.2885-15/s320x320/e35/21041490_1992706444299224_989051532848660480_n.jpg")</f>
        <v>https://scontent.cdninstagram.com/t51.2885-15/s320x320/e35/21041490_1992706444299224_989051532848660480_n.jpg</v>
      </c>
      <c r="AE2962" s="249" t="str">
        <f>HYPERLINK("https://scontent.cdninstagram.com/t51.2885-19/11371043_1617216278556561_1617870329_a.jpg")</f>
        <v>https://scontent.cdninstagram.com/t51.2885-19/11371043_1617216278556561_1617870329_a.jpg</v>
      </c>
    </row>
    <row r="2963" spans="1:31" ht="15" x14ac:dyDescent="0.25">
      <c r="A2963" t="s">
        <v>2474</v>
      </c>
      <c r="B2963" t="s">
        <v>17687</v>
      </c>
      <c r="C2963" s="221">
        <v>42973.562071759261</v>
      </c>
      <c r="D2963" t="s">
        <v>17688</v>
      </c>
      <c r="E2963" s="249" t="str">
        <f>HYPERLINK("https://www.instagram.com/p/BYQ_Jvrlbhi/")</f>
        <v>https://www.instagram.com/p/BYQ_Jvrlbhi/</v>
      </c>
      <c r="F2963" t="s">
        <v>17689</v>
      </c>
      <c r="G2963" t="s">
        <v>2478</v>
      </c>
      <c r="H2963">
        <v>158</v>
      </c>
      <c r="I2963" t="s">
        <v>3273</v>
      </c>
      <c r="J2963">
        <v>2</v>
      </c>
      <c r="K2963">
        <v>21</v>
      </c>
      <c r="L2963">
        <v>23</v>
      </c>
      <c r="Q2963">
        <v>0</v>
      </c>
      <c r="R2963">
        <v>0</v>
      </c>
      <c r="S2963">
        <v>23</v>
      </c>
      <c r="Y2963" t="s">
        <v>17690</v>
      </c>
      <c r="Z2963" t="s">
        <v>17691</v>
      </c>
      <c r="AA2963" t="s">
        <v>2497</v>
      </c>
      <c r="AB2963" t="s">
        <v>2730</v>
      </c>
      <c r="AC2963" t="s">
        <v>2513</v>
      </c>
      <c r="AD2963" s="249" t="str">
        <f>HYPERLINK("https://scontent.cdninstagram.com/t51.2885-15/s320x320/e35/21042575_1938872246335737_1404633088100663296_n.jpg")</f>
        <v>https://scontent.cdninstagram.com/t51.2885-15/s320x320/e35/21042575_1938872246335737_1404633088100663296_n.jpg</v>
      </c>
      <c r="AE2963" s="249" t="str">
        <f>HYPERLINK("https://scontent.cdninstagram.com/t51.2885-19/11809968_1479667252333990_897781257_a.jpg")</f>
        <v>https://scontent.cdninstagram.com/t51.2885-19/11809968_1479667252333990_897781257_a.jpg</v>
      </c>
    </row>
    <row r="2964" spans="1:31" ht="15" x14ac:dyDescent="0.25">
      <c r="A2964" t="s">
        <v>2474</v>
      </c>
      <c r="B2964" t="s">
        <v>7421</v>
      </c>
      <c r="C2964" s="221">
        <v>42973.568645833337</v>
      </c>
      <c r="D2964" t="s">
        <v>17692</v>
      </c>
      <c r="E2964" s="249" t="str">
        <f>HYPERLINK("https://www.instagram.com/p/BYRAPCoDDh7/")</f>
        <v>https://www.instagram.com/p/BYRAPCoDDh7/</v>
      </c>
      <c r="F2964" t="s">
        <v>17693</v>
      </c>
      <c r="G2964" t="s">
        <v>2478</v>
      </c>
      <c r="H2964">
        <v>508</v>
      </c>
      <c r="I2964" t="s">
        <v>2479</v>
      </c>
      <c r="J2964">
        <v>5</v>
      </c>
      <c r="K2964">
        <v>78</v>
      </c>
      <c r="L2964">
        <v>83</v>
      </c>
      <c r="Q2964">
        <v>0</v>
      </c>
      <c r="R2964">
        <v>0</v>
      </c>
      <c r="S2964">
        <v>83</v>
      </c>
      <c r="T2964" t="s">
        <v>17694</v>
      </c>
      <c r="V2964" t="s">
        <v>2270</v>
      </c>
      <c r="W2964">
        <v>59.503383329999998</v>
      </c>
      <c r="X2964">
        <v>16.70548333</v>
      </c>
      <c r="AD2964" s="249" t="str">
        <f>HYPERLINK("https://scontent.cdninstagram.com/t51.2885-15/e35/p320x320/21147605_508796686124953_8208144370554109952_n.jpg")</f>
        <v>https://scontent.cdninstagram.com/t51.2885-15/e35/p320x320/21147605_508796686124953_8208144370554109952_n.jpg</v>
      </c>
      <c r="AE2964" s="249" t="str">
        <f>HYPERLINK("https://scontent.cdninstagram.com/t51.2885-19/s150x150/21149381_111820502847444_8601511457303035904_a.jpg")</f>
        <v>https://scontent.cdninstagram.com/t51.2885-19/s150x150/21149381_111820502847444_8601511457303035904_a.jpg</v>
      </c>
    </row>
    <row r="2965" spans="1:31" ht="15" x14ac:dyDescent="0.25">
      <c r="A2965" t="s">
        <v>2474</v>
      </c>
      <c r="B2965" t="s">
        <v>17695</v>
      </c>
      <c r="C2965" s="221">
        <v>42973.577025462961</v>
      </c>
      <c r="D2965" t="s">
        <v>17696</v>
      </c>
      <c r="E2965" s="249" t="str">
        <f>HYPERLINK("https://www.instagram.com/p/BYRBna0B8mG/")</f>
        <v>https://www.instagram.com/p/BYRBna0B8mG/</v>
      </c>
      <c r="F2965" t="s">
        <v>17697</v>
      </c>
      <c r="G2965" t="s">
        <v>2478</v>
      </c>
      <c r="H2965">
        <v>249</v>
      </c>
      <c r="I2965" t="s">
        <v>2479</v>
      </c>
      <c r="J2965">
        <v>0</v>
      </c>
      <c r="K2965">
        <v>23</v>
      </c>
      <c r="L2965">
        <v>23</v>
      </c>
      <c r="Q2965">
        <v>0</v>
      </c>
      <c r="R2965">
        <v>0</v>
      </c>
      <c r="S2965">
        <v>23</v>
      </c>
      <c r="Y2965" t="s">
        <v>11085</v>
      </c>
      <c r="Z2965" t="s">
        <v>17698</v>
      </c>
      <c r="AA2965" t="s">
        <v>2497</v>
      </c>
      <c r="AD2965" s="249" t="str">
        <f>HYPERLINK("https://scontent.cdninstagram.com/t51.2885-15/s320x320/e35/20968415_127911127846075_980548150437609472_n.jpg")</f>
        <v>https://scontent.cdninstagram.com/t51.2885-15/s320x320/e35/20968415_127911127846075_980548150437609472_n.jpg</v>
      </c>
      <c r="AE2965" s="249" t="str">
        <f>HYPERLINK("https://scontent.cdninstagram.com/t51.2885-19/11261389_607437399399062_1299848550_a.jpg")</f>
        <v>https://scontent.cdninstagram.com/t51.2885-19/11261389_607437399399062_1299848550_a.jpg</v>
      </c>
    </row>
    <row r="2966" spans="1:31" ht="15" x14ac:dyDescent="0.25">
      <c r="A2966" t="s">
        <v>2474</v>
      </c>
      <c r="B2966" t="s">
        <v>5225</v>
      </c>
      <c r="C2966" s="221">
        <v>42973.577581018515</v>
      </c>
      <c r="D2966" t="s">
        <v>17699</v>
      </c>
      <c r="E2966" s="249" t="str">
        <f>HYPERLINK("https://www.instagram.com/p/BYRBtSXgUrq/")</f>
        <v>https://www.instagram.com/p/BYRBtSXgUrq/</v>
      </c>
      <c r="F2966" t="s">
        <v>17700</v>
      </c>
      <c r="G2966" t="s">
        <v>2478</v>
      </c>
      <c r="H2966">
        <v>60</v>
      </c>
      <c r="I2966" t="s">
        <v>2479</v>
      </c>
      <c r="J2966">
        <v>1</v>
      </c>
      <c r="K2966">
        <v>32</v>
      </c>
      <c r="L2966">
        <v>33</v>
      </c>
      <c r="Q2966">
        <v>0</v>
      </c>
      <c r="R2966">
        <v>0</v>
      </c>
      <c r="S2966">
        <v>33</v>
      </c>
      <c r="T2966" t="s">
        <v>5228</v>
      </c>
      <c r="V2966" t="s">
        <v>2154</v>
      </c>
      <c r="W2966">
        <v>47.498634698221998</v>
      </c>
      <c r="X2966">
        <v>-0.50784128552246999</v>
      </c>
      <c r="Y2966" t="s">
        <v>11319</v>
      </c>
      <c r="Z2966" t="s">
        <v>5230</v>
      </c>
      <c r="AA2966" t="s">
        <v>17701</v>
      </c>
      <c r="AB2966" t="s">
        <v>3145</v>
      </c>
      <c r="AC2966" t="s">
        <v>2513</v>
      </c>
      <c r="AD2966" s="249" t="str">
        <f>HYPERLINK("https://scontent.cdninstagram.com/t51.2885-15/s320x320/e35/21107485_1809979269016736_8095195771575468032_n.jpg")</f>
        <v>https://scontent.cdninstagram.com/t51.2885-15/s320x320/e35/21107485_1809979269016736_8095195771575468032_n.jpg</v>
      </c>
      <c r="AE2966" s="249" t="str">
        <f>HYPERLINK("https://scontent.cdninstagram.com/t51.2885-19/s150x150/18949503_1122155304550657_4049188449616396288_a.jpg")</f>
        <v>https://scontent.cdninstagram.com/t51.2885-19/s150x150/18949503_1122155304550657_4049188449616396288_a.jpg</v>
      </c>
    </row>
    <row r="2967" spans="1:31" ht="15" x14ac:dyDescent="0.25">
      <c r="A2967" t="s">
        <v>2474</v>
      </c>
      <c r="B2967" t="s">
        <v>17702</v>
      </c>
      <c r="C2967" s="221">
        <v>42973.583935185183</v>
      </c>
      <c r="D2967" t="s">
        <v>17703</v>
      </c>
      <c r="E2967" s="249" t="str">
        <f>HYPERLINK("https://www.instagram.com/p/BYRCwTOB_Vq/")</f>
        <v>https://www.instagram.com/p/BYRCwTOB_Vq/</v>
      </c>
      <c r="F2967" t="s">
        <v>17704</v>
      </c>
      <c r="G2967" t="s">
        <v>2478</v>
      </c>
      <c r="H2967">
        <v>853</v>
      </c>
      <c r="I2967" t="s">
        <v>4052</v>
      </c>
      <c r="J2967">
        <v>1</v>
      </c>
      <c r="K2967">
        <v>34</v>
      </c>
      <c r="L2967">
        <v>35</v>
      </c>
      <c r="Q2967">
        <v>0</v>
      </c>
      <c r="R2967">
        <v>0</v>
      </c>
      <c r="S2967">
        <v>35</v>
      </c>
      <c r="T2967" t="s">
        <v>17705</v>
      </c>
      <c r="V2967" t="s">
        <v>2118</v>
      </c>
      <c r="W2967">
        <v>-30.02535</v>
      </c>
      <c r="X2967">
        <v>-51.190399900000003</v>
      </c>
      <c r="Y2967" t="s">
        <v>17706</v>
      </c>
      <c r="Z2967" t="s">
        <v>2497</v>
      </c>
      <c r="AA2967" t="s">
        <v>2861</v>
      </c>
      <c r="AB2967" t="s">
        <v>2968</v>
      </c>
      <c r="AC2967" t="s">
        <v>2730</v>
      </c>
      <c r="AD2967" s="249" t="str">
        <f>HYPERLINK("https://scontent.cdninstagram.com/t51.2885-15/s320x320/e35/21107186_172188243351289_5279485379198582784_n.jpg")</f>
        <v>https://scontent.cdninstagram.com/t51.2885-15/s320x320/e35/21107186_172188243351289_5279485379198582784_n.jpg</v>
      </c>
      <c r="AE2967" s="249" t="str">
        <f>HYPERLINK("https://scontent.cdninstagram.com/t51.2885-19/s150x150/20687357_1837373879925390_1003300816997580800_a.jpg")</f>
        <v>https://scontent.cdninstagram.com/t51.2885-19/s150x150/20687357_1837373879925390_1003300816997580800_a.jpg</v>
      </c>
    </row>
    <row r="2968" spans="1:31" ht="15" x14ac:dyDescent="0.25">
      <c r="A2968" t="s">
        <v>2474</v>
      </c>
      <c r="B2968" t="s">
        <v>17158</v>
      </c>
      <c r="C2968" s="221">
        <v>42973.595231481479</v>
      </c>
      <c r="D2968" t="s">
        <v>17707</v>
      </c>
      <c r="E2968" s="249" t="str">
        <f>HYPERLINK("https://www.instagram.com/p/BYREng6ngwk/")</f>
        <v>https://www.instagram.com/p/BYREng6ngwk/</v>
      </c>
      <c r="F2968" t="s">
        <v>17708</v>
      </c>
      <c r="G2968" t="s">
        <v>2478</v>
      </c>
      <c r="H2968">
        <v>367</v>
      </c>
      <c r="I2968" t="s">
        <v>2479</v>
      </c>
      <c r="J2968">
        <v>2</v>
      </c>
      <c r="K2968">
        <v>38</v>
      </c>
      <c r="L2968">
        <v>40</v>
      </c>
      <c r="Q2968">
        <v>0</v>
      </c>
      <c r="R2968">
        <v>0</v>
      </c>
      <c r="S2968">
        <v>40</v>
      </c>
      <c r="Y2968" t="s">
        <v>3962</v>
      </c>
      <c r="Z2968" t="s">
        <v>3534</v>
      </c>
      <c r="AA2968" t="s">
        <v>14313</v>
      </c>
      <c r="AB2968" t="s">
        <v>17709</v>
      </c>
      <c r="AC2968" t="s">
        <v>2837</v>
      </c>
      <c r="AD2968" s="249" t="str">
        <f>HYPERLINK("https://scontent.cdninstagram.com/t51.2885-15/s320x320/e35/21042173_212663809266714_2966123699020759040_n.jpg")</f>
        <v>https://scontent.cdninstagram.com/t51.2885-15/s320x320/e35/21042173_212663809266714_2966123699020759040_n.jpg</v>
      </c>
      <c r="AE2968" s="249" t="str">
        <f>HYPERLINK("https://scontent.cdninstagram.com/t51.2885-19/s150x150/13658639_315931348749567_46952542_a.jpg")</f>
        <v>https://scontent.cdninstagram.com/t51.2885-19/s150x150/13658639_315931348749567_46952542_a.jpg</v>
      </c>
    </row>
    <row r="2969" spans="1:31" ht="15" x14ac:dyDescent="0.25">
      <c r="A2969" t="s">
        <v>2474</v>
      </c>
      <c r="B2969" t="s">
        <v>5225</v>
      </c>
      <c r="C2969" s="221">
        <v>42973.603715277779</v>
      </c>
      <c r="D2969" t="s">
        <v>17710</v>
      </c>
      <c r="E2969" s="249" t="str">
        <f>HYPERLINK("https://www.instagram.com/p/BYRGA8HgtCp/")</f>
        <v>https://www.instagram.com/p/BYRGA8HgtCp/</v>
      </c>
      <c r="F2969" t="s">
        <v>17711</v>
      </c>
      <c r="G2969" t="s">
        <v>2478</v>
      </c>
      <c r="H2969">
        <v>60</v>
      </c>
      <c r="I2969" t="s">
        <v>2479</v>
      </c>
      <c r="J2969">
        <v>0</v>
      </c>
      <c r="K2969">
        <v>30</v>
      </c>
      <c r="L2969">
        <v>30</v>
      </c>
      <c r="Q2969">
        <v>0</v>
      </c>
      <c r="R2969">
        <v>0</v>
      </c>
      <c r="S2969">
        <v>30</v>
      </c>
      <c r="T2969" t="s">
        <v>5228</v>
      </c>
      <c r="V2969" t="s">
        <v>2154</v>
      </c>
      <c r="W2969">
        <v>47.498634698221998</v>
      </c>
      <c r="X2969">
        <v>-0.50784128552246999</v>
      </c>
      <c r="Y2969" t="s">
        <v>11319</v>
      </c>
      <c r="Z2969" t="s">
        <v>5230</v>
      </c>
      <c r="AA2969" t="s">
        <v>17701</v>
      </c>
      <c r="AB2969" t="s">
        <v>3145</v>
      </c>
      <c r="AC2969" t="s">
        <v>2513</v>
      </c>
      <c r="AD2969" s="249" t="str">
        <f>HYPERLINK("https://scontent.cdninstagram.com/t51.2885-15/s320x320/e35/21148974_742398002610277_3149700294992986112_n.jpg")</f>
        <v>https://scontent.cdninstagram.com/t51.2885-15/s320x320/e35/21148974_742398002610277_3149700294992986112_n.jpg</v>
      </c>
      <c r="AE2969" s="249" t="str">
        <f>HYPERLINK("https://scontent.cdninstagram.com/t51.2885-19/s150x150/18949503_1122155304550657_4049188449616396288_a.jpg")</f>
        <v>https://scontent.cdninstagram.com/t51.2885-19/s150x150/18949503_1122155304550657_4049188449616396288_a.jpg</v>
      </c>
    </row>
    <row r="2970" spans="1:31" ht="15" x14ac:dyDescent="0.25">
      <c r="A2970" t="s">
        <v>2474</v>
      </c>
      <c r="B2970" t="s">
        <v>14767</v>
      </c>
      <c r="C2970" s="221">
        <v>42973.60392361111</v>
      </c>
      <c r="D2970" t="s">
        <v>17712</v>
      </c>
      <c r="E2970" s="249" t="str">
        <f>HYPERLINK("https://www.instagram.com/p/BYRGDI-lWWX/")</f>
        <v>https://www.instagram.com/p/BYRGDI-lWWX/</v>
      </c>
      <c r="F2970" t="s">
        <v>17713</v>
      </c>
      <c r="G2970" t="s">
        <v>2488</v>
      </c>
      <c r="H2970">
        <v>475</v>
      </c>
      <c r="I2970" t="s">
        <v>2479</v>
      </c>
      <c r="J2970">
        <v>1</v>
      </c>
      <c r="K2970">
        <v>58</v>
      </c>
      <c r="L2970">
        <v>59</v>
      </c>
      <c r="Q2970">
        <v>0</v>
      </c>
      <c r="R2970">
        <v>0</v>
      </c>
      <c r="S2970">
        <v>59</v>
      </c>
      <c r="Y2970" t="s">
        <v>17714</v>
      </c>
      <c r="Z2970" t="s">
        <v>14773</v>
      </c>
      <c r="AA2970" t="s">
        <v>17715</v>
      </c>
      <c r="AB2970" t="s">
        <v>3061</v>
      </c>
      <c r="AC2970" t="s">
        <v>17716</v>
      </c>
      <c r="AD2970" s="249" t="str">
        <f>HYPERLINK("https://scontent.cdninstagram.com/t51.2885-15/s320x320/e35/21107357_1860387084176298_1504046475603083264_n.jpg")</f>
        <v>https://scontent.cdninstagram.com/t51.2885-15/s320x320/e35/21107357_1860387084176298_1504046475603083264_n.jpg</v>
      </c>
      <c r="AE2970" s="249" t="str">
        <f>HYPERLINK("https://scontent.cdninstagram.com/t51.2885-19/s150x150/17266254_573931299481009_1727044970067525632_a.jpg")</f>
        <v>https://scontent.cdninstagram.com/t51.2885-19/s150x150/17266254_573931299481009_1727044970067525632_a.jpg</v>
      </c>
    </row>
    <row r="2971" spans="1:31" ht="15" x14ac:dyDescent="0.25">
      <c r="A2971" t="s">
        <v>2474</v>
      </c>
      <c r="B2971" t="s">
        <v>15206</v>
      </c>
      <c r="C2971" s="221">
        <v>42973.606446759259</v>
      </c>
      <c r="D2971" t="s">
        <v>17717</v>
      </c>
      <c r="E2971" s="249" t="str">
        <f>HYPERLINK("https://www.instagram.com/p/BYRGdwqlSOs/")</f>
        <v>https://www.instagram.com/p/BYRGdwqlSOs/</v>
      </c>
      <c r="F2971" t="s">
        <v>17718</v>
      </c>
      <c r="G2971" t="s">
        <v>2478</v>
      </c>
      <c r="H2971">
        <v>60958</v>
      </c>
      <c r="I2971" t="s">
        <v>2479</v>
      </c>
      <c r="J2971">
        <v>10</v>
      </c>
      <c r="K2971">
        <v>1358</v>
      </c>
      <c r="L2971">
        <v>1368</v>
      </c>
      <c r="Q2971">
        <v>0</v>
      </c>
      <c r="R2971">
        <v>0</v>
      </c>
      <c r="S2971">
        <v>1368</v>
      </c>
      <c r="AD2971" s="249" t="str">
        <f>HYPERLINK("https://scontent.cdninstagram.com/t51.2885-15/e35/p320x320/21107146_383178718763992_2558404313332318208_n.jpg")</f>
        <v>https://scontent.cdninstagram.com/t51.2885-15/e35/p320x320/21107146_383178718763992_2558404313332318208_n.jpg</v>
      </c>
      <c r="AE2971" s="249" t="str">
        <f>HYPERLINK("https://scontent.cdninstagram.com/t51.2885-19/17663530_1657274724581959_2295744149531394048_n.jpg")</f>
        <v>https://scontent.cdninstagram.com/t51.2885-19/17663530_1657274724581959_2295744149531394048_n.jpg</v>
      </c>
    </row>
    <row r="2972" spans="1:31" ht="15" x14ac:dyDescent="0.25">
      <c r="A2972" t="s">
        <v>2474</v>
      </c>
      <c r="B2972" t="s">
        <v>4535</v>
      </c>
      <c r="C2972" s="221">
        <v>42973.61204861111</v>
      </c>
      <c r="D2972" t="s">
        <v>17719</v>
      </c>
      <c r="E2972" s="249" t="str">
        <f>HYPERLINK("https://www.instagram.com/p/BYRHY1rlIKZ/")</f>
        <v>https://www.instagram.com/p/BYRHY1rlIKZ/</v>
      </c>
      <c r="F2972" t="s">
        <v>17720</v>
      </c>
      <c r="G2972" t="s">
        <v>2478</v>
      </c>
      <c r="H2972">
        <v>166</v>
      </c>
      <c r="I2972" t="s">
        <v>2479</v>
      </c>
      <c r="J2972">
        <v>0</v>
      </c>
      <c r="K2972">
        <v>22</v>
      </c>
      <c r="L2972">
        <v>22</v>
      </c>
      <c r="Q2972">
        <v>0</v>
      </c>
      <c r="R2972">
        <v>0</v>
      </c>
      <c r="S2972">
        <v>22</v>
      </c>
      <c r="Y2972" t="s">
        <v>10673</v>
      </c>
      <c r="Z2972" t="s">
        <v>4540</v>
      </c>
      <c r="AA2972" t="s">
        <v>4538</v>
      </c>
      <c r="AB2972" t="s">
        <v>12353</v>
      </c>
      <c r="AC2972" t="s">
        <v>12358</v>
      </c>
      <c r="AD2972" s="249" t="str">
        <f>HYPERLINK("https://scontent.cdninstagram.com/t51.2885-15/s320x320/e35/20987566_1700813310226356_2670199017807282176_n.jpg")</f>
        <v>https://scontent.cdninstagram.com/t51.2885-15/s320x320/e35/20987566_1700813310226356_2670199017807282176_n.jpg</v>
      </c>
      <c r="AE2972" s="249" t="str">
        <f>HYPERLINK("https://scontent.cdninstagram.com/t51.2885-19/s150x150/20399028_1624608414236560_533007696291430400_a.jpg")</f>
        <v>https://scontent.cdninstagram.com/t51.2885-19/s150x150/20399028_1624608414236560_533007696291430400_a.jpg</v>
      </c>
    </row>
    <row r="2973" spans="1:31" ht="15" x14ac:dyDescent="0.25">
      <c r="A2973" t="s">
        <v>2474</v>
      </c>
      <c r="B2973" t="s">
        <v>4535</v>
      </c>
      <c r="C2973" s="221">
        <v>42973.61314814815</v>
      </c>
      <c r="D2973" t="s">
        <v>17721</v>
      </c>
      <c r="E2973" s="249" t="str">
        <f>HYPERLINK("https://www.instagram.com/p/BYRHkcOFdNJ/")</f>
        <v>https://www.instagram.com/p/BYRHkcOFdNJ/</v>
      </c>
      <c r="F2973" t="s">
        <v>17722</v>
      </c>
      <c r="G2973" t="s">
        <v>2478</v>
      </c>
      <c r="H2973">
        <v>166</v>
      </c>
      <c r="I2973" t="s">
        <v>2479</v>
      </c>
      <c r="J2973">
        <v>1</v>
      </c>
      <c r="K2973">
        <v>27</v>
      </c>
      <c r="L2973">
        <v>28</v>
      </c>
      <c r="Q2973">
        <v>0</v>
      </c>
      <c r="R2973">
        <v>0</v>
      </c>
      <c r="S2973">
        <v>28</v>
      </c>
      <c r="Y2973" t="s">
        <v>10673</v>
      </c>
      <c r="Z2973" t="s">
        <v>4540</v>
      </c>
      <c r="AA2973" t="s">
        <v>4538</v>
      </c>
      <c r="AB2973" t="s">
        <v>12353</v>
      </c>
      <c r="AC2973" t="s">
        <v>12358</v>
      </c>
      <c r="AD2973" s="249" t="str">
        <f>HYPERLINK("https://scontent.cdninstagram.com/t51.2885-15/s320x320/e35/21041578_134999897117891_7118343822748155904_n.jpg")</f>
        <v>https://scontent.cdninstagram.com/t51.2885-15/s320x320/e35/21041578_134999897117891_7118343822748155904_n.jpg</v>
      </c>
      <c r="AE2973" s="249" t="str">
        <f>HYPERLINK("https://scontent.cdninstagram.com/t51.2885-19/s150x150/20399028_1624608414236560_533007696291430400_a.jpg")</f>
        <v>https://scontent.cdninstagram.com/t51.2885-19/s150x150/20399028_1624608414236560_533007696291430400_a.jpg</v>
      </c>
    </row>
    <row r="2974" spans="1:31" ht="15" x14ac:dyDescent="0.25">
      <c r="A2974" t="s">
        <v>2474</v>
      </c>
      <c r="B2974" t="s">
        <v>4535</v>
      </c>
      <c r="C2974" s="221">
        <v>42973.615381944444</v>
      </c>
      <c r="D2974" t="s">
        <v>17723</v>
      </c>
      <c r="E2974" s="249" t="str">
        <f>HYPERLINK("https://www.instagram.com/p/BYRH8B3lSoK/")</f>
        <v>https://www.instagram.com/p/BYRH8B3lSoK/</v>
      </c>
      <c r="F2974" t="s">
        <v>17724</v>
      </c>
      <c r="G2974" t="s">
        <v>2478</v>
      </c>
      <c r="H2974">
        <v>166</v>
      </c>
      <c r="I2974" t="s">
        <v>2479</v>
      </c>
      <c r="J2974">
        <v>1</v>
      </c>
      <c r="K2974">
        <v>25</v>
      </c>
      <c r="L2974">
        <v>26</v>
      </c>
      <c r="Q2974">
        <v>0</v>
      </c>
      <c r="R2974">
        <v>0</v>
      </c>
      <c r="S2974">
        <v>26</v>
      </c>
      <c r="Y2974" t="s">
        <v>4540</v>
      </c>
      <c r="Z2974" t="s">
        <v>8845</v>
      </c>
      <c r="AA2974" t="s">
        <v>12358</v>
      </c>
      <c r="AB2974" t="s">
        <v>5604</v>
      </c>
      <c r="AC2974" t="s">
        <v>4539</v>
      </c>
      <c r="AD2974" s="249" t="str">
        <f>HYPERLINK("https://scontent.cdninstagram.com/t51.2885-15/s320x320/e35/21041481_115580629173534_5283825267557531648_n.jpg")</f>
        <v>https://scontent.cdninstagram.com/t51.2885-15/s320x320/e35/21041481_115580629173534_5283825267557531648_n.jpg</v>
      </c>
      <c r="AE2974" s="249" t="str">
        <f>HYPERLINK("https://scontent.cdninstagram.com/t51.2885-19/s150x150/20399028_1624608414236560_533007696291430400_a.jpg")</f>
        <v>https://scontent.cdninstagram.com/t51.2885-19/s150x150/20399028_1624608414236560_533007696291430400_a.jpg</v>
      </c>
    </row>
    <row r="2975" spans="1:31" ht="15" x14ac:dyDescent="0.25">
      <c r="A2975" t="s">
        <v>2474</v>
      </c>
      <c r="B2975" t="s">
        <v>17725</v>
      </c>
      <c r="C2975" s="221">
        <v>42973.617986111109</v>
      </c>
      <c r="D2975" t="s">
        <v>17726</v>
      </c>
      <c r="E2975" s="249" t="str">
        <f>HYPERLINK("https://www.instagram.com/p/BYRIXfrgzBZ/")</f>
        <v>https://www.instagram.com/p/BYRIXfrgzBZ/</v>
      </c>
      <c r="F2975" t="s">
        <v>17727</v>
      </c>
      <c r="G2975" t="s">
        <v>2478</v>
      </c>
      <c r="H2975">
        <v>166</v>
      </c>
      <c r="I2975" t="s">
        <v>2748</v>
      </c>
      <c r="J2975">
        <v>4</v>
      </c>
      <c r="K2975">
        <v>35</v>
      </c>
      <c r="L2975">
        <v>39</v>
      </c>
      <c r="Q2975">
        <v>0</v>
      </c>
      <c r="R2975">
        <v>0</v>
      </c>
      <c r="S2975">
        <v>39</v>
      </c>
      <c r="Y2975" t="s">
        <v>9011</v>
      </c>
      <c r="Z2975" t="s">
        <v>17728</v>
      </c>
      <c r="AA2975" t="s">
        <v>17729</v>
      </c>
      <c r="AB2975" t="s">
        <v>17730</v>
      </c>
      <c r="AC2975" t="s">
        <v>4499</v>
      </c>
      <c r="AD2975" s="249" t="str">
        <f>HYPERLINK("https://scontent.cdninstagram.com/t51.2885-15/e35/p320x320/21147215_266147240564396_1158662175074549760_n.jpg")</f>
        <v>https://scontent.cdninstagram.com/t51.2885-15/e35/p320x320/21147215_266147240564396_1158662175074549760_n.jpg</v>
      </c>
      <c r="AE2975" s="249" t="str">
        <f>HYPERLINK("https://scontent.cdninstagram.com/t51.2885-19/s150x150/14099585_530509813805184_769774509_a.jpg")</f>
        <v>https://scontent.cdninstagram.com/t51.2885-19/s150x150/14099585_530509813805184_769774509_a.jpg</v>
      </c>
    </row>
    <row r="2976" spans="1:31" ht="15" x14ac:dyDescent="0.25">
      <c r="A2976" t="s">
        <v>2474</v>
      </c>
      <c r="B2976" t="s">
        <v>17731</v>
      </c>
      <c r="C2976" s="221">
        <v>42973.618391203701</v>
      </c>
      <c r="D2976" t="s">
        <v>17732</v>
      </c>
      <c r="E2976" s="249" t="str">
        <f>HYPERLINK("https://www.instagram.com/p/BYRIbqegehe/")</f>
        <v>https://www.instagram.com/p/BYRIbqegehe/</v>
      </c>
      <c r="F2976" t="s">
        <v>17733</v>
      </c>
      <c r="G2976" t="s">
        <v>2478</v>
      </c>
      <c r="H2976">
        <v>144</v>
      </c>
      <c r="I2976" t="s">
        <v>3273</v>
      </c>
      <c r="J2976">
        <v>1</v>
      </c>
      <c r="K2976">
        <v>14</v>
      </c>
      <c r="L2976">
        <v>15</v>
      </c>
      <c r="Q2976">
        <v>0</v>
      </c>
      <c r="R2976">
        <v>0</v>
      </c>
      <c r="S2976">
        <v>15</v>
      </c>
      <c r="T2976" t="s">
        <v>17734</v>
      </c>
      <c r="U2976" t="s">
        <v>142</v>
      </c>
      <c r="V2976" t="s">
        <v>2299</v>
      </c>
      <c r="W2976">
        <v>33.506013600000003</v>
      </c>
      <c r="X2976">
        <v>-112.07321775</v>
      </c>
      <c r="Y2976" t="s">
        <v>3446</v>
      </c>
      <c r="Z2976" t="s">
        <v>17735</v>
      </c>
      <c r="AA2976" t="s">
        <v>17736</v>
      </c>
      <c r="AB2976" t="s">
        <v>2497</v>
      </c>
      <c r="AC2976" t="s">
        <v>17737</v>
      </c>
      <c r="AD2976" s="249" t="str">
        <f>HYPERLINK("https://scontent.cdninstagram.com/t51.2885-15/s320x320/e35/10005428_127602111199733_367111569416388608_n.jpg")</f>
        <v>https://scontent.cdninstagram.com/t51.2885-15/s320x320/e35/10005428_127602111199733_367111569416388608_n.jpg</v>
      </c>
      <c r="AE2976" s="249" t="str">
        <f>HYPERLINK("https://scontent.cdninstagram.com/t51.2885-19/11186867_870084813082063_7337457_a.jpg")</f>
        <v>https://scontent.cdninstagram.com/t51.2885-19/11186867_870084813082063_7337457_a.jpg</v>
      </c>
    </row>
    <row r="2977" spans="1:31" ht="15" x14ac:dyDescent="0.25">
      <c r="A2977" t="s">
        <v>2474</v>
      </c>
      <c r="B2977" t="s">
        <v>17738</v>
      </c>
      <c r="C2977" s="221">
        <v>42973.641770833332</v>
      </c>
      <c r="D2977" t="s">
        <v>17739</v>
      </c>
      <c r="E2977" s="249" t="str">
        <f>HYPERLINK("https://www.instagram.com/p/BYRMSVthrGM/")</f>
        <v>https://www.instagram.com/p/BYRMSVthrGM/</v>
      </c>
      <c r="F2977" t="s">
        <v>17740</v>
      </c>
      <c r="G2977" t="s">
        <v>2478</v>
      </c>
      <c r="H2977">
        <v>69194</v>
      </c>
      <c r="I2977" t="s">
        <v>2479</v>
      </c>
      <c r="J2977">
        <v>0</v>
      </c>
      <c r="K2977">
        <v>20</v>
      </c>
      <c r="L2977">
        <v>20</v>
      </c>
      <c r="Q2977">
        <v>0</v>
      </c>
      <c r="R2977">
        <v>0</v>
      </c>
      <c r="S2977">
        <v>20</v>
      </c>
      <c r="Y2977" t="s">
        <v>5197</v>
      </c>
      <c r="Z2977" t="s">
        <v>3758</v>
      </c>
      <c r="AA2977" t="s">
        <v>8654</v>
      </c>
      <c r="AB2977" t="s">
        <v>17668</v>
      </c>
      <c r="AC2977" t="s">
        <v>13341</v>
      </c>
      <c r="AD2977" s="249" t="str">
        <f>HYPERLINK("https://scontent.cdninstagram.com/t51.2885-15/e35/p320x320/21041708_337582076711672_1575147992741052416_n.jpg")</f>
        <v>https://scontent.cdninstagram.com/t51.2885-15/e35/p320x320/21041708_337582076711672_1575147992741052416_n.jpg</v>
      </c>
      <c r="AE2977" s="249" t="str">
        <f>HYPERLINK("https://scontent.cdninstagram.com/t51.2885-19/s150x150/14701076_1598337030462226_7312252327623131136_a.jpg")</f>
        <v>https://scontent.cdninstagram.com/t51.2885-19/s150x150/14701076_1598337030462226_7312252327623131136_a.jpg</v>
      </c>
    </row>
    <row r="2978" spans="1:31" ht="15" x14ac:dyDescent="0.25">
      <c r="A2978" t="s">
        <v>2474</v>
      </c>
      <c r="B2978" t="s">
        <v>6479</v>
      </c>
      <c r="C2978" s="221">
        <v>42973.667372685188</v>
      </c>
      <c r="D2978" t="s">
        <v>17741</v>
      </c>
      <c r="E2978" s="249" t="str">
        <f>HYPERLINK("https://www.instagram.com/p/BYRQgXIlvPz/")</f>
        <v>https://www.instagram.com/p/BYRQgXIlvPz/</v>
      </c>
      <c r="F2978" t="s">
        <v>17742</v>
      </c>
      <c r="G2978" t="s">
        <v>2478</v>
      </c>
      <c r="H2978">
        <v>74280</v>
      </c>
      <c r="I2978" t="s">
        <v>2479</v>
      </c>
      <c r="J2978">
        <v>18</v>
      </c>
      <c r="K2978">
        <v>3284</v>
      </c>
      <c r="L2978">
        <v>3302</v>
      </c>
      <c r="Q2978">
        <v>0</v>
      </c>
      <c r="R2978">
        <v>0</v>
      </c>
      <c r="S2978">
        <v>3302</v>
      </c>
      <c r="T2978" t="s">
        <v>17743</v>
      </c>
      <c r="V2978" t="s">
        <v>2107</v>
      </c>
      <c r="W2978">
        <v>23.71321</v>
      </c>
      <c r="X2978">
        <v>90.399569999999997</v>
      </c>
      <c r="AD2978" s="249" t="str">
        <f>HYPERLINK("https://scontent.cdninstagram.com/t51.2885-15/s320x320/e35/21147866_113626846024931_8171328941684948992_n.jpg")</f>
        <v>https://scontent.cdninstagram.com/t51.2885-15/s320x320/e35/21147866_113626846024931_8171328941684948992_n.jpg</v>
      </c>
      <c r="AE2978" s="249" t="str">
        <f>HYPERLINK("https://scontent.cdninstagram.com/t51.2885-19/s150x150/17439144_1895752470643302_743998926780104704_n.jpg")</f>
        <v>https://scontent.cdninstagram.com/t51.2885-19/s150x150/17439144_1895752470643302_743998926780104704_n.jpg</v>
      </c>
    </row>
    <row r="2979" spans="1:31" ht="15" x14ac:dyDescent="0.25">
      <c r="A2979" t="s">
        <v>2474</v>
      </c>
      <c r="B2979" t="s">
        <v>4535</v>
      </c>
      <c r="C2979" s="221">
        <v>42973.669606481482</v>
      </c>
      <c r="D2979" t="s">
        <v>17744</v>
      </c>
      <c r="E2979" s="249" t="str">
        <f>HYPERLINK("https://www.instagram.com/p/BYRQ34JlBbu/")</f>
        <v>https://www.instagram.com/p/BYRQ34JlBbu/</v>
      </c>
      <c r="F2979" t="s">
        <v>17745</v>
      </c>
      <c r="G2979" t="s">
        <v>2478</v>
      </c>
      <c r="H2979">
        <v>168</v>
      </c>
      <c r="I2979" t="s">
        <v>2479</v>
      </c>
      <c r="J2979">
        <v>0</v>
      </c>
      <c r="K2979">
        <v>24</v>
      </c>
      <c r="L2979">
        <v>24</v>
      </c>
      <c r="Q2979">
        <v>0</v>
      </c>
      <c r="R2979">
        <v>0</v>
      </c>
      <c r="S2979">
        <v>24</v>
      </c>
      <c r="Y2979" t="s">
        <v>10673</v>
      </c>
      <c r="Z2979" t="s">
        <v>4540</v>
      </c>
      <c r="AA2979" t="s">
        <v>4538</v>
      </c>
      <c r="AB2979" t="s">
        <v>12353</v>
      </c>
      <c r="AC2979" t="s">
        <v>12358</v>
      </c>
      <c r="AD2979" s="249" t="str">
        <f>HYPERLINK("https://scontent.cdninstagram.com/t51.2885-15/s320x320/e35/21149242_1804254406501013_8980391640837390336_n.jpg")</f>
        <v>https://scontent.cdninstagram.com/t51.2885-15/s320x320/e35/21149242_1804254406501013_8980391640837390336_n.jpg</v>
      </c>
      <c r="AE2979" s="249" t="str">
        <f>HYPERLINK("https://scontent.cdninstagram.com/t51.2885-19/s150x150/20399028_1624608414236560_533007696291430400_a.jpg")</f>
        <v>https://scontent.cdninstagram.com/t51.2885-19/s150x150/20399028_1624608414236560_533007696291430400_a.jpg</v>
      </c>
    </row>
    <row r="2980" spans="1:31" ht="15" x14ac:dyDescent="0.25">
      <c r="A2980" t="s">
        <v>2474</v>
      </c>
      <c r="B2980" t="s">
        <v>4535</v>
      </c>
      <c r="C2980" s="221">
        <v>42973.675856481481</v>
      </c>
      <c r="D2980" t="s">
        <v>17746</v>
      </c>
      <c r="E2980" s="249" t="str">
        <f>HYPERLINK("https://www.instagram.com/p/BYRR51IFsxy/")</f>
        <v>https://www.instagram.com/p/BYRR51IFsxy/</v>
      </c>
      <c r="F2980" t="s">
        <v>17747</v>
      </c>
      <c r="G2980" t="s">
        <v>2478</v>
      </c>
      <c r="H2980">
        <v>168</v>
      </c>
      <c r="I2980" t="s">
        <v>2479</v>
      </c>
      <c r="J2980">
        <v>0</v>
      </c>
      <c r="K2980">
        <v>17</v>
      </c>
      <c r="L2980">
        <v>17</v>
      </c>
      <c r="Q2980">
        <v>0</v>
      </c>
      <c r="R2980">
        <v>0</v>
      </c>
      <c r="S2980">
        <v>17</v>
      </c>
      <c r="Y2980" t="s">
        <v>10673</v>
      </c>
      <c r="Z2980" t="s">
        <v>4540</v>
      </c>
      <c r="AA2980" t="s">
        <v>4538</v>
      </c>
      <c r="AB2980" t="s">
        <v>12353</v>
      </c>
      <c r="AC2980" t="s">
        <v>12358</v>
      </c>
      <c r="AD2980" s="249" t="str">
        <f>HYPERLINK("https://scontent.cdninstagram.com/t51.2885-15/e35/p320x320/21041763_326155391161146_9180269841016160256_n.jpg")</f>
        <v>https://scontent.cdninstagram.com/t51.2885-15/e35/p320x320/21041763_326155391161146_9180269841016160256_n.jpg</v>
      </c>
      <c r="AE2980" s="249" t="str">
        <f>HYPERLINK("https://scontent.cdninstagram.com/t51.2885-19/s150x150/20399028_1624608414236560_533007696291430400_a.jpg")</f>
        <v>https://scontent.cdninstagram.com/t51.2885-19/s150x150/20399028_1624608414236560_533007696291430400_a.jpg</v>
      </c>
    </row>
    <row r="2981" spans="1:31" ht="15" x14ac:dyDescent="0.25">
      <c r="A2981" t="s">
        <v>2474</v>
      </c>
      <c r="B2981" t="s">
        <v>4535</v>
      </c>
      <c r="C2981" s="221">
        <v>42973.676122685189</v>
      </c>
      <c r="D2981" t="s">
        <v>17748</v>
      </c>
      <c r="E2981" s="249" t="str">
        <f>HYPERLINK("https://www.instagram.com/p/BYRR8jbFRcp/")</f>
        <v>https://www.instagram.com/p/BYRR8jbFRcp/</v>
      </c>
      <c r="F2981" t="s">
        <v>17749</v>
      </c>
      <c r="G2981" t="s">
        <v>2478</v>
      </c>
      <c r="H2981">
        <v>168</v>
      </c>
      <c r="I2981" t="s">
        <v>2479</v>
      </c>
      <c r="J2981">
        <v>0</v>
      </c>
      <c r="K2981">
        <v>25</v>
      </c>
      <c r="L2981">
        <v>25</v>
      </c>
      <c r="Q2981">
        <v>0</v>
      </c>
      <c r="R2981">
        <v>0</v>
      </c>
      <c r="S2981">
        <v>25</v>
      </c>
      <c r="Y2981" t="s">
        <v>10673</v>
      </c>
      <c r="Z2981" t="s">
        <v>4540</v>
      </c>
      <c r="AA2981" t="s">
        <v>4538</v>
      </c>
      <c r="AB2981" t="s">
        <v>12353</v>
      </c>
      <c r="AC2981" t="s">
        <v>12358</v>
      </c>
      <c r="AD2981" s="249" t="str">
        <f>HYPERLINK("https://scontent.cdninstagram.com/t51.2885-15/s320x320/e35/21108034_113678249336590_2798325833641492480_n.jpg")</f>
        <v>https://scontent.cdninstagram.com/t51.2885-15/s320x320/e35/21108034_113678249336590_2798325833641492480_n.jpg</v>
      </c>
      <c r="AE2981" s="249" t="str">
        <f>HYPERLINK("https://scontent.cdninstagram.com/t51.2885-19/s150x150/20399028_1624608414236560_533007696291430400_a.jpg")</f>
        <v>https://scontent.cdninstagram.com/t51.2885-19/s150x150/20399028_1624608414236560_533007696291430400_a.jpg</v>
      </c>
    </row>
    <row r="2982" spans="1:31" ht="15" x14ac:dyDescent="0.25">
      <c r="A2982" t="s">
        <v>2474</v>
      </c>
      <c r="B2982" t="s">
        <v>4535</v>
      </c>
      <c r="C2982" s="221">
        <v>42973.676527777781</v>
      </c>
      <c r="D2982" t="s">
        <v>17750</v>
      </c>
      <c r="E2982" s="249" t="str">
        <f>HYPERLINK("https://www.instagram.com/p/BYRSA5Ql5-B/")</f>
        <v>https://www.instagram.com/p/BYRSA5Ql5-B/</v>
      </c>
      <c r="F2982" t="s">
        <v>17751</v>
      </c>
      <c r="G2982" t="s">
        <v>2478</v>
      </c>
      <c r="H2982">
        <v>168</v>
      </c>
      <c r="I2982" t="s">
        <v>2479</v>
      </c>
      <c r="J2982">
        <v>2</v>
      </c>
      <c r="K2982">
        <v>213</v>
      </c>
      <c r="L2982">
        <v>215</v>
      </c>
      <c r="Q2982">
        <v>0</v>
      </c>
      <c r="R2982">
        <v>0</v>
      </c>
      <c r="S2982">
        <v>215</v>
      </c>
      <c r="Y2982" t="s">
        <v>10673</v>
      </c>
      <c r="Z2982" t="s">
        <v>4540</v>
      </c>
      <c r="AA2982" t="s">
        <v>4538</v>
      </c>
      <c r="AB2982" t="s">
        <v>12353</v>
      </c>
      <c r="AC2982" t="s">
        <v>12358</v>
      </c>
      <c r="AD2982" s="249" t="str">
        <f>HYPERLINK("https://scontent.cdninstagram.com/t51.2885-15/s320x320/e35/21147755_914362752051148_5625460070226591744_n.jpg")</f>
        <v>https://scontent.cdninstagram.com/t51.2885-15/s320x320/e35/21147755_914362752051148_5625460070226591744_n.jpg</v>
      </c>
      <c r="AE2982" s="249" t="str">
        <f>HYPERLINK("https://scontent.cdninstagram.com/t51.2885-19/s150x150/20399028_1624608414236560_533007696291430400_a.jpg")</f>
        <v>https://scontent.cdninstagram.com/t51.2885-19/s150x150/20399028_1624608414236560_533007696291430400_a.jpg</v>
      </c>
    </row>
    <row r="2983" spans="1:31" ht="15" x14ac:dyDescent="0.25">
      <c r="A2983" t="s">
        <v>2474</v>
      </c>
      <c r="B2983" t="s">
        <v>17752</v>
      </c>
      <c r="C2983" s="221">
        <v>42973.680277777778</v>
      </c>
      <c r="D2983" t="s">
        <v>17753</v>
      </c>
      <c r="E2983" s="249" t="str">
        <f>HYPERLINK("https://www.instagram.com/p/BYRSoesBhGk/")</f>
        <v>https://www.instagram.com/p/BYRSoesBhGk/</v>
      </c>
      <c r="F2983" t="s">
        <v>17754</v>
      </c>
      <c r="G2983" t="s">
        <v>2478</v>
      </c>
      <c r="H2983">
        <v>5645</v>
      </c>
      <c r="I2983" t="s">
        <v>2479</v>
      </c>
      <c r="J2983">
        <v>0</v>
      </c>
      <c r="K2983">
        <v>20</v>
      </c>
      <c r="L2983">
        <v>20</v>
      </c>
      <c r="Q2983">
        <v>0</v>
      </c>
      <c r="R2983">
        <v>0</v>
      </c>
      <c r="S2983">
        <v>20</v>
      </c>
      <c r="Y2983" t="s">
        <v>17755</v>
      </c>
      <c r="Z2983" t="s">
        <v>17756</v>
      </c>
      <c r="AA2983" t="s">
        <v>17757</v>
      </c>
      <c r="AB2983" t="s">
        <v>2497</v>
      </c>
      <c r="AD2983" s="249" t="str">
        <f>HYPERLINK("https://scontent.cdninstagram.com/t51.2885-15/s320x320/e35/21108060_1714187425553740_5800808569716604928_n.jpg")</f>
        <v>https://scontent.cdninstagram.com/t51.2885-15/s320x320/e35/21108060_1714187425553740_5800808569716604928_n.jpg</v>
      </c>
      <c r="AE2983" s="249" t="str">
        <f>HYPERLINK("https://scontent.cdninstagram.com/t51.2885-19/s150x150/17882717_1742314416059558_8266580497287610368_a.jpg")</f>
        <v>https://scontent.cdninstagram.com/t51.2885-19/s150x150/17882717_1742314416059558_8266580497287610368_a.jpg</v>
      </c>
    </row>
    <row r="2984" spans="1:31" ht="15" x14ac:dyDescent="0.25">
      <c r="A2984" t="s">
        <v>2474</v>
      </c>
      <c r="B2984" t="s">
        <v>17338</v>
      </c>
      <c r="C2984" s="221">
        <v>42973.685682870368</v>
      </c>
      <c r="D2984" t="s">
        <v>17758</v>
      </c>
      <c r="E2984" s="249" t="str">
        <f>HYPERLINK("https://www.instagram.com/p/BYRThejBveQ/")</f>
        <v>https://www.instagram.com/p/BYRThejBveQ/</v>
      </c>
      <c r="F2984" t="s">
        <v>17759</v>
      </c>
      <c r="G2984" t="s">
        <v>2478</v>
      </c>
      <c r="H2984">
        <v>31</v>
      </c>
      <c r="I2984" t="s">
        <v>2479</v>
      </c>
      <c r="J2984">
        <v>2</v>
      </c>
      <c r="K2984">
        <v>30</v>
      </c>
      <c r="L2984">
        <v>32</v>
      </c>
      <c r="Q2984">
        <v>0</v>
      </c>
      <c r="R2984">
        <v>0</v>
      </c>
      <c r="S2984">
        <v>32</v>
      </c>
      <c r="Y2984" t="s">
        <v>7419</v>
      </c>
      <c r="Z2984" t="s">
        <v>13173</v>
      </c>
      <c r="AA2984" t="s">
        <v>17760</v>
      </c>
      <c r="AB2984" t="s">
        <v>5405</v>
      </c>
      <c r="AC2984" t="s">
        <v>17761</v>
      </c>
      <c r="AD2984" s="249" t="str">
        <f>HYPERLINK("https://scontent.cdninstagram.com/t51.2885-15/s320x320/e35/21042392_1899757970284011_3126849617279320064_n.jpg")</f>
        <v>https://scontent.cdninstagram.com/t51.2885-15/s320x320/e35/21042392_1899757970284011_3126849617279320064_n.jpg</v>
      </c>
      <c r="AE2984" s="249" t="str">
        <f>HYPERLINK("https://scontent.cdninstagram.com/t51.2885-19/s150x150/14310842_1719286561670342_6811069673275129856_a.jpg")</f>
        <v>https://scontent.cdninstagram.com/t51.2885-19/s150x150/14310842_1719286561670342_6811069673275129856_a.jpg</v>
      </c>
    </row>
    <row r="2985" spans="1:31" ht="15" x14ac:dyDescent="0.25">
      <c r="A2985" t="s">
        <v>2474</v>
      </c>
      <c r="B2985" t="s">
        <v>17762</v>
      </c>
      <c r="C2985" s="221">
        <v>42973.706770833334</v>
      </c>
      <c r="D2985" t="s">
        <v>17763</v>
      </c>
      <c r="E2985" s="249" t="str">
        <f>HYPERLINK("https://www.instagram.com/p/BYRW_3ihydU/")</f>
        <v>https://www.instagram.com/p/BYRW_3ihydU/</v>
      </c>
      <c r="F2985" t="s">
        <v>17764</v>
      </c>
      <c r="G2985" t="s">
        <v>2478</v>
      </c>
      <c r="H2985">
        <v>2260</v>
      </c>
      <c r="I2985" t="s">
        <v>3575</v>
      </c>
      <c r="J2985">
        <v>1</v>
      </c>
      <c r="K2985">
        <v>203</v>
      </c>
      <c r="L2985">
        <v>204</v>
      </c>
      <c r="Q2985">
        <v>0</v>
      </c>
      <c r="R2985">
        <v>0</v>
      </c>
      <c r="S2985">
        <v>204</v>
      </c>
      <c r="T2985" t="s">
        <v>17765</v>
      </c>
      <c r="V2985" t="s">
        <v>2161</v>
      </c>
      <c r="W2985">
        <v>49.313685200000002</v>
      </c>
      <c r="X2985">
        <v>6.7531832999999999</v>
      </c>
      <c r="Y2985" t="s">
        <v>17766</v>
      </c>
      <c r="Z2985" t="s">
        <v>17767</v>
      </c>
      <c r="AA2985" t="s">
        <v>17768</v>
      </c>
      <c r="AB2985" t="s">
        <v>2736</v>
      </c>
      <c r="AC2985" t="s">
        <v>17769</v>
      </c>
      <c r="AD2985" s="249" t="str">
        <f>HYPERLINK("https://scontent.cdninstagram.com/t51.2885-15/s320x320/e35/21108059_112063632818798_4211743341043253248_n.jpg")</f>
        <v>https://scontent.cdninstagram.com/t51.2885-15/s320x320/e35/21108059_112063632818798_4211743341043253248_n.jpg</v>
      </c>
      <c r="AE2985" s="249" t="str">
        <f>HYPERLINK("https://scontent.cdninstagram.com/t51.2885-19/s150x150/14705190_206660479769809_5132493662546034688_a.jpg")</f>
        <v>https://scontent.cdninstagram.com/t51.2885-19/s150x150/14705190_206660479769809_5132493662546034688_a.jpg</v>
      </c>
    </row>
    <row r="2986" spans="1:31" ht="15" x14ac:dyDescent="0.25">
      <c r="A2986" t="s">
        <v>2474</v>
      </c>
      <c r="B2986" t="s">
        <v>17770</v>
      </c>
      <c r="C2986" s="221">
        <v>42973.709305555552</v>
      </c>
      <c r="D2986" t="s">
        <v>17771</v>
      </c>
      <c r="E2986" s="249" t="str">
        <f>HYPERLINK("https://www.instagram.com/p/BYRXaoqAn-w/")</f>
        <v>https://www.instagram.com/p/BYRXaoqAn-w/</v>
      </c>
      <c r="F2986" t="s">
        <v>17772</v>
      </c>
      <c r="G2986" t="s">
        <v>2478</v>
      </c>
      <c r="H2986">
        <v>238</v>
      </c>
      <c r="I2986" t="s">
        <v>2479</v>
      </c>
      <c r="J2986">
        <v>1</v>
      </c>
      <c r="K2986">
        <v>33</v>
      </c>
      <c r="L2986">
        <v>34</v>
      </c>
      <c r="Q2986">
        <v>0</v>
      </c>
      <c r="R2986">
        <v>0</v>
      </c>
      <c r="S2986">
        <v>34</v>
      </c>
      <c r="Y2986" t="s">
        <v>4438</v>
      </c>
      <c r="Z2986" t="s">
        <v>5629</v>
      </c>
      <c r="AA2986" t="s">
        <v>2705</v>
      </c>
      <c r="AB2986" t="s">
        <v>7014</v>
      </c>
      <c r="AC2986" t="s">
        <v>2735</v>
      </c>
      <c r="AD2986" s="249" t="str">
        <f>HYPERLINK("https://scontent.cdninstagram.com/t51.2885-15/e35/p320x320/21149471_357296181368596_2968787708320677888_n.jpg")</f>
        <v>https://scontent.cdninstagram.com/t51.2885-15/e35/p320x320/21149471_357296181368596_2968787708320677888_n.jpg</v>
      </c>
      <c r="AE2986" s="249" t="str">
        <f>HYPERLINK("https://scontent.cdninstagram.com/t51.2885-19/11379717_689891147823108_1706229567_a.jpg")</f>
        <v>https://scontent.cdninstagram.com/t51.2885-19/11379717_689891147823108_1706229567_a.jpg</v>
      </c>
    </row>
    <row r="2987" spans="1:31" ht="15" x14ac:dyDescent="0.25">
      <c r="A2987" t="s">
        <v>2474</v>
      </c>
      <c r="B2987" t="s">
        <v>17773</v>
      </c>
      <c r="C2987" s="221">
        <v>42973.718634259261</v>
      </c>
      <c r="D2987" t="s">
        <v>17774</v>
      </c>
      <c r="E2987" s="249" t="str">
        <f>HYPERLINK("https://www.instagram.com/p/BYRY8_XlaW4/")</f>
        <v>https://www.instagram.com/p/BYRY8_XlaW4/</v>
      </c>
      <c r="F2987" t="s">
        <v>17775</v>
      </c>
      <c r="G2987" t="s">
        <v>2478</v>
      </c>
      <c r="H2987">
        <v>244</v>
      </c>
      <c r="I2987" t="s">
        <v>2542</v>
      </c>
      <c r="J2987">
        <v>1</v>
      </c>
      <c r="K2987">
        <v>10</v>
      </c>
      <c r="L2987">
        <v>11</v>
      </c>
      <c r="Q2987">
        <v>0</v>
      </c>
      <c r="R2987">
        <v>0</v>
      </c>
      <c r="S2987">
        <v>11</v>
      </c>
      <c r="Y2987" t="s">
        <v>17776</v>
      </c>
      <c r="Z2987" t="s">
        <v>2497</v>
      </c>
      <c r="AA2987" t="s">
        <v>17777</v>
      </c>
      <c r="AD2987" s="249" t="str">
        <f>HYPERLINK("https://scontent.cdninstagram.com/t51.2885-15/s320x320/e35/21042363_1978412892436538_5027821946583121920_n.jpg")</f>
        <v>https://scontent.cdninstagram.com/t51.2885-15/s320x320/e35/21042363_1978412892436538_5027821946583121920_n.jpg</v>
      </c>
      <c r="AE2987" s="249" t="str">
        <f>HYPERLINK("https://scontent.cdninstagram.com/t51.2885-19/s150x150/19050983_316832715419352_7506848650035724288_a.jpg")</f>
        <v>https://scontent.cdninstagram.com/t51.2885-19/s150x150/19050983_316832715419352_7506848650035724288_a.jpg</v>
      </c>
    </row>
    <row r="2988" spans="1:31" ht="15" x14ac:dyDescent="0.25">
      <c r="A2988" t="s">
        <v>2474</v>
      </c>
      <c r="B2988" t="s">
        <v>17778</v>
      </c>
      <c r="C2988" s="221">
        <v>42973.72797453704</v>
      </c>
      <c r="D2988" t="s">
        <v>17779</v>
      </c>
      <c r="E2988" s="249" t="str">
        <f>HYPERLINK("https://www.instagram.com/p/BYRaffRAeL9/")</f>
        <v>https://www.instagram.com/p/BYRaffRAeL9/</v>
      </c>
      <c r="F2988" t="s">
        <v>17780</v>
      </c>
      <c r="G2988" t="s">
        <v>2478</v>
      </c>
      <c r="H2988">
        <v>296</v>
      </c>
      <c r="I2988" t="s">
        <v>2479</v>
      </c>
      <c r="J2988">
        <v>3</v>
      </c>
      <c r="K2988">
        <v>53</v>
      </c>
      <c r="L2988">
        <v>56</v>
      </c>
      <c r="Q2988">
        <v>0</v>
      </c>
      <c r="R2988">
        <v>0</v>
      </c>
      <c r="S2988">
        <v>56</v>
      </c>
      <c r="Y2988" t="s">
        <v>16533</v>
      </c>
      <c r="Z2988" t="s">
        <v>17781</v>
      </c>
      <c r="AA2988" t="s">
        <v>2497</v>
      </c>
      <c r="AB2988" t="s">
        <v>17782</v>
      </c>
      <c r="AC2988" t="s">
        <v>4825</v>
      </c>
      <c r="AD2988" s="249" t="str">
        <f>HYPERLINK("https://scontent.cdninstagram.com/t51.2885-15/s320x320/e35/21147745_2329180370639866_2122069342962057216_n.jpg")</f>
        <v>https://scontent.cdninstagram.com/t51.2885-15/s320x320/e35/21147745_2329180370639866_2122069342962057216_n.jpg</v>
      </c>
      <c r="AE2988" s="249" t="str">
        <f>HYPERLINK("https://scontent.cdninstagram.com/t51.2885-19/s150x150/20902721_130240327591736_6145229174073196544_a.jpg")</f>
        <v>https://scontent.cdninstagram.com/t51.2885-19/s150x150/20902721_130240327591736_6145229174073196544_a.jpg</v>
      </c>
    </row>
    <row r="2989" spans="1:31" ht="15" x14ac:dyDescent="0.25">
      <c r="A2989" t="s">
        <v>2474</v>
      </c>
      <c r="B2989" t="s">
        <v>17783</v>
      </c>
      <c r="C2989" s="221">
        <v>42973.754687499997</v>
      </c>
      <c r="D2989" t="s">
        <v>17784</v>
      </c>
      <c r="E2989" s="249" t="str">
        <f>HYPERLINK("https://www.instagram.com/p/BYRe5M-l4kF/")</f>
        <v>https://www.instagram.com/p/BYRe5M-l4kF/</v>
      </c>
      <c r="F2989" t="s">
        <v>17785</v>
      </c>
      <c r="G2989" t="s">
        <v>2478</v>
      </c>
      <c r="H2989">
        <v>156</v>
      </c>
      <c r="I2989" t="s">
        <v>2599</v>
      </c>
      <c r="J2989">
        <v>1</v>
      </c>
      <c r="K2989">
        <v>48</v>
      </c>
      <c r="L2989">
        <v>49</v>
      </c>
      <c r="Q2989">
        <v>0</v>
      </c>
      <c r="R2989">
        <v>0</v>
      </c>
      <c r="S2989">
        <v>49</v>
      </c>
      <c r="T2989" t="s">
        <v>17786</v>
      </c>
      <c r="V2989" t="s">
        <v>2161</v>
      </c>
      <c r="W2989">
        <v>53.55</v>
      </c>
      <c r="X2989">
        <v>10.0014</v>
      </c>
      <c r="Y2989" t="s">
        <v>17787</v>
      </c>
      <c r="Z2989" t="s">
        <v>6182</v>
      </c>
      <c r="AA2989" t="s">
        <v>11871</v>
      </c>
      <c r="AB2989" t="s">
        <v>17788</v>
      </c>
      <c r="AC2989" t="s">
        <v>17789</v>
      </c>
      <c r="AD2989" s="249" t="str">
        <f>HYPERLINK("https://scontent.cdninstagram.com/t51.2885-15/s320x320/e35/21041867_821789621362294_60215969770897408_n.jpg")</f>
        <v>https://scontent.cdninstagram.com/t51.2885-15/s320x320/e35/21041867_821789621362294_60215969770897408_n.jpg</v>
      </c>
      <c r="AE2989" s="249" t="str">
        <f>HYPERLINK("https://scontent.cdninstagram.com/t51.2885-19/s150x150/15876928_1831050470498213_5933562156250300416_a.jpg")</f>
        <v>https://scontent.cdninstagram.com/t51.2885-19/s150x150/15876928_1831050470498213_5933562156250300416_a.jpg</v>
      </c>
    </row>
    <row r="2990" spans="1:31" ht="15" x14ac:dyDescent="0.25">
      <c r="A2990" t="s">
        <v>2474</v>
      </c>
      <c r="B2990" t="s">
        <v>17790</v>
      </c>
      <c r="C2990" s="221">
        <v>42973.75613425926</v>
      </c>
      <c r="D2990" t="s">
        <v>17791</v>
      </c>
      <c r="E2990" s="249" t="str">
        <f>HYPERLINK("https://www.instagram.com/p/BYRfIfHlJeL/")</f>
        <v>https://www.instagram.com/p/BYRfIfHlJeL/</v>
      </c>
      <c r="F2990" t="s">
        <v>17792</v>
      </c>
      <c r="G2990" t="s">
        <v>2631</v>
      </c>
      <c r="H2990">
        <v>464</v>
      </c>
      <c r="I2990" t="s">
        <v>2542</v>
      </c>
      <c r="J2990">
        <v>2</v>
      </c>
      <c r="K2990">
        <v>24</v>
      </c>
      <c r="L2990">
        <v>26</v>
      </c>
      <c r="Q2990">
        <v>0</v>
      </c>
      <c r="R2990">
        <v>0</v>
      </c>
      <c r="S2990">
        <v>26</v>
      </c>
      <c r="Y2990" t="s">
        <v>11012</v>
      </c>
      <c r="Z2990" t="s">
        <v>17793</v>
      </c>
      <c r="AA2990" t="s">
        <v>4620</v>
      </c>
      <c r="AB2990" t="s">
        <v>17794</v>
      </c>
      <c r="AC2990" t="s">
        <v>7287</v>
      </c>
      <c r="AD2990" s="249" t="str">
        <f>HYPERLINK("https://scontent.cdninstagram.com/t51.2885-15/s320x320/e15/21147897_839409912888780_3670801770709254144_n.jpg")</f>
        <v>https://scontent.cdninstagram.com/t51.2885-15/s320x320/e15/21147897_839409912888780_3670801770709254144_n.jpg</v>
      </c>
      <c r="AE2990" s="249" t="str">
        <f>HYPERLINK("https://scontent.cdninstagram.com/t51.2885-19/s150x150/20479194_1470957223211708_5307034849918320640_a.jpg")</f>
        <v>https://scontent.cdninstagram.com/t51.2885-19/s150x150/20479194_1470957223211708_5307034849918320640_a.jpg</v>
      </c>
    </row>
    <row r="2991" spans="1:31" ht="15" x14ac:dyDescent="0.25">
      <c r="A2991" t="s">
        <v>2474</v>
      </c>
      <c r="B2991" t="s">
        <v>17795</v>
      </c>
      <c r="C2991" s="221">
        <v>42973.756481481483</v>
      </c>
      <c r="D2991" t="s">
        <v>17796</v>
      </c>
      <c r="E2991" s="249" t="str">
        <f>HYPERLINK("https://www.instagram.com/p/BYRfMG0HXU-/")</f>
        <v>https://www.instagram.com/p/BYRfMG0HXU-/</v>
      </c>
      <c r="F2991" t="s">
        <v>17797</v>
      </c>
      <c r="G2991" t="s">
        <v>2478</v>
      </c>
      <c r="H2991">
        <v>575</v>
      </c>
      <c r="I2991" t="s">
        <v>2479</v>
      </c>
      <c r="J2991">
        <v>8</v>
      </c>
      <c r="K2991">
        <v>51</v>
      </c>
      <c r="L2991">
        <v>59</v>
      </c>
      <c r="Q2991">
        <v>0</v>
      </c>
      <c r="R2991">
        <v>0</v>
      </c>
      <c r="S2991">
        <v>59</v>
      </c>
      <c r="Y2991" t="s">
        <v>17798</v>
      </c>
      <c r="Z2991" t="s">
        <v>17799</v>
      </c>
      <c r="AA2991" t="s">
        <v>2482</v>
      </c>
      <c r="AB2991" t="s">
        <v>7884</v>
      </c>
      <c r="AC2991" t="s">
        <v>2497</v>
      </c>
      <c r="AD2991" s="249" t="str">
        <f>HYPERLINK("https://scontent.cdninstagram.com/t51.2885-15/s320x320/e35/21107356_1737106773249352_6676022685874520064_n.jpg")</f>
        <v>https://scontent.cdninstagram.com/t51.2885-15/s320x320/e35/21107356_1737106773249352_6676022685874520064_n.jpg</v>
      </c>
      <c r="AE2991" s="249" t="str">
        <f>HYPERLINK("https://scontent.cdninstagram.com/t51.2885-19/s150x150/18812612_1515723338467501_4783223035089911808_a.jpg")</f>
        <v>https://scontent.cdninstagram.com/t51.2885-19/s150x150/18812612_1515723338467501_4783223035089911808_a.jpg</v>
      </c>
    </row>
    <row r="2992" spans="1:31" ht="15" x14ac:dyDescent="0.25">
      <c r="A2992" t="s">
        <v>2474</v>
      </c>
      <c r="B2992" t="s">
        <v>2516</v>
      </c>
      <c r="C2992" s="221">
        <v>42973.760046296295</v>
      </c>
      <c r="D2992" t="s">
        <v>17800</v>
      </c>
      <c r="E2992" s="249" t="str">
        <f>HYPERLINK("https://www.instagram.com/p/BYRfxv3jCTd/")</f>
        <v>https://www.instagram.com/p/BYRfxv3jCTd/</v>
      </c>
      <c r="F2992" t="s">
        <v>17801</v>
      </c>
      <c r="G2992" t="s">
        <v>2478</v>
      </c>
      <c r="H2992">
        <v>683</v>
      </c>
      <c r="I2992" t="s">
        <v>2479</v>
      </c>
      <c r="J2992">
        <v>1</v>
      </c>
      <c r="K2992">
        <v>19</v>
      </c>
      <c r="L2992">
        <v>20</v>
      </c>
      <c r="Q2992">
        <v>0</v>
      </c>
      <c r="R2992">
        <v>0</v>
      </c>
      <c r="S2992">
        <v>20</v>
      </c>
      <c r="Y2992" t="s">
        <v>4310</v>
      </c>
      <c r="Z2992" t="s">
        <v>6550</v>
      </c>
      <c r="AA2992" t="s">
        <v>13798</v>
      </c>
      <c r="AB2992" t="s">
        <v>17802</v>
      </c>
      <c r="AC2992" t="s">
        <v>17803</v>
      </c>
      <c r="AD2992" s="249" t="str">
        <f>HYPERLINK("https://scontent.cdninstagram.com/t51.2885-15/s320x320/e35/21107199_338658716576240_4261380926623186944_n.jpg")</f>
        <v>https://scontent.cdninstagram.com/t51.2885-15/s320x320/e35/21107199_338658716576240_4261380926623186944_n.jpg</v>
      </c>
      <c r="AE2992" s="249" t="str">
        <f>HYPERLINK("https://scontent.cdninstagram.com/t51.2885-19/s150x150/19955124_1311741785589715_3896736407896457216_a.jpg")</f>
        <v>https://scontent.cdninstagram.com/t51.2885-19/s150x150/19955124_1311741785589715_3896736407896457216_a.jpg</v>
      </c>
    </row>
    <row r="2993" spans="1:31" ht="15" x14ac:dyDescent="0.25">
      <c r="A2993" t="s">
        <v>2474</v>
      </c>
      <c r="B2993" t="s">
        <v>17086</v>
      </c>
      <c r="C2993" s="221">
        <v>42973.760138888887</v>
      </c>
      <c r="D2993" t="s">
        <v>17804</v>
      </c>
      <c r="E2993" s="249" t="str">
        <f>HYPERLINK("https://www.instagram.com/p/BYRfywEDvkP/")</f>
        <v>https://www.instagram.com/p/BYRfywEDvkP/</v>
      </c>
      <c r="F2993" t="s">
        <v>17805</v>
      </c>
      <c r="G2993" t="s">
        <v>2478</v>
      </c>
      <c r="H2993">
        <v>57</v>
      </c>
      <c r="I2993" t="s">
        <v>2479</v>
      </c>
      <c r="J2993">
        <v>1</v>
      </c>
      <c r="K2993">
        <v>14</v>
      </c>
      <c r="L2993">
        <v>15</v>
      </c>
      <c r="Q2993">
        <v>0</v>
      </c>
      <c r="R2993">
        <v>0</v>
      </c>
      <c r="S2993">
        <v>15</v>
      </c>
      <c r="Y2993" t="s">
        <v>8185</v>
      </c>
      <c r="Z2993" t="s">
        <v>17806</v>
      </c>
      <c r="AA2993" t="s">
        <v>17807</v>
      </c>
      <c r="AB2993" t="s">
        <v>5884</v>
      </c>
      <c r="AC2993" t="s">
        <v>17808</v>
      </c>
      <c r="AD2993" s="249" t="str">
        <f>HYPERLINK("https://scontent.cdninstagram.com/t51.2885-15/s320x320/e35/21042264_132760137341102_129893052415213568_n.jpg")</f>
        <v>https://scontent.cdninstagram.com/t51.2885-15/s320x320/e35/21042264_132760137341102_129893052415213568_n.jpg</v>
      </c>
      <c r="AE2993" s="249" t="str">
        <f>HYPERLINK("https://scontent.cdninstagram.com/t51.2885-19/s150x150/20213819_1623489541008643_6054573310786666496_a.jpg")</f>
        <v>https://scontent.cdninstagram.com/t51.2885-19/s150x150/20213819_1623489541008643_6054573310786666496_a.jpg</v>
      </c>
    </row>
    <row r="2994" spans="1:31" ht="15" x14ac:dyDescent="0.25">
      <c r="A2994" t="s">
        <v>2474</v>
      </c>
      <c r="B2994" t="s">
        <v>5657</v>
      </c>
      <c r="C2994" s="221">
        <v>42973.777372685188</v>
      </c>
      <c r="D2994" t="s">
        <v>17809</v>
      </c>
      <c r="E2994" s="249" t="str">
        <f>HYPERLINK("https://www.instagram.com/p/BYRiohWAddk/")</f>
        <v>https://www.instagram.com/p/BYRiohWAddk/</v>
      </c>
      <c r="F2994" t="s">
        <v>17810</v>
      </c>
      <c r="G2994" t="s">
        <v>2478</v>
      </c>
      <c r="H2994">
        <v>96</v>
      </c>
      <c r="I2994" t="s">
        <v>2786</v>
      </c>
      <c r="J2994">
        <v>0</v>
      </c>
      <c r="K2994">
        <v>26</v>
      </c>
      <c r="L2994">
        <v>26</v>
      </c>
      <c r="Q2994">
        <v>0</v>
      </c>
      <c r="R2994">
        <v>0</v>
      </c>
      <c r="S2994">
        <v>26</v>
      </c>
      <c r="Y2994" t="s">
        <v>6172</v>
      </c>
      <c r="Z2994" t="s">
        <v>5662</v>
      </c>
      <c r="AA2994" t="s">
        <v>4582</v>
      </c>
      <c r="AB2994" t="s">
        <v>4514</v>
      </c>
      <c r="AC2994" t="s">
        <v>2551</v>
      </c>
      <c r="AD2994" s="249" t="str">
        <f>HYPERLINK("https://scontent.cdninstagram.com/t51.2885-15/e35/p320x320/21107812_165536624021525_2723374230509977600_n.jpg")</f>
        <v>https://scontent.cdninstagram.com/t51.2885-15/e35/p320x320/21107812_165536624021525_2723374230509977600_n.jpg</v>
      </c>
      <c r="AE2994" s="249" t="str">
        <f>HYPERLINK("https://scontent.cdninstagram.com/t51.2885-19/s150x150/18722414_1929874740617287_7467972564577419264_a.jpg")</f>
        <v>https://scontent.cdninstagram.com/t51.2885-19/s150x150/18722414_1929874740617287_7467972564577419264_a.jpg</v>
      </c>
    </row>
    <row r="2995" spans="1:31" ht="15" x14ac:dyDescent="0.25">
      <c r="A2995" t="s">
        <v>2474</v>
      </c>
      <c r="B2995" t="s">
        <v>5657</v>
      </c>
      <c r="C2995" s="221">
        <v>42973.778611111113</v>
      </c>
      <c r="D2995" t="s">
        <v>17811</v>
      </c>
      <c r="E2995" s="249" t="str">
        <f>HYPERLINK("https://www.instagram.com/p/BYRi1mPA5O_/")</f>
        <v>https://www.instagram.com/p/BYRi1mPA5O_/</v>
      </c>
      <c r="F2995" t="s">
        <v>17812</v>
      </c>
      <c r="G2995" t="s">
        <v>2478</v>
      </c>
      <c r="H2995">
        <v>96</v>
      </c>
      <c r="I2995" t="s">
        <v>3170</v>
      </c>
      <c r="J2995">
        <v>0</v>
      </c>
      <c r="K2995">
        <v>30</v>
      </c>
      <c r="L2995">
        <v>30</v>
      </c>
      <c r="Q2995">
        <v>0</v>
      </c>
      <c r="R2995">
        <v>0</v>
      </c>
      <c r="S2995">
        <v>30</v>
      </c>
      <c r="Y2995" t="s">
        <v>6172</v>
      </c>
      <c r="Z2995" t="s">
        <v>5662</v>
      </c>
      <c r="AA2995" t="s">
        <v>4582</v>
      </c>
      <c r="AB2995" t="s">
        <v>4514</v>
      </c>
      <c r="AC2995" t="s">
        <v>2551</v>
      </c>
      <c r="AD2995" s="249" t="str">
        <f>HYPERLINK("https://scontent.cdninstagram.com/t51.2885-15/s320x320/e35/21149659_1439056499512964_2022448036092837888_n.jpg")</f>
        <v>https://scontent.cdninstagram.com/t51.2885-15/s320x320/e35/21149659_1439056499512964_2022448036092837888_n.jpg</v>
      </c>
      <c r="AE2995" s="249" t="str">
        <f>HYPERLINK("https://scontent.cdninstagram.com/t51.2885-19/s150x150/18722414_1929874740617287_7467972564577419264_a.jpg")</f>
        <v>https://scontent.cdninstagram.com/t51.2885-19/s150x150/18722414_1929874740617287_7467972564577419264_a.jpg</v>
      </c>
    </row>
    <row r="2996" spans="1:31" ht="15" x14ac:dyDescent="0.25">
      <c r="A2996" t="s">
        <v>2474</v>
      </c>
      <c r="B2996" t="s">
        <v>5657</v>
      </c>
      <c r="C2996" s="221">
        <v>42973.780092592591</v>
      </c>
      <c r="D2996" t="s">
        <v>17813</v>
      </c>
      <c r="E2996" s="249" t="str">
        <f>HYPERLINK("https://www.instagram.com/p/BYRjFLWAmhK/")</f>
        <v>https://www.instagram.com/p/BYRjFLWAmhK/</v>
      </c>
      <c r="F2996" t="s">
        <v>17814</v>
      </c>
      <c r="G2996" t="s">
        <v>2478</v>
      </c>
      <c r="H2996">
        <v>96</v>
      </c>
      <c r="I2996" t="s">
        <v>4523</v>
      </c>
      <c r="J2996">
        <v>2</v>
      </c>
      <c r="K2996">
        <v>36</v>
      </c>
      <c r="L2996">
        <v>38</v>
      </c>
      <c r="Q2996">
        <v>0</v>
      </c>
      <c r="R2996">
        <v>0</v>
      </c>
      <c r="S2996">
        <v>38</v>
      </c>
      <c r="Y2996" t="s">
        <v>6172</v>
      </c>
      <c r="Z2996" t="s">
        <v>5662</v>
      </c>
      <c r="AA2996" t="s">
        <v>4582</v>
      </c>
      <c r="AB2996" t="s">
        <v>4514</v>
      </c>
      <c r="AC2996" t="s">
        <v>2551</v>
      </c>
      <c r="AD2996" s="249" t="str">
        <f>HYPERLINK("https://scontent.cdninstagram.com/t51.2885-15/s320x320/e35/21042085_1931654783756440_6521809866477010944_n.jpg")</f>
        <v>https://scontent.cdninstagram.com/t51.2885-15/s320x320/e35/21042085_1931654783756440_6521809866477010944_n.jpg</v>
      </c>
      <c r="AE2996" s="249" t="str">
        <f>HYPERLINK("https://scontent.cdninstagram.com/t51.2885-19/s150x150/18722414_1929874740617287_7467972564577419264_a.jpg")</f>
        <v>https://scontent.cdninstagram.com/t51.2885-19/s150x150/18722414_1929874740617287_7467972564577419264_a.jpg</v>
      </c>
    </row>
    <row r="2997" spans="1:31" ht="15" x14ac:dyDescent="0.25">
      <c r="A2997" t="s">
        <v>2474</v>
      </c>
      <c r="B2997" t="s">
        <v>5657</v>
      </c>
      <c r="C2997" s="221">
        <v>42973.781307870369</v>
      </c>
      <c r="D2997" t="s">
        <v>17815</v>
      </c>
      <c r="E2997" s="249" t="str">
        <f>HYPERLINK("https://www.instagram.com/p/BYRjSAegXm3/")</f>
        <v>https://www.instagram.com/p/BYRjSAegXm3/</v>
      </c>
      <c r="F2997" t="s">
        <v>17816</v>
      </c>
      <c r="G2997" t="s">
        <v>2478</v>
      </c>
      <c r="H2997">
        <v>96</v>
      </c>
      <c r="I2997" t="s">
        <v>2786</v>
      </c>
      <c r="J2997">
        <v>1</v>
      </c>
      <c r="K2997">
        <v>35</v>
      </c>
      <c r="L2997">
        <v>36</v>
      </c>
      <c r="Q2997">
        <v>0</v>
      </c>
      <c r="R2997">
        <v>0</v>
      </c>
      <c r="S2997">
        <v>36</v>
      </c>
      <c r="Y2997" t="s">
        <v>6172</v>
      </c>
      <c r="Z2997" t="s">
        <v>5662</v>
      </c>
      <c r="AA2997" t="s">
        <v>4582</v>
      </c>
      <c r="AB2997" t="s">
        <v>4514</v>
      </c>
      <c r="AC2997" t="s">
        <v>2551</v>
      </c>
      <c r="AD2997" s="249" t="str">
        <f>HYPERLINK("https://scontent.cdninstagram.com/t51.2885-15/e35/p320x320/21107629_1986397241638782_7292548473662996480_n.jpg")</f>
        <v>https://scontent.cdninstagram.com/t51.2885-15/e35/p320x320/21107629_1986397241638782_7292548473662996480_n.jpg</v>
      </c>
      <c r="AE2997" s="249" t="str">
        <f>HYPERLINK("https://scontent.cdninstagram.com/t51.2885-19/s150x150/18722414_1929874740617287_7467972564577419264_a.jpg")</f>
        <v>https://scontent.cdninstagram.com/t51.2885-19/s150x150/18722414_1929874740617287_7467972564577419264_a.jpg</v>
      </c>
    </row>
    <row r="2998" spans="1:31" ht="15" x14ac:dyDescent="0.25">
      <c r="A2998" t="s">
        <v>2474</v>
      </c>
      <c r="B2998" t="s">
        <v>5657</v>
      </c>
      <c r="C2998" s="221">
        <v>42973.785416666666</v>
      </c>
      <c r="D2998" t="s">
        <v>17817</v>
      </c>
      <c r="E2998" s="249" t="str">
        <f>HYPERLINK("https://www.instagram.com/p/BYRj9V5gsV0/")</f>
        <v>https://www.instagram.com/p/BYRj9V5gsV0/</v>
      </c>
      <c r="F2998" t="s">
        <v>17818</v>
      </c>
      <c r="G2998" t="s">
        <v>2478</v>
      </c>
      <c r="H2998">
        <v>96</v>
      </c>
      <c r="I2998" t="s">
        <v>4523</v>
      </c>
      <c r="J2998">
        <v>2</v>
      </c>
      <c r="K2998">
        <v>38</v>
      </c>
      <c r="L2998">
        <v>40</v>
      </c>
      <c r="Q2998">
        <v>0</v>
      </c>
      <c r="R2998">
        <v>0</v>
      </c>
      <c r="S2998">
        <v>40</v>
      </c>
      <c r="Y2998" t="s">
        <v>6172</v>
      </c>
      <c r="Z2998" t="s">
        <v>5662</v>
      </c>
      <c r="AA2998" t="s">
        <v>4582</v>
      </c>
      <c r="AB2998" t="s">
        <v>4514</v>
      </c>
      <c r="AC2998" t="s">
        <v>2551</v>
      </c>
      <c r="AD2998" s="249" t="str">
        <f>HYPERLINK("https://scontent.cdninstagram.com/t51.2885-15/e35/p320x320/21107679_2367026556856226_8543615117764329472_n.jpg")</f>
        <v>https://scontent.cdninstagram.com/t51.2885-15/e35/p320x320/21107679_2367026556856226_8543615117764329472_n.jpg</v>
      </c>
      <c r="AE2998" s="249" t="str">
        <f>HYPERLINK("https://scontent.cdninstagram.com/t51.2885-19/s150x150/18722414_1929874740617287_7467972564577419264_a.jpg")</f>
        <v>https://scontent.cdninstagram.com/t51.2885-19/s150x150/18722414_1929874740617287_7467972564577419264_a.jpg</v>
      </c>
    </row>
    <row r="2999" spans="1:31" ht="15" x14ac:dyDescent="0.25">
      <c r="A2999" t="s">
        <v>2474</v>
      </c>
      <c r="B2999" t="s">
        <v>17819</v>
      </c>
      <c r="C2999" s="221">
        <v>42973.791550925926</v>
      </c>
      <c r="D2999" t="s">
        <v>17820</v>
      </c>
      <c r="E2999" s="249" t="str">
        <f>HYPERLINK("https://www.instagram.com/p/BYRk-BfF6kK/")</f>
        <v>https://www.instagram.com/p/BYRk-BfF6kK/</v>
      </c>
      <c r="F2999" t="s">
        <v>17821</v>
      </c>
      <c r="G2999" t="s">
        <v>2478</v>
      </c>
      <c r="H2999">
        <v>122</v>
      </c>
      <c r="I2999" t="s">
        <v>2479</v>
      </c>
      <c r="J2999">
        <v>2</v>
      </c>
      <c r="K2999">
        <v>21</v>
      </c>
      <c r="L2999">
        <v>23</v>
      </c>
      <c r="Q2999">
        <v>0</v>
      </c>
      <c r="R2999">
        <v>0</v>
      </c>
      <c r="S2999">
        <v>23</v>
      </c>
      <c r="Y2999" t="s">
        <v>2497</v>
      </c>
      <c r="AD2999" s="249" t="str">
        <f>HYPERLINK("https://scontent.cdninstagram.com/t51.2885-15/s320x320/e35/21147412_1946151598973319_5195706505877258240_n.jpg")</f>
        <v>https://scontent.cdninstagram.com/t51.2885-15/s320x320/e35/21147412_1946151598973319_5195706505877258240_n.jpg</v>
      </c>
      <c r="AE2999" s="249" t="str">
        <f>HYPERLINK("https://scontent.cdninstagram.com/t51.2885-19/10899106_758338304257399_898012384_a.jpg")</f>
        <v>https://scontent.cdninstagram.com/t51.2885-19/10899106_758338304257399_898012384_a.jpg</v>
      </c>
    </row>
    <row r="3000" spans="1:31" ht="15" x14ac:dyDescent="0.25">
      <c r="A3000" t="s">
        <v>2474</v>
      </c>
      <c r="B3000" t="s">
        <v>17822</v>
      </c>
      <c r="C3000" s="221">
        <v>42973.797233796293</v>
      </c>
      <c r="D3000" t="s">
        <v>17823</v>
      </c>
      <c r="E3000" s="249" t="str">
        <f>HYPERLINK("https://www.instagram.com/p/BYRl58yFspc/")</f>
        <v>https://www.instagram.com/p/BYRl58yFspc/</v>
      </c>
      <c r="F3000" t="s">
        <v>17824</v>
      </c>
      <c r="G3000" t="s">
        <v>2631</v>
      </c>
      <c r="H3000">
        <v>660</v>
      </c>
      <c r="I3000" t="s">
        <v>2479</v>
      </c>
      <c r="J3000">
        <v>0</v>
      </c>
      <c r="K3000">
        <v>35</v>
      </c>
      <c r="L3000">
        <v>35</v>
      </c>
      <c r="Q3000">
        <v>0</v>
      </c>
      <c r="R3000">
        <v>0</v>
      </c>
      <c r="S3000">
        <v>35</v>
      </c>
      <c r="Y3000" t="s">
        <v>17825</v>
      </c>
      <c r="Z3000" t="s">
        <v>2576</v>
      </c>
      <c r="AA3000" t="s">
        <v>17826</v>
      </c>
      <c r="AB3000" t="s">
        <v>2497</v>
      </c>
      <c r="AC3000" t="s">
        <v>17827</v>
      </c>
      <c r="AD3000" s="249" t="str">
        <f>HYPERLINK("https://scontent.cdninstagram.com/t51.2885-15/s320x320/e15/21147991_1677643268946672_1714679428509859840_n.jpg")</f>
        <v>https://scontent.cdninstagram.com/t51.2885-15/s320x320/e15/21147991_1677643268946672_1714679428509859840_n.jpg</v>
      </c>
      <c r="AE3000" s="249" t="str">
        <f>HYPERLINK("https://scontent.cdninstagram.com/t51.2885-19/s150x150/19379345_1860734607522747_4573910316475219968_a.jpg")</f>
        <v>https://scontent.cdninstagram.com/t51.2885-19/s150x150/19379345_1860734607522747_4573910316475219968_a.jpg</v>
      </c>
    </row>
    <row r="3001" spans="1:31" ht="15" x14ac:dyDescent="0.25">
      <c r="A3001" t="s">
        <v>2474</v>
      </c>
      <c r="B3001" t="s">
        <v>17828</v>
      </c>
      <c r="C3001" s="221">
        <v>42973.807291666664</v>
      </c>
      <c r="D3001" t="s">
        <v>17829</v>
      </c>
      <c r="E3001" s="249" t="str">
        <f>HYPERLINK("https://www.instagram.com/p/BYRnkEdgpOf/")</f>
        <v>https://www.instagram.com/p/BYRnkEdgpOf/</v>
      </c>
      <c r="F3001" t="s">
        <v>17830</v>
      </c>
      <c r="G3001" t="s">
        <v>2478</v>
      </c>
      <c r="H3001">
        <v>364</v>
      </c>
      <c r="I3001" t="s">
        <v>2599</v>
      </c>
      <c r="J3001">
        <v>0</v>
      </c>
      <c r="K3001">
        <v>30</v>
      </c>
      <c r="L3001">
        <v>30</v>
      </c>
      <c r="Q3001">
        <v>0</v>
      </c>
      <c r="R3001">
        <v>0</v>
      </c>
      <c r="S3001">
        <v>30</v>
      </c>
      <c r="Y3001" t="s">
        <v>17831</v>
      </c>
      <c r="Z3001" t="s">
        <v>17832</v>
      </c>
      <c r="AA3001" t="s">
        <v>17833</v>
      </c>
      <c r="AB3001" t="s">
        <v>17834</v>
      </c>
      <c r="AC3001" t="s">
        <v>17835</v>
      </c>
      <c r="AD3001" s="249" t="str">
        <f>HYPERLINK("https://scontent.cdninstagram.com/t51.2885-15/s320x320/e35/21149429_102068833864110_8191094037583757312_n.jpg")</f>
        <v>https://scontent.cdninstagram.com/t51.2885-15/s320x320/e35/21149429_102068833864110_8191094037583757312_n.jpg</v>
      </c>
      <c r="AE3001" s="249" t="str">
        <f>HYPERLINK("https://scontent.cdninstagram.com/t51.2885-19/s150x150/13694818_305789726424749_786301970_a.jpg")</f>
        <v>https://scontent.cdninstagram.com/t51.2885-19/s150x150/13694818_305789726424749_786301970_a.jpg</v>
      </c>
    </row>
    <row r="3002" spans="1:31" ht="15" x14ac:dyDescent="0.25">
      <c r="A3002" t="s">
        <v>2474</v>
      </c>
      <c r="B3002" t="s">
        <v>17836</v>
      </c>
      <c r="C3002" s="221">
        <v>42973.817141203705</v>
      </c>
      <c r="D3002" t="s">
        <v>17837</v>
      </c>
      <c r="E3002" s="249" t="str">
        <f>HYPERLINK("https://www.instagram.com/p/BYRpL9xnKjW/")</f>
        <v>https://www.instagram.com/p/BYRpL9xnKjW/</v>
      </c>
      <c r="F3002" t="s">
        <v>17838</v>
      </c>
      <c r="G3002" t="s">
        <v>2478</v>
      </c>
      <c r="H3002">
        <v>491</v>
      </c>
      <c r="I3002" t="s">
        <v>2479</v>
      </c>
      <c r="J3002">
        <v>5</v>
      </c>
      <c r="K3002">
        <v>58</v>
      </c>
      <c r="L3002">
        <v>63</v>
      </c>
      <c r="Q3002">
        <v>0</v>
      </c>
      <c r="R3002">
        <v>0</v>
      </c>
      <c r="S3002">
        <v>63</v>
      </c>
      <c r="Y3002" t="s">
        <v>14963</v>
      </c>
      <c r="Z3002" t="s">
        <v>17839</v>
      </c>
      <c r="AA3002" t="s">
        <v>17840</v>
      </c>
      <c r="AB3002" t="s">
        <v>2827</v>
      </c>
      <c r="AC3002" t="s">
        <v>2735</v>
      </c>
      <c r="AD3002" s="249" t="str">
        <f>HYPERLINK("https://scontent.cdninstagram.com/t51.2885-15/e35/p320x320/21147814_113431192657743_5031472402496749568_n.jpg")</f>
        <v>https://scontent.cdninstagram.com/t51.2885-15/e35/p320x320/21147814_113431192657743_5031472402496749568_n.jpg</v>
      </c>
      <c r="AE3002" s="249" t="str">
        <f>HYPERLINK("https://scontent.cdninstagram.com/t51.2885-19/s150x150/17334047_398378113874771_325487289004195840_a.jpg")</f>
        <v>https://scontent.cdninstagram.com/t51.2885-19/s150x150/17334047_398378113874771_325487289004195840_a.jpg</v>
      </c>
    </row>
    <row r="3003" spans="1:31" ht="15" x14ac:dyDescent="0.25">
      <c r="A3003" t="s">
        <v>2474</v>
      </c>
      <c r="B3003" t="s">
        <v>17841</v>
      </c>
      <c r="C3003" s="221">
        <v>42973.823298611111</v>
      </c>
      <c r="D3003" t="s">
        <v>17842</v>
      </c>
      <c r="E3003" s="249" t="str">
        <f>HYPERLINK("https://www.instagram.com/p/BYRqM4IA9a8/")</f>
        <v>https://www.instagram.com/p/BYRqM4IA9a8/</v>
      </c>
      <c r="F3003" t="s">
        <v>17843</v>
      </c>
      <c r="G3003" t="s">
        <v>2478</v>
      </c>
      <c r="H3003">
        <v>1217</v>
      </c>
      <c r="I3003" t="s">
        <v>2479</v>
      </c>
      <c r="J3003">
        <v>1</v>
      </c>
      <c r="K3003">
        <v>92</v>
      </c>
      <c r="L3003">
        <v>93</v>
      </c>
      <c r="Q3003">
        <v>0</v>
      </c>
      <c r="R3003">
        <v>0</v>
      </c>
      <c r="S3003">
        <v>93</v>
      </c>
      <c r="Y3003" t="s">
        <v>6646</v>
      </c>
      <c r="Z3003" t="s">
        <v>17844</v>
      </c>
      <c r="AA3003" t="s">
        <v>2497</v>
      </c>
      <c r="AB3003" t="s">
        <v>11861</v>
      </c>
      <c r="AC3003" t="s">
        <v>9091</v>
      </c>
      <c r="AD3003" s="249" t="str">
        <f>HYPERLINK("https://scontent.cdninstagram.com/t51.2885-15/s320x320/e35/21042280_335092643598010_4763350393210011648_n.jpg")</f>
        <v>https://scontent.cdninstagram.com/t51.2885-15/s320x320/e35/21042280_335092643598010_4763350393210011648_n.jpg</v>
      </c>
      <c r="AE3003" s="249" t="str">
        <f>HYPERLINK("https://scontent.cdninstagram.com/t51.2885-19/s150x150/14553176_993337860776546_2397489489527177216_a.jpg")</f>
        <v>https://scontent.cdninstagram.com/t51.2885-19/s150x150/14553176_993337860776546_2397489489527177216_a.jpg</v>
      </c>
    </row>
    <row r="3004" spans="1:31" ht="15" x14ac:dyDescent="0.25">
      <c r="A3004" t="s">
        <v>2474</v>
      </c>
      <c r="B3004" t="s">
        <v>3055</v>
      </c>
      <c r="C3004" s="221">
        <v>42973.83284722222</v>
      </c>
      <c r="D3004" t="s">
        <v>17845</v>
      </c>
      <c r="E3004" s="249" t="str">
        <f>HYPERLINK("https://www.instagram.com/p/BYRrxipH2cj/")</f>
        <v>https://www.instagram.com/p/BYRrxipH2cj/</v>
      </c>
      <c r="F3004" t="s">
        <v>17846</v>
      </c>
      <c r="G3004" t="s">
        <v>2478</v>
      </c>
      <c r="H3004">
        <v>156</v>
      </c>
      <c r="I3004" t="s">
        <v>2479</v>
      </c>
      <c r="J3004">
        <v>0</v>
      </c>
      <c r="K3004">
        <v>21</v>
      </c>
      <c r="L3004">
        <v>21</v>
      </c>
      <c r="Q3004">
        <v>0</v>
      </c>
      <c r="R3004">
        <v>0</v>
      </c>
      <c r="S3004">
        <v>21</v>
      </c>
      <c r="Y3004" t="s">
        <v>3006</v>
      </c>
      <c r="Z3004" t="s">
        <v>17847</v>
      </c>
      <c r="AA3004" t="s">
        <v>8793</v>
      </c>
      <c r="AB3004" t="s">
        <v>17848</v>
      </c>
      <c r="AC3004" t="s">
        <v>16249</v>
      </c>
      <c r="AD3004" s="249" t="str">
        <f>HYPERLINK("https://scontent.cdninstagram.com/t51.2885-15/s320x320/e35/21041652_1979619915608309_1708128821699411968_n.jpg")</f>
        <v>https://scontent.cdninstagram.com/t51.2885-15/s320x320/e35/21041652_1979619915608309_1708128821699411968_n.jpg</v>
      </c>
      <c r="AE3004" s="249" t="str">
        <f>HYPERLINK("https://scontent.cdninstagram.com/t51.2885-19/s150x150/12534162_1031877433501510_1281420640_a.jpg")</f>
        <v>https://scontent.cdninstagram.com/t51.2885-19/s150x150/12534162_1031877433501510_1281420640_a.jpg</v>
      </c>
    </row>
    <row r="3005" spans="1:31" ht="15" x14ac:dyDescent="0.25">
      <c r="A3005" t="s">
        <v>2474</v>
      </c>
      <c r="B3005" t="s">
        <v>17849</v>
      </c>
      <c r="C3005" s="221">
        <v>42973.839016203703</v>
      </c>
      <c r="D3005" t="s">
        <v>17850</v>
      </c>
      <c r="E3005" s="249" t="str">
        <f>HYPERLINK("https://www.instagram.com/p/BYRsymnlcEj/")</f>
        <v>https://www.instagram.com/p/BYRsymnlcEj/</v>
      </c>
      <c r="F3005" t="s">
        <v>17851</v>
      </c>
      <c r="G3005" t="s">
        <v>2478</v>
      </c>
      <c r="H3005">
        <v>2539</v>
      </c>
      <c r="I3005" t="s">
        <v>4062</v>
      </c>
      <c r="J3005">
        <v>2</v>
      </c>
      <c r="K3005">
        <v>55</v>
      </c>
      <c r="L3005">
        <v>57</v>
      </c>
      <c r="Q3005">
        <v>0</v>
      </c>
      <c r="R3005">
        <v>0</v>
      </c>
      <c r="S3005">
        <v>57</v>
      </c>
      <c r="Y3005" t="s">
        <v>3343</v>
      </c>
      <c r="Z3005" t="s">
        <v>14117</v>
      </c>
      <c r="AA3005" t="s">
        <v>14882</v>
      </c>
      <c r="AB3005" t="s">
        <v>17852</v>
      </c>
      <c r="AC3005" t="s">
        <v>17853</v>
      </c>
      <c r="AD3005" s="249" t="str">
        <f>HYPERLINK("https://scontent.cdninstagram.com/t51.2885-15/s320x320/e35/21107808_1917789268471088_1487336398531854336_n.jpg")</f>
        <v>https://scontent.cdninstagram.com/t51.2885-15/s320x320/e35/21107808_1917789268471088_1487336398531854336_n.jpg</v>
      </c>
      <c r="AE3005" s="249" t="str">
        <f>HYPERLINK("https://scontent.cdninstagram.com/t51.2885-19/s150x150/21042594_383109652106662_4625532898500411392_a.jpg")</f>
        <v>https://scontent.cdninstagram.com/t51.2885-19/s150x150/21042594_383109652106662_4625532898500411392_a.jpg</v>
      </c>
    </row>
    <row r="3006" spans="1:31" ht="15" x14ac:dyDescent="0.25">
      <c r="A3006" t="s">
        <v>2474</v>
      </c>
      <c r="B3006" t="s">
        <v>17854</v>
      </c>
      <c r="C3006" s="221">
        <v>42973.858703703707</v>
      </c>
      <c r="D3006" t="s">
        <v>17855</v>
      </c>
      <c r="E3006" s="249" t="str">
        <f>HYPERLINK("https://www.instagram.com/p/BYRwCPtHzD8/")</f>
        <v>https://www.instagram.com/p/BYRwCPtHzD8/</v>
      </c>
      <c r="F3006" t="s">
        <v>17856</v>
      </c>
      <c r="G3006" t="s">
        <v>2478</v>
      </c>
      <c r="H3006">
        <v>359</v>
      </c>
      <c r="I3006" t="s">
        <v>2479</v>
      </c>
      <c r="J3006">
        <v>1</v>
      </c>
      <c r="K3006">
        <v>23</v>
      </c>
      <c r="L3006">
        <v>24</v>
      </c>
      <c r="Q3006">
        <v>0</v>
      </c>
      <c r="R3006">
        <v>0</v>
      </c>
      <c r="S3006">
        <v>24</v>
      </c>
      <c r="Y3006" t="s">
        <v>2899</v>
      </c>
      <c r="Z3006" t="s">
        <v>17857</v>
      </c>
      <c r="AA3006" t="s">
        <v>17858</v>
      </c>
      <c r="AB3006" t="s">
        <v>2577</v>
      </c>
      <c r="AC3006" t="s">
        <v>2497</v>
      </c>
      <c r="AD3006" s="249" t="str">
        <f>HYPERLINK("https://scontent.cdninstagram.com/t51.2885-15/s320x320/e35/21042453_165427547366007_2520570663681392640_n.jpg")</f>
        <v>https://scontent.cdninstagram.com/t51.2885-15/s320x320/e35/21042453_165427547366007_2520570663681392640_n.jpg</v>
      </c>
      <c r="AE3006" s="249" t="str">
        <f>HYPERLINK("https://scontent.cdninstagram.com/t51.2885-19/s150x150/20688143_1121440264656994_7934351887745155072_a.jpg")</f>
        <v>https://scontent.cdninstagram.com/t51.2885-19/s150x150/20688143_1121440264656994_7934351887745155072_a.jpg</v>
      </c>
    </row>
    <row r="3007" spans="1:31" ht="15" x14ac:dyDescent="0.25">
      <c r="A3007" t="s">
        <v>2474</v>
      </c>
      <c r="B3007" t="s">
        <v>4941</v>
      </c>
      <c r="C3007" s="221">
        <v>42973.896284722221</v>
      </c>
      <c r="D3007" t="s">
        <v>17859</v>
      </c>
      <c r="E3007" s="249" t="str">
        <f>HYPERLINK("https://www.instagram.com/p/BYR2OrXhGiQ/")</f>
        <v>https://www.instagram.com/p/BYR2OrXhGiQ/</v>
      </c>
      <c r="F3007" t="s">
        <v>17860</v>
      </c>
      <c r="G3007" t="s">
        <v>2478</v>
      </c>
      <c r="H3007">
        <v>42402</v>
      </c>
      <c r="I3007" t="s">
        <v>2479</v>
      </c>
      <c r="J3007">
        <v>20</v>
      </c>
      <c r="K3007">
        <v>1096</v>
      </c>
      <c r="L3007">
        <v>1116</v>
      </c>
      <c r="Q3007">
        <v>0</v>
      </c>
      <c r="R3007">
        <v>0</v>
      </c>
      <c r="S3007">
        <v>1116</v>
      </c>
      <c r="Y3007" t="s">
        <v>17861</v>
      </c>
      <c r="Z3007" t="s">
        <v>17862</v>
      </c>
      <c r="AA3007" t="s">
        <v>11833</v>
      </c>
      <c r="AB3007" t="s">
        <v>9999</v>
      </c>
      <c r="AC3007" t="s">
        <v>11676</v>
      </c>
      <c r="AD3007" s="249" t="str">
        <f>HYPERLINK("https://scontent.cdninstagram.com/t51.2885-15/e35/p320x320/21107515_343410142748970_6110627100765454336_n.jpg")</f>
        <v>https://scontent.cdninstagram.com/t51.2885-15/e35/p320x320/21107515_343410142748970_6110627100765454336_n.jpg</v>
      </c>
      <c r="AE3007" s="249" t="str">
        <f>HYPERLINK("https://scontent.cdninstagram.com/t51.2885-19/14624229_1857850484502104_5357040355281731584_a.jpg")</f>
        <v>https://scontent.cdninstagram.com/t51.2885-19/14624229_1857850484502104_5357040355281731584_a.jpg</v>
      </c>
    </row>
    <row r="3008" spans="1:31" ht="15" x14ac:dyDescent="0.25">
      <c r="A3008" t="s">
        <v>2474</v>
      </c>
      <c r="B3008" t="s">
        <v>17863</v>
      </c>
      <c r="C3008" s="221">
        <v>42973.904675925929</v>
      </c>
      <c r="D3008" t="s">
        <v>17864</v>
      </c>
      <c r="E3008" s="249" t="str">
        <f>HYPERLINK("https://www.instagram.com/p/BYR3nIajXso/")</f>
        <v>https://www.instagram.com/p/BYR3nIajXso/</v>
      </c>
      <c r="F3008" t="s">
        <v>17865</v>
      </c>
      <c r="G3008" t="s">
        <v>2631</v>
      </c>
      <c r="H3008">
        <v>1154</v>
      </c>
      <c r="I3008" t="s">
        <v>2479</v>
      </c>
      <c r="J3008">
        <v>0</v>
      </c>
      <c r="K3008">
        <v>29</v>
      </c>
      <c r="L3008">
        <v>29</v>
      </c>
      <c r="Q3008">
        <v>0</v>
      </c>
      <c r="R3008">
        <v>0</v>
      </c>
      <c r="S3008">
        <v>29</v>
      </c>
      <c r="T3008" t="s">
        <v>3474</v>
      </c>
      <c r="V3008" t="s">
        <v>2258</v>
      </c>
      <c r="W3008">
        <v>1.2930600000000001</v>
      </c>
      <c r="X3008">
        <v>103.85599999999999</v>
      </c>
      <c r="Y3008" t="s">
        <v>17866</v>
      </c>
      <c r="Z3008" t="s">
        <v>5265</v>
      </c>
      <c r="AA3008" t="s">
        <v>17867</v>
      </c>
      <c r="AB3008" t="s">
        <v>17868</v>
      </c>
      <c r="AC3008" t="s">
        <v>17869</v>
      </c>
      <c r="AD3008" s="249" t="str">
        <f>HYPERLINK("https://scontent.cdninstagram.com/t51.2885-15/s320x320/e15/21149396_1388867827857972_5006311285780905984_n.jpg")</f>
        <v>https://scontent.cdninstagram.com/t51.2885-15/s320x320/e15/21149396_1388867827857972_5006311285780905984_n.jpg</v>
      </c>
      <c r="AE3008" s="249" t="str">
        <f>HYPERLINK("https://scontent.cdninstagram.com/t51.2885-19/s150x150/19623540_846810865471607_2047010030640693248_n.jpg")</f>
        <v>https://scontent.cdninstagram.com/t51.2885-19/s150x150/19623540_846810865471607_2047010030640693248_n.jpg</v>
      </c>
    </row>
    <row r="3009" spans="1:31" ht="15" x14ac:dyDescent="0.25">
      <c r="A3009" t="s">
        <v>2474</v>
      </c>
      <c r="B3009" t="s">
        <v>17870</v>
      </c>
      <c r="C3009" s="221">
        <v>42973.919282407405</v>
      </c>
      <c r="D3009" t="s">
        <v>17871</v>
      </c>
      <c r="E3009" s="249" t="str">
        <f>HYPERLINK("https://www.instagram.com/p/BYR6BLdjBXP/")</f>
        <v>https://www.instagram.com/p/BYR6BLdjBXP/</v>
      </c>
      <c r="F3009" t="s">
        <v>17872</v>
      </c>
      <c r="G3009" t="s">
        <v>2478</v>
      </c>
      <c r="H3009">
        <v>2638</v>
      </c>
      <c r="I3009" t="s">
        <v>2542</v>
      </c>
      <c r="J3009">
        <v>3</v>
      </c>
      <c r="K3009">
        <v>298</v>
      </c>
      <c r="L3009">
        <v>301</v>
      </c>
      <c r="Q3009">
        <v>0</v>
      </c>
      <c r="R3009">
        <v>0</v>
      </c>
      <c r="S3009">
        <v>301</v>
      </c>
      <c r="T3009" t="s">
        <v>17873</v>
      </c>
      <c r="U3009" t="s">
        <v>122</v>
      </c>
      <c r="V3009" t="s">
        <v>2299</v>
      </c>
      <c r="W3009">
        <v>37.774999999999999</v>
      </c>
      <c r="X3009">
        <v>-122.41800000000001</v>
      </c>
      <c r="Y3009" t="s">
        <v>7490</v>
      </c>
      <c r="Z3009" t="s">
        <v>17874</v>
      </c>
      <c r="AA3009" t="s">
        <v>17875</v>
      </c>
      <c r="AB3009" t="s">
        <v>17876</v>
      </c>
      <c r="AC3009" t="s">
        <v>15297</v>
      </c>
      <c r="AD3009" s="249" t="str">
        <f>HYPERLINK("https://scontent.cdninstagram.com/t51.2885-15/e35/p320x320/21042384_114443265927842_8455865633077198848_n.jpg")</f>
        <v>https://scontent.cdninstagram.com/t51.2885-15/e35/p320x320/21042384_114443265927842_8455865633077198848_n.jpg</v>
      </c>
      <c r="AE3009" s="249" t="str">
        <f>HYPERLINK("https://scontent.cdninstagram.com/t51.2885-19/s150x150/14561903_207540916318117_5295050967744512000_a.jpg")</f>
        <v>https://scontent.cdninstagram.com/t51.2885-19/s150x150/14561903_207540916318117_5295050967744512000_a.jpg</v>
      </c>
    </row>
    <row r="3010" spans="1:31" ht="15" x14ac:dyDescent="0.25">
      <c r="A3010" t="s">
        <v>2474</v>
      </c>
      <c r="B3010" t="s">
        <v>3015</v>
      </c>
      <c r="C3010" s="221">
        <v>42973.925671296296</v>
      </c>
      <c r="D3010" t="s">
        <v>17877</v>
      </c>
      <c r="E3010" s="249" t="str">
        <f>HYPERLINK("https://www.instagram.com/p/BYR7EmYgY_l/")</f>
        <v>https://www.instagram.com/p/BYR7EmYgY_l/</v>
      </c>
      <c r="F3010" t="s">
        <v>17878</v>
      </c>
      <c r="G3010" t="s">
        <v>2478</v>
      </c>
      <c r="H3010">
        <v>241</v>
      </c>
      <c r="I3010" t="s">
        <v>2479</v>
      </c>
      <c r="J3010">
        <v>0</v>
      </c>
      <c r="K3010">
        <v>25</v>
      </c>
      <c r="L3010">
        <v>25</v>
      </c>
      <c r="Q3010">
        <v>0</v>
      </c>
      <c r="R3010">
        <v>0</v>
      </c>
      <c r="S3010">
        <v>25</v>
      </c>
      <c r="Y3010" t="s">
        <v>17879</v>
      </c>
      <c r="Z3010" t="s">
        <v>10468</v>
      </c>
      <c r="AA3010" t="s">
        <v>4127</v>
      </c>
      <c r="AB3010" t="s">
        <v>3727</v>
      </c>
      <c r="AC3010" t="s">
        <v>3019</v>
      </c>
      <c r="AD3010" s="249" t="str">
        <f>HYPERLINK("https://scontent.cdninstagram.com/t51.2885-15/s320x320/e35/21041466_1442926492442115_2967490361909313536_n.jpg")</f>
        <v>https://scontent.cdninstagram.com/t51.2885-15/s320x320/e35/21041466_1442926492442115_2967490361909313536_n.jpg</v>
      </c>
      <c r="AE3010" s="249" t="str">
        <f>HYPERLINK("https://scontent.cdninstagram.com/t51.2885-19/s150x150/21373102_1087463374722515_8750956974671134720_a.jpg")</f>
        <v>https://scontent.cdninstagram.com/t51.2885-19/s150x150/21373102_1087463374722515_8750956974671134720_a.jpg</v>
      </c>
    </row>
    <row r="3011" spans="1:31" ht="15" x14ac:dyDescent="0.25">
      <c r="A3011" t="s">
        <v>2474</v>
      </c>
      <c r="B3011" t="s">
        <v>4535</v>
      </c>
      <c r="C3011" s="221">
        <v>42973.93346064815</v>
      </c>
      <c r="D3011" t="s">
        <v>17880</v>
      </c>
      <c r="E3011" s="249" t="str">
        <f>HYPERLINK("https://www.instagram.com/p/BYR8WsIlLLt/")</f>
        <v>https://www.instagram.com/p/BYR8WsIlLLt/</v>
      </c>
      <c r="F3011" t="s">
        <v>17881</v>
      </c>
      <c r="G3011" t="s">
        <v>2488</v>
      </c>
      <c r="H3011">
        <v>172</v>
      </c>
      <c r="I3011" t="s">
        <v>2479</v>
      </c>
      <c r="J3011">
        <v>2</v>
      </c>
      <c r="K3011">
        <v>22</v>
      </c>
      <c r="L3011">
        <v>24</v>
      </c>
      <c r="Q3011">
        <v>0</v>
      </c>
      <c r="R3011">
        <v>0</v>
      </c>
      <c r="S3011">
        <v>24</v>
      </c>
      <c r="Y3011" t="s">
        <v>4542</v>
      </c>
      <c r="Z3011" t="s">
        <v>12353</v>
      </c>
      <c r="AA3011" t="s">
        <v>5607</v>
      </c>
      <c r="AB3011" t="s">
        <v>10684</v>
      </c>
      <c r="AC3011" t="s">
        <v>12358</v>
      </c>
      <c r="AD3011" s="249" t="str">
        <f>HYPERLINK("https://scontent.cdninstagram.com/t51.2885-15/s320x320/e35/21147678_1330240460418005_286436905183084544_n.jpg")</f>
        <v>https://scontent.cdninstagram.com/t51.2885-15/s320x320/e35/21147678_1330240460418005_286436905183084544_n.jpg</v>
      </c>
      <c r="AE3011" s="249" t="str">
        <f>HYPERLINK("https://scontent.cdninstagram.com/t51.2885-19/s150x150/20399028_1624608414236560_533007696291430400_a.jpg")</f>
        <v>https://scontent.cdninstagram.com/t51.2885-19/s150x150/20399028_1624608414236560_533007696291430400_a.jpg</v>
      </c>
    </row>
    <row r="3012" spans="1:31" ht="15" x14ac:dyDescent="0.25">
      <c r="A3012" t="s">
        <v>2474</v>
      </c>
      <c r="B3012" t="s">
        <v>4535</v>
      </c>
      <c r="C3012" s="221">
        <v>42973.93513888889</v>
      </c>
      <c r="D3012" t="s">
        <v>17882</v>
      </c>
      <c r="E3012" s="249" t="str">
        <f>HYPERLINK("https://www.instagram.com/p/BYR8oaTFD0F/")</f>
        <v>https://www.instagram.com/p/BYR8oaTFD0F/</v>
      </c>
      <c r="F3012" t="s">
        <v>17883</v>
      </c>
      <c r="G3012" t="s">
        <v>2478</v>
      </c>
      <c r="H3012">
        <v>172</v>
      </c>
      <c r="I3012" t="s">
        <v>2479</v>
      </c>
      <c r="J3012">
        <v>0</v>
      </c>
      <c r="K3012">
        <v>13</v>
      </c>
      <c r="L3012">
        <v>13</v>
      </c>
      <c r="Q3012">
        <v>0</v>
      </c>
      <c r="R3012">
        <v>0</v>
      </c>
      <c r="S3012">
        <v>13</v>
      </c>
      <c r="Y3012" t="s">
        <v>4542</v>
      </c>
      <c r="Z3012" t="s">
        <v>12353</v>
      </c>
      <c r="AA3012" t="s">
        <v>5607</v>
      </c>
      <c r="AB3012" t="s">
        <v>10684</v>
      </c>
      <c r="AC3012" t="s">
        <v>12358</v>
      </c>
      <c r="AD3012" s="249" t="str">
        <f>HYPERLINK("https://scontent.cdninstagram.com/t51.2885-15/s320x320/e35/21149064_266376493876522_2145871274327408640_n.jpg")</f>
        <v>https://scontent.cdninstagram.com/t51.2885-15/s320x320/e35/21149064_266376493876522_2145871274327408640_n.jpg</v>
      </c>
      <c r="AE3012" s="249" t="str">
        <f>HYPERLINK("https://scontent.cdninstagram.com/t51.2885-19/s150x150/20399028_1624608414236560_533007696291430400_a.jpg")</f>
        <v>https://scontent.cdninstagram.com/t51.2885-19/s150x150/20399028_1624608414236560_533007696291430400_a.jpg</v>
      </c>
    </row>
    <row r="3013" spans="1:31" ht="15" x14ac:dyDescent="0.25">
      <c r="A3013" t="s">
        <v>2474</v>
      </c>
      <c r="B3013" t="s">
        <v>17884</v>
      </c>
      <c r="C3013" s="221">
        <v>42973.935694444444</v>
      </c>
      <c r="D3013" t="s">
        <v>17885</v>
      </c>
      <c r="E3013" s="249" t="str">
        <f>HYPERLINK("https://www.instagram.com/p/BYR8uT7BwrK/")</f>
        <v>https://www.instagram.com/p/BYR8uT7BwrK/</v>
      </c>
      <c r="F3013" t="s">
        <v>17886</v>
      </c>
      <c r="G3013" t="s">
        <v>2478</v>
      </c>
      <c r="H3013">
        <v>342</v>
      </c>
      <c r="I3013" t="s">
        <v>2479</v>
      </c>
      <c r="J3013">
        <v>9</v>
      </c>
      <c r="K3013">
        <v>148</v>
      </c>
      <c r="L3013">
        <v>157</v>
      </c>
      <c r="Q3013">
        <v>0</v>
      </c>
      <c r="R3013">
        <v>0</v>
      </c>
      <c r="S3013">
        <v>157</v>
      </c>
      <c r="Y3013" t="s">
        <v>2734</v>
      </c>
      <c r="Z3013" t="s">
        <v>2696</v>
      </c>
      <c r="AA3013" t="s">
        <v>8105</v>
      </c>
      <c r="AB3013" t="s">
        <v>2497</v>
      </c>
      <c r="AC3013" t="s">
        <v>5836</v>
      </c>
      <c r="AD3013" s="249" t="str">
        <f>HYPERLINK("https://scontent.cdninstagram.com/t51.2885-15/s320x320/e35/21041687_1443109769099356_2886087743669010432_n.jpg")</f>
        <v>https://scontent.cdninstagram.com/t51.2885-15/s320x320/e35/21041687_1443109769099356_2886087743669010432_n.jpg</v>
      </c>
      <c r="AE3013" s="249" t="str">
        <f>HYPERLINK("https://scontent.cdninstagram.com/t51.2885-19/s150x150/21225034_328431430915417_622371362832384000_a.jpg")</f>
        <v>https://scontent.cdninstagram.com/t51.2885-19/s150x150/21225034_328431430915417_622371362832384000_a.jpg</v>
      </c>
    </row>
    <row r="3014" spans="1:31" ht="15" x14ac:dyDescent="0.25">
      <c r="A3014" t="s">
        <v>2474</v>
      </c>
      <c r="B3014" t="s">
        <v>4535</v>
      </c>
      <c r="C3014" s="221">
        <v>42973.935787037037</v>
      </c>
      <c r="D3014" t="s">
        <v>17887</v>
      </c>
      <c r="E3014" s="249" t="str">
        <f>HYPERLINK("https://www.instagram.com/p/BYR8vTAlb7o/")</f>
        <v>https://www.instagram.com/p/BYR8vTAlb7o/</v>
      </c>
      <c r="F3014" t="s">
        <v>17888</v>
      </c>
      <c r="G3014" t="s">
        <v>2478</v>
      </c>
      <c r="H3014">
        <v>172</v>
      </c>
      <c r="I3014" t="s">
        <v>2479</v>
      </c>
      <c r="J3014">
        <v>10</v>
      </c>
      <c r="K3014">
        <v>35</v>
      </c>
      <c r="L3014">
        <v>45</v>
      </c>
      <c r="Q3014">
        <v>0</v>
      </c>
      <c r="R3014">
        <v>0</v>
      </c>
      <c r="S3014">
        <v>45</v>
      </c>
      <c r="Y3014" t="s">
        <v>4542</v>
      </c>
      <c r="Z3014" t="s">
        <v>12353</v>
      </c>
      <c r="AA3014" t="s">
        <v>5607</v>
      </c>
      <c r="AB3014" t="s">
        <v>10684</v>
      </c>
      <c r="AC3014" t="s">
        <v>12358</v>
      </c>
      <c r="AD3014" s="249" t="str">
        <f>HYPERLINK("https://scontent.cdninstagram.com/t51.2885-15/s320x320/e35/21149553_1970447566573724_1204682955809619968_n.jpg")</f>
        <v>https://scontent.cdninstagram.com/t51.2885-15/s320x320/e35/21149553_1970447566573724_1204682955809619968_n.jpg</v>
      </c>
      <c r="AE3014" s="249" t="str">
        <f>HYPERLINK("https://scontent.cdninstagram.com/t51.2885-19/s150x150/20399028_1624608414236560_533007696291430400_a.jpg")</f>
        <v>https://scontent.cdninstagram.com/t51.2885-19/s150x150/20399028_1624608414236560_533007696291430400_a.jpg</v>
      </c>
    </row>
    <row r="3015" spans="1:31" ht="15" x14ac:dyDescent="0.25">
      <c r="A3015" t="s">
        <v>2474</v>
      </c>
      <c r="B3015" t="s">
        <v>17889</v>
      </c>
      <c r="C3015" s="221">
        <v>42973.94190972222</v>
      </c>
      <c r="D3015" t="s">
        <v>17890</v>
      </c>
      <c r="E3015" s="249" t="str">
        <f>HYPERLINK("https://www.instagram.com/p/BYR9vxXDKsJ/")</f>
        <v>https://www.instagram.com/p/BYR9vxXDKsJ/</v>
      </c>
      <c r="F3015" t="s">
        <v>17891</v>
      </c>
      <c r="G3015" t="s">
        <v>2478</v>
      </c>
      <c r="H3015">
        <v>12</v>
      </c>
      <c r="I3015" t="s">
        <v>3575</v>
      </c>
      <c r="J3015">
        <v>0</v>
      </c>
      <c r="K3015">
        <v>6</v>
      </c>
      <c r="L3015">
        <v>6</v>
      </c>
      <c r="Q3015">
        <v>0</v>
      </c>
      <c r="R3015">
        <v>0</v>
      </c>
      <c r="S3015">
        <v>6</v>
      </c>
      <c r="Y3015" t="s">
        <v>2497</v>
      </c>
      <c r="Z3015" t="s">
        <v>13892</v>
      </c>
      <c r="AD3015" s="249" t="str">
        <f>HYPERLINK("https://scontent.cdninstagram.com/t51.2885-15/e35/p320x320/21107660_1645395475471232_5011052281135628288_n.jpg")</f>
        <v>https://scontent.cdninstagram.com/t51.2885-15/e35/p320x320/21107660_1645395475471232_5011052281135628288_n.jpg</v>
      </c>
      <c r="AE3015" s="249" t="str">
        <f>HYPERLINK("https://scontent.cdninstagram.com/t51.2885-19/s150x150/21042480_765974663606820_6092922021505662976_a.jpg")</f>
        <v>https://scontent.cdninstagram.com/t51.2885-19/s150x150/21042480_765974663606820_6092922021505662976_a.jpg</v>
      </c>
    </row>
    <row r="3016" spans="1:31" ht="15" x14ac:dyDescent="0.25">
      <c r="A3016" t="s">
        <v>2474</v>
      </c>
      <c r="B3016" t="s">
        <v>3393</v>
      </c>
      <c r="C3016" s="221">
        <v>42973.95140046296</v>
      </c>
      <c r="D3016" t="s">
        <v>17892</v>
      </c>
      <c r="E3016" s="249" t="str">
        <f>HYPERLINK("https://www.instagram.com/p/BYR_T7wHmR5/")</f>
        <v>https://www.instagram.com/p/BYR_T7wHmR5/</v>
      </c>
      <c r="F3016" t="s">
        <v>17893</v>
      </c>
      <c r="G3016" t="s">
        <v>2478</v>
      </c>
      <c r="H3016">
        <v>18213</v>
      </c>
      <c r="I3016" t="s">
        <v>2479</v>
      </c>
      <c r="J3016">
        <v>11</v>
      </c>
      <c r="K3016">
        <v>745</v>
      </c>
      <c r="L3016">
        <v>756</v>
      </c>
      <c r="Q3016">
        <v>0</v>
      </c>
      <c r="R3016">
        <v>0</v>
      </c>
      <c r="S3016">
        <v>756</v>
      </c>
      <c r="AD3016" s="249" t="str">
        <f>HYPERLINK("https://scontent.cdninstagram.com/t51.2885-15/s320x320/e35/21107445_1409792259143131_4931529651685163008_n.jpg")</f>
        <v>https://scontent.cdninstagram.com/t51.2885-15/s320x320/e35/21107445_1409792259143131_4931529651685163008_n.jpg</v>
      </c>
      <c r="AE3016" s="249" t="str">
        <f>HYPERLINK("https://scontent.cdninstagram.com/t51.2885-19/s150x150/20969318_163506604224066_8451668608215416832_n.jpg")</f>
        <v>https://scontent.cdninstagram.com/t51.2885-19/s150x150/20969318_163506604224066_8451668608215416832_n.jpg</v>
      </c>
    </row>
    <row r="3017" spans="1:31" ht="15" x14ac:dyDescent="0.25">
      <c r="A3017" t="s">
        <v>2474</v>
      </c>
      <c r="B3017" t="s">
        <v>6819</v>
      </c>
      <c r="C3017" s="221">
        <v>42973.952662037038</v>
      </c>
      <c r="D3017" t="s">
        <v>17894</v>
      </c>
      <c r="E3017" s="249" t="str">
        <f>HYPERLINK("https://www.instagram.com/p/BYR_hPWlyD_/")</f>
        <v>https://www.instagram.com/p/BYR_hPWlyD_/</v>
      </c>
      <c r="F3017" t="s">
        <v>17895</v>
      </c>
      <c r="G3017" t="s">
        <v>2478</v>
      </c>
      <c r="H3017">
        <v>43750</v>
      </c>
      <c r="I3017" t="s">
        <v>2479</v>
      </c>
      <c r="J3017">
        <v>33</v>
      </c>
      <c r="K3017">
        <v>1491</v>
      </c>
      <c r="L3017">
        <v>1524</v>
      </c>
      <c r="Q3017">
        <v>0</v>
      </c>
      <c r="R3017">
        <v>0</v>
      </c>
      <c r="S3017">
        <v>1524</v>
      </c>
      <c r="Y3017" t="s">
        <v>11831</v>
      </c>
      <c r="Z3017" t="s">
        <v>17896</v>
      </c>
      <c r="AA3017" t="s">
        <v>7007</v>
      </c>
      <c r="AB3017" t="s">
        <v>17897</v>
      </c>
      <c r="AC3017" t="s">
        <v>6825</v>
      </c>
      <c r="AD3017" s="249" t="str">
        <f>HYPERLINK("https://scontent.cdninstagram.com/t51.2885-15/e35/p320x320/21041503_357252678038871_1638983176833466368_n.jpg")</f>
        <v>https://scontent.cdninstagram.com/t51.2885-15/e35/p320x320/21041503_357252678038871_1638983176833466368_n.jpg</v>
      </c>
      <c r="AE3017" s="249" t="str">
        <f>HYPERLINK("https://scontent.cdninstagram.com/t51.2885-19/s150x150/19932754_334176993683769_2034620166683230208_n.jpg")</f>
        <v>https://scontent.cdninstagram.com/t51.2885-19/s150x150/19932754_334176993683769_2034620166683230208_n.jpg</v>
      </c>
    </row>
    <row r="3018" spans="1:31" ht="15" x14ac:dyDescent="0.25">
      <c r="A3018" t="s">
        <v>2474</v>
      </c>
      <c r="B3018" t="s">
        <v>17898</v>
      </c>
      <c r="C3018" s="221">
        <v>42973.956655092596</v>
      </c>
      <c r="D3018" t="s">
        <v>17899</v>
      </c>
      <c r="E3018" s="249" t="str">
        <f>HYPERLINK("https://www.instagram.com/p/BYSALUujIPs/")</f>
        <v>https://www.instagram.com/p/BYSALUujIPs/</v>
      </c>
      <c r="F3018" t="s">
        <v>17900</v>
      </c>
      <c r="G3018" t="s">
        <v>2478</v>
      </c>
      <c r="H3018">
        <v>264</v>
      </c>
      <c r="I3018" t="s">
        <v>2479</v>
      </c>
      <c r="J3018">
        <v>0</v>
      </c>
      <c r="K3018">
        <v>44</v>
      </c>
      <c r="L3018">
        <v>44</v>
      </c>
      <c r="Q3018">
        <v>0</v>
      </c>
      <c r="R3018">
        <v>0</v>
      </c>
      <c r="S3018">
        <v>44</v>
      </c>
      <c r="Y3018" t="s">
        <v>2696</v>
      </c>
      <c r="Z3018" t="s">
        <v>2787</v>
      </c>
      <c r="AA3018" t="s">
        <v>6429</v>
      </c>
      <c r="AB3018" t="s">
        <v>17901</v>
      </c>
      <c r="AC3018" t="s">
        <v>3549</v>
      </c>
      <c r="AD3018" s="249" t="str">
        <f>HYPERLINK("https://scontent.cdninstagram.com/t51.2885-15/s320x320/e35/21107256_138276303446750_8469273043506561024_n.jpg")</f>
        <v>https://scontent.cdninstagram.com/t51.2885-15/s320x320/e35/21107256_138276303446750_8469273043506561024_n.jpg</v>
      </c>
      <c r="AE3018" s="249" t="str">
        <f>HYPERLINK("https://scontent.cdninstagram.com/t51.2885-19/s150x150/18160372_1197846480337284_5118997642646388736_a.jpg")</f>
        <v>https://scontent.cdninstagram.com/t51.2885-19/s150x150/18160372_1197846480337284_5118997642646388736_a.jpg</v>
      </c>
    </row>
    <row r="3019" spans="1:31" ht="15" x14ac:dyDescent="0.25">
      <c r="A3019" t="s">
        <v>2474</v>
      </c>
      <c r="B3019" t="s">
        <v>17902</v>
      </c>
      <c r="C3019" s="221">
        <v>42973.959594907406</v>
      </c>
      <c r="D3019" t="s">
        <v>17903</v>
      </c>
      <c r="E3019" s="249" t="str">
        <f>HYPERLINK("https://www.instagram.com/p/BYSAqZIFSEc/")</f>
        <v>https://www.instagram.com/p/BYSAqZIFSEc/</v>
      </c>
      <c r="F3019" t="s">
        <v>17904</v>
      </c>
      <c r="G3019" t="s">
        <v>2478</v>
      </c>
      <c r="H3019">
        <v>92</v>
      </c>
      <c r="I3019" t="s">
        <v>2542</v>
      </c>
      <c r="J3019">
        <v>0</v>
      </c>
      <c r="K3019">
        <v>2</v>
      </c>
      <c r="L3019">
        <v>2</v>
      </c>
      <c r="Q3019">
        <v>0</v>
      </c>
      <c r="R3019">
        <v>0</v>
      </c>
      <c r="S3019">
        <v>2</v>
      </c>
      <c r="Y3019" t="s">
        <v>2497</v>
      </c>
      <c r="Z3019" t="s">
        <v>17905</v>
      </c>
      <c r="AD3019" s="249" t="str">
        <f>HYPERLINK("https://scontent.cdninstagram.com/t51.2885-15/s320x320/e35/21107862_346900189090641_1852415224351555584_n.jpg")</f>
        <v>https://scontent.cdninstagram.com/t51.2885-15/s320x320/e35/21107862_346900189090641_1852415224351555584_n.jpg</v>
      </c>
      <c r="AE3019" s="249" t="str">
        <f>HYPERLINK("https://scontent.cdninstagram.com/t51.2885-19/s150x150/13267603_1748538028720572_1448895935_a.jpg")</f>
        <v>https://scontent.cdninstagram.com/t51.2885-19/s150x150/13267603_1748538028720572_1448895935_a.jpg</v>
      </c>
    </row>
    <row r="3020" spans="1:31" ht="15" x14ac:dyDescent="0.25">
      <c r="A3020" t="s">
        <v>2474</v>
      </c>
      <c r="B3020" t="s">
        <v>4535</v>
      </c>
      <c r="C3020" s="221">
        <v>42973.964039351849</v>
      </c>
      <c r="D3020" t="s">
        <v>17906</v>
      </c>
      <c r="E3020" s="249" t="str">
        <f>HYPERLINK("https://www.instagram.com/p/BYSBZMEFftO/")</f>
        <v>https://www.instagram.com/p/BYSBZMEFftO/</v>
      </c>
      <c r="F3020" t="s">
        <v>17907</v>
      </c>
      <c r="G3020" t="s">
        <v>2478</v>
      </c>
      <c r="H3020">
        <v>174</v>
      </c>
      <c r="I3020" t="s">
        <v>2479</v>
      </c>
      <c r="J3020">
        <v>0</v>
      </c>
      <c r="K3020">
        <v>15</v>
      </c>
      <c r="L3020">
        <v>15</v>
      </c>
      <c r="Q3020">
        <v>0</v>
      </c>
      <c r="R3020">
        <v>0</v>
      </c>
      <c r="S3020">
        <v>15</v>
      </c>
      <c r="Y3020" t="s">
        <v>5606</v>
      </c>
      <c r="Z3020" t="s">
        <v>13436</v>
      </c>
      <c r="AA3020" t="s">
        <v>5605</v>
      </c>
      <c r="AB3020" t="s">
        <v>2497</v>
      </c>
      <c r="AC3020" t="s">
        <v>8844</v>
      </c>
      <c r="AD3020" s="249" t="str">
        <f>HYPERLINK("https://scontent.cdninstagram.com/t51.2885-15/s320x320/e35/c6.0.627.627/21147797_1403829476338315_5806312608961134592_n.jpg")</f>
        <v>https://scontent.cdninstagram.com/t51.2885-15/s320x320/e35/c6.0.627.627/21147797_1403829476338315_5806312608961134592_n.jpg</v>
      </c>
      <c r="AE3020" s="249" t="str">
        <f>HYPERLINK("https://scontent.cdninstagram.com/t51.2885-19/s150x150/20399028_1624608414236560_533007696291430400_a.jpg")</f>
        <v>https://scontent.cdninstagram.com/t51.2885-19/s150x150/20399028_1624608414236560_533007696291430400_a.jpg</v>
      </c>
    </row>
    <row r="3021" spans="1:31" ht="15" x14ac:dyDescent="0.25">
      <c r="A3021" t="s">
        <v>2474</v>
      </c>
      <c r="B3021" t="s">
        <v>4535</v>
      </c>
      <c r="C3021" s="221">
        <v>42973.965509259258</v>
      </c>
      <c r="D3021" t="s">
        <v>17908</v>
      </c>
      <c r="E3021" s="249" t="str">
        <f>HYPERLINK("https://www.instagram.com/p/BYSBoxdFtCS/")</f>
        <v>https://www.instagram.com/p/BYSBoxdFtCS/</v>
      </c>
      <c r="F3021" t="s">
        <v>17909</v>
      </c>
      <c r="G3021" t="s">
        <v>2478</v>
      </c>
      <c r="H3021">
        <v>174</v>
      </c>
      <c r="I3021" t="s">
        <v>2479</v>
      </c>
      <c r="J3021">
        <v>1</v>
      </c>
      <c r="K3021">
        <v>23</v>
      </c>
      <c r="L3021">
        <v>24</v>
      </c>
      <c r="Q3021">
        <v>0</v>
      </c>
      <c r="R3021">
        <v>0</v>
      </c>
      <c r="S3021">
        <v>24</v>
      </c>
      <c r="Y3021" t="s">
        <v>4540</v>
      </c>
      <c r="Z3021" t="s">
        <v>10673</v>
      </c>
      <c r="AA3021" t="s">
        <v>13436</v>
      </c>
      <c r="AB3021" t="s">
        <v>12421</v>
      </c>
      <c r="AC3021" t="s">
        <v>10684</v>
      </c>
      <c r="AD3021" s="249" t="str">
        <f>HYPERLINK("https://scontent.cdninstagram.com/t51.2885-15/s320x320/e35/21107496_1498040220276274_7589654670314831872_n.jpg")</f>
        <v>https://scontent.cdninstagram.com/t51.2885-15/s320x320/e35/21107496_1498040220276274_7589654670314831872_n.jpg</v>
      </c>
      <c r="AE3021" s="249" t="str">
        <f>HYPERLINK("https://scontent.cdninstagram.com/t51.2885-19/s150x150/20399028_1624608414236560_533007696291430400_a.jpg")</f>
        <v>https://scontent.cdninstagram.com/t51.2885-19/s150x150/20399028_1624608414236560_533007696291430400_a.jpg</v>
      </c>
    </row>
    <row r="3022" spans="1:31" ht="15" x14ac:dyDescent="0.25">
      <c r="A3022" t="s">
        <v>2474</v>
      </c>
      <c r="B3022" t="s">
        <v>4535</v>
      </c>
      <c r="C3022" s="221">
        <v>42973.968935185185</v>
      </c>
      <c r="D3022" t="s">
        <v>17910</v>
      </c>
      <c r="E3022" s="249" t="str">
        <f>HYPERLINK("https://www.instagram.com/p/BYSCM3wl3gT/")</f>
        <v>https://www.instagram.com/p/BYSCM3wl3gT/</v>
      </c>
      <c r="F3022" t="s">
        <v>17911</v>
      </c>
      <c r="G3022" t="s">
        <v>2478</v>
      </c>
      <c r="H3022">
        <v>174</v>
      </c>
      <c r="I3022" t="s">
        <v>2479</v>
      </c>
      <c r="J3022">
        <v>5</v>
      </c>
      <c r="K3022">
        <v>20</v>
      </c>
      <c r="L3022">
        <v>25</v>
      </c>
      <c r="Q3022">
        <v>0</v>
      </c>
      <c r="R3022">
        <v>0</v>
      </c>
      <c r="S3022">
        <v>25</v>
      </c>
      <c r="Y3022" t="s">
        <v>4540</v>
      </c>
      <c r="Z3022" t="s">
        <v>10673</v>
      </c>
      <c r="AA3022" t="s">
        <v>13436</v>
      </c>
      <c r="AB3022" t="s">
        <v>12421</v>
      </c>
      <c r="AC3022" t="s">
        <v>10684</v>
      </c>
      <c r="AD3022" s="249" t="str">
        <f>HYPERLINK("https://scontent.cdninstagram.com/t51.2885-15/s320x320/e35/21041889_476278722747486_8061908112879124480_n.jpg")</f>
        <v>https://scontent.cdninstagram.com/t51.2885-15/s320x320/e35/21041889_476278722747486_8061908112879124480_n.jpg</v>
      </c>
      <c r="AE3022" s="249" t="str">
        <f>HYPERLINK("https://scontent.cdninstagram.com/t51.2885-19/s150x150/20399028_1624608414236560_533007696291430400_a.jpg")</f>
        <v>https://scontent.cdninstagram.com/t51.2885-19/s150x150/20399028_1624608414236560_533007696291430400_a.jpg</v>
      </c>
    </row>
    <row r="3023" spans="1:31" ht="15" x14ac:dyDescent="0.25">
      <c r="A3023" t="s">
        <v>2474</v>
      </c>
      <c r="B3023" t="s">
        <v>4535</v>
      </c>
      <c r="C3023" s="221">
        <v>42973.970219907409</v>
      </c>
      <c r="D3023" t="s">
        <v>17912</v>
      </c>
      <c r="E3023" s="249" t="str">
        <f>HYPERLINK("https://www.instagram.com/p/BYSCabYFyyk/")</f>
        <v>https://www.instagram.com/p/BYSCabYFyyk/</v>
      </c>
      <c r="F3023" t="s">
        <v>17913</v>
      </c>
      <c r="G3023" t="s">
        <v>2478</v>
      </c>
      <c r="H3023">
        <v>174</v>
      </c>
      <c r="I3023" t="s">
        <v>2479</v>
      </c>
      <c r="J3023">
        <v>0</v>
      </c>
      <c r="K3023">
        <v>23</v>
      </c>
      <c r="L3023">
        <v>23</v>
      </c>
      <c r="Q3023">
        <v>0</v>
      </c>
      <c r="R3023">
        <v>0</v>
      </c>
      <c r="S3023">
        <v>23</v>
      </c>
      <c r="Y3023" t="s">
        <v>4540</v>
      </c>
      <c r="Z3023" t="s">
        <v>10673</v>
      </c>
      <c r="AA3023" t="s">
        <v>13436</v>
      </c>
      <c r="AB3023" t="s">
        <v>12421</v>
      </c>
      <c r="AC3023" t="s">
        <v>10684</v>
      </c>
      <c r="AD3023" s="249" t="str">
        <f>HYPERLINK("https://scontent.cdninstagram.com/t51.2885-15/e35/p320x320/21107299_1568212553252850_1569097105375494144_n.jpg")</f>
        <v>https://scontent.cdninstagram.com/t51.2885-15/e35/p320x320/21107299_1568212553252850_1569097105375494144_n.jpg</v>
      </c>
      <c r="AE3023" s="249" t="str">
        <f>HYPERLINK("https://scontent.cdninstagram.com/t51.2885-19/s150x150/20399028_1624608414236560_533007696291430400_a.jpg")</f>
        <v>https://scontent.cdninstagram.com/t51.2885-19/s150x150/20399028_1624608414236560_533007696291430400_a.jpg</v>
      </c>
    </row>
    <row r="3024" spans="1:31" ht="15" x14ac:dyDescent="0.25">
      <c r="A3024" t="s">
        <v>2474</v>
      </c>
      <c r="B3024" t="s">
        <v>4535</v>
      </c>
      <c r="C3024" s="221">
        <v>42973.976805555554</v>
      </c>
      <c r="D3024" t="s">
        <v>17914</v>
      </c>
      <c r="E3024" s="249" t="str">
        <f>HYPERLINK("https://www.instagram.com/p/BYSDf4olUge/")</f>
        <v>https://www.instagram.com/p/BYSDf4olUge/</v>
      </c>
      <c r="F3024" t="s">
        <v>17915</v>
      </c>
      <c r="G3024" t="s">
        <v>2478</v>
      </c>
      <c r="H3024">
        <v>172</v>
      </c>
      <c r="I3024" t="s">
        <v>2479</v>
      </c>
      <c r="J3024">
        <v>0</v>
      </c>
      <c r="K3024">
        <v>1</v>
      </c>
      <c r="L3024">
        <v>1</v>
      </c>
      <c r="Q3024">
        <v>0</v>
      </c>
      <c r="R3024">
        <v>0</v>
      </c>
      <c r="S3024">
        <v>1</v>
      </c>
      <c r="Y3024" t="s">
        <v>13436</v>
      </c>
      <c r="Z3024" t="s">
        <v>8845</v>
      </c>
      <c r="AA3024" t="s">
        <v>10684</v>
      </c>
      <c r="AB3024" t="s">
        <v>5606</v>
      </c>
      <c r="AC3024" t="s">
        <v>12421</v>
      </c>
      <c r="AD3024" s="249" t="str">
        <f>HYPERLINK("https://scontent.cdninstagram.com/t51.2885-15/s320x320/e35/c0.74.764.764/21042062_1945071165741457_1857723584886079488_n.jpg")</f>
        <v>https://scontent.cdninstagram.com/t51.2885-15/s320x320/e35/c0.74.764.764/21042062_1945071165741457_1857723584886079488_n.jpg</v>
      </c>
      <c r="AE3024" s="249" t="str">
        <f>HYPERLINK("https://scontent.cdninstagram.com/t51.2885-19/s150x150/20399028_1624608414236560_533007696291430400_a.jpg")</f>
        <v>https://scontent.cdninstagram.com/t51.2885-19/s150x150/20399028_1624608414236560_533007696291430400_a.jpg</v>
      </c>
    </row>
    <row r="3025" spans="1:31" ht="15" x14ac:dyDescent="0.25">
      <c r="A3025" t="s">
        <v>2474</v>
      </c>
      <c r="B3025" t="s">
        <v>17916</v>
      </c>
      <c r="C3025" s="221">
        <v>42973.979907407411</v>
      </c>
      <c r="D3025" t="s">
        <v>17917</v>
      </c>
      <c r="E3025" s="249" t="str">
        <f>HYPERLINK("https://www.instagram.com/p/BYSEAndFOfT/")</f>
        <v>https://www.instagram.com/p/BYSEAndFOfT/</v>
      </c>
      <c r="F3025" t="s">
        <v>17918</v>
      </c>
      <c r="G3025" t="s">
        <v>2478</v>
      </c>
      <c r="H3025">
        <v>113</v>
      </c>
      <c r="I3025" t="s">
        <v>2479</v>
      </c>
      <c r="J3025">
        <v>0</v>
      </c>
      <c r="K3025">
        <v>7</v>
      </c>
      <c r="L3025">
        <v>7</v>
      </c>
      <c r="Q3025">
        <v>0</v>
      </c>
      <c r="R3025">
        <v>0</v>
      </c>
      <c r="S3025">
        <v>7</v>
      </c>
      <c r="Y3025" t="s">
        <v>3598</v>
      </c>
      <c r="Z3025" t="s">
        <v>15915</v>
      </c>
      <c r="AA3025" t="s">
        <v>17919</v>
      </c>
      <c r="AB3025" t="s">
        <v>2497</v>
      </c>
      <c r="AD3025" s="249" t="str">
        <f>HYPERLINK("https://scontent.cdninstagram.com/t51.2885-15/s320x320/e35/21041786_300362120435777_6414075014198329344_n.jpg")</f>
        <v>https://scontent.cdninstagram.com/t51.2885-15/s320x320/e35/21041786_300362120435777_6414075014198329344_n.jpg</v>
      </c>
      <c r="AE3025" s="249" t="str">
        <f>HYPERLINK("https://scontent.cdninstagram.com/t51.2885-19/s150x150/19933345_449730938743814_4838413004066258944_a.jpg")</f>
        <v>https://scontent.cdninstagram.com/t51.2885-19/s150x150/19933345_449730938743814_4838413004066258944_a.jpg</v>
      </c>
    </row>
    <row r="3026" spans="1:31" ht="15" x14ac:dyDescent="0.25">
      <c r="A3026" t="s">
        <v>2474</v>
      </c>
      <c r="B3026" t="s">
        <v>4535</v>
      </c>
      <c r="C3026" s="221">
        <v>42973.981041666666</v>
      </c>
      <c r="D3026" t="s">
        <v>17920</v>
      </c>
      <c r="E3026" s="249" t="str">
        <f>HYPERLINK("https://www.instagram.com/p/BYSEMmblF9y/")</f>
        <v>https://www.instagram.com/p/BYSEMmblF9y/</v>
      </c>
      <c r="F3026" t="s">
        <v>17921</v>
      </c>
      <c r="G3026" t="s">
        <v>2478</v>
      </c>
      <c r="H3026">
        <v>175</v>
      </c>
      <c r="I3026" t="s">
        <v>2479</v>
      </c>
      <c r="J3026">
        <v>0</v>
      </c>
      <c r="K3026">
        <v>22</v>
      </c>
      <c r="L3026">
        <v>22</v>
      </c>
      <c r="Q3026">
        <v>0</v>
      </c>
      <c r="R3026">
        <v>0</v>
      </c>
      <c r="S3026">
        <v>22</v>
      </c>
      <c r="Y3026" t="s">
        <v>4540</v>
      </c>
      <c r="Z3026" t="s">
        <v>10673</v>
      </c>
      <c r="AA3026" t="s">
        <v>13436</v>
      </c>
      <c r="AB3026" t="s">
        <v>12421</v>
      </c>
      <c r="AC3026" t="s">
        <v>10684</v>
      </c>
      <c r="AD3026" s="249" t="str">
        <f>HYPERLINK("https://scontent.cdninstagram.com/t51.2885-15/s320x320/e35/21042356_1637379709617583_3284482553494372352_n.jpg")</f>
        <v>https://scontent.cdninstagram.com/t51.2885-15/s320x320/e35/21042356_1637379709617583_3284482553494372352_n.jpg</v>
      </c>
      <c r="AE3026" s="249" t="str">
        <f>HYPERLINK("https://scontent.cdninstagram.com/t51.2885-19/s150x150/20399028_1624608414236560_533007696291430400_a.jpg")</f>
        <v>https://scontent.cdninstagram.com/t51.2885-19/s150x150/20399028_1624608414236560_533007696291430400_a.jpg</v>
      </c>
    </row>
    <row r="3027" spans="1:31" ht="15" x14ac:dyDescent="0.25">
      <c r="A3027" t="s">
        <v>2474</v>
      </c>
      <c r="B3027" t="s">
        <v>4535</v>
      </c>
      <c r="C3027" s="221">
        <v>42973.981099537035</v>
      </c>
      <c r="D3027" t="s">
        <v>17922</v>
      </c>
      <c r="E3027" s="249" t="str">
        <f>HYPERLINK("https://www.instagram.com/p/BYSENIHFRlv/")</f>
        <v>https://www.instagram.com/p/BYSENIHFRlv/</v>
      </c>
      <c r="F3027" t="s">
        <v>17923</v>
      </c>
      <c r="G3027" t="s">
        <v>2478</v>
      </c>
      <c r="H3027">
        <v>175</v>
      </c>
      <c r="I3027" t="s">
        <v>2479</v>
      </c>
      <c r="J3027">
        <v>0</v>
      </c>
      <c r="K3027">
        <v>26</v>
      </c>
      <c r="L3027">
        <v>26</v>
      </c>
      <c r="Q3027">
        <v>0</v>
      </c>
      <c r="R3027">
        <v>0</v>
      </c>
      <c r="S3027">
        <v>26</v>
      </c>
      <c r="Y3027" t="s">
        <v>4540</v>
      </c>
      <c r="Z3027" t="s">
        <v>10673</v>
      </c>
      <c r="AA3027" t="s">
        <v>13436</v>
      </c>
      <c r="AB3027" t="s">
        <v>12421</v>
      </c>
      <c r="AC3027" t="s">
        <v>10684</v>
      </c>
      <c r="AD3027" s="249" t="str">
        <f>HYPERLINK("https://scontent.cdninstagram.com/t51.2885-15/e35/p320x320/21147323_1562282037171660_4774683098212204544_n.jpg")</f>
        <v>https://scontent.cdninstagram.com/t51.2885-15/e35/p320x320/21147323_1562282037171660_4774683098212204544_n.jpg</v>
      </c>
      <c r="AE3027" s="249" t="str">
        <f>HYPERLINK("https://scontent.cdninstagram.com/t51.2885-19/s150x150/20399028_1624608414236560_533007696291430400_a.jpg")</f>
        <v>https://scontent.cdninstagram.com/t51.2885-19/s150x150/20399028_1624608414236560_533007696291430400_a.jpg</v>
      </c>
    </row>
    <row r="3028" spans="1:31" ht="15" x14ac:dyDescent="0.25">
      <c r="A3028" t="s">
        <v>2474</v>
      </c>
      <c r="B3028" t="s">
        <v>4535</v>
      </c>
      <c r="C3028" s="221">
        <v>42973.98847222222</v>
      </c>
      <c r="D3028" t="s">
        <v>17924</v>
      </c>
      <c r="E3028" s="249" t="str">
        <f>HYPERLINK("https://www.instagram.com/p/BYSFa8Wl5oe/")</f>
        <v>https://www.instagram.com/p/BYSFa8Wl5oe/</v>
      </c>
      <c r="F3028" t="s">
        <v>17925</v>
      </c>
      <c r="G3028" t="s">
        <v>2478</v>
      </c>
      <c r="H3028">
        <v>175</v>
      </c>
      <c r="I3028" t="s">
        <v>2479</v>
      </c>
      <c r="J3028">
        <v>1</v>
      </c>
      <c r="K3028">
        <v>27</v>
      </c>
      <c r="L3028">
        <v>28</v>
      </c>
      <c r="Q3028">
        <v>0</v>
      </c>
      <c r="R3028">
        <v>0</v>
      </c>
      <c r="S3028">
        <v>28</v>
      </c>
      <c r="Y3028" t="s">
        <v>5605</v>
      </c>
      <c r="Z3028" t="s">
        <v>5607</v>
      </c>
      <c r="AA3028" t="s">
        <v>12358</v>
      </c>
      <c r="AB3028" t="s">
        <v>3174</v>
      </c>
      <c r="AC3028" t="s">
        <v>5608</v>
      </c>
      <c r="AD3028" s="249" t="str">
        <f>HYPERLINK("https://scontent.cdninstagram.com/t51.2885-15/s320x320/e35/21149582_1945888092336462_7586487647330107392_n.jpg")</f>
        <v>https://scontent.cdninstagram.com/t51.2885-15/s320x320/e35/21149582_1945888092336462_7586487647330107392_n.jpg</v>
      </c>
      <c r="AE3028" s="249" t="str">
        <f>HYPERLINK("https://scontent.cdninstagram.com/t51.2885-19/s150x150/20399028_1624608414236560_533007696291430400_a.jpg")</f>
        <v>https://scontent.cdninstagram.com/t51.2885-19/s150x150/20399028_1624608414236560_533007696291430400_a.jpg</v>
      </c>
    </row>
    <row r="3029" spans="1:31" ht="15" x14ac:dyDescent="0.25">
      <c r="A3029" t="s">
        <v>2474</v>
      </c>
      <c r="B3029" t="s">
        <v>4535</v>
      </c>
      <c r="C3029" s="221">
        <v>42973.990995370368</v>
      </c>
      <c r="D3029" t="s">
        <v>17926</v>
      </c>
      <c r="E3029" s="249" t="str">
        <f>HYPERLINK("https://www.instagram.com/p/BYSF1ijFLKf/")</f>
        <v>https://www.instagram.com/p/BYSF1ijFLKf/</v>
      </c>
      <c r="F3029" t="s">
        <v>17927</v>
      </c>
      <c r="G3029" t="s">
        <v>2478</v>
      </c>
      <c r="H3029">
        <v>175</v>
      </c>
      <c r="I3029" t="s">
        <v>2479</v>
      </c>
      <c r="J3029">
        <v>3</v>
      </c>
      <c r="K3029">
        <v>36</v>
      </c>
      <c r="L3029">
        <v>39</v>
      </c>
      <c r="Q3029">
        <v>0</v>
      </c>
      <c r="R3029">
        <v>0</v>
      </c>
      <c r="S3029">
        <v>39</v>
      </c>
      <c r="Y3029" t="s">
        <v>4540</v>
      </c>
      <c r="Z3029" t="s">
        <v>10673</v>
      </c>
      <c r="AA3029" t="s">
        <v>13436</v>
      </c>
      <c r="AB3029" t="s">
        <v>12421</v>
      </c>
      <c r="AC3029" t="s">
        <v>10684</v>
      </c>
      <c r="AD3029" s="249" t="str">
        <f>HYPERLINK("https://scontent.cdninstagram.com/t51.2885-15/s320x320/e35/21041964_454110581648933_139847150224801792_n.jpg")</f>
        <v>https://scontent.cdninstagram.com/t51.2885-15/s320x320/e35/21041964_454110581648933_139847150224801792_n.jpg</v>
      </c>
      <c r="AE3029" s="249" t="str">
        <f>HYPERLINK("https://scontent.cdninstagram.com/t51.2885-19/s150x150/20399028_1624608414236560_533007696291430400_a.jpg")</f>
        <v>https://scontent.cdninstagram.com/t51.2885-19/s150x150/20399028_1624608414236560_533007696291430400_a.jpg</v>
      </c>
    </row>
    <row r="3030" spans="1:31" ht="15" x14ac:dyDescent="0.25">
      <c r="A3030" t="s">
        <v>2474</v>
      </c>
      <c r="B3030" t="s">
        <v>4535</v>
      </c>
      <c r="C3030" s="221">
        <v>42974.020729166667</v>
      </c>
      <c r="D3030" t="s">
        <v>17928</v>
      </c>
      <c r="E3030" s="249" t="str">
        <f>HYPERLINK("https://www.instagram.com/p/BYSKvJ7lG9R/")</f>
        <v>https://www.instagram.com/p/BYSKvJ7lG9R/</v>
      </c>
      <c r="F3030" t="s">
        <v>17929</v>
      </c>
      <c r="G3030" t="s">
        <v>2478</v>
      </c>
      <c r="H3030">
        <v>176</v>
      </c>
      <c r="I3030" t="s">
        <v>2479</v>
      </c>
      <c r="J3030">
        <v>4</v>
      </c>
      <c r="K3030">
        <v>33</v>
      </c>
      <c r="L3030">
        <v>37</v>
      </c>
      <c r="Q3030">
        <v>0</v>
      </c>
      <c r="R3030">
        <v>0</v>
      </c>
      <c r="S3030">
        <v>37</v>
      </c>
      <c r="Y3030" t="s">
        <v>4540</v>
      </c>
      <c r="Z3030" t="s">
        <v>10673</v>
      </c>
      <c r="AA3030" t="s">
        <v>13436</v>
      </c>
      <c r="AB3030" t="s">
        <v>12421</v>
      </c>
      <c r="AC3030" t="s">
        <v>10684</v>
      </c>
      <c r="AD3030" s="249" t="str">
        <f>HYPERLINK("https://scontent.cdninstagram.com/t51.2885-15/s320x320/e35/21041399_124158321491430_998249875327942656_n.jpg")</f>
        <v>https://scontent.cdninstagram.com/t51.2885-15/s320x320/e35/21041399_124158321491430_998249875327942656_n.jpg</v>
      </c>
      <c r="AE3030" s="249" t="str">
        <f>HYPERLINK("https://scontent.cdninstagram.com/t51.2885-19/s150x150/20399028_1624608414236560_533007696291430400_a.jpg")</f>
        <v>https://scontent.cdninstagram.com/t51.2885-19/s150x150/20399028_1624608414236560_533007696291430400_a.jpg</v>
      </c>
    </row>
    <row r="3031" spans="1:31" ht="15" x14ac:dyDescent="0.25">
      <c r="A3031" t="s">
        <v>2474</v>
      </c>
      <c r="B3031" t="s">
        <v>2644</v>
      </c>
      <c r="C3031" s="221">
        <v>42974.025023148148</v>
      </c>
      <c r="D3031" t="s">
        <v>17930</v>
      </c>
      <c r="E3031" s="249" t="str">
        <f>HYPERLINK("https://www.instagram.com/p/BYSLcaeg-QT/")</f>
        <v>https://www.instagram.com/p/BYSLcaeg-QT/</v>
      </c>
      <c r="F3031" t="s">
        <v>17931</v>
      </c>
      <c r="G3031" t="s">
        <v>2488</v>
      </c>
      <c r="H3031">
        <v>1727</v>
      </c>
      <c r="I3031" t="s">
        <v>2479</v>
      </c>
      <c r="J3031">
        <v>2</v>
      </c>
      <c r="K3031">
        <v>127</v>
      </c>
      <c r="L3031">
        <v>129</v>
      </c>
      <c r="Q3031">
        <v>0</v>
      </c>
      <c r="R3031">
        <v>0</v>
      </c>
      <c r="S3031">
        <v>129</v>
      </c>
      <c r="T3031" t="s">
        <v>17932</v>
      </c>
      <c r="V3031" t="s">
        <v>2648</v>
      </c>
      <c r="W3031">
        <v>55.761769999999999</v>
      </c>
      <c r="X3031">
        <v>37.636150000000001</v>
      </c>
      <c r="Y3031" t="s">
        <v>5928</v>
      </c>
      <c r="Z3031" t="s">
        <v>5492</v>
      </c>
      <c r="AA3031" t="s">
        <v>5902</v>
      </c>
      <c r="AB3031" t="s">
        <v>2652</v>
      </c>
      <c r="AC3031" t="s">
        <v>2649</v>
      </c>
      <c r="AD3031" s="249" t="str">
        <f>HYPERLINK("https://scontent.cdninstagram.com/t51.2885-15/s320x320/e35/21042846_113827055988144_6305655608557174784_n.jpg")</f>
        <v>https://scontent.cdninstagram.com/t51.2885-15/s320x320/e35/21042846_113827055988144_6305655608557174784_n.jpg</v>
      </c>
      <c r="AE3031" s="249" t="str">
        <f>HYPERLINK("https://scontent.cdninstagram.com/t51.2885-19/11372086_1598451257062069_1320225693_a.jpg")</f>
        <v>https://scontent.cdninstagram.com/t51.2885-19/11372086_1598451257062069_1320225693_a.jpg</v>
      </c>
    </row>
    <row r="3032" spans="1:31" ht="15" x14ac:dyDescent="0.25">
      <c r="A3032" t="s">
        <v>2474</v>
      </c>
      <c r="B3032" t="s">
        <v>17933</v>
      </c>
      <c r="C3032" s="221">
        <v>42974.027708333335</v>
      </c>
      <c r="D3032" t="s">
        <v>17934</v>
      </c>
      <c r="E3032" s="249" t="str">
        <f>HYPERLINK("https://www.instagram.com/p/BYSL4sTl8Jc/")</f>
        <v>https://www.instagram.com/p/BYSL4sTl8Jc/</v>
      </c>
      <c r="F3032" t="s">
        <v>17935</v>
      </c>
      <c r="G3032" t="s">
        <v>2478</v>
      </c>
      <c r="H3032">
        <v>235</v>
      </c>
      <c r="I3032" t="s">
        <v>2479</v>
      </c>
      <c r="J3032">
        <v>2</v>
      </c>
      <c r="K3032">
        <v>45</v>
      </c>
      <c r="L3032">
        <v>47</v>
      </c>
      <c r="Q3032">
        <v>0</v>
      </c>
      <c r="R3032">
        <v>0</v>
      </c>
      <c r="S3032">
        <v>47</v>
      </c>
      <c r="Y3032" t="s">
        <v>5118</v>
      </c>
      <c r="Z3032" t="s">
        <v>6219</v>
      </c>
      <c r="AA3032" t="s">
        <v>17936</v>
      </c>
      <c r="AB3032" t="s">
        <v>5629</v>
      </c>
      <c r="AC3032" t="s">
        <v>7212</v>
      </c>
      <c r="AD3032" s="249" t="str">
        <f>HYPERLINK("https://scontent.cdninstagram.com/t51.2885-15/e35/p320x320/21041411_113144442728001_3131297408101646336_n.jpg")</f>
        <v>https://scontent.cdninstagram.com/t51.2885-15/e35/p320x320/21041411_113144442728001_3131297408101646336_n.jpg</v>
      </c>
      <c r="AE3032" s="249" t="str">
        <f>HYPERLINK("https://scontent.cdninstagram.com/t51.2885-19/s150x150/21147915_1710927039213985_7464107630881931264_a.jpg")</f>
        <v>https://scontent.cdninstagram.com/t51.2885-19/s150x150/21147915_1710927039213985_7464107630881931264_a.jpg</v>
      </c>
    </row>
    <row r="3033" spans="1:31" ht="15" x14ac:dyDescent="0.25">
      <c r="A3033" t="s">
        <v>2474</v>
      </c>
      <c r="B3033" t="s">
        <v>17937</v>
      </c>
      <c r="C3033" s="221">
        <v>42974.03434027778</v>
      </c>
      <c r="D3033" t="s">
        <v>17938</v>
      </c>
      <c r="E3033" s="249" t="str">
        <f>HYPERLINK("https://www.instagram.com/p/BYSM-rHFWQY/")</f>
        <v>https://www.instagram.com/p/BYSM-rHFWQY/</v>
      </c>
      <c r="F3033" t="s">
        <v>17939</v>
      </c>
      <c r="G3033" t="s">
        <v>2478</v>
      </c>
      <c r="H3033">
        <v>80</v>
      </c>
      <c r="I3033" t="s">
        <v>2479</v>
      </c>
      <c r="J3033">
        <v>0</v>
      </c>
      <c r="K3033">
        <v>44</v>
      </c>
      <c r="L3033">
        <v>44</v>
      </c>
      <c r="Q3033">
        <v>0</v>
      </c>
      <c r="R3033">
        <v>0</v>
      </c>
      <c r="S3033">
        <v>44</v>
      </c>
      <c r="Y3033" t="s">
        <v>17940</v>
      </c>
      <c r="Z3033" t="s">
        <v>17941</v>
      </c>
      <c r="AA3033" t="s">
        <v>17942</v>
      </c>
      <c r="AB3033" t="s">
        <v>17943</v>
      </c>
      <c r="AC3033" t="s">
        <v>14622</v>
      </c>
      <c r="AD3033" s="249" t="str">
        <f>HYPERLINK("https://scontent.cdninstagram.com/t51.2885-15/e35/p320x320/21041613_2088411611393434_8000104538512031744_n.jpg")</f>
        <v>https://scontent.cdninstagram.com/t51.2885-15/e35/p320x320/21041613_2088411611393434_8000104538512031744_n.jpg</v>
      </c>
      <c r="AE3033" s="249" t="str">
        <f>HYPERLINK("https://scontent.cdninstagram.com/t51.2885-19/s150x150/21227034_366034993816251_5169141476021501952_a.jpg")</f>
        <v>https://scontent.cdninstagram.com/t51.2885-19/s150x150/21227034_366034993816251_5169141476021501952_a.jpg</v>
      </c>
    </row>
    <row r="3034" spans="1:31" ht="15" x14ac:dyDescent="0.25">
      <c r="A3034" t="s">
        <v>2474</v>
      </c>
      <c r="B3034" t="s">
        <v>17944</v>
      </c>
      <c r="C3034" s="221">
        <v>42974.040486111109</v>
      </c>
      <c r="D3034" t="s">
        <v>17945</v>
      </c>
      <c r="E3034" s="249" t="str">
        <f>HYPERLINK("https://www.instagram.com/p/BYSN_c2gwUl/")</f>
        <v>https://www.instagram.com/p/BYSN_c2gwUl/</v>
      </c>
      <c r="F3034" t="s">
        <v>17946</v>
      </c>
      <c r="G3034" t="s">
        <v>2478</v>
      </c>
      <c r="H3034">
        <v>173</v>
      </c>
      <c r="I3034" t="s">
        <v>2542</v>
      </c>
      <c r="J3034">
        <v>2</v>
      </c>
      <c r="K3034">
        <v>12</v>
      </c>
      <c r="L3034">
        <v>14</v>
      </c>
      <c r="Q3034">
        <v>0</v>
      </c>
      <c r="R3034">
        <v>0</v>
      </c>
      <c r="S3034">
        <v>14</v>
      </c>
      <c r="Y3034" t="s">
        <v>13269</v>
      </c>
      <c r="Z3034" t="s">
        <v>4710</v>
      </c>
      <c r="AA3034" t="s">
        <v>17947</v>
      </c>
      <c r="AB3034" t="s">
        <v>2497</v>
      </c>
      <c r="AD3034" s="249" t="str">
        <f>HYPERLINK("https://scontent.cdninstagram.com/t51.2885-15/s320x320/e35/21041932_1510522375690646_8570940326766706688_n.jpg")</f>
        <v>https://scontent.cdninstagram.com/t51.2885-15/s320x320/e35/21041932_1510522375690646_8570940326766706688_n.jpg</v>
      </c>
      <c r="AE3034" s="249" t="str">
        <f>HYPERLINK("https://scontent.cdninstagram.com/t51.2885-19/s150x150/13745239_1723542337897703_1808302560_a.jpg")</f>
        <v>https://scontent.cdninstagram.com/t51.2885-19/s150x150/13745239_1723542337897703_1808302560_a.jpg</v>
      </c>
    </row>
    <row r="3035" spans="1:31" ht="15" x14ac:dyDescent="0.25">
      <c r="A3035" t="s">
        <v>2474</v>
      </c>
      <c r="B3035" t="s">
        <v>17948</v>
      </c>
      <c r="C3035" s="221">
        <v>42974.055150462962</v>
      </c>
      <c r="D3035" t="s">
        <v>17949</v>
      </c>
      <c r="E3035" s="249" t="str">
        <f>HYPERLINK("https://www.instagram.com/p/BYSQaIRjY8a/")</f>
        <v>https://www.instagram.com/p/BYSQaIRjY8a/</v>
      </c>
      <c r="F3035" t="s">
        <v>17950</v>
      </c>
      <c r="G3035" t="s">
        <v>2478</v>
      </c>
      <c r="H3035">
        <v>283</v>
      </c>
      <c r="I3035" t="s">
        <v>2542</v>
      </c>
      <c r="J3035">
        <v>0</v>
      </c>
      <c r="K3035">
        <v>12</v>
      </c>
      <c r="L3035">
        <v>12</v>
      </c>
      <c r="Q3035">
        <v>0</v>
      </c>
      <c r="R3035">
        <v>0</v>
      </c>
      <c r="S3035">
        <v>12</v>
      </c>
      <c r="Y3035" t="s">
        <v>17951</v>
      </c>
      <c r="Z3035" t="s">
        <v>2497</v>
      </c>
      <c r="AD3035" s="249" t="str">
        <f>HYPERLINK("https://scontent.cdninstagram.com/t51.2885-15/e35/p320x320/21042145_1366346350130033_8651316404873592832_n.jpg")</f>
        <v>https://scontent.cdninstagram.com/t51.2885-15/e35/p320x320/21042145_1366346350130033_8651316404873592832_n.jpg</v>
      </c>
      <c r="AE3035" s="249" t="str">
        <f>HYPERLINK("https://scontent.cdninstagram.com/t51.2885-19/s150x150/14033443_325634997773391_89672368_a.jpg")</f>
        <v>https://scontent.cdninstagram.com/t51.2885-19/s150x150/14033443_325634997773391_89672368_a.jpg</v>
      </c>
    </row>
    <row r="3036" spans="1:31" ht="15" x14ac:dyDescent="0.25">
      <c r="A3036" t="s">
        <v>2474</v>
      </c>
      <c r="B3036" t="s">
        <v>17952</v>
      </c>
      <c r="C3036" s="221">
        <v>42974.059930555559</v>
      </c>
      <c r="D3036" t="s">
        <v>17953</v>
      </c>
      <c r="E3036" s="249" t="str">
        <f>HYPERLINK("https://www.instagram.com/p/BYSRMj4j46b/")</f>
        <v>https://www.instagram.com/p/BYSRMj4j46b/</v>
      </c>
      <c r="F3036" t="s">
        <v>17954</v>
      </c>
      <c r="G3036" t="s">
        <v>2478</v>
      </c>
      <c r="H3036">
        <v>4384</v>
      </c>
      <c r="I3036" t="s">
        <v>2479</v>
      </c>
      <c r="J3036">
        <v>0</v>
      </c>
      <c r="K3036">
        <v>91</v>
      </c>
      <c r="L3036">
        <v>91</v>
      </c>
      <c r="Q3036">
        <v>0</v>
      </c>
      <c r="R3036">
        <v>0</v>
      </c>
      <c r="S3036">
        <v>91</v>
      </c>
      <c r="T3036" t="s">
        <v>8942</v>
      </c>
      <c r="V3036" t="s">
        <v>2102</v>
      </c>
      <c r="W3036">
        <v>-33.86</v>
      </c>
      <c r="X3036">
        <v>151.21100000000001</v>
      </c>
      <c r="Y3036" t="s">
        <v>14502</v>
      </c>
      <c r="Z3036" t="s">
        <v>17955</v>
      </c>
      <c r="AA3036" t="s">
        <v>17956</v>
      </c>
      <c r="AB3036" t="s">
        <v>17957</v>
      </c>
      <c r="AC3036" t="s">
        <v>17958</v>
      </c>
      <c r="AD3036" s="249" t="str">
        <f>HYPERLINK("https://scontent.cdninstagram.com/t51.2885-15/s320x320/e35/21042712_1678277752205899_5898116899257974784_n.jpg")</f>
        <v>https://scontent.cdninstagram.com/t51.2885-15/s320x320/e35/21042712_1678277752205899_5898116899257974784_n.jpg</v>
      </c>
      <c r="AE3036" s="249" t="str">
        <f>HYPERLINK("https://scontent.cdninstagram.com/t51.2885-19/s150x150/15876725_1857404874494278_324300731274231808_a.jpg")</f>
        <v>https://scontent.cdninstagram.com/t51.2885-19/s150x150/15876725_1857404874494278_324300731274231808_a.jpg</v>
      </c>
    </row>
    <row r="3037" spans="1:31" ht="15" x14ac:dyDescent="0.25">
      <c r="A3037" t="s">
        <v>2474</v>
      </c>
      <c r="B3037" t="s">
        <v>17959</v>
      </c>
      <c r="C3037" s="221">
        <v>42974.062962962962</v>
      </c>
      <c r="D3037" t="s">
        <v>17960</v>
      </c>
      <c r="E3037" s="249" t="str">
        <f>HYPERLINK("https://www.instagram.com/p/BYSRshBH0hO/")</f>
        <v>https://www.instagram.com/p/BYSRshBH0hO/</v>
      </c>
      <c r="F3037" t="s">
        <v>17961</v>
      </c>
      <c r="G3037" t="s">
        <v>2478</v>
      </c>
      <c r="H3037">
        <v>136</v>
      </c>
      <c r="I3037" t="s">
        <v>2542</v>
      </c>
      <c r="J3037">
        <v>0</v>
      </c>
      <c r="K3037">
        <v>14</v>
      </c>
      <c r="L3037">
        <v>14</v>
      </c>
      <c r="Q3037">
        <v>0</v>
      </c>
      <c r="R3037">
        <v>0</v>
      </c>
      <c r="S3037">
        <v>14</v>
      </c>
      <c r="Y3037" t="s">
        <v>4407</v>
      </c>
      <c r="Z3037" t="s">
        <v>17261</v>
      </c>
      <c r="AA3037" t="s">
        <v>17962</v>
      </c>
      <c r="AB3037" t="s">
        <v>2497</v>
      </c>
      <c r="AC3037" t="s">
        <v>17963</v>
      </c>
      <c r="AD3037" s="249" t="str">
        <f>HYPERLINK("https://scontent.cdninstagram.com/t51.2885-15/e35/p320x320/21042866_217796602083374_5933092750684585984_n.jpg")</f>
        <v>https://scontent.cdninstagram.com/t51.2885-15/e35/p320x320/21042866_217796602083374_5933092750684585984_n.jpg</v>
      </c>
      <c r="AE3037" s="249" t="str">
        <f>HYPERLINK("https://scontent.cdninstagram.com/t51.2885-19/s150x150/11250167_435845049929582_1794179200_a.jpg")</f>
        <v>https://scontent.cdninstagram.com/t51.2885-19/s150x150/11250167_435845049929582_1794179200_a.jpg</v>
      </c>
    </row>
    <row r="3038" spans="1:31" ht="15" x14ac:dyDescent="0.25">
      <c r="A3038" t="s">
        <v>2474</v>
      </c>
      <c r="B3038" t="s">
        <v>16065</v>
      </c>
      <c r="C3038" s="221">
        <v>42974.067175925928</v>
      </c>
      <c r="D3038" t="s">
        <v>17964</v>
      </c>
      <c r="E3038" s="249" t="str">
        <f>HYPERLINK("https://www.instagram.com/p/BYSSZDtAqZv/")</f>
        <v>https://www.instagram.com/p/BYSSZDtAqZv/</v>
      </c>
      <c r="F3038" t="s">
        <v>17965</v>
      </c>
      <c r="G3038" t="s">
        <v>2478</v>
      </c>
      <c r="H3038">
        <v>639</v>
      </c>
      <c r="I3038" t="s">
        <v>2582</v>
      </c>
      <c r="J3038">
        <v>4</v>
      </c>
      <c r="K3038">
        <v>94</v>
      </c>
      <c r="L3038">
        <v>98</v>
      </c>
      <c r="Q3038">
        <v>0</v>
      </c>
      <c r="R3038">
        <v>0</v>
      </c>
      <c r="S3038">
        <v>98</v>
      </c>
      <c r="Y3038" t="s">
        <v>5229</v>
      </c>
      <c r="Z3038" t="s">
        <v>17966</v>
      </c>
      <c r="AA3038" t="s">
        <v>17967</v>
      </c>
      <c r="AB3038" t="s">
        <v>15267</v>
      </c>
      <c r="AC3038" t="s">
        <v>2497</v>
      </c>
      <c r="AD3038" s="249" t="str">
        <f>HYPERLINK("https://scontent.cdninstagram.com/t51.2885-15/e35/p320x320/21042379_167068690530548_1070447880436711424_n.jpg")</f>
        <v>https://scontent.cdninstagram.com/t51.2885-15/e35/p320x320/21042379_167068690530548_1070447880436711424_n.jpg</v>
      </c>
      <c r="AE3038" s="249" t="str">
        <f>HYPERLINK("https://scontent.cdninstagram.com/t51.2885-19/s150x150/18095317_424729927898262_7772791624844705792_a.jpg")</f>
        <v>https://scontent.cdninstagram.com/t51.2885-19/s150x150/18095317_424729927898262_7772791624844705792_a.jpg</v>
      </c>
    </row>
    <row r="3039" spans="1:31" ht="15" x14ac:dyDescent="0.25">
      <c r="A3039" t="s">
        <v>2474</v>
      </c>
      <c r="B3039" t="s">
        <v>4535</v>
      </c>
      <c r="C3039" s="221">
        <v>42974.067627314813</v>
      </c>
      <c r="D3039" t="s">
        <v>17968</v>
      </c>
      <c r="E3039" s="249" t="str">
        <f>HYPERLINK("https://www.instagram.com/p/BYSSdtEF10M/")</f>
        <v>https://www.instagram.com/p/BYSSdtEF10M/</v>
      </c>
      <c r="F3039" t="s">
        <v>17969</v>
      </c>
      <c r="G3039" t="s">
        <v>2478</v>
      </c>
      <c r="H3039">
        <v>178</v>
      </c>
      <c r="I3039" t="s">
        <v>2479</v>
      </c>
      <c r="J3039">
        <v>3</v>
      </c>
      <c r="K3039">
        <v>29</v>
      </c>
      <c r="L3039">
        <v>32</v>
      </c>
      <c r="Q3039">
        <v>0</v>
      </c>
      <c r="R3039">
        <v>0</v>
      </c>
      <c r="S3039">
        <v>32</v>
      </c>
      <c r="Y3039" t="s">
        <v>4540</v>
      </c>
      <c r="Z3039" t="s">
        <v>10673</v>
      </c>
      <c r="AA3039" t="s">
        <v>13436</v>
      </c>
      <c r="AB3039" t="s">
        <v>12421</v>
      </c>
      <c r="AC3039" t="s">
        <v>10684</v>
      </c>
      <c r="AD3039" s="249" t="str">
        <f>HYPERLINK("https://scontent.cdninstagram.com/t51.2885-15/s320x320/e35/21041366_500210883650504_8495497138858360832_n.jpg")</f>
        <v>https://scontent.cdninstagram.com/t51.2885-15/s320x320/e35/21041366_500210883650504_8495497138858360832_n.jpg</v>
      </c>
      <c r="AE3039" s="249" t="str">
        <f>HYPERLINK("https://scontent.cdninstagram.com/t51.2885-19/s150x150/20399028_1624608414236560_533007696291430400_a.jpg")</f>
        <v>https://scontent.cdninstagram.com/t51.2885-19/s150x150/20399028_1624608414236560_533007696291430400_a.jpg</v>
      </c>
    </row>
    <row r="3040" spans="1:31" ht="15" x14ac:dyDescent="0.25">
      <c r="A3040" t="s">
        <v>2474</v>
      </c>
      <c r="B3040" t="s">
        <v>11503</v>
      </c>
      <c r="C3040" s="221">
        <v>42974.087407407409</v>
      </c>
      <c r="D3040" t="s">
        <v>17970</v>
      </c>
      <c r="E3040" s="249" t="str">
        <f>HYPERLINK("https://www.instagram.com/p/BYSVuazg3IV/")</f>
        <v>https://www.instagram.com/p/BYSVuazg3IV/</v>
      </c>
      <c r="F3040" t="s">
        <v>17971</v>
      </c>
      <c r="G3040" t="s">
        <v>2478</v>
      </c>
      <c r="H3040">
        <v>370</v>
      </c>
      <c r="I3040" t="s">
        <v>2479</v>
      </c>
      <c r="J3040">
        <v>6</v>
      </c>
      <c r="K3040">
        <v>60</v>
      </c>
      <c r="L3040">
        <v>66</v>
      </c>
      <c r="Q3040">
        <v>0</v>
      </c>
      <c r="R3040">
        <v>0</v>
      </c>
      <c r="S3040">
        <v>66</v>
      </c>
      <c r="Y3040" t="s">
        <v>11532</v>
      </c>
      <c r="Z3040" t="s">
        <v>17972</v>
      </c>
      <c r="AA3040" t="s">
        <v>3399</v>
      </c>
      <c r="AB3040" t="s">
        <v>17973</v>
      </c>
      <c r="AD3040" s="249" t="str">
        <f>HYPERLINK("https://scontent.cdninstagram.com/t51.2885-15/s320x320/e35/21042042_361140047653080_8854618497146159104_n.jpg")</f>
        <v>https://scontent.cdninstagram.com/t51.2885-15/s320x320/e35/21042042_361140047653080_8854618497146159104_n.jpg</v>
      </c>
      <c r="AE3040" s="249" t="str">
        <f>HYPERLINK("https://scontent.cdninstagram.com/t51.2885-19/s150x150/15802750_195109014292066_160430944199639040_a.jpg")</f>
        <v>https://scontent.cdninstagram.com/t51.2885-19/s150x150/15802750_195109014292066_160430944199639040_a.jpg</v>
      </c>
    </row>
    <row r="3041" spans="1:31" ht="15" x14ac:dyDescent="0.25">
      <c r="A3041" t="s">
        <v>2474</v>
      </c>
      <c r="B3041" t="s">
        <v>17974</v>
      </c>
      <c r="C3041" s="221">
        <v>42974.090324074074</v>
      </c>
      <c r="D3041" t="s">
        <v>17975</v>
      </c>
      <c r="E3041" s="249" t="str">
        <f>HYPERLINK("https://www.instagram.com/p/BYSWNGEFfr0/")</f>
        <v>https://www.instagram.com/p/BYSWNGEFfr0/</v>
      </c>
      <c r="F3041" t="s">
        <v>17976</v>
      </c>
      <c r="G3041" t="s">
        <v>2478</v>
      </c>
      <c r="H3041">
        <v>140</v>
      </c>
      <c r="I3041" t="s">
        <v>2599</v>
      </c>
      <c r="J3041">
        <v>3</v>
      </c>
      <c r="K3041">
        <v>45</v>
      </c>
      <c r="L3041">
        <v>48</v>
      </c>
      <c r="Q3041">
        <v>0</v>
      </c>
      <c r="R3041">
        <v>0</v>
      </c>
      <c r="S3041">
        <v>48</v>
      </c>
      <c r="Y3041" t="s">
        <v>15336</v>
      </c>
      <c r="Z3041" t="s">
        <v>10094</v>
      </c>
      <c r="AA3041" t="s">
        <v>9393</v>
      </c>
      <c r="AB3041" t="s">
        <v>17974</v>
      </c>
      <c r="AC3041" t="s">
        <v>2497</v>
      </c>
      <c r="AD3041" s="249" t="str">
        <f>HYPERLINK("https://scontent.cdninstagram.com/t51.2885-15/s320x320/e35/21107519_1992511004312225_2174038606157447168_n.jpg")</f>
        <v>https://scontent.cdninstagram.com/t51.2885-15/s320x320/e35/21107519_1992511004312225_2174038606157447168_n.jpg</v>
      </c>
      <c r="AE3041" s="249" t="str">
        <f>HYPERLINK("https://scontent.cdninstagram.com/t51.2885-19/s150x150/16908454_407788376237523_7546048172301221888_a.jpg")</f>
        <v>https://scontent.cdninstagram.com/t51.2885-19/s150x150/16908454_407788376237523_7546048172301221888_a.jpg</v>
      </c>
    </row>
    <row r="3042" spans="1:31" ht="15" x14ac:dyDescent="0.25">
      <c r="A3042" t="s">
        <v>2474</v>
      </c>
      <c r="B3042" t="s">
        <v>17977</v>
      </c>
      <c r="C3042" s="221">
        <v>42974.096701388888</v>
      </c>
      <c r="D3042" t="s">
        <v>17978</v>
      </c>
      <c r="E3042" s="249" t="str">
        <f>HYPERLINK("https://www.instagram.com/p/BYSXQaQFFbo/")</f>
        <v>https://www.instagram.com/p/BYSXQaQFFbo/</v>
      </c>
      <c r="F3042" t="s">
        <v>17979</v>
      </c>
      <c r="G3042" t="s">
        <v>2478</v>
      </c>
      <c r="H3042">
        <v>402</v>
      </c>
      <c r="I3042" t="s">
        <v>2479</v>
      </c>
      <c r="J3042">
        <v>1</v>
      </c>
      <c r="K3042">
        <v>36</v>
      </c>
      <c r="L3042">
        <v>37</v>
      </c>
      <c r="Q3042">
        <v>0</v>
      </c>
      <c r="R3042">
        <v>0</v>
      </c>
      <c r="S3042">
        <v>37</v>
      </c>
      <c r="Y3042" t="s">
        <v>4760</v>
      </c>
      <c r="Z3042" t="s">
        <v>17980</v>
      </c>
      <c r="AA3042" t="s">
        <v>17981</v>
      </c>
      <c r="AB3042" t="s">
        <v>2861</v>
      </c>
      <c r="AC3042" t="s">
        <v>2513</v>
      </c>
      <c r="AD3042" s="249" t="str">
        <f>HYPERLINK("https://scontent.cdninstagram.com/t51.2885-15/s320x320/e35/21149614_1471366556498244_1671494863788441600_n.jpg")</f>
        <v>https://scontent.cdninstagram.com/t51.2885-15/s320x320/e35/21149614_1471366556498244_1671494863788441600_n.jpg</v>
      </c>
      <c r="AE3042" s="249" t="str">
        <f>HYPERLINK("https://scontent.cdninstagram.com/t51.2885-19/s150x150/21149723_520036691675589_2264774450324963328_a.jpg")</f>
        <v>https://scontent.cdninstagram.com/t51.2885-19/s150x150/21149723_520036691675589_2264774450324963328_a.jpg</v>
      </c>
    </row>
    <row r="3043" spans="1:31" ht="15" x14ac:dyDescent="0.25">
      <c r="A3043" t="s">
        <v>2474</v>
      </c>
      <c r="B3043" t="s">
        <v>3015</v>
      </c>
      <c r="C3043" s="221">
        <v>42974.109837962962</v>
      </c>
      <c r="D3043" t="s">
        <v>17982</v>
      </c>
      <c r="E3043" s="249" t="str">
        <f>HYPERLINK("https://www.instagram.com/p/BYSZa5eANfz/")</f>
        <v>https://www.instagram.com/p/BYSZa5eANfz/</v>
      </c>
      <c r="F3043" t="s">
        <v>17983</v>
      </c>
      <c r="G3043" t="s">
        <v>2488</v>
      </c>
      <c r="H3043">
        <v>244</v>
      </c>
      <c r="I3043" t="s">
        <v>2479</v>
      </c>
      <c r="J3043">
        <v>1</v>
      </c>
      <c r="K3043">
        <v>41</v>
      </c>
      <c r="L3043">
        <v>42</v>
      </c>
      <c r="Q3043">
        <v>0</v>
      </c>
      <c r="R3043">
        <v>0</v>
      </c>
      <c r="S3043">
        <v>42</v>
      </c>
      <c r="Y3043" t="s">
        <v>3492</v>
      </c>
      <c r="Z3043" t="s">
        <v>10468</v>
      </c>
      <c r="AA3043" t="s">
        <v>4129</v>
      </c>
      <c r="AB3043" t="s">
        <v>2492</v>
      </c>
      <c r="AC3043" t="s">
        <v>3019</v>
      </c>
      <c r="AD3043" s="249" t="str">
        <f>HYPERLINK("https://scontent.cdninstagram.com/t51.2885-15/s320x320/e35/21107353_113464169321447_4790296519808909312_n.jpg")</f>
        <v>https://scontent.cdninstagram.com/t51.2885-15/s320x320/e35/21107353_113464169321447_4790296519808909312_n.jpg</v>
      </c>
      <c r="AE3043" s="249" t="str">
        <f>HYPERLINK("https://scontent.cdninstagram.com/t51.2885-19/s150x150/21373102_1087463374722515_8750956974671134720_a.jpg")</f>
        <v>https://scontent.cdninstagram.com/t51.2885-19/s150x150/21373102_1087463374722515_8750956974671134720_a.jpg</v>
      </c>
    </row>
    <row r="3044" spans="1:31" ht="15" x14ac:dyDescent="0.25">
      <c r="A3044" t="s">
        <v>2474</v>
      </c>
      <c r="B3044" t="s">
        <v>17984</v>
      </c>
      <c r="C3044" s="221">
        <v>42974.117395833331</v>
      </c>
      <c r="D3044" t="s">
        <v>17985</v>
      </c>
      <c r="E3044" s="249" t="str">
        <f>HYPERLINK("https://www.instagram.com/p/BYSaqt6leTk/")</f>
        <v>https://www.instagram.com/p/BYSaqt6leTk/</v>
      </c>
      <c r="F3044" t="s">
        <v>17986</v>
      </c>
      <c r="G3044" t="s">
        <v>2478</v>
      </c>
      <c r="H3044">
        <v>391</v>
      </c>
      <c r="I3044" t="s">
        <v>2479</v>
      </c>
      <c r="J3044">
        <v>0</v>
      </c>
      <c r="K3044">
        <v>49</v>
      </c>
      <c r="L3044">
        <v>49</v>
      </c>
      <c r="Q3044">
        <v>0</v>
      </c>
      <c r="R3044">
        <v>0</v>
      </c>
      <c r="S3044">
        <v>49</v>
      </c>
      <c r="Y3044" t="s">
        <v>14251</v>
      </c>
      <c r="Z3044" t="s">
        <v>2730</v>
      </c>
      <c r="AA3044" t="s">
        <v>17987</v>
      </c>
      <c r="AB3044" t="s">
        <v>17988</v>
      </c>
      <c r="AC3044" t="s">
        <v>17989</v>
      </c>
      <c r="AD3044" s="249" t="str">
        <f>HYPERLINK("https://scontent.cdninstagram.com/t51.2885-15/s320x320/e35/21107527_1526355744074155_1425515889108713472_n.jpg")</f>
        <v>https://scontent.cdninstagram.com/t51.2885-15/s320x320/e35/21107527_1526355744074155_1425515889108713472_n.jpg</v>
      </c>
      <c r="AE3044" s="249" t="str">
        <f>HYPERLINK("https://scontent.cdninstagram.com/t51.2885-19/s150x150/19121094_2184322751794092_7393228322466955264_a.jpg")</f>
        <v>https://scontent.cdninstagram.com/t51.2885-19/s150x150/19121094_2184322751794092_7393228322466955264_a.jpg</v>
      </c>
    </row>
    <row r="3045" spans="1:31" ht="15" x14ac:dyDescent="0.25">
      <c r="A3045" t="s">
        <v>2474</v>
      </c>
      <c r="B3045" t="s">
        <v>3140</v>
      </c>
      <c r="C3045" s="221">
        <v>42974.127986111111</v>
      </c>
      <c r="D3045" t="s">
        <v>17990</v>
      </c>
      <c r="E3045" s="249" t="str">
        <f>HYPERLINK("https://www.instagram.com/p/BYScaZ9jQBB/")</f>
        <v>https://www.instagram.com/p/BYScaZ9jQBB/</v>
      </c>
      <c r="F3045" t="s">
        <v>17991</v>
      </c>
      <c r="G3045" t="s">
        <v>2478</v>
      </c>
      <c r="H3045">
        <v>113</v>
      </c>
      <c r="I3045" t="s">
        <v>2479</v>
      </c>
      <c r="J3045">
        <v>0</v>
      </c>
      <c r="K3045">
        <v>29</v>
      </c>
      <c r="L3045">
        <v>29</v>
      </c>
      <c r="Q3045">
        <v>0</v>
      </c>
      <c r="R3045">
        <v>0</v>
      </c>
      <c r="S3045">
        <v>29</v>
      </c>
      <c r="T3045" t="s">
        <v>17992</v>
      </c>
      <c r="V3045" t="s">
        <v>2161</v>
      </c>
      <c r="W3045">
        <v>51.433300000000003</v>
      </c>
      <c r="X3045">
        <v>6.8833299999999999</v>
      </c>
      <c r="Y3045" t="s">
        <v>17993</v>
      </c>
      <c r="Z3045" t="s">
        <v>17994</v>
      </c>
      <c r="AA3045" t="s">
        <v>17995</v>
      </c>
      <c r="AB3045" t="s">
        <v>4041</v>
      </c>
      <c r="AC3045" t="s">
        <v>17996</v>
      </c>
      <c r="AD3045" s="249" t="str">
        <f>HYPERLINK("https://scontent.cdninstagram.com/t51.2885-15/s320x320/e35/21108061_130745907548533_3180115307763073024_n.jpg")</f>
        <v>https://scontent.cdninstagram.com/t51.2885-15/s320x320/e35/21108061_130745907548533_3180115307763073024_n.jpg</v>
      </c>
      <c r="AE3045" s="249" t="str">
        <f>HYPERLINK("https://scontent.cdninstagram.com/t51.2885-19/s150x150/15258671_595836923957393_878813762608431104_a.jpg")</f>
        <v>https://scontent.cdninstagram.com/t51.2885-19/s150x150/15258671_595836923957393_878813762608431104_a.jpg</v>
      </c>
    </row>
    <row r="3046" spans="1:31" ht="15" x14ac:dyDescent="0.25">
      <c r="A3046" t="s">
        <v>2474</v>
      </c>
      <c r="B3046" t="s">
        <v>17997</v>
      </c>
      <c r="C3046" s="221">
        <v>42974.143171296295</v>
      </c>
      <c r="D3046" t="s">
        <v>17998</v>
      </c>
      <c r="E3046" s="249" t="str">
        <f>HYPERLINK("https://www.instagram.com/p/BYSe6krlh8U/")</f>
        <v>https://www.instagram.com/p/BYSe6krlh8U/</v>
      </c>
      <c r="F3046" t="s">
        <v>17999</v>
      </c>
      <c r="G3046" t="s">
        <v>2478</v>
      </c>
      <c r="H3046">
        <v>306</v>
      </c>
      <c r="I3046" t="s">
        <v>2519</v>
      </c>
      <c r="J3046">
        <v>0</v>
      </c>
      <c r="K3046">
        <v>47</v>
      </c>
      <c r="L3046">
        <v>47</v>
      </c>
      <c r="Q3046">
        <v>0</v>
      </c>
      <c r="R3046">
        <v>0</v>
      </c>
      <c r="S3046">
        <v>47</v>
      </c>
      <c r="Y3046" t="s">
        <v>18000</v>
      </c>
      <c r="Z3046" t="s">
        <v>18001</v>
      </c>
      <c r="AA3046" t="s">
        <v>18002</v>
      </c>
      <c r="AB3046" t="s">
        <v>2497</v>
      </c>
      <c r="AC3046" t="s">
        <v>18003</v>
      </c>
      <c r="AD3046" s="249" t="str">
        <f>HYPERLINK("https://scontent.cdninstagram.com/t51.2885-15/s320x320/e35/21107788_134048937206907_1376301052864757760_n.jpg")</f>
        <v>https://scontent.cdninstagram.com/t51.2885-15/s320x320/e35/21107788_134048937206907_1376301052864757760_n.jpg</v>
      </c>
      <c r="AE3046" s="249" t="str">
        <f>HYPERLINK("https://scontent.cdninstagram.com/t51.2885-19/s150x150/15877408_1244327495647005_1632759490048688128_a.jpg")</f>
        <v>https://scontent.cdninstagram.com/t51.2885-19/s150x150/15877408_1244327495647005_1632759490048688128_a.jpg</v>
      </c>
    </row>
    <row r="3047" spans="1:31" ht="15" x14ac:dyDescent="0.25">
      <c r="A3047" t="s">
        <v>2474</v>
      </c>
      <c r="B3047" t="s">
        <v>18004</v>
      </c>
      <c r="C3047" s="221">
        <v>42974.143379629626</v>
      </c>
      <c r="D3047" t="s">
        <v>18005</v>
      </c>
      <c r="E3047" s="249" t="str">
        <f>HYPERLINK("https://www.instagram.com/p/BYSe8udHliJ/")</f>
        <v>https://www.instagram.com/p/BYSe8udHliJ/</v>
      </c>
      <c r="F3047" t="s">
        <v>18006</v>
      </c>
      <c r="G3047" t="s">
        <v>2478</v>
      </c>
      <c r="H3047">
        <v>271</v>
      </c>
      <c r="I3047" t="s">
        <v>3186</v>
      </c>
      <c r="J3047">
        <v>1</v>
      </c>
      <c r="K3047">
        <v>46</v>
      </c>
      <c r="L3047">
        <v>47</v>
      </c>
      <c r="Q3047">
        <v>0</v>
      </c>
      <c r="R3047">
        <v>0</v>
      </c>
      <c r="S3047">
        <v>47</v>
      </c>
      <c r="Y3047" t="s">
        <v>18007</v>
      </c>
      <c r="Z3047" t="s">
        <v>3099</v>
      </c>
      <c r="AA3047" t="s">
        <v>18008</v>
      </c>
      <c r="AB3047" t="s">
        <v>10299</v>
      </c>
      <c r="AC3047" t="s">
        <v>18009</v>
      </c>
      <c r="AD3047" s="249" t="str">
        <f>HYPERLINK("https://scontent.cdninstagram.com/t51.2885-15/s320x320/e35/21148128_440867996310951_100603720508637184_n.jpg")</f>
        <v>https://scontent.cdninstagram.com/t51.2885-15/s320x320/e35/21148128_440867996310951_100603720508637184_n.jpg</v>
      </c>
      <c r="AE3047" s="249" t="str">
        <f>HYPERLINK("https://scontent.cdninstagram.com/t51.2885-19/s150x150/18299412_1967357356830411_2577725090569388032_a.jpg")</f>
        <v>https://scontent.cdninstagram.com/t51.2885-19/s150x150/18299412_1967357356830411_2577725090569388032_a.jpg</v>
      </c>
    </row>
    <row r="3048" spans="1:31" ht="15" x14ac:dyDescent="0.25">
      <c r="A3048" t="s">
        <v>2474</v>
      </c>
      <c r="B3048" t="s">
        <v>6020</v>
      </c>
      <c r="C3048" s="221">
        <v>42974.14539351852</v>
      </c>
      <c r="D3048" t="s">
        <v>18010</v>
      </c>
      <c r="E3048" s="249" t="str">
        <f>HYPERLINK("https://www.instagram.com/p/BYSfR8_A5k_/")</f>
        <v>https://www.instagram.com/p/BYSfR8_A5k_/</v>
      </c>
      <c r="F3048" t="s">
        <v>18011</v>
      </c>
      <c r="G3048" t="s">
        <v>2478</v>
      </c>
      <c r="H3048">
        <v>32086</v>
      </c>
      <c r="I3048" t="s">
        <v>2479</v>
      </c>
      <c r="J3048">
        <v>30</v>
      </c>
      <c r="K3048">
        <v>1343</v>
      </c>
      <c r="L3048">
        <v>1373</v>
      </c>
      <c r="Q3048">
        <v>0</v>
      </c>
      <c r="R3048">
        <v>0</v>
      </c>
      <c r="S3048">
        <v>1373</v>
      </c>
      <c r="Y3048" t="s">
        <v>8207</v>
      </c>
      <c r="Z3048" t="s">
        <v>6429</v>
      </c>
      <c r="AA3048" t="s">
        <v>18012</v>
      </c>
      <c r="AB3048" t="s">
        <v>18013</v>
      </c>
      <c r="AC3048" t="s">
        <v>18014</v>
      </c>
      <c r="AD3048" s="249" t="str">
        <f>HYPERLINK("https://scontent.cdninstagram.com/t51.2885-15/e35/p320x320/21041144_237056083488316_5732120493486505984_n.jpg")</f>
        <v>https://scontent.cdninstagram.com/t51.2885-15/e35/p320x320/21041144_237056083488316_5732120493486505984_n.jpg</v>
      </c>
      <c r="AE3048" s="249" t="str">
        <f>HYPERLINK("https://scontent.cdninstagram.com/t51.2885-19/s150x150/18094683_212156559284851_4534393421896351744_a.jpg")</f>
        <v>https://scontent.cdninstagram.com/t51.2885-19/s150x150/18094683_212156559284851_4534393421896351744_a.jpg</v>
      </c>
    </row>
    <row r="3049" spans="1:31" ht="15" x14ac:dyDescent="0.25">
      <c r="A3049" t="s">
        <v>2474</v>
      </c>
      <c r="B3049" t="s">
        <v>18015</v>
      </c>
      <c r="C3049" s="221">
        <v>42974.155648148146</v>
      </c>
      <c r="D3049" t="s">
        <v>18016</v>
      </c>
      <c r="E3049" s="249" t="str">
        <f>HYPERLINK("https://www.instagram.com/p/BYSg-JsDvJN/")</f>
        <v>https://www.instagram.com/p/BYSg-JsDvJN/</v>
      </c>
      <c r="F3049" t="s">
        <v>18017</v>
      </c>
      <c r="G3049" t="s">
        <v>2478</v>
      </c>
      <c r="H3049">
        <v>84</v>
      </c>
      <c r="I3049" t="s">
        <v>2542</v>
      </c>
      <c r="J3049">
        <v>1</v>
      </c>
      <c r="K3049">
        <v>20</v>
      </c>
      <c r="L3049">
        <v>21</v>
      </c>
      <c r="Q3049">
        <v>0</v>
      </c>
      <c r="R3049">
        <v>0</v>
      </c>
      <c r="S3049">
        <v>21</v>
      </c>
      <c r="Y3049" t="s">
        <v>18018</v>
      </c>
      <c r="Z3049" t="s">
        <v>18019</v>
      </c>
      <c r="AA3049" t="s">
        <v>18020</v>
      </c>
      <c r="AB3049" t="s">
        <v>18021</v>
      </c>
      <c r="AC3049" t="s">
        <v>16117</v>
      </c>
      <c r="AD3049" s="249" t="str">
        <f>HYPERLINK("https://scontent.cdninstagram.com/t51.2885-15/s320x320/e35/21042821_727728024085472_6784200860382527488_n.jpg")</f>
        <v>https://scontent.cdninstagram.com/t51.2885-15/s320x320/e35/21042821_727728024085472_6784200860382527488_n.jpg</v>
      </c>
      <c r="AE3049" s="249" t="str">
        <f>HYPERLINK("https://scontent.cdninstagram.com/t51.2885-19/s150x150/20766185_741372489368350_7372977998342914048_a.jpg")</f>
        <v>https://scontent.cdninstagram.com/t51.2885-19/s150x150/20766185_741372489368350_7372977998342914048_a.jpg</v>
      </c>
    </row>
    <row r="3050" spans="1:31" ht="15" x14ac:dyDescent="0.25">
      <c r="A3050" t="s">
        <v>2474</v>
      </c>
      <c r="B3050" t="s">
        <v>18022</v>
      </c>
      <c r="C3050" s="221">
        <v>42974.161273148151</v>
      </c>
      <c r="D3050" t="s">
        <v>18023</v>
      </c>
      <c r="E3050" s="249" t="str">
        <f>HYPERLINK("https://www.instagram.com/p/BYSh5XvHKBl/")</f>
        <v>https://www.instagram.com/p/BYSh5XvHKBl/</v>
      </c>
      <c r="F3050" t="s">
        <v>18024</v>
      </c>
      <c r="G3050" t="s">
        <v>2478</v>
      </c>
      <c r="H3050">
        <v>204</v>
      </c>
      <c r="I3050" t="s">
        <v>2599</v>
      </c>
      <c r="J3050">
        <v>0</v>
      </c>
      <c r="K3050">
        <v>22</v>
      </c>
      <c r="L3050">
        <v>22</v>
      </c>
      <c r="Q3050">
        <v>0</v>
      </c>
      <c r="R3050">
        <v>0</v>
      </c>
      <c r="S3050">
        <v>22</v>
      </c>
      <c r="T3050" t="s">
        <v>18025</v>
      </c>
      <c r="V3050" t="s">
        <v>2103</v>
      </c>
      <c r="W3050">
        <v>46.554400000000001</v>
      </c>
      <c r="X3050">
        <v>13.7483</v>
      </c>
      <c r="Y3050" t="s">
        <v>18026</v>
      </c>
      <c r="Z3050" t="s">
        <v>6974</v>
      </c>
      <c r="AA3050" t="s">
        <v>18027</v>
      </c>
      <c r="AB3050" t="s">
        <v>14753</v>
      </c>
      <c r="AC3050" t="s">
        <v>4514</v>
      </c>
      <c r="AD3050" s="249" t="str">
        <f>HYPERLINK("https://scontent.cdninstagram.com/t51.2885-15/s320x320/e35/21149522_285694238579982_5499247869208559616_n.jpg")</f>
        <v>https://scontent.cdninstagram.com/t51.2885-15/s320x320/e35/21149522_285694238579982_5499247869208559616_n.jpg</v>
      </c>
      <c r="AE3050" s="249" t="str">
        <f>HYPERLINK("https://scontent.cdninstagram.com/t51.2885-19/11252465_827398884024786_469964160_a.jpg")</f>
        <v>https://scontent.cdninstagram.com/t51.2885-19/11252465_827398884024786_469964160_a.jpg</v>
      </c>
    </row>
    <row r="3051" spans="1:31" ht="15" x14ac:dyDescent="0.25">
      <c r="A3051" t="s">
        <v>2474</v>
      </c>
      <c r="B3051" t="s">
        <v>7003</v>
      </c>
      <c r="C3051" s="221">
        <v>42974.162627314814</v>
      </c>
      <c r="D3051" t="s">
        <v>18028</v>
      </c>
      <c r="E3051" s="249" t="str">
        <f>HYPERLINK("https://www.instagram.com/p/BYSiHwCApUs/")</f>
        <v>https://www.instagram.com/p/BYSiHwCApUs/</v>
      </c>
      <c r="F3051" t="s">
        <v>18029</v>
      </c>
      <c r="G3051" t="s">
        <v>2478</v>
      </c>
      <c r="H3051">
        <v>23610</v>
      </c>
      <c r="I3051" t="s">
        <v>2479</v>
      </c>
      <c r="J3051">
        <v>13</v>
      </c>
      <c r="K3051">
        <v>685</v>
      </c>
      <c r="L3051">
        <v>698</v>
      </c>
      <c r="Q3051">
        <v>0</v>
      </c>
      <c r="R3051">
        <v>0</v>
      </c>
      <c r="S3051">
        <v>698</v>
      </c>
      <c r="Y3051" t="s">
        <v>18030</v>
      </c>
      <c r="Z3051" t="s">
        <v>18031</v>
      </c>
      <c r="AA3051" t="s">
        <v>18032</v>
      </c>
      <c r="AB3051" t="s">
        <v>4654</v>
      </c>
      <c r="AC3051" t="s">
        <v>7191</v>
      </c>
      <c r="AD3051" s="249" t="str">
        <f>HYPERLINK("https://scontent.cdninstagram.com/t51.2885-15/e35/p320x320/21147255_232633247260665_6205371231751897088_n.jpg")</f>
        <v>https://scontent.cdninstagram.com/t51.2885-15/e35/p320x320/21147255_232633247260665_6205371231751897088_n.jpg</v>
      </c>
      <c r="AE3051" s="249" t="str">
        <f>HYPERLINK("https://scontent.cdninstagram.com/t51.2885-19/s150x150/18299005_447807092243343_3242761266950832128_n.jpg")</f>
        <v>https://scontent.cdninstagram.com/t51.2885-19/s150x150/18299005_447807092243343_3242761266950832128_n.jpg</v>
      </c>
    </row>
    <row r="3052" spans="1:31" ht="15" x14ac:dyDescent="0.25">
      <c r="A3052" t="s">
        <v>2474</v>
      </c>
      <c r="B3052" t="s">
        <v>5225</v>
      </c>
      <c r="C3052" s="221">
        <v>42974.177442129629</v>
      </c>
      <c r="D3052" t="s">
        <v>18033</v>
      </c>
      <c r="E3052" s="249" t="str">
        <f>HYPERLINK("https://www.instagram.com/p/BYSkj-hAAk3/")</f>
        <v>https://www.instagram.com/p/BYSkj-hAAk3/</v>
      </c>
      <c r="F3052" t="s">
        <v>18034</v>
      </c>
      <c r="G3052" t="s">
        <v>2478</v>
      </c>
      <c r="H3052">
        <v>66</v>
      </c>
      <c r="I3052" t="s">
        <v>2479</v>
      </c>
      <c r="J3052">
        <v>3</v>
      </c>
      <c r="K3052">
        <v>26</v>
      </c>
      <c r="L3052">
        <v>29</v>
      </c>
      <c r="Q3052">
        <v>0</v>
      </c>
      <c r="R3052">
        <v>0</v>
      </c>
      <c r="S3052">
        <v>29</v>
      </c>
      <c r="T3052" t="s">
        <v>18035</v>
      </c>
      <c r="V3052" t="s">
        <v>2154</v>
      </c>
      <c r="W3052">
        <v>47.464120000000001</v>
      </c>
      <c r="X3052">
        <v>-0.47810000000000002</v>
      </c>
      <c r="Y3052" t="s">
        <v>6043</v>
      </c>
      <c r="Z3052" t="s">
        <v>5229</v>
      </c>
      <c r="AA3052" t="s">
        <v>2493</v>
      </c>
      <c r="AB3052" t="s">
        <v>17701</v>
      </c>
      <c r="AC3052" t="s">
        <v>3145</v>
      </c>
      <c r="AD3052" s="249" t="str">
        <f>HYPERLINK("https://scontent.cdninstagram.com/t51.2885-15/s320x320/e35/21107134_1900926700171419_133071040451444736_n.jpg")</f>
        <v>https://scontent.cdninstagram.com/t51.2885-15/s320x320/e35/21107134_1900926700171419_133071040451444736_n.jpg</v>
      </c>
      <c r="AE3052" s="249" t="str">
        <f>HYPERLINK("https://scontent.cdninstagram.com/t51.2885-19/s150x150/18949503_1122155304550657_4049188449616396288_a.jpg")</f>
        <v>https://scontent.cdninstagram.com/t51.2885-19/s150x150/18949503_1122155304550657_4049188449616396288_a.jpg</v>
      </c>
    </row>
    <row r="3053" spans="1:31" ht="15" x14ac:dyDescent="0.25">
      <c r="A3053" t="s">
        <v>2474</v>
      </c>
      <c r="B3053" t="s">
        <v>17952</v>
      </c>
      <c r="C3053" s="221">
        <v>42974.181284722225</v>
      </c>
      <c r="D3053" t="s">
        <v>18036</v>
      </c>
      <c r="E3053" s="249" t="str">
        <f>HYPERLINK("https://www.instagram.com/p/BYSlMe3jKhV/")</f>
        <v>https://www.instagram.com/p/BYSlMe3jKhV/</v>
      </c>
      <c r="F3053" t="s">
        <v>18037</v>
      </c>
      <c r="G3053" t="s">
        <v>2478</v>
      </c>
      <c r="H3053">
        <v>4384</v>
      </c>
      <c r="I3053" t="s">
        <v>2510</v>
      </c>
      <c r="J3053">
        <v>1</v>
      </c>
      <c r="K3053">
        <v>129</v>
      </c>
      <c r="L3053">
        <v>130</v>
      </c>
      <c r="Q3053">
        <v>0</v>
      </c>
      <c r="R3053">
        <v>0</v>
      </c>
      <c r="S3053">
        <v>130</v>
      </c>
      <c r="T3053" t="s">
        <v>18038</v>
      </c>
      <c r="V3053" t="s">
        <v>2102</v>
      </c>
      <c r="W3053">
        <v>-33.898890000000002</v>
      </c>
      <c r="X3053">
        <v>151.20031</v>
      </c>
      <c r="Y3053" t="s">
        <v>18039</v>
      </c>
      <c r="Z3053" t="s">
        <v>14013</v>
      </c>
      <c r="AA3053" t="s">
        <v>18040</v>
      </c>
      <c r="AB3053" t="s">
        <v>2497</v>
      </c>
      <c r="AC3053" t="s">
        <v>18041</v>
      </c>
      <c r="AD3053" s="249" t="str">
        <f>HYPERLINK("https://scontent.cdninstagram.com/t51.2885-15/s320x320/e35/21042351_693254230865501_3940633868469534720_n.jpg")</f>
        <v>https://scontent.cdninstagram.com/t51.2885-15/s320x320/e35/21042351_693254230865501_3940633868469534720_n.jpg</v>
      </c>
      <c r="AE3053" s="249" t="str">
        <f>HYPERLINK("https://scontent.cdninstagram.com/t51.2885-19/s150x150/15876725_1857404874494278_324300731274231808_a.jpg")</f>
        <v>https://scontent.cdninstagram.com/t51.2885-19/s150x150/15876725_1857404874494278_324300731274231808_a.jpg</v>
      </c>
    </row>
    <row r="3054" spans="1:31" ht="15" x14ac:dyDescent="0.25">
      <c r="A3054" t="s">
        <v>2474</v>
      </c>
      <c r="B3054" t="s">
        <v>18042</v>
      </c>
      <c r="C3054" s="221">
        <v>42974.185740740744</v>
      </c>
      <c r="D3054" t="s">
        <v>18043</v>
      </c>
      <c r="E3054" s="249" t="str">
        <f>HYPERLINK("https://www.instagram.com/p/BYSl7eTgfUe/")</f>
        <v>https://www.instagram.com/p/BYSl7eTgfUe/</v>
      </c>
      <c r="F3054" t="s">
        <v>2872</v>
      </c>
      <c r="G3054" t="s">
        <v>2478</v>
      </c>
      <c r="H3054">
        <v>162</v>
      </c>
      <c r="I3054" t="s">
        <v>2903</v>
      </c>
      <c r="J3054">
        <v>0</v>
      </c>
      <c r="K3054">
        <v>6</v>
      </c>
      <c r="L3054">
        <v>6</v>
      </c>
      <c r="Q3054">
        <v>0</v>
      </c>
      <c r="R3054">
        <v>0</v>
      </c>
      <c r="S3054">
        <v>6</v>
      </c>
      <c r="T3054" t="s">
        <v>18044</v>
      </c>
      <c r="U3054" t="s">
        <v>102</v>
      </c>
      <c r="V3054" t="s">
        <v>2299</v>
      </c>
      <c r="W3054">
        <v>41.983609999999999</v>
      </c>
      <c r="X3054">
        <v>-88.693889999999996</v>
      </c>
      <c r="Y3054" t="s">
        <v>2497</v>
      </c>
      <c r="AD3054" s="249" t="str">
        <f>HYPERLINK("https://scontent.cdninstagram.com/t51.2885-15/s320x320/e35/21107624_1949951818589260_1764457244772007936_n.jpg")</f>
        <v>https://scontent.cdninstagram.com/t51.2885-15/s320x320/e35/21107624_1949951818589260_1764457244772007936_n.jpg</v>
      </c>
      <c r="AE3054" s="249" t="str">
        <f>HYPERLINK("https://scontent.cdninstagram.com/t51.2885-19/10644006_1498530640394503_70032481_a.jpg")</f>
        <v>https://scontent.cdninstagram.com/t51.2885-19/10644006_1498530640394503_70032481_a.jpg</v>
      </c>
    </row>
    <row r="3055" spans="1:31" ht="15" x14ac:dyDescent="0.25">
      <c r="A3055" t="s">
        <v>2474</v>
      </c>
      <c r="B3055" t="s">
        <v>18045</v>
      </c>
      <c r="C3055" s="221">
        <v>42974.186747685184</v>
      </c>
      <c r="D3055" t="s">
        <v>18046</v>
      </c>
      <c r="E3055" s="249" t="str">
        <f>HYPERLINK("https://www.instagram.com/p/BYSmGJaD__R/")</f>
        <v>https://www.instagram.com/p/BYSmGJaD__R/</v>
      </c>
      <c r="F3055" t="s">
        <v>18047</v>
      </c>
      <c r="G3055" t="s">
        <v>2478</v>
      </c>
      <c r="H3055">
        <v>45</v>
      </c>
      <c r="I3055" t="s">
        <v>4523</v>
      </c>
      <c r="J3055">
        <v>1</v>
      </c>
      <c r="K3055">
        <v>45</v>
      </c>
      <c r="L3055">
        <v>46</v>
      </c>
      <c r="Q3055">
        <v>0</v>
      </c>
      <c r="R3055">
        <v>0</v>
      </c>
      <c r="S3055">
        <v>46</v>
      </c>
      <c r="Y3055" t="s">
        <v>2696</v>
      </c>
      <c r="Z3055" t="s">
        <v>18048</v>
      </c>
      <c r="AA3055" t="s">
        <v>18049</v>
      </c>
      <c r="AB3055" t="s">
        <v>18050</v>
      </c>
      <c r="AC3055" t="s">
        <v>14466</v>
      </c>
      <c r="AD3055" s="249" t="str">
        <f>HYPERLINK("https://scontent.cdninstagram.com/t51.2885-15/s320x320/e35/21149401_1947881882158300_7166083887481749504_n.jpg")</f>
        <v>https://scontent.cdninstagram.com/t51.2885-15/s320x320/e35/21149401_1947881882158300_7166083887481749504_n.jpg</v>
      </c>
      <c r="AE3055" s="249" t="str">
        <f>HYPERLINK("https://scontent.cdninstagram.com/t51.2885-19/s150x150/20688726_337243160049186_5398431453329489920_a.jpg")</f>
        <v>https://scontent.cdninstagram.com/t51.2885-19/s150x150/20688726_337243160049186_5398431453329489920_a.jpg</v>
      </c>
    </row>
    <row r="3056" spans="1:31" ht="15" x14ac:dyDescent="0.25">
      <c r="A3056" t="s">
        <v>2474</v>
      </c>
      <c r="B3056" t="s">
        <v>12623</v>
      </c>
      <c r="C3056" s="221">
        <v>42974.189293981479</v>
      </c>
      <c r="D3056" t="s">
        <v>18051</v>
      </c>
      <c r="E3056" s="249" t="str">
        <f>HYPERLINK("https://www.instagram.com/p/BYSmg_2B8s9/")</f>
        <v>https://www.instagram.com/p/BYSmg_2B8s9/</v>
      </c>
      <c r="F3056" t="s">
        <v>18052</v>
      </c>
      <c r="G3056" t="s">
        <v>2478</v>
      </c>
      <c r="H3056">
        <v>50</v>
      </c>
      <c r="I3056" t="s">
        <v>2479</v>
      </c>
      <c r="J3056">
        <v>1</v>
      </c>
      <c r="K3056">
        <v>22</v>
      </c>
      <c r="L3056">
        <v>23</v>
      </c>
      <c r="Q3056">
        <v>0</v>
      </c>
      <c r="R3056">
        <v>0</v>
      </c>
      <c r="S3056">
        <v>23</v>
      </c>
      <c r="Y3056" t="s">
        <v>5884</v>
      </c>
      <c r="Z3056" t="s">
        <v>2497</v>
      </c>
      <c r="AA3056" t="s">
        <v>13647</v>
      </c>
      <c r="AB3056" t="s">
        <v>3132</v>
      </c>
      <c r="AC3056" t="s">
        <v>12626</v>
      </c>
      <c r="AD3056" s="249" t="str">
        <f>HYPERLINK("https://scontent.cdninstagram.com/t51.2885-15/s320x320/e35/21147217_1083044068494675_8511018652449898496_n.jpg")</f>
        <v>https://scontent.cdninstagram.com/t51.2885-15/s320x320/e35/21147217_1083044068494675_8511018652449898496_n.jpg</v>
      </c>
      <c r="AE3056" s="249" t="str">
        <f>HYPERLINK("https://scontent.cdninstagram.com/t51.2885-19/s150x150/20905221_267313190438379_2128714709635956736_a.jpg")</f>
        <v>https://scontent.cdninstagram.com/t51.2885-19/s150x150/20905221_267313190438379_2128714709635956736_a.jpg</v>
      </c>
    </row>
    <row r="3057" spans="1:31" ht="15" x14ac:dyDescent="0.25">
      <c r="A3057" t="s">
        <v>2474</v>
      </c>
      <c r="B3057" t="s">
        <v>18053</v>
      </c>
      <c r="C3057" s="221">
        <v>42974.193622685183</v>
      </c>
      <c r="D3057" t="s">
        <v>18054</v>
      </c>
      <c r="E3057" s="249" t="str">
        <f>HYPERLINK("https://www.instagram.com/p/BYSnOrHBU9I/")</f>
        <v>https://www.instagram.com/p/BYSnOrHBU9I/</v>
      </c>
      <c r="F3057" t="s">
        <v>18055</v>
      </c>
      <c r="G3057" t="s">
        <v>2478</v>
      </c>
      <c r="H3057">
        <v>605</v>
      </c>
      <c r="I3057" t="s">
        <v>2479</v>
      </c>
      <c r="J3057">
        <v>0</v>
      </c>
      <c r="K3057">
        <v>81</v>
      </c>
      <c r="L3057">
        <v>81</v>
      </c>
      <c r="Q3057">
        <v>0</v>
      </c>
      <c r="R3057">
        <v>0</v>
      </c>
      <c r="S3057">
        <v>81</v>
      </c>
      <c r="T3057" t="s">
        <v>18056</v>
      </c>
      <c r="V3057" t="s">
        <v>2177</v>
      </c>
      <c r="W3057">
        <v>-8.6518241499999995</v>
      </c>
      <c r="X3057">
        <v>115.13367842</v>
      </c>
      <c r="Y3057" t="s">
        <v>9760</v>
      </c>
      <c r="Z3057" t="s">
        <v>18057</v>
      </c>
      <c r="AA3057" t="s">
        <v>18058</v>
      </c>
      <c r="AB3057" t="s">
        <v>18059</v>
      </c>
      <c r="AC3057" t="s">
        <v>5257</v>
      </c>
      <c r="AD3057" s="249" t="str">
        <f>HYPERLINK("https://scontent.cdninstagram.com/t51.2885-15/s320x320/e35/21107334_1443895185725315_2743715066774814720_n.jpg")</f>
        <v>https://scontent.cdninstagram.com/t51.2885-15/s320x320/e35/21107334_1443895185725315_2743715066774814720_n.jpg</v>
      </c>
      <c r="AE3057" s="249" t="str">
        <f>HYPERLINK("https://scontent.cdninstagram.com/t51.2885-19/s150x150/20482176_681699258685416_6487322915472670720_a.jpg")</f>
        <v>https://scontent.cdninstagram.com/t51.2885-19/s150x150/20482176_681699258685416_6487322915472670720_a.jpg</v>
      </c>
    </row>
    <row r="3058" spans="1:31" ht="15" x14ac:dyDescent="0.25">
      <c r="A3058" t="s">
        <v>2474</v>
      </c>
      <c r="B3058" t="s">
        <v>18060</v>
      </c>
      <c r="C3058" s="221">
        <v>42974.197326388887</v>
      </c>
      <c r="D3058" t="s">
        <v>18061</v>
      </c>
      <c r="E3058" s="249" t="str">
        <f>HYPERLINK("https://www.instagram.com/p/BYSn1rEAEj_/")</f>
        <v>https://www.instagram.com/p/BYSn1rEAEj_/</v>
      </c>
      <c r="F3058" t="s">
        <v>18062</v>
      </c>
      <c r="G3058" t="s">
        <v>2478</v>
      </c>
      <c r="H3058">
        <v>3962</v>
      </c>
      <c r="I3058" t="s">
        <v>2479</v>
      </c>
      <c r="J3058">
        <v>15</v>
      </c>
      <c r="K3058">
        <v>133</v>
      </c>
      <c r="L3058">
        <v>148</v>
      </c>
      <c r="Q3058">
        <v>0</v>
      </c>
      <c r="R3058">
        <v>0</v>
      </c>
      <c r="S3058">
        <v>148</v>
      </c>
      <c r="T3058" t="s">
        <v>18063</v>
      </c>
      <c r="V3058" t="s">
        <v>2648</v>
      </c>
      <c r="W3058">
        <v>55.761120971343999</v>
      </c>
      <c r="X3058">
        <v>37.629474364255998</v>
      </c>
      <c r="Y3058" t="s">
        <v>18064</v>
      </c>
      <c r="Z3058" t="s">
        <v>18065</v>
      </c>
      <c r="AA3058" t="s">
        <v>8400</v>
      </c>
      <c r="AB3058" t="s">
        <v>5492</v>
      </c>
      <c r="AC3058" t="s">
        <v>18066</v>
      </c>
      <c r="AD3058" s="249" t="str">
        <f>HYPERLINK("https://scontent.cdninstagram.com/t51.2885-15/s320x320/e35/21107122_492854607765722_8630515139524689920_n.jpg")</f>
        <v>https://scontent.cdninstagram.com/t51.2885-15/s320x320/e35/21107122_492854607765722_8630515139524689920_n.jpg</v>
      </c>
      <c r="AE3058" s="249" t="str">
        <f>HYPERLINK("https://scontent.cdninstagram.com/t51.2885-19/s150x150/20968849_188757821664882_6842812629803597824_a.jpg")</f>
        <v>https://scontent.cdninstagram.com/t51.2885-19/s150x150/20968849_188757821664882_6842812629803597824_a.jpg</v>
      </c>
    </row>
    <row r="3059" spans="1:31" ht="15" x14ac:dyDescent="0.25">
      <c r="A3059" t="s">
        <v>2474</v>
      </c>
      <c r="B3059" t="s">
        <v>18067</v>
      </c>
      <c r="C3059" s="221">
        <v>42974.203784722224</v>
      </c>
      <c r="D3059" t="s">
        <v>18068</v>
      </c>
      <c r="E3059" s="249" t="str">
        <f>HYPERLINK("https://www.instagram.com/p/BYSo5vsnCRh/")</f>
        <v>https://www.instagram.com/p/BYSo5vsnCRh/</v>
      </c>
      <c r="F3059" t="s">
        <v>18069</v>
      </c>
      <c r="G3059" t="s">
        <v>2478</v>
      </c>
      <c r="H3059">
        <v>96</v>
      </c>
      <c r="I3059" t="s">
        <v>2510</v>
      </c>
      <c r="J3059">
        <v>0</v>
      </c>
      <c r="K3059">
        <v>33</v>
      </c>
      <c r="L3059">
        <v>33</v>
      </c>
      <c r="Q3059">
        <v>0</v>
      </c>
      <c r="R3059">
        <v>0</v>
      </c>
      <c r="S3059">
        <v>33</v>
      </c>
      <c r="Y3059" t="s">
        <v>18070</v>
      </c>
      <c r="Z3059" t="s">
        <v>18071</v>
      </c>
      <c r="AA3059" t="s">
        <v>11736</v>
      </c>
      <c r="AB3059" t="s">
        <v>18072</v>
      </c>
      <c r="AC3059" t="s">
        <v>2497</v>
      </c>
      <c r="AD3059" s="249" t="str">
        <f>HYPERLINK("https://scontent.cdninstagram.com/t51.2885-15/e35/p320x320/21107650_1983651511879095_7440036684239994880_n.jpg")</f>
        <v>https://scontent.cdninstagram.com/t51.2885-15/e35/p320x320/21107650_1983651511879095_7440036684239994880_n.jpg</v>
      </c>
      <c r="AE3059" s="249" t="str">
        <f>HYPERLINK("https://scontent.cdninstagram.com/t51.2885-19/s150x150/21147635_2240601682632036_4805446415650127872_a.jpg")</f>
        <v>https://scontent.cdninstagram.com/t51.2885-19/s150x150/21147635_2240601682632036_4805446415650127872_a.jpg</v>
      </c>
    </row>
    <row r="3060" spans="1:31" ht="15" x14ac:dyDescent="0.25">
      <c r="A3060" t="s">
        <v>2474</v>
      </c>
      <c r="B3060" t="s">
        <v>18073</v>
      </c>
      <c r="C3060" s="221">
        <v>42974.211342592593</v>
      </c>
      <c r="D3060" t="s">
        <v>18074</v>
      </c>
      <c r="E3060" s="249" t="str">
        <f>HYPERLINK("https://www.instagram.com/p/BYSqJhHAFLI/")</f>
        <v>https://www.instagram.com/p/BYSqJhHAFLI/</v>
      </c>
      <c r="F3060" t="s">
        <v>18075</v>
      </c>
      <c r="G3060" t="s">
        <v>2478</v>
      </c>
      <c r="H3060">
        <v>164</v>
      </c>
      <c r="I3060" t="s">
        <v>2479</v>
      </c>
      <c r="J3060">
        <v>0</v>
      </c>
      <c r="K3060">
        <v>19</v>
      </c>
      <c r="L3060">
        <v>19</v>
      </c>
      <c r="Q3060">
        <v>0</v>
      </c>
      <c r="R3060">
        <v>0</v>
      </c>
      <c r="S3060">
        <v>19</v>
      </c>
      <c r="Y3060" t="s">
        <v>18076</v>
      </c>
      <c r="Z3060" t="s">
        <v>3937</v>
      </c>
      <c r="AA3060" t="s">
        <v>18077</v>
      </c>
      <c r="AB3060" t="s">
        <v>18078</v>
      </c>
      <c r="AC3060" t="s">
        <v>2497</v>
      </c>
      <c r="AD3060" s="249" t="str">
        <f>HYPERLINK("https://scontent.cdninstagram.com/t51.2885-15/s320x320/e35/21042094_1996956077248586_1298836971174494208_n.jpg")</f>
        <v>https://scontent.cdninstagram.com/t51.2885-15/s320x320/e35/21042094_1996956077248586_1298836971174494208_n.jpg</v>
      </c>
      <c r="AE3060" s="249" t="str">
        <f>HYPERLINK("https://scontent.cdninstagram.com/t51.2885-19/s150x150/10268975_1234474813246450_168576600_a.jpg")</f>
        <v>https://scontent.cdninstagram.com/t51.2885-19/s150x150/10268975_1234474813246450_168576600_a.jpg</v>
      </c>
    </row>
    <row r="3061" spans="1:31" ht="15" x14ac:dyDescent="0.25">
      <c r="A3061" t="s">
        <v>2474</v>
      </c>
      <c r="B3061" t="s">
        <v>3471</v>
      </c>
      <c r="C3061" s="221">
        <v>42974.222060185188</v>
      </c>
      <c r="D3061" t="s">
        <v>18079</v>
      </c>
      <c r="E3061" s="249" t="str">
        <f>HYPERLINK("https://www.instagram.com/p/BYSr6fzHgwr/")</f>
        <v>https://www.instagram.com/p/BYSr6fzHgwr/</v>
      </c>
      <c r="F3061" t="s">
        <v>18080</v>
      </c>
      <c r="G3061" t="s">
        <v>2631</v>
      </c>
      <c r="H3061">
        <v>197</v>
      </c>
      <c r="I3061" t="s">
        <v>2542</v>
      </c>
      <c r="J3061">
        <v>0</v>
      </c>
      <c r="K3061">
        <v>21</v>
      </c>
      <c r="L3061">
        <v>21</v>
      </c>
      <c r="Q3061">
        <v>0</v>
      </c>
      <c r="R3061">
        <v>0</v>
      </c>
      <c r="S3061">
        <v>21</v>
      </c>
      <c r="T3061" t="s">
        <v>3474</v>
      </c>
      <c r="V3061" t="s">
        <v>2258</v>
      </c>
      <c r="W3061">
        <v>1.2930600000000001</v>
      </c>
      <c r="X3061">
        <v>103.85599999999999</v>
      </c>
      <c r="Y3061" t="s">
        <v>5705</v>
      </c>
      <c r="Z3061" t="s">
        <v>11615</v>
      </c>
      <c r="AA3061" t="s">
        <v>6775</v>
      </c>
      <c r="AB3061" t="s">
        <v>18081</v>
      </c>
      <c r="AC3061" t="s">
        <v>8951</v>
      </c>
      <c r="AD3061" s="249" t="str">
        <f>HYPERLINK("https://scontent.cdninstagram.com/t51.2885-15/s320x320/e15/21042166_1922127441373611_529750070971596800_n.jpg")</f>
        <v>https://scontent.cdninstagram.com/t51.2885-15/s320x320/e15/21042166_1922127441373611_529750070971596800_n.jpg</v>
      </c>
      <c r="AE3061" s="249" t="str">
        <f>HYPERLINK("https://scontent.cdninstagram.com/t51.2885-19/s150x150/19986209_741127056067001_1270489010199855104_a.jpg")</f>
        <v>https://scontent.cdninstagram.com/t51.2885-19/s150x150/19986209_741127056067001_1270489010199855104_a.jpg</v>
      </c>
    </row>
    <row r="3062" spans="1:31" ht="15" x14ac:dyDescent="0.25">
      <c r="A3062" t="s">
        <v>2474</v>
      </c>
      <c r="B3062" t="s">
        <v>2636</v>
      </c>
      <c r="C3062" s="221">
        <v>42974.231909722221</v>
      </c>
      <c r="D3062" t="s">
        <v>18082</v>
      </c>
      <c r="E3062" s="249" t="str">
        <f>HYPERLINK("https://www.instagram.com/p/BYStidFHnyz/")</f>
        <v>https://www.instagram.com/p/BYStidFHnyz/</v>
      </c>
      <c r="F3062" t="s">
        <v>18083</v>
      </c>
      <c r="G3062" t="s">
        <v>2478</v>
      </c>
      <c r="H3062">
        <v>316</v>
      </c>
      <c r="I3062" t="s">
        <v>2479</v>
      </c>
      <c r="J3062">
        <v>0</v>
      </c>
      <c r="K3062">
        <v>30</v>
      </c>
      <c r="L3062">
        <v>30</v>
      </c>
      <c r="Q3062">
        <v>0</v>
      </c>
      <c r="R3062">
        <v>0</v>
      </c>
      <c r="S3062">
        <v>30</v>
      </c>
      <c r="Y3062" t="s">
        <v>7040</v>
      </c>
      <c r="Z3062" t="s">
        <v>10115</v>
      </c>
      <c r="AA3062" t="s">
        <v>7252</v>
      </c>
      <c r="AB3062" t="s">
        <v>2643</v>
      </c>
      <c r="AC3062" t="s">
        <v>3813</v>
      </c>
      <c r="AD3062" s="249" t="str">
        <f>HYPERLINK("https://scontent.cdninstagram.com/t51.2885-15/s320x320/e35/21147489_361151697653146_6634012687334375424_n.jpg")</f>
        <v>https://scontent.cdninstagram.com/t51.2885-15/s320x320/e35/21147489_361151697653146_6634012687334375424_n.jpg</v>
      </c>
      <c r="AE3062" s="249" t="str">
        <f>HYPERLINK("https://scontent.cdninstagram.com/t51.2885-19/s150x150/15802797_1331780626878656_4160680230047973376_a.jpg")</f>
        <v>https://scontent.cdninstagram.com/t51.2885-19/s150x150/15802797_1331780626878656_4160680230047973376_a.jpg</v>
      </c>
    </row>
    <row r="3063" spans="1:31" ht="15" x14ac:dyDescent="0.25">
      <c r="A3063" t="s">
        <v>2474</v>
      </c>
      <c r="B3063" t="s">
        <v>18084</v>
      </c>
      <c r="C3063" s="221">
        <v>42974.237060185187</v>
      </c>
      <c r="D3063" t="s">
        <v>18085</v>
      </c>
      <c r="E3063" s="249" t="str">
        <f>HYPERLINK("https://www.instagram.com/p/BYSuYwhjtgb/")</f>
        <v>https://www.instagram.com/p/BYSuYwhjtgb/</v>
      </c>
      <c r="F3063" t="s">
        <v>18086</v>
      </c>
      <c r="G3063" t="s">
        <v>2478</v>
      </c>
      <c r="H3063">
        <v>939</v>
      </c>
      <c r="I3063" t="s">
        <v>2479</v>
      </c>
      <c r="J3063">
        <v>0</v>
      </c>
      <c r="K3063">
        <v>68</v>
      </c>
      <c r="L3063">
        <v>68</v>
      </c>
      <c r="Q3063">
        <v>0</v>
      </c>
      <c r="R3063">
        <v>0</v>
      </c>
      <c r="S3063">
        <v>68</v>
      </c>
      <c r="Y3063" t="s">
        <v>11035</v>
      </c>
      <c r="Z3063" t="s">
        <v>2968</v>
      </c>
      <c r="AA3063" t="s">
        <v>18087</v>
      </c>
      <c r="AB3063" t="s">
        <v>2497</v>
      </c>
      <c r="AC3063" t="s">
        <v>18088</v>
      </c>
      <c r="AD3063" s="249" t="str">
        <f>HYPERLINK("https://scontent.cdninstagram.com/t51.2885-15/s320x320/e35/21107288_271765476658405_7039733435761426432_n.jpg")</f>
        <v>https://scontent.cdninstagram.com/t51.2885-15/s320x320/e35/21107288_271765476658405_7039733435761426432_n.jpg</v>
      </c>
      <c r="AE3063" s="249" t="str">
        <f>HYPERLINK("https://scontent.cdninstagram.com/t51.2885-19/s150x150/18888674_1571977032834374_6532538196566212608_a.jpg")</f>
        <v>https://scontent.cdninstagram.com/t51.2885-19/s150x150/18888674_1571977032834374_6532538196566212608_a.jpg</v>
      </c>
    </row>
    <row r="3064" spans="1:31" ht="15" x14ac:dyDescent="0.25">
      <c r="A3064" t="s">
        <v>2474</v>
      </c>
      <c r="B3064" t="s">
        <v>18089</v>
      </c>
      <c r="C3064" s="221">
        <v>42974.239918981482</v>
      </c>
      <c r="D3064" t="s">
        <v>18090</v>
      </c>
      <c r="E3064" s="249" t="str">
        <f>HYPERLINK("https://www.instagram.com/p/BYSu28zAhi0/")</f>
        <v>https://www.instagram.com/p/BYSu28zAhi0/</v>
      </c>
      <c r="F3064" t="s">
        <v>18091</v>
      </c>
      <c r="G3064" t="s">
        <v>2478</v>
      </c>
      <c r="H3064">
        <v>82</v>
      </c>
      <c r="I3064" t="s">
        <v>2479</v>
      </c>
      <c r="J3064">
        <v>2</v>
      </c>
      <c r="K3064">
        <v>9</v>
      </c>
      <c r="L3064">
        <v>11</v>
      </c>
      <c r="Q3064">
        <v>0</v>
      </c>
      <c r="R3064">
        <v>0</v>
      </c>
      <c r="S3064">
        <v>11</v>
      </c>
      <c r="T3064" t="s">
        <v>18092</v>
      </c>
      <c r="V3064" t="s">
        <v>2288</v>
      </c>
      <c r="W3064">
        <v>53.795231127321003</v>
      </c>
      <c r="X3064">
        <v>-1.5413512932979001</v>
      </c>
      <c r="Y3064" t="s">
        <v>18093</v>
      </c>
      <c r="Z3064" t="s">
        <v>18094</v>
      </c>
      <c r="AA3064" t="s">
        <v>18095</v>
      </c>
      <c r="AB3064" t="s">
        <v>2497</v>
      </c>
      <c r="AD3064" s="249" t="str">
        <f>HYPERLINK("https://scontent.cdninstagram.com/t51.2885-15/s320x320/e35/21042258_113939229273757_545186776138907648_n.jpg")</f>
        <v>https://scontent.cdninstagram.com/t51.2885-15/s320x320/e35/21042258_113939229273757_545186776138907648_n.jpg</v>
      </c>
      <c r="AE3064" s="249" t="str">
        <f>HYPERLINK("https://scontent.cdninstagram.com/t51.2885-19/11375817_1596573893892950_1986522513_a.jpg")</f>
        <v>https://scontent.cdninstagram.com/t51.2885-19/11375817_1596573893892950_1986522513_a.jpg</v>
      </c>
    </row>
    <row r="3065" spans="1:31" ht="15" x14ac:dyDescent="0.25">
      <c r="A3065" t="s">
        <v>2474</v>
      </c>
      <c r="B3065" t="s">
        <v>18096</v>
      </c>
      <c r="C3065" s="221">
        <v>42974.249224537038</v>
      </c>
      <c r="D3065" t="s">
        <v>18097</v>
      </c>
      <c r="E3065" s="249" t="str">
        <f>HYPERLINK("https://www.instagram.com/p/BYSwZEoBUus/")</f>
        <v>https://www.instagram.com/p/BYSwZEoBUus/</v>
      </c>
      <c r="F3065" t="s">
        <v>2872</v>
      </c>
      <c r="G3065" t="s">
        <v>2478</v>
      </c>
      <c r="H3065">
        <v>503</v>
      </c>
      <c r="I3065" t="s">
        <v>2510</v>
      </c>
      <c r="J3065">
        <v>0</v>
      </c>
      <c r="K3065">
        <v>101</v>
      </c>
      <c r="L3065">
        <v>101</v>
      </c>
      <c r="Q3065">
        <v>0</v>
      </c>
      <c r="R3065">
        <v>0</v>
      </c>
      <c r="S3065">
        <v>101</v>
      </c>
      <c r="T3065" t="s">
        <v>18098</v>
      </c>
      <c r="V3065" t="s">
        <v>2176</v>
      </c>
      <c r="W3065">
        <v>11.271610347499999</v>
      </c>
      <c r="X3065">
        <v>75.837704594285995</v>
      </c>
      <c r="Y3065" t="s">
        <v>2497</v>
      </c>
      <c r="AD3065" s="249" t="str">
        <f>HYPERLINK("https://scontent.cdninstagram.com/t51.2885-15/s320x320/e35/21107276_123630608287731_350527841693073408_n.jpg")</f>
        <v>https://scontent.cdninstagram.com/t51.2885-15/s320x320/e35/21107276_123630608287731_350527841693073408_n.jpg</v>
      </c>
      <c r="AE3065" s="249" t="str">
        <f>HYPERLINK("https://scontent.cdninstagram.com/t51.2885-19/s150x150/21296522_315430335588882_8969933855033131008_a.jpg")</f>
        <v>https://scontent.cdninstagram.com/t51.2885-19/s150x150/21296522_315430335588882_8969933855033131008_a.jpg</v>
      </c>
    </row>
    <row r="3066" spans="1:31" ht="15" x14ac:dyDescent="0.25">
      <c r="A3066" t="s">
        <v>2474</v>
      </c>
      <c r="B3066" t="s">
        <v>3015</v>
      </c>
      <c r="C3066" s="221">
        <v>42974.254050925927</v>
      </c>
      <c r="D3066" t="s">
        <v>18099</v>
      </c>
      <c r="E3066" s="249" t="str">
        <f>HYPERLINK("https://www.instagram.com/p/BYSxL8gAYKL/")</f>
        <v>https://www.instagram.com/p/BYSxL8gAYKL/</v>
      </c>
      <c r="F3066" t="s">
        <v>18100</v>
      </c>
      <c r="G3066" t="s">
        <v>2478</v>
      </c>
      <c r="H3066">
        <v>247</v>
      </c>
      <c r="I3066" t="s">
        <v>2479</v>
      </c>
      <c r="J3066">
        <v>3</v>
      </c>
      <c r="K3066">
        <v>42</v>
      </c>
      <c r="L3066">
        <v>45</v>
      </c>
      <c r="Q3066">
        <v>0</v>
      </c>
      <c r="R3066">
        <v>0</v>
      </c>
      <c r="S3066">
        <v>45</v>
      </c>
      <c r="Y3066" t="s">
        <v>3492</v>
      </c>
      <c r="Z3066" t="s">
        <v>3020</v>
      </c>
      <c r="AA3066" t="s">
        <v>4126</v>
      </c>
      <c r="AB3066" t="s">
        <v>2492</v>
      </c>
      <c r="AC3066" t="s">
        <v>4127</v>
      </c>
      <c r="AD3066" s="249" t="str">
        <f>HYPERLINK("https://scontent.cdninstagram.com/t51.2885-15/s320x320/e35/21149219_1958621377747843_8858600253952098304_n.jpg")</f>
        <v>https://scontent.cdninstagram.com/t51.2885-15/s320x320/e35/21149219_1958621377747843_8858600253952098304_n.jpg</v>
      </c>
      <c r="AE3066" s="249" t="str">
        <f>HYPERLINK("https://scontent.cdninstagram.com/t51.2885-19/s150x150/21373102_1087463374722515_8750956974671134720_a.jpg")</f>
        <v>https://scontent.cdninstagram.com/t51.2885-19/s150x150/21373102_1087463374722515_8750956974671134720_a.jpg</v>
      </c>
    </row>
    <row r="3067" spans="1:31" ht="15" x14ac:dyDescent="0.25">
      <c r="A3067" t="s">
        <v>2474</v>
      </c>
      <c r="B3067" t="s">
        <v>18101</v>
      </c>
      <c r="C3067" s="221">
        <v>42974.267210648148</v>
      </c>
      <c r="D3067" t="s">
        <v>18102</v>
      </c>
      <c r="E3067" s="249" t="str">
        <f>HYPERLINK("https://www.instagram.com/p/BYSzWvgjg3q/")</f>
        <v>https://www.instagram.com/p/BYSzWvgjg3q/</v>
      </c>
      <c r="F3067" t="s">
        <v>18103</v>
      </c>
      <c r="G3067" t="s">
        <v>2478</v>
      </c>
      <c r="H3067">
        <v>279</v>
      </c>
      <c r="I3067" t="s">
        <v>2479</v>
      </c>
      <c r="J3067">
        <v>1</v>
      </c>
      <c r="K3067">
        <v>21</v>
      </c>
      <c r="L3067">
        <v>22</v>
      </c>
      <c r="Q3067">
        <v>0</v>
      </c>
      <c r="R3067">
        <v>0</v>
      </c>
      <c r="S3067">
        <v>22</v>
      </c>
      <c r="Y3067" t="s">
        <v>18104</v>
      </c>
      <c r="Z3067" t="s">
        <v>18105</v>
      </c>
      <c r="AA3067" t="s">
        <v>18106</v>
      </c>
      <c r="AB3067" t="s">
        <v>2497</v>
      </c>
      <c r="AC3067" t="s">
        <v>18107</v>
      </c>
      <c r="AD3067" s="249" t="str">
        <f>HYPERLINK("https://scontent.cdninstagram.com/t51.2885-15/s320x320/e35/21041864_219811401883091_8922246051461595136_n.jpg")</f>
        <v>https://scontent.cdninstagram.com/t51.2885-15/s320x320/e35/21041864_219811401883091_8922246051461595136_n.jpg</v>
      </c>
      <c r="AE3067" s="249" t="str">
        <f>HYPERLINK("https://scontent.cdninstagram.com/t51.2885-19/11899668_1480987858885328_413535066_a.jpg")</f>
        <v>https://scontent.cdninstagram.com/t51.2885-19/11899668_1480987858885328_413535066_a.jpg</v>
      </c>
    </row>
    <row r="3068" spans="1:31" ht="15" x14ac:dyDescent="0.25">
      <c r="A3068" t="s">
        <v>2474</v>
      </c>
      <c r="B3068" t="s">
        <v>18108</v>
      </c>
      <c r="C3068" s="221">
        <v>42974.268043981479</v>
      </c>
      <c r="D3068" t="s">
        <v>18109</v>
      </c>
      <c r="E3068" s="249" t="str">
        <f>HYPERLINK("https://www.instagram.com/p/BYSzfitAFsy/")</f>
        <v>https://www.instagram.com/p/BYSzfitAFsy/</v>
      </c>
      <c r="F3068" t="s">
        <v>18110</v>
      </c>
      <c r="G3068" t="s">
        <v>2478</v>
      </c>
      <c r="H3068">
        <v>253</v>
      </c>
      <c r="I3068" t="s">
        <v>2927</v>
      </c>
      <c r="J3068">
        <v>1</v>
      </c>
      <c r="K3068">
        <v>18</v>
      </c>
      <c r="L3068">
        <v>19</v>
      </c>
      <c r="Q3068">
        <v>0</v>
      </c>
      <c r="R3068">
        <v>0</v>
      </c>
      <c r="S3068">
        <v>19</v>
      </c>
      <c r="T3068" t="s">
        <v>10329</v>
      </c>
      <c r="V3068" t="s">
        <v>2264</v>
      </c>
      <c r="W3068">
        <v>42.764014243490003</v>
      </c>
      <c r="X3068">
        <v>-7.9069180053236003</v>
      </c>
      <c r="Y3068" t="s">
        <v>18111</v>
      </c>
      <c r="Z3068" t="s">
        <v>2497</v>
      </c>
      <c r="AA3068" t="s">
        <v>18112</v>
      </c>
      <c r="AD3068" s="249" t="str">
        <f>HYPERLINK("https://scontent.cdninstagram.com/t51.2885-15/s320x320/e35/21147352_344057982688204_8095518632857042944_n.jpg")</f>
        <v>https://scontent.cdninstagram.com/t51.2885-15/s320x320/e35/21147352_344057982688204_8095518632857042944_n.jpg</v>
      </c>
      <c r="AE3068" s="249" t="str">
        <f>HYPERLINK("https://scontent.cdninstagram.com/t51.2885-19/12825806_1021085631297554_618223746_a.jpg")</f>
        <v>https://scontent.cdninstagram.com/t51.2885-19/12825806_1021085631297554_618223746_a.jpg</v>
      </c>
    </row>
    <row r="3069" spans="1:31" ht="15" x14ac:dyDescent="0.25">
      <c r="A3069" t="s">
        <v>2474</v>
      </c>
      <c r="B3069" t="s">
        <v>3846</v>
      </c>
      <c r="C3069" s="221">
        <v>42974.271967592591</v>
      </c>
      <c r="D3069" t="s">
        <v>18113</v>
      </c>
      <c r="E3069" s="249" t="str">
        <f>HYPERLINK("https://www.instagram.com/p/BYS0I7VgHrA/")</f>
        <v>https://www.instagram.com/p/BYS0I7VgHrA/</v>
      </c>
      <c r="F3069" t="s">
        <v>18114</v>
      </c>
      <c r="G3069" t="s">
        <v>2478</v>
      </c>
      <c r="H3069">
        <v>1011</v>
      </c>
      <c r="I3069" t="s">
        <v>2479</v>
      </c>
      <c r="J3069">
        <v>6</v>
      </c>
      <c r="K3069">
        <v>105</v>
      </c>
      <c r="L3069">
        <v>111</v>
      </c>
      <c r="Q3069">
        <v>0</v>
      </c>
      <c r="R3069">
        <v>0</v>
      </c>
      <c r="S3069">
        <v>111</v>
      </c>
      <c r="Y3069" t="s">
        <v>18115</v>
      </c>
      <c r="Z3069" t="s">
        <v>3849</v>
      </c>
      <c r="AA3069" t="s">
        <v>14744</v>
      </c>
      <c r="AB3069" t="s">
        <v>4923</v>
      </c>
      <c r="AC3069" t="s">
        <v>8481</v>
      </c>
      <c r="AD3069" s="249" t="str">
        <f>HYPERLINK("https://scontent.cdninstagram.com/t51.2885-15/s320x320/e35/21107617_1735561116750061_7111322573421412352_n.jpg")</f>
        <v>https://scontent.cdninstagram.com/t51.2885-15/s320x320/e35/21107617_1735561116750061_7111322573421412352_n.jpg</v>
      </c>
      <c r="AE3069" s="249" t="str">
        <f>HYPERLINK("https://scontent.cdninstagram.com/t51.2885-19/11313229_1459878014310621_82799200_a.jpg")</f>
        <v>https://scontent.cdninstagram.com/t51.2885-19/11313229_1459878014310621_82799200_a.jpg</v>
      </c>
    </row>
    <row r="3070" spans="1:31" ht="15" x14ac:dyDescent="0.25">
      <c r="A3070" t="s">
        <v>2474</v>
      </c>
      <c r="B3070" t="s">
        <v>18116</v>
      </c>
      <c r="C3070" s="221">
        <v>42974.276909722219</v>
      </c>
      <c r="D3070" t="s">
        <v>18117</v>
      </c>
      <c r="E3070" s="249" t="str">
        <f>HYPERLINK("https://www.instagram.com/p/BYS09BzgTng/")</f>
        <v>https://www.instagram.com/p/BYS09BzgTng/</v>
      </c>
      <c r="F3070" t="s">
        <v>18118</v>
      </c>
      <c r="G3070" t="s">
        <v>2478</v>
      </c>
      <c r="H3070">
        <v>457</v>
      </c>
      <c r="I3070" t="s">
        <v>2479</v>
      </c>
      <c r="J3070">
        <v>0</v>
      </c>
      <c r="K3070">
        <v>11</v>
      </c>
      <c r="L3070">
        <v>11</v>
      </c>
      <c r="Q3070">
        <v>0</v>
      </c>
      <c r="R3070">
        <v>0</v>
      </c>
      <c r="S3070">
        <v>11</v>
      </c>
      <c r="Y3070" t="s">
        <v>18119</v>
      </c>
      <c r="Z3070" t="s">
        <v>18120</v>
      </c>
      <c r="AA3070" t="s">
        <v>14243</v>
      </c>
      <c r="AB3070" t="s">
        <v>3196</v>
      </c>
      <c r="AC3070" t="s">
        <v>18121</v>
      </c>
      <c r="AD3070" s="249" t="str">
        <f>HYPERLINK("https://scontent.cdninstagram.com/t51.2885-15/e35/p320x320/21042523_664348210425850_5741231326007132160_n.jpg")</f>
        <v>https://scontent.cdninstagram.com/t51.2885-15/e35/p320x320/21042523_664348210425850_5741231326007132160_n.jpg</v>
      </c>
      <c r="AE3070" s="249" t="str">
        <f>HYPERLINK("https://scontent.cdninstagram.com/t51.2885-19/s150x150/13408709_1322657627749195_1505684174_a.jpg")</f>
        <v>https://scontent.cdninstagram.com/t51.2885-19/s150x150/13408709_1322657627749195_1505684174_a.jpg</v>
      </c>
    </row>
    <row r="3071" spans="1:31" ht="15" x14ac:dyDescent="0.25">
      <c r="A3071" t="s">
        <v>2474</v>
      </c>
      <c r="B3071" t="s">
        <v>2644</v>
      </c>
      <c r="C3071" s="221">
        <v>42974.278229166666</v>
      </c>
      <c r="D3071" t="s">
        <v>18122</v>
      </c>
      <c r="E3071" s="249" t="str">
        <f>HYPERLINK("https://www.instagram.com/p/BYS1K_fgtWg/")</f>
        <v>https://www.instagram.com/p/BYS1K_fgtWg/</v>
      </c>
      <c r="F3071" t="s">
        <v>18123</v>
      </c>
      <c r="G3071" t="s">
        <v>2478</v>
      </c>
      <c r="H3071">
        <v>1729</v>
      </c>
      <c r="I3071" t="s">
        <v>2479</v>
      </c>
      <c r="J3071">
        <v>3</v>
      </c>
      <c r="K3071">
        <v>81</v>
      </c>
      <c r="L3071">
        <v>84</v>
      </c>
      <c r="Q3071">
        <v>0</v>
      </c>
      <c r="R3071">
        <v>0</v>
      </c>
      <c r="S3071">
        <v>84</v>
      </c>
      <c r="T3071" t="s">
        <v>18124</v>
      </c>
      <c r="V3071" t="s">
        <v>2648</v>
      </c>
      <c r="W3071">
        <v>59.932171269927998</v>
      </c>
      <c r="X3071">
        <v>30.312550334605</v>
      </c>
      <c r="Y3071" t="s">
        <v>8161</v>
      </c>
      <c r="Z3071" t="s">
        <v>9542</v>
      </c>
      <c r="AA3071" t="s">
        <v>2651</v>
      </c>
      <c r="AB3071" t="s">
        <v>3633</v>
      </c>
      <c r="AC3071" t="s">
        <v>18125</v>
      </c>
      <c r="AD3071" s="249" t="str">
        <f>HYPERLINK("https://scontent.cdninstagram.com/t51.2885-15/s320x320/e35/21107222_1395008147273103_4427311490546008064_n.jpg")</f>
        <v>https://scontent.cdninstagram.com/t51.2885-15/s320x320/e35/21107222_1395008147273103_4427311490546008064_n.jpg</v>
      </c>
      <c r="AE3071" s="249" t="str">
        <f>HYPERLINK("https://scontent.cdninstagram.com/t51.2885-19/11372086_1598451257062069_1320225693_a.jpg")</f>
        <v>https://scontent.cdninstagram.com/t51.2885-19/11372086_1598451257062069_1320225693_a.jpg</v>
      </c>
    </row>
    <row r="3072" spans="1:31" ht="15" x14ac:dyDescent="0.25">
      <c r="A3072" t="s">
        <v>2474</v>
      </c>
      <c r="B3072" t="s">
        <v>18126</v>
      </c>
      <c r="C3072" s="221">
        <v>42974.282835648148</v>
      </c>
      <c r="D3072" t="s">
        <v>18127</v>
      </c>
      <c r="E3072" s="249" t="str">
        <f>HYPERLINK("https://www.instagram.com/p/BYS17gnFFyn/")</f>
        <v>https://www.instagram.com/p/BYS17gnFFyn/</v>
      </c>
      <c r="F3072" t="s">
        <v>18128</v>
      </c>
      <c r="G3072" t="s">
        <v>2488</v>
      </c>
      <c r="H3072">
        <v>3303</v>
      </c>
      <c r="I3072" t="s">
        <v>2479</v>
      </c>
      <c r="J3072">
        <v>7</v>
      </c>
      <c r="K3072">
        <v>70</v>
      </c>
      <c r="L3072">
        <v>77</v>
      </c>
      <c r="Q3072">
        <v>0</v>
      </c>
      <c r="R3072">
        <v>0</v>
      </c>
      <c r="S3072">
        <v>77</v>
      </c>
      <c r="Y3072" t="s">
        <v>18129</v>
      </c>
      <c r="Z3072" t="s">
        <v>2529</v>
      </c>
      <c r="AA3072" t="s">
        <v>18130</v>
      </c>
      <c r="AB3072" t="s">
        <v>18131</v>
      </c>
      <c r="AC3072" t="s">
        <v>18132</v>
      </c>
      <c r="AD3072" s="249" t="str">
        <f>HYPERLINK("https://scontent.cdninstagram.com/t51.2885-15/s320x320/e35/21042458_1721829571452560_5823158076286435328_n.jpg")</f>
        <v>https://scontent.cdninstagram.com/t51.2885-15/s320x320/e35/21042458_1721829571452560_5823158076286435328_n.jpg</v>
      </c>
      <c r="AE3072" s="249" t="str">
        <f>HYPERLINK("https://scontent.cdninstagram.com/t51.2885-19/s150x150/15877511_2202620116630146_5280373243427946496_a.jpg")</f>
        <v>https://scontent.cdninstagram.com/t51.2885-19/s150x150/15877511_2202620116630146_5280373243427946496_a.jpg</v>
      </c>
    </row>
    <row r="3073" spans="1:31" ht="15" x14ac:dyDescent="0.25">
      <c r="A3073" t="s">
        <v>2474</v>
      </c>
      <c r="B3073" t="s">
        <v>2863</v>
      </c>
      <c r="C3073" s="221">
        <v>42974.288287037038</v>
      </c>
      <c r="D3073" t="s">
        <v>18133</v>
      </c>
      <c r="E3073" s="249" t="str">
        <f>HYPERLINK("https://www.instagram.com/p/BYS21FRFq_3/")</f>
        <v>https://www.instagram.com/p/BYS21FRFq_3/</v>
      </c>
      <c r="F3073" t="s">
        <v>18134</v>
      </c>
      <c r="G3073" t="s">
        <v>2478</v>
      </c>
      <c r="H3073">
        <v>69</v>
      </c>
      <c r="I3073" t="s">
        <v>2479</v>
      </c>
      <c r="J3073">
        <v>0</v>
      </c>
      <c r="K3073">
        <v>35</v>
      </c>
      <c r="L3073">
        <v>35</v>
      </c>
      <c r="Q3073">
        <v>0</v>
      </c>
      <c r="R3073">
        <v>0</v>
      </c>
      <c r="S3073">
        <v>35</v>
      </c>
      <c r="Y3073" t="s">
        <v>4620</v>
      </c>
      <c r="Z3073" t="s">
        <v>18135</v>
      </c>
      <c r="AA3073" t="s">
        <v>18136</v>
      </c>
      <c r="AB3073" t="s">
        <v>2869</v>
      </c>
      <c r="AC3073" t="s">
        <v>2492</v>
      </c>
      <c r="AD3073" s="249" t="str">
        <f>HYPERLINK("https://scontent.cdninstagram.com/t51.2885-15/s320x320/e35/21147375_477441842633317_1483550135752327168_n.jpg")</f>
        <v>https://scontent.cdninstagram.com/t51.2885-15/s320x320/e35/21147375_477441842633317_1483550135752327168_n.jpg</v>
      </c>
      <c r="AE3073" s="249" t="str">
        <f>HYPERLINK("https://scontent.cdninstagram.com/t51.2885-19/s150x150/19955745_1435072766568917_8173761520967090176_a.jpg")</f>
        <v>https://scontent.cdninstagram.com/t51.2885-19/s150x150/19955745_1435072766568917_8173761520967090176_a.jpg</v>
      </c>
    </row>
    <row r="3074" spans="1:31" ht="15" x14ac:dyDescent="0.25">
      <c r="A3074" t="s">
        <v>2474</v>
      </c>
      <c r="B3074" t="s">
        <v>16398</v>
      </c>
      <c r="C3074" s="221">
        <v>42974.309930555559</v>
      </c>
      <c r="D3074" t="s">
        <v>18137</v>
      </c>
      <c r="E3074" s="249" t="str">
        <f>HYPERLINK("https://www.instagram.com/p/BYS6ZRKnT20/")</f>
        <v>https://www.instagram.com/p/BYS6ZRKnT20/</v>
      </c>
      <c r="F3074" t="s">
        <v>18138</v>
      </c>
      <c r="G3074" t="s">
        <v>2631</v>
      </c>
      <c r="H3074">
        <v>118</v>
      </c>
      <c r="I3074" t="s">
        <v>3575</v>
      </c>
      <c r="J3074">
        <v>0</v>
      </c>
      <c r="K3074">
        <v>8</v>
      </c>
      <c r="L3074">
        <v>8</v>
      </c>
      <c r="Q3074">
        <v>0</v>
      </c>
      <c r="R3074">
        <v>0</v>
      </c>
      <c r="S3074">
        <v>8</v>
      </c>
      <c r="Y3074" t="s">
        <v>18139</v>
      </c>
      <c r="Z3074" t="s">
        <v>3982</v>
      </c>
      <c r="AA3074" t="s">
        <v>10491</v>
      </c>
      <c r="AB3074" t="s">
        <v>2497</v>
      </c>
      <c r="AC3074" t="s">
        <v>4012</v>
      </c>
      <c r="AD3074" s="249" t="str">
        <f>HYPERLINK("https://scontent.cdninstagram.com/t51.2885-15/s320x320/e15/21107236_1445007708870297_5597345356040896512_n.jpg")</f>
        <v>https://scontent.cdninstagram.com/t51.2885-15/s320x320/e15/21107236_1445007708870297_5597345356040896512_n.jpg</v>
      </c>
      <c r="AE3074" s="249" t="str">
        <f>HYPERLINK("https://scontent.cdninstagram.com/t51.2885-19/s150x150/21107229_287197328429182_2284786377994272768_a.jpg")</f>
        <v>https://scontent.cdninstagram.com/t51.2885-19/s150x150/21107229_287197328429182_2284786377994272768_a.jpg</v>
      </c>
    </row>
    <row r="3075" spans="1:31" ht="15" x14ac:dyDescent="0.25">
      <c r="A3075" t="s">
        <v>2474</v>
      </c>
      <c r="B3075" t="s">
        <v>18140</v>
      </c>
      <c r="C3075" s="221">
        <v>42974.316481481481</v>
      </c>
      <c r="D3075" t="s">
        <v>18141</v>
      </c>
      <c r="E3075" s="249" t="str">
        <f>HYPERLINK("https://www.instagram.com/p/BYS7eZnj7ie/")</f>
        <v>https://www.instagram.com/p/BYS7eZnj7ie/</v>
      </c>
      <c r="F3075" t="s">
        <v>18142</v>
      </c>
      <c r="G3075" t="s">
        <v>2478</v>
      </c>
      <c r="H3075">
        <v>147</v>
      </c>
      <c r="I3075" t="s">
        <v>2479</v>
      </c>
      <c r="J3075">
        <v>0</v>
      </c>
      <c r="K3075">
        <v>0</v>
      </c>
      <c r="L3075">
        <v>0</v>
      </c>
      <c r="Q3075">
        <v>0</v>
      </c>
      <c r="R3075">
        <v>0</v>
      </c>
      <c r="S3075">
        <v>0</v>
      </c>
      <c r="Y3075" t="s">
        <v>2898</v>
      </c>
      <c r="Z3075" t="s">
        <v>2497</v>
      </c>
      <c r="AD3075" s="249" t="str">
        <f>HYPERLINK("https://scontent.cdninstagram.com/t51.2885-15/s320x320/e35/21041155_871302379700354_8822897015454171136_n.jpg")</f>
        <v>https://scontent.cdninstagram.com/t51.2885-15/s320x320/e35/21041155_871302379700354_8822897015454171136_n.jpg</v>
      </c>
      <c r="AE3075" s="249" t="str">
        <f>HYPERLINK("https://scontent.cdninstagram.com/t51.2885-19/s150x150/14269194_185348135209340_678683349_a.jpg")</f>
        <v>https://scontent.cdninstagram.com/t51.2885-19/s150x150/14269194_185348135209340_678683349_a.jpg</v>
      </c>
    </row>
    <row r="3076" spans="1:31" ht="15" x14ac:dyDescent="0.25">
      <c r="A3076" t="s">
        <v>2474</v>
      </c>
      <c r="B3076" t="s">
        <v>18143</v>
      </c>
      <c r="C3076" s="221">
        <v>42974.317164351851</v>
      </c>
      <c r="D3076" t="s">
        <v>18144</v>
      </c>
      <c r="E3076" s="249" t="str">
        <f>HYPERLINK("https://www.instagram.com/p/BYS7lpDhRlY/")</f>
        <v>https://www.instagram.com/p/BYS7lpDhRlY/</v>
      </c>
      <c r="F3076" t="s">
        <v>18145</v>
      </c>
      <c r="G3076" t="s">
        <v>2478</v>
      </c>
      <c r="H3076">
        <v>173</v>
      </c>
      <c r="I3076" t="s">
        <v>2599</v>
      </c>
      <c r="J3076">
        <v>4</v>
      </c>
      <c r="K3076">
        <v>63</v>
      </c>
      <c r="L3076">
        <v>67</v>
      </c>
      <c r="Q3076">
        <v>0</v>
      </c>
      <c r="R3076">
        <v>0</v>
      </c>
      <c r="S3076">
        <v>67</v>
      </c>
      <c r="T3076" t="s">
        <v>18146</v>
      </c>
      <c r="V3076" t="s">
        <v>2230</v>
      </c>
      <c r="W3076">
        <v>58.166699999999999</v>
      </c>
      <c r="X3076">
        <v>8</v>
      </c>
      <c r="Y3076" t="s">
        <v>5061</v>
      </c>
      <c r="Z3076" t="s">
        <v>18147</v>
      </c>
      <c r="AA3076" t="s">
        <v>18148</v>
      </c>
      <c r="AB3076" t="s">
        <v>18149</v>
      </c>
      <c r="AC3076" t="s">
        <v>18150</v>
      </c>
      <c r="AD3076" s="249" t="str">
        <f>HYPERLINK("https://scontent.cdninstagram.com/t51.2885-15/s320x320/e35/21041950_1948146135422656_4475588705364475904_n.jpg")</f>
        <v>https://scontent.cdninstagram.com/t51.2885-15/s320x320/e35/21041950_1948146135422656_4475588705364475904_n.jpg</v>
      </c>
      <c r="AE3076" s="249" t="str">
        <f>HYPERLINK("https://scontent.cdninstagram.com/t51.2885-19/s150x150/21149315_721963524656503_5077667786537304064_a.jpg")</f>
        <v>https://scontent.cdninstagram.com/t51.2885-19/s150x150/21149315_721963524656503_5077667786537304064_a.jpg</v>
      </c>
    </row>
    <row r="3077" spans="1:31" ht="15" x14ac:dyDescent="0.25">
      <c r="A3077" t="s">
        <v>2474</v>
      </c>
      <c r="B3077" t="s">
        <v>18151</v>
      </c>
      <c r="C3077" s="221">
        <v>42974.318553240744</v>
      </c>
      <c r="D3077" t="s">
        <v>18152</v>
      </c>
      <c r="E3077" s="249" t="str">
        <f>HYPERLINK("https://www.instagram.com/p/BYS70NWl81W/")</f>
        <v>https://www.instagram.com/p/BYS70NWl81W/</v>
      </c>
      <c r="F3077" t="s">
        <v>18153</v>
      </c>
      <c r="G3077" t="s">
        <v>2478</v>
      </c>
      <c r="H3077">
        <v>487</v>
      </c>
      <c r="I3077" t="s">
        <v>2479</v>
      </c>
      <c r="J3077">
        <v>0</v>
      </c>
      <c r="K3077">
        <v>24</v>
      </c>
      <c r="L3077">
        <v>24</v>
      </c>
      <c r="Q3077">
        <v>0</v>
      </c>
      <c r="R3077">
        <v>0</v>
      </c>
      <c r="S3077">
        <v>24</v>
      </c>
      <c r="Y3077" t="s">
        <v>2635</v>
      </c>
      <c r="Z3077" t="s">
        <v>8753</v>
      </c>
      <c r="AA3077" t="s">
        <v>18154</v>
      </c>
      <c r="AB3077" t="s">
        <v>18155</v>
      </c>
      <c r="AC3077" t="s">
        <v>2497</v>
      </c>
      <c r="AD3077" s="249" t="str">
        <f>HYPERLINK("https://scontent.cdninstagram.com/t51.2885-15/s320x320/e35/21041909_113659725999670_4758563781007638528_n.jpg")</f>
        <v>https://scontent.cdninstagram.com/t51.2885-15/s320x320/e35/21041909_113659725999670_4758563781007638528_n.jpg</v>
      </c>
      <c r="AE3077" s="249" t="str">
        <f>HYPERLINK("https://scontent.cdninstagram.com/t51.2885-19/s150x150/18095405_502950780096107_5325164246177153024_a.jpg")</f>
        <v>https://scontent.cdninstagram.com/t51.2885-19/s150x150/18095405_502950780096107_5325164246177153024_a.jpg</v>
      </c>
    </row>
    <row r="3078" spans="1:31" ht="15" x14ac:dyDescent="0.25">
      <c r="A3078" t="s">
        <v>2474</v>
      </c>
      <c r="B3078" t="s">
        <v>18156</v>
      </c>
      <c r="C3078" s="221">
        <v>42974.320937500001</v>
      </c>
      <c r="D3078" t="s">
        <v>18157</v>
      </c>
      <c r="E3078" s="249" t="str">
        <f>HYPERLINK("https://www.instagram.com/p/BYS8NWNhVoQ/")</f>
        <v>https://www.instagram.com/p/BYS8NWNhVoQ/</v>
      </c>
      <c r="F3078" t="s">
        <v>18158</v>
      </c>
      <c r="G3078" t="s">
        <v>2478</v>
      </c>
      <c r="H3078">
        <v>540</v>
      </c>
      <c r="I3078" t="s">
        <v>2542</v>
      </c>
      <c r="J3078">
        <v>0</v>
      </c>
      <c r="K3078">
        <v>8</v>
      </c>
      <c r="L3078">
        <v>8</v>
      </c>
      <c r="Q3078">
        <v>0</v>
      </c>
      <c r="R3078">
        <v>0</v>
      </c>
      <c r="S3078">
        <v>8</v>
      </c>
      <c r="Y3078" t="s">
        <v>18159</v>
      </c>
      <c r="Z3078" t="s">
        <v>2492</v>
      </c>
      <c r="AA3078" t="s">
        <v>12468</v>
      </c>
      <c r="AB3078" t="s">
        <v>2497</v>
      </c>
      <c r="AC3078" t="s">
        <v>5467</v>
      </c>
      <c r="AD3078" s="249" t="str">
        <f>HYPERLINK("https://scontent.cdninstagram.com/t51.2885-15/s320x320/e35/21147288_350272452100952_2249084951972544512_n.jpg")</f>
        <v>https://scontent.cdninstagram.com/t51.2885-15/s320x320/e35/21147288_350272452100952_2249084951972544512_n.jpg</v>
      </c>
      <c r="AE3078" s="249" t="str">
        <f>HYPERLINK("https://scontent.cdninstagram.com/t51.2885-19/11049179_1554453028165183_1936356484_a.jpg")</f>
        <v>https://scontent.cdninstagram.com/t51.2885-19/11049179_1554453028165183_1936356484_a.jpg</v>
      </c>
    </row>
    <row r="3079" spans="1:31" ht="15" x14ac:dyDescent="0.25">
      <c r="A3079" t="s">
        <v>2474</v>
      </c>
      <c r="B3079" t="s">
        <v>18160</v>
      </c>
      <c r="C3079" s="221">
        <v>42974.323750000003</v>
      </c>
      <c r="D3079" t="s">
        <v>18161</v>
      </c>
      <c r="E3079" s="249" t="str">
        <f>HYPERLINK("https://www.instagram.com/p/BYS8rABFnwl/")</f>
        <v>https://www.instagram.com/p/BYS8rABFnwl/</v>
      </c>
      <c r="F3079" t="s">
        <v>18162</v>
      </c>
      <c r="G3079" t="s">
        <v>2478</v>
      </c>
      <c r="H3079">
        <v>17543</v>
      </c>
      <c r="I3079" t="s">
        <v>2479</v>
      </c>
      <c r="J3079">
        <v>3</v>
      </c>
      <c r="K3079">
        <v>915</v>
      </c>
      <c r="L3079">
        <v>918</v>
      </c>
      <c r="Q3079">
        <v>0</v>
      </c>
      <c r="R3079">
        <v>0</v>
      </c>
      <c r="S3079">
        <v>918</v>
      </c>
      <c r="T3079" t="s">
        <v>18163</v>
      </c>
      <c r="V3079" t="s">
        <v>2182</v>
      </c>
      <c r="W3079">
        <v>41.904730000000001</v>
      </c>
      <c r="X3079">
        <v>12.48066</v>
      </c>
      <c r="Y3079" t="s">
        <v>2651</v>
      </c>
      <c r="Z3079" t="s">
        <v>7491</v>
      </c>
      <c r="AA3079" t="s">
        <v>18164</v>
      </c>
      <c r="AB3079" t="s">
        <v>4218</v>
      </c>
      <c r="AC3079" t="s">
        <v>18165</v>
      </c>
      <c r="AD3079" s="249" t="str">
        <f>HYPERLINK("https://scontent.cdninstagram.com/t51.2885-15/e35/p320x320/20968787_279455875876299_7448526382885240832_n.jpg")</f>
        <v>https://scontent.cdninstagram.com/t51.2885-15/e35/p320x320/20968787_279455875876299_7448526382885240832_n.jpg</v>
      </c>
      <c r="AE3079" s="249" t="str">
        <f>HYPERLINK("https://scontent.cdninstagram.com/t51.2885-19/s150x150/17125805_209302212881749_7407525263572992000_a.jpg")</f>
        <v>https://scontent.cdninstagram.com/t51.2885-19/s150x150/17125805_209302212881749_7407525263572992000_a.jpg</v>
      </c>
    </row>
    <row r="3080" spans="1:31" ht="15" x14ac:dyDescent="0.25">
      <c r="A3080" t="s">
        <v>2474</v>
      </c>
      <c r="B3080" t="s">
        <v>18166</v>
      </c>
      <c r="C3080" s="221">
        <v>42974.326493055552</v>
      </c>
      <c r="D3080" t="s">
        <v>18167</v>
      </c>
      <c r="E3080" s="249" t="str">
        <f>HYPERLINK("https://www.instagram.com/p/BYS9H9DlQQk/")</f>
        <v>https://www.instagram.com/p/BYS9H9DlQQk/</v>
      </c>
      <c r="F3080" t="s">
        <v>18168</v>
      </c>
      <c r="G3080" t="s">
        <v>2478</v>
      </c>
      <c r="H3080">
        <v>2</v>
      </c>
      <c r="I3080" t="s">
        <v>2479</v>
      </c>
      <c r="J3080">
        <v>2</v>
      </c>
      <c r="K3080">
        <v>8</v>
      </c>
      <c r="L3080">
        <v>10</v>
      </c>
      <c r="Q3080">
        <v>0</v>
      </c>
      <c r="R3080">
        <v>0</v>
      </c>
      <c r="S3080">
        <v>10</v>
      </c>
      <c r="Y3080" t="s">
        <v>7374</v>
      </c>
      <c r="Z3080" t="s">
        <v>6172</v>
      </c>
      <c r="AA3080" t="s">
        <v>2551</v>
      </c>
      <c r="AB3080" t="s">
        <v>4582</v>
      </c>
      <c r="AC3080" t="s">
        <v>2497</v>
      </c>
      <c r="AD3080" s="249" t="str">
        <f>HYPERLINK("https://scontent.cdninstagram.com/t51.2885-15/s320x320/e35/21042205_115001445872274_2363844678530367488_n.jpg")</f>
        <v>https://scontent.cdninstagram.com/t51.2885-15/s320x320/e35/21042205_115001445872274_2363844678530367488_n.jpg</v>
      </c>
      <c r="AE3080" s="249" t="str">
        <f>HYPERLINK("https://scontent.cdninstagram.com/t51.2885-19/s150x150/21042091_133994167215195_6797056526428143616_a.jpg")</f>
        <v>https://scontent.cdninstagram.com/t51.2885-19/s150x150/21042091_133994167215195_6797056526428143616_a.jpg</v>
      </c>
    </row>
    <row r="3081" spans="1:31" ht="15" x14ac:dyDescent="0.25">
      <c r="A3081" t="s">
        <v>2474</v>
      </c>
      <c r="B3081" t="s">
        <v>18169</v>
      </c>
      <c r="C3081" s="221">
        <v>42974.328402777777</v>
      </c>
      <c r="D3081" t="s">
        <v>18170</v>
      </c>
      <c r="E3081" s="249" t="str">
        <f>HYPERLINK("https://www.instagram.com/p/BYS9cKHn-o0/")</f>
        <v>https://www.instagram.com/p/BYS9cKHn-o0/</v>
      </c>
      <c r="F3081" t="s">
        <v>18171</v>
      </c>
      <c r="G3081" t="s">
        <v>2478</v>
      </c>
      <c r="H3081">
        <v>216</v>
      </c>
      <c r="I3081" t="s">
        <v>2479</v>
      </c>
      <c r="J3081">
        <v>2</v>
      </c>
      <c r="K3081">
        <v>3</v>
      </c>
      <c r="L3081">
        <v>5</v>
      </c>
      <c r="Q3081">
        <v>0</v>
      </c>
      <c r="R3081">
        <v>0</v>
      </c>
      <c r="S3081">
        <v>5</v>
      </c>
      <c r="T3081" t="s">
        <v>18172</v>
      </c>
      <c r="V3081" t="s">
        <v>2288</v>
      </c>
      <c r="W3081">
        <v>54.376029840241003</v>
      </c>
      <c r="X3081">
        <v>-1.7236591841886</v>
      </c>
      <c r="Y3081" t="s">
        <v>4620</v>
      </c>
      <c r="Z3081" t="s">
        <v>18173</v>
      </c>
      <c r="AA3081" t="s">
        <v>15007</v>
      </c>
      <c r="AB3081" t="s">
        <v>18174</v>
      </c>
      <c r="AC3081" t="s">
        <v>18175</v>
      </c>
      <c r="AD3081" s="249" t="str">
        <f>HYPERLINK("https://scontent.cdninstagram.com/t51.2885-15/s320x320/e35/21041580_116860048976835_2670629622638444544_n.jpg")</f>
        <v>https://scontent.cdninstagram.com/t51.2885-15/s320x320/e35/21041580_116860048976835_2670629622638444544_n.jpg</v>
      </c>
      <c r="AE3081" s="249" t="str">
        <f>HYPERLINK("https://scontent.cdninstagram.com/t51.2885-19/s150x150/20968781_1882581848625938_498394786781200384_a.jpg")</f>
        <v>https://scontent.cdninstagram.com/t51.2885-19/s150x150/20968781_1882581848625938_498394786781200384_a.jpg</v>
      </c>
    </row>
    <row r="3082" spans="1:31" ht="15" x14ac:dyDescent="0.25">
      <c r="A3082" t="s">
        <v>2474</v>
      </c>
      <c r="B3082" t="s">
        <v>3290</v>
      </c>
      <c r="C3082" s="221">
        <v>42974.335474537038</v>
      </c>
      <c r="D3082" t="s">
        <v>18176</v>
      </c>
      <c r="E3082" s="249" t="str">
        <f>HYPERLINK("https://www.instagram.com/p/BYS-mvxHeNj/")</f>
        <v>https://www.instagram.com/p/BYS-mvxHeNj/</v>
      </c>
      <c r="F3082" t="s">
        <v>18177</v>
      </c>
      <c r="G3082" t="s">
        <v>2631</v>
      </c>
      <c r="H3082">
        <v>1934</v>
      </c>
      <c r="I3082" t="s">
        <v>2479</v>
      </c>
      <c r="J3082">
        <v>3</v>
      </c>
      <c r="K3082">
        <v>290</v>
      </c>
      <c r="L3082">
        <v>293</v>
      </c>
      <c r="Q3082">
        <v>0</v>
      </c>
      <c r="R3082">
        <v>0</v>
      </c>
      <c r="S3082">
        <v>293</v>
      </c>
      <c r="Y3082" t="s">
        <v>18178</v>
      </c>
      <c r="Z3082" t="s">
        <v>6414</v>
      </c>
      <c r="AA3082" t="s">
        <v>18179</v>
      </c>
      <c r="AB3082" t="s">
        <v>16058</v>
      </c>
      <c r="AC3082" t="s">
        <v>7590</v>
      </c>
      <c r="AD3082" s="249" t="str">
        <f>HYPERLINK("https://scontent.cdninstagram.com/t51.2885-15/s320x320/e15/21149283_465139653862177_2281281495702175744_n.jpg")</f>
        <v>https://scontent.cdninstagram.com/t51.2885-15/s320x320/e15/21149283_465139653862177_2281281495702175744_n.jpg</v>
      </c>
      <c r="AE3082" s="249" t="str">
        <f>HYPERLINK("https://scontent.cdninstagram.com/t51.2885-19/s150x150/18380245_313241119112969_3297379408276357120_a.jpg")</f>
        <v>https://scontent.cdninstagram.com/t51.2885-19/s150x150/18380245_313241119112969_3297379408276357120_a.jpg</v>
      </c>
    </row>
    <row r="3083" spans="1:31" ht="15" x14ac:dyDescent="0.25">
      <c r="A3083" t="s">
        <v>2474</v>
      </c>
      <c r="B3083" t="s">
        <v>2548</v>
      </c>
      <c r="C3083" s="221">
        <v>42974.337962962964</v>
      </c>
      <c r="D3083" t="s">
        <v>18180</v>
      </c>
      <c r="E3083" s="249" t="str">
        <f>HYPERLINK("https://www.instagram.com/p/BYS_A5cncFZ/")</f>
        <v>https://www.instagram.com/p/BYS_A5cncFZ/</v>
      </c>
      <c r="F3083" t="s">
        <v>18181</v>
      </c>
      <c r="G3083" t="s">
        <v>2478</v>
      </c>
      <c r="H3083">
        <v>533</v>
      </c>
      <c r="I3083" t="s">
        <v>2786</v>
      </c>
      <c r="J3083">
        <v>6</v>
      </c>
      <c r="K3083">
        <v>54</v>
      </c>
      <c r="L3083">
        <v>60</v>
      </c>
      <c r="Q3083">
        <v>0</v>
      </c>
      <c r="R3083">
        <v>0</v>
      </c>
      <c r="S3083">
        <v>60</v>
      </c>
      <c r="T3083" t="s">
        <v>5737</v>
      </c>
      <c r="V3083" t="s">
        <v>2222</v>
      </c>
      <c r="W3083">
        <v>52.26305</v>
      </c>
      <c r="X3083">
        <v>6.1649200000000004</v>
      </c>
      <c r="Y3083" t="s">
        <v>4042</v>
      </c>
      <c r="Z3083" t="s">
        <v>7907</v>
      </c>
      <c r="AA3083" t="s">
        <v>4218</v>
      </c>
      <c r="AB3083" t="s">
        <v>18182</v>
      </c>
      <c r="AC3083" t="s">
        <v>14040</v>
      </c>
      <c r="AD3083" s="249" t="str">
        <f>HYPERLINK("https://scontent.cdninstagram.com/t51.2885-15/s320x320/e35/21147813_1827394897573274_5930572103098040320_n.jpg")</f>
        <v>https://scontent.cdninstagram.com/t51.2885-15/s320x320/e35/21147813_1827394897573274_5930572103098040320_n.jpg</v>
      </c>
      <c r="AE3083" s="249" t="str">
        <f>HYPERLINK("https://scontent.cdninstagram.com/t51.2885-19/s150x150/20902268_463519954020811_6603510379353997312_a.jpg")</f>
        <v>https://scontent.cdninstagram.com/t51.2885-19/s150x150/20902268_463519954020811_6603510379353997312_a.jpg</v>
      </c>
    </row>
    <row r="3084" spans="1:31" ht="15" x14ac:dyDescent="0.25">
      <c r="A3084" t="s">
        <v>2474</v>
      </c>
      <c r="B3084" t="s">
        <v>15801</v>
      </c>
      <c r="C3084" s="221">
        <v>42974.339398148149</v>
      </c>
      <c r="D3084" t="s">
        <v>18183</v>
      </c>
      <c r="E3084" s="249" t="str">
        <f>HYPERLINK("https://www.instagram.com/p/BYS_QC1lcwj/")</f>
        <v>https://www.instagram.com/p/BYS_QC1lcwj/</v>
      </c>
      <c r="G3084" t="s">
        <v>2478</v>
      </c>
      <c r="H3084">
        <v>209</v>
      </c>
      <c r="I3084" t="s">
        <v>2479</v>
      </c>
      <c r="J3084">
        <v>1</v>
      </c>
      <c r="K3084">
        <v>21</v>
      </c>
      <c r="L3084">
        <v>22</v>
      </c>
      <c r="Q3084">
        <v>0</v>
      </c>
      <c r="R3084">
        <v>0</v>
      </c>
      <c r="S3084">
        <v>22</v>
      </c>
      <c r="Y3084" t="s">
        <v>8687</v>
      </c>
      <c r="Z3084" t="s">
        <v>16312</v>
      </c>
      <c r="AA3084" t="s">
        <v>16829</v>
      </c>
      <c r="AB3084" t="s">
        <v>15803</v>
      </c>
      <c r="AC3084" t="s">
        <v>15804</v>
      </c>
      <c r="AD3084" s="249" t="str">
        <f>HYPERLINK("https://scontent.cdninstagram.com/t51.2885-15/e35/p320x320/21042289_320040495122543_2269237638605045760_n.jpg")</f>
        <v>https://scontent.cdninstagram.com/t51.2885-15/e35/p320x320/21042289_320040495122543_2269237638605045760_n.jpg</v>
      </c>
      <c r="AE3084" s="249" t="str">
        <f>HYPERLINK("https://scontent.cdninstagram.com/t51.2885-19/s150x150/12547279_954947561266331_1148242584_a.jpg")</f>
        <v>https://scontent.cdninstagram.com/t51.2885-19/s150x150/12547279_954947561266331_1148242584_a.jpg</v>
      </c>
    </row>
    <row r="3085" spans="1:31" ht="15" x14ac:dyDescent="0.25">
      <c r="A3085" t="s">
        <v>2474</v>
      </c>
      <c r="B3085" t="s">
        <v>18184</v>
      </c>
      <c r="C3085" s="221">
        <v>42974.339398148149</v>
      </c>
      <c r="D3085" t="s">
        <v>18185</v>
      </c>
      <c r="E3085" s="249" t="str">
        <f>HYPERLINK("https://www.instagram.com/p/BYS_QDlADSZ/")</f>
        <v>https://www.instagram.com/p/BYS_QDlADSZ/</v>
      </c>
      <c r="F3085" t="s">
        <v>18186</v>
      </c>
      <c r="G3085" t="s">
        <v>2488</v>
      </c>
      <c r="H3085">
        <v>199</v>
      </c>
      <c r="I3085" t="s">
        <v>2479</v>
      </c>
      <c r="J3085">
        <v>1</v>
      </c>
      <c r="K3085">
        <v>53</v>
      </c>
      <c r="L3085">
        <v>54</v>
      </c>
      <c r="Q3085">
        <v>0</v>
      </c>
      <c r="R3085">
        <v>0</v>
      </c>
      <c r="S3085">
        <v>54</v>
      </c>
      <c r="T3085" t="s">
        <v>18187</v>
      </c>
      <c r="V3085" t="s">
        <v>2164</v>
      </c>
      <c r="W3085">
        <v>36.42192</v>
      </c>
      <c r="X3085">
        <v>25.434449900000001</v>
      </c>
      <c r="Y3085" t="s">
        <v>5307</v>
      </c>
      <c r="Z3085" t="s">
        <v>9407</v>
      </c>
      <c r="AA3085" t="s">
        <v>7491</v>
      </c>
      <c r="AB3085" t="s">
        <v>18188</v>
      </c>
      <c r="AC3085" t="s">
        <v>15855</v>
      </c>
      <c r="AD3085" s="249" t="str">
        <f>HYPERLINK("https://scontent.cdninstagram.com/t51.2885-15/s320x320/e35/21107890_1956419147972954_4369268946025578496_n.jpg")</f>
        <v>https://scontent.cdninstagram.com/t51.2885-15/s320x320/e35/21107890_1956419147972954_4369268946025578496_n.jpg</v>
      </c>
      <c r="AE3085" s="249" t="str">
        <f>HYPERLINK("https://scontent.cdninstagram.com/t51.2885-19/s150x150/15534906_1244287328984002_7551862982494388224_a.jpg")</f>
        <v>https://scontent.cdninstagram.com/t51.2885-19/s150x150/15534906_1244287328984002_7551862982494388224_a.jpg</v>
      </c>
    </row>
    <row r="3086" spans="1:31" ht="15" x14ac:dyDescent="0.25">
      <c r="A3086" t="s">
        <v>2474</v>
      </c>
      <c r="B3086" t="s">
        <v>4811</v>
      </c>
      <c r="C3086" s="221">
        <v>42974.357175925928</v>
      </c>
      <c r="D3086" t="s">
        <v>18189</v>
      </c>
      <c r="E3086" s="249" t="str">
        <f>HYPERLINK("https://www.instagram.com/p/BYTCLj-AglO/")</f>
        <v>https://www.instagram.com/p/BYTCLj-AglO/</v>
      </c>
      <c r="F3086" t="s">
        <v>18190</v>
      </c>
      <c r="G3086" t="s">
        <v>2631</v>
      </c>
      <c r="H3086">
        <v>990</v>
      </c>
      <c r="I3086" t="s">
        <v>2479</v>
      </c>
      <c r="J3086">
        <v>1</v>
      </c>
      <c r="K3086">
        <v>100</v>
      </c>
      <c r="L3086">
        <v>101</v>
      </c>
      <c r="Q3086">
        <v>0</v>
      </c>
      <c r="R3086">
        <v>0</v>
      </c>
      <c r="S3086">
        <v>101</v>
      </c>
      <c r="Y3086" t="s">
        <v>4911</v>
      </c>
      <c r="Z3086" t="s">
        <v>4339</v>
      </c>
      <c r="AA3086" t="s">
        <v>8501</v>
      </c>
      <c r="AB3086" t="s">
        <v>3006</v>
      </c>
      <c r="AC3086" t="s">
        <v>12100</v>
      </c>
      <c r="AD3086" s="249" t="str">
        <f>HYPERLINK("https://scontent.cdninstagram.com/t51.2885-15/s320x320/e15/21042266_273654633137589_4772433050745176064_n.jpg")</f>
        <v>https://scontent.cdninstagram.com/t51.2885-15/s320x320/e15/21042266_273654633137589_4772433050745176064_n.jpg</v>
      </c>
      <c r="AE3086" s="249" t="str">
        <f>HYPERLINK("https://scontent.cdninstagram.com/t51.2885-19/s150x150/16124251_1913091765603634_8004330562992996352_a.jpg")</f>
        <v>https://scontent.cdninstagram.com/t51.2885-19/s150x150/16124251_1913091765603634_8004330562992996352_a.jpg</v>
      </c>
    </row>
    <row r="3087" spans="1:31" ht="15" x14ac:dyDescent="0.25">
      <c r="A3087" t="s">
        <v>2474</v>
      </c>
      <c r="B3087" t="s">
        <v>3251</v>
      </c>
      <c r="C3087" s="221">
        <v>42974.36515046296</v>
      </c>
      <c r="D3087" t="s">
        <v>18191</v>
      </c>
      <c r="E3087" s="249" t="str">
        <f>HYPERLINK("https://www.instagram.com/p/BYTDfp9HmWb/")</f>
        <v>https://www.instagram.com/p/BYTDfp9HmWb/</v>
      </c>
      <c r="F3087" t="s">
        <v>18192</v>
      </c>
      <c r="G3087" t="s">
        <v>2478</v>
      </c>
      <c r="H3087">
        <v>295</v>
      </c>
      <c r="I3087" t="s">
        <v>2542</v>
      </c>
      <c r="J3087">
        <v>1</v>
      </c>
      <c r="K3087">
        <v>28</v>
      </c>
      <c r="L3087">
        <v>29</v>
      </c>
      <c r="Q3087">
        <v>0</v>
      </c>
      <c r="R3087">
        <v>0</v>
      </c>
      <c r="S3087">
        <v>29</v>
      </c>
      <c r="Y3087" t="s">
        <v>3257</v>
      </c>
      <c r="Z3087" t="s">
        <v>3255</v>
      </c>
      <c r="AA3087" t="s">
        <v>3256</v>
      </c>
      <c r="AB3087" t="s">
        <v>3254</v>
      </c>
      <c r="AC3087" t="s">
        <v>4844</v>
      </c>
      <c r="AD3087" s="249" t="str">
        <f>HYPERLINK("https://scontent.cdninstagram.com/t51.2885-15/e35/p320x320/21042117_437964529937838_9106570512909205504_n.jpg")</f>
        <v>https://scontent.cdninstagram.com/t51.2885-15/e35/p320x320/21042117_437964529937838_9106570512909205504_n.jpg</v>
      </c>
      <c r="AE3087" s="249" t="str">
        <f>HYPERLINK("https://scontent.cdninstagram.com/t51.2885-19/s150x150/20986614_891746094322067_1272495017625124864_a.jpg")</f>
        <v>https://scontent.cdninstagram.com/t51.2885-19/s150x150/20986614_891746094322067_1272495017625124864_a.jpg</v>
      </c>
    </row>
    <row r="3088" spans="1:31" ht="15" x14ac:dyDescent="0.25">
      <c r="A3088" t="s">
        <v>2474</v>
      </c>
      <c r="B3088" t="s">
        <v>18193</v>
      </c>
      <c r="C3088" s="221">
        <v>42974.372476851851</v>
      </c>
      <c r="D3088" t="s">
        <v>18194</v>
      </c>
      <c r="E3088" s="249" t="str">
        <f>HYPERLINK("https://www.instagram.com/p/BYTEtB6g0oK/")</f>
        <v>https://www.instagram.com/p/BYTEtB6g0oK/</v>
      </c>
      <c r="F3088" t="s">
        <v>18195</v>
      </c>
      <c r="G3088" t="s">
        <v>2478</v>
      </c>
      <c r="H3088">
        <v>190</v>
      </c>
      <c r="I3088" t="s">
        <v>2479</v>
      </c>
      <c r="J3088">
        <v>1</v>
      </c>
      <c r="K3088">
        <v>23</v>
      </c>
      <c r="L3088">
        <v>24</v>
      </c>
      <c r="Q3088">
        <v>0</v>
      </c>
      <c r="R3088">
        <v>0</v>
      </c>
      <c r="S3088">
        <v>24</v>
      </c>
      <c r="Y3088" t="s">
        <v>3706</v>
      </c>
      <c r="Z3088" t="s">
        <v>18196</v>
      </c>
      <c r="AA3088" t="s">
        <v>18197</v>
      </c>
      <c r="AB3088" t="s">
        <v>2968</v>
      </c>
      <c r="AC3088" t="s">
        <v>8516</v>
      </c>
      <c r="AD3088" s="249" t="str">
        <f>HYPERLINK("https://scontent.cdninstagram.com/t51.2885-15/s320x320/e35/21041824_112539462798910_3389331209224978432_n.jpg")</f>
        <v>https://scontent.cdninstagram.com/t51.2885-15/s320x320/e35/21041824_112539462798910_3389331209224978432_n.jpg</v>
      </c>
      <c r="AE3088" s="249" t="str">
        <f>HYPERLINK("https://scontent.cdninstagram.com/t51.2885-19/s150x150/21296610_258596811319818_7132261574076530688_a.jpg")</f>
        <v>https://scontent.cdninstagram.com/t51.2885-19/s150x150/21296610_258596811319818_7132261574076530688_a.jpg</v>
      </c>
    </row>
    <row r="3089" spans="1:31" ht="15" x14ac:dyDescent="0.25">
      <c r="A3089" t="s">
        <v>2474</v>
      </c>
      <c r="B3089" t="s">
        <v>4941</v>
      </c>
      <c r="C3089" s="221">
        <v>42974.376018518517</v>
      </c>
      <c r="D3089" t="s">
        <v>18198</v>
      </c>
      <c r="E3089" s="249" t="str">
        <f>HYPERLINK("https://www.instagram.com/p/BYTFSWHhihM/")</f>
        <v>https://www.instagram.com/p/BYTFSWHhihM/</v>
      </c>
      <c r="F3089" t="s">
        <v>18199</v>
      </c>
      <c r="G3089" t="s">
        <v>2478</v>
      </c>
      <c r="H3089">
        <v>42469</v>
      </c>
      <c r="I3089" t="s">
        <v>2479</v>
      </c>
      <c r="J3089">
        <v>23</v>
      </c>
      <c r="K3089">
        <v>1092</v>
      </c>
      <c r="L3089">
        <v>1115</v>
      </c>
      <c r="Q3089">
        <v>0</v>
      </c>
      <c r="R3089">
        <v>0</v>
      </c>
      <c r="S3089">
        <v>1115</v>
      </c>
      <c r="Y3089" t="s">
        <v>6446</v>
      </c>
      <c r="Z3089" t="s">
        <v>7218</v>
      </c>
      <c r="AA3089" t="s">
        <v>5028</v>
      </c>
      <c r="AB3089" t="s">
        <v>8650</v>
      </c>
      <c r="AC3089" t="s">
        <v>2497</v>
      </c>
      <c r="AD3089" s="249" t="str">
        <f>HYPERLINK("https://scontent.cdninstagram.com/t51.2885-15/e35/p320x320/21041779_1704454916528095_7446863534756986880_n.jpg")</f>
        <v>https://scontent.cdninstagram.com/t51.2885-15/e35/p320x320/21041779_1704454916528095_7446863534756986880_n.jpg</v>
      </c>
      <c r="AE3089" s="249" t="str">
        <f>HYPERLINK("https://scontent.cdninstagram.com/t51.2885-19/14624229_1857850484502104_5357040355281731584_a.jpg")</f>
        <v>https://scontent.cdninstagram.com/t51.2885-19/14624229_1857850484502104_5357040355281731584_a.jpg</v>
      </c>
    </row>
    <row r="3090" spans="1:31" ht="15" x14ac:dyDescent="0.25">
      <c r="A3090" t="s">
        <v>2474</v>
      </c>
      <c r="B3090" t="s">
        <v>18200</v>
      </c>
      <c r="C3090" s="221">
        <v>42974.379976851851</v>
      </c>
      <c r="D3090" t="s">
        <v>18201</v>
      </c>
      <c r="E3090" s="249" t="str">
        <f>HYPERLINK("https://www.instagram.com/p/BYTF8CnluSz/")</f>
        <v>https://www.instagram.com/p/BYTF8CnluSz/</v>
      </c>
      <c r="F3090" t="s">
        <v>18202</v>
      </c>
      <c r="G3090" t="s">
        <v>2478</v>
      </c>
      <c r="H3090">
        <v>509</v>
      </c>
      <c r="I3090" t="s">
        <v>2903</v>
      </c>
      <c r="J3090">
        <v>8</v>
      </c>
      <c r="K3090">
        <v>87</v>
      </c>
      <c r="L3090">
        <v>95</v>
      </c>
      <c r="Q3090">
        <v>0</v>
      </c>
      <c r="R3090">
        <v>0</v>
      </c>
      <c r="S3090">
        <v>95</v>
      </c>
      <c r="T3090" t="s">
        <v>18203</v>
      </c>
      <c r="V3090" t="s">
        <v>2182</v>
      </c>
      <c r="W3090">
        <v>40.627777777778</v>
      </c>
      <c r="X3090">
        <v>14.481944444444</v>
      </c>
      <c r="Y3090" t="s">
        <v>2906</v>
      </c>
      <c r="Z3090" t="s">
        <v>8013</v>
      </c>
      <c r="AA3090" t="s">
        <v>18204</v>
      </c>
      <c r="AB3090" t="s">
        <v>18205</v>
      </c>
      <c r="AC3090" t="s">
        <v>18206</v>
      </c>
      <c r="AD3090" s="249" t="str">
        <f>HYPERLINK("https://scontent.cdninstagram.com/t51.2885-15/e35/p320x320/21042399_1392941424156303_7587037656547065856_n.jpg")</f>
        <v>https://scontent.cdninstagram.com/t51.2885-15/e35/p320x320/21042399_1392941424156303_7587037656547065856_n.jpg</v>
      </c>
      <c r="AE3090" s="249" t="str">
        <f>HYPERLINK("https://scontent.cdninstagram.com/t51.2885-19/s150x150/19429143_671302449736143_3862624042464837632_a.jpg")</f>
        <v>https://scontent.cdninstagram.com/t51.2885-19/s150x150/19429143_671302449736143_3862624042464837632_a.jpg</v>
      </c>
    </row>
    <row r="3091" spans="1:31" ht="15" x14ac:dyDescent="0.25">
      <c r="A3091" t="s">
        <v>2474</v>
      </c>
      <c r="B3091" t="s">
        <v>18207</v>
      </c>
      <c r="C3091" s="221">
        <v>42974.38009259259</v>
      </c>
      <c r="D3091" t="s">
        <v>18208</v>
      </c>
      <c r="E3091" s="249" t="str">
        <f>HYPERLINK("https://www.instagram.com/p/BYTF9RUA_WT/")</f>
        <v>https://www.instagram.com/p/BYTF9RUA_WT/</v>
      </c>
      <c r="F3091" t="s">
        <v>18209</v>
      </c>
      <c r="G3091" t="s">
        <v>2488</v>
      </c>
      <c r="H3091">
        <v>209</v>
      </c>
      <c r="I3091" t="s">
        <v>2479</v>
      </c>
      <c r="J3091">
        <v>2</v>
      </c>
      <c r="K3091">
        <v>34</v>
      </c>
      <c r="L3091">
        <v>36</v>
      </c>
      <c r="Q3091">
        <v>0</v>
      </c>
      <c r="R3091">
        <v>0</v>
      </c>
      <c r="S3091">
        <v>36</v>
      </c>
      <c r="T3091" t="s">
        <v>18210</v>
      </c>
      <c r="V3091" t="s">
        <v>2182</v>
      </c>
      <c r="W3091">
        <v>45.518129438488003</v>
      </c>
      <c r="X3091">
        <v>9.2132649639038</v>
      </c>
      <c r="Y3091" t="s">
        <v>2497</v>
      </c>
      <c r="Z3091" t="s">
        <v>6638</v>
      </c>
      <c r="AD3091" s="249" t="str">
        <f>HYPERLINK("https://scontent.cdninstagram.com/t51.2885-15/s320x320/e35/21147779_1637710119603586_4350310487934631936_n.jpg")</f>
        <v>https://scontent.cdninstagram.com/t51.2885-15/s320x320/e35/21147779_1637710119603586_4350310487934631936_n.jpg</v>
      </c>
      <c r="AE3091" s="249" t="str">
        <f>HYPERLINK("https://scontent.cdninstagram.com/t51.2885-19/s150x150/21041936_1918521908472571_2147753213032398848_a.jpg")</f>
        <v>https://scontent.cdninstagram.com/t51.2885-19/s150x150/21041936_1918521908472571_2147753213032398848_a.jpg</v>
      </c>
    </row>
    <row r="3092" spans="1:31" ht="15" x14ac:dyDescent="0.25">
      <c r="A3092" t="s">
        <v>2474</v>
      </c>
      <c r="B3092" t="s">
        <v>18211</v>
      </c>
      <c r="C3092" s="221">
        <v>42974.380520833336</v>
      </c>
      <c r="D3092" t="s">
        <v>18212</v>
      </c>
      <c r="E3092" s="249" t="str">
        <f>HYPERLINK("https://www.instagram.com/p/BYTGB3dA-ss/")</f>
        <v>https://www.instagram.com/p/BYTGB3dA-ss/</v>
      </c>
      <c r="F3092" t="s">
        <v>18213</v>
      </c>
      <c r="G3092" t="s">
        <v>2478</v>
      </c>
      <c r="H3092">
        <v>213</v>
      </c>
      <c r="I3092" t="s">
        <v>2542</v>
      </c>
      <c r="J3092">
        <v>0</v>
      </c>
      <c r="K3092">
        <v>1</v>
      </c>
      <c r="L3092">
        <v>1</v>
      </c>
      <c r="Q3092">
        <v>0</v>
      </c>
      <c r="R3092">
        <v>0</v>
      </c>
      <c r="S3092">
        <v>1</v>
      </c>
      <c r="Y3092" t="s">
        <v>2497</v>
      </c>
      <c r="Z3092" t="s">
        <v>18214</v>
      </c>
      <c r="AA3092" t="s">
        <v>18215</v>
      </c>
      <c r="AD3092" s="249" t="str">
        <f>HYPERLINK("https://scontent.cdninstagram.com/t51.2885-15/s320x320/e35/21041940_791126311062046_2364038969965936640_n.jpg")</f>
        <v>https://scontent.cdninstagram.com/t51.2885-15/s320x320/e35/21041940_791126311062046_2364038969965936640_n.jpg</v>
      </c>
      <c r="AE3092" s="249" t="str">
        <f>HYPERLINK("https://scontent.cdninstagram.com/t51.2885-19/s150x150/21042546_190007631540682_2444637604688166912_a.jpg")</f>
        <v>https://scontent.cdninstagram.com/t51.2885-19/s150x150/21042546_190007631540682_2444637604688166912_a.jpg</v>
      </c>
    </row>
    <row r="3093" spans="1:31" ht="15" x14ac:dyDescent="0.25">
      <c r="A3093" t="s">
        <v>2474</v>
      </c>
      <c r="B3093" t="s">
        <v>18216</v>
      </c>
      <c r="C3093" s="221">
        <v>42974.385960648149</v>
      </c>
      <c r="D3093" t="s">
        <v>18217</v>
      </c>
      <c r="E3093" s="249" t="str">
        <f>HYPERLINK("https://www.instagram.com/p/BYTG7Jflx69/")</f>
        <v>https://www.instagram.com/p/BYTG7Jflx69/</v>
      </c>
      <c r="F3093" t="s">
        <v>18218</v>
      </c>
      <c r="G3093" t="s">
        <v>2478</v>
      </c>
      <c r="H3093">
        <v>527</v>
      </c>
      <c r="I3093" t="s">
        <v>2479</v>
      </c>
      <c r="J3093">
        <v>2</v>
      </c>
      <c r="K3093">
        <v>25</v>
      </c>
      <c r="L3093">
        <v>27</v>
      </c>
      <c r="Q3093">
        <v>0</v>
      </c>
      <c r="R3093">
        <v>0</v>
      </c>
      <c r="S3093">
        <v>27</v>
      </c>
      <c r="Y3093" t="s">
        <v>18219</v>
      </c>
      <c r="Z3093" t="s">
        <v>4317</v>
      </c>
      <c r="AA3093" t="s">
        <v>18220</v>
      </c>
      <c r="AB3093" t="s">
        <v>2497</v>
      </c>
      <c r="AC3093" t="s">
        <v>2730</v>
      </c>
      <c r="AD3093" s="249" t="str">
        <f>HYPERLINK("https://scontent.cdninstagram.com/t51.2885-15/s320x320/e35/21042271_352321458538823_8311579359274074112_n.jpg")</f>
        <v>https://scontent.cdninstagram.com/t51.2885-15/s320x320/e35/21042271_352321458538823_8311579359274074112_n.jpg</v>
      </c>
      <c r="AE3093" s="249" t="str">
        <f>HYPERLINK("https://scontent.cdninstagram.com/t51.2885-19/s150x150/21147789_1974772269446024_306532318426693632_a.jpg")</f>
        <v>https://scontent.cdninstagram.com/t51.2885-19/s150x150/21147789_1974772269446024_306532318426693632_a.jpg</v>
      </c>
    </row>
    <row r="3094" spans="1:31" ht="15" x14ac:dyDescent="0.25">
      <c r="A3094" t="s">
        <v>2474</v>
      </c>
      <c r="B3094" t="s">
        <v>18221</v>
      </c>
      <c r="C3094" s="221">
        <v>42974.394386574073</v>
      </c>
      <c r="D3094" t="s">
        <v>18222</v>
      </c>
      <c r="E3094" s="249" t="str">
        <f>HYPERLINK("https://www.instagram.com/p/BYTIUDcj_Hl/")</f>
        <v>https://www.instagram.com/p/BYTIUDcj_Hl/</v>
      </c>
      <c r="F3094" t="s">
        <v>18223</v>
      </c>
      <c r="G3094" t="s">
        <v>2478</v>
      </c>
      <c r="H3094">
        <v>275</v>
      </c>
      <c r="I3094" t="s">
        <v>4052</v>
      </c>
      <c r="J3094">
        <v>2</v>
      </c>
      <c r="K3094">
        <v>66</v>
      </c>
      <c r="L3094">
        <v>68</v>
      </c>
      <c r="Q3094">
        <v>0</v>
      </c>
      <c r="R3094">
        <v>0</v>
      </c>
      <c r="S3094">
        <v>68</v>
      </c>
      <c r="T3094" t="s">
        <v>18224</v>
      </c>
      <c r="V3094" t="s">
        <v>2093</v>
      </c>
      <c r="W3094">
        <v>39.783333333332997</v>
      </c>
      <c r="X3094">
        <v>20.116666666667001</v>
      </c>
      <c r="Y3094" t="s">
        <v>18225</v>
      </c>
      <c r="Z3094" t="s">
        <v>18226</v>
      </c>
      <c r="AA3094" t="s">
        <v>18227</v>
      </c>
      <c r="AB3094" t="s">
        <v>2497</v>
      </c>
      <c r="AC3094" t="s">
        <v>18228</v>
      </c>
      <c r="AD3094" s="249" t="str">
        <f>HYPERLINK("https://scontent.cdninstagram.com/t51.2885-15/s320x320/e35/21149543_891460744336965_2528381027349430272_n.jpg")</f>
        <v>https://scontent.cdninstagram.com/t51.2885-15/s320x320/e35/21149543_891460744336965_2528381027349430272_n.jpg</v>
      </c>
      <c r="AE3094" s="249" t="str">
        <f>HYPERLINK("https://scontent.cdninstagram.com/t51.2885-19/s150x150/21147579_1905557619704047_5017474343869874176_a.jpg")</f>
        <v>https://scontent.cdninstagram.com/t51.2885-19/s150x150/21147579_1905557619704047_5017474343869874176_a.jpg</v>
      </c>
    </row>
    <row r="3095" spans="1:31" ht="15" x14ac:dyDescent="0.25">
      <c r="A3095" t="s">
        <v>2474</v>
      </c>
      <c r="B3095" t="s">
        <v>18229</v>
      </c>
      <c r="C3095" s="221">
        <v>42974.398078703707</v>
      </c>
      <c r="D3095" t="s">
        <v>18230</v>
      </c>
      <c r="E3095" s="249" t="str">
        <f>HYPERLINK("https://www.instagram.com/p/BYTI7B9ljel/")</f>
        <v>https://www.instagram.com/p/BYTI7B9ljel/</v>
      </c>
      <c r="F3095" t="s">
        <v>18231</v>
      </c>
      <c r="G3095" t="s">
        <v>2488</v>
      </c>
      <c r="H3095">
        <v>245</v>
      </c>
      <c r="I3095" t="s">
        <v>2479</v>
      </c>
      <c r="J3095">
        <v>0</v>
      </c>
      <c r="K3095">
        <v>13</v>
      </c>
      <c r="L3095">
        <v>13</v>
      </c>
      <c r="Q3095">
        <v>0</v>
      </c>
      <c r="R3095">
        <v>0</v>
      </c>
      <c r="S3095">
        <v>13</v>
      </c>
      <c r="Y3095" t="s">
        <v>6435</v>
      </c>
      <c r="Z3095" t="s">
        <v>18232</v>
      </c>
      <c r="AA3095" t="s">
        <v>18233</v>
      </c>
      <c r="AB3095" t="s">
        <v>18234</v>
      </c>
      <c r="AC3095" t="s">
        <v>9046</v>
      </c>
      <c r="AD3095" s="249" t="str">
        <f>HYPERLINK("https://scontent.cdninstagram.com/t51.2885-15/s320x320/e35/21147845_271046513411612_8586248251634614272_n.jpg")</f>
        <v>https://scontent.cdninstagram.com/t51.2885-15/s320x320/e35/21147845_271046513411612_8586248251634614272_n.jpg</v>
      </c>
      <c r="AE3095" s="249" t="str">
        <f>HYPERLINK("https://scontent.cdninstagram.com/t51.2885-19/s150x150/13736076_1825084711060609_1487505575_a.jpg")</f>
        <v>https://scontent.cdninstagram.com/t51.2885-19/s150x150/13736076_1825084711060609_1487505575_a.jpg</v>
      </c>
    </row>
    <row r="3096" spans="1:31" ht="15" x14ac:dyDescent="0.25">
      <c r="A3096" t="s">
        <v>2474</v>
      </c>
      <c r="B3096" t="s">
        <v>18235</v>
      </c>
      <c r="C3096" s="221">
        <v>42974.400659722225</v>
      </c>
      <c r="D3096" t="s">
        <v>18236</v>
      </c>
      <c r="E3096" s="249" t="str">
        <f>HYPERLINK("https://www.instagram.com/p/BYTJWN9nXXE/")</f>
        <v>https://www.instagram.com/p/BYTJWN9nXXE/</v>
      </c>
      <c r="F3096" t="s">
        <v>18237</v>
      </c>
      <c r="G3096" t="s">
        <v>2478</v>
      </c>
      <c r="H3096">
        <v>145</v>
      </c>
      <c r="I3096" t="s">
        <v>2479</v>
      </c>
      <c r="J3096">
        <v>1</v>
      </c>
      <c r="K3096">
        <v>26</v>
      </c>
      <c r="L3096">
        <v>27</v>
      </c>
      <c r="Q3096">
        <v>0</v>
      </c>
      <c r="R3096">
        <v>0</v>
      </c>
      <c r="S3096">
        <v>27</v>
      </c>
      <c r="Y3096" t="s">
        <v>2753</v>
      </c>
      <c r="Z3096" t="s">
        <v>11846</v>
      </c>
      <c r="AA3096" t="s">
        <v>5083</v>
      </c>
      <c r="AB3096" t="s">
        <v>17154</v>
      </c>
      <c r="AC3096" t="s">
        <v>11674</v>
      </c>
      <c r="AD3096" s="249" t="str">
        <f>HYPERLINK("https://scontent.cdninstagram.com/t51.2885-15/e35/p320x320/21042004_296413174160321_8721778173747920896_n.jpg")</f>
        <v>https://scontent.cdninstagram.com/t51.2885-15/e35/p320x320/21042004_296413174160321_8721778173747920896_n.jpg</v>
      </c>
      <c r="AE3096" s="249" t="str">
        <f>HYPERLINK("https://scontent.cdninstagram.com/t51.2885-19/s150x150/20398511_107859609887474_8725011760135798784_a.jpg")</f>
        <v>https://scontent.cdninstagram.com/t51.2885-19/s150x150/20398511_107859609887474_8725011760135798784_a.jpg</v>
      </c>
    </row>
    <row r="3097" spans="1:31" ht="15" x14ac:dyDescent="0.25">
      <c r="A3097" t="s">
        <v>2474</v>
      </c>
      <c r="B3097" t="s">
        <v>18238</v>
      </c>
      <c r="C3097" s="221">
        <v>42974.408171296294</v>
      </c>
      <c r="D3097" t="s">
        <v>18239</v>
      </c>
      <c r="E3097" s="249" t="str">
        <f>HYPERLINK("https://www.instagram.com/p/BYTKlbllR7n/")</f>
        <v>https://www.instagram.com/p/BYTKlbllR7n/</v>
      </c>
      <c r="F3097" t="s">
        <v>18240</v>
      </c>
      <c r="G3097" t="s">
        <v>2478</v>
      </c>
      <c r="I3097" t="s">
        <v>2479</v>
      </c>
      <c r="J3097">
        <v>0</v>
      </c>
      <c r="K3097">
        <v>6</v>
      </c>
      <c r="L3097">
        <v>6</v>
      </c>
      <c r="Q3097">
        <v>0</v>
      </c>
      <c r="R3097">
        <v>0</v>
      </c>
      <c r="S3097">
        <v>6</v>
      </c>
      <c r="Y3097" t="s">
        <v>4514</v>
      </c>
      <c r="Z3097" t="s">
        <v>11777</v>
      </c>
      <c r="AA3097" t="s">
        <v>18241</v>
      </c>
      <c r="AB3097" t="s">
        <v>18242</v>
      </c>
      <c r="AC3097" t="s">
        <v>2497</v>
      </c>
      <c r="AD3097" s="249" t="str">
        <f>HYPERLINK("https://scontent.cdninstagram.com/t51.2885-15/s320x320/e35/21149439_115044322536435_8579477854167760896_n.jpg")</f>
        <v>https://scontent.cdninstagram.com/t51.2885-15/s320x320/e35/21149439_115044322536435_8579477854167760896_n.jpg</v>
      </c>
      <c r="AE3097" s="249" t="str">
        <f>HYPERLINK("https://scontent.cdninstagram.com/t51.2885-19/s150x150/14582418_1784742555144643_2123986693672402944_a.jpg")</f>
        <v>https://scontent.cdninstagram.com/t51.2885-19/s150x150/14582418_1784742555144643_2123986693672402944_a.jpg</v>
      </c>
    </row>
    <row r="3098" spans="1:31" ht="15" x14ac:dyDescent="0.25">
      <c r="A3098" t="s">
        <v>2474</v>
      </c>
      <c r="B3098" t="s">
        <v>18243</v>
      </c>
      <c r="C3098" s="221">
        <v>42974.425370370373</v>
      </c>
      <c r="D3098" t="s">
        <v>18244</v>
      </c>
      <c r="E3098" s="249" t="str">
        <f>HYPERLINK("https://www.instagram.com/p/BYTNa1MgKxa/")</f>
        <v>https://www.instagram.com/p/BYTNa1MgKxa/</v>
      </c>
      <c r="F3098" t="s">
        <v>18245</v>
      </c>
      <c r="G3098" t="s">
        <v>2478</v>
      </c>
      <c r="H3098">
        <v>570</v>
      </c>
      <c r="I3098" t="s">
        <v>3898</v>
      </c>
      <c r="J3098">
        <v>13</v>
      </c>
      <c r="K3098">
        <v>43</v>
      </c>
      <c r="L3098">
        <v>56</v>
      </c>
      <c r="Q3098">
        <v>0</v>
      </c>
      <c r="R3098">
        <v>0</v>
      </c>
      <c r="S3098">
        <v>56</v>
      </c>
      <c r="T3098" t="s">
        <v>18246</v>
      </c>
      <c r="V3098" t="s">
        <v>2204</v>
      </c>
      <c r="W3098">
        <v>3.2002281472638998</v>
      </c>
      <c r="X3098">
        <v>101.71692825913</v>
      </c>
      <c r="Y3098" t="s">
        <v>2497</v>
      </c>
      <c r="Z3098" t="s">
        <v>18247</v>
      </c>
      <c r="AA3098" t="s">
        <v>18248</v>
      </c>
      <c r="AB3098" t="s">
        <v>18249</v>
      </c>
      <c r="AC3098" t="s">
        <v>18250</v>
      </c>
      <c r="AD3098" s="249" t="str">
        <f>HYPERLINK("https://scontent.cdninstagram.com/t51.2885-15/s320x320/e35/21108075_126230074684624_8502930236894085120_n.jpg")</f>
        <v>https://scontent.cdninstagram.com/t51.2885-15/s320x320/e35/21108075_126230074684624_8502930236894085120_n.jpg</v>
      </c>
      <c r="AE3098" s="249" t="str">
        <f>HYPERLINK("https://scontent.cdninstagram.com/t51.2885-19/s150x150/20633432_1764407000516826_4530827684212637696_a.jpg")</f>
        <v>https://scontent.cdninstagram.com/t51.2885-19/s150x150/20633432_1764407000516826_4530827684212637696_a.jpg</v>
      </c>
    </row>
    <row r="3099" spans="1:31" ht="15" x14ac:dyDescent="0.25">
      <c r="A3099" t="s">
        <v>2474</v>
      </c>
      <c r="B3099" t="s">
        <v>13059</v>
      </c>
      <c r="C3099" s="221">
        <v>42974.426006944443</v>
      </c>
      <c r="D3099" t="s">
        <v>18251</v>
      </c>
      <c r="E3099" s="249" t="str">
        <f>HYPERLINK("https://www.instagram.com/p/BYTNhgTh5a6/")</f>
        <v>https://www.instagram.com/p/BYTNhgTh5a6/</v>
      </c>
      <c r="F3099" t="s">
        <v>18252</v>
      </c>
      <c r="G3099" t="s">
        <v>2488</v>
      </c>
      <c r="H3099">
        <v>199</v>
      </c>
      <c r="I3099" t="s">
        <v>2479</v>
      </c>
      <c r="J3099">
        <v>0</v>
      </c>
      <c r="K3099">
        <v>26</v>
      </c>
      <c r="L3099">
        <v>26</v>
      </c>
      <c r="Q3099">
        <v>0</v>
      </c>
      <c r="R3099">
        <v>0</v>
      </c>
      <c r="S3099">
        <v>26</v>
      </c>
      <c r="Y3099" t="s">
        <v>18253</v>
      </c>
      <c r="Z3099" t="s">
        <v>4240</v>
      </c>
      <c r="AA3099" t="s">
        <v>6678</v>
      </c>
      <c r="AB3099" t="s">
        <v>5118</v>
      </c>
      <c r="AC3099" t="s">
        <v>2497</v>
      </c>
      <c r="AD3099" s="249" t="str">
        <f>HYPERLINK("https://scontent.cdninstagram.com/t51.2885-15/s320x320/e35/21107769_135417227067913_4501570053459673088_n.jpg")</f>
        <v>https://scontent.cdninstagram.com/t51.2885-15/s320x320/e35/21107769_135417227067913_4501570053459673088_n.jpg</v>
      </c>
      <c r="AE3099" s="249" t="str">
        <f>HYPERLINK("https://scontent.cdninstagram.com/t51.2885-19/926474_1618389535052165_1262024776_a.jpg")</f>
        <v>https://scontent.cdninstagram.com/t51.2885-19/926474_1618389535052165_1262024776_a.jpg</v>
      </c>
    </row>
    <row r="3100" spans="1:31" ht="15" x14ac:dyDescent="0.25">
      <c r="A3100" t="s">
        <v>2474</v>
      </c>
      <c r="B3100" t="s">
        <v>18254</v>
      </c>
      <c r="C3100" s="221">
        <v>42974.428067129629</v>
      </c>
      <c r="D3100" t="s">
        <v>18255</v>
      </c>
      <c r="E3100" s="249" t="str">
        <f>HYPERLINK("https://www.instagram.com/p/BYTN3PYAqhV/")</f>
        <v>https://www.instagram.com/p/BYTN3PYAqhV/</v>
      </c>
      <c r="F3100" t="s">
        <v>18256</v>
      </c>
      <c r="G3100" t="s">
        <v>2488</v>
      </c>
      <c r="H3100">
        <v>190</v>
      </c>
      <c r="I3100" t="s">
        <v>2479</v>
      </c>
      <c r="J3100">
        <v>0</v>
      </c>
      <c r="K3100">
        <v>23</v>
      </c>
      <c r="L3100">
        <v>23</v>
      </c>
      <c r="Q3100">
        <v>0</v>
      </c>
      <c r="R3100">
        <v>0</v>
      </c>
      <c r="S3100">
        <v>23</v>
      </c>
      <c r="Y3100" t="s">
        <v>4988</v>
      </c>
      <c r="Z3100" t="s">
        <v>18257</v>
      </c>
      <c r="AA3100" t="s">
        <v>6882</v>
      </c>
      <c r="AB3100" t="s">
        <v>2497</v>
      </c>
      <c r="AC3100" t="s">
        <v>18258</v>
      </c>
      <c r="AD3100" s="249" t="str">
        <f>HYPERLINK("https://scontent.cdninstagram.com/t51.2885-15/s320x320/e35/21107385_135943200352054_322458950513459200_n.jpg")</f>
        <v>https://scontent.cdninstagram.com/t51.2885-15/s320x320/e35/21107385_135943200352054_322458950513459200_n.jpg</v>
      </c>
      <c r="AE3100" s="249" t="str">
        <f>HYPERLINK("https://scontent.cdninstagram.com/t51.2885-19/s150x150/21294956_1970824476487101_3817255070261575680_a.jpg")</f>
        <v>https://scontent.cdninstagram.com/t51.2885-19/s150x150/21294956_1970824476487101_3817255070261575680_a.jpg</v>
      </c>
    </row>
    <row r="3101" spans="1:31" ht="15" x14ac:dyDescent="0.25">
      <c r="A3101" t="s">
        <v>2474</v>
      </c>
      <c r="B3101" t="s">
        <v>8411</v>
      </c>
      <c r="C3101" s="221">
        <v>42974.430671296293</v>
      </c>
      <c r="D3101" t="s">
        <v>18259</v>
      </c>
      <c r="E3101" s="249" t="str">
        <f>HYPERLINK("https://www.instagram.com/p/BYTOStqA0SB/")</f>
        <v>https://www.instagram.com/p/BYTOStqA0SB/</v>
      </c>
      <c r="F3101" t="s">
        <v>18260</v>
      </c>
      <c r="G3101" t="s">
        <v>2478</v>
      </c>
      <c r="H3101">
        <v>114</v>
      </c>
      <c r="I3101" t="s">
        <v>2479</v>
      </c>
      <c r="J3101">
        <v>1</v>
      </c>
      <c r="K3101">
        <v>19</v>
      </c>
      <c r="L3101">
        <v>20</v>
      </c>
      <c r="Q3101">
        <v>0</v>
      </c>
      <c r="R3101">
        <v>0</v>
      </c>
      <c r="S3101">
        <v>20</v>
      </c>
      <c r="Y3101" t="s">
        <v>18261</v>
      </c>
      <c r="Z3101" t="s">
        <v>8414</v>
      </c>
      <c r="AA3101" t="s">
        <v>18262</v>
      </c>
      <c r="AB3101" t="s">
        <v>18019</v>
      </c>
      <c r="AC3101" t="s">
        <v>6916</v>
      </c>
      <c r="AD3101" s="249" t="str">
        <f>HYPERLINK("https://scontent.cdninstagram.com/t51.2885-15/s320x320/e35/21147993_167193080509824_7631272465326407680_n.jpg")</f>
        <v>https://scontent.cdninstagram.com/t51.2885-15/s320x320/e35/21147993_167193080509824_7631272465326407680_n.jpg</v>
      </c>
      <c r="AE3101" s="249" t="str">
        <f>HYPERLINK("https://scontent.cdninstagram.com/t51.2885-19/s150x150/18889123_1918404081757651_4999782334195564544_a.jpg")</f>
        <v>https://scontent.cdninstagram.com/t51.2885-19/s150x150/18889123_1918404081757651_4999782334195564544_a.jpg</v>
      </c>
    </row>
    <row r="3102" spans="1:31" ht="15" x14ac:dyDescent="0.25">
      <c r="A3102" t="s">
        <v>2474</v>
      </c>
      <c r="B3102" t="s">
        <v>13913</v>
      </c>
      <c r="C3102" s="221">
        <v>42974.44427083333</v>
      </c>
      <c r="D3102" t="s">
        <v>18263</v>
      </c>
      <c r="E3102" s="249" t="str">
        <f>HYPERLINK("https://www.instagram.com/p/BYTQiHkBa6v/")</f>
        <v>https://www.instagram.com/p/BYTQiHkBa6v/</v>
      </c>
      <c r="F3102" t="s">
        <v>18264</v>
      </c>
      <c r="G3102" t="s">
        <v>2478</v>
      </c>
      <c r="H3102">
        <v>1443</v>
      </c>
      <c r="I3102" t="s">
        <v>2786</v>
      </c>
      <c r="J3102">
        <v>0</v>
      </c>
      <c r="K3102">
        <v>18</v>
      </c>
      <c r="L3102">
        <v>18</v>
      </c>
      <c r="Q3102">
        <v>0</v>
      </c>
      <c r="R3102">
        <v>0</v>
      </c>
      <c r="S3102">
        <v>18</v>
      </c>
      <c r="Y3102" t="s">
        <v>2497</v>
      </c>
      <c r="Z3102" t="s">
        <v>18265</v>
      </c>
      <c r="AD3102" s="249" t="str">
        <f>HYPERLINK("https://scontent.cdninstagram.com/t51.2885-15/s320x320/e35/21108035_770411756494830_9133371985009573888_n.jpg")</f>
        <v>https://scontent.cdninstagram.com/t51.2885-15/s320x320/e35/21108035_770411756494830_9133371985009573888_n.jpg</v>
      </c>
      <c r="AE3102" s="249" t="str">
        <f>HYPERLINK("https://scontent.cdninstagram.com/t51.2885-19/s150x150/21149043_1836132976697377_2801273005840269312_a.jpg")</f>
        <v>https://scontent.cdninstagram.com/t51.2885-19/s150x150/21149043_1836132976697377_2801273005840269312_a.jpg</v>
      </c>
    </row>
    <row r="3103" spans="1:31" ht="15" x14ac:dyDescent="0.25">
      <c r="A3103" t="s">
        <v>2474</v>
      </c>
      <c r="B3103" t="s">
        <v>18266</v>
      </c>
      <c r="C3103" s="221">
        <v>42974.450844907406</v>
      </c>
      <c r="D3103" t="s">
        <v>18267</v>
      </c>
      <c r="E3103" s="249" t="str">
        <f>HYPERLINK("https://www.instagram.com/p/BYTRneCHQti/")</f>
        <v>https://www.instagram.com/p/BYTRneCHQti/</v>
      </c>
      <c r="F3103" t="s">
        <v>18268</v>
      </c>
      <c r="G3103" t="s">
        <v>2478</v>
      </c>
      <c r="H3103">
        <v>407</v>
      </c>
      <c r="I3103" t="s">
        <v>2519</v>
      </c>
      <c r="J3103">
        <v>0</v>
      </c>
      <c r="K3103">
        <v>29</v>
      </c>
      <c r="L3103">
        <v>29</v>
      </c>
      <c r="Q3103">
        <v>0</v>
      </c>
      <c r="R3103">
        <v>0</v>
      </c>
      <c r="S3103">
        <v>29</v>
      </c>
      <c r="T3103" t="s">
        <v>8867</v>
      </c>
      <c r="V3103" t="s">
        <v>2161</v>
      </c>
      <c r="W3103">
        <v>52.500599999999999</v>
      </c>
      <c r="X3103">
        <v>13.398899999999999</v>
      </c>
      <c r="Y3103" t="s">
        <v>2616</v>
      </c>
      <c r="Z3103" t="s">
        <v>18269</v>
      </c>
      <c r="AA3103" t="s">
        <v>18270</v>
      </c>
      <c r="AB3103" t="s">
        <v>18271</v>
      </c>
      <c r="AC3103" t="s">
        <v>18272</v>
      </c>
      <c r="AD3103" s="249" t="str">
        <f>HYPERLINK("https://scontent.cdninstagram.com/t51.2885-15/s320x320/e35/21042503_1775917182707535_5915846322392399872_n.jpg")</f>
        <v>https://scontent.cdninstagram.com/t51.2885-15/s320x320/e35/21042503_1775917182707535_5915846322392399872_n.jpg</v>
      </c>
      <c r="AE3103" s="249" t="str">
        <f>HYPERLINK("https://scontent.cdninstagram.com/t51.2885-19/16123058_191289458013649_8433077563101806592_n.jpg")</f>
        <v>https://scontent.cdninstagram.com/t51.2885-19/16123058_191289458013649_8433077563101806592_n.jpg</v>
      </c>
    </row>
    <row r="3104" spans="1:31" ht="15" x14ac:dyDescent="0.25">
      <c r="A3104" t="s">
        <v>2474</v>
      </c>
      <c r="B3104" t="s">
        <v>16127</v>
      </c>
      <c r="C3104" s="221">
        <v>42974.453472222223</v>
      </c>
      <c r="D3104" t="s">
        <v>18273</v>
      </c>
      <c r="E3104" s="249" t="str">
        <f>HYPERLINK("https://www.instagram.com/p/BYTSDMhneQS/")</f>
        <v>https://www.instagram.com/p/BYTSDMhneQS/</v>
      </c>
      <c r="F3104" t="s">
        <v>18274</v>
      </c>
      <c r="G3104" t="s">
        <v>2478</v>
      </c>
      <c r="H3104">
        <v>133</v>
      </c>
      <c r="I3104" t="s">
        <v>2479</v>
      </c>
      <c r="J3104">
        <v>1</v>
      </c>
      <c r="K3104">
        <v>33</v>
      </c>
      <c r="L3104">
        <v>34</v>
      </c>
      <c r="Q3104">
        <v>0</v>
      </c>
      <c r="R3104">
        <v>0</v>
      </c>
      <c r="S3104">
        <v>34</v>
      </c>
      <c r="Y3104" t="s">
        <v>18275</v>
      </c>
      <c r="Z3104" t="s">
        <v>2861</v>
      </c>
      <c r="AA3104" t="s">
        <v>17110</v>
      </c>
      <c r="AB3104" t="s">
        <v>2497</v>
      </c>
      <c r="AC3104" t="s">
        <v>10586</v>
      </c>
      <c r="AD3104" s="249" t="str">
        <f>HYPERLINK("https://scontent.cdninstagram.com/t51.2885-15/e35/p320x320/21107996_858835564281226_6822421460817018880_n.jpg")</f>
        <v>https://scontent.cdninstagram.com/t51.2885-15/e35/p320x320/21107996_858835564281226_6822421460817018880_n.jpg</v>
      </c>
      <c r="AE3104" s="249" t="str">
        <f>HYPERLINK("https://scontent.cdninstagram.com/t51.2885-19/s150x150/19765134_661934770680310_3934832153631653888_a.jpg")</f>
        <v>https://scontent.cdninstagram.com/t51.2885-19/s150x150/19765134_661934770680310_3934832153631653888_a.jpg</v>
      </c>
    </row>
    <row r="3105" spans="1:31" ht="15" x14ac:dyDescent="0.25">
      <c r="A3105" t="s">
        <v>2474</v>
      </c>
      <c r="B3105" t="s">
        <v>18276</v>
      </c>
      <c r="C3105" s="221">
        <v>42974.454756944448</v>
      </c>
      <c r="D3105" t="s">
        <v>18277</v>
      </c>
      <c r="E3105" s="249" t="str">
        <f>HYPERLINK("https://www.instagram.com/p/BYTSQ0BlST6/")</f>
        <v>https://www.instagram.com/p/BYTSQ0BlST6/</v>
      </c>
      <c r="F3105" t="s">
        <v>18278</v>
      </c>
      <c r="G3105" t="s">
        <v>2478</v>
      </c>
      <c r="I3105" t="s">
        <v>2542</v>
      </c>
      <c r="J3105">
        <v>0</v>
      </c>
      <c r="K3105">
        <v>14</v>
      </c>
      <c r="L3105">
        <v>14</v>
      </c>
      <c r="Q3105">
        <v>0</v>
      </c>
      <c r="R3105">
        <v>0</v>
      </c>
      <c r="S3105">
        <v>14</v>
      </c>
      <c r="Y3105" t="s">
        <v>2497</v>
      </c>
      <c r="Z3105" t="s">
        <v>18279</v>
      </c>
      <c r="AD3105" s="249" t="str">
        <f>HYPERLINK("https://scontent.cdninstagram.com/t51.2885-15/s320x320/e35/21108010_113019286055320_4482369389278003200_n.jpg")</f>
        <v>https://scontent.cdninstagram.com/t51.2885-15/s320x320/e35/21108010_113019286055320_4482369389278003200_n.jpg</v>
      </c>
      <c r="AE3105" s="249" t="str">
        <f>HYPERLINK("https://scontent.cdninstagram.com/t51.2885-19/s150x150/16122577_146958432471148_7907740738530574336_a.jpg")</f>
        <v>https://scontent.cdninstagram.com/t51.2885-19/s150x150/16122577_146958432471148_7907740738530574336_a.jpg</v>
      </c>
    </row>
    <row r="3106" spans="1:31" ht="15" x14ac:dyDescent="0.25">
      <c r="A3106" t="s">
        <v>2474</v>
      </c>
      <c r="B3106" t="s">
        <v>18280</v>
      </c>
      <c r="C3106" s="221">
        <v>42974.464247685188</v>
      </c>
      <c r="D3106" t="s">
        <v>18281</v>
      </c>
      <c r="E3106" s="249" t="str">
        <f>HYPERLINK("https://www.instagram.com/p/BYTT0z7gD0r/")</f>
        <v>https://www.instagram.com/p/BYTT0z7gD0r/</v>
      </c>
      <c r="F3106" t="s">
        <v>18282</v>
      </c>
      <c r="G3106" t="s">
        <v>2478</v>
      </c>
      <c r="H3106">
        <v>1873</v>
      </c>
      <c r="I3106" t="s">
        <v>2903</v>
      </c>
      <c r="J3106">
        <v>1</v>
      </c>
      <c r="K3106">
        <v>60</v>
      </c>
      <c r="L3106">
        <v>61</v>
      </c>
      <c r="Q3106">
        <v>0</v>
      </c>
      <c r="R3106">
        <v>0</v>
      </c>
      <c r="S3106">
        <v>61</v>
      </c>
      <c r="Y3106" t="s">
        <v>18283</v>
      </c>
      <c r="Z3106" t="s">
        <v>3902</v>
      </c>
      <c r="AA3106" t="s">
        <v>8753</v>
      </c>
      <c r="AB3106" t="s">
        <v>2497</v>
      </c>
      <c r="AC3106" t="s">
        <v>2730</v>
      </c>
      <c r="AD3106" s="249" t="str">
        <f>HYPERLINK("https://scontent.cdninstagram.com/t51.2885-15/s320x320/e35/21148140_124803021498214_8578221576233680896_n.jpg")</f>
        <v>https://scontent.cdninstagram.com/t51.2885-15/s320x320/e35/21148140_124803021498214_8578221576233680896_n.jpg</v>
      </c>
      <c r="AE3106" s="249" t="str">
        <f>HYPERLINK("https://scontent.cdninstagram.com/t51.2885-19/s150x150/19120416_1378985495516556_7127700920103600128_n.jpg")</f>
        <v>https://scontent.cdninstagram.com/t51.2885-19/s150x150/19120416_1378985495516556_7127700920103600128_n.jpg</v>
      </c>
    </row>
    <row r="3107" spans="1:31" ht="15" x14ac:dyDescent="0.25">
      <c r="A3107" t="s">
        <v>2474</v>
      </c>
      <c r="B3107" t="s">
        <v>17158</v>
      </c>
      <c r="C3107" s="221">
        <v>42974.46603009259</v>
      </c>
      <c r="D3107" t="s">
        <v>18284</v>
      </c>
      <c r="E3107" s="249" t="str">
        <f>HYPERLINK("https://www.instagram.com/p/BYTUHsPnNnX/")</f>
        <v>https://www.instagram.com/p/BYTUHsPnNnX/</v>
      </c>
      <c r="F3107" t="s">
        <v>18285</v>
      </c>
      <c r="G3107" t="s">
        <v>2631</v>
      </c>
      <c r="H3107">
        <v>373</v>
      </c>
      <c r="I3107" t="s">
        <v>2479</v>
      </c>
      <c r="J3107">
        <v>2</v>
      </c>
      <c r="K3107">
        <v>40</v>
      </c>
      <c r="L3107">
        <v>42</v>
      </c>
      <c r="Q3107">
        <v>0</v>
      </c>
      <c r="R3107">
        <v>0</v>
      </c>
      <c r="S3107">
        <v>42</v>
      </c>
      <c r="Y3107" t="s">
        <v>18286</v>
      </c>
      <c r="Z3107" t="s">
        <v>2641</v>
      </c>
      <c r="AA3107" t="s">
        <v>17162</v>
      </c>
      <c r="AB3107" t="s">
        <v>18019</v>
      </c>
      <c r="AC3107" t="s">
        <v>17709</v>
      </c>
      <c r="AD3107" s="249" t="str">
        <f>HYPERLINK("https://scontent.cdninstagram.com/t51.2885-15/s320x320/e15/21107882_850887545077145_6800779846461947904_n.jpg")</f>
        <v>https://scontent.cdninstagram.com/t51.2885-15/s320x320/e15/21107882_850887545077145_6800779846461947904_n.jpg</v>
      </c>
      <c r="AE3107" s="249" t="str">
        <f>HYPERLINK("https://scontent.cdninstagram.com/t51.2885-19/s150x150/13658639_315931348749567_46952542_a.jpg")</f>
        <v>https://scontent.cdninstagram.com/t51.2885-19/s150x150/13658639_315931348749567_46952542_a.jpg</v>
      </c>
    </row>
    <row r="3108" spans="1:31" ht="15" x14ac:dyDescent="0.25">
      <c r="A3108" t="s">
        <v>2474</v>
      </c>
      <c r="B3108" t="s">
        <v>18287</v>
      </c>
      <c r="C3108" s="221">
        <v>42974.469548611109</v>
      </c>
      <c r="D3108" t="s">
        <v>18288</v>
      </c>
      <c r="E3108" s="249" t="str">
        <f>HYPERLINK("https://www.instagram.com/p/BYTUsu3gl4s/")</f>
        <v>https://www.instagram.com/p/BYTUsu3gl4s/</v>
      </c>
      <c r="F3108" t="s">
        <v>18289</v>
      </c>
      <c r="G3108" t="s">
        <v>2488</v>
      </c>
      <c r="H3108">
        <v>1182</v>
      </c>
      <c r="I3108" t="s">
        <v>2479</v>
      </c>
      <c r="J3108">
        <v>4</v>
      </c>
      <c r="K3108">
        <v>128</v>
      </c>
      <c r="L3108">
        <v>132</v>
      </c>
      <c r="Q3108">
        <v>0</v>
      </c>
      <c r="R3108">
        <v>0</v>
      </c>
      <c r="S3108">
        <v>132</v>
      </c>
      <c r="Y3108" t="s">
        <v>18290</v>
      </c>
      <c r="Z3108" t="s">
        <v>5552</v>
      </c>
      <c r="AA3108" t="s">
        <v>6219</v>
      </c>
      <c r="AB3108" t="s">
        <v>17798</v>
      </c>
      <c r="AC3108" t="s">
        <v>4240</v>
      </c>
      <c r="AD3108" s="249" t="str">
        <f>HYPERLINK("https://scontent.cdninstagram.com/t51.2885-15/s320x320/e35/21042534_167141877169412_5931074163300106240_n.jpg")</f>
        <v>https://scontent.cdninstagram.com/t51.2885-15/s320x320/e35/21042534_167141877169412_5931074163300106240_n.jpg</v>
      </c>
      <c r="AE3108" s="249" t="str">
        <f>HYPERLINK("https://scontent.cdninstagram.com/t51.2885-19/s150x150/20759556_528553680816023_7391302287332737024_a.jpg")</f>
        <v>https://scontent.cdninstagram.com/t51.2885-19/s150x150/20759556_528553680816023_7391302287332737024_a.jpg</v>
      </c>
    </row>
    <row r="3109" spans="1:31" ht="15" x14ac:dyDescent="0.25">
      <c r="A3109" t="s">
        <v>2474</v>
      </c>
      <c r="B3109" t="s">
        <v>5657</v>
      </c>
      <c r="C3109" s="221">
        <v>42974.47146990741</v>
      </c>
      <c r="D3109" t="s">
        <v>18291</v>
      </c>
      <c r="E3109" s="249" t="str">
        <f>HYPERLINK("https://www.instagram.com/p/BYTVBADgWxq/")</f>
        <v>https://www.instagram.com/p/BYTVBADgWxq/</v>
      </c>
      <c r="F3109" t="s">
        <v>18292</v>
      </c>
      <c r="G3109" t="s">
        <v>2478</v>
      </c>
      <c r="H3109">
        <v>103</v>
      </c>
      <c r="I3109" t="s">
        <v>2896</v>
      </c>
      <c r="J3109">
        <v>0</v>
      </c>
      <c r="K3109">
        <v>26</v>
      </c>
      <c r="L3109">
        <v>26</v>
      </c>
      <c r="Q3109">
        <v>0</v>
      </c>
      <c r="R3109">
        <v>0</v>
      </c>
      <c r="S3109">
        <v>26</v>
      </c>
      <c r="Y3109" t="s">
        <v>18293</v>
      </c>
      <c r="Z3109" t="s">
        <v>12047</v>
      </c>
      <c r="AA3109" t="s">
        <v>2861</v>
      </c>
      <c r="AB3109" t="s">
        <v>6172</v>
      </c>
      <c r="AC3109" t="s">
        <v>7748</v>
      </c>
      <c r="AD3109" s="249" t="str">
        <f>HYPERLINK("https://scontent.cdninstagram.com/t51.2885-15/s320x320/e35/21149105_890765344411184_2807667374625390592_n.jpg")</f>
        <v>https://scontent.cdninstagram.com/t51.2885-15/s320x320/e35/21149105_890765344411184_2807667374625390592_n.jpg</v>
      </c>
      <c r="AE3109" s="249" t="str">
        <f>HYPERLINK("https://scontent.cdninstagram.com/t51.2885-19/s150x150/18722414_1929874740617287_7467972564577419264_a.jpg")</f>
        <v>https://scontent.cdninstagram.com/t51.2885-19/s150x150/18722414_1929874740617287_7467972564577419264_a.jpg</v>
      </c>
    </row>
    <row r="3110" spans="1:31" ht="15" x14ac:dyDescent="0.25">
      <c r="A3110" t="s">
        <v>2474</v>
      </c>
      <c r="B3110" t="s">
        <v>3015</v>
      </c>
      <c r="C3110" s="221">
        <v>42974.471851851849</v>
      </c>
      <c r="D3110" t="s">
        <v>18294</v>
      </c>
      <c r="E3110" s="249" t="str">
        <f>HYPERLINK("https://www.instagram.com/p/BYTVFCAgJyp/")</f>
        <v>https://www.instagram.com/p/BYTVFCAgJyp/</v>
      </c>
      <c r="F3110" t="s">
        <v>18295</v>
      </c>
      <c r="G3110" t="s">
        <v>2478</v>
      </c>
      <c r="H3110">
        <v>244</v>
      </c>
      <c r="I3110" t="s">
        <v>2479</v>
      </c>
      <c r="J3110">
        <v>2</v>
      </c>
      <c r="K3110">
        <v>36</v>
      </c>
      <c r="L3110">
        <v>38</v>
      </c>
      <c r="Q3110">
        <v>0</v>
      </c>
      <c r="R3110">
        <v>0</v>
      </c>
      <c r="S3110">
        <v>38</v>
      </c>
      <c r="Y3110" t="s">
        <v>4127</v>
      </c>
      <c r="Z3110" t="s">
        <v>3492</v>
      </c>
      <c r="AA3110" t="s">
        <v>3165</v>
      </c>
      <c r="AB3110" t="s">
        <v>3018</v>
      </c>
      <c r="AC3110" t="s">
        <v>7275</v>
      </c>
      <c r="AD3110" s="249" t="str">
        <f>HYPERLINK("https://scontent.cdninstagram.com/t51.2885-15/s320x320/e35/21107998_577351629322114_3050343420670246912_n.jpg")</f>
        <v>https://scontent.cdninstagram.com/t51.2885-15/s320x320/e35/21107998_577351629322114_3050343420670246912_n.jpg</v>
      </c>
      <c r="AE3110" s="249" t="str">
        <f>HYPERLINK("https://scontent.cdninstagram.com/t51.2885-19/s150x150/21373102_1087463374722515_8750956974671134720_a.jpg")</f>
        <v>https://scontent.cdninstagram.com/t51.2885-19/s150x150/21373102_1087463374722515_8750956974671134720_a.jpg</v>
      </c>
    </row>
    <row r="3111" spans="1:31" ht="15" x14ac:dyDescent="0.25">
      <c r="A3111" t="s">
        <v>2474</v>
      </c>
      <c r="B3111" t="s">
        <v>18296</v>
      </c>
      <c r="C3111" s="221">
        <v>42974.473032407404</v>
      </c>
      <c r="D3111" t="s">
        <v>18297</v>
      </c>
      <c r="E3111" s="249" t="str">
        <f>HYPERLINK("https://www.instagram.com/p/BYTVRjQFMIC/")</f>
        <v>https://www.instagram.com/p/BYTVRjQFMIC/</v>
      </c>
      <c r="F3111" t="s">
        <v>18298</v>
      </c>
      <c r="G3111" t="s">
        <v>2488</v>
      </c>
      <c r="H3111">
        <v>985</v>
      </c>
      <c r="I3111" t="s">
        <v>2479</v>
      </c>
      <c r="J3111">
        <v>26</v>
      </c>
      <c r="K3111">
        <v>258</v>
      </c>
      <c r="L3111">
        <v>284</v>
      </c>
      <c r="Q3111">
        <v>0</v>
      </c>
      <c r="R3111">
        <v>0</v>
      </c>
      <c r="S3111">
        <v>284</v>
      </c>
      <c r="Y3111" t="s">
        <v>2497</v>
      </c>
      <c r="AD3111" s="249" t="str">
        <f>HYPERLINK("https://scontent.cdninstagram.com/t51.2885-15/s320x320/e35/21107981_113353965999099_1990284907208769536_n.jpg")</f>
        <v>https://scontent.cdninstagram.com/t51.2885-15/s320x320/e35/21107981_113353965999099_1990284907208769536_n.jpg</v>
      </c>
      <c r="AE3111" s="249" t="str">
        <f>HYPERLINK("https://scontent.cdninstagram.com/t51.2885-19/s150x150/21042044_112506829461656_4659447192925241344_a.jpg")</f>
        <v>https://scontent.cdninstagram.com/t51.2885-19/s150x150/21042044_112506829461656_4659447192925241344_a.jpg</v>
      </c>
    </row>
    <row r="3112" spans="1:31" ht="15" x14ac:dyDescent="0.25">
      <c r="A3112" t="s">
        <v>2474</v>
      </c>
      <c r="B3112" t="s">
        <v>18299</v>
      </c>
      <c r="C3112" s="221">
        <v>42974.481377314813</v>
      </c>
      <c r="D3112" t="s">
        <v>18300</v>
      </c>
      <c r="E3112" s="249" t="str">
        <f>HYPERLINK("https://www.instagram.com/p/BYTWpixhh8c/")</f>
        <v>https://www.instagram.com/p/BYTWpixhh8c/</v>
      </c>
      <c r="F3112" t="s">
        <v>18301</v>
      </c>
      <c r="G3112" t="s">
        <v>2631</v>
      </c>
      <c r="H3112">
        <v>430</v>
      </c>
      <c r="I3112" t="s">
        <v>2542</v>
      </c>
      <c r="J3112">
        <v>0</v>
      </c>
      <c r="K3112">
        <v>8</v>
      </c>
      <c r="L3112">
        <v>8</v>
      </c>
      <c r="Q3112">
        <v>0</v>
      </c>
      <c r="R3112">
        <v>0</v>
      </c>
      <c r="S3112">
        <v>8</v>
      </c>
      <c r="Y3112" t="s">
        <v>18302</v>
      </c>
      <c r="Z3112" t="s">
        <v>18303</v>
      </c>
      <c r="AA3112" t="s">
        <v>6294</v>
      </c>
      <c r="AB3112" t="s">
        <v>18304</v>
      </c>
      <c r="AC3112" t="s">
        <v>18305</v>
      </c>
      <c r="AD3112" s="249" t="str">
        <f>HYPERLINK("https://scontent.cdninstagram.com/t51.2885-15/s320x320/e15/21042782_263519970806151_7233236023277256704_n.jpg")</f>
        <v>https://scontent.cdninstagram.com/t51.2885-15/s320x320/e15/21042782_263519970806151_7233236023277256704_n.jpg</v>
      </c>
      <c r="AE3112" s="249" t="str">
        <f>HYPERLINK("https://scontent.cdninstagram.com/t51.2885-19/926499_1435223853409752_1857431126_a.jpg")</f>
        <v>https://scontent.cdninstagram.com/t51.2885-19/926499_1435223853409752_1857431126_a.jpg</v>
      </c>
    </row>
    <row r="3113" spans="1:31" ht="15" x14ac:dyDescent="0.25">
      <c r="A3113" t="s">
        <v>2474</v>
      </c>
      <c r="B3113" t="s">
        <v>3895</v>
      </c>
      <c r="C3113" s="221">
        <v>42974.482673611114</v>
      </c>
      <c r="D3113" t="s">
        <v>18306</v>
      </c>
      <c r="E3113" s="249" t="str">
        <f>HYPERLINK("https://www.instagram.com/p/BYTW3Jbl9Xw/")</f>
        <v>https://www.instagram.com/p/BYTW3Jbl9Xw/</v>
      </c>
      <c r="F3113" t="s">
        <v>18307</v>
      </c>
      <c r="G3113" t="s">
        <v>2478</v>
      </c>
      <c r="H3113">
        <v>426</v>
      </c>
      <c r="I3113" t="s">
        <v>2786</v>
      </c>
      <c r="J3113">
        <v>1</v>
      </c>
      <c r="K3113">
        <v>72</v>
      </c>
      <c r="L3113">
        <v>73</v>
      </c>
      <c r="Q3113">
        <v>0</v>
      </c>
      <c r="R3113">
        <v>0</v>
      </c>
      <c r="S3113">
        <v>73</v>
      </c>
      <c r="Y3113" t="s">
        <v>18308</v>
      </c>
      <c r="Z3113" t="s">
        <v>16889</v>
      </c>
      <c r="AA3113" t="s">
        <v>11748</v>
      </c>
      <c r="AB3113" t="s">
        <v>2497</v>
      </c>
      <c r="AC3113" t="s">
        <v>2547</v>
      </c>
      <c r="AD3113" s="249" t="str">
        <f>HYPERLINK("https://scontent.cdninstagram.com/t51.2885-15/s320x320/e35/21042353_116759865722848_8271110768661889024_n.jpg")</f>
        <v>https://scontent.cdninstagram.com/t51.2885-15/s320x320/e35/21042353_116759865722848_8271110768661889024_n.jpg</v>
      </c>
      <c r="AE3113" s="249" t="str">
        <f>HYPERLINK("https://scontent.cdninstagram.com/t51.2885-19/s150x150/20902130_1390331654386412_4188068892897181696_a.jpg")</f>
        <v>https://scontent.cdninstagram.com/t51.2885-19/s150x150/20902130_1390331654386412_4188068892897181696_a.jpg</v>
      </c>
    </row>
    <row r="3114" spans="1:31" ht="15" x14ac:dyDescent="0.25">
      <c r="A3114" t="s">
        <v>2474</v>
      </c>
      <c r="B3114" t="s">
        <v>18309</v>
      </c>
      <c r="C3114" s="221">
        <v>42974.483182870368</v>
      </c>
      <c r="D3114" t="s">
        <v>18310</v>
      </c>
      <c r="E3114" s="249" t="str">
        <f>HYPERLINK("https://www.instagram.com/p/BYTW8hVDWUZ/")</f>
        <v>https://www.instagram.com/p/BYTW8hVDWUZ/</v>
      </c>
      <c r="F3114" t="s">
        <v>18311</v>
      </c>
      <c r="G3114" t="s">
        <v>2478</v>
      </c>
      <c r="H3114">
        <v>3</v>
      </c>
      <c r="I3114" t="s">
        <v>2542</v>
      </c>
      <c r="J3114">
        <v>0</v>
      </c>
      <c r="K3114">
        <v>18</v>
      </c>
      <c r="L3114">
        <v>18</v>
      </c>
      <c r="Q3114">
        <v>0</v>
      </c>
      <c r="R3114">
        <v>0</v>
      </c>
      <c r="S3114">
        <v>18</v>
      </c>
      <c r="Y3114" t="s">
        <v>11400</v>
      </c>
      <c r="Z3114" t="s">
        <v>2906</v>
      </c>
      <c r="AA3114" t="s">
        <v>10374</v>
      </c>
      <c r="AB3114" t="s">
        <v>8753</v>
      </c>
      <c r="AC3114" t="s">
        <v>2497</v>
      </c>
      <c r="AD3114" s="249" t="str">
        <f>HYPERLINK("https://scontent.cdninstagram.com/t51.2885-15/s320x320/e35/21107807_143798402885164_5893071098664189952_n.jpg")</f>
        <v>https://scontent.cdninstagram.com/t51.2885-15/s320x320/e35/21107807_143798402885164_5893071098664189952_n.jpg</v>
      </c>
      <c r="AE3114" s="249" t="str">
        <f>HYPERLINK("https://scontent.cdninstagram.com/t51.2885-19/s150x150/21224635_116853155713206_6935607206414909440_a.jpg")</f>
        <v>https://scontent.cdninstagram.com/t51.2885-19/s150x150/21224635_116853155713206_6935607206414909440_a.jpg</v>
      </c>
    </row>
    <row r="3115" spans="1:31" ht="15" x14ac:dyDescent="0.25">
      <c r="A3115" t="s">
        <v>2474</v>
      </c>
      <c r="B3115" t="s">
        <v>18312</v>
      </c>
      <c r="C3115" s="221">
        <v>42974.485833333332</v>
      </c>
      <c r="D3115" t="s">
        <v>18313</v>
      </c>
      <c r="E3115" s="249" t="str">
        <f>HYPERLINK("https://www.instagram.com/p/BYTXYlQjy0X/")</f>
        <v>https://www.instagram.com/p/BYTXYlQjy0X/</v>
      </c>
      <c r="F3115" t="s">
        <v>18314</v>
      </c>
      <c r="G3115" t="s">
        <v>2478</v>
      </c>
      <c r="H3115">
        <v>382</v>
      </c>
      <c r="I3115" t="s">
        <v>2479</v>
      </c>
      <c r="J3115">
        <v>0</v>
      </c>
      <c r="K3115">
        <v>24</v>
      </c>
      <c r="L3115">
        <v>24</v>
      </c>
      <c r="Q3115">
        <v>0</v>
      </c>
      <c r="R3115">
        <v>0</v>
      </c>
      <c r="S3115">
        <v>24</v>
      </c>
      <c r="Y3115" t="s">
        <v>18315</v>
      </c>
      <c r="Z3115" t="s">
        <v>18019</v>
      </c>
      <c r="AA3115" t="s">
        <v>10311</v>
      </c>
      <c r="AB3115" t="s">
        <v>18316</v>
      </c>
      <c r="AC3115" t="s">
        <v>2497</v>
      </c>
      <c r="AD3115" s="249" t="str">
        <f>HYPERLINK("https://scontent.cdninstagram.com/t51.2885-15/s320x320/e35/21041906_673187606218580_4859611158753050624_n.jpg")</f>
        <v>https://scontent.cdninstagram.com/t51.2885-15/s320x320/e35/21041906_673187606218580_4859611158753050624_n.jpg</v>
      </c>
      <c r="AE3115" s="249" t="str">
        <f>HYPERLINK("https://scontent.cdninstagram.com/t51.2885-19/s150x150/19955633_100109903986451_8117835300106928128_a.jpg")</f>
        <v>https://scontent.cdninstagram.com/t51.2885-19/s150x150/19955633_100109903986451_8117835300106928128_a.jpg</v>
      </c>
    </row>
    <row r="3116" spans="1:31" ht="15" x14ac:dyDescent="0.25">
      <c r="A3116" t="s">
        <v>2474</v>
      </c>
      <c r="B3116" t="s">
        <v>18317</v>
      </c>
      <c r="C3116" s="221">
        <v>42974.486597222225</v>
      </c>
      <c r="D3116" t="s">
        <v>18318</v>
      </c>
      <c r="E3116" s="249" t="str">
        <f>HYPERLINK("https://www.instagram.com/p/BYTXgmuglzw/")</f>
        <v>https://www.instagram.com/p/BYTXgmuglzw/</v>
      </c>
      <c r="F3116" t="s">
        <v>18319</v>
      </c>
      <c r="G3116" t="s">
        <v>2631</v>
      </c>
      <c r="H3116">
        <v>317</v>
      </c>
      <c r="I3116" t="s">
        <v>3273</v>
      </c>
      <c r="J3116">
        <v>18</v>
      </c>
      <c r="K3116">
        <v>47</v>
      </c>
      <c r="L3116">
        <v>65</v>
      </c>
      <c r="Q3116">
        <v>0</v>
      </c>
      <c r="R3116">
        <v>0</v>
      </c>
      <c r="S3116">
        <v>65</v>
      </c>
      <c r="Y3116" t="s">
        <v>2497</v>
      </c>
      <c r="Z3116" t="s">
        <v>18320</v>
      </c>
      <c r="AA3116" t="s">
        <v>13981</v>
      </c>
      <c r="AB3116" t="s">
        <v>18321</v>
      </c>
      <c r="AC3116" t="s">
        <v>18322</v>
      </c>
      <c r="AD3116" s="249" t="str">
        <f>HYPERLINK("https://scontent.cdninstagram.com/t51.2885-15/s320x320/e15/21042120_1830440396972637_4308616770786164736_n.jpg")</f>
        <v>https://scontent.cdninstagram.com/t51.2885-15/s320x320/e15/21042120_1830440396972637_4308616770786164736_n.jpg</v>
      </c>
      <c r="AE3116" s="249" t="str">
        <f>HYPERLINK("https://scontent.cdninstagram.com/t51.2885-19/s150x150/18443302_439502666383236_3381703759624142848_a.jpg")</f>
        <v>https://scontent.cdninstagram.com/t51.2885-19/s150x150/18443302_439502666383236_3381703759624142848_a.jpg</v>
      </c>
    </row>
    <row r="3117" spans="1:31" ht="15" x14ac:dyDescent="0.25">
      <c r="A3117" t="s">
        <v>2474</v>
      </c>
      <c r="B3117" t="s">
        <v>4744</v>
      </c>
      <c r="C3117" s="221">
        <v>42974.492071759261</v>
      </c>
      <c r="D3117" t="s">
        <v>18323</v>
      </c>
      <c r="E3117" s="249" t="str">
        <f>HYPERLINK("https://www.instagram.com/p/BYTYaSchDO1/")</f>
        <v>https://www.instagram.com/p/BYTYaSchDO1/</v>
      </c>
      <c r="F3117" t="s">
        <v>18324</v>
      </c>
      <c r="G3117" t="s">
        <v>2478</v>
      </c>
      <c r="H3117">
        <v>276</v>
      </c>
      <c r="I3117" t="s">
        <v>2479</v>
      </c>
      <c r="J3117">
        <v>3</v>
      </c>
      <c r="K3117">
        <v>47</v>
      </c>
      <c r="L3117">
        <v>50</v>
      </c>
      <c r="Q3117">
        <v>0</v>
      </c>
      <c r="R3117">
        <v>0</v>
      </c>
      <c r="S3117">
        <v>50</v>
      </c>
      <c r="Y3117" t="s">
        <v>18325</v>
      </c>
      <c r="Z3117" t="s">
        <v>16107</v>
      </c>
      <c r="AA3117" t="s">
        <v>18326</v>
      </c>
      <c r="AB3117" t="s">
        <v>2497</v>
      </c>
      <c r="AC3117" t="s">
        <v>4715</v>
      </c>
      <c r="AD3117" s="249" t="str">
        <f>HYPERLINK("https://scontent.cdninstagram.com/t51.2885-15/s320x320/e35/21147585_138889283384006_3403655672481447936_n.jpg")</f>
        <v>https://scontent.cdninstagram.com/t51.2885-15/s320x320/e35/21147585_138889283384006_3403655672481447936_n.jpg</v>
      </c>
      <c r="AE3117" s="249" t="str">
        <f>HYPERLINK("https://scontent.cdninstagram.com/t51.2885-19/s150x150/20838865_737083769816426_4377609605010685952_a.jpg")</f>
        <v>https://scontent.cdninstagram.com/t51.2885-19/s150x150/20838865_737083769816426_4377609605010685952_a.jpg</v>
      </c>
    </row>
    <row r="3118" spans="1:31" ht="15" x14ac:dyDescent="0.25">
      <c r="A3118" t="s">
        <v>2474</v>
      </c>
      <c r="B3118" t="s">
        <v>18327</v>
      </c>
      <c r="C3118" s="221">
        <v>42974.501851851855</v>
      </c>
      <c r="D3118" t="s">
        <v>18328</v>
      </c>
      <c r="E3118" s="249" t="str">
        <f>HYPERLINK("https://www.instagram.com/p/BYTaBgFBqqF/")</f>
        <v>https://www.instagram.com/p/BYTaBgFBqqF/</v>
      </c>
      <c r="F3118" t="s">
        <v>18329</v>
      </c>
      <c r="G3118" t="s">
        <v>2478</v>
      </c>
      <c r="H3118">
        <v>219</v>
      </c>
      <c r="I3118" t="s">
        <v>3898</v>
      </c>
      <c r="J3118">
        <v>6</v>
      </c>
      <c r="K3118">
        <v>6</v>
      </c>
      <c r="L3118">
        <v>12</v>
      </c>
      <c r="Q3118">
        <v>0</v>
      </c>
      <c r="R3118">
        <v>0</v>
      </c>
      <c r="S3118">
        <v>12</v>
      </c>
      <c r="Y3118" t="s">
        <v>2497</v>
      </c>
      <c r="Z3118" t="s">
        <v>18330</v>
      </c>
      <c r="AA3118" t="s">
        <v>4253</v>
      </c>
      <c r="AB3118" t="s">
        <v>18331</v>
      </c>
      <c r="AC3118" t="s">
        <v>4808</v>
      </c>
      <c r="AD3118" s="249" t="str">
        <f>HYPERLINK("https://scontent.cdninstagram.com/t51.2885-15/s320x320/e35/21148069_504629483204875_6388868581282545664_n.jpg")</f>
        <v>https://scontent.cdninstagram.com/t51.2885-15/s320x320/e35/21148069_504629483204875_6388868581282545664_n.jpg</v>
      </c>
      <c r="AE3118" s="249" t="str">
        <f>HYPERLINK("https://scontent.cdninstagram.com/t51.2885-19/s150x150/13549393_292440131096142_1116540289_a.jpg")</f>
        <v>https://scontent.cdninstagram.com/t51.2885-19/s150x150/13549393_292440131096142_1116540289_a.jpg</v>
      </c>
    </row>
    <row r="3119" spans="1:31" ht="15" x14ac:dyDescent="0.25">
      <c r="A3119" t="s">
        <v>2474</v>
      </c>
      <c r="B3119" t="s">
        <v>18332</v>
      </c>
      <c r="C3119" s="221">
        <v>42974.510451388887</v>
      </c>
      <c r="D3119" t="s">
        <v>18333</v>
      </c>
      <c r="E3119" s="249" t="str">
        <f>HYPERLINK("https://www.instagram.com/p/BYTbcOWAkRv/")</f>
        <v>https://www.instagram.com/p/BYTbcOWAkRv/</v>
      </c>
      <c r="F3119" t="s">
        <v>18334</v>
      </c>
      <c r="G3119" t="s">
        <v>2478</v>
      </c>
      <c r="H3119">
        <v>867</v>
      </c>
      <c r="I3119" t="s">
        <v>2479</v>
      </c>
      <c r="J3119">
        <v>4</v>
      </c>
      <c r="K3119">
        <v>38</v>
      </c>
      <c r="L3119">
        <v>42</v>
      </c>
      <c r="Q3119">
        <v>0</v>
      </c>
      <c r="R3119">
        <v>0</v>
      </c>
      <c r="S3119">
        <v>42</v>
      </c>
      <c r="Y3119" t="s">
        <v>18335</v>
      </c>
      <c r="Z3119" t="s">
        <v>2497</v>
      </c>
      <c r="AA3119" t="s">
        <v>5672</v>
      </c>
      <c r="AB3119" t="s">
        <v>2492</v>
      </c>
      <c r="AC3119" t="s">
        <v>9163</v>
      </c>
      <c r="AD3119" s="249" t="str">
        <f>HYPERLINK("https://scontent.cdninstagram.com/t51.2885-15/s320x320/e35/21107814_467023347012547_4980711236292313088_n.jpg")</f>
        <v>https://scontent.cdninstagram.com/t51.2885-15/s320x320/e35/21107814_467023347012547_4980711236292313088_n.jpg</v>
      </c>
      <c r="AE3119" s="249" t="str">
        <f>HYPERLINK("https://scontent.cdninstagram.com/t51.2885-19/s150x150/12479181_527869070714180_92940582_a.jpg")</f>
        <v>https://scontent.cdninstagram.com/t51.2885-19/s150x150/12479181_527869070714180_92940582_a.jpg</v>
      </c>
    </row>
    <row r="3120" spans="1:31" ht="15" x14ac:dyDescent="0.25">
      <c r="A3120" t="s">
        <v>2474</v>
      </c>
      <c r="B3120" t="s">
        <v>5225</v>
      </c>
      <c r="C3120" s="221">
        <v>42974.522696759261</v>
      </c>
      <c r="D3120" t="s">
        <v>18336</v>
      </c>
      <c r="E3120" s="249" t="str">
        <f>HYPERLINK("https://www.instagram.com/p/BYTddXEgPvt/")</f>
        <v>https://www.instagram.com/p/BYTddXEgPvt/</v>
      </c>
      <c r="F3120" t="s">
        <v>18337</v>
      </c>
      <c r="G3120" t="s">
        <v>2488</v>
      </c>
      <c r="H3120">
        <v>67</v>
      </c>
      <c r="I3120" t="s">
        <v>2479</v>
      </c>
      <c r="J3120">
        <v>0</v>
      </c>
      <c r="K3120">
        <v>15</v>
      </c>
      <c r="L3120">
        <v>15</v>
      </c>
      <c r="Q3120">
        <v>0</v>
      </c>
      <c r="R3120">
        <v>0</v>
      </c>
      <c r="S3120">
        <v>15</v>
      </c>
      <c r="T3120" t="s">
        <v>5228</v>
      </c>
      <c r="V3120" t="s">
        <v>2154</v>
      </c>
      <c r="W3120">
        <v>47.498634698221998</v>
      </c>
      <c r="X3120">
        <v>-0.50784128552246999</v>
      </c>
      <c r="Y3120" t="s">
        <v>2861</v>
      </c>
      <c r="Z3120" t="s">
        <v>6490</v>
      </c>
      <c r="AA3120" t="s">
        <v>14171</v>
      </c>
      <c r="AB3120" t="s">
        <v>18338</v>
      </c>
      <c r="AC3120" t="s">
        <v>5229</v>
      </c>
      <c r="AD3120" s="249" t="str">
        <f>HYPERLINK("https://scontent.cdninstagram.com/t51.2885-15/s320x320/e35/21147454_696555790534806_7122092139491622912_n.jpg")</f>
        <v>https://scontent.cdninstagram.com/t51.2885-15/s320x320/e35/21147454_696555790534806_7122092139491622912_n.jpg</v>
      </c>
      <c r="AE3120" s="249" t="str">
        <f>HYPERLINK("https://scontent.cdninstagram.com/t51.2885-19/s150x150/18949503_1122155304550657_4049188449616396288_a.jpg")</f>
        <v>https://scontent.cdninstagram.com/t51.2885-19/s150x150/18949503_1122155304550657_4049188449616396288_a.jpg</v>
      </c>
    </row>
    <row r="3121" spans="1:31" ht="15" x14ac:dyDescent="0.25">
      <c r="A3121" t="s">
        <v>2474</v>
      </c>
      <c r="B3121" t="s">
        <v>18339</v>
      </c>
      <c r="C3121" s="221">
        <v>42974.522777777776</v>
      </c>
      <c r="D3121" t="s">
        <v>18340</v>
      </c>
      <c r="E3121" s="249" t="str">
        <f>HYPERLINK("https://www.instagram.com/p/BYTdeJtjkOZ/")</f>
        <v>https://www.instagram.com/p/BYTdeJtjkOZ/</v>
      </c>
      <c r="F3121" t="s">
        <v>18341</v>
      </c>
      <c r="G3121" t="s">
        <v>2478</v>
      </c>
      <c r="H3121">
        <v>171</v>
      </c>
      <c r="I3121" t="s">
        <v>3575</v>
      </c>
      <c r="J3121">
        <v>2</v>
      </c>
      <c r="K3121">
        <v>37</v>
      </c>
      <c r="L3121">
        <v>39</v>
      </c>
      <c r="Q3121">
        <v>0</v>
      </c>
      <c r="R3121">
        <v>0</v>
      </c>
      <c r="S3121">
        <v>39</v>
      </c>
      <c r="T3121" t="s">
        <v>18342</v>
      </c>
      <c r="V3121" t="s">
        <v>2118</v>
      </c>
      <c r="W3121">
        <v>-23.56344</v>
      </c>
      <c r="X3121">
        <v>-46.624215999999997</v>
      </c>
      <c r="Y3121" t="s">
        <v>5901</v>
      </c>
      <c r="Z3121" t="s">
        <v>18343</v>
      </c>
      <c r="AA3121" t="s">
        <v>4555</v>
      </c>
      <c r="AB3121" t="s">
        <v>6860</v>
      </c>
      <c r="AC3121" t="s">
        <v>5770</v>
      </c>
      <c r="AD3121" s="249" t="str">
        <f>HYPERLINK("https://scontent.cdninstagram.com/t51.2885-15/s320x320/e35/21042156_512841965722920_8407841443372072960_n.jpg")</f>
        <v>https://scontent.cdninstagram.com/t51.2885-15/s320x320/e35/21042156_512841965722920_8407841443372072960_n.jpg</v>
      </c>
      <c r="AE3121" s="249" t="str">
        <f>HYPERLINK("https://scontent.cdninstagram.com/t51.2885-19/s150x150/13531852_1588125128151860_1456100785_a.jpg")</f>
        <v>https://scontent.cdninstagram.com/t51.2885-19/s150x150/13531852_1588125128151860_1456100785_a.jpg</v>
      </c>
    </row>
    <row r="3122" spans="1:31" ht="15" x14ac:dyDescent="0.25">
      <c r="A3122" t="s">
        <v>2474</v>
      </c>
      <c r="B3122" t="s">
        <v>18344</v>
      </c>
      <c r="C3122" s="221">
        <v>42974.528379629628</v>
      </c>
      <c r="D3122" t="s">
        <v>18345</v>
      </c>
      <c r="E3122" s="249" t="str">
        <f>HYPERLINK("https://www.instagram.com/p/BYTeZRzAOll/")</f>
        <v>https://www.instagram.com/p/BYTeZRzAOll/</v>
      </c>
      <c r="F3122" t="s">
        <v>18346</v>
      </c>
      <c r="G3122" t="s">
        <v>2478</v>
      </c>
      <c r="H3122">
        <v>557</v>
      </c>
      <c r="I3122" t="s">
        <v>2479</v>
      </c>
      <c r="J3122">
        <v>0</v>
      </c>
      <c r="K3122">
        <v>31</v>
      </c>
      <c r="L3122">
        <v>31</v>
      </c>
      <c r="Q3122">
        <v>0</v>
      </c>
      <c r="R3122">
        <v>0</v>
      </c>
      <c r="S3122">
        <v>31</v>
      </c>
      <c r="Y3122" t="s">
        <v>2497</v>
      </c>
      <c r="Z3122" t="s">
        <v>6925</v>
      </c>
      <c r="AA3122" t="s">
        <v>2949</v>
      </c>
      <c r="AB3122" t="s">
        <v>18347</v>
      </c>
      <c r="AC3122" t="s">
        <v>2673</v>
      </c>
      <c r="AD3122" s="249" t="str">
        <f>HYPERLINK("https://scontent.cdninstagram.com/t51.2885-15/s320x320/e35/21042167_112577499456376_3986379560844263424_n.jpg")</f>
        <v>https://scontent.cdninstagram.com/t51.2885-15/s320x320/e35/21042167_112577499456376_3986379560844263424_n.jpg</v>
      </c>
      <c r="AE3122" s="249" t="str">
        <f>HYPERLINK("https://scontent.cdninstagram.com/t51.2885-19/s150x150/14294826_165735630536857_1624460597_a.jpg")</f>
        <v>https://scontent.cdninstagram.com/t51.2885-19/s150x150/14294826_165735630536857_1624460597_a.jpg</v>
      </c>
    </row>
    <row r="3123" spans="1:31" ht="15" x14ac:dyDescent="0.25">
      <c r="A3123" t="s">
        <v>2474</v>
      </c>
      <c r="B3123" t="s">
        <v>18348</v>
      </c>
      <c r="C3123" s="221">
        <v>42974.536620370367</v>
      </c>
      <c r="D3123" t="s">
        <v>18349</v>
      </c>
      <c r="E3123" s="249" t="str">
        <f>HYPERLINK("https://www.instagram.com/p/BYTfwIxHiNt/")</f>
        <v>https://www.instagram.com/p/BYTfwIxHiNt/</v>
      </c>
      <c r="F3123" t="s">
        <v>18350</v>
      </c>
      <c r="G3123" t="s">
        <v>2478</v>
      </c>
      <c r="H3123">
        <v>51</v>
      </c>
      <c r="I3123" t="s">
        <v>2479</v>
      </c>
      <c r="J3123">
        <v>0</v>
      </c>
      <c r="K3123">
        <v>11</v>
      </c>
      <c r="L3123">
        <v>11</v>
      </c>
      <c r="Q3123">
        <v>0</v>
      </c>
      <c r="R3123">
        <v>0</v>
      </c>
      <c r="S3123">
        <v>11</v>
      </c>
      <c r="Y3123" t="s">
        <v>2497</v>
      </c>
      <c r="Z3123" t="s">
        <v>3983</v>
      </c>
      <c r="AA3123" t="s">
        <v>18351</v>
      </c>
      <c r="AB3123" t="s">
        <v>18352</v>
      </c>
      <c r="AC3123" t="s">
        <v>4240</v>
      </c>
      <c r="AD3123" s="249" t="str">
        <f>HYPERLINK("https://scontent.cdninstagram.com/t51.2885-15/e35/p320x320/21042465_1316403965156052_3865408929324335104_n.jpg")</f>
        <v>https://scontent.cdninstagram.com/t51.2885-15/e35/p320x320/21042465_1316403965156052_3865408929324335104_n.jpg</v>
      </c>
      <c r="AE3123" s="249" t="str">
        <f>HYPERLINK("https://scontent.cdninstagram.com/t51.2885-19/s150x150/16464950_410446589307626_4318285979120041984_a.jpg")</f>
        <v>https://scontent.cdninstagram.com/t51.2885-19/s150x150/16464950_410446589307626_4318285979120041984_a.jpg</v>
      </c>
    </row>
    <row r="3124" spans="1:31" ht="15" x14ac:dyDescent="0.25">
      <c r="A3124" t="s">
        <v>2474</v>
      </c>
      <c r="B3124" t="s">
        <v>2924</v>
      </c>
      <c r="C3124" s="221">
        <v>42974.552824074075</v>
      </c>
      <c r="D3124" t="s">
        <v>18353</v>
      </c>
      <c r="E3124" s="249" t="str">
        <f>HYPERLINK("https://www.instagram.com/p/BYTibHjlBoz/")</f>
        <v>https://www.instagram.com/p/BYTibHjlBoz/</v>
      </c>
      <c r="F3124" t="s">
        <v>18354</v>
      </c>
      <c r="G3124" t="s">
        <v>2488</v>
      </c>
      <c r="H3124">
        <v>243</v>
      </c>
      <c r="I3124" t="s">
        <v>2479</v>
      </c>
      <c r="J3124">
        <v>2</v>
      </c>
      <c r="K3124">
        <v>23</v>
      </c>
      <c r="L3124">
        <v>25</v>
      </c>
      <c r="Q3124">
        <v>0</v>
      </c>
      <c r="R3124">
        <v>0</v>
      </c>
      <c r="S3124">
        <v>25</v>
      </c>
      <c r="T3124" t="s">
        <v>18355</v>
      </c>
      <c r="V3124" t="s">
        <v>2110</v>
      </c>
      <c r="W3124">
        <v>51.332381367532001</v>
      </c>
      <c r="X3124">
        <v>3.2122135162354</v>
      </c>
      <c r="Y3124" t="s">
        <v>2497</v>
      </c>
      <c r="Z3124" t="s">
        <v>3145</v>
      </c>
      <c r="AA3124" t="s">
        <v>18356</v>
      </c>
      <c r="AB3124" t="s">
        <v>18357</v>
      </c>
      <c r="AC3124" t="s">
        <v>15899</v>
      </c>
      <c r="AD3124" s="249" t="str">
        <f>HYPERLINK("https://scontent.cdninstagram.com/t51.2885-15/s320x320/e35/21149752_1739703642998890_332295250255020032_n.jpg")</f>
        <v>https://scontent.cdninstagram.com/t51.2885-15/s320x320/e35/21149752_1739703642998890_332295250255020032_n.jpg</v>
      </c>
      <c r="AE3124" s="249" t="str">
        <f>HYPERLINK("https://scontent.cdninstagram.com/t51.2885-19/s150x150/18253021_1975853552636836_8547343157967192064_a.jpg")</f>
        <v>https://scontent.cdninstagram.com/t51.2885-19/s150x150/18253021_1975853552636836_8547343157967192064_a.jpg</v>
      </c>
    </row>
    <row r="3125" spans="1:31" ht="15" x14ac:dyDescent="0.25">
      <c r="A3125" t="s">
        <v>2474</v>
      </c>
      <c r="B3125" t="s">
        <v>15182</v>
      </c>
      <c r="C3125" s="221">
        <v>42974.557013888887</v>
      </c>
      <c r="D3125" t="s">
        <v>18358</v>
      </c>
      <c r="E3125" s="249" t="str">
        <f>HYPERLINK("https://www.instagram.com/p/BYTjHPEAD2a/")</f>
        <v>https://www.instagram.com/p/BYTjHPEAD2a/</v>
      </c>
      <c r="F3125" t="s">
        <v>18359</v>
      </c>
      <c r="G3125" t="s">
        <v>2478</v>
      </c>
      <c r="H3125">
        <v>737</v>
      </c>
      <c r="I3125" t="s">
        <v>3170</v>
      </c>
      <c r="J3125">
        <v>2</v>
      </c>
      <c r="K3125">
        <v>48</v>
      </c>
      <c r="L3125">
        <v>50</v>
      </c>
      <c r="Q3125">
        <v>0</v>
      </c>
      <c r="R3125">
        <v>0</v>
      </c>
      <c r="S3125">
        <v>50</v>
      </c>
      <c r="Y3125" t="s">
        <v>18360</v>
      </c>
      <c r="Z3125" t="s">
        <v>18361</v>
      </c>
      <c r="AA3125" t="s">
        <v>18362</v>
      </c>
      <c r="AB3125" t="s">
        <v>18363</v>
      </c>
      <c r="AC3125" t="s">
        <v>18364</v>
      </c>
      <c r="AD3125" s="249" t="str">
        <f>HYPERLINK("https://scontent.cdninstagram.com/t51.2885-15/s320x320/e15/21042321_437753016624903_4771780378924941312_n.jpg")</f>
        <v>https://scontent.cdninstagram.com/t51.2885-15/s320x320/e15/21042321_437753016624903_4771780378924941312_n.jpg</v>
      </c>
      <c r="AE3125" s="249" t="str">
        <f>HYPERLINK("https://scontent.cdninstagram.com/t51.2885-19/s150x150/18513619_1254348571345625_691913201251516416_a.jpg")</f>
        <v>https://scontent.cdninstagram.com/t51.2885-19/s150x150/18513619_1254348571345625_691913201251516416_a.jpg</v>
      </c>
    </row>
    <row r="3126" spans="1:31" ht="15" x14ac:dyDescent="0.25">
      <c r="A3126" t="s">
        <v>2474</v>
      </c>
      <c r="B3126" t="s">
        <v>18365</v>
      </c>
      <c r="C3126" s="221">
        <v>42974.557974537034</v>
      </c>
      <c r="D3126" t="s">
        <v>18366</v>
      </c>
      <c r="E3126" s="249" t="str">
        <f>HYPERLINK("https://www.instagram.com/p/BYTjRYYAXmW/")</f>
        <v>https://www.instagram.com/p/BYTjRYYAXmW/</v>
      </c>
      <c r="F3126" t="s">
        <v>18367</v>
      </c>
      <c r="G3126" t="s">
        <v>2478</v>
      </c>
      <c r="H3126">
        <v>1235</v>
      </c>
      <c r="I3126" t="s">
        <v>2479</v>
      </c>
      <c r="J3126">
        <v>0</v>
      </c>
      <c r="K3126">
        <v>73</v>
      </c>
      <c r="L3126">
        <v>73</v>
      </c>
      <c r="Q3126">
        <v>0</v>
      </c>
      <c r="R3126">
        <v>0</v>
      </c>
      <c r="S3126">
        <v>73</v>
      </c>
      <c r="T3126" t="s">
        <v>18368</v>
      </c>
      <c r="V3126" t="s">
        <v>2228</v>
      </c>
      <c r="W3126">
        <v>6.5843819021436003</v>
      </c>
      <c r="X3126">
        <v>3.3570005503449001</v>
      </c>
      <c r="Y3126" t="s">
        <v>2497</v>
      </c>
      <c r="Z3126" t="s">
        <v>2575</v>
      </c>
      <c r="AD3126" s="249" t="str">
        <f>HYPERLINK("https://scontent.cdninstagram.com/t51.2885-15/s320x320/e35/21147182_496794120672325_274622102986817536_n.jpg")</f>
        <v>https://scontent.cdninstagram.com/t51.2885-15/s320x320/e35/21147182_496794120672325_274622102986817536_n.jpg</v>
      </c>
      <c r="AE3126" s="249" t="str">
        <f>HYPERLINK("https://scontent.cdninstagram.com/t51.2885-19/s150x150/17076413_1297612056997790_2534928851021070336_a.jpg")</f>
        <v>https://scontent.cdninstagram.com/t51.2885-19/s150x150/17076413_1297612056997790_2534928851021070336_a.jpg</v>
      </c>
    </row>
    <row r="3127" spans="1:31" ht="15" x14ac:dyDescent="0.25">
      <c r="A3127" t="s">
        <v>2474</v>
      </c>
      <c r="B3127" t="s">
        <v>3754</v>
      </c>
      <c r="C3127" s="221">
        <v>42974.561863425923</v>
      </c>
      <c r="D3127" t="s">
        <v>18369</v>
      </c>
      <c r="E3127" s="249" t="str">
        <f>HYPERLINK("https://www.instagram.com/p/BYTj6aKDkD6/")</f>
        <v>https://www.instagram.com/p/BYTj6aKDkD6/</v>
      </c>
      <c r="F3127" t="s">
        <v>15777</v>
      </c>
      <c r="G3127" t="s">
        <v>2478</v>
      </c>
      <c r="H3127">
        <v>201440</v>
      </c>
      <c r="I3127" t="s">
        <v>2479</v>
      </c>
      <c r="J3127">
        <v>1</v>
      </c>
      <c r="K3127">
        <v>329</v>
      </c>
      <c r="L3127">
        <v>330</v>
      </c>
      <c r="Q3127">
        <v>0</v>
      </c>
      <c r="R3127">
        <v>0</v>
      </c>
      <c r="S3127">
        <v>330</v>
      </c>
      <c r="Y3127" t="s">
        <v>18370</v>
      </c>
      <c r="Z3127" t="s">
        <v>18371</v>
      </c>
      <c r="AA3127" t="s">
        <v>3754</v>
      </c>
      <c r="AB3127" t="s">
        <v>13341</v>
      </c>
      <c r="AC3127" t="s">
        <v>6243</v>
      </c>
      <c r="AD3127" s="249" t="str">
        <f>HYPERLINK("https://scontent.cdninstagram.com/t51.2885-15/s320x320/e35/21107469_701324153400440_6285794567383941120_n.jpg")</f>
        <v>https://scontent.cdninstagram.com/t51.2885-15/s320x320/e35/21107469_701324153400440_6285794567383941120_n.jpg</v>
      </c>
      <c r="AE3127" s="249" t="str">
        <f>HYPERLINK("https://scontent.cdninstagram.com/t51.2885-19/s150x150/12905002_1681254462136092_1137392787_a.jpg")</f>
        <v>https://scontent.cdninstagram.com/t51.2885-19/s150x150/12905002_1681254462136092_1137392787_a.jpg</v>
      </c>
    </row>
    <row r="3128" spans="1:31" ht="15" x14ac:dyDescent="0.25">
      <c r="A3128" t="s">
        <v>2474</v>
      </c>
      <c r="B3128" t="s">
        <v>18372</v>
      </c>
      <c r="C3128" s="221">
        <v>42974.56354166667</v>
      </c>
      <c r="D3128" t="s">
        <v>18373</v>
      </c>
      <c r="E3128" s="249" t="str">
        <f>HYPERLINK("https://www.instagram.com/p/BYTkMGWASAL/")</f>
        <v>https://www.instagram.com/p/BYTkMGWASAL/</v>
      </c>
      <c r="F3128" t="s">
        <v>18374</v>
      </c>
      <c r="G3128" t="s">
        <v>2631</v>
      </c>
      <c r="H3128">
        <v>651</v>
      </c>
      <c r="I3128" t="s">
        <v>2903</v>
      </c>
      <c r="J3128">
        <v>1</v>
      </c>
      <c r="K3128">
        <v>15</v>
      </c>
      <c r="L3128">
        <v>16</v>
      </c>
      <c r="Q3128">
        <v>0</v>
      </c>
      <c r="R3128">
        <v>0</v>
      </c>
      <c r="S3128">
        <v>16</v>
      </c>
      <c r="Y3128" t="s">
        <v>18375</v>
      </c>
      <c r="Z3128" t="s">
        <v>18372</v>
      </c>
      <c r="AA3128" t="s">
        <v>18376</v>
      </c>
      <c r="AB3128" t="s">
        <v>4462</v>
      </c>
      <c r="AC3128" t="s">
        <v>18377</v>
      </c>
      <c r="AD3128" s="249" t="str">
        <f>HYPERLINK("https://scontent.cdninstagram.com/t51.2885-15/s320x320/e15/21147557_1884692651780801_575079477936128000_n.jpg")</f>
        <v>https://scontent.cdninstagram.com/t51.2885-15/s320x320/e15/21147557_1884692651780801_575079477936128000_n.jpg</v>
      </c>
      <c r="AE3128" s="249" t="str">
        <f>HYPERLINK("https://scontent.cdninstagram.com/t51.2885-19/s150x150/18888993_479702545700762_3696486869140242432_a.jpg")</f>
        <v>https://scontent.cdninstagram.com/t51.2885-19/s150x150/18888993_479702545700762_3696486869140242432_a.jpg</v>
      </c>
    </row>
    <row r="3129" spans="1:31" ht="15" x14ac:dyDescent="0.25">
      <c r="A3129" t="s">
        <v>2474</v>
      </c>
      <c r="B3129" t="s">
        <v>18378</v>
      </c>
      <c r="C3129" s="221">
        <v>42974.565763888888</v>
      </c>
      <c r="D3129" t="s">
        <v>18379</v>
      </c>
      <c r="E3129" s="249" t="str">
        <f>HYPERLINK("https://www.instagram.com/p/BYTkjkUj4Ar/")</f>
        <v>https://www.instagram.com/p/BYTkjkUj4Ar/</v>
      </c>
      <c r="F3129" t="s">
        <v>18380</v>
      </c>
      <c r="G3129" t="s">
        <v>2478</v>
      </c>
      <c r="H3129">
        <v>275</v>
      </c>
      <c r="I3129" t="s">
        <v>2479</v>
      </c>
      <c r="J3129">
        <v>5</v>
      </c>
      <c r="K3129">
        <v>46</v>
      </c>
      <c r="L3129">
        <v>51</v>
      </c>
      <c r="Q3129">
        <v>0</v>
      </c>
      <c r="R3129">
        <v>0</v>
      </c>
      <c r="S3129">
        <v>51</v>
      </c>
      <c r="Y3129" t="s">
        <v>18381</v>
      </c>
      <c r="Z3129" t="s">
        <v>18382</v>
      </c>
      <c r="AA3129" t="s">
        <v>2511</v>
      </c>
      <c r="AB3129" t="s">
        <v>2906</v>
      </c>
      <c r="AC3129" t="s">
        <v>18383</v>
      </c>
      <c r="AD3129" s="249" t="str">
        <f>HYPERLINK("https://scontent.cdninstagram.com/t51.2885-15/s320x320/e35/21042542_336719340113172_2541953171249430528_n.jpg")</f>
        <v>https://scontent.cdninstagram.com/t51.2885-15/s320x320/e35/21042542_336719340113172_2541953171249430528_n.jpg</v>
      </c>
      <c r="AE3129" s="249" t="str">
        <f>HYPERLINK("https://scontent.cdninstagram.com/t51.2885-19/s150x150/20589766_1064995213636050_3244546298308722688_a.jpg")</f>
        <v>https://scontent.cdninstagram.com/t51.2885-19/s150x150/20589766_1064995213636050_3244546298308722688_a.jpg</v>
      </c>
    </row>
    <row r="3130" spans="1:31" ht="15" x14ac:dyDescent="0.25">
      <c r="A3130" t="s">
        <v>2474</v>
      </c>
      <c r="B3130" t="s">
        <v>2738</v>
      </c>
      <c r="C3130" s="221">
        <v>42974.567546296297</v>
      </c>
      <c r="D3130" t="s">
        <v>18384</v>
      </c>
      <c r="E3130" s="249" t="str">
        <f>HYPERLINK("https://www.instagram.com/p/BYTk2ZJAhCi/")</f>
        <v>https://www.instagram.com/p/BYTk2ZJAhCi/</v>
      </c>
      <c r="F3130" t="s">
        <v>18385</v>
      </c>
      <c r="G3130" t="s">
        <v>2478</v>
      </c>
      <c r="H3130">
        <v>127</v>
      </c>
      <c r="I3130" t="s">
        <v>2479</v>
      </c>
      <c r="J3130">
        <v>0</v>
      </c>
      <c r="K3130">
        <v>30</v>
      </c>
      <c r="L3130">
        <v>30</v>
      </c>
      <c r="Q3130">
        <v>0</v>
      </c>
      <c r="R3130">
        <v>0</v>
      </c>
      <c r="S3130">
        <v>30</v>
      </c>
      <c r="Y3130" t="s">
        <v>3862</v>
      </c>
      <c r="Z3130" t="s">
        <v>2497</v>
      </c>
      <c r="AA3130" t="s">
        <v>2741</v>
      </c>
      <c r="AB3130" t="s">
        <v>18386</v>
      </c>
      <c r="AC3130" t="s">
        <v>2742</v>
      </c>
      <c r="AD3130" s="249" t="str">
        <f>HYPERLINK("https://scontent.cdninstagram.com/t51.2885-15/s320x320/e35/21041920_163982094177645_2466619006790926336_n.jpg")</f>
        <v>https://scontent.cdninstagram.com/t51.2885-15/s320x320/e35/21041920_163982094177645_2466619006790926336_n.jpg</v>
      </c>
      <c r="AE3130" s="249" t="str">
        <f>HYPERLINK("https://scontent.cdninstagram.com/t51.2885-19/s150x150/11899579_897822316961809_437222074_a.jpg")</f>
        <v>https://scontent.cdninstagram.com/t51.2885-19/s150x150/11899579_897822316961809_437222074_a.jpg</v>
      </c>
    </row>
    <row r="3131" spans="1:31" ht="15" x14ac:dyDescent="0.25">
      <c r="A3131" t="s">
        <v>2474</v>
      </c>
      <c r="B3131" t="s">
        <v>18387</v>
      </c>
      <c r="C3131" s="221">
        <v>42974.569097222222</v>
      </c>
      <c r="D3131" t="s">
        <v>18388</v>
      </c>
      <c r="E3131" s="249" t="str">
        <f>HYPERLINK("https://www.instagram.com/p/BYTlGrNlmMm/")</f>
        <v>https://www.instagram.com/p/BYTlGrNlmMm/</v>
      </c>
      <c r="F3131" t="s">
        <v>18389</v>
      </c>
      <c r="G3131" t="s">
        <v>2478</v>
      </c>
      <c r="H3131">
        <v>259</v>
      </c>
      <c r="I3131" t="s">
        <v>3273</v>
      </c>
      <c r="J3131">
        <v>0</v>
      </c>
      <c r="K3131">
        <v>40</v>
      </c>
      <c r="L3131">
        <v>40</v>
      </c>
      <c r="Q3131">
        <v>0</v>
      </c>
      <c r="R3131">
        <v>0</v>
      </c>
      <c r="S3131">
        <v>40</v>
      </c>
      <c r="T3131" t="s">
        <v>16747</v>
      </c>
      <c r="U3131" t="s">
        <v>106</v>
      </c>
      <c r="V3131" t="s">
        <v>2299</v>
      </c>
      <c r="W3131">
        <v>25.787700000000001</v>
      </c>
      <c r="X3131">
        <v>-80.224100000000007</v>
      </c>
      <c r="Y3131" t="s">
        <v>2497</v>
      </c>
      <c r="Z3131" t="s">
        <v>18390</v>
      </c>
      <c r="AA3131" t="s">
        <v>5219</v>
      </c>
      <c r="AB3131" t="s">
        <v>18391</v>
      </c>
      <c r="AC3131" t="s">
        <v>18392</v>
      </c>
      <c r="AD3131" s="249" t="str">
        <f>HYPERLINK("https://scontent.cdninstagram.com/t51.2885-15/e35/p320x320/21147374_105887113481160_7190420722664079360_n.jpg")</f>
        <v>https://scontent.cdninstagram.com/t51.2885-15/e35/p320x320/21147374_105887113481160_7190420722664079360_n.jpg</v>
      </c>
      <c r="AE3131" s="249" t="str">
        <f>HYPERLINK("https://scontent.cdninstagram.com/t51.2885-19/s150x150/15275489_360769927603021_3474874974802542592_a.jpg")</f>
        <v>https://scontent.cdninstagram.com/t51.2885-19/s150x150/15275489_360769927603021_3474874974802542592_a.jpg</v>
      </c>
    </row>
    <row r="3132" spans="1:31" ht="15" x14ac:dyDescent="0.25">
      <c r="A3132" t="s">
        <v>2474</v>
      </c>
      <c r="B3132" t="s">
        <v>3251</v>
      </c>
      <c r="C3132" s="221">
        <v>42974.576053240744</v>
      </c>
      <c r="D3132" t="s">
        <v>18393</v>
      </c>
      <c r="E3132" s="249" t="str">
        <f>HYPERLINK("https://www.instagram.com/p/BYTmQA_nZ0F/")</f>
        <v>https://www.instagram.com/p/BYTmQA_nZ0F/</v>
      </c>
      <c r="F3132" t="s">
        <v>18394</v>
      </c>
      <c r="G3132" t="s">
        <v>2478</v>
      </c>
      <c r="H3132">
        <v>295</v>
      </c>
      <c r="I3132" t="s">
        <v>2542</v>
      </c>
      <c r="J3132">
        <v>1</v>
      </c>
      <c r="K3132">
        <v>28</v>
      </c>
      <c r="L3132">
        <v>29</v>
      </c>
      <c r="Q3132">
        <v>0</v>
      </c>
      <c r="R3132">
        <v>0</v>
      </c>
      <c r="S3132">
        <v>29</v>
      </c>
      <c r="Y3132" t="s">
        <v>3254</v>
      </c>
      <c r="Z3132" t="s">
        <v>3968</v>
      </c>
      <c r="AA3132" t="s">
        <v>18395</v>
      </c>
      <c r="AB3132" t="s">
        <v>4844</v>
      </c>
      <c r="AC3132" t="s">
        <v>5943</v>
      </c>
      <c r="AD3132" s="249" t="str">
        <f>HYPERLINK("https://scontent.cdninstagram.com/t51.2885-15/s320x320/e35/21147676_1956690767876823_244130656978731008_n.jpg")</f>
        <v>https://scontent.cdninstagram.com/t51.2885-15/s320x320/e35/21147676_1956690767876823_244130656978731008_n.jpg</v>
      </c>
      <c r="AE3132" s="249" t="str">
        <f>HYPERLINK("https://scontent.cdninstagram.com/t51.2885-19/s150x150/20986614_891746094322067_1272495017625124864_a.jpg")</f>
        <v>https://scontent.cdninstagram.com/t51.2885-19/s150x150/20986614_891746094322067_1272495017625124864_a.jpg</v>
      </c>
    </row>
    <row r="3133" spans="1:31" ht="15" x14ac:dyDescent="0.25">
      <c r="A3133" t="s">
        <v>2474</v>
      </c>
      <c r="B3133" t="s">
        <v>18143</v>
      </c>
      <c r="C3133" s="221">
        <v>42974.577418981484</v>
      </c>
      <c r="D3133" t="s">
        <v>18396</v>
      </c>
      <c r="E3133" s="249" t="str">
        <f>HYPERLINK("https://www.instagram.com/p/BYTmegkhhj2/")</f>
        <v>https://www.instagram.com/p/BYTmegkhhj2/</v>
      </c>
      <c r="F3133" t="s">
        <v>18397</v>
      </c>
      <c r="G3133" t="s">
        <v>2478</v>
      </c>
      <c r="H3133">
        <v>175</v>
      </c>
      <c r="I3133" t="s">
        <v>2479</v>
      </c>
      <c r="J3133">
        <v>2</v>
      </c>
      <c r="K3133">
        <v>58</v>
      </c>
      <c r="L3133">
        <v>60</v>
      </c>
      <c r="Q3133">
        <v>0</v>
      </c>
      <c r="R3133">
        <v>0</v>
      </c>
      <c r="S3133">
        <v>60</v>
      </c>
      <c r="T3133" t="s">
        <v>18146</v>
      </c>
      <c r="V3133" t="s">
        <v>2230</v>
      </c>
      <c r="W3133">
        <v>58.166699999999999</v>
      </c>
      <c r="X3133">
        <v>8</v>
      </c>
      <c r="Y3133" t="s">
        <v>18398</v>
      </c>
      <c r="Z3133" t="s">
        <v>18399</v>
      </c>
      <c r="AA3133" t="s">
        <v>18400</v>
      </c>
      <c r="AB3133" t="s">
        <v>18401</v>
      </c>
      <c r="AC3133" t="s">
        <v>18150</v>
      </c>
      <c r="AD3133" s="249" t="str">
        <f>HYPERLINK("https://scontent.cdninstagram.com/t51.2885-15/s320x320/e35/21042505_341892799592663_5885893817470550016_n.jpg")</f>
        <v>https://scontent.cdninstagram.com/t51.2885-15/s320x320/e35/21042505_341892799592663_5885893817470550016_n.jpg</v>
      </c>
      <c r="AE3133" s="249" t="str">
        <f>HYPERLINK("https://scontent.cdninstagram.com/t51.2885-19/s150x150/21149315_721963524656503_5077667786537304064_a.jpg")</f>
        <v>https://scontent.cdninstagram.com/t51.2885-19/s150x150/21149315_721963524656503_5077667786537304064_a.jpg</v>
      </c>
    </row>
    <row r="3134" spans="1:31" ht="15" x14ac:dyDescent="0.25">
      <c r="A3134" t="s">
        <v>2474</v>
      </c>
      <c r="B3134" t="s">
        <v>7844</v>
      </c>
      <c r="C3134" s="221">
        <v>42974.589768518519</v>
      </c>
      <c r="D3134" t="s">
        <v>18402</v>
      </c>
      <c r="E3134" s="249" t="str">
        <f>HYPERLINK("https://www.instagram.com/p/BYTogvfDnlt/")</f>
        <v>https://www.instagram.com/p/BYTogvfDnlt/</v>
      </c>
      <c r="F3134" t="s">
        <v>18403</v>
      </c>
      <c r="G3134" t="s">
        <v>2478</v>
      </c>
      <c r="H3134">
        <v>428</v>
      </c>
      <c r="I3134" t="s">
        <v>2479</v>
      </c>
      <c r="J3134">
        <v>0</v>
      </c>
      <c r="K3134">
        <v>38</v>
      </c>
      <c r="L3134">
        <v>38</v>
      </c>
      <c r="Q3134">
        <v>0</v>
      </c>
      <c r="R3134">
        <v>0</v>
      </c>
      <c r="S3134">
        <v>38</v>
      </c>
      <c r="Y3134" t="s">
        <v>18404</v>
      </c>
      <c r="Z3134" t="s">
        <v>4754</v>
      </c>
      <c r="AA3134" t="s">
        <v>2968</v>
      </c>
      <c r="AB3134" t="s">
        <v>10640</v>
      </c>
      <c r="AC3134" t="s">
        <v>4620</v>
      </c>
      <c r="AD3134" s="249" t="str">
        <f>HYPERLINK("https://scontent.cdninstagram.com/t51.2885-15/s320x320/e35/21107763_121371868520128_6809424086620438528_n.jpg")</f>
        <v>https://scontent.cdninstagram.com/t51.2885-15/s320x320/e35/21107763_121371868520128_6809424086620438528_n.jpg</v>
      </c>
      <c r="AE3134" s="249" t="str">
        <f>HYPERLINK("https://scontent.cdninstagram.com/t51.2885-19/s150x150/14659433_124185214720398_460441517996113920_a.jpg")</f>
        <v>https://scontent.cdninstagram.com/t51.2885-19/s150x150/14659433_124185214720398_460441517996113920_a.jpg</v>
      </c>
    </row>
    <row r="3135" spans="1:31" ht="15" x14ac:dyDescent="0.25">
      <c r="A3135" t="s">
        <v>2474</v>
      </c>
      <c r="B3135" t="s">
        <v>4535</v>
      </c>
      <c r="C3135" s="221">
        <v>42974.591504629629</v>
      </c>
      <c r="D3135" t="s">
        <v>18405</v>
      </c>
      <c r="E3135" s="249" t="str">
        <f>HYPERLINK("https://www.instagram.com/p/BYToy_QFCIp/")</f>
        <v>https://www.instagram.com/p/BYToy_QFCIp/</v>
      </c>
      <c r="F3135" t="s">
        <v>18406</v>
      </c>
      <c r="G3135" t="s">
        <v>2478</v>
      </c>
      <c r="H3135">
        <v>179</v>
      </c>
      <c r="I3135" t="s">
        <v>2479</v>
      </c>
      <c r="J3135">
        <v>0</v>
      </c>
      <c r="K3135">
        <v>26</v>
      </c>
      <c r="L3135">
        <v>26</v>
      </c>
      <c r="Q3135">
        <v>0</v>
      </c>
      <c r="R3135">
        <v>0</v>
      </c>
      <c r="S3135">
        <v>26</v>
      </c>
      <c r="Y3135" t="s">
        <v>4538</v>
      </c>
      <c r="Z3135" t="s">
        <v>4542</v>
      </c>
      <c r="AA3135" t="s">
        <v>8845</v>
      </c>
      <c r="AB3135" t="s">
        <v>12353</v>
      </c>
      <c r="AC3135" t="s">
        <v>10673</v>
      </c>
      <c r="AD3135" s="249" t="str">
        <f>HYPERLINK("https://scontent.cdninstagram.com/t51.2885-15/s320x320/e35/21149558_1927051557507408_4271293625243009024_n.jpg")</f>
        <v>https://scontent.cdninstagram.com/t51.2885-15/s320x320/e35/21149558_1927051557507408_4271293625243009024_n.jpg</v>
      </c>
      <c r="AE3135" s="249" t="str">
        <f>HYPERLINK("https://scontent.cdninstagram.com/t51.2885-19/s150x150/20399028_1624608414236560_533007696291430400_a.jpg")</f>
        <v>https://scontent.cdninstagram.com/t51.2885-19/s150x150/20399028_1624608414236560_533007696291430400_a.jpg</v>
      </c>
    </row>
    <row r="3136" spans="1:31" ht="15" x14ac:dyDescent="0.25">
      <c r="A3136" t="s">
        <v>2474</v>
      </c>
      <c r="B3136" t="s">
        <v>18407</v>
      </c>
      <c r="C3136" s="221">
        <v>42974.605300925927</v>
      </c>
      <c r="D3136" t="s">
        <v>18408</v>
      </c>
      <c r="E3136" s="249" t="str">
        <f>HYPERLINK("https://www.instagram.com/p/BYTrEhbFzIs/")</f>
        <v>https://www.instagram.com/p/BYTrEhbFzIs/</v>
      </c>
      <c r="F3136" t="s">
        <v>18409</v>
      </c>
      <c r="G3136" t="s">
        <v>2478</v>
      </c>
      <c r="H3136">
        <v>96</v>
      </c>
      <c r="I3136" t="s">
        <v>2479</v>
      </c>
      <c r="J3136">
        <v>0</v>
      </c>
      <c r="K3136">
        <v>11</v>
      </c>
      <c r="L3136">
        <v>11</v>
      </c>
      <c r="Q3136">
        <v>0</v>
      </c>
      <c r="R3136">
        <v>0</v>
      </c>
      <c r="S3136">
        <v>11</v>
      </c>
      <c r="Y3136" t="s">
        <v>2497</v>
      </c>
      <c r="Z3136" t="s">
        <v>18410</v>
      </c>
      <c r="AA3136" t="s">
        <v>5706</v>
      </c>
      <c r="AB3136" t="s">
        <v>4808</v>
      </c>
      <c r="AC3136" t="s">
        <v>11136</v>
      </c>
      <c r="AD3136" s="249" t="str">
        <f>HYPERLINK("https://scontent.cdninstagram.com/t51.2885-15/s320x320/e35/21042605_136446616969500_4687393681831886848_n.jpg")</f>
        <v>https://scontent.cdninstagram.com/t51.2885-15/s320x320/e35/21042605_136446616969500_4687393681831886848_n.jpg</v>
      </c>
      <c r="AE3136" s="249" t="str">
        <f>HYPERLINK("https://scontent.cdninstagram.com/t51.2885-19/s150x150/17818856_1882912208626555_4009186159308570624_a.jpg")</f>
        <v>https://scontent.cdninstagram.com/t51.2885-19/s150x150/17818856_1882912208626555_4009186159308570624_a.jpg</v>
      </c>
    </row>
    <row r="3137" spans="1:31" ht="15" x14ac:dyDescent="0.25">
      <c r="A3137" t="s">
        <v>2474</v>
      </c>
      <c r="B3137" t="s">
        <v>6166</v>
      </c>
      <c r="C3137" s="221">
        <v>42974.608240740738</v>
      </c>
      <c r="D3137" t="s">
        <v>18411</v>
      </c>
      <c r="E3137" s="249" t="str">
        <f>HYPERLINK("https://www.instagram.com/p/BYTrjlKD-uJ/")</f>
        <v>https://www.instagram.com/p/BYTrjlKD-uJ/</v>
      </c>
      <c r="F3137" t="s">
        <v>18412</v>
      </c>
      <c r="G3137" t="s">
        <v>2478</v>
      </c>
      <c r="H3137">
        <v>229</v>
      </c>
      <c r="I3137" t="s">
        <v>2479</v>
      </c>
      <c r="J3137">
        <v>1</v>
      </c>
      <c r="K3137">
        <v>40</v>
      </c>
      <c r="L3137">
        <v>41</v>
      </c>
      <c r="Q3137">
        <v>0</v>
      </c>
      <c r="R3137">
        <v>0</v>
      </c>
      <c r="S3137">
        <v>41</v>
      </c>
      <c r="Y3137" t="s">
        <v>3392</v>
      </c>
      <c r="Z3137" t="s">
        <v>18413</v>
      </c>
      <c r="AA3137" t="s">
        <v>18414</v>
      </c>
      <c r="AB3137" t="s">
        <v>18415</v>
      </c>
      <c r="AC3137" t="s">
        <v>18416</v>
      </c>
      <c r="AD3137" s="249" t="str">
        <f>HYPERLINK("https://scontent.cdninstagram.com/t51.2885-15/s320x320/e35/21147882_141387783129632_6467325753900924928_n.jpg")</f>
        <v>https://scontent.cdninstagram.com/t51.2885-15/s320x320/e35/21147882_141387783129632_6467325753900924928_n.jpg</v>
      </c>
      <c r="AE3137" s="249" t="str">
        <f>HYPERLINK("https://scontent.cdninstagram.com/t51.2885-19/s150x150/21149186_128265911142708_5140581481101393920_a.jpg")</f>
        <v>https://scontent.cdninstagram.com/t51.2885-19/s150x150/21149186_128265911142708_5140581481101393920_a.jpg</v>
      </c>
    </row>
    <row r="3138" spans="1:31" ht="15" x14ac:dyDescent="0.25">
      <c r="A3138" t="s">
        <v>2474</v>
      </c>
      <c r="B3138" t="s">
        <v>5225</v>
      </c>
      <c r="C3138" s="221">
        <v>42974.610497685186</v>
      </c>
      <c r="D3138" t="s">
        <v>18417</v>
      </c>
      <c r="E3138" s="249" t="str">
        <f>HYPERLINK("https://www.instagram.com/p/BYTr7ZWgiQs/")</f>
        <v>https://www.instagram.com/p/BYTr7ZWgiQs/</v>
      </c>
      <c r="F3138" t="s">
        <v>18418</v>
      </c>
      <c r="G3138" t="s">
        <v>2488</v>
      </c>
      <c r="H3138">
        <v>67</v>
      </c>
      <c r="I3138" t="s">
        <v>2479</v>
      </c>
      <c r="J3138">
        <v>1</v>
      </c>
      <c r="K3138">
        <v>30</v>
      </c>
      <c r="L3138">
        <v>31</v>
      </c>
      <c r="Q3138">
        <v>0</v>
      </c>
      <c r="R3138">
        <v>0</v>
      </c>
      <c r="S3138">
        <v>31</v>
      </c>
      <c r="T3138" t="s">
        <v>5228</v>
      </c>
      <c r="V3138" t="s">
        <v>2154</v>
      </c>
      <c r="W3138">
        <v>47.498634698221998</v>
      </c>
      <c r="X3138">
        <v>-0.50784128552246999</v>
      </c>
      <c r="Y3138" t="s">
        <v>18419</v>
      </c>
      <c r="Z3138" t="s">
        <v>18420</v>
      </c>
      <c r="AA3138" t="s">
        <v>6043</v>
      </c>
      <c r="AB3138" t="s">
        <v>18421</v>
      </c>
      <c r="AC3138" t="s">
        <v>12064</v>
      </c>
      <c r="AD3138" s="249" t="str">
        <f>HYPERLINK("https://scontent.cdninstagram.com/t51.2885-15/s320x320/e35/21107248_707662349419586_9075559942793986048_n.jpg")</f>
        <v>https://scontent.cdninstagram.com/t51.2885-15/s320x320/e35/21107248_707662349419586_9075559942793986048_n.jpg</v>
      </c>
      <c r="AE3138" s="249" t="str">
        <f>HYPERLINK("https://scontent.cdninstagram.com/t51.2885-19/s150x150/18949503_1122155304550657_4049188449616396288_a.jpg")</f>
        <v>https://scontent.cdninstagram.com/t51.2885-19/s150x150/18949503_1122155304550657_4049188449616396288_a.jpg</v>
      </c>
    </row>
    <row r="3139" spans="1:31" ht="15" x14ac:dyDescent="0.25">
      <c r="A3139" t="s">
        <v>2474</v>
      </c>
      <c r="B3139" t="s">
        <v>7107</v>
      </c>
      <c r="C3139" s="221">
        <v>42974.612118055556</v>
      </c>
      <c r="D3139" t="s">
        <v>18422</v>
      </c>
      <c r="E3139" s="249" t="str">
        <f>HYPERLINK("https://www.instagram.com/p/BYTsMaZhUBZ/")</f>
        <v>https://www.instagram.com/p/BYTsMaZhUBZ/</v>
      </c>
      <c r="F3139" t="s">
        <v>18423</v>
      </c>
      <c r="G3139" t="s">
        <v>2478</v>
      </c>
      <c r="H3139">
        <v>764</v>
      </c>
      <c r="I3139" t="s">
        <v>3898</v>
      </c>
      <c r="J3139">
        <v>4</v>
      </c>
      <c r="K3139">
        <v>70</v>
      </c>
      <c r="L3139">
        <v>74</v>
      </c>
      <c r="Q3139">
        <v>0</v>
      </c>
      <c r="R3139">
        <v>0</v>
      </c>
      <c r="S3139">
        <v>74</v>
      </c>
      <c r="T3139" t="s">
        <v>18424</v>
      </c>
      <c r="V3139" t="s">
        <v>2264</v>
      </c>
      <c r="W3139">
        <v>41.418345604659002</v>
      </c>
      <c r="X3139">
        <v>2.1277107741429999</v>
      </c>
      <c r="Y3139" t="s">
        <v>4514</v>
      </c>
      <c r="Z3139" t="s">
        <v>5809</v>
      </c>
      <c r="AA3139" t="s">
        <v>2736</v>
      </c>
      <c r="AB3139" t="s">
        <v>4462</v>
      </c>
      <c r="AC3139" t="s">
        <v>3446</v>
      </c>
      <c r="AD3139" s="249" t="str">
        <f>HYPERLINK("https://scontent.cdninstagram.com/t51.2885-15/s320x320/e35/21107555_871702712988195_8876741066234003456_n.jpg")</f>
        <v>https://scontent.cdninstagram.com/t51.2885-15/s320x320/e35/21107555_871702712988195_8876741066234003456_n.jpg</v>
      </c>
      <c r="AE3139" s="249" t="str">
        <f>HYPERLINK("https://scontent.cdninstagram.com/t51.2885-19/s150x150/20583235_297083527425610_5320242913735606272_a.jpg")</f>
        <v>https://scontent.cdninstagram.com/t51.2885-19/s150x150/20583235_297083527425610_5320242913735606272_a.jpg</v>
      </c>
    </row>
    <row r="3140" spans="1:31" ht="15" x14ac:dyDescent="0.25">
      <c r="A3140" t="s">
        <v>2474</v>
      </c>
      <c r="B3140" t="s">
        <v>3895</v>
      </c>
      <c r="C3140" s="221">
        <v>42974.614386574074</v>
      </c>
      <c r="D3140" t="s">
        <v>18425</v>
      </c>
      <c r="E3140" s="249" t="str">
        <f>HYPERLINK("https://www.instagram.com/p/BYTskXHlr13/")</f>
        <v>https://www.instagram.com/p/BYTskXHlr13/</v>
      </c>
      <c r="F3140" t="s">
        <v>18426</v>
      </c>
      <c r="G3140" t="s">
        <v>2478</v>
      </c>
      <c r="H3140">
        <v>428</v>
      </c>
      <c r="I3140" t="s">
        <v>3898</v>
      </c>
      <c r="J3140">
        <v>1</v>
      </c>
      <c r="K3140">
        <v>54</v>
      </c>
      <c r="L3140">
        <v>55</v>
      </c>
      <c r="Q3140">
        <v>0</v>
      </c>
      <c r="R3140">
        <v>0</v>
      </c>
      <c r="S3140">
        <v>55</v>
      </c>
      <c r="Y3140" t="s">
        <v>18427</v>
      </c>
      <c r="Z3140" t="s">
        <v>2911</v>
      </c>
      <c r="AA3140" t="s">
        <v>3901</v>
      </c>
      <c r="AB3140" t="s">
        <v>10186</v>
      </c>
      <c r="AC3140" t="s">
        <v>16889</v>
      </c>
      <c r="AD3140" s="249" t="str">
        <f>HYPERLINK("https://scontent.cdninstagram.com/t51.2885-15/s320x320/e35/21107206_1457261504359282_12520813215350784_n.jpg")</f>
        <v>https://scontent.cdninstagram.com/t51.2885-15/s320x320/e35/21107206_1457261504359282_12520813215350784_n.jpg</v>
      </c>
      <c r="AE3140" s="249" t="str">
        <f>HYPERLINK("https://scontent.cdninstagram.com/t51.2885-19/s150x150/20902130_1390331654386412_4188068892897181696_a.jpg")</f>
        <v>https://scontent.cdninstagram.com/t51.2885-19/s150x150/20902130_1390331654386412_4188068892897181696_a.jpg</v>
      </c>
    </row>
    <row r="3141" spans="1:31" ht="15" x14ac:dyDescent="0.25">
      <c r="A3141" t="s">
        <v>2474</v>
      </c>
      <c r="B3141" t="s">
        <v>18428</v>
      </c>
      <c r="C3141" s="221">
        <v>42974.621747685182</v>
      </c>
      <c r="D3141" t="s">
        <v>18429</v>
      </c>
      <c r="E3141" s="249" t="str">
        <f>HYPERLINK("https://www.instagram.com/p/BYTtx_Ggo4T/")</f>
        <v>https://www.instagram.com/p/BYTtx_Ggo4T/</v>
      </c>
      <c r="F3141" t="s">
        <v>18430</v>
      </c>
      <c r="G3141" t="s">
        <v>2478</v>
      </c>
      <c r="H3141">
        <v>188</v>
      </c>
      <c r="I3141" t="s">
        <v>2542</v>
      </c>
      <c r="J3141">
        <v>2</v>
      </c>
      <c r="K3141">
        <v>56</v>
      </c>
      <c r="L3141">
        <v>58</v>
      </c>
      <c r="Q3141">
        <v>0</v>
      </c>
      <c r="R3141">
        <v>0</v>
      </c>
      <c r="S3141">
        <v>58</v>
      </c>
      <c r="T3141" t="s">
        <v>18431</v>
      </c>
      <c r="V3141" t="s">
        <v>2161</v>
      </c>
      <c r="W3141">
        <v>49.445524645483999</v>
      </c>
      <c r="X3141">
        <v>11.08231378</v>
      </c>
      <c r="Y3141" t="s">
        <v>18432</v>
      </c>
      <c r="Z3141" t="s">
        <v>18433</v>
      </c>
      <c r="AA3141" t="s">
        <v>2497</v>
      </c>
      <c r="AB3141" t="s">
        <v>18434</v>
      </c>
      <c r="AC3141" t="s">
        <v>18435</v>
      </c>
      <c r="AD3141" s="249" t="str">
        <f>HYPERLINK("https://scontent.cdninstagram.com/t51.2885-15/s320x320/e35/21149681_1543474155716554_5651947919520038912_n.jpg")</f>
        <v>https://scontent.cdninstagram.com/t51.2885-15/s320x320/e35/21149681_1543474155716554_5651947919520038912_n.jpg</v>
      </c>
      <c r="AE3141" s="249" t="str">
        <f>HYPERLINK("https://scontent.cdninstagram.com/t51.2885-19/s150x150/18252699_1830497580536977_8927887417990447104_a.jpg")</f>
        <v>https://scontent.cdninstagram.com/t51.2885-19/s150x150/18252699_1830497580536977_8927887417990447104_a.jpg</v>
      </c>
    </row>
    <row r="3142" spans="1:31" ht="15" x14ac:dyDescent="0.25">
      <c r="A3142" t="s">
        <v>2474</v>
      </c>
      <c r="B3142" t="s">
        <v>18436</v>
      </c>
      <c r="C3142" s="221">
        <v>42974.624421296299</v>
      </c>
      <c r="D3142" t="s">
        <v>18437</v>
      </c>
      <c r="E3142" s="249" t="str">
        <f>HYPERLINK("https://www.instagram.com/p/BYTuOKXgC7l/")</f>
        <v>https://www.instagram.com/p/BYTuOKXgC7l/</v>
      </c>
      <c r="F3142" t="s">
        <v>18438</v>
      </c>
      <c r="G3142" t="s">
        <v>2478</v>
      </c>
      <c r="H3142">
        <v>240</v>
      </c>
      <c r="I3142" t="s">
        <v>2479</v>
      </c>
      <c r="J3142">
        <v>0</v>
      </c>
      <c r="K3142">
        <v>8</v>
      </c>
      <c r="L3142">
        <v>8</v>
      </c>
      <c r="Q3142">
        <v>0</v>
      </c>
      <c r="R3142">
        <v>0</v>
      </c>
      <c r="S3142">
        <v>8</v>
      </c>
      <c r="Y3142" t="s">
        <v>18439</v>
      </c>
      <c r="Z3142" t="s">
        <v>18440</v>
      </c>
      <c r="AA3142" t="s">
        <v>2704</v>
      </c>
      <c r="AB3142" t="s">
        <v>18441</v>
      </c>
      <c r="AC3142" t="s">
        <v>18442</v>
      </c>
      <c r="AD3142" s="249" t="str">
        <f>HYPERLINK("https://scontent.cdninstagram.com/t51.2885-15/s320x320/e35/21107955_117172058945887_173261454621802496_n.jpg")</f>
        <v>https://scontent.cdninstagram.com/t51.2885-15/s320x320/e35/21107955_117172058945887_173261454621802496_n.jpg</v>
      </c>
      <c r="AE3142" s="249" t="str">
        <f>HYPERLINK("https://scontent.cdninstagram.com/t51.2885-19/s150x150/21042169_1748837388755841_9177104849550966784_a.jpg")</f>
        <v>https://scontent.cdninstagram.com/t51.2885-19/s150x150/21042169_1748837388755841_9177104849550966784_a.jpg</v>
      </c>
    </row>
    <row r="3143" spans="1:31" ht="15" x14ac:dyDescent="0.25">
      <c r="A3143" t="s">
        <v>2474</v>
      </c>
      <c r="B3143" t="s">
        <v>5773</v>
      </c>
      <c r="C3143" s="221">
        <v>42974.630115740743</v>
      </c>
      <c r="D3143" t="s">
        <v>18443</v>
      </c>
      <c r="E3143" s="249" t="str">
        <f>HYPERLINK("https://www.instagram.com/p/BYTvKPMFAxy/")</f>
        <v>https://www.instagram.com/p/BYTvKPMFAxy/</v>
      </c>
      <c r="F3143" t="s">
        <v>18444</v>
      </c>
      <c r="G3143" t="s">
        <v>2631</v>
      </c>
      <c r="H3143">
        <v>834</v>
      </c>
      <c r="I3143" t="s">
        <v>2479</v>
      </c>
      <c r="J3143">
        <v>0</v>
      </c>
      <c r="K3143">
        <v>47</v>
      </c>
      <c r="L3143">
        <v>47</v>
      </c>
      <c r="Q3143">
        <v>0</v>
      </c>
      <c r="R3143">
        <v>0</v>
      </c>
      <c r="S3143">
        <v>47</v>
      </c>
      <c r="Y3143" t="s">
        <v>18445</v>
      </c>
      <c r="Z3143" t="s">
        <v>2968</v>
      </c>
      <c r="AA3143" t="s">
        <v>18446</v>
      </c>
      <c r="AB3143" t="s">
        <v>2718</v>
      </c>
      <c r="AC3143" t="s">
        <v>2492</v>
      </c>
      <c r="AD3143" s="249" t="str">
        <f>HYPERLINK("https://scontent.cdninstagram.com/t51.2885-15/s320x320/e35/21042126_261645894342675_3339582581560573952_n.jpg")</f>
        <v>https://scontent.cdninstagram.com/t51.2885-15/s320x320/e35/21042126_261645894342675_3339582581560573952_n.jpg</v>
      </c>
      <c r="AE3143" s="249" t="str">
        <f>HYPERLINK("https://scontent.cdninstagram.com/t51.2885-19/10838625_357924367702733_1358700153_a.jpg")</f>
        <v>https://scontent.cdninstagram.com/t51.2885-19/10838625_357924367702733_1358700153_a.jpg</v>
      </c>
    </row>
    <row r="3144" spans="1:31" ht="15" x14ac:dyDescent="0.25">
      <c r="A3144" t="s">
        <v>2474</v>
      </c>
      <c r="B3144" t="s">
        <v>17158</v>
      </c>
      <c r="C3144" s="221">
        <v>42974.631099537037</v>
      </c>
      <c r="D3144" t="s">
        <v>18447</v>
      </c>
      <c r="E3144" s="249" t="str">
        <f>HYPERLINK("https://www.instagram.com/p/BYTvUlVHvv2/")</f>
        <v>https://www.instagram.com/p/BYTvUlVHvv2/</v>
      </c>
      <c r="F3144" t="s">
        <v>18448</v>
      </c>
      <c r="G3144" t="s">
        <v>2478</v>
      </c>
      <c r="H3144">
        <v>373</v>
      </c>
      <c r="I3144" t="s">
        <v>2479</v>
      </c>
      <c r="J3144">
        <v>2</v>
      </c>
      <c r="K3144">
        <v>48</v>
      </c>
      <c r="L3144">
        <v>50</v>
      </c>
      <c r="Q3144">
        <v>0</v>
      </c>
      <c r="R3144">
        <v>0</v>
      </c>
      <c r="S3144">
        <v>50</v>
      </c>
      <c r="Y3144" t="s">
        <v>18286</v>
      </c>
      <c r="Z3144" t="s">
        <v>2641</v>
      </c>
      <c r="AA3144" t="s">
        <v>18449</v>
      </c>
      <c r="AB3144" t="s">
        <v>3534</v>
      </c>
      <c r="AC3144" t="s">
        <v>18450</v>
      </c>
      <c r="AD3144" s="249" t="str">
        <f>HYPERLINK("https://scontent.cdninstagram.com/t51.2885-15/s320x320/e35/21147737_1409877959049531_983337894905118720_n.jpg")</f>
        <v>https://scontent.cdninstagram.com/t51.2885-15/s320x320/e35/21147737_1409877959049531_983337894905118720_n.jpg</v>
      </c>
      <c r="AE3144" s="249" t="str">
        <f>HYPERLINK("https://scontent.cdninstagram.com/t51.2885-19/s150x150/13658639_315931348749567_46952542_a.jpg")</f>
        <v>https://scontent.cdninstagram.com/t51.2885-19/s150x150/13658639_315931348749567_46952542_a.jpg</v>
      </c>
    </row>
    <row r="3145" spans="1:31" ht="15" x14ac:dyDescent="0.25">
      <c r="A3145" t="s">
        <v>2474</v>
      </c>
      <c r="B3145" t="s">
        <v>18451</v>
      </c>
      <c r="C3145" s="221">
        <v>42974.638159722221</v>
      </c>
      <c r="D3145" t="s">
        <v>18452</v>
      </c>
      <c r="E3145" s="249" t="str">
        <f>HYPERLINK("https://www.instagram.com/p/BYTwfE9Fjcf/")</f>
        <v>https://www.instagram.com/p/BYTwfE9Fjcf/</v>
      </c>
      <c r="F3145" t="s">
        <v>18453</v>
      </c>
      <c r="G3145" t="s">
        <v>2478</v>
      </c>
      <c r="H3145">
        <v>173</v>
      </c>
      <c r="I3145" t="s">
        <v>2479</v>
      </c>
      <c r="J3145">
        <v>0</v>
      </c>
      <c r="K3145">
        <v>0</v>
      </c>
      <c r="L3145">
        <v>0</v>
      </c>
      <c r="Q3145">
        <v>0</v>
      </c>
      <c r="R3145">
        <v>0</v>
      </c>
      <c r="S3145">
        <v>0</v>
      </c>
      <c r="Y3145" t="s">
        <v>9850</v>
      </c>
      <c r="Z3145" t="s">
        <v>18454</v>
      </c>
      <c r="AA3145" t="s">
        <v>11041</v>
      </c>
      <c r="AB3145" t="s">
        <v>2696</v>
      </c>
      <c r="AC3145" t="s">
        <v>18455</v>
      </c>
      <c r="AD3145" s="249" t="str">
        <f>HYPERLINK("https://scontent.cdninstagram.com/t51.2885-15/s320x320/e35/c236.0.607.607/21149147_292287554512249_534541132760088576_n.jpg")</f>
        <v>https://scontent.cdninstagram.com/t51.2885-15/s320x320/e35/c236.0.607.607/21149147_292287554512249_534541132760088576_n.jpg</v>
      </c>
      <c r="AE3145" s="249" t="str">
        <f>HYPERLINK("https://scontent.cdninstagram.com/t51.2885-19/s150x150/17075909_1829338470617367_7402049223220264960_a.jpg")</f>
        <v>https://scontent.cdninstagram.com/t51.2885-19/s150x150/17075909_1829338470617367_7402049223220264960_a.jpg</v>
      </c>
    </row>
    <row r="3146" spans="1:31" ht="15" x14ac:dyDescent="0.25">
      <c r="A3146" t="s">
        <v>2474</v>
      </c>
      <c r="B3146" t="s">
        <v>11420</v>
      </c>
      <c r="C3146" s="221">
        <v>42974.63858796296</v>
      </c>
      <c r="D3146" t="s">
        <v>18456</v>
      </c>
      <c r="E3146" s="249" t="str">
        <f>HYPERLINK("https://www.instagram.com/p/BYTwjmRH4MY/")</f>
        <v>https://www.instagram.com/p/BYTwjmRH4MY/</v>
      </c>
      <c r="F3146" t="s">
        <v>18457</v>
      </c>
      <c r="G3146" t="s">
        <v>2478</v>
      </c>
      <c r="H3146">
        <v>513</v>
      </c>
      <c r="I3146" t="s">
        <v>2479</v>
      </c>
      <c r="J3146">
        <v>8</v>
      </c>
      <c r="K3146">
        <v>51</v>
      </c>
      <c r="L3146">
        <v>59</v>
      </c>
      <c r="Q3146">
        <v>0</v>
      </c>
      <c r="R3146">
        <v>0</v>
      </c>
      <c r="S3146">
        <v>59</v>
      </c>
      <c r="Y3146" t="s">
        <v>3829</v>
      </c>
      <c r="Z3146" t="s">
        <v>18458</v>
      </c>
      <c r="AA3146" t="s">
        <v>18459</v>
      </c>
      <c r="AB3146" t="s">
        <v>18460</v>
      </c>
      <c r="AC3146" t="s">
        <v>2497</v>
      </c>
      <c r="AD3146" s="249" t="str">
        <f>HYPERLINK("https://scontent.cdninstagram.com/t51.2885-15/s320x320/e35/21149062_803718823138622_3393891261902487552_n.jpg")</f>
        <v>https://scontent.cdninstagram.com/t51.2885-15/s320x320/e35/21149062_803718823138622_3393891261902487552_n.jpg</v>
      </c>
      <c r="AE3146" s="249" t="str">
        <f>HYPERLINK("https://scontent.cdninstagram.com/t51.2885-19/s150x150/21296440_1727830490845792_7830944386815885312_a.jpg")</f>
        <v>https://scontent.cdninstagram.com/t51.2885-19/s150x150/21296440_1727830490845792_7830944386815885312_a.jpg</v>
      </c>
    </row>
    <row r="3147" spans="1:31" ht="15" x14ac:dyDescent="0.25">
      <c r="A3147" t="s">
        <v>2474</v>
      </c>
      <c r="B3147" t="s">
        <v>18451</v>
      </c>
      <c r="C3147" s="221">
        <v>42974.640347222223</v>
      </c>
      <c r="D3147" t="s">
        <v>18461</v>
      </c>
      <c r="E3147" s="249" t="str">
        <f>HYPERLINK("https://www.instagram.com/p/BYTw2Ndljzs/")</f>
        <v>https://www.instagram.com/p/BYTw2Ndljzs/</v>
      </c>
      <c r="F3147" t="s">
        <v>18462</v>
      </c>
      <c r="G3147" t="s">
        <v>2478</v>
      </c>
      <c r="H3147">
        <v>175</v>
      </c>
      <c r="I3147" t="s">
        <v>2479</v>
      </c>
      <c r="J3147">
        <v>2</v>
      </c>
      <c r="K3147">
        <v>40</v>
      </c>
      <c r="L3147">
        <v>42</v>
      </c>
      <c r="Q3147">
        <v>0</v>
      </c>
      <c r="R3147">
        <v>0</v>
      </c>
      <c r="S3147">
        <v>42</v>
      </c>
      <c r="Y3147" t="s">
        <v>2497</v>
      </c>
      <c r="Z3147" t="s">
        <v>18463</v>
      </c>
      <c r="AA3147" t="s">
        <v>18454</v>
      </c>
      <c r="AB3147" t="s">
        <v>18455</v>
      </c>
      <c r="AC3147" t="s">
        <v>2696</v>
      </c>
      <c r="AD3147" s="249" t="str">
        <f>HYPERLINK("https://scontent.cdninstagram.com/t51.2885-15/s320x320/e35/21042518_241659736357253_5262262263988879360_n.jpg")</f>
        <v>https://scontent.cdninstagram.com/t51.2885-15/s320x320/e35/21042518_241659736357253_5262262263988879360_n.jpg</v>
      </c>
      <c r="AE3147" s="249" t="str">
        <f>HYPERLINK("https://scontent.cdninstagram.com/t51.2885-19/s150x150/17075909_1829338470617367_7402049223220264960_a.jpg")</f>
        <v>https://scontent.cdninstagram.com/t51.2885-19/s150x150/17075909_1829338470617367_7402049223220264960_a.jpg</v>
      </c>
    </row>
    <row r="3148" spans="1:31" ht="15" x14ac:dyDescent="0.25">
      <c r="A3148" t="s">
        <v>2474</v>
      </c>
      <c r="B3148" t="s">
        <v>18464</v>
      </c>
      <c r="C3148" s="221">
        <v>42974.647650462961</v>
      </c>
      <c r="D3148" t="s">
        <v>18465</v>
      </c>
      <c r="E3148" s="249" t="str">
        <f>HYPERLINK("https://www.instagram.com/p/BYTyDIahSiY/")</f>
        <v>https://www.instagram.com/p/BYTyDIahSiY/</v>
      </c>
      <c r="F3148" t="s">
        <v>18466</v>
      </c>
      <c r="G3148" t="s">
        <v>2478</v>
      </c>
      <c r="H3148">
        <v>430</v>
      </c>
      <c r="I3148" t="s">
        <v>2896</v>
      </c>
      <c r="J3148">
        <v>2</v>
      </c>
      <c r="K3148">
        <v>39</v>
      </c>
      <c r="L3148">
        <v>41</v>
      </c>
      <c r="Q3148">
        <v>0</v>
      </c>
      <c r="R3148">
        <v>0</v>
      </c>
      <c r="S3148">
        <v>41</v>
      </c>
      <c r="T3148" t="s">
        <v>18467</v>
      </c>
      <c r="V3148" t="s">
        <v>2182</v>
      </c>
      <c r="W3148">
        <v>41.004660976262002</v>
      </c>
      <c r="X3148">
        <v>14.327442960143999</v>
      </c>
      <c r="Y3148" t="s">
        <v>18468</v>
      </c>
      <c r="Z3148" t="s">
        <v>18469</v>
      </c>
      <c r="AA3148" t="s">
        <v>18470</v>
      </c>
      <c r="AB3148" t="s">
        <v>18471</v>
      </c>
      <c r="AC3148" t="s">
        <v>18472</v>
      </c>
      <c r="AD3148" s="249" t="str">
        <f>HYPERLINK("https://scontent.cdninstagram.com/t51.2885-15/e35/p320x320/21148010_745140505672188_2026223767612555264_n.jpg")</f>
        <v>https://scontent.cdninstagram.com/t51.2885-15/e35/p320x320/21148010_745140505672188_2026223767612555264_n.jpg</v>
      </c>
      <c r="AE3148" s="249" t="str">
        <f>HYPERLINK("https://scontent.cdninstagram.com/t51.2885-19/s150x150/21149442_452937938440010_2397687968555859968_a.jpg")</f>
        <v>https://scontent.cdninstagram.com/t51.2885-19/s150x150/21149442_452937938440010_2397687968555859968_a.jpg</v>
      </c>
    </row>
    <row r="3149" spans="1:31" ht="15" x14ac:dyDescent="0.25">
      <c r="A3149" t="s">
        <v>2474</v>
      </c>
      <c r="B3149" t="s">
        <v>3754</v>
      </c>
      <c r="C3149" s="221">
        <v>42974.648611111108</v>
      </c>
      <c r="D3149" t="s">
        <v>18473</v>
      </c>
      <c r="E3149" s="249" t="str">
        <f>HYPERLINK("https://www.instagram.com/p/BYTyNSyDEu-/")</f>
        <v>https://www.instagram.com/p/BYTyNSyDEu-/</v>
      </c>
      <c r="F3149" t="s">
        <v>7206</v>
      </c>
      <c r="G3149" t="s">
        <v>2478</v>
      </c>
      <c r="H3149">
        <v>201444</v>
      </c>
      <c r="I3149" t="s">
        <v>2479</v>
      </c>
      <c r="J3149">
        <v>0</v>
      </c>
      <c r="K3149">
        <v>236</v>
      </c>
      <c r="L3149">
        <v>236</v>
      </c>
      <c r="Q3149">
        <v>0</v>
      </c>
      <c r="R3149">
        <v>0</v>
      </c>
      <c r="S3149">
        <v>236</v>
      </c>
      <c r="Y3149" t="s">
        <v>3754</v>
      </c>
      <c r="Z3149" t="s">
        <v>13341</v>
      </c>
      <c r="AA3149" t="s">
        <v>6243</v>
      </c>
      <c r="AB3149" t="s">
        <v>4561</v>
      </c>
      <c r="AC3149" t="s">
        <v>2575</v>
      </c>
      <c r="AD3149" s="249" t="str">
        <f>HYPERLINK("https://scontent.cdninstagram.com/t51.2885-15/e35/p320x320/21147228_1409671132463298_8500997690589446144_n.jpg")</f>
        <v>https://scontent.cdninstagram.com/t51.2885-15/e35/p320x320/21147228_1409671132463298_8500997690589446144_n.jpg</v>
      </c>
      <c r="AE3149" s="249" t="str">
        <f>HYPERLINK("https://scontent.cdninstagram.com/t51.2885-19/s150x150/12905002_1681254462136092_1137392787_a.jpg")</f>
        <v>https://scontent.cdninstagram.com/t51.2885-19/s150x150/12905002_1681254462136092_1137392787_a.jpg</v>
      </c>
    </row>
    <row r="3150" spans="1:31" ht="15" x14ac:dyDescent="0.25">
      <c r="A3150" t="s">
        <v>2474</v>
      </c>
      <c r="B3150" t="s">
        <v>3754</v>
      </c>
      <c r="C3150" s="221">
        <v>42974.649085648147</v>
      </c>
      <c r="D3150" t="s">
        <v>18474</v>
      </c>
      <c r="E3150" s="249" t="str">
        <f>HYPERLINK("https://www.instagram.com/p/BYTySX-jm5k/")</f>
        <v>https://www.instagram.com/p/BYTySX-jm5k/</v>
      </c>
      <c r="F3150" t="s">
        <v>7206</v>
      </c>
      <c r="G3150" t="s">
        <v>2478</v>
      </c>
      <c r="H3150">
        <v>201444</v>
      </c>
      <c r="I3150" t="s">
        <v>2479</v>
      </c>
      <c r="J3150">
        <v>0</v>
      </c>
      <c r="K3150">
        <v>219</v>
      </c>
      <c r="L3150">
        <v>219</v>
      </c>
      <c r="Q3150">
        <v>0</v>
      </c>
      <c r="R3150">
        <v>0</v>
      </c>
      <c r="S3150">
        <v>219</v>
      </c>
      <c r="Y3150" t="s">
        <v>3754</v>
      </c>
      <c r="Z3150" t="s">
        <v>13341</v>
      </c>
      <c r="AA3150" t="s">
        <v>6243</v>
      </c>
      <c r="AB3150" t="s">
        <v>4561</v>
      </c>
      <c r="AC3150" t="s">
        <v>2575</v>
      </c>
      <c r="AD3150" s="249" t="str">
        <f>HYPERLINK("https://scontent.cdninstagram.com/t51.2885-15/s320x320/e35/21042378_1010903502346050_697747759704309760_n.jpg")</f>
        <v>https://scontent.cdninstagram.com/t51.2885-15/s320x320/e35/21042378_1010903502346050_697747759704309760_n.jpg</v>
      </c>
      <c r="AE3150" s="249" t="str">
        <f>HYPERLINK("https://scontent.cdninstagram.com/t51.2885-19/s150x150/12905002_1681254462136092_1137392787_a.jpg")</f>
        <v>https://scontent.cdninstagram.com/t51.2885-19/s150x150/12905002_1681254462136092_1137392787_a.jpg</v>
      </c>
    </row>
    <row r="3151" spans="1:31" ht="15" x14ac:dyDescent="0.25">
      <c r="A3151" t="s">
        <v>2474</v>
      </c>
      <c r="B3151" t="s">
        <v>3754</v>
      </c>
      <c r="C3151" s="221">
        <v>42974.650289351855</v>
      </c>
      <c r="D3151" t="s">
        <v>18475</v>
      </c>
      <c r="E3151" s="249" t="str">
        <f>HYPERLINK("https://www.instagram.com/p/BYTyfDcjeQs/")</f>
        <v>https://www.instagram.com/p/BYTyfDcjeQs/</v>
      </c>
      <c r="F3151" t="s">
        <v>7206</v>
      </c>
      <c r="G3151" t="s">
        <v>2478</v>
      </c>
      <c r="H3151">
        <v>201444</v>
      </c>
      <c r="I3151" t="s">
        <v>2479</v>
      </c>
      <c r="J3151">
        <v>0</v>
      </c>
      <c r="K3151">
        <v>105</v>
      </c>
      <c r="L3151">
        <v>105</v>
      </c>
      <c r="Q3151">
        <v>0</v>
      </c>
      <c r="R3151">
        <v>0</v>
      </c>
      <c r="S3151">
        <v>105</v>
      </c>
      <c r="Y3151" t="s">
        <v>3754</v>
      </c>
      <c r="Z3151" t="s">
        <v>13341</v>
      </c>
      <c r="AA3151" t="s">
        <v>6243</v>
      </c>
      <c r="AB3151" t="s">
        <v>4561</v>
      </c>
      <c r="AC3151" t="s">
        <v>2575</v>
      </c>
      <c r="AD3151" s="249" t="str">
        <f>HYPERLINK("https://scontent.cdninstagram.com/t51.2885-15/s320x320/e35/21042223_1459215524191613_6808598568136343552_n.jpg")</f>
        <v>https://scontent.cdninstagram.com/t51.2885-15/s320x320/e35/21042223_1459215524191613_6808598568136343552_n.jpg</v>
      </c>
      <c r="AE3151" s="249" t="str">
        <f>HYPERLINK("https://scontent.cdninstagram.com/t51.2885-19/s150x150/12905002_1681254462136092_1137392787_a.jpg")</f>
        <v>https://scontent.cdninstagram.com/t51.2885-19/s150x150/12905002_1681254462136092_1137392787_a.jpg</v>
      </c>
    </row>
    <row r="3152" spans="1:31" ht="15" x14ac:dyDescent="0.25">
      <c r="A3152" t="s">
        <v>2474</v>
      </c>
      <c r="B3152" t="s">
        <v>18476</v>
      </c>
      <c r="C3152" s="221">
        <v>42974.652939814812</v>
      </c>
      <c r="D3152" t="s">
        <v>18477</v>
      </c>
      <c r="E3152" s="249" t="str">
        <f>HYPERLINK("https://www.instagram.com/p/BYTy68DDcBf/")</f>
        <v>https://www.instagram.com/p/BYTy68DDcBf/</v>
      </c>
      <c r="F3152" t="s">
        <v>18478</v>
      </c>
      <c r="G3152" t="s">
        <v>2478</v>
      </c>
      <c r="H3152">
        <v>117</v>
      </c>
      <c r="I3152" t="s">
        <v>2542</v>
      </c>
      <c r="J3152">
        <v>2</v>
      </c>
      <c r="K3152">
        <v>23</v>
      </c>
      <c r="L3152">
        <v>25</v>
      </c>
      <c r="Q3152">
        <v>0</v>
      </c>
      <c r="R3152">
        <v>0</v>
      </c>
      <c r="S3152">
        <v>25</v>
      </c>
      <c r="Y3152" t="s">
        <v>11305</v>
      </c>
      <c r="Z3152" t="s">
        <v>18479</v>
      </c>
      <c r="AA3152" t="s">
        <v>18480</v>
      </c>
      <c r="AB3152" t="s">
        <v>18481</v>
      </c>
      <c r="AC3152" t="s">
        <v>2753</v>
      </c>
      <c r="AD3152" s="249" t="str">
        <f>HYPERLINK("https://scontent.cdninstagram.com/t51.2885-15/s320x320/e35/21147753_1902809316711494_3558987914975117312_n.jpg")</f>
        <v>https://scontent.cdninstagram.com/t51.2885-15/s320x320/e35/21147753_1902809316711494_3558987914975117312_n.jpg</v>
      </c>
      <c r="AE3152" s="249" t="str">
        <f>HYPERLINK("https://scontent.cdninstagram.com/t51.2885-19/s150x150/18809329_250786508733912_1905837732681220096_a.jpg")</f>
        <v>https://scontent.cdninstagram.com/t51.2885-19/s150x150/18809329_250786508733912_1905837732681220096_a.jpg</v>
      </c>
    </row>
    <row r="3153" spans="1:31" ht="15" x14ac:dyDescent="0.25">
      <c r="A3153" t="s">
        <v>2474</v>
      </c>
      <c r="B3153" t="s">
        <v>18482</v>
      </c>
      <c r="C3153" s="221">
        <v>42974.662453703706</v>
      </c>
      <c r="D3153" t="s">
        <v>18483</v>
      </c>
      <c r="E3153" s="249" t="str">
        <f>HYPERLINK("https://www.instagram.com/p/BYT0fSpBEB2/")</f>
        <v>https://www.instagram.com/p/BYT0fSpBEB2/</v>
      </c>
      <c r="F3153" t="s">
        <v>18484</v>
      </c>
      <c r="G3153" t="s">
        <v>2478</v>
      </c>
      <c r="H3153">
        <v>56</v>
      </c>
      <c r="I3153" t="s">
        <v>2479</v>
      </c>
      <c r="J3153">
        <v>0</v>
      </c>
      <c r="K3153">
        <v>3</v>
      </c>
      <c r="L3153">
        <v>3</v>
      </c>
      <c r="Q3153">
        <v>0</v>
      </c>
      <c r="R3153">
        <v>0</v>
      </c>
      <c r="S3153">
        <v>3</v>
      </c>
      <c r="T3153" t="s">
        <v>18485</v>
      </c>
      <c r="U3153" t="s">
        <v>99</v>
      </c>
      <c r="V3153" t="s">
        <v>2299</v>
      </c>
      <c r="W3153">
        <v>40.752277999999997</v>
      </c>
      <c r="X3153">
        <v>-74.002042000000003</v>
      </c>
      <c r="Y3153" t="s">
        <v>2497</v>
      </c>
      <c r="Z3153" t="s">
        <v>6898</v>
      </c>
      <c r="AA3153" t="s">
        <v>18486</v>
      </c>
      <c r="AB3153" t="s">
        <v>10127</v>
      </c>
      <c r="AD3153" s="249" t="str">
        <f>HYPERLINK("https://scontent.cdninstagram.com/t51.2885-15/s320x320/e35/21108011_1594739003934081_8408983277607583744_n.jpg")</f>
        <v>https://scontent.cdninstagram.com/t51.2885-15/s320x320/e35/21108011_1594739003934081_8408983277607583744_n.jpg</v>
      </c>
      <c r="AE3153" s="249" t="str">
        <f>HYPERLINK("https://scontent.cdninstagram.com/t51.2885-19/s150x150/15876399_1669101600049047_5310275733455634432_n.jpg")</f>
        <v>https://scontent.cdninstagram.com/t51.2885-19/s150x150/15876399_1669101600049047_5310275733455634432_n.jpg</v>
      </c>
    </row>
    <row r="3154" spans="1:31" ht="15" x14ac:dyDescent="0.25">
      <c r="A3154" t="s">
        <v>2474</v>
      </c>
      <c r="B3154" t="s">
        <v>18487</v>
      </c>
      <c r="C3154" s="221">
        <v>42974.663298611114</v>
      </c>
      <c r="D3154" t="s">
        <v>18488</v>
      </c>
      <c r="E3154" s="249" t="str">
        <f>HYPERLINK("https://www.instagram.com/p/BYT0oPylgSP/")</f>
        <v>https://www.instagram.com/p/BYT0oPylgSP/</v>
      </c>
      <c r="F3154" t="s">
        <v>18489</v>
      </c>
      <c r="G3154" t="s">
        <v>2478</v>
      </c>
      <c r="H3154">
        <v>278</v>
      </c>
      <c r="I3154" t="s">
        <v>2542</v>
      </c>
      <c r="J3154">
        <v>0</v>
      </c>
      <c r="K3154">
        <v>33</v>
      </c>
      <c r="L3154">
        <v>33</v>
      </c>
      <c r="Q3154">
        <v>0</v>
      </c>
      <c r="R3154">
        <v>0</v>
      </c>
      <c r="S3154">
        <v>33</v>
      </c>
      <c r="T3154" t="s">
        <v>18490</v>
      </c>
      <c r="V3154" t="s">
        <v>2222</v>
      </c>
      <c r="W3154">
        <v>52.373100000000001</v>
      </c>
      <c r="X3154">
        <v>4.8921999999999999</v>
      </c>
      <c r="Y3154" t="s">
        <v>2497</v>
      </c>
      <c r="Z3154" t="s">
        <v>18491</v>
      </c>
      <c r="AD3154" s="249" t="str">
        <f>HYPERLINK("https://scontent.cdninstagram.com/t51.2885-15/s320x320/e35/21147275_355552234869761_8457093379543531520_n.jpg")</f>
        <v>https://scontent.cdninstagram.com/t51.2885-15/s320x320/e35/21147275_355552234869761_8457093379543531520_n.jpg</v>
      </c>
      <c r="AE3154" s="249" t="str">
        <f>HYPERLINK("https://scontent.cdninstagram.com/t51.2885-19/s150x150/20969051_1967645843510099_1071698540553568256_a.jpg")</f>
        <v>https://scontent.cdninstagram.com/t51.2885-19/s150x150/20969051_1967645843510099_1071698540553568256_a.jpg</v>
      </c>
    </row>
    <row r="3155" spans="1:31" ht="15" x14ac:dyDescent="0.25">
      <c r="A3155" t="s">
        <v>2474</v>
      </c>
      <c r="B3155" t="s">
        <v>18492</v>
      </c>
      <c r="C3155" s="221">
        <v>42974.664953703701</v>
      </c>
      <c r="D3155" t="s">
        <v>18493</v>
      </c>
      <c r="E3155" s="249" t="str">
        <f>HYPERLINK("https://www.instagram.com/p/BYT05rUgpnJ/")</f>
        <v>https://www.instagram.com/p/BYT05rUgpnJ/</v>
      </c>
      <c r="F3155" t="s">
        <v>18494</v>
      </c>
      <c r="G3155" t="s">
        <v>2478</v>
      </c>
      <c r="H3155">
        <v>580</v>
      </c>
      <c r="I3155" t="s">
        <v>2479</v>
      </c>
      <c r="J3155">
        <v>3</v>
      </c>
      <c r="K3155">
        <v>24</v>
      </c>
      <c r="L3155">
        <v>27</v>
      </c>
      <c r="Q3155">
        <v>0</v>
      </c>
      <c r="R3155">
        <v>0</v>
      </c>
      <c r="S3155">
        <v>27</v>
      </c>
      <c r="Y3155" t="s">
        <v>2497</v>
      </c>
      <c r="Z3155" t="s">
        <v>13641</v>
      </c>
      <c r="AA3155" t="s">
        <v>5567</v>
      </c>
      <c r="AB3155" t="s">
        <v>18495</v>
      </c>
      <c r="AC3155" t="s">
        <v>18496</v>
      </c>
      <c r="AD3155" s="249" t="str">
        <f>HYPERLINK("https://scontent.cdninstagram.com/t51.2885-15/s320x320/e35/21041424_163431494232860_7512124136890564608_n.jpg")</f>
        <v>https://scontent.cdninstagram.com/t51.2885-15/s320x320/e35/21041424_163431494232860_7512124136890564608_n.jpg</v>
      </c>
      <c r="AE3155" s="249" t="str">
        <f>HYPERLINK("https://scontent.cdninstagram.com/t51.2885-19/s150x150/18812307_777955655699184_1726870744719163392_n.jpg")</f>
        <v>https://scontent.cdninstagram.com/t51.2885-19/s150x150/18812307_777955655699184_1726870744719163392_n.jpg</v>
      </c>
    </row>
    <row r="3156" spans="1:31" ht="15" x14ac:dyDescent="0.25">
      <c r="A3156" t="s">
        <v>2474</v>
      </c>
      <c r="B3156" t="s">
        <v>18497</v>
      </c>
      <c r="C3156" s="221">
        <v>42974.665254629632</v>
      </c>
      <c r="D3156" t="s">
        <v>18498</v>
      </c>
      <c r="E3156" s="249" t="str">
        <f>HYPERLINK("https://www.instagram.com/p/BYT08zpD2qN/")</f>
        <v>https://www.instagram.com/p/BYT08zpD2qN/</v>
      </c>
      <c r="F3156" t="s">
        <v>18499</v>
      </c>
      <c r="G3156" t="s">
        <v>2631</v>
      </c>
      <c r="H3156">
        <v>127</v>
      </c>
      <c r="I3156" t="s">
        <v>2479</v>
      </c>
      <c r="J3156">
        <v>0</v>
      </c>
      <c r="K3156">
        <v>17</v>
      </c>
      <c r="L3156">
        <v>17</v>
      </c>
      <c r="Q3156">
        <v>0</v>
      </c>
      <c r="R3156">
        <v>0</v>
      </c>
      <c r="S3156">
        <v>17</v>
      </c>
      <c r="Y3156" t="s">
        <v>18500</v>
      </c>
      <c r="Z3156" t="s">
        <v>18501</v>
      </c>
      <c r="AA3156" t="s">
        <v>18502</v>
      </c>
      <c r="AB3156" t="s">
        <v>18503</v>
      </c>
      <c r="AC3156" t="s">
        <v>18504</v>
      </c>
      <c r="AD3156" s="249" t="str">
        <f>HYPERLINK("https://scontent.cdninstagram.com/t51.2885-15/s320x320/e15/20214511_215881458942725_1400924263581483008_n.jpg")</f>
        <v>https://scontent.cdninstagram.com/t51.2885-15/s320x320/e15/20214511_215881458942725_1400924263581483008_n.jpg</v>
      </c>
      <c r="AE3156" s="249" t="str">
        <f>HYPERLINK("https://scontent.cdninstagram.com/t51.2885-19/s150x150/21224629_513289845683210_3069882317821444096_a.jpg")</f>
        <v>https://scontent.cdninstagram.com/t51.2885-19/s150x150/21224629_513289845683210_3069882317821444096_a.jpg</v>
      </c>
    </row>
    <row r="3157" spans="1:31" ht="15" x14ac:dyDescent="0.25">
      <c r="A3157" t="s">
        <v>2474</v>
      </c>
      <c r="B3157" t="s">
        <v>18505</v>
      </c>
      <c r="C3157" s="221">
        <v>42974.670740740738</v>
      </c>
      <c r="D3157" t="s">
        <v>18506</v>
      </c>
      <c r="E3157" s="249" t="str">
        <f>HYPERLINK("https://www.instagram.com/p/BYT12ulgjbV/")</f>
        <v>https://www.instagram.com/p/BYT12ulgjbV/</v>
      </c>
      <c r="F3157" t="s">
        <v>18507</v>
      </c>
      <c r="G3157" t="s">
        <v>2478</v>
      </c>
      <c r="H3157">
        <v>678</v>
      </c>
      <c r="I3157" t="s">
        <v>2479</v>
      </c>
      <c r="J3157">
        <v>0</v>
      </c>
      <c r="K3157">
        <v>143</v>
      </c>
      <c r="L3157">
        <v>143</v>
      </c>
      <c r="Q3157">
        <v>0</v>
      </c>
      <c r="R3157">
        <v>0</v>
      </c>
      <c r="S3157">
        <v>143</v>
      </c>
      <c r="Y3157" t="s">
        <v>2497</v>
      </c>
      <c r="Z3157" t="s">
        <v>18508</v>
      </c>
      <c r="AA3157" t="s">
        <v>18509</v>
      </c>
      <c r="AB3157" t="s">
        <v>4879</v>
      </c>
      <c r="AD3157" s="249" t="str">
        <f>HYPERLINK("https://scontent.cdninstagram.com/t51.2885-15/s320x320/e35/21149107_1955573597994804_4696438453460533248_n.jpg")</f>
        <v>https://scontent.cdninstagram.com/t51.2885-15/s320x320/e35/21149107_1955573597994804_4696438453460533248_n.jpg</v>
      </c>
      <c r="AE3157" s="249" t="str">
        <f>HYPERLINK("https://scontent.cdninstagram.com/t51.2885-19/s150x150/15802907_1834992046724518_5949675499155357696_a.jpg")</f>
        <v>https://scontent.cdninstagram.com/t51.2885-19/s150x150/15802907_1834992046724518_5949675499155357696_a.jpg</v>
      </c>
    </row>
    <row r="3158" spans="1:31" ht="15" x14ac:dyDescent="0.25">
      <c r="A3158" t="s">
        <v>2474</v>
      </c>
      <c r="B3158" t="s">
        <v>11701</v>
      </c>
      <c r="C3158" s="221">
        <v>42974.681932870371</v>
      </c>
      <c r="D3158" t="s">
        <v>18510</v>
      </c>
      <c r="E3158" s="249" t="str">
        <f>HYPERLINK("https://www.instagram.com/p/BYT3sx4BnWV/")</f>
        <v>https://www.instagram.com/p/BYT3sx4BnWV/</v>
      </c>
      <c r="F3158" t="s">
        <v>18511</v>
      </c>
      <c r="G3158" t="s">
        <v>2478</v>
      </c>
      <c r="H3158">
        <v>143</v>
      </c>
      <c r="I3158" t="s">
        <v>4052</v>
      </c>
      <c r="J3158">
        <v>8</v>
      </c>
      <c r="K3158">
        <v>57</v>
      </c>
      <c r="L3158">
        <v>65</v>
      </c>
      <c r="Q3158">
        <v>0</v>
      </c>
      <c r="R3158">
        <v>0</v>
      </c>
      <c r="S3158">
        <v>65</v>
      </c>
      <c r="Y3158" t="s">
        <v>2497</v>
      </c>
      <c r="Z3158" t="s">
        <v>18512</v>
      </c>
      <c r="AA3158" t="s">
        <v>2730</v>
      </c>
      <c r="AB3158" t="s">
        <v>4779</v>
      </c>
      <c r="AC3158" t="s">
        <v>2827</v>
      </c>
      <c r="AD3158" s="249" t="str">
        <f>HYPERLINK("https://scontent.cdninstagram.com/t51.2885-15/e35/p320x320/21042709_622807778107761_8334566483803766784_n.jpg")</f>
        <v>https://scontent.cdninstagram.com/t51.2885-15/e35/p320x320/21042709_622807778107761_8334566483803766784_n.jpg</v>
      </c>
      <c r="AE3158" s="249" t="str">
        <f>HYPERLINK("https://scontent.cdninstagram.com/t51.2885-19/s150x150/19367936_225770051267575_1281579693794918400_a.jpg")</f>
        <v>https://scontent.cdninstagram.com/t51.2885-19/s150x150/19367936_225770051267575_1281579693794918400_a.jpg</v>
      </c>
    </row>
    <row r="3159" spans="1:31" ht="15" x14ac:dyDescent="0.25">
      <c r="A3159" t="s">
        <v>2474</v>
      </c>
      <c r="B3159" t="s">
        <v>18513</v>
      </c>
      <c r="C3159" s="221">
        <v>42974.688090277778</v>
      </c>
      <c r="D3159" t="s">
        <v>18514</v>
      </c>
      <c r="E3159" s="249" t="str">
        <f>HYPERLINK("https://www.instagram.com/p/BYT4ts5FERB/")</f>
        <v>https://www.instagram.com/p/BYT4ts5FERB/</v>
      </c>
      <c r="F3159" t="s">
        <v>18515</v>
      </c>
      <c r="G3159" t="s">
        <v>2478</v>
      </c>
      <c r="H3159">
        <v>360</v>
      </c>
      <c r="I3159" t="s">
        <v>2479</v>
      </c>
      <c r="J3159">
        <v>1</v>
      </c>
      <c r="K3159">
        <v>8</v>
      </c>
      <c r="L3159">
        <v>9</v>
      </c>
      <c r="Q3159">
        <v>0</v>
      </c>
      <c r="R3159">
        <v>0</v>
      </c>
      <c r="S3159">
        <v>9</v>
      </c>
      <c r="Y3159" t="s">
        <v>2497</v>
      </c>
      <c r="Z3159" t="s">
        <v>6865</v>
      </c>
      <c r="AA3159" t="s">
        <v>12071</v>
      </c>
      <c r="AB3159" t="s">
        <v>14507</v>
      </c>
      <c r="AC3159" t="s">
        <v>5924</v>
      </c>
      <c r="AD3159" s="249" t="str">
        <f>HYPERLINK("https://scontent.cdninstagram.com/t51.2885-15/s320x320/e35/21107241_126131814696632_7375325296754425856_n.jpg")</f>
        <v>https://scontent.cdninstagram.com/t51.2885-15/s320x320/e35/21107241_126131814696632_7375325296754425856_n.jpg</v>
      </c>
      <c r="AE3159" s="249" t="str">
        <f>HYPERLINK("https://scontent.cdninstagram.com/t51.2885-19/s150x150/18808865_316774788762717_2919981499560230912_a.jpg")</f>
        <v>https://scontent.cdninstagram.com/t51.2885-19/s150x150/18808865_316774788762717_2919981499560230912_a.jpg</v>
      </c>
    </row>
    <row r="3160" spans="1:31" ht="15" x14ac:dyDescent="0.25">
      <c r="A3160" t="s">
        <v>2474</v>
      </c>
      <c r="B3160" t="s">
        <v>18516</v>
      </c>
      <c r="C3160" s="221">
        <v>42974.694467592592</v>
      </c>
      <c r="D3160" t="s">
        <v>18517</v>
      </c>
      <c r="E3160" s="249" t="str">
        <f>HYPERLINK("https://www.instagram.com/p/BYT5w7_HdIW/")</f>
        <v>https://www.instagram.com/p/BYT5w7_HdIW/</v>
      </c>
      <c r="F3160" t="s">
        <v>18518</v>
      </c>
      <c r="G3160" t="s">
        <v>2478</v>
      </c>
      <c r="H3160">
        <v>8</v>
      </c>
      <c r="I3160" t="s">
        <v>2510</v>
      </c>
      <c r="J3160">
        <v>0</v>
      </c>
      <c r="K3160">
        <v>1</v>
      </c>
      <c r="L3160">
        <v>1</v>
      </c>
      <c r="Q3160">
        <v>0</v>
      </c>
      <c r="R3160">
        <v>0</v>
      </c>
      <c r="S3160">
        <v>1</v>
      </c>
      <c r="Y3160" t="s">
        <v>2497</v>
      </c>
      <c r="Z3160" t="s">
        <v>18519</v>
      </c>
      <c r="AA3160" t="s">
        <v>3174</v>
      </c>
      <c r="AD3160" s="249" t="str">
        <f>HYPERLINK("https://scontent.cdninstagram.com/t51.2885-15/e35/p320x320/21107368_1911669972429872_9031099785670557696_n.jpg")</f>
        <v>https://scontent.cdninstagram.com/t51.2885-15/e35/p320x320/21107368_1911669972429872_9031099785670557696_n.jpg</v>
      </c>
      <c r="AE3160" s="249" t="str">
        <f>HYPERLINK("https://scontent.cdninstagram.com/t51.2885-19/s150x150/20184864_1839042783052833_5980997179521630208_n.jpg")</f>
        <v>https://scontent.cdninstagram.com/t51.2885-19/s150x150/20184864_1839042783052833_5980997179521630208_n.jpg</v>
      </c>
    </row>
    <row r="3161" spans="1:31" ht="15" x14ac:dyDescent="0.25">
      <c r="A3161" t="s">
        <v>2474</v>
      </c>
      <c r="B3161" t="s">
        <v>18520</v>
      </c>
      <c r="C3161" s="221">
        <v>42974.697118055556</v>
      </c>
      <c r="D3161" t="s">
        <v>18521</v>
      </c>
      <c r="E3161" s="249" t="str">
        <f>HYPERLINK("https://www.instagram.com/p/BYT6M5thcqr/")</f>
        <v>https://www.instagram.com/p/BYT6M5thcqr/</v>
      </c>
      <c r="F3161" t="s">
        <v>18522</v>
      </c>
      <c r="G3161" t="s">
        <v>2478</v>
      </c>
      <c r="H3161">
        <v>929</v>
      </c>
      <c r="I3161" t="s">
        <v>2479</v>
      </c>
      <c r="J3161">
        <v>4</v>
      </c>
      <c r="K3161">
        <v>99</v>
      </c>
      <c r="L3161">
        <v>103</v>
      </c>
      <c r="Q3161">
        <v>0</v>
      </c>
      <c r="R3161">
        <v>0</v>
      </c>
      <c r="S3161">
        <v>103</v>
      </c>
      <c r="T3161" t="s">
        <v>18523</v>
      </c>
      <c r="V3161" t="s">
        <v>2648</v>
      </c>
      <c r="W3161">
        <v>55.747520000000002</v>
      </c>
      <c r="X3161">
        <v>37.581200000000003</v>
      </c>
      <c r="Y3161" t="s">
        <v>2497</v>
      </c>
      <c r="Z3161" t="s">
        <v>18524</v>
      </c>
      <c r="AA3161" t="s">
        <v>18525</v>
      </c>
      <c r="AB3161" t="s">
        <v>2667</v>
      </c>
      <c r="AC3161" t="s">
        <v>18526</v>
      </c>
      <c r="AD3161" s="249" t="str">
        <f>HYPERLINK("https://scontent.cdninstagram.com/t51.2885-15/e35/p320x320/21042232_1751646381799392_8197964052522074112_n.jpg")</f>
        <v>https://scontent.cdninstagram.com/t51.2885-15/e35/p320x320/21042232_1751646381799392_8197964052522074112_n.jpg</v>
      </c>
      <c r="AE3161" s="249" t="str">
        <f>HYPERLINK("https://scontent.cdninstagram.com/t51.2885-19/11820534_945209305540878_685284459_a.jpg")</f>
        <v>https://scontent.cdninstagram.com/t51.2885-19/11820534_945209305540878_685284459_a.jpg</v>
      </c>
    </row>
    <row r="3162" spans="1:31" ht="15" x14ac:dyDescent="0.25">
      <c r="A3162" t="s">
        <v>2474</v>
      </c>
      <c r="B3162" t="s">
        <v>18527</v>
      </c>
      <c r="C3162" s="221">
        <v>42974.704108796293</v>
      </c>
      <c r="D3162" t="s">
        <v>18528</v>
      </c>
      <c r="E3162" s="249" t="str">
        <f>HYPERLINK("https://www.instagram.com/p/BYT7WncgzZH/")</f>
        <v>https://www.instagram.com/p/BYT7WncgzZH/</v>
      </c>
      <c r="F3162" t="s">
        <v>18529</v>
      </c>
      <c r="G3162" t="s">
        <v>2478</v>
      </c>
      <c r="H3162">
        <v>259</v>
      </c>
      <c r="I3162" t="s">
        <v>2479</v>
      </c>
      <c r="J3162">
        <v>0</v>
      </c>
      <c r="K3162">
        <v>23</v>
      </c>
      <c r="L3162">
        <v>23</v>
      </c>
      <c r="Q3162">
        <v>0</v>
      </c>
      <c r="R3162">
        <v>0</v>
      </c>
      <c r="S3162">
        <v>23</v>
      </c>
      <c r="Y3162" t="s">
        <v>2497</v>
      </c>
      <c r="Z3162" t="s">
        <v>9309</v>
      </c>
      <c r="AA3162" t="s">
        <v>18530</v>
      </c>
      <c r="AB3162" t="s">
        <v>18531</v>
      </c>
      <c r="AC3162" t="s">
        <v>2667</v>
      </c>
      <c r="AD3162" s="249" t="str">
        <f>HYPERLINK("https://scontent.cdninstagram.com/t51.2885-15/s320x320/e35/21107269_126350564673106_2355932816195190784_n.jpg")</f>
        <v>https://scontent.cdninstagram.com/t51.2885-15/s320x320/e35/21107269_126350564673106_2355932816195190784_n.jpg</v>
      </c>
      <c r="AE3162" s="249" t="str">
        <f>HYPERLINK("https://scontent.cdninstagram.com/t51.2885-19/s150x150/19932324_294779614328310_9205992812468764672_a.jpg")</f>
        <v>https://scontent.cdninstagram.com/t51.2885-19/s150x150/19932324_294779614328310_9205992812468764672_a.jpg</v>
      </c>
    </row>
    <row r="3163" spans="1:31" ht="15" x14ac:dyDescent="0.25">
      <c r="A3163" t="s">
        <v>2474</v>
      </c>
      <c r="B3163" t="s">
        <v>18532</v>
      </c>
      <c r="C3163" s="221">
        <v>42974.704606481479</v>
      </c>
      <c r="D3163" t="s">
        <v>18533</v>
      </c>
      <c r="E3163" s="249" t="str">
        <f>HYPERLINK("https://www.instagram.com/p/BYT7b7pgNc3/")</f>
        <v>https://www.instagram.com/p/BYT7b7pgNc3/</v>
      </c>
      <c r="F3163" t="s">
        <v>18534</v>
      </c>
      <c r="G3163" t="s">
        <v>2478</v>
      </c>
      <c r="H3163">
        <v>4</v>
      </c>
      <c r="I3163" t="s">
        <v>2542</v>
      </c>
      <c r="J3163">
        <v>0</v>
      </c>
      <c r="K3163">
        <v>1</v>
      </c>
      <c r="L3163">
        <v>1</v>
      </c>
      <c r="Q3163">
        <v>0</v>
      </c>
      <c r="R3163">
        <v>0</v>
      </c>
      <c r="S3163">
        <v>1</v>
      </c>
      <c r="T3163" t="s">
        <v>5066</v>
      </c>
      <c r="V3163" t="s">
        <v>2154</v>
      </c>
      <c r="W3163">
        <v>48.856699999999996</v>
      </c>
      <c r="X3163">
        <v>2.3508</v>
      </c>
      <c r="Y3163" t="s">
        <v>2497</v>
      </c>
      <c r="Z3163" t="s">
        <v>2696</v>
      </c>
      <c r="AA3163" t="s">
        <v>18535</v>
      </c>
      <c r="AB3163" t="s">
        <v>4194</v>
      </c>
      <c r="AC3163" t="s">
        <v>18536</v>
      </c>
      <c r="AD3163" s="249" t="str">
        <f>HYPERLINK("https://scontent.cdninstagram.com/t51.2885-15/s320x320/e35/21042724_719946051522353_3714069232594452480_n.jpg")</f>
        <v>https://scontent.cdninstagram.com/t51.2885-15/s320x320/e35/21042724_719946051522353_3714069232594452480_n.jpg</v>
      </c>
      <c r="AE3163" s="249" t="str">
        <f>HYPERLINK("https://scontent.cdninstagram.com/t51.2885-19/s150x150/20904898_113188489340683_843854429626040320_n.jpg")</f>
        <v>https://scontent.cdninstagram.com/t51.2885-19/s150x150/20904898_113188489340683_843854429626040320_n.jpg</v>
      </c>
    </row>
    <row r="3164" spans="1:31" ht="15" x14ac:dyDescent="0.25">
      <c r="A3164" t="s">
        <v>2474</v>
      </c>
      <c r="B3164" t="s">
        <v>18537</v>
      </c>
      <c r="C3164" s="221">
        <v>42974.728518518517</v>
      </c>
      <c r="D3164" t="s">
        <v>18538</v>
      </c>
      <c r="E3164" s="249" t="str">
        <f>HYPERLINK("https://www.instagram.com/p/BYT_YImhwod/")</f>
        <v>https://www.instagram.com/p/BYT_YImhwod/</v>
      </c>
      <c r="F3164" t="s">
        <v>18539</v>
      </c>
      <c r="G3164" t="s">
        <v>2478</v>
      </c>
      <c r="H3164">
        <v>408</v>
      </c>
      <c r="I3164" t="s">
        <v>2479</v>
      </c>
      <c r="J3164">
        <v>2</v>
      </c>
      <c r="K3164">
        <v>16</v>
      </c>
      <c r="L3164">
        <v>18</v>
      </c>
      <c r="Q3164">
        <v>0</v>
      </c>
      <c r="R3164">
        <v>0</v>
      </c>
      <c r="S3164">
        <v>18</v>
      </c>
      <c r="Y3164" t="s">
        <v>2497</v>
      </c>
      <c r="Z3164" t="s">
        <v>18540</v>
      </c>
      <c r="AD3164" s="249" t="str">
        <f>HYPERLINK("https://scontent.cdninstagram.com/t51.2885-15/s320x320/e35/21147845_359353044485250_5372374316241387520_n.jpg")</f>
        <v>https://scontent.cdninstagram.com/t51.2885-15/s320x320/e35/21147845_359353044485250_5372374316241387520_n.jpg</v>
      </c>
      <c r="AE3164" s="249" t="str">
        <f>HYPERLINK("https://scontent.cdninstagram.com/t51.2885-19/s150x150/12362358_1003183846405566_947465375_a.jpg")</f>
        <v>https://scontent.cdninstagram.com/t51.2885-19/s150x150/12362358_1003183846405566_947465375_a.jpg</v>
      </c>
    </row>
    <row r="3165" spans="1:31" ht="15" x14ac:dyDescent="0.25">
      <c r="A3165" t="s">
        <v>2474</v>
      </c>
      <c r="B3165" t="s">
        <v>2516</v>
      </c>
      <c r="C3165" s="221">
        <v>42974.729814814818</v>
      </c>
      <c r="D3165" t="s">
        <v>18541</v>
      </c>
      <c r="E3165" s="249" t="str">
        <f>HYPERLINK("https://www.instagram.com/p/BYT_lxQjYXD/")</f>
        <v>https://www.instagram.com/p/BYT_lxQjYXD/</v>
      </c>
      <c r="F3165" t="s">
        <v>18542</v>
      </c>
      <c r="G3165" t="s">
        <v>2478</v>
      </c>
      <c r="H3165">
        <v>689</v>
      </c>
      <c r="I3165" t="s">
        <v>2479</v>
      </c>
      <c r="J3165">
        <v>0</v>
      </c>
      <c r="K3165">
        <v>8</v>
      </c>
      <c r="L3165">
        <v>8</v>
      </c>
      <c r="Q3165">
        <v>0</v>
      </c>
      <c r="R3165">
        <v>0</v>
      </c>
      <c r="S3165">
        <v>8</v>
      </c>
      <c r="Y3165" t="s">
        <v>2497</v>
      </c>
      <c r="Z3165" t="s">
        <v>2696</v>
      </c>
      <c r="AA3165" t="s">
        <v>18543</v>
      </c>
      <c r="AB3165" t="s">
        <v>18544</v>
      </c>
      <c r="AC3165" t="s">
        <v>18545</v>
      </c>
      <c r="AD3165" s="249" t="str">
        <f>HYPERLINK("https://scontent.cdninstagram.com/t51.2885-15/s320x320/e35/21107696_350085328745875_7549277025635139584_n.jpg")</f>
        <v>https://scontent.cdninstagram.com/t51.2885-15/s320x320/e35/21107696_350085328745875_7549277025635139584_n.jpg</v>
      </c>
      <c r="AE3165" s="249" t="str">
        <f>HYPERLINK("https://scontent.cdninstagram.com/t51.2885-19/s150x150/19955124_1311741785589715_3896736407896457216_a.jpg")</f>
        <v>https://scontent.cdninstagram.com/t51.2885-19/s150x150/19955124_1311741785589715_3896736407896457216_a.jpg</v>
      </c>
    </row>
    <row r="3166" spans="1:31" ht="15" x14ac:dyDescent="0.25">
      <c r="A3166" t="s">
        <v>2474</v>
      </c>
      <c r="B3166" t="s">
        <v>18546</v>
      </c>
      <c r="C3166" s="221">
        <v>42974.730185185188</v>
      </c>
      <c r="D3166" t="s">
        <v>18547</v>
      </c>
      <c r="E3166" s="249" t="str">
        <f>HYPERLINK("https://www.instagram.com/p/BYT_ppXBLfi/")</f>
        <v>https://www.instagram.com/p/BYT_ppXBLfi/</v>
      </c>
      <c r="F3166" t="s">
        <v>18548</v>
      </c>
      <c r="G3166" t="s">
        <v>2478</v>
      </c>
      <c r="H3166">
        <v>410</v>
      </c>
      <c r="I3166" t="s">
        <v>5670</v>
      </c>
      <c r="J3166">
        <v>0</v>
      </c>
      <c r="K3166">
        <v>16</v>
      </c>
      <c r="L3166">
        <v>16</v>
      </c>
      <c r="Q3166">
        <v>0</v>
      </c>
      <c r="R3166">
        <v>0</v>
      </c>
      <c r="S3166">
        <v>16</v>
      </c>
      <c r="Y3166" t="s">
        <v>2497</v>
      </c>
      <c r="Z3166" t="s">
        <v>3262</v>
      </c>
      <c r="AA3166" t="s">
        <v>18549</v>
      </c>
      <c r="AB3166" t="s">
        <v>18550</v>
      </c>
      <c r="AC3166" t="s">
        <v>18551</v>
      </c>
      <c r="AD3166" s="249" t="str">
        <f>HYPERLINK("https://scontent.cdninstagram.com/t51.2885-15/s320x320/e35/21147776_1323188867810909_7358540916748976128_n.jpg")</f>
        <v>https://scontent.cdninstagram.com/t51.2885-15/s320x320/e35/21147776_1323188867810909_7358540916748976128_n.jpg</v>
      </c>
      <c r="AE3166" s="249" t="str">
        <f>HYPERLINK("https://scontent.cdninstagram.com/t51.2885-19/s150x150/14474403_214039179005396_465409283329097728_a.jpg")</f>
        <v>https://scontent.cdninstagram.com/t51.2885-19/s150x150/14474403_214039179005396_465409283329097728_a.jpg</v>
      </c>
    </row>
    <row r="3167" spans="1:31" ht="15" x14ac:dyDescent="0.25">
      <c r="A3167" t="s">
        <v>2474</v>
      </c>
      <c r="B3167" t="s">
        <v>4535</v>
      </c>
      <c r="C3167" s="221">
        <v>42974.737187500003</v>
      </c>
      <c r="D3167" t="s">
        <v>18552</v>
      </c>
      <c r="E3167" s="249" t="str">
        <f>HYPERLINK("https://www.instagram.com/p/BYUAziIFh9Y/")</f>
        <v>https://www.instagram.com/p/BYUAziIFh9Y/</v>
      </c>
      <c r="F3167" t="s">
        <v>18553</v>
      </c>
      <c r="G3167" t="s">
        <v>2631</v>
      </c>
      <c r="H3167">
        <v>175</v>
      </c>
      <c r="I3167" t="s">
        <v>2479</v>
      </c>
      <c r="J3167">
        <v>2</v>
      </c>
      <c r="K3167">
        <v>24</v>
      </c>
      <c r="L3167">
        <v>26</v>
      </c>
      <c r="Q3167">
        <v>0</v>
      </c>
      <c r="R3167">
        <v>0</v>
      </c>
      <c r="S3167">
        <v>26</v>
      </c>
      <c r="Y3167" t="s">
        <v>5604</v>
      </c>
      <c r="Z3167" t="s">
        <v>2497</v>
      </c>
      <c r="AA3167" t="s">
        <v>10673</v>
      </c>
      <c r="AB3167" t="s">
        <v>10684</v>
      </c>
      <c r="AC3167" t="s">
        <v>13436</v>
      </c>
      <c r="AD3167" s="249" t="str">
        <f>HYPERLINK("https://scontent.cdninstagram.com/t51.2885-15/s320x320/e35/21107135_1289495854511883_3961819761024696320_n.jpg")</f>
        <v>https://scontent.cdninstagram.com/t51.2885-15/s320x320/e35/21107135_1289495854511883_3961819761024696320_n.jpg</v>
      </c>
      <c r="AE3167" s="249" t="str">
        <f>HYPERLINK("https://scontent.cdninstagram.com/t51.2885-19/s150x150/20399028_1624608414236560_533007696291430400_a.jpg")</f>
        <v>https://scontent.cdninstagram.com/t51.2885-19/s150x150/20399028_1624608414236560_533007696291430400_a.jpg</v>
      </c>
    </row>
    <row r="3168" spans="1:31" ht="15" x14ac:dyDescent="0.25">
      <c r="A3168" t="s">
        <v>2474</v>
      </c>
      <c r="B3168" t="s">
        <v>18554</v>
      </c>
      <c r="C3168" s="221">
        <v>42974.747511574074</v>
      </c>
      <c r="D3168" t="s">
        <v>18555</v>
      </c>
      <c r="E3168" s="249" t="str">
        <f>HYPERLINK("https://www.instagram.com/p/BYUCga_Fcff/")</f>
        <v>https://www.instagram.com/p/BYUCga_Fcff/</v>
      </c>
      <c r="F3168" t="s">
        <v>18556</v>
      </c>
      <c r="G3168" t="s">
        <v>2478</v>
      </c>
      <c r="H3168">
        <v>480</v>
      </c>
      <c r="I3168" t="s">
        <v>2479</v>
      </c>
      <c r="J3168">
        <v>0</v>
      </c>
      <c r="K3168">
        <v>14</v>
      </c>
      <c r="L3168">
        <v>14</v>
      </c>
      <c r="Q3168">
        <v>0</v>
      </c>
      <c r="R3168">
        <v>0</v>
      </c>
      <c r="S3168">
        <v>14</v>
      </c>
      <c r="Y3168" t="s">
        <v>2497</v>
      </c>
      <c r="Z3168" t="s">
        <v>18557</v>
      </c>
      <c r="AA3168" t="s">
        <v>4427</v>
      </c>
      <c r="AB3168" t="s">
        <v>3225</v>
      </c>
      <c r="AC3168" t="s">
        <v>4042</v>
      </c>
      <c r="AD3168" s="249" t="str">
        <f>HYPERLINK("https://scontent.cdninstagram.com/t51.2885-15/s320x320/e35/21042745_749827655222000_1532925453449297920_n.jpg")</f>
        <v>https://scontent.cdninstagram.com/t51.2885-15/s320x320/e35/21042745_749827655222000_1532925453449297920_n.jpg</v>
      </c>
      <c r="AE3168" s="249" t="str">
        <f>HYPERLINK("https://scontent.cdninstagram.com/t51.2885-19/s150x150/21294922_167297480508428_2793187858754568192_a.jpg")</f>
        <v>https://scontent.cdninstagram.com/t51.2885-19/s150x150/21294922_167297480508428_2793187858754568192_a.jpg</v>
      </c>
    </row>
    <row r="3169" spans="1:31" ht="15" x14ac:dyDescent="0.25">
      <c r="A3169" t="s">
        <v>2474</v>
      </c>
      <c r="B3169" t="s">
        <v>3754</v>
      </c>
      <c r="C3169" s="221">
        <v>42974.748217592591</v>
      </c>
      <c r="D3169" t="s">
        <v>18558</v>
      </c>
      <c r="E3169" s="249" t="str">
        <f>HYPERLINK("https://www.instagram.com/p/BYUCn43DRb9/")</f>
        <v>https://www.instagram.com/p/BYUCn43DRb9/</v>
      </c>
      <c r="F3169" t="s">
        <v>7206</v>
      </c>
      <c r="G3169" t="s">
        <v>2478</v>
      </c>
      <c r="H3169">
        <v>201437</v>
      </c>
      <c r="I3169" t="s">
        <v>2479</v>
      </c>
      <c r="J3169">
        <v>0</v>
      </c>
      <c r="K3169">
        <v>116</v>
      </c>
      <c r="L3169">
        <v>116</v>
      </c>
      <c r="Q3169">
        <v>0</v>
      </c>
      <c r="R3169">
        <v>0</v>
      </c>
      <c r="S3169">
        <v>116</v>
      </c>
      <c r="Y3169" t="s">
        <v>2497</v>
      </c>
      <c r="Z3169" t="s">
        <v>5197</v>
      </c>
      <c r="AA3169" t="s">
        <v>4233</v>
      </c>
      <c r="AB3169" t="s">
        <v>10199</v>
      </c>
      <c r="AC3169" t="s">
        <v>4802</v>
      </c>
      <c r="AD3169" s="249" t="str">
        <f>HYPERLINK("https://scontent.cdninstagram.com/t51.2885-15/s320x320/e35/21147833_830580140432370_4578742107438579712_n.jpg")</f>
        <v>https://scontent.cdninstagram.com/t51.2885-15/s320x320/e35/21147833_830580140432370_4578742107438579712_n.jpg</v>
      </c>
      <c r="AE3169" s="249" t="str">
        <f>HYPERLINK("https://scontent.cdninstagram.com/t51.2885-19/s150x150/12905002_1681254462136092_1137392787_a.jpg")</f>
        <v>https://scontent.cdninstagram.com/t51.2885-19/s150x150/12905002_1681254462136092_1137392787_a.jpg</v>
      </c>
    </row>
    <row r="3170" spans="1:31" ht="15" x14ac:dyDescent="0.25">
      <c r="A3170" t="s">
        <v>2474</v>
      </c>
      <c r="B3170" t="s">
        <v>18559</v>
      </c>
      <c r="C3170" s="221">
        <v>42974.751296296294</v>
      </c>
      <c r="D3170" t="s">
        <v>18560</v>
      </c>
      <c r="E3170" s="249" t="str">
        <f>HYPERLINK("https://www.instagram.com/p/BYUDIX0ABUn/")</f>
        <v>https://www.instagram.com/p/BYUDIX0ABUn/</v>
      </c>
      <c r="F3170" t="s">
        <v>18561</v>
      </c>
      <c r="G3170" t="s">
        <v>2478</v>
      </c>
      <c r="H3170">
        <v>1033</v>
      </c>
      <c r="I3170" t="s">
        <v>2479</v>
      </c>
      <c r="J3170">
        <v>2</v>
      </c>
      <c r="K3170">
        <v>45</v>
      </c>
      <c r="L3170">
        <v>47</v>
      </c>
      <c r="Q3170">
        <v>0</v>
      </c>
      <c r="R3170">
        <v>0</v>
      </c>
      <c r="S3170">
        <v>47</v>
      </c>
      <c r="Y3170" t="s">
        <v>2615</v>
      </c>
      <c r="Z3170" t="s">
        <v>18562</v>
      </c>
      <c r="AA3170" t="s">
        <v>13641</v>
      </c>
      <c r="AB3170" t="s">
        <v>18563</v>
      </c>
      <c r="AC3170" t="s">
        <v>2497</v>
      </c>
      <c r="AD3170" s="249" t="str">
        <f>HYPERLINK("https://scontent.cdninstagram.com/t51.2885-15/s320x320/e35/21107698_113012646052038_3018770725235326976_n.jpg")</f>
        <v>https://scontent.cdninstagram.com/t51.2885-15/s320x320/e35/21107698_113012646052038_3018770725235326976_n.jpg</v>
      </c>
      <c r="AE3170" s="249" t="str">
        <f>HYPERLINK("https://scontent.cdninstagram.com/t51.2885-19/s150x150/16585009_567320186809795_8199562832623173632_a.jpg")</f>
        <v>https://scontent.cdninstagram.com/t51.2885-19/s150x150/16585009_567320186809795_8199562832623173632_a.jpg</v>
      </c>
    </row>
    <row r="3171" spans="1:31" ht="15" x14ac:dyDescent="0.25">
      <c r="A3171" t="s">
        <v>2474</v>
      </c>
      <c r="B3171" t="s">
        <v>18564</v>
      </c>
      <c r="C3171" s="221">
        <v>42974.755960648145</v>
      </c>
      <c r="D3171" t="s">
        <v>18565</v>
      </c>
      <c r="E3171" s="249" t="str">
        <f>HYPERLINK("https://www.instagram.com/p/BYUD5iVDH5V/")</f>
        <v>https://www.instagram.com/p/BYUD5iVDH5V/</v>
      </c>
      <c r="F3171" t="s">
        <v>18566</v>
      </c>
      <c r="G3171" t="s">
        <v>2478</v>
      </c>
      <c r="H3171">
        <v>481</v>
      </c>
      <c r="I3171" t="s">
        <v>2479</v>
      </c>
      <c r="J3171">
        <v>0</v>
      </c>
      <c r="K3171">
        <v>24</v>
      </c>
      <c r="L3171">
        <v>24</v>
      </c>
      <c r="Q3171">
        <v>0</v>
      </c>
      <c r="R3171">
        <v>0</v>
      </c>
      <c r="S3171">
        <v>24</v>
      </c>
      <c r="Y3171" t="s">
        <v>2497</v>
      </c>
      <c r="Z3171" t="s">
        <v>2696</v>
      </c>
      <c r="AA3171" t="s">
        <v>18567</v>
      </c>
      <c r="AB3171" t="s">
        <v>6594</v>
      </c>
      <c r="AC3171" t="s">
        <v>11658</v>
      </c>
      <c r="AD3171" s="249" t="str">
        <f>HYPERLINK("https://scontent.cdninstagram.com/t51.2885-15/s320x320/e35/21042313_471064749924351_2843262796559286272_n.jpg")</f>
        <v>https://scontent.cdninstagram.com/t51.2885-15/s320x320/e35/21042313_471064749924351_2843262796559286272_n.jpg</v>
      </c>
      <c r="AE3171" s="249" t="str">
        <f>HYPERLINK("https://scontent.cdninstagram.com/t51.2885-19/s150x150/21107697_219043795293737_6317409933318946816_a.jpg")</f>
        <v>https://scontent.cdninstagram.com/t51.2885-19/s150x150/21107697_219043795293737_6317409933318946816_a.jpg</v>
      </c>
    </row>
    <row r="3172" spans="1:31" ht="15" x14ac:dyDescent="0.25">
      <c r="A3172" t="s">
        <v>2474</v>
      </c>
      <c r="B3172" t="s">
        <v>17086</v>
      </c>
      <c r="C3172" s="221">
        <v>42974.760474537034</v>
      </c>
      <c r="D3172" t="s">
        <v>18568</v>
      </c>
      <c r="E3172" s="249" t="str">
        <f>HYPERLINK("https://www.instagram.com/p/BYUEpE1j2Wm/")</f>
        <v>https://www.instagram.com/p/BYUEpE1j2Wm/</v>
      </c>
      <c r="F3172" t="s">
        <v>18569</v>
      </c>
      <c r="G3172" t="s">
        <v>2478</v>
      </c>
      <c r="H3172">
        <v>58</v>
      </c>
      <c r="I3172" t="s">
        <v>2479</v>
      </c>
      <c r="J3172">
        <v>1</v>
      </c>
      <c r="K3172">
        <v>11</v>
      </c>
      <c r="L3172">
        <v>12</v>
      </c>
      <c r="Q3172">
        <v>0</v>
      </c>
      <c r="R3172">
        <v>0</v>
      </c>
      <c r="S3172">
        <v>12</v>
      </c>
      <c r="Y3172" t="s">
        <v>2497</v>
      </c>
      <c r="Z3172" t="s">
        <v>17806</v>
      </c>
      <c r="AA3172" t="s">
        <v>10135</v>
      </c>
      <c r="AB3172" t="s">
        <v>2696</v>
      </c>
      <c r="AC3172" t="s">
        <v>2730</v>
      </c>
      <c r="AD3172" s="249" t="str">
        <f>HYPERLINK("https://scontent.cdninstagram.com/t51.2885-15/s320x320/e35/21147601_1648570738546202_3307785757552279552_n.jpg")</f>
        <v>https://scontent.cdninstagram.com/t51.2885-15/s320x320/e35/21147601_1648570738546202_3307785757552279552_n.jpg</v>
      </c>
      <c r="AE3172" s="249" t="str">
        <f>HYPERLINK("https://scontent.cdninstagram.com/t51.2885-19/s150x150/20213819_1623489541008643_6054573310786666496_a.jpg")</f>
        <v>https://scontent.cdninstagram.com/t51.2885-19/s150x150/20213819_1623489541008643_6054573310786666496_a.jpg</v>
      </c>
    </row>
    <row r="3173" spans="1:31" ht="15" x14ac:dyDescent="0.25">
      <c r="A3173" t="s">
        <v>2474</v>
      </c>
      <c r="B3173" t="s">
        <v>2516</v>
      </c>
      <c r="C3173" s="221">
        <v>42974.76703703704</v>
      </c>
      <c r="D3173" t="s">
        <v>18570</v>
      </c>
      <c r="E3173" s="249" t="str">
        <f>HYPERLINK("https://www.instagram.com/p/BYUFuYgjzcO/")</f>
        <v>https://www.instagram.com/p/BYUFuYgjzcO/</v>
      </c>
      <c r="F3173" t="s">
        <v>18571</v>
      </c>
      <c r="G3173" t="s">
        <v>2478</v>
      </c>
      <c r="H3173">
        <v>690</v>
      </c>
      <c r="I3173" t="s">
        <v>2479</v>
      </c>
      <c r="J3173">
        <v>0</v>
      </c>
      <c r="K3173">
        <v>9</v>
      </c>
      <c r="L3173">
        <v>9</v>
      </c>
      <c r="Q3173">
        <v>0</v>
      </c>
      <c r="R3173">
        <v>0</v>
      </c>
      <c r="S3173">
        <v>9</v>
      </c>
      <c r="Y3173" t="s">
        <v>4462</v>
      </c>
      <c r="Z3173" t="s">
        <v>2497</v>
      </c>
      <c r="AA3173" t="s">
        <v>18545</v>
      </c>
      <c r="AB3173" t="s">
        <v>4310</v>
      </c>
      <c r="AC3173" t="s">
        <v>18572</v>
      </c>
      <c r="AD3173" s="249" t="str">
        <f>HYPERLINK("https://scontent.cdninstagram.com/t51.2885-15/s320x320/e35/21042578_1937000759895699_6644942893771390976_n.jpg")</f>
        <v>https://scontent.cdninstagram.com/t51.2885-15/s320x320/e35/21042578_1937000759895699_6644942893771390976_n.jpg</v>
      </c>
      <c r="AE3173" s="249" t="str">
        <f>HYPERLINK("https://scontent.cdninstagram.com/t51.2885-19/s150x150/19955124_1311741785589715_3896736407896457216_a.jpg")</f>
        <v>https://scontent.cdninstagram.com/t51.2885-19/s150x150/19955124_1311741785589715_3896736407896457216_a.jpg</v>
      </c>
    </row>
    <row r="3174" spans="1:31" ht="15" x14ac:dyDescent="0.25">
      <c r="A3174" t="s">
        <v>2474</v>
      </c>
      <c r="B3174" t="s">
        <v>18573</v>
      </c>
      <c r="C3174" s="221">
        <v>42974.771886574075</v>
      </c>
      <c r="D3174" t="s">
        <v>18574</v>
      </c>
      <c r="E3174" s="249" t="str">
        <f>HYPERLINK("https://www.instagram.com/p/BYUGhjSBgrM/")</f>
        <v>https://www.instagram.com/p/BYUGhjSBgrM/</v>
      </c>
      <c r="F3174" t="s">
        <v>18575</v>
      </c>
      <c r="G3174" t="s">
        <v>2478</v>
      </c>
      <c r="H3174">
        <v>475</v>
      </c>
      <c r="I3174" t="s">
        <v>2896</v>
      </c>
      <c r="J3174">
        <v>3</v>
      </c>
      <c r="K3174">
        <v>166</v>
      </c>
      <c r="L3174">
        <v>169</v>
      </c>
      <c r="Q3174">
        <v>0</v>
      </c>
      <c r="R3174">
        <v>0</v>
      </c>
      <c r="S3174">
        <v>169</v>
      </c>
      <c r="T3174" t="s">
        <v>4214</v>
      </c>
      <c r="V3174" t="s">
        <v>2264</v>
      </c>
      <c r="W3174">
        <v>40.4</v>
      </c>
      <c r="X3174">
        <v>-3.6833300000000002</v>
      </c>
      <c r="Y3174" t="s">
        <v>2497</v>
      </c>
      <c r="Z3174" t="s">
        <v>12013</v>
      </c>
      <c r="AA3174" t="s">
        <v>3343</v>
      </c>
      <c r="AD3174" s="249" t="str">
        <f>HYPERLINK("https://scontent.cdninstagram.com/t51.2885-15/s320x320/e35/21107539_478925635813711_3338716402621087744_n.jpg")</f>
        <v>https://scontent.cdninstagram.com/t51.2885-15/s320x320/e35/21107539_478925635813711_3338716402621087744_n.jpg</v>
      </c>
      <c r="AE3174" s="249" t="str">
        <f>HYPERLINK("https://scontent.cdninstagram.com/t51.2885-19/s150x150/19985705_109780823002199_6708249302965157888_a.jpg")</f>
        <v>https://scontent.cdninstagram.com/t51.2885-19/s150x150/19985705_109780823002199_6708249302965157888_a.jpg</v>
      </c>
    </row>
    <row r="3175" spans="1:31" ht="15" x14ac:dyDescent="0.25">
      <c r="A3175" t="s">
        <v>2474</v>
      </c>
      <c r="B3175" t="s">
        <v>3754</v>
      </c>
      <c r="C3175" s="221">
        <v>42974.773472222223</v>
      </c>
      <c r="D3175" t="s">
        <v>18576</v>
      </c>
      <c r="E3175" s="249" t="str">
        <f>HYPERLINK("https://www.instagram.com/p/BYUGyPJjtjG/")</f>
        <v>https://www.instagram.com/p/BYUGyPJjtjG/</v>
      </c>
      <c r="F3175" t="s">
        <v>7206</v>
      </c>
      <c r="G3175" t="s">
        <v>2478</v>
      </c>
      <c r="H3175">
        <v>201436</v>
      </c>
      <c r="I3175" t="s">
        <v>2479</v>
      </c>
      <c r="J3175">
        <v>0</v>
      </c>
      <c r="K3175">
        <v>67</v>
      </c>
      <c r="L3175">
        <v>67</v>
      </c>
      <c r="Q3175">
        <v>0</v>
      </c>
      <c r="R3175">
        <v>0</v>
      </c>
      <c r="S3175">
        <v>67</v>
      </c>
      <c r="Y3175" t="s">
        <v>2497</v>
      </c>
      <c r="Z3175" t="s">
        <v>5197</v>
      </c>
      <c r="AA3175" t="s">
        <v>4233</v>
      </c>
      <c r="AB3175" t="s">
        <v>10199</v>
      </c>
      <c r="AC3175" t="s">
        <v>4802</v>
      </c>
      <c r="AD3175" s="249" t="str">
        <f>HYPERLINK("https://scontent.cdninstagram.com/t51.2885-15/s320x320/e35/21107707_129021721054449_3047559319789764608_n.jpg")</f>
        <v>https://scontent.cdninstagram.com/t51.2885-15/s320x320/e35/21107707_129021721054449_3047559319789764608_n.jpg</v>
      </c>
      <c r="AE3175" s="249" t="str">
        <f>HYPERLINK("https://scontent.cdninstagram.com/t51.2885-19/s150x150/12905002_1681254462136092_1137392787_a.jpg")</f>
        <v>https://scontent.cdninstagram.com/t51.2885-19/s150x150/12905002_1681254462136092_1137392787_a.jpg</v>
      </c>
    </row>
    <row r="3176" spans="1:31" ht="15" x14ac:dyDescent="0.25">
      <c r="A3176" t="s">
        <v>2474</v>
      </c>
      <c r="B3176" t="s">
        <v>18577</v>
      </c>
      <c r="C3176" s="221">
        <v>42974.777060185188</v>
      </c>
      <c r="D3176" t="s">
        <v>18578</v>
      </c>
      <c r="E3176" s="249" t="str">
        <f>HYPERLINK("https://www.instagram.com/p/BYUHYFCgwOj/")</f>
        <v>https://www.instagram.com/p/BYUHYFCgwOj/</v>
      </c>
      <c r="F3176" t="s">
        <v>18579</v>
      </c>
      <c r="G3176" t="s">
        <v>2478</v>
      </c>
      <c r="H3176">
        <v>472</v>
      </c>
      <c r="I3176" t="s">
        <v>3025</v>
      </c>
      <c r="J3176">
        <v>0</v>
      </c>
      <c r="K3176">
        <v>75</v>
      </c>
      <c r="L3176">
        <v>75</v>
      </c>
      <c r="Q3176">
        <v>0</v>
      </c>
      <c r="R3176">
        <v>0</v>
      </c>
      <c r="S3176">
        <v>75</v>
      </c>
      <c r="T3176" t="s">
        <v>18580</v>
      </c>
      <c r="V3176" t="s">
        <v>2182</v>
      </c>
      <c r="W3176">
        <v>40.154663228483003</v>
      </c>
      <c r="X3176">
        <v>18.287156583464999</v>
      </c>
      <c r="Y3176" t="s">
        <v>2497</v>
      </c>
      <c r="Z3176" t="s">
        <v>18581</v>
      </c>
      <c r="AA3176" t="s">
        <v>18582</v>
      </c>
      <c r="AB3176" t="s">
        <v>18583</v>
      </c>
      <c r="AC3176" t="s">
        <v>9445</v>
      </c>
      <c r="AD3176" s="249" t="str">
        <f>HYPERLINK("https://scontent.cdninstagram.com/t51.2885-15/s320x320/e35/21042451_265539373939073_1431891652095508480_n.jpg")</f>
        <v>https://scontent.cdninstagram.com/t51.2885-15/s320x320/e35/21042451_265539373939073_1431891652095508480_n.jpg</v>
      </c>
      <c r="AE3176" s="249" t="str">
        <f>HYPERLINK("https://scontent.cdninstagram.com/t51.2885-19/11373983_1590363681211824_1974362800_a.jpg")</f>
        <v>https://scontent.cdninstagram.com/t51.2885-19/11373983_1590363681211824_1974362800_a.jpg</v>
      </c>
    </row>
    <row r="3177" spans="1:31" ht="15" x14ac:dyDescent="0.25">
      <c r="A3177" t="s">
        <v>2474</v>
      </c>
      <c r="B3177" t="s">
        <v>18584</v>
      </c>
      <c r="C3177" s="221">
        <v>42974.777256944442</v>
      </c>
      <c r="D3177" t="s">
        <v>18585</v>
      </c>
      <c r="E3177" s="249" t="str">
        <f>HYPERLINK("https://www.instagram.com/p/BYUHaMXB1F9/")</f>
        <v>https://www.instagram.com/p/BYUHaMXB1F9/</v>
      </c>
      <c r="F3177" t="s">
        <v>18586</v>
      </c>
      <c r="G3177" t="s">
        <v>2478</v>
      </c>
      <c r="H3177">
        <v>348</v>
      </c>
      <c r="I3177" t="s">
        <v>2542</v>
      </c>
      <c r="J3177">
        <v>2</v>
      </c>
      <c r="K3177">
        <v>39</v>
      </c>
      <c r="L3177">
        <v>41</v>
      </c>
      <c r="Q3177">
        <v>0</v>
      </c>
      <c r="R3177">
        <v>0</v>
      </c>
      <c r="S3177">
        <v>41</v>
      </c>
      <c r="Y3177" t="s">
        <v>2497</v>
      </c>
      <c r="Z3177" t="s">
        <v>5932</v>
      </c>
      <c r="AA3177" t="s">
        <v>18587</v>
      </c>
      <c r="AB3177" t="s">
        <v>18588</v>
      </c>
      <c r="AC3177" t="s">
        <v>18589</v>
      </c>
      <c r="AD3177" s="249" t="str">
        <f>HYPERLINK("https://scontent.cdninstagram.com/t51.2885-15/e35/p320x320/21107305_1566205283403427_6434293482549936128_n.jpg")</f>
        <v>https://scontent.cdninstagram.com/t51.2885-15/e35/p320x320/21107305_1566205283403427_6434293482549936128_n.jpg</v>
      </c>
      <c r="AE3177" s="249" t="str">
        <f>HYPERLINK("https://scontent.cdninstagram.com/t51.2885-19/s150x150/19228439_1336474736474236_3650898359683645440_a.jpg")</f>
        <v>https://scontent.cdninstagram.com/t51.2885-19/s150x150/19228439_1336474736474236_3650898359683645440_a.jpg</v>
      </c>
    </row>
    <row r="3178" spans="1:31" ht="15" x14ac:dyDescent="0.25">
      <c r="A3178" t="s">
        <v>2474</v>
      </c>
      <c r="B3178" t="s">
        <v>3754</v>
      </c>
      <c r="C3178" s="221">
        <v>42974.787847222222</v>
      </c>
      <c r="D3178" t="s">
        <v>18590</v>
      </c>
      <c r="E3178" s="249" t="str">
        <f>HYPERLINK("https://www.instagram.com/p/BYUJJzeDZQK/")</f>
        <v>https://www.instagram.com/p/BYUJJzeDZQK/</v>
      </c>
      <c r="F3178" t="s">
        <v>7206</v>
      </c>
      <c r="G3178" t="s">
        <v>2478</v>
      </c>
      <c r="H3178">
        <v>201435</v>
      </c>
      <c r="I3178" t="s">
        <v>2479</v>
      </c>
      <c r="J3178">
        <v>0</v>
      </c>
      <c r="K3178">
        <v>125</v>
      </c>
      <c r="L3178">
        <v>125</v>
      </c>
      <c r="Q3178">
        <v>0</v>
      </c>
      <c r="R3178">
        <v>0</v>
      </c>
      <c r="S3178">
        <v>125</v>
      </c>
      <c r="Y3178" t="s">
        <v>2497</v>
      </c>
      <c r="Z3178" t="s">
        <v>5197</v>
      </c>
      <c r="AA3178" t="s">
        <v>4233</v>
      </c>
      <c r="AB3178" t="s">
        <v>10199</v>
      </c>
      <c r="AC3178" t="s">
        <v>4802</v>
      </c>
      <c r="AD3178" s="249" t="str">
        <f>HYPERLINK("https://scontent.cdninstagram.com/t51.2885-15/s320x320/e35/21147679_291763674560762_1149118714793164800_n.jpg")</f>
        <v>https://scontent.cdninstagram.com/t51.2885-15/s320x320/e35/21147679_291763674560762_1149118714793164800_n.jpg</v>
      </c>
      <c r="AE3178" s="249" t="str">
        <f>HYPERLINK("https://scontent.cdninstagram.com/t51.2885-19/s150x150/12905002_1681254462136092_1137392787_a.jpg")</f>
        <v>https://scontent.cdninstagram.com/t51.2885-19/s150x150/12905002_1681254462136092_1137392787_a.jpg</v>
      </c>
    </row>
    <row r="3179" spans="1:31" ht="15" x14ac:dyDescent="0.25">
      <c r="A3179" t="s">
        <v>2474</v>
      </c>
      <c r="B3179" t="s">
        <v>3754</v>
      </c>
      <c r="C3179" s="221">
        <v>42974.795567129629</v>
      </c>
      <c r="D3179" t="s">
        <v>18591</v>
      </c>
      <c r="E3179" s="249" t="str">
        <f>HYPERLINK("https://www.instagram.com/p/BYUKbNQjg19/")</f>
        <v>https://www.instagram.com/p/BYUKbNQjg19/</v>
      </c>
      <c r="F3179" t="s">
        <v>7206</v>
      </c>
      <c r="G3179" t="s">
        <v>2478</v>
      </c>
      <c r="H3179">
        <v>201435</v>
      </c>
      <c r="I3179" t="s">
        <v>2479</v>
      </c>
      <c r="J3179">
        <v>0</v>
      </c>
      <c r="K3179">
        <v>101</v>
      </c>
      <c r="L3179">
        <v>101</v>
      </c>
      <c r="Q3179">
        <v>0</v>
      </c>
      <c r="R3179">
        <v>0</v>
      </c>
      <c r="S3179">
        <v>101</v>
      </c>
      <c r="Y3179" t="s">
        <v>6243</v>
      </c>
      <c r="Z3179" t="s">
        <v>3760</v>
      </c>
      <c r="AA3179" t="s">
        <v>4564</v>
      </c>
      <c r="AB3179" t="s">
        <v>2575</v>
      </c>
      <c r="AC3179" t="s">
        <v>3759</v>
      </c>
      <c r="AD3179" s="249" t="str">
        <f>HYPERLINK("https://scontent.cdninstagram.com/t51.2885-15/s320x320/e35/21107135_848069915356364_4433557609944973312_n.jpg")</f>
        <v>https://scontent.cdninstagram.com/t51.2885-15/s320x320/e35/21107135_848069915356364_4433557609944973312_n.jpg</v>
      </c>
      <c r="AE3179" s="249" t="str">
        <f>HYPERLINK("https://scontent.cdninstagram.com/t51.2885-19/s150x150/12905002_1681254462136092_1137392787_a.jpg")</f>
        <v>https://scontent.cdninstagram.com/t51.2885-19/s150x150/12905002_1681254462136092_1137392787_a.jpg</v>
      </c>
    </row>
    <row r="3180" spans="1:31" ht="15" x14ac:dyDescent="0.25">
      <c r="A3180" t="s">
        <v>2474</v>
      </c>
      <c r="B3180" t="s">
        <v>3754</v>
      </c>
      <c r="C3180" s="221">
        <v>42974.7965625</v>
      </c>
      <c r="D3180" t="s">
        <v>18592</v>
      </c>
      <c r="E3180" s="249" t="str">
        <f>HYPERLINK("https://www.instagram.com/p/BYUKlvHjtG2/")</f>
        <v>https://www.instagram.com/p/BYUKlvHjtG2/</v>
      </c>
      <c r="F3180" t="s">
        <v>7206</v>
      </c>
      <c r="G3180" t="s">
        <v>2478</v>
      </c>
      <c r="H3180">
        <v>201435</v>
      </c>
      <c r="I3180" t="s">
        <v>2479</v>
      </c>
      <c r="J3180">
        <v>0</v>
      </c>
      <c r="K3180">
        <v>196</v>
      </c>
      <c r="L3180">
        <v>196</v>
      </c>
      <c r="Q3180">
        <v>0</v>
      </c>
      <c r="R3180">
        <v>0</v>
      </c>
      <c r="S3180">
        <v>196</v>
      </c>
      <c r="T3180" t="s">
        <v>18593</v>
      </c>
      <c r="U3180" t="s">
        <v>112</v>
      </c>
      <c r="V3180" t="s">
        <v>2299</v>
      </c>
      <c r="W3180">
        <v>29.729669786999999</v>
      </c>
      <c r="X3180">
        <v>-95.796979869599994</v>
      </c>
      <c r="Y3180" t="s">
        <v>3754</v>
      </c>
      <c r="Z3180" t="s">
        <v>3760</v>
      </c>
      <c r="AA3180" t="s">
        <v>4231</v>
      </c>
      <c r="AB3180" t="s">
        <v>8783</v>
      </c>
      <c r="AC3180" t="s">
        <v>4802</v>
      </c>
      <c r="AD3180" s="249" t="str">
        <f>HYPERLINK("https://scontent.cdninstagram.com/t51.2885-15/s320x320/e35/21107118_1667835013236377_3672559675053703168_n.jpg")</f>
        <v>https://scontent.cdninstagram.com/t51.2885-15/s320x320/e35/21107118_1667835013236377_3672559675053703168_n.jpg</v>
      </c>
      <c r="AE3180" s="249" t="str">
        <f>HYPERLINK("https://scontent.cdninstagram.com/t51.2885-19/s150x150/12905002_1681254462136092_1137392787_a.jpg")</f>
        <v>https://scontent.cdninstagram.com/t51.2885-19/s150x150/12905002_1681254462136092_1137392787_a.jpg</v>
      </c>
    </row>
    <row r="3181" spans="1:31" ht="15" x14ac:dyDescent="0.25">
      <c r="A3181" t="s">
        <v>2474</v>
      </c>
      <c r="B3181" t="s">
        <v>3015</v>
      </c>
      <c r="C3181" s="221">
        <v>42974.799537037034</v>
      </c>
      <c r="D3181" t="s">
        <v>18594</v>
      </c>
      <c r="E3181" s="249" t="str">
        <f>HYPERLINK("https://www.instagram.com/p/BYULFFGgV0I/")</f>
        <v>https://www.instagram.com/p/BYULFFGgV0I/</v>
      </c>
      <c r="F3181" t="s">
        <v>18595</v>
      </c>
      <c r="G3181" t="s">
        <v>2478</v>
      </c>
      <c r="H3181">
        <v>244</v>
      </c>
      <c r="I3181" t="s">
        <v>2479</v>
      </c>
      <c r="J3181">
        <v>1</v>
      </c>
      <c r="K3181">
        <v>35</v>
      </c>
      <c r="L3181">
        <v>36</v>
      </c>
      <c r="Q3181">
        <v>0</v>
      </c>
      <c r="R3181">
        <v>0</v>
      </c>
      <c r="S3181">
        <v>36</v>
      </c>
      <c r="Y3181" t="s">
        <v>3854</v>
      </c>
      <c r="Z3181" t="s">
        <v>7275</v>
      </c>
      <c r="AA3181" t="s">
        <v>3165</v>
      </c>
      <c r="AB3181" t="s">
        <v>4919</v>
      </c>
      <c r="AC3181" t="s">
        <v>3856</v>
      </c>
      <c r="AD3181" s="249" t="str">
        <f>HYPERLINK("https://scontent.cdninstagram.com/t51.2885-15/s320x320/e35/21224452_270625250098163_8812002976936755200_n.jpg")</f>
        <v>https://scontent.cdninstagram.com/t51.2885-15/s320x320/e35/21224452_270625250098163_8812002976936755200_n.jpg</v>
      </c>
      <c r="AE3181" s="249" t="str">
        <f>HYPERLINK("https://scontent.cdninstagram.com/t51.2885-19/s150x150/21373102_1087463374722515_8750956974671134720_a.jpg")</f>
        <v>https://scontent.cdninstagram.com/t51.2885-19/s150x150/21373102_1087463374722515_8750956974671134720_a.jpg</v>
      </c>
    </row>
    <row r="3182" spans="1:31" ht="15" x14ac:dyDescent="0.25">
      <c r="A3182" t="s">
        <v>2474</v>
      </c>
      <c r="B3182" t="s">
        <v>5657</v>
      </c>
      <c r="C3182" s="221">
        <v>42974.799745370372</v>
      </c>
      <c r="D3182" t="s">
        <v>18596</v>
      </c>
      <c r="E3182" s="249" t="str">
        <f>HYPERLINK("https://www.instagram.com/p/BYULHV_gWs0/")</f>
        <v>https://www.instagram.com/p/BYULHV_gWs0/</v>
      </c>
      <c r="F3182" t="s">
        <v>18597</v>
      </c>
      <c r="G3182" t="s">
        <v>2478</v>
      </c>
      <c r="H3182">
        <v>101</v>
      </c>
      <c r="I3182" t="s">
        <v>3170</v>
      </c>
      <c r="J3182">
        <v>0</v>
      </c>
      <c r="K3182">
        <v>27</v>
      </c>
      <c r="L3182">
        <v>27</v>
      </c>
      <c r="Q3182">
        <v>0</v>
      </c>
      <c r="R3182">
        <v>0</v>
      </c>
      <c r="S3182">
        <v>27</v>
      </c>
      <c r="Y3182" t="s">
        <v>4582</v>
      </c>
      <c r="Z3182" t="s">
        <v>18598</v>
      </c>
      <c r="AA3182" t="s">
        <v>7748</v>
      </c>
      <c r="AB3182" t="s">
        <v>5662</v>
      </c>
      <c r="AC3182" t="s">
        <v>4514</v>
      </c>
      <c r="AD3182" s="249" t="str">
        <f>HYPERLINK("https://scontent.cdninstagram.com/t51.2885-15/e35/p320x320/21148895_278962399252629_1939074972756475904_n.jpg")</f>
        <v>https://scontent.cdninstagram.com/t51.2885-15/e35/p320x320/21148895_278962399252629_1939074972756475904_n.jpg</v>
      </c>
      <c r="AE3182" s="249" t="str">
        <f>HYPERLINK("https://scontent.cdninstagram.com/t51.2885-19/s150x150/18722414_1929874740617287_7467972564577419264_a.jpg")</f>
        <v>https://scontent.cdninstagram.com/t51.2885-19/s150x150/18722414_1929874740617287_7467972564577419264_a.jpg</v>
      </c>
    </row>
    <row r="3183" spans="1:31" ht="15" x14ac:dyDescent="0.25">
      <c r="A3183" t="s">
        <v>2474</v>
      </c>
      <c r="B3183" t="s">
        <v>5657</v>
      </c>
      <c r="C3183" s="221">
        <v>42974.800740740742</v>
      </c>
      <c r="D3183" t="s">
        <v>18599</v>
      </c>
      <c r="E3183" s="249" t="str">
        <f>HYPERLINK("https://www.instagram.com/p/BYULR1Qg8Vt/")</f>
        <v>https://www.instagram.com/p/BYULR1Qg8Vt/</v>
      </c>
      <c r="F3183" t="s">
        <v>18600</v>
      </c>
      <c r="G3183" t="s">
        <v>2478</v>
      </c>
      <c r="H3183">
        <v>101</v>
      </c>
      <c r="I3183" t="s">
        <v>2479</v>
      </c>
      <c r="J3183">
        <v>3</v>
      </c>
      <c r="K3183">
        <v>25</v>
      </c>
      <c r="L3183">
        <v>28</v>
      </c>
      <c r="Q3183">
        <v>0</v>
      </c>
      <c r="R3183">
        <v>0</v>
      </c>
      <c r="S3183">
        <v>28</v>
      </c>
      <c r="Y3183" t="s">
        <v>4582</v>
      </c>
      <c r="Z3183" t="s">
        <v>18598</v>
      </c>
      <c r="AA3183" t="s">
        <v>7748</v>
      </c>
      <c r="AB3183" t="s">
        <v>5662</v>
      </c>
      <c r="AC3183" t="s">
        <v>4514</v>
      </c>
      <c r="AD3183" s="249" t="str">
        <f>HYPERLINK("https://scontent.cdninstagram.com/t51.2885-15/e35/p320x320/21149482_1519913651404053_5413250662458720256_n.jpg")</f>
        <v>https://scontent.cdninstagram.com/t51.2885-15/e35/p320x320/21149482_1519913651404053_5413250662458720256_n.jpg</v>
      </c>
      <c r="AE3183" s="249" t="str">
        <f>HYPERLINK("https://scontent.cdninstagram.com/t51.2885-19/s150x150/18722414_1929874740617287_7467972564577419264_a.jpg")</f>
        <v>https://scontent.cdninstagram.com/t51.2885-19/s150x150/18722414_1929874740617287_7467972564577419264_a.jpg</v>
      </c>
    </row>
    <row r="3184" spans="1:31" ht="15" x14ac:dyDescent="0.25">
      <c r="A3184" t="s">
        <v>2474</v>
      </c>
      <c r="B3184" t="s">
        <v>5657</v>
      </c>
      <c r="C3184" s="221">
        <v>42974.802222222221</v>
      </c>
      <c r="D3184" t="s">
        <v>18601</v>
      </c>
      <c r="E3184" s="249" t="str">
        <f>HYPERLINK("https://www.instagram.com/p/BYULhZkAAqE/")</f>
        <v>https://www.instagram.com/p/BYULhZkAAqE/</v>
      </c>
      <c r="F3184" t="s">
        <v>18602</v>
      </c>
      <c r="G3184" t="s">
        <v>2488</v>
      </c>
      <c r="H3184">
        <v>101</v>
      </c>
      <c r="I3184" t="s">
        <v>2479</v>
      </c>
      <c r="J3184">
        <v>4</v>
      </c>
      <c r="K3184">
        <v>28</v>
      </c>
      <c r="L3184">
        <v>32</v>
      </c>
      <c r="Q3184">
        <v>0</v>
      </c>
      <c r="R3184">
        <v>0</v>
      </c>
      <c r="S3184">
        <v>32</v>
      </c>
      <c r="Y3184" t="s">
        <v>4582</v>
      </c>
      <c r="Z3184" t="s">
        <v>18598</v>
      </c>
      <c r="AA3184" t="s">
        <v>7748</v>
      </c>
      <c r="AB3184" t="s">
        <v>5662</v>
      </c>
      <c r="AC3184" t="s">
        <v>4514</v>
      </c>
      <c r="AD3184" s="249" t="str">
        <f>HYPERLINK("https://scontent.cdninstagram.com/t51.2885-15/s320x320/e35/21107423_1923751527948499_966528028563734528_n.jpg")</f>
        <v>https://scontent.cdninstagram.com/t51.2885-15/s320x320/e35/21107423_1923751527948499_966528028563734528_n.jpg</v>
      </c>
      <c r="AE3184" s="249" t="str">
        <f>HYPERLINK("https://scontent.cdninstagram.com/t51.2885-19/s150x150/18722414_1929874740617287_7467972564577419264_a.jpg")</f>
        <v>https://scontent.cdninstagram.com/t51.2885-19/s150x150/18722414_1929874740617287_7467972564577419264_a.jpg</v>
      </c>
    </row>
    <row r="3185" spans="1:31" ht="15" x14ac:dyDescent="0.25">
      <c r="A3185" t="s">
        <v>2474</v>
      </c>
      <c r="B3185" t="s">
        <v>5657</v>
      </c>
      <c r="C3185" s="221">
        <v>42974.804606481484</v>
      </c>
      <c r="D3185" t="s">
        <v>18603</v>
      </c>
      <c r="E3185" s="249" t="str">
        <f>HYPERLINK("https://www.instagram.com/p/BYUL6jCAPxw/")</f>
        <v>https://www.instagram.com/p/BYUL6jCAPxw/</v>
      </c>
      <c r="F3185" t="s">
        <v>18604</v>
      </c>
      <c r="G3185" t="s">
        <v>2488</v>
      </c>
      <c r="H3185">
        <v>101</v>
      </c>
      <c r="I3185" t="s">
        <v>2479</v>
      </c>
      <c r="J3185">
        <v>0</v>
      </c>
      <c r="K3185">
        <v>32</v>
      </c>
      <c r="L3185">
        <v>32</v>
      </c>
      <c r="Q3185">
        <v>0</v>
      </c>
      <c r="R3185">
        <v>0</v>
      </c>
      <c r="S3185">
        <v>32</v>
      </c>
      <c r="Y3185" t="s">
        <v>7748</v>
      </c>
      <c r="Z3185" t="s">
        <v>5662</v>
      </c>
      <c r="AA3185" t="s">
        <v>2551</v>
      </c>
      <c r="AB3185" t="s">
        <v>6172</v>
      </c>
      <c r="AC3185" t="s">
        <v>6678</v>
      </c>
      <c r="AD3185" s="249" t="str">
        <f>HYPERLINK("https://scontent.cdninstagram.com/t51.2885-15/s320x320/e35/21107267_172359129978578_4049307965671342080_n.jpg")</f>
        <v>https://scontent.cdninstagram.com/t51.2885-15/s320x320/e35/21107267_172359129978578_4049307965671342080_n.jpg</v>
      </c>
      <c r="AE3185" s="249" t="str">
        <f>HYPERLINK("https://scontent.cdninstagram.com/t51.2885-19/s150x150/18722414_1929874740617287_7467972564577419264_a.jpg")</f>
        <v>https://scontent.cdninstagram.com/t51.2885-19/s150x150/18722414_1929874740617287_7467972564577419264_a.jpg</v>
      </c>
    </row>
    <row r="3186" spans="1:31" ht="15" x14ac:dyDescent="0.25">
      <c r="A3186" t="s">
        <v>2474</v>
      </c>
      <c r="B3186" t="s">
        <v>18605</v>
      </c>
      <c r="C3186" s="221">
        <v>42974.805115740739</v>
      </c>
      <c r="D3186" t="s">
        <v>18606</v>
      </c>
      <c r="E3186" s="249" t="str">
        <f>HYPERLINK("https://www.instagram.com/p/BYUL__nhuRr/")</f>
        <v>https://www.instagram.com/p/BYUL__nhuRr/</v>
      </c>
      <c r="F3186" t="s">
        <v>18607</v>
      </c>
      <c r="G3186" t="s">
        <v>2478</v>
      </c>
      <c r="H3186">
        <v>244</v>
      </c>
      <c r="I3186" t="s">
        <v>2479</v>
      </c>
      <c r="J3186">
        <v>0</v>
      </c>
      <c r="K3186">
        <v>31</v>
      </c>
      <c r="L3186">
        <v>31</v>
      </c>
      <c r="Q3186">
        <v>0</v>
      </c>
      <c r="R3186">
        <v>0</v>
      </c>
      <c r="S3186">
        <v>31</v>
      </c>
      <c r="Y3186" t="s">
        <v>18608</v>
      </c>
      <c r="Z3186" t="s">
        <v>18609</v>
      </c>
      <c r="AA3186" t="s">
        <v>18610</v>
      </c>
      <c r="AB3186" t="s">
        <v>18611</v>
      </c>
      <c r="AC3186" t="s">
        <v>2777</v>
      </c>
      <c r="AD3186" s="249" t="str">
        <f>HYPERLINK("https://scontent.cdninstagram.com/t51.2885-15/s320x320/e35/21224415_344218689350481_3426046573946077184_n.jpg")</f>
        <v>https://scontent.cdninstagram.com/t51.2885-15/s320x320/e35/21224415_344218689350481_3426046573946077184_n.jpg</v>
      </c>
      <c r="AE3186" s="249" t="str">
        <f>HYPERLINK("https://scontent.cdninstagram.com/t51.2885-19/s150x150/21373618_1958868484392093_4219144617666281472_a.jpg")</f>
        <v>https://scontent.cdninstagram.com/t51.2885-19/s150x150/21373618_1958868484392093_4219144617666281472_a.jpg</v>
      </c>
    </row>
    <row r="3187" spans="1:31" ht="15" x14ac:dyDescent="0.25">
      <c r="A3187" t="s">
        <v>2474</v>
      </c>
      <c r="B3187" t="s">
        <v>18612</v>
      </c>
      <c r="C3187" s="221">
        <v>42974.817199074074</v>
      </c>
      <c r="D3187" t="s">
        <v>18613</v>
      </c>
      <c r="E3187" s="249" t="str">
        <f>HYPERLINK("https://www.instagram.com/p/BYUN_XLBZsm/")</f>
        <v>https://www.instagram.com/p/BYUN_XLBZsm/</v>
      </c>
      <c r="F3187" t="s">
        <v>18614</v>
      </c>
      <c r="G3187" t="s">
        <v>2488</v>
      </c>
      <c r="H3187">
        <v>365</v>
      </c>
      <c r="I3187" t="s">
        <v>2479</v>
      </c>
      <c r="J3187">
        <v>1</v>
      </c>
      <c r="K3187">
        <v>24</v>
      </c>
      <c r="L3187">
        <v>25</v>
      </c>
      <c r="Q3187">
        <v>0</v>
      </c>
      <c r="R3187">
        <v>0</v>
      </c>
      <c r="S3187">
        <v>25</v>
      </c>
      <c r="Y3187" t="s">
        <v>18615</v>
      </c>
      <c r="Z3187" t="s">
        <v>18616</v>
      </c>
      <c r="AA3187" t="s">
        <v>15516</v>
      </c>
      <c r="AB3187" t="s">
        <v>2497</v>
      </c>
      <c r="AC3187" t="s">
        <v>9011</v>
      </c>
      <c r="AD3187" s="249" t="str">
        <f>HYPERLINK("https://scontent.cdninstagram.com/t51.2885-15/s320x320/e35/21149187_1759835520981717_961300568033198080_n.jpg")</f>
        <v>https://scontent.cdninstagram.com/t51.2885-15/s320x320/e35/21149187_1759835520981717_961300568033198080_n.jpg</v>
      </c>
      <c r="AE3187" s="249" t="str">
        <f>HYPERLINK("https://scontent.cdninstagram.com/t51.2885-19/s150x150/19121149_1951444398424401_9065173139914227712_a.jpg")</f>
        <v>https://scontent.cdninstagram.com/t51.2885-19/s150x150/19121149_1951444398424401_9065173139914227712_a.jpg</v>
      </c>
    </row>
    <row r="3188" spans="1:31" ht="15" x14ac:dyDescent="0.25">
      <c r="A3188" t="s">
        <v>2474</v>
      </c>
      <c r="B3188" t="s">
        <v>18617</v>
      </c>
      <c r="C3188" s="221">
        <v>42974.823379629626</v>
      </c>
      <c r="D3188" t="s">
        <v>18618</v>
      </c>
      <c r="E3188" s="249" t="str">
        <f>HYPERLINK("https://www.instagram.com/p/BYUPAmoAVYZ/")</f>
        <v>https://www.instagram.com/p/BYUPAmoAVYZ/</v>
      </c>
      <c r="F3188" t="s">
        <v>18619</v>
      </c>
      <c r="G3188" t="s">
        <v>2478</v>
      </c>
      <c r="H3188">
        <v>956</v>
      </c>
      <c r="I3188" t="s">
        <v>2479</v>
      </c>
      <c r="J3188">
        <v>1</v>
      </c>
      <c r="K3188">
        <v>17</v>
      </c>
      <c r="L3188">
        <v>18</v>
      </c>
      <c r="Q3188">
        <v>0</v>
      </c>
      <c r="R3188">
        <v>0</v>
      </c>
      <c r="S3188">
        <v>18</v>
      </c>
      <c r="Y3188" t="s">
        <v>18620</v>
      </c>
      <c r="Z3188" t="s">
        <v>18621</v>
      </c>
      <c r="AA3188" t="s">
        <v>3829</v>
      </c>
      <c r="AB3188" t="s">
        <v>2497</v>
      </c>
      <c r="AC3188" t="s">
        <v>2730</v>
      </c>
      <c r="AD3188" s="249" t="str">
        <f>HYPERLINK("https://scontent.cdninstagram.com/t51.2885-15/s320x320/e35/21107175_484245801942306_2440594979605708800_n.jpg")</f>
        <v>https://scontent.cdninstagram.com/t51.2885-15/s320x320/e35/21107175_484245801942306_2440594979605708800_n.jpg</v>
      </c>
      <c r="AE3188" s="249" t="str">
        <f>HYPERLINK("https://scontent.cdninstagram.com/t51.2885-19/s150x150/13166713_995473903821131_1300673721_a.jpg")</f>
        <v>https://scontent.cdninstagram.com/t51.2885-19/s150x150/13166713_995473903821131_1300673721_a.jpg</v>
      </c>
    </row>
    <row r="3189" spans="1:31" ht="15" x14ac:dyDescent="0.25">
      <c r="A3189" t="s">
        <v>2474</v>
      </c>
      <c r="B3189" t="s">
        <v>17158</v>
      </c>
      <c r="C3189" s="221">
        <v>42974.829155092593</v>
      </c>
      <c r="D3189" t="s">
        <v>18622</v>
      </c>
      <c r="E3189" s="249" t="str">
        <f>HYPERLINK("https://www.instagram.com/p/BYUP9cWHqu0/")</f>
        <v>https://www.instagram.com/p/BYUP9cWHqu0/</v>
      </c>
      <c r="F3189" t="s">
        <v>18623</v>
      </c>
      <c r="G3189" t="s">
        <v>2488</v>
      </c>
      <c r="H3189">
        <v>377</v>
      </c>
      <c r="I3189" t="s">
        <v>2479</v>
      </c>
      <c r="J3189">
        <v>2</v>
      </c>
      <c r="K3189">
        <v>49</v>
      </c>
      <c r="L3189">
        <v>51</v>
      </c>
      <c r="Q3189">
        <v>0</v>
      </c>
      <c r="R3189">
        <v>0</v>
      </c>
      <c r="S3189">
        <v>51</v>
      </c>
      <c r="Y3189" t="s">
        <v>18624</v>
      </c>
      <c r="Z3189" t="s">
        <v>3534</v>
      </c>
      <c r="AA3189" t="s">
        <v>5982</v>
      </c>
      <c r="AB3189" t="s">
        <v>18625</v>
      </c>
      <c r="AC3189" t="s">
        <v>18626</v>
      </c>
      <c r="AD3189" s="249" t="str">
        <f>HYPERLINK("https://scontent.cdninstagram.com/t51.2885-15/s320x320/e35/21042822_1863943473934131_4706936388619075584_n.jpg")</f>
        <v>https://scontent.cdninstagram.com/t51.2885-15/s320x320/e35/21042822_1863943473934131_4706936388619075584_n.jpg</v>
      </c>
      <c r="AE3189" s="249" t="str">
        <f>HYPERLINK("https://scontent.cdninstagram.com/t51.2885-19/s150x150/13658639_315931348749567_46952542_a.jpg")</f>
        <v>https://scontent.cdninstagram.com/t51.2885-19/s150x150/13658639_315931348749567_46952542_a.jpg</v>
      </c>
    </row>
    <row r="3190" spans="1:31" ht="15" x14ac:dyDescent="0.25">
      <c r="A3190" t="s">
        <v>2474</v>
      </c>
      <c r="B3190" t="s">
        <v>18627</v>
      </c>
      <c r="C3190" s="221">
        <v>42974.833321759259</v>
      </c>
      <c r="D3190" t="s">
        <v>18628</v>
      </c>
      <c r="E3190" s="249" t="str">
        <f>HYPERLINK("https://www.instagram.com/p/BYUQpfQAsS8/")</f>
        <v>https://www.instagram.com/p/BYUQpfQAsS8/</v>
      </c>
      <c r="F3190" t="s">
        <v>18629</v>
      </c>
      <c r="G3190" t="s">
        <v>2478</v>
      </c>
      <c r="H3190">
        <v>240</v>
      </c>
      <c r="I3190" t="s">
        <v>4062</v>
      </c>
      <c r="J3190">
        <v>0</v>
      </c>
      <c r="K3190">
        <v>50</v>
      </c>
      <c r="L3190">
        <v>50</v>
      </c>
      <c r="Q3190">
        <v>0</v>
      </c>
      <c r="R3190">
        <v>0</v>
      </c>
      <c r="S3190">
        <v>50</v>
      </c>
      <c r="Y3190" t="s">
        <v>18630</v>
      </c>
      <c r="Z3190" t="s">
        <v>18631</v>
      </c>
      <c r="AA3190" t="s">
        <v>2497</v>
      </c>
      <c r="AB3190" t="s">
        <v>18632</v>
      </c>
      <c r="AD3190" s="249" t="str">
        <f>HYPERLINK("https://scontent.cdninstagram.com/t51.2885-15/s320x320/e35/21107685_328334367594781_4063981876056948736_n.jpg")</f>
        <v>https://scontent.cdninstagram.com/t51.2885-15/s320x320/e35/21107685_328334367594781_4063981876056948736_n.jpg</v>
      </c>
      <c r="AE3190" s="249" t="str">
        <f>HYPERLINK("https://scontent.cdninstagram.com/t51.2885-19/928313_429994783808032_1355630864_a.jpg")</f>
        <v>https://scontent.cdninstagram.com/t51.2885-19/928313_429994783808032_1355630864_a.jpg</v>
      </c>
    </row>
    <row r="3191" spans="1:31" ht="15" x14ac:dyDescent="0.25">
      <c r="A3191" t="s">
        <v>2474</v>
      </c>
      <c r="B3191" t="s">
        <v>18633</v>
      </c>
      <c r="C3191" s="221">
        <v>42974.837523148148</v>
      </c>
      <c r="D3191" t="s">
        <v>18634</v>
      </c>
      <c r="E3191" s="249" t="str">
        <f>HYPERLINK("https://www.instagram.com/p/BYURVuSFrw3/")</f>
        <v>https://www.instagram.com/p/BYURVuSFrw3/</v>
      </c>
      <c r="F3191" t="s">
        <v>18635</v>
      </c>
      <c r="G3191" t="s">
        <v>2478</v>
      </c>
      <c r="H3191">
        <v>497</v>
      </c>
      <c r="I3191" t="s">
        <v>2479</v>
      </c>
      <c r="J3191">
        <v>3</v>
      </c>
      <c r="K3191">
        <v>86</v>
      </c>
      <c r="L3191">
        <v>89</v>
      </c>
      <c r="Q3191">
        <v>0</v>
      </c>
      <c r="R3191">
        <v>0</v>
      </c>
      <c r="S3191">
        <v>89</v>
      </c>
      <c r="Y3191" t="s">
        <v>2497</v>
      </c>
      <c r="AD3191" s="249" t="str">
        <f>HYPERLINK("https://scontent.cdninstagram.com/t51.2885-15/s320x320/e35/21149563_336577223468385_7092625378191081472_n.jpg")</f>
        <v>https://scontent.cdninstagram.com/t51.2885-15/s320x320/e35/21149563_336577223468385_7092625378191081472_n.jpg</v>
      </c>
      <c r="AE3191" s="249" t="str">
        <f>HYPERLINK("https://scontent.cdninstagram.com/t51.2885-19/s150x150/20589457_450395645359369_3914188457747939328_a.jpg")</f>
        <v>https://scontent.cdninstagram.com/t51.2885-19/s150x150/20589457_450395645359369_3914188457747939328_a.jpg</v>
      </c>
    </row>
    <row r="3192" spans="1:31" ht="15" x14ac:dyDescent="0.25">
      <c r="A3192" t="s">
        <v>2474</v>
      </c>
      <c r="B3192" t="s">
        <v>7793</v>
      </c>
      <c r="C3192" s="221">
        <v>42974.840451388889</v>
      </c>
      <c r="D3192" t="s">
        <v>18636</v>
      </c>
      <c r="E3192" s="249" t="str">
        <f>HYPERLINK("https://www.instagram.com/p/BYUR0r_lhOI/")</f>
        <v>https://www.instagram.com/p/BYUR0r_lhOI/</v>
      </c>
      <c r="F3192" t="s">
        <v>18637</v>
      </c>
      <c r="G3192" t="s">
        <v>2478</v>
      </c>
      <c r="I3192" t="s">
        <v>2479</v>
      </c>
      <c r="J3192">
        <v>1</v>
      </c>
      <c r="K3192">
        <v>221</v>
      </c>
      <c r="L3192">
        <v>222</v>
      </c>
      <c r="Q3192">
        <v>0</v>
      </c>
      <c r="R3192">
        <v>0</v>
      </c>
      <c r="S3192">
        <v>222</v>
      </c>
      <c r="T3192" t="s">
        <v>8942</v>
      </c>
      <c r="V3192" t="s">
        <v>2102</v>
      </c>
      <c r="W3192">
        <v>-33.86</v>
      </c>
      <c r="X3192">
        <v>151.21100000000001</v>
      </c>
      <c r="Y3192" t="s">
        <v>3446</v>
      </c>
      <c r="Z3192" t="s">
        <v>6806</v>
      </c>
      <c r="AA3192" t="s">
        <v>4174</v>
      </c>
      <c r="AB3192" t="s">
        <v>6578</v>
      </c>
      <c r="AC3192" t="s">
        <v>2497</v>
      </c>
      <c r="AD3192" s="249" t="str">
        <f>HYPERLINK("https://scontent.cdninstagram.com/t51.2885-15/s320x320/e35/21147976_344151762703593_5679040895345754112_n.jpg")</f>
        <v>https://scontent.cdninstagram.com/t51.2885-15/s320x320/e35/21147976_344151762703593_5679040895345754112_n.jpg</v>
      </c>
      <c r="AE3192" s="249" t="str">
        <f>HYPERLINK("https://scontent.cdninstagram.com/t51.2885-19/s150x150/14295311_507350922808081_1928455761_a.jpg")</f>
        <v>https://scontent.cdninstagram.com/t51.2885-19/s150x150/14295311_507350922808081_1928455761_a.jpg</v>
      </c>
    </row>
    <row r="3193" spans="1:31" ht="15" x14ac:dyDescent="0.25">
      <c r="A3193" t="s">
        <v>2474</v>
      </c>
      <c r="B3193" t="s">
        <v>3565</v>
      </c>
      <c r="C3193" s="221">
        <v>42974.847268518519</v>
      </c>
      <c r="D3193" t="s">
        <v>18638</v>
      </c>
      <c r="E3193" s="249" t="str">
        <f>HYPERLINK("https://www.instagram.com/p/BYUS8iFg8Ov/")</f>
        <v>https://www.instagram.com/p/BYUS8iFg8Ov/</v>
      </c>
      <c r="F3193" t="s">
        <v>18639</v>
      </c>
      <c r="G3193" t="s">
        <v>2478</v>
      </c>
      <c r="H3193">
        <v>57549</v>
      </c>
      <c r="I3193" t="s">
        <v>2479</v>
      </c>
      <c r="J3193">
        <v>9</v>
      </c>
      <c r="K3193">
        <v>645</v>
      </c>
      <c r="L3193">
        <v>654</v>
      </c>
      <c r="Q3193">
        <v>0</v>
      </c>
      <c r="R3193">
        <v>0</v>
      </c>
      <c r="S3193">
        <v>654</v>
      </c>
      <c r="Y3193" t="s">
        <v>4231</v>
      </c>
      <c r="Z3193" t="s">
        <v>18640</v>
      </c>
      <c r="AA3193" t="s">
        <v>16394</v>
      </c>
      <c r="AB3193" t="s">
        <v>3571</v>
      </c>
      <c r="AC3193" t="s">
        <v>5706</v>
      </c>
      <c r="AD3193" s="249" t="str">
        <f>HYPERLINK("https://scontent.cdninstagram.com/t51.2885-15/s320x320/e35/21107728_168893810325687_7028292312899780608_n.jpg")</f>
        <v>https://scontent.cdninstagram.com/t51.2885-15/s320x320/e35/21107728_168893810325687_7028292312899780608_n.jpg</v>
      </c>
      <c r="AE3193" s="249" t="str">
        <f>HYPERLINK("https://scontent.cdninstagram.com/t51.2885-19/s150x150/10268950_1639938246262719_2023719557_a.jpg")</f>
        <v>https://scontent.cdninstagram.com/t51.2885-19/s150x150/10268950_1639938246262719_2023719557_a.jpg</v>
      </c>
    </row>
    <row r="3194" spans="1:31" ht="15" x14ac:dyDescent="0.25">
      <c r="A3194" t="s">
        <v>2474</v>
      </c>
      <c r="B3194" t="s">
        <v>18641</v>
      </c>
      <c r="C3194" s="221">
        <v>42974.850439814814</v>
      </c>
      <c r="D3194" t="s">
        <v>18642</v>
      </c>
      <c r="E3194" s="249" t="str">
        <f>HYPERLINK("https://www.instagram.com/p/BYUTd76ARAY/")</f>
        <v>https://www.instagram.com/p/BYUTd76ARAY/</v>
      </c>
      <c r="F3194" t="s">
        <v>18643</v>
      </c>
      <c r="G3194" t="s">
        <v>2478</v>
      </c>
      <c r="H3194">
        <v>456</v>
      </c>
      <c r="I3194" t="s">
        <v>2479</v>
      </c>
      <c r="J3194">
        <v>0</v>
      </c>
      <c r="K3194">
        <v>25</v>
      </c>
      <c r="L3194">
        <v>25</v>
      </c>
      <c r="Q3194">
        <v>0</v>
      </c>
      <c r="R3194">
        <v>0</v>
      </c>
      <c r="S3194">
        <v>25</v>
      </c>
      <c r="Y3194" t="s">
        <v>18644</v>
      </c>
      <c r="Z3194" t="s">
        <v>18645</v>
      </c>
      <c r="AA3194" t="s">
        <v>2617</v>
      </c>
      <c r="AB3194" t="s">
        <v>18646</v>
      </c>
      <c r="AC3194" t="s">
        <v>18647</v>
      </c>
      <c r="AD3194" s="249" t="str">
        <f>HYPERLINK("https://scontent.cdninstagram.com/t51.2885-15/s320x320/e35/21108106_874875779343738_4304620518465601536_n.jpg")</f>
        <v>https://scontent.cdninstagram.com/t51.2885-15/s320x320/e35/21108106_874875779343738_4304620518465601536_n.jpg</v>
      </c>
      <c r="AE3194" s="249" t="str">
        <f>HYPERLINK("https://scontent.cdninstagram.com/t51.2885-19/s150x150/14504757_310331656008569_118504766241243136_a.jpg")</f>
        <v>https://scontent.cdninstagram.com/t51.2885-19/s150x150/14504757_310331656008569_118504766241243136_a.jpg</v>
      </c>
    </row>
    <row r="3195" spans="1:31" ht="15" x14ac:dyDescent="0.25">
      <c r="A3195" t="s">
        <v>2474</v>
      </c>
      <c r="B3195" t="s">
        <v>7232</v>
      </c>
      <c r="C3195" s="221">
        <v>42974.862743055557</v>
      </c>
      <c r="D3195" t="s">
        <v>18648</v>
      </c>
      <c r="E3195" s="249" t="str">
        <f>HYPERLINK("https://www.instagram.com/p/BYUVfuxnW8n/")</f>
        <v>https://www.instagram.com/p/BYUVfuxnW8n/</v>
      </c>
      <c r="F3195" t="s">
        <v>18649</v>
      </c>
      <c r="G3195" t="s">
        <v>2478</v>
      </c>
      <c r="H3195">
        <v>523</v>
      </c>
      <c r="I3195" t="s">
        <v>2599</v>
      </c>
      <c r="J3195">
        <v>0</v>
      </c>
      <c r="K3195">
        <v>33</v>
      </c>
      <c r="L3195">
        <v>33</v>
      </c>
      <c r="Q3195">
        <v>0</v>
      </c>
      <c r="R3195">
        <v>0</v>
      </c>
      <c r="S3195">
        <v>33</v>
      </c>
      <c r="Y3195" t="s">
        <v>13362</v>
      </c>
      <c r="Z3195" t="s">
        <v>2728</v>
      </c>
      <c r="AA3195" t="s">
        <v>3262</v>
      </c>
      <c r="AB3195" t="s">
        <v>10415</v>
      </c>
      <c r="AC3195" t="s">
        <v>12175</v>
      </c>
      <c r="AD3195" s="249" t="str">
        <f>HYPERLINK("https://scontent.cdninstagram.com/t51.2885-15/e35/p320x320/21147417_129193821050948_4264323348588134400_n.jpg")</f>
        <v>https://scontent.cdninstagram.com/t51.2885-15/e35/p320x320/21147417_129193821050948_4264323348588134400_n.jpg</v>
      </c>
      <c r="AE3195" s="249" t="str">
        <f>HYPERLINK("https://scontent.cdninstagram.com/t51.2885-19/s150x150/14482263_1660577494243200_2334360342223650816_a.jpg")</f>
        <v>https://scontent.cdninstagram.com/t51.2885-19/s150x150/14482263_1660577494243200_2334360342223650816_a.jpg</v>
      </c>
    </row>
    <row r="3196" spans="1:31" ht="15" x14ac:dyDescent="0.25">
      <c r="A3196" t="s">
        <v>2474</v>
      </c>
      <c r="B3196" t="s">
        <v>18650</v>
      </c>
      <c r="C3196" s="221">
        <v>42974.866678240738</v>
      </c>
      <c r="D3196" t="s">
        <v>18651</v>
      </c>
      <c r="E3196" s="249" t="str">
        <f>HYPERLINK("https://www.instagram.com/p/BYUWJNTgNRl/")</f>
        <v>https://www.instagram.com/p/BYUWJNTgNRl/</v>
      </c>
      <c r="F3196" t="s">
        <v>18652</v>
      </c>
      <c r="G3196" t="s">
        <v>2478</v>
      </c>
      <c r="H3196">
        <v>43</v>
      </c>
      <c r="I3196" t="s">
        <v>5670</v>
      </c>
      <c r="J3196">
        <v>4</v>
      </c>
      <c r="K3196">
        <v>9</v>
      </c>
      <c r="L3196">
        <v>13</v>
      </c>
      <c r="Q3196">
        <v>0</v>
      </c>
      <c r="R3196">
        <v>0</v>
      </c>
      <c r="S3196">
        <v>13</v>
      </c>
      <c r="Y3196" t="s">
        <v>18653</v>
      </c>
      <c r="Z3196" t="s">
        <v>18654</v>
      </c>
      <c r="AA3196" t="s">
        <v>18655</v>
      </c>
      <c r="AB3196" t="s">
        <v>2497</v>
      </c>
      <c r="AC3196" t="s">
        <v>18656</v>
      </c>
      <c r="AD3196" s="249" t="str">
        <f>HYPERLINK("https://scontent.cdninstagram.com/t51.2885-15/s320x320/e35/c236.0.608.608/21147581_293728021109011_4687236400129507328_n.jpg")</f>
        <v>https://scontent.cdninstagram.com/t51.2885-15/s320x320/e35/c236.0.608.608/21147581_293728021109011_4687236400129507328_n.jpg</v>
      </c>
      <c r="AE3196" s="249" t="str">
        <f>HYPERLINK("https://scontent.cdninstagram.com/t51.2885-19/s150x150/21147734_144639389461020_7692682839732518912_a.jpg")</f>
        <v>https://scontent.cdninstagram.com/t51.2885-19/s150x150/21147734_144639389461020_7692682839732518912_a.jpg</v>
      </c>
    </row>
    <row r="3197" spans="1:31" ht="15" x14ac:dyDescent="0.25">
      <c r="A3197" t="s">
        <v>2474</v>
      </c>
      <c r="B3197" t="s">
        <v>4535</v>
      </c>
      <c r="C3197" s="221">
        <v>42974.870474537034</v>
      </c>
      <c r="D3197" t="s">
        <v>18657</v>
      </c>
      <c r="E3197" s="249" t="str">
        <f>HYPERLINK("https://www.instagram.com/p/BYUWxOxFNLZ/")</f>
        <v>https://www.instagram.com/p/BYUWxOxFNLZ/</v>
      </c>
      <c r="F3197" t="s">
        <v>18658</v>
      </c>
      <c r="G3197" t="s">
        <v>2488</v>
      </c>
      <c r="H3197">
        <v>176</v>
      </c>
      <c r="I3197" t="s">
        <v>2479</v>
      </c>
      <c r="J3197">
        <v>0</v>
      </c>
      <c r="K3197">
        <v>21</v>
      </c>
      <c r="L3197">
        <v>21</v>
      </c>
      <c r="Q3197">
        <v>0</v>
      </c>
      <c r="R3197">
        <v>0</v>
      </c>
      <c r="S3197">
        <v>21</v>
      </c>
      <c r="Y3197" t="s">
        <v>5608</v>
      </c>
      <c r="Z3197" t="s">
        <v>12421</v>
      </c>
      <c r="AA3197" t="s">
        <v>4542</v>
      </c>
      <c r="AB3197" t="s">
        <v>4538</v>
      </c>
      <c r="AC3197" t="s">
        <v>10684</v>
      </c>
      <c r="AD3197" s="249" t="str">
        <f>HYPERLINK("https://scontent.cdninstagram.com/t51.2885-15/s320x320/e35/21148925_1692853417423113_2561256880286466048_n.jpg")</f>
        <v>https://scontent.cdninstagram.com/t51.2885-15/s320x320/e35/21148925_1692853417423113_2561256880286466048_n.jpg</v>
      </c>
      <c r="AE3197" s="249" t="str">
        <f>HYPERLINK("https://scontent.cdninstagram.com/t51.2885-19/s150x150/20399028_1624608414236560_533007696291430400_a.jpg")</f>
        <v>https://scontent.cdninstagram.com/t51.2885-19/s150x150/20399028_1624608414236560_533007696291430400_a.jpg</v>
      </c>
    </row>
    <row r="3198" spans="1:31" ht="15" x14ac:dyDescent="0.25">
      <c r="A3198" t="s">
        <v>2474</v>
      </c>
      <c r="B3198" t="s">
        <v>18659</v>
      </c>
      <c r="C3198" s="221">
        <v>42974.877268518518</v>
      </c>
      <c r="D3198" t="s">
        <v>18660</v>
      </c>
      <c r="E3198" s="249" t="str">
        <f>HYPERLINK("https://www.instagram.com/p/BYUX4-5BRJ0/")</f>
        <v>https://www.instagram.com/p/BYUX4-5BRJ0/</v>
      </c>
      <c r="F3198" t="s">
        <v>18661</v>
      </c>
      <c r="G3198" t="s">
        <v>2478</v>
      </c>
      <c r="H3198">
        <v>199</v>
      </c>
      <c r="I3198" t="s">
        <v>2479</v>
      </c>
      <c r="J3198">
        <v>1</v>
      </c>
      <c r="K3198">
        <v>35</v>
      </c>
      <c r="L3198">
        <v>36</v>
      </c>
      <c r="Q3198">
        <v>0</v>
      </c>
      <c r="R3198">
        <v>0</v>
      </c>
      <c r="S3198">
        <v>36</v>
      </c>
      <c r="T3198" t="s">
        <v>18662</v>
      </c>
      <c r="U3198" t="s">
        <v>2020</v>
      </c>
      <c r="V3198" t="s">
        <v>2299</v>
      </c>
      <c r="W3198">
        <v>37.119700000000002</v>
      </c>
      <c r="X3198">
        <v>-92.2483</v>
      </c>
      <c r="Y3198" t="s">
        <v>18663</v>
      </c>
      <c r="Z3198" t="s">
        <v>18664</v>
      </c>
      <c r="AA3198" t="s">
        <v>18665</v>
      </c>
      <c r="AB3198" t="s">
        <v>18666</v>
      </c>
      <c r="AC3198" t="s">
        <v>3677</v>
      </c>
      <c r="AD3198" s="249" t="str">
        <f>HYPERLINK("https://scontent.cdninstagram.com/t51.2885-15/s320x320/e35/21042701_268997956936998_9052313921930657792_n.jpg")</f>
        <v>https://scontent.cdninstagram.com/t51.2885-15/s320x320/e35/21042701_268997956936998_9052313921930657792_n.jpg</v>
      </c>
      <c r="AE3198" s="249" t="str">
        <f>HYPERLINK("https://scontent.cdninstagram.com/t51.2885-19/s150x150/18721984_1365829043502630_5657716455735558144_a.jpg")</f>
        <v>https://scontent.cdninstagram.com/t51.2885-19/s150x150/18721984_1365829043502630_5657716455735558144_a.jpg</v>
      </c>
    </row>
    <row r="3199" spans="1:31" ht="15" x14ac:dyDescent="0.25">
      <c r="A3199" t="s">
        <v>2474</v>
      </c>
      <c r="B3199" t="s">
        <v>18667</v>
      </c>
      <c r="C3199" s="221">
        <v>42974.884525462963</v>
      </c>
      <c r="D3199" t="s">
        <v>18668</v>
      </c>
      <c r="E3199" s="249" t="str">
        <f>HYPERLINK("https://www.instagram.com/p/BYUZFixg63T/")</f>
        <v>https://www.instagram.com/p/BYUZFixg63T/</v>
      </c>
      <c r="F3199" t="s">
        <v>18669</v>
      </c>
      <c r="G3199" t="s">
        <v>2478</v>
      </c>
      <c r="H3199">
        <v>350</v>
      </c>
      <c r="I3199" t="s">
        <v>2479</v>
      </c>
      <c r="J3199">
        <v>0</v>
      </c>
      <c r="K3199">
        <v>0</v>
      </c>
      <c r="L3199">
        <v>0</v>
      </c>
      <c r="Q3199">
        <v>0</v>
      </c>
      <c r="R3199">
        <v>0</v>
      </c>
      <c r="S3199">
        <v>0</v>
      </c>
      <c r="Y3199" t="s">
        <v>18670</v>
      </c>
      <c r="Z3199" t="s">
        <v>4042</v>
      </c>
      <c r="AA3199" t="s">
        <v>2906</v>
      </c>
      <c r="AB3199" t="s">
        <v>18671</v>
      </c>
      <c r="AC3199" t="s">
        <v>8966</v>
      </c>
      <c r="AD3199" s="249" t="str">
        <f>HYPERLINK("https://scontent.cdninstagram.com/t51.2885-15/s320x320/e35/c8.0.1064.1064/21107702_1926677390929183_8895041797328207872_n.jpg")</f>
        <v>https://scontent.cdninstagram.com/t51.2885-15/s320x320/e35/c8.0.1064.1064/21107702_1926677390929183_8895041797328207872_n.jpg</v>
      </c>
      <c r="AE3199" s="249" t="str">
        <f>HYPERLINK("https://scontent.cdninstagram.com/t51.2885-19/s150x150/17663027_1861652824073627_6788290931968704512_a.jpg")</f>
        <v>https://scontent.cdninstagram.com/t51.2885-19/s150x150/17663027_1861652824073627_6788290931968704512_a.jpg</v>
      </c>
    </row>
    <row r="3200" spans="1:31" ht="15" x14ac:dyDescent="0.25">
      <c r="A3200" t="s">
        <v>2474</v>
      </c>
      <c r="B3200" t="s">
        <v>18672</v>
      </c>
      <c r="C3200" s="221">
        <v>42974.885937500003</v>
      </c>
      <c r="D3200" t="s">
        <v>18673</v>
      </c>
      <c r="E3200" s="249" t="str">
        <f>HYPERLINK("https://www.instagram.com/p/BYUZUYvA-pL/")</f>
        <v>https://www.instagram.com/p/BYUZUYvA-pL/</v>
      </c>
      <c r="F3200" t="s">
        <v>18674</v>
      </c>
      <c r="G3200" t="s">
        <v>2478</v>
      </c>
      <c r="H3200">
        <v>904</v>
      </c>
      <c r="I3200" t="s">
        <v>2748</v>
      </c>
      <c r="J3200">
        <v>1</v>
      </c>
      <c r="K3200">
        <v>34</v>
      </c>
      <c r="L3200">
        <v>35</v>
      </c>
      <c r="Q3200">
        <v>0</v>
      </c>
      <c r="R3200">
        <v>0</v>
      </c>
      <c r="S3200">
        <v>35</v>
      </c>
      <c r="Y3200" t="s">
        <v>18675</v>
      </c>
      <c r="Z3200" t="s">
        <v>18676</v>
      </c>
      <c r="AA3200" t="s">
        <v>18677</v>
      </c>
      <c r="AB3200" t="s">
        <v>18678</v>
      </c>
      <c r="AC3200" t="s">
        <v>18679</v>
      </c>
      <c r="AD3200" s="249" t="str">
        <f>HYPERLINK("https://scontent.cdninstagram.com/t51.2885-15/s320x320/e35/21108035_114344785905430_1399531921083465728_n.jpg")</f>
        <v>https://scontent.cdninstagram.com/t51.2885-15/s320x320/e35/21108035_114344785905430_1399531921083465728_n.jpg</v>
      </c>
      <c r="AE3200" s="249" t="str">
        <f>HYPERLINK("https://scontent.cdninstagram.com/t51.2885-19/s150x150/21107397_368238060277835_941067273454485504_a.jpg")</f>
        <v>https://scontent.cdninstagram.com/t51.2885-19/s150x150/21107397_368238060277835_941067273454485504_a.jpg</v>
      </c>
    </row>
    <row r="3201" spans="1:31" ht="15" x14ac:dyDescent="0.25">
      <c r="A3201" t="s">
        <v>2474</v>
      </c>
      <c r="B3201" t="s">
        <v>2863</v>
      </c>
      <c r="C3201" s="221">
        <v>42974.906099537038</v>
      </c>
      <c r="D3201" t="s">
        <v>18680</v>
      </c>
      <c r="E3201" s="249" t="str">
        <f>HYPERLINK("https://www.instagram.com/p/BYUcpA1lJK5/")</f>
        <v>https://www.instagram.com/p/BYUcpA1lJK5/</v>
      </c>
      <c r="F3201" t="s">
        <v>18681</v>
      </c>
      <c r="G3201" t="s">
        <v>2478</v>
      </c>
      <c r="H3201">
        <v>71</v>
      </c>
      <c r="I3201" t="s">
        <v>2479</v>
      </c>
      <c r="J3201">
        <v>1</v>
      </c>
      <c r="K3201">
        <v>18</v>
      </c>
      <c r="L3201">
        <v>19</v>
      </c>
      <c r="Q3201">
        <v>0</v>
      </c>
      <c r="R3201">
        <v>0</v>
      </c>
      <c r="S3201">
        <v>19</v>
      </c>
      <c r="Y3201" t="s">
        <v>17646</v>
      </c>
      <c r="Z3201" t="s">
        <v>4514</v>
      </c>
      <c r="AA3201" t="s">
        <v>2492</v>
      </c>
      <c r="AB3201" t="s">
        <v>5211</v>
      </c>
      <c r="AC3201" t="s">
        <v>17392</v>
      </c>
      <c r="AD3201" s="249" t="str">
        <f>HYPERLINK("https://scontent.cdninstagram.com/t51.2885-15/s320x320/e35/21107817_116629138999774_4383088883768754176_n.jpg")</f>
        <v>https://scontent.cdninstagram.com/t51.2885-15/s320x320/e35/21107817_116629138999774_4383088883768754176_n.jpg</v>
      </c>
      <c r="AE3201" s="249" t="str">
        <f>HYPERLINK("https://scontent.cdninstagram.com/t51.2885-19/s150x150/19955745_1435072766568917_8173761520967090176_a.jpg")</f>
        <v>https://scontent.cdninstagram.com/t51.2885-19/s150x150/19955745_1435072766568917_8173761520967090176_a.jpg</v>
      </c>
    </row>
    <row r="3202" spans="1:31" ht="15" x14ac:dyDescent="0.25">
      <c r="A3202" t="s">
        <v>2474</v>
      </c>
      <c r="B3202" t="s">
        <v>3471</v>
      </c>
      <c r="C3202" s="221">
        <v>42974.912349537037</v>
      </c>
      <c r="D3202" t="s">
        <v>18682</v>
      </c>
      <c r="E3202" s="249" t="str">
        <f>HYPERLINK("https://www.instagram.com/p/BYUdq-XnTK9/")</f>
        <v>https://www.instagram.com/p/BYUdq-XnTK9/</v>
      </c>
      <c r="F3202" t="s">
        <v>18683</v>
      </c>
      <c r="G3202" t="s">
        <v>2478</v>
      </c>
      <c r="H3202">
        <v>196</v>
      </c>
      <c r="I3202" t="s">
        <v>2479</v>
      </c>
      <c r="J3202">
        <v>1</v>
      </c>
      <c r="K3202">
        <v>25</v>
      </c>
      <c r="L3202">
        <v>26</v>
      </c>
      <c r="Q3202">
        <v>0</v>
      </c>
      <c r="R3202">
        <v>0</v>
      </c>
      <c r="S3202">
        <v>26</v>
      </c>
      <c r="T3202" t="s">
        <v>3474</v>
      </c>
      <c r="V3202" t="s">
        <v>2258</v>
      </c>
      <c r="W3202">
        <v>1.2930600000000001</v>
      </c>
      <c r="X3202">
        <v>103.85599999999999</v>
      </c>
      <c r="Y3202" t="s">
        <v>6772</v>
      </c>
      <c r="Z3202" t="s">
        <v>5703</v>
      </c>
      <c r="AA3202" t="s">
        <v>3479</v>
      </c>
      <c r="AB3202" t="s">
        <v>11615</v>
      </c>
      <c r="AC3202" t="s">
        <v>5841</v>
      </c>
      <c r="AD3202" s="249" t="str">
        <f>HYPERLINK("https://scontent.cdninstagram.com/t51.2885-15/s320x320/e35/21042584_271520466680730_2720787672355307520_n.jpg")</f>
        <v>https://scontent.cdninstagram.com/t51.2885-15/s320x320/e35/21042584_271520466680730_2720787672355307520_n.jpg</v>
      </c>
      <c r="AE3202" s="249" t="str">
        <f>HYPERLINK("https://scontent.cdninstagram.com/t51.2885-19/s150x150/19986209_741127056067001_1270489010199855104_a.jpg")</f>
        <v>https://scontent.cdninstagram.com/t51.2885-19/s150x150/19986209_741127056067001_1270489010199855104_a.jpg</v>
      </c>
    </row>
    <row r="3203" spans="1:31" ht="15" x14ac:dyDescent="0.25">
      <c r="A3203" t="s">
        <v>2474</v>
      </c>
      <c r="B3203" t="s">
        <v>3993</v>
      </c>
      <c r="C3203" s="221">
        <v>42974.91747685185</v>
      </c>
      <c r="D3203" t="s">
        <v>18684</v>
      </c>
      <c r="E3203" s="249" t="str">
        <f>HYPERLINK("https://www.instagram.com/p/BYUeg_vAtwL/")</f>
        <v>https://www.instagram.com/p/BYUeg_vAtwL/</v>
      </c>
      <c r="F3203" t="s">
        <v>18685</v>
      </c>
      <c r="G3203" t="s">
        <v>2478</v>
      </c>
      <c r="H3203">
        <v>4979</v>
      </c>
      <c r="I3203" t="s">
        <v>2582</v>
      </c>
      <c r="J3203">
        <v>5</v>
      </c>
      <c r="K3203">
        <v>813</v>
      </c>
      <c r="L3203">
        <v>818</v>
      </c>
      <c r="Q3203">
        <v>0</v>
      </c>
      <c r="R3203">
        <v>0</v>
      </c>
      <c r="S3203">
        <v>818</v>
      </c>
      <c r="Y3203" t="s">
        <v>6094</v>
      </c>
      <c r="Z3203" t="s">
        <v>7547</v>
      </c>
      <c r="AA3203" t="s">
        <v>6493</v>
      </c>
      <c r="AB3203" t="s">
        <v>4350</v>
      </c>
      <c r="AC3203" t="s">
        <v>3997</v>
      </c>
      <c r="AD3203" s="249" t="str">
        <f>HYPERLINK("https://scontent.cdninstagram.com/t51.2885-15/s320x320/e35/21042660_221672628360571_3739194533578014720_n.jpg")</f>
        <v>https://scontent.cdninstagram.com/t51.2885-15/s320x320/e35/21042660_221672628360571_3739194533578014720_n.jpg</v>
      </c>
      <c r="AE3203" s="249" t="str">
        <f>HYPERLINK("https://scontent.cdninstagram.com/t51.2885-19/s150x150/20590168_732024603636467_1659654334738071552_a.jpg")</f>
        <v>https://scontent.cdninstagram.com/t51.2885-19/s150x150/20590168_732024603636467_1659654334738071552_a.jpg</v>
      </c>
    </row>
    <row r="3204" spans="1:31" ht="15" x14ac:dyDescent="0.25">
      <c r="A3204" t="s">
        <v>2474</v>
      </c>
      <c r="B3204" t="s">
        <v>18686</v>
      </c>
      <c r="C3204" s="221">
        <v>42974.932962962965</v>
      </c>
      <c r="D3204" t="s">
        <v>18687</v>
      </c>
      <c r="E3204" s="249" t="str">
        <f>HYPERLINK("https://www.instagram.com/p/BYUhES-D0sJ/")</f>
        <v>https://www.instagram.com/p/BYUhES-D0sJ/</v>
      </c>
      <c r="F3204" t="s">
        <v>18688</v>
      </c>
      <c r="G3204" t="s">
        <v>2478</v>
      </c>
      <c r="H3204">
        <v>170</v>
      </c>
      <c r="I3204" t="s">
        <v>2479</v>
      </c>
      <c r="J3204">
        <v>10</v>
      </c>
      <c r="K3204">
        <v>168</v>
      </c>
      <c r="L3204">
        <v>178</v>
      </c>
      <c r="Q3204">
        <v>0</v>
      </c>
      <c r="R3204">
        <v>0</v>
      </c>
      <c r="S3204">
        <v>178</v>
      </c>
      <c r="AD3204" s="249" t="str">
        <f>HYPERLINK("https://scontent.cdninstagram.com/t51.2885-15/e35/p320x320/21042279_1905880159662420_6220640196971462656_n.jpg")</f>
        <v>https://scontent.cdninstagram.com/t51.2885-15/e35/p320x320/21042279_1905880159662420_6220640196971462656_n.jpg</v>
      </c>
      <c r="AE3204" s="249" t="str">
        <f>HYPERLINK("https://scontent.cdninstagram.com/t51.2885-19/s150x150/20836874_1843384985677290_7936442162428772352_a.jpg")</f>
        <v>https://scontent.cdninstagram.com/t51.2885-19/s150x150/20836874_1843384985677290_7936442162428772352_a.jpg</v>
      </c>
    </row>
    <row r="3205" spans="1:31" ht="15" x14ac:dyDescent="0.25">
      <c r="A3205" t="s">
        <v>2474</v>
      </c>
      <c r="B3205" t="s">
        <v>18689</v>
      </c>
      <c r="C3205" s="221">
        <v>42974.954918981479</v>
      </c>
      <c r="D3205" t="s">
        <v>18690</v>
      </c>
      <c r="E3205" s="249" t="str">
        <f>HYPERLINK("https://www.instagram.com/p/BYUkr3TgEEj/")</f>
        <v>https://www.instagram.com/p/BYUkr3TgEEj/</v>
      </c>
      <c r="F3205" t="s">
        <v>18691</v>
      </c>
      <c r="G3205" t="s">
        <v>2478</v>
      </c>
      <c r="H3205">
        <v>84</v>
      </c>
      <c r="I3205" t="s">
        <v>3170</v>
      </c>
      <c r="J3205">
        <v>0</v>
      </c>
      <c r="K3205">
        <v>22</v>
      </c>
      <c r="L3205">
        <v>22</v>
      </c>
      <c r="Q3205">
        <v>0</v>
      </c>
      <c r="R3205">
        <v>0</v>
      </c>
      <c r="S3205">
        <v>22</v>
      </c>
      <c r="Y3205" t="s">
        <v>18692</v>
      </c>
      <c r="Z3205" t="s">
        <v>18693</v>
      </c>
      <c r="AA3205" t="s">
        <v>18694</v>
      </c>
      <c r="AB3205" t="s">
        <v>18695</v>
      </c>
      <c r="AC3205" t="s">
        <v>18696</v>
      </c>
      <c r="AD3205" s="249" t="str">
        <f>HYPERLINK("https://scontent.cdninstagram.com/t51.2885-15/s320x320/e35/21042338_227186304474052_8021867086261256192_n.jpg")</f>
        <v>https://scontent.cdninstagram.com/t51.2885-15/s320x320/e35/21042338_227186304474052_8021867086261256192_n.jpg</v>
      </c>
      <c r="AE3205" s="249" t="str">
        <f>HYPERLINK("https://scontent.cdninstagram.com/t51.2885-19/s150x150/17127038_1193209050792757_4234816394983636992_a.jpg")</f>
        <v>https://scontent.cdninstagram.com/t51.2885-19/s150x150/17127038_1193209050792757_4234816394983636992_a.jpg</v>
      </c>
    </row>
    <row r="3206" spans="1:31" ht="15" x14ac:dyDescent="0.25">
      <c r="A3206" t="s">
        <v>2474</v>
      </c>
      <c r="B3206" t="s">
        <v>18697</v>
      </c>
      <c r="C3206" s="221">
        <v>42974.966412037036</v>
      </c>
      <c r="D3206" t="s">
        <v>18698</v>
      </c>
      <c r="E3206" s="249" t="str">
        <f>HYPERLINK("https://www.instagram.com/p/BYUmlJRAekO/")</f>
        <v>https://www.instagram.com/p/BYUmlJRAekO/</v>
      </c>
      <c r="F3206" t="s">
        <v>18699</v>
      </c>
      <c r="G3206" t="s">
        <v>2478</v>
      </c>
      <c r="H3206">
        <v>257</v>
      </c>
      <c r="I3206" t="s">
        <v>2479</v>
      </c>
      <c r="J3206">
        <v>1</v>
      </c>
      <c r="K3206">
        <v>31</v>
      </c>
      <c r="L3206">
        <v>32</v>
      </c>
      <c r="Q3206">
        <v>0</v>
      </c>
      <c r="R3206">
        <v>0</v>
      </c>
      <c r="S3206">
        <v>32</v>
      </c>
      <c r="Y3206" t="s">
        <v>18700</v>
      </c>
      <c r="Z3206" t="s">
        <v>18701</v>
      </c>
      <c r="AA3206" t="s">
        <v>16390</v>
      </c>
      <c r="AB3206" t="s">
        <v>2497</v>
      </c>
      <c r="AC3206" t="s">
        <v>18702</v>
      </c>
      <c r="AD3206" s="249" t="str">
        <f>HYPERLINK("https://scontent.cdninstagram.com/t51.2885-15/e35/p320x320/21042212_133460623936624_4008129824987021312_n.jpg")</f>
        <v>https://scontent.cdninstagram.com/t51.2885-15/e35/p320x320/21042212_133460623936624_4008129824987021312_n.jpg</v>
      </c>
      <c r="AE3206" s="249" t="str">
        <f>HYPERLINK("https://scontent.cdninstagram.com/t51.2885-19/s150x150/19120271_445736555804062_1498944874794188800_a.jpg")</f>
        <v>https://scontent.cdninstagram.com/t51.2885-19/s150x150/19120271_445736555804062_1498944874794188800_a.jpg</v>
      </c>
    </row>
    <row r="3207" spans="1:31" ht="15" x14ac:dyDescent="0.25">
      <c r="A3207" t="s">
        <v>2474</v>
      </c>
      <c r="B3207" t="s">
        <v>18703</v>
      </c>
      <c r="C3207" s="221">
        <v>42974.983935185184</v>
      </c>
      <c r="D3207" t="s">
        <v>18704</v>
      </c>
      <c r="E3207" s="249" t="str">
        <f>HYPERLINK("https://www.instagram.com/p/BYUpeAFAGzz/")</f>
        <v>https://www.instagram.com/p/BYUpeAFAGzz/</v>
      </c>
      <c r="F3207" t="s">
        <v>18705</v>
      </c>
      <c r="G3207" t="s">
        <v>2478</v>
      </c>
      <c r="H3207">
        <v>10847</v>
      </c>
      <c r="I3207" t="s">
        <v>2479</v>
      </c>
      <c r="J3207">
        <v>1</v>
      </c>
      <c r="K3207">
        <v>163</v>
      </c>
      <c r="L3207">
        <v>164</v>
      </c>
      <c r="Q3207">
        <v>0</v>
      </c>
      <c r="R3207">
        <v>0</v>
      </c>
      <c r="S3207">
        <v>164</v>
      </c>
      <c r="Y3207" t="s">
        <v>18706</v>
      </c>
      <c r="Z3207" t="s">
        <v>18707</v>
      </c>
      <c r="AA3207" t="s">
        <v>18708</v>
      </c>
      <c r="AB3207" t="s">
        <v>18709</v>
      </c>
      <c r="AC3207" t="s">
        <v>2497</v>
      </c>
      <c r="AD3207" s="249" t="str">
        <f>HYPERLINK("https://scontent.cdninstagram.com/t51.2885-15/s320x320/e35/21147505_533404746990958_2378758333990436864_n.jpg")</f>
        <v>https://scontent.cdninstagram.com/t51.2885-15/s320x320/e35/21147505_533404746990958_2378758333990436864_n.jpg</v>
      </c>
      <c r="AE3207" s="249" t="str">
        <f>HYPERLINK("https://scontent.cdninstagram.com/t51.2885-19/s150x150/18878958_614988905360702_2288617497412239360_n.jpg")</f>
        <v>https://scontent.cdninstagram.com/t51.2885-19/s150x150/18878958_614988905360702_2288617497412239360_n.jpg</v>
      </c>
    </row>
    <row r="3208" spans="1:31" ht="15" x14ac:dyDescent="0.25">
      <c r="A3208" t="s">
        <v>2474</v>
      </c>
      <c r="B3208" t="s">
        <v>18710</v>
      </c>
      <c r="C3208" s="221">
        <v>42974.985196759262</v>
      </c>
      <c r="D3208" t="s">
        <v>18711</v>
      </c>
      <c r="E3208" s="249" t="str">
        <f>HYPERLINK("https://www.instagram.com/p/BYUprSpArXI/")</f>
        <v>https://www.instagram.com/p/BYUprSpArXI/</v>
      </c>
      <c r="F3208" t="s">
        <v>18712</v>
      </c>
      <c r="G3208" t="s">
        <v>2478</v>
      </c>
      <c r="H3208">
        <v>291</v>
      </c>
      <c r="I3208" t="s">
        <v>2479</v>
      </c>
      <c r="J3208">
        <v>0</v>
      </c>
      <c r="K3208">
        <v>15</v>
      </c>
      <c r="L3208">
        <v>15</v>
      </c>
      <c r="Q3208">
        <v>0</v>
      </c>
      <c r="R3208">
        <v>0</v>
      </c>
      <c r="S3208">
        <v>15</v>
      </c>
      <c r="Y3208" t="s">
        <v>18713</v>
      </c>
      <c r="Z3208" t="s">
        <v>18714</v>
      </c>
      <c r="AA3208" t="s">
        <v>18715</v>
      </c>
      <c r="AB3208" t="s">
        <v>2497</v>
      </c>
      <c r="AC3208" t="s">
        <v>18716</v>
      </c>
      <c r="AD3208" s="249" t="str">
        <f>HYPERLINK("https://scontent.cdninstagram.com/t51.2885-15/e35/p320x320/21042852_478286142548314_1504550124943048704_n.jpg")</f>
        <v>https://scontent.cdninstagram.com/t51.2885-15/e35/p320x320/21042852_478286142548314_1504550124943048704_n.jpg</v>
      </c>
      <c r="AE3208" s="249" t="str">
        <f>HYPERLINK("https://scontent.cdninstagram.com/t51.2885-19/s150x150/18580980_159709384566194_6378049498534379520_a.jpg")</f>
        <v>https://scontent.cdninstagram.com/t51.2885-19/s150x150/18580980_159709384566194_6378049498534379520_a.jpg</v>
      </c>
    </row>
    <row r="3209" spans="1:31" ht="15" x14ac:dyDescent="0.25">
      <c r="A3209" t="s">
        <v>2474</v>
      </c>
      <c r="B3209" t="s">
        <v>18717</v>
      </c>
      <c r="C3209" s="221">
        <v>42975.000578703701</v>
      </c>
      <c r="D3209" t="s">
        <v>18718</v>
      </c>
      <c r="E3209" s="249" t="str">
        <f>HYPERLINK("https://www.instagram.com/p/BYUsNeOFJfK/")</f>
        <v>https://www.instagram.com/p/BYUsNeOFJfK/</v>
      </c>
      <c r="F3209" t="s">
        <v>18719</v>
      </c>
      <c r="G3209" t="s">
        <v>2478</v>
      </c>
      <c r="H3209">
        <v>75</v>
      </c>
      <c r="I3209" t="s">
        <v>2542</v>
      </c>
      <c r="J3209">
        <v>4</v>
      </c>
      <c r="K3209">
        <v>13</v>
      </c>
      <c r="L3209">
        <v>17</v>
      </c>
      <c r="Q3209">
        <v>0</v>
      </c>
      <c r="R3209">
        <v>0</v>
      </c>
      <c r="S3209">
        <v>17</v>
      </c>
      <c r="Y3209" t="s">
        <v>18720</v>
      </c>
      <c r="Z3209" t="s">
        <v>2673</v>
      </c>
      <c r="AA3209" t="s">
        <v>18721</v>
      </c>
      <c r="AB3209" t="s">
        <v>18722</v>
      </c>
      <c r="AC3209" t="s">
        <v>2968</v>
      </c>
      <c r="AD3209" s="249" t="str">
        <f>HYPERLINK("https://scontent.cdninstagram.com/t51.2885-15/s320x320/e35/21224726_261042134406393_1623752071750615040_n.jpg")</f>
        <v>https://scontent.cdninstagram.com/t51.2885-15/s320x320/e35/21224726_261042134406393_1623752071750615040_n.jpg</v>
      </c>
      <c r="AE3209" s="249" t="str">
        <f>HYPERLINK("https://scontent.cdninstagram.com/t51.2885-19/s150x150/15803093_1182412265215381_7461504927945195520_a.jpg")</f>
        <v>https://scontent.cdninstagram.com/t51.2885-19/s150x150/15803093_1182412265215381_7461504927945195520_a.jpg</v>
      </c>
    </row>
    <row r="3210" spans="1:31" ht="15" x14ac:dyDescent="0.25">
      <c r="A3210" t="s">
        <v>2474</v>
      </c>
      <c r="B3210" t="s">
        <v>18723</v>
      </c>
      <c r="C3210" s="221">
        <v>42975.016122685185</v>
      </c>
      <c r="D3210" t="s">
        <v>18724</v>
      </c>
      <c r="E3210" s="249" t="str">
        <f>HYPERLINK("https://www.instagram.com/p/BYUuxbwAzuh/")</f>
        <v>https://www.instagram.com/p/BYUuxbwAzuh/</v>
      </c>
      <c r="F3210" t="s">
        <v>18725</v>
      </c>
      <c r="G3210" t="s">
        <v>2478</v>
      </c>
      <c r="H3210">
        <v>90</v>
      </c>
      <c r="I3210" t="s">
        <v>2479</v>
      </c>
      <c r="J3210">
        <v>0</v>
      </c>
      <c r="K3210">
        <v>27</v>
      </c>
      <c r="L3210">
        <v>27</v>
      </c>
      <c r="Q3210">
        <v>0</v>
      </c>
      <c r="R3210">
        <v>0</v>
      </c>
      <c r="S3210">
        <v>27</v>
      </c>
      <c r="Y3210" t="s">
        <v>18726</v>
      </c>
      <c r="Z3210" t="s">
        <v>10345</v>
      </c>
      <c r="AA3210" t="s">
        <v>3445</v>
      </c>
      <c r="AB3210" t="s">
        <v>3246</v>
      </c>
      <c r="AC3210" t="s">
        <v>6922</v>
      </c>
      <c r="AD3210" s="249" t="str">
        <f>HYPERLINK("https://scontent.cdninstagram.com/t51.2885-15/s320x320/e35/21107811_1898137663846408_3675484066745942016_n.jpg")</f>
        <v>https://scontent.cdninstagram.com/t51.2885-15/s320x320/e35/21107811_1898137663846408_3675484066745942016_n.jpg</v>
      </c>
      <c r="AE3210" s="249" t="str">
        <f>HYPERLINK("https://scontent.cdninstagram.com/t51.2885-19/s150x150/20968631_1837454246564807_4013795947707367424_a.jpg")</f>
        <v>https://scontent.cdninstagram.com/t51.2885-19/s150x150/20968631_1837454246564807_4013795947707367424_a.jpg</v>
      </c>
    </row>
    <row r="3211" spans="1:31" ht="15" x14ac:dyDescent="0.25">
      <c r="A3211" t="s">
        <v>2474</v>
      </c>
      <c r="B3211" t="s">
        <v>7152</v>
      </c>
      <c r="C3211" s="221">
        <v>42975.016331018516</v>
      </c>
      <c r="D3211" t="s">
        <v>18727</v>
      </c>
      <c r="E3211" s="249" t="str">
        <f>HYPERLINK("https://www.instagram.com/p/BYUuzouDTUo/")</f>
        <v>https://www.instagram.com/p/BYUuzouDTUo/</v>
      </c>
      <c r="F3211" t="s">
        <v>18728</v>
      </c>
      <c r="G3211" t="s">
        <v>2478</v>
      </c>
      <c r="H3211">
        <v>123</v>
      </c>
      <c r="I3211" t="s">
        <v>2542</v>
      </c>
      <c r="J3211">
        <v>2</v>
      </c>
      <c r="K3211">
        <v>33</v>
      </c>
      <c r="L3211">
        <v>35</v>
      </c>
      <c r="Q3211">
        <v>0</v>
      </c>
      <c r="R3211">
        <v>0</v>
      </c>
      <c r="S3211">
        <v>35</v>
      </c>
      <c r="Y3211" t="s">
        <v>7901</v>
      </c>
      <c r="Z3211" t="s">
        <v>2876</v>
      </c>
      <c r="AA3211" t="s">
        <v>2660</v>
      </c>
      <c r="AB3211" t="s">
        <v>2551</v>
      </c>
      <c r="AC3211" t="s">
        <v>8264</v>
      </c>
      <c r="AD3211" s="249" t="str">
        <f>HYPERLINK("https://scontent.cdninstagram.com/t51.2885-15/s320x320/e35/21108039_229317800927908_5820792498494111744_n.jpg")</f>
        <v>https://scontent.cdninstagram.com/t51.2885-15/s320x320/e35/21108039_229317800927908_5820792498494111744_n.jpg</v>
      </c>
      <c r="AE3211" s="249" t="str">
        <f>HYPERLINK("https://scontent.cdninstagram.com/t51.2885-19/s150x150/20181062_1791856511105718_4709893984703479808_a.jpg")</f>
        <v>https://scontent.cdninstagram.com/t51.2885-19/s150x150/20181062_1791856511105718_4709893984703479808_a.jpg</v>
      </c>
    </row>
    <row r="3212" spans="1:31" ht="15" x14ac:dyDescent="0.25">
      <c r="A3212" t="s">
        <v>2474</v>
      </c>
      <c r="B3212" t="s">
        <v>18729</v>
      </c>
      <c r="C3212" s="221">
        <v>42975.021099537036</v>
      </c>
      <c r="D3212" t="s">
        <v>18730</v>
      </c>
      <c r="E3212" s="249" t="str">
        <f>HYPERLINK("https://www.instagram.com/p/BYUvl2ugKSe/")</f>
        <v>https://www.instagram.com/p/BYUvl2ugKSe/</v>
      </c>
      <c r="F3212" t="s">
        <v>18731</v>
      </c>
      <c r="G3212" t="s">
        <v>2478</v>
      </c>
      <c r="H3212">
        <v>348</v>
      </c>
      <c r="I3212" t="s">
        <v>2479</v>
      </c>
      <c r="J3212">
        <v>2</v>
      </c>
      <c r="K3212">
        <v>19</v>
      </c>
      <c r="L3212">
        <v>21</v>
      </c>
      <c r="Q3212">
        <v>0</v>
      </c>
      <c r="R3212">
        <v>0</v>
      </c>
      <c r="S3212">
        <v>21</v>
      </c>
      <c r="T3212" t="s">
        <v>18732</v>
      </c>
      <c r="V3212" t="s">
        <v>2125</v>
      </c>
      <c r="W3212">
        <v>49.222029900000003</v>
      </c>
      <c r="X3212">
        <v>-123.03634</v>
      </c>
      <c r="Y3212" t="s">
        <v>18149</v>
      </c>
      <c r="Z3212" t="s">
        <v>2906</v>
      </c>
      <c r="AA3212" t="s">
        <v>14556</v>
      </c>
      <c r="AB3212" t="s">
        <v>2826</v>
      </c>
      <c r="AC3212" t="s">
        <v>18733</v>
      </c>
      <c r="AD3212" s="249" t="str">
        <f>HYPERLINK("https://scontent.cdninstagram.com/t51.2885-15/s320x320/e35/21149526_130850664203457_4477470583939923968_n.jpg")</f>
        <v>https://scontent.cdninstagram.com/t51.2885-15/s320x320/e35/21149526_130850664203457_4477470583939923968_n.jpg</v>
      </c>
      <c r="AE3212" s="249" t="str">
        <f>HYPERLINK("https://scontent.cdninstagram.com/t51.2885-19/s150x150/13721210_554348531432564_821192957_a.jpg")</f>
        <v>https://scontent.cdninstagram.com/t51.2885-19/s150x150/13721210_554348531432564_821192957_a.jpg</v>
      </c>
    </row>
    <row r="3213" spans="1:31" ht="15" x14ac:dyDescent="0.25">
      <c r="A3213" t="s">
        <v>2474</v>
      </c>
      <c r="B3213" t="s">
        <v>18734</v>
      </c>
      <c r="C3213" s="221">
        <v>42975.032152777778</v>
      </c>
      <c r="D3213" t="s">
        <v>18735</v>
      </c>
      <c r="E3213" s="249" t="str">
        <f>HYPERLINK("https://www.instagram.com/p/BYUxafUlr8s/")</f>
        <v>https://www.instagram.com/p/BYUxafUlr8s/</v>
      </c>
      <c r="F3213" t="s">
        <v>18736</v>
      </c>
      <c r="G3213" t="s">
        <v>2478</v>
      </c>
      <c r="H3213">
        <v>2270</v>
      </c>
      <c r="I3213" t="s">
        <v>2479</v>
      </c>
      <c r="J3213">
        <v>20</v>
      </c>
      <c r="K3213">
        <v>225</v>
      </c>
      <c r="L3213">
        <v>245</v>
      </c>
      <c r="Q3213">
        <v>0</v>
      </c>
      <c r="R3213">
        <v>0</v>
      </c>
      <c r="S3213">
        <v>245</v>
      </c>
      <c r="T3213" t="s">
        <v>18737</v>
      </c>
      <c r="U3213" t="s">
        <v>234</v>
      </c>
      <c r="V3213" t="s">
        <v>2299</v>
      </c>
      <c r="W3213">
        <v>34.278300000000002</v>
      </c>
      <c r="X3213">
        <v>-119.292</v>
      </c>
      <c r="Y3213" t="s">
        <v>18738</v>
      </c>
      <c r="Z3213" t="s">
        <v>3549</v>
      </c>
      <c r="AA3213" t="s">
        <v>17243</v>
      </c>
      <c r="AB3213" t="s">
        <v>18739</v>
      </c>
      <c r="AC3213" t="s">
        <v>18740</v>
      </c>
      <c r="AD3213" s="249" t="str">
        <f>HYPERLINK("https://scontent.cdninstagram.com/t51.2885-15/s320x320/e35/21147423_112667549426388_5153050376752070656_n.jpg")</f>
        <v>https://scontent.cdninstagram.com/t51.2885-15/s320x320/e35/21147423_112667549426388_5153050376752070656_n.jpg</v>
      </c>
      <c r="AE3213" s="249" t="str">
        <f>HYPERLINK("https://scontent.cdninstagram.com/t51.2885-19/s150x150/20635013_123840424914234_8178223257548226560_a.jpg")</f>
        <v>https://scontent.cdninstagram.com/t51.2885-19/s150x150/20635013_123840424914234_8178223257548226560_a.jpg</v>
      </c>
    </row>
    <row r="3214" spans="1:31" ht="15" x14ac:dyDescent="0.25">
      <c r="A3214" t="s">
        <v>2474</v>
      </c>
      <c r="B3214" t="s">
        <v>4616</v>
      </c>
      <c r="C3214" s="221">
        <v>42975.032442129632</v>
      </c>
      <c r="D3214" t="s">
        <v>18741</v>
      </c>
      <c r="E3214" s="249" t="str">
        <f>HYPERLINK("https://www.instagram.com/p/BYUxdihh0Xb/")</f>
        <v>https://www.instagram.com/p/BYUxdihh0Xb/</v>
      </c>
      <c r="F3214" t="s">
        <v>18742</v>
      </c>
      <c r="G3214" t="s">
        <v>2478</v>
      </c>
      <c r="H3214">
        <v>116</v>
      </c>
      <c r="I3214" t="s">
        <v>2479</v>
      </c>
      <c r="J3214">
        <v>0</v>
      </c>
      <c r="K3214">
        <v>30</v>
      </c>
      <c r="L3214">
        <v>30</v>
      </c>
      <c r="Q3214">
        <v>0</v>
      </c>
      <c r="R3214">
        <v>0</v>
      </c>
      <c r="S3214">
        <v>30</v>
      </c>
      <c r="T3214" t="s">
        <v>18743</v>
      </c>
      <c r="W3214">
        <v>13.443301999999999</v>
      </c>
      <c r="X3214">
        <v>103.85968200000001</v>
      </c>
      <c r="Y3214" t="s">
        <v>5586</v>
      </c>
      <c r="Z3214" t="s">
        <v>9549</v>
      </c>
      <c r="AA3214" t="s">
        <v>2866</v>
      </c>
      <c r="AB3214" t="s">
        <v>5587</v>
      </c>
      <c r="AC3214" t="s">
        <v>5007</v>
      </c>
      <c r="AD3214" s="249" t="str">
        <f>HYPERLINK("https://scontent.cdninstagram.com/t51.2885-15/s320x320/e35/21107329_1434829956564481_8815220044880412672_n.jpg")</f>
        <v>https://scontent.cdninstagram.com/t51.2885-15/s320x320/e35/21107329_1434829956564481_8815220044880412672_n.jpg</v>
      </c>
      <c r="AE3214" s="249" t="str">
        <f>HYPERLINK("https://scontent.cdninstagram.com/t51.2885-19/s150x150/17494353_1347957098574282_2527511313651859456_a.jpg")</f>
        <v>https://scontent.cdninstagram.com/t51.2885-19/s150x150/17494353_1347957098574282_2527511313651859456_a.jpg</v>
      </c>
    </row>
    <row r="3215" spans="1:31" ht="15" x14ac:dyDescent="0.25">
      <c r="A3215" t="s">
        <v>2474</v>
      </c>
      <c r="B3215" t="s">
        <v>18744</v>
      </c>
      <c r="C3215" s="221">
        <v>42975.04314814815</v>
      </c>
      <c r="D3215" t="s">
        <v>18745</v>
      </c>
      <c r="E3215" s="249" t="str">
        <f>HYPERLINK("https://www.instagram.com/p/BYUzOgpnUr1/")</f>
        <v>https://www.instagram.com/p/BYUzOgpnUr1/</v>
      </c>
      <c r="F3215" t="s">
        <v>18746</v>
      </c>
      <c r="G3215" t="s">
        <v>2478</v>
      </c>
      <c r="H3215">
        <v>264</v>
      </c>
      <c r="I3215" t="s">
        <v>2479</v>
      </c>
      <c r="J3215">
        <v>4</v>
      </c>
      <c r="K3215">
        <v>27</v>
      </c>
      <c r="L3215">
        <v>31</v>
      </c>
      <c r="Q3215">
        <v>0</v>
      </c>
      <c r="R3215">
        <v>0</v>
      </c>
      <c r="S3215">
        <v>31</v>
      </c>
      <c r="T3215" t="s">
        <v>18747</v>
      </c>
      <c r="U3215" t="s">
        <v>188</v>
      </c>
      <c r="V3215" t="s">
        <v>2299</v>
      </c>
      <c r="W3215">
        <v>36.279339999999998</v>
      </c>
      <c r="X3215">
        <v>-115.11530999999999</v>
      </c>
      <c r="Y3215" t="s">
        <v>4201</v>
      </c>
      <c r="Z3215" t="s">
        <v>2497</v>
      </c>
      <c r="AA3215" t="s">
        <v>18748</v>
      </c>
      <c r="AB3215" t="s">
        <v>18749</v>
      </c>
      <c r="AC3215" t="s">
        <v>4202</v>
      </c>
      <c r="AD3215" s="249" t="str">
        <f>HYPERLINK("https://scontent.cdninstagram.com/t51.2885-15/s320x320/e35/21147580_2014594532107374_461499707743535104_n.jpg")</f>
        <v>https://scontent.cdninstagram.com/t51.2885-15/s320x320/e35/21147580_2014594532107374_461499707743535104_n.jpg</v>
      </c>
      <c r="AE3215" s="249" t="str">
        <f>HYPERLINK("https://scontent.cdninstagram.com/t51.2885-19/s150x150/20902378_1026065180882848_2234769190319816704_a.jpg")</f>
        <v>https://scontent.cdninstagram.com/t51.2885-19/s150x150/20902378_1026065180882848_2234769190319816704_a.jpg</v>
      </c>
    </row>
    <row r="3216" spans="1:31" ht="15" x14ac:dyDescent="0.25">
      <c r="A3216" t="s">
        <v>2474</v>
      </c>
      <c r="B3216" t="s">
        <v>18309</v>
      </c>
      <c r="C3216" s="221">
        <v>42975.050497685188</v>
      </c>
      <c r="D3216" t="s">
        <v>18750</v>
      </c>
      <c r="E3216" s="249" t="str">
        <f>HYPERLINK("https://www.instagram.com/p/BYU0b-Xjuwt/")</f>
        <v>https://www.instagram.com/p/BYU0b-Xjuwt/</v>
      </c>
      <c r="F3216" t="s">
        <v>18751</v>
      </c>
      <c r="G3216" t="s">
        <v>2478</v>
      </c>
      <c r="H3216">
        <v>7</v>
      </c>
      <c r="I3216" t="s">
        <v>2542</v>
      </c>
      <c r="J3216">
        <v>2</v>
      </c>
      <c r="K3216">
        <v>17</v>
      </c>
      <c r="L3216">
        <v>19</v>
      </c>
      <c r="Q3216">
        <v>0</v>
      </c>
      <c r="R3216">
        <v>0</v>
      </c>
      <c r="S3216">
        <v>19</v>
      </c>
      <c r="Y3216" t="s">
        <v>6843</v>
      </c>
      <c r="Z3216" t="s">
        <v>4180</v>
      </c>
      <c r="AA3216" t="s">
        <v>2562</v>
      </c>
      <c r="AB3216" t="s">
        <v>2497</v>
      </c>
      <c r="AC3216" t="s">
        <v>10374</v>
      </c>
      <c r="AD3216" s="249" t="str">
        <f>HYPERLINK("https://scontent.cdninstagram.com/t51.2885-15/s320x320/e35/21149278_189402028268836_8813681252587536384_n.jpg")</f>
        <v>https://scontent.cdninstagram.com/t51.2885-15/s320x320/e35/21149278_189402028268836_8813681252587536384_n.jpg</v>
      </c>
      <c r="AE3216" s="249" t="str">
        <f>HYPERLINK("https://scontent.cdninstagram.com/t51.2885-19/s150x150/21224635_116853155713206_6935607206414909440_a.jpg")</f>
        <v>https://scontent.cdninstagram.com/t51.2885-19/s150x150/21224635_116853155713206_6935607206414909440_a.jpg</v>
      </c>
    </row>
    <row r="3217" spans="1:31" ht="15" x14ac:dyDescent="0.25">
      <c r="A3217" t="s">
        <v>2474</v>
      </c>
      <c r="B3217" t="s">
        <v>18752</v>
      </c>
      <c r="C3217" s="221">
        <v>42975.053298611114</v>
      </c>
      <c r="D3217" t="s">
        <v>18753</v>
      </c>
      <c r="E3217" s="249" t="str">
        <f>HYPERLINK("https://www.instagram.com/p/BYU05goHFg-/")</f>
        <v>https://www.instagram.com/p/BYU05goHFg-/</v>
      </c>
      <c r="F3217" t="s">
        <v>18754</v>
      </c>
      <c r="G3217" t="s">
        <v>2478</v>
      </c>
      <c r="I3217" t="s">
        <v>2479</v>
      </c>
      <c r="J3217">
        <v>4</v>
      </c>
      <c r="K3217">
        <v>60</v>
      </c>
      <c r="L3217">
        <v>64</v>
      </c>
      <c r="Q3217">
        <v>0</v>
      </c>
      <c r="R3217">
        <v>0</v>
      </c>
      <c r="S3217">
        <v>64</v>
      </c>
      <c r="T3217" t="s">
        <v>8942</v>
      </c>
      <c r="V3217" t="s">
        <v>2102</v>
      </c>
      <c r="W3217">
        <v>-33.86</v>
      </c>
      <c r="X3217">
        <v>151.21100000000001</v>
      </c>
      <c r="Y3217" t="s">
        <v>18755</v>
      </c>
      <c r="Z3217" t="s">
        <v>4987</v>
      </c>
      <c r="AA3217" t="s">
        <v>3662</v>
      </c>
      <c r="AB3217" t="s">
        <v>2497</v>
      </c>
      <c r="AC3217" t="s">
        <v>18756</v>
      </c>
      <c r="AD3217" s="249" t="str">
        <f>HYPERLINK("https://scontent.cdninstagram.com/t51.2885-15/s320x320/e35/21147215_1465010896877909_1681444219954135040_n.jpg")</f>
        <v>https://scontent.cdninstagram.com/t51.2885-15/s320x320/e35/21147215_1465010896877909_1681444219954135040_n.jpg</v>
      </c>
      <c r="AE3217" s="249" t="str">
        <f>HYPERLINK("https://scontent.cdninstagram.com/t51.2885-19/10954757_822857881119605_1924926604_a.jpg")</f>
        <v>https://scontent.cdninstagram.com/t51.2885-19/10954757_822857881119605_1924926604_a.jpg</v>
      </c>
    </row>
    <row r="3218" spans="1:31" ht="15" x14ac:dyDescent="0.25">
      <c r="A3218" t="s">
        <v>2474</v>
      </c>
      <c r="B3218" t="s">
        <v>18757</v>
      </c>
      <c r="C3218" s="221">
        <v>42975.055266203701</v>
      </c>
      <c r="D3218" t="s">
        <v>18758</v>
      </c>
      <c r="E3218" s="249" t="str">
        <f>HYPERLINK("https://www.instagram.com/p/BYU1OUvl6MO/")</f>
        <v>https://www.instagram.com/p/BYU1OUvl6MO/</v>
      </c>
      <c r="F3218" t="s">
        <v>18759</v>
      </c>
      <c r="G3218" t="s">
        <v>2478</v>
      </c>
      <c r="H3218">
        <v>2622</v>
      </c>
      <c r="I3218" t="s">
        <v>2479</v>
      </c>
      <c r="J3218">
        <v>121</v>
      </c>
      <c r="K3218">
        <v>250</v>
      </c>
      <c r="L3218">
        <v>371</v>
      </c>
      <c r="Q3218">
        <v>0</v>
      </c>
      <c r="R3218">
        <v>0</v>
      </c>
      <c r="S3218">
        <v>371</v>
      </c>
      <c r="Y3218" t="s">
        <v>18760</v>
      </c>
      <c r="Z3218" t="s">
        <v>2497</v>
      </c>
      <c r="AA3218" t="s">
        <v>18761</v>
      </c>
      <c r="AB3218" t="s">
        <v>5950</v>
      </c>
      <c r="AC3218" t="s">
        <v>18762</v>
      </c>
      <c r="AD3218" s="249" t="str">
        <f>HYPERLINK("https://scontent.cdninstagram.com/t51.2885-15/s320x320/e35/21148081_1763400143963377_343986718170415104_n.jpg")</f>
        <v>https://scontent.cdninstagram.com/t51.2885-15/s320x320/e35/21148081_1763400143963377_343986718170415104_n.jpg</v>
      </c>
      <c r="AE3218" s="249" t="str">
        <f>HYPERLINK("https://scontent.cdninstagram.com/t51.2885-19/s150x150/15625133_685149268327569_735416946467536896_a.jpg")</f>
        <v>https://scontent.cdninstagram.com/t51.2885-19/s150x150/15625133_685149268327569_735416946467536896_a.jpg</v>
      </c>
    </row>
    <row r="3219" spans="1:31" ht="15" x14ac:dyDescent="0.25">
      <c r="A3219" t="s">
        <v>2474</v>
      </c>
      <c r="B3219" t="s">
        <v>18309</v>
      </c>
      <c r="C3219" s="221">
        <v>42975.064085648148</v>
      </c>
      <c r="D3219" t="s">
        <v>18763</v>
      </c>
      <c r="E3219" s="249" t="str">
        <f>HYPERLINK("https://www.instagram.com/p/BYU2rVujavT/")</f>
        <v>https://www.instagram.com/p/BYU2rVujavT/</v>
      </c>
      <c r="F3219" t="s">
        <v>18764</v>
      </c>
      <c r="G3219" t="s">
        <v>2478</v>
      </c>
      <c r="H3219">
        <v>7</v>
      </c>
      <c r="I3219" t="s">
        <v>3898</v>
      </c>
      <c r="J3219">
        <v>0</v>
      </c>
      <c r="K3219">
        <v>6</v>
      </c>
      <c r="L3219">
        <v>6</v>
      </c>
      <c r="Q3219">
        <v>0</v>
      </c>
      <c r="R3219">
        <v>0</v>
      </c>
      <c r="S3219">
        <v>6</v>
      </c>
      <c r="Y3219" t="s">
        <v>6843</v>
      </c>
      <c r="Z3219" t="s">
        <v>18765</v>
      </c>
      <c r="AA3219" t="s">
        <v>4180</v>
      </c>
      <c r="AB3219" t="s">
        <v>2562</v>
      </c>
      <c r="AC3219" t="s">
        <v>2497</v>
      </c>
      <c r="AD3219" s="249" t="str">
        <f>HYPERLINK("https://scontent.cdninstagram.com/t51.2885-15/s320x320/e35/21107147_1854999621495561_3911894124873121792_n.jpg")</f>
        <v>https://scontent.cdninstagram.com/t51.2885-15/s320x320/e35/21107147_1854999621495561_3911894124873121792_n.jpg</v>
      </c>
      <c r="AE3219" s="249" t="str">
        <f>HYPERLINK("https://scontent.cdninstagram.com/t51.2885-19/s150x150/21224635_116853155713206_6935607206414909440_a.jpg")</f>
        <v>https://scontent.cdninstagram.com/t51.2885-19/s150x150/21224635_116853155713206_6935607206414909440_a.jpg</v>
      </c>
    </row>
    <row r="3220" spans="1:31" ht="15" x14ac:dyDescent="0.25">
      <c r="A3220" t="s">
        <v>2474</v>
      </c>
      <c r="B3220" t="s">
        <v>2644</v>
      </c>
      <c r="C3220" s="221">
        <v>42975.067858796298</v>
      </c>
      <c r="D3220" t="s">
        <v>18766</v>
      </c>
      <c r="E3220" s="249" t="str">
        <f>HYPERLINK("https://www.instagram.com/p/BYU3TDMgQXQ/")</f>
        <v>https://www.instagram.com/p/BYU3TDMgQXQ/</v>
      </c>
      <c r="F3220" t="s">
        <v>18767</v>
      </c>
      <c r="G3220" t="s">
        <v>2478</v>
      </c>
      <c r="H3220">
        <v>1728</v>
      </c>
      <c r="I3220" t="s">
        <v>2479</v>
      </c>
      <c r="J3220">
        <v>0</v>
      </c>
      <c r="K3220">
        <v>40</v>
      </c>
      <c r="L3220">
        <v>40</v>
      </c>
      <c r="Q3220">
        <v>0</v>
      </c>
      <c r="R3220">
        <v>0</v>
      </c>
      <c r="S3220">
        <v>40</v>
      </c>
      <c r="T3220" t="s">
        <v>18768</v>
      </c>
      <c r="V3220" t="s">
        <v>2648</v>
      </c>
      <c r="W3220">
        <v>55.8</v>
      </c>
      <c r="X3220">
        <v>37.933333330000004</v>
      </c>
      <c r="Y3220" t="s">
        <v>2032</v>
      </c>
      <c r="Z3220" t="s">
        <v>5796</v>
      </c>
      <c r="AA3220" t="s">
        <v>5492</v>
      </c>
      <c r="AB3220" t="s">
        <v>7848</v>
      </c>
      <c r="AC3220" t="s">
        <v>5928</v>
      </c>
      <c r="AD3220" s="249" t="str">
        <f>HYPERLINK("https://scontent.cdninstagram.com/t51.2885-15/s320x320/e35/c0.17.1080.1080/21108052_112562232791071_8365292258932555776_n.jpg")</f>
        <v>https://scontent.cdninstagram.com/t51.2885-15/s320x320/e35/c0.17.1080.1080/21108052_112562232791071_8365292258932555776_n.jpg</v>
      </c>
      <c r="AE3220" s="249" t="str">
        <f>HYPERLINK("https://scontent.cdninstagram.com/t51.2885-19/11372086_1598451257062069_1320225693_a.jpg")</f>
        <v>https://scontent.cdninstagram.com/t51.2885-19/11372086_1598451257062069_1320225693_a.jpg</v>
      </c>
    </row>
    <row r="3221" spans="1:31" ht="15" x14ac:dyDescent="0.25">
      <c r="A3221" t="s">
        <v>2474</v>
      </c>
      <c r="B3221" t="s">
        <v>18769</v>
      </c>
      <c r="C3221" s="221">
        <v>42975.079328703701</v>
      </c>
      <c r="D3221" t="s">
        <v>18770</v>
      </c>
      <c r="E3221" s="249" t="str">
        <f>HYPERLINK("https://www.instagram.com/p/BYU5MCzl8su/")</f>
        <v>https://www.instagram.com/p/BYU5MCzl8su/</v>
      </c>
      <c r="F3221" t="s">
        <v>18771</v>
      </c>
      <c r="G3221" t="s">
        <v>2478</v>
      </c>
      <c r="H3221">
        <v>88</v>
      </c>
      <c r="I3221" t="s">
        <v>2479</v>
      </c>
      <c r="J3221">
        <v>3</v>
      </c>
      <c r="K3221">
        <v>33</v>
      </c>
      <c r="L3221">
        <v>36</v>
      </c>
      <c r="Q3221">
        <v>0</v>
      </c>
      <c r="R3221">
        <v>0</v>
      </c>
      <c r="S3221">
        <v>36</v>
      </c>
      <c r="Y3221" t="s">
        <v>18772</v>
      </c>
      <c r="Z3221" t="s">
        <v>2497</v>
      </c>
      <c r="AA3221" t="s">
        <v>18773</v>
      </c>
      <c r="AB3221" t="s">
        <v>5644</v>
      </c>
      <c r="AC3221" t="s">
        <v>13621</v>
      </c>
      <c r="AD3221" s="249" t="str">
        <f>HYPERLINK("https://scontent.cdninstagram.com/t51.2885-15/s320x320/e35/21042727_496336667383866_4129042328419565568_n.jpg")</f>
        <v>https://scontent.cdninstagram.com/t51.2885-15/s320x320/e35/21042727_496336667383866_4129042328419565568_n.jpg</v>
      </c>
      <c r="AE3221" s="249" t="str">
        <f>HYPERLINK("https://scontent.cdninstagram.com/t51.2885-19/s150x150/19380040_311025286005675_8636902602002399232_a.jpg")</f>
        <v>https://scontent.cdninstagram.com/t51.2885-19/s150x150/19380040_311025286005675_8636902602002399232_a.jpg</v>
      </c>
    </row>
    <row r="3222" spans="1:31" ht="15" x14ac:dyDescent="0.25">
      <c r="A3222" t="s">
        <v>2474</v>
      </c>
      <c r="B3222" t="s">
        <v>18774</v>
      </c>
      <c r="C3222" s="221">
        <v>42975.081956018519</v>
      </c>
      <c r="D3222" t="s">
        <v>18775</v>
      </c>
      <c r="E3222" s="249" t="str">
        <f>HYPERLINK("https://www.instagram.com/p/BYU5nzVAnml/")</f>
        <v>https://www.instagram.com/p/BYU5nzVAnml/</v>
      </c>
      <c r="F3222" t="s">
        <v>18776</v>
      </c>
      <c r="G3222" t="s">
        <v>2478</v>
      </c>
      <c r="H3222">
        <v>488</v>
      </c>
      <c r="I3222" t="s">
        <v>3273</v>
      </c>
      <c r="J3222">
        <v>4</v>
      </c>
      <c r="K3222">
        <v>77</v>
      </c>
      <c r="L3222">
        <v>81</v>
      </c>
      <c r="Q3222">
        <v>0</v>
      </c>
      <c r="R3222">
        <v>0</v>
      </c>
      <c r="S3222">
        <v>81</v>
      </c>
      <c r="Y3222" t="s">
        <v>6835</v>
      </c>
      <c r="Z3222" t="s">
        <v>18774</v>
      </c>
      <c r="AA3222" t="s">
        <v>13540</v>
      </c>
      <c r="AB3222" t="s">
        <v>2497</v>
      </c>
      <c r="AC3222" t="s">
        <v>18777</v>
      </c>
      <c r="AD3222" s="249" t="str">
        <f>HYPERLINK("https://scontent.cdninstagram.com/t51.2885-15/s320x320/e35/21108036_253386498505046_3590124057049169920_n.jpg")</f>
        <v>https://scontent.cdninstagram.com/t51.2885-15/s320x320/e35/21108036_253386498505046_3590124057049169920_n.jpg</v>
      </c>
      <c r="AE3222" s="249" t="str">
        <f>HYPERLINK("https://scontent.cdninstagram.com/t51.2885-19/s150x150/13181504_216820012043312_1014874697_a.jpg")</f>
        <v>https://scontent.cdninstagram.com/t51.2885-19/s150x150/13181504_216820012043312_1014874697_a.jpg</v>
      </c>
    </row>
    <row r="3223" spans="1:31" ht="15" x14ac:dyDescent="0.25">
      <c r="A3223" t="s">
        <v>2474</v>
      </c>
      <c r="B3223" t="s">
        <v>3644</v>
      </c>
      <c r="C3223" s="221">
        <v>42975.081990740742</v>
      </c>
      <c r="D3223" t="s">
        <v>18778</v>
      </c>
      <c r="E3223" s="249" t="str">
        <f>HYPERLINK("https://www.instagram.com/p/BYU5oHeFRt2/")</f>
        <v>https://www.instagram.com/p/BYU5oHeFRt2/</v>
      </c>
      <c r="F3223" t="s">
        <v>18779</v>
      </c>
      <c r="G3223" t="s">
        <v>2478</v>
      </c>
      <c r="H3223">
        <v>575</v>
      </c>
      <c r="I3223" t="s">
        <v>2479</v>
      </c>
      <c r="J3223">
        <v>0</v>
      </c>
      <c r="K3223">
        <v>43</v>
      </c>
      <c r="L3223">
        <v>43</v>
      </c>
      <c r="Q3223">
        <v>0</v>
      </c>
      <c r="R3223">
        <v>0</v>
      </c>
      <c r="S3223">
        <v>43</v>
      </c>
      <c r="T3223" t="s">
        <v>18780</v>
      </c>
      <c r="V3223" t="s">
        <v>2141</v>
      </c>
      <c r="W3223">
        <v>55.350278000000003</v>
      </c>
      <c r="X3223">
        <v>10.355833000000001</v>
      </c>
      <c r="Y3223" t="s">
        <v>5867</v>
      </c>
      <c r="Z3223" t="s">
        <v>9794</v>
      </c>
      <c r="AA3223" t="s">
        <v>7120</v>
      </c>
      <c r="AB3223" t="s">
        <v>6994</v>
      </c>
      <c r="AC3223" t="s">
        <v>14695</v>
      </c>
      <c r="AD3223" s="249" t="str">
        <f>HYPERLINK("https://scontent.cdninstagram.com/t51.2885-15/s320x320/e35/21107561_122036078385127_7748039925886353408_n.jpg")</f>
        <v>https://scontent.cdninstagram.com/t51.2885-15/s320x320/e35/21107561_122036078385127_7748039925886353408_n.jpg</v>
      </c>
      <c r="AE3223" s="249" t="str">
        <f>HYPERLINK("https://scontent.cdninstagram.com/t51.2885-19/s150x150/14714495_1790450111234953_7147855754219749376_a.jpg")</f>
        <v>https://scontent.cdninstagram.com/t51.2885-19/s150x150/14714495_1790450111234953_7147855754219749376_a.jpg</v>
      </c>
    </row>
    <row r="3224" spans="1:31" ht="15" x14ac:dyDescent="0.25">
      <c r="A3224" t="s">
        <v>2474</v>
      </c>
      <c r="B3224" t="s">
        <v>18781</v>
      </c>
      <c r="C3224" s="221">
        <v>42975.102488425924</v>
      </c>
      <c r="D3224" t="s">
        <v>18782</v>
      </c>
      <c r="E3224" s="249" t="str">
        <f>HYPERLINK("https://www.instagram.com/p/BYU9ASplaGE/")</f>
        <v>https://www.instagram.com/p/BYU9ASplaGE/</v>
      </c>
      <c r="F3224" t="s">
        <v>18783</v>
      </c>
      <c r="G3224" t="s">
        <v>2478</v>
      </c>
      <c r="H3224">
        <v>110</v>
      </c>
      <c r="I3224" t="s">
        <v>2479</v>
      </c>
      <c r="J3224">
        <v>5</v>
      </c>
      <c r="K3224">
        <v>19</v>
      </c>
      <c r="L3224">
        <v>24</v>
      </c>
      <c r="Q3224">
        <v>0</v>
      </c>
      <c r="R3224">
        <v>0</v>
      </c>
      <c r="S3224">
        <v>24</v>
      </c>
      <c r="Y3224" t="s">
        <v>2497</v>
      </c>
      <c r="Z3224" t="s">
        <v>18784</v>
      </c>
      <c r="AD3224" s="249" t="str">
        <f>HYPERLINK("https://scontent.cdninstagram.com/t51.2885-15/e35/p320x320/21148109_1728030504167186_3285482868557479936_n.jpg")</f>
        <v>https://scontent.cdninstagram.com/t51.2885-15/e35/p320x320/21148109_1728030504167186_3285482868557479936_n.jpg</v>
      </c>
      <c r="AE3224" s="249" t="str">
        <f>HYPERLINK("https://scontent.cdninstagram.com/t51.2885-19/s150x150/20066924_1900162086898514_791663455923863552_a.jpg")</f>
        <v>https://scontent.cdninstagram.com/t51.2885-19/s150x150/20066924_1900162086898514_791663455923863552_a.jpg</v>
      </c>
    </row>
    <row r="3225" spans="1:31" ht="15" x14ac:dyDescent="0.25">
      <c r="A3225" t="s">
        <v>2474</v>
      </c>
      <c r="B3225" t="s">
        <v>18785</v>
      </c>
      <c r="C3225" s="221">
        <v>42975.104988425926</v>
      </c>
      <c r="D3225" t="s">
        <v>18786</v>
      </c>
      <c r="E3225" s="249" t="str">
        <f>HYPERLINK("https://www.instagram.com/p/BYU9asblg6-/")</f>
        <v>https://www.instagram.com/p/BYU9asblg6-/</v>
      </c>
      <c r="F3225" t="s">
        <v>18787</v>
      </c>
      <c r="G3225" t="s">
        <v>2488</v>
      </c>
      <c r="H3225">
        <v>1556</v>
      </c>
      <c r="I3225" t="s">
        <v>2479</v>
      </c>
      <c r="J3225">
        <v>8</v>
      </c>
      <c r="K3225">
        <v>76</v>
      </c>
      <c r="L3225">
        <v>84</v>
      </c>
      <c r="Q3225">
        <v>0</v>
      </c>
      <c r="R3225">
        <v>0</v>
      </c>
      <c r="S3225">
        <v>84</v>
      </c>
      <c r="Y3225" t="s">
        <v>9794</v>
      </c>
      <c r="Z3225" t="s">
        <v>2497</v>
      </c>
      <c r="AA3225" t="s">
        <v>18788</v>
      </c>
      <c r="AB3225" t="s">
        <v>18789</v>
      </c>
      <c r="AC3225" t="s">
        <v>6043</v>
      </c>
      <c r="AD3225" s="249" t="str">
        <f>HYPERLINK("https://scontent.cdninstagram.com/t51.2885-15/s320x320/e35/21107874_1529349960418545_1258386187496718336_n.jpg")</f>
        <v>https://scontent.cdninstagram.com/t51.2885-15/s320x320/e35/21107874_1529349960418545_1258386187496718336_n.jpg</v>
      </c>
      <c r="AE3225" s="249" t="str">
        <f>HYPERLINK("https://scontent.cdninstagram.com/t51.2885-19/s150x150/16465142_376848529364925_8346714506742726656_a.jpg")</f>
        <v>https://scontent.cdninstagram.com/t51.2885-19/s150x150/16465142_376848529364925_8346714506742726656_a.jpg</v>
      </c>
    </row>
    <row r="3226" spans="1:31" ht="15" x14ac:dyDescent="0.25">
      <c r="A3226" t="s">
        <v>2474</v>
      </c>
      <c r="B3226" t="s">
        <v>18790</v>
      </c>
      <c r="C3226" s="221">
        <v>42975.111643518518</v>
      </c>
      <c r="D3226" t="s">
        <v>18791</v>
      </c>
      <c r="E3226" s="249" t="str">
        <f>HYPERLINK("https://www.instagram.com/p/BYU-g1Tj3I_/")</f>
        <v>https://www.instagram.com/p/BYU-g1Tj3I_/</v>
      </c>
      <c r="F3226" t="s">
        <v>18792</v>
      </c>
      <c r="G3226" t="s">
        <v>2478</v>
      </c>
      <c r="H3226">
        <v>162</v>
      </c>
      <c r="I3226" t="s">
        <v>2479</v>
      </c>
      <c r="J3226">
        <v>1</v>
      </c>
      <c r="K3226">
        <v>48</v>
      </c>
      <c r="L3226">
        <v>49</v>
      </c>
      <c r="Q3226">
        <v>0</v>
      </c>
      <c r="R3226">
        <v>0</v>
      </c>
      <c r="S3226">
        <v>49</v>
      </c>
      <c r="Y3226" t="s">
        <v>2492</v>
      </c>
      <c r="Z3226" t="s">
        <v>2497</v>
      </c>
      <c r="AA3226" t="s">
        <v>18793</v>
      </c>
      <c r="AD3226" s="249" t="str">
        <f>HYPERLINK("https://scontent.cdninstagram.com/t51.2885-15/s320x320/e35/21148117_1943840015905805_4988552274616778752_n.jpg")</f>
        <v>https://scontent.cdninstagram.com/t51.2885-15/s320x320/e35/21148117_1943840015905805_4988552274616778752_n.jpg</v>
      </c>
      <c r="AE3226" s="249" t="str">
        <f>HYPERLINK("https://scontent.cdninstagram.com/t51.2885-19/s150x150/21373425_2053457841542441_2858507151616245760_a.jpg")</f>
        <v>https://scontent.cdninstagram.com/t51.2885-19/s150x150/21373425_2053457841542441_2858507151616245760_a.jpg</v>
      </c>
    </row>
    <row r="3227" spans="1:31" ht="15" x14ac:dyDescent="0.25">
      <c r="A3227" t="s">
        <v>2474</v>
      </c>
      <c r="B3227" t="s">
        <v>3754</v>
      </c>
      <c r="C3227" s="221">
        <v>42975.113738425927</v>
      </c>
      <c r="D3227" t="s">
        <v>18794</v>
      </c>
      <c r="E3227" s="249" t="str">
        <f>HYPERLINK("https://www.instagram.com/p/BYU-293Dvk1/")</f>
        <v>https://www.instagram.com/p/BYU-293Dvk1/</v>
      </c>
      <c r="F3227" t="s">
        <v>7206</v>
      </c>
      <c r="G3227" t="s">
        <v>2478</v>
      </c>
      <c r="H3227">
        <v>201406</v>
      </c>
      <c r="I3227" t="s">
        <v>2479</v>
      </c>
      <c r="J3227">
        <v>0</v>
      </c>
      <c r="K3227">
        <v>222</v>
      </c>
      <c r="L3227">
        <v>222</v>
      </c>
      <c r="Q3227">
        <v>0</v>
      </c>
      <c r="R3227">
        <v>0</v>
      </c>
      <c r="S3227">
        <v>222</v>
      </c>
      <c r="Y3227" t="s">
        <v>11395</v>
      </c>
      <c r="Z3227" t="s">
        <v>4803</v>
      </c>
      <c r="AA3227" t="s">
        <v>6790</v>
      </c>
      <c r="AB3227" t="s">
        <v>8654</v>
      </c>
      <c r="AC3227" t="s">
        <v>6242</v>
      </c>
      <c r="AD3227" s="249" t="str">
        <f>HYPERLINK("https://scontent.cdninstagram.com/t51.2885-15/s320x320/e35/21107607_113782085994842_743638274081292288_n.jpg")</f>
        <v>https://scontent.cdninstagram.com/t51.2885-15/s320x320/e35/21107607_113782085994842_743638274081292288_n.jpg</v>
      </c>
      <c r="AE3227" s="249" t="str">
        <f>HYPERLINK("https://scontent.cdninstagram.com/t51.2885-19/s150x150/12905002_1681254462136092_1137392787_a.jpg")</f>
        <v>https://scontent.cdninstagram.com/t51.2885-19/s150x150/12905002_1681254462136092_1137392787_a.jpg</v>
      </c>
    </row>
    <row r="3228" spans="1:31" ht="15" x14ac:dyDescent="0.25">
      <c r="A3228" t="s">
        <v>2474</v>
      </c>
      <c r="B3228" t="s">
        <v>18795</v>
      </c>
      <c r="C3228" s="221">
        <v>42975.116608796299</v>
      </c>
      <c r="D3228" t="s">
        <v>18796</v>
      </c>
      <c r="E3228" s="249" t="str">
        <f>HYPERLINK("https://www.instagram.com/p/BYU_VS6herX/")</f>
        <v>https://www.instagram.com/p/BYU_VS6herX/</v>
      </c>
      <c r="F3228" t="s">
        <v>18797</v>
      </c>
      <c r="G3228" t="s">
        <v>2478</v>
      </c>
      <c r="H3228">
        <v>238</v>
      </c>
      <c r="I3228" t="s">
        <v>2479</v>
      </c>
      <c r="J3228">
        <v>1</v>
      </c>
      <c r="K3228">
        <v>5</v>
      </c>
      <c r="L3228">
        <v>6</v>
      </c>
      <c r="Q3228">
        <v>0</v>
      </c>
      <c r="R3228">
        <v>0</v>
      </c>
      <c r="S3228">
        <v>6</v>
      </c>
      <c r="Y3228" t="s">
        <v>4253</v>
      </c>
      <c r="Z3228" t="s">
        <v>2906</v>
      </c>
      <c r="AA3228" t="s">
        <v>4427</v>
      </c>
      <c r="AB3228" t="s">
        <v>2497</v>
      </c>
      <c r="AC3228" t="s">
        <v>18798</v>
      </c>
      <c r="AD3228" s="249" t="str">
        <f>HYPERLINK("https://scontent.cdninstagram.com/t51.2885-15/s320x320/e35/21107234_477716882605553_2943572977528078336_n.jpg")</f>
        <v>https://scontent.cdninstagram.com/t51.2885-15/s320x320/e35/21107234_477716882605553_2943572977528078336_n.jpg</v>
      </c>
      <c r="AE3228" s="249" t="str">
        <f>HYPERLINK("https://scontent.cdninstagram.com/t51.2885-19/924556_315930875251611_1807052961_a.jpg")</f>
        <v>https://scontent.cdninstagram.com/t51.2885-19/924556_315930875251611_1807052961_a.jpg</v>
      </c>
    </row>
    <row r="3229" spans="1:31" ht="15" x14ac:dyDescent="0.25">
      <c r="A3229" t="s">
        <v>2474</v>
      </c>
      <c r="B3229" t="s">
        <v>18799</v>
      </c>
      <c r="C3229" s="221">
        <v>42975.136736111112</v>
      </c>
      <c r="D3229" t="s">
        <v>18800</v>
      </c>
      <c r="E3229" s="249" t="str">
        <f>HYPERLINK("https://www.instagram.com/p/BYVCphAFEYY/")</f>
        <v>https://www.instagram.com/p/BYVCphAFEYY/</v>
      </c>
      <c r="F3229" t="s">
        <v>18801</v>
      </c>
      <c r="G3229" t="s">
        <v>2478</v>
      </c>
      <c r="H3229">
        <v>226</v>
      </c>
      <c r="I3229" t="s">
        <v>2542</v>
      </c>
      <c r="J3229">
        <v>3</v>
      </c>
      <c r="K3229">
        <v>44</v>
      </c>
      <c r="L3229">
        <v>47</v>
      </c>
      <c r="Q3229">
        <v>0</v>
      </c>
      <c r="R3229">
        <v>0</v>
      </c>
      <c r="S3229">
        <v>47</v>
      </c>
      <c r="T3229" t="s">
        <v>18802</v>
      </c>
      <c r="V3229" t="s">
        <v>2264</v>
      </c>
      <c r="W3229">
        <v>38.9</v>
      </c>
      <c r="X3229">
        <v>1.43333</v>
      </c>
      <c r="Y3229" t="s">
        <v>18803</v>
      </c>
      <c r="Z3229" t="s">
        <v>5836</v>
      </c>
      <c r="AA3229" t="s">
        <v>18804</v>
      </c>
      <c r="AB3229" t="s">
        <v>2769</v>
      </c>
      <c r="AC3229" t="s">
        <v>18805</v>
      </c>
      <c r="AD3229" s="249" t="str">
        <f>HYPERLINK("https://scontent.cdninstagram.com/t51.2885-15/s320x320/e35/21107922_534970946848542_6046381644217057280_n.jpg")</f>
        <v>https://scontent.cdninstagram.com/t51.2885-15/s320x320/e35/21107922_534970946848542_6046381644217057280_n.jpg</v>
      </c>
      <c r="AE3229" s="249" t="str">
        <f>HYPERLINK("https://scontent.cdninstagram.com/t51.2885-19/s150x150/21372441_1486088224818525_4087181017352241152_a.jpg")</f>
        <v>https://scontent.cdninstagram.com/t51.2885-19/s150x150/21372441_1486088224818525_4087181017352241152_a.jpg</v>
      </c>
    </row>
    <row r="3230" spans="1:31" ht="15" x14ac:dyDescent="0.25">
      <c r="A3230" t="s">
        <v>2474</v>
      </c>
      <c r="B3230" t="s">
        <v>18806</v>
      </c>
      <c r="C3230" s="221">
        <v>42975.140185185184</v>
      </c>
      <c r="D3230" t="s">
        <v>18807</v>
      </c>
      <c r="E3230" s="249" t="str">
        <f>HYPERLINK("https://www.instagram.com/p/BYVDN14AylY/")</f>
        <v>https://www.instagram.com/p/BYVDN14AylY/</v>
      </c>
      <c r="F3230" t="s">
        <v>18808</v>
      </c>
      <c r="G3230" t="s">
        <v>2478</v>
      </c>
      <c r="H3230">
        <v>208</v>
      </c>
      <c r="I3230" t="s">
        <v>2479</v>
      </c>
      <c r="J3230">
        <v>0</v>
      </c>
      <c r="K3230">
        <v>11</v>
      </c>
      <c r="L3230">
        <v>11</v>
      </c>
      <c r="Q3230">
        <v>0</v>
      </c>
      <c r="R3230">
        <v>0</v>
      </c>
      <c r="S3230">
        <v>11</v>
      </c>
      <c r="Y3230" t="s">
        <v>8753</v>
      </c>
      <c r="Z3230" t="s">
        <v>3256</v>
      </c>
      <c r="AA3230" t="s">
        <v>2497</v>
      </c>
      <c r="AB3230" t="s">
        <v>18809</v>
      </c>
      <c r="AC3230" t="s">
        <v>4993</v>
      </c>
      <c r="AD3230" s="249" t="str">
        <f>HYPERLINK("https://scontent.cdninstagram.com/t51.2885-15/s320x320/e35/21147392_1156747837789306_2531612251505295360_n.jpg")</f>
        <v>https://scontent.cdninstagram.com/t51.2885-15/s320x320/e35/21147392_1156747837789306_2531612251505295360_n.jpg</v>
      </c>
      <c r="AE3230" s="249" t="str">
        <f>HYPERLINK("https://scontent.cdninstagram.com/t51.2885-19/s150x150/18444875_272552153207834_3506762194987515904_a.jpg")</f>
        <v>https://scontent.cdninstagram.com/t51.2885-19/s150x150/18444875_272552153207834_3506762194987515904_a.jpg</v>
      </c>
    </row>
    <row r="3231" spans="1:31" ht="15" x14ac:dyDescent="0.25">
      <c r="A3231" t="s">
        <v>2474</v>
      </c>
      <c r="B3231" t="s">
        <v>18810</v>
      </c>
      <c r="C3231" s="221">
        <v>42975.145868055559</v>
      </c>
      <c r="D3231" t="s">
        <v>18811</v>
      </c>
      <c r="E3231" s="249" t="str">
        <f>HYPERLINK("https://www.instagram.com/p/BYVEJ32Bi_q/")</f>
        <v>https://www.instagram.com/p/BYVEJ32Bi_q/</v>
      </c>
      <c r="F3231" t="s">
        <v>18812</v>
      </c>
      <c r="G3231" t="s">
        <v>2478</v>
      </c>
      <c r="H3231">
        <v>52</v>
      </c>
      <c r="I3231" t="s">
        <v>2479</v>
      </c>
      <c r="J3231">
        <v>1</v>
      </c>
      <c r="K3231">
        <v>15</v>
      </c>
      <c r="L3231">
        <v>16</v>
      </c>
      <c r="Q3231">
        <v>0</v>
      </c>
      <c r="R3231">
        <v>0</v>
      </c>
      <c r="S3231">
        <v>16</v>
      </c>
      <c r="Y3231" t="s">
        <v>18813</v>
      </c>
      <c r="Z3231" t="s">
        <v>18814</v>
      </c>
      <c r="AA3231" t="s">
        <v>18815</v>
      </c>
      <c r="AB3231" t="s">
        <v>18816</v>
      </c>
      <c r="AC3231" t="s">
        <v>3849</v>
      </c>
      <c r="AD3231" s="249" t="str">
        <f>HYPERLINK("https://scontent.cdninstagram.com/t51.2885-15/s320x320/e35/21107848_465044793877310_113959243438096384_n.jpg")</f>
        <v>https://scontent.cdninstagram.com/t51.2885-15/s320x320/e35/21107848_465044793877310_113959243438096384_n.jpg</v>
      </c>
      <c r="AE3231" s="249" t="str">
        <f>HYPERLINK("https://scontent.cdninstagram.com/t51.2885-19/s150x150/16110800_1309677715741706_7294116007877017600_n.jpg")</f>
        <v>https://scontent.cdninstagram.com/t51.2885-19/s150x150/16110800_1309677715741706_7294116007877017600_n.jpg</v>
      </c>
    </row>
    <row r="3232" spans="1:31" ht="15" x14ac:dyDescent="0.25">
      <c r="A3232" t="s">
        <v>2474</v>
      </c>
      <c r="B3232" t="s">
        <v>18817</v>
      </c>
      <c r="C3232" s="221">
        <v>42975.150682870371</v>
      </c>
      <c r="D3232" t="s">
        <v>18818</v>
      </c>
      <c r="E3232" s="249" t="str">
        <f>HYPERLINK("https://www.instagram.com/p/BYVE8ltHXRH/")</f>
        <v>https://www.instagram.com/p/BYVE8ltHXRH/</v>
      </c>
      <c r="F3232" t="s">
        <v>18819</v>
      </c>
      <c r="G3232" t="s">
        <v>2478</v>
      </c>
      <c r="H3232">
        <v>268</v>
      </c>
      <c r="I3232" t="s">
        <v>2927</v>
      </c>
      <c r="J3232">
        <v>0</v>
      </c>
      <c r="K3232">
        <v>38</v>
      </c>
      <c r="L3232">
        <v>38</v>
      </c>
      <c r="Q3232">
        <v>0</v>
      </c>
      <c r="R3232">
        <v>0</v>
      </c>
      <c r="S3232">
        <v>38</v>
      </c>
      <c r="Y3232" t="s">
        <v>18820</v>
      </c>
      <c r="Z3232" t="s">
        <v>3342</v>
      </c>
      <c r="AA3232" t="s">
        <v>2497</v>
      </c>
      <c r="AB3232" t="s">
        <v>12555</v>
      </c>
      <c r="AC3232" t="s">
        <v>11893</v>
      </c>
      <c r="AD3232" s="249" t="str">
        <f>HYPERLINK("https://scontent.cdninstagram.com/t51.2885-15/s320x320/e35/c0.90.720.720/21147276_867032520113624_1020803233930543104_n.jpg")</f>
        <v>https://scontent.cdninstagram.com/t51.2885-15/s320x320/e35/c0.90.720.720/21147276_867032520113624_1020803233930543104_n.jpg</v>
      </c>
      <c r="AE3232" s="249" t="str">
        <f>HYPERLINK("https://scontent.cdninstagram.com/t51.2885-19/s150x150/13636200_1759187111032382_933261237_a.jpg")</f>
        <v>https://scontent.cdninstagram.com/t51.2885-19/s150x150/13636200_1759187111032382_933261237_a.jpg</v>
      </c>
    </row>
    <row r="3233" spans="1:31" ht="15" x14ac:dyDescent="0.25">
      <c r="A3233" t="s">
        <v>2474</v>
      </c>
      <c r="B3233" t="s">
        <v>18821</v>
      </c>
      <c r="C3233" s="221">
        <v>42975.160509259258</v>
      </c>
      <c r="D3233" t="s">
        <v>18822</v>
      </c>
      <c r="E3233" s="249" t="str">
        <f>HYPERLINK("https://www.instagram.com/p/BYVGkP5Ble7/")</f>
        <v>https://www.instagram.com/p/BYVGkP5Ble7/</v>
      </c>
      <c r="F3233" t="s">
        <v>18823</v>
      </c>
      <c r="G3233" t="s">
        <v>2478</v>
      </c>
      <c r="H3233">
        <v>263</v>
      </c>
      <c r="I3233" t="s">
        <v>2903</v>
      </c>
      <c r="J3233">
        <v>0</v>
      </c>
      <c r="K3233">
        <v>5</v>
      </c>
      <c r="L3233">
        <v>5</v>
      </c>
      <c r="Q3233">
        <v>0</v>
      </c>
      <c r="R3233">
        <v>0</v>
      </c>
      <c r="S3233">
        <v>5</v>
      </c>
      <c r="Y3233" t="s">
        <v>18824</v>
      </c>
      <c r="Z3233" t="s">
        <v>3476</v>
      </c>
      <c r="AA3233" t="s">
        <v>18825</v>
      </c>
      <c r="AB3233" t="s">
        <v>18826</v>
      </c>
      <c r="AC3233" t="s">
        <v>2497</v>
      </c>
      <c r="AD3233" s="249" t="str">
        <f>HYPERLINK("https://scontent.cdninstagram.com/t51.2885-15/e35/21107203_1332396680219046_8936701159033274368_n.jpg")</f>
        <v>https://scontent.cdninstagram.com/t51.2885-15/e35/21107203_1332396680219046_8936701159033274368_n.jpg</v>
      </c>
      <c r="AE3233" s="249" t="str">
        <f>HYPERLINK("https://scontent.cdninstagram.com/t51.2885-19/s150x150/20766750_868979666603066_2460136767269896192_a.jpg")</f>
        <v>https://scontent.cdninstagram.com/t51.2885-19/s150x150/20766750_868979666603066_2460136767269896192_a.jpg</v>
      </c>
    </row>
    <row r="3234" spans="1:31" ht="15" x14ac:dyDescent="0.25">
      <c r="A3234" t="s">
        <v>2474</v>
      </c>
      <c r="B3234" t="s">
        <v>3665</v>
      </c>
      <c r="C3234" s="221">
        <v>42975.161909722221</v>
      </c>
      <c r="D3234" t="s">
        <v>18827</v>
      </c>
      <c r="E3234" s="249" t="str">
        <f>HYPERLINK("https://www.instagram.com/p/BYVGzAGgGQi/")</f>
        <v>https://www.instagram.com/p/BYVGzAGgGQi/</v>
      </c>
      <c r="F3234" t="s">
        <v>18828</v>
      </c>
      <c r="G3234" t="s">
        <v>2478</v>
      </c>
      <c r="H3234">
        <v>131</v>
      </c>
      <c r="I3234" t="s">
        <v>2599</v>
      </c>
      <c r="J3234">
        <v>0</v>
      </c>
      <c r="K3234">
        <v>40</v>
      </c>
      <c r="L3234">
        <v>40</v>
      </c>
      <c r="Q3234">
        <v>0</v>
      </c>
      <c r="R3234">
        <v>0</v>
      </c>
      <c r="S3234">
        <v>40</v>
      </c>
      <c r="Y3234" t="s">
        <v>4803</v>
      </c>
      <c r="Z3234" t="s">
        <v>3513</v>
      </c>
      <c r="AA3234" t="s">
        <v>3392</v>
      </c>
      <c r="AB3234" t="s">
        <v>2497</v>
      </c>
      <c r="AC3234" t="s">
        <v>18829</v>
      </c>
      <c r="AD3234" s="249" t="str">
        <f>HYPERLINK("https://scontent.cdninstagram.com/t51.2885-15/s320x320/e35/21147219_1823170307957970_4579430801149526016_n.jpg")</f>
        <v>https://scontent.cdninstagram.com/t51.2885-15/s320x320/e35/21147219_1823170307957970_4579430801149526016_n.jpg</v>
      </c>
      <c r="AE3234" s="249" t="str">
        <f>HYPERLINK("https://scontent.cdninstagram.com/t51.2885-19/s150x150/20837660_2021233788104513_3267636454808879104_a.jpg")</f>
        <v>https://scontent.cdninstagram.com/t51.2885-19/s150x150/20837660_2021233788104513_3267636454808879104_a.jpg</v>
      </c>
    </row>
    <row r="3235" spans="1:31" ht="15" x14ac:dyDescent="0.25">
      <c r="A3235" t="s">
        <v>2474</v>
      </c>
      <c r="B3235" t="s">
        <v>3754</v>
      </c>
      <c r="C3235" s="221">
        <v>42975.16547453704</v>
      </c>
      <c r="D3235" t="s">
        <v>18830</v>
      </c>
      <c r="E3235" s="249" t="str">
        <f>HYPERLINK("https://www.instagram.com/p/BYVHYmsDCAV/")</f>
        <v>https://www.instagram.com/p/BYVHYmsDCAV/</v>
      </c>
      <c r="F3235" t="s">
        <v>7206</v>
      </c>
      <c r="G3235" t="s">
        <v>2478</v>
      </c>
      <c r="H3235">
        <v>201406</v>
      </c>
      <c r="I3235" t="s">
        <v>2479</v>
      </c>
      <c r="J3235">
        <v>1</v>
      </c>
      <c r="K3235">
        <v>240</v>
      </c>
      <c r="L3235">
        <v>241</v>
      </c>
      <c r="Q3235">
        <v>0</v>
      </c>
      <c r="R3235">
        <v>0</v>
      </c>
      <c r="S3235">
        <v>241</v>
      </c>
      <c r="Y3235" t="s">
        <v>11395</v>
      </c>
      <c r="Z3235" t="s">
        <v>4803</v>
      </c>
      <c r="AA3235" t="s">
        <v>6790</v>
      </c>
      <c r="AB3235" t="s">
        <v>8654</v>
      </c>
      <c r="AC3235" t="s">
        <v>6242</v>
      </c>
      <c r="AD3235" s="249" t="str">
        <f>HYPERLINK("https://scontent.cdninstagram.com/t51.2885-15/s320x320/e35/21107916_2054383718118788_1553494700369903616_n.jpg")</f>
        <v>https://scontent.cdninstagram.com/t51.2885-15/s320x320/e35/21107916_2054383718118788_1553494700369903616_n.jpg</v>
      </c>
      <c r="AE3235" s="249" t="str">
        <f>HYPERLINK("https://scontent.cdninstagram.com/t51.2885-19/s150x150/12905002_1681254462136092_1137392787_a.jpg")</f>
        <v>https://scontent.cdninstagram.com/t51.2885-19/s150x150/12905002_1681254462136092_1137392787_a.jpg</v>
      </c>
    </row>
    <row r="3236" spans="1:31" ht="15" x14ac:dyDescent="0.25">
      <c r="A3236" t="s">
        <v>2474</v>
      </c>
      <c r="B3236" t="s">
        <v>3895</v>
      </c>
      <c r="C3236" s="221">
        <v>42975.172291666669</v>
      </c>
      <c r="D3236" t="s">
        <v>18831</v>
      </c>
      <c r="E3236" s="249" t="str">
        <f>HYPERLINK("https://www.instagram.com/p/BYVIggLFgRJ/")</f>
        <v>https://www.instagram.com/p/BYVIggLFgRJ/</v>
      </c>
      <c r="F3236" t="s">
        <v>18832</v>
      </c>
      <c r="G3236" t="s">
        <v>2478</v>
      </c>
      <c r="H3236">
        <v>429</v>
      </c>
      <c r="I3236" t="s">
        <v>2479</v>
      </c>
      <c r="J3236">
        <v>3</v>
      </c>
      <c r="K3236">
        <v>89</v>
      </c>
      <c r="L3236">
        <v>92</v>
      </c>
      <c r="Q3236">
        <v>0</v>
      </c>
      <c r="R3236">
        <v>0</v>
      </c>
      <c r="S3236">
        <v>92</v>
      </c>
      <c r="Y3236" t="s">
        <v>3965</v>
      </c>
      <c r="Z3236" t="s">
        <v>6628</v>
      </c>
      <c r="AA3236" t="s">
        <v>11096</v>
      </c>
      <c r="AB3236" t="s">
        <v>2497</v>
      </c>
      <c r="AC3236" t="s">
        <v>8007</v>
      </c>
      <c r="AD3236" s="249" t="str">
        <f>HYPERLINK("https://scontent.cdninstagram.com/t51.2885-15/s320x320/e35/21042587_160246934552515_938500734142382080_n.jpg")</f>
        <v>https://scontent.cdninstagram.com/t51.2885-15/s320x320/e35/21042587_160246934552515_938500734142382080_n.jpg</v>
      </c>
      <c r="AE3236" s="249" t="str">
        <f>HYPERLINK("https://scontent.cdninstagram.com/t51.2885-19/s150x150/20902130_1390331654386412_4188068892897181696_a.jpg")</f>
        <v>https://scontent.cdninstagram.com/t51.2885-19/s150x150/20902130_1390331654386412_4188068892897181696_a.jpg</v>
      </c>
    </row>
    <row r="3237" spans="1:31" ht="15" x14ac:dyDescent="0.25">
      <c r="A3237" t="s">
        <v>2474</v>
      </c>
      <c r="B3237" t="s">
        <v>2636</v>
      </c>
      <c r="C3237" s="221">
        <v>42975.172337962962</v>
      </c>
      <c r="D3237" t="s">
        <v>18833</v>
      </c>
      <c r="E3237" s="249" t="str">
        <f>HYPERLINK("https://www.instagram.com/p/BYVIg_uHpcg/")</f>
        <v>https://www.instagram.com/p/BYVIg_uHpcg/</v>
      </c>
      <c r="F3237" t="s">
        <v>18834</v>
      </c>
      <c r="G3237" t="s">
        <v>2488</v>
      </c>
      <c r="H3237">
        <v>315</v>
      </c>
      <c r="I3237" t="s">
        <v>2479</v>
      </c>
      <c r="J3237">
        <v>4</v>
      </c>
      <c r="K3237">
        <v>56</v>
      </c>
      <c r="L3237">
        <v>60</v>
      </c>
      <c r="Q3237">
        <v>0</v>
      </c>
      <c r="R3237">
        <v>0</v>
      </c>
      <c r="S3237">
        <v>60</v>
      </c>
      <c r="Y3237" t="s">
        <v>3815</v>
      </c>
      <c r="Z3237" t="s">
        <v>2641</v>
      </c>
      <c r="AA3237" t="s">
        <v>8032</v>
      </c>
      <c r="AB3237" t="s">
        <v>10115</v>
      </c>
      <c r="AC3237" t="s">
        <v>2497</v>
      </c>
      <c r="AD3237" s="249" t="str">
        <f>HYPERLINK("https://scontent.cdninstagram.com/t51.2885-15/s320x320/e35/21107850_161550131064385_2142416840721170432_n.jpg")</f>
        <v>https://scontent.cdninstagram.com/t51.2885-15/s320x320/e35/21107850_161550131064385_2142416840721170432_n.jpg</v>
      </c>
      <c r="AE3237" s="249" t="str">
        <f>HYPERLINK("https://scontent.cdninstagram.com/t51.2885-19/s150x150/15802797_1331780626878656_4160680230047973376_a.jpg")</f>
        <v>https://scontent.cdninstagram.com/t51.2885-19/s150x150/15802797_1331780626878656_4160680230047973376_a.jpg</v>
      </c>
    </row>
    <row r="3238" spans="1:31" ht="15" x14ac:dyDescent="0.25">
      <c r="A3238" t="s">
        <v>2474</v>
      </c>
      <c r="B3238" t="s">
        <v>18835</v>
      </c>
      <c r="C3238" s="221">
        <v>42975.174861111111</v>
      </c>
      <c r="D3238" t="s">
        <v>18836</v>
      </c>
      <c r="E3238" s="249" t="str">
        <f>HYPERLINK("https://www.instagram.com/p/BYVI7qTHJP2/")</f>
        <v>https://www.instagram.com/p/BYVI7qTHJP2/</v>
      </c>
      <c r="F3238" t="s">
        <v>18837</v>
      </c>
      <c r="G3238" t="s">
        <v>2478</v>
      </c>
      <c r="H3238">
        <v>130</v>
      </c>
      <c r="I3238" t="s">
        <v>2479</v>
      </c>
      <c r="J3238">
        <v>1</v>
      </c>
      <c r="K3238">
        <v>42</v>
      </c>
      <c r="L3238">
        <v>43</v>
      </c>
      <c r="Q3238">
        <v>0</v>
      </c>
      <c r="R3238">
        <v>0</v>
      </c>
      <c r="S3238">
        <v>43</v>
      </c>
      <c r="T3238" t="s">
        <v>18838</v>
      </c>
      <c r="V3238" t="s">
        <v>2239</v>
      </c>
      <c r="W3238">
        <v>52.416699999999999</v>
      </c>
      <c r="X3238">
        <v>21.65</v>
      </c>
      <c r="Y3238" t="s">
        <v>18839</v>
      </c>
      <c r="Z3238" t="s">
        <v>12555</v>
      </c>
      <c r="AA3238" t="s">
        <v>2497</v>
      </c>
      <c r="AB3238" t="s">
        <v>18840</v>
      </c>
      <c r="AC3238" t="s">
        <v>18841</v>
      </c>
      <c r="AD3238" s="249" t="str">
        <f>HYPERLINK("https://scontent.cdninstagram.com/t51.2885-15/s320x320/e35/21107709_1446958335350860_3077997671412137984_n.jpg")</f>
        <v>https://scontent.cdninstagram.com/t51.2885-15/s320x320/e35/21107709_1446958335350860_3077997671412137984_n.jpg</v>
      </c>
      <c r="AE3238" s="249" t="str">
        <f>HYPERLINK("https://scontent.cdninstagram.com/t51.2885-19/11055590_1418235611817063_1042990405_a.jpg")</f>
        <v>https://scontent.cdninstagram.com/t51.2885-19/11055590_1418235611817063_1042990405_a.jpg</v>
      </c>
    </row>
    <row r="3239" spans="1:31" ht="15" x14ac:dyDescent="0.25">
      <c r="A3239" t="s">
        <v>2474</v>
      </c>
      <c r="B3239" t="s">
        <v>2685</v>
      </c>
      <c r="C3239" s="221">
        <v>42975.178495370368</v>
      </c>
      <c r="D3239" t="s">
        <v>18842</v>
      </c>
      <c r="E3239" s="249" t="str">
        <f>HYPERLINK("https://www.instagram.com/p/BYVJiADFDJH/")</f>
        <v>https://www.instagram.com/p/BYVJiADFDJH/</v>
      </c>
      <c r="F3239" t="s">
        <v>18843</v>
      </c>
      <c r="G3239" t="s">
        <v>2478</v>
      </c>
      <c r="H3239">
        <v>231</v>
      </c>
      <c r="I3239" t="s">
        <v>2479</v>
      </c>
      <c r="J3239">
        <v>1</v>
      </c>
      <c r="K3239">
        <v>57</v>
      </c>
      <c r="L3239">
        <v>58</v>
      </c>
      <c r="Q3239">
        <v>0</v>
      </c>
      <c r="R3239">
        <v>0</v>
      </c>
      <c r="S3239">
        <v>58</v>
      </c>
      <c r="Y3239" t="s">
        <v>9182</v>
      </c>
      <c r="Z3239" t="s">
        <v>14733</v>
      </c>
      <c r="AA3239" t="s">
        <v>16611</v>
      </c>
      <c r="AB3239" t="s">
        <v>8093</v>
      </c>
      <c r="AC3239" t="s">
        <v>13615</v>
      </c>
      <c r="AD3239" s="249" t="str">
        <f>HYPERLINK("https://scontent.cdninstagram.com/t51.2885-15/s320x320/e35/21296619_762349237259916_4488698504624996352_n.jpg")</f>
        <v>https://scontent.cdninstagram.com/t51.2885-15/s320x320/e35/21296619_762349237259916_4488698504624996352_n.jpg</v>
      </c>
      <c r="AE3239" s="249" t="str">
        <f>HYPERLINK("https://scontent.cdninstagram.com/t51.2885-19/s150x150/12339026_997056470351354_891418646_a.jpg")</f>
        <v>https://scontent.cdninstagram.com/t51.2885-19/s150x150/12339026_997056470351354_891418646_a.jpg</v>
      </c>
    </row>
    <row r="3240" spans="1:31" ht="15" x14ac:dyDescent="0.25">
      <c r="A3240" t="s">
        <v>2474</v>
      </c>
      <c r="B3240" t="s">
        <v>18844</v>
      </c>
      <c r="C3240" s="221">
        <v>42975.180104166669</v>
      </c>
      <c r="D3240" t="s">
        <v>18845</v>
      </c>
      <c r="E3240" s="249" t="str">
        <f>HYPERLINK("https://www.instagram.com/p/BYVJy4PF4A9/")</f>
        <v>https://www.instagram.com/p/BYVJy4PF4A9/</v>
      </c>
      <c r="F3240" t="s">
        <v>18846</v>
      </c>
      <c r="G3240" t="s">
        <v>2478</v>
      </c>
      <c r="H3240">
        <v>915</v>
      </c>
      <c r="I3240" t="s">
        <v>2479</v>
      </c>
      <c r="J3240">
        <v>2</v>
      </c>
      <c r="K3240">
        <v>81</v>
      </c>
      <c r="L3240">
        <v>83</v>
      </c>
      <c r="Q3240">
        <v>0</v>
      </c>
      <c r="R3240">
        <v>0</v>
      </c>
      <c r="S3240">
        <v>83</v>
      </c>
      <c r="Y3240" t="s">
        <v>16894</v>
      </c>
      <c r="Z3240" t="s">
        <v>2898</v>
      </c>
      <c r="AA3240" t="s">
        <v>18847</v>
      </c>
      <c r="AB3240" t="s">
        <v>2497</v>
      </c>
      <c r="AC3240" t="s">
        <v>8250</v>
      </c>
      <c r="AD3240" s="249" t="str">
        <f>HYPERLINK("https://scontent.cdninstagram.com/t51.2885-15/s320x320/e35/21149733_319675245170822_5097981289630269440_n.jpg")</f>
        <v>https://scontent.cdninstagram.com/t51.2885-15/s320x320/e35/21149733_319675245170822_5097981289630269440_n.jpg</v>
      </c>
      <c r="AE3240" s="249" t="str">
        <f>HYPERLINK("https://scontent.cdninstagram.com/t51.2885-19/s150x150/13827233_1257208970957506_174852596_a.jpg")</f>
        <v>https://scontent.cdninstagram.com/t51.2885-19/s150x150/13827233_1257208970957506_174852596_a.jpg</v>
      </c>
    </row>
    <row r="3241" spans="1:31" ht="15" x14ac:dyDescent="0.25">
      <c r="A3241" t="s">
        <v>2474</v>
      </c>
      <c r="B3241" t="s">
        <v>2628</v>
      </c>
      <c r="C3241" s="221">
        <v>42975.187152777777</v>
      </c>
      <c r="D3241" t="s">
        <v>18848</v>
      </c>
      <c r="E3241" s="249" t="str">
        <f>HYPERLINK("https://www.instagram.com/p/BYVK9Q1AODH/")</f>
        <v>https://www.instagram.com/p/BYVK9Q1AODH/</v>
      </c>
      <c r="F3241" t="s">
        <v>18849</v>
      </c>
      <c r="G3241" t="s">
        <v>2631</v>
      </c>
      <c r="H3241">
        <v>180</v>
      </c>
      <c r="I3241" t="s">
        <v>2479</v>
      </c>
      <c r="J3241">
        <v>1</v>
      </c>
      <c r="K3241">
        <v>27</v>
      </c>
      <c r="L3241">
        <v>28</v>
      </c>
      <c r="Q3241">
        <v>0</v>
      </c>
      <c r="R3241">
        <v>0</v>
      </c>
      <c r="S3241">
        <v>28</v>
      </c>
      <c r="Y3241" t="s">
        <v>8048</v>
      </c>
      <c r="Z3241" t="s">
        <v>18850</v>
      </c>
      <c r="AA3241" t="s">
        <v>3153</v>
      </c>
      <c r="AB3241" t="s">
        <v>2497</v>
      </c>
      <c r="AC3241" t="s">
        <v>5084</v>
      </c>
      <c r="AD3241" s="249" t="str">
        <f>HYPERLINK("https://scontent.cdninstagram.com/t51.2885-15/s320x320/e15/21107547_1988241504799003_27066252539199488_n.jpg")</f>
        <v>https://scontent.cdninstagram.com/t51.2885-15/s320x320/e15/21107547_1988241504799003_27066252539199488_n.jpg</v>
      </c>
      <c r="AE3241" s="249" t="str">
        <f>HYPERLINK("https://scontent.cdninstagram.com/t51.2885-19/s150x150/13739472_923311071148595_1681273203_a.jpg")</f>
        <v>https://scontent.cdninstagram.com/t51.2885-19/s150x150/13739472_923311071148595_1681273203_a.jpg</v>
      </c>
    </row>
    <row r="3242" spans="1:31" ht="15" x14ac:dyDescent="0.25">
      <c r="A3242" t="s">
        <v>2474</v>
      </c>
      <c r="B3242" t="s">
        <v>2516</v>
      </c>
      <c r="C3242" s="221">
        <v>42975.195983796293</v>
      </c>
      <c r="D3242" t="s">
        <v>18851</v>
      </c>
      <c r="E3242" s="249" t="str">
        <f>HYPERLINK("https://www.instagram.com/p/BYVMaasja4s/")</f>
        <v>https://www.instagram.com/p/BYVMaasja4s/</v>
      </c>
      <c r="F3242" t="s">
        <v>18852</v>
      </c>
      <c r="G3242" t="s">
        <v>2478</v>
      </c>
      <c r="H3242">
        <v>689</v>
      </c>
      <c r="I3242" t="s">
        <v>2519</v>
      </c>
      <c r="J3242">
        <v>0</v>
      </c>
      <c r="K3242">
        <v>31</v>
      </c>
      <c r="L3242">
        <v>31</v>
      </c>
      <c r="Q3242">
        <v>0</v>
      </c>
      <c r="R3242">
        <v>0</v>
      </c>
      <c r="S3242">
        <v>31</v>
      </c>
      <c r="Y3242" t="s">
        <v>18853</v>
      </c>
      <c r="Z3242" t="s">
        <v>2520</v>
      </c>
      <c r="AA3242" t="s">
        <v>2497</v>
      </c>
      <c r="AB3242" t="s">
        <v>18854</v>
      </c>
      <c r="AC3242" t="s">
        <v>2522</v>
      </c>
      <c r="AD3242" s="249" t="str">
        <f>HYPERLINK("https://scontent.cdninstagram.com/t51.2885-15/s320x320/e35/21224751_888259717995114_6986808031241568256_n.jpg")</f>
        <v>https://scontent.cdninstagram.com/t51.2885-15/s320x320/e35/21224751_888259717995114_6986808031241568256_n.jpg</v>
      </c>
      <c r="AE3242" s="249" t="str">
        <f>HYPERLINK("https://scontent.cdninstagram.com/t51.2885-19/s150x150/21372563_140209839921980_5104164354614362112_a.jpg")</f>
        <v>https://scontent.cdninstagram.com/t51.2885-19/s150x150/21372563_140209839921980_5104164354614362112_a.jpg</v>
      </c>
    </row>
    <row r="3243" spans="1:31" ht="15" x14ac:dyDescent="0.25">
      <c r="A3243" t="s">
        <v>2474</v>
      </c>
      <c r="B3243" t="s">
        <v>18855</v>
      </c>
      <c r="C3243" s="221">
        <v>42975.200185185182</v>
      </c>
      <c r="D3243" t="s">
        <v>18856</v>
      </c>
      <c r="E3243" s="249" t="str">
        <f>HYPERLINK("https://www.instagram.com/p/BYVNGtYAq6c/")</f>
        <v>https://www.instagram.com/p/BYVNGtYAq6c/</v>
      </c>
      <c r="F3243" t="s">
        <v>18857</v>
      </c>
      <c r="G3243" t="s">
        <v>2488</v>
      </c>
      <c r="H3243">
        <v>223</v>
      </c>
      <c r="I3243" t="s">
        <v>2479</v>
      </c>
      <c r="J3243">
        <v>0</v>
      </c>
      <c r="K3243">
        <v>17</v>
      </c>
      <c r="L3243">
        <v>17</v>
      </c>
      <c r="Q3243">
        <v>0</v>
      </c>
      <c r="R3243">
        <v>0</v>
      </c>
      <c r="S3243">
        <v>17</v>
      </c>
      <c r="T3243" t="s">
        <v>18858</v>
      </c>
      <c r="V3243" t="s">
        <v>2288</v>
      </c>
      <c r="W3243">
        <v>51.461005999999998</v>
      </c>
      <c r="X3243">
        <v>-0.13989699999999999</v>
      </c>
      <c r="Y3243" t="s">
        <v>18859</v>
      </c>
      <c r="Z3243" t="s">
        <v>18860</v>
      </c>
      <c r="AA3243" t="s">
        <v>18861</v>
      </c>
      <c r="AB3243" t="s">
        <v>17455</v>
      </c>
      <c r="AC3243" t="s">
        <v>18862</v>
      </c>
      <c r="AD3243" s="249" t="str">
        <f>HYPERLINK("https://scontent.cdninstagram.com/t51.2885-15/s320x320/e35/21042399_207673639766905_1734004655333048320_n.jpg")</f>
        <v>https://scontent.cdninstagram.com/t51.2885-15/s320x320/e35/21042399_207673639766905_1734004655333048320_n.jpg</v>
      </c>
      <c r="AE3243" s="249" t="str">
        <f>HYPERLINK("https://scontent.cdninstagram.com/t51.2885-19/s150x150/21041144_1297059343753767_1718238259886161920_a.jpg")</f>
        <v>https://scontent.cdninstagram.com/t51.2885-19/s150x150/21041144_1297059343753767_1718238259886161920_a.jpg</v>
      </c>
    </row>
    <row r="3244" spans="1:31" ht="15" x14ac:dyDescent="0.25">
      <c r="A3244" t="s">
        <v>2474</v>
      </c>
      <c r="B3244" t="s">
        <v>18863</v>
      </c>
      <c r="C3244" s="221">
        <v>42975.200601851851</v>
      </c>
      <c r="D3244" t="s">
        <v>18864</v>
      </c>
      <c r="E3244" s="249" t="str">
        <f>HYPERLINK("https://www.instagram.com/p/BYVNLGLhyli/")</f>
        <v>https://www.instagram.com/p/BYVNLGLhyli/</v>
      </c>
      <c r="F3244" t="s">
        <v>18865</v>
      </c>
      <c r="G3244" t="s">
        <v>2478</v>
      </c>
      <c r="H3244">
        <v>1613</v>
      </c>
      <c r="I3244" t="s">
        <v>2479</v>
      </c>
      <c r="J3244">
        <v>0</v>
      </c>
      <c r="K3244">
        <v>8</v>
      </c>
      <c r="L3244">
        <v>8</v>
      </c>
      <c r="Q3244">
        <v>0</v>
      </c>
      <c r="R3244">
        <v>0</v>
      </c>
      <c r="S3244">
        <v>8</v>
      </c>
      <c r="Y3244" t="s">
        <v>15693</v>
      </c>
      <c r="Z3244" t="s">
        <v>11035</v>
      </c>
      <c r="AA3244" t="s">
        <v>9011</v>
      </c>
      <c r="AB3244" t="s">
        <v>18866</v>
      </c>
      <c r="AC3244" t="s">
        <v>18867</v>
      </c>
      <c r="AD3244" s="249" t="str">
        <f>HYPERLINK("https://scontent.cdninstagram.com/t51.2885-15/s320x320/e35/21147253_113508002664402_6223027103571378176_n.jpg")</f>
        <v>https://scontent.cdninstagram.com/t51.2885-15/s320x320/e35/21147253_113508002664402_6223027103571378176_n.jpg</v>
      </c>
      <c r="AE3244" s="249" t="str">
        <f>HYPERLINK("https://scontent.cdninstagram.com/t51.2885-19/s150x150/20583244_720925058109574_4433475064968511488_a.jpg")</f>
        <v>https://scontent.cdninstagram.com/t51.2885-19/s150x150/20583244_720925058109574_4433475064968511488_a.jpg</v>
      </c>
    </row>
    <row r="3245" spans="1:31" ht="15" x14ac:dyDescent="0.25">
      <c r="A3245" t="s">
        <v>2474</v>
      </c>
      <c r="B3245" t="s">
        <v>18868</v>
      </c>
      <c r="C3245" s="221">
        <v>42975.20616898148</v>
      </c>
      <c r="D3245" t="s">
        <v>18869</v>
      </c>
      <c r="E3245" s="249" t="str">
        <f>HYPERLINK("https://www.instagram.com/p/BYVOF23nmLi/")</f>
        <v>https://www.instagram.com/p/BYVOF23nmLi/</v>
      </c>
      <c r="F3245" t="s">
        <v>18870</v>
      </c>
      <c r="G3245" t="s">
        <v>2478</v>
      </c>
      <c r="H3245">
        <v>504</v>
      </c>
      <c r="I3245" t="s">
        <v>2479</v>
      </c>
      <c r="J3245">
        <v>3</v>
      </c>
      <c r="K3245">
        <v>75</v>
      </c>
      <c r="L3245">
        <v>78</v>
      </c>
      <c r="Q3245">
        <v>0</v>
      </c>
      <c r="R3245">
        <v>0</v>
      </c>
      <c r="S3245">
        <v>78</v>
      </c>
      <c r="T3245" t="s">
        <v>18871</v>
      </c>
      <c r="V3245" t="s">
        <v>2161</v>
      </c>
      <c r="W3245">
        <v>50.912089999999999</v>
      </c>
      <c r="X3245">
        <v>6.9377899999999997</v>
      </c>
      <c r="Y3245" t="s">
        <v>18872</v>
      </c>
      <c r="Z3245" t="s">
        <v>18873</v>
      </c>
      <c r="AA3245" t="s">
        <v>2497</v>
      </c>
      <c r="AB3245" t="s">
        <v>18874</v>
      </c>
      <c r="AC3245" t="s">
        <v>18875</v>
      </c>
      <c r="AD3245" s="249" t="str">
        <f>HYPERLINK("https://scontent.cdninstagram.com/t51.2885-15/s320x320/e35/21042456_1872026073061032_6527988503349821440_n.jpg")</f>
        <v>https://scontent.cdninstagram.com/t51.2885-15/s320x320/e35/21042456_1872026073061032_6527988503349821440_n.jpg</v>
      </c>
      <c r="AE3245" s="249" t="str">
        <f>HYPERLINK("https://scontent.cdninstagram.com/t51.2885-19/s150x150/20766067_1889502387981996_418007211046862848_a.jpg")</f>
        <v>https://scontent.cdninstagram.com/t51.2885-19/s150x150/20766067_1889502387981996_418007211046862848_a.jpg</v>
      </c>
    </row>
    <row r="3246" spans="1:31" ht="15" x14ac:dyDescent="0.25">
      <c r="A3246" t="s">
        <v>2474</v>
      </c>
      <c r="B3246" t="s">
        <v>18876</v>
      </c>
      <c r="C3246" s="221">
        <v>42975.207361111112</v>
      </c>
      <c r="D3246" t="s">
        <v>18877</v>
      </c>
      <c r="E3246" s="249" t="str">
        <f>HYPERLINK("https://www.instagram.com/p/BYVOSaUFVZE/")</f>
        <v>https://www.instagram.com/p/BYVOSaUFVZE/</v>
      </c>
      <c r="F3246" t="s">
        <v>18878</v>
      </c>
      <c r="G3246" t="s">
        <v>2478</v>
      </c>
      <c r="H3246">
        <v>477</v>
      </c>
      <c r="I3246" t="s">
        <v>2479</v>
      </c>
      <c r="J3246">
        <v>2</v>
      </c>
      <c r="K3246">
        <v>33</v>
      </c>
      <c r="L3246">
        <v>35</v>
      </c>
      <c r="Q3246">
        <v>0</v>
      </c>
      <c r="R3246">
        <v>0</v>
      </c>
      <c r="S3246">
        <v>35</v>
      </c>
      <c r="Y3246" t="s">
        <v>2497</v>
      </c>
      <c r="AD3246" s="249" t="str">
        <f>HYPERLINK("https://scontent.cdninstagram.com/t51.2885-15/s320x320/e35/21107905_234947853696164_7735784799347933184_n.jpg")</f>
        <v>https://scontent.cdninstagram.com/t51.2885-15/s320x320/e35/21107905_234947853696164_7735784799347933184_n.jpg</v>
      </c>
      <c r="AE3246" s="249" t="str">
        <f>HYPERLINK("https://scontent.cdninstagram.com/t51.2885-19/s150x150/18298486_218694955289996_5953178620510863360_a.jpg")</f>
        <v>https://scontent.cdninstagram.com/t51.2885-19/s150x150/18298486_218694955289996_5953178620510863360_a.jpg</v>
      </c>
    </row>
    <row r="3247" spans="1:31" ht="15" x14ac:dyDescent="0.25">
      <c r="A3247" t="s">
        <v>2474</v>
      </c>
      <c r="B3247" t="s">
        <v>18876</v>
      </c>
      <c r="C3247" s="221">
        <v>42975.20758101852</v>
      </c>
      <c r="D3247" t="s">
        <v>18879</v>
      </c>
      <c r="E3247" s="249" t="str">
        <f>HYPERLINK("https://www.instagram.com/p/BYVOUw1lGMu/")</f>
        <v>https://www.instagram.com/p/BYVOUw1lGMu/</v>
      </c>
      <c r="F3247" t="s">
        <v>18880</v>
      </c>
      <c r="G3247" t="s">
        <v>2478</v>
      </c>
      <c r="H3247">
        <v>477</v>
      </c>
      <c r="I3247" t="s">
        <v>2479</v>
      </c>
      <c r="J3247">
        <v>2</v>
      </c>
      <c r="K3247">
        <v>40</v>
      </c>
      <c r="L3247">
        <v>42</v>
      </c>
      <c r="Q3247">
        <v>0</v>
      </c>
      <c r="R3247">
        <v>0</v>
      </c>
      <c r="S3247">
        <v>42</v>
      </c>
      <c r="Y3247" t="s">
        <v>2497</v>
      </c>
      <c r="AD3247" s="249" t="str">
        <f>HYPERLINK("https://scontent.cdninstagram.com/t51.2885-15/s320x320/e35/21108096_134971863781886_5991100458725277696_n.jpg")</f>
        <v>https://scontent.cdninstagram.com/t51.2885-15/s320x320/e35/21108096_134971863781886_5991100458725277696_n.jpg</v>
      </c>
      <c r="AE3247" s="249" t="str">
        <f>HYPERLINK("https://scontent.cdninstagram.com/t51.2885-19/s150x150/18298486_218694955289996_5953178620510863360_a.jpg")</f>
        <v>https://scontent.cdninstagram.com/t51.2885-19/s150x150/18298486_218694955289996_5953178620510863360_a.jpg</v>
      </c>
    </row>
    <row r="3248" spans="1:31" ht="15" x14ac:dyDescent="0.25">
      <c r="A3248" t="s">
        <v>2474</v>
      </c>
      <c r="B3248" t="s">
        <v>3754</v>
      </c>
      <c r="C3248" s="221">
        <v>42975.215104166666</v>
      </c>
      <c r="D3248" t="s">
        <v>18881</v>
      </c>
      <c r="E3248" s="249" t="str">
        <f>HYPERLINK("https://www.instagram.com/p/BYVPkBoDSc4/")</f>
        <v>https://www.instagram.com/p/BYVPkBoDSc4/</v>
      </c>
      <c r="F3248" t="s">
        <v>14324</v>
      </c>
      <c r="G3248" t="s">
        <v>2478</v>
      </c>
      <c r="H3248">
        <v>201399</v>
      </c>
      <c r="I3248" t="s">
        <v>2479</v>
      </c>
      <c r="J3248">
        <v>1</v>
      </c>
      <c r="K3248">
        <v>193</v>
      </c>
      <c r="L3248">
        <v>194</v>
      </c>
      <c r="Q3248">
        <v>0</v>
      </c>
      <c r="R3248">
        <v>0</v>
      </c>
      <c r="S3248">
        <v>194</v>
      </c>
      <c r="T3248" t="s">
        <v>18882</v>
      </c>
      <c r="U3248" t="s">
        <v>112</v>
      </c>
      <c r="V3248" t="s">
        <v>2299</v>
      </c>
      <c r="W3248">
        <v>29.53</v>
      </c>
      <c r="X3248">
        <v>-95.77</v>
      </c>
      <c r="Y3248" t="s">
        <v>18883</v>
      </c>
      <c r="Z3248" t="s">
        <v>18884</v>
      </c>
      <c r="AA3248" t="s">
        <v>12289</v>
      </c>
      <c r="AB3248" t="s">
        <v>18885</v>
      </c>
      <c r="AC3248" t="s">
        <v>2497</v>
      </c>
      <c r="AD3248" s="249" t="str">
        <f>HYPERLINK("https://scontent.cdninstagram.com/t51.2885-15/s320x320/e35/21147739_302132213592572_6612359433617932288_n.jpg")</f>
        <v>https://scontent.cdninstagram.com/t51.2885-15/s320x320/e35/21147739_302132213592572_6612359433617932288_n.jpg</v>
      </c>
      <c r="AE3248" s="249" t="str">
        <f>HYPERLINK("https://scontent.cdninstagram.com/t51.2885-19/s150x150/12905002_1681254462136092_1137392787_a.jpg")</f>
        <v>https://scontent.cdninstagram.com/t51.2885-19/s150x150/12905002_1681254462136092_1137392787_a.jpg</v>
      </c>
    </row>
    <row r="3249" spans="1:31" ht="15" x14ac:dyDescent="0.25">
      <c r="A3249" t="s">
        <v>2474</v>
      </c>
      <c r="B3249" t="s">
        <v>3754</v>
      </c>
      <c r="C3249" s="221">
        <v>42975.217557870368</v>
      </c>
      <c r="D3249" t="s">
        <v>18886</v>
      </c>
      <c r="E3249" s="249" t="str">
        <f>HYPERLINK("https://www.instagram.com/p/BYVP96zjTwq/")</f>
        <v>https://www.instagram.com/p/BYVP96zjTwq/</v>
      </c>
      <c r="F3249" t="s">
        <v>14324</v>
      </c>
      <c r="G3249" t="s">
        <v>2478</v>
      </c>
      <c r="H3249">
        <v>201399</v>
      </c>
      <c r="I3249" t="s">
        <v>2479</v>
      </c>
      <c r="J3249">
        <v>1</v>
      </c>
      <c r="K3249">
        <v>214</v>
      </c>
      <c r="L3249">
        <v>215</v>
      </c>
      <c r="Q3249">
        <v>0</v>
      </c>
      <c r="R3249">
        <v>0</v>
      </c>
      <c r="S3249">
        <v>215</v>
      </c>
      <c r="Y3249" t="s">
        <v>18883</v>
      </c>
      <c r="Z3249" t="s">
        <v>18884</v>
      </c>
      <c r="AA3249" t="s">
        <v>12289</v>
      </c>
      <c r="AB3249" t="s">
        <v>18885</v>
      </c>
      <c r="AC3249" t="s">
        <v>2497</v>
      </c>
      <c r="AD3249" s="249" t="str">
        <f>HYPERLINK("https://scontent.cdninstagram.com/t51.2885-15/s320x320/e35/21107533_113341769348871_5830502496132399104_n.jpg")</f>
        <v>https://scontent.cdninstagram.com/t51.2885-15/s320x320/e35/21107533_113341769348871_5830502496132399104_n.jpg</v>
      </c>
      <c r="AE3249" s="249" t="str">
        <f>HYPERLINK("https://scontent.cdninstagram.com/t51.2885-19/s150x150/12905002_1681254462136092_1137392787_a.jpg")</f>
        <v>https://scontent.cdninstagram.com/t51.2885-19/s150x150/12905002_1681254462136092_1137392787_a.jpg</v>
      </c>
    </row>
    <row r="3250" spans="1:31" ht="15" x14ac:dyDescent="0.25">
      <c r="A3250" t="s">
        <v>2474</v>
      </c>
      <c r="B3250" t="s">
        <v>18887</v>
      </c>
      <c r="C3250" s="221">
        <v>42975.226053240738</v>
      </c>
      <c r="D3250" t="s">
        <v>18888</v>
      </c>
      <c r="E3250" s="249" t="str">
        <f>HYPERLINK("https://www.instagram.com/p/BYVRXljlv5k/")</f>
        <v>https://www.instagram.com/p/BYVRXljlv5k/</v>
      </c>
      <c r="F3250" t="s">
        <v>18889</v>
      </c>
      <c r="G3250" t="s">
        <v>2478</v>
      </c>
      <c r="H3250">
        <v>168</v>
      </c>
      <c r="I3250" t="s">
        <v>3025</v>
      </c>
      <c r="J3250">
        <v>4</v>
      </c>
      <c r="K3250">
        <v>24</v>
      </c>
      <c r="L3250">
        <v>28</v>
      </c>
      <c r="Q3250">
        <v>0</v>
      </c>
      <c r="R3250">
        <v>0</v>
      </c>
      <c r="S3250">
        <v>28</v>
      </c>
      <c r="Y3250" t="s">
        <v>3968</v>
      </c>
      <c r="Z3250" t="s">
        <v>2497</v>
      </c>
      <c r="AA3250" t="s">
        <v>4582</v>
      </c>
      <c r="AB3250" t="s">
        <v>5449</v>
      </c>
      <c r="AC3250" t="s">
        <v>18890</v>
      </c>
      <c r="AD3250" s="249" t="str">
        <f>HYPERLINK("https://scontent.cdninstagram.com/t51.2885-15/s320x320/e35/21108075_579714479086350_90865968791683072_n.jpg")</f>
        <v>https://scontent.cdninstagram.com/t51.2885-15/s320x320/e35/21108075_579714479086350_90865968791683072_n.jpg</v>
      </c>
      <c r="AE3250" s="249" t="str">
        <f>HYPERLINK("https://scontent.cdninstagram.com/t51.2885-19/s150x150/20902719_516638625350665_8664641953226293248_a.jpg")</f>
        <v>https://scontent.cdninstagram.com/t51.2885-19/s150x150/20902719_516638625350665_8664641953226293248_a.jpg</v>
      </c>
    </row>
    <row r="3251" spans="1:31" ht="15" x14ac:dyDescent="0.25">
      <c r="A3251" t="s">
        <v>2474</v>
      </c>
      <c r="B3251" t="s">
        <v>18891</v>
      </c>
      <c r="C3251" s="221">
        <v>42975.228773148148</v>
      </c>
      <c r="D3251" t="s">
        <v>18892</v>
      </c>
      <c r="E3251" s="249" t="str">
        <f>HYPERLINK("https://www.instagram.com/p/BYVR0M6jj8-/")</f>
        <v>https://www.instagram.com/p/BYVR0M6jj8-/</v>
      </c>
      <c r="F3251" t="s">
        <v>18893</v>
      </c>
      <c r="G3251" t="s">
        <v>2478</v>
      </c>
      <c r="H3251">
        <v>2972</v>
      </c>
      <c r="I3251" t="s">
        <v>2479</v>
      </c>
      <c r="J3251">
        <v>2</v>
      </c>
      <c r="K3251">
        <v>410</v>
      </c>
      <c r="L3251">
        <v>412</v>
      </c>
      <c r="Q3251">
        <v>0</v>
      </c>
      <c r="R3251">
        <v>0</v>
      </c>
      <c r="S3251">
        <v>412</v>
      </c>
      <c r="Y3251" t="s">
        <v>18894</v>
      </c>
      <c r="Z3251" t="s">
        <v>2769</v>
      </c>
      <c r="AA3251" t="s">
        <v>2497</v>
      </c>
      <c r="AB3251" t="s">
        <v>18895</v>
      </c>
      <c r="AC3251" t="s">
        <v>18896</v>
      </c>
      <c r="AD3251" s="249" t="str">
        <f>HYPERLINK("https://scontent.cdninstagram.com/t51.2885-15/e35/p320x320/21107814_113542942690879_7351516785499176960_n.jpg")</f>
        <v>https://scontent.cdninstagram.com/t51.2885-15/e35/p320x320/21107814_113542942690879_7351516785499176960_n.jpg</v>
      </c>
      <c r="AE3251" s="249" t="str">
        <f>HYPERLINK("https://scontent.cdninstagram.com/t51.2885-19/s150x150/21148976_317025988708210_5105476235195056128_a.jpg")</f>
        <v>https://scontent.cdninstagram.com/t51.2885-19/s150x150/21148976_317025988708210_5105476235195056128_a.jpg</v>
      </c>
    </row>
    <row r="3252" spans="1:31" ht="15" x14ac:dyDescent="0.25">
      <c r="A3252" t="s">
        <v>2474</v>
      </c>
      <c r="B3252" t="s">
        <v>18897</v>
      </c>
      <c r="C3252" s="221">
        <v>42975.239444444444</v>
      </c>
      <c r="D3252" t="s">
        <v>18898</v>
      </c>
      <c r="E3252" s="249" t="str">
        <f>HYPERLINK("https://www.instagram.com/p/BYVTkvwBCP2/")</f>
        <v>https://www.instagram.com/p/BYVTkvwBCP2/</v>
      </c>
      <c r="F3252" t="s">
        <v>18899</v>
      </c>
      <c r="G3252" t="s">
        <v>2478</v>
      </c>
      <c r="H3252">
        <v>724</v>
      </c>
      <c r="I3252" t="s">
        <v>2479</v>
      </c>
      <c r="J3252">
        <v>0</v>
      </c>
      <c r="K3252">
        <v>50</v>
      </c>
      <c r="L3252">
        <v>50</v>
      </c>
      <c r="Q3252">
        <v>0</v>
      </c>
      <c r="R3252">
        <v>0</v>
      </c>
      <c r="S3252">
        <v>50</v>
      </c>
      <c r="Y3252" t="s">
        <v>2497</v>
      </c>
      <c r="Z3252" t="s">
        <v>2820</v>
      </c>
      <c r="AA3252" t="s">
        <v>18900</v>
      </c>
      <c r="AB3252" t="s">
        <v>3512</v>
      </c>
      <c r="AC3252" t="s">
        <v>18901</v>
      </c>
      <c r="AD3252" s="249" t="str">
        <f>HYPERLINK("https://scontent.cdninstagram.com/t51.2885-15/s320x320/e35/21149108_332018790601543_4096153856868614144_n.jpg")</f>
        <v>https://scontent.cdninstagram.com/t51.2885-15/s320x320/e35/21149108_332018790601543_4096153856868614144_n.jpg</v>
      </c>
      <c r="AE3252" s="249" t="str">
        <f>HYPERLINK("https://scontent.cdninstagram.com/t51.2885-19/s150x150/21042812_161844127702857_7504618466792439808_a.jpg")</f>
        <v>https://scontent.cdninstagram.com/t51.2885-19/s150x150/21042812_161844127702857_7504618466792439808_a.jpg</v>
      </c>
    </row>
    <row r="3253" spans="1:31" ht="15" x14ac:dyDescent="0.25">
      <c r="A3253" t="s">
        <v>2474</v>
      </c>
      <c r="B3253" t="s">
        <v>18902</v>
      </c>
      <c r="C3253" s="221">
        <v>42975.245740740742</v>
      </c>
      <c r="D3253" t="s">
        <v>18903</v>
      </c>
      <c r="E3253" s="249" t="str">
        <f>HYPERLINK("https://www.instagram.com/p/BYVUnIagswX/")</f>
        <v>https://www.instagram.com/p/BYVUnIagswX/</v>
      </c>
      <c r="F3253" t="s">
        <v>18904</v>
      </c>
      <c r="G3253" t="s">
        <v>2478</v>
      </c>
      <c r="H3253">
        <v>334</v>
      </c>
      <c r="I3253" t="s">
        <v>2479</v>
      </c>
      <c r="J3253">
        <v>2</v>
      </c>
      <c r="K3253">
        <v>37</v>
      </c>
      <c r="L3253">
        <v>39</v>
      </c>
      <c r="Q3253">
        <v>0</v>
      </c>
      <c r="R3253">
        <v>0</v>
      </c>
      <c r="S3253">
        <v>39</v>
      </c>
      <c r="Y3253" t="s">
        <v>18905</v>
      </c>
      <c r="Z3253" t="s">
        <v>2497</v>
      </c>
      <c r="AA3253" t="s">
        <v>2666</v>
      </c>
      <c r="AB3253" t="s">
        <v>18906</v>
      </c>
      <c r="AC3253" t="s">
        <v>3983</v>
      </c>
      <c r="AD3253" s="249" t="str">
        <f>HYPERLINK("https://scontent.cdninstagram.com/t51.2885-15/s320x320/e35/21108042_284208838727026_3410080638613585920_n.jpg")</f>
        <v>https://scontent.cdninstagram.com/t51.2885-15/s320x320/e35/21108042_284208838727026_3410080638613585920_n.jpg</v>
      </c>
      <c r="AE3253" s="249" t="str">
        <f>HYPERLINK("https://scontent.cdninstagram.com/t51.2885-19/s150x150/19367054_985519928256324_6936175945984245760_a.jpg")</f>
        <v>https://scontent.cdninstagram.com/t51.2885-19/s150x150/19367054_985519928256324_6936175945984245760_a.jpg</v>
      </c>
    </row>
    <row r="3254" spans="1:31" ht="15" x14ac:dyDescent="0.25">
      <c r="A3254" t="s">
        <v>2474</v>
      </c>
      <c r="B3254" t="s">
        <v>18907</v>
      </c>
      <c r="C3254" s="221">
        <v>42975.254548611112</v>
      </c>
      <c r="D3254" t="s">
        <v>18908</v>
      </c>
      <c r="E3254" s="249" t="str">
        <f>HYPERLINK("https://www.instagram.com/p/BYVWEBJD8Cn/")</f>
        <v>https://www.instagram.com/p/BYVWEBJD8Cn/</v>
      </c>
      <c r="F3254" t="s">
        <v>18909</v>
      </c>
      <c r="G3254" t="s">
        <v>2478</v>
      </c>
      <c r="H3254">
        <v>211</v>
      </c>
      <c r="I3254" t="s">
        <v>2479</v>
      </c>
      <c r="J3254">
        <v>0</v>
      </c>
      <c r="K3254">
        <v>25</v>
      </c>
      <c r="L3254">
        <v>25</v>
      </c>
      <c r="Q3254">
        <v>0</v>
      </c>
      <c r="R3254">
        <v>0</v>
      </c>
      <c r="S3254">
        <v>25</v>
      </c>
      <c r="Y3254" t="s">
        <v>2696</v>
      </c>
      <c r="Z3254" t="s">
        <v>2497</v>
      </c>
      <c r="AA3254" t="s">
        <v>18910</v>
      </c>
      <c r="AB3254" t="s">
        <v>18911</v>
      </c>
      <c r="AC3254" t="s">
        <v>6877</v>
      </c>
      <c r="AD3254" s="249" t="str">
        <f>HYPERLINK("https://scontent.cdninstagram.com/t51.2885-15/s320x320/e35/21107304_1564736123547869_8644413155478339584_n.jpg")</f>
        <v>https://scontent.cdninstagram.com/t51.2885-15/s320x320/e35/21107304_1564736123547869_8644413155478339584_n.jpg</v>
      </c>
      <c r="AE3254" s="249" t="str">
        <f>HYPERLINK("https://scontent.cdninstagram.com/t51.2885-19/s150x150/16789931_1210109955725140_8823687611559182336_a.jpg")</f>
        <v>https://scontent.cdninstagram.com/t51.2885-19/s150x150/16789931_1210109955725140_8823687611559182336_a.jpg</v>
      </c>
    </row>
    <row r="3255" spans="1:31" ht="15" x14ac:dyDescent="0.25">
      <c r="A3255" t="s">
        <v>2474</v>
      </c>
      <c r="B3255" t="s">
        <v>18912</v>
      </c>
      <c r="C3255" s="221">
        <v>42975.267141203702</v>
      </c>
      <c r="D3255" t="s">
        <v>18913</v>
      </c>
      <c r="E3255" s="249" t="str">
        <f>HYPERLINK("https://www.instagram.com/p/BYVYI6fAt6W/")</f>
        <v>https://www.instagram.com/p/BYVYI6fAt6W/</v>
      </c>
      <c r="F3255" t="s">
        <v>18914</v>
      </c>
      <c r="G3255" t="s">
        <v>2478</v>
      </c>
      <c r="H3255">
        <v>114</v>
      </c>
      <c r="I3255" t="s">
        <v>2479</v>
      </c>
      <c r="J3255">
        <v>1</v>
      </c>
      <c r="K3255">
        <v>11</v>
      </c>
      <c r="L3255">
        <v>12</v>
      </c>
      <c r="Q3255">
        <v>0</v>
      </c>
      <c r="R3255">
        <v>0</v>
      </c>
      <c r="S3255">
        <v>12</v>
      </c>
      <c r="Y3255" t="s">
        <v>2497</v>
      </c>
      <c r="Z3255" t="s">
        <v>18915</v>
      </c>
      <c r="AA3255" t="s">
        <v>18916</v>
      </c>
      <c r="AB3255" t="s">
        <v>3262</v>
      </c>
      <c r="AC3255" t="s">
        <v>18917</v>
      </c>
      <c r="AD3255" s="249" t="str">
        <f>HYPERLINK("https://scontent.cdninstagram.com/t51.2885-15/s320x320/e35/21147794_757385381136792_4172772525786267648_n.jpg")</f>
        <v>https://scontent.cdninstagram.com/t51.2885-15/s320x320/e35/21147794_757385381136792_4172772525786267648_n.jpg</v>
      </c>
      <c r="AE3255" s="249" t="str">
        <f>HYPERLINK("https://scontent.cdninstagram.com/t51.2885-19/s150x150/19761673_1443695135719913_466440814214512640_a.jpg")</f>
        <v>https://scontent.cdninstagram.com/t51.2885-19/s150x150/19761673_1443695135719913_466440814214512640_a.jpg</v>
      </c>
    </row>
    <row r="3256" spans="1:31" ht="15" x14ac:dyDescent="0.25">
      <c r="A3256" t="s">
        <v>2474</v>
      </c>
      <c r="B3256" t="s">
        <v>18918</v>
      </c>
      <c r="C3256" s="221">
        <v>42975.275983796295</v>
      </c>
      <c r="D3256" t="s">
        <v>18919</v>
      </c>
      <c r="E3256" s="249" t="str">
        <f>HYPERLINK("https://www.instagram.com/p/BYVZmJAgXaR/")</f>
        <v>https://www.instagram.com/p/BYVZmJAgXaR/</v>
      </c>
      <c r="F3256" t="s">
        <v>18920</v>
      </c>
      <c r="G3256" t="s">
        <v>2478</v>
      </c>
      <c r="H3256">
        <v>243</v>
      </c>
      <c r="I3256" t="s">
        <v>2479</v>
      </c>
      <c r="J3256">
        <v>1</v>
      </c>
      <c r="K3256">
        <v>46</v>
      </c>
      <c r="L3256">
        <v>47</v>
      </c>
      <c r="Q3256">
        <v>0</v>
      </c>
      <c r="R3256">
        <v>0</v>
      </c>
      <c r="S3256">
        <v>47</v>
      </c>
      <c r="T3256" t="s">
        <v>18921</v>
      </c>
      <c r="V3256" t="s">
        <v>2239</v>
      </c>
      <c r="W3256">
        <v>54.35</v>
      </c>
      <c r="X3256">
        <v>18.666699999999999</v>
      </c>
      <c r="Y3256" t="s">
        <v>2497</v>
      </c>
      <c r="Z3256" t="s">
        <v>2529</v>
      </c>
      <c r="AA3256" t="s">
        <v>18922</v>
      </c>
      <c r="AB3256" t="s">
        <v>18923</v>
      </c>
      <c r="AC3256" t="s">
        <v>3145</v>
      </c>
      <c r="AD3256" s="249" t="str">
        <f>HYPERLINK("https://scontent.cdninstagram.com/t51.2885-15/s320x320/e35/21147371_427520880977396_1812701542961119232_n.jpg")</f>
        <v>https://scontent.cdninstagram.com/t51.2885-15/s320x320/e35/21147371_427520880977396_1812701542961119232_n.jpg</v>
      </c>
      <c r="AE3256" s="249" t="str">
        <f>HYPERLINK("https://scontent.cdninstagram.com/t51.2885-19/s150x150/20394073_130351677569154_2994706044950675456_a.jpg")</f>
        <v>https://scontent.cdninstagram.com/t51.2885-19/s150x150/20394073_130351677569154_2994706044950675456_a.jpg</v>
      </c>
    </row>
    <row r="3257" spans="1:31" ht="15" x14ac:dyDescent="0.25">
      <c r="A3257" t="s">
        <v>2474</v>
      </c>
      <c r="B3257" t="s">
        <v>7152</v>
      </c>
      <c r="C3257" s="221">
        <v>42975.277442129627</v>
      </c>
      <c r="D3257" t="s">
        <v>18924</v>
      </c>
      <c r="E3257" s="249" t="str">
        <f>HYPERLINK("https://www.instagram.com/p/BYVZ1kOjPe3/")</f>
        <v>https://www.instagram.com/p/BYVZ1kOjPe3/</v>
      </c>
      <c r="F3257" t="s">
        <v>10741</v>
      </c>
      <c r="G3257" t="s">
        <v>2478</v>
      </c>
      <c r="H3257">
        <v>122</v>
      </c>
      <c r="I3257" t="s">
        <v>2479</v>
      </c>
      <c r="J3257">
        <v>1</v>
      </c>
      <c r="K3257">
        <v>13</v>
      </c>
      <c r="L3257">
        <v>14</v>
      </c>
      <c r="Q3257">
        <v>0</v>
      </c>
      <c r="R3257">
        <v>0</v>
      </c>
      <c r="S3257">
        <v>14</v>
      </c>
      <c r="Y3257" t="s">
        <v>6747</v>
      </c>
      <c r="Z3257" t="s">
        <v>6299</v>
      </c>
      <c r="AA3257" t="s">
        <v>2497</v>
      </c>
      <c r="AB3257" t="s">
        <v>10979</v>
      </c>
      <c r="AC3257" t="s">
        <v>6391</v>
      </c>
      <c r="AD3257" s="249" t="str">
        <f>HYPERLINK("https://scontent.cdninstagram.com/t51.2885-15/s320x320/e35/21149838_377226352696828_264604426776346624_n.jpg")</f>
        <v>https://scontent.cdninstagram.com/t51.2885-15/s320x320/e35/21149838_377226352696828_264604426776346624_n.jpg</v>
      </c>
      <c r="AE3257" s="249" t="str">
        <f>HYPERLINK("https://scontent.cdninstagram.com/t51.2885-19/s150x150/20181062_1791856511105718_4709893984703479808_a.jpg")</f>
        <v>https://scontent.cdninstagram.com/t51.2885-19/s150x150/20181062_1791856511105718_4709893984703479808_a.jpg</v>
      </c>
    </row>
    <row r="3258" spans="1:31" ht="15" x14ac:dyDescent="0.25">
      <c r="A3258" t="s">
        <v>2474</v>
      </c>
      <c r="B3258" t="s">
        <v>18925</v>
      </c>
      <c r="C3258" s="221">
        <v>42975.279733796298</v>
      </c>
      <c r="D3258" t="s">
        <v>18926</v>
      </c>
      <c r="E3258" s="249" t="str">
        <f>HYPERLINK("https://www.instagram.com/p/BYVaNrdApuQ/")</f>
        <v>https://www.instagram.com/p/BYVaNrdApuQ/</v>
      </c>
      <c r="F3258" t="s">
        <v>18927</v>
      </c>
      <c r="G3258" t="s">
        <v>2478</v>
      </c>
      <c r="I3258" t="s">
        <v>2479</v>
      </c>
      <c r="J3258">
        <v>3</v>
      </c>
      <c r="K3258">
        <v>27</v>
      </c>
      <c r="L3258">
        <v>30</v>
      </c>
      <c r="Q3258">
        <v>0</v>
      </c>
      <c r="R3258">
        <v>0</v>
      </c>
      <c r="S3258">
        <v>30</v>
      </c>
      <c r="Y3258" t="s">
        <v>2497</v>
      </c>
      <c r="Z3258" t="s">
        <v>18928</v>
      </c>
      <c r="AA3258" t="s">
        <v>18929</v>
      </c>
      <c r="AB3258" t="s">
        <v>5352</v>
      </c>
      <c r="AC3258" t="s">
        <v>18930</v>
      </c>
      <c r="AD3258" s="249" t="str">
        <f>HYPERLINK("https://scontent.cdninstagram.com/t51.2885-15/s320x320/e35/21042428_2025376747695521_434403923009208320_n.jpg")</f>
        <v>https://scontent.cdninstagram.com/t51.2885-15/s320x320/e35/21042428_2025376747695521_434403923009208320_n.jpg</v>
      </c>
      <c r="AE3258" s="249" t="str">
        <f>HYPERLINK("https://scontent.cdninstagram.com/t51.2885-19/s150x150/17818382_1874016486199314_8015833456074293248_a.jpg")</f>
        <v>https://scontent.cdninstagram.com/t51.2885-19/s150x150/17818382_1874016486199314_8015833456074293248_a.jpg</v>
      </c>
    </row>
    <row r="3259" spans="1:31" ht="15" x14ac:dyDescent="0.25">
      <c r="A3259" t="s">
        <v>2474</v>
      </c>
      <c r="B3259" t="s">
        <v>18931</v>
      </c>
      <c r="C3259" s="221">
        <v>42975.282233796293</v>
      </c>
      <c r="D3259" t="s">
        <v>18932</v>
      </c>
      <c r="E3259" s="249" t="str">
        <f>HYPERLINK("https://www.instagram.com/p/BYVaoAMFRzy/")</f>
        <v>https://www.instagram.com/p/BYVaoAMFRzy/</v>
      </c>
      <c r="F3259" t="s">
        <v>18933</v>
      </c>
      <c r="G3259" t="s">
        <v>2478</v>
      </c>
      <c r="H3259">
        <v>257</v>
      </c>
      <c r="I3259" t="s">
        <v>2927</v>
      </c>
      <c r="J3259">
        <v>0</v>
      </c>
      <c r="K3259">
        <v>18</v>
      </c>
      <c r="L3259">
        <v>18</v>
      </c>
      <c r="Q3259">
        <v>0</v>
      </c>
      <c r="R3259">
        <v>0</v>
      </c>
      <c r="S3259">
        <v>18</v>
      </c>
      <c r="T3259" t="s">
        <v>18934</v>
      </c>
      <c r="V3259" t="s">
        <v>2271</v>
      </c>
      <c r="W3259">
        <v>47.416699999999999</v>
      </c>
      <c r="X3259">
        <v>8.5833300000000001</v>
      </c>
      <c r="Y3259" t="s">
        <v>2497</v>
      </c>
      <c r="Z3259" t="s">
        <v>5802</v>
      </c>
      <c r="AA3259" t="s">
        <v>3706</v>
      </c>
      <c r="AB3259" t="s">
        <v>2562</v>
      </c>
      <c r="AC3259" t="s">
        <v>8516</v>
      </c>
      <c r="AD3259" s="249" t="str">
        <f>HYPERLINK("https://scontent.cdninstagram.com/t51.2885-15/e35/p320x320/21147736_848751511954933_3675208329845538816_n.jpg")</f>
        <v>https://scontent.cdninstagram.com/t51.2885-15/e35/p320x320/21147736_848751511954933_3675208329845538816_n.jpg</v>
      </c>
      <c r="AE3259" s="249" t="str">
        <f>HYPERLINK("https://scontent.cdninstagram.com/t51.2885-19/s150x150/21224811_123221524994930_4468632357288542208_a.jpg")</f>
        <v>https://scontent.cdninstagram.com/t51.2885-19/s150x150/21224811_123221524994930_4468632357288542208_a.jpg</v>
      </c>
    </row>
    <row r="3260" spans="1:31" ht="15" x14ac:dyDescent="0.25">
      <c r="A3260" t="s">
        <v>2474</v>
      </c>
      <c r="B3260" t="s">
        <v>18935</v>
      </c>
      <c r="C3260" s="221">
        <v>42975.289085648146</v>
      </c>
      <c r="D3260" t="s">
        <v>18936</v>
      </c>
      <c r="E3260" s="249" t="str">
        <f>HYPERLINK("https://www.instagram.com/p/BYVbwX6n0fd/")</f>
        <v>https://www.instagram.com/p/BYVbwX6n0fd/</v>
      </c>
      <c r="F3260" t="s">
        <v>18937</v>
      </c>
      <c r="G3260" t="s">
        <v>2478</v>
      </c>
      <c r="H3260">
        <v>212</v>
      </c>
      <c r="I3260" t="s">
        <v>2479</v>
      </c>
      <c r="J3260">
        <v>1</v>
      </c>
      <c r="K3260">
        <v>29</v>
      </c>
      <c r="L3260">
        <v>30</v>
      </c>
      <c r="Q3260">
        <v>0</v>
      </c>
      <c r="R3260">
        <v>0</v>
      </c>
      <c r="S3260">
        <v>30</v>
      </c>
      <c r="T3260" t="s">
        <v>18938</v>
      </c>
      <c r="V3260" t="s">
        <v>2222</v>
      </c>
      <c r="W3260">
        <v>52.305339993909001</v>
      </c>
      <c r="X3260">
        <v>4.7591899707912999</v>
      </c>
      <c r="Y3260" t="s">
        <v>3053</v>
      </c>
      <c r="Z3260" t="s">
        <v>2497</v>
      </c>
      <c r="AA3260" t="s">
        <v>18939</v>
      </c>
      <c r="AB3260" t="s">
        <v>3952</v>
      </c>
      <c r="AC3260" t="s">
        <v>18940</v>
      </c>
      <c r="AD3260" s="249" t="str">
        <f>HYPERLINK("https://scontent.cdninstagram.com/t51.2885-15/s320x320/e35/21107520_292491191157662_6971379241698983936_n.jpg")</f>
        <v>https://scontent.cdninstagram.com/t51.2885-15/s320x320/e35/21107520_292491191157662_6971379241698983936_n.jpg</v>
      </c>
      <c r="AE3260" s="249" t="str">
        <f>HYPERLINK("https://scontent.cdninstagram.com/t51.2885-19/s150x150/19227045_1573895092630387_7014843520460521472_a.jpg")</f>
        <v>https://scontent.cdninstagram.com/t51.2885-19/s150x150/19227045_1573895092630387_7014843520460521472_a.jpg</v>
      </c>
    </row>
    <row r="3261" spans="1:31" ht="15" x14ac:dyDescent="0.25">
      <c r="A3261" t="s">
        <v>2474</v>
      </c>
      <c r="B3261" t="s">
        <v>18941</v>
      </c>
      <c r="C3261" s="221">
        <v>42975.307581018518</v>
      </c>
      <c r="D3261" t="s">
        <v>18942</v>
      </c>
      <c r="E3261" s="249" t="str">
        <f>HYPERLINK("https://www.instagram.com/p/BYVezXen49x/")</f>
        <v>https://www.instagram.com/p/BYVezXen49x/</v>
      </c>
      <c r="F3261" t="s">
        <v>18943</v>
      </c>
      <c r="G3261" t="s">
        <v>2478</v>
      </c>
      <c r="H3261">
        <v>407</v>
      </c>
      <c r="I3261" t="s">
        <v>2479</v>
      </c>
      <c r="J3261">
        <v>0</v>
      </c>
      <c r="K3261">
        <v>4</v>
      </c>
      <c r="L3261">
        <v>4</v>
      </c>
      <c r="Q3261">
        <v>0</v>
      </c>
      <c r="R3261">
        <v>0</v>
      </c>
      <c r="S3261">
        <v>4</v>
      </c>
      <c r="Y3261" t="s">
        <v>18944</v>
      </c>
      <c r="Z3261" t="s">
        <v>3316</v>
      </c>
      <c r="AA3261" t="s">
        <v>18945</v>
      </c>
      <c r="AB3261" t="s">
        <v>3990</v>
      </c>
      <c r="AC3261" t="s">
        <v>3619</v>
      </c>
      <c r="AD3261" s="249" t="str">
        <f>HYPERLINK("https://scontent.cdninstagram.com/t51.2885-15/s320x320/e35/c0.90.875.875/21149222_273322786499505_3178446399435964416_n.jpg")</f>
        <v>https://scontent.cdninstagram.com/t51.2885-15/s320x320/e35/c0.90.875.875/21149222_273322786499505_3178446399435964416_n.jpg</v>
      </c>
      <c r="AE3261" s="249" t="str">
        <f>HYPERLINK("https://scontent.cdninstagram.com/t51.2885-19/s150x150/21041901_1980701675479032_8910709919628394496_a.jpg")</f>
        <v>https://scontent.cdninstagram.com/t51.2885-19/s150x150/21041901_1980701675479032_8910709919628394496_a.jpg</v>
      </c>
    </row>
    <row r="3262" spans="1:31" ht="15" x14ac:dyDescent="0.25">
      <c r="A3262" t="s">
        <v>2474</v>
      </c>
      <c r="B3262" t="s">
        <v>18946</v>
      </c>
      <c r="C3262" s="221">
        <v>42975.311909722222</v>
      </c>
      <c r="D3262" t="s">
        <v>18947</v>
      </c>
      <c r="E3262" s="249" t="str">
        <f>HYPERLINK("https://www.instagram.com/p/BYVfhB-Aw0g/")</f>
        <v>https://www.instagram.com/p/BYVfhB-Aw0g/</v>
      </c>
      <c r="F3262" t="s">
        <v>18948</v>
      </c>
      <c r="G3262" t="s">
        <v>2631</v>
      </c>
      <c r="H3262">
        <v>693</v>
      </c>
      <c r="I3262" t="s">
        <v>4052</v>
      </c>
      <c r="J3262">
        <v>2</v>
      </c>
      <c r="K3262">
        <v>12</v>
      </c>
      <c r="L3262">
        <v>14</v>
      </c>
      <c r="Q3262">
        <v>0</v>
      </c>
      <c r="R3262">
        <v>0</v>
      </c>
      <c r="S3262">
        <v>14</v>
      </c>
      <c r="Y3262" t="s">
        <v>2497</v>
      </c>
      <c r="Z3262" t="s">
        <v>18949</v>
      </c>
      <c r="AA3262" t="s">
        <v>13540</v>
      </c>
      <c r="AD3262" s="249" t="str">
        <f>HYPERLINK("https://scontent.cdninstagram.com/t51.2885-15/e15/p320x320/21147861_167030063858931_8167103767607508992_n.jpg")</f>
        <v>https://scontent.cdninstagram.com/t51.2885-15/e15/p320x320/21147861_167030063858931_8167103767607508992_n.jpg</v>
      </c>
      <c r="AE3262" s="249" t="str">
        <f>HYPERLINK("https://scontent.cdninstagram.com/t51.2885-19/s150x150/20398632_491042271244268_2787959088259006464_a.jpg")</f>
        <v>https://scontent.cdninstagram.com/t51.2885-19/s150x150/20398632_491042271244268_2787959088259006464_a.jpg</v>
      </c>
    </row>
    <row r="3263" spans="1:31" ht="15" x14ac:dyDescent="0.25">
      <c r="A3263" t="s">
        <v>2474</v>
      </c>
      <c r="B3263" t="s">
        <v>18950</v>
      </c>
      <c r="C3263" s="221">
        <v>42975.322997685187</v>
      </c>
      <c r="D3263" t="s">
        <v>18951</v>
      </c>
      <c r="E3263" s="249" t="str">
        <f>HYPERLINK("https://www.instagram.com/p/BYVhWAqDN65/")</f>
        <v>https://www.instagram.com/p/BYVhWAqDN65/</v>
      </c>
      <c r="F3263" t="s">
        <v>18952</v>
      </c>
      <c r="G3263" t="s">
        <v>2478</v>
      </c>
      <c r="H3263">
        <v>1071</v>
      </c>
      <c r="I3263" t="s">
        <v>2479</v>
      </c>
      <c r="J3263">
        <v>4</v>
      </c>
      <c r="K3263">
        <v>153</v>
      </c>
      <c r="L3263">
        <v>157</v>
      </c>
      <c r="Q3263">
        <v>0</v>
      </c>
      <c r="R3263">
        <v>0</v>
      </c>
      <c r="S3263">
        <v>157</v>
      </c>
      <c r="Y3263" t="s">
        <v>2497</v>
      </c>
      <c r="Z3263" t="s">
        <v>18953</v>
      </c>
      <c r="AA3263" t="s">
        <v>4987</v>
      </c>
      <c r="AB3263" t="s">
        <v>18954</v>
      </c>
      <c r="AC3263" t="s">
        <v>18955</v>
      </c>
      <c r="AD3263" s="249" t="str">
        <f>HYPERLINK("https://scontent.cdninstagram.com/t51.2885-15/s320x320/e35/21041679_117007795697512_6080146117297700864_n.jpg")</f>
        <v>https://scontent.cdninstagram.com/t51.2885-15/s320x320/e35/21041679_117007795697512_6080146117297700864_n.jpg</v>
      </c>
      <c r="AE3263" s="249" t="str">
        <f>HYPERLINK("https://scontent.cdninstagram.com/t51.2885-19/s150x150/17333318_304331879984553_8767780477533683712_a.jpg")</f>
        <v>https://scontent.cdninstagram.com/t51.2885-19/s150x150/17333318_304331879984553_8767780477533683712_a.jpg</v>
      </c>
    </row>
    <row r="3264" spans="1:31" ht="15" x14ac:dyDescent="0.25">
      <c r="A3264" t="s">
        <v>2474</v>
      </c>
      <c r="B3264" t="s">
        <v>18956</v>
      </c>
      <c r="C3264" s="221">
        <v>42975.325532407405</v>
      </c>
      <c r="D3264" t="s">
        <v>18957</v>
      </c>
      <c r="E3264" s="249" t="str">
        <f>HYPERLINK("https://www.instagram.com/p/BYVhwt1F1c3/")</f>
        <v>https://www.instagram.com/p/BYVhwt1F1c3/</v>
      </c>
      <c r="F3264" t="s">
        <v>18958</v>
      </c>
      <c r="G3264" t="s">
        <v>2478</v>
      </c>
      <c r="H3264">
        <v>95</v>
      </c>
      <c r="I3264" t="s">
        <v>2479</v>
      </c>
      <c r="J3264">
        <v>0</v>
      </c>
      <c r="K3264">
        <v>11</v>
      </c>
      <c r="L3264">
        <v>11</v>
      </c>
      <c r="Q3264">
        <v>0</v>
      </c>
      <c r="R3264">
        <v>0</v>
      </c>
      <c r="S3264">
        <v>11</v>
      </c>
      <c r="Y3264" t="s">
        <v>2497</v>
      </c>
      <c r="Z3264" t="s">
        <v>18956</v>
      </c>
      <c r="AA3264" t="s">
        <v>2521</v>
      </c>
      <c r="AB3264" t="s">
        <v>5706</v>
      </c>
      <c r="AC3264" t="s">
        <v>4827</v>
      </c>
      <c r="AD3264" s="249" t="str">
        <f>HYPERLINK("https://scontent.cdninstagram.com/t51.2885-15/s320x320/e35/21147418_267691243720510_2764074208190267392_n.jpg")</f>
        <v>https://scontent.cdninstagram.com/t51.2885-15/s320x320/e35/21147418_267691243720510_2764074208190267392_n.jpg</v>
      </c>
      <c r="AE3264" s="249" t="str">
        <f>HYPERLINK("https://scontent.cdninstagram.com/t51.2885-19/s150x150/20634762_1953199331588910_8568632799752355840_a.jpg")</f>
        <v>https://scontent.cdninstagram.com/t51.2885-19/s150x150/20634762_1953199331588910_8568632799752355840_a.jpg</v>
      </c>
    </row>
    <row r="3265" spans="1:31" ht="15" x14ac:dyDescent="0.25">
      <c r="A3265" t="s">
        <v>2474</v>
      </c>
      <c r="B3265" t="s">
        <v>15801</v>
      </c>
      <c r="C3265" s="221">
        <v>42975.330659722225</v>
      </c>
      <c r="D3265" t="s">
        <v>18959</v>
      </c>
      <c r="E3265" s="249" t="str">
        <f>HYPERLINK("https://www.instagram.com/p/BYVimwDldpg/")</f>
        <v>https://www.instagram.com/p/BYVimwDldpg/</v>
      </c>
      <c r="F3265" t="s">
        <v>18960</v>
      </c>
      <c r="G3265" t="s">
        <v>2478</v>
      </c>
      <c r="H3265">
        <v>207</v>
      </c>
      <c r="I3265" t="s">
        <v>2479</v>
      </c>
      <c r="J3265">
        <v>1</v>
      </c>
      <c r="K3265">
        <v>21</v>
      </c>
      <c r="L3265">
        <v>22</v>
      </c>
      <c r="Q3265">
        <v>0</v>
      </c>
      <c r="R3265">
        <v>0</v>
      </c>
      <c r="S3265">
        <v>22</v>
      </c>
      <c r="Y3265" t="s">
        <v>18961</v>
      </c>
      <c r="Z3265" t="s">
        <v>16312</v>
      </c>
      <c r="AA3265" t="s">
        <v>2497</v>
      </c>
      <c r="AB3265" t="s">
        <v>13790</v>
      </c>
      <c r="AC3265" t="s">
        <v>3153</v>
      </c>
      <c r="AD3265" s="249" t="str">
        <f>HYPERLINK("https://scontent.cdninstagram.com/t51.2885-15/s320x320/e35/21147444_1947571635531077_5672268367575121920_n.jpg")</f>
        <v>https://scontent.cdninstagram.com/t51.2885-15/s320x320/e35/21147444_1947571635531077_5672268367575121920_n.jpg</v>
      </c>
      <c r="AE3265" s="249" t="str">
        <f>HYPERLINK("https://scontent.cdninstagram.com/t51.2885-19/s150x150/12547279_954947561266331_1148242584_a.jpg")</f>
        <v>https://scontent.cdninstagram.com/t51.2885-19/s150x150/12547279_954947561266331_1148242584_a.jpg</v>
      </c>
    </row>
    <row r="3266" spans="1:31" ht="15" x14ac:dyDescent="0.25">
      <c r="A3266" t="s">
        <v>2474</v>
      </c>
      <c r="B3266" t="s">
        <v>18962</v>
      </c>
      <c r="C3266" s="221">
        <v>42975.332141203704</v>
      </c>
      <c r="D3266" t="s">
        <v>18963</v>
      </c>
      <c r="E3266" s="249" t="str">
        <f>HYPERLINK("https://www.instagram.com/p/BYVi2Ygh1xG/")</f>
        <v>https://www.instagram.com/p/BYVi2Ygh1xG/</v>
      </c>
      <c r="F3266" t="s">
        <v>18964</v>
      </c>
      <c r="G3266" t="s">
        <v>2478</v>
      </c>
      <c r="H3266">
        <v>2201</v>
      </c>
      <c r="I3266" t="s">
        <v>2479</v>
      </c>
      <c r="J3266">
        <v>0</v>
      </c>
      <c r="K3266">
        <v>126</v>
      </c>
      <c r="L3266">
        <v>126</v>
      </c>
      <c r="Q3266">
        <v>0</v>
      </c>
      <c r="R3266">
        <v>0</v>
      </c>
      <c r="S3266">
        <v>126</v>
      </c>
      <c r="T3266" t="s">
        <v>18965</v>
      </c>
      <c r="V3266" t="s">
        <v>2204</v>
      </c>
      <c r="W3266">
        <v>5.9622313</v>
      </c>
      <c r="X3266">
        <v>116.0915124</v>
      </c>
      <c r="Y3266" t="s">
        <v>2497</v>
      </c>
      <c r="Z3266" t="s">
        <v>18953</v>
      </c>
      <c r="AA3266" t="s">
        <v>4987</v>
      </c>
      <c r="AB3266" t="s">
        <v>5629</v>
      </c>
      <c r="AC3266" t="s">
        <v>18954</v>
      </c>
      <c r="AD3266" s="249" t="str">
        <f>HYPERLINK("https://scontent.cdninstagram.com/t51.2885-15/s320x320/e35/21147229_111676046196510_3285739488558448640_n.jpg")</f>
        <v>https://scontent.cdninstagram.com/t51.2885-15/s320x320/e35/21147229_111676046196510_3285739488558448640_n.jpg</v>
      </c>
      <c r="AE3266" s="249" t="str">
        <f>HYPERLINK("https://scontent.cdninstagram.com/t51.2885-19/s150x150/21149399_265141093974380_8790725983830278144_a.jpg")</f>
        <v>https://scontent.cdninstagram.com/t51.2885-19/s150x150/21149399_265141093974380_8790725983830278144_a.jpg</v>
      </c>
    </row>
    <row r="3267" spans="1:31" ht="15" x14ac:dyDescent="0.25">
      <c r="A3267" t="s">
        <v>2474</v>
      </c>
      <c r="B3267" t="s">
        <v>18966</v>
      </c>
      <c r="C3267" s="221">
        <v>42975.337326388886</v>
      </c>
      <c r="D3267" t="s">
        <v>18967</v>
      </c>
      <c r="E3267" s="249" t="str">
        <f>HYPERLINK("https://www.instagram.com/p/BYVjtJzl7kd/")</f>
        <v>https://www.instagram.com/p/BYVjtJzl7kd/</v>
      </c>
      <c r="F3267" t="s">
        <v>18968</v>
      </c>
      <c r="G3267" t="s">
        <v>2478</v>
      </c>
      <c r="H3267">
        <v>1091</v>
      </c>
      <c r="I3267" t="s">
        <v>2479</v>
      </c>
      <c r="J3267">
        <v>2</v>
      </c>
      <c r="K3267">
        <v>37</v>
      </c>
      <c r="L3267">
        <v>39</v>
      </c>
      <c r="Q3267">
        <v>0</v>
      </c>
      <c r="R3267">
        <v>0</v>
      </c>
      <c r="S3267">
        <v>39</v>
      </c>
      <c r="Y3267" t="s">
        <v>16675</v>
      </c>
      <c r="Z3267" t="s">
        <v>2497</v>
      </c>
      <c r="AA3267" t="s">
        <v>12380</v>
      </c>
      <c r="AD3267" s="249" t="str">
        <f>HYPERLINK("https://scontent.cdninstagram.com/t51.2885-15/s320x320/e35/21107919_346057582504340_6765538514516836352_n.jpg")</f>
        <v>https://scontent.cdninstagram.com/t51.2885-15/s320x320/e35/21107919_346057582504340_6765538514516836352_n.jpg</v>
      </c>
      <c r="AE3267" s="249" t="str">
        <f>HYPERLINK("https://scontent.cdninstagram.com/t51.2885-19/s150x150/20838811_1728740680764502_864689861439782912_a.jpg")</f>
        <v>https://scontent.cdninstagram.com/t51.2885-19/s150x150/20838811_1728740680764502_864689861439782912_a.jpg</v>
      </c>
    </row>
    <row r="3268" spans="1:31" ht="15" x14ac:dyDescent="0.25">
      <c r="A3268" t="s">
        <v>2474</v>
      </c>
      <c r="B3268" t="s">
        <v>18969</v>
      </c>
      <c r="C3268" s="221">
        <v>42975.337939814817</v>
      </c>
      <c r="D3268" t="s">
        <v>18970</v>
      </c>
      <c r="E3268" s="249" t="str">
        <f>HYPERLINK("https://www.instagram.com/p/BYVjzlLl92T/")</f>
        <v>https://www.instagram.com/p/BYVjzlLl92T/</v>
      </c>
      <c r="F3268" t="s">
        <v>18971</v>
      </c>
      <c r="G3268" t="s">
        <v>2478</v>
      </c>
      <c r="H3268">
        <v>172</v>
      </c>
      <c r="I3268" t="s">
        <v>2599</v>
      </c>
      <c r="J3268">
        <v>0</v>
      </c>
      <c r="K3268">
        <v>5</v>
      </c>
      <c r="L3268">
        <v>5</v>
      </c>
      <c r="Q3268">
        <v>0</v>
      </c>
      <c r="R3268">
        <v>0</v>
      </c>
      <c r="S3268">
        <v>5</v>
      </c>
      <c r="Y3268" t="s">
        <v>2497</v>
      </c>
      <c r="Z3268" t="s">
        <v>6632</v>
      </c>
      <c r="AD3268" s="249" t="str">
        <f>HYPERLINK("https://scontent.cdninstagram.com/t51.2885-15/s320x320/e35/21042862_1963400197254301_4745484926986485760_n.jpg")</f>
        <v>https://scontent.cdninstagram.com/t51.2885-15/s320x320/e35/21042862_1963400197254301_4745484926986485760_n.jpg</v>
      </c>
      <c r="AE3268" s="249" t="str">
        <f>HYPERLINK("https://scontent.cdninstagram.com/t51.2885-19/s150x150/18812517_458014884547029_5124943393507508224_a.jpg")</f>
        <v>https://scontent.cdninstagram.com/t51.2885-19/s150x150/18812517_458014884547029_5124943393507508224_a.jpg</v>
      </c>
    </row>
    <row r="3269" spans="1:31" ht="15" x14ac:dyDescent="0.25">
      <c r="A3269" t="s">
        <v>2474</v>
      </c>
      <c r="B3269" t="s">
        <v>18972</v>
      </c>
      <c r="C3269" s="221">
        <v>42975.352731481478</v>
      </c>
      <c r="D3269" t="s">
        <v>18973</v>
      </c>
      <c r="E3269" s="249" t="str">
        <f>HYPERLINK("https://www.instagram.com/p/BYVmPmil3vo/")</f>
        <v>https://www.instagram.com/p/BYVmPmil3vo/</v>
      </c>
      <c r="F3269" t="s">
        <v>18974</v>
      </c>
      <c r="G3269" t="s">
        <v>2478</v>
      </c>
      <c r="H3269">
        <v>501</v>
      </c>
      <c r="I3269" t="s">
        <v>2479</v>
      </c>
      <c r="J3269">
        <v>6</v>
      </c>
      <c r="K3269">
        <v>136</v>
      </c>
      <c r="L3269">
        <v>142</v>
      </c>
      <c r="Q3269">
        <v>0</v>
      </c>
      <c r="R3269">
        <v>0</v>
      </c>
      <c r="S3269">
        <v>142</v>
      </c>
      <c r="Y3269" t="s">
        <v>18975</v>
      </c>
      <c r="Z3269" t="s">
        <v>2497</v>
      </c>
      <c r="AA3269" t="s">
        <v>9679</v>
      </c>
      <c r="AB3269" t="s">
        <v>4702</v>
      </c>
      <c r="AC3269" t="s">
        <v>8587</v>
      </c>
      <c r="AD3269" s="249" t="str">
        <f>HYPERLINK("https://scontent.cdninstagram.com/t51.2885-15/s320x320/e35/21042433_265645843942548_8549863522085896192_n.jpg")</f>
        <v>https://scontent.cdninstagram.com/t51.2885-15/s320x320/e35/21042433_265645843942548_8549863522085896192_n.jpg</v>
      </c>
      <c r="AE3269" s="249" t="str">
        <f>HYPERLINK("https://scontent.cdninstagram.com/t51.2885-19/s150x150/18948272_1285826424868526_7602324484535615488_a.jpg")</f>
        <v>https://scontent.cdninstagram.com/t51.2885-19/s150x150/18948272_1285826424868526_7602324484535615488_a.jpg</v>
      </c>
    </row>
    <row r="3270" spans="1:31" ht="15" x14ac:dyDescent="0.25">
      <c r="A3270" t="s">
        <v>2474</v>
      </c>
      <c r="B3270" t="s">
        <v>18976</v>
      </c>
      <c r="C3270" s="221">
        <v>42975.354027777779</v>
      </c>
      <c r="D3270" t="s">
        <v>18977</v>
      </c>
      <c r="E3270" s="249" t="str">
        <f>HYPERLINK("https://www.instagram.com/p/BYVmdQODDx-/")</f>
        <v>https://www.instagram.com/p/BYVmdQODDx-/</v>
      </c>
      <c r="F3270" t="s">
        <v>18978</v>
      </c>
      <c r="G3270" t="s">
        <v>2478</v>
      </c>
      <c r="H3270">
        <v>614</v>
      </c>
      <c r="I3270" t="s">
        <v>2542</v>
      </c>
      <c r="J3270">
        <v>3</v>
      </c>
      <c r="K3270">
        <v>91</v>
      </c>
      <c r="L3270">
        <v>94</v>
      </c>
      <c r="Q3270">
        <v>0</v>
      </c>
      <c r="R3270">
        <v>0</v>
      </c>
      <c r="S3270">
        <v>94</v>
      </c>
      <c r="T3270" t="s">
        <v>18979</v>
      </c>
      <c r="V3270" t="s">
        <v>2102</v>
      </c>
      <c r="W3270">
        <v>-37.801726036517998</v>
      </c>
      <c r="X3270">
        <v>144.98371831703</v>
      </c>
      <c r="Y3270" t="s">
        <v>2497</v>
      </c>
      <c r="AD3270" s="249" t="str">
        <f>HYPERLINK("https://scontent.cdninstagram.com/t51.2885-15/e35/p320x320/21147260_109687203100192_2334180589252378624_n.jpg")</f>
        <v>https://scontent.cdninstagram.com/t51.2885-15/e35/p320x320/21147260_109687203100192_2334180589252378624_n.jpg</v>
      </c>
      <c r="AE3270" s="249" t="str">
        <f>HYPERLINK("https://scontent.cdninstagram.com/t51.2885-19/s150x150/19984357_314835398943904_5993507504426844160_a.jpg")</f>
        <v>https://scontent.cdninstagram.com/t51.2885-19/s150x150/19984357_314835398943904_5993507504426844160_a.jpg</v>
      </c>
    </row>
    <row r="3271" spans="1:31" ht="15" x14ac:dyDescent="0.25">
      <c r="A3271" t="s">
        <v>2474</v>
      </c>
      <c r="B3271" t="s">
        <v>18980</v>
      </c>
      <c r="C3271" s="221">
        <v>42975.354305555556</v>
      </c>
      <c r="D3271" t="s">
        <v>18981</v>
      </c>
      <c r="E3271" s="249" t="str">
        <f>HYPERLINK("https://www.instagram.com/p/BYVmgNBHqHA/")</f>
        <v>https://www.instagram.com/p/BYVmgNBHqHA/</v>
      </c>
      <c r="F3271" t="s">
        <v>18982</v>
      </c>
      <c r="G3271" t="s">
        <v>2488</v>
      </c>
      <c r="H3271">
        <v>1724</v>
      </c>
      <c r="I3271" t="s">
        <v>2479</v>
      </c>
      <c r="J3271">
        <v>0</v>
      </c>
      <c r="K3271">
        <v>17</v>
      </c>
      <c r="L3271">
        <v>17</v>
      </c>
      <c r="Q3271">
        <v>0</v>
      </c>
      <c r="R3271">
        <v>0</v>
      </c>
      <c r="S3271">
        <v>17</v>
      </c>
      <c r="Y3271" t="s">
        <v>2497</v>
      </c>
      <c r="Z3271" t="s">
        <v>18983</v>
      </c>
      <c r="AA3271" t="s">
        <v>18984</v>
      </c>
      <c r="AD3271" s="249" t="str">
        <f>HYPERLINK("https://scontent.cdninstagram.com/t51.2885-15/s320x320/e35/21224734_512145552462220_6436648275679379456_n.jpg")</f>
        <v>https://scontent.cdninstagram.com/t51.2885-15/s320x320/e35/21224734_512145552462220_6436648275679379456_n.jpg</v>
      </c>
      <c r="AE3271" s="249" t="str">
        <f>HYPERLINK("https://scontent.cdninstagram.com/t51.2885-19/s150x150/12145376_1504942536470533_1382463411_a.jpg")</f>
        <v>https://scontent.cdninstagram.com/t51.2885-19/s150x150/12145376_1504942536470533_1382463411_a.jpg</v>
      </c>
    </row>
    <row r="3272" spans="1:31" ht="15" x14ac:dyDescent="0.25">
      <c r="A3272" t="s">
        <v>2474</v>
      </c>
      <c r="B3272" t="s">
        <v>3251</v>
      </c>
      <c r="C3272" s="221">
        <v>42975.360914351855</v>
      </c>
      <c r="D3272" t="s">
        <v>18985</v>
      </c>
      <c r="E3272" s="249" t="str">
        <f>HYPERLINK("https://www.instagram.com/p/BYVnl1tnjPe/")</f>
        <v>https://www.instagram.com/p/BYVnl1tnjPe/</v>
      </c>
      <c r="F3272" t="s">
        <v>18986</v>
      </c>
      <c r="G3272" t="s">
        <v>2478</v>
      </c>
      <c r="H3272">
        <v>296</v>
      </c>
      <c r="I3272" t="s">
        <v>2542</v>
      </c>
      <c r="J3272">
        <v>1</v>
      </c>
      <c r="K3272">
        <v>32</v>
      </c>
      <c r="L3272">
        <v>33</v>
      </c>
      <c r="Q3272">
        <v>0</v>
      </c>
      <c r="R3272">
        <v>0</v>
      </c>
      <c r="S3272">
        <v>33</v>
      </c>
      <c r="Y3272" t="s">
        <v>2778</v>
      </c>
      <c r="Z3272" t="s">
        <v>2497</v>
      </c>
      <c r="AA3272" t="s">
        <v>3257</v>
      </c>
      <c r="AB3272" t="s">
        <v>3970</v>
      </c>
      <c r="AC3272" t="s">
        <v>4844</v>
      </c>
      <c r="AD3272" s="249" t="str">
        <f>HYPERLINK("https://scontent.cdninstagram.com/t51.2885-15/s320x320/e35/21107522_290558808087505_2750814600470462464_n.jpg")</f>
        <v>https://scontent.cdninstagram.com/t51.2885-15/s320x320/e35/21107522_290558808087505_2750814600470462464_n.jpg</v>
      </c>
      <c r="AE3272" s="249" t="str">
        <f>HYPERLINK("https://scontent.cdninstagram.com/t51.2885-19/s150x150/20986614_891746094322067_1272495017625124864_a.jpg")</f>
        <v>https://scontent.cdninstagram.com/t51.2885-19/s150x150/20986614_891746094322067_1272495017625124864_a.jpg</v>
      </c>
    </row>
    <row r="3273" spans="1:31" ht="15" x14ac:dyDescent="0.25">
      <c r="A3273" t="s">
        <v>2474</v>
      </c>
      <c r="B3273" t="s">
        <v>3015</v>
      </c>
      <c r="C3273" s="221">
        <v>42975.364548611113</v>
      </c>
      <c r="D3273" t="s">
        <v>18987</v>
      </c>
      <c r="E3273" s="249" t="str">
        <f>HYPERLINK("https://www.instagram.com/p/BYVoMLcg4Ed/")</f>
        <v>https://www.instagram.com/p/BYVoMLcg4Ed/</v>
      </c>
      <c r="F3273" t="s">
        <v>18988</v>
      </c>
      <c r="G3273" t="s">
        <v>2478</v>
      </c>
      <c r="H3273">
        <v>255</v>
      </c>
      <c r="I3273" t="s">
        <v>2479</v>
      </c>
      <c r="J3273">
        <v>0</v>
      </c>
      <c r="K3273">
        <v>56</v>
      </c>
      <c r="L3273">
        <v>56</v>
      </c>
      <c r="Q3273">
        <v>0</v>
      </c>
      <c r="R3273">
        <v>0</v>
      </c>
      <c r="S3273">
        <v>56</v>
      </c>
      <c r="Y3273" t="s">
        <v>2497</v>
      </c>
      <c r="Z3273" t="s">
        <v>4128</v>
      </c>
      <c r="AA3273" t="s">
        <v>3494</v>
      </c>
      <c r="AB3273" t="s">
        <v>7275</v>
      </c>
      <c r="AC3273" t="s">
        <v>4129</v>
      </c>
      <c r="AD3273" s="249" t="str">
        <f>HYPERLINK("https://scontent.cdninstagram.com/t51.2885-15/e35/p320x320/21107574_187434481797647_5004163776363102208_n.jpg")</f>
        <v>https://scontent.cdninstagram.com/t51.2885-15/e35/p320x320/21107574_187434481797647_5004163776363102208_n.jpg</v>
      </c>
      <c r="AE3273" s="249" t="str">
        <f>HYPERLINK("https://scontent.cdninstagram.com/t51.2885-19/s150x150/21373102_1087463374722515_8750956974671134720_a.jpg")</f>
        <v>https://scontent.cdninstagram.com/t51.2885-19/s150x150/21373102_1087463374722515_8750956974671134720_a.jpg</v>
      </c>
    </row>
    <row r="3274" spans="1:31" ht="15" x14ac:dyDescent="0.25">
      <c r="A3274" t="s">
        <v>2474</v>
      </c>
      <c r="B3274" t="s">
        <v>3015</v>
      </c>
      <c r="C3274" s="221">
        <v>42975.366759259261</v>
      </c>
      <c r="D3274" t="s">
        <v>18989</v>
      </c>
      <c r="E3274" s="249" t="str">
        <f>HYPERLINK("https://www.instagram.com/p/BYVojiygL2I/")</f>
        <v>https://www.instagram.com/p/BYVojiygL2I/</v>
      </c>
      <c r="F3274" t="s">
        <v>18990</v>
      </c>
      <c r="G3274" t="s">
        <v>2478</v>
      </c>
      <c r="H3274">
        <v>255</v>
      </c>
      <c r="I3274" t="s">
        <v>2479</v>
      </c>
      <c r="J3274">
        <v>0</v>
      </c>
      <c r="K3274">
        <v>35</v>
      </c>
      <c r="L3274">
        <v>35</v>
      </c>
      <c r="Q3274">
        <v>0</v>
      </c>
      <c r="R3274">
        <v>0</v>
      </c>
      <c r="S3274">
        <v>35</v>
      </c>
      <c r="Y3274" t="s">
        <v>2497</v>
      </c>
      <c r="Z3274" t="s">
        <v>4128</v>
      </c>
      <c r="AA3274" t="s">
        <v>3494</v>
      </c>
      <c r="AB3274" t="s">
        <v>7275</v>
      </c>
      <c r="AC3274" t="s">
        <v>4129</v>
      </c>
      <c r="AD3274" s="249" t="str">
        <f>HYPERLINK("https://scontent.cdninstagram.com/t51.2885-15/s320x320/e35/21042783_273667529784529_4680090291808501760_n.jpg")</f>
        <v>https://scontent.cdninstagram.com/t51.2885-15/s320x320/e35/21042783_273667529784529_4680090291808501760_n.jpg</v>
      </c>
      <c r="AE3274" s="249" t="str">
        <f>HYPERLINK("https://scontent.cdninstagram.com/t51.2885-19/s150x150/21373102_1087463374722515_8750956974671134720_a.jpg")</f>
        <v>https://scontent.cdninstagram.com/t51.2885-19/s150x150/21373102_1087463374722515_8750956974671134720_a.jpg</v>
      </c>
    </row>
    <row r="3275" spans="1:31" ht="15" x14ac:dyDescent="0.25">
      <c r="A3275" t="s">
        <v>2474</v>
      </c>
      <c r="B3275" t="s">
        <v>18991</v>
      </c>
      <c r="C3275" s="221">
        <v>42975.367071759261</v>
      </c>
      <c r="D3275" t="s">
        <v>18992</v>
      </c>
      <c r="E3275" s="249" t="str">
        <f>HYPERLINK("https://www.instagram.com/p/BYVom0il92I/")</f>
        <v>https://www.instagram.com/p/BYVom0il92I/</v>
      </c>
      <c r="F3275" t="s">
        <v>18993</v>
      </c>
      <c r="G3275" t="s">
        <v>2478</v>
      </c>
      <c r="H3275">
        <v>241</v>
      </c>
      <c r="I3275" t="s">
        <v>2479</v>
      </c>
      <c r="J3275">
        <v>0</v>
      </c>
      <c r="K3275">
        <v>20</v>
      </c>
      <c r="L3275">
        <v>20</v>
      </c>
      <c r="Q3275">
        <v>0</v>
      </c>
      <c r="R3275">
        <v>0</v>
      </c>
      <c r="S3275">
        <v>20</v>
      </c>
      <c r="Y3275" t="s">
        <v>2497</v>
      </c>
      <c r="Z3275" t="s">
        <v>2949</v>
      </c>
      <c r="AA3275" t="s">
        <v>18994</v>
      </c>
      <c r="AB3275" t="s">
        <v>18995</v>
      </c>
      <c r="AC3275" t="s">
        <v>9125</v>
      </c>
      <c r="AD3275" s="249" t="str">
        <f>HYPERLINK("https://scontent.cdninstagram.com/t51.2885-15/e35/p320x320/21107146_382966002117986_6053011901196009472_n.jpg")</f>
        <v>https://scontent.cdninstagram.com/t51.2885-15/e35/p320x320/21107146_382966002117986_6053011901196009472_n.jpg</v>
      </c>
      <c r="AE3275" s="249" t="str">
        <f>HYPERLINK("https://scontent.cdninstagram.com/t51.2885-19/s150x150/16110590_1311660032223793_2724273360438558720_a.jpg")</f>
        <v>https://scontent.cdninstagram.com/t51.2885-19/s150x150/16110590_1311660032223793_2724273360438558720_a.jpg</v>
      </c>
    </row>
    <row r="3276" spans="1:31" ht="15" x14ac:dyDescent="0.25">
      <c r="A3276" t="s">
        <v>2474</v>
      </c>
      <c r="B3276" t="s">
        <v>17158</v>
      </c>
      <c r="C3276" s="221">
        <v>42975.370833333334</v>
      </c>
      <c r="D3276" t="s">
        <v>18996</v>
      </c>
      <c r="E3276" s="249" t="str">
        <f>HYPERLINK("https://www.instagram.com/p/BYVpOjYnN_W/")</f>
        <v>https://www.instagram.com/p/BYVpOjYnN_W/</v>
      </c>
      <c r="F3276" t="s">
        <v>18997</v>
      </c>
      <c r="G3276" t="s">
        <v>2478</v>
      </c>
      <c r="H3276">
        <v>377</v>
      </c>
      <c r="I3276" t="s">
        <v>2479</v>
      </c>
      <c r="J3276">
        <v>2</v>
      </c>
      <c r="K3276">
        <v>50</v>
      </c>
      <c r="L3276">
        <v>52</v>
      </c>
      <c r="Q3276">
        <v>0</v>
      </c>
      <c r="R3276">
        <v>0</v>
      </c>
      <c r="S3276">
        <v>52</v>
      </c>
      <c r="Y3276" t="s">
        <v>2497</v>
      </c>
      <c r="Z3276" t="s">
        <v>18286</v>
      </c>
      <c r="AA3276" t="s">
        <v>18625</v>
      </c>
      <c r="AB3276" t="s">
        <v>3534</v>
      </c>
      <c r="AC3276" t="s">
        <v>16743</v>
      </c>
      <c r="AD3276" s="249" t="str">
        <f>HYPERLINK("https://scontent.cdninstagram.com/t51.2885-15/s320x320/e35/21148940_2107434682817278_6358157945913475072_n.jpg")</f>
        <v>https://scontent.cdninstagram.com/t51.2885-15/s320x320/e35/21148940_2107434682817278_6358157945913475072_n.jpg</v>
      </c>
      <c r="AE3276" s="249" t="str">
        <f>HYPERLINK("https://scontent.cdninstagram.com/t51.2885-19/s150x150/13658639_315931348749567_46952542_a.jpg")</f>
        <v>https://scontent.cdninstagram.com/t51.2885-19/s150x150/13658639_315931348749567_46952542_a.jpg</v>
      </c>
    </row>
    <row r="3277" spans="1:31" ht="15" x14ac:dyDescent="0.25">
      <c r="A3277" t="s">
        <v>2474</v>
      </c>
      <c r="B3277" t="s">
        <v>18998</v>
      </c>
      <c r="C3277" s="221">
        <v>42975.370925925927</v>
      </c>
      <c r="D3277" t="s">
        <v>18999</v>
      </c>
      <c r="E3277" s="249" t="str">
        <f>HYPERLINK("https://www.instagram.com/p/BYVpPe_gTCz/")</f>
        <v>https://www.instagram.com/p/BYVpPe_gTCz/</v>
      </c>
      <c r="F3277" t="s">
        <v>19000</v>
      </c>
      <c r="G3277" t="s">
        <v>2478</v>
      </c>
      <c r="H3277">
        <v>1411</v>
      </c>
      <c r="I3277" t="s">
        <v>2479</v>
      </c>
      <c r="J3277">
        <v>0</v>
      </c>
      <c r="K3277">
        <v>58</v>
      </c>
      <c r="L3277">
        <v>58</v>
      </c>
      <c r="Q3277">
        <v>0</v>
      </c>
      <c r="R3277">
        <v>0</v>
      </c>
      <c r="S3277">
        <v>58</v>
      </c>
      <c r="Y3277" t="s">
        <v>3019</v>
      </c>
      <c r="Z3277" t="s">
        <v>19001</v>
      </c>
      <c r="AA3277" t="s">
        <v>19002</v>
      </c>
      <c r="AB3277" t="s">
        <v>19003</v>
      </c>
      <c r="AC3277" t="s">
        <v>19004</v>
      </c>
      <c r="AD3277" s="249" t="str">
        <f>HYPERLINK("https://scontent.cdninstagram.com/t51.2885-15/s320x320/e35/21147480_402573040140418_4354510235805679616_n.jpg")</f>
        <v>https://scontent.cdninstagram.com/t51.2885-15/s320x320/e35/21147480_402573040140418_4354510235805679616_n.jpg</v>
      </c>
      <c r="AE3277" s="249" t="str">
        <f>HYPERLINK("https://scontent.cdninstagram.com/t51.2885-19/s150x150/20583024_2016760765223946_6489201259290034176_a.jpg")</f>
        <v>https://scontent.cdninstagram.com/t51.2885-19/s150x150/20583024_2016760765223946_6489201259290034176_a.jpg</v>
      </c>
    </row>
    <row r="3278" spans="1:31" ht="15" x14ac:dyDescent="0.25">
      <c r="A3278" t="s">
        <v>2474</v>
      </c>
      <c r="B3278" t="s">
        <v>4535</v>
      </c>
      <c r="C3278" s="221">
        <v>42975.371203703704</v>
      </c>
      <c r="D3278" t="s">
        <v>19005</v>
      </c>
      <c r="E3278" s="249" t="str">
        <f>HYPERLINK("https://www.instagram.com/p/BYVpSX_lyzp/")</f>
        <v>https://www.instagram.com/p/BYVpSX_lyzp/</v>
      </c>
      <c r="F3278" t="s">
        <v>19006</v>
      </c>
      <c r="G3278" t="s">
        <v>2478</v>
      </c>
      <c r="H3278">
        <v>174</v>
      </c>
      <c r="I3278" t="s">
        <v>2479</v>
      </c>
      <c r="J3278">
        <v>1</v>
      </c>
      <c r="K3278">
        <v>25</v>
      </c>
      <c r="L3278">
        <v>26</v>
      </c>
      <c r="Q3278">
        <v>0</v>
      </c>
      <c r="R3278">
        <v>0</v>
      </c>
      <c r="S3278">
        <v>26</v>
      </c>
      <c r="Y3278" t="s">
        <v>5605</v>
      </c>
      <c r="Z3278" t="s">
        <v>5607</v>
      </c>
      <c r="AA3278" t="s">
        <v>4540</v>
      </c>
      <c r="AB3278" t="s">
        <v>13436</v>
      </c>
      <c r="AC3278" t="s">
        <v>4542</v>
      </c>
      <c r="AD3278" s="249" t="str">
        <f>HYPERLINK("https://scontent.cdninstagram.com/t51.2885-15/e35/p320x320/21107429_336290356794352_5057686469099913216_n.jpg")</f>
        <v>https://scontent.cdninstagram.com/t51.2885-15/e35/p320x320/21107429_336290356794352_5057686469099913216_n.jpg</v>
      </c>
      <c r="AE3278" s="249" t="str">
        <f>HYPERLINK("https://scontent.cdninstagram.com/t51.2885-19/s150x150/20399028_1624608414236560_533007696291430400_a.jpg")</f>
        <v>https://scontent.cdninstagram.com/t51.2885-19/s150x150/20399028_1624608414236560_533007696291430400_a.jpg</v>
      </c>
    </row>
    <row r="3279" spans="1:31" ht="15" x14ac:dyDescent="0.25">
      <c r="A3279" t="s">
        <v>2474</v>
      </c>
      <c r="B3279" t="s">
        <v>19007</v>
      </c>
      <c r="C3279" s="221">
        <v>42975.37128472222</v>
      </c>
      <c r="D3279" t="s">
        <v>19008</v>
      </c>
      <c r="E3279" s="249" t="str">
        <f>HYPERLINK("https://www.instagram.com/p/BYVpTO-Bmuj/")</f>
        <v>https://www.instagram.com/p/BYVpTO-Bmuj/</v>
      </c>
      <c r="F3279" t="s">
        <v>19009</v>
      </c>
      <c r="G3279" t="s">
        <v>2478</v>
      </c>
      <c r="H3279">
        <v>148</v>
      </c>
      <c r="I3279" t="s">
        <v>2479</v>
      </c>
      <c r="J3279">
        <v>2</v>
      </c>
      <c r="K3279">
        <v>45</v>
      </c>
      <c r="L3279">
        <v>47</v>
      </c>
      <c r="Q3279">
        <v>0</v>
      </c>
      <c r="R3279">
        <v>0</v>
      </c>
      <c r="S3279">
        <v>47</v>
      </c>
      <c r="Y3279" t="s">
        <v>2497</v>
      </c>
      <c r="Z3279" t="s">
        <v>19010</v>
      </c>
      <c r="AA3279" t="s">
        <v>14648</v>
      </c>
      <c r="AB3279" t="s">
        <v>7589</v>
      </c>
      <c r="AC3279" t="s">
        <v>8587</v>
      </c>
      <c r="AD3279" s="249" t="str">
        <f>HYPERLINK("https://scontent.cdninstagram.com/t51.2885-15/s320x320/e35/21147223_123733861610571_1285278206097620992_n.jpg")</f>
        <v>https://scontent.cdninstagram.com/t51.2885-15/s320x320/e35/21147223_123733861610571_1285278206097620992_n.jpg</v>
      </c>
      <c r="AE3279" s="249" t="str">
        <f>HYPERLINK("https://scontent.cdninstagram.com/t51.2885-19/s150x150/19533585_437341866640146_1849206437104844800_a.jpg")</f>
        <v>https://scontent.cdninstagram.com/t51.2885-19/s150x150/19533585_437341866640146_1849206437104844800_a.jpg</v>
      </c>
    </row>
    <row r="3280" spans="1:31" ht="15" x14ac:dyDescent="0.25">
      <c r="A3280" t="s">
        <v>2474</v>
      </c>
      <c r="B3280" t="s">
        <v>19011</v>
      </c>
      <c r="C3280" s="221">
        <v>42975.373749999999</v>
      </c>
      <c r="D3280" t="s">
        <v>19012</v>
      </c>
      <c r="E3280" s="249" t="str">
        <f>HYPERLINK("https://www.instagram.com/p/BYVptPXgDzh/")</f>
        <v>https://www.instagram.com/p/BYVptPXgDzh/</v>
      </c>
      <c r="F3280" t="s">
        <v>19013</v>
      </c>
      <c r="G3280" t="s">
        <v>2478</v>
      </c>
      <c r="H3280">
        <v>50</v>
      </c>
      <c r="I3280" t="s">
        <v>2479</v>
      </c>
      <c r="J3280">
        <v>1</v>
      </c>
      <c r="K3280">
        <v>23</v>
      </c>
      <c r="L3280">
        <v>24</v>
      </c>
      <c r="Q3280">
        <v>0</v>
      </c>
      <c r="R3280">
        <v>0</v>
      </c>
      <c r="S3280">
        <v>24</v>
      </c>
      <c r="Y3280" t="s">
        <v>2497</v>
      </c>
      <c r="Z3280" t="s">
        <v>19014</v>
      </c>
      <c r="AA3280" t="s">
        <v>19015</v>
      </c>
      <c r="AB3280" t="s">
        <v>19016</v>
      </c>
      <c r="AC3280" t="s">
        <v>19017</v>
      </c>
      <c r="AD3280" s="249" t="str">
        <f>HYPERLINK("https://scontent.cdninstagram.com/t51.2885-15/s320x320/e35/21107321_116681615729555_8970666292985987072_n.jpg")</f>
        <v>https://scontent.cdninstagram.com/t51.2885-15/s320x320/e35/21107321_116681615729555_8970666292985987072_n.jpg</v>
      </c>
      <c r="AE3280" s="249" t="str">
        <f>HYPERLINK("https://scontent.cdninstagram.com/t51.2885-19/s150x150/13557255_753765344726938_941945545_a.jpg")</f>
        <v>https://scontent.cdninstagram.com/t51.2885-19/s150x150/13557255_753765344726938_941945545_a.jpg</v>
      </c>
    </row>
    <row r="3281" spans="1:31" ht="15" x14ac:dyDescent="0.25">
      <c r="A3281" t="s">
        <v>2474</v>
      </c>
      <c r="B3281" t="s">
        <v>19018</v>
      </c>
      <c r="C3281" s="221">
        <v>42975.384166666663</v>
      </c>
      <c r="D3281" t="s">
        <v>19019</v>
      </c>
      <c r="E3281" s="249" t="str">
        <f>HYPERLINK("https://www.instagram.com/p/BYVrbFzleeA/")</f>
        <v>https://www.instagram.com/p/BYVrbFzleeA/</v>
      </c>
      <c r="F3281" t="s">
        <v>19020</v>
      </c>
      <c r="G3281" t="s">
        <v>2478</v>
      </c>
      <c r="H3281">
        <v>2310</v>
      </c>
      <c r="I3281" t="s">
        <v>2479</v>
      </c>
      <c r="J3281">
        <v>0</v>
      </c>
      <c r="K3281">
        <v>17</v>
      </c>
      <c r="L3281">
        <v>17</v>
      </c>
      <c r="Q3281">
        <v>0</v>
      </c>
      <c r="R3281">
        <v>0</v>
      </c>
      <c r="S3281">
        <v>17</v>
      </c>
      <c r="Y3281" t="s">
        <v>19021</v>
      </c>
      <c r="Z3281" t="s">
        <v>2497</v>
      </c>
      <c r="AA3281" t="s">
        <v>19022</v>
      </c>
      <c r="AB3281" t="s">
        <v>19023</v>
      </c>
      <c r="AC3281" t="s">
        <v>19024</v>
      </c>
      <c r="AD3281" s="249" t="str">
        <f>HYPERLINK("https://scontent.cdninstagram.com/t51.2885-15/e35/p320x320/21149023_113243282698974_2443726917002592256_n.jpg")</f>
        <v>https://scontent.cdninstagram.com/t51.2885-15/e35/p320x320/21149023_113243282698974_2443726917002592256_n.jpg</v>
      </c>
      <c r="AE3281" s="249" t="str">
        <f t="shared" ref="AE3281:AE3289" si="0">HYPERLINK("https://scontent.cdninstagram.com/t51.2885-19/s150x150/20759554_2051633895064876_3841832861699145728_a.jpg")</f>
        <v>https://scontent.cdninstagram.com/t51.2885-19/s150x150/20759554_2051633895064876_3841832861699145728_a.jpg</v>
      </c>
    </row>
    <row r="3282" spans="1:31" ht="15" x14ac:dyDescent="0.25">
      <c r="A3282" t="s">
        <v>2474</v>
      </c>
      <c r="B3282" t="s">
        <v>19018</v>
      </c>
      <c r="C3282" s="221">
        <v>42975.384733796294</v>
      </c>
      <c r="D3282" t="s">
        <v>19025</v>
      </c>
      <c r="E3282" s="249" t="str">
        <f>HYPERLINK("https://www.instagram.com/p/BYVrhJJl-9t/")</f>
        <v>https://www.instagram.com/p/BYVrhJJl-9t/</v>
      </c>
      <c r="F3282" t="s">
        <v>19026</v>
      </c>
      <c r="G3282" t="s">
        <v>2478</v>
      </c>
      <c r="H3282">
        <v>2310</v>
      </c>
      <c r="I3282" t="s">
        <v>2479</v>
      </c>
      <c r="J3282">
        <v>1</v>
      </c>
      <c r="K3282">
        <v>22</v>
      </c>
      <c r="L3282">
        <v>23</v>
      </c>
      <c r="Q3282">
        <v>0</v>
      </c>
      <c r="R3282">
        <v>0</v>
      </c>
      <c r="S3282">
        <v>23</v>
      </c>
      <c r="Y3282" t="s">
        <v>19027</v>
      </c>
      <c r="Z3282" t="s">
        <v>19022</v>
      </c>
      <c r="AA3282" t="s">
        <v>4620</v>
      </c>
      <c r="AB3282" t="s">
        <v>19028</v>
      </c>
      <c r="AC3282" t="s">
        <v>2721</v>
      </c>
      <c r="AD3282" s="249" t="str">
        <f>HYPERLINK("https://scontent.cdninstagram.com/t51.2885-15/e35/p320x320/21224606_1953129474944485_8323606010732216320_n.jpg")</f>
        <v>https://scontent.cdninstagram.com/t51.2885-15/e35/p320x320/21224606_1953129474944485_8323606010732216320_n.jpg</v>
      </c>
      <c r="AE3282" s="249" t="str">
        <f t="shared" si="0"/>
        <v>https://scontent.cdninstagram.com/t51.2885-19/s150x150/20759554_2051633895064876_3841832861699145728_a.jpg</v>
      </c>
    </row>
    <row r="3283" spans="1:31" ht="15" x14ac:dyDescent="0.25">
      <c r="A3283" t="s">
        <v>2474</v>
      </c>
      <c r="B3283" t="s">
        <v>19018</v>
      </c>
      <c r="C3283" s="221">
        <v>42975.384953703702</v>
      </c>
      <c r="D3283" t="s">
        <v>19029</v>
      </c>
      <c r="E3283" s="249" t="str">
        <f>HYPERLINK("https://www.instagram.com/p/BYVrjdJFxXH/")</f>
        <v>https://www.instagram.com/p/BYVrjdJFxXH/</v>
      </c>
      <c r="F3283" t="s">
        <v>19030</v>
      </c>
      <c r="G3283" t="s">
        <v>2478</v>
      </c>
      <c r="H3283">
        <v>2310</v>
      </c>
      <c r="I3283" t="s">
        <v>2479</v>
      </c>
      <c r="J3283">
        <v>0</v>
      </c>
      <c r="K3283">
        <v>23</v>
      </c>
      <c r="L3283">
        <v>23</v>
      </c>
      <c r="Q3283">
        <v>0</v>
      </c>
      <c r="R3283">
        <v>0</v>
      </c>
      <c r="S3283">
        <v>23</v>
      </c>
      <c r="Y3283" t="s">
        <v>19021</v>
      </c>
      <c r="Z3283" t="s">
        <v>2497</v>
      </c>
      <c r="AA3283" t="s">
        <v>9309</v>
      </c>
      <c r="AB3283" t="s">
        <v>19022</v>
      </c>
      <c r="AC3283" t="s">
        <v>19024</v>
      </c>
      <c r="AD3283" s="249" t="str">
        <f>HYPERLINK("https://scontent.cdninstagram.com/t51.2885-15/e35/p320x320/21042597_1376579625793519_5891942024776515584_n.jpg")</f>
        <v>https://scontent.cdninstagram.com/t51.2885-15/e35/p320x320/21042597_1376579625793519_5891942024776515584_n.jpg</v>
      </c>
      <c r="AE3283" s="249" t="str">
        <f t="shared" si="0"/>
        <v>https://scontent.cdninstagram.com/t51.2885-19/s150x150/20759554_2051633895064876_3841832861699145728_a.jpg</v>
      </c>
    </row>
    <row r="3284" spans="1:31" ht="15" x14ac:dyDescent="0.25">
      <c r="A3284" t="s">
        <v>2474</v>
      </c>
      <c r="B3284" t="s">
        <v>19018</v>
      </c>
      <c r="C3284" s="221">
        <v>42975.385208333333</v>
      </c>
      <c r="D3284" t="s">
        <v>19031</v>
      </c>
      <c r="E3284" s="249" t="str">
        <f>HYPERLINK("https://www.instagram.com/p/BYVrmLIle4i/")</f>
        <v>https://www.instagram.com/p/BYVrmLIle4i/</v>
      </c>
      <c r="F3284" t="s">
        <v>19032</v>
      </c>
      <c r="G3284" t="s">
        <v>2478</v>
      </c>
      <c r="H3284">
        <v>2310</v>
      </c>
      <c r="I3284" t="s">
        <v>2479</v>
      </c>
      <c r="J3284">
        <v>1</v>
      </c>
      <c r="K3284">
        <v>20</v>
      </c>
      <c r="L3284">
        <v>21</v>
      </c>
      <c r="Q3284">
        <v>0</v>
      </c>
      <c r="R3284">
        <v>0</v>
      </c>
      <c r="S3284">
        <v>21</v>
      </c>
      <c r="Y3284" t="s">
        <v>19021</v>
      </c>
      <c r="Z3284" t="s">
        <v>2497</v>
      </c>
      <c r="AA3284" t="s">
        <v>9309</v>
      </c>
      <c r="AB3284" t="s">
        <v>19022</v>
      </c>
      <c r="AC3284" t="s">
        <v>19024</v>
      </c>
      <c r="AD3284" s="249" t="str">
        <f>HYPERLINK("https://scontent.cdninstagram.com/t51.2885-15/e35/p320x320/21147949_144309752833169_8983409482428055552_n.jpg")</f>
        <v>https://scontent.cdninstagram.com/t51.2885-15/e35/p320x320/21147949_144309752833169_8983409482428055552_n.jpg</v>
      </c>
      <c r="AE3284" s="249" t="str">
        <f t="shared" si="0"/>
        <v>https://scontent.cdninstagram.com/t51.2885-19/s150x150/20759554_2051633895064876_3841832861699145728_a.jpg</v>
      </c>
    </row>
    <row r="3285" spans="1:31" ht="15" x14ac:dyDescent="0.25">
      <c r="A3285" t="s">
        <v>2474</v>
      </c>
      <c r="B3285" t="s">
        <v>19018</v>
      </c>
      <c r="C3285" s="221">
        <v>42975.385428240741</v>
      </c>
      <c r="D3285" t="s">
        <v>19033</v>
      </c>
      <c r="E3285" s="249" t="str">
        <f>HYPERLINK("https://www.instagram.com/p/BYVroaflGa-/")</f>
        <v>https://www.instagram.com/p/BYVroaflGa-/</v>
      </c>
      <c r="F3285" t="s">
        <v>19034</v>
      </c>
      <c r="G3285" t="s">
        <v>2478</v>
      </c>
      <c r="H3285">
        <v>2310</v>
      </c>
      <c r="I3285" t="s">
        <v>2479</v>
      </c>
      <c r="J3285">
        <v>1</v>
      </c>
      <c r="K3285">
        <v>30</v>
      </c>
      <c r="L3285">
        <v>31</v>
      </c>
      <c r="Q3285">
        <v>0</v>
      </c>
      <c r="R3285">
        <v>0</v>
      </c>
      <c r="S3285">
        <v>31</v>
      </c>
      <c r="Y3285" t="s">
        <v>19021</v>
      </c>
      <c r="Z3285" t="s">
        <v>2497</v>
      </c>
      <c r="AA3285" t="s">
        <v>9309</v>
      </c>
      <c r="AB3285" t="s">
        <v>19022</v>
      </c>
      <c r="AC3285" t="s">
        <v>19024</v>
      </c>
      <c r="AD3285" s="249" t="str">
        <f>HYPERLINK("https://scontent.cdninstagram.com/t51.2885-15/e35/p320x320/21149160_635359016664063_1340144008122335232_n.jpg")</f>
        <v>https://scontent.cdninstagram.com/t51.2885-15/e35/p320x320/21149160_635359016664063_1340144008122335232_n.jpg</v>
      </c>
      <c r="AE3285" s="249" t="str">
        <f t="shared" si="0"/>
        <v>https://scontent.cdninstagram.com/t51.2885-19/s150x150/20759554_2051633895064876_3841832861699145728_a.jpg</v>
      </c>
    </row>
    <row r="3286" spans="1:31" ht="15" x14ac:dyDescent="0.25">
      <c r="A3286" t="s">
        <v>2474</v>
      </c>
      <c r="B3286" t="s">
        <v>19018</v>
      </c>
      <c r="C3286" s="221">
        <v>42975.385625000003</v>
      </c>
      <c r="D3286" t="s">
        <v>19035</v>
      </c>
      <c r="E3286" s="249" t="str">
        <f>HYPERLINK("https://www.instagram.com/p/BYVrqkWFUal/")</f>
        <v>https://www.instagram.com/p/BYVrqkWFUal/</v>
      </c>
      <c r="F3286" t="s">
        <v>19036</v>
      </c>
      <c r="G3286" t="s">
        <v>2478</v>
      </c>
      <c r="H3286">
        <v>2310</v>
      </c>
      <c r="I3286" t="s">
        <v>2479</v>
      </c>
      <c r="J3286">
        <v>0</v>
      </c>
      <c r="K3286">
        <v>20</v>
      </c>
      <c r="L3286">
        <v>20</v>
      </c>
      <c r="Q3286">
        <v>0</v>
      </c>
      <c r="R3286">
        <v>0</v>
      </c>
      <c r="S3286">
        <v>20</v>
      </c>
      <c r="Y3286" t="s">
        <v>19021</v>
      </c>
      <c r="Z3286" t="s">
        <v>2497</v>
      </c>
      <c r="AA3286" t="s">
        <v>9309</v>
      </c>
      <c r="AB3286" t="s">
        <v>19022</v>
      </c>
      <c r="AC3286" t="s">
        <v>19024</v>
      </c>
      <c r="AD3286" s="249" t="str">
        <f>HYPERLINK("https://scontent.cdninstagram.com/t51.2885-15/e35/p320x320/21107387_1567154706670856_8944361825911177216_n.jpg")</f>
        <v>https://scontent.cdninstagram.com/t51.2885-15/e35/p320x320/21107387_1567154706670856_8944361825911177216_n.jpg</v>
      </c>
      <c r="AE3286" s="249" t="str">
        <f t="shared" si="0"/>
        <v>https://scontent.cdninstagram.com/t51.2885-19/s150x150/20759554_2051633895064876_3841832861699145728_a.jpg</v>
      </c>
    </row>
    <row r="3287" spans="1:31" ht="15" x14ac:dyDescent="0.25">
      <c r="A3287" t="s">
        <v>2474</v>
      </c>
      <c r="B3287" t="s">
        <v>19018</v>
      </c>
      <c r="C3287" s="221">
        <v>42975.385844907411</v>
      </c>
      <c r="D3287" t="s">
        <v>19037</v>
      </c>
      <c r="E3287" s="249" t="str">
        <f>HYPERLINK("https://www.instagram.com/p/BYVrs28FuEb/")</f>
        <v>https://www.instagram.com/p/BYVrs28FuEb/</v>
      </c>
      <c r="F3287" t="s">
        <v>19038</v>
      </c>
      <c r="G3287" t="s">
        <v>2478</v>
      </c>
      <c r="H3287">
        <v>2310</v>
      </c>
      <c r="I3287" t="s">
        <v>2479</v>
      </c>
      <c r="J3287">
        <v>4</v>
      </c>
      <c r="K3287">
        <v>19</v>
      </c>
      <c r="L3287">
        <v>23</v>
      </c>
      <c r="Q3287">
        <v>0</v>
      </c>
      <c r="R3287">
        <v>0</v>
      </c>
      <c r="S3287">
        <v>23</v>
      </c>
      <c r="Y3287" t="s">
        <v>19021</v>
      </c>
      <c r="Z3287" t="s">
        <v>2497</v>
      </c>
      <c r="AA3287" t="s">
        <v>9309</v>
      </c>
      <c r="AB3287" t="s">
        <v>19022</v>
      </c>
      <c r="AC3287" t="s">
        <v>19024</v>
      </c>
      <c r="AD3287" s="249" t="str">
        <f>HYPERLINK("https://scontent.cdninstagram.com/t51.2885-15/s320x320/e35/21107409_721616344690279_6991682969446383616_n.jpg")</f>
        <v>https://scontent.cdninstagram.com/t51.2885-15/s320x320/e35/21107409_721616344690279_6991682969446383616_n.jpg</v>
      </c>
      <c r="AE3287" s="249" t="str">
        <f t="shared" si="0"/>
        <v>https://scontent.cdninstagram.com/t51.2885-19/s150x150/20759554_2051633895064876_3841832861699145728_a.jpg</v>
      </c>
    </row>
    <row r="3288" spans="1:31" ht="15" x14ac:dyDescent="0.25">
      <c r="A3288" t="s">
        <v>2474</v>
      </c>
      <c r="B3288" t="s">
        <v>19018</v>
      </c>
      <c r="C3288" s="221">
        <v>42975.386041666665</v>
      </c>
      <c r="D3288" t="s">
        <v>19039</v>
      </c>
      <c r="E3288" s="249" t="str">
        <f>HYPERLINK("https://www.instagram.com/p/BYVru4PlFPD/")</f>
        <v>https://www.instagram.com/p/BYVru4PlFPD/</v>
      </c>
      <c r="F3288" t="s">
        <v>19040</v>
      </c>
      <c r="G3288" t="s">
        <v>2478</v>
      </c>
      <c r="H3288">
        <v>2310</v>
      </c>
      <c r="I3288" t="s">
        <v>2479</v>
      </c>
      <c r="J3288">
        <v>0</v>
      </c>
      <c r="K3288">
        <v>36</v>
      </c>
      <c r="L3288">
        <v>36</v>
      </c>
      <c r="Q3288">
        <v>0</v>
      </c>
      <c r="R3288">
        <v>0</v>
      </c>
      <c r="S3288">
        <v>36</v>
      </c>
      <c r="Y3288" t="s">
        <v>19027</v>
      </c>
      <c r="Z3288" t="s">
        <v>19022</v>
      </c>
      <c r="AA3288" t="s">
        <v>4620</v>
      </c>
      <c r="AB3288" t="s">
        <v>19028</v>
      </c>
      <c r="AC3288" t="s">
        <v>2721</v>
      </c>
      <c r="AD3288" s="249" t="str">
        <f>HYPERLINK("https://scontent.cdninstagram.com/t51.2885-15/e35/p320x320/21224526_1293917917421432_538782739382403072_n.jpg")</f>
        <v>https://scontent.cdninstagram.com/t51.2885-15/e35/p320x320/21224526_1293917917421432_538782739382403072_n.jpg</v>
      </c>
      <c r="AE3288" s="249" t="str">
        <f t="shared" si="0"/>
        <v>https://scontent.cdninstagram.com/t51.2885-19/s150x150/20759554_2051633895064876_3841832861699145728_a.jpg</v>
      </c>
    </row>
    <row r="3289" spans="1:31" ht="15" x14ac:dyDescent="0.25">
      <c r="A3289" t="s">
        <v>2474</v>
      </c>
      <c r="B3289" t="s">
        <v>19018</v>
      </c>
      <c r="C3289" s="221">
        <v>42975.386388888888</v>
      </c>
      <c r="D3289" t="s">
        <v>19041</v>
      </c>
      <c r="E3289" s="249" t="str">
        <f>HYPERLINK("https://www.instagram.com/p/BYVrynWlPPy/")</f>
        <v>https://www.instagram.com/p/BYVrynWlPPy/</v>
      </c>
      <c r="F3289" t="s">
        <v>19042</v>
      </c>
      <c r="G3289" t="s">
        <v>2478</v>
      </c>
      <c r="H3289">
        <v>2310</v>
      </c>
      <c r="I3289" t="s">
        <v>2479</v>
      </c>
      <c r="J3289">
        <v>2</v>
      </c>
      <c r="K3289">
        <v>37</v>
      </c>
      <c r="L3289">
        <v>39</v>
      </c>
      <c r="Q3289">
        <v>0</v>
      </c>
      <c r="R3289">
        <v>0</v>
      </c>
      <c r="S3289">
        <v>39</v>
      </c>
      <c r="Y3289" t="s">
        <v>19027</v>
      </c>
      <c r="Z3289" t="s">
        <v>19022</v>
      </c>
      <c r="AA3289" t="s">
        <v>4620</v>
      </c>
      <c r="AB3289" t="s">
        <v>19028</v>
      </c>
      <c r="AC3289" t="s">
        <v>2721</v>
      </c>
      <c r="AD3289" s="249" t="str">
        <f>HYPERLINK("https://scontent.cdninstagram.com/t51.2885-15/s320x320/e35/21042499_113999285965780_44451442634784768_n.jpg")</f>
        <v>https://scontent.cdninstagram.com/t51.2885-15/s320x320/e35/21042499_113999285965780_44451442634784768_n.jpg</v>
      </c>
      <c r="AE3289" s="249" t="str">
        <f t="shared" si="0"/>
        <v>https://scontent.cdninstagram.com/t51.2885-19/s150x150/20759554_2051633895064876_3841832861699145728_a.jpg</v>
      </c>
    </row>
    <row r="3290" spans="1:31" ht="15" x14ac:dyDescent="0.25">
      <c r="A3290" t="s">
        <v>2474</v>
      </c>
      <c r="B3290" t="s">
        <v>19011</v>
      </c>
      <c r="C3290" s="221">
        <v>42975.391192129631</v>
      </c>
      <c r="D3290" t="s">
        <v>19043</v>
      </c>
      <c r="E3290" s="249" t="str">
        <f>HYPERLINK("https://www.instagram.com/p/BYVslSpAmxC/")</f>
        <v>https://www.instagram.com/p/BYVslSpAmxC/</v>
      </c>
      <c r="F3290" t="s">
        <v>19044</v>
      </c>
      <c r="G3290" t="s">
        <v>2631</v>
      </c>
      <c r="H3290">
        <v>50</v>
      </c>
      <c r="I3290" t="s">
        <v>2479</v>
      </c>
      <c r="J3290">
        <v>2</v>
      </c>
      <c r="K3290">
        <v>30</v>
      </c>
      <c r="L3290">
        <v>32</v>
      </c>
      <c r="Q3290">
        <v>0</v>
      </c>
      <c r="R3290">
        <v>0</v>
      </c>
      <c r="S3290">
        <v>32</v>
      </c>
      <c r="Y3290" t="s">
        <v>19045</v>
      </c>
      <c r="Z3290" t="s">
        <v>19046</v>
      </c>
      <c r="AA3290" t="s">
        <v>19047</v>
      </c>
      <c r="AB3290" t="s">
        <v>19048</v>
      </c>
      <c r="AC3290" t="s">
        <v>6158</v>
      </c>
      <c r="AD3290" s="249" t="str">
        <f>HYPERLINK("https://scontent.cdninstagram.com/t51.2885-15/s320x320/e15/21147697_262374640939277_8172167564114264064_n.jpg")</f>
        <v>https://scontent.cdninstagram.com/t51.2885-15/s320x320/e15/21147697_262374640939277_8172167564114264064_n.jpg</v>
      </c>
      <c r="AE3290" s="249" t="str">
        <f>HYPERLINK("https://scontent.cdninstagram.com/t51.2885-19/s150x150/13557255_753765344726938_941945545_a.jpg")</f>
        <v>https://scontent.cdninstagram.com/t51.2885-19/s150x150/13557255_753765344726938_941945545_a.jpg</v>
      </c>
    </row>
    <row r="3291" spans="1:31" ht="15" x14ac:dyDescent="0.25">
      <c r="A3291" t="s">
        <v>2474</v>
      </c>
      <c r="B3291" t="s">
        <v>19049</v>
      </c>
      <c r="C3291" s="221">
        <v>42975.401192129626</v>
      </c>
      <c r="D3291" t="s">
        <v>19050</v>
      </c>
      <c r="E3291" s="249" t="str">
        <f>HYPERLINK("https://www.instagram.com/p/BYVuOqAH3nE/")</f>
        <v>https://www.instagram.com/p/BYVuOqAH3nE/</v>
      </c>
      <c r="F3291" t="s">
        <v>19051</v>
      </c>
      <c r="G3291" t="s">
        <v>2478</v>
      </c>
      <c r="H3291">
        <v>317</v>
      </c>
      <c r="I3291" t="s">
        <v>2479</v>
      </c>
      <c r="J3291">
        <v>3</v>
      </c>
      <c r="K3291">
        <v>51</v>
      </c>
      <c r="L3291">
        <v>54</v>
      </c>
      <c r="Q3291">
        <v>0</v>
      </c>
      <c r="R3291">
        <v>0</v>
      </c>
      <c r="S3291">
        <v>54</v>
      </c>
      <c r="Y3291" t="s">
        <v>2497</v>
      </c>
      <c r="Z3291" t="s">
        <v>19052</v>
      </c>
      <c r="AD3291" s="249" t="str">
        <f>HYPERLINK("https://scontent.cdninstagram.com/t51.2885-15/e35/p320x320/21107224_1951556188462387_8922015927113875456_n.jpg")</f>
        <v>https://scontent.cdninstagram.com/t51.2885-15/e35/p320x320/21107224_1951556188462387_8922015927113875456_n.jpg</v>
      </c>
      <c r="AE3291" s="249" t="str">
        <f>HYPERLINK("https://scontent.cdninstagram.com/t51.2885-19/s150x150/21041885_349320745518128_679619080705015808_a.jpg")</f>
        <v>https://scontent.cdninstagram.com/t51.2885-19/s150x150/21041885_349320745518128_679619080705015808_a.jpg</v>
      </c>
    </row>
    <row r="3292" spans="1:31" ht="15" x14ac:dyDescent="0.25">
      <c r="A3292" t="s">
        <v>2474</v>
      </c>
      <c r="B3292" t="s">
        <v>19053</v>
      </c>
      <c r="C3292" s="221">
        <v>42975.402037037034</v>
      </c>
      <c r="D3292" t="s">
        <v>19054</v>
      </c>
      <c r="E3292" s="249" t="str">
        <f>HYPERLINK("https://www.instagram.com/p/BYVuXjqAA37/")</f>
        <v>https://www.instagram.com/p/BYVuXjqAA37/</v>
      </c>
      <c r="F3292" t="s">
        <v>19055</v>
      </c>
      <c r="G3292" t="s">
        <v>2631</v>
      </c>
      <c r="H3292">
        <v>295</v>
      </c>
      <c r="I3292" t="s">
        <v>3170</v>
      </c>
      <c r="J3292">
        <v>3</v>
      </c>
      <c r="K3292">
        <v>39</v>
      </c>
      <c r="L3292">
        <v>42</v>
      </c>
      <c r="Q3292">
        <v>0</v>
      </c>
      <c r="R3292">
        <v>0</v>
      </c>
      <c r="S3292">
        <v>42</v>
      </c>
      <c r="T3292" t="s">
        <v>19056</v>
      </c>
      <c r="U3292" t="s">
        <v>200</v>
      </c>
      <c r="V3292" t="s">
        <v>2299</v>
      </c>
      <c r="W3292">
        <v>41.367564965078003</v>
      </c>
      <c r="X3292">
        <v>-72.637545224346994</v>
      </c>
      <c r="Y3292" t="s">
        <v>19057</v>
      </c>
      <c r="Z3292" t="s">
        <v>13697</v>
      </c>
      <c r="AA3292" t="s">
        <v>2631</v>
      </c>
      <c r="AB3292" t="s">
        <v>19058</v>
      </c>
      <c r="AC3292" t="s">
        <v>5047</v>
      </c>
      <c r="AD3292" s="249" t="str">
        <f>HYPERLINK("https://scontent.cdninstagram.com/t51.2885-15/s320x320/e15/21147400_1857839464543293_4299534705956487168_n.jpg")</f>
        <v>https://scontent.cdninstagram.com/t51.2885-15/s320x320/e15/21147400_1857839464543293_4299534705956487168_n.jpg</v>
      </c>
      <c r="AE3292" s="249" t="str">
        <f>HYPERLINK("https://scontent.cdninstagram.com/t51.2885-19/s150x150/18809612_1235471209895209_6177287467100536832_a.jpg")</f>
        <v>https://scontent.cdninstagram.com/t51.2885-19/s150x150/18809612_1235471209895209_6177287467100536832_a.jpg</v>
      </c>
    </row>
    <row r="3293" spans="1:31" ht="15" x14ac:dyDescent="0.25">
      <c r="A3293" t="s">
        <v>2474</v>
      </c>
      <c r="B3293" t="s">
        <v>19059</v>
      </c>
      <c r="C3293" s="221">
        <v>42975.402349537035</v>
      </c>
      <c r="D3293" t="s">
        <v>19060</v>
      </c>
      <c r="E3293" s="249" t="str">
        <f>HYPERLINK("https://www.instagram.com/p/BYVua4RlksN/")</f>
        <v>https://www.instagram.com/p/BYVua4RlksN/</v>
      </c>
      <c r="F3293" t="s">
        <v>19061</v>
      </c>
      <c r="G3293" t="s">
        <v>2478</v>
      </c>
      <c r="H3293">
        <v>303</v>
      </c>
      <c r="I3293" t="s">
        <v>2479</v>
      </c>
      <c r="J3293">
        <v>1</v>
      </c>
      <c r="K3293">
        <v>13</v>
      </c>
      <c r="L3293">
        <v>14</v>
      </c>
      <c r="Q3293">
        <v>0</v>
      </c>
      <c r="R3293">
        <v>0</v>
      </c>
      <c r="S3293">
        <v>14</v>
      </c>
      <c r="Y3293" t="s">
        <v>7762</v>
      </c>
      <c r="Z3293" t="s">
        <v>19062</v>
      </c>
      <c r="AA3293" t="s">
        <v>2497</v>
      </c>
      <c r="AB3293" t="s">
        <v>6045</v>
      </c>
      <c r="AC3293" t="s">
        <v>19063</v>
      </c>
      <c r="AD3293" s="249" t="str">
        <f>HYPERLINK("https://scontent.cdninstagram.com/t51.2885-15/s320x320/e35/21148022_435475300186436_1622806852527980544_n.jpg")</f>
        <v>https://scontent.cdninstagram.com/t51.2885-15/s320x320/e35/21148022_435475300186436_1622806852527980544_n.jpg</v>
      </c>
      <c r="AE3293" s="249" t="str">
        <f>HYPERLINK("https://scontent.cdninstagram.com/t51.2885-19/s150x150/17881695_359706857757032_6415833618622447616_a.jpg")</f>
        <v>https://scontent.cdninstagram.com/t51.2885-19/s150x150/17881695_359706857757032_6415833618622447616_a.jpg</v>
      </c>
    </row>
    <row r="3294" spans="1:31" ht="15" x14ac:dyDescent="0.25">
      <c r="A3294" t="s">
        <v>2474</v>
      </c>
      <c r="B3294" t="s">
        <v>19064</v>
      </c>
      <c r="C3294" s="221">
        <v>42975.410671296297</v>
      </c>
      <c r="D3294" t="s">
        <v>19065</v>
      </c>
      <c r="E3294" s="249" t="str">
        <f>HYPERLINK("https://www.instagram.com/p/BYVvyoLnuFt/")</f>
        <v>https://www.instagram.com/p/BYVvyoLnuFt/</v>
      </c>
      <c r="F3294" t="s">
        <v>19066</v>
      </c>
      <c r="G3294" t="s">
        <v>2631</v>
      </c>
      <c r="H3294">
        <v>181</v>
      </c>
      <c r="I3294" t="s">
        <v>3898</v>
      </c>
      <c r="J3294">
        <v>4</v>
      </c>
      <c r="K3294">
        <v>39</v>
      </c>
      <c r="L3294">
        <v>43</v>
      </c>
      <c r="Q3294">
        <v>0</v>
      </c>
      <c r="R3294">
        <v>0</v>
      </c>
      <c r="S3294">
        <v>43</v>
      </c>
      <c r="T3294" t="s">
        <v>5994</v>
      </c>
      <c r="V3294" t="s">
        <v>2264</v>
      </c>
      <c r="W3294">
        <v>41.383299999999998</v>
      </c>
      <c r="X3294">
        <v>2.1833300000000002</v>
      </c>
      <c r="Y3294" t="s">
        <v>19067</v>
      </c>
      <c r="Z3294" t="s">
        <v>18446</v>
      </c>
      <c r="AA3294" t="s">
        <v>3351</v>
      </c>
      <c r="AB3294" t="s">
        <v>19068</v>
      </c>
      <c r="AC3294" t="s">
        <v>2892</v>
      </c>
      <c r="AD3294" s="249" t="str">
        <f>HYPERLINK("https://scontent.cdninstagram.com/t51.2885-15/s320x320/e15/21107776_743279922526186_1866142227592380416_n.jpg")</f>
        <v>https://scontent.cdninstagram.com/t51.2885-15/s320x320/e15/21107776_743279922526186_1866142227592380416_n.jpg</v>
      </c>
      <c r="AE3294" s="249" t="str">
        <f>HYPERLINK("https://scontent.cdninstagram.com/t51.2885-19/s150x150/12446316_1773455699540523_1284308066_a.jpg")</f>
        <v>https://scontent.cdninstagram.com/t51.2885-19/s150x150/12446316_1773455699540523_1284308066_a.jpg</v>
      </c>
    </row>
    <row r="3295" spans="1:31" ht="15" x14ac:dyDescent="0.25">
      <c r="A3295" t="s">
        <v>2474</v>
      </c>
      <c r="B3295" t="s">
        <v>19069</v>
      </c>
      <c r="C3295" s="221">
        <v>42975.434270833335</v>
      </c>
      <c r="D3295" t="s">
        <v>19070</v>
      </c>
      <c r="E3295" s="249" t="str">
        <f>HYPERLINK("https://www.instagram.com/p/BYVzroCFwkf/")</f>
        <v>https://www.instagram.com/p/BYVzroCFwkf/</v>
      </c>
      <c r="F3295" t="s">
        <v>19071</v>
      </c>
      <c r="G3295" t="s">
        <v>2478</v>
      </c>
      <c r="H3295">
        <v>157</v>
      </c>
      <c r="I3295" t="s">
        <v>2479</v>
      </c>
      <c r="J3295">
        <v>1</v>
      </c>
      <c r="K3295">
        <v>12</v>
      </c>
      <c r="L3295">
        <v>13</v>
      </c>
      <c r="Q3295">
        <v>0</v>
      </c>
      <c r="R3295">
        <v>0</v>
      </c>
      <c r="S3295">
        <v>13</v>
      </c>
      <c r="Y3295" t="s">
        <v>14560</v>
      </c>
      <c r="Z3295" t="s">
        <v>16743</v>
      </c>
      <c r="AA3295" t="s">
        <v>3655</v>
      </c>
      <c r="AB3295" t="s">
        <v>19072</v>
      </c>
      <c r="AC3295" t="s">
        <v>2906</v>
      </c>
      <c r="AD3295" s="249" t="str">
        <f>HYPERLINK("https://scontent.cdninstagram.com/t51.2885-15/e35/p320x320/21042629_1831400670523129_5395881342267293696_n.jpg")</f>
        <v>https://scontent.cdninstagram.com/t51.2885-15/e35/p320x320/21042629_1831400670523129_5395881342267293696_n.jpg</v>
      </c>
      <c r="AE3295" s="249" t="str">
        <f>HYPERLINK("https://scontent.cdninstagram.com/t51.2885-19/s150x150/19436845_817643368400679_809001190925795328_a.jpg")</f>
        <v>https://scontent.cdninstagram.com/t51.2885-19/s150x150/19436845_817643368400679_809001190925795328_a.jpg</v>
      </c>
    </row>
    <row r="3296" spans="1:31" ht="15" x14ac:dyDescent="0.25">
      <c r="A3296" t="s">
        <v>2474</v>
      </c>
      <c r="B3296" t="s">
        <v>3471</v>
      </c>
      <c r="C3296" s="221">
        <v>42975.444699074076</v>
      </c>
      <c r="D3296" t="s">
        <v>19073</v>
      </c>
      <c r="E3296" s="249" t="str">
        <f>HYPERLINK("https://www.instagram.com/p/BYV1ZhnHRrB/")</f>
        <v>https://www.instagram.com/p/BYV1ZhnHRrB/</v>
      </c>
      <c r="F3296" t="s">
        <v>19074</v>
      </c>
      <c r="G3296" t="s">
        <v>2478</v>
      </c>
      <c r="H3296">
        <v>196</v>
      </c>
      <c r="I3296" t="s">
        <v>2542</v>
      </c>
      <c r="J3296">
        <v>0</v>
      </c>
      <c r="K3296">
        <v>16</v>
      </c>
      <c r="L3296">
        <v>16</v>
      </c>
      <c r="Q3296">
        <v>0</v>
      </c>
      <c r="R3296">
        <v>0</v>
      </c>
      <c r="S3296">
        <v>16</v>
      </c>
      <c r="Y3296" t="s">
        <v>5703</v>
      </c>
      <c r="Z3296" t="s">
        <v>5841</v>
      </c>
      <c r="AA3296" t="s">
        <v>2832</v>
      </c>
      <c r="AB3296" t="s">
        <v>6957</v>
      </c>
      <c r="AC3296" t="s">
        <v>6772</v>
      </c>
      <c r="AD3296" s="249" t="str">
        <f>HYPERLINK("https://scontent.cdninstagram.com/t51.2885-15/s320x320/e35/21108059_1465859510196516_5635542286910619648_n.jpg")</f>
        <v>https://scontent.cdninstagram.com/t51.2885-15/s320x320/e35/21108059_1465859510196516_5635542286910619648_n.jpg</v>
      </c>
      <c r="AE3296" s="249" t="str">
        <f>HYPERLINK("https://scontent.cdninstagram.com/t51.2885-19/s150x150/19986209_741127056067001_1270489010199855104_a.jpg")</f>
        <v>https://scontent.cdninstagram.com/t51.2885-19/s150x150/19986209_741127056067001_1270489010199855104_a.jpg</v>
      </c>
    </row>
    <row r="3297" spans="1:31" ht="15" x14ac:dyDescent="0.25">
      <c r="A3297" t="s">
        <v>2474</v>
      </c>
      <c r="B3297" t="s">
        <v>19075</v>
      </c>
      <c r="C3297" s="221">
        <v>42975.456192129626</v>
      </c>
      <c r="D3297" t="s">
        <v>19076</v>
      </c>
      <c r="E3297" s="249" t="str">
        <f>HYPERLINK("https://www.instagram.com/p/BYV3SuMFbO3/")</f>
        <v>https://www.instagram.com/p/BYV3SuMFbO3/</v>
      </c>
      <c r="F3297" t="s">
        <v>19077</v>
      </c>
      <c r="G3297" t="s">
        <v>2478</v>
      </c>
      <c r="H3297">
        <v>64</v>
      </c>
      <c r="I3297" t="s">
        <v>2748</v>
      </c>
      <c r="J3297">
        <v>0</v>
      </c>
      <c r="K3297">
        <v>7</v>
      </c>
      <c r="L3297">
        <v>7</v>
      </c>
      <c r="Q3297">
        <v>0</v>
      </c>
      <c r="R3297">
        <v>0</v>
      </c>
      <c r="S3297">
        <v>7</v>
      </c>
      <c r="Y3297" t="s">
        <v>2562</v>
      </c>
      <c r="Z3297" t="s">
        <v>2730</v>
      </c>
      <c r="AA3297" t="s">
        <v>5836</v>
      </c>
      <c r="AB3297" t="s">
        <v>19078</v>
      </c>
      <c r="AC3297" t="s">
        <v>19079</v>
      </c>
      <c r="AD3297" s="249" t="str">
        <f>HYPERLINK("https://scontent.cdninstagram.com/t51.2885-15/e35/21149766_336127546840700_1702394228610433024_n.jpg")</f>
        <v>https://scontent.cdninstagram.com/t51.2885-15/e35/21149766_336127546840700_1702394228610433024_n.jpg</v>
      </c>
      <c r="AE3297" s="249" t="str">
        <f>HYPERLINK("https://scontent.cdninstagram.com/t51.2885-19/s150x150/18011554_409993169374539_4963983781783404544_a.jpg")</f>
        <v>https://scontent.cdninstagram.com/t51.2885-19/s150x150/18011554_409993169374539_4963983781783404544_a.jpg</v>
      </c>
    </row>
    <row r="3298" spans="1:31" ht="15" x14ac:dyDescent="0.25">
      <c r="A3298" t="s">
        <v>2474</v>
      </c>
      <c r="B3298" t="s">
        <v>19080</v>
      </c>
      <c r="C3298" s="221">
        <v>42975.464039351849</v>
      </c>
      <c r="D3298" t="s">
        <v>19081</v>
      </c>
      <c r="E3298" s="249" t="str">
        <f>HYPERLINK("https://www.instagram.com/p/BYV4lfVgmu_/")</f>
        <v>https://www.instagram.com/p/BYV4lfVgmu_/</v>
      </c>
      <c r="F3298" t="s">
        <v>19082</v>
      </c>
      <c r="G3298" t="s">
        <v>2478</v>
      </c>
      <c r="H3298">
        <v>310</v>
      </c>
      <c r="I3298" t="s">
        <v>3575</v>
      </c>
      <c r="J3298">
        <v>22</v>
      </c>
      <c r="K3298">
        <v>131</v>
      </c>
      <c r="L3298">
        <v>153</v>
      </c>
      <c r="Q3298">
        <v>0</v>
      </c>
      <c r="R3298">
        <v>0</v>
      </c>
      <c r="S3298">
        <v>153</v>
      </c>
      <c r="T3298" t="s">
        <v>19083</v>
      </c>
      <c r="V3298" t="s">
        <v>2161</v>
      </c>
      <c r="W3298">
        <v>49.452260000000003</v>
      </c>
      <c r="X3298">
        <v>11.07728</v>
      </c>
      <c r="Y3298" t="s">
        <v>19084</v>
      </c>
      <c r="Z3298" t="s">
        <v>19085</v>
      </c>
      <c r="AA3298" t="s">
        <v>9250</v>
      </c>
      <c r="AB3298" t="s">
        <v>19086</v>
      </c>
      <c r="AC3298" t="s">
        <v>19087</v>
      </c>
      <c r="AD3298" s="249" t="str">
        <f>HYPERLINK("https://scontent.cdninstagram.com/t51.2885-15/e35/p320x320/21224471_1499084156797159_600473248735428608_n.jpg")</f>
        <v>https://scontent.cdninstagram.com/t51.2885-15/e35/p320x320/21224471_1499084156797159_600473248735428608_n.jpg</v>
      </c>
      <c r="AE3298" s="249" t="str">
        <f>HYPERLINK("https://scontent.cdninstagram.com/t51.2885-19/s150x150/21149194_281213535695865_7903800539828191232_a.jpg")</f>
        <v>https://scontent.cdninstagram.com/t51.2885-19/s150x150/21149194_281213535695865_7903800539828191232_a.jpg</v>
      </c>
    </row>
    <row r="3299" spans="1:31" ht="15" x14ac:dyDescent="0.25">
      <c r="A3299" t="s">
        <v>2474</v>
      </c>
      <c r="B3299" t="s">
        <v>19088</v>
      </c>
      <c r="C3299" s="221">
        <v>42975.469756944447</v>
      </c>
      <c r="D3299" t="s">
        <v>19089</v>
      </c>
      <c r="E3299" s="249" t="str">
        <f>HYPERLINK("https://www.instagram.com/p/BYV5hygAmU2/")</f>
        <v>https://www.instagram.com/p/BYV5hygAmU2/</v>
      </c>
      <c r="F3299" t="s">
        <v>19090</v>
      </c>
      <c r="G3299" t="s">
        <v>2478</v>
      </c>
      <c r="H3299">
        <v>271</v>
      </c>
      <c r="I3299" t="s">
        <v>2479</v>
      </c>
      <c r="J3299">
        <v>3</v>
      </c>
      <c r="K3299">
        <v>37</v>
      </c>
      <c r="L3299">
        <v>40</v>
      </c>
      <c r="Q3299">
        <v>0</v>
      </c>
      <c r="R3299">
        <v>0</v>
      </c>
      <c r="S3299">
        <v>40</v>
      </c>
      <c r="Y3299" t="s">
        <v>2789</v>
      </c>
      <c r="Z3299" t="s">
        <v>3145</v>
      </c>
      <c r="AA3299" t="s">
        <v>19091</v>
      </c>
      <c r="AB3299" t="s">
        <v>11948</v>
      </c>
      <c r="AC3299" t="s">
        <v>19092</v>
      </c>
      <c r="AD3299" s="249" t="str">
        <f>HYPERLINK("https://scontent.cdninstagram.com/t51.2885-15/s320x320/e35/21107433_114673875872386_2775951991786962944_n.jpg")</f>
        <v>https://scontent.cdninstagram.com/t51.2885-15/s320x320/e35/21107433_114673875872386_2775951991786962944_n.jpg</v>
      </c>
      <c r="AE3299" s="249" t="str">
        <f>HYPERLINK("https://scontent.cdninstagram.com/t51.2885-19/s150x150/13712341_501180180079778_1374486867_a.jpg")</f>
        <v>https://scontent.cdninstagram.com/t51.2885-19/s150x150/13712341_501180180079778_1374486867_a.jpg</v>
      </c>
    </row>
    <row r="3300" spans="1:31" ht="15" x14ac:dyDescent="0.25">
      <c r="A3300" t="s">
        <v>2474</v>
      </c>
      <c r="B3300" t="s">
        <v>19093</v>
      </c>
      <c r="C3300" s="221">
        <v>42975.471076388887</v>
      </c>
      <c r="D3300" t="s">
        <v>19094</v>
      </c>
      <c r="E3300" s="249" t="str">
        <f>HYPERLINK("https://www.instagram.com/p/BYV5vzaF_Ok/")</f>
        <v>https://www.instagram.com/p/BYV5vzaF_Ok/</v>
      </c>
      <c r="F3300" t="s">
        <v>19095</v>
      </c>
      <c r="G3300" t="s">
        <v>2478</v>
      </c>
      <c r="H3300">
        <v>233</v>
      </c>
      <c r="I3300" t="s">
        <v>2479</v>
      </c>
      <c r="J3300">
        <v>0</v>
      </c>
      <c r="K3300">
        <v>16</v>
      </c>
      <c r="L3300">
        <v>16</v>
      </c>
      <c r="Q3300">
        <v>0</v>
      </c>
      <c r="R3300">
        <v>0</v>
      </c>
      <c r="S3300">
        <v>16</v>
      </c>
      <c r="Y3300" t="s">
        <v>19096</v>
      </c>
      <c r="Z3300" t="s">
        <v>19097</v>
      </c>
      <c r="AA3300" t="s">
        <v>6612</v>
      </c>
      <c r="AB3300" t="s">
        <v>19098</v>
      </c>
      <c r="AC3300" t="s">
        <v>19099</v>
      </c>
      <c r="AD3300" s="249" t="str">
        <f>HYPERLINK("https://scontent.cdninstagram.com/t51.2885-15/s320x320/e35/21107461_355268478241809_3559219422302306304_n.jpg")</f>
        <v>https://scontent.cdninstagram.com/t51.2885-15/s320x320/e35/21107461_355268478241809_3559219422302306304_n.jpg</v>
      </c>
      <c r="AE3300" s="249" t="str">
        <f>HYPERLINK("https://scontent.cdninstagram.com/t51.2885-19/s150x150/15876356_1219908678056918_316112474908655616_a.jpg")</f>
        <v>https://scontent.cdninstagram.com/t51.2885-19/s150x150/15876356_1219908678056918_316112474908655616_a.jpg</v>
      </c>
    </row>
    <row r="3301" spans="1:31" ht="15" x14ac:dyDescent="0.25">
      <c r="A3301" t="s">
        <v>2474</v>
      </c>
      <c r="B3301" t="s">
        <v>3754</v>
      </c>
      <c r="C3301" s="221">
        <v>42975.47148148148</v>
      </c>
      <c r="D3301" t="s">
        <v>19100</v>
      </c>
      <c r="E3301" s="249" t="str">
        <f>HYPERLINK("https://www.instagram.com/p/BYV50BUjbsD/")</f>
        <v>https://www.instagram.com/p/BYV50BUjbsD/</v>
      </c>
      <c r="F3301" t="s">
        <v>4800</v>
      </c>
      <c r="G3301" t="s">
        <v>2478</v>
      </c>
      <c r="H3301">
        <v>201394</v>
      </c>
      <c r="I3301" t="s">
        <v>2479</v>
      </c>
      <c r="J3301">
        <v>0</v>
      </c>
      <c r="K3301">
        <v>108</v>
      </c>
      <c r="L3301">
        <v>108</v>
      </c>
      <c r="Q3301">
        <v>0</v>
      </c>
      <c r="R3301">
        <v>0</v>
      </c>
      <c r="S3301">
        <v>108</v>
      </c>
      <c r="Y3301" t="s">
        <v>10199</v>
      </c>
      <c r="Z3301" t="s">
        <v>4561</v>
      </c>
      <c r="AA3301" t="s">
        <v>4564</v>
      </c>
      <c r="AB3301" t="s">
        <v>4233</v>
      </c>
      <c r="AC3301" t="s">
        <v>4803</v>
      </c>
      <c r="AD3301" s="249" t="str">
        <f>HYPERLINK("https://scontent.cdninstagram.com/t51.2885-15/s320x320/e35/21147795_899319803557646_2196952905221668864_n.jpg")</f>
        <v>https://scontent.cdninstagram.com/t51.2885-15/s320x320/e35/21147795_899319803557646_2196952905221668864_n.jpg</v>
      </c>
      <c r="AE3301" s="249" t="str">
        <f>HYPERLINK("https://scontent.cdninstagram.com/t51.2885-19/s150x150/12905002_1681254462136092_1137392787_a.jpg")</f>
        <v>https://scontent.cdninstagram.com/t51.2885-19/s150x150/12905002_1681254462136092_1137392787_a.jpg</v>
      </c>
    </row>
    <row r="3302" spans="1:31" ht="15" x14ac:dyDescent="0.25">
      <c r="A3302" t="s">
        <v>2474</v>
      </c>
      <c r="B3302" t="s">
        <v>3754</v>
      </c>
      <c r="C3302" s="221">
        <v>42975.474131944444</v>
      </c>
      <c r="D3302" t="s">
        <v>19101</v>
      </c>
      <c r="E3302" s="249" t="str">
        <f>HYPERLINK("https://www.instagram.com/p/BYV6P8_DVNn/")</f>
        <v>https://www.instagram.com/p/BYV6P8_DVNn/</v>
      </c>
      <c r="F3302" t="s">
        <v>19102</v>
      </c>
      <c r="G3302" t="s">
        <v>2478</v>
      </c>
      <c r="H3302">
        <v>201394</v>
      </c>
      <c r="I3302" t="s">
        <v>2479</v>
      </c>
      <c r="J3302">
        <v>0</v>
      </c>
      <c r="K3302">
        <v>72</v>
      </c>
      <c r="L3302">
        <v>72</v>
      </c>
      <c r="Q3302">
        <v>0</v>
      </c>
      <c r="R3302">
        <v>0</v>
      </c>
      <c r="S3302">
        <v>72</v>
      </c>
      <c r="Y3302" t="s">
        <v>10199</v>
      </c>
      <c r="Z3302" t="s">
        <v>4561</v>
      </c>
      <c r="AA3302" t="s">
        <v>4564</v>
      </c>
      <c r="AB3302" t="s">
        <v>4233</v>
      </c>
      <c r="AC3302" t="s">
        <v>4803</v>
      </c>
      <c r="AD3302" s="249" t="str">
        <f>HYPERLINK("https://scontent.cdninstagram.com/t51.2885-15/s320x320/e35/21107516_344278926010153_344615930879279104_n.jpg")</f>
        <v>https://scontent.cdninstagram.com/t51.2885-15/s320x320/e35/21107516_344278926010153_344615930879279104_n.jpg</v>
      </c>
      <c r="AE3302" s="249" t="str">
        <f>HYPERLINK("https://scontent.cdninstagram.com/t51.2885-19/s150x150/12905002_1681254462136092_1137392787_a.jpg")</f>
        <v>https://scontent.cdninstagram.com/t51.2885-19/s150x150/12905002_1681254462136092_1137392787_a.jpg</v>
      </c>
    </row>
    <row r="3303" spans="1:31" ht="15" x14ac:dyDescent="0.25">
      <c r="A3303" t="s">
        <v>2474</v>
      </c>
      <c r="B3303" t="s">
        <v>14180</v>
      </c>
      <c r="C3303" s="221">
        <v>42975.475428240738</v>
      </c>
      <c r="D3303" t="s">
        <v>19103</v>
      </c>
      <c r="E3303" s="249" t="str">
        <f>HYPERLINK("https://www.instagram.com/p/BYV6doMl-XB/")</f>
        <v>https://www.instagram.com/p/BYV6doMl-XB/</v>
      </c>
      <c r="F3303" t="s">
        <v>19104</v>
      </c>
      <c r="G3303" t="s">
        <v>2478</v>
      </c>
      <c r="H3303">
        <v>254</v>
      </c>
      <c r="I3303" t="s">
        <v>2582</v>
      </c>
      <c r="J3303">
        <v>1</v>
      </c>
      <c r="K3303">
        <v>22</v>
      </c>
      <c r="L3303">
        <v>23</v>
      </c>
      <c r="Q3303">
        <v>0</v>
      </c>
      <c r="R3303">
        <v>0</v>
      </c>
      <c r="S3303">
        <v>23</v>
      </c>
      <c r="Y3303" t="s">
        <v>14185</v>
      </c>
      <c r="Z3303" t="s">
        <v>19105</v>
      </c>
      <c r="AA3303" t="s">
        <v>9810</v>
      </c>
      <c r="AB3303" t="s">
        <v>3174</v>
      </c>
      <c r="AC3303" t="s">
        <v>14184</v>
      </c>
      <c r="AD3303" s="249" t="str">
        <f>HYPERLINK("https://scontent.cdninstagram.com/t51.2885-15/s320x320/e35/21149008_510516102615741_6876142830151008256_n.jpg")</f>
        <v>https://scontent.cdninstagram.com/t51.2885-15/s320x320/e35/21149008_510516102615741_6876142830151008256_n.jpg</v>
      </c>
      <c r="AE3303" s="249" t="str">
        <f>HYPERLINK("https://scontent.cdninstagram.com/t51.2885-19/s150x150/20905089_112506159456870_7995024223561056256_a.jpg")</f>
        <v>https://scontent.cdninstagram.com/t51.2885-19/s150x150/20905089_112506159456870_7995024223561056256_a.jpg</v>
      </c>
    </row>
    <row r="3304" spans="1:31" ht="15" x14ac:dyDescent="0.25">
      <c r="A3304" t="s">
        <v>2474</v>
      </c>
      <c r="B3304" t="s">
        <v>19106</v>
      </c>
      <c r="C3304" s="221">
        <v>42975.485127314816</v>
      </c>
      <c r="D3304" t="s">
        <v>19107</v>
      </c>
      <c r="E3304" s="249" t="str">
        <f>HYPERLINK("https://www.instagram.com/p/BYV8D5fnBzg/")</f>
        <v>https://www.instagram.com/p/BYV8D5fnBzg/</v>
      </c>
      <c r="F3304" t="s">
        <v>19108</v>
      </c>
      <c r="G3304" t="s">
        <v>2478</v>
      </c>
      <c r="H3304">
        <v>404</v>
      </c>
      <c r="I3304" t="s">
        <v>3575</v>
      </c>
      <c r="J3304">
        <v>1</v>
      </c>
      <c r="K3304">
        <v>35</v>
      </c>
      <c r="L3304">
        <v>36</v>
      </c>
      <c r="Q3304">
        <v>0</v>
      </c>
      <c r="R3304">
        <v>0</v>
      </c>
      <c r="S3304">
        <v>36</v>
      </c>
      <c r="T3304" t="s">
        <v>19109</v>
      </c>
      <c r="V3304" t="s">
        <v>2270</v>
      </c>
      <c r="W3304">
        <v>59.32745372123</v>
      </c>
      <c r="X3304">
        <v>18.115116711961999</v>
      </c>
      <c r="Y3304" t="s">
        <v>19110</v>
      </c>
      <c r="Z3304" t="s">
        <v>2497</v>
      </c>
      <c r="AA3304" t="s">
        <v>19111</v>
      </c>
      <c r="AD3304" s="249" t="str">
        <f>HYPERLINK("https://scontent.cdninstagram.com/t51.2885-15/s320x320/e35/21224318_754259344747218_2950233045875032064_n.jpg")</f>
        <v>https://scontent.cdninstagram.com/t51.2885-15/s320x320/e35/21224318_754259344747218_2950233045875032064_n.jpg</v>
      </c>
      <c r="AE3304" s="249" t="str">
        <f>HYPERLINK("https://scontent.cdninstagram.com/t51.2885-19/s150x150/12354099_869936419769951_346805909_a.jpg")</f>
        <v>https://scontent.cdninstagram.com/t51.2885-19/s150x150/12354099_869936419769951_346805909_a.jpg</v>
      </c>
    </row>
    <row r="3305" spans="1:31" ht="15" x14ac:dyDescent="0.25">
      <c r="A3305" t="s">
        <v>2474</v>
      </c>
      <c r="B3305" t="s">
        <v>3251</v>
      </c>
      <c r="C3305" s="221">
        <v>42975.489479166667</v>
      </c>
      <c r="D3305" t="s">
        <v>19112</v>
      </c>
      <c r="E3305" s="249" t="str">
        <f>HYPERLINK("https://www.instagram.com/p/BYV8x24nvQL/")</f>
        <v>https://www.instagram.com/p/BYV8x24nvQL/</v>
      </c>
      <c r="F3305" t="s">
        <v>19113</v>
      </c>
      <c r="G3305" t="s">
        <v>2478</v>
      </c>
      <c r="H3305">
        <v>297</v>
      </c>
      <c r="I3305" t="s">
        <v>2479</v>
      </c>
      <c r="J3305">
        <v>0</v>
      </c>
      <c r="K3305">
        <v>34</v>
      </c>
      <c r="L3305">
        <v>34</v>
      </c>
      <c r="Q3305">
        <v>0</v>
      </c>
      <c r="R3305">
        <v>0</v>
      </c>
      <c r="S3305">
        <v>34</v>
      </c>
      <c r="Y3305" t="s">
        <v>5943</v>
      </c>
      <c r="Z3305" t="s">
        <v>3970</v>
      </c>
      <c r="AA3305" t="s">
        <v>4844</v>
      </c>
      <c r="AB3305" t="s">
        <v>3969</v>
      </c>
      <c r="AC3305" t="s">
        <v>3255</v>
      </c>
      <c r="AD3305" s="249" t="str">
        <f>HYPERLINK("https://scontent.cdninstagram.com/t51.2885-15/s320x320/e35/21107839_170746796805816_4105045727661522944_n.jpg")</f>
        <v>https://scontent.cdninstagram.com/t51.2885-15/s320x320/e35/21107839_170746796805816_4105045727661522944_n.jpg</v>
      </c>
      <c r="AE3305" s="249" t="str">
        <f>HYPERLINK("https://scontent.cdninstagram.com/t51.2885-19/s150x150/20986614_891746094322067_1272495017625124864_a.jpg")</f>
        <v>https://scontent.cdninstagram.com/t51.2885-19/s150x150/20986614_891746094322067_1272495017625124864_a.jpg</v>
      </c>
    </row>
    <row r="3306" spans="1:31" ht="15" x14ac:dyDescent="0.25">
      <c r="A3306" t="s">
        <v>2474</v>
      </c>
      <c r="B3306" t="s">
        <v>19114</v>
      </c>
      <c r="C3306" s="221">
        <v>42975.49454861111</v>
      </c>
      <c r="D3306" t="s">
        <v>19115</v>
      </c>
      <c r="E3306" s="249" t="str">
        <f>HYPERLINK("https://www.instagram.com/p/BYV9nRyDnl5/")</f>
        <v>https://www.instagram.com/p/BYV9nRyDnl5/</v>
      </c>
      <c r="F3306" t="s">
        <v>19116</v>
      </c>
      <c r="G3306" t="s">
        <v>2478</v>
      </c>
      <c r="H3306">
        <v>5</v>
      </c>
      <c r="I3306" t="s">
        <v>4052</v>
      </c>
      <c r="J3306">
        <v>0</v>
      </c>
      <c r="K3306">
        <v>8</v>
      </c>
      <c r="L3306">
        <v>8</v>
      </c>
      <c r="Q3306">
        <v>0</v>
      </c>
      <c r="R3306">
        <v>0</v>
      </c>
      <c r="S3306">
        <v>8</v>
      </c>
      <c r="T3306" t="s">
        <v>19117</v>
      </c>
      <c r="V3306" t="s">
        <v>2161</v>
      </c>
      <c r="W3306">
        <v>52.522761457500003</v>
      </c>
      <c r="X3306">
        <v>13.410424754999999</v>
      </c>
      <c r="Y3306" t="s">
        <v>19118</v>
      </c>
      <c r="Z3306" t="s">
        <v>2697</v>
      </c>
      <c r="AA3306" t="s">
        <v>19119</v>
      </c>
      <c r="AB3306" t="s">
        <v>19120</v>
      </c>
      <c r="AC3306" t="s">
        <v>19121</v>
      </c>
      <c r="AD3306" s="249" t="str">
        <f>HYPERLINK("https://scontent.cdninstagram.com/t51.2885-15/e35/p320x320/21149750_111224476240941_3330170951005372416_n.jpg")</f>
        <v>https://scontent.cdninstagram.com/t51.2885-15/e35/p320x320/21149750_111224476240941_3330170951005372416_n.jpg</v>
      </c>
      <c r="AE3306" s="249" t="str">
        <f>HYPERLINK("https://scontent.cdninstagram.com/t51.2885-19/s150x150/19986093_163986997479270_7391705868229672960_n.jpg")</f>
        <v>https://scontent.cdninstagram.com/t51.2885-19/s150x150/19986093_163986997479270_7391705868229672960_n.jpg</v>
      </c>
    </row>
    <row r="3307" spans="1:31" ht="15" x14ac:dyDescent="0.25">
      <c r="A3307" t="s">
        <v>2474</v>
      </c>
      <c r="B3307" t="s">
        <v>18309</v>
      </c>
      <c r="C3307" s="221">
        <v>42975.494641203702</v>
      </c>
      <c r="D3307" t="s">
        <v>19122</v>
      </c>
      <c r="E3307" s="249" t="str">
        <f>HYPERLINK("https://www.instagram.com/p/BYV9oTljmiD/")</f>
        <v>https://www.instagram.com/p/BYV9oTljmiD/</v>
      </c>
      <c r="F3307" t="s">
        <v>19123</v>
      </c>
      <c r="G3307" t="s">
        <v>2478</v>
      </c>
      <c r="H3307">
        <v>7</v>
      </c>
      <c r="I3307" t="s">
        <v>2479</v>
      </c>
      <c r="J3307">
        <v>0</v>
      </c>
      <c r="K3307">
        <v>8</v>
      </c>
      <c r="L3307">
        <v>8</v>
      </c>
      <c r="Q3307">
        <v>0</v>
      </c>
      <c r="R3307">
        <v>0</v>
      </c>
      <c r="S3307">
        <v>8</v>
      </c>
      <c r="Y3307" t="s">
        <v>6843</v>
      </c>
      <c r="Z3307" t="s">
        <v>2562</v>
      </c>
      <c r="AA3307" t="s">
        <v>10374</v>
      </c>
      <c r="AB3307" t="s">
        <v>19124</v>
      </c>
      <c r="AC3307" t="s">
        <v>2667</v>
      </c>
      <c r="AD3307" s="249" t="str">
        <f>HYPERLINK("https://scontent.cdninstagram.com/t51.2885-15/s320x320/e35/21107442_1564952826898325_8829092892325707776_n.jpg")</f>
        <v>https://scontent.cdninstagram.com/t51.2885-15/s320x320/e35/21107442_1564952826898325_8829092892325707776_n.jpg</v>
      </c>
      <c r="AE3307" s="249" t="str">
        <f>HYPERLINK("https://scontent.cdninstagram.com/t51.2885-19/s150x150/21224635_116853155713206_6935607206414909440_a.jpg")</f>
        <v>https://scontent.cdninstagram.com/t51.2885-19/s150x150/21224635_116853155713206_6935607206414909440_a.jpg</v>
      </c>
    </row>
    <row r="3308" spans="1:31" ht="15" x14ac:dyDescent="0.25">
      <c r="A3308" t="s">
        <v>2474</v>
      </c>
      <c r="B3308" t="s">
        <v>19125</v>
      </c>
      <c r="C3308" s="221">
        <v>42975.503576388888</v>
      </c>
      <c r="D3308" t="s">
        <v>19126</v>
      </c>
      <c r="E3308" s="249" t="str">
        <f>HYPERLINK("https://www.instagram.com/p/BYV_GhBH6Wx/")</f>
        <v>https://www.instagram.com/p/BYV_GhBH6Wx/</v>
      </c>
      <c r="F3308" t="s">
        <v>19127</v>
      </c>
      <c r="G3308" t="s">
        <v>2478</v>
      </c>
      <c r="H3308">
        <v>10133</v>
      </c>
      <c r="I3308" t="s">
        <v>2479</v>
      </c>
      <c r="J3308">
        <v>2</v>
      </c>
      <c r="K3308">
        <v>102</v>
      </c>
      <c r="L3308">
        <v>104</v>
      </c>
      <c r="Q3308">
        <v>0</v>
      </c>
      <c r="R3308">
        <v>0</v>
      </c>
      <c r="S3308">
        <v>104</v>
      </c>
      <c r="T3308" t="s">
        <v>19128</v>
      </c>
      <c r="V3308" t="s">
        <v>2118</v>
      </c>
      <c r="W3308">
        <v>-23.587811574168999</v>
      </c>
      <c r="X3308">
        <v>-46.656828908301001</v>
      </c>
      <c r="Y3308" t="s">
        <v>2521</v>
      </c>
      <c r="Z3308" t="s">
        <v>19129</v>
      </c>
      <c r="AA3308" t="s">
        <v>2734</v>
      </c>
      <c r="AB3308" t="s">
        <v>19130</v>
      </c>
      <c r="AC3308" t="s">
        <v>19131</v>
      </c>
      <c r="AD3308" s="249" t="str">
        <f>HYPERLINK("https://scontent.cdninstagram.com/t51.2885-15/e35/p320x320/21149392_276501406170391_6364084932062478336_n.jpg")</f>
        <v>https://scontent.cdninstagram.com/t51.2885-15/e35/p320x320/21149392_276501406170391_6364084932062478336_n.jpg</v>
      </c>
      <c r="AE3308" s="249" t="str">
        <f>HYPERLINK("https://scontent.cdninstagram.com/t51.2885-19/s150x150/15035753_1124404737615128_2741924181376499712_a.jpg")</f>
        <v>https://scontent.cdninstagram.com/t51.2885-19/s150x150/15035753_1124404737615128_2741924181376499712_a.jpg</v>
      </c>
    </row>
    <row r="3309" spans="1:31" ht="15" x14ac:dyDescent="0.25">
      <c r="A3309" t="s">
        <v>2474</v>
      </c>
      <c r="B3309" t="s">
        <v>19132</v>
      </c>
      <c r="C3309" s="221">
        <v>42975.503738425927</v>
      </c>
      <c r="D3309" t="s">
        <v>19133</v>
      </c>
      <c r="E3309" s="249" t="str">
        <f>HYPERLINK("https://www.instagram.com/p/BYV_IQnA9ha/")</f>
        <v>https://www.instagram.com/p/BYV_IQnA9ha/</v>
      </c>
      <c r="F3309" t="s">
        <v>19134</v>
      </c>
      <c r="G3309" t="s">
        <v>2478</v>
      </c>
      <c r="H3309">
        <v>190</v>
      </c>
      <c r="I3309" t="s">
        <v>4052</v>
      </c>
      <c r="J3309">
        <v>4</v>
      </c>
      <c r="K3309">
        <v>35</v>
      </c>
      <c r="L3309">
        <v>39</v>
      </c>
      <c r="Q3309">
        <v>0</v>
      </c>
      <c r="R3309">
        <v>0</v>
      </c>
      <c r="S3309">
        <v>39</v>
      </c>
      <c r="Y3309" t="s">
        <v>5902</v>
      </c>
      <c r="Z3309" t="s">
        <v>19135</v>
      </c>
      <c r="AA3309" t="s">
        <v>19136</v>
      </c>
      <c r="AB3309" t="s">
        <v>19137</v>
      </c>
      <c r="AC3309" t="s">
        <v>19138</v>
      </c>
      <c r="AD3309" s="249" t="str">
        <f>HYPERLINK("https://scontent.cdninstagram.com/t51.2885-15/s320x320/e35/21149768_1455726097796034_7086231340118441984_n.jpg")</f>
        <v>https://scontent.cdninstagram.com/t51.2885-15/s320x320/e35/21149768_1455726097796034_7086231340118441984_n.jpg</v>
      </c>
      <c r="AE3309" s="249" t="str">
        <f>HYPERLINK("https://scontent.cdninstagram.com/t51.2885-19/s150x150/19931923_864242733752313_1292981899957895168_a.jpg")</f>
        <v>https://scontent.cdninstagram.com/t51.2885-19/s150x150/19931923_864242733752313_1292981899957895168_a.jpg</v>
      </c>
    </row>
    <row r="3310" spans="1:31" ht="15" x14ac:dyDescent="0.25">
      <c r="A3310" t="s">
        <v>2474</v>
      </c>
      <c r="B3310" t="s">
        <v>19139</v>
      </c>
      <c r="C3310" s="221">
        <v>42975.512326388889</v>
      </c>
      <c r="D3310" t="s">
        <v>19140</v>
      </c>
      <c r="E3310" s="249" t="str">
        <f>HYPERLINK("https://www.instagram.com/p/BYWAixfg2Gm/")</f>
        <v>https://www.instagram.com/p/BYWAixfg2Gm/</v>
      </c>
      <c r="F3310" t="s">
        <v>19141</v>
      </c>
      <c r="G3310" t="s">
        <v>2478</v>
      </c>
      <c r="H3310">
        <v>417</v>
      </c>
      <c r="I3310" t="s">
        <v>2479</v>
      </c>
      <c r="J3310">
        <v>1</v>
      </c>
      <c r="K3310">
        <v>21</v>
      </c>
      <c r="L3310">
        <v>22</v>
      </c>
      <c r="Q3310">
        <v>0</v>
      </c>
      <c r="R3310">
        <v>0</v>
      </c>
      <c r="S3310">
        <v>22</v>
      </c>
      <c r="Y3310" t="s">
        <v>19142</v>
      </c>
      <c r="Z3310" t="s">
        <v>19143</v>
      </c>
      <c r="AA3310" t="s">
        <v>2497</v>
      </c>
      <c r="AB3310" t="s">
        <v>19144</v>
      </c>
      <c r="AD3310" s="249" t="str">
        <f>HYPERLINK("https://scontent.cdninstagram.com/t51.2885-15/s320x320/e35/21147794_127445767887280_7413414518434299904_n.jpg")</f>
        <v>https://scontent.cdninstagram.com/t51.2885-15/s320x320/e35/21147794_127445767887280_7413414518434299904_n.jpg</v>
      </c>
      <c r="AE3310" s="249" t="str">
        <f>HYPERLINK("https://scontent.cdninstagram.com/t51.2885-19/s150x150/16906213_259245531198912_3862430489763643392_a.jpg")</f>
        <v>https://scontent.cdninstagram.com/t51.2885-19/s150x150/16906213_259245531198912_3862430489763643392_a.jpg</v>
      </c>
    </row>
    <row r="3311" spans="1:31" ht="15" x14ac:dyDescent="0.25">
      <c r="A3311" t="s">
        <v>2474</v>
      </c>
      <c r="B3311" t="s">
        <v>19145</v>
      </c>
      <c r="C3311" s="221">
        <v>42975.522048611114</v>
      </c>
      <c r="D3311" t="s">
        <v>19146</v>
      </c>
      <c r="E3311" s="249" t="str">
        <f>HYPERLINK("https://www.instagram.com/p/BYWCJUBlnve/")</f>
        <v>https://www.instagram.com/p/BYWCJUBlnve/</v>
      </c>
      <c r="F3311" t="s">
        <v>14324</v>
      </c>
      <c r="G3311" t="s">
        <v>2478</v>
      </c>
      <c r="H3311">
        <v>60</v>
      </c>
      <c r="I3311" t="s">
        <v>2479</v>
      </c>
      <c r="J3311">
        <v>0</v>
      </c>
      <c r="K3311">
        <v>6</v>
      </c>
      <c r="L3311">
        <v>6</v>
      </c>
      <c r="Q3311">
        <v>0</v>
      </c>
      <c r="R3311">
        <v>0</v>
      </c>
      <c r="S3311">
        <v>6</v>
      </c>
      <c r="Y3311" t="s">
        <v>19147</v>
      </c>
      <c r="Z3311" t="s">
        <v>19148</v>
      </c>
      <c r="AA3311" t="s">
        <v>19149</v>
      </c>
      <c r="AB3311" t="s">
        <v>19150</v>
      </c>
      <c r="AC3311" t="s">
        <v>19151</v>
      </c>
      <c r="AD3311" s="249" t="str">
        <f>HYPERLINK("https://scontent.cdninstagram.com/t51.2885-15/s320x320/e35/21042851_1432915273484090_2284994619483619328_n.jpg")</f>
        <v>https://scontent.cdninstagram.com/t51.2885-15/s320x320/e35/21042851_1432915273484090_2284994619483619328_n.jpg</v>
      </c>
      <c r="AE3311" s="249" t="str">
        <f>HYPERLINK("https://scontent.cdninstagram.com/t51.2885-19/s150x150/19624210_112639212692178_4776966560524795904_a.jpg")</f>
        <v>https://scontent.cdninstagram.com/t51.2885-19/s150x150/19624210_112639212692178_4776966560524795904_a.jpg</v>
      </c>
    </row>
    <row r="3312" spans="1:31" ht="15" x14ac:dyDescent="0.25">
      <c r="A3312" t="s">
        <v>2474</v>
      </c>
      <c r="B3312" t="s">
        <v>19152</v>
      </c>
      <c r="C3312" s="221">
        <v>42975.524074074077</v>
      </c>
      <c r="D3312" t="s">
        <v>19153</v>
      </c>
      <c r="E3312" s="249" t="str">
        <f>HYPERLINK("https://www.instagram.com/p/BYWCesfAEgh/")</f>
        <v>https://www.instagram.com/p/BYWCesfAEgh/</v>
      </c>
      <c r="F3312" t="s">
        <v>19154</v>
      </c>
      <c r="G3312" t="s">
        <v>2478</v>
      </c>
      <c r="H3312">
        <v>247</v>
      </c>
      <c r="I3312" t="s">
        <v>2479</v>
      </c>
      <c r="J3312">
        <v>0</v>
      </c>
      <c r="K3312">
        <v>13</v>
      </c>
      <c r="L3312">
        <v>13</v>
      </c>
      <c r="Q3312">
        <v>0</v>
      </c>
      <c r="R3312">
        <v>0</v>
      </c>
      <c r="S3312">
        <v>13</v>
      </c>
      <c r="Y3312" t="s">
        <v>9224</v>
      </c>
      <c r="Z3312" t="s">
        <v>2696</v>
      </c>
      <c r="AA3312" t="s">
        <v>19155</v>
      </c>
      <c r="AB3312" t="s">
        <v>6922</v>
      </c>
      <c r="AC3312" t="s">
        <v>2778</v>
      </c>
      <c r="AD3312" s="249" t="str">
        <f>HYPERLINK("https://scontent.cdninstagram.com/t51.2885-15/s320x320/e35/21147969_127728811192010_3045369762642132992_n.jpg")</f>
        <v>https://scontent.cdninstagram.com/t51.2885-15/s320x320/e35/21147969_127728811192010_3045369762642132992_n.jpg</v>
      </c>
      <c r="AE3312" s="249" t="str">
        <f>HYPERLINK("https://scontent.cdninstagram.com/t51.2885-19/s150x150/17125870_1850959431840129_2427212574475943936_a.jpg")</f>
        <v>https://scontent.cdninstagram.com/t51.2885-19/s150x150/17125870_1850959431840129_2427212574475943936_a.jpg</v>
      </c>
    </row>
    <row r="3313" spans="1:31" ht="15" x14ac:dyDescent="0.25">
      <c r="A3313" t="s">
        <v>2474</v>
      </c>
      <c r="B3313" t="s">
        <v>12550</v>
      </c>
      <c r="C3313" s="221">
        <v>42975.525069444448</v>
      </c>
      <c r="D3313" t="s">
        <v>19156</v>
      </c>
      <c r="E3313" s="249" t="str">
        <f>HYPERLINK("https://www.instagram.com/p/BYWCpOFHn2O/")</f>
        <v>https://www.instagram.com/p/BYWCpOFHn2O/</v>
      </c>
      <c r="F3313" t="s">
        <v>19157</v>
      </c>
      <c r="G3313" t="s">
        <v>2478</v>
      </c>
      <c r="H3313">
        <v>845</v>
      </c>
      <c r="I3313" t="s">
        <v>2599</v>
      </c>
      <c r="J3313">
        <v>4</v>
      </c>
      <c r="K3313">
        <v>64</v>
      </c>
      <c r="L3313">
        <v>68</v>
      </c>
      <c r="Q3313">
        <v>0</v>
      </c>
      <c r="R3313">
        <v>0</v>
      </c>
      <c r="S3313">
        <v>68</v>
      </c>
      <c r="T3313" t="s">
        <v>19158</v>
      </c>
      <c r="V3313" t="s">
        <v>2182</v>
      </c>
      <c r="W3313">
        <v>45.506349999999998</v>
      </c>
      <c r="X3313">
        <v>9.1029198999999998</v>
      </c>
      <c r="Y3313" t="s">
        <v>5071</v>
      </c>
      <c r="Z3313" t="s">
        <v>6733</v>
      </c>
      <c r="AA3313" t="s">
        <v>2879</v>
      </c>
      <c r="AB3313" t="s">
        <v>19159</v>
      </c>
      <c r="AC3313" t="s">
        <v>19160</v>
      </c>
      <c r="AD3313" s="249" t="str">
        <f>HYPERLINK("https://scontent.cdninstagram.com/t51.2885-15/s320x320/e35/21042609_1484996698259498_5551507218790088704_n.jpg")</f>
        <v>https://scontent.cdninstagram.com/t51.2885-15/s320x320/e35/21042609_1484996698259498_5551507218790088704_n.jpg</v>
      </c>
      <c r="AE3313" s="249" t="str">
        <f>HYPERLINK("https://scontent.cdninstagram.com/t51.2885-19/s150x150/19534736_1894547127467294_2028662634726817792_a.jpg")</f>
        <v>https://scontent.cdninstagram.com/t51.2885-19/s150x150/19534736_1894547127467294_2028662634726817792_a.jpg</v>
      </c>
    </row>
    <row r="3314" spans="1:31" ht="15" x14ac:dyDescent="0.25">
      <c r="A3314" t="s">
        <v>2474</v>
      </c>
      <c r="B3314" t="s">
        <v>19161</v>
      </c>
      <c r="C3314" s="221">
        <v>42975.529490740744</v>
      </c>
      <c r="D3314" t="s">
        <v>19162</v>
      </c>
      <c r="E3314" s="249" t="str">
        <f>HYPERLINK("https://www.instagram.com/p/BYWDX4ugdy_/")</f>
        <v>https://www.instagram.com/p/BYWDX4ugdy_/</v>
      </c>
      <c r="F3314" t="s">
        <v>19163</v>
      </c>
      <c r="G3314" t="s">
        <v>2478</v>
      </c>
      <c r="H3314">
        <v>252</v>
      </c>
      <c r="I3314" t="s">
        <v>2479</v>
      </c>
      <c r="J3314">
        <v>5</v>
      </c>
      <c r="K3314">
        <v>21</v>
      </c>
      <c r="L3314">
        <v>26</v>
      </c>
      <c r="Q3314">
        <v>0</v>
      </c>
      <c r="R3314">
        <v>0</v>
      </c>
      <c r="S3314">
        <v>26</v>
      </c>
      <c r="Y3314" t="s">
        <v>19164</v>
      </c>
      <c r="Z3314" t="s">
        <v>19165</v>
      </c>
      <c r="AA3314" t="s">
        <v>19166</v>
      </c>
      <c r="AB3314" t="s">
        <v>19167</v>
      </c>
      <c r="AC3314" t="s">
        <v>19168</v>
      </c>
      <c r="AD3314" s="249" t="str">
        <f>HYPERLINK("https://scontent.cdninstagram.com/t51.2885-15/s320x320/e35/21042506_123145808271566_4885123964570959872_n.jpg")</f>
        <v>https://scontent.cdninstagram.com/t51.2885-15/s320x320/e35/21042506_123145808271566_4885123964570959872_n.jpg</v>
      </c>
      <c r="AE3314" s="249" t="str">
        <f>HYPERLINK("https://scontent.cdninstagram.com/t51.2885-19/s150x150/14624573_1505943772755438_3387622061349273600_a.jpg")</f>
        <v>https://scontent.cdninstagram.com/t51.2885-19/s150x150/14624573_1505943772755438_3387622061349273600_a.jpg</v>
      </c>
    </row>
    <row r="3315" spans="1:31" ht="15" x14ac:dyDescent="0.25">
      <c r="A3315" t="s">
        <v>2474</v>
      </c>
      <c r="B3315" t="s">
        <v>15879</v>
      </c>
      <c r="C3315" s="221">
        <v>42975.533668981479</v>
      </c>
      <c r="D3315" t="s">
        <v>19169</v>
      </c>
      <c r="E3315" s="249" t="str">
        <f>HYPERLINK("https://www.instagram.com/p/BYWED36nxUd/")</f>
        <v>https://www.instagram.com/p/BYWED36nxUd/</v>
      </c>
      <c r="F3315" t="s">
        <v>19170</v>
      </c>
      <c r="G3315" t="s">
        <v>2478</v>
      </c>
      <c r="H3315">
        <v>1877</v>
      </c>
      <c r="I3315" t="s">
        <v>2479</v>
      </c>
      <c r="J3315">
        <v>1</v>
      </c>
      <c r="K3315">
        <v>805</v>
      </c>
      <c r="L3315">
        <v>806</v>
      </c>
      <c r="Q3315">
        <v>0</v>
      </c>
      <c r="R3315">
        <v>0</v>
      </c>
      <c r="S3315">
        <v>806</v>
      </c>
      <c r="Y3315" t="s">
        <v>8401</v>
      </c>
      <c r="Z3315" t="s">
        <v>19171</v>
      </c>
      <c r="AA3315" t="s">
        <v>15879</v>
      </c>
      <c r="AB3315" t="s">
        <v>5377</v>
      </c>
      <c r="AC3315" t="s">
        <v>19172</v>
      </c>
      <c r="AD3315" s="249" t="str">
        <f>HYPERLINK("https://scontent.cdninstagram.com/t51.2885-15/s320x320/e35/21107762_142746566327310_3495178273053212672_n.jpg")</f>
        <v>https://scontent.cdninstagram.com/t51.2885-15/s320x320/e35/21107762_142746566327310_3495178273053212672_n.jpg</v>
      </c>
      <c r="AE3315" s="249" t="str">
        <f>HYPERLINK("https://scontent.cdninstagram.com/t51.2885-19/s150x150/20214683_485763065114296_8454263558736183296_a.jpg")</f>
        <v>https://scontent.cdninstagram.com/t51.2885-19/s150x150/20214683_485763065114296_8454263558736183296_a.jpg</v>
      </c>
    </row>
    <row r="3316" spans="1:31" ht="15" x14ac:dyDescent="0.25">
      <c r="A3316" t="s">
        <v>2474</v>
      </c>
      <c r="B3316" t="s">
        <v>19173</v>
      </c>
      <c r="C3316" s="221">
        <v>42975.542210648149</v>
      </c>
      <c r="D3316" t="s">
        <v>19174</v>
      </c>
      <c r="E3316" s="249" t="str">
        <f>HYPERLINK("https://www.instagram.com/p/BYWFeEQH84J/")</f>
        <v>https://www.instagram.com/p/BYWFeEQH84J/</v>
      </c>
      <c r="F3316" t="s">
        <v>19175</v>
      </c>
      <c r="G3316" t="s">
        <v>2478</v>
      </c>
      <c r="H3316">
        <v>1245</v>
      </c>
      <c r="I3316" t="s">
        <v>2479</v>
      </c>
      <c r="J3316">
        <v>0</v>
      </c>
      <c r="K3316">
        <v>94</v>
      </c>
      <c r="L3316">
        <v>94</v>
      </c>
      <c r="Q3316">
        <v>0</v>
      </c>
      <c r="R3316">
        <v>0</v>
      </c>
      <c r="S3316">
        <v>94</v>
      </c>
      <c r="T3316" t="s">
        <v>6459</v>
      </c>
      <c r="U3316" t="s">
        <v>97</v>
      </c>
      <c r="V3316" t="s">
        <v>2299</v>
      </c>
      <c r="W3316">
        <v>34.052199999999999</v>
      </c>
      <c r="X3316">
        <v>-118.24299999999999</v>
      </c>
      <c r="Y3316" t="s">
        <v>19176</v>
      </c>
      <c r="Z3316" t="s">
        <v>4987</v>
      </c>
      <c r="AA3316" t="s">
        <v>15915</v>
      </c>
      <c r="AB3316" t="s">
        <v>19177</v>
      </c>
      <c r="AC3316" t="s">
        <v>12665</v>
      </c>
      <c r="AD3316" s="249" t="str">
        <f>HYPERLINK("https://scontent.cdninstagram.com/t51.2885-15/s320x320/e35/21149845_325266997937169_2922776664276467712_n.jpg")</f>
        <v>https://scontent.cdninstagram.com/t51.2885-15/s320x320/e35/21149845_325266997937169_2922776664276467712_n.jpg</v>
      </c>
      <c r="AE3316" s="249" t="str">
        <f>HYPERLINK("https://scontent.cdninstagram.com/t51.2885-19/s150x150/17267948_1417804311594408_3559171194114539520_a.jpg")</f>
        <v>https://scontent.cdninstagram.com/t51.2885-19/s150x150/17267948_1417804311594408_3559171194114539520_a.jpg</v>
      </c>
    </row>
    <row r="3317" spans="1:31" ht="15" x14ac:dyDescent="0.25">
      <c r="A3317" t="s">
        <v>2474</v>
      </c>
      <c r="B3317" t="s">
        <v>19178</v>
      </c>
      <c r="C3317" s="221">
        <v>42975.542743055557</v>
      </c>
      <c r="D3317" t="s">
        <v>19179</v>
      </c>
      <c r="E3317" s="249" t="str">
        <f>HYPERLINK("https://www.instagram.com/p/BYWFjn3jBj1/")</f>
        <v>https://www.instagram.com/p/BYWFjn3jBj1/</v>
      </c>
      <c r="F3317" t="s">
        <v>19180</v>
      </c>
      <c r="G3317" t="s">
        <v>2478</v>
      </c>
      <c r="H3317">
        <v>450</v>
      </c>
      <c r="I3317" t="s">
        <v>2479</v>
      </c>
      <c r="J3317">
        <v>8</v>
      </c>
      <c r="K3317">
        <v>125</v>
      </c>
      <c r="L3317">
        <v>133</v>
      </c>
      <c r="Q3317">
        <v>0</v>
      </c>
      <c r="R3317">
        <v>0</v>
      </c>
      <c r="S3317">
        <v>133</v>
      </c>
      <c r="Y3317" t="s">
        <v>19181</v>
      </c>
      <c r="Z3317" t="s">
        <v>2497</v>
      </c>
      <c r="AA3317" t="s">
        <v>19182</v>
      </c>
      <c r="AB3317" t="s">
        <v>19183</v>
      </c>
      <c r="AD3317" s="249" t="str">
        <f>HYPERLINK("https://scontent.cdninstagram.com/t51.2885-15/e35/p320x320/21149088_1468604679895808_3194483639815503872_n.jpg")</f>
        <v>https://scontent.cdninstagram.com/t51.2885-15/e35/p320x320/21149088_1468604679895808_3194483639815503872_n.jpg</v>
      </c>
      <c r="AE3317" s="249" t="str">
        <f>HYPERLINK("https://scontent.cdninstagram.com/t51.2885-19/s150x150/14727726_994469897330470_8386332238563770368_a.jpg")</f>
        <v>https://scontent.cdninstagram.com/t51.2885-19/s150x150/14727726_994469897330470_8386332238563770368_a.jpg</v>
      </c>
    </row>
    <row r="3318" spans="1:31" ht="15" x14ac:dyDescent="0.25">
      <c r="A3318" t="s">
        <v>2474</v>
      </c>
      <c r="B3318" t="s">
        <v>19184</v>
      </c>
      <c r="C3318" s="221">
        <v>42975.543622685182</v>
      </c>
      <c r="D3318" t="s">
        <v>19185</v>
      </c>
      <c r="E3318" s="249" t="str">
        <f>HYPERLINK("https://www.instagram.com/p/BYWFs20nzCH/")</f>
        <v>https://www.instagram.com/p/BYWFs20nzCH/</v>
      </c>
      <c r="F3318" t="s">
        <v>19186</v>
      </c>
      <c r="G3318" t="s">
        <v>2478</v>
      </c>
      <c r="H3318">
        <v>16</v>
      </c>
      <c r="I3318" t="s">
        <v>2542</v>
      </c>
      <c r="J3318">
        <v>2</v>
      </c>
      <c r="K3318">
        <v>7</v>
      </c>
      <c r="L3318">
        <v>9</v>
      </c>
      <c r="Q3318">
        <v>0</v>
      </c>
      <c r="R3318">
        <v>0</v>
      </c>
      <c r="S3318">
        <v>9</v>
      </c>
      <c r="Y3318" t="s">
        <v>19187</v>
      </c>
      <c r="Z3318" t="s">
        <v>19188</v>
      </c>
      <c r="AA3318" t="s">
        <v>19189</v>
      </c>
      <c r="AB3318" t="s">
        <v>19190</v>
      </c>
      <c r="AC3318" t="s">
        <v>2696</v>
      </c>
      <c r="AD3318" s="249" t="str">
        <f>HYPERLINK("https://scontent.cdninstagram.com/t51.2885-15/s320x320/e35/21224169_291891314551178_5966037971638419456_n.jpg")</f>
        <v>https://scontent.cdninstagram.com/t51.2885-15/s320x320/e35/21224169_291891314551178_5966037971638419456_n.jpg</v>
      </c>
      <c r="AE3318" s="249" t="str">
        <f>HYPERLINK("https://scontent.cdninstagram.com/t51.2885-19/s150x150/19429343_1589006611111539_3583945433061261312_a.jpg")</f>
        <v>https://scontent.cdninstagram.com/t51.2885-19/s150x150/19429343_1589006611111539_3583945433061261312_a.jpg</v>
      </c>
    </row>
    <row r="3319" spans="1:31" ht="15" x14ac:dyDescent="0.25">
      <c r="A3319" t="s">
        <v>2474</v>
      </c>
      <c r="B3319" t="s">
        <v>19191</v>
      </c>
      <c r="C3319" s="221">
        <v>42975.544386574074</v>
      </c>
      <c r="D3319" t="s">
        <v>19192</v>
      </c>
      <c r="E3319" s="249" t="str">
        <f>HYPERLINK("https://www.instagram.com/p/BYWF1A5DQWK/")</f>
        <v>https://www.instagram.com/p/BYWF1A5DQWK/</v>
      </c>
      <c r="F3319" t="s">
        <v>19193</v>
      </c>
      <c r="G3319" t="s">
        <v>2478</v>
      </c>
      <c r="H3319">
        <v>1533</v>
      </c>
      <c r="I3319" t="s">
        <v>2479</v>
      </c>
      <c r="J3319">
        <v>0</v>
      </c>
      <c r="K3319">
        <v>40</v>
      </c>
      <c r="L3319">
        <v>40</v>
      </c>
      <c r="Q3319">
        <v>0</v>
      </c>
      <c r="R3319">
        <v>0</v>
      </c>
      <c r="S3319">
        <v>40</v>
      </c>
      <c r="Y3319" t="s">
        <v>19194</v>
      </c>
      <c r="Z3319" t="s">
        <v>15246</v>
      </c>
      <c r="AA3319" t="s">
        <v>19195</v>
      </c>
      <c r="AB3319" t="s">
        <v>19196</v>
      </c>
      <c r="AC3319" t="s">
        <v>19197</v>
      </c>
      <c r="AD3319" s="249" t="str">
        <f>HYPERLINK("https://scontent.cdninstagram.com/t51.2885-15/e35/p320x320/21108062_209748302893420_8415212818432786432_n.jpg")</f>
        <v>https://scontent.cdninstagram.com/t51.2885-15/e35/p320x320/21108062_209748302893420_8415212818432786432_n.jpg</v>
      </c>
      <c r="AE3319" s="249" t="str">
        <f>HYPERLINK("https://scontent.cdninstagram.com/t51.2885-19/s150x150/21296602_665402446998828_17391387733393408_a.jpg")</f>
        <v>https://scontent.cdninstagram.com/t51.2885-19/s150x150/21296602_665402446998828_17391387733393408_a.jpg</v>
      </c>
    </row>
    <row r="3320" spans="1:31" ht="15" x14ac:dyDescent="0.25">
      <c r="A3320" t="s">
        <v>2474</v>
      </c>
      <c r="B3320" t="s">
        <v>19198</v>
      </c>
      <c r="C3320" s="221">
        <v>42975.544409722221</v>
      </c>
      <c r="D3320" t="s">
        <v>19199</v>
      </c>
      <c r="E3320" s="249" t="str">
        <f>HYPERLINK("https://www.instagram.com/p/BYWF1LcB27c/")</f>
        <v>https://www.instagram.com/p/BYWF1LcB27c/</v>
      </c>
      <c r="F3320" t="s">
        <v>19200</v>
      </c>
      <c r="G3320" t="s">
        <v>2478</v>
      </c>
      <c r="H3320">
        <v>569</v>
      </c>
      <c r="I3320" t="s">
        <v>2479</v>
      </c>
      <c r="J3320">
        <v>13</v>
      </c>
      <c r="K3320">
        <v>135</v>
      </c>
      <c r="L3320">
        <v>148</v>
      </c>
      <c r="Q3320">
        <v>0</v>
      </c>
      <c r="R3320">
        <v>0</v>
      </c>
      <c r="S3320">
        <v>148</v>
      </c>
      <c r="Y3320" t="s">
        <v>2730</v>
      </c>
      <c r="Z3320" t="s">
        <v>19201</v>
      </c>
      <c r="AA3320" t="s">
        <v>2741</v>
      </c>
      <c r="AB3320" t="s">
        <v>19202</v>
      </c>
      <c r="AC3320" t="s">
        <v>2497</v>
      </c>
      <c r="AD3320" s="249" t="str">
        <f>HYPERLINK("https://scontent.cdninstagram.com/t51.2885-15/s320x320/e35/21107786_803135203199018_8716760372045938688_n.jpg")</f>
        <v>https://scontent.cdninstagram.com/t51.2885-15/s320x320/e35/21107786_803135203199018_8716760372045938688_n.jpg</v>
      </c>
      <c r="AE3320" s="249" t="str">
        <f>HYPERLINK("https://scontent.cdninstagram.com/t51.2885-19/s150x150/21107180_668809789979896_7669055296924286976_a.jpg")</f>
        <v>https://scontent.cdninstagram.com/t51.2885-19/s150x150/21107180_668809789979896_7669055296924286976_a.jpg</v>
      </c>
    </row>
    <row r="3321" spans="1:31" ht="15" x14ac:dyDescent="0.25">
      <c r="A3321" t="s">
        <v>2474</v>
      </c>
      <c r="B3321" t="s">
        <v>19203</v>
      </c>
      <c r="C3321" s="221">
        <v>42975.565011574072</v>
      </c>
      <c r="D3321" t="s">
        <v>19204</v>
      </c>
      <c r="E3321" s="249" t="str">
        <f>HYPERLINK("https://www.instagram.com/p/BYWJOfzgwtm/")</f>
        <v>https://www.instagram.com/p/BYWJOfzgwtm/</v>
      </c>
      <c r="F3321" t="s">
        <v>19205</v>
      </c>
      <c r="G3321" t="s">
        <v>2478</v>
      </c>
      <c r="H3321">
        <v>520</v>
      </c>
      <c r="I3321" t="s">
        <v>2479</v>
      </c>
      <c r="J3321">
        <v>2</v>
      </c>
      <c r="K3321">
        <v>36</v>
      </c>
      <c r="L3321">
        <v>38</v>
      </c>
      <c r="Q3321">
        <v>0</v>
      </c>
      <c r="R3321">
        <v>0</v>
      </c>
      <c r="S3321">
        <v>38</v>
      </c>
      <c r="Y3321" t="s">
        <v>6843</v>
      </c>
      <c r="Z3321" t="s">
        <v>8516</v>
      </c>
      <c r="AA3321" t="s">
        <v>19206</v>
      </c>
      <c r="AB3321" t="s">
        <v>19207</v>
      </c>
      <c r="AC3321" t="s">
        <v>19203</v>
      </c>
      <c r="AD3321" s="249" t="str">
        <f>HYPERLINK("https://scontent.cdninstagram.com/t51.2885-15/s320x320/e35/21107850_265740763915603_1767328954395394048_n.jpg")</f>
        <v>https://scontent.cdninstagram.com/t51.2885-15/s320x320/e35/21107850_265740763915603_1767328954395394048_n.jpg</v>
      </c>
      <c r="AE3321" s="249" t="str">
        <f>HYPERLINK("https://scontent.cdninstagram.com/t51.2885-19/s150x150/18580592_1213884662043121_3589587439540240384_a.jpg")</f>
        <v>https://scontent.cdninstagram.com/t51.2885-19/s150x150/18580592_1213884662043121_3589587439540240384_a.jpg</v>
      </c>
    </row>
    <row r="3322" spans="1:31" ht="15" x14ac:dyDescent="0.25">
      <c r="A3322" t="s">
        <v>2474</v>
      </c>
      <c r="B3322" t="s">
        <v>19208</v>
      </c>
      <c r="C3322" s="221">
        <v>42975.569108796299</v>
      </c>
      <c r="D3322" t="s">
        <v>19209</v>
      </c>
      <c r="E3322" s="249" t="str">
        <f>HYPERLINK("https://www.instagram.com/p/BYWJ5wiBveh/")</f>
        <v>https://www.instagram.com/p/BYWJ5wiBveh/</v>
      </c>
      <c r="F3322" t="s">
        <v>19210</v>
      </c>
      <c r="G3322" t="s">
        <v>2478</v>
      </c>
      <c r="H3322">
        <v>140</v>
      </c>
      <c r="I3322" t="s">
        <v>4523</v>
      </c>
      <c r="J3322">
        <v>1</v>
      </c>
      <c r="K3322">
        <v>23</v>
      </c>
      <c r="L3322">
        <v>24</v>
      </c>
      <c r="Q3322">
        <v>0</v>
      </c>
      <c r="R3322">
        <v>0</v>
      </c>
      <c r="S3322">
        <v>24</v>
      </c>
      <c r="T3322" t="s">
        <v>19211</v>
      </c>
      <c r="V3322" t="s">
        <v>2161</v>
      </c>
      <c r="W3322">
        <v>50.455599999999997</v>
      </c>
      <c r="X3322">
        <v>10.46</v>
      </c>
      <c r="Y3322" t="s">
        <v>19212</v>
      </c>
      <c r="Z3322" t="s">
        <v>2497</v>
      </c>
      <c r="AA3322" t="s">
        <v>19213</v>
      </c>
      <c r="AB3322" t="s">
        <v>19214</v>
      </c>
      <c r="AC3322" t="s">
        <v>5077</v>
      </c>
      <c r="AD3322" s="249" t="str">
        <f>HYPERLINK("https://scontent.cdninstagram.com/t51.2885-15/s320x320/e35/21147895_112952899418240_5676205654289678336_n.jpg")</f>
        <v>https://scontent.cdninstagram.com/t51.2885-15/s320x320/e35/21147895_112952899418240_5676205654289678336_n.jpg</v>
      </c>
      <c r="AE3322" s="249" t="str">
        <f>HYPERLINK("https://scontent.cdninstagram.com/t51.2885-19/s150x150/18381851_1317701648314870_7903914773073362944_a.jpg")</f>
        <v>https://scontent.cdninstagram.com/t51.2885-19/s150x150/18381851_1317701648314870_7903914773073362944_a.jpg</v>
      </c>
    </row>
    <row r="3323" spans="1:31" ht="15" x14ac:dyDescent="0.25">
      <c r="A3323" t="s">
        <v>2474</v>
      </c>
      <c r="B3323" t="s">
        <v>8588</v>
      </c>
      <c r="C3323" s="221">
        <v>42975.571076388886</v>
      </c>
      <c r="D3323" t="s">
        <v>19215</v>
      </c>
      <c r="E3323" s="249" t="str">
        <f>HYPERLINK("https://www.instagram.com/p/BYWKOZ0HQqM/")</f>
        <v>https://www.instagram.com/p/BYWKOZ0HQqM/</v>
      </c>
      <c r="F3323" t="s">
        <v>19216</v>
      </c>
      <c r="G3323" t="s">
        <v>2478</v>
      </c>
      <c r="H3323">
        <v>117</v>
      </c>
      <c r="I3323" t="s">
        <v>2479</v>
      </c>
      <c r="J3323">
        <v>0</v>
      </c>
      <c r="K3323">
        <v>18</v>
      </c>
      <c r="L3323">
        <v>18</v>
      </c>
      <c r="Q3323">
        <v>0</v>
      </c>
      <c r="R3323">
        <v>0</v>
      </c>
      <c r="S3323">
        <v>18</v>
      </c>
      <c r="Y3323" t="s">
        <v>6612</v>
      </c>
      <c r="Z3323" t="s">
        <v>8592</v>
      </c>
      <c r="AA3323" t="s">
        <v>4620</v>
      </c>
      <c r="AB3323" t="s">
        <v>2497</v>
      </c>
      <c r="AC3323" t="s">
        <v>4201</v>
      </c>
      <c r="AD3323" s="249" t="str">
        <f>HYPERLINK("https://scontent.cdninstagram.com/t51.2885-15/s320x320/e35/21148960_113364579347089_8487044613155061760_n.jpg")</f>
        <v>https://scontent.cdninstagram.com/t51.2885-15/s320x320/e35/21148960_113364579347089_8487044613155061760_n.jpg</v>
      </c>
      <c r="AE3323" s="249" t="str">
        <f>HYPERLINK("https://scontent.cdninstagram.com/t51.2885-19/s150x150/20635188_109311796418036_6462664254095884288_a.jpg")</f>
        <v>https://scontent.cdninstagram.com/t51.2885-19/s150x150/20635188_109311796418036_6462664254095884288_a.jpg</v>
      </c>
    </row>
    <row r="3324" spans="1:31" ht="15" x14ac:dyDescent="0.25">
      <c r="A3324" t="s">
        <v>2474</v>
      </c>
      <c r="B3324" t="s">
        <v>19217</v>
      </c>
      <c r="C3324" s="221">
        <v>42975.571898148148</v>
      </c>
      <c r="D3324" t="s">
        <v>19218</v>
      </c>
      <c r="E3324" s="249" t="str">
        <f>HYPERLINK("https://www.instagram.com/p/BYWKXFandTY/")</f>
        <v>https://www.instagram.com/p/BYWKXFandTY/</v>
      </c>
      <c r="F3324" t="s">
        <v>19219</v>
      </c>
      <c r="G3324" t="s">
        <v>2478</v>
      </c>
      <c r="H3324">
        <v>2451</v>
      </c>
      <c r="I3324" t="s">
        <v>2479</v>
      </c>
      <c r="J3324">
        <v>3</v>
      </c>
      <c r="K3324">
        <v>63</v>
      </c>
      <c r="L3324">
        <v>66</v>
      </c>
      <c r="Q3324">
        <v>0</v>
      </c>
      <c r="R3324">
        <v>0</v>
      </c>
      <c r="S3324">
        <v>66</v>
      </c>
      <c r="Y3324" t="s">
        <v>3446</v>
      </c>
      <c r="Z3324" t="s">
        <v>19220</v>
      </c>
      <c r="AA3324" t="s">
        <v>19221</v>
      </c>
      <c r="AB3324" t="s">
        <v>19222</v>
      </c>
      <c r="AC3324" t="s">
        <v>19223</v>
      </c>
      <c r="AD3324" s="249" t="str">
        <f>HYPERLINK("https://scontent.cdninstagram.com/t51.2885-15/s320x320/e35/21147355_1125614304207151_3093368410176749568_n.jpg")</f>
        <v>https://scontent.cdninstagram.com/t51.2885-15/s320x320/e35/21147355_1125614304207151_3093368410176749568_n.jpg</v>
      </c>
      <c r="AE3324" s="249" t="str">
        <f>HYPERLINK("https://scontent.cdninstagram.com/t51.2885-19/s150x150/13722196_273850646324440_376019777_a.jpg")</f>
        <v>https://scontent.cdninstagram.com/t51.2885-19/s150x150/13722196_273850646324440_376019777_a.jpg</v>
      </c>
    </row>
    <row r="3325" spans="1:31" ht="15" x14ac:dyDescent="0.25">
      <c r="A3325" t="s">
        <v>2474</v>
      </c>
      <c r="B3325" t="s">
        <v>19224</v>
      </c>
      <c r="C3325" s="221">
        <v>42975.573761574073</v>
      </c>
      <c r="D3325" t="s">
        <v>19225</v>
      </c>
      <c r="E3325" s="249" t="str">
        <f>HYPERLINK("https://www.instagram.com/p/BYWKqx2h6eQ/")</f>
        <v>https://www.instagram.com/p/BYWKqx2h6eQ/</v>
      </c>
      <c r="F3325" t="s">
        <v>19226</v>
      </c>
      <c r="G3325" t="s">
        <v>2478</v>
      </c>
      <c r="H3325">
        <v>798</v>
      </c>
      <c r="I3325" t="s">
        <v>2479</v>
      </c>
      <c r="J3325">
        <v>12</v>
      </c>
      <c r="K3325">
        <v>66</v>
      </c>
      <c r="L3325">
        <v>78</v>
      </c>
      <c r="Q3325">
        <v>0</v>
      </c>
      <c r="R3325">
        <v>0</v>
      </c>
      <c r="S3325">
        <v>78</v>
      </c>
      <c r="Y3325" t="s">
        <v>19227</v>
      </c>
      <c r="Z3325" t="s">
        <v>19228</v>
      </c>
      <c r="AA3325" t="s">
        <v>2492</v>
      </c>
      <c r="AB3325" t="s">
        <v>3535</v>
      </c>
      <c r="AC3325" t="s">
        <v>6864</v>
      </c>
      <c r="AD3325" s="249" t="str">
        <f>HYPERLINK("https://scontent.cdninstagram.com/t51.2885-15/s320x320/e35/21107814_693793637488062_7160580887619305472_n.jpg")</f>
        <v>https://scontent.cdninstagram.com/t51.2885-15/s320x320/e35/21107814_693793637488062_7160580887619305472_n.jpg</v>
      </c>
      <c r="AE3325" s="249" t="str">
        <f>HYPERLINK("https://scontent.cdninstagram.com/t51.2885-19/s150x150/14482273_317066211987477_1219969483150458880_n.jpg")</f>
        <v>https://scontent.cdninstagram.com/t51.2885-19/s150x150/14482273_317066211987477_1219969483150458880_n.jpg</v>
      </c>
    </row>
    <row r="3326" spans="1:31" ht="15" x14ac:dyDescent="0.25">
      <c r="A3326" t="s">
        <v>2474</v>
      </c>
      <c r="B3326" t="s">
        <v>3565</v>
      </c>
      <c r="C3326" s="221">
        <v>42975.579050925924</v>
      </c>
      <c r="D3326" t="s">
        <v>19229</v>
      </c>
      <c r="E3326" s="249" t="str">
        <f>HYPERLINK("https://www.instagram.com/p/BYWLik1AL1P/")</f>
        <v>https://www.instagram.com/p/BYWLik1AL1P/</v>
      </c>
      <c r="F3326" t="s">
        <v>19230</v>
      </c>
      <c r="G3326" t="s">
        <v>2478</v>
      </c>
      <c r="H3326">
        <v>57557</v>
      </c>
      <c r="I3326" t="s">
        <v>2479</v>
      </c>
      <c r="J3326">
        <v>6</v>
      </c>
      <c r="K3326">
        <v>621</v>
      </c>
      <c r="L3326">
        <v>627</v>
      </c>
      <c r="Q3326">
        <v>0</v>
      </c>
      <c r="R3326">
        <v>0</v>
      </c>
      <c r="S3326">
        <v>627</v>
      </c>
      <c r="Y3326" t="s">
        <v>19231</v>
      </c>
      <c r="Z3326" t="s">
        <v>5706</v>
      </c>
      <c r="AA3326" t="s">
        <v>19232</v>
      </c>
      <c r="AB3326" t="s">
        <v>2497</v>
      </c>
      <c r="AC3326" t="s">
        <v>3627</v>
      </c>
      <c r="AD3326" s="249" t="str">
        <f>HYPERLINK("https://scontent.cdninstagram.com/t51.2885-15/s320x320/e35/21147450_123051871680727_2517646108780396544_n.jpg")</f>
        <v>https://scontent.cdninstagram.com/t51.2885-15/s320x320/e35/21147450_123051871680727_2517646108780396544_n.jpg</v>
      </c>
      <c r="AE3326" s="249" t="str">
        <f>HYPERLINK("https://scontent.cdninstagram.com/t51.2885-19/s150x150/10268950_1639938246262719_2023719557_a.jpg")</f>
        <v>https://scontent.cdninstagram.com/t51.2885-19/s150x150/10268950_1639938246262719_2023719557_a.jpg</v>
      </c>
    </row>
    <row r="3327" spans="1:31" ht="15" x14ac:dyDescent="0.25">
      <c r="A3327" t="s">
        <v>2474</v>
      </c>
      <c r="B3327" t="s">
        <v>19233</v>
      </c>
      <c r="C3327" s="221">
        <v>42975.58390046296</v>
      </c>
      <c r="D3327" t="s">
        <v>19234</v>
      </c>
      <c r="E3327" s="249" t="str">
        <f>HYPERLINK("https://www.instagram.com/p/BYWMVtyHZbj/")</f>
        <v>https://www.instagram.com/p/BYWMVtyHZbj/</v>
      </c>
      <c r="F3327" t="s">
        <v>19235</v>
      </c>
      <c r="G3327" t="s">
        <v>2478</v>
      </c>
      <c r="H3327">
        <v>488</v>
      </c>
      <c r="I3327" t="s">
        <v>2748</v>
      </c>
      <c r="J3327">
        <v>1</v>
      </c>
      <c r="K3327">
        <v>76</v>
      </c>
      <c r="L3327">
        <v>77</v>
      </c>
      <c r="Q3327">
        <v>0</v>
      </c>
      <c r="R3327">
        <v>0</v>
      </c>
      <c r="S3327">
        <v>77</v>
      </c>
      <c r="Y3327" t="s">
        <v>19236</v>
      </c>
      <c r="Z3327" t="s">
        <v>2497</v>
      </c>
      <c r="AA3327" t="s">
        <v>19237</v>
      </c>
      <c r="AB3327" t="s">
        <v>19238</v>
      </c>
      <c r="AD3327" s="249" t="str">
        <f>HYPERLINK("https://scontent.cdninstagram.com/t51.2885-15/e35/p320x320/21149734_126467201319027_8827354504312651776_n.jpg")</f>
        <v>https://scontent.cdninstagram.com/t51.2885-15/e35/p320x320/21149734_126467201319027_8827354504312651776_n.jpg</v>
      </c>
      <c r="AE3327" s="249" t="str">
        <f>HYPERLINK("https://scontent.cdninstagram.com/t51.2885-19/s150x150/18443473_1890266487896987_8084634769117151232_a.jpg")</f>
        <v>https://scontent.cdninstagram.com/t51.2885-19/s150x150/18443473_1890266487896987_8084634769117151232_a.jpg</v>
      </c>
    </row>
    <row r="3328" spans="1:31" ht="15" x14ac:dyDescent="0.25">
      <c r="A3328" t="s">
        <v>2474</v>
      </c>
      <c r="B3328" t="s">
        <v>19239</v>
      </c>
      <c r="C3328" s="221">
        <v>42975.587488425925</v>
      </c>
      <c r="D3328" t="s">
        <v>19240</v>
      </c>
      <c r="E3328" s="249" t="str">
        <f>HYPERLINK("https://www.instagram.com/p/BYWM7fHlua_/")</f>
        <v>https://www.instagram.com/p/BYWM7fHlua_/</v>
      </c>
      <c r="F3328" t="s">
        <v>19241</v>
      </c>
      <c r="G3328" t="s">
        <v>2478</v>
      </c>
      <c r="H3328">
        <v>129</v>
      </c>
      <c r="I3328" t="s">
        <v>2542</v>
      </c>
      <c r="J3328">
        <v>0</v>
      </c>
      <c r="K3328">
        <v>15</v>
      </c>
      <c r="L3328">
        <v>15</v>
      </c>
      <c r="Q3328">
        <v>0</v>
      </c>
      <c r="R3328">
        <v>0</v>
      </c>
      <c r="S3328">
        <v>15</v>
      </c>
      <c r="Y3328" t="s">
        <v>19242</v>
      </c>
      <c r="Z3328" t="s">
        <v>2497</v>
      </c>
      <c r="AD3328" s="249" t="str">
        <f>HYPERLINK("https://scontent.cdninstagram.com/t51.2885-15/s320x320/e35/21107356_1931966990424013_1129784945280024576_n.jpg")</f>
        <v>https://scontent.cdninstagram.com/t51.2885-15/s320x320/e35/21107356_1931966990424013_1129784945280024576_n.jpg</v>
      </c>
      <c r="AE3328" s="249" t="str">
        <f>HYPERLINK("https://scontent.cdninstagram.com/t51.2885-19/s150x150/19931884_124009571537102_2819175185444241408_a.jpg")</f>
        <v>https://scontent.cdninstagram.com/t51.2885-19/s150x150/19931884_124009571537102_2819175185444241408_a.jpg</v>
      </c>
    </row>
    <row r="3329" spans="1:31" ht="15" x14ac:dyDescent="0.25">
      <c r="A3329" t="s">
        <v>2474</v>
      </c>
      <c r="B3329" t="s">
        <v>19243</v>
      </c>
      <c r="C3329" s="221">
        <v>42975.589201388888</v>
      </c>
      <c r="D3329" t="s">
        <v>19244</v>
      </c>
      <c r="E3329" s="249" t="str">
        <f>HYPERLINK("https://www.instagram.com/p/BYWNNnYnKVp/")</f>
        <v>https://www.instagram.com/p/BYWNNnYnKVp/</v>
      </c>
      <c r="F3329" t="s">
        <v>19245</v>
      </c>
      <c r="G3329" t="s">
        <v>2478</v>
      </c>
      <c r="H3329">
        <v>2246</v>
      </c>
      <c r="I3329" t="s">
        <v>2479</v>
      </c>
      <c r="J3329">
        <v>8</v>
      </c>
      <c r="K3329">
        <v>258</v>
      </c>
      <c r="L3329">
        <v>266</v>
      </c>
      <c r="Q3329">
        <v>0</v>
      </c>
      <c r="R3329">
        <v>0</v>
      </c>
      <c r="S3329">
        <v>266</v>
      </c>
      <c r="T3329" t="s">
        <v>19246</v>
      </c>
      <c r="V3329" t="s">
        <v>2164</v>
      </c>
      <c r="W3329">
        <v>40.786071652910003</v>
      </c>
      <c r="X3329">
        <v>24.715939164161998</v>
      </c>
      <c r="Y3329" t="s">
        <v>2529</v>
      </c>
      <c r="Z3329" t="s">
        <v>19247</v>
      </c>
      <c r="AA3329" t="s">
        <v>9529</v>
      </c>
      <c r="AB3329" t="s">
        <v>4374</v>
      </c>
      <c r="AC3329" t="s">
        <v>3549</v>
      </c>
      <c r="AD3329" s="249" t="str">
        <f>HYPERLINK("https://scontent.cdninstagram.com/t51.2885-15/e35/p320x320/21147758_159927117895534_4950542088925085696_n.jpg")</f>
        <v>https://scontent.cdninstagram.com/t51.2885-15/e35/p320x320/21147758_159927117895534_4950542088925085696_n.jpg</v>
      </c>
      <c r="AE3329" s="249" t="str">
        <f>HYPERLINK("https://scontent.cdninstagram.com/t51.2885-19/10311063_1559942077590772_1739443501_a.jpg")</f>
        <v>https://scontent.cdninstagram.com/t51.2885-19/10311063_1559942077590772_1739443501_a.jpg</v>
      </c>
    </row>
    <row r="3330" spans="1:31" ht="15" x14ac:dyDescent="0.25">
      <c r="A3330" t="s">
        <v>2474</v>
      </c>
      <c r="B3330" t="s">
        <v>17629</v>
      </c>
      <c r="C3330" s="221">
        <v>42975.589756944442</v>
      </c>
      <c r="D3330" t="s">
        <v>19248</v>
      </c>
      <c r="E3330" s="249" t="str">
        <f>HYPERLINK("https://www.instagram.com/p/BYWNTg-HuMR/")</f>
        <v>https://www.instagram.com/p/BYWNTg-HuMR/</v>
      </c>
      <c r="F3330" t="s">
        <v>19249</v>
      </c>
      <c r="G3330" t="s">
        <v>2478</v>
      </c>
      <c r="H3330">
        <v>98</v>
      </c>
      <c r="I3330" t="s">
        <v>2479</v>
      </c>
      <c r="J3330">
        <v>0</v>
      </c>
      <c r="K3330">
        <v>61</v>
      </c>
      <c r="L3330">
        <v>61</v>
      </c>
      <c r="Q3330">
        <v>0</v>
      </c>
      <c r="R3330">
        <v>0</v>
      </c>
      <c r="S3330">
        <v>61</v>
      </c>
      <c r="T3330" t="s">
        <v>19250</v>
      </c>
      <c r="V3330" t="s">
        <v>2222</v>
      </c>
      <c r="W3330">
        <v>52.492519999999999</v>
      </c>
      <c r="X3330">
        <v>6.2017800000000003</v>
      </c>
      <c r="Y3330" t="s">
        <v>17634</v>
      </c>
      <c r="Z3330" t="s">
        <v>5090</v>
      </c>
      <c r="AA3330" t="s">
        <v>19251</v>
      </c>
      <c r="AB3330" t="s">
        <v>6045</v>
      </c>
      <c r="AC3330" t="s">
        <v>2497</v>
      </c>
      <c r="AD3330" s="249" t="str">
        <f>HYPERLINK("https://scontent.cdninstagram.com/t51.2885-15/s320x320/e35/21147730_1536800979700175_7372126014270341120_n.jpg")</f>
        <v>https://scontent.cdninstagram.com/t51.2885-15/s320x320/e35/21147730_1536800979700175_7372126014270341120_n.jpg</v>
      </c>
      <c r="AE3330" s="249" t="str">
        <f>HYPERLINK("https://scontent.cdninstagram.com/t51.2885-19/10932067_399475526894827_1371966575_a.jpg")</f>
        <v>https://scontent.cdninstagram.com/t51.2885-19/10932067_399475526894827_1371966575_a.jpg</v>
      </c>
    </row>
    <row r="3331" spans="1:31" ht="15" x14ac:dyDescent="0.25">
      <c r="A3331" t="s">
        <v>2474</v>
      </c>
      <c r="B3331" t="s">
        <v>3133</v>
      </c>
      <c r="C3331" s="221">
        <v>42975.589918981481</v>
      </c>
      <c r="D3331" t="s">
        <v>19252</v>
      </c>
      <c r="E3331" s="249" t="str">
        <f>HYPERLINK("https://www.instagram.com/p/BYWNVKHgNs7/")</f>
        <v>https://www.instagram.com/p/BYWNVKHgNs7/</v>
      </c>
      <c r="F3331" t="s">
        <v>19253</v>
      </c>
      <c r="G3331" t="s">
        <v>2478</v>
      </c>
      <c r="H3331">
        <v>333</v>
      </c>
      <c r="I3331" t="s">
        <v>2479</v>
      </c>
      <c r="J3331">
        <v>0</v>
      </c>
      <c r="K3331">
        <v>54</v>
      </c>
      <c r="L3331">
        <v>54</v>
      </c>
      <c r="Q3331">
        <v>0</v>
      </c>
      <c r="R3331">
        <v>0</v>
      </c>
      <c r="S3331">
        <v>54</v>
      </c>
      <c r="Y3331" t="s">
        <v>19254</v>
      </c>
      <c r="Z3331" t="s">
        <v>2778</v>
      </c>
      <c r="AA3331" t="s">
        <v>4582</v>
      </c>
      <c r="AB3331" t="s">
        <v>2730</v>
      </c>
      <c r="AC3331" t="s">
        <v>2497</v>
      </c>
      <c r="AD3331" s="249" t="str">
        <f>HYPERLINK("https://scontent.cdninstagram.com/t51.2885-15/s320x320/e35/21108040_166066443943268_5624227002295779328_n.jpg")</f>
        <v>https://scontent.cdninstagram.com/t51.2885-15/s320x320/e35/21108040_166066443943268_5624227002295779328_n.jpg</v>
      </c>
      <c r="AE3331" s="249" t="str">
        <f>HYPERLINK("https://scontent.cdninstagram.com/t51.2885-19/s150x150/21294933_140781739774378_8954867157003403264_a.jpg")</f>
        <v>https://scontent.cdninstagram.com/t51.2885-19/s150x150/21294933_140781739774378_8954867157003403264_a.jpg</v>
      </c>
    </row>
    <row r="3332" spans="1:31" ht="15" x14ac:dyDescent="0.25">
      <c r="A3332" t="s">
        <v>2474</v>
      </c>
      <c r="B3332" t="s">
        <v>19255</v>
      </c>
      <c r="C3332" s="221">
        <v>42975.595671296294</v>
      </c>
      <c r="D3332" t="s">
        <v>19256</v>
      </c>
      <c r="E3332" s="249" t="str">
        <f>HYPERLINK("https://www.instagram.com/p/BYWOR38AFgP/")</f>
        <v>https://www.instagram.com/p/BYWOR38AFgP/</v>
      </c>
      <c r="F3332" t="s">
        <v>19257</v>
      </c>
      <c r="G3332" t="s">
        <v>2478</v>
      </c>
      <c r="H3332">
        <v>416</v>
      </c>
      <c r="I3332" t="s">
        <v>2479</v>
      </c>
      <c r="J3332">
        <v>2</v>
      </c>
      <c r="K3332">
        <v>5</v>
      </c>
      <c r="L3332">
        <v>7</v>
      </c>
      <c r="Q3332">
        <v>0</v>
      </c>
      <c r="R3332">
        <v>0</v>
      </c>
      <c r="S3332">
        <v>7</v>
      </c>
      <c r="Y3332" t="s">
        <v>19231</v>
      </c>
      <c r="Z3332" t="s">
        <v>5706</v>
      </c>
      <c r="AA3332" t="s">
        <v>19232</v>
      </c>
      <c r="AB3332" t="s">
        <v>2497</v>
      </c>
      <c r="AC3332" t="s">
        <v>3627</v>
      </c>
      <c r="AD3332" s="249" t="str">
        <f>HYPERLINK("https://scontent.cdninstagram.com/t51.2885-15/s320x320/e35/21224469_1906395623014205_1697959881035743232_n.jpg")</f>
        <v>https://scontent.cdninstagram.com/t51.2885-15/s320x320/e35/21224469_1906395623014205_1697959881035743232_n.jpg</v>
      </c>
      <c r="AE3332" s="249" t="str">
        <f>HYPERLINK("https://scontent.cdninstagram.com/t51.2885-19/s150x150/20986888_498076587194843_8142688489142484992_a.jpg")</f>
        <v>https://scontent.cdninstagram.com/t51.2885-19/s150x150/20986888_498076587194843_8142688489142484992_a.jpg</v>
      </c>
    </row>
    <row r="3333" spans="1:31" ht="15" x14ac:dyDescent="0.25">
      <c r="A3333" t="s">
        <v>2474</v>
      </c>
      <c r="B3333" t="s">
        <v>19258</v>
      </c>
      <c r="C3333" s="221">
        <v>42975.598194444443</v>
      </c>
      <c r="D3333" t="s">
        <v>19259</v>
      </c>
      <c r="E3333" s="249" t="str">
        <f>HYPERLINK("https://www.instagram.com/p/BYWOsgRDdLc/")</f>
        <v>https://www.instagram.com/p/BYWOsgRDdLc/</v>
      </c>
      <c r="F3333" t="s">
        <v>19260</v>
      </c>
      <c r="G3333" t="s">
        <v>2478</v>
      </c>
      <c r="H3333">
        <v>261</v>
      </c>
      <c r="I3333" t="s">
        <v>2479</v>
      </c>
      <c r="J3333">
        <v>2</v>
      </c>
      <c r="K3333">
        <v>15</v>
      </c>
      <c r="L3333">
        <v>17</v>
      </c>
      <c r="Q3333">
        <v>0</v>
      </c>
      <c r="R3333">
        <v>0</v>
      </c>
      <c r="S3333">
        <v>17</v>
      </c>
      <c r="Y3333" t="s">
        <v>2497</v>
      </c>
      <c r="AD3333" s="249" t="str">
        <f>HYPERLINK("https://scontent.cdninstagram.com/t51.2885-15/s320x320/e35/21147279_271102396740143_5547270517020426240_n.jpg")</f>
        <v>https://scontent.cdninstagram.com/t51.2885-15/s320x320/e35/21147279_271102396740143_5547270517020426240_n.jpg</v>
      </c>
      <c r="AE3333" s="249" t="str">
        <f>HYPERLINK("https://scontent.cdninstagram.com/t51.2885-19/s150x150/20986623_113406799329463_3756905892079992832_a.jpg")</f>
        <v>https://scontent.cdninstagram.com/t51.2885-19/s150x150/20986623_113406799329463_3756905892079992832_a.jpg</v>
      </c>
    </row>
    <row r="3334" spans="1:31" ht="15" x14ac:dyDescent="0.25">
      <c r="A3334" t="s">
        <v>2474</v>
      </c>
      <c r="B3334" t="s">
        <v>15182</v>
      </c>
      <c r="C3334" s="221">
        <v>42975.600335648145</v>
      </c>
      <c r="D3334" t="s">
        <v>19261</v>
      </c>
      <c r="E3334" s="249" t="str">
        <f>HYPERLINK("https://www.instagram.com/p/BYWPDAegZwZ/")</f>
        <v>https://www.instagram.com/p/BYWPDAegZwZ/</v>
      </c>
      <c r="F3334" t="s">
        <v>19262</v>
      </c>
      <c r="G3334" t="s">
        <v>2478</v>
      </c>
      <c r="H3334">
        <v>736</v>
      </c>
      <c r="I3334" t="s">
        <v>2479</v>
      </c>
      <c r="J3334">
        <v>8</v>
      </c>
      <c r="K3334">
        <v>128</v>
      </c>
      <c r="L3334">
        <v>136</v>
      </c>
      <c r="Q3334">
        <v>0</v>
      </c>
      <c r="R3334">
        <v>0</v>
      </c>
      <c r="S3334">
        <v>136</v>
      </c>
      <c r="Y3334" t="s">
        <v>19263</v>
      </c>
      <c r="Z3334" t="s">
        <v>16987</v>
      </c>
      <c r="AA3334" t="s">
        <v>2778</v>
      </c>
      <c r="AB3334" t="s">
        <v>2497</v>
      </c>
      <c r="AC3334" t="s">
        <v>2730</v>
      </c>
      <c r="AD3334" s="249" t="str">
        <f>HYPERLINK("https://scontent.cdninstagram.com/t51.2885-15/s320x320/e15/21107564_117431508980115_710763447641440256_n.jpg")</f>
        <v>https://scontent.cdninstagram.com/t51.2885-15/s320x320/e15/21107564_117431508980115_710763447641440256_n.jpg</v>
      </c>
      <c r="AE3334" s="249" t="str">
        <f>HYPERLINK("https://scontent.cdninstagram.com/t51.2885-19/s150x150/18513619_1254348571345625_691913201251516416_a.jpg")</f>
        <v>https://scontent.cdninstagram.com/t51.2885-19/s150x150/18513619_1254348571345625_691913201251516416_a.jpg</v>
      </c>
    </row>
    <row r="3335" spans="1:31" ht="15" x14ac:dyDescent="0.25">
      <c r="A3335" t="s">
        <v>2474</v>
      </c>
      <c r="B3335" t="s">
        <v>19264</v>
      </c>
      <c r="C3335" s="221">
        <v>42975.60261574074</v>
      </c>
      <c r="D3335" t="s">
        <v>19265</v>
      </c>
      <c r="E3335" s="249" t="str">
        <f>HYPERLINK("https://www.instagram.com/p/BYWPbFnhvDk/")</f>
        <v>https://www.instagram.com/p/BYWPbFnhvDk/</v>
      </c>
      <c r="F3335" t="s">
        <v>19266</v>
      </c>
      <c r="G3335" t="s">
        <v>2478</v>
      </c>
      <c r="H3335">
        <v>1708</v>
      </c>
      <c r="I3335" t="s">
        <v>2479</v>
      </c>
      <c r="J3335">
        <v>0</v>
      </c>
      <c r="K3335">
        <v>8</v>
      </c>
      <c r="L3335">
        <v>8</v>
      </c>
      <c r="Q3335">
        <v>0</v>
      </c>
      <c r="R3335">
        <v>0</v>
      </c>
      <c r="S3335">
        <v>8</v>
      </c>
      <c r="Y3335" t="s">
        <v>4779</v>
      </c>
      <c r="Z3335" t="s">
        <v>2497</v>
      </c>
      <c r="AA3335" t="s">
        <v>2513</v>
      </c>
      <c r="AB3335" t="s">
        <v>10005</v>
      </c>
      <c r="AC3335" t="s">
        <v>3982</v>
      </c>
      <c r="AD3335" s="249" t="str">
        <f>HYPERLINK("https://scontent.cdninstagram.com/t51.2885-15/s320x320/e35/21107352_1937903569756946_4361112313504202752_n.jpg")</f>
        <v>https://scontent.cdninstagram.com/t51.2885-15/s320x320/e35/21107352_1937903569756946_4361112313504202752_n.jpg</v>
      </c>
      <c r="AE3335" s="249" t="str">
        <f>HYPERLINK("https://scontent.cdninstagram.com/t51.2885-19/1737556_550347138444211_1201081886_a.jpg")</f>
        <v>https://scontent.cdninstagram.com/t51.2885-19/1737556_550347138444211_1201081886_a.jpg</v>
      </c>
    </row>
    <row r="3336" spans="1:31" ht="15" x14ac:dyDescent="0.25">
      <c r="A3336" t="s">
        <v>2474</v>
      </c>
      <c r="B3336" t="s">
        <v>5225</v>
      </c>
      <c r="C3336" s="221">
        <v>42975.605902777781</v>
      </c>
      <c r="D3336" t="s">
        <v>19267</v>
      </c>
      <c r="E3336" s="249" t="str">
        <f>HYPERLINK("https://www.instagram.com/p/BYWP9yYA5Au/")</f>
        <v>https://www.instagram.com/p/BYWP9yYA5Au/</v>
      </c>
      <c r="F3336" t="s">
        <v>19268</v>
      </c>
      <c r="G3336" t="s">
        <v>2488</v>
      </c>
      <c r="H3336">
        <v>67</v>
      </c>
      <c r="I3336" t="s">
        <v>2479</v>
      </c>
      <c r="J3336">
        <v>0</v>
      </c>
      <c r="K3336">
        <v>26</v>
      </c>
      <c r="L3336">
        <v>26</v>
      </c>
      <c r="Q3336">
        <v>0</v>
      </c>
      <c r="R3336">
        <v>0</v>
      </c>
      <c r="S3336">
        <v>26</v>
      </c>
      <c r="T3336" t="s">
        <v>5228</v>
      </c>
      <c r="V3336" t="s">
        <v>2154</v>
      </c>
      <c r="W3336">
        <v>47.498634698221998</v>
      </c>
      <c r="X3336">
        <v>-0.50784128552246999</v>
      </c>
      <c r="Y3336" t="s">
        <v>5232</v>
      </c>
      <c r="Z3336" t="s">
        <v>18419</v>
      </c>
      <c r="AA3336" t="s">
        <v>2513</v>
      </c>
      <c r="AB3336" t="s">
        <v>2497</v>
      </c>
      <c r="AC3336" t="s">
        <v>18421</v>
      </c>
      <c r="AD3336" s="249" t="str">
        <f>HYPERLINK("https://scontent.cdninstagram.com/t51.2885-15/s320x320/e35/21147417_205020820035054_3417962182774620160_n.jpg")</f>
        <v>https://scontent.cdninstagram.com/t51.2885-15/s320x320/e35/21147417_205020820035054_3417962182774620160_n.jpg</v>
      </c>
      <c r="AE3336" s="249" t="str">
        <f>HYPERLINK("https://scontent.cdninstagram.com/t51.2885-19/s150x150/18949503_1122155304550657_4049188449616396288_a.jpg")</f>
        <v>https://scontent.cdninstagram.com/t51.2885-19/s150x150/18949503_1122155304550657_4049188449616396288_a.jpg</v>
      </c>
    </row>
    <row r="3337" spans="1:31" ht="15" x14ac:dyDescent="0.25">
      <c r="A3337" t="s">
        <v>2474</v>
      </c>
      <c r="B3337" t="s">
        <v>10022</v>
      </c>
      <c r="C3337" s="221">
        <v>42975.608634259261</v>
      </c>
      <c r="D3337" t="s">
        <v>19269</v>
      </c>
      <c r="E3337" s="249" t="str">
        <f>HYPERLINK("https://www.instagram.com/p/BYWQalanxYv/")</f>
        <v>https://www.instagram.com/p/BYWQalanxYv/</v>
      </c>
      <c r="F3337" t="s">
        <v>19270</v>
      </c>
      <c r="G3337" t="s">
        <v>2478</v>
      </c>
      <c r="H3337">
        <v>63</v>
      </c>
      <c r="I3337" t="s">
        <v>2582</v>
      </c>
      <c r="J3337">
        <v>2</v>
      </c>
      <c r="K3337">
        <v>39</v>
      </c>
      <c r="L3337">
        <v>41</v>
      </c>
      <c r="Q3337">
        <v>0</v>
      </c>
      <c r="R3337">
        <v>0</v>
      </c>
      <c r="S3337">
        <v>41</v>
      </c>
      <c r="T3337" t="s">
        <v>19271</v>
      </c>
      <c r="V3337" t="s">
        <v>2110</v>
      </c>
      <c r="W3337">
        <v>50.85</v>
      </c>
      <c r="X3337">
        <v>4.3499999999999996</v>
      </c>
      <c r="Y3337" t="s">
        <v>11948</v>
      </c>
      <c r="Z3337" t="s">
        <v>2497</v>
      </c>
      <c r="AA3337" t="s">
        <v>3137</v>
      </c>
      <c r="AB3337" t="s">
        <v>3145</v>
      </c>
      <c r="AC3337" t="s">
        <v>19272</v>
      </c>
      <c r="AD3337" s="249" t="str">
        <f>HYPERLINK("https://scontent.cdninstagram.com/t51.2885-15/e35/p320x320/21227091_1901005723486819_956828639494668288_n.jpg")</f>
        <v>https://scontent.cdninstagram.com/t51.2885-15/e35/p320x320/21227091_1901005723486819_956828639494668288_n.jpg</v>
      </c>
      <c r="AE3337" s="249" t="str">
        <f>HYPERLINK("https://scontent.cdninstagram.com/t51.2885-19/s150x150/20634943_1969333370009211_3070590184266399744_a.jpg")</f>
        <v>https://scontent.cdninstagram.com/t51.2885-19/s150x150/20634943_1969333370009211_3070590184266399744_a.jpg</v>
      </c>
    </row>
    <row r="3338" spans="1:31" ht="15" x14ac:dyDescent="0.25">
      <c r="A3338" t="s">
        <v>2474</v>
      </c>
      <c r="B3338" t="s">
        <v>19273</v>
      </c>
      <c r="C3338" s="221">
        <v>42975.609236111108</v>
      </c>
      <c r="D3338" t="s">
        <v>19274</v>
      </c>
      <c r="E3338" s="249" t="str">
        <f>HYPERLINK("https://www.instagram.com/p/BYWQg9BBr1S/")</f>
        <v>https://www.instagram.com/p/BYWQg9BBr1S/</v>
      </c>
      <c r="F3338" t="s">
        <v>19275</v>
      </c>
      <c r="G3338" t="s">
        <v>2488</v>
      </c>
      <c r="H3338">
        <v>65</v>
      </c>
      <c r="I3338" t="s">
        <v>2479</v>
      </c>
      <c r="J3338">
        <v>2</v>
      </c>
      <c r="K3338">
        <v>27</v>
      </c>
      <c r="L3338">
        <v>29</v>
      </c>
      <c r="Q3338">
        <v>0</v>
      </c>
      <c r="R3338">
        <v>0</v>
      </c>
      <c r="S3338">
        <v>29</v>
      </c>
      <c r="Y3338" t="s">
        <v>19276</v>
      </c>
      <c r="Z3338" t="s">
        <v>19277</v>
      </c>
      <c r="AA3338" t="s">
        <v>19278</v>
      </c>
      <c r="AB3338" t="s">
        <v>19279</v>
      </c>
      <c r="AC3338" t="s">
        <v>19280</v>
      </c>
      <c r="AD3338" s="249" t="str">
        <f>HYPERLINK("https://scontent.cdninstagram.com/t51.2885-15/s320x320/e35/21224233_126909377937297_6988460734657069056_n.jpg")</f>
        <v>https://scontent.cdninstagram.com/t51.2885-15/s320x320/e35/21224233_126909377937297_6988460734657069056_n.jpg</v>
      </c>
      <c r="AE3338" s="249" t="str">
        <f>HYPERLINK("https://scontent.cdninstagram.com/t51.2885-19/s150x150/20905393_137566083516765_9012208956134653952_a.jpg")</f>
        <v>https://scontent.cdninstagram.com/t51.2885-19/s150x150/20905393_137566083516765_9012208956134653952_a.jpg</v>
      </c>
    </row>
    <row r="3339" spans="1:31" ht="15" x14ac:dyDescent="0.25">
      <c r="A3339" t="s">
        <v>2474</v>
      </c>
      <c r="B3339" t="s">
        <v>7520</v>
      </c>
      <c r="C3339" s="221">
        <v>42975.60974537037</v>
      </c>
      <c r="D3339" t="s">
        <v>19281</v>
      </c>
      <c r="E3339" s="249" t="str">
        <f>HYPERLINK("https://www.instagram.com/p/BYWQmOtDVga/")</f>
        <v>https://www.instagram.com/p/BYWQmOtDVga/</v>
      </c>
      <c r="F3339" t="s">
        <v>19282</v>
      </c>
      <c r="G3339" t="s">
        <v>2478</v>
      </c>
      <c r="H3339">
        <v>54602</v>
      </c>
      <c r="I3339" t="s">
        <v>2479</v>
      </c>
      <c r="J3339">
        <v>34</v>
      </c>
      <c r="K3339">
        <v>1239</v>
      </c>
      <c r="L3339">
        <v>1273</v>
      </c>
      <c r="Q3339">
        <v>0</v>
      </c>
      <c r="R3339">
        <v>0</v>
      </c>
      <c r="S3339">
        <v>1273</v>
      </c>
      <c r="Y3339" t="s">
        <v>19283</v>
      </c>
      <c r="Z3339" t="s">
        <v>19284</v>
      </c>
      <c r="AA3339" t="s">
        <v>8894</v>
      </c>
      <c r="AB3339" t="s">
        <v>2497</v>
      </c>
      <c r="AC3339" t="s">
        <v>19285</v>
      </c>
      <c r="AD3339" s="249" t="str">
        <f>HYPERLINK("https://scontent.cdninstagram.com/t51.2885-15/s320x320/e35/21224763_272895583210348_545590013438459904_n.jpg")</f>
        <v>https://scontent.cdninstagram.com/t51.2885-15/s320x320/e35/21224763_272895583210348_545590013438459904_n.jpg</v>
      </c>
      <c r="AE3339" s="249" t="str">
        <f>HYPERLINK("https://scontent.cdninstagram.com/t51.2885-19/s150x150/18298688_1494068440643997_308683869408722944_a.jpg")</f>
        <v>https://scontent.cdninstagram.com/t51.2885-19/s150x150/18298688_1494068440643997_308683869408722944_a.jpg</v>
      </c>
    </row>
    <row r="3340" spans="1:31" ht="15" x14ac:dyDescent="0.25">
      <c r="A3340" t="s">
        <v>2474</v>
      </c>
      <c r="B3340" t="s">
        <v>4889</v>
      </c>
      <c r="C3340" s="221">
        <v>42975.60974537037</v>
      </c>
      <c r="D3340" t="s">
        <v>19286</v>
      </c>
      <c r="E3340" s="249" t="str">
        <f>HYPERLINK("https://www.instagram.com/p/BYWQmS1jFrz/")</f>
        <v>https://www.instagram.com/p/BYWQmS1jFrz/</v>
      </c>
      <c r="F3340" t="s">
        <v>19287</v>
      </c>
      <c r="G3340" t="s">
        <v>2478</v>
      </c>
      <c r="H3340">
        <v>61169</v>
      </c>
      <c r="I3340" t="s">
        <v>2479</v>
      </c>
      <c r="J3340">
        <v>46</v>
      </c>
      <c r="K3340">
        <v>2029</v>
      </c>
      <c r="L3340">
        <v>2075</v>
      </c>
      <c r="Q3340">
        <v>0</v>
      </c>
      <c r="R3340">
        <v>0</v>
      </c>
      <c r="S3340">
        <v>2075</v>
      </c>
      <c r="Y3340" t="s">
        <v>19288</v>
      </c>
      <c r="Z3340" t="s">
        <v>7173</v>
      </c>
      <c r="AA3340" t="s">
        <v>19289</v>
      </c>
      <c r="AB3340" t="s">
        <v>19290</v>
      </c>
      <c r="AC3340" t="s">
        <v>2497</v>
      </c>
      <c r="AD3340" s="249" t="str">
        <f>HYPERLINK("https://scontent.cdninstagram.com/t51.2885-15/e35/p320x320/21107681_1889145151338311_7090800931918315520_n.jpg")</f>
        <v>https://scontent.cdninstagram.com/t51.2885-15/e35/p320x320/21107681_1889145151338311_7090800931918315520_n.jpg</v>
      </c>
      <c r="AE3340" s="249" t="str">
        <f>HYPERLINK("https://scontent.cdninstagram.com/t51.2885-19/s150x150/18161358_1440804125941868_3504733114997932032_a.jpg")</f>
        <v>https://scontent.cdninstagram.com/t51.2885-19/s150x150/18161358_1440804125941868_3504733114997932032_a.jpg</v>
      </c>
    </row>
    <row r="3341" spans="1:31" ht="15" x14ac:dyDescent="0.25">
      <c r="A3341" t="s">
        <v>2474</v>
      </c>
      <c r="B3341" t="s">
        <v>3393</v>
      </c>
      <c r="C3341" s="221">
        <v>42975.614374999997</v>
      </c>
      <c r="D3341" t="s">
        <v>19291</v>
      </c>
      <c r="E3341" s="249" t="str">
        <f>HYPERLINK("https://www.instagram.com/p/BYWRXFRn16h/")</f>
        <v>https://www.instagram.com/p/BYWRXFRn16h/</v>
      </c>
      <c r="F3341" t="s">
        <v>19292</v>
      </c>
      <c r="G3341" t="s">
        <v>2478</v>
      </c>
      <c r="H3341">
        <v>18501</v>
      </c>
      <c r="I3341" t="s">
        <v>2479</v>
      </c>
      <c r="J3341">
        <v>6</v>
      </c>
      <c r="K3341">
        <v>557</v>
      </c>
      <c r="L3341">
        <v>563</v>
      </c>
      <c r="Q3341">
        <v>0</v>
      </c>
      <c r="R3341">
        <v>0</v>
      </c>
      <c r="S3341">
        <v>563</v>
      </c>
      <c r="AD3341" s="249" t="str">
        <f>HYPERLINK("https://scontent.cdninstagram.com/t51.2885-15/s320x320/e35/21042755_164397244125934_734555779754885120_n.jpg")</f>
        <v>https://scontent.cdninstagram.com/t51.2885-15/s320x320/e35/21042755_164397244125934_734555779754885120_n.jpg</v>
      </c>
      <c r="AE3341" s="249" t="str">
        <f>HYPERLINK("https://scontent.cdninstagram.com/t51.2885-19/s150x150/20969318_163506604224066_8451668608215416832_n.jpg")</f>
        <v>https://scontent.cdninstagram.com/t51.2885-19/s150x150/20969318_163506604224066_8451668608215416832_n.jpg</v>
      </c>
    </row>
    <row r="3342" spans="1:31" ht="15" x14ac:dyDescent="0.25">
      <c r="A3342" t="s">
        <v>2474</v>
      </c>
      <c r="B3342" t="s">
        <v>19293</v>
      </c>
      <c r="C3342" s="221">
        <v>42975.618518518517</v>
      </c>
      <c r="D3342" t="s">
        <v>19294</v>
      </c>
      <c r="E3342" s="249" t="str">
        <f>HYPERLINK("https://www.instagram.com/p/BYWSC2OhsGE/")</f>
        <v>https://www.instagram.com/p/BYWSC2OhsGE/</v>
      </c>
      <c r="F3342" t="s">
        <v>19295</v>
      </c>
      <c r="G3342" t="s">
        <v>2478</v>
      </c>
      <c r="H3342">
        <v>2405</v>
      </c>
      <c r="I3342" t="s">
        <v>2479</v>
      </c>
      <c r="J3342">
        <v>1</v>
      </c>
      <c r="K3342">
        <v>22</v>
      </c>
      <c r="L3342">
        <v>23</v>
      </c>
      <c r="Q3342">
        <v>0</v>
      </c>
      <c r="R3342">
        <v>0</v>
      </c>
      <c r="S3342">
        <v>23</v>
      </c>
      <c r="Y3342" t="s">
        <v>4701</v>
      </c>
      <c r="Z3342" t="s">
        <v>2513</v>
      </c>
      <c r="AA3342" t="s">
        <v>19296</v>
      </c>
      <c r="AB3342" t="s">
        <v>8587</v>
      </c>
      <c r="AC3342" t="s">
        <v>2554</v>
      </c>
      <c r="AD3342" s="249" t="str">
        <f>HYPERLINK("https://scontent.cdninstagram.com/t51.2885-15/s320x320/e35/21042658_112743936109112_8895459427063169024_n.jpg")</f>
        <v>https://scontent.cdninstagram.com/t51.2885-15/s320x320/e35/21042658_112743936109112_8895459427063169024_n.jpg</v>
      </c>
      <c r="AE3342" s="249" t="str">
        <f>HYPERLINK("https://scontent.cdninstagram.com/t51.2885-19/s150x150/14134529_181931635561873_1932789894_a.jpg")</f>
        <v>https://scontent.cdninstagram.com/t51.2885-19/s150x150/14134529_181931635561873_1932789894_a.jpg</v>
      </c>
    </row>
    <row r="3343" spans="1:31" ht="15" x14ac:dyDescent="0.25">
      <c r="A3343" t="s">
        <v>2474</v>
      </c>
      <c r="B3343" t="s">
        <v>2644</v>
      </c>
      <c r="C3343" s="221">
        <v>42975.619050925925</v>
      </c>
      <c r="D3343" t="s">
        <v>19297</v>
      </c>
      <c r="E3343" s="249" t="str">
        <f>HYPERLINK("https://www.instagram.com/p/BYWSIZqgxcM/")</f>
        <v>https://www.instagram.com/p/BYWSIZqgxcM/</v>
      </c>
      <c r="F3343" t="s">
        <v>19298</v>
      </c>
      <c r="G3343" t="s">
        <v>2478</v>
      </c>
      <c r="H3343">
        <v>1731</v>
      </c>
      <c r="I3343" t="s">
        <v>2479</v>
      </c>
      <c r="J3343">
        <v>0</v>
      </c>
      <c r="K3343">
        <v>90</v>
      </c>
      <c r="L3343">
        <v>90</v>
      </c>
      <c r="Q3343">
        <v>0</v>
      </c>
      <c r="R3343">
        <v>0</v>
      </c>
      <c r="S3343">
        <v>90</v>
      </c>
      <c r="T3343" t="s">
        <v>19299</v>
      </c>
      <c r="V3343" t="s">
        <v>2648</v>
      </c>
      <c r="W3343">
        <v>55.753555301173002</v>
      </c>
      <c r="X3343">
        <v>37.621298493295001</v>
      </c>
      <c r="Y3343" t="s">
        <v>7428</v>
      </c>
      <c r="Z3343" t="s">
        <v>13525</v>
      </c>
      <c r="AA3343" t="s">
        <v>12565</v>
      </c>
      <c r="AB3343" t="s">
        <v>5797</v>
      </c>
      <c r="AC3343" t="s">
        <v>2497</v>
      </c>
      <c r="AD3343" s="249" t="str">
        <f>HYPERLINK("https://scontent.cdninstagram.com/t51.2885-15/e35/p320x320/21149116_124217441560124_732703703957504000_n.jpg")</f>
        <v>https://scontent.cdninstagram.com/t51.2885-15/e35/p320x320/21149116_124217441560124_732703703957504000_n.jpg</v>
      </c>
      <c r="AE3343" s="249" t="str">
        <f>HYPERLINK("https://scontent.cdninstagram.com/t51.2885-19/11372086_1598451257062069_1320225693_a.jpg")</f>
        <v>https://scontent.cdninstagram.com/t51.2885-19/11372086_1598451257062069_1320225693_a.jpg</v>
      </c>
    </row>
    <row r="3344" spans="1:31" ht="15" x14ac:dyDescent="0.25">
      <c r="A3344" t="s">
        <v>2474</v>
      </c>
      <c r="B3344" t="s">
        <v>19300</v>
      </c>
      <c r="C3344" s="221">
        <v>42975.627164351848</v>
      </c>
      <c r="D3344" t="s">
        <v>19301</v>
      </c>
      <c r="E3344" s="249" t="str">
        <f>HYPERLINK("https://www.instagram.com/p/BYWTd9glP6u/")</f>
        <v>https://www.instagram.com/p/BYWTd9glP6u/</v>
      </c>
      <c r="F3344" t="s">
        <v>19302</v>
      </c>
      <c r="G3344" t="s">
        <v>2478</v>
      </c>
      <c r="H3344">
        <v>193</v>
      </c>
      <c r="I3344" t="s">
        <v>3273</v>
      </c>
      <c r="J3344">
        <v>1</v>
      </c>
      <c r="K3344">
        <v>27</v>
      </c>
      <c r="L3344">
        <v>28</v>
      </c>
      <c r="Q3344">
        <v>0</v>
      </c>
      <c r="R3344">
        <v>0</v>
      </c>
      <c r="S3344">
        <v>28</v>
      </c>
      <c r="T3344" t="s">
        <v>19303</v>
      </c>
      <c r="V3344" t="s">
        <v>2264</v>
      </c>
      <c r="W3344">
        <v>41.646433999999999</v>
      </c>
      <c r="X3344">
        <v>1.1393120000000001</v>
      </c>
      <c r="Y3344" t="s">
        <v>19304</v>
      </c>
      <c r="Z3344" t="s">
        <v>19305</v>
      </c>
      <c r="AA3344" t="s">
        <v>19306</v>
      </c>
      <c r="AB3344" t="s">
        <v>2497</v>
      </c>
      <c r="AC3344" t="s">
        <v>19307</v>
      </c>
      <c r="AD3344" s="249" t="str">
        <f>HYPERLINK("https://scontent.cdninstagram.com/t51.2885-15/s320x320/e35/21224431_419896531741347_4570045120786726912_n.jpg")</f>
        <v>https://scontent.cdninstagram.com/t51.2885-15/s320x320/e35/21224431_419896531741347_4570045120786726912_n.jpg</v>
      </c>
      <c r="AE3344" s="249" t="str">
        <f>HYPERLINK("https://scontent.cdninstagram.com/t51.2885-19/s150x150/13741498_548391318682744_1537612140_a.jpg")</f>
        <v>https://scontent.cdninstagram.com/t51.2885-19/s150x150/13741498_548391318682744_1537612140_a.jpg</v>
      </c>
    </row>
    <row r="3345" spans="1:31" ht="15" x14ac:dyDescent="0.25">
      <c r="A3345" t="s">
        <v>2474</v>
      </c>
      <c r="B3345" t="s">
        <v>19308</v>
      </c>
      <c r="C3345" s="221">
        <v>42975.631064814814</v>
      </c>
      <c r="D3345" t="s">
        <v>19309</v>
      </c>
      <c r="E3345" s="249" t="str">
        <f>HYPERLINK("https://www.instagram.com/p/BYWUHJzHiz4/")</f>
        <v>https://www.instagram.com/p/BYWUHJzHiz4/</v>
      </c>
      <c r="F3345" t="s">
        <v>19310</v>
      </c>
      <c r="G3345" t="s">
        <v>2478</v>
      </c>
      <c r="H3345">
        <v>328</v>
      </c>
      <c r="I3345" t="s">
        <v>2479</v>
      </c>
      <c r="J3345">
        <v>3</v>
      </c>
      <c r="K3345">
        <v>80</v>
      </c>
      <c r="L3345">
        <v>83</v>
      </c>
      <c r="Q3345">
        <v>0</v>
      </c>
      <c r="R3345">
        <v>0</v>
      </c>
      <c r="S3345">
        <v>83</v>
      </c>
      <c r="Y3345" t="s">
        <v>2574</v>
      </c>
      <c r="Z3345" t="s">
        <v>12732</v>
      </c>
      <c r="AA3345" t="s">
        <v>19311</v>
      </c>
      <c r="AB3345" t="s">
        <v>3110</v>
      </c>
      <c r="AC3345" t="s">
        <v>7036</v>
      </c>
      <c r="AD3345" s="249" t="str">
        <f>HYPERLINK("https://scontent.cdninstagram.com/t51.2885-15/e35/p320x320/21224971_1674037372667337_9151293595045593088_n.jpg")</f>
        <v>https://scontent.cdninstagram.com/t51.2885-15/e35/p320x320/21224971_1674037372667337_9151293595045593088_n.jpg</v>
      </c>
      <c r="AE3345" s="249" t="str">
        <f>HYPERLINK("https://scontent.cdninstagram.com/t51.2885-19/s150x150/20226147_112026909397366_6293439329997946880_a.jpg")</f>
        <v>https://scontent.cdninstagram.com/t51.2885-19/s150x150/20226147_112026909397366_6293439329997946880_a.jpg</v>
      </c>
    </row>
    <row r="3346" spans="1:31" ht="15" x14ac:dyDescent="0.25">
      <c r="A3346" t="s">
        <v>2474</v>
      </c>
      <c r="B3346" t="s">
        <v>16003</v>
      </c>
      <c r="C3346" s="221">
        <v>42975.634039351855</v>
      </c>
      <c r="D3346" t="s">
        <v>19312</v>
      </c>
      <c r="E3346" s="249" t="str">
        <f>HYPERLINK("https://www.instagram.com/p/BYWUmehhmqZ/")</f>
        <v>https://www.instagram.com/p/BYWUmehhmqZ/</v>
      </c>
      <c r="F3346" t="s">
        <v>19313</v>
      </c>
      <c r="G3346" t="s">
        <v>2478</v>
      </c>
      <c r="H3346">
        <v>1544</v>
      </c>
      <c r="I3346" t="s">
        <v>2479</v>
      </c>
      <c r="J3346">
        <v>0</v>
      </c>
      <c r="K3346">
        <v>18</v>
      </c>
      <c r="L3346">
        <v>18</v>
      </c>
      <c r="Q3346">
        <v>0</v>
      </c>
      <c r="R3346">
        <v>0</v>
      </c>
      <c r="S3346">
        <v>18</v>
      </c>
      <c r="Y3346" t="s">
        <v>4419</v>
      </c>
      <c r="Z3346" t="s">
        <v>7225</v>
      </c>
      <c r="AA3346" t="s">
        <v>6843</v>
      </c>
      <c r="AB3346" t="s">
        <v>3110</v>
      </c>
      <c r="AC3346" t="s">
        <v>2497</v>
      </c>
      <c r="AD3346" s="249" t="str">
        <f>HYPERLINK("https://scontent.cdninstagram.com/t51.2885-15/s320x320/e35/21107844_1606381979401711_5389539080025407488_n.jpg")</f>
        <v>https://scontent.cdninstagram.com/t51.2885-15/s320x320/e35/21107844_1606381979401711_5389539080025407488_n.jpg</v>
      </c>
      <c r="AE3346" s="249" t="str">
        <f>HYPERLINK("https://scontent.cdninstagram.com/t51.2885-19/s150x150/19932678_276990742770602_110295610564804608_a.jpg")</f>
        <v>https://scontent.cdninstagram.com/t51.2885-19/s150x150/19932678_276990742770602_110295610564804608_a.jpg</v>
      </c>
    </row>
    <row r="3347" spans="1:31" ht="15" x14ac:dyDescent="0.25">
      <c r="A3347" t="s">
        <v>2474</v>
      </c>
      <c r="B3347" t="s">
        <v>19314</v>
      </c>
      <c r="C3347" s="221">
        <v>42975.636076388888</v>
      </c>
      <c r="D3347" t="s">
        <v>19315</v>
      </c>
      <c r="E3347" s="249" t="str">
        <f>HYPERLINK("https://www.instagram.com/p/BYWU8C5FHcb/")</f>
        <v>https://www.instagram.com/p/BYWU8C5FHcb/</v>
      </c>
      <c r="F3347" t="s">
        <v>19316</v>
      </c>
      <c r="G3347" t="s">
        <v>2478</v>
      </c>
      <c r="H3347">
        <v>1526</v>
      </c>
      <c r="I3347" t="s">
        <v>3898</v>
      </c>
      <c r="J3347">
        <v>3</v>
      </c>
      <c r="K3347">
        <v>56</v>
      </c>
      <c r="L3347">
        <v>59</v>
      </c>
      <c r="Q3347">
        <v>0</v>
      </c>
      <c r="R3347">
        <v>0</v>
      </c>
      <c r="S3347">
        <v>59</v>
      </c>
      <c r="Y3347" t="s">
        <v>19317</v>
      </c>
      <c r="Z3347" t="s">
        <v>19318</v>
      </c>
      <c r="AA3347" t="s">
        <v>2497</v>
      </c>
      <c r="AB3347" t="s">
        <v>19319</v>
      </c>
      <c r="AC3347" t="s">
        <v>19320</v>
      </c>
      <c r="AD3347" s="249" t="str">
        <f>HYPERLINK("https://scontent.cdninstagram.com/t51.2885-15/s320x320/e35/21107284_260720984435881_4584709028193501184_n.jpg")</f>
        <v>https://scontent.cdninstagram.com/t51.2885-15/s320x320/e35/21107284_260720984435881_4584709028193501184_n.jpg</v>
      </c>
      <c r="AE3347" s="249" t="str">
        <f>HYPERLINK("https://scontent.cdninstagram.com/t51.2885-19/s150x150/20398167_454826771555101_6273667752993488896_a.jpg")</f>
        <v>https://scontent.cdninstagram.com/t51.2885-19/s150x150/20398167_454826771555101_6273667752993488896_a.jpg</v>
      </c>
    </row>
    <row r="3348" spans="1:31" ht="15" x14ac:dyDescent="0.25">
      <c r="A3348" t="s">
        <v>2474</v>
      </c>
      <c r="B3348" t="s">
        <v>19321</v>
      </c>
      <c r="C3348" s="221">
        <v>42975.637071759258</v>
      </c>
      <c r="D3348" t="s">
        <v>19322</v>
      </c>
      <c r="E3348" s="249" t="str">
        <f>HYPERLINK("https://www.instagram.com/p/BYWVGd9Ah07/")</f>
        <v>https://www.instagram.com/p/BYWVGd9Ah07/</v>
      </c>
      <c r="F3348" t="s">
        <v>19323</v>
      </c>
      <c r="G3348" t="s">
        <v>2478</v>
      </c>
      <c r="H3348">
        <v>3840</v>
      </c>
      <c r="I3348" t="s">
        <v>2479</v>
      </c>
      <c r="J3348">
        <v>0</v>
      </c>
      <c r="K3348">
        <v>84</v>
      </c>
      <c r="L3348">
        <v>84</v>
      </c>
      <c r="Q3348">
        <v>0</v>
      </c>
      <c r="R3348">
        <v>0</v>
      </c>
      <c r="S3348">
        <v>84</v>
      </c>
      <c r="Y3348" t="s">
        <v>2497</v>
      </c>
      <c r="Z3348" t="s">
        <v>5808</v>
      </c>
      <c r="AD3348" s="249" t="str">
        <f>HYPERLINK("https://scontent.cdninstagram.com/t51.2885-15/s320x320/e35/21107230_259897547856497_7938770764847644672_n.jpg")</f>
        <v>https://scontent.cdninstagram.com/t51.2885-15/s320x320/e35/21107230_259897547856497_7938770764847644672_n.jpg</v>
      </c>
      <c r="AE3348" s="249" t="str">
        <f>HYPERLINK("https://scontent.cdninstagram.com/t51.2885-19/s150x150/19227854_1931915203718949_6628298598419267584_a.jpg")</f>
        <v>https://scontent.cdninstagram.com/t51.2885-19/s150x150/19227854_1931915203718949_6628298598419267584_a.jpg</v>
      </c>
    </row>
    <row r="3349" spans="1:31" ht="15" x14ac:dyDescent="0.25">
      <c r="A3349" t="s">
        <v>2474</v>
      </c>
      <c r="B3349" t="s">
        <v>19324</v>
      </c>
      <c r="C3349" s="221">
        <v>42975.646365740744</v>
      </c>
      <c r="D3349" t="s">
        <v>19325</v>
      </c>
      <c r="E3349" s="249" t="str">
        <f>HYPERLINK("https://www.instagram.com/p/BYWWojSA_6_/")</f>
        <v>https://www.instagram.com/p/BYWWojSA_6_/</v>
      </c>
      <c r="F3349" t="s">
        <v>19326</v>
      </c>
      <c r="G3349" t="s">
        <v>2478</v>
      </c>
      <c r="H3349">
        <v>347</v>
      </c>
      <c r="I3349" t="s">
        <v>2479</v>
      </c>
      <c r="J3349">
        <v>2</v>
      </c>
      <c r="K3349">
        <v>51</v>
      </c>
      <c r="L3349">
        <v>53</v>
      </c>
      <c r="Q3349">
        <v>0</v>
      </c>
      <c r="R3349">
        <v>0</v>
      </c>
      <c r="S3349">
        <v>53</v>
      </c>
      <c r="Y3349" t="s">
        <v>19327</v>
      </c>
      <c r="Z3349" t="s">
        <v>19328</v>
      </c>
      <c r="AA3349" t="s">
        <v>19329</v>
      </c>
      <c r="AB3349" t="s">
        <v>6045</v>
      </c>
      <c r="AC3349" t="s">
        <v>2497</v>
      </c>
      <c r="AD3349" s="249" t="str">
        <f>HYPERLINK("https://scontent.cdninstagram.com/t51.2885-15/e35/p320x320/21224662_116754288988035_8441689320422637568_n.jpg")</f>
        <v>https://scontent.cdninstagram.com/t51.2885-15/e35/p320x320/21224662_116754288988035_8441689320422637568_n.jpg</v>
      </c>
      <c r="AE3349" s="249" t="str">
        <f>HYPERLINK("https://scontent.cdninstagram.com/t51.2885-19/s150x150/18809188_1914713965479623_3767525413467717632_a.jpg")</f>
        <v>https://scontent.cdninstagram.com/t51.2885-19/s150x150/18809188_1914713965479623_3767525413467717632_a.jpg</v>
      </c>
    </row>
    <row r="3350" spans="1:31" ht="15" x14ac:dyDescent="0.25">
      <c r="A3350" t="s">
        <v>2474</v>
      </c>
      <c r="B3350" t="s">
        <v>10736</v>
      </c>
      <c r="C3350" s="221">
        <v>42975.648263888892</v>
      </c>
      <c r="D3350" t="s">
        <v>19330</v>
      </c>
      <c r="E3350" s="249" t="str">
        <f>HYPERLINK("https://www.instagram.com/p/BYWW8irgusy/")</f>
        <v>https://www.instagram.com/p/BYWW8irgusy/</v>
      </c>
      <c r="F3350" t="s">
        <v>19331</v>
      </c>
      <c r="G3350" t="s">
        <v>2478</v>
      </c>
      <c r="H3350">
        <v>186</v>
      </c>
      <c r="I3350" t="s">
        <v>2542</v>
      </c>
      <c r="J3350">
        <v>0</v>
      </c>
      <c r="K3350">
        <v>4</v>
      </c>
      <c r="L3350">
        <v>4</v>
      </c>
      <c r="Q3350">
        <v>0</v>
      </c>
      <c r="R3350">
        <v>0</v>
      </c>
      <c r="S3350">
        <v>4</v>
      </c>
      <c r="Y3350" t="s">
        <v>2497</v>
      </c>
      <c r="Z3350" t="s">
        <v>10736</v>
      </c>
      <c r="AD3350" s="249" t="str">
        <f>HYPERLINK("https://scontent.cdninstagram.com/t51.2885-15/e35/p320x320/21147407_492558887770413_8213113235398721536_n.jpg")</f>
        <v>https://scontent.cdninstagram.com/t51.2885-15/e35/p320x320/21147407_492558887770413_8213113235398721536_n.jpg</v>
      </c>
      <c r="AE3350" s="249" t="str">
        <f>HYPERLINK("https://scontent.cdninstagram.com/t51.2885-19/s150x150/14099257_273302949721135_1868814294_a.jpg")</f>
        <v>https://scontent.cdninstagram.com/t51.2885-19/s150x150/14099257_273302949721135_1868814294_a.jpg</v>
      </c>
    </row>
    <row r="3351" spans="1:31" ht="15" x14ac:dyDescent="0.25">
      <c r="A3351" t="s">
        <v>2474</v>
      </c>
      <c r="B3351" t="s">
        <v>10423</v>
      </c>
      <c r="C3351" s="221">
        <v>42975.649652777778</v>
      </c>
      <c r="D3351" t="s">
        <v>19332</v>
      </c>
      <c r="E3351" s="249" t="str">
        <f>HYPERLINK("https://www.instagram.com/p/BYWXLIcAalw/")</f>
        <v>https://www.instagram.com/p/BYWXLIcAalw/</v>
      </c>
      <c r="F3351" t="s">
        <v>19333</v>
      </c>
      <c r="G3351" t="s">
        <v>2478</v>
      </c>
      <c r="H3351">
        <v>20659</v>
      </c>
      <c r="I3351" t="s">
        <v>2479</v>
      </c>
      <c r="J3351">
        <v>4</v>
      </c>
      <c r="K3351">
        <v>574</v>
      </c>
      <c r="L3351">
        <v>578</v>
      </c>
      <c r="Q3351">
        <v>0</v>
      </c>
      <c r="R3351">
        <v>0</v>
      </c>
      <c r="S3351">
        <v>578</v>
      </c>
      <c r="Y3351" t="s">
        <v>19334</v>
      </c>
      <c r="Z3351" t="s">
        <v>19335</v>
      </c>
      <c r="AA3351" t="s">
        <v>19336</v>
      </c>
      <c r="AB3351" t="s">
        <v>19337</v>
      </c>
      <c r="AC3351" t="s">
        <v>19338</v>
      </c>
      <c r="AD3351" s="249" t="str">
        <f>HYPERLINK("https://scontent.cdninstagram.com/t51.2885-15/s320x320/e35/21224150_266050577232996_1286227140466966528_n.jpg")</f>
        <v>https://scontent.cdninstagram.com/t51.2885-15/s320x320/e35/21224150_266050577232996_1286227140466966528_n.jpg</v>
      </c>
      <c r="AE3351" s="249" t="str">
        <f>HYPERLINK("https://scontent.cdninstagram.com/t51.2885-19/15623907_313482635712930_8946707745638187008_a.jpg")</f>
        <v>https://scontent.cdninstagram.com/t51.2885-19/15623907_313482635712930_8946707745638187008_a.jpg</v>
      </c>
    </row>
    <row r="3352" spans="1:31" ht="15" x14ac:dyDescent="0.25">
      <c r="A3352" t="s">
        <v>2474</v>
      </c>
      <c r="B3352" t="s">
        <v>3055</v>
      </c>
      <c r="C3352" s="221">
        <v>42975.657592592594</v>
      </c>
      <c r="D3352" t="s">
        <v>19339</v>
      </c>
      <c r="E3352" s="249" t="str">
        <f>HYPERLINK("https://www.instagram.com/p/BYWYe-PHc2-/")</f>
        <v>https://www.instagram.com/p/BYWYe-PHc2-/</v>
      </c>
      <c r="F3352" t="s">
        <v>19340</v>
      </c>
      <c r="G3352" t="s">
        <v>2478</v>
      </c>
      <c r="H3352">
        <v>154</v>
      </c>
      <c r="I3352" t="s">
        <v>2479</v>
      </c>
      <c r="J3352">
        <v>0</v>
      </c>
      <c r="K3352">
        <v>40</v>
      </c>
      <c r="L3352">
        <v>40</v>
      </c>
      <c r="Q3352">
        <v>0</v>
      </c>
      <c r="R3352">
        <v>0</v>
      </c>
      <c r="S3352">
        <v>40</v>
      </c>
      <c r="Y3352" t="s">
        <v>19341</v>
      </c>
      <c r="Z3352" t="s">
        <v>3814</v>
      </c>
      <c r="AA3352" t="s">
        <v>19342</v>
      </c>
      <c r="AB3352" t="s">
        <v>2497</v>
      </c>
      <c r="AC3352" t="s">
        <v>16249</v>
      </c>
      <c r="AD3352" s="249" t="str">
        <f>HYPERLINK("https://scontent.cdninstagram.com/t51.2885-15/s320x320/e35/21148965_313138362429697_3662557344761380864_n.jpg")</f>
        <v>https://scontent.cdninstagram.com/t51.2885-15/s320x320/e35/21148965_313138362429697_3662557344761380864_n.jpg</v>
      </c>
      <c r="AE3352" s="249" t="str">
        <f>HYPERLINK("https://scontent.cdninstagram.com/t51.2885-19/s150x150/12534162_1031877433501510_1281420640_a.jpg")</f>
        <v>https://scontent.cdninstagram.com/t51.2885-19/s150x150/12534162_1031877433501510_1281420640_a.jpg</v>
      </c>
    </row>
    <row r="3353" spans="1:31" ht="15" x14ac:dyDescent="0.25">
      <c r="A3353" t="s">
        <v>2474</v>
      </c>
      <c r="B3353" t="s">
        <v>19343</v>
      </c>
      <c r="C3353" s="221">
        <v>42975.657754629632</v>
      </c>
      <c r="D3353" t="s">
        <v>19344</v>
      </c>
      <c r="E3353" s="249" t="str">
        <f>HYPERLINK("https://www.instagram.com/p/BYWYgnbA6Pi/")</f>
        <v>https://www.instagram.com/p/BYWYgnbA6Pi/</v>
      </c>
      <c r="F3353" t="s">
        <v>19345</v>
      </c>
      <c r="G3353" t="s">
        <v>2478</v>
      </c>
      <c r="H3353">
        <v>19</v>
      </c>
      <c r="I3353" t="s">
        <v>2479</v>
      </c>
      <c r="J3353">
        <v>2</v>
      </c>
      <c r="K3353">
        <v>11</v>
      </c>
      <c r="L3353">
        <v>13</v>
      </c>
      <c r="Q3353">
        <v>0</v>
      </c>
      <c r="R3353">
        <v>0</v>
      </c>
      <c r="S3353">
        <v>13</v>
      </c>
      <c r="Y3353" t="s">
        <v>2574</v>
      </c>
      <c r="Z3353" t="s">
        <v>3225</v>
      </c>
      <c r="AA3353" t="s">
        <v>3117</v>
      </c>
      <c r="AB3353" t="s">
        <v>5239</v>
      </c>
      <c r="AC3353" t="s">
        <v>19346</v>
      </c>
      <c r="AD3353" s="249" t="str">
        <f>HYPERLINK("https://scontent.cdninstagram.com/t51.2885-15/s320x320/e35/21147350_1374539529266565_1376364837424070656_n.jpg")</f>
        <v>https://scontent.cdninstagram.com/t51.2885-15/s320x320/e35/21147350_1374539529266565_1376364837424070656_n.jpg</v>
      </c>
      <c r="AE3353" s="249" t="str">
        <f>HYPERLINK("https://scontent.cdninstagram.com/t51.2885-19/s150x150/21294538_648113882049386_3035878520573132800_a.jpg")</f>
        <v>https://scontent.cdninstagram.com/t51.2885-19/s150x150/21294538_648113882049386_3035878520573132800_a.jpg</v>
      </c>
    </row>
    <row r="3354" spans="1:31" ht="15" x14ac:dyDescent="0.25">
      <c r="A3354" t="s">
        <v>2474</v>
      </c>
      <c r="B3354" t="s">
        <v>17177</v>
      </c>
      <c r="C3354" s="221">
        <v>42975.659189814818</v>
      </c>
      <c r="D3354" t="s">
        <v>19347</v>
      </c>
      <c r="E3354" s="249" t="str">
        <f>HYPERLINK("https://www.instagram.com/p/BYWYvzZjg0d/")</f>
        <v>https://www.instagram.com/p/BYWYvzZjg0d/</v>
      </c>
      <c r="F3354" t="s">
        <v>19348</v>
      </c>
      <c r="G3354" t="s">
        <v>2478</v>
      </c>
      <c r="H3354">
        <v>89</v>
      </c>
      <c r="I3354" t="s">
        <v>2479</v>
      </c>
      <c r="J3354">
        <v>8</v>
      </c>
      <c r="K3354">
        <v>29</v>
      </c>
      <c r="L3354">
        <v>37</v>
      </c>
      <c r="Q3354">
        <v>0</v>
      </c>
      <c r="R3354">
        <v>0</v>
      </c>
      <c r="S3354">
        <v>37</v>
      </c>
      <c r="AD3354" s="249" t="str">
        <f>HYPERLINK("https://scontent.cdninstagram.com/t51.2885-15/s320x320/e35/21148070_206589576542209_3536057956460134400_n.jpg")</f>
        <v>https://scontent.cdninstagram.com/t51.2885-15/s320x320/e35/21148070_206589576542209_3536057956460134400_n.jpg</v>
      </c>
      <c r="AE3354" s="249" t="str">
        <f>HYPERLINK("https://scontent.cdninstagram.com/t51.2885-19/s150x150/20905166_1280234472105463_6296656561150361600_a.jpg")</f>
        <v>https://scontent.cdninstagram.com/t51.2885-19/s150x150/20905166_1280234472105463_6296656561150361600_a.jpg</v>
      </c>
    </row>
    <row r="3355" spans="1:31" ht="15" x14ac:dyDescent="0.25">
      <c r="A3355" t="s">
        <v>2474</v>
      </c>
      <c r="B3355" t="s">
        <v>19349</v>
      </c>
      <c r="C3355" s="221">
        <v>42975.660428240742</v>
      </c>
      <c r="D3355" t="s">
        <v>19350</v>
      </c>
      <c r="E3355" s="249" t="str">
        <f>HYPERLINK("https://www.instagram.com/p/BYWY85DArZ2/")</f>
        <v>https://www.instagram.com/p/BYWY85DArZ2/</v>
      </c>
      <c r="F3355" t="s">
        <v>19351</v>
      </c>
      <c r="G3355" t="s">
        <v>2478</v>
      </c>
      <c r="H3355">
        <v>119</v>
      </c>
      <c r="I3355" t="s">
        <v>2542</v>
      </c>
      <c r="J3355">
        <v>3</v>
      </c>
      <c r="K3355">
        <v>16</v>
      </c>
      <c r="L3355">
        <v>19</v>
      </c>
      <c r="Q3355">
        <v>0</v>
      </c>
      <c r="R3355">
        <v>0</v>
      </c>
      <c r="S3355">
        <v>19</v>
      </c>
      <c r="Y3355" t="s">
        <v>4074</v>
      </c>
      <c r="Z3355" t="s">
        <v>2497</v>
      </c>
      <c r="AD3355" s="249" t="str">
        <f>HYPERLINK("https://scontent.cdninstagram.com/t51.2885-15/s320x320/e35/21107870_1030051303764841_7907083973606506496_n.jpg")</f>
        <v>https://scontent.cdninstagram.com/t51.2885-15/s320x320/e35/21107870_1030051303764841_7907083973606506496_n.jpg</v>
      </c>
      <c r="AE3355" s="249" t="str">
        <f>HYPERLINK("https://scontent.cdninstagram.com/t51.2885-19/s150x150/21108086_122839718366199_6320340557008732160_a.jpg")</f>
        <v>https://scontent.cdninstagram.com/t51.2885-19/s150x150/21108086_122839718366199_6320340557008732160_a.jpg</v>
      </c>
    </row>
    <row r="3356" spans="1:31" ht="15" x14ac:dyDescent="0.25">
      <c r="A3356" t="s">
        <v>2474</v>
      </c>
      <c r="B3356" t="s">
        <v>19352</v>
      </c>
      <c r="C3356" s="221">
        <v>42975.668692129628</v>
      </c>
      <c r="D3356" t="s">
        <v>19353</v>
      </c>
      <c r="E3356" s="249" t="str">
        <f>HYPERLINK("https://www.instagram.com/p/BYWaUBIHVq6/")</f>
        <v>https://www.instagram.com/p/BYWaUBIHVq6/</v>
      </c>
      <c r="F3356" t="s">
        <v>19354</v>
      </c>
      <c r="G3356" t="s">
        <v>2478</v>
      </c>
      <c r="H3356">
        <v>75</v>
      </c>
      <c r="I3356" t="s">
        <v>2542</v>
      </c>
      <c r="J3356">
        <v>0</v>
      </c>
      <c r="K3356">
        <v>24</v>
      </c>
      <c r="L3356">
        <v>24</v>
      </c>
      <c r="Q3356">
        <v>0</v>
      </c>
      <c r="R3356">
        <v>0</v>
      </c>
      <c r="S3356">
        <v>24</v>
      </c>
      <c r="Y3356" t="s">
        <v>19355</v>
      </c>
      <c r="Z3356" t="s">
        <v>19356</v>
      </c>
      <c r="AA3356" t="s">
        <v>3549</v>
      </c>
      <c r="AB3356" t="s">
        <v>19357</v>
      </c>
      <c r="AC3356" t="s">
        <v>2497</v>
      </c>
      <c r="AD3356" s="249" t="str">
        <f>HYPERLINK("https://scontent.cdninstagram.com/t51.2885-15/s320x320/e35/21148129_168815287025039_7346697518660452352_n.jpg")</f>
        <v>https://scontent.cdninstagram.com/t51.2885-15/s320x320/e35/21148129_168815287025039_7346697518660452352_n.jpg</v>
      </c>
      <c r="AE3356" s="249" t="str">
        <f>HYPERLINK("https://scontent.cdninstagram.com/t51.2885-19/s150x150/21041893_228844400976005_1998029497747636224_a.jpg")</f>
        <v>https://scontent.cdninstagram.com/t51.2885-19/s150x150/21041893_228844400976005_1998029497747636224_a.jpg</v>
      </c>
    </row>
    <row r="3357" spans="1:31" ht="15" x14ac:dyDescent="0.25">
      <c r="A3357" t="s">
        <v>2474</v>
      </c>
      <c r="B3357" t="s">
        <v>19358</v>
      </c>
      <c r="C3357" s="221">
        <v>42975.67114583333</v>
      </c>
      <c r="D3357" t="s">
        <v>19359</v>
      </c>
      <c r="E3357" s="249" t="str">
        <f>HYPERLINK("https://www.instagram.com/p/BYWat7Uj9NM/")</f>
        <v>https://www.instagram.com/p/BYWat7Uj9NM/</v>
      </c>
      <c r="F3357" t="s">
        <v>19360</v>
      </c>
      <c r="G3357" t="s">
        <v>2478</v>
      </c>
      <c r="H3357">
        <v>33</v>
      </c>
      <c r="I3357" t="s">
        <v>2748</v>
      </c>
      <c r="J3357">
        <v>2</v>
      </c>
      <c r="K3357">
        <v>11</v>
      </c>
      <c r="L3357">
        <v>13</v>
      </c>
      <c r="Q3357">
        <v>0</v>
      </c>
      <c r="R3357">
        <v>0</v>
      </c>
      <c r="S3357">
        <v>13</v>
      </c>
      <c r="T3357" t="s">
        <v>12394</v>
      </c>
      <c r="V3357" t="s">
        <v>2103</v>
      </c>
      <c r="W3357">
        <v>48.208300000000001</v>
      </c>
      <c r="X3357">
        <v>16.373100000000001</v>
      </c>
      <c r="Y3357" t="s">
        <v>19361</v>
      </c>
      <c r="Z3357" t="s">
        <v>19362</v>
      </c>
      <c r="AA3357" t="s">
        <v>19363</v>
      </c>
      <c r="AB3357" t="s">
        <v>2497</v>
      </c>
      <c r="AC3357" t="s">
        <v>16782</v>
      </c>
      <c r="AD3357" s="249" t="str">
        <f>HYPERLINK("https://scontent.cdninstagram.com/t51.2885-15/s320x320/e35/21147953_122189558436125_9098422676480851968_n.jpg")</f>
        <v>https://scontent.cdninstagram.com/t51.2885-15/s320x320/e35/21147953_122189558436125_9098422676480851968_n.jpg</v>
      </c>
      <c r="AE3357" s="249" t="str">
        <f>HYPERLINK("https://scontent.cdninstagram.com/t51.2885-19/s150x150/21296880_114098652660819_286724010861920256_a.jpg")</f>
        <v>https://scontent.cdninstagram.com/t51.2885-19/s150x150/21296880_114098652660819_286724010861920256_a.jpg</v>
      </c>
    </row>
    <row r="3358" spans="1:31" ht="15" x14ac:dyDescent="0.25">
      <c r="A3358" t="s">
        <v>2474</v>
      </c>
      <c r="B3358" t="s">
        <v>3846</v>
      </c>
      <c r="C3358" s="221">
        <v>42975.676851851851</v>
      </c>
      <c r="D3358" t="s">
        <v>19364</v>
      </c>
      <c r="E3358" s="249" t="str">
        <f>HYPERLINK("https://www.instagram.com/p/BYWbqALg_32/")</f>
        <v>https://www.instagram.com/p/BYWbqALg_32/</v>
      </c>
      <c r="F3358" t="s">
        <v>19365</v>
      </c>
      <c r="G3358" t="s">
        <v>2631</v>
      </c>
      <c r="H3358">
        <v>1010</v>
      </c>
      <c r="I3358" t="s">
        <v>2479</v>
      </c>
      <c r="J3358">
        <v>0</v>
      </c>
      <c r="K3358">
        <v>79</v>
      </c>
      <c r="L3358">
        <v>79</v>
      </c>
      <c r="Q3358">
        <v>0</v>
      </c>
      <c r="R3358">
        <v>0</v>
      </c>
      <c r="S3358">
        <v>79</v>
      </c>
      <c r="Y3358" t="s">
        <v>19366</v>
      </c>
      <c r="Z3358" t="s">
        <v>9308</v>
      </c>
      <c r="AA3358" t="s">
        <v>2497</v>
      </c>
      <c r="AB3358" t="s">
        <v>3850</v>
      </c>
      <c r="AC3358" t="s">
        <v>3174</v>
      </c>
      <c r="AD3358" s="249" t="str">
        <f>HYPERLINK("https://scontent.cdninstagram.com/t51.2885-15/s320x320/e15/21107687_1089591627843245_3487032704367591424_n.jpg")</f>
        <v>https://scontent.cdninstagram.com/t51.2885-15/s320x320/e15/21107687_1089591627843245_3487032704367591424_n.jpg</v>
      </c>
      <c r="AE3358" s="249" t="str">
        <f>HYPERLINK("https://scontent.cdninstagram.com/t51.2885-19/11313229_1459878014310621_82799200_a.jpg")</f>
        <v>https://scontent.cdninstagram.com/t51.2885-19/11313229_1459878014310621_82799200_a.jpg</v>
      </c>
    </row>
    <row r="3359" spans="1:31" ht="15" x14ac:dyDescent="0.25">
      <c r="A3359" t="s">
        <v>2474</v>
      </c>
      <c r="B3359" t="s">
        <v>19367</v>
      </c>
      <c r="C3359" s="221">
        <v>42975.680277777778</v>
      </c>
      <c r="D3359" t="s">
        <v>19368</v>
      </c>
      <c r="E3359" s="249" t="str">
        <f>HYPERLINK("https://www.instagram.com/p/BYWcOMOgLOq/")</f>
        <v>https://www.instagram.com/p/BYWcOMOgLOq/</v>
      </c>
      <c r="F3359" t="s">
        <v>19369</v>
      </c>
      <c r="G3359" t="s">
        <v>2478</v>
      </c>
      <c r="H3359">
        <v>175</v>
      </c>
      <c r="I3359" t="s">
        <v>2479</v>
      </c>
      <c r="J3359">
        <v>0</v>
      </c>
      <c r="K3359">
        <v>24</v>
      </c>
      <c r="L3359">
        <v>24</v>
      </c>
      <c r="Q3359">
        <v>0</v>
      </c>
      <c r="R3359">
        <v>0</v>
      </c>
      <c r="S3359">
        <v>24</v>
      </c>
      <c r="Y3359" t="s">
        <v>8753</v>
      </c>
      <c r="Z3359" t="s">
        <v>2497</v>
      </c>
      <c r="AA3359" t="s">
        <v>19370</v>
      </c>
      <c r="AB3359" t="s">
        <v>2869</v>
      </c>
      <c r="AC3359" t="s">
        <v>3196</v>
      </c>
      <c r="AD3359" s="249" t="str">
        <f>HYPERLINK("https://scontent.cdninstagram.com/t51.2885-15/e35/p320x320/21108095_147669409059433_5984621676652920832_n.jpg")</f>
        <v>https://scontent.cdninstagram.com/t51.2885-15/e35/p320x320/21108095_147669409059433_5984621676652920832_n.jpg</v>
      </c>
      <c r="AE3359" s="249" t="str">
        <f>HYPERLINK("https://scontent.cdninstagram.com/t51.2885-19/s150x150/20969396_160880914488969_6097985753587908608_a.jpg")</f>
        <v>https://scontent.cdninstagram.com/t51.2885-19/s150x150/20969396_160880914488969_6097985753587908608_a.jpg</v>
      </c>
    </row>
    <row r="3360" spans="1:31" ht="15" x14ac:dyDescent="0.25">
      <c r="A3360" t="s">
        <v>2474</v>
      </c>
      <c r="B3360" t="s">
        <v>19371</v>
      </c>
      <c r="C3360" s="221">
        <v>42975.681192129632</v>
      </c>
      <c r="D3360" t="s">
        <v>19372</v>
      </c>
      <c r="E3360" s="249" t="str">
        <f>HYPERLINK("https://www.instagram.com/p/BYWcX4tAOfV/")</f>
        <v>https://www.instagram.com/p/BYWcX4tAOfV/</v>
      </c>
      <c r="F3360" t="s">
        <v>19373</v>
      </c>
      <c r="G3360" t="s">
        <v>2478</v>
      </c>
      <c r="H3360">
        <v>722</v>
      </c>
      <c r="I3360" t="s">
        <v>2599</v>
      </c>
      <c r="J3360">
        <v>14</v>
      </c>
      <c r="K3360">
        <v>116</v>
      </c>
      <c r="L3360">
        <v>130</v>
      </c>
      <c r="Q3360">
        <v>0</v>
      </c>
      <c r="R3360">
        <v>0</v>
      </c>
      <c r="S3360">
        <v>130</v>
      </c>
      <c r="Y3360" t="s">
        <v>2497</v>
      </c>
      <c r="Z3360" t="s">
        <v>19374</v>
      </c>
      <c r="AA3360" t="s">
        <v>19375</v>
      </c>
      <c r="AB3360" t="s">
        <v>5229</v>
      </c>
      <c r="AC3360" t="s">
        <v>19376</v>
      </c>
      <c r="AD3360" s="249" t="str">
        <f>HYPERLINK("https://scontent.cdninstagram.com/t51.2885-15/e35/p320x320/21148045_1136875553123966_46626968124260352_n.jpg")</f>
        <v>https://scontent.cdninstagram.com/t51.2885-15/e35/p320x320/21148045_1136875553123966_46626968124260352_n.jpg</v>
      </c>
      <c r="AE3360" s="249" t="str">
        <f>HYPERLINK("https://scontent.cdninstagram.com/t51.2885-19/s150x150/20590262_1612057012159357_3412261038890942464_a.jpg")</f>
        <v>https://scontent.cdninstagram.com/t51.2885-19/s150x150/20590262_1612057012159357_3412261038890942464_a.jpg</v>
      </c>
    </row>
    <row r="3361" spans="1:31" ht="15" x14ac:dyDescent="0.25">
      <c r="A3361" t="s">
        <v>2474</v>
      </c>
      <c r="B3361" t="s">
        <v>19377</v>
      </c>
      <c r="C3361" s="221">
        <v>42975.695254629631</v>
      </c>
      <c r="D3361" t="s">
        <v>19378</v>
      </c>
      <c r="E3361" s="249" t="str">
        <f>HYPERLINK("https://www.instagram.com/p/BYWesGRlP3O/")</f>
        <v>https://www.instagram.com/p/BYWesGRlP3O/</v>
      </c>
      <c r="F3361" t="s">
        <v>19379</v>
      </c>
      <c r="G3361" t="s">
        <v>2478</v>
      </c>
      <c r="H3361">
        <v>28</v>
      </c>
      <c r="I3361" t="s">
        <v>3025</v>
      </c>
      <c r="J3361">
        <v>0</v>
      </c>
      <c r="K3361">
        <v>5</v>
      </c>
      <c r="L3361">
        <v>5</v>
      </c>
      <c r="Q3361">
        <v>0</v>
      </c>
      <c r="R3361">
        <v>0</v>
      </c>
      <c r="S3361">
        <v>5</v>
      </c>
      <c r="Y3361" t="s">
        <v>19380</v>
      </c>
      <c r="Z3361" t="s">
        <v>3117</v>
      </c>
      <c r="AA3361" t="s">
        <v>19381</v>
      </c>
      <c r="AB3361" t="s">
        <v>2497</v>
      </c>
      <c r="AC3361" t="s">
        <v>19382</v>
      </c>
      <c r="AD3361" s="249" t="str">
        <f>HYPERLINK("https://scontent.cdninstagram.com/t51.2885-15/s320x320/e35/21107433_1652742038079091_7250212929486716928_n.jpg")</f>
        <v>https://scontent.cdninstagram.com/t51.2885-15/s320x320/e35/21107433_1652742038079091_7250212929486716928_n.jpg</v>
      </c>
      <c r="AE3361" s="249" t="str">
        <f>HYPERLINK("https://scontent.cdninstagram.com/t51.2885-19/s150x150/18646708_1923992851150067_4066206475842748416_a.jpg")</f>
        <v>https://scontent.cdninstagram.com/t51.2885-19/s150x150/18646708_1923992851150067_4066206475842748416_a.jpg</v>
      </c>
    </row>
    <row r="3362" spans="1:31" ht="15" x14ac:dyDescent="0.25">
      <c r="A3362" t="s">
        <v>2474</v>
      </c>
      <c r="B3362" t="s">
        <v>19383</v>
      </c>
      <c r="C3362" s="221">
        <v>42975.696585648147</v>
      </c>
      <c r="D3362" t="s">
        <v>19384</v>
      </c>
      <c r="E3362" s="249" t="str">
        <f>HYPERLINK("https://www.instagram.com/p/BYWe6LsAfl-/")</f>
        <v>https://www.instagram.com/p/BYWe6LsAfl-/</v>
      </c>
      <c r="F3362" t="s">
        <v>19385</v>
      </c>
      <c r="G3362" t="s">
        <v>2478</v>
      </c>
      <c r="H3362">
        <v>175</v>
      </c>
      <c r="I3362" t="s">
        <v>4963</v>
      </c>
      <c r="J3362">
        <v>0</v>
      </c>
      <c r="K3362">
        <v>17</v>
      </c>
      <c r="L3362">
        <v>17</v>
      </c>
      <c r="Q3362">
        <v>0</v>
      </c>
      <c r="R3362">
        <v>0</v>
      </c>
      <c r="S3362">
        <v>17</v>
      </c>
      <c r="Y3362" t="s">
        <v>3446</v>
      </c>
      <c r="Z3362" t="s">
        <v>4715</v>
      </c>
      <c r="AA3362" t="s">
        <v>2497</v>
      </c>
      <c r="AB3362" t="s">
        <v>2886</v>
      </c>
      <c r="AC3362" t="s">
        <v>19386</v>
      </c>
      <c r="AD3362" s="249" t="str">
        <f>HYPERLINK("https://scontent.cdninstagram.com/t51.2885-15/s320x320/e35/21042716_1757034044595836_8145638620573728768_n.jpg")</f>
        <v>https://scontent.cdninstagram.com/t51.2885-15/s320x320/e35/21042716_1757034044595836_8145638620573728768_n.jpg</v>
      </c>
      <c r="AE3362" s="249" t="str">
        <f>HYPERLINK("https://scontent.cdninstagram.com/t51.2885-19/s150x150/20066115_506965823028639_4933636784115417088_a.jpg")</f>
        <v>https://scontent.cdninstagram.com/t51.2885-19/s150x150/20066115_506965823028639_4933636784115417088_a.jpg</v>
      </c>
    </row>
    <row r="3363" spans="1:31" ht="15" x14ac:dyDescent="0.25">
      <c r="A3363" t="s">
        <v>2474</v>
      </c>
      <c r="B3363" t="s">
        <v>19387</v>
      </c>
      <c r="C3363" s="221">
        <v>42975.698634259257</v>
      </c>
      <c r="D3363" t="s">
        <v>19388</v>
      </c>
      <c r="E3363" s="249" t="str">
        <f>HYPERLINK("https://www.instagram.com/p/BYWfP0ZjSz1/")</f>
        <v>https://www.instagram.com/p/BYWfP0ZjSz1/</v>
      </c>
      <c r="F3363" t="s">
        <v>19389</v>
      </c>
      <c r="G3363" t="s">
        <v>2478</v>
      </c>
      <c r="H3363">
        <v>411</v>
      </c>
      <c r="I3363" t="s">
        <v>2599</v>
      </c>
      <c r="J3363">
        <v>0</v>
      </c>
      <c r="K3363">
        <v>92</v>
      </c>
      <c r="L3363">
        <v>92</v>
      </c>
      <c r="Q3363">
        <v>0</v>
      </c>
      <c r="R3363">
        <v>0</v>
      </c>
      <c r="S3363">
        <v>92</v>
      </c>
      <c r="Y3363" t="s">
        <v>19390</v>
      </c>
      <c r="Z3363" t="s">
        <v>19391</v>
      </c>
      <c r="AA3363" t="s">
        <v>19392</v>
      </c>
      <c r="AB3363" t="s">
        <v>19393</v>
      </c>
      <c r="AC3363" t="s">
        <v>19394</v>
      </c>
      <c r="AD3363" s="249" t="str">
        <f>HYPERLINK("https://scontent.cdninstagram.com/t51.2885-15/s320x320/e35/21107731_1964408660482425_1942648170798383104_n.jpg")</f>
        <v>https://scontent.cdninstagram.com/t51.2885-15/s320x320/e35/21107731_1964408660482425_1942648170798383104_n.jpg</v>
      </c>
      <c r="AE3363" s="249" t="str">
        <f>HYPERLINK("https://scontent.cdninstagram.com/t51.2885-19/s150x150/17334051_1358595777567450_1908531437385023488_a.jpg")</f>
        <v>https://scontent.cdninstagram.com/t51.2885-19/s150x150/17334051_1358595777567450_1908531437385023488_a.jpg</v>
      </c>
    </row>
    <row r="3364" spans="1:31" ht="15" x14ac:dyDescent="0.25">
      <c r="A3364" t="s">
        <v>2474</v>
      </c>
      <c r="B3364" t="s">
        <v>19395</v>
      </c>
      <c r="C3364" s="221">
        <v>42975.698831018519</v>
      </c>
      <c r="D3364" t="s">
        <v>19396</v>
      </c>
      <c r="E3364" s="249" t="str">
        <f>HYPERLINK("https://www.instagram.com/p/BYWfR1zgifJ/")</f>
        <v>https://www.instagram.com/p/BYWfR1zgifJ/</v>
      </c>
      <c r="F3364" t="s">
        <v>19397</v>
      </c>
      <c r="G3364" t="s">
        <v>2478</v>
      </c>
      <c r="H3364">
        <v>106</v>
      </c>
      <c r="I3364" t="s">
        <v>2479</v>
      </c>
      <c r="J3364">
        <v>1</v>
      </c>
      <c r="K3364">
        <v>15</v>
      </c>
      <c r="L3364">
        <v>16</v>
      </c>
      <c r="Q3364">
        <v>0</v>
      </c>
      <c r="R3364">
        <v>0</v>
      </c>
      <c r="S3364">
        <v>16</v>
      </c>
      <c r="Y3364" t="s">
        <v>3262</v>
      </c>
      <c r="Z3364" t="s">
        <v>8573</v>
      </c>
      <c r="AA3364" t="s">
        <v>13664</v>
      </c>
      <c r="AB3364" t="s">
        <v>2497</v>
      </c>
      <c r="AC3364" t="s">
        <v>19398</v>
      </c>
      <c r="AD3364" s="249" t="str">
        <f>HYPERLINK("https://scontent.cdninstagram.com/t51.2885-15/s320x320/e35/21147482_898767306945636_5053107046119899136_n.jpg")</f>
        <v>https://scontent.cdninstagram.com/t51.2885-15/s320x320/e35/21147482_898767306945636_5053107046119899136_n.jpg</v>
      </c>
      <c r="AE3364" s="249" t="str">
        <f>HYPERLINK("https://scontent.cdninstagram.com/t51.2885-19/s150x150/20905581_167183487183467_7665072767024234496_a.jpg")</f>
        <v>https://scontent.cdninstagram.com/t51.2885-19/s150x150/20905581_167183487183467_7665072767024234496_a.jpg</v>
      </c>
    </row>
    <row r="3365" spans="1:31" ht="15" x14ac:dyDescent="0.25">
      <c r="A3365" t="s">
        <v>2474</v>
      </c>
      <c r="B3365" t="s">
        <v>19399</v>
      </c>
      <c r="C3365" s="221">
        <v>42975.702800925923</v>
      </c>
      <c r="D3365" t="s">
        <v>19400</v>
      </c>
      <c r="E3365" s="249" t="str">
        <f>HYPERLINK("https://www.instagram.com/p/BYWf7sQFCIk/")</f>
        <v>https://www.instagram.com/p/BYWf7sQFCIk/</v>
      </c>
      <c r="F3365" t="s">
        <v>19401</v>
      </c>
      <c r="G3365" t="s">
        <v>2478</v>
      </c>
      <c r="H3365">
        <v>26</v>
      </c>
      <c r="I3365" t="s">
        <v>2479</v>
      </c>
      <c r="J3365">
        <v>0</v>
      </c>
      <c r="K3365">
        <v>6</v>
      </c>
      <c r="L3365">
        <v>6</v>
      </c>
      <c r="Q3365">
        <v>0</v>
      </c>
      <c r="R3365">
        <v>0</v>
      </c>
      <c r="S3365">
        <v>6</v>
      </c>
      <c r="Y3365" t="s">
        <v>4525</v>
      </c>
      <c r="Z3365" t="s">
        <v>3937</v>
      </c>
      <c r="AA3365" t="s">
        <v>19402</v>
      </c>
      <c r="AB3365" t="s">
        <v>2497</v>
      </c>
      <c r="AC3365" t="s">
        <v>8838</v>
      </c>
      <c r="AD3365" s="249" t="str">
        <f>HYPERLINK("https://scontent.cdninstagram.com/t51.2885-15/s320x320/e35/21147196_128640704426918_8030924618237739008_n.jpg")</f>
        <v>https://scontent.cdninstagram.com/t51.2885-15/s320x320/e35/21147196_128640704426918_8030924618237739008_n.jpg</v>
      </c>
      <c r="AE3365" s="249" t="str">
        <f>HYPERLINK("https://scontent.cdninstagram.com/t51.2885-19/s150x150/16788733_1813522138972036_740193602935717888_a.jpg")</f>
        <v>https://scontent.cdninstagram.com/t51.2885-19/s150x150/16788733_1813522138972036_740193602935717888_a.jpg</v>
      </c>
    </row>
    <row r="3366" spans="1:31" ht="15" x14ac:dyDescent="0.25">
      <c r="A3366" t="s">
        <v>2474</v>
      </c>
      <c r="B3366" t="s">
        <v>2917</v>
      </c>
      <c r="C3366" s="221">
        <v>42975.710960648146</v>
      </c>
      <c r="D3366" t="s">
        <v>19403</v>
      </c>
      <c r="E3366" s="249" t="str">
        <f>HYPERLINK("https://www.instagram.com/p/BYWhRwJFdzf/")</f>
        <v>https://www.instagram.com/p/BYWhRwJFdzf/</v>
      </c>
      <c r="F3366" t="s">
        <v>19404</v>
      </c>
      <c r="G3366" t="s">
        <v>2478</v>
      </c>
      <c r="H3366">
        <v>5537</v>
      </c>
      <c r="I3366" t="s">
        <v>2479</v>
      </c>
      <c r="J3366">
        <v>8</v>
      </c>
      <c r="K3366">
        <v>100</v>
      </c>
      <c r="L3366">
        <v>108</v>
      </c>
      <c r="Q3366">
        <v>0</v>
      </c>
      <c r="R3366">
        <v>0</v>
      </c>
      <c r="S3366">
        <v>108</v>
      </c>
      <c r="Y3366" t="s">
        <v>2917</v>
      </c>
      <c r="AD3366" s="249" t="str">
        <f>HYPERLINK("https://scontent.cdninstagram.com/t51.2885-15/e35/p320x320/21147455_1913348115582147_6168421370406371328_n.jpg")</f>
        <v>https://scontent.cdninstagram.com/t51.2885-15/e35/p320x320/21147455_1913348115582147_6168421370406371328_n.jpg</v>
      </c>
      <c r="AE3366" s="249" t="str">
        <f>HYPERLINK("https://scontent.cdninstagram.com/t51.2885-19/s150x150/21147474_1515527718485496_2026742874539819008_a.jpg")</f>
        <v>https://scontent.cdninstagram.com/t51.2885-19/s150x150/21147474_1515527718485496_2026742874539819008_a.jpg</v>
      </c>
    </row>
    <row r="3367" spans="1:31" ht="15" x14ac:dyDescent="0.25">
      <c r="A3367" t="s">
        <v>2474</v>
      </c>
      <c r="B3367" t="s">
        <v>5275</v>
      </c>
      <c r="C3367" s="221">
        <v>42975.719710648147</v>
      </c>
      <c r="D3367" t="s">
        <v>19405</v>
      </c>
      <c r="E3367" s="249" t="str">
        <f>HYPERLINK("https://www.instagram.com/p/BYWiuHanlTd/")</f>
        <v>https://www.instagram.com/p/BYWiuHanlTd/</v>
      </c>
      <c r="F3367" t="s">
        <v>19406</v>
      </c>
      <c r="G3367" t="s">
        <v>2478</v>
      </c>
      <c r="H3367">
        <v>324</v>
      </c>
      <c r="I3367" t="s">
        <v>2479</v>
      </c>
      <c r="J3367">
        <v>1</v>
      </c>
      <c r="K3367">
        <v>46</v>
      </c>
      <c r="L3367">
        <v>47</v>
      </c>
      <c r="Q3367">
        <v>0</v>
      </c>
      <c r="R3367">
        <v>0</v>
      </c>
      <c r="S3367">
        <v>47</v>
      </c>
      <c r="Y3367" t="s">
        <v>5280</v>
      </c>
      <c r="Z3367" t="s">
        <v>2497</v>
      </c>
      <c r="AA3367" t="s">
        <v>13720</v>
      </c>
      <c r="AB3367" t="s">
        <v>19407</v>
      </c>
      <c r="AC3367" t="s">
        <v>5275</v>
      </c>
      <c r="AD3367" s="249" t="str">
        <f>HYPERLINK("https://scontent.cdninstagram.com/t51.2885-15/s320x320/e35/21147656_1946389568943257_5927837317032050688_n.jpg")</f>
        <v>https://scontent.cdninstagram.com/t51.2885-15/s320x320/e35/21147656_1946389568943257_5927837317032050688_n.jpg</v>
      </c>
      <c r="AE3367" s="249" t="str">
        <f>HYPERLINK("https://scontent.cdninstagram.com/t51.2885-19/s150x150/18013697_427125890977264_7000566800060514304_a.jpg")</f>
        <v>https://scontent.cdninstagram.com/t51.2885-19/s150x150/18013697_427125890977264_7000566800060514304_a.jpg</v>
      </c>
    </row>
    <row r="3368" spans="1:31" ht="15" x14ac:dyDescent="0.25">
      <c r="A3368" t="s">
        <v>2474</v>
      </c>
      <c r="B3368" t="s">
        <v>19408</v>
      </c>
      <c r="C3368" s="221">
        <v>42975.722094907411</v>
      </c>
      <c r="D3368" t="s">
        <v>19409</v>
      </c>
      <c r="E3368" s="249" t="str">
        <f>HYPERLINK("https://www.instagram.com/p/BYWjHOADmgz/")</f>
        <v>https://www.instagram.com/p/BYWjHOADmgz/</v>
      </c>
      <c r="F3368" t="s">
        <v>19410</v>
      </c>
      <c r="G3368" t="s">
        <v>2478</v>
      </c>
      <c r="H3368">
        <v>8</v>
      </c>
      <c r="I3368" t="s">
        <v>2542</v>
      </c>
      <c r="J3368">
        <v>2</v>
      </c>
      <c r="K3368">
        <v>21</v>
      </c>
      <c r="L3368">
        <v>23</v>
      </c>
      <c r="Q3368">
        <v>0</v>
      </c>
      <c r="R3368">
        <v>0</v>
      </c>
      <c r="S3368">
        <v>23</v>
      </c>
      <c r="T3368" t="s">
        <v>19411</v>
      </c>
      <c r="W3368">
        <v>53</v>
      </c>
      <c r="X3368">
        <v>-60</v>
      </c>
      <c r="Y3368" t="s">
        <v>19412</v>
      </c>
      <c r="Z3368" t="s">
        <v>2734</v>
      </c>
      <c r="AA3368" t="s">
        <v>9385</v>
      </c>
      <c r="AB3368" t="s">
        <v>19413</v>
      </c>
      <c r="AC3368" t="s">
        <v>2577</v>
      </c>
      <c r="AD3368" s="249" t="str">
        <f>HYPERLINK("https://scontent.cdninstagram.com/t51.2885-15/s320x320/e35/21148151_1372913312807593_8065592791092166656_n.jpg")</f>
        <v>https://scontent.cdninstagram.com/t51.2885-15/s320x320/e35/21148151_1372913312807593_8065592791092166656_n.jpg</v>
      </c>
      <c r="AE3368" s="249" t="str">
        <f>HYPERLINK("https://scontent.cdninstagram.com/t51.2885-19/s150x150/21148164_1618508094886124_3176485983088541696_a.jpg")</f>
        <v>https://scontent.cdninstagram.com/t51.2885-19/s150x150/21148164_1618508094886124_3176485983088541696_a.jpg</v>
      </c>
    </row>
    <row r="3369" spans="1:31" ht="15" x14ac:dyDescent="0.25">
      <c r="A3369" t="s">
        <v>2474</v>
      </c>
      <c r="B3369" t="s">
        <v>11462</v>
      </c>
      <c r="C3369" s="221">
        <v>42975.722870370373</v>
      </c>
      <c r="D3369" t="s">
        <v>19414</v>
      </c>
      <c r="E3369" s="249" t="str">
        <f>HYPERLINK("https://www.instagram.com/p/BYWjPYvhz9o/")</f>
        <v>https://www.instagram.com/p/BYWjPYvhz9o/</v>
      </c>
      <c r="F3369" t="s">
        <v>19415</v>
      </c>
      <c r="G3369" t="s">
        <v>2478</v>
      </c>
      <c r="H3369">
        <v>13</v>
      </c>
      <c r="I3369" t="s">
        <v>2510</v>
      </c>
      <c r="J3369">
        <v>0</v>
      </c>
      <c r="K3369">
        <v>51</v>
      </c>
      <c r="L3369">
        <v>51</v>
      </c>
      <c r="Q3369">
        <v>0</v>
      </c>
      <c r="R3369">
        <v>0</v>
      </c>
      <c r="S3369">
        <v>51</v>
      </c>
      <c r="Y3369" t="s">
        <v>19416</v>
      </c>
      <c r="Z3369" t="s">
        <v>19417</v>
      </c>
      <c r="AA3369" t="s">
        <v>19418</v>
      </c>
      <c r="AB3369" t="s">
        <v>11466</v>
      </c>
      <c r="AC3369" t="s">
        <v>2497</v>
      </c>
      <c r="AD3369" s="249" t="str">
        <f>HYPERLINK("https://scontent.cdninstagram.com/t51.2885-15/e35/p320x320/21108077_113169282733745_4712857533612556288_n.jpg")</f>
        <v>https://scontent.cdninstagram.com/t51.2885-15/e35/p320x320/21108077_113169282733745_4712857533612556288_n.jpg</v>
      </c>
      <c r="AE3369" s="249" t="str">
        <f>HYPERLINK("https://scontent.cdninstagram.com/t51.2885-19/s150x150/20902313_108898576506146_2236447002114129920_a.jpg")</f>
        <v>https://scontent.cdninstagram.com/t51.2885-19/s150x150/20902313_108898576506146_2236447002114129920_a.jpg</v>
      </c>
    </row>
    <row r="3370" spans="1:31" ht="15" x14ac:dyDescent="0.25">
      <c r="A3370" t="s">
        <v>2474</v>
      </c>
      <c r="B3370" t="s">
        <v>19419</v>
      </c>
      <c r="C3370" s="221">
        <v>42975.750532407408</v>
      </c>
      <c r="D3370" t="s">
        <v>19420</v>
      </c>
      <c r="E3370" s="249" t="str">
        <f>HYPERLINK("https://www.instagram.com/p/BYWnzNSl2NK/")</f>
        <v>https://www.instagram.com/p/BYWnzNSl2NK/</v>
      </c>
      <c r="F3370" t="s">
        <v>19421</v>
      </c>
      <c r="G3370" t="s">
        <v>2478</v>
      </c>
      <c r="H3370">
        <v>132</v>
      </c>
      <c r="I3370" t="s">
        <v>2542</v>
      </c>
      <c r="J3370">
        <v>5</v>
      </c>
      <c r="K3370">
        <v>18</v>
      </c>
      <c r="L3370">
        <v>23</v>
      </c>
      <c r="Q3370">
        <v>0</v>
      </c>
      <c r="R3370">
        <v>0</v>
      </c>
      <c r="S3370">
        <v>23</v>
      </c>
      <c r="AD3370" s="249" t="str">
        <f>HYPERLINK("https://scontent.cdninstagram.com/t51.2885-15/s320x320/e35/21107721_129082924399191_3120912005381226496_n.jpg")</f>
        <v>https://scontent.cdninstagram.com/t51.2885-15/s320x320/e35/21107721_129082924399191_3120912005381226496_n.jpg</v>
      </c>
      <c r="AE3370" s="249" t="str">
        <f>HYPERLINK("https://scontent.cdninstagram.com/t51.2885-19/s150x150/18514056_814437038708045_1191909027286614016_a.jpg")</f>
        <v>https://scontent.cdninstagram.com/t51.2885-19/s150x150/18514056_814437038708045_1191909027286614016_a.jpg</v>
      </c>
    </row>
    <row r="3371" spans="1:31" ht="15" x14ac:dyDescent="0.25">
      <c r="A3371" t="s">
        <v>2474</v>
      </c>
      <c r="B3371" t="s">
        <v>19422</v>
      </c>
      <c r="C3371" s="221">
        <v>42975.762928240743</v>
      </c>
      <c r="D3371" t="s">
        <v>19423</v>
      </c>
      <c r="E3371" s="249" t="str">
        <f>HYPERLINK("https://www.instagram.com/p/BYWp11MhtYO/")</f>
        <v>https://www.instagram.com/p/BYWp11MhtYO/</v>
      </c>
      <c r="F3371" t="s">
        <v>19424</v>
      </c>
      <c r="G3371" t="s">
        <v>2478</v>
      </c>
      <c r="H3371">
        <v>0</v>
      </c>
      <c r="I3371" t="s">
        <v>2479</v>
      </c>
      <c r="J3371">
        <v>0</v>
      </c>
      <c r="K3371">
        <v>2</v>
      </c>
      <c r="L3371">
        <v>2</v>
      </c>
      <c r="Q3371">
        <v>0</v>
      </c>
      <c r="R3371">
        <v>0</v>
      </c>
      <c r="S3371">
        <v>2</v>
      </c>
      <c r="Y3371" t="s">
        <v>10268</v>
      </c>
      <c r="Z3371" t="s">
        <v>2497</v>
      </c>
      <c r="AA3371" t="s">
        <v>8007</v>
      </c>
      <c r="AB3371" t="s">
        <v>3706</v>
      </c>
      <c r="AC3371" t="s">
        <v>2730</v>
      </c>
      <c r="AD3371" s="249" t="str">
        <f>HYPERLINK("https://scontent.cdninstagram.com/t51.2885-15/s320x320/e35/21107929_1391327387651685_7765251891360956416_n.jpg")</f>
        <v>https://scontent.cdninstagram.com/t51.2885-15/s320x320/e35/21107929_1391327387651685_7765251891360956416_n.jpg</v>
      </c>
      <c r="AE3371" s="249" t="str">
        <f>HYPERLINK("https://scontent.cdninstagram.com/t51.2885-19/s150x150/21147866_1768438349863423_2990522300127772672_n.jpg")</f>
        <v>https://scontent.cdninstagram.com/t51.2885-19/s150x150/21147866_1768438349863423_2990522300127772672_n.jpg</v>
      </c>
    </row>
    <row r="3372" spans="1:31" ht="15" x14ac:dyDescent="0.25">
      <c r="A3372" t="s">
        <v>2474</v>
      </c>
      <c r="B3372" t="s">
        <v>19425</v>
      </c>
      <c r="C3372" s="221">
        <v>42975.768599537034</v>
      </c>
      <c r="D3372" t="s">
        <v>19426</v>
      </c>
      <c r="E3372" s="249" t="str">
        <f>HYPERLINK("https://www.instagram.com/p/BYWqxvrHLlA/")</f>
        <v>https://www.instagram.com/p/BYWqxvrHLlA/</v>
      </c>
      <c r="F3372" t="s">
        <v>19427</v>
      </c>
      <c r="G3372" t="s">
        <v>2488</v>
      </c>
      <c r="H3372">
        <v>306</v>
      </c>
      <c r="I3372" t="s">
        <v>2479</v>
      </c>
      <c r="J3372">
        <v>0</v>
      </c>
      <c r="K3372">
        <v>16</v>
      </c>
      <c r="L3372">
        <v>16</v>
      </c>
      <c r="Q3372">
        <v>0</v>
      </c>
      <c r="R3372">
        <v>0</v>
      </c>
      <c r="S3372">
        <v>16</v>
      </c>
      <c r="T3372" t="s">
        <v>19428</v>
      </c>
      <c r="V3372" t="s">
        <v>2125</v>
      </c>
      <c r="W3372">
        <v>47.577764000000002</v>
      </c>
      <c r="X3372">
        <v>-52.701397</v>
      </c>
      <c r="Y3372" t="s">
        <v>19429</v>
      </c>
      <c r="Z3372" t="s">
        <v>19430</v>
      </c>
      <c r="AA3372" t="s">
        <v>2497</v>
      </c>
      <c r="AB3372" t="s">
        <v>19431</v>
      </c>
      <c r="AC3372" t="s">
        <v>19432</v>
      </c>
      <c r="AD3372" s="249" t="str">
        <f>HYPERLINK("https://scontent.cdninstagram.com/t51.2885-15/s320x320/e35/21042702_342502356172886_6815880238510112768_n.jpg")</f>
        <v>https://scontent.cdninstagram.com/t51.2885-15/s320x320/e35/21042702_342502356172886_6815880238510112768_n.jpg</v>
      </c>
      <c r="AE3372" s="249" t="str">
        <f>HYPERLINK("https://scontent.cdninstagram.com/t51.2885-19/s150x150/17495309_419740698403497_6025218429089218560_a.jpg")</f>
        <v>https://scontent.cdninstagram.com/t51.2885-19/s150x150/17495309_419740698403497_6025218429089218560_a.jpg</v>
      </c>
    </row>
    <row r="3373" spans="1:31" ht="15" x14ac:dyDescent="0.25">
      <c r="A3373" t="s">
        <v>2474</v>
      </c>
      <c r="B3373" t="s">
        <v>2619</v>
      </c>
      <c r="C3373" s="221">
        <v>42975.77847222222</v>
      </c>
      <c r="D3373" t="s">
        <v>19433</v>
      </c>
      <c r="E3373" s="249" t="str">
        <f>HYPERLINK("https://www.instagram.com/p/BYWsZyvDOjH/")</f>
        <v>https://www.instagram.com/p/BYWsZyvDOjH/</v>
      </c>
      <c r="F3373" t="s">
        <v>19434</v>
      </c>
      <c r="G3373" t="s">
        <v>2478</v>
      </c>
      <c r="H3373">
        <v>818</v>
      </c>
      <c r="I3373" t="s">
        <v>2479</v>
      </c>
      <c r="J3373">
        <v>0</v>
      </c>
      <c r="K3373">
        <v>23</v>
      </c>
      <c r="L3373">
        <v>23</v>
      </c>
      <c r="Q3373">
        <v>0</v>
      </c>
      <c r="R3373">
        <v>0</v>
      </c>
      <c r="S3373">
        <v>23</v>
      </c>
      <c r="Y3373" t="s">
        <v>5336</v>
      </c>
      <c r="Z3373" t="s">
        <v>2497</v>
      </c>
      <c r="AA3373" t="s">
        <v>19435</v>
      </c>
      <c r="AB3373" t="s">
        <v>19436</v>
      </c>
      <c r="AD3373" s="249" t="str">
        <f>HYPERLINK("https://scontent.cdninstagram.com/t51.2885-15/s320x320/e35/21224647_509546756061783_3672061944178671616_n.jpg")</f>
        <v>https://scontent.cdninstagram.com/t51.2885-15/s320x320/e35/21224647_509546756061783_3672061944178671616_n.jpg</v>
      </c>
      <c r="AE3373" s="249" t="str">
        <f>HYPERLINK("https://scontent.cdninstagram.com/t51.2885-19/s150x150/14719583_1073368536093824_6781485298590154752_a.jpg")</f>
        <v>https://scontent.cdninstagram.com/t51.2885-19/s150x150/14719583_1073368536093824_6781485298590154752_a.jpg</v>
      </c>
    </row>
    <row r="3374" spans="1:31" ht="15" x14ac:dyDescent="0.25">
      <c r="A3374" t="s">
        <v>2474</v>
      </c>
      <c r="B3374" t="s">
        <v>19437</v>
      </c>
      <c r="C3374" s="221">
        <v>42975.78056712963</v>
      </c>
      <c r="D3374" t="s">
        <v>19438</v>
      </c>
      <c r="E3374" s="249" t="str">
        <f>HYPERLINK("https://www.instagram.com/p/BYWsv5-nBOT/")</f>
        <v>https://www.instagram.com/p/BYWsv5-nBOT/</v>
      </c>
      <c r="F3374" t="s">
        <v>19439</v>
      </c>
      <c r="G3374" t="s">
        <v>2478</v>
      </c>
      <c r="H3374">
        <v>195</v>
      </c>
      <c r="I3374" t="s">
        <v>2479</v>
      </c>
      <c r="J3374">
        <v>0</v>
      </c>
      <c r="K3374">
        <v>7</v>
      </c>
      <c r="L3374">
        <v>7</v>
      </c>
      <c r="Q3374">
        <v>0</v>
      </c>
      <c r="R3374">
        <v>0</v>
      </c>
      <c r="S3374">
        <v>7</v>
      </c>
      <c r="Y3374" t="s">
        <v>19440</v>
      </c>
      <c r="Z3374" t="s">
        <v>18472</v>
      </c>
      <c r="AA3374" t="s">
        <v>19441</v>
      </c>
      <c r="AB3374" t="s">
        <v>8054</v>
      </c>
      <c r="AC3374" t="s">
        <v>2497</v>
      </c>
      <c r="AD3374" s="249" t="str">
        <f>HYPERLINK("https://scontent.cdninstagram.com/t51.2885-15/s320x320/e35/21042068_1412116055509120_6019771542974496768_n.jpg")</f>
        <v>https://scontent.cdninstagram.com/t51.2885-15/s320x320/e35/21042068_1412116055509120_6019771542974496768_n.jpg</v>
      </c>
      <c r="AE3374" s="249" t="str">
        <f>HYPERLINK("https://scontent.cdninstagram.com/t51.2885-19/s150x150/15306598_1217285564984584_8224680969601286144_a.jpg")</f>
        <v>https://scontent.cdninstagram.com/t51.2885-19/s150x150/15306598_1217285564984584_8224680969601286144_a.jpg</v>
      </c>
    </row>
    <row r="3375" spans="1:31" ht="15" x14ac:dyDescent="0.25">
      <c r="A3375" t="s">
        <v>2474</v>
      </c>
      <c r="B3375" t="s">
        <v>19442</v>
      </c>
      <c r="C3375" s="221">
        <v>42975.784155092595</v>
      </c>
      <c r="D3375" t="s">
        <v>19443</v>
      </c>
      <c r="E3375" s="249" t="str">
        <f>HYPERLINK("https://www.instagram.com/p/BYWtVwyh4YF/")</f>
        <v>https://www.instagram.com/p/BYWtVwyh4YF/</v>
      </c>
      <c r="F3375" t="s">
        <v>19444</v>
      </c>
      <c r="G3375" t="s">
        <v>2478</v>
      </c>
      <c r="H3375">
        <v>418</v>
      </c>
      <c r="I3375" t="s">
        <v>2479</v>
      </c>
      <c r="J3375">
        <v>1</v>
      </c>
      <c r="K3375">
        <v>59</v>
      </c>
      <c r="L3375">
        <v>60</v>
      </c>
      <c r="Q3375">
        <v>0</v>
      </c>
      <c r="R3375">
        <v>0</v>
      </c>
      <c r="S3375">
        <v>60</v>
      </c>
      <c r="Y3375" t="s">
        <v>19445</v>
      </c>
      <c r="Z3375" t="s">
        <v>4987</v>
      </c>
      <c r="AA3375" t="s">
        <v>2833</v>
      </c>
      <c r="AB3375" t="s">
        <v>2497</v>
      </c>
      <c r="AC3375" t="s">
        <v>17605</v>
      </c>
      <c r="AD3375" s="249" t="str">
        <f>HYPERLINK("https://scontent.cdninstagram.com/t51.2885-15/s320x320/e35/21149561_472393806453520_2669641264764289024_n.jpg")</f>
        <v>https://scontent.cdninstagram.com/t51.2885-15/s320x320/e35/21149561_472393806453520_2669641264764289024_n.jpg</v>
      </c>
      <c r="AE3375" s="249" t="str">
        <f>HYPERLINK("https://scontent.cdninstagram.com/t51.2885-19/s150x150/20838738_1494839593909698_6320021698636677120_a.jpg")</f>
        <v>https://scontent.cdninstagram.com/t51.2885-19/s150x150/20838738_1494839593909698_6320021698636677120_a.jpg</v>
      </c>
    </row>
    <row r="3376" spans="1:31" ht="15" x14ac:dyDescent="0.25">
      <c r="A3376" t="s">
        <v>2474</v>
      </c>
      <c r="B3376" t="s">
        <v>5548</v>
      </c>
      <c r="C3376" s="221">
        <v>42975.786296296297</v>
      </c>
      <c r="D3376" t="s">
        <v>19446</v>
      </c>
      <c r="E3376" s="249" t="str">
        <f>HYPERLINK("https://www.instagram.com/p/BYWtsVcH1rF/")</f>
        <v>https://www.instagram.com/p/BYWtsVcH1rF/</v>
      </c>
      <c r="F3376" t="s">
        <v>19447</v>
      </c>
      <c r="G3376" t="s">
        <v>2478</v>
      </c>
      <c r="H3376">
        <v>855</v>
      </c>
      <c r="I3376" t="s">
        <v>2479</v>
      </c>
      <c r="J3376">
        <v>2</v>
      </c>
      <c r="K3376">
        <v>137</v>
      </c>
      <c r="L3376">
        <v>139</v>
      </c>
      <c r="Q3376">
        <v>0</v>
      </c>
      <c r="R3376">
        <v>0</v>
      </c>
      <c r="S3376">
        <v>139</v>
      </c>
      <c r="Y3376" t="s">
        <v>19448</v>
      </c>
      <c r="Z3376" t="s">
        <v>19449</v>
      </c>
      <c r="AA3376" t="s">
        <v>19450</v>
      </c>
      <c r="AB3376" t="s">
        <v>2497</v>
      </c>
      <c r="AC3376" t="s">
        <v>19451</v>
      </c>
      <c r="AD3376" s="249" t="str">
        <f>HYPERLINK("https://scontent.cdninstagram.com/t51.2885-15/s320x320/e35/21107390_2045901698976048_1064706947976003584_n.jpg")</f>
        <v>https://scontent.cdninstagram.com/t51.2885-15/s320x320/e35/21107390_2045901698976048_1064706947976003584_n.jpg</v>
      </c>
      <c r="AE3376" s="249" t="str">
        <f>HYPERLINK("https://scontent.cdninstagram.com/t51.2885-19/s150x150/13108909_1000696516646693_1898242059_a.jpg")</f>
        <v>https://scontent.cdninstagram.com/t51.2885-19/s150x150/13108909_1000696516646693_1898242059_a.jpg</v>
      </c>
    </row>
    <row r="3377" spans="1:31" ht="15" x14ac:dyDescent="0.25">
      <c r="A3377" t="s">
        <v>2474</v>
      </c>
      <c r="B3377" t="s">
        <v>19452</v>
      </c>
      <c r="C3377" s="221">
        <v>42975.802118055559</v>
      </c>
      <c r="D3377" t="s">
        <v>19453</v>
      </c>
      <c r="E3377" s="249" t="str">
        <f>HYPERLINK("https://www.instagram.com/p/BYWwTRUHT7O/")</f>
        <v>https://www.instagram.com/p/BYWwTRUHT7O/</v>
      </c>
      <c r="F3377" t="s">
        <v>19454</v>
      </c>
      <c r="G3377" t="s">
        <v>2478</v>
      </c>
      <c r="H3377">
        <v>243</v>
      </c>
      <c r="I3377" t="s">
        <v>2479</v>
      </c>
      <c r="J3377">
        <v>0</v>
      </c>
      <c r="K3377">
        <v>7</v>
      </c>
      <c r="L3377">
        <v>7</v>
      </c>
      <c r="Q3377">
        <v>0</v>
      </c>
      <c r="R3377">
        <v>0</v>
      </c>
      <c r="S3377">
        <v>7</v>
      </c>
      <c r="Y3377" t="s">
        <v>19455</v>
      </c>
      <c r="Z3377" t="s">
        <v>19456</v>
      </c>
      <c r="AA3377" t="s">
        <v>19457</v>
      </c>
      <c r="AB3377" t="s">
        <v>2497</v>
      </c>
      <c r="AC3377" t="s">
        <v>12476</v>
      </c>
      <c r="AD3377" s="249" t="str">
        <f>HYPERLINK("https://scontent.cdninstagram.com/t51.2885-15/e35/p320x320/21224375_1724216074550025_8836323431113818112_n.jpg")</f>
        <v>https://scontent.cdninstagram.com/t51.2885-15/e35/p320x320/21224375_1724216074550025_8836323431113818112_n.jpg</v>
      </c>
      <c r="AE3377" s="249" t="str">
        <f>HYPERLINK("https://scontent.cdninstagram.com/t51.2885-19/s150x150/11881796_459622120884424_326178054_a.jpg")</f>
        <v>https://scontent.cdninstagram.com/t51.2885-19/s150x150/11881796_459622120884424_326178054_a.jpg</v>
      </c>
    </row>
    <row r="3378" spans="1:31" ht="15" x14ac:dyDescent="0.25">
      <c r="A3378" t="s">
        <v>2474</v>
      </c>
      <c r="B3378" t="s">
        <v>19458</v>
      </c>
      <c r="C3378" s="221">
        <v>42975.814652777779</v>
      </c>
      <c r="D3378" t="s">
        <v>19459</v>
      </c>
      <c r="E3378" s="249" t="str">
        <f>HYPERLINK("https://www.instagram.com/p/BYWyXXzh8W3/")</f>
        <v>https://www.instagram.com/p/BYWyXXzh8W3/</v>
      </c>
      <c r="F3378" t="s">
        <v>19460</v>
      </c>
      <c r="G3378" t="s">
        <v>2631</v>
      </c>
      <c r="H3378">
        <v>1001</v>
      </c>
      <c r="I3378" t="s">
        <v>2479</v>
      </c>
      <c r="J3378">
        <v>7</v>
      </c>
      <c r="K3378">
        <v>78</v>
      </c>
      <c r="L3378">
        <v>85</v>
      </c>
      <c r="Q3378">
        <v>0</v>
      </c>
      <c r="R3378">
        <v>0</v>
      </c>
      <c r="S3378">
        <v>85</v>
      </c>
      <c r="T3378" t="s">
        <v>4985</v>
      </c>
      <c r="U3378" t="s">
        <v>2020</v>
      </c>
      <c r="V3378" t="s">
        <v>2299</v>
      </c>
      <c r="W3378">
        <v>40</v>
      </c>
      <c r="X3378">
        <v>-100</v>
      </c>
      <c r="Y3378" t="s">
        <v>19461</v>
      </c>
      <c r="Z3378" t="s">
        <v>2696</v>
      </c>
      <c r="AA3378" t="s">
        <v>9528</v>
      </c>
      <c r="AB3378" t="s">
        <v>8844</v>
      </c>
      <c r="AC3378" t="s">
        <v>19462</v>
      </c>
      <c r="AD3378" s="249" t="str">
        <f>HYPERLINK("https://scontent.cdninstagram.com/t51.2885-15/e15/p320x320/21147643_1437540159647825_3739863998720376832_n.jpg")</f>
        <v>https://scontent.cdninstagram.com/t51.2885-15/e15/p320x320/21147643_1437540159647825_3739863998720376832_n.jpg</v>
      </c>
      <c r="AE3378" s="249" t="str">
        <f>HYPERLINK("https://scontent.cdninstagram.com/t51.2885-19/s150x150/19227880_1596079427090721_8159940947568754688_a.jpg")</f>
        <v>https://scontent.cdninstagram.com/t51.2885-19/s150x150/19227880_1596079427090721_8159940947568754688_a.jpg</v>
      </c>
    </row>
    <row r="3379" spans="1:31" ht="15" x14ac:dyDescent="0.25">
      <c r="A3379" t="s">
        <v>2474</v>
      </c>
      <c r="B3379" t="s">
        <v>19463</v>
      </c>
      <c r="C3379" s="221">
        <v>42975.823159722226</v>
      </c>
      <c r="D3379" t="s">
        <v>19464</v>
      </c>
      <c r="E3379" s="249" t="str">
        <f>HYPERLINK("https://www.instagram.com/p/BYWzxKUBwN2/")</f>
        <v>https://www.instagram.com/p/BYWzxKUBwN2/</v>
      </c>
      <c r="F3379" t="s">
        <v>19465</v>
      </c>
      <c r="G3379" t="s">
        <v>2478</v>
      </c>
      <c r="H3379">
        <v>325</v>
      </c>
      <c r="I3379" t="s">
        <v>2479</v>
      </c>
      <c r="J3379">
        <v>2</v>
      </c>
      <c r="K3379">
        <v>14</v>
      </c>
      <c r="L3379">
        <v>16</v>
      </c>
      <c r="Q3379">
        <v>0</v>
      </c>
      <c r="R3379">
        <v>0</v>
      </c>
      <c r="S3379">
        <v>16</v>
      </c>
      <c r="Y3379" t="s">
        <v>5884</v>
      </c>
      <c r="Z3379" t="s">
        <v>2497</v>
      </c>
      <c r="AA3379" t="s">
        <v>19466</v>
      </c>
      <c r="AD3379" s="249" t="str">
        <f>HYPERLINK("https://scontent.cdninstagram.com/t51.2885-15/s320x320/e35/21147635_319477915194219_5338591379096338432_n.jpg")</f>
        <v>https://scontent.cdninstagram.com/t51.2885-15/s320x320/e35/21147635_319477915194219_5338591379096338432_n.jpg</v>
      </c>
      <c r="AE3379" s="249" t="str">
        <f>HYPERLINK("https://scontent.cdninstagram.com/t51.2885-19/s150x150/19429373_699116276957092_5745586130787500032_a.jpg")</f>
        <v>https://scontent.cdninstagram.com/t51.2885-19/s150x150/19429373_699116276957092_5745586130787500032_a.jpg</v>
      </c>
    </row>
    <row r="3380" spans="1:31" ht="15" x14ac:dyDescent="0.25">
      <c r="A3380" t="s">
        <v>2474</v>
      </c>
      <c r="B3380" t="s">
        <v>5058</v>
      </c>
      <c r="C3380" s="221">
        <v>42975.832152777781</v>
      </c>
      <c r="D3380" t="s">
        <v>19467</v>
      </c>
      <c r="E3380" s="249" t="str">
        <f>HYPERLINK("https://www.instagram.com/p/BYW1P8cFE3m/")</f>
        <v>https://www.instagram.com/p/BYW1P8cFE3m/</v>
      </c>
      <c r="F3380" t="s">
        <v>19468</v>
      </c>
      <c r="G3380" t="s">
        <v>2478</v>
      </c>
      <c r="H3380">
        <v>224</v>
      </c>
      <c r="I3380" t="s">
        <v>2519</v>
      </c>
      <c r="J3380">
        <v>0</v>
      </c>
      <c r="K3380">
        <v>21</v>
      </c>
      <c r="L3380">
        <v>21</v>
      </c>
      <c r="Q3380">
        <v>0</v>
      </c>
      <c r="R3380">
        <v>0</v>
      </c>
      <c r="S3380">
        <v>21</v>
      </c>
      <c r="Y3380" t="s">
        <v>4370</v>
      </c>
      <c r="Z3380" t="s">
        <v>2497</v>
      </c>
      <c r="AA3380" t="s">
        <v>19469</v>
      </c>
      <c r="AB3380" t="s">
        <v>2513</v>
      </c>
      <c r="AC3380" t="s">
        <v>5229</v>
      </c>
      <c r="AD3380" s="249" t="str">
        <f>HYPERLINK("https://scontent.cdninstagram.com/t51.2885-15/e35/p320x320/21107799_217343945464273_3823147632247701504_n.jpg")</f>
        <v>https://scontent.cdninstagram.com/t51.2885-15/e35/p320x320/21107799_217343945464273_3823147632247701504_n.jpg</v>
      </c>
      <c r="AE3380" s="249" t="str">
        <f>HYPERLINK("https://scontent.cdninstagram.com/t51.2885-19/s150x150/20181000_1733874930238624_1911104509342384128_a.jpg")</f>
        <v>https://scontent.cdninstagram.com/t51.2885-19/s150x150/20181000_1733874930238624_1911104509342384128_a.jpg</v>
      </c>
    </row>
    <row r="3381" spans="1:31" ht="15" x14ac:dyDescent="0.25">
      <c r="A3381" t="s">
        <v>2474</v>
      </c>
      <c r="B3381" t="s">
        <v>17158</v>
      </c>
      <c r="C3381" s="221">
        <v>42975.837800925925</v>
      </c>
      <c r="D3381" t="s">
        <v>19470</v>
      </c>
      <c r="E3381" s="249" t="str">
        <f>HYPERLINK("https://www.instagram.com/p/BYW2LgLnHGd/")</f>
        <v>https://www.instagram.com/p/BYW2LgLnHGd/</v>
      </c>
      <c r="F3381" t="s">
        <v>19471</v>
      </c>
      <c r="G3381" t="s">
        <v>2478</v>
      </c>
      <c r="H3381">
        <v>380</v>
      </c>
      <c r="I3381" t="s">
        <v>2479</v>
      </c>
      <c r="J3381">
        <v>5</v>
      </c>
      <c r="K3381">
        <v>74</v>
      </c>
      <c r="L3381">
        <v>79</v>
      </c>
      <c r="Q3381">
        <v>0</v>
      </c>
      <c r="R3381">
        <v>0</v>
      </c>
      <c r="S3381">
        <v>79</v>
      </c>
      <c r="AD3381" s="249" t="str">
        <f>HYPERLINK("https://scontent.cdninstagram.com/t51.2885-15/s320x320/e35/21107759_1735731620062547_3894794923764875264_n.jpg")</f>
        <v>https://scontent.cdninstagram.com/t51.2885-15/s320x320/e35/21107759_1735731620062547_3894794923764875264_n.jpg</v>
      </c>
      <c r="AE3381" s="249" t="str">
        <f>HYPERLINK("https://scontent.cdninstagram.com/t51.2885-19/s150x150/13658639_315931348749567_46952542_a.jpg")</f>
        <v>https://scontent.cdninstagram.com/t51.2885-19/s150x150/13658639_315931348749567_46952542_a.jpg</v>
      </c>
    </row>
    <row r="3382" spans="1:31" ht="15" x14ac:dyDescent="0.25">
      <c r="A3382" t="s">
        <v>2474</v>
      </c>
      <c r="B3382" t="s">
        <v>18309</v>
      </c>
      <c r="C3382" s="221">
        <v>42975.866006944445</v>
      </c>
      <c r="D3382" t="s">
        <v>19472</v>
      </c>
      <c r="E3382" s="249" t="str">
        <f>HYPERLINK("https://www.instagram.com/p/BYW61AQjsvs/")</f>
        <v>https://www.instagram.com/p/BYW61AQjsvs/</v>
      </c>
      <c r="F3382" t="s">
        <v>19473</v>
      </c>
      <c r="G3382" t="s">
        <v>2478</v>
      </c>
      <c r="H3382">
        <v>8</v>
      </c>
      <c r="I3382" t="s">
        <v>2479</v>
      </c>
      <c r="J3382">
        <v>4</v>
      </c>
      <c r="K3382">
        <v>19</v>
      </c>
      <c r="L3382">
        <v>23</v>
      </c>
      <c r="Q3382">
        <v>0</v>
      </c>
      <c r="R3382">
        <v>0</v>
      </c>
      <c r="S3382">
        <v>23</v>
      </c>
      <c r="Y3382" t="s">
        <v>2497</v>
      </c>
      <c r="Z3382" t="s">
        <v>2968</v>
      </c>
      <c r="AA3382" t="s">
        <v>9549</v>
      </c>
      <c r="AB3382" t="s">
        <v>8753</v>
      </c>
      <c r="AC3382" t="s">
        <v>6843</v>
      </c>
      <c r="AD3382" s="249" t="str">
        <f>HYPERLINK("https://scontent.cdninstagram.com/t51.2885-15/s320x320/e35/21107474_735754299954756_8236093144383356928_n.jpg")</f>
        <v>https://scontent.cdninstagram.com/t51.2885-15/s320x320/e35/21107474_735754299954756_8236093144383356928_n.jpg</v>
      </c>
      <c r="AE3382" s="249" t="str">
        <f>HYPERLINK("https://scontent.cdninstagram.com/t51.2885-19/s150x150/21224635_116853155713206_6935607206414909440_a.jpg")</f>
        <v>https://scontent.cdninstagram.com/t51.2885-19/s150x150/21224635_116853155713206_6935607206414909440_a.jpg</v>
      </c>
    </row>
    <row r="3383" spans="1:31" ht="15" x14ac:dyDescent="0.25">
      <c r="A3383" t="s">
        <v>2474</v>
      </c>
      <c r="B3383" t="s">
        <v>4535</v>
      </c>
      <c r="C3383" s="221">
        <v>42975.871388888889</v>
      </c>
      <c r="D3383" t="s">
        <v>19474</v>
      </c>
      <c r="E3383" s="249" t="str">
        <f>HYPERLINK("https://www.instagram.com/p/BYW7tzJllu4/")</f>
        <v>https://www.instagram.com/p/BYW7tzJllu4/</v>
      </c>
      <c r="F3383" t="s">
        <v>19475</v>
      </c>
      <c r="G3383" t="s">
        <v>2478</v>
      </c>
      <c r="H3383">
        <v>177</v>
      </c>
      <c r="I3383" t="s">
        <v>2479</v>
      </c>
      <c r="J3383">
        <v>4</v>
      </c>
      <c r="K3383">
        <v>35</v>
      </c>
      <c r="L3383">
        <v>39</v>
      </c>
      <c r="Q3383">
        <v>0</v>
      </c>
      <c r="R3383">
        <v>0</v>
      </c>
      <c r="S3383">
        <v>39</v>
      </c>
      <c r="Y3383" t="s">
        <v>2497</v>
      </c>
      <c r="Z3383" t="s">
        <v>12358</v>
      </c>
      <c r="AA3383" t="s">
        <v>8845</v>
      </c>
      <c r="AB3383" t="s">
        <v>8844</v>
      </c>
      <c r="AC3383" t="s">
        <v>12421</v>
      </c>
      <c r="AD3383" s="249" t="str">
        <f>HYPERLINK("https://scontent.cdninstagram.com/t51.2885-15/s320x320/e35/21148885_1857704961225332_583837289914826752_n.jpg")</f>
        <v>https://scontent.cdninstagram.com/t51.2885-15/s320x320/e35/21148885_1857704961225332_583837289914826752_n.jpg</v>
      </c>
      <c r="AE3383" s="249" t="str">
        <f>HYPERLINK("https://scontent.cdninstagram.com/t51.2885-19/s150x150/20399028_1624608414236560_533007696291430400_a.jpg")</f>
        <v>https://scontent.cdninstagram.com/t51.2885-19/s150x150/20399028_1624608414236560_533007696291430400_a.jpg</v>
      </c>
    </row>
    <row r="3384" spans="1:31" ht="15" x14ac:dyDescent="0.25">
      <c r="A3384" t="s">
        <v>2474</v>
      </c>
      <c r="B3384" t="s">
        <v>19476</v>
      </c>
      <c r="C3384" s="221">
        <v>42975.872812499998</v>
      </c>
      <c r="D3384" t="s">
        <v>19477</v>
      </c>
      <c r="E3384" s="249" t="str">
        <f>HYPERLINK("https://www.instagram.com/p/BYW784ZBxCk/")</f>
        <v>https://www.instagram.com/p/BYW784ZBxCk/</v>
      </c>
      <c r="F3384" t="s">
        <v>19478</v>
      </c>
      <c r="G3384" t="s">
        <v>2478</v>
      </c>
      <c r="H3384">
        <v>241</v>
      </c>
      <c r="I3384" t="s">
        <v>2599</v>
      </c>
      <c r="J3384">
        <v>0</v>
      </c>
      <c r="K3384">
        <v>24</v>
      </c>
      <c r="L3384">
        <v>24</v>
      </c>
      <c r="Q3384">
        <v>0</v>
      </c>
      <c r="R3384">
        <v>0</v>
      </c>
      <c r="S3384">
        <v>24</v>
      </c>
      <c r="Y3384" t="s">
        <v>2497</v>
      </c>
      <c r="Z3384" t="s">
        <v>19479</v>
      </c>
      <c r="AA3384" t="s">
        <v>7564</v>
      </c>
      <c r="AB3384" t="s">
        <v>19480</v>
      </c>
      <c r="AC3384" t="s">
        <v>19481</v>
      </c>
      <c r="AD3384" s="249" t="str">
        <f>HYPERLINK("https://scontent.cdninstagram.com/t51.2885-15/s320x320/e35/21149642_477780295910828_8473818132518010880_n.jpg")</f>
        <v>https://scontent.cdninstagram.com/t51.2885-15/s320x320/e35/21149642_477780295910828_8473818132518010880_n.jpg</v>
      </c>
      <c r="AE3384" s="249" t="str">
        <f>HYPERLINK("https://scontent.cdninstagram.com/t51.2885-19/s150x150/18382581_209279172920997_1423174418967822336_a.jpg")</f>
        <v>https://scontent.cdninstagram.com/t51.2885-19/s150x150/18382581_209279172920997_1423174418967822336_a.jpg</v>
      </c>
    </row>
    <row r="3385" spans="1:31" ht="15" x14ac:dyDescent="0.25">
      <c r="A3385" t="s">
        <v>2474</v>
      </c>
      <c r="B3385" t="s">
        <v>3471</v>
      </c>
      <c r="C3385" s="221">
        <v>42975.890069444446</v>
      </c>
      <c r="D3385" t="s">
        <v>19482</v>
      </c>
      <c r="E3385" s="249" t="str">
        <f>HYPERLINK("https://www.instagram.com/p/BYW-yyZnbG8/")</f>
        <v>https://www.instagram.com/p/BYW-yyZnbG8/</v>
      </c>
      <c r="F3385" t="s">
        <v>19483</v>
      </c>
      <c r="G3385" t="s">
        <v>2631</v>
      </c>
      <c r="H3385">
        <v>195</v>
      </c>
      <c r="I3385" t="s">
        <v>2479</v>
      </c>
      <c r="J3385">
        <v>1</v>
      </c>
      <c r="K3385">
        <v>23</v>
      </c>
      <c r="L3385">
        <v>24</v>
      </c>
      <c r="Q3385">
        <v>0</v>
      </c>
      <c r="R3385">
        <v>0</v>
      </c>
      <c r="S3385">
        <v>24</v>
      </c>
      <c r="T3385" t="s">
        <v>19484</v>
      </c>
      <c r="V3385" t="s">
        <v>2287</v>
      </c>
      <c r="W3385">
        <v>25.197005113212999</v>
      </c>
      <c r="X3385">
        <v>55.278721036203997</v>
      </c>
      <c r="Y3385" t="s">
        <v>2832</v>
      </c>
      <c r="Z3385" t="s">
        <v>2497</v>
      </c>
      <c r="AA3385" t="s">
        <v>5113</v>
      </c>
      <c r="AB3385" t="s">
        <v>8951</v>
      </c>
      <c r="AC3385" t="s">
        <v>6773</v>
      </c>
      <c r="AD3385" s="249" t="str">
        <f>HYPERLINK("https://scontent.cdninstagram.com/t51.2885-15/s320x320/e15/21107284_266395847185443_1193973334597959680_n.jpg")</f>
        <v>https://scontent.cdninstagram.com/t51.2885-15/s320x320/e15/21107284_266395847185443_1193973334597959680_n.jpg</v>
      </c>
      <c r="AE3385" s="249" t="str">
        <f>HYPERLINK("https://scontent.cdninstagram.com/t51.2885-19/s150x150/19986209_741127056067001_1270489010199855104_a.jpg")</f>
        <v>https://scontent.cdninstagram.com/t51.2885-19/s150x150/19986209_741127056067001_1270489010199855104_a.jpg</v>
      </c>
    </row>
    <row r="3386" spans="1:31" ht="15" x14ac:dyDescent="0.25">
      <c r="A3386" t="s">
        <v>2474</v>
      </c>
      <c r="B3386" t="s">
        <v>19485</v>
      </c>
      <c r="C3386" s="221">
        <v>42975.89334490741</v>
      </c>
      <c r="D3386" t="s">
        <v>19486</v>
      </c>
      <c r="E3386" s="249" t="str">
        <f>HYPERLINK("https://www.instagram.com/p/BYW_VbGnDmM/")</f>
        <v>https://www.instagram.com/p/BYW_VbGnDmM/</v>
      </c>
      <c r="F3386" t="s">
        <v>19487</v>
      </c>
      <c r="G3386" t="s">
        <v>2478</v>
      </c>
      <c r="H3386">
        <v>474</v>
      </c>
      <c r="I3386" t="s">
        <v>2479</v>
      </c>
      <c r="J3386">
        <v>0</v>
      </c>
      <c r="K3386">
        <v>10</v>
      </c>
      <c r="L3386">
        <v>10</v>
      </c>
      <c r="Q3386">
        <v>0</v>
      </c>
      <c r="R3386">
        <v>0</v>
      </c>
      <c r="S3386">
        <v>10</v>
      </c>
      <c r="T3386" t="s">
        <v>19488</v>
      </c>
      <c r="U3386" t="s">
        <v>362</v>
      </c>
      <c r="V3386" t="s">
        <v>2299</v>
      </c>
      <c r="W3386">
        <v>33.876309900000003</v>
      </c>
      <c r="X3386">
        <v>-78.614660000000001</v>
      </c>
      <c r="Y3386" t="s">
        <v>2497</v>
      </c>
      <c r="Z3386" t="s">
        <v>19489</v>
      </c>
      <c r="AD3386" s="249" t="str">
        <f>HYPERLINK("https://scontent.cdninstagram.com/t51.2885-15/s320x320/e35/21107422_1994945850777790_5582004793716506624_n.jpg")</f>
        <v>https://scontent.cdninstagram.com/t51.2885-15/s320x320/e35/21107422_1994945850777790_5582004793716506624_n.jpg</v>
      </c>
      <c r="AE3386" s="249" t="str">
        <f>HYPERLINK("https://scontent.cdninstagram.com/t51.2885-19/s150x150/12749986_971956162897622_1331498159_a.jpg")</f>
        <v>https://scontent.cdninstagram.com/t51.2885-19/s150x150/12749986_971956162897622_1331498159_a.jpg</v>
      </c>
    </row>
    <row r="3387" spans="1:31" ht="15" x14ac:dyDescent="0.25">
      <c r="A3387" t="s">
        <v>2474</v>
      </c>
      <c r="B3387" t="s">
        <v>4535</v>
      </c>
      <c r="C3387" s="221">
        <v>42975.895185185182</v>
      </c>
      <c r="D3387" t="s">
        <v>19490</v>
      </c>
      <c r="E3387" s="249" t="str">
        <f>HYPERLINK("https://www.instagram.com/p/BYW_ox_FNUp/")</f>
        <v>https://www.instagram.com/p/BYW_ox_FNUp/</v>
      </c>
      <c r="F3387" t="s">
        <v>19491</v>
      </c>
      <c r="G3387" t="s">
        <v>2478</v>
      </c>
      <c r="H3387">
        <v>177</v>
      </c>
      <c r="I3387" t="s">
        <v>2479</v>
      </c>
      <c r="J3387">
        <v>1</v>
      </c>
      <c r="K3387">
        <v>22</v>
      </c>
      <c r="L3387">
        <v>23</v>
      </c>
      <c r="Q3387">
        <v>0</v>
      </c>
      <c r="R3387">
        <v>0</v>
      </c>
      <c r="S3387">
        <v>23</v>
      </c>
      <c r="Y3387" t="s">
        <v>3174</v>
      </c>
      <c r="Z3387" t="s">
        <v>4538</v>
      </c>
      <c r="AA3387" t="s">
        <v>10673</v>
      </c>
      <c r="AB3387" t="s">
        <v>5606</v>
      </c>
      <c r="AC3387" t="s">
        <v>10684</v>
      </c>
      <c r="AD3387" s="249" t="str">
        <f>HYPERLINK("https://scontent.cdninstagram.com/t51.2885-15/e35/p320x320/21147936_1213226462115572_3461743863914299392_n.jpg")</f>
        <v>https://scontent.cdninstagram.com/t51.2885-15/e35/p320x320/21147936_1213226462115572_3461743863914299392_n.jpg</v>
      </c>
      <c r="AE3387" s="249" t="str">
        <f>HYPERLINK("https://scontent.cdninstagram.com/t51.2885-19/s150x150/20399028_1624608414236560_533007696291430400_a.jpg")</f>
        <v>https://scontent.cdninstagram.com/t51.2885-19/s150x150/20399028_1624608414236560_533007696291430400_a.jpg</v>
      </c>
    </row>
    <row r="3388" spans="1:31" ht="15" x14ac:dyDescent="0.25">
      <c r="A3388" t="s">
        <v>2474</v>
      </c>
      <c r="B3388" t="s">
        <v>4535</v>
      </c>
      <c r="C3388" s="221">
        <v>42975.897314814814</v>
      </c>
      <c r="D3388" t="s">
        <v>19492</v>
      </c>
      <c r="E3388" s="249" t="str">
        <f>HYPERLINK("https://www.instagram.com/p/BYW__RrlAZC/")</f>
        <v>https://www.instagram.com/p/BYW__RrlAZC/</v>
      </c>
      <c r="F3388" t="s">
        <v>19493</v>
      </c>
      <c r="G3388" t="s">
        <v>2478</v>
      </c>
      <c r="H3388">
        <v>177</v>
      </c>
      <c r="I3388" t="s">
        <v>2479</v>
      </c>
      <c r="J3388">
        <v>1</v>
      </c>
      <c r="K3388">
        <v>30</v>
      </c>
      <c r="L3388">
        <v>31</v>
      </c>
      <c r="Q3388">
        <v>0</v>
      </c>
      <c r="R3388">
        <v>0</v>
      </c>
      <c r="S3388">
        <v>31</v>
      </c>
      <c r="Y3388" t="s">
        <v>3174</v>
      </c>
      <c r="Z3388" t="s">
        <v>4538</v>
      </c>
      <c r="AA3388" t="s">
        <v>10673</v>
      </c>
      <c r="AB3388" t="s">
        <v>5606</v>
      </c>
      <c r="AC3388" t="s">
        <v>10684</v>
      </c>
      <c r="AD3388" s="249" t="str">
        <f>HYPERLINK("https://scontent.cdninstagram.com/t51.2885-15/e35/p320x320/21224764_170020753573661_4062503346450202624_n.jpg")</f>
        <v>https://scontent.cdninstagram.com/t51.2885-15/e35/p320x320/21224764_170020753573661_4062503346450202624_n.jpg</v>
      </c>
      <c r="AE3388" s="249" t="str">
        <f>HYPERLINK("https://scontent.cdninstagram.com/t51.2885-19/s150x150/20399028_1624608414236560_533007696291430400_a.jpg")</f>
        <v>https://scontent.cdninstagram.com/t51.2885-19/s150x150/20399028_1624608414236560_533007696291430400_a.jpg</v>
      </c>
    </row>
    <row r="3389" spans="1:31" ht="15" x14ac:dyDescent="0.25">
      <c r="A3389" t="s">
        <v>2474</v>
      </c>
      <c r="B3389" t="s">
        <v>19494</v>
      </c>
      <c r="C3389" s="221">
        <v>42975.897592592592</v>
      </c>
      <c r="D3389" t="s">
        <v>19495</v>
      </c>
      <c r="E3389" s="249" t="str">
        <f>HYPERLINK("https://www.instagram.com/p/BYXACJlDCMk/")</f>
        <v>https://www.instagram.com/p/BYXACJlDCMk/</v>
      </c>
      <c r="F3389" t="s">
        <v>19496</v>
      </c>
      <c r="G3389" t="s">
        <v>2488</v>
      </c>
      <c r="H3389">
        <v>221</v>
      </c>
      <c r="I3389" t="s">
        <v>2479</v>
      </c>
      <c r="J3389">
        <v>1</v>
      </c>
      <c r="K3389">
        <v>38</v>
      </c>
      <c r="L3389">
        <v>39</v>
      </c>
      <c r="Q3389">
        <v>0</v>
      </c>
      <c r="R3389">
        <v>0</v>
      </c>
      <c r="S3389">
        <v>39</v>
      </c>
      <c r="Y3389" t="s">
        <v>5836</v>
      </c>
      <c r="Z3389" t="s">
        <v>4369</v>
      </c>
      <c r="AA3389" t="s">
        <v>19497</v>
      </c>
      <c r="AB3389" t="s">
        <v>2492</v>
      </c>
      <c r="AC3389" t="s">
        <v>19498</v>
      </c>
      <c r="AD3389" s="249" t="str">
        <f>HYPERLINK("https://scontent.cdninstagram.com/t51.2885-15/s320x320/e35/21224402_1383775801671442_3677902098973851648_n.jpg")</f>
        <v>https://scontent.cdninstagram.com/t51.2885-15/s320x320/e35/21224402_1383775801671442_3677902098973851648_n.jpg</v>
      </c>
      <c r="AE3389" s="249" t="str">
        <f>HYPERLINK("https://scontent.cdninstagram.com/t51.2885-19/s150x150/19436273_439558023074986_5957836993579712512_a.jpg")</f>
        <v>https://scontent.cdninstagram.com/t51.2885-19/s150x150/19436273_439558023074986_5957836993579712512_a.jpg</v>
      </c>
    </row>
    <row r="3390" spans="1:31" ht="15" x14ac:dyDescent="0.25">
      <c r="A3390" t="s">
        <v>2474</v>
      </c>
      <c r="B3390" t="s">
        <v>4535</v>
      </c>
      <c r="C3390" s="221">
        <v>42975.898009259261</v>
      </c>
      <c r="D3390" t="s">
        <v>19499</v>
      </c>
      <c r="E3390" s="249" t="str">
        <f>HYPERLINK("https://www.instagram.com/p/BYXAGjMFDyH/")</f>
        <v>https://www.instagram.com/p/BYXAGjMFDyH/</v>
      </c>
      <c r="F3390" t="s">
        <v>19500</v>
      </c>
      <c r="G3390" t="s">
        <v>2478</v>
      </c>
      <c r="H3390">
        <v>177</v>
      </c>
      <c r="I3390" t="s">
        <v>2479</v>
      </c>
      <c r="J3390">
        <v>0</v>
      </c>
      <c r="K3390">
        <v>24</v>
      </c>
      <c r="L3390">
        <v>24</v>
      </c>
      <c r="Q3390">
        <v>0</v>
      </c>
      <c r="R3390">
        <v>0</v>
      </c>
      <c r="S3390">
        <v>24</v>
      </c>
      <c r="Y3390" t="s">
        <v>12358</v>
      </c>
      <c r="Z3390" t="s">
        <v>5606</v>
      </c>
      <c r="AA3390" t="s">
        <v>5607</v>
      </c>
      <c r="AB3390" t="s">
        <v>3174</v>
      </c>
      <c r="AC3390" t="s">
        <v>12421</v>
      </c>
      <c r="AD3390" s="249" t="str">
        <f>HYPERLINK("https://scontent.cdninstagram.com/t51.2885-15/s320x320/e35/21148173_501338040213570_6936939092953268224_n.jpg")</f>
        <v>https://scontent.cdninstagram.com/t51.2885-15/s320x320/e35/21148173_501338040213570_6936939092953268224_n.jpg</v>
      </c>
      <c r="AE3390" s="249" t="str">
        <f>HYPERLINK("https://scontent.cdninstagram.com/t51.2885-19/s150x150/20399028_1624608414236560_533007696291430400_a.jpg")</f>
        <v>https://scontent.cdninstagram.com/t51.2885-19/s150x150/20399028_1624608414236560_533007696291430400_a.jpg</v>
      </c>
    </row>
    <row r="3391" spans="1:31" ht="15" x14ac:dyDescent="0.25">
      <c r="A3391" t="s">
        <v>2474</v>
      </c>
      <c r="B3391" t="s">
        <v>5699</v>
      </c>
      <c r="C3391" s="221">
        <v>42975.900613425925</v>
      </c>
      <c r="D3391" t="s">
        <v>19501</v>
      </c>
      <c r="E3391" s="249" t="str">
        <f>HYPERLINK("https://www.instagram.com/p/BYXAiDEhRI9/")</f>
        <v>https://www.instagram.com/p/BYXAiDEhRI9/</v>
      </c>
      <c r="F3391" t="s">
        <v>19502</v>
      </c>
      <c r="G3391" t="s">
        <v>2478</v>
      </c>
      <c r="H3391">
        <v>95</v>
      </c>
      <c r="I3391" t="s">
        <v>2479</v>
      </c>
      <c r="J3391">
        <v>0</v>
      </c>
      <c r="K3391">
        <v>19</v>
      </c>
      <c r="L3391">
        <v>19</v>
      </c>
      <c r="Q3391">
        <v>0</v>
      </c>
      <c r="R3391">
        <v>0</v>
      </c>
      <c r="S3391">
        <v>19</v>
      </c>
      <c r="T3391" t="s">
        <v>19503</v>
      </c>
      <c r="U3391" t="s">
        <v>97</v>
      </c>
      <c r="V3391" t="s">
        <v>2299</v>
      </c>
      <c r="W3391">
        <v>33.812069999999999</v>
      </c>
      <c r="X3391">
        <v>-117.91981</v>
      </c>
      <c r="Y3391" t="s">
        <v>5702</v>
      </c>
      <c r="Z3391" t="s">
        <v>6772</v>
      </c>
      <c r="AA3391" t="s">
        <v>3851</v>
      </c>
      <c r="AB3391" t="s">
        <v>16467</v>
      </c>
      <c r="AC3391" t="s">
        <v>7826</v>
      </c>
      <c r="AD3391" s="249" t="str">
        <f>HYPERLINK("https://scontent.cdninstagram.com/t51.2885-15/s320x320/e35/21147306_343737126078839_2225512157112434688_n.jpg")</f>
        <v>https://scontent.cdninstagram.com/t51.2885-15/s320x320/e35/21147306_343737126078839_2225512157112434688_n.jpg</v>
      </c>
      <c r="AE3391" s="249" t="str">
        <f>HYPERLINK("https://scontent.cdninstagram.com/t51.2885-19/s150x150/18252635_446319085720165_2717160400675143680_a.jpg")</f>
        <v>https://scontent.cdninstagram.com/t51.2885-19/s150x150/18252635_446319085720165_2717160400675143680_a.jpg</v>
      </c>
    </row>
    <row r="3392" spans="1:31" ht="15" x14ac:dyDescent="0.25">
      <c r="A3392" t="s">
        <v>2474</v>
      </c>
      <c r="B3392" t="s">
        <v>4535</v>
      </c>
      <c r="C3392" s="221">
        <v>42975.903773148151</v>
      </c>
      <c r="D3392" t="s">
        <v>19504</v>
      </c>
      <c r="E3392" s="249" t="str">
        <f>HYPERLINK("https://www.instagram.com/p/BYXBDY0lrG_/")</f>
        <v>https://www.instagram.com/p/BYXBDY0lrG_/</v>
      </c>
      <c r="F3392" t="s">
        <v>19505</v>
      </c>
      <c r="G3392" t="s">
        <v>2478</v>
      </c>
      <c r="H3392">
        <v>177</v>
      </c>
      <c r="I3392" t="s">
        <v>2479</v>
      </c>
      <c r="J3392">
        <v>0</v>
      </c>
      <c r="K3392">
        <v>19</v>
      </c>
      <c r="L3392">
        <v>19</v>
      </c>
      <c r="Q3392">
        <v>0</v>
      </c>
      <c r="R3392">
        <v>0</v>
      </c>
      <c r="S3392">
        <v>19</v>
      </c>
      <c r="Y3392" t="s">
        <v>4542</v>
      </c>
      <c r="Z3392" t="s">
        <v>12421</v>
      </c>
      <c r="AA3392" t="s">
        <v>12358</v>
      </c>
      <c r="AB3392" t="s">
        <v>10684</v>
      </c>
      <c r="AC3392" t="s">
        <v>10673</v>
      </c>
      <c r="AD3392" s="249" t="str">
        <f>HYPERLINK("https://scontent.cdninstagram.com/t51.2885-15/s320x320/e35/c0.79.771.771/21149311_445419192518209_6333123079761297408_n.jpg")</f>
        <v>https://scontent.cdninstagram.com/t51.2885-15/s320x320/e35/c0.79.771.771/21149311_445419192518209_6333123079761297408_n.jpg</v>
      </c>
      <c r="AE3392" s="249" t="str">
        <f>HYPERLINK("https://scontent.cdninstagram.com/t51.2885-19/s150x150/20399028_1624608414236560_533007696291430400_a.jpg")</f>
        <v>https://scontent.cdninstagram.com/t51.2885-19/s150x150/20399028_1624608414236560_533007696291430400_a.jpg</v>
      </c>
    </row>
    <row r="3393" spans="1:31" ht="15" x14ac:dyDescent="0.25">
      <c r="A3393" t="s">
        <v>2474</v>
      </c>
      <c r="B3393" t="s">
        <v>4535</v>
      </c>
      <c r="C3393" s="221">
        <v>42975.906134259261</v>
      </c>
      <c r="D3393" t="s">
        <v>19506</v>
      </c>
      <c r="E3393" s="249" t="str">
        <f>HYPERLINK("https://www.instagram.com/p/BYXBcNfFCKD/")</f>
        <v>https://www.instagram.com/p/BYXBcNfFCKD/</v>
      </c>
      <c r="F3393" t="s">
        <v>19507</v>
      </c>
      <c r="G3393" t="s">
        <v>2478</v>
      </c>
      <c r="H3393">
        <v>177</v>
      </c>
      <c r="I3393" t="s">
        <v>2479</v>
      </c>
      <c r="J3393">
        <v>2</v>
      </c>
      <c r="K3393">
        <v>35</v>
      </c>
      <c r="L3393">
        <v>37</v>
      </c>
      <c r="Q3393">
        <v>0</v>
      </c>
      <c r="R3393">
        <v>0</v>
      </c>
      <c r="S3393">
        <v>37</v>
      </c>
      <c r="Y3393" t="s">
        <v>3174</v>
      </c>
      <c r="Z3393" t="s">
        <v>4538</v>
      </c>
      <c r="AA3393" t="s">
        <v>10673</v>
      </c>
      <c r="AB3393" t="s">
        <v>5606</v>
      </c>
      <c r="AC3393" t="s">
        <v>10684</v>
      </c>
      <c r="AD3393" s="249" t="str">
        <f>HYPERLINK("https://scontent.cdninstagram.com/t51.2885-15/e35/p320x320/21149068_461251567592915_545494690934292480_n.jpg")</f>
        <v>https://scontent.cdninstagram.com/t51.2885-15/e35/p320x320/21149068_461251567592915_545494690934292480_n.jpg</v>
      </c>
      <c r="AE3393" s="249" t="str">
        <f>HYPERLINK("https://scontent.cdninstagram.com/t51.2885-19/s150x150/20399028_1624608414236560_533007696291430400_a.jpg")</f>
        <v>https://scontent.cdninstagram.com/t51.2885-19/s150x150/20399028_1624608414236560_533007696291430400_a.jpg</v>
      </c>
    </row>
    <row r="3394" spans="1:31" ht="15" x14ac:dyDescent="0.25">
      <c r="A3394" t="s">
        <v>2474</v>
      </c>
      <c r="B3394" t="s">
        <v>3754</v>
      </c>
      <c r="C3394" s="221">
        <v>42975.908645833333</v>
      </c>
      <c r="D3394" t="s">
        <v>19508</v>
      </c>
      <c r="E3394" s="249" t="str">
        <f>HYPERLINK("https://www.instagram.com/p/BYXB2x2DwCB/")</f>
        <v>https://www.instagram.com/p/BYXB2x2DwCB/</v>
      </c>
      <c r="F3394" t="s">
        <v>14459</v>
      </c>
      <c r="G3394" t="s">
        <v>2478</v>
      </c>
      <c r="H3394">
        <v>201374</v>
      </c>
      <c r="I3394" t="s">
        <v>2479</v>
      </c>
      <c r="J3394">
        <v>0</v>
      </c>
      <c r="K3394">
        <v>239</v>
      </c>
      <c r="L3394">
        <v>239</v>
      </c>
      <c r="Q3394">
        <v>0</v>
      </c>
      <c r="R3394">
        <v>0</v>
      </c>
      <c r="S3394">
        <v>239</v>
      </c>
      <c r="Y3394" t="s">
        <v>4561</v>
      </c>
      <c r="Z3394" t="s">
        <v>4563</v>
      </c>
      <c r="AA3394" t="s">
        <v>3759</v>
      </c>
      <c r="AB3394" t="s">
        <v>4803</v>
      </c>
      <c r="AC3394" t="s">
        <v>4232</v>
      </c>
      <c r="AD3394" s="249" t="str">
        <f>HYPERLINK("https://scontent.cdninstagram.com/t51.2885-15/s320x320/e35/21224870_113650499315582_5517165643838783488_n.jpg")</f>
        <v>https://scontent.cdninstagram.com/t51.2885-15/s320x320/e35/21224870_113650499315582_5517165643838783488_n.jpg</v>
      </c>
      <c r="AE3394" s="249" t="str">
        <f>HYPERLINK("https://scontent.cdninstagram.com/t51.2885-19/s150x150/12905002_1681254462136092_1137392787_a.jpg")</f>
        <v>https://scontent.cdninstagram.com/t51.2885-19/s150x150/12905002_1681254462136092_1137392787_a.jpg</v>
      </c>
    </row>
    <row r="3395" spans="1:31" ht="15" x14ac:dyDescent="0.25">
      <c r="A3395" t="s">
        <v>2474</v>
      </c>
      <c r="B3395" t="s">
        <v>5699</v>
      </c>
      <c r="C3395" s="221">
        <v>42975.909907407404</v>
      </c>
      <c r="D3395" t="s">
        <v>19509</v>
      </c>
      <c r="E3395" s="249" t="str">
        <f>HYPERLINK("https://www.instagram.com/p/BYXCEDABojZ/")</f>
        <v>https://www.instagram.com/p/BYXCEDABojZ/</v>
      </c>
      <c r="F3395" t="s">
        <v>19510</v>
      </c>
      <c r="G3395" t="s">
        <v>2478</v>
      </c>
      <c r="H3395">
        <v>95</v>
      </c>
      <c r="I3395" t="s">
        <v>2542</v>
      </c>
      <c r="J3395">
        <v>1</v>
      </c>
      <c r="K3395">
        <v>20</v>
      </c>
      <c r="L3395">
        <v>21</v>
      </c>
      <c r="Q3395">
        <v>0</v>
      </c>
      <c r="R3395">
        <v>0</v>
      </c>
      <c r="S3395">
        <v>21</v>
      </c>
      <c r="T3395" t="s">
        <v>18490</v>
      </c>
      <c r="V3395" t="s">
        <v>2222</v>
      </c>
      <c r="W3395">
        <v>52.373100000000001</v>
      </c>
      <c r="X3395">
        <v>4.8921999999999999</v>
      </c>
      <c r="Y3395" t="s">
        <v>5702</v>
      </c>
      <c r="Z3395" t="s">
        <v>6772</v>
      </c>
      <c r="AA3395" t="s">
        <v>3851</v>
      </c>
      <c r="AB3395" t="s">
        <v>16467</v>
      </c>
      <c r="AC3395" t="s">
        <v>7826</v>
      </c>
      <c r="AD3395" s="249" t="str">
        <f>HYPERLINK("https://scontent.cdninstagram.com/t51.2885-15/s320x320/e35/21149415_741224776057107_3961299168038748160_n.jpg")</f>
        <v>https://scontent.cdninstagram.com/t51.2885-15/s320x320/e35/21149415_741224776057107_3961299168038748160_n.jpg</v>
      </c>
      <c r="AE3395" s="249" t="str">
        <f>HYPERLINK("https://scontent.cdninstagram.com/t51.2885-19/s150x150/18252635_446319085720165_2717160400675143680_a.jpg")</f>
        <v>https://scontent.cdninstagram.com/t51.2885-19/s150x150/18252635_446319085720165_2717160400675143680_a.jpg</v>
      </c>
    </row>
    <row r="3396" spans="1:31" ht="15" x14ac:dyDescent="0.25">
      <c r="A3396" t="s">
        <v>2474</v>
      </c>
      <c r="B3396" t="s">
        <v>4535</v>
      </c>
      <c r="C3396" s="221">
        <v>42975.912638888891</v>
      </c>
      <c r="D3396" t="s">
        <v>19511</v>
      </c>
      <c r="E3396" s="249" t="str">
        <f>HYPERLINK("https://www.instagram.com/p/BYXCg5wlrtK/")</f>
        <v>https://www.instagram.com/p/BYXCg5wlrtK/</v>
      </c>
      <c r="F3396" t="s">
        <v>19512</v>
      </c>
      <c r="G3396" t="s">
        <v>2478</v>
      </c>
      <c r="H3396">
        <v>177</v>
      </c>
      <c r="I3396" t="s">
        <v>2479</v>
      </c>
      <c r="J3396">
        <v>1</v>
      </c>
      <c r="K3396">
        <v>23</v>
      </c>
      <c r="L3396">
        <v>24</v>
      </c>
      <c r="Q3396">
        <v>0</v>
      </c>
      <c r="R3396">
        <v>0</v>
      </c>
      <c r="S3396">
        <v>24</v>
      </c>
      <c r="Y3396" t="s">
        <v>3174</v>
      </c>
      <c r="Z3396" t="s">
        <v>4538</v>
      </c>
      <c r="AA3396" t="s">
        <v>10673</v>
      </c>
      <c r="AB3396" t="s">
        <v>5606</v>
      </c>
      <c r="AC3396" t="s">
        <v>10684</v>
      </c>
      <c r="AD3396" s="249" t="str">
        <f>HYPERLINK("https://scontent.cdninstagram.com/t51.2885-15/s320x320/e35/21224617_137983466807706_6511370501787484160_n.jpg")</f>
        <v>https://scontent.cdninstagram.com/t51.2885-15/s320x320/e35/21224617_137983466807706_6511370501787484160_n.jpg</v>
      </c>
      <c r="AE3396" s="249" t="str">
        <f>HYPERLINK("https://scontent.cdninstagram.com/t51.2885-19/s150x150/20399028_1624608414236560_533007696291430400_a.jpg")</f>
        <v>https://scontent.cdninstagram.com/t51.2885-19/s150x150/20399028_1624608414236560_533007696291430400_a.jpg</v>
      </c>
    </row>
    <row r="3397" spans="1:31" ht="15" x14ac:dyDescent="0.25">
      <c r="A3397" t="s">
        <v>2474</v>
      </c>
      <c r="B3397" t="s">
        <v>5699</v>
      </c>
      <c r="C3397" s="221">
        <v>42975.917222222219</v>
      </c>
      <c r="D3397" t="s">
        <v>19513</v>
      </c>
      <c r="E3397" s="249" t="str">
        <f>HYPERLINK("https://www.instagram.com/p/BYXDRQAherM/")</f>
        <v>https://www.instagram.com/p/BYXDRQAherM/</v>
      </c>
      <c r="F3397" t="s">
        <v>19514</v>
      </c>
      <c r="G3397" t="s">
        <v>2478</v>
      </c>
      <c r="H3397">
        <v>95</v>
      </c>
      <c r="I3397" t="s">
        <v>2479</v>
      </c>
      <c r="J3397">
        <v>0</v>
      </c>
      <c r="K3397">
        <v>25</v>
      </c>
      <c r="L3397">
        <v>25</v>
      </c>
      <c r="Q3397">
        <v>0</v>
      </c>
      <c r="R3397">
        <v>0</v>
      </c>
      <c r="S3397">
        <v>25</v>
      </c>
      <c r="T3397" t="s">
        <v>6644</v>
      </c>
      <c r="U3397" t="s">
        <v>99</v>
      </c>
      <c r="V3397" t="s">
        <v>2299</v>
      </c>
      <c r="W3397">
        <v>40.714199999999998</v>
      </c>
      <c r="X3397">
        <v>-74.006399999999999</v>
      </c>
      <c r="Y3397" t="s">
        <v>5702</v>
      </c>
      <c r="Z3397" t="s">
        <v>6772</v>
      </c>
      <c r="AA3397" t="s">
        <v>3851</v>
      </c>
      <c r="AB3397" t="s">
        <v>16467</v>
      </c>
      <c r="AC3397" t="s">
        <v>7826</v>
      </c>
      <c r="AD3397" s="249" t="str">
        <f>HYPERLINK("https://scontent.cdninstagram.com/t51.2885-15/e35/p320x320/21149481_350019005433381_5573079585387446272_n.jpg")</f>
        <v>https://scontent.cdninstagram.com/t51.2885-15/e35/p320x320/21149481_350019005433381_5573079585387446272_n.jpg</v>
      </c>
      <c r="AE3397" s="249" t="str">
        <f>HYPERLINK("https://scontent.cdninstagram.com/t51.2885-19/s150x150/18252635_446319085720165_2717160400675143680_a.jpg")</f>
        <v>https://scontent.cdninstagram.com/t51.2885-19/s150x150/18252635_446319085720165_2717160400675143680_a.jpg</v>
      </c>
    </row>
    <row r="3398" spans="1:31" ht="15" x14ac:dyDescent="0.25">
      <c r="A3398" t="s">
        <v>2474</v>
      </c>
      <c r="B3398" t="s">
        <v>19515</v>
      </c>
      <c r="C3398" s="221">
        <v>42975.94734953704</v>
      </c>
      <c r="D3398" t="s">
        <v>19516</v>
      </c>
      <c r="E3398" s="249" t="str">
        <f>HYPERLINK("https://www.instagram.com/p/BYXIO_jgXi0/")</f>
        <v>https://www.instagram.com/p/BYXIO_jgXi0/</v>
      </c>
      <c r="F3398" t="s">
        <v>19517</v>
      </c>
      <c r="G3398" t="s">
        <v>2478</v>
      </c>
      <c r="H3398">
        <v>2</v>
      </c>
      <c r="I3398" t="s">
        <v>2479</v>
      </c>
      <c r="J3398">
        <v>0</v>
      </c>
      <c r="K3398">
        <v>9</v>
      </c>
      <c r="L3398">
        <v>9</v>
      </c>
      <c r="Q3398">
        <v>0</v>
      </c>
      <c r="R3398">
        <v>0</v>
      </c>
      <c r="S3398">
        <v>9</v>
      </c>
      <c r="Y3398" t="s">
        <v>19518</v>
      </c>
      <c r="Z3398" t="s">
        <v>2968</v>
      </c>
      <c r="AA3398" t="s">
        <v>2497</v>
      </c>
      <c r="AB3398" t="s">
        <v>3568</v>
      </c>
      <c r="AC3398" t="s">
        <v>3706</v>
      </c>
      <c r="AD3398" s="249" t="str">
        <f>HYPERLINK("https://scontent.cdninstagram.com/t51.2885-15/s320x320/e35/21149260_346899775731679_6837475325484466176_n.jpg")</f>
        <v>https://scontent.cdninstagram.com/t51.2885-15/s320x320/e35/21149260_346899775731679_6837475325484466176_n.jpg</v>
      </c>
      <c r="AE3398" s="249" t="str">
        <f>HYPERLINK("https://scontent.cdninstagram.com/t51.2885-19/s150x150/20905147_148288172428113_2758764954302545920_a.jpg")</f>
        <v>https://scontent.cdninstagram.com/t51.2885-19/s150x150/20905147_148288172428113_2758764954302545920_a.jpg</v>
      </c>
    </row>
    <row r="3399" spans="1:31" ht="15" x14ac:dyDescent="0.25">
      <c r="A3399" t="s">
        <v>2474</v>
      </c>
      <c r="B3399" t="s">
        <v>19519</v>
      </c>
      <c r="C3399" s="221">
        <v>42975.950972222221</v>
      </c>
      <c r="D3399" t="s">
        <v>19520</v>
      </c>
      <c r="E3399" s="249" t="str">
        <f>HYPERLINK("https://www.instagram.com/p/BYXI1GnBnnM/")</f>
        <v>https://www.instagram.com/p/BYXI1GnBnnM/</v>
      </c>
      <c r="F3399" t="s">
        <v>19521</v>
      </c>
      <c r="G3399" t="s">
        <v>2478</v>
      </c>
      <c r="H3399">
        <v>1275</v>
      </c>
      <c r="I3399" t="s">
        <v>2479</v>
      </c>
      <c r="J3399">
        <v>1</v>
      </c>
      <c r="K3399">
        <v>34</v>
      </c>
      <c r="L3399">
        <v>35</v>
      </c>
      <c r="Q3399">
        <v>0</v>
      </c>
      <c r="R3399">
        <v>0</v>
      </c>
      <c r="S3399">
        <v>35</v>
      </c>
      <c r="Y3399" t="s">
        <v>19522</v>
      </c>
      <c r="Z3399" t="s">
        <v>19523</v>
      </c>
      <c r="AA3399" t="s">
        <v>8572</v>
      </c>
      <c r="AB3399" t="s">
        <v>19524</v>
      </c>
      <c r="AC3399" t="s">
        <v>2497</v>
      </c>
      <c r="AD3399" s="249" t="str">
        <f>HYPERLINK("https://scontent.cdninstagram.com/t51.2885-15/s320x320/e35/21107151_1975982159305452_2888311643375140864_n.jpg")</f>
        <v>https://scontent.cdninstagram.com/t51.2885-15/s320x320/e35/21107151_1975982159305452_2888311643375140864_n.jpg</v>
      </c>
      <c r="AE3399" s="249" t="str">
        <f>HYPERLINK("https://scontent.cdninstagram.com/t51.2885-19/s150x150/17126944_926633487474086_4246227380059766784_a.jpg")</f>
        <v>https://scontent.cdninstagram.com/t51.2885-19/s150x150/17126944_926633487474086_4246227380059766784_a.jpg</v>
      </c>
    </row>
    <row r="3400" spans="1:31" ht="15" x14ac:dyDescent="0.25">
      <c r="A3400" t="s">
        <v>2474</v>
      </c>
      <c r="B3400" t="s">
        <v>19525</v>
      </c>
      <c r="C3400" s="221">
        <v>42975.970567129632</v>
      </c>
      <c r="D3400" t="s">
        <v>19526</v>
      </c>
      <c r="E3400" s="249" t="str">
        <f>HYPERLINK("https://www.instagram.com/p/BYXMDyWgvI1/")</f>
        <v>https://www.instagram.com/p/BYXMDyWgvI1/</v>
      </c>
      <c r="F3400" t="s">
        <v>19527</v>
      </c>
      <c r="G3400" t="s">
        <v>2478</v>
      </c>
      <c r="H3400">
        <v>188</v>
      </c>
      <c r="I3400" t="s">
        <v>2479</v>
      </c>
      <c r="J3400">
        <v>1</v>
      </c>
      <c r="K3400">
        <v>37</v>
      </c>
      <c r="L3400">
        <v>38</v>
      </c>
      <c r="Q3400">
        <v>0</v>
      </c>
      <c r="R3400">
        <v>0</v>
      </c>
      <c r="S3400">
        <v>38</v>
      </c>
      <c r="T3400" t="s">
        <v>19528</v>
      </c>
      <c r="V3400" t="s">
        <v>2102</v>
      </c>
      <c r="W3400">
        <v>-34.049999999999997</v>
      </c>
      <c r="X3400">
        <v>151.15</v>
      </c>
      <c r="Y3400" t="s">
        <v>3768</v>
      </c>
      <c r="Z3400" t="s">
        <v>7322</v>
      </c>
      <c r="AA3400" t="s">
        <v>2968</v>
      </c>
      <c r="AB3400" t="s">
        <v>7280</v>
      </c>
      <c r="AC3400" t="s">
        <v>5265</v>
      </c>
      <c r="AD3400" s="249" t="str">
        <f>HYPERLINK("https://scontent.cdninstagram.com/t51.2885-15/s320x320/e35/21224157_1371718412927324_7920338809617645568_n.jpg")</f>
        <v>https://scontent.cdninstagram.com/t51.2885-15/s320x320/e35/21224157_1371718412927324_7920338809617645568_n.jpg</v>
      </c>
      <c r="AE3400" s="249" t="str">
        <f>HYPERLINK("https://scontent.cdninstagram.com/t51.2885-19/10693475_1523910834511142_104913494_a.jpg")</f>
        <v>https://scontent.cdninstagram.com/t51.2885-19/10693475_1523910834511142_104913494_a.jpg</v>
      </c>
    </row>
    <row r="3401" spans="1:31" ht="15" x14ac:dyDescent="0.25">
      <c r="A3401" t="s">
        <v>2474</v>
      </c>
      <c r="B3401" t="s">
        <v>19529</v>
      </c>
      <c r="C3401" s="221">
        <v>42975.976412037038</v>
      </c>
      <c r="D3401" t="s">
        <v>19530</v>
      </c>
      <c r="E3401" s="249" t="str">
        <f>HYPERLINK("https://www.instagram.com/p/BYXNBfynprE/")</f>
        <v>https://www.instagram.com/p/BYXNBfynprE/</v>
      </c>
      <c r="F3401" t="s">
        <v>19531</v>
      </c>
      <c r="G3401" t="s">
        <v>2478</v>
      </c>
      <c r="H3401">
        <v>5</v>
      </c>
      <c r="I3401" t="s">
        <v>3186</v>
      </c>
      <c r="J3401">
        <v>0</v>
      </c>
      <c r="K3401">
        <v>7</v>
      </c>
      <c r="L3401">
        <v>7</v>
      </c>
      <c r="Q3401">
        <v>0</v>
      </c>
      <c r="R3401">
        <v>0</v>
      </c>
      <c r="S3401">
        <v>7</v>
      </c>
      <c r="Y3401" t="s">
        <v>19532</v>
      </c>
      <c r="Z3401" t="s">
        <v>19533</v>
      </c>
      <c r="AA3401" t="s">
        <v>2497</v>
      </c>
      <c r="AB3401" t="s">
        <v>8516</v>
      </c>
      <c r="AC3401" t="s">
        <v>3384</v>
      </c>
      <c r="AD3401" s="249" t="str">
        <f>HYPERLINK("https://scontent.cdninstagram.com/t51.2885-15/s320x320/e35/21107950_892277964257150_7982807107483205632_n.jpg")</f>
        <v>https://scontent.cdninstagram.com/t51.2885-15/s320x320/e35/21107950_892277964257150_7982807107483205632_n.jpg</v>
      </c>
      <c r="AE3401" s="249" t="str">
        <f>HYPERLINK("https://scontent.cdninstagram.com/t51.2885-19/s150x150/20987416_473743902990312_2862709386273357824_a.jpg")</f>
        <v>https://scontent.cdninstagram.com/t51.2885-19/s150x150/20987416_473743902990312_2862709386273357824_a.jpg</v>
      </c>
    </row>
    <row r="3402" spans="1:31" ht="15" x14ac:dyDescent="0.25">
      <c r="A3402" t="s">
        <v>2474</v>
      </c>
      <c r="B3402" t="s">
        <v>19534</v>
      </c>
      <c r="C3402" s="221">
        <v>42975.978483796294</v>
      </c>
      <c r="D3402" t="s">
        <v>19535</v>
      </c>
      <c r="E3402" s="249" t="str">
        <f>HYPERLINK("https://www.instagram.com/p/BYXNXSlAjzS/")</f>
        <v>https://www.instagram.com/p/BYXNXSlAjzS/</v>
      </c>
      <c r="F3402" t="s">
        <v>19536</v>
      </c>
      <c r="G3402" t="s">
        <v>2478</v>
      </c>
      <c r="H3402">
        <v>116</v>
      </c>
      <c r="I3402" t="s">
        <v>2479</v>
      </c>
      <c r="J3402">
        <v>2</v>
      </c>
      <c r="K3402">
        <v>12</v>
      </c>
      <c r="L3402">
        <v>14</v>
      </c>
      <c r="Q3402">
        <v>0</v>
      </c>
      <c r="R3402">
        <v>0</v>
      </c>
      <c r="S3402">
        <v>14</v>
      </c>
      <c r="Y3402" t="s">
        <v>7231</v>
      </c>
      <c r="Z3402" t="s">
        <v>19537</v>
      </c>
      <c r="AA3402" t="s">
        <v>19538</v>
      </c>
      <c r="AB3402" t="s">
        <v>6724</v>
      </c>
      <c r="AC3402" t="s">
        <v>19539</v>
      </c>
      <c r="AD3402" s="249" t="str">
        <f>HYPERLINK("https://scontent.cdninstagram.com/t51.2885-15/e35/p320x320/21107139_1733715403591355_6845302864726720512_n.jpg")</f>
        <v>https://scontent.cdninstagram.com/t51.2885-15/e35/p320x320/21107139_1733715403591355_6845302864726720512_n.jpg</v>
      </c>
      <c r="AE3402" s="249" t="str">
        <f>HYPERLINK("https://scontent.cdninstagram.com/t51.2885-19/s150x150/14727563_1865864206975013_4544851525528190976_a.jpg")</f>
        <v>https://scontent.cdninstagram.com/t51.2885-19/s150x150/14727563_1865864206975013_4544851525528190976_a.jpg</v>
      </c>
    </row>
    <row r="3403" spans="1:31" ht="15" x14ac:dyDescent="0.25">
      <c r="A3403" t="s">
        <v>2474</v>
      </c>
      <c r="B3403" t="s">
        <v>19540</v>
      </c>
      <c r="C3403" s="221">
        <v>42975.990335648145</v>
      </c>
      <c r="D3403" t="s">
        <v>19541</v>
      </c>
      <c r="E3403" s="249" t="str">
        <f>HYPERLINK("https://www.instagram.com/p/BYXPUUYhhc_/")</f>
        <v>https://www.instagram.com/p/BYXPUUYhhc_/</v>
      </c>
      <c r="F3403" t="s">
        <v>19542</v>
      </c>
      <c r="G3403" t="s">
        <v>2478</v>
      </c>
      <c r="H3403">
        <v>63</v>
      </c>
      <c r="I3403" t="s">
        <v>2479</v>
      </c>
      <c r="J3403">
        <v>2</v>
      </c>
      <c r="K3403">
        <v>18</v>
      </c>
      <c r="L3403">
        <v>20</v>
      </c>
      <c r="Q3403">
        <v>0</v>
      </c>
      <c r="R3403">
        <v>0</v>
      </c>
      <c r="S3403">
        <v>20</v>
      </c>
      <c r="Y3403" t="s">
        <v>19543</v>
      </c>
      <c r="Z3403" t="s">
        <v>19544</v>
      </c>
      <c r="AA3403" t="s">
        <v>19545</v>
      </c>
      <c r="AB3403" t="s">
        <v>19546</v>
      </c>
      <c r="AC3403" t="s">
        <v>8185</v>
      </c>
      <c r="AD3403" s="249" t="str">
        <f>HYPERLINK("https://scontent.cdninstagram.com/t51.2885-15/e35/p320x320/21224126_113312656004574_639025871616737280_n.jpg")</f>
        <v>https://scontent.cdninstagram.com/t51.2885-15/e35/p320x320/21224126_113312656004574_639025871616737280_n.jpg</v>
      </c>
      <c r="AE3403" s="249" t="str">
        <f>HYPERLINK("https://scontent.cdninstagram.com/t51.2885-19/s150x150/15876054_1393653484010052_7585018115679846400_n.jpg")</f>
        <v>https://scontent.cdninstagram.com/t51.2885-19/s150x150/15876054_1393653484010052_7585018115679846400_n.jpg</v>
      </c>
    </row>
    <row r="3404" spans="1:31" ht="15" x14ac:dyDescent="0.25">
      <c r="A3404" t="s">
        <v>2474</v>
      </c>
      <c r="B3404" t="s">
        <v>19547</v>
      </c>
      <c r="C3404" s="221">
        <v>42975.995312500003</v>
      </c>
      <c r="D3404" t="s">
        <v>19548</v>
      </c>
      <c r="E3404" s="249" t="str">
        <f>HYPERLINK("https://www.instagram.com/p/BYXQIw_lwEo/")</f>
        <v>https://www.instagram.com/p/BYXQIw_lwEo/</v>
      </c>
      <c r="F3404" t="s">
        <v>19549</v>
      </c>
      <c r="G3404" t="s">
        <v>2478</v>
      </c>
      <c r="H3404">
        <v>523</v>
      </c>
      <c r="I3404" t="s">
        <v>2479</v>
      </c>
      <c r="J3404">
        <v>0</v>
      </c>
      <c r="K3404">
        <v>73</v>
      </c>
      <c r="L3404">
        <v>73</v>
      </c>
      <c r="Q3404">
        <v>0</v>
      </c>
      <c r="R3404">
        <v>0</v>
      </c>
      <c r="S3404">
        <v>73</v>
      </c>
      <c r="T3404" t="s">
        <v>19550</v>
      </c>
      <c r="V3404" t="s">
        <v>2176</v>
      </c>
      <c r="W3404">
        <v>19.0040896</v>
      </c>
      <c r="X3404">
        <v>73.1208429</v>
      </c>
      <c r="Y3404" t="s">
        <v>3829</v>
      </c>
      <c r="Z3404" t="s">
        <v>2609</v>
      </c>
      <c r="AA3404" t="s">
        <v>3982</v>
      </c>
      <c r="AB3404" t="s">
        <v>3070</v>
      </c>
      <c r="AC3404" t="s">
        <v>7287</v>
      </c>
      <c r="AD3404" s="249" t="str">
        <f>HYPERLINK("https://scontent.cdninstagram.com/t51.2885-15/e35/p320x320/21224295_609157632805088_1108975510903324672_n.jpg")</f>
        <v>https://scontent.cdninstagram.com/t51.2885-15/e35/p320x320/21224295_609157632805088_1108975510903324672_n.jpg</v>
      </c>
      <c r="AE3404" s="249" t="str">
        <f>HYPERLINK("https://scontent.cdninstagram.com/t51.2885-19/s150x150/21227041_1889240264730544_6030211006448271360_a.jpg")</f>
        <v>https://scontent.cdninstagram.com/t51.2885-19/s150x150/21227041_1889240264730544_6030211006448271360_a.jpg</v>
      </c>
    </row>
    <row r="3405" spans="1:31" ht="15" x14ac:dyDescent="0.25">
      <c r="A3405" t="s">
        <v>2474</v>
      </c>
      <c r="B3405" t="s">
        <v>19551</v>
      </c>
      <c r="C3405" s="221">
        <v>42975.997407407405</v>
      </c>
      <c r="D3405" t="s">
        <v>19552</v>
      </c>
      <c r="E3405" s="249" t="str">
        <f>HYPERLINK("https://www.instagram.com/p/BYXQe30AZ4Q/")</f>
        <v>https://www.instagram.com/p/BYXQe30AZ4Q/</v>
      </c>
      <c r="F3405" t="s">
        <v>19553</v>
      </c>
      <c r="G3405" t="s">
        <v>2478</v>
      </c>
      <c r="H3405">
        <v>817</v>
      </c>
      <c r="I3405" t="s">
        <v>3025</v>
      </c>
      <c r="J3405">
        <v>1</v>
      </c>
      <c r="K3405">
        <v>39</v>
      </c>
      <c r="L3405">
        <v>40</v>
      </c>
      <c r="Q3405">
        <v>0</v>
      </c>
      <c r="R3405">
        <v>0</v>
      </c>
      <c r="S3405">
        <v>40</v>
      </c>
      <c r="Y3405" t="s">
        <v>19554</v>
      </c>
      <c r="Z3405" t="s">
        <v>19555</v>
      </c>
      <c r="AA3405" t="s">
        <v>19556</v>
      </c>
      <c r="AB3405" t="s">
        <v>19557</v>
      </c>
      <c r="AC3405" t="s">
        <v>2899</v>
      </c>
      <c r="AD3405" s="249" t="str">
        <f>HYPERLINK("https://scontent.cdninstagram.com/t51.2885-15/e35/p320x320/21149507_271877956639532_5230874213492981760_n.jpg")</f>
        <v>https://scontent.cdninstagram.com/t51.2885-15/e35/p320x320/21149507_271877956639532_5230874213492981760_n.jpg</v>
      </c>
      <c r="AE3405" s="249" t="str">
        <f>HYPERLINK("https://scontent.cdninstagram.com/t51.2885-19/s150x150/18888784_1436496476409924_5484440076102402048_a.jpg")</f>
        <v>https://scontent.cdninstagram.com/t51.2885-19/s150x150/18888784_1436496476409924_5484440076102402048_a.jpg</v>
      </c>
    </row>
    <row r="3406" spans="1:31" ht="15" x14ac:dyDescent="0.25">
      <c r="A3406" t="s">
        <v>2474</v>
      </c>
      <c r="B3406" t="s">
        <v>3761</v>
      </c>
      <c r="C3406" s="221">
        <v>42976.020300925928</v>
      </c>
      <c r="D3406" t="s">
        <v>19558</v>
      </c>
      <c r="E3406" s="249" t="str">
        <f>HYPERLINK("https://www.instagram.com/p/BYXUQTcHCX-/")</f>
        <v>https://www.instagram.com/p/BYXUQTcHCX-/</v>
      </c>
      <c r="F3406" t="s">
        <v>3756</v>
      </c>
      <c r="G3406" t="s">
        <v>2478</v>
      </c>
      <c r="H3406">
        <v>35562</v>
      </c>
      <c r="I3406" t="s">
        <v>2479</v>
      </c>
      <c r="J3406">
        <v>0</v>
      </c>
      <c r="K3406">
        <v>33</v>
      </c>
      <c r="L3406">
        <v>33</v>
      </c>
      <c r="Q3406">
        <v>0</v>
      </c>
      <c r="R3406">
        <v>0</v>
      </c>
      <c r="S3406">
        <v>33</v>
      </c>
      <c r="Y3406" t="s">
        <v>4561</v>
      </c>
      <c r="Z3406" t="s">
        <v>4563</v>
      </c>
      <c r="AA3406" t="s">
        <v>3759</v>
      </c>
      <c r="AB3406" t="s">
        <v>4803</v>
      </c>
      <c r="AC3406" t="s">
        <v>4232</v>
      </c>
      <c r="AD3406" s="249" t="str">
        <f>HYPERLINK("https://scontent.cdninstagram.com/t51.2885-15/s320x320/e35/21149178_332762480501057_7419310473444589568_n.jpg")</f>
        <v>https://scontent.cdninstagram.com/t51.2885-15/s320x320/e35/21149178_332762480501057_7419310473444589568_n.jpg</v>
      </c>
      <c r="AE3406" s="249" t="str">
        <f>HYPERLINK("https://scontent.cdninstagram.com/t51.2885-19/s150x150/19985865_1705783593058831_5928851088227696640_n.jpg")</f>
        <v>https://scontent.cdninstagram.com/t51.2885-19/s150x150/19985865_1705783593058831_5928851088227696640_n.jpg</v>
      </c>
    </row>
    <row r="3407" spans="1:31" ht="15" x14ac:dyDescent="0.25">
      <c r="A3407" t="s">
        <v>2474</v>
      </c>
      <c r="B3407" t="s">
        <v>19559</v>
      </c>
      <c r="C3407" s="221">
        <v>42976.043969907405</v>
      </c>
      <c r="D3407" t="s">
        <v>19560</v>
      </c>
      <c r="E3407" s="249" t="str">
        <f>HYPERLINK("https://www.instagram.com/p/BYXYJ9znLqT/")</f>
        <v>https://www.instagram.com/p/BYXYJ9znLqT/</v>
      </c>
      <c r="F3407" t="s">
        <v>19561</v>
      </c>
      <c r="G3407" t="s">
        <v>2478</v>
      </c>
      <c r="H3407">
        <v>63690</v>
      </c>
      <c r="I3407" t="s">
        <v>3025</v>
      </c>
      <c r="J3407">
        <v>4</v>
      </c>
      <c r="K3407">
        <v>1862</v>
      </c>
      <c r="L3407">
        <v>1866</v>
      </c>
      <c r="Q3407">
        <v>0</v>
      </c>
      <c r="R3407">
        <v>0</v>
      </c>
      <c r="S3407">
        <v>1866</v>
      </c>
      <c r="Y3407" t="s">
        <v>5000</v>
      </c>
      <c r="Z3407" t="s">
        <v>19562</v>
      </c>
      <c r="AA3407" t="s">
        <v>19563</v>
      </c>
      <c r="AB3407" t="s">
        <v>12569</v>
      </c>
      <c r="AC3407" t="s">
        <v>13420</v>
      </c>
      <c r="AD3407" s="249" t="str">
        <f>HYPERLINK("https://scontent.cdninstagram.com/t51.2885-15/s320x320/e35/21042648_164388010780893_3414421506225078272_n.jpg")</f>
        <v>https://scontent.cdninstagram.com/t51.2885-15/s320x320/e35/21042648_164388010780893_3414421506225078272_n.jpg</v>
      </c>
      <c r="AE3407" s="249" t="str">
        <f>HYPERLINK("https://scontent.cdninstagram.com/t51.2885-19/s150x150/14736301_1270057899758149_3091124212455178240_n.jpg")</f>
        <v>https://scontent.cdninstagram.com/t51.2885-19/s150x150/14736301_1270057899758149_3091124212455178240_n.jpg</v>
      </c>
    </row>
    <row r="3408" spans="1:31" ht="15" x14ac:dyDescent="0.25">
      <c r="A3408" t="s">
        <v>2474</v>
      </c>
      <c r="B3408" t="s">
        <v>9763</v>
      </c>
      <c r="C3408" s="221">
        <v>42976.057291666664</v>
      </c>
      <c r="D3408" t="s">
        <v>19564</v>
      </c>
      <c r="E3408" s="249" t="str">
        <f>HYPERLINK("https://www.instagram.com/p/BYXaWc2FOC5/")</f>
        <v>https://www.instagram.com/p/BYXaWc2FOC5/</v>
      </c>
      <c r="F3408" t="s">
        <v>19565</v>
      </c>
      <c r="G3408" t="s">
        <v>2478</v>
      </c>
      <c r="H3408">
        <v>3917</v>
      </c>
      <c r="I3408" t="s">
        <v>2479</v>
      </c>
      <c r="J3408">
        <v>0</v>
      </c>
      <c r="K3408">
        <v>47</v>
      </c>
      <c r="L3408">
        <v>47</v>
      </c>
      <c r="Q3408">
        <v>0</v>
      </c>
      <c r="R3408">
        <v>0</v>
      </c>
      <c r="S3408">
        <v>47</v>
      </c>
      <c r="Y3408" t="s">
        <v>19566</v>
      </c>
      <c r="Z3408" t="s">
        <v>19567</v>
      </c>
      <c r="AA3408" t="s">
        <v>19568</v>
      </c>
      <c r="AB3408" t="s">
        <v>11928</v>
      </c>
      <c r="AC3408" t="s">
        <v>19569</v>
      </c>
      <c r="AD3408" s="249" t="str">
        <f>HYPERLINK("https://scontent.cdninstagram.com/t51.2885-15/s320x320/e35/21147982_114311885900869_1699101732451123200_n.jpg")</f>
        <v>https://scontent.cdninstagram.com/t51.2885-15/s320x320/e35/21147982_114311885900869_1699101732451123200_n.jpg</v>
      </c>
      <c r="AE3408" s="249" t="str">
        <f>HYPERLINK("https://scontent.cdninstagram.com/t51.2885-19/s150x150/20589766_1690084424632944_7116604988058501120_a.jpg")</f>
        <v>https://scontent.cdninstagram.com/t51.2885-19/s150x150/20589766_1690084424632944_7116604988058501120_a.jpg</v>
      </c>
    </row>
    <row r="3409" spans="1:31" ht="15" x14ac:dyDescent="0.25">
      <c r="A3409" t="s">
        <v>2474</v>
      </c>
      <c r="B3409" t="s">
        <v>19570</v>
      </c>
      <c r="C3409" s="221">
        <v>42976.057858796295</v>
      </c>
      <c r="D3409" t="s">
        <v>19571</v>
      </c>
      <c r="E3409" s="249" t="str">
        <f>HYPERLINK("https://www.instagram.com/p/BYXaccQHLjo/")</f>
        <v>https://www.instagram.com/p/BYXaccQHLjo/</v>
      </c>
      <c r="F3409" t="s">
        <v>19572</v>
      </c>
      <c r="G3409" t="s">
        <v>2478</v>
      </c>
      <c r="H3409">
        <v>462</v>
      </c>
      <c r="I3409" t="s">
        <v>2479</v>
      </c>
      <c r="J3409">
        <v>9</v>
      </c>
      <c r="K3409">
        <v>100</v>
      </c>
      <c r="L3409">
        <v>109</v>
      </c>
      <c r="Q3409">
        <v>0</v>
      </c>
      <c r="R3409">
        <v>0</v>
      </c>
      <c r="S3409">
        <v>109</v>
      </c>
      <c r="Y3409" t="s">
        <v>19573</v>
      </c>
      <c r="Z3409" t="s">
        <v>19574</v>
      </c>
      <c r="AA3409" t="s">
        <v>19575</v>
      </c>
      <c r="AB3409" t="s">
        <v>19576</v>
      </c>
      <c r="AC3409" t="s">
        <v>19577</v>
      </c>
      <c r="AD3409" s="249" t="str">
        <f>HYPERLINK("https://scontent.cdninstagram.com/t51.2885-15/s320x320/e35/21147361_1692562620776343_6159676799811846144_n.jpg")</f>
        <v>https://scontent.cdninstagram.com/t51.2885-15/s320x320/e35/21147361_1692562620776343_6159676799811846144_n.jpg</v>
      </c>
      <c r="AE3409" s="249" t="str">
        <f>HYPERLINK("https://scontent.cdninstagram.com/t51.2885-19/s150x150/20838797_401933136921043_5132867341880655872_a.jpg")</f>
        <v>https://scontent.cdninstagram.com/t51.2885-19/s150x150/20838797_401933136921043_5132867341880655872_a.jpg</v>
      </c>
    </row>
    <row r="3410" spans="1:31" ht="15" x14ac:dyDescent="0.25">
      <c r="A3410" t="s">
        <v>2474</v>
      </c>
      <c r="B3410" t="s">
        <v>19578</v>
      </c>
      <c r="C3410" s="221">
        <v>42976.066817129627</v>
      </c>
      <c r="D3410" t="s">
        <v>19579</v>
      </c>
      <c r="E3410" s="249" t="str">
        <f>HYPERLINK("https://www.instagram.com/p/BYXb69Ggvib/")</f>
        <v>https://www.instagram.com/p/BYXb69Ggvib/</v>
      </c>
      <c r="F3410" t="s">
        <v>19580</v>
      </c>
      <c r="G3410" t="s">
        <v>2478</v>
      </c>
      <c r="H3410">
        <v>268</v>
      </c>
      <c r="I3410" t="s">
        <v>2479</v>
      </c>
      <c r="J3410">
        <v>0</v>
      </c>
      <c r="K3410">
        <v>4</v>
      </c>
      <c r="L3410">
        <v>4</v>
      </c>
      <c r="Q3410">
        <v>0</v>
      </c>
      <c r="R3410">
        <v>0</v>
      </c>
      <c r="S3410">
        <v>4</v>
      </c>
      <c r="Y3410" t="s">
        <v>19581</v>
      </c>
      <c r="Z3410" t="s">
        <v>18272</v>
      </c>
      <c r="AA3410" t="s">
        <v>19582</v>
      </c>
      <c r="AB3410" t="s">
        <v>19583</v>
      </c>
      <c r="AC3410" t="s">
        <v>9717</v>
      </c>
      <c r="AD3410" s="249" t="str">
        <f>HYPERLINK("https://scontent.cdninstagram.com/t51.2885-15/e35/p320x320/21042084_1924914364431669_8134311103892029440_n.jpg")</f>
        <v>https://scontent.cdninstagram.com/t51.2885-15/e35/p320x320/21042084_1924914364431669_8134311103892029440_n.jpg</v>
      </c>
      <c r="AE3410" s="249" t="str">
        <f>HYPERLINK("https://scontent.cdninstagram.com/t51.2885-19/s150x150/15057213_1980536332173843_1115947909272043520_a.jpg")</f>
        <v>https://scontent.cdninstagram.com/t51.2885-19/s150x150/15057213_1980536332173843_1115947909272043520_a.jpg</v>
      </c>
    </row>
    <row r="3411" spans="1:31" ht="15" x14ac:dyDescent="0.25">
      <c r="A3411" t="s">
        <v>2474</v>
      </c>
      <c r="B3411" t="s">
        <v>19584</v>
      </c>
      <c r="C3411" s="221">
        <v>42976.084722222222</v>
      </c>
      <c r="D3411" t="s">
        <v>19585</v>
      </c>
      <c r="E3411" s="249" t="str">
        <f>HYPERLINK("https://www.instagram.com/p/BYXe3y6lNTW/")</f>
        <v>https://www.instagram.com/p/BYXe3y6lNTW/</v>
      </c>
      <c r="F3411" t="s">
        <v>19586</v>
      </c>
      <c r="G3411" t="s">
        <v>2488</v>
      </c>
      <c r="H3411">
        <v>442</v>
      </c>
      <c r="I3411" t="s">
        <v>2479</v>
      </c>
      <c r="J3411">
        <v>0</v>
      </c>
      <c r="K3411">
        <v>17</v>
      </c>
      <c r="L3411">
        <v>17</v>
      </c>
      <c r="Q3411">
        <v>0</v>
      </c>
      <c r="R3411">
        <v>0</v>
      </c>
      <c r="S3411">
        <v>17</v>
      </c>
      <c r="Y3411" t="s">
        <v>19587</v>
      </c>
      <c r="Z3411" t="s">
        <v>19588</v>
      </c>
      <c r="AA3411" t="s">
        <v>19589</v>
      </c>
      <c r="AB3411" t="s">
        <v>17536</v>
      </c>
      <c r="AC3411" t="s">
        <v>19590</v>
      </c>
      <c r="AD3411" s="249" t="str">
        <f>HYPERLINK("https://scontent.cdninstagram.com/t51.2885-15/s320x320/e35/21147500_144190019504798_5111767911312130048_n.jpg")</f>
        <v>https://scontent.cdninstagram.com/t51.2885-15/s320x320/e35/21147500_144190019504798_5111767911312130048_n.jpg</v>
      </c>
      <c r="AE3411" s="249" t="str">
        <f>HYPERLINK("https://scontent.cdninstagram.com/t51.2885-19/s150x150/15803356_1627320680896284_4235901312312541184_n.jpg")</f>
        <v>https://scontent.cdninstagram.com/t51.2885-19/s150x150/15803356_1627320680896284_4235901312312541184_n.jpg</v>
      </c>
    </row>
    <row r="3412" spans="1:31" ht="15" x14ac:dyDescent="0.25">
      <c r="A3412" t="s">
        <v>2474</v>
      </c>
      <c r="B3412" t="s">
        <v>19591</v>
      </c>
      <c r="C3412" s="221">
        <v>42976.086087962962</v>
      </c>
      <c r="D3412" t="s">
        <v>19592</v>
      </c>
      <c r="E3412" s="249" t="str">
        <f>HYPERLINK("https://www.instagram.com/p/BYXfGKpApP6/")</f>
        <v>https://www.instagram.com/p/BYXfGKpApP6/</v>
      </c>
      <c r="F3412" t="s">
        <v>19593</v>
      </c>
      <c r="G3412" t="s">
        <v>2478</v>
      </c>
      <c r="H3412">
        <v>232</v>
      </c>
      <c r="I3412" t="s">
        <v>2479</v>
      </c>
      <c r="J3412">
        <v>0</v>
      </c>
      <c r="K3412">
        <v>15</v>
      </c>
      <c r="L3412">
        <v>15</v>
      </c>
      <c r="Q3412">
        <v>0</v>
      </c>
      <c r="R3412">
        <v>0</v>
      </c>
      <c r="S3412">
        <v>15</v>
      </c>
      <c r="Y3412" t="s">
        <v>19594</v>
      </c>
      <c r="Z3412" t="s">
        <v>19595</v>
      </c>
      <c r="AA3412" t="s">
        <v>2497</v>
      </c>
      <c r="AD3412" s="249" t="str">
        <f>HYPERLINK("https://scontent.cdninstagram.com/t51.2885-15/s320x320/e35/21149836_1728897344073232_1597551817762275328_n.jpg")</f>
        <v>https://scontent.cdninstagram.com/t51.2885-15/s320x320/e35/21149836_1728897344073232_1597551817762275328_n.jpg</v>
      </c>
      <c r="AE3412" s="249" t="str">
        <f>HYPERLINK("https://scontent.cdninstagram.com/t51.2885-19/s150x150/20478795_118821388758019_7692441153332838400_a.jpg")</f>
        <v>https://scontent.cdninstagram.com/t51.2885-19/s150x150/20478795_118821388758019_7692441153332838400_a.jpg</v>
      </c>
    </row>
    <row r="3413" spans="1:31" ht="15" x14ac:dyDescent="0.25">
      <c r="A3413" t="s">
        <v>2474</v>
      </c>
      <c r="B3413" t="s">
        <v>2677</v>
      </c>
      <c r="C3413" s="221">
        <v>42976.086504629631</v>
      </c>
      <c r="D3413" t="s">
        <v>19596</v>
      </c>
      <c r="E3413" s="249" t="str">
        <f>HYPERLINK("https://www.instagram.com/p/BYXfKi9lgXN/")</f>
        <v>https://www.instagram.com/p/BYXfKi9lgXN/</v>
      </c>
      <c r="F3413" t="s">
        <v>19597</v>
      </c>
      <c r="G3413" t="s">
        <v>2478</v>
      </c>
      <c r="H3413">
        <v>27049</v>
      </c>
      <c r="I3413" t="s">
        <v>2479</v>
      </c>
      <c r="J3413">
        <v>13</v>
      </c>
      <c r="K3413">
        <v>526</v>
      </c>
      <c r="L3413">
        <v>539</v>
      </c>
      <c r="Q3413">
        <v>0</v>
      </c>
      <c r="R3413">
        <v>0</v>
      </c>
      <c r="S3413">
        <v>539</v>
      </c>
      <c r="Y3413" t="s">
        <v>10905</v>
      </c>
      <c r="Z3413" t="s">
        <v>19598</v>
      </c>
      <c r="AA3413" t="s">
        <v>16653</v>
      </c>
      <c r="AB3413" t="s">
        <v>10958</v>
      </c>
      <c r="AC3413" t="s">
        <v>19599</v>
      </c>
      <c r="AD3413" s="249" t="str">
        <f>HYPERLINK("https://scontent.cdninstagram.com/t51.2885-15/e35/p320x320/21107229_196298630908479_6603646529817280512_n.jpg")</f>
        <v>https://scontent.cdninstagram.com/t51.2885-15/e35/p320x320/21107229_196298630908479_6603646529817280512_n.jpg</v>
      </c>
      <c r="AE3413" s="249" t="str">
        <f>HYPERLINK("https://scontent.cdninstagram.com/t51.2885-19/s150x150/15624407_342184376168512_1256732560663248896_a.jpg")</f>
        <v>https://scontent.cdninstagram.com/t51.2885-19/s150x150/15624407_342184376168512_1256732560663248896_a.jpg</v>
      </c>
    </row>
    <row r="3414" spans="1:31" ht="15" x14ac:dyDescent="0.25">
      <c r="A3414" t="s">
        <v>2474</v>
      </c>
      <c r="B3414" t="s">
        <v>13637</v>
      </c>
      <c r="C3414" s="221">
        <v>42976.087175925924</v>
      </c>
      <c r="D3414" t="s">
        <v>19600</v>
      </c>
      <c r="E3414" s="249" t="str">
        <f>HYPERLINK("https://www.instagram.com/p/BYXfRvbAqyg/")</f>
        <v>https://www.instagram.com/p/BYXfRvbAqyg/</v>
      </c>
      <c r="F3414" t="s">
        <v>19601</v>
      </c>
      <c r="G3414" t="s">
        <v>2478</v>
      </c>
      <c r="H3414">
        <v>367</v>
      </c>
      <c r="I3414" t="s">
        <v>2479</v>
      </c>
      <c r="J3414">
        <v>2</v>
      </c>
      <c r="K3414">
        <v>43</v>
      </c>
      <c r="L3414">
        <v>45</v>
      </c>
      <c r="Q3414">
        <v>0</v>
      </c>
      <c r="R3414">
        <v>0</v>
      </c>
      <c r="S3414">
        <v>45</v>
      </c>
      <c r="Y3414" t="s">
        <v>19602</v>
      </c>
      <c r="Z3414" t="s">
        <v>3335</v>
      </c>
      <c r="AA3414" t="s">
        <v>19603</v>
      </c>
      <c r="AB3414" t="s">
        <v>19604</v>
      </c>
      <c r="AC3414" t="s">
        <v>19605</v>
      </c>
      <c r="AD3414" s="249" t="str">
        <f>HYPERLINK("https://scontent.cdninstagram.com/t51.2885-15/s320x320/e35/21107501_125161711460290_2523384691893993472_n.jpg")</f>
        <v>https://scontent.cdninstagram.com/t51.2885-15/s320x320/e35/21107501_125161711460290_2523384691893993472_n.jpg</v>
      </c>
      <c r="AE3414" s="249" t="str">
        <f>HYPERLINK("https://scontent.cdninstagram.com/t51.2885-19/s150x150/13774806_280777002284724_1747905075_a.jpg")</f>
        <v>https://scontent.cdninstagram.com/t51.2885-19/s150x150/13774806_280777002284724_1747905075_a.jpg</v>
      </c>
    </row>
    <row r="3415" spans="1:31" ht="15" x14ac:dyDescent="0.25">
      <c r="A3415" t="s">
        <v>2474</v>
      </c>
      <c r="B3415" t="s">
        <v>19606</v>
      </c>
      <c r="C3415" s="221">
        <v>42976.088576388887</v>
      </c>
      <c r="D3415" t="s">
        <v>19607</v>
      </c>
      <c r="E3415" s="249" t="str">
        <f>HYPERLINK("https://www.instagram.com/p/BYXfgbZDmmG/")</f>
        <v>https://www.instagram.com/p/BYXfgbZDmmG/</v>
      </c>
      <c r="F3415" t="s">
        <v>19608</v>
      </c>
      <c r="G3415" t="s">
        <v>2488</v>
      </c>
      <c r="H3415">
        <v>59</v>
      </c>
      <c r="I3415" t="s">
        <v>2479</v>
      </c>
      <c r="J3415">
        <v>0</v>
      </c>
      <c r="K3415">
        <v>26</v>
      </c>
      <c r="L3415">
        <v>26</v>
      </c>
      <c r="Q3415">
        <v>0</v>
      </c>
      <c r="R3415">
        <v>0</v>
      </c>
      <c r="S3415">
        <v>26</v>
      </c>
      <c r="Y3415" t="s">
        <v>19609</v>
      </c>
      <c r="Z3415" t="s">
        <v>12322</v>
      </c>
      <c r="AA3415" t="s">
        <v>19610</v>
      </c>
      <c r="AB3415" t="s">
        <v>19611</v>
      </c>
      <c r="AC3415" t="s">
        <v>19612</v>
      </c>
      <c r="AD3415" s="249" t="str">
        <f>HYPERLINK("https://scontent.cdninstagram.com/t51.2885-15/s320x320/e35/21107760_315359662270859_6322932131685203968_n.jpg")</f>
        <v>https://scontent.cdninstagram.com/t51.2885-15/s320x320/e35/21107760_315359662270859_6322932131685203968_n.jpg</v>
      </c>
      <c r="AE3415" s="249" t="str">
        <f>HYPERLINK("https://scontent.cdninstagram.com/t51.2885-19/s150x150/20838529_124350944865094_4986397012783005696_a.jpg")</f>
        <v>https://scontent.cdninstagram.com/t51.2885-19/s150x150/20838529_124350944865094_4986397012783005696_a.jpg</v>
      </c>
    </row>
    <row r="3416" spans="1:31" ht="15" x14ac:dyDescent="0.25">
      <c r="A3416" t="s">
        <v>2474</v>
      </c>
      <c r="B3416" t="s">
        <v>14009</v>
      </c>
      <c r="C3416" s="221">
        <v>42976.093657407408</v>
      </c>
      <c r="D3416" t="s">
        <v>19613</v>
      </c>
      <c r="E3416" s="249" t="str">
        <f>HYPERLINK("https://www.instagram.com/p/BYXgWCDFNf6/")</f>
        <v>https://www.instagram.com/p/BYXgWCDFNf6/</v>
      </c>
      <c r="F3416" t="s">
        <v>19614</v>
      </c>
      <c r="G3416" t="s">
        <v>2478</v>
      </c>
      <c r="H3416">
        <v>27168</v>
      </c>
      <c r="I3416" t="s">
        <v>2479</v>
      </c>
      <c r="J3416">
        <v>12</v>
      </c>
      <c r="K3416">
        <v>151</v>
      </c>
      <c r="L3416">
        <v>163</v>
      </c>
      <c r="Q3416">
        <v>0</v>
      </c>
      <c r="R3416">
        <v>0</v>
      </c>
      <c r="S3416">
        <v>163</v>
      </c>
      <c r="Y3416" t="s">
        <v>7169</v>
      </c>
      <c r="Z3416" t="s">
        <v>4549</v>
      </c>
      <c r="AA3416" t="s">
        <v>19615</v>
      </c>
      <c r="AB3416" t="s">
        <v>9336</v>
      </c>
      <c r="AC3416" t="s">
        <v>7525</v>
      </c>
      <c r="AD3416" s="249" t="str">
        <f>HYPERLINK("https://scontent.cdninstagram.com/t51.2885-15/s320x320/e35/21107650_117174549013759_5933211772818292736_n.jpg")</f>
        <v>https://scontent.cdninstagram.com/t51.2885-15/s320x320/e35/21107650_117174549013759_5933211772818292736_n.jpg</v>
      </c>
      <c r="AE3416" s="249" t="str">
        <f>HYPERLINK("https://scontent.cdninstagram.com/t51.2885-19/s150x150/18252404_825448897609831_8199238536822521856_a.jpg")</f>
        <v>https://scontent.cdninstagram.com/t51.2885-19/s150x150/18252404_825448897609831_8199238536822521856_a.jpg</v>
      </c>
    </row>
    <row r="3417" spans="1:31" ht="15" x14ac:dyDescent="0.25">
      <c r="A3417" t="s">
        <v>2474</v>
      </c>
      <c r="B3417" t="s">
        <v>16572</v>
      </c>
      <c r="C3417" s="221">
        <v>42976.094004629631</v>
      </c>
      <c r="D3417" t="s">
        <v>19616</v>
      </c>
      <c r="E3417" s="249" t="str">
        <f>HYPERLINK("https://www.instagram.com/p/BYXgZvcF2Iz/")</f>
        <v>https://www.instagram.com/p/BYXgZvcF2Iz/</v>
      </c>
      <c r="F3417" t="s">
        <v>19617</v>
      </c>
      <c r="G3417" t="s">
        <v>2478</v>
      </c>
      <c r="H3417">
        <v>185</v>
      </c>
      <c r="I3417" t="s">
        <v>2479</v>
      </c>
      <c r="J3417">
        <v>1</v>
      </c>
      <c r="K3417">
        <v>25</v>
      </c>
      <c r="L3417">
        <v>26</v>
      </c>
      <c r="Q3417">
        <v>0</v>
      </c>
      <c r="R3417">
        <v>0</v>
      </c>
      <c r="S3417">
        <v>26</v>
      </c>
      <c r="Y3417" t="s">
        <v>19618</v>
      </c>
      <c r="Z3417" t="s">
        <v>19619</v>
      </c>
      <c r="AA3417" t="s">
        <v>3117</v>
      </c>
      <c r="AB3417" t="s">
        <v>19620</v>
      </c>
      <c r="AC3417" t="s">
        <v>19621</v>
      </c>
      <c r="AD3417" s="249" t="str">
        <f>HYPERLINK("https://scontent.cdninstagram.com/t51.2885-15/s320x320/e35/21108029_1073838689418779_313635030398140416_n.jpg")</f>
        <v>https://scontent.cdninstagram.com/t51.2885-15/s320x320/e35/21108029_1073838689418779_313635030398140416_n.jpg</v>
      </c>
      <c r="AE3417" s="249" t="str">
        <f>HYPERLINK("https://scontent.cdninstagram.com/t51.2885-19/s150x150/20067096_506973179641330_1605601694576541696_a.jpg")</f>
        <v>https://scontent.cdninstagram.com/t51.2885-19/s150x150/20067096_506973179641330_1605601694576541696_a.jpg</v>
      </c>
    </row>
    <row r="3418" spans="1:31" ht="15" x14ac:dyDescent="0.25">
      <c r="A3418" t="s">
        <v>2474</v>
      </c>
      <c r="B3418" t="s">
        <v>19622</v>
      </c>
      <c r="C3418" s="221">
        <v>42976.095173611109</v>
      </c>
      <c r="D3418" t="s">
        <v>19623</v>
      </c>
      <c r="E3418" s="249" t="str">
        <f>HYPERLINK("https://www.instagram.com/p/BYXgmBol6oA/")</f>
        <v>https://www.instagram.com/p/BYXgmBol6oA/</v>
      </c>
      <c r="F3418" t="s">
        <v>19624</v>
      </c>
      <c r="G3418" t="s">
        <v>2478</v>
      </c>
      <c r="H3418">
        <v>339</v>
      </c>
      <c r="I3418" t="s">
        <v>2599</v>
      </c>
      <c r="J3418">
        <v>0</v>
      </c>
      <c r="K3418">
        <v>50</v>
      </c>
      <c r="L3418">
        <v>50</v>
      </c>
      <c r="Q3418">
        <v>0</v>
      </c>
      <c r="R3418">
        <v>0</v>
      </c>
      <c r="S3418">
        <v>50</v>
      </c>
      <c r="Y3418" t="s">
        <v>19625</v>
      </c>
      <c r="Z3418" t="s">
        <v>12747</v>
      </c>
      <c r="AA3418" t="s">
        <v>5671</v>
      </c>
      <c r="AB3418" t="s">
        <v>2497</v>
      </c>
      <c r="AC3418" t="s">
        <v>3196</v>
      </c>
      <c r="AD3418" s="249" t="str">
        <f>HYPERLINK("https://scontent.cdninstagram.com/t51.2885-15/e35/p320x320/21107602_2008082572538814_7238435304527364096_n.jpg")</f>
        <v>https://scontent.cdninstagram.com/t51.2885-15/e35/p320x320/21107602_2008082572538814_7238435304527364096_n.jpg</v>
      </c>
      <c r="AE3418" s="249" t="str">
        <f>HYPERLINK("https://scontent.cdninstagram.com/t51.2885-19/s150x150/18160435_1174063426054859_6945012729526616064_a.jpg")</f>
        <v>https://scontent.cdninstagram.com/t51.2885-19/s150x150/18160435_1174063426054859_6945012729526616064_a.jpg</v>
      </c>
    </row>
    <row r="3419" spans="1:31" ht="15" x14ac:dyDescent="0.25">
      <c r="A3419" t="s">
        <v>2474</v>
      </c>
      <c r="B3419" t="s">
        <v>4650</v>
      </c>
      <c r="C3419" s="221">
        <v>42976.098506944443</v>
      </c>
      <c r="D3419" t="s">
        <v>19626</v>
      </c>
      <c r="E3419" s="249" t="str">
        <f>HYPERLINK("https://www.instagram.com/p/BYXhJPygxGh/")</f>
        <v>https://www.instagram.com/p/BYXhJPygxGh/</v>
      </c>
      <c r="F3419" t="s">
        <v>19627</v>
      </c>
      <c r="G3419" t="s">
        <v>2478</v>
      </c>
      <c r="H3419">
        <v>51112</v>
      </c>
      <c r="I3419" t="s">
        <v>2479</v>
      </c>
      <c r="J3419">
        <v>24</v>
      </c>
      <c r="K3419">
        <v>1379</v>
      </c>
      <c r="L3419">
        <v>1403</v>
      </c>
      <c r="Q3419">
        <v>0</v>
      </c>
      <c r="R3419">
        <v>0</v>
      </c>
      <c r="S3419">
        <v>1403</v>
      </c>
      <c r="Y3419" t="s">
        <v>4863</v>
      </c>
      <c r="Z3419" t="s">
        <v>19615</v>
      </c>
      <c r="AA3419" t="s">
        <v>17222</v>
      </c>
      <c r="AB3419" t="s">
        <v>19628</v>
      </c>
      <c r="AC3419" t="s">
        <v>19629</v>
      </c>
      <c r="AD3419" s="249" t="str">
        <f>HYPERLINK("https://scontent.cdninstagram.com/t51.2885-15/e35/p320x320/21147876_767051193456177_7300908584554987520_n.jpg")</f>
        <v>https://scontent.cdninstagram.com/t51.2885-15/e35/p320x320/21147876_767051193456177_7300908584554987520_n.jpg</v>
      </c>
      <c r="AE3419" s="249" t="str">
        <f>HYPERLINK("https://scontent.cdninstagram.com/t51.2885-19/s150x150/19761953_352834771801381_7484399315541032960_a.jpg")</f>
        <v>https://scontent.cdninstagram.com/t51.2885-19/s150x150/19761953_352834771801381_7484399315541032960_a.jpg</v>
      </c>
    </row>
    <row r="3420" spans="1:31" ht="15" x14ac:dyDescent="0.25">
      <c r="A3420" t="s">
        <v>2474</v>
      </c>
      <c r="B3420" t="s">
        <v>19630</v>
      </c>
      <c r="C3420" s="221">
        <v>42976.108923611115</v>
      </c>
      <c r="D3420" t="s">
        <v>19631</v>
      </c>
      <c r="E3420" s="249" t="str">
        <f>HYPERLINK("https://www.instagram.com/p/BYXi3D9htF8/")</f>
        <v>https://www.instagram.com/p/BYXi3D9htF8/</v>
      </c>
      <c r="F3420" t="s">
        <v>19632</v>
      </c>
      <c r="G3420" t="s">
        <v>2631</v>
      </c>
      <c r="H3420">
        <v>60</v>
      </c>
      <c r="I3420" t="s">
        <v>2910</v>
      </c>
      <c r="J3420">
        <v>0</v>
      </c>
      <c r="K3420">
        <v>13</v>
      </c>
      <c r="L3420">
        <v>13</v>
      </c>
      <c r="Q3420">
        <v>0</v>
      </c>
      <c r="R3420">
        <v>0</v>
      </c>
      <c r="S3420">
        <v>13</v>
      </c>
      <c r="Y3420" t="s">
        <v>19633</v>
      </c>
      <c r="Z3420" t="s">
        <v>19634</v>
      </c>
      <c r="AA3420" t="s">
        <v>19635</v>
      </c>
      <c r="AB3420" t="s">
        <v>19636</v>
      </c>
      <c r="AC3420" t="s">
        <v>2497</v>
      </c>
      <c r="AD3420" s="249" t="str">
        <f>HYPERLINK("https://scontent.cdninstagram.com/t51.2885-15/s320x320/e15/21147774_1479910505410984_2156753875346915328_n.jpg")</f>
        <v>https://scontent.cdninstagram.com/t51.2885-15/s320x320/e15/21147774_1479910505410984_2156753875346915328_n.jpg</v>
      </c>
      <c r="AE3420" s="249" t="str">
        <f>HYPERLINK("https://scontent.cdninstagram.com/t51.2885-19/s150x150/20582751_1154339361332239_491796531603570688_a.jpg")</f>
        <v>https://scontent.cdninstagram.com/t51.2885-19/s150x150/20582751_1154339361332239_491796531603570688_a.jpg</v>
      </c>
    </row>
    <row r="3421" spans="1:31" ht="15" x14ac:dyDescent="0.25">
      <c r="A3421" t="s">
        <v>2474</v>
      </c>
      <c r="B3421" t="s">
        <v>3644</v>
      </c>
      <c r="C3421" s="221">
        <v>42976.112025462964</v>
      </c>
      <c r="D3421" t="s">
        <v>19637</v>
      </c>
      <c r="E3421" s="249" t="str">
        <f>HYPERLINK("https://www.instagram.com/p/BYXjX0UlK5f/")</f>
        <v>https://www.instagram.com/p/BYXjX0UlK5f/</v>
      </c>
      <c r="F3421" t="s">
        <v>19638</v>
      </c>
      <c r="G3421" t="s">
        <v>2631</v>
      </c>
      <c r="H3421">
        <v>577</v>
      </c>
      <c r="I3421" t="s">
        <v>2479</v>
      </c>
      <c r="J3421">
        <v>4</v>
      </c>
      <c r="K3421">
        <v>38</v>
      </c>
      <c r="L3421">
        <v>42</v>
      </c>
      <c r="Q3421">
        <v>0</v>
      </c>
      <c r="R3421">
        <v>0</v>
      </c>
      <c r="S3421">
        <v>42</v>
      </c>
      <c r="T3421" t="s">
        <v>3647</v>
      </c>
      <c r="V3421" t="s">
        <v>2141</v>
      </c>
      <c r="W3421">
        <v>55.426879900000003</v>
      </c>
      <c r="X3421">
        <v>10.3903303</v>
      </c>
      <c r="Y3421" t="s">
        <v>10171</v>
      </c>
      <c r="Z3421" t="s">
        <v>3061</v>
      </c>
      <c r="AA3421" t="s">
        <v>14695</v>
      </c>
      <c r="AB3421" t="s">
        <v>9794</v>
      </c>
      <c r="AC3421" t="s">
        <v>3650</v>
      </c>
      <c r="AD3421" s="249" t="str">
        <f>HYPERLINK("https://scontent.cdninstagram.com/t51.2885-15/e15/p320x320/21107954_265934687246957_6908933127339507712_n.jpg")</f>
        <v>https://scontent.cdninstagram.com/t51.2885-15/e15/p320x320/21107954_265934687246957_6908933127339507712_n.jpg</v>
      </c>
      <c r="AE3421" s="249" t="str">
        <f>HYPERLINK("https://scontent.cdninstagram.com/t51.2885-19/s150x150/14714495_1790450111234953_7147855754219749376_a.jpg")</f>
        <v>https://scontent.cdninstagram.com/t51.2885-19/s150x150/14714495_1790450111234953_7147855754219749376_a.jpg</v>
      </c>
    </row>
    <row r="3422" spans="1:31" ht="15" x14ac:dyDescent="0.25">
      <c r="A3422" t="s">
        <v>2474</v>
      </c>
      <c r="B3422" t="s">
        <v>19639</v>
      </c>
      <c r="C3422" s="221">
        <v>42976.118252314816</v>
      </c>
      <c r="D3422" t="s">
        <v>19640</v>
      </c>
      <c r="E3422" s="249" t="str">
        <f>HYPERLINK("https://www.instagram.com/p/BYXkZaGnEZi/")</f>
        <v>https://www.instagram.com/p/BYXkZaGnEZi/</v>
      </c>
      <c r="F3422" t="s">
        <v>19641</v>
      </c>
      <c r="G3422" t="s">
        <v>2478</v>
      </c>
      <c r="H3422">
        <v>7</v>
      </c>
      <c r="I3422" t="s">
        <v>2479</v>
      </c>
      <c r="J3422">
        <v>2</v>
      </c>
      <c r="K3422">
        <v>9</v>
      </c>
      <c r="L3422">
        <v>11</v>
      </c>
      <c r="Q3422">
        <v>0</v>
      </c>
      <c r="R3422">
        <v>0</v>
      </c>
      <c r="S3422">
        <v>11</v>
      </c>
      <c r="Y3422" t="s">
        <v>18679</v>
      </c>
      <c r="Z3422" t="s">
        <v>19642</v>
      </c>
      <c r="AA3422" t="s">
        <v>17440</v>
      </c>
      <c r="AB3422" t="s">
        <v>19643</v>
      </c>
      <c r="AC3422" t="s">
        <v>2497</v>
      </c>
      <c r="AD3422" s="249" t="str">
        <f>HYPERLINK("https://scontent.cdninstagram.com/t51.2885-15/s320x320/e35/21224164_1272993992812907_4208260663732076544_n.jpg")</f>
        <v>https://scontent.cdninstagram.com/t51.2885-15/s320x320/e35/21224164_1272993992812907_4208260663732076544_n.jpg</v>
      </c>
      <c r="AE3422" s="249" t="str">
        <f>HYPERLINK("https://scontent.cdninstagram.com/t51.2885-19/s150x150/20686926_510088886001218_5946672659885457408_a.jpg")</f>
        <v>https://scontent.cdninstagram.com/t51.2885-19/s150x150/20686926_510088886001218_5946672659885457408_a.jpg</v>
      </c>
    </row>
    <row r="3423" spans="1:31" ht="15" x14ac:dyDescent="0.25">
      <c r="A3423" t="s">
        <v>2474</v>
      </c>
      <c r="B3423" t="s">
        <v>19644</v>
      </c>
      <c r="C3423" s="221">
        <v>42976.119398148148</v>
      </c>
      <c r="D3423" t="s">
        <v>19645</v>
      </c>
      <c r="E3423" s="249" t="str">
        <f>HYPERLINK("https://www.instagram.com/p/BYXklfYAgSo/")</f>
        <v>https://www.instagram.com/p/BYXklfYAgSo/</v>
      </c>
      <c r="F3423" t="s">
        <v>19646</v>
      </c>
      <c r="G3423" t="s">
        <v>2478</v>
      </c>
      <c r="H3423">
        <v>345</v>
      </c>
      <c r="I3423" t="s">
        <v>2479</v>
      </c>
      <c r="J3423">
        <v>2</v>
      </c>
      <c r="K3423">
        <v>59</v>
      </c>
      <c r="L3423">
        <v>61</v>
      </c>
      <c r="Q3423">
        <v>0</v>
      </c>
      <c r="R3423">
        <v>0</v>
      </c>
      <c r="S3423">
        <v>61</v>
      </c>
      <c r="T3423" t="s">
        <v>19647</v>
      </c>
      <c r="U3423" t="s">
        <v>146</v>
      </c>
      <c r="V3423" t="s">
        <v>2299</v>
      </c>
      <c r="W3423">
        <v>33.368290000000002</v>
      </c>
      <c r="X3423">
        <v>-117.251221</v>
      </c>
      <c r="Y3423" t="s">
        <v>3982</v>
      </c>
      <c r="Z3423" t="s">
        <v>3655</v>
      </c>
      <c r="AA3423" t="s">
        <v>19648</v>
      </c>
      <c r="AB3423" t="s">
        <v>2497</v>
      </c>
      <c r="AC3423" t="s">
        <v>19649</v>
      </c>
      <c r="AD3423" s="249" t="str">
        <f>HYPERLINK("https://scontent.cdninstagram.com/t51.2885-15/e35/p320x320/21107683_1301235366651590_8649216024131928064_n.jpg")</f>
        <v>https://scontent.cdninstagram.com/t51.2885-15/e35/p320x320/21107683_1301235366651590_8649216024131928064_n.jpg</v>
      </c>
      <c r="AE3423" s="249" t="str">
        <f>HYPERLINK("https://scontent.cdninstagram.com/t51.2885-19/s150x150/12930982_785801454855057_2092050352_a.jpg")</f>
        <v>https://scontent.cdninstagram.com/t51.2885-19/s150x150/12930982_785801454855057_2092050352_a.jpg</v>
      </c>
    </row>
    <row r="3424" spans="1:31" ht="15" x14ac:dyDescent="0.25">
      <c r="A3424" t="s">
        <v>2474</v>
      </c>
      <c r="B3424" t="s">
        <v>2644</v>
      </c>
      <c r="C3424" s="221">
        <v>42976.120358796295</v>
      </c>
      <c r="D3424" t="s">
        <v>19650</v>
      </c>
      <c r="E3424" s="249" t="str">
        <f>HYPERLINK("https://www.instagram.com/p/BYXkvq6AWkL/")</f>
        <v>https://www.instagram.com/p/BYXkvq6AWkL/</v>
      </c>
      <c r="F3424" t="s">
        <v>19651</v>
      </c>
      <c r="G3424" t="s">
        <v>2478</v>
      </c>
      <c r="H3424">
        <v>1731</v>
      </c>
      <c r="I3424" t="s">
        <v>2479</v>
      </c>
      <c r="J3424">
        <v>0</v>
      </c>
      <c r="K3424">
        <v>85</v>
      </c>
      <c r="L3424">
        <v>85</v>
      </c>
      <c r="Q3424">
        <v>0</v>
      </c>
      <c r="R3424">
        <v>0</v>
      </c>
      <c r="S3424">
        <v>85</v>
      </c>
      <c r="T3424" t="s">
        <v>19652</v>
      </c>
      <c r="V3424" t="s">
        <v>2648</v>
      </c>
      <c r="W3424">
        <v>55.780945423077</v>
      </c>
      <c r="X3424">
        <v>37.592149633845999</v>
      </c>
      <c r="Y3424" t="s">
        <v>5493</v>
      </c>
      <c r="Z3424" t="s">
        <v>5796</v>
      </c>
      <c r="AA3424" t="s">
        <v>2497</v>
      </c>
      <c r="AB3424" t="s">
        <v>2649</v>
      </c>
      <c r="AC3424" t="s">
        <v>3636</v>
      </c>
      <c r="AD3424" s="249" t="str">
        <f>HYPERLINK("https://scontent.cdninstagram.com/t51.2885-15/e35/p320x320/21107310_647054272158709_5862318149277319168_n.jpg")</f>
        <v>https://scontent.cdninstagram.com/t51.2885-15/e35/p320x320/21107310_647054272158709_5862318149277319168_n.jpg</v>
      </c>
      <c r="AE3424" s="249" t="str">
        <f>HYPERLINK("https://scontent.cdninstagram.com/t51.2885-19/11372086_1598451257062069_1320225693_a.jpg")</f>
        <v>https://scontent.cdninstagram.com/t51.2885-19/11372086_1598451257062069_1320225693_a.jpg</v>
      </c>
    </row>
    <row r="3425" spans="1:31" ht="15" x14ac:dyDescent="0.25">
      <c r="A3425" t="s">
        <v>2474</v>
      </c>
      <c r="B3425" t="s">
        <v>8538</v>
      </c>
      <c r="C3425" s="221">
        <v>42976.129201388889</v>
      </c>
      <c r="D3425" t="s">
        <v>19653</v>
      </c>
      <c r="E3425" s="249" t="str">
        <f>HYPERLINK("https://www.instagram.com/p/BYXmM-QA33x/")</f>
        <v>https://www.instagram.com/p/BYXmM-QA33x/</v>
      </c>
      <c r="F3425" t="s">
        <v>19654</v>
      </c>
      <c r="G3425" t="s">
        <v>2478</v>
      </c>
      <c r="H3425">
        <v>5467</v>
      </c>
      <c r="I3425" t="s">
        <v>2479</v>
      </c>
      <c r="J3425">
        <v>4</v>
      </c>
      <c r="K3425">
        <v>365</v>
      </c>
      <c r="L3425">
        <v>369</v>
      </c>
      <c r="Q3425">
        <v>0</v>
      </c>
      <c r="R3425">
        <v>0</v>
      </c>
      <c r="S3425">
        <v>369</v>
      </c>
      <c r="T3425" t="s">
        <v>19655</v>
      </c>
      <c r="V3425" t="s">
        <v>2648</v>
      </c>
      <c r="W3425">
        <v>55.707540000000002</v>
      </c>
      <c r="X3425">
        <v>37.623739999999998</v>
      </c>
      <c r="Y3425" t="s">
        <v>12705</v>
      </c>
      <c r="Z3425" t="s">
        <v>2497</v>
      </c>
      <c r="AA3425" t="s">
        <v>12706</v>
      </c>
      <c r="AD3425" s="249" t="str">
        <f>HYPERLINK("https://scontent.cdninstagram.com/t51.2885-15/s320x320/e35/21149609_2371228129767984_8514692168042938368_n.jpg")</f>
        <v>https://scontent.cdninstagram.com/t51.2885-15/s320x320/e35/21149609_2371228129767984_8514692168042938368_n.jpg</v>
      </c>
      <c r="AE3425" s="249" t="str">
        <f>HYPERLINK("https://scontent.cdninstagram.com/t51.2885-19/s150x150/18950246_1127968397303807_6772371073045364736_a.jpg")</f>
        <v>https://scontent.cdninstagram.com/t51.2885-19/s150x150/18950246_1127968397303807_6772371073045364736_a.jpg</v>
      </c>
    </row>
    <row r="3426" spans="1:31" ht="15" x14ac:dyDescent="0.25">
      <c r="A3426" t="s">
        <v>2474</v>
      </c>
      <c r="B3426" t="s">
        <v>19656</v>
      </c>
      <c r="C3426" s="221">
        <v>42976.134884259256</v>
      </c>
      <c r="D3426" t="s">
        <v>19657</v>
      </c>
      <c r="E3426" s="249" t="str">
        <f>HYPERLINK("https://www.instagram.com/p/BYXnI37A-gf/")</f>
        <v>https://www.instagram.com/p/BYXnI37A-gf/</v>
      </c>
      <c r="F3426" t="s">
        <v>19658</v>
      </c>
      <c r="G3426" t="s">
        <v>2478</v>
      </c>
      <c r="H3426">
        <v>1120</v>
      </c>
      <c r="I3426" t="s">
        <v>2479</v>
      </c>
      <c r="J3426">
        <v>9</v>
      </c>
      <c r="K3426">
        <v>223</v>
      </c>
      <c r="L3426">
        <v>232</v>
      </c>
      <c r="Q3426">
        <v>0</v>
      </c>
      <c r="R3426">
        <v>0</v>
      </c>
      <c r="S3426">
        <v>232</v>
      </c>
      <c r="T3426" t="s">
        <v>19659</v>
      </c>
      <c r="V3426" t="s">
        <v>2204</v>
      </c>
      <c r="W3426">
        <v>2.9830434600941</v>
      </c>
      <c r="X3426">
        <v>101.69940869637</v>
      </c>
      <c r="Y3426" t="s">
        <v>3936</v>
      </c>
      <c r="Z3426" t="s">
        <v>2577</v>
      </c>
      <c r="AA3426" t="s">
        <v>19660</v>
      </c>
      <c r="AB3426" t="s">
        <v>2497</v>
      </c>
      <c r="AC3426" t="s">
        <v>4863</v>
      </c>
      <c r="AD3426" s="249" t="str">
        <f>HYPERLINK("https://scontent.cdninstagram.com/t51.2885-15/s320x320/e35/21227105_146335269292636_9172242306621767680_n.jpg")</f>
        <v>https://scontent.cdninstagram.com/t51.2885-15/s320x320/e35/21227105_146335269292636_9172242306621767680_n.jpg</v>
      </c>
      <c r="AE3426" s="249" t="str">
        <f>HYPERLINK("https://scontent.cdninstagram.com/t51.2885-19/s150x150/18947884_437959919907803_8428545483546296320_a.jpg")</f>
        <v>https://scontent.cdninstagram.com/t51.2885-19/s150x150/18947884_437959919907803_8428545483546296320_a.jpg</v>
      </c>
    </row>
    <row r="3427" spans="1:31" ht="15" x14ac:dyDescent="0.25">
      <c r="A3427" t="s">
        <v>2474</v>
      </c>
      <c r="B3427" t="s">
        <v>19661</v>
      </c>
      <c r="C3427" s="221">
        <v>42976.135208333333</v>
      </c>
      <c r="D3427" t="s">
        <v>19662</v>
      </c>
      <c r="E3427" s="249" t="str">
        <f>HYPERLINK("https://www.instagram.com/p/BYXnMVRByn9/")</f>
        <v>https://www.instagram.com/p/BYXnMVRByn9/</v>
      </c>
      <c r="F3427" t="s">
        <v>19663</v>
      </c>
      <c r="G3427" t="s">
        <v>2478</v>
      </c>
      <c r="H3427">
        <v>785</v>
      </c>
      <c r="I3427" t="s">
        <v>2479</v>
      </c>
      <c r="J3427">
        <v>127</v>
      </c>
      <c r="K3427">
        <v>279</v>
      </c>
      <c r="L3427">
        <v>406</v>
      </c>
      <c r="Q3427">
        <v>0</v>
      </c>
      <c r="R3427">
        <v>0</v>
      </c>
      <c r="S3427">
        <v>406</v>
      </c>
      <c r="Y3427" t="s">
        <v>8898</v>
      </c>
      <c r="Z3427" t="s">
        <v>19664</v>
      </c>
      <c r="AA3427" t="s">
        <v>19665</v>
      </c>
      <c r="AB3427" t="s">
        <v>19666</v>
      </c>
      <c r="AC3427" t="s">
        <v>19667</v>
      </c>
      <c r="AD3427" s="249" t="str">
        <f>HYPERLINK("https://scontent.cdninstagram.com/t51.2885-15/s320x320/e35/21224329_273792056359050_2136159618831745024_n.jpg")</f>
        <v>https://scontent.cdninstagram.com/t51.2885-15/s320x320/e35/21224329_273792056359050_2136159618831745024_n.jpg</v>
      </c>
      <c r="AE3427" s="249" t="str">
        <f>HYPERLINK("https://scontent.cdninstagram.com/t51.2885-19/s150x150/21294472_171571700068661_5093117539815260160_n.jpg")</f>
        <v>https://scontent.cdninstagram.com/t51.2885-19/s150x150/21294472_171571700068661_5093117539815260160_n.jpg</v>
      </c>
    </row>
    <row r="3428" spans="1:31" ht="15" x14ac:dyDescent="0.25">
      <c r="A3428" t="s">
        <v>2474</v>
      </c>
      <c r="B3428" t="s">
        <v>3895</v>
      </c>
      <c r="C3428" s="221">
        <v>42976.145243055558</v>
      </c>
      <c r="D3428" t="s">
        <v>19668</v>
      </c>
      <c r="E3428" s="249" t="str">
        <f>HYPERLINK("https://www.instagram.com/p/BYXo2KLF7fg/")</f>
        <v>https://www.instagram.com/p/BYXo2KLF7fg/</v>
      </c>
      <c r="F3428" t="s">
        <v>19669</v>
      </c>
      <c r="G3428" t="s">
        <v>2478</v>
      </c>
      <c r="H3428">
        <v>431</v>
      </c>
      <c r="I3428" t="s">
        <v>2542</v>
      </c>
      <c r="J3428">
        <v>1</v>
      </c>
      <c r="K3428">
        <v>68</v>
      </c>
      <c r="L3428">
        <v>69</v>
      </c>
      <c r="Q3428">
        <v>0</v>
      </c>
      <c r="R3428">
        <v>0</v>
      </c>
      <c r="S3428">
        <v>69</v>
      </c>
      <c r="Y3428" t="s">
        <v>6187</v>
      </c>
      <c r="Z3428" t="s">
        <v>18427</v>
      </c>
      <c r="AA3428" t="s">
        <v>11097</v>
      </c>
      <c r="AB3428" t="s">
        <v>3903</v>
      </c>
      <c r="AC3428" t="s">
        <v>2497</v>
      </c>
      <c r="AD3428" s="249" t="str">
        <f>HYPERLINK("https://scontent.cdninstagram.com/t51.2885-15/s320x320/e35/21107710_114663592569469_6276126570230841344_n.jpg")</f>
        <v>https://scontent.cdninstagram.com/t51.2885-15/s320x320/e35/21107710_114663592569469_6276126570230841344_n.jpg</v>
      </c>
      <c r="AE3428" s="249" t="str">
        <f>HYPERLINK("https://scontent.cdninstagram.com/t51.2885-19/s150x150/20902130_1390331654386412_4188068892897181696_a.jpg")</f>
        <v>https://scontent.cdninstagram.com/t51.2885-19/s150x150/20902130_1390331654386412_4188068892897181696_a.jpg</v>
      </c>
    </row>
    <row r="3429" spans="1:31" ht="15" x14ac:dyDescent="0.25">
      <c r="A3429" t="s">
        <v>2474</v>
      </c>
      <c r="B3429" t="s">
        <v>10377</v>
      </c>
      <c r="C3429" s="221">
        <v>42976.149826388886</v>
      </c>
      <c r="D3429" t="s">
        <v>19670</v>
      </c>
      <c r="E3429" s="249" t="str">
        <f>HYPERLINK("https://www.instagram.com/p/BYXpmaLAL7b/")</f>
        <v>https://www.instagram.com/p/BYXpmaLAL7b/</v>
      </c>
      <c r="F3429" t="s">
        <v>19671</v>
      </c>
      <c r="G3429" t="s">
        <v>2478</v>
      </c>
      <c r="H3429">
        <v>190</v>
      </c>
      <c r="I3429" t="s">
        <v>2542</v>
      </c>
      <c r="J3429">
        <v>4</v>
      </c>
      <c r="K3429">
        <v>33</v>
      </c>
      <c r="L3429">
        <v>37</v>
      </c>
      <c r="Q3429">
        <v>0</v>
      </c>
      <c r="R3429">
        <v>0</v>
      </c>
      <c r="S3429">
        <v>37</v>
      </c>
      <c r="T3429" t="s">
        <v>8808</v>
      </c>
      <c r="V3429" t="s">
        <v>2239</v>
      </c>
      <c r="W3429">
        <v>52.25</v>
      </c>
      <c r="X3429">
        <v>21</v>
      </c>
      <c r="Y3429" t="s">
        <v>4922</v>
      </c>
      <c r="Z3429" t="s">
        <v>3077</v>
      </c>
      <c r="AA3429" t="s">
        <v>16217</v>
      </c>
      <c r="AB3429" t="s">
        <v>3849</v>
      </c>
      <c r="AC3429" t="s">
        <v>2696</v>
      </c>
      <c r="AD3429" s="249" t="str">
        <f>HYPERLINK("https://scontent.cdninstagram.com/t51.2885-15/s320x320/e35/21147913_1433281950094890_5075326187547394048_n.jpg")</f>
        <v>https://scontent.cdninstagram.com/t51.2885-15/s320x320/e35/21147913_1433281950094890_5075326187547394048_n.jpg</v>
      </c>
      <c r="AE3429" s="249" t="str">
        <f>HYPERLINK("https://scontent.cdninstagram.com/t51.2885-19/s150x150/20759632_1412289272225077_248404458675896320_a.jpg")</f>
        <v>https://scontent.cdninstagram.com/t51.2885-19/s150x150/20759632_1412289272225077_248404458675896320_a.jpg</v>
      </c>
    </row>
    <row r="3430" spans="1:31" ht="15" x14ac:dyDescent="0.25">
      <c r="A3430" t="s">
        <v>2474</v>
      </c>
      <c r="B3430" t="s">
        <v>19672</v>
      </c>
      <c r="C3430" s="221">
        <v>42976.151631944442</v>
      </c>
      <c r="D3430" t="s">
        <v>19673</v>
      </c>
      <c r="E3430" s="249" t="str">
        <f>HYPERLINK("https://www.instagram.com/p/BYXp5dAhOL7/")</f>
        <v>https://www.instagram.com/p/BYXp5dAhOL7/</v>
      </c>
      <c r="F3430" t="s">
        <v>19674</v>
      </c>
      <c r="G3430" t="s">
        <v>2478</v>
      </c>
      <c r="H3430">
        <v>1368</v>
      </c>
      <c r="I3430" t="s">
        <v>3898</v>
      </c>
      <c r="J3430">
        <v>3</v>
      </c>
      <c r="K3430">
        <v>79</v>
      </c>
      <c r="L3430">
        <v>82</v>
      </c>
      <c r="Q3430">
        <v>0</v>
      </c>
      <c r="R3430">
        <v>0</v>
      </c>
      <c r="S3430">
        <v>82</v>
      </c>
      <c r="Y3430" t="s">
        <v>16246</v>
      </c>
      <c r="Z3430" t="s">
        <v>9942</v>
      </c>
      <c r="AA3430" t="s">
        <v>19675</v>
      </c>
      <c r="AB3430" t="s">
        <v>19676</v>
      </c>
      <c r="AC3430" t="s">
        <v>2497</v>
      </c>
      <c r="AD3430" s="249" t="str">
        <f>HYPERLINK("https://scontent.cdninstagram.com/t51.2885-15/s320x320/e35/21107408_1375051265942248_6394498166716104704_n.jpg")</f>
        <v>https://scontent.cdninstagram.com/t51.2885-15/s320x320/e35/21107408_1375051265942248_6394498166716104704_n.jpg</v>
      </c>
      <c r="AE3430" s="249" t="str">
        <f>HYPERLINK("https://scontent.cdninstagram.com/t51.2885-19/s150x150/18094719_163408494189305_973645837345226752_a.jpg")</f>
        <v>https://scontent.cdninstagram.com/t51.2885-19/s150x150/18094719_163408494189305_973645837345226752_a.jpg</v>
      </c>
    </row>
    <row r="3431" spans="1:31" ht="15" x14ac:dyDescent="0.25">
      <c r="A3431" t="s">
        <v>2474</v>
      </c>
      <c r="B3431" t="s">
        <v>3001</v>
      </c>
      <c r="C3431" s="221">
        <v>42976.15351851852</v>
      </c>
      <c r="D3431" t="s">
        <v>19677</v>
      </c>
      <c r="E3431" s="249" t="str">
        <f>HYPERLINK("https://www.instagram.com/p/BYXqNaxA-bX/")</f>
        <v>https://www.instagram.com/p/BYXqNaxA-bX/</v>
      </c>
      <c r="F3431" t="s">
        <v>19678</v>
      </c>
      <c r="G3431" t="s">
        <v>2488</v>
      </c>
      <c r="H3431">
        <v>205</v>
      </c>
      <c r="I3431" t="s">
        <v>2479</v>
      </c>
      <c r="J3431">
        <v>0</v>
      </c>
      <c r="K3431">
        <v>28</v>
      </c>
      <c r="L3431">
        <v>28</v>
      </c>
      <c r="Q3431">
        <v>0</v>
      </c>
      <c r="R3431">
        <v>0</v>
      </c>
      <c r="S3431">
        <v>28</v>
      </c>
      <c r="Y3431" t="s">
        <v>12525</v>
      </c>
      <c r="Z3431" t="s">
        <v>12524</v>
      </c>
      <c r="AA3431" t="s">
        <v>3005</v>
      </c>
      <c r="AB3431" t="s">
        <v>2497</v>
      </c>
      <c r="AC3431" t="s">
        <v>2493</v>
      </c>
      <c r="AD3431" s="249" t="str">
        <f>HYPERLINK("https://scontent.cdninstagram.com/t51.2885-15/s320x320/e35/21107221_130385990842935_5840985978725990400_n.jpg")</f>
        <v>https://scontent.cdninstagram.com/t51.2885-15/s320x320/e35/21107221_130385990842935_5840985978725990400_n.jpg</v>
      </c>
      <c r="AE3431" s="249" t="str">
        <f>HYPERLINK("https://scontent.cdninstagram.com/t51.2885-19/s150x150/18444766_1912067969049122_6949567864466571264_a.jpg")</f>
        <v>https://scontent.cdninstagram.com/t51.2885-19/s150x150/18444766_1912067969049122_6949567864466571264_a.jpg</v>
      </c>
    </row>
    <row r="3432" spans="1:31" ht="15" x14ac:dyDescent="0.25">
      <c r="A3432" t="s">
        <v>2474</v>
      </c>
      <c r="B3432" t="s">
        <v>4811</v>
      </c>
      <c r="C3432" s="221">
        <v>42976.159467592595</v>
      </c>
      <c r="D3432" t="s">
        <v>19679</v>
      </c>
      <c r="E3432" s="249" t="str">
        <f>HYPERLINK("https://www.instagram.com/p/BYXrMG8gSt4/")</f>
        <v>https://www.instagram.com/p/BYXrMG8gSt4/</v>
      </c>
      <c r="F3432" t="s">
        <v>19680</v>
      </c>
      <c r="G3432" t="s">
        <v>2478</v>
      </c>
      <c r="H3432">
        <v>995</v>
      </c>
      <c r="I3432" t="s">
        <v>2479</v>
      </c>
      <c r="J3432">
        <v>5</v>
      </c>
      <c r="K3432">
        <v>129</v>
      </c>
      <c r="L3432">
        <v>134</v>
      </c>
      <c r="Q3432">
        <v>0</v>
      </c>
      <c r="R3432">
        <v>0</v>
      </c>
      <c r="S3432">
        <v>134</v>
      </c>
      <c r="Y3432" t="s">
        <v>19681</v>
      </c>
      <c r="Z3432" t="s">
        <v>19682</v>
      </c>
      <c r="AA3432" t="s">
        <v>5964</v>
      </c>
      <c r="AB3432" t="s">
        <v>12100</v>
      </c>
      <c r="AC3432" t="s">
        <v>9012</v>
      </c>
      <c r="AD3432" s="249" t="str">
        <f>HYPERLINK("https://scontent.cdninstagram.com/t51.2885-15/s320x320/e35/21107225_274893492915457_431946716384591872_n.jpg")</f>
        <v>https://scontent.cdninstagram.com/t51.2885-15/s320x320/e35/21107225_274893492915457_431946716384591872_n.jpg</v>
      </c>
      <c r="AE3432" s="249" t="str">
        <f>HYPERLINK("https://scontent.cdninstagram.com/t51.2885-19/s150x150/16124251_1913091765603634_8004330562992996352_a.jpg")</f>
        <v>https://scontent.cdninstagram.com/t51.2885-19/s150x150/16124251_1913091765603634_8004330562992996352_a.jpg</v>
      </c>
    </row>
    <row r="3433" spans="1:31" ht="15" x14ac:dyDescent="0.25">
      <c r="A3433" t="s">
        <v>2474</v>
      </c>
      <c r="B3433" t="s">
        <v>19683</v>
      </c>
      <c r="C3433" s="221">
        <v>42976.163553240738</v>
      </c>
      <c r="D3433" t="s">
        <v>19684</v>
      </c>
      <c r="E3433" s="249" t="str">
        <f>HYPERLINK("https://www.instagram.com/p/BYXr3RHjwX8/")</f>
        <v>https://www.instagram.com/p/BYXr3RHjwX8/</v>
      </c>
      <c r="F3433" t="s">
        <v>19685</v>
      </c>
      <c r="G3433" t="s">
        <v>2478</v>
      </c>
      <c r="H3433">
        <v>39</v>
      </c>
      <c r="I3433" t="s">
        <v>3170</v>
      </c>
      <c r="J3433">
        <v>4</v>
      </c>
      <c r="K3433">
        <v>55</v>
      </c>
      <c r="L3433">
        <v>59</v>
      </c>
      <c r="Q3433">
        <v>0</v>
      </c>
      <c r="R3433">
        <v>0</v>
      </c>
      <c r="S3433">
        <v>59</v>
      </c>
      <c r="Y3433" t="s">
        <v>19686</v>
      </c>
      <c r="Z3433" t="s">
        <v>19687</v>
      </c>
      <c r="AA3433" t="s">
        <v>2497</v>
      </c>
      <c r="AB3433" t="s">
        <v>19688</v>
      </c>
      <c r="AC3433" t="s">
        <v>19689</v>
      </c>
      <c r="AD3433" s="249" t="str">
        <f>HYPERLINK("https://scontent.cdninstagram.com/t51.2885-15/e35/p320x320/21147761_170013076903055_3082521405846192128_n.jpg")</f>
        <v>https://scontent.cdninstagram.com/t51.2885-15/e35/p320x320/21147761_170013076903055_3082521405846192128_n.jpg</v>
      </c>
      <c r="AE3433" s="249" t="str">
        <f>HYPERLINK("https://scontent.cdninstagram.com/t51.2885-19/s150x150/21107950_771277936366771_5225609726049386496_a.jpg")</f>
        <v>https://scontent.cdninstagram.com/t51.2885-19/s150x150/21107950_771277936366771_5225609726049386496_a.jpg</v>
      </c>
    </row>
    <row r="3434" spans="1:31" ht="15" x14ac:dyDescent="0.25">
      <c r="A3434" t="s">
        <v>2474</v>
      </c>
      <c r="B3434" t="s">
        <v>3001</v>
      </c>
      <c r="C3434" s="221">
        <v>42976.164849537039</v>
      </c>
      <c r="D3434" t="s">
        <v>19690</v>
      </c>
      <c r="E3434" s="249" t="str">
        <f>HYPERLINK("https://www.instagram.com/p/BYXsE5egzIU/")</f>
        <v>https://www.instagram.com/p/BYXsE5egzIU/</v>
      </c>
      <c r="F3434" t="s">
        <v>19691</v>
      </c>
      <c r="G3434" t="s">
        <v>2478</v>
      </c>
      <c r="H3434">
        <v>205</v>
      </c>
      <c r="I3434" t="s">
        <v>2622</v>
      </c>
      <c r="J3434">
        <v>1</v>
      </c>
      <c r="K3434">
        <v>29</v>
      </c>
      <c r="L3434">
        <v>30</v>
      </c>
      <c r="Q3434">
        <v>0</v>
      </c>
      <c r="R3434">
        <v>0</v>
      </c>
      <c r="S3434">
        <v>30</v>
      </c>
      <c r="Y3434" t="s">
        <v>12525</v>
      </c>
      <c r="Z3434" t="s">
        <v>12524</v>
      </c>
      <c r="AA3434" t="s">
        <v>3005</v>
      </c>
      <c r="AB3434" t="s">
        <v>19692</v>
      </c>
      <c r="AC3434" t="s">
        <v>19693</v>
      </c>
      <c r="AD3434" s="249" t="str">
        <f>HYPERLINK("https://scontent.cdninstagram.com/t51.2885-15/s320x320/e35/21149050_390070451396378_6113645930198597632_n.jpg")</f>
        <v>https://scontent.cdninstagram.com/t51.2885-15/s320x320/e35/21149050_390070451396378_6113645930198597632_n.jpg</v>
      </c>
      <c r="AE3434" s="249" t="str">
        <f>HYPERLINK("https://scontent.cdninstagram.com/t51.2885-19/s150x150/18444766_1912067969049122_6949567864466571264_a.jpg")</f>
        <v>https://scontent.cdninstagram.com/t51.2885-19/s150x150/18444766_1912067969049122_6949567864466571264_a.jpg</v>
      </c>
    </row>
    <row r="3435" spans="1:31" ht="15" x14ac:dyDescent="0.25">
      <c r="A3435" t="s">
        <v>2474</v>
      </c>
      <c r="B3435" t="s">
        <v>2636</v>
      </c>
      <c r="C3435" s="221">
        <v>42976.16777777778</v>
      </c>
      <c r="D3435" t="s">
        <v>19694</v>
      </c>
      <c r="E3435" s="249" t="str">
        <f>HYPERLINK("https://www.instagram.com/p/BYXsjxwnCNB/")</f>
        <v>https://www.instagram.com/p/BYXsjxwnCNB/</v>
      </c>
      <c r="F3435" t="s">
        <v>19695</v>
      </c>
      <c r="G3435" t="s">
        <v>2488</v>
      </c>
      <c r="H3435">
        <v>323</v>
      </c>
      <c r="I3435" t="s">
        <v>2479</v>
      </c>
      <c r="J3435">
        <v>5</v>
      </c>
      <c r="K3435">
        <v>55</v>
      </c>
      <c r="L3435">
        <v>60</v>
      </c>
      <c r="Q3435">
        <v>0</v>
      </c>
      <c r="R3435">
        <v>0</v>
      </c>
      <c r="S3435">
        <v>60</v>
      </c>
      <c r="Y3435" t="s">
        <v>3813</v>
      </c>
      <c r="Z3435" t="s">
        <v>3982</v>
      </c>
      <c r="AA3435" t="s">
        <v>7041</v>
      </c>
      <c r="AB3435" t="s">
        <v>2497</v>
      </c>
      <c r="AC3435" t="s">
        <v>2513</v>
      </c>
      <c r="AD3435" s="249" t="str">
        <f>HYPERLINK("https://scontent.cdninstagram.com/t51.2885-15/s320x320/e35/21224437_266647300495759_892598077892853760_n.jpg")</f>
        <v>https://scontent.cdninstagram.com/t51.2885-15/s320x320/e35/21224437_266647300495759_892598077892853760_n.jpg</v>
      </c>
      <c r="AE3435" s="249" t="str">
        <f>HYPERLINK("https://scontent.cdninstagram.com/t51.2885-19/s150x150/15802797_1331780626878656_4160680230047973376_a.jpg")</f>
        <v>https://scontent.cdninstagram.com/t51.2885-19/s150x150/15802797_1331780626878656_4160680230047973376_a.jpg</v>
      </c>
    </row>
    <row r="3436" spans="1:31" ht="15" x14ac:dyDescent="0.25">
      <c r="A3436" t="s">
        <v>2474</v>
      </c>
      <c r="B3436" t="s">
        <v>19696</v>
      </c>
      <c r="C3436" s="221">
        <v>42976.174710648149</v>
      </c>
      <c r="D3436" t="s">
        <v>19697</v>
      </c>
      <c r="E3436" s="249" t="str">
        <f>HYPERLINK("https://www.instagram.com/p/BYXts5tgHRz/")</f>
        <v>https://www.instagram.com/p/BYXts5tgHRz/</v>
      </c>
      <c r="F3436" t="s">
        <v>19698</v>
      </c>
      <c r="G3436" t="s">
        <v>2478</v>
      </c>
      <c r="H3436">
        <v>96</v>
      </c>
      <c r="I3436" t="s">
        <v>2599</v>
      </c>
      <c r="J3436">
        <v>0</v>
      </c>
      <c r="K3436">
        <v>31</v>
      </c>
      <c r="L3436">
        <v>31</v>
      </c>
      <c r="Q3436">
        <v>0</v>
      </c>
      <c r="R3436">
        <v>0</v>
      </c>
      <c r="S3436">
        <v>31</v>
      </c>
      <c r="Y3436" t="s">
        <v>19699</v>
      </c>
      <c r="Z3436" t="s">
        <v>19700</v>
      </c>
      <c r="AA3436" t="s">
        <v>4653</v>
      </c>
      <c r="AB3436" t="s">
        <v>2497</v>
      </c>
      <c r="AC3436" t="s">
        <v>19701</v>
      </c>
      <c r="AD3436" s="249" t="str">
        <f>HYPERLINK("https://scontent.cdninstagram.com/t51.2885-15/e35/p320x320/21147466_130683870884025_2419906130730811392_n.jpg")</f>
        <v>https://scontent.cdninstagram.com/t51.2885-15/e35/p320x320/21147466_130683870884025_2419906130730811392_n.jpg</v>
      </c>
      <c r="AE3436" s="249" t="str">
        <f>HYPERLINK("https://scontent.cdninstagram.com/t51.2885-19/s150x150/19764415_1336139433090009_8416251384474632192_a.jpg")</f>
        <v>https://scontent.cdninstagram.com/t51.2885-19/s150x150/19764415_1336139433090009_8416251384474632192_a.jpg</v>
      </c>
    </row>
    <row r="3437" spans="1:31" ht="15" x14ac:dyDescent="0.25">
      <c r="A3437" t="s">
        <v>2474</v>
      </c>
      <c r="B3437" t="s">
        <v>11503</v>
      </c>
      <c r="C3437" s="221">
        <v>42976.184004629627</v>
      </c>
      <c r="D3437" t="s">
        <v>19702</v>
      </c>
      <c r="E3437" s="249" t="str">
        <f>HYPERLINK("https://www.instagram.com/p/BYXvO3mArrx/")</f>
        <v>https://www.instagram.com/p/BYXvO3mArrx/</v>
      </c>
      <c r="F3437" t="s">
        <v>19703</v>
      </c>
      <c r="G3437" t="s">
        <v>2478</v>
      </c>
      <c r="H3437">
        <v>380</v>
      </c>
      <c r="I3437" t="s">
        <v>3186</v>
      </c>
      <c r="J3437">
        <v>7</v>
      </c>
      <c r="K3437">
        <v>63</v>
      </c>
      <c r="L3437">
        <v>70</v>
      </c>
      <c r="Q3437">
        <v>0</v>
      </c>
      <c r="R3437">
        <v>0</v>
      </c>
      <c r="S3437">
        <v>70</v>
      </c>
      <c r="T3437" t="s">
        <v>19704</v>
      </c>
      <c r="V3437" t="s">
        <v>2225</v>
      </c>
      <c r="W3437">
        <v>-36.865000000000002</v>
      </c>
      <c r="X3437">
        <v>174.64699999999999</v>
      </c>
      <c r="Y3437" t="s">
        <v>19705</v>
      </c>
      <c r="Z3437" t="s">
        <v>19706</v>
      </c>
      <c r="AA3437" t="s">
        <v>19707</v>
      </c>
      <c r="AD3437" s="249" t="str">
        <f>HYPERLINK("https://scontent.cdninstagram.com/t51.2885-15/s320x320/e35/21147784_182488795628037_8848581070208106496_n.jpg")</f>
        <v>https://scontent.cdninstagram.com/t51.2885-15/s320x320/e35/21147784_182488795628037_8848581070208106496_n.jpg</v>
      </c>
      <c r="AE3437" s="249" t="str">
        <f>HYPERLINK("https://scontent.cdninstagram.com/t51.2885-19/s150x150/15802750_195109014292066_160430944199639040_a.jpg")</f>
        <v>https://scontent.cdninstagram.com/t51.2885-19/s150x150/15802750_195109014292066_160430944199639040_a.jpg</v>
      </c>
    </row>
    <row r="3438" spans="1:31" ht="15" x14ac:dyDescent="0.25">
      <c r="A3438" t="s">
        <v>2474</v>
      </c>
      <c r="B3438" t="s">
        <v>19708</v>
      </c>
      <c r="C3438" s="221">
        <v>42976.200219907405</v>
      </c>
      <c r="D3438" t="s">
        <v>19709</v>
      </c>
      <c r="E3438" s="249" t="str">
        <f>HYPERLINK("https://www.instagram.com/p/BYXx6AMFB8w/")</f>
        <v>https://www.instagram.com/p/BYXx6AMFB8w/</v>
      </c>
      <c r="F3438" t="s">
        <v>19710</v>
      </c>
      <c r="G3438" t="s">
        <v>2478</v>
      </c>
      <c r="H3438">
        <v>42</v>
      </c>
      <c r="I3438" t="s">
        <v>2542</v>
      </c>
      <c r="J3438">
        <v>1</v>
      </c>
      <c r="K3438">
        <v>10</v>
      </c>
      <c r="L3438">
        <v>11</v>
      </c>
      <c r="Q3438">
        <v>0</v>
      </c>
      <c r="R3438">
        <v>0</v>
      </c>
      <c r="S3438">
        <v>11</v>
      </c>
      <c r="Y3438" t="s">
        <v>19711</v>
      </c>
      <c r="Z3438" t="s">
        <v>19712</v>
      </c>
      <c r="AA3438" t="s">
        <v>19713</v>
      </c>
      <c r="AB3438" t="s">
        <v>19714</v>
      </c>
      <c r="AC3438" t="s">
        <v>2497</v>
      </c>
      <c r="AD3438" s="249" t="str">
        <f>HYPERLINK("https://scontent.cdninstagram.com/t51.2885-15/s320x320/e35/21148149_835496473285705_7079250016807682048_n.jpg")</f>
        <v>https://scontent.cdninstagram.com/t51.2885-15/s320x320/e35/21148149_835496473285705_7079250016807682048_n.jpg</v>
      </c>
      <c r="AE3438" s="249" t="str">
        <f>HYPERLINK("https://scontent.cdninstagram.com/t51.2885-19/11875382_1690758534493233_1353689735_a.jpg")</f>
        <v>https://scontent.cdninstagram.com/t51.2885-19/11875382_1690758534493233_1353689735_a.jpg</v>
      </c>
    </row>
    <row r="3439" spans="1:31" ht="15" x14ac:dyDescent="0.25">
      <c r="A3439" t="s">
        <v>2474</v>
      </c>
      <c r="B3439" t="s">
        <v>10736</v>
      </c>
      <c r="C3439" s="221">
        <v>42976.206458333334</v>
      </c>
      <c r="D3439" t="s">
        <v>19715</v>
      </c>
      <c r="E3439" s="249" t="str">
        <f>HYPERLINK("https://www.instagram.com/p/BYXy7zRAKyP/")</f>
        <v>https://www.instagram.com/p/BYXy7zRAKyP/</v>
      </c>
      <c r="F3439" t="s">
        <v>19716</v>
      </c>
      <c r="G3439" t="s">
        <v>2478</v>
      </c>
      <c r="H3439">
        <v>186</v>
      </c>
      <c r="I3439" t="s">
        <v>3575</v>
      </c>
      <c r="J3439">
        <v>0</v>
      </c>
      <c r="K3439">
        <v>8</v>
      </c>
      <c r="L3439">
        <v>8</v>
      </c>
      <c r="Q3439">
        <v>0</v>
      </c>
      <c r="R3439">
        <v>0</v>
      </c>
      <c r="S3439">
        <v>8</v>
      </c>
      <c r="Y3439" t="s">
        <v>2497</v>
      </c>
      <c r="Z3439" t="s">
        <v>10736</v>
      </c>
      <c r="AD3439" s="249" t="str">
        <f>HYPERLINK("https://scontent.cdninstagram.com/t51.2885-15/s320x320/e35/21149704_202263690310482_2982581150410604544_n.jpg")</f>
        <v>https://scontent.cdninstagram.com/t51.2885-15/s320x320/e35/21149704_202263690310482_2982581150410604544_n.jpg</v>
      </c>
      <c r="AE3439" s="249" t="str">
        <f>HYPERLINK("https://scontent.cdninstagram.com/t51.2885-19/s150x150/14099257_273302949721135_1868814294_a.jpg")</f>
        <v>https://scontent.cdninstagram.com/t51.2885-19/s150x150/14099257_273302949721135_1868814294_a.jpg</v>
      </c>
    </row>
    <row r="3440" spans="1:31" ht="15" x14ac:dyDescent="0.25">
      <c r="A3440" t="s">
        <v>2474</v>
      </c>
      <c r="B3440" t="s">
        <v>19717</v>
      </c>
      <c r="C3440" s="221">
        <v>42976.232430555552</v>
      </c>
      <c r="D3440" t="s">
        <v>19718</v>
      </c>
      <c r="E3440" s="249" t="str">
        <f>HYPERLINK("https://www.instagram.com/p/BYX3NtQluic/")</f>
        <v>https://www.instagram.com/p/BYX3NtQluic/</v>
      </c>
      <c r="F3440" t="s">
        <v>19719</v>
      </c>
      <c r="G3440" t="s">
        <v>2488</v>
      </c>
      <c r="H3440">
        <v>282</v>
      </c>
      <c r="I3440" t="s">
        <v>2479</v>
      </c>
      <c r="J3440">
        <v>1</v>
      </c>
      <c r="K3440">
        <v>23</v>
      </c>
      <c r="L3440">
        <v>24</v>
      </c>
      <c r="Q3440">
        <v>0</v>
      </c>
      <c r="R3440">
        <v>0</v>
      </c>
      <c r="S3440">
        <v>24</v>
      </c>
      <c r="Y3440" t="s">
        <v>2735</v>
      </c>
      <c r="Z3440" t="s">
        <v>3110</v>
      </c>
      <c r="AA3440" t="s">
        <v>7589</v>
      </c>
      <c r="AB3440" t="s">
        <v>14648</v>
      </c>
      <c r="AC3440" t="s">
        <v>19720</v>
      </c>
      <c r="AD3440" s="249" t="str">
        <f>HYPERLINK("https://scontent.cdninstagram.com/t51.2885-15/s320x320/e35/21147991_138061070135670_5215868237710884864_n.jpg")</f>
        <v>https://scontent.cdninstagram.com/t51.2885-15/s320x320/e35/21147991_138061070135670_5215868237710884864_n.jpg</v>
      </c>
      <c r="AE3440" s="249" t="str">
        <f>HYPERLINK("https://scontent.cdninstagram.com/t51.2885-19/s150x150/17493728_752204021624442_4508760176605528064_a.jpg")</f>
        <v>https://scontent.cdninstagram.com/t51.2885-19/s150x150/17493728_752204021624442_4508760176605528064_a.jpg</v>
      </c>
    </row>
    <row r="3441" spans="1:31" ht="15" x14ac:dyDescent="0.25">
      <c r="A3441" t="s">
        <v>2474</v>
      </c>
      <c r="B3441" t="s">
        <v>3015</v>
      </c>
      <c r="C3441" s="221">
        <v>42976.235219907408</v>
      </c>
      <c r="D3441" t="s">
        <v>19721</v>
      </c>
      <c r="E3441" s="249" t="str">
        <f>HYPERLINK("https://www.instagram.com/p/BYX3rDJAMIM/")</f>
        <v>https://www.instagram.com/p/BYX3rDJAMIM/</v>
      </c>
      <c r="F3441" t="s">
        <v>19722</v>
      </c>
      <c r="G3441" t="s">
        <v>2478</v>
      </c>
      <c r="H3441">
        <v>255</v>
      </c>
      <c r="I3441" t="s">
        <v>2479</v>
      </c>
      <c r="J3441">
        <v>3</v>
      </c>
      <c r="K3441">
        <v>42</v>
      </c>
      <c r="L3441">
        <v>45</v>
      </c>
      <c r="Q3441">
        <v>0</v>
      </c>
      <c r="R3441">
        <v>0</v>
      </c>
      <c r="S3441">
        <v>45</v>
      </c>
      <c r="Y3441" t="s">
        <v>3856</v>
      </c>
      <c r="Z3441" t="s">
        <v>10032</v>
      </c>
      <c r="AA3441" t="s">
        <v>7275</v>
      </c>
      <c r="AB3441" t="s">
        <v>2497</v>
      </c>
      <c r="AC3441" t="s">
        <v>4919</v>
      </c>
      <c r="AD3441" s="249" t="str">
        <f>HYPERLINK("https://scontent.cdninstagram.com/t51.2885-15/s320x320/e35/21147799_1106860119416544_313379007397625856_n.jpg")</f>
        <v>https://scontent.cdninstagram.com/t51.2885-15/s320x320/e35/21147799_1106860119416544_313379007397625856_n.jpg</v>
      </c>
      <c r="AE3441" s="249" t="str">
        <f>HYPERLINK("https://scontent.cdninstagram.com/t51.2885-19/s150x150/21373102_1087463374722515_8750956974671134720_a.jpg")</f>
        <v>https://scontent.cdninstagram.com/t51.2885-19/s150x150/21373102_1087463374722515_8750956974671134720_a.jpg</v>
      </c>
    </row>
    <row r="3442" spans="1:31" ht="15" x14ac:dyDescent="0.25">
      <c r="A3442" t="s">
        <v>2474</v>
      </c>
      <c r="B3442" t="s">
        <v>19717</v>
      </c>
      <c r="C3442" s="221">
        <v>42976.242592592593</v>
      </c>
      <c r="D3442" t="s">
        <v>19723</v>
      </c>
      <c r="E3442" s="249" t="str">
        <f>HYPERLINK("https://www.instagram.com/p/BYX440PFUy9/")</f>
        <v>https://www.instagram.com/p/BYX440PFUy9/</v>
      </c>
      <c r="F3442" t="s">
        <v>19724</v>
      </c>
      <c r="G3442" t="s">
        <v>2631</v>
      </c>
      <c r="H3442">
        <v>282</v>
      </c>
      <c r="I3442" t="s">
        <v>2479</v>
      </c>
      <c r="J3442">
        <v>2</v>
      </c>
      <c r="K3442">
        <v>39</v>
      </c>
      <c r="L3442">
        <v>41</v>
      </c>
      <c r="Q3442">
        <v>0</v>
      </c>
      <c r="R3442">
        <v>0</v>
      </c>
      <c r="S3442">
        <v>41</v>
      </c>
      <c r="Y3442" t="s">
        <v>2735</v>
      </c>
      <c r="Z3442" t="s">
        <v>7589</v>
      </c>
      <c r="AA3442" t="s">
        <v>19720</v>
      </c>
      <c r="AB3442" t="s">
        <v>2497</v>
      </c>
      <c r="AC3442" t="s">
        <v>4369</v>
      </c>
      <c r="AD3442" s="249" t="str">
        <f>HYPERLINK("https://scontent.cdninstagram.com/t51.2885-15/s320x320/e15/21108063_1428958280524827_7948603671565041664_n.jpg")</f>
        <v>https://scontent.cdninstagram.com/t51.2885-15/s320x320/e15/21108063_1428958280524827_7948603671565041664_n.jpg</v>
      </c>
      <c r="AE3442" s="249" t="str">
        <f>HYPERLINK("https://scontent.cdninstagram.com/t51.2885-19/s150x150/17493728_752204021624442_4508760176605528064_a.jpg")</f>
        <v>https://scontent.cdninstagram.com/t51.2885-19/s150x150/17493728_752204021624442_4508760176605528064_a.jpg</v>
      </c>
    </row>
    <row r="3443" spans="1:31" ht="15" x14ac:dyDescent="0.25">
      <c r="A3443" t="s">
        <v>2474</v>
      </c>
      <c r="B3443" t="s">
        <v>19725</v>
      </c>
      <c r="C3443" s="221">
        <v>42976.242893518516</v>
      </c>
      <c r="D3443" t="s">
        <v>19726</v>
      </c>
      <c r="E3443" s="249" t="str">
        <f>HYPERLINK("https://www.instagram.com/p/BYX47_SFOgY/")</f>
        <v>https://www.instagram.com/p/BYX47_SFOgY/</v>
      </c>
      <c r="F3443" t="s">
        <v>19727</v>
      </c>
      <c r="G3443" t="s">
        <v>2478</v>
      </c>
      <c r="H3443">
        <v>150</v>
      </c>
      <c r="I3443" t="s">
        <v>2479</v>
      </c>
      <c r="J3443">
        <v>1</v>
      </c>
      <c r="K3443">
        <v>40</v>
      </c>
      <c r="L3443">
        <v>41</v>
      </c>
      <c r="Q3443">
        <v>0</v>
      </c>
      <c r="R3443">
        <v>0</v>
      </c>
      <c r="S3443">
        <v>41</v>
      </c>
      <c r="T3443" t="s">
        <v>19728</v>
      </c>
      <c r="V3443" t="s">
        <v>2103</v>
      </c>
      <c r="W3443">
        <v>46.8</v>
      </c>
      <c r="X3443">
        <v>10.3</v>
      </c>
      <c r="Y3443" t="s">
        <v>8898</v>
      </c>
      <c r="Z3443" t="s">
        <v>2827</v>
      </c>
      <c r="AA3443" t="s">
        <v>19729</v>
      </c>
      <c r="AB3443" t="s">
        <v>3392</v>
      </c>
      <c r="AC3443" t="s">
        <v>19730</v>
      </c>
      <c r="AD3443" s="249" t="str">
        <f>HYPERLINK("https://scontent.cdninstagram.com/t51.2885-15/s320x320/e35/21224514_138773383397075_517476046577074176_n.jpg")</f>
        <v>https://scontent.cdninstagram.com/t51.2885-15/s320x320/e35/21224514_138773383397075_517476046577074176_n.jpg</v>
      </c>
      <c r="AE3443" s="249" t="str">
        <f>HYPERLINK("https://scontent.cdninstagram.com/t51.2885-19/s150x150/10011431_435018166695155_1527097_a.jpg")</f>
        <v>https://scontent.cdninstagram.com/t51.2885-19/s150x150/10011431_435018166695155_1527097_a.jpg</v>
      </c>
    </row>
    <row r="3444" spans="1:31" ht="15" x14ac:dyDescent="0.25">
      <c r="A3444" t="s">
        <v>2474</v>
      </c>
      <c r="B3444" t="s">
        <v>2685</v>
      </c>
      <c r="C3444" s="221">
        <v>42976.24423611111</v>
      </c>
      <c r="D3444" t="s">
        <v>19731</v>
      </c>
      <c r="E3444" s="249" t="str">
        <f>HYPERLINK("https://www.instagram.com/p/BYX5KM0l6Ic/")</f>
        <v>https://www.instagram.com/p/BYX5KM0l6Ic/</v>
      </c>
      <c r="F3444" t="s">
        <v>19732</v>
      </c>
      <c r="G3444" t="s">
        <v>2478</v>
      </c>
      <c r="H3444">
        <v>245</v>
      </c>
      <c r="I3444" t="s">
        <v>2479</v>
      </c>
      <c r="J3444">
        <v>5</v>
      </c>
      <c r="K3444">
        <v>58</v>
      </c>
      <c r="L3444">
        <v>63</v>
      </c>
      <c r="Q3444">
        <v>0</v>
      </c>
      <c r="R3444">
        <v>0</v>
      </c>
      <c r="S3444">
        <v>63</v>
      </c>
      <c r="Y3444" t="s">
        <v>6050</v>
      </c>
      <c r="Z3444" t="s">
        <v>2520</v>
      </c>
      <c r="AA3444" t="s">
        <v>5727</v>
      </c>
      <c r="AB3444" t="s">
        <v>14733</v>
      </c>
      <c r="AC3444" t="s">
        <v>8092</v>
      </c>
      <c r="AD3444" s="249" t="str">
        <f>HYPERLINK("https://scontent.cdninstagram.com/t51.2885-15/s320x320/e35/21224120_334239597047564_2756936968976728064_n.jpg")</f>
        <v>https://scontent.cdninstagram.com/t51.2885-15/s320x320/e35/21224120_334239597047564_2756936968976728064_n.jpg</v>
      </c>
      <c r="AE3444" s="249" t="str">
        <f>HYPERLINK("https://scontent.cdninstagram.com/t51.2885-19/s150x150/12339026_997056470351354_891418646_a.jpg")</f>
        <v>https://scontent.cdninstagram.com/t51.2885-19/s150x150/12339026_997056470351354_891418646_a.jpg</v>
      </c>
    </row>
    <row r="3445" spans="1:31" ht="15" x14ac:dyDescent="0.25">
      <c r="A3445" t="s">
        <v>2474</v>
      </c>
      <c r="B3445" t="s">
        <v>19733</v>
      </c>
      <c r="C3445" s="221">
        <v>42976.248136574075</v>
      </c>
      <c r="D3445" t="s">
        <v>19734</v>
      </c>
      <c r="E3445" s="249" t="str">
        <f>HYPERLINK("https://www.instagram.com/p/BYX5zS_nR8U/")</f>
        <v>https://www.instagram.com/p/BYX5zS_nR8U/</v>
      </c>
      <c r="F3445" t="s">
        <v>19735</v>
      </c>
      <c r="G3445" t="s">
        <v>2478</v>
      </c>
      <c r="H3445">
        <v>70</v>
      </c>
      <c r="I3445" t="s">
        <v>2479</v>
      </c>
      <c r="J3445">
        <v>2</v>
      </c>
      <c r="K3445">
        <v>16</v>
      </c>
      <c r="L3445">
        <v>18</v>
      </c>
      <c r="Q3445">
        <v>0</v>
      </c>
      <c r="R3445">
        <v>0</v>
      </c>
      <c r="S3445">
        <v>18</v>
      </c>
      <c r="T3445" t="s">
        <v>19736</v>
      </c>
      <c r="V3445" t="s">
        <v>2264</v>
      </c>
      <c r="W3445">
        <v>42.390624189999997</v>
      </c>
      <c r="X3445">
        <v>-8.7769144366667007</v>
      </c>
      <c r="Y3445" t="s">
        <v>19737</v>
      </c>
      <c r="Z3445" t="s">
        <v>19738</v>
      </c>
      <c r="AA3445" t="s">
        <v>3145</v>
      </c>
      <c r="AB3445" t="s">
        <v>2497</v>
      </c>
      <c r="AC3445" t="s">
        <v>19739</v>
      </c>
      <c r="AD3445" s="249" t="str">
        <f>HYPERLINK("https://scontent.cdninstagram.com/t51.2885-15/s320x320/e35/21107694_1554440114577380_2222425334052028416_n.jpg")</f>
        <v>https://scontent.cdninstagram.com/t51.2885-15/s320x320/e35/21107694_1554440114577380_2222425334052028416_n.jpg</v>
      </c>
      <c r="AE3445" s="249" t="str">
        <f>HYPERLINK("https://scontent.cdninstagram.com/t51.2885-19/s150x150/20838684_314135555724282_6884535488305168384_a.jpg")</f>
        <v>https://scontent.cdninstagram.com/t51.2885-19/s150x150/20838684_314135555724282_6884535488305168384_a.jpg</v>
      </c>
    </row>
    <row r="3446" spans="1:31" ht="15" x14ac:dyDescent="0.25">
      <c r="A3446" t="s">
        <v>2474</v>
      </c>
      <c r="B3446" t="s">
        <v>19740</v>
      </c>
      <c r="C3446" s="221">
        <v>42976.250648148147</v>
      </c>
      <c r="D3446" t="s">
        <v>19741</v>
      </c>
      <c r="E3446" s="249" t="str">
        <f>HYPERLINK("https://www.instagram.com/p/BYX6NwNAvjb/")</f>
        <v>https://www.instagram.com/p/BYX6NwNAvjb/</v>
      </c>
      <c r="F3446" t="s">
        <v>19742</v>
      </c>
      <c r="G3446" t="s">
        <v>2478</v>
      </c>
      <c r="H3446">
        <v>13</v>
      </c>
      <c r="I3446" t="s">
        <v>2519</v>
      </c>
      <c r="J3446">
        <v>0</v>
      </c>
      <c r="K3446">
        <v>12</v>
      </c>
      <c r="L3446">
        <v>12</v>
      </c>
      <c r="Q3446">
        <v>0</v>
      </c>
      <c r="R3446">
        <v>0</v>
      </c>
      <c r="S3446">
        <v>12</v>
      </c>
      <c r="Y3446" t="s">
        <v>19743</v>
      </c>
      <c r="Z3446" t="s">
        <v>2728</v>
      </c>
      <c r="AA3446" t="s">
        <v>19744</v>
      </c>
      <c r="AB3446" t="s">
        <v>19745</v>
      </c>
      <c r="AC3446" t="s">
        <v>2497</v>
      </c>
      <c r="AD3446" s="249" t="str">
        <f>HYPERLINK("https://scontent.cdninstagram.com/t51.2885-15/s320x320/e35/21108004_136165993670710_2643457924357160960_n.jpg")</f>
        <v>https://scontent.cdninstagram.com/t51.2885-15/s320x320/e35/21108004_136165993670710_2643457924357160960_n.jpg</v>
      </c>
      <c r="AE3446" s="249" t="str">
        <f>HYPERLINK("https://scontent.cdninstagram.com/t51.2885-19/s150x150/20836880_492896377710371_4945364892396814336_a.jpg")</f>
        <v>https://scontent.cdninstagram.com/t51.2885-19/s150x150/20836880_492896377710371_4945364892396814336_a.jpg</v>
      </c>
    </row>
    <row r="3447" spans="1:31" ht="15" x14ac:dyDescent="0.25">
      <c r="A3447" t="s">
        <v>2474</v>
      </c>
      <c r="B3447" t="s">
        <v>19746</v>
      </c>
      <c r="C3447" s="221">
        <v>42976.259166666663</v>
      </c>
      <c r="D3447" t="s">
        <v>19747</v>
      </c>
      <c r="E3447" s="249" t="str">
        <f>HYPERLINK("https://www.instagram.com/p/BYX7nqphZHT/")</f>
        <v>https://www.instagram.com/p/BYX7nqphZHT/</v>
      </c>
      <c r="F3447" t="s">
        <v>19748</v>
      </c>
      <c r="G3447" t="s">
        <v>2478</v>
      </c>
      <c r="H3447">
        <v>108</v>
      </c>
      <c r="I3447" t="s">
        <v>3273</v>
      </c>
      <c r="J3447">
        <v>0</v>
      </c>
      <c r="K3447">
        <v>4</v>
      </c>
      <c r="L3447">
        <v>4</v>
      </c>
      <c r="Q3447">
        <v>0</v>
      </c>
      <c r="R3447">
        <v>0</v>
      </c>
      <c r="S3447">
        <v>4</v>
      </c>
      <c r="Y3447" t="s">
        <v>19749</v>
      </c>
      <c r="Z3447" t="s">
        <v>19750</v>
      </c>
      <c r="AA3447" t="s">
        <v>19751</v>
      </c>
      <c r="AB3447" t="s">
        <v>6843</v>
      </c>
      <c r="AC3447" t="s">
        <v>19752</v>
      </c>
      <c r="AD3447" s="249" t="str">
        <f>HYPERLINK("https://scontent.cdninstagram.com/t51.2885-15/s320x320/e35/21148011_1842682692623309_1148437880872370176_n.jpg")</f>
        <v>https://scontent.cdninstagram.com/t51.2885-15/s320x320/e35/21148011_1842682692623309_1148437880872370176_n.jpg</v>
      </c>
      <c r="AE3447" s="249" t="str">
        <f>HYPERLINK("https://scontent.cdninstagram.com/t51.2885-19/s150x150/21224559_1804684596489112_6917173872500408320_a.jpg")</f>
        <v>https://scontent.cdninstagram.com/t51.2885-19/s150x150/21224559_1804684596489112_6917173872500408320_a.jpg</v>
      </c>
    </row>
    <row r="3448" spans="1:31" ht="15" x14ac:dyDescent="0.25">
      <c r="A3448" t="s">
        <v>2474</v>
      </c>
      <c r="B3448" t="s">
        <v>19753</v>
      </c>
      <c r="C3448" s="221">
        <v>42976.261064814818</v>
      </c>
      <c r="D3448" t="s">
        <v>19754</v>
      </c>
      <c r="E3448" s="249" t="str">
        <f>HYPERLINK("https://www.instagram.com/p/BYX77qYBstp/")</f>
        <v>https://www.instagram.com/p/BYX77qYBstp/</v>
      </c>
      <c r="F3448" t="s">
        <v>19755</v>
      </c>
      <c r="G3448" t="s">
        <v>2478</v>
      </c>
      <c r="H3448">
        <v>66</v>
      </c>
      <c r="I3448" t="s">
        <v>2479</v>
      </c>
      <c r="J3448">
        <v>0</v>
      </c>
      <c r="K3448">
        <v>7</v>
      </c>
      <c r="L3448">
        <v>7</v>
      </c>
      <c r="Q3448">
        <v>0</v>
      </c>
      <c r="R3448">
        <v>0</v>
      </c>
      <c r="S3448">
        <v>7</v>
      </c>
      <c r="Y3448" t="s">
        <v>19756</v>
      </c>
      <c r="Z3448" t="s">
        <v>7560</v>
      </c>
      <c r="AA3448" t="s">
        <v>19757</v>
      </c>
      <c r="AB3448" t="s">
        <v>19758</v>
      </c>
      <c r="AC3448" t="s">
        <v>19759</v>
      </c>
      <c r="AD3448" s="249" t="str">
        <f>HYPERLINK("https://scontent.cdninstagram.com/t51.2885-15/s320x320/e35/21107801_926441940836660_143432576038600704_n.jpg")</f>
        <v>https://scontent.cdninstagram.com/t51.2885-15/s320x320/e35/21107801_926441940836660_143432576038600704_n.jpg</v>
      </c>
      <c r="AE3448" s="249" t="str">
        <f>HYPERLINK("https://scontent.cdninstagram.com/t51.2885-19/s150x150/21149424_113659319309394_5986789149078716416_a.jpg")</f>
        <v>https://scontent.cdninstagram.com/t51.2885-19/s150x150/21149424_113659319309394_5986789149078716416_a.jpg</v>
      </c>
    </row>
    <row r="3449" spans="1:31" ht="15" x14ac:dyDescent="0.25">
      <c r="A3449" t="s">
        <v>2474</v>
      </c>
      <c r="B3449" t="s">
        <v>19760</v>
      </c>
      <c r="C3449" s="221">
        <v>42976.267025462963</v>
      </c>
      <c r="D3449" t="s">
        <v>19761</v>
      </c>
      <c r="E3449" s="249" t="str">
        <f>HYPERLINK("https://www.instagram.com/p/BYX86kygL9l/")</f>
        <v>https://www.instagram.com/p/BYX86kygL9l/</v>
      </c>
      <c r="F3449" t="s">
        <v>19762</v>
      </c>
      <c r="G3449" t="s">
        <v>2478</v>
      </c>
      <c r="H3449">
        <v>528</v>
      </c>
      <c r="I3449" t="s">
        <v>2479</v>
      </c>
      <c r="J3449">
        <v>1</v>
      </c>
      <c r="K3449">
        <v>60</v>
      </c>
      <c r="L3449">
        <v>61</v>
      </c>
      <c r="Q3449">
        <v>0</v>
      </c>
      <c r="R3449">
        <v>0</v>
      </c>
      <c r="S3449">
        <v>61</v>
      </c>
      <c r="Y3449" t="s">
        <v>2728</v>
      </c>
      <c r="Z3449" t="s">
        <v>2667</v>
      </c>
      <c r="AA3449" t="s">
        <v>2497</v>
      </c>
      <c r="AB3449" t="s">
        <v>19763</v>
      </c>
      <c r="AC3449" t="s">
        <v>2513</v>
      </c>
      <c r="AD3449" s="249" t="str">
        <f>HYPERLINK("https://scontent.cdninstagram.com/t51.2885-15/s320x320/e35/21107635_116630475667171_1814586475258314752_n.jpg")</f>
        <v>https://scontent.cdninstagram.com/t51.2885-15/s320x320/e35/21107635_116630475667171_1814586475258314752_n.jpg</v>
      </c>
      <c r="AE3449" s="249" t="str">
        <f>HYPERLINK("https://scontent.cdninstagram.com/t51.2885-19/s150x150/20839052_119191885400771_6018197252776919040_a.jpg")</f>
        <v>https://scontent.cdninstagram.com/t51.2885-19/s150x150/20839052_119191885400771_6018197252776919040_a.jpg</v>
      </c>
    </row>
    <row r="3450" spans="1:31" ht="15" x14ac:dyDescent="0.25">
      <c r="A3450" t="s">
        <v>2474</v>
      </c>
      <c r="B3450" t="s">
        <v>19764</v>
      </c>
      <c r="C3450" s="221">
        <v>42976.273564814815</v>
      </c>
      <c r="D3450" t="s">
        <v>19765</v>
      </c>
      <c r="E3450" s="249" t="str">
        <f>HYPERLINK("https://www.instagram.com/p/BYX9_dClVYq/")</f>
        <v>https://www.instagram.com/p/BYX9_dClVYq/</v>
      </c>
      <c r="F3450" t="s">
        <v>19766</v>
      </c>
      <c r="G3450" t="s">
        <v>2478</v>
      </c>
      <c r="H3450">
        <v>27979</v>
      </c>
      <c r="I3450" t="s">
        <v>2479</v>
      </c>
      <c r="J3450">
        <v>34</v>
      </c>
      <c r="K3450">
        <v>845</v>
      </c>
      <c r="L3450">
        <v>879</v>
      </c>
      <c r="Q3450">
        <v>0</v>
      </c>
      <c r="R3450">
        <v>0</v>
      </c>
      <c r="S3450">
        <v>879</v>
      </c>
      <c r="T3450" t="s">
        <v>6157</v>
      </c>
      <c r="V3450" t="s">
        <v>2270</v>
      </c>
      <c r="W3450">
        <v>59.35</v>
      </c>
      <c r="X3450">
        <v>18.066700000000001</v>
      </c>
      <c r="Y3450" t="s">
        <v>19767</v>
      </c>
      <c r="Z3450" t="s">
        <v>13083</v>
      </c>
      <c r="AA3450" t="s">
        <v>19768</v>
      </c>
      <c r="AB3450" t="s">
        <v>2497</v>
      </c>
      <c r="AC3450" t="s">
        <v>19769</v>
      </c>
      <c r="AD3450" s="249" t="str">
        <f>HYPERLINK("https://scontent.cdninstagram.com/t51.2885-15/e35/p320x320/21147439_163151174235629_7373889579381686272_n.jpg")</f>
        <v>https://scontent.cdninstagram.com/t51.2885-15/e35/p320x320/21147439_163151174235629_7373889579381686272_n.jpg</v>
      </c>
      <c r="AE3450" s="249" t="str">
        <f>HYPERLINK("https://scontent.cdninstagram.com/t51.2885-19/s150x150/20905601_1394552457331400_3319221739338072064_a.jpg")</f>
        <v>https://scontent.cdninstagram.com/t51.2885-19/s150x150/20905601_1394552457331400_3319221739338072064_a.jpg</v>
      </c>
    </row>
    <row r="3451" spans="1:31" ht="15" x14ac:dyDescent="0.25">
      <c r="A3451" t="s">
        <v>2474</v>
      </c>
      <c r="B3451" t="s">
        <v>19770</v>
      </c>
      <c r="C3451" s="221">
        <v>42976.277233796296</v>
      </c>
      <c r="D3451" t="s">
        <v>19771</v>
      </c>
      <c r="E3451" s="249" t="str">
        <f>HYPERLINK("https://www.instagram.com/p/BYX-mMbB577/")</f>
        <v>https://www.instagram.com/p/BYX-mMbB577/</v>
      </c>
      <c r="F3451" t="s">
        <v>19772</v>
      </c>
      <c r="G3451" t="s">
        <v>2478</v>
      </c>
      <c r="H3451">
        <v>359</v>
      </c>
      <c r="I3451" t="s">
        <v>2542</v>
      </c>
      <c r="J3451">
        <v>0</v>
      </c>
      <c r="K3451">
        <v>24</v>
      </c>
      <c r="L3451">
        <v>24</v>
      </c>
      <c r="Q3451">
        <v>0</v>
      </c>
      <c r="R3451">
        <v>0</v>
      </c>
      <c r="S3451">
        <v>24</v>
      </c>
      <c r="T3451" t="s">
        <v>19773</v>
      </c>
      <c r="V3451" t="s">
        <v>2110</v>
      </c>
      <c r="W3451">
        <v>51.34675</v>
      </c>
      <c r="X3451">
        <v>3.28755</v>
      </c>
      <c r="Y3451" t="s">
        <v>3312</v>
      </c>
      <c r="Z3451" t="s">
        <v>19774</v>
      </c>
      <c r="AA3451" t="s">
        <v>19775</v>
      </c>
      <c r="AB3451" t="s">
        <v>9941</v>
      </c>
      <c r="AC3451" t="s">
        <v>19776</v>
      </c>
      <c r="AD3451" s="249" t="str">
        <f>HYPERLINK("https://scontent.cdninstagram.com/t51.2885-15/e35/p320x320/21107357_345530159193597_7810850614249783296_n.jpg")</f>
        <v>https://scontent.cdninstagram.com/t51.2885-15/e35/p320x320/21107357_345530159193597_7810850614249783296_n.jpg</v>
      </c>
      <c r="AE3451" s="249" t="str">
        <f>HYPERLINK("https://scontent.cdninstagram.com/t51.2885-19/s150x150/16906657_224719797995746_3643507631500296192_a.jpg")</f>
        <v>https://scontent.cdninstagram.com/t51.2885-19/s150x150/16906657_224719797995746_3643507631500296192_a.jpg</v>
      </c>
    </row>
    <row r="3452" spans="1:31" ht="15" x14ac:dyDescent="0.25">
      <c r="A3452" t="s">
        <v>2474</v>
      </c>
      <c r="B3452" t="s">
        <v>18309</v>
      </c>
      <c r="C3452" s="221">
        <v>42976.279849537037</v>
      </c>
      <c r="D3452" t="s">
        <v>19777</v>
      </c>
      <c r="E3452" s="249" t="str">
        <f>HYPERLINK("https://www.instagram.com/p/BYX_B0mDohc/")</f>
        <v>https://www.instagram.com/p/BYX_B0mDohc/</v>
      </c>
      <c r="F3452" t="s">
        <v>19778</v>
      </c>
      <c r="G3452" t="s">
        <v>2478</v>
      </c>
      <c r="H3452">
        <v>9</v>
      </c>
      <c r="I3452" t="s">
        <v>2599</v>
      </c>
      <c r="J3452">
        <v>1</v>
      </c>
      <c r="K3452">
        <v>20</v>
      </c>
      <c r="L3452">
        <v>21</v>
      </c>
      <c r="Q3452">
        <v>0</v>
      </c>
      <c r="R3452">
        <v>0</v>
      </c>
      <c r="S3452">
        <v>21</v>
      </c>
      <c r="Y3452" t="s">
        <v>2730</v>
      </c>
      <c r="Z3452" t="s">
        <v>2696</v>
      </c>
      <c r="AA3452" t="s">
        <v>12295</v>
      </c>
      <c r="AB3452" t="s">
        <v>4180</v>
      </c>
      <c r="AC3452" t="s">
        <v>19779</v>
      </c>
      <c r="AD3452" s="249" t="str">
        <f>HYPERLINK("https://scontent.cdninstagram.com/t51.2885-15/s320x320/e35/21107849_309250806152687_4555072465360912384_n.jpg")</f>
        <v>https://scontent.cdninstagram.com/t51.2885-15/s320x320/e35/21107849_309250806152687_4555072465360912384_n.jpg</v>
      </c>
      <c r="AE3452" s="249" t="str">
        <f>HYPERLINK("https://scontent.cdninstagram.com/t51.2885-19/s150x150/21224635_116853155713206_6935607206414909440_a.jpg")</f>
        <v>https://scontent.cdninstagram.com/t51.2885-19/s150x150/21224635_116853155713206_6935607206414909440_a.jpg</v>
      </c>
    </row>
    <row r="3453" spans="1:31" ht="15" x14ac:dyDescent="0.25">
      <c r="A3453" t="s">
        <v>2474</v>
      </c>
      <c r="B3453" t="s">
        <v>19780</v>
      </c>
      <c r="C3453" s="221">
        <v>42976.285092592596</v>
      </c>
      <c r="D3453" t="s">
        <v>19781</v>
      </c>
      <c r="E3453" s="249" t="str">
        <f>HYPERLINK("https://www.instagram.com/p/BYX_5HSlQYG/")</f>
        <v>https://www.instagram.com/p/BYX_5HSlQYG/</v>
      </c>
      <c r="F3453" t="s">
        <v>19782</v>
      </c>
      <c r="G3453" t="s">
        <v>2478</v>
      </c>
      <c r="H3453">
        <v>336</v>
      </c>
      <c r="I3453" t="s">
        <v>2479</v>
      </c>
      <c r="J3453">
        <v>0</v>
      </c>
      <c r="K3453">
        <v>56</v>
      </c>
      <c r="L3453">
        <v>56</v>
      </c>
      <c r="Q3453">
        <v>0</v>
      </c>
      <c r="R3453">
        <v>0</v>
      </c>
      <c r="S3453">
        <v>56</v>
      </c>
      <c r="T3453" t="s">
        <v>19783</v>
      </c>
      <c r="V3453" t="s">
        <v>2184</v>
      </c>
      <c r="W3453">
        <v>35</v>
      </c>
      <c r="X3453">
        <v>135.75</v>
      </c>
      <c r="Y3453" t="s">
        <v>6277</v>
      </c>
      <c r="Z3453" t="s">
        <v>2497</v>
      </c>
      <c r="AA3453" t="s">
        <v>19784</v>
      </c>
      <c r="AB3453" t="s">
        <v>19785</v>
      </c>
      <c r="AC3453" t="s">
        <v>19786</v>
      </c>
      <c r="AD3453" s="249" t="str">
        <f>HYPERLINK("https://scontent.cdninstagram.com/t51.2885-15/s320x320/e35/21107786_1953208598257440_4017450638458748928_n.jpg")</f>
        <v>https://scontent.cdninstagram.com/t51.2885-15/s320x320/e35/21107786_1953208598257440_4017450638458748928_n.jpg</v>
      </c>
      <c r="AE3453" s="249" t="str">
        <f>HYPERLINK("https://scontent.cdninstagram.com/t51.2885-19/11370983_1460899640902950_1046750028_a.jpg")</f>
        <v>https://scontent.cdninstagram.com/t51.2885-19/11370983_1460899640902950_1046750028_a.jpg</v>
      </c>
    </row>
    <row r="3454" spans="1:31" ht="15" x14ac:dyDescent="0.25">
      <c r="A3454" t="s">
        <v>2474</v>
      </c>
      <c r="B3454" t="s">
        <v>12425</v>
      </c>
      <c r="C3454" s="221">
        <v>42976.285810185182</v>
      </c>
      <c r="D3454" t="s">
        <v>19787</v>
      </c>
      <c r="E3454" s="249" t="str">
        <f>HYPERLINK("https://www.instagram.com/p/BYYAAm4goIk/")</f>
        <v>https://www.instagram.com/p/BYYAAm4goIk/</v>
      </c>
      <c r="F3454" t="s">
        <v>19788</v>
      </c>
      <c r="G3454" t="s">
        <v>2478</v>
      </c>
      <c r="H3454">
        <v>3</v>
      </c>
      <c r="I3454" t="s">
        <v>2479</v>
      </c>
      <c r="J3454">
        <v>0</v>
      </c>
      <c r="K3454">
        <v>6</v>
      </c>
      <c r="L3454">
        <v>6</v>
      </c>
      <c r="Q3454">
        <v>0</v>
      </c>
      <c r="R3454">
        <v>0</v>
      </c>
      <c r="S3454">
        <v>6</v>
      </c>
      <c r="Y3454" t="s">
        <v>19789</v>
      </c>
      <c r="Z3454" t="s">
        <v>19790</v>
      </c>
      <c r="AA3454" t="s">
        <v>19791</v>
      </c>
      <c r="AB3454" t="s">
        <v>5989</v>
      </c>
      <c r="AC3454" t="s">
        <v>19792</v>
      </c>
      <c r="AD3454" s="249" t="str">
        <f>HYPERLINK("https://scontent.cdninstagram.com/t51.2885-15/s320x320/e35/21147266_145898646000578_2980189253058691072_n.jpg")</f>
        <v>https://scontent.cdninstagram.com/t51.2885-15/s320x320/e35/21147266_145898646000578_2980189253058691072_n.jpg</v>
      </c>
      <c r="AE3454" s="249" t="str">
        <f>HYPERLINK("https://scontent.cdninstagram.com/t51.2885-19/s150x150/20905079_1939352326347905_8444545104307290112_a.jpg")</f>
        <v>https://scontent.cdninstagram.com/t51.2885-19/s150x150/20905079_1939352326347905_8444545104307290112_a.jpg</v>
      </c>
    </row>
    <row r="3455" spans="1:31" ht="15" x14ac:dyDescent="0.25">
      <c r="A3455" t="s">
        <v>2474</v>
      </c>
      <c r="B3455" t="s">
        <v>19793</v>
      </c>
      <c r="C3455" s="221">
        <v>42976.304861111108</v>
      </c>
      <c r="D3455" t="s">
        <v>19794</v>
      </c>
      <c r="E3455" s="249" t="str">
        <f>HYPERLINK("https://www.instagram.com/p/BYYDJn4lZk1/")</f>
        <v>https://www.instagram.com/p/BYYDJn4lZk1/</v>
      </c>
      <c r="F3455" t="s">
        <v>19795</v>
      </c>
      <c r="G3455" t="s">
        <v>2478</v>
      </c>
      <c r="H3455">
        <v>883</v>
      </c>
      <c r="I3455" t="s">
        <v>2479</v>
      </c>
      <c r="J3455">
        <v>0</v>
      </c>
      <c r="K3455">
        <v>33</v>
      </c>
      <c r="L3455">
        <v>33</v>
      </c>
      <c r="Q3455">
        <v>0</v>
      </c>
      <c r="R3455">
        <v>0</v>
      </c>
      <c r="S3455">
        <v>33</v>
      </c>
      <c r="T3455" t="s">
        <v>11963</v>
      </c>
      <c r="U3455" t="s">
        <v>134</v>
      </c>
      <c r="V3455" t="s">
        <v>2299</v>
      </c>
      <c r="W3455">
        <v>27.9709</v>
      </c>
      <c r="X3455">
        <v>-82.464600000000004</v>
      </c>
      <c r="Y3455" t="s">
        <v>2827</v>
      </c>
      <c r="Z3455" t="s">
        <v>2521</v>
      </c>
      <c r="AA3455" t="s">
        <v>19796</v>
      </c>
      <c r="AB3455" t="s">
        <v>6846</v>
      </c>
      <c r="AC3455" t="s">
        <v>11881</v>
      </c>
      <c r="AD3455" s="249" t="str">
        <f>HYPERLINK("https://scontent.cdninstagram.com/t51.2885-15/s320x320/e35/21224733_1010863659055902_6772810070242623488_n.jpg")</f>
        <v>https://scontent.cdninstagram.com/t51.2885-15/s320x320/e35/21224733_1010863659055902_6772810070242623488_n.jpg</v>
      </c>
      <c r="AE3455" s="249" t="str">
        <f>HYPERLINK("https://scontent.cdninstagram.com/t51.2885-19/s150x150/20766778_109246526457968_2268384902913196032_a.jpg")</f>
        <v>https://scontent.cdninstagram.com/t51.2885-19/s150x150/20766778_109246526457968_2268384902913196032_a.jpg</v>
      </c>
    </row>
    <row r="3456" spans="1:31" ht="15" x14ac:dyDescent="0.25">
      <c r="A3456" t="s">
        <v>2474</v>
      </c>
      <c r="B3456" t="s">
        <v>19797</v>
      </c>
      <c r="C3456" s="221">
        <v>42976.31521990741</v>
      </c>
      <c r="D3456" t="s">
        <v>19798</v>
      </c>
      <c r="E3456" s="249" t="str">
        <f>HYPERLINK("https://www.instagram.com/p/BYYE23HHEPl/")</f>
        <v>https://www.instagram.com/p/BYYE23HHEPl/</v>
      </c>
      <c r="F3456" t="s">
        <v>19799</v>
      </c>
      <c r="G3456" t="s">
        <v>2478</v>
      </c>
      <c r="H3456">
        <v>236</v>
      </c>
      <c r="I3456" t="s">
        <v>2927</v>
      </c>
      <c r="J3456">
        <v>0</v>
      </c>
      <c r="K3456">
        <v>3</v>
      </c>
      <c r="L3456">
        <v>3</v>
      </c>
      <c r="Q3456">
        <v>0</v>
      </c>
      <c r="R3456">
        <v>0</v>
      </c>
      <c r="S3456">
        <v>3</v>
      </c>
      <c r="Y3456" t="s">
        <v>19800</v>
      </c>
      <c r="Z3456" t="s">
        <v>9011</v>
      </c>
      <c r="AA3456" t="s">
        <v>19801</v>
      </c>
      <c r="AB3456" t="s">
        <v>19802</v>
      </c>
      <c r="AC3456" t="s">
        <v>3196</v>
      </c>
      <c r="AD3456" s="249" t="str">
        <f>HYPERLINK("https://scontent.cdninstagram.com/t51.2885-15/s320x320/e35/c0.76.612.612/21147385_830387320454478_4885237751139532800_n.jpg")</f>
        <v>https://scontent.cdninstagram.com/t51.2885-15/s320x320/e35/c0.76.612.612/21147385_830387320454478_4885237751139532800_n.jpg</v>
      </c>
      <c r="AE3456" s="249" t="str">
        <f>HYPERLINK("https://scontent.cdninstagram.com/t51.2885-19/s150x150/20347770_1930342020566142_2750856540826107904_a.jpg")</f>
        <v>https://scontent.cdninstagram.com/t51.2885-19/s150x150/20347770_1930342020566142_2750856540826107904_a.jpg</v>
      </c>
    </row>
    <row r="3457" spans="1:31" ht="15" x14ac:dyDescent="0.25">
      <c r="A3457" t="s">
        <v>2474</v>
      </c>
      <c r="B3457" t="s">
        <v>19803</v>
      </c>
      <c r="C3457" s="221">
        <v>42976.321550925924</v>
      </c>
      <c r="D3457" t="s">
        <v>19804</v>
      </c>
      <c r="E3457" s="249" t="str">
        <f>HYPERLINK("https://www.instagram.com/p/BYYF5pGBiTn/")</f>
        <v>https://www.instagram.com/p/BYYF5pGBiTn/</v>
      </c>
      <c r="F3457" t="s">
        <v>19805</v>
      </c>
      <c r="G3457" t="s">
        <v>2478</v>
      </c>
      <c r="H3457">
        <v>428</v>
      </c>
      <c r="I3457" t="s">
        <v>2479</v>
      </c>
      <c r="J3457">
        <v>0</v>
      </c>
      <c r="K3457">
        <v>20</v>
      </c>
      <c r="L3457">
        <v>20</v>
      </c>
      <c r="Q3457">
        <v>0</v>
      </c>
      <c r="R3457">
        <v>0</v>
      </c>
      <c r="S3457">
        <v>20</v>
      </c>
      <c r="Y3457" t="s">
        <v>19806</v>
      </c>
      <c r="Z3457" t="s">
        <v>2497</v>
      </c>
      <c r="AD3457" s="249" t="str">
        <f>HYPERLINK("https://scontent.cdninstagram.com/t51.2885-15/s320x320/e35/21149845_127100134584732_7629489452603146240_n.jpg")</f>
        <v>https://scontent.cdninstagram.com/t51.2885-15/s320x320/e35/21149845_127100134584732_7629489452603146240_n.jpg</v>
      </c>
      <c r="AE3457" s="249" t="str">
        <f>HYPERLINK("https://scontent.cdninstagram.com/t51.2885-19/s150x150/12424586_1697046053865100_67845801_a.jpg")</f>
        <v>https://scontent.cdninstagram.com/t51.2885-19/s150x150/12424586_1697046053865100_67845801_a.jpg</v>
      </c>
    </row>
    <row r="3458" spans="1:31" ht="15" x14ac:dyDescent="0.25">
      <c r="A3458" t="s">
        <v>2474</v>
      </c>
      <c r="B3458" t="s">
        <v>19807</v>
      </c>
      <c r="C3458" s="221">
        <v>42976.324930555558</v>
      </c>
      <c r="D3458" t="s">
        <v>19808</v>
      </c>
      <c r="E3458" s="249" t="str">
        <f>HYPERLINK("https://www.instagram.com/p/BYYGdT1jlLD/")</f>
        <v>https://www.instagram.com/p/BYYGdT1jlLD/</v>
      </c>
      <c r="F3458" t="s">
        <v>19809</v>
      </c>
      <c r="G3458" t="s">
        <v>2478</v>
      </c>
      <c r="H3458">
        <v>23792</v>
      </c>
      <c r="I3458" t="s">
        <v>2479</v>
      </c>
      <c r="J3458">
        <v>7</v>
      </c>
      <c r="K3458">
        <v>193</v>
      </c>
      <c r="L3458">
        <v>200</v>
      </c>
      <c r="Q3458">
        <v>0</v>
      </c>
      <c r="R3458">
        <v>0</v>
      </c>
      <c r="S3458">
        <v>200</v>
      </c>
      <c r="Y3458" t="s">
        <v>19810</v>
      </c>
      <c r="Z3458" t="s">
        <v>19811</v>
      </c>
      <c r="AA3458" t="s">
        <v>11898</v>
      </c>
      <c r="AB3458" t="s">
        <v>8206</v>
      </c>
      <c r="AC3458" t="s">
        <v>14014</v>
      </c>
      <c r="AD3458" s="249" t="str">
        <f>HYPERLINK("https://scontent.cdninstagram.com/t51.2885-15/e35/p320x320/21147306_1450354455019943_38436937937190912_n.jpg")</f>
        <v>https://scontent.cdninstagram.com/t51.2885-15/e35/p320x320/21147306_1450354455019943_38436937937190912_n.jpg</v>
      </c>
      <c r="AE3458" s="249" t="str">
        <f>HYPERLINK("https://scontent.cdninstagram.com/t51.2885-19/s150x150/21373081_1476552312427516_7247681626086309888_a.jpg")</f>
        <v>https://scontent.cdninstagram.com/t51.2885-19/s150x150/21373081_1476552312427516_7247681626086309888_a.jpg</v>
      </c>
    </row>
    <row r="3459" spans="1:31" ht="15" x14ac:dyDescent="0.25">
      <c r="A3459" t="s">
        <v>2474</v>
      </c>
      <c r="B3459" t="s">
        <v>3895</v>
      </c>
      <c r="C3459" s="221">
        <v>42976.329293981478</v>
      </c>
      <c r="D3459" t="s">
        <v>19812</v>
      </c>
      <c r="E3459" s="249" t="str">
        <f>HYPERLINK("https://www.instagram.com/p/BYYHLRmFFiS/")</f>
        <v>https://www.instagram.com/p/BYYHLRmFFiS/</v>
      </c>
      <c r="F3459" t="s">
        <v>19813</v>
      </c>
      <c r="G3459" t="s">
        <v>2478</v>
      </c>
      <c r="H3459">
        <v>436</v>
      </c>
      <c r="I3459" t="s">
        <v>2903</v>
      </c>
      <c r="J3459">
        <v>3</v>
      </c>
      <c r="K3459">
        <v>71</v>
      </c>
      <c r="L3459">
        <v>74</v>
      </c>
      <c r="Q3459">
        <v>0</v>
      </c>
      <c r="R3459">
        <v>0</v>
      </c>
      <c r="S3459">
        <v>74</v>
      </c>
      <c r="Y3459" t="s">
        <v>6187</v>
      </c>
      <c r="Z3459" t="s">
        <v>3901</v>
      </c>
      <c r="AA3459" t="s">
        <v>16889</v>
      </c>
      <c r="AB3459" t="s">
        <v>3157</v>
      </c>
      <c r="AC3459" t="s">
        <v>6746</v>
      </c>
      <c r="AD3459" s="249" t="str">
        <f>HYPERLINK("https://scontent.cdninstagram.com/t51.2885-15/s320x320/e35/21147611_161637484390352_1806815170022866944_n.jpg")</f>
        <v>https://scontent.cdninstagram.com/t51.2885-15/s320x320/e35/21147611_161637484390352_1806815170022866944_n.jpg</v>
      </c>
      <c r="AE3459" s="249" t="str">
        <f>HYPERLINK("https://scontent.cdninstagram.com/t51.2885-19/s150x150/20902130_1390331654386412_4188068892897181696_a.jpg")</f>
        <v>https://scontent.cdninstagram.com/t51.2885-19/s150x150/20902130_1390331654386412_4188068892897181696_a.jpg</v>
      </c>
    </row>
    <row r="3460" spans="1:31" ht="15" x14ac:dyDescent="0.25">
      <c r="A3460" t="s">
        <v>2474</v>
      </c>
      <c r="B3460" t="s">
        <v>19814</v>
      </c>
      <c r="C3460" s="221">
        <v>42976.332245370373</v>
      </c>
      <c r="D3460" t="s">
        <v>19815</v>
      </c>
      <c r="E3460" s="249" t="str">
        <f>HYPERLINK("https://www.instagram.com/p/BYYHqX0Fezl/")</f>
        <v>https://www.instagram.com/p/BYYHqX0Fezl/</v>
      </c>
      <c r="F3460" t="s">
        <v>19816</v>
      </c>
      <c r="G3460" t="s">
        <v>2631</v>
      </c>
      <c r="H3460">
        <v>139</v>
      </c>
      <c r="I3460" t="s">
        <v>2542</v>
      </c>
      <c r="J3460">
        <v>3</v>
      </c>
      <c r="K3460">
        <v>16</v>
      </c>
      <c r="L3460">
        <v>19</v>
      </c>
      <c r="Q3460">
        <v>0</v>
      </c>
      <c r="R3460">
        <v>0</v>
      </c>
      <c r="S3460">
        <v>19</v>
      </c>
      <c r="T3460" t="s">
        <v>19817</v>
      </c>
      <c r="V3460" t="s">
        <v>2141</v>
      </c>
      <c r="W3460">
        <v>56.157200000000003</v>
      </c>
      <c r="X3460">
        <v>10.210699999999999</v>
      </c>
      <c r="Y3460" t="s">
        <v>19818</v>
      </c>
      <c r="Z3460" t="s">
        <v>10712</v>
      </c>
      <c r="AA3460" t="s">
        <v>2497</v>
      </c>
      <c r="AB3460" t="s">
        <v>19819</v>
      </c>
      <c r="AC3460" t="s">
        <v>13887</v>
      </c>
      <c r="AD3460" s="249" t="str">
        <f>HYPERLINK("https://scontent.cdninstagram.com/t51.2885-15/s320x320/e15/21148902_118573705538080_8263941892719247360_n.jpg")</f>
        <v>https://scontent.cdninstagram.com/t51.2885-15/s320x320/e15/21148902_118573705538080_8263941892719247360_n.jpg</v>
      </c>
      <c r="AE3460" s="249" t="str">
        <f>HYPERLINK("https://scontent.cdninstagram.com/t51.2885-19/s150x150/16789443_1847233805561498_2445662830561591296_a.jpg")</f>
        <v>https://scontent.cdninstagram.com/t51.2885-19/s150x150/16789443_1847233805561498_2445662830561591296_a.jpg</v>
      </c>
    </row>
    <row r="3461" spans="1:31" ht="15" x14ac:dyDescent="0.25">
      <c r="A3461" t="s">
        <v>2474</v>
      </c>
      <c r="B3461" t="s">
        <v>19437</v>
      </c>
      <c r="C3461" s="221">
        <v>42976.341192129628</v>
      </c>
      <c r="D3461" t="s">
        <v>19820</v>
      </c>
      <c r="E3461" s="249" t="str">
        <f>HYPERLINK("https://www.instagram.com/p/BYYJIyQnVwP/")</f>
        <v>https://www.instagram.com/p/BYYJIyQnVwP/</v>
      </c>
      <c r="F3461" t="s">
        <v>19821</v>
      </c>
      <c r="G3461" t="s">
        <v>2478</v>
      </c>
      <c r="H3461">
        <v>195</v>
      </c>
      <c r="I3461" t="s">
        <v>2479</v>
      </c>
      <c r="J3461">
        <v>1</v>
      </c>
      <c r="K3461">
        <v>25</v>
      </c>
      <c r="L3461">
        <v>26</v>
      </c>
      <c r="Q3461">
        <v>0</v>
      </c>
      <c r="R3461">
        <v>0</v>
      </c>
      <c r="S3461">
        <v>26</v>
      </c>
      <c r="Y3461" t="s">
        <v>7039</v>
      </c>
      <c r="Z3461" t="s">
        <v>2497</v>
      </c>
      <c r="AA3461" t="s">
        <v>2616</v>
      </c>
      <c r="AB3461" t="s">
        <v>19822</v>
      </c>
      <c r="AC3461" t="s">
        <v>19823</v>
      </c>
      <c r="AD3461" s="249" t="str">
        <f>HYPERLINK("https://scontent.cdninstagram.com/t51.2885-15/s320x320/e35/21107638_1777945305614102_1862480935476264960_n.jpg")</f>
        <v>https://scontent.cdninstagram.com/t51.2885-15/s320x320/e35/21107638_1777945305614102_1862480935476264960_n.jpg</v>
      </c>
      <c r="AE3461" s="249" t="str">
        <f>HYPERLINK("https://scontent.cdninstagram.com/t51.2885-19/s150x150/15306598_1217285564984584_8224680969601286144_a.jpg")</f>
        <v>https://scontent.cdninstagram.com/t51.2885-19/s150x150/15306598_1217285564984584_8224680969601286144_a.jpg</v>
      </c>
    </row>
    <row r="3462" spans="1:31" ht="15" x14ac:dyDescent="0.25">
      <c r="A3462" t="s">
        <v>2474</v>
      </c>
      <c r="B3462" t="s">
        <v>19824</v>
      </c>
      <c r="C3462" s="221">
        <v>42976.343865740739</v>
      </c>
      <c r="D3462" t="s">
        <v>19825</v>
      </c>
      <c r="E3462" s="249" t="str">
        <f>HYPERLINK("https://www.instagram.com/p/BYYJk-tlpbS/")</f>
        <v>https://www.instagram.com/p/BYYJk-tlpbS/</v>
      </c>
      <c r="F3462" t="s">
        <v>19826</v>
      </c>
      <c r="G3462" t="s">
        <v>2478</v>
      </c>
      <c r="H3462">
        <v>27</v>
      </c>
      <c r="I3462" t="s">
        <v>2479</v>
      </c>
      <c r="J3462">
        <v>0</v>
      </c>
      <c r="K3462">
        <v>3</v>
      </c>
      <c r="L3462">
        <v>3</v>
      </c>
      <c r="Q3462">
        <v>0</v>
      </c>
      <c r="R3462">
        <v>0</v>
      </c>
      <c r="S3462">
        <v>3</v>
      </c>
      <c r="T3462" t="s">
        <v>19827</v>
      </c>
      <c r="V3462" t="s">
        <v>2263</v>
      </c>
      <c r="W3462">
        <v>-25.934722222222</v>
      </c>
      <c r="X3462">
        <v>28.012499999999999</v>
      </c>
      <c r="Y3462" t="s">
        <v>2492</v>
      </c>
      <c r="Z3462" t="s">
        <v>2497</v>
      </c>
      <c r="AD3462" s="249" t="str">
        <f>HYPERLINK("https://scontent.cdninstagram.com/t51.2885-15/s320x320/e35/21147636_113537766001863_7243382307988439040_n.jpg")</f>
        <v>https://scontent.cdninstagram.com/t51.2885-15/s320x320/e35/21147636_113537766001863_7243382307988439040_n.jpg</v>
      </c>
      <c r="AE3462" s="249" t="str">
        <f>HYPERLINK("https://scontent.cdninstagram.com/t51.2885-19/s150x150/19985111_792047930998288_6792904873600876544_a.jpg")</f>
        <v>https://scontent.cdninstagram.com/t51.2885-19/s150x150/19985111_792047930998288_6792904873600876544_a.jpg</v>
      </c>
    </row>
    <row r="3463" spans="1:31" ht="15" x14ac:dyDescent="0.25">
      <c r="A3463" t="s">
        <v>2474</v>
      </c>
      <c r="B3463" t="s">
        <v>14993</v>
      </c>
      <c r="C3463" s="221">
        <v>42976.350925925923</v>
      </c>
      <c r="D3463" t="s">
        <v>19828</v>
      </c>
      <c r="E3463" s="249" t="str">
        <f>HYPERLINK("https://www.instagram.com/p/BYYKvc0gj9I/")</f>
        <v>https://www.instagram.com/p/BYYKvc0gj9I/</v>
      </c>
      <c r="F3463" t="s">
        <v>19829</v>
      </c>
      <c r="G3463" t="s">
        <v>2488</v>
      </c>
      <c r="H3463">
        <v>508</v>
      </c>
      <c r="I3463" t="s">
        <v>2479</v>
      </c>
      <c r="J3463">
        <v>1</v>
      </c>
      <c r="K3463">
        <v>75</v>
      </c>
      <c r="L3463">
        <v>76</v>
      </c>
      <c r="Q3463">
        <v>0</v>
      </c>
      <c r="R3463">
        <v>0</v>
      </c>
      <c r="S3463">
        <v>76</v>
      </c>
      <c r="T3463" t="s">
        <v>19830</v>
      </c>
      <c r="V3463" t="s">
        <v>2264</v>
      </c>
      <c r="W3463">
        <v>42.883299999999998</v>
      </c>
      <c r="X3463">
        <v>-8.5500000000000007</v>
      </c>
      <c r="Y3463" t="s">
        <v>19831</v>
      </c>
      <c r="Z3463" t="s">
        <v>2789</v>
      </c>
      <c r="AA3463" t="s">
        <v>4547</v>
      </c>
      <c r="AB3463" t="s">
        <v>14997</v>
      </c>
      <c r="AC3463" t="s">
        <v>4218</v>
      </c>
      <c r="AD3463" s="249" t="str">
        <f>HYPERLINK("https://scontent.cdninstagram.com/t51.2885-15/s320x320/e35/21107782_113978805952313_8119480444379987968_n.jpg")</f>
        <v>https://scontent.cdninstagram.com/t51.2885-15/s320x320/e35/21107782_113978805952313_8119480444379987968_n.jpg</v>
      </c>
      <c r="AE3463" s="249" t="str">
        <f>HYPERLINK("https://scontent.cdninstagram.com/t51.2885-19/s150x150/20635314_129017384376955_1140532177520295936_a.jpg")</f>
        <v>https://scontent.cdninstagram.com/t51.2885-19/s150x150/20635314_129017384376955_1140532177520295936_a.jpg</v>
      </c>
    </row>
    <row r="3464" spans="1:31" ht="15" x14ac:dyDescent="0.25">
      <c r="A3464" t="s">
        <v>2474</v>
      </c>
      <c r="B3464" t="s">
        <v>19832</v>
      </c>
      <c r="C3464" s="221">
        <v>42976.352256944447</v>
      </c>
      <c r="D3464" t="s">
        <v>19833</v>
      </c>
      <c r="E3464" s="249" t="str">
        <f>HYPERLINK("https://www.instagram.com/p/BYYK9bPDQtF/")</f>
        <v>https://www.instagram.com/p/BYYK9bPDQtF/</v>
      </c>
      <c r="F3464" t="s">
        <v>19834</v>
      </c>
      <c r="G3464" t="s">
        <v>2488</v>
      </c>
      <c r="H3464">
        <v>548</v>
      </c>
      <c r="I3464" t="s">
        <v>2479</v>
      </c>
      <c r="J3464">
        <v>0</v>
      </c>
      <c r="K3464">
        <v>22</v>
      </c>
      <c r="L3464">
        <v>22</v>
      </c>
      <c r="Q3464">
        <v>0</v>
      </c>
      <c r="R3464">
        <v>0</v>
      </c>
      <c r="S3464">
        <v>22</v>
      </c>
      <c r="T3464" t="s">
        <v>19835</v>
      </c>
      <c r="V3464" t="s">
        <v>2238</v>
      </c>
      <c r="W3464">
        <v>16.413593800000001</v>
      </c>
      <c r="X3464">
        <v>120.6087079</v>
      </c>
      <c r="Y3464" t="s">
        <v>19836</v>
      </c>
      <c r="Z3464" t="s">
        <v>2497</v>
      </c>
      <c r="AD3464" s="249" t="str">
        <f>HYPERLINK("https://scontent.cdninstagram.com/t51.2885-15/s320x320/e35/21148008_122078648450207_2893363027426410496_n.jpg")</f>
        <v>https://scontent.cdninstagram.com/t51.2885-15/s320x320/e35/21148008_122078648450207_2893363027426410496_n.jpg</v>
      </c>
      <c r="AE3464" s="249" t="str">
        <f>HYPERLINK("https://scontent.cdninstagram.com/t51.2885-19/s150x150/21295075_604366743067386_7872153180681797632_a.jpg")</f>
        <v>https://scontent.cdninstagram.com/t51.2885-19/s150x150/21295075_604366743067386_7872153180681797632_a.jpg</v>
      </c>
    </row>
    <row r="3465" spans="1:31" ht="15" x14ac:dyDescent="0.25">
      <c r="A3465" t="s">
        <v>2474</v>
      </c>
      <c r="B3465" t="s">
        <v>7232</v>
      </c>
      <c r="C3465" s="221">
        <v>42976.354097222225</v>
      </c>
      <c r="D3465" t="s">
        <v>19837</v>
      </c>
      <c r="E3465" s="249" t="str">
        <f>HYPERLINK("https://www.instagram.com/p/BYYLQ4gH5Iz/")</f>
        <v>https://www.instagram.com/p/BYYLQ4gH5Iz/</v>
      </c>
      <c r="F3465" t="s">
        <v>19838</v>
      </c>
      <c r="G3465" t="s">
        <v>2631</v>
      </c>
      <c r="I3465" t="s">
        <v>3273</v>
      </c>
      <c r="J3465">
        <v>1</v>
      </c>
      <c r="K3465">
        <v>12</v>
      </c>
      <c r="L3465">
        <v>13</v>
      </c>
      <c r="Q3465">
        <v>0</v>
      </c>
      <c r="R3465">
        <v>0</v>
      </c>
      <c r="S3465">
        <v>13</v>
      </c>
      <c r="Y3465" t="s">
        <v>4975</v>
      </c>
      <c r="Z3465" t="s">
        <v>10416</v>
      </c>
      <c r="AA3465" t="s">
        <v>12637</v>
      </c>
      <c r="AB3465" t="s">
        <v>3671</v>
      </c>
      <c r="AC3465" t="s">
        <v>2543</v>
      </c>
      <c r="AD3465" s="249" t="str">
        <f>HYPERLINK("https://scontent.cdninstagram.com/t51.2885-15/e15/p320x320/21148989_336149703499518_794453891881107456_n.jpg")</f>
        <v>https://scontent.cdninstagram.com/t51.2885-15/e15/p320x320/21148989_336149703499518_794453891881107456_n.jpg</v>
      </c>
      <c r="AE3465" s="249" t="str">
        <f>HYPERLINK("https://scontent.cdninstagram.com/t51.2885-19/s150x150/14482263_1660577494243200_2334360342223650816_a.jpg")</f>
        <v>https://scontent.cdninstagram.com/t51.2885-19/s150x150/14482263_1660577494243200_2334360342223650816_a.jpg</v>
      </c>
    </row>
    <row r="3466" spans="1:31" ht="15" x14ac:dyDescent="0.25">
      <c r="A3466" t="s">
        <v>2474</v>
      </c>
      <c r="B3466" t="s">
        <v>7647</v>
      </c>
      <c r="C3466" s="221">
        <v>42976.363819444443</v>
      </c>
      <c r="D3466" t="s">
        <v>19839</v>
      </c>
      <c r="E3466" s="249" t="str">
        <f>HYPERLINK("https://www.instagram.com/p/BYYM3ahgXH_/")</f>
        <v>https://www.instagram.com/p/BYYM3ahgXH_/</v>
      </c>
      <c r="F3466" t="s">
        <v>19840</v>
      </c>
      <c r="G3466" t="s">
        <v>2478</v>
      </c>
      <c r="H3466">
        <v>77</v>
      </c>
      <c r="I3466" t="s">
        <v>2479</v>
      </c>
      <c r="J3466">
        <v>0</v>
      </c>
      <c r="K3466">
        <v>18</v>
      </c>
      <c r="L3466">
        <v>18</v>
      </c>
      <c r="Q3466">
        <v>0</v>
      </c>
      <c r="R3466">
        <v>0</v>
      </c>
      <c r="S3466">
        <v>18</v>
      </c>
      <c r="Y3466" t="s">
        <v>19841</v>
      </c>
      <c r="Z3466" t="s">
        <v>2497</v>
      </c>
      <c r="AA3466" t="s">
        <v>7652</v>
      </c>
      <c r="AB3466" t="s">
        <v>19842</v>
      </c>
      <c r="AC3466" t="s">
        <v>3091</v>
      </c>
      <c r="AD3466" s="249" t="str">
        <f>HYPERLINK("https://scontent.cdninstagram.com/t51.2885-15/s320x320/e35/21147865_270428086786320_8744239143309017088_n.jpg")</f>
        <v>https://scontent.cdninstagram.com/t51.2885-15/s320x320/e35/21147865_270428086786320_8744239143309017088_n.jpg</v>
      </c>
      <c r="AE3466" s="249" t="str">
        <f>HYPERLINK("https://scontent.cdninstagram.com/t51.2885-19/s150x150/19984566_732703113580954_2442051729433296896_a.jpg")</f>
        <v>https://scontent.cdninstagram.com/t51.2885-19/s150x150/19984566_732703113580954_2442051729433296896_a.jpg</v>
      </c>
    </row>
    <row r="3467" spans="1:31" ht="15" x14ac:dyDescent="0.25">
      <c r="A3467" t="s">
        <v>2474</v>
      </c>
      <c r="B3467" t="s">
        <v>19843</v>
      </c>
      <c r="C3467" s="221">
        <v>42976.365104166667</v>
      </c>
      <c r="D3467" t="s">
        <v>19844</v>
      </c>
      <c r="E3467" s="249" t="str">
        <f>HYPERLINK("https://www.instagram.com/p/BYYNE6NFg2V/")</f>
        <v>https://www.instagram.com/p/BYYNE6NFg2V/</v>
      </c>
      <c r="F3467" t="s">
        <v>19845</v>
      </c>
      <c r="G3467" t="s">
        <v>2478</v>
      </c>
      <c r="H3467">
        <v>416</v>
      </c>
      <c r="I3467" t="s">
        <v>3025</v>
      </c>
      <c r="J3467">
        <v>0</v>
      </c>
      <c r="K3467">
        <v>22</v>
      </c>
      <c r="L3467">
        <v>22</v>
      </c>
      <c r="Q3467">
        <v>0</v>
      </c>
      <c r="R3467">
        <v>0</v>
      </c>
      <c r="S3467">
        <v>22</v>
      </c>
      <c r="Y3467" t="s">
        <v>7782</v>
      </c>
      <c r="Z3467" t="s">
        <v>7182</v>
      </c>
      <c r="AA3467" t="s">
        <v>19846</v>
      </c>
      <c r="AB3467" t="s">
        <v>2497</v>
      </c>
      <c r="AC3467" t="s">
        <v>9941</v>
      </c>
      <c r="AD3467" s="249" t="str">
        <f>HYPERLINK("https://scontent.cdninstagram.com/t51.2885-15/s320x320/e35/21147219_1688552044551610_6413334806649634816_n.jpg")</f>
        <v>https://scontent.cdninstagram.com/t51.2885-15/s320x320/e35/21147219_1688552044551610_6413334806649634816_n.jpg</v>
      </c>
      <c r="AE3467" s="249" t="str">
        <f>HYPERLINK("https://scontent.cdninstagram.com/t51.2885-19/11380026_373106949567201_2006792202_a.jpg")</f>
        <v>https://scontent.cdninstagram.com/t51.2885-19/11380026_373106949567201_2006792202_a.jpg</v>
      </c>
    </row>
    <row r="3468" spans="1:31" ht="15" x14ac:dyDescent="0.25">
      <c r="A3468" t="s">
        <v>2474</v>
      </c>
      <c r="B3468" t="s">
        <v>19847</v>
      </c>
      <c r="C3468" s="221">
        <v>42976.366481481484</v>
      </c>
      <c r="D3468" t="s">
        <v>19848</v>
      </c>
      <c r="E3468" s="249" t="str">
        <f>HYPERLINK("https://www.instagram.com/p/BYYNTi4Hmyk/")</f>
        <v>https://www.instagram.com/p/BYYNTi4Hmyk/</v>
      </c>
      <c r="F3468" t="s">
        <v>19849</v>
      </c>
      <c r="G3468" t="s">
        <v>2478</v>
      </c>
      <c r="H3468">
        <v>597</v>
      </c>
      <c r="I3468" t="s">
        <v>2479</v>
      </c>
      <c r="J3468">
        <v>2</v>
      </c>
      <c r="K3468">
        <v>35</v>
      </c>
      <c r="L3468">
        <v>37</v>
      </c>
      <c r="Q3468">
        <v>0</v>
      </c>
      <c r="R3468">
        <v>0</v>
      </c>
      <c r="S3468">
        <v>37</v>
      </c>
      <c r="Y3468" t="s">
        <v>11796</v>
      </c>
      <c r="Z3468" t="s">
        <v>2497</v>
      </c>
      <c r="AA3468" t="s">
        <v>19850</v>
      </c>
      <c r="AB3468" t="s">
        <v>19851</v>
      </c>
      <c r="AC3468" t="s">
        <v>19852</v>
      </c>
      <c r="AD3468" s="249" t="str">
        <f>HYPERLINK("https://scontent.cdninstagram.com/t51.2885-15/e35/p320x320/21147743_1839330082749856_1879750092735381504_n.jpg")</f>
        <v>https://scontent.cdninstagram.com/t51.2885-15/e35/p320x320/21147743_1839330082749856_1879750092735381504_n.jpg</v>
      </c>
      <c r="AE3468" s="249" t="str">
        <f>HYPERLINK("https://scontent.cdninstagram.com/t51.2885-19/s150x150/17596081_1501938926503355_4874964661813903360_a.jpg")</f>
        <v>https://scontent.cdninstagram.com/t51.2885-19/s150x150/17596081_1501938926503355_4874964661813903360_a.jpg</v>
      </c>
    </row>
    <row r="3469" spans="1:31" ht="15" x14ac:dyDescent="0.25">
      <c r="A3469" t="s">
        <v>2474</v>
      </c>
      <c r="B3469" t="s">
        <v>3015</v>
      </c>
      <c r="C3469" s="221">
        <v>42976.369988425926</v>
      </c>
      <c r="D3469" t="s">
        <v>19853</v>
      </c>
      <c r="E3469" s="249" t="str">
        <f>HYPERLINK("https://www.instagram.com/p/BYYN4fiAn8_/")</f>
        <v>https://www.instagram.com/p/BYYN4fiAn8_/</v>
      </c>
      <c r="F3469" t="s">
        <v>19854</v>
      </c>
      <c r="G3469" t="s">
        <v>2478</v>
      </c>
      <c r="H3469">
        <v>254</v>
      </c>
      <c r="I3469" t="s">
        <v>2479</v>
      </c>
      <c r="J3469">
        <v>0</v>
      </c>
      <c r="K3469">
        <v>39</v>
      </c>
      <c r="L3469">
        <v>39</v>
      </c>
      <c r="Q3469">
        <v>0</v>
      </c>
      <c r="R3469">
        <v>0</v>
      </c>
      <c r="S3469">
        <v>39</v>
      </c>
      <c r="Y3469" t="s">
        <v>3020</v>
      </c>
      <c r="Z3469" t="s">
        <v>10468</v>
      </c>
      <c r="AA3469" t="s">
        <v>3018</v>
      </c>
      <c r="AB3469" t="s">
        <v>4127</v>
      </c>
      <c r="AC3469" t="s">
        <v>4615</v>
      </c>
      <c r="AD3469" s="249" t="str">
        <f>HYPERLINK("https://scontent.cdninstagram.com/t51.2885-15/s320x320/e35/21107627_194848337722041_9057694214577455104_n.jpg")</f>
        <v>https://scontent.cdninstagram.com/t51.2885-15/s320x320/e35/21107627_194848337722041_9057694214577455104_n.jpg</v>
      </c>
      <c r="AE3469" s="249" t="str">
        <f>HYPERLINK("https://scontent.cdninstagram.com/t51.2885-19/s150x150/21373102_1087463374722515_8750956974671134720_a.jpg")</f>
        <v>https://scontent.cdninstagram.com/t51.2885-19/s150x150/21373102_1087463374722515_8750956974671134720_a.jpg</v>
      </c>
    </row>
    <row r="3470" spans="1:31" ht="15" x14ac:dyDescent="0.25">
      <c r="A3470" t="s">
        <v>2474</v>
      </c>
      <c r="B3470" t="s">
        <v>7647</v>
      </c>
      <c r="C3470" s="221">
        <v>42976.371006944442</v>
      </c>
      <c r="D3470" t="s">
        <v>19855</v>
      </c>
      <c r="E3470" s="249" t="str">
        <f>HYPERLINK("https://www.instagram.com/p/BYYODNjAXkY/")</f>
        <v>https://www.instagram.com/p/BYYODNjAXkY/</v>
      </c>
      <c r="F3470" t="s">
        <v>19856</v>
      </c>
      <c r="G3470" t="s">
        <v>2478</v>
      </c>
      <c r="H3470">
        <v>77</v>
      </c>
      <c r="I3470" t="s">
        <v>2599</v>
      </c>
      <c r="J3470">
        <v>0</v>
      </c>
      <c r="K3470">
        <v>6</v>
      </c>
      <c r="L3470">
        <v>6</v>
      </c>
      <c r="Q3470">
        <v>0</v>
      </c>
      <c r="R3470">
        <v>0</v>
      </c>
      <c r="S3470">
        <v>6</v>
      </c>
      <c r="Y3470" t="s">
        <v>2497</v>
      </c>
      <c r="Z3470" t="s">
        <v>19857</v>
      </c>
      <c r="AA3470" t="s">
        <v>19858</v>
      </c>
      <c r="AB3470" t="s">
        <v>19859</v>
      </c>
      <c r="AC3470" t="s">
        <v>3945</v>
      </c>
      <c r="AD3470" s="249" t="str">
        <f>HYPERLINK("https://scontent.cdninstagram.com/t51.2885-15/e35/p320x320/21147637_1922826014640348_4180113913385320448_n.jpg")</f>
        <v>https://scontent.cdninstagram.com/t51.2885-15/e35/p320x320/21147637_1922826014640348_4180113913385320448_n.jpg</v>
      </c>
      <c r="AE3470" s="249" t="str">
        <f>HYPERLINK("https://scontent.cdninstagram.com/t51.2885-19/s150x150/19984566_732703113580954_2442051729433296896_a.jpg")</f>
        <v>https://scontent.cdninstagram.com/t51.2885-19/s150x150/19984566_732703113580954_2442051729433296896_a.jpg</v>
      </c>
    </row>
    <row r="3471" spans="1:31" ht="15" x14ac:dyDescent="0.25">
      <c r="A3471" t="s">
        <v>2474</v>
      </c>
      <c r="B3471" t="s">
        <v>19860</v>
      </c>
      <c r="C3471" s="221">
        <v>42976.378668981481</v>
      </c>
      <c r="D3471" t="s">
        <v>19861</v>
      </c>
      <c r="E3471" s="249" t="str">
        <f>HYPERLINK("https://www.instagram.com/p/BYYPT-Tgv5A/")</f>
        <v>https://www.instagram.com/p/BYYPT-Tgv5A/</v>
      </c>
      <c r="F3471" t="s">
        <v>19862</v>
      </c>
      <c r="G3471" t="s">
        <v>2478</v>
      </c>
      <c r="H3471">
        <v>269</v>
      </c>
      <c r="I3471" t="s">
        <v>3025</v>
      </c>
      <c r="J3471">
        <v>0</v>
      </c>
      <c r="K3471">
        <v>32</v>
      </c>
      <c r="L3471">
        <v>32</v>
      </c>
      <c r="Q3471">
        <v>0</v>
      </c>
      <c r="R3471">
        <v>0</v>
      </c>
      <c r="S3471">
        <v>32</v>
      </c>
      <c r="Y3471" t="s">
        <v>5932</v>
      </c>
      <c r="Z3471" t="s">
        <v>2696</v>
      </c>
      <c r="AA3471" t="s">
        <v>4902</v>
      </c>
      <c r="AB3471" t="s">
        <v>19863</v>
      </c>
      <c r="AC3471" t="s">
        <v>11658</v>
      </c>
      <c r="AD3471" s="249" t="str">
        <f>HYPERLINK("https://scontent.cdninstagram.com/t51.2885-15/s320x320/e35/21108087_271855936643682_9143149405044473856_n.jpg")</f>
        <v>https://scontent.cdninstagram.com/t51.2885-15/s320x320/e35/21108087_271855936643682_9143149405044473856_n.jpg</v>
      </c>
      <c r="AE3471" s="249" t="str">
        <f>HYPERLINK("https://scontent.cdninstagram.com/t51.2885-19/s150x150/15624354_1054909727968535_6032229434918961152_a.jpg")</f>
        <v>https://scontent.cdninstagram.com/t51.2885-19/s150x150/15624354_1054909727968535_6032229434918961152_a.jpg</v>
      </c>
    </row>
    <row r="3472" spans="1:31" ht="15" x14ac:dyDescent="0.25">
      <c r="A3472" t="s">
        <v>2474</v>
      </c>
      <c r="B3472" t="s">
        <v>3644</v>
      </c>
      <c r="C3472" s="221">
        <v>42976.386203703703</v>
      </c>
      <c r="D3472" t="s">
        <v>19864</v>
      </c>
      <c r="E3472" s="249" t="str">
        <f>HYPERLINK("https://www.instagram.com/p/BYYQjf3lADG/")</f>
        <v>https://www.instagram.com/p/BYYQjf3lADG/</v>
      </c>
      <c r="F3472" t="s">
        <v>19865</v>
      </c>
      <c r="G3472" t="s">
        <v>2488</v>
      </c>
      <c r="H3472">
        <v>578</v>
      </c>
      <c r="I3472" t="s">
        <v>2479</v>
      </c>
      <c r="J3472">
        <v>8</v>
      </c>
      <c r="K3472">
        <v>48</v>
      </c>
      <c r="L3472">
        <v>56</v>
      </c>
      <c r="Q3472">
        <v>0</v>
      </c>
      <c r="R3472">
        <v>0</v>
      </c>
      <c r="S3472">
        <v>56</v>
      </c>
      <c r="T3472" t="s">
        <v>3647</v>
      </c>
      <c r="V3472" t="s">
        <v>2141</v>
      </c>
      <c r="W3472">
        <v>55.426879900000003</v>
      </c>
      <c r="X3472">
        <v>10.3903303</v>
      </c>
      <c r="Y3472" t="s">
        <v>10172</v>
      </c>
      <c r="Z3472" t="s">
        <v>5865</v>
      </c>
      <c r="AA3472" t="s">
        <v>13820</v>
      </c>
      <c r="AB3472" t="s">
        <v>19866</v>
      </c>
      <c r="AC3472" t="s">
        <v>14695</v>
      </c>
      <c r="AD3472" s="249" t="str">
        <f>HYPERLINK("https://scontent.cdninstagram.com/t51.2885-15/s320x320/e15/21149250_527559597592578_478683000016470016_n.jpg")</f>
        <v>https://scontent.cdninstagram.com/t51.2885-15/s320x320/e15/21149250_527559597592578_478683000016470016_n.jpg</v>
      </c>
      <c r="AE3472" s="249" t="str">
        <f>HYPERLINK("https://scontent.cdninstagram.com/t51.2885-19/s150x150/14714495_1790450111234953_7147855754219749376_a.jpg")</f>
        <v>https://scontent.cdninstagram.com/t51.2885-19/s150x150/14714495_1790450111234953_7147855754219749376_a.jpg</v>
      </c>
    </row>
    <row r="3473" spans="1:31" ht="15" x14ac:dyDescent="0.25">
      <c r="A3473" t="s">
        <v>2474</v>
      </c>
      <c r="B3473" t="s">
        <v>3290</v>
      </c>
      <c r="C3473" s="221">
        <v>42976.422256944446</v>
      </c>
      <c r="D3473" t="s">
        <v>19867</v>
      </c>
      <c r="E3473" s="249" t="str">
        <f>HYPERLINK("https://www.instagram.com/p/BYYWfx4nt2y/")</f>
        <v>https://www.instagram.com/p/BYYWfx4nt2y/</v>
      </c>
      <c r="F3473" t="s">
        <v>19868</v>
      </c>
      <c r="G3473" t="s">
        <v>2478</v>
      </c>
      <c r="H3473">
        <v>1965</v>
      </c>
      <c r="I3473" t="s">
        <v>5447</v>
      </c>
      <c r="J3473">
        <v>11</v>
      </c>
      <c r="K3473">
        <v>326</v>
      </c>
      <c r="L3473">
        <v>337</v>
      </c>
      <c r="Q3473">
        <v>0</v>
      </c>
      <c r="R3473">
        <v>0</v>
      </c>
      <c r="S3473">
        <v>337</v>
      </c>
      <c r="Y3473" t="s">
        <v>7590</v>
      </c>
      <c r="Z3473" t="s">
        <v>16058</v>
      </c>
      <c r="AA3473" t="s">
        <v>2497</v>
      </c>
      <c r="AB3473" t="s">
        <v>19869</v>
      </c>
      <c r="AC3473" t="s">
        <v>8683</v>
      </c>
      <c r="AD3473" s="249" t="str">
        <f>HYPERLINK("https://scontent.cdninstagram.com/t51.2885-15/e35/p320x320/21147668_128779467746338_4755455234002649088_n.jpg")</f>
        <v>https://scontent.cdninstagram.com/t51.2885-15/e35/p320x320/21147668_128779467746338_4755455234002649088_n.jpg</v>
      </c>
      <c r="AE3473" s="249" t="str">
        <f>HYPERLINK("https://scontent.cdninstagram.com/t51.2885-19/s150x150/18380245_313241119112969_3297379408276357120_a.jpg")</f>
        <v>https://scontent.cdninstagram.com/t51.2885-19/s150x150/18380245_313241119112969_3297379408276357120_a.jpg</v>
      </c>
    </row>
    <row r="3474" spans="1:31" ht="15" x14ac:dyDescent="0.25">
      <c r="A3474" t="s">
        <v>2474</v>
      </c>
      <c r="B3474" t="s">
        <v>19870</v>
      </c>
      <c r="C3474" s="221">
        <v>42976.426562499997</v>
      </c>
      <c r="D3474" t="s">
        <v>19871</v>
      </c>
      <c r="E3474" s="249" t="str">
        <f>HYPERLINK("https://www.instagram.com/p/BYYXNI5lU2a/")</f>
        <v>https://www.instagram.com/p/BYYXNI5lU2a/</v>
      </c>
      <c r="F3474" t="s">
        <v>19872</v>
      </c>
      <c r="G3474" t="s">
        <v>2631</v>
      </c>
      <c r="H3474">
        <v>598</v>
      </c>
      <c r="I3474" t="s">
        <v>2479</v>
      </c>
      <c r="J3474">
        <v>0</v>
      </c>
      <c r="K3474">
        <v>70</v>
      </c>
      <c r="L3474">
        <v>70</v>
      </c>
      <c r="Q3474">
        <v>0</v>
      </c>
      <c r="R3474">
        <v>0</v>
      </c>
      <c r="S3474">
        <v>70</v>
      </c>
      <c r="Y3474" t="s">
        <v>2913</v>
      </c>
      <c r="Z3474" t="s">
        <v>6806</v>
      </c>
      <c r="AA3474" t="s">
        <v>2617</v>
      </c>
      <c r="AB3474" t="s">
        <v>2497</v>
      </c>
      <c r="AC3474" t="s">
        <v>12213</v>
      </c>
      <c r="AD3474" s="249" t="str">
        <f>HYPERLINK("https://scontent.cdninstagram.com/t51.2885-15/e15/p320x320/21149568_1915818485410406_2435026837974286336_n.jpg")</f>
        <v>https://scontent.cdninstagram.com/t51.2885-15/e15/p320x320/21149568_1915818485410406_2435026837974286336_n.jpg</v>
      </c>
      <c r="AE3474" s="249" t="str">
        <f>HYPERLINK("https://scontent.cdninstagram.com/t51.2885-19/s150x150/21224790_113661659351682_7636980665841352704_a.jpg")</f>
        <v>https://scontent.cdninstagram.com/t51.2885-19/s150x150/21224790_113661659351682_7636980665841352704_a.jpg</v>
      </c>
    </row>
    <row r="3475" spans="1:31" ht="15" x14ac:dyDescent="0.25">
      <c r="A3475" t="s">
        <v>2474</v>
      </c>
      <c r="B3475" t="s">
        <v>19873</v>
      </c>
      <c r="C3475" s="221">
        <v>42976.427615740744</v>
      </c>
      <c r="D3475" t="s">
        <v>19874</v>
      </c>
      <c r="E3475" s="249" t="str">
        <f>HYPERLINK("https://www.instagram.com/p/BYYXYUuFWG6/")</f>
        <v>https://www.instagram.com/p/BYYXYUuFWG6/</v>
      </c>
      <c r="F3475" t="s">
        <v>19875</v>
      </c>
      <c r="G3475" t="s">
        <v>2478</v>
      </c>
      <c r="H3475">
        <v>25</v>
      </c>
      <c r="I3475" t="s">
        <v>2479</v>
      </c>
      <c r="J3475">
        <v>0</v>
      </c>
      <c r="K3475">
        <v>15</v>
      </c>
      <c r="L3475">
        <v>15</v>
      </c>
      <c r="Q3475">
        <v>0</v>
      </c>
      <c r="R3475">
        <v>0</v>
      </c>
      <c r="S3475">
        <v>15</v>
      </c>
      <c r="Y3475" t="s">
        <v>19876</v>
      </c>
      <c r="Z3475" t="s">
        <v>3349</v>
      </c>
      <c r="AA3475" t="s">
        <v>3885</v>
      </c>
      <c r="AB3475" t="s">
        <v>19877</v>
      </c>
      <c r="AC3475" t="s">
        <v>19878</v>
      </c>
      <c r="AD3475" s="249" t="str">
        <f>HYPERLINK("https://scontent.cdninstagram.com/t51.2885-15/e35/p320x320/21107380_1217676241672362_8081581154743877632_n.jpg")</f>
        <v>https://scontent.cdninstagram.com/t51.2885-15/e35/p320x320/21107380_1217676241672362_8081581154743877632_n.jpg</v>
      </c>
      <c r="AE3475" s="249" t="str">
        <f>HYPERLINK("https://scontent.cdninstagram.com/t51.2885-19/s150x150/21108086_113053596034227_1936489380969447424_a.jpg")</f>
        <v>https://scontent.cdninstagram.com/t51.2885-19/s150x150/21108086_113053596034227_1936489380969447424_a.jpg</v>
      </c>
    </row>
    <row r="3476" spans="1:31" ht="15" x14ac:dyDescent="0.25">
      <c r="A3476" t="s">
        <v>2474</v>
      </c>
      <c r="B3476" t="s">
        <v>19879</v>
      </c>
      <c r="C3476" s="221">
        <v>42976.433032407411</v>
      </c>
      <c r="D3476" t="s">
        <v>19880</v>
      </c>
      <c r="E3476" s="249" t="str">
        <f>HYPERLINK("https://www.instagram.com/p/BYYYRbaHzPL/")</f>
        <v>https://www.instagram.com/p/BYYYRbaHzPL/</v>
      </c>
      <c r="F3476" t="s">
        <v>19881</v>
      </c>
      <c r="G3476" t="s">
        <v>2478</v>
      </c>
      <c r="H3476">
        <v>477</v>
      </c>
      <c r="I3476" t="s">
        <v>3575</v>
      </c>
      <c r="J3476">
        <v>0</v>
      </c>
      <c r="K3476">
        <v>65</v>
      </c>
      <c r="L3476">
        <v>65</v>
      </c>
      <c r="Q3476">
        <v>0</v>
      </c>
      <c r="R3476">
        <v>0</v>
      </c>
      <c r="S3476">
        <v>65</v>
      </c>
      <c r="Y3476" t="s">
        <v>3814</v>
      </c>
      <c r="Z3476" t="s">
        <v>19882</v>
      </c>
      <c r="AA3476" t="s">
        <v>19883</v>
      </c>
      <c r="AB3476" t="s">
        <v>19884</v>
      </c>
      <c r="AC3476" t="s">
        <v>14406</v>
      </c>
      <c r="AD3476" s="249" t="str">
        <f>HYPERLINK("https://scontent.cdninstagram.com/t51.2885-15/s320x320/e35/21227461_1924496254464390_4520436887013294080_n.jpg")</f>
        <v>https://scontent.cdninstagram.com/t51.2885-15/s320x320/e35/21227461_1924496254464390_4520436887013294080_n.jpg</v>
      </c>
      <c r="AE3476" s="249" t="str">
        <f>HYPERLINK("https://scontent.cdninstagram.com/t51.2885-19/s150x150/21042243_1098069930326700_6078961947569553408_a.jpg")</f>
        <v>https://scontent.cdninstagram.com/t51.2885-19/s150x150/21042243_1098069930326700_6078961947569553408_a.jpg</v>
      </c>
    </row>
    <row r="3477" spans="1:31" ht="15" x14ac:dyDescent="0.25">
      <c r="A3477" t="s">
        <v>2474</v>
      </c>
      <c r="B3477" t="s">
        <v>19885</v>
      </c>
      <c r="C3477" s="221">
        <v>42976.448553240742</v>
      </c>
      <c r="D3477" t="s">
        <v>19886</v>
      </c>
      <c r="E3477" s="249" t="str">
        <f>HYPERLINK("https://www.instagram.com/p/BYYa1B1Bv5u/")</f>
        <v>https://www.instagram.com/p/BYYa1B1Bv5u/</v>
      </c>
      <c r="F3477" t="s">
        <v>19887</v>
      </c>
      <c r="G3477" t="s">
        <v>2478</v>
      </c>
      <c r="H3477">
        <v>255</v>
      </c>
      <c r="I3477" t="s">
        <v>2479</v>
      </c>
      <c r="J3477">
        <v>0</v>
      </c>
      <c r="K3477">
        <v>32</v>
      </c>
      <c r="L3477">
        <v>32</v>
      </c>
      <c r="Q3477">
        <v>0</v>
      </c>
      <c r="R3477">
        <v>0</v>
      </c>
      <c r="S3477">
        <v>32</v>
      </c>
      <c r="T3477" t="s">
        <v>19888</v>
      </c>
      <c r="V3477" t="s">
        <v>2273</v>
      </c>
      <c r="W3477">
        <v>23.000594462988001</v>
      </c>
      <c r="X3477">
        <v>120.21306951262</v>
      </c>
      <c r="Y3477" t="s">
        <v>19889</v>
      </c>
      <c r="Z3477" t="s">
        <v>19890</v>
      </c>
      <c r="AA3477" t="s">
        <v>2497</v>
      </c>
      <c r="AB3477" t="s">
        <v>19891</v>
      </c>
      <c r="AC3477" t="s">
        <v>19892</v>
      </c>
      <c r="AD3477" s="249" t="str">
        <f>HYPERLINK("https://scontent.cdninstagram.com/t51.2885-15/s320x320/e35/21107744_1967705343502910_1632232523331272704_n.jpg")</f>
        <v>https://scontent.cdninstagram.com/t51.2885-15/s320x320/e35/21107744_1967705343502910_1632232523331272704_n.jpg</v>
      </c>
      <c r="AE3477" s="249" t="str">
        <f>HYPERLINK("https://scontent.cdninstagram.com/t51.2885-19/s150x150/19933014_762677940601388_302513478873120768_a.jpg")</f>
        <v>https://scontent.cdninstagram.com/t51.2885-19/s150x150/19933014_762677940601388_302513478873120768_a.jpg</v>
      </c>
    </row>
    <row r="3478" spans="1:31" ht="15" x14ac:dyDescent="0.25">
      <c r="A3478" t="s">
        <v>2474</v>
      </c>
      <c r="B3478" t="s">
        <v>18143</v>
      </c>
      <c r="C3478" s="221">
        <v>42976.449976851851</v>
      </c>
      <c r="D3478" t="s">
        <v>19893</v>
      </c>
      <c r="E3478" s="249" t="str">
        <f>HYPERLINK("https://www.instagram.com/p/BYYbEC1hRjX/")</f>
        <v>https://www.instagram.com/p/BYYbEC1hRjX/</v>
      </c>
      <c r="F3478" t="s">
        <v>19894</v>
      </c>
      <c r="G3478" t="s">
        <v>2478</v>
      </c>
      <c r="H3478">
        <v>181</v>
      </c>
      <c r="I3478" t="s">
        <v>2479</v>
      </c>
      <c r="J3478">
        <v>4</v>
      </c>
      <c r="K3478">
        <v>52</v>
      </c>
      <c r="L3478">
        <v>56</v>
      </c>
      <c r="Q3478">
        <v>0</v>
      </c>
      <c r="R3478">
        <v>0</v>
      </c>
      <c r="S3478">
        <v>56</v>
      </c>
      <c r="T3478" t="s">
        <v>18146</v>
      </c>
      <c r="V3478" t="s">
        <v>2230</v>
      </c>
      <c r="W3478">
        <v>58.166699999999999</v>
      </c>
      <c r="X3478">
        <v>8</v>
      </c>
      <c r="Y3478" t="s">
        <v>7102</v>
      </c>
      <c r="Z3478" t="s">
        <v>18399</v>
      </c>
      <c r="AA3478" t="s">
        <v>19895</v>
      </c>
      <c r="AB3478" t="s">
        <v>18401</v>
      </c>
      <c r="AC3478" t="s">
        <v>19896</v>
      </c>
      <c r="AD3478" s="249" t="str">
        <f>HYPERLINK("https://scontent.cdninstagram.com/t51.2885-15/s320x320/e35/21224403_1609588279054165_3249532918548135936_n.jpg")</f>
        <v>https://scontent.cdninstagram.com/t51.2885-15/s320x320/e35/21224403_1609588279054165_3249532918548135936_n.jpg</v>
      </c>
      <c r="AE3478" s="249" t="str">
        <f>HYPERLINK("https://scontent.cdninstagram.com/t51.2885-19/s150x150/21149315_721963524656503_5077667786537304064_a.jpg")</f>
        <v>https://scontent.cdninstagram.com/t51.2885-19/s150x150/21149315_721963524656503_5077667786537304064_a.jpg</v>
      </c>
    </row>
    <row r="3479" spans="1:31" ht="15" x14ac:dyDescent="0.25">
      <c r="A3479" t="s">
        <v>2474</v>
      </c>
      <c r="B3479" t="s">
        <v>19897</v>
      </c>
      <c r="C3479" s="221">
        <v>42976.472384259258</v>
      </c>
      <c r="D3479" t="s">
        <v>19898</v>
      </c>
      <c r="E3479" s="249" t="str">
        <f>HYPERLINK("https://www.instagram.com/p/BYYewZhgEnp/")</f>
        <v>https://www.instagram.com/p/BYYewZhgEnp/</v>
      </c>
      <c r="F3479" t="s">
        <v>19899</v>
      </c>
      <c r="G3479" t="s">
        <v>2631</v>
      </c>
      <c r="H3479">
        <v>1535</v>
      </c>
      <c r="I3479" t="s">
        <v>2479</v>
      </c>
      <c r="J3479">
        <v>2</v>
      </c>
      <c r="K3479">
        <v>210</v>
      </c>
      <c r="L3479">
        <v>212</v>
      </c>
      <c r="Q3479">
        <v>0</v>
      </c>
      <c r="R3479">
        <v>0</v>
      </c>
      <c r="S3479">
        <v>212</v>
      </c>
      <c r="T3479" t="s">
        <v>19900</v>
      </c>
      <c r="V3479" t="s">
        <v>2271</v>
      </c>
      <c r="W3479">
        <v>46.0167</v>
      </c>
      <c r="X3479">
        <v>7.75</v>
      </c>
      <c r="Y3479" t="s">
        <v>19901</v>
      </c>
      <c r="Z3479" t="s">
        <v>19902</v>
      </c>
      <c r="AA3479" t="s">
        <v>19903</v>
      </c>
      <c r="AB3479" t="s">
        <v>19904</v>
      </c>
      <c r="AC3479" t="s">
        <v>19905</v>
      </c>
      <c r="AD3479" s="249" t="str">
        <f>HYPERLINK("https://scontent.cdninstagram.com/t51.2885-15/s320x320/e15/21107419_1472672789484753_427968799279415296_n.jpg")</f>
        <v>https://scontent.cdninstagram.com/t51.2885-15/s320x320/e15/21107419_1472672789484753_427968799279415296_n.jpg</v>
      </c>
      <c r="AE3479" s="249" t="str">
        <f>HYPERLINK("https://scontent.cdninstagram.com/t51.2885-19/s150x150/18443704_465576980446451_6229692205620002816_a.jpg")</f>
        <v>https://scontent.cdninstagram.com/t51.2885-19/s150x150/18443704_465576980446451_6229692205620002816_a.jpg</v>
      </c>
    </row>
    <row r="3480" spans="1:31" ht="15" x14ac:dyDescent="0.25">
      <c r="A3480" t="s">
        <v>2474</v>
      </c>
      <c r="B3480" t="s">
        <v>19906</v>
      </c>
      <c r="C3480" s="221">
        <v>42976.480729166666</v>
      </c>
      <c r="D3480" t="s">
        <v>19907</v>
      </c>
      <c r="E3480" s="249" t="str">
        <f>HYPERLINK("https://www.instagram.com/p/BYYgId7BjNz/")</f>
        <v>https://www.instagram.com/p/BYYgId7BjNz/</v>
      </c>
      <c r="F3480" t="s">
        <v>19908</v>
      </c>
      <c r="G3480" t="s">
        <v>2631</v>
      </c>
      <c r="H3480">
        <v>514</v>
      </c>
      <c r="I3480" t="s">
        <v>2479</v>
      </c>
      <c r="J3480">
        <v>0</v>
      </c>
      <c r="K3480">
        <v>36</v>
      </c>
      <c r="L3480">
        <v>36</v>
      </c>
      <c r="Q3480">
        <v>0</v>
      </c>
      <c r="R3480">
        <v>0</v>
      </c>
      <c r="S3480">
        <v>36</v>
      </c>
      <c r="T3480" t="s">
        <v>19909</v>
      </c>
      <c r="V3480" t="s">
        <v>2222</v>
      </c>
      <c r="W3480">
        <v>51.561509999999998</v>
      </c>
      <c r="X3480">
        <v>5.0952999999999999</v>
      </c>
      <c r="Y3480" t="s">
        <v>15815</v>
      </c>
      <c r="Z3480" t="s">
        <v>4772</v>
      </c>
      <c r="AA3480" t="s">
        <v>19906</v>
      </c>
      <c r="AB3480" t="s">
        <v>14122</v>
      </c>
      <c r="AC3480" t="s">
        <v>2497</v>
      </c>
      <c r="AD3480" s="249" t="str">
        <f>HYPERLINK("https://scontent.cdninstagram.com/t51.2885-15/s320x320/e15/21108092_265348940638789_3221542268787752960_n.jpg")</f>
        <v>https://scontent.cdninstagram.com/t51.2885-15/s320x320/e15/21108092_265348940638789_3221542268787752960_n.jpg</v>
      </c>
      <c r="AE3480" s="249" t="str">
        <f>HYPERLINK("https://scontent.cdninstagram.com/t51.2885-19/10623892_691692854250548_98784428_a.jpg")</f>
        <v>https://scontent.cdninstagram.com/t51.2885-19/10623892_691692854250548_98784428_a.jpg</v>
      </c>
    </row>
    <row r="3481" spans="1:31" ht="15" x14ac:dyDescent="0.25">
      <c r="A3481" t="s">
        <v>2474</v>
      </c>
      <c r="B3481" t="s">
        <v>5486</v>
      </c>
      <c r="C3481" s="221">
        <v>42976.484780092593</v>
      </c>
      <c r="D3481" t="s">
        <v>19910</v>
      </c>
      <c r="E3481" s="249" t="str">
        <f>HYPERLINK("https://www.instagram.com/p/BYYgzIYjGwQ/")</f>
        <v>https://www.instagram.com/p/BYYgzIYjGwQ/</v>
      </c>
      <c r="G3481" t="s">
        <v>2478</v>
      </c>
      <c r="H3481">
        <v>33610</v>
      </c>
      <c r="I3481" t="s">
        <v>2479</v>
      </c>
      <c r="J3481">
        <v>1</v>
      </c>
      <c r="K3481">
        <v>547</v>
      </c>
      <c r="L3481">
        <v>548</v>
      </c>
      <c r="Q3481">
        <v>0</v>
      </c>
      <c r="R3481">
        <v>0</v>
      </c>
      <c r="S3481">
        <v>548</v>
      </c>
      <c r="Y3481" t="s">
        <v>9913</v>
      </c>
      <c r="Z3481" t="s">
        <v>5650</v>
      </c>
      <c r="AA3481" t="s">
        <v>19911</v>
      </c>
      <c r="AB3481" t="s">
        <v>19912</v>
      </c>
      <c r="AC3481" t="s">
        <v>19913</v>
      </c>
      <c r="AD3481" s="249" t="str">
        <f>HYPERLINK("https://scontent.cdninstagram.com/t51.2885-15/s320x320/e35/21149032_118501855542602_8820572184016584704_n.jpg")</f>
        <v>https://scontent.cdninstagram.com/t51.2885-15/s320x320/e35/21149032_118501855542602_8820572184016584704_n.jpg</v>
      </c>
      <c r="AE3481" s="249" t="str">
        <f>HYPERLINK("https://scontent.cdninstagram.com/t51.2885-19/18096331_1858853611040874_8999714561263140864_n.jpg")</f>
        <v>https://scontent.cdninstagram.com/t51.2885-19/18096331_1858853611040874_8999714561263140864_n.jpg</v>
      </c>
    </row>
    <row r="3482" spans="1:31" ht="15" x14ac:dyDescent="0.25">
      <c r="A3482" t="s">
        <v>2474</v>
      </c>
      <c r="B3482" t="s">
        <v>19914</v>
      </c>
      <c r="C3482" s="221">
        <v>42976.486122685186</v>
      </c>
      <c r="D3482" t="s">
        <v>19915</v>
      </c>
      <c r="E3482" s="249" t="str">
        <f>HYPERLINK("https://www.instagram.com/p/BYYhBSFAiKB/")</f>
        <v>https://www.instagram.com/p/BYYhBSFAiKB/</v>
      </c>
      <c r="F3482" t="s">
        <v>19916</v>
      </c>
      <c r="G3482" t="s">
        <v>2631</v>
      </c>
      <c r="H3482">
        <v>1227</v>
      </c>
      <c r="I3482" t="s">
        <v>2479</v>
      </c>
      <c r="J3482">
        <v>4</v>
      </c>
      <c r="K3482">
        <v>85</v>
      </c>
      <c r="L3482">
        <v>89</v>
      </c>
      <c r="Q3482">
        <v>0</v>
      </c>
      <c r="R3482">
        <v>0</v>
      </c>
      <c r="S3482">
        <v>89</v>
      </c>
      <c r="Y3482" t="s">
        <v>6187</v>
      </c>
      <c r="Z3482" t="s">
        <v>19917</v>
      </c>
      <c r="AA3482" t="s">
        <v>19918</v>
      </c>
      <c r="AB3482" t="s">
        <v>2497</v>
      </c>
      <c r="AC3482" t="s">
        <v>19919</v>
      </c>
      <c r="AD3482" s="249" t="str">
        <f>HYPERLINK("https://scontent.cdninstagram.com/t51.2885-15/s320x320/e15/21107591_1974223106191624_1962332444002615296_n.jpg")</f>
        <v>https://scontent.cdninstagram.com/t51.2885-15/s320x320/e15/21107591_1974223106191624_1962332444002615296_n.jpg</v>
      </c>
      <c r="AE3482" s="249" t="str">
        <f>HYPERLINK("https://scontent.cdninstagram.com/t51.2885-19/s150x150/20759767_134286023847538_3953533712548757504_a.jpg")</f>
        <v>https://scontent.cdninstagram.com/t51.2885-19/s150x150/20759767_134286023847538_3953533712548757504_a.jpg</v>
      </c>
    </row>
    <row r="3483" spans="1:31" ht="15" x14ac:dyDescent="0.25">
      <c r="A3483" t="s">
        <v>2474</v>
      </c>
      <c r="B3483" t="s">
        <v>19920</v>
      </c>
      <c r="C3483" s="221">
        <v>42976.491539351853</v>
      </c>
      <c r="D3483" t="s">
        <v>19921</v>
      </c>
      <c r="E3483" s="249" t="str">
        <f>HYPERLINK("https://www.instagram.com/p/BYYh6gJlfnO/")</f>
        <v>https://www.instagram.com/p/BYYh6gJlfnO/</v>
      </c>
      <c r="F3483" t="s">
        <v>19922</v>
      </c>
      <c r="G3483" t="s">
        <v>2478</v>
      </c>
      <c r="H3483">
        <v>47</v>
      </c>
      <c r="I3483" t="s">
        <v>2479</v>
      </c>
      <c r="J3483">
        <v>0</v>
      </c>
      <c r="K3483">
        <v>5</v>
      </c>
      <c r="L3483">
        <v>5</v>
      </c>
      <c r="Q3483">
        <v>0</v>
      </c>
      <c r="R3483">
        <v>0</v>
      </c>
      <c r="S3483">
        <v>5</v>
      </c>
      <c r="Y3483" t="s">
        <v>19923</v>
      </c>
      <c r="Z3483" t="s">
        <v>9738</v>
      </c>
      <c r="AA3483" t="s">
        <v>2497</v>
      </c>
      <c r="AB3483" t="s">
        <v>4987</v>
      </c>
      <c r="AC3483" t="s">
        <v>19924</v>
      </c>
      <c r="AD3483" s="249" t="str">
        <f>HYPERLINK("https://scontent.cdninstagram.com/t51.2885-15/s320x320/e35/21108016_2061547560746345_3510588899179102208_n.jpg")</f>
        <v>https://scontent.cdninstagram.com/t51.2885-15/s320x320/e35/21108016_2061547560746345_3510588899179102208_n.jpg</v>
      </c>
      <c r="AE3483" s="249" t="str">
        <f>HYPERLINK("https://scontent.cdninstagram.com/t51.2885-19/s150x150/21147769_112832832758983_2000361957047140352_a.jpg")</f>
        <v>https://scontent.cdninstagram.com/t51.2885-19/s150x150/21147769_112832832758983_2000361957047140352_a.jpg</v>
      </c>
    </row>
    <row r="3484" spans="1:31" ht="15" x14ac:dyDescent="0.25">
      <c r="A3484" t="s">
        <v>2474</v>
      </c>
      <c r="B3484" t="s">
        <v>4093</v>
      </c>
      <c r="C3484" s="221">
        <v>42976.499189814815</v>
      </c>
      <c r="D3484" t="s">
        <v>19925</v>
      </c>
      <c r="E3484" s="249" t="str">
        <f>HYPERLINK("https://www.instagram.com/p/BYYjLHCF3lr/")</f>
        <v>https://www.instagram.com/p/BYYjLHCF3lr/</v>
      </c>
      <c r="F3484" t="s">
        <v>19926</v>
      </c>
      <c r="G3484" t="s">
        <v>2478</v>
      </c>
      <c r="H3484">
        <v>56142</v>
      </c>
      <c r="I3484" t="s">
        <v>2479</v>
      </c>
      <c r="J3484">
        <v>39</v>
      </c>
      <c r="K3484">
        <v>1323</v>
      </c>
      <c r="L3484">
        <v>1362</v>
      </c>
      <c r="Q3484">
        <v>0</v>
      </c>
      <c r="R3484">
        <v>0</v>
      </c>
      <c r="S3484">
        <v>1362</v>
      </c>
      <c r="Y3484" t="s">
        <v>6829</v>
      </c>
      <c r="Z3484" t="s">
        <v>17397</v>
      </c>
      <c r="AA3484" t="s">
        <v>12370</v>
      </c>
      <c r="AB3484" t="s">
        <v>19927</v>
      </c>
      <c r="AC3484" t="s">
        <v>19811</v>
      </c>
      <c r="AD3484" s="249" t="str">
        <f>HYPERLINK("https://scontent.cdninstagram.com/t51.2885-15/e35/p320x320/21224303_113687242636599_1738401632397295616_n.jpg")</f>
        <v>https://scontent.cdninstagram.com/t51.2885-15/e35/p320x320/21224303_113687242636599_1738401632397295616_n.jpg</v>
      </c>
      <c r="AE3484" s="249" t="str">
        <f>HYPERLINK("https://scontent.cdninstagram.com/t51.2885-19/s150x150/18251621_803194253171802_8008775428942594048_n.jpg")</f>
        <v>https://scontent.cdninstagram.com/t51.2885-19/s150x150/18251621_803194253171802_8008775428942594048_n.jpg</v>
      </c>
    </row>
    <row r="3485" spans="1:31" ht="15" x14ac:dyDescent="0.25">
      <c r="A3485" t="s">
        <v>2474</v>
      </c>
      <c r="B3485" t="s">
        <v>19928</v>
      </c>
      <c r="C3485" s="221">
        <v>42976.505069444444</v>
      </c>
      <c r="D3485" t="s">
        <v>19929</v>
      </c>
      <c r="E3485" s="249" t="str">
        <f>HYPERLINK("https://www.instagram.com/p/BYYkJIXjUUj/")</f>
        <v>https://www.instagram.com/p/BYYkJIXjUUj/</v>
      </c>
      <c r="F3485" t="s">
        <v>19930</v>
      </c>
      <c r="G3485" t="s">
        <v>2478</v>
      </c>
      <c r="H3485">
        <v>89</v>
      </c>
      <c r="I3485" t="s">
        <v>2639</v>
      </c>
      <c r="J3485">
        <v>0</v>
      </c>
      <c r="K3485">
        <v>15</v>
      </c>
      <c r="L3485">
        <v>15</v>
      </c>
      <c r="Q3485">
        <v>0</v>
      </c>
      <c r="R3485">
        <v>0</v>
      </c>
      <c r="S3485">
        <v>15</v>
      </c>
      <c r="Y3485" t="s">
        <v>7225</v>
      </c>
      <c r="Z3485" t="s">
        <v>17154</v>
      </c>
      <c r="AA3485" t="s">
        <v>19931</v>
      </c>
      <c r="AB3485" t="s">
        <v>2497</v>
      </c>
      <c r="AC3485" t="s">
        <v>2906</v>
      </c>
      <c r="AD3485" s="249" t="str">
        <f>HYPERLINK("https://scontent.cdninstagram.com/t51.2885-15/s320x320/e35/21227537_1697687076960815_1994183878520078336_n.jpg")</f>
        <v>https://scontent.cdninstagram.com/t51.2885-15/s320x320/e35/21227537_1697687076960815_1994183878520078336_n.jpg</v>
      </c>
      <c r="AE3485" s="249" t="str">
        <f>HYPERLINK("https://scontent.cdninstagram.com/t51.2885-19/s150x150/20969312_134355243845860_9049325144383684608_a.jpg")</f>
        <v>https://scontent.cdninstagram.com/t51.2885-19/s150x150/20969312_134355243845860_9049325144383684608_a.jpg</v>
      </c>
    </row>
    <row r="3486" spans="1:31" ht="15" x14ac:dyDescent="0.25">
      <c r="A3486" t="s">
        <v>2474</v>
      </c>
      <c r="B3486" t="s">
        <v>4148</v>
      </c>
      <c r="C3486" s="221">
        <v>42976.505694444444</v>
      </c>
      <c r="D3486" t="s">
        <v>19932</v>
      </c>
      <c r="E3486" s="249" t="str">
        <f>HYPERLINK("https://www.instagram.com/p/BYYkPsOgNoX/")</f>
        <v>https://www.instagram.com/p/BYYkPsOgNoX/</v>
      </c>
      <c r="F3486" t="s">
        <v>19933</v>
      </c>
      <c r="G3486" t="s">
        <v>2478</v>
      </c>
      <c r="H3486">
        <v>162</v>
      </c>
      <c r="I3486" t="s">
        <v>2599</v>
      </c>
      <c r="J3486">
        <v>1</v>
      </c>
      <c r="K3486">
        <v>25</v>
      </c>
      <c r="L3486">
        <v>26</v>
      </c>
      <c r="Q3486">
        <v>0</v>
      </c>
      <c r="R3486">
        <v>0</v>
      </c>
      <c r="S3486">
        <v>26</v>
      </c>
      <c r="T3486" t="s">
        <v>19934</v>
      </c>
      <c r="V3486" t="s">
        <v>2222</v>
      </c>
      <c r="W3486">
        <v>51.904094708580999</v>
      </c>
      <c r="X3486">
        <v>4.4844558435768</v>
      </c>
      <c r="Y3486" t="s">
        <v>7692</v>
      </c>
      <c r="Z3486" t="s">
        <v>7489</v>
      </c>
      <c r="AA3486" t="s">
        <v>19935</v>
      </c>
      <c r="AB3486" t="s">
        <v>16575</v>
      </c>
      <c r="AC3486" t="s">
        <v>19936</v>
      </c>
      <c r="AD3486" s="249" t="str">
        <f>HYPERLINK("https://scontent.cdninstagram.com/t51.2885-15/e35/p320x320/21147767_111344789559956_5511471852939116544_n.jpg")</f>
        <v>https://scontent.cdninstagram.com/t51.2885-15/e35/p320x320/21147767_111344789559956_5511471852939116544_n.jpg</v>
      </c>
      <c r="AE3486" s="249" t="str">
        <f>HYPERLINK("https://scontent.cdninstagram.com/t51.2885-19/s150x150/20687812_777554912450628_2712738005994438656_a.jpg")</f>
        <v>https://scontent.cdninstagram.com/t51.2885-19/s150x150/20687812_777554912450628_2712738005994438656_a.jpg</v>
      </c>
    </row>
    <row r="3487" spans="1:31" ht="15" x14ac:dyDescent="0.25">
      <c r="A3487" t="s">
        <v>2474</v>
      </c>
      <c r="B3487" t="s">
        <v>19937</v>
      </c>
      <c r="C3487" s="221">
        <v>42976.508067129631</v>
      </c>
      <c r="D3487" t="s">
        <v>19938</v>
      </c>
      <c r="E3487" s="249" t="str">
        <f>HYPERLINK("https://www.instagram.com/p/BYYkow4FQQc/")</f>
        <v>https://www.instagram.com/p/BYYkow4FQQc/</v>
      </c>
      <c r="F3487" t="s">
        <v>19939</v>
      </c>
      <c r="G3487" t="s">
        <v>2478</v>
      </c>
      <c r="H3487">
        <v>0</v>
      </c>
      <c r="I3487" t="s">
        <v>2479</v>
      </c>
      <c r="J3487">
        <v>0</v>
      </c>
      <c r="K3487">
        <v>9</v>
      </c>
      <c r="L3487">
        <v>9</v>
      </c>
      <c r="Q3487">
        <v>0</v>
      </c>
      <c r="R3487">
        <v>0</v>
      </c>
      <c r="S3487">
        <v>9</v>
      </c>
      <c r="Y3487" t="s">
        <v>19940</v>
      </c>
      <c r="Z3487" t="s">
        <v>19941</v>
      </c>
      <c r="AA3487" t="s">
        <v>19942</v>
      </c>
      <c r="AB3487" t="s">
        <v>2497</v>
      </c>
      <c r="AC3487" t="s">
        <v>19943</v>
      </c>
      <c r="AD3487" s="249" t="str">
        <f>HYPERLINK("https://scontent.cdninstagram.com/t51.2885-15/e35/p320x320/21107338_145227212737534_8607195189389295616_n.jpg")</f>
        <v>https://scontent.cdninstagram.com/t51.2885-15/e35/p320x320/21107338_145227212737534_8607195189389295616_n.jpg</v>
      </c>
      <c r="AE3487" s="249" t="str">
        <f>HYPERLINK("https://scontent-ort2-1.cdninstagram.com/t51.2885-19/11906329_960233084022564_1448528159_a.jpg")</f>
        <v>https://scontent-ort2-1.cdninstagram.com/t51.2885-19/11906329_960233084022564_1448528159_a.jpg</v>
      </c>
    </row>
    <row r="3488" spans="1:31" ht="15" x14ac:dyDescent="0.25">
      <c r="A3488" t="s">
        <v>2474</v>
      </c>
      <c r="B3488" t="s">
        <v>19944</v>
      </c>
      <c r="C3488" s="221">
        <v>42976.517812500002</v>
      </c>
      <c r="D3488" t="s">
        <v>19945</v>
      </c>
      <c r="E3488" s="249" t="str">
        <f>HYPERLINK("https://www.instagram.com/p/BYYmPkwlLEz/")</f>
        <v>https://www.instagram.com/p/BYYmPkwlLEz/</v>
      </c>
      <c r="F3488" t="s">
        <v>19946</v>
      </c>
      <c r="G3488" t="s">
        <v>2478</v>
      </c>
      <c r="H3488">
        <v>317</v>
      </c>
      <c r="I3488" t="s">
        <v>2479</v>
      </c>
      <c r="J3488">
        <v>0</v>
      </c>
      <c r="K3488">
        <v>15</v>
      </c>
      <c r="L3488">
        <v>15</v>
      </c>
      <c r="Q3488">
        <v>0</v>
      </c>
      <c r="R3488">
        <v>0</v>
      </c>
      <c r="S3488">
        <v>15</v>
      </c>
      <c r="Y3488" t="s">
        <v>8161</v>
      </c>
      <c r="Z3488" t="s">
        <v>2575</v>
      </c>
      <c r="AA3488" t="s">
        <v>2497</v>
      </c>
      <c r="AB3488" t="s">
        <v>3075</v>
      </c>
      <c r="AD3488" s="249" t="str">
        <f>HYPERLINK("https://scontent.cdninstagram.com/t51.2885-15/s320x320/e35/21147557_1119512501484236_7359622243485220864_n.jpg")</f>
        <v>https://scontent.cdninstagram.com/t51.2885-15/s320x320/e35/21147557_1119512501484236_7359622243485220864_n.jpg</v>
      </c>
      <c r="AE3488" s="249" t="str">
        <f>HYPERLINK("https://scontent.cdninstagram.com/t51.2885-19/s150x150/20905458_1101393276662929_6483786881782775808_a.jpg")</f>
        <v>https://scontent.cdninstagram.com/t51.2885-19/s150x150/20905458_1101393276662929_6483786881782775808_a.jpg</v>
      </c>
    </row>
    <row r="3489" spans="1:31" ht="15" x14ac:dyDescent="0.25">
      <c r="A3489" t="s">
        <v>2474</v>
      </c>
      <c r="B3489" t="s">
        <v>19947</v>
      </c>
      <c r="C3489" s="221">
        <v>42976.519537037035</v>
      </c>
      <c r="D3489" t="s">
        <v>19948</v>
      </c>
      <c r="E3489" s="249" t="str">
        <f>HYPERLINK("https://www.instagram.com/p/BYYmhsyjNa_/")</f>
        <v>https://www.instagram.com/p/BYYmhsyjNa_/</v>
      </c>
      <c r="F3489" t="s">
        <v>19949</v>
      </c>
      <c r="G3489" t="s">
        <v>2478</v>
      </c>
      <c r="H3489">
        <v>140</v>
      </c>
      <c r="I3489" t="s">
        <v>2479</v>
      </c>
      <c r="J3489">
        <v>4</v>
      </c>
      <c r="K3489">
        <v>32</v>
      </c>
      <c r="L3489">
        <v>36</v>
      </c>
      <c r="Q3489">
        <v>0</v>
      </c>
      <c r="R3489">
        <v>0</v>
      </c>
      <c r="S3489">
        <v>36</v>
      </c>
      <c r="Y3489" t="s">
        <v>6829</v>
      </c>
      <c r="Z3489" t="s">
        <v>17397</v>
      </c>
      <c r="AA3489" t="s">
        <v>12370</v>
      </c>
      <c r="AB3489" t="s">
        <v>19927</v>
      </c>
      <c r="AC3489" t="s">
        <v>19811</v>
      </c>
      <c r="AD3489" s="249" t="str">
        <f>HYPERLINK("https://scontent.cdninstagram.com/t51.2885-15/e35/p320x320/21147874_143810846214763_2399625097590603776_n.jpg")</f>
        <v>https://scontent.cdninstagram.com/t51.2885-15/e35/p320x320/21147874_143810846214763_2399625097590603776_n.jpg</v>
      </c>
      <c r="AE3489" s="249" t="str">
        <f>HYPERLINK("https://scontent.cdninstagram.com/t51.2885-19/s150x150/20065588_1420268208062490_7489222593879212032_n.jpg")</f>
        <v>https://scontent.cdninstagram.com/t51.2885-19/s150x150/20065588_1420268208062490_7489222593879212032_n.jpg</v>
      </c>
    </row>
    <row r="3490" spans="1:31" ht="15" x14ac:dyDescent="0.25">
      <c r="A3490" t="s">
        <v>2474</v>
      </c>
      <c r="B3490" t="s">
        <v>16082</v>
      </c>
      <c r="C3490" s="221">
        <v>42976.526469907411</v>
      </c>
      <c r="D3490" t="s">
        <v>19950</v>
      </c>
      <c r="E3490" s="249" t="str">
        <f>HYPERLINK("https://www.instagram.com/p/BYYnq69DomU/")</f>
        <v>https://www.instagram.com/p/BYYnq69DomU/</v>
      </c>
      <c r="F3490" t="s">
        <v>19951</v>
      </c>
      <c r="G3490" t="s">
        <v>2478</v>
      </c>
      <c r="H3490">
        <v>1064</v>
      </c>
      <c r="I3490" t="s">
        <v>2896</v>
      </c>
      <c r="J3490">
        <v>1</v>
      </c>
      <c r="K3490">
        <v>93</v>
      </c>
      <c r="L3490">
        <v>94</v>
      </c>
      <c r="Q3490">
        <v>0</v>
      </c>
      <c r="R3490">
        <v>0</v>
      </c>
      <c r="S3490">
        <v>94</v>
      </c>
      <c r="T3490" t="s">
        <v>19952</v>
      </c>
      <c r="V3490" t="s">
        <v>2239</v>
      </c>
      <c r="W3490">
        <v>52.233849900000003</v>
      </c>
      <c r="X3490">
        <v>21.102699999999999</v>
      </c>
      <c r="Y3490" t="s">
        <v>19953</v>
      </c>
      <c r="Z3490" t="s">
        <v>8810</v>
      </c>
      <c r="AA3490" t="s">
        <v>19954</v>
      </c>
      <c r="AB3490" t="s">
        <v>19955</v>
      </c>
      <c r="AC3490" t="s">
        <v>19956</v>
      </c>
      <c r="AD3490" s="249" t="str">
        <f>HYPERLINK("https://scontent.cdninstagram.com/t51.2885-15/e35/p320x320/21107609_493734550978304_67392323251601408_n.jpg")</f>
        <v>https://scontent.cdninstagram.com/t51.2885-15/e35/p320x320/21107609_493734550978304_67392323251601408_n.jpg</v>
      </c>
      <c r="AE3490" s="249" t="str">
        <f>HYPERLINK("https://scontent.cdninstagram.com/t51.2885-19/s150x150/14723669_1780267085518625_910998228890025984_a.jpg")</f>
        <v>https://scontent.cdninstagram.com/t51.2885-19/s150x150/14723669_1780267085518625_910998228890025984_a.jpg</v>
      </c>
    </row>
    <row r="3491" spans="1:31" ht="15" x14ac:dyDescent="0.25">
      <c r="A3491" t="s">
        <v>2474</v>
      </c>
      <c r="B3491" t="s">
        <v>19957</v>
      </c>
      <c r="C3491" s="221">
        <v>42976.527245370373</v>
      </c>
      <c r="D3491" t="s">
        <v>19958</v>
      </c>
      <c r="E3491" s="249" t="str">
        <f>HYPERLINK("https://www.instagram.com/p/BYYnzFFhXok/")</f>
        <v>https://www.instagram.com/p/BYYnzFFhXok/</v>
      </c>
      <c r="F3491" t="s">
        <v>19959</v>
      </c>
      <c r="G3491" t="s">
        <v>2478</v>
      </c>
      <c r="H3491">
        <v>740</v>
      </c>
      <c r="I3491" t="s">
        <v>2542</v>
      </c>
      <c r="J3491">
        <v>0</v>
      </c>
      <c r="K3491">
        <v>20</v>
      </c>
      <c r="L3491">
        <v>20</v>
      </c>
      <c r="Q3491">
        <v>0</v>
      </c>
      <c r="R3491">
        <v>0</v>
      </c>
      <c r="S3491">
        <v>20</v>
      </c>
      <c r="Y3491" t="s">
        <v>2730</v>
      </c>
      <c r="Z3491" t="s">
        <v>8753</v>
      </c>
      <c r="AA3491" t="s">
        <v>2497</v>
      </c>
      <c r="AD3491" s="249" t="str">
        <f>HYPERLINK("https://scontent.cdninstagram.com/t51.2885-15/s320x320/e35/21107480_1752888488078896_2776658496727285760_n.jpg")</f>
        <v>https://scontent.cdninstagram.com/t51.2885-15/s320x320/e35/21107480_1752888488078896_2776658496727285760_n.jpg</v>
      </c>
      <c r="AE3491" s="249" t="str">
        <f>HYPERLINK("https://scontent.cdninstagram.com/t51.2885-19/s150x150/21373448_774420466077906_8339562686115217408_a.jpg")</f>
        <v>https://scontent.cdninstagram.com/t51.2885-19/s150x150/21373448_774420466077906_8339562686115217408_a.jpg</v>
      </c>
    </row>
    <row r="3492" spans="1:31" ht="15" x14ac:dyDescent="0.25">
      <c r="A3492" t="s">
        <v>2474</v>
      </c>
      <c r="B3492" t="s">
        <v>3754</v>
      </c>
      <c r="C3492" s="221">
        <v>42976.528981481482</v>
      </c>
      <c r="D3492" t="s">
        <v>19960</v>
      </c>
      <c r="E3492" s="249" t="str">
        <f>HYPERLINK("https://www.instagram.com/p/BYYoFUhD9O_/")</f>
        <v>https://www.instagram.com/p/BYYoFUhD9O_/</v>
      </c>
      <c r="F3492" t="s">
        <v>19961</v>
      </c>
      <c r="G3492" t="s">
        <v>2478</v>
      </c>
      <c r="H3492">
        <v>201329</v>
      </c>
      <c r="I3492" t="s">
        <v>2479</v>
      </c>
      <c r="J3492">
        <v>1</v>
      </c>
      <c r="K3492">
        <v>45</v>
      </c>
      <c r="L3492">
        <v>46</v>
      </c>
      <c r="Q3492">
        <v>0</v>
      </c>
      <c r="R3492">
        <v>0</v>
      </c>
      <c r="S3492">
        <v>46</v>
      </c>
      <c r="T3492" t="s">
        <v>19962</v>
      </c>
      <c r="U3492" t="s">
        <v>112</v>
      </c>
      <c r="V3492" t="s">
        <v>2299</v>
      </c>
      <c r="W3492">
        <v>29.663876015248</v>
      </c>
      <c r="X3492">
        <v>-95.738275365438</v>
      </c>
      <c r="Y3492" t="s">
        <v>8783</v>
      </c>
      <c r="Z3492" t="s">
        <v>19963</v>
      </c>
      <c r="AA3492" t="s">
        <v>19964</v>
      </c>
      <c r="AB3492" t="s">
        <v>4801</v>
      </c>
      <c r="AC3492" t="s">
        <v>4231</v>
      </c>
      <c r="AD3492" s="249" t="str">
        <f>HYPERLINK("https://scontent.cdninstagram.com/t51.2885-15/s320x320/e35/21147499_113964195936724_1685335932770713600_n.jpg")</f>
        <v>https://scontent.cdninstagram.com/t51.2885-15/s320x320/e35/21147499_113964195936724_1685335932770713600_n.jpg</v>
      </c>
      <c r="AE3492" s="249" t="str">
        <f>HYPERLINK("https://scontent.cdninstagram.com/t51.2885-19/s150x150/12905002_1681254462136092_1137392787_a.jpg")</f>
        <v>https://scontent.cdninstagram.com/t51.2885-19/s150x150/12905002_1681254462136092_1137392787_a.jpg</v>
      </c>
    </row>
    <row r="3493" spans="1:31" ht="15" x14ac:dyDescent="0.25">
      <c r="A3493" t="s">
        <v>2474</v>
      </c>
      <c r="B3493" t="s">
        <v>7421</v>
      </c>
      <c r="C3493" s="221">
        <v>42976.531030092592</v>
      </c>
      <c r="D3493" t="s">
        <v>19965</v>
      </c>
      <c r="E3493" s="249" t="str">
        <f>HYPERLINK("https://www.instagram.com/p/BYYoa73g2Ad/")</f>
        <v>https://www.instagram.com/p/BYYoa73g2Ad/</v>
      </c>
      <c r="F3493" t="s">
        <v>19966</v>
      </c>
      <c r="G3493" t="s">
        <v>2478</v>
      </c>
      <c r="H3493">
        <v>510</v>
      </c>
      <c r="I3493" t="s">
        <v>2479</v>
      </c>
      <c r="J3493">
        <v>7</v>
      </c>
      <c r="K3493">
        <v>64</v>
      </c>
      <c r="L3493">
        <v>71</v>
      </c>
      <c r="Q3493">
        <v>0</v>
      </c>
      <c r="R3493">
        <v>0</v>
      </c>
      <c r="S3493">
        <v>71</v>
      </c>
      <c r="T3493" t="s">
        <v>14030</v>
      </c>
      <c r="V3493" t="s">
        <v>2270</v>
      </c>
      <c r="W3493">
        <v>59.657772861292003</v>
      </c>
      <c r="X3493">
        <v>16.547099660234998</v>
      </c>
      <c r="AD3493" s="249" t="str">
        <f>HYPERLINK("https://scontent.cdninstagram.com/t51.2885-15/e35/p320x320/21107347_212343272633810_8177440388089380864_n.jpg")</f>
        <v>https://scontent.cdninstagram.com/t51.2885-15/e35/p320x320/21107347_212343272633810_8177440388089380864_n.jpg</v>
      </c>
      <c r="AE3493" s="249" t="str">
        <f>HYPERLINK("https://scontent.cdninstagram.com/t51.2885-19/s150x150/21149381_111820502847444_8601511457303035904_a.jpg")</f>
        <v>https://scontent.cdninstagram.com/t51.2885-19/s150x150/21149381_111820502847444_8601511457303035904_a.jpg</v>
      </c>
    </row>
    <row r="3494" spans="1:31" ht="15" x14ac:dyDescent="0.25">
      <c r="A3494" t="s">
        <v>2474</v>
      </c>
      <c r="B3494" t="s">
        <v>19967</v>
      </c>
      <c r="C3494" s="221">
        <v>42976.537847222222</v>
      </c>
      <c r="D3494" t="s">
        <v>19968</v>
      </c>
      <c r="E3494" s="249" t="str">
        <f>HYPERLINK("https://www.instagram.com/p/BYYpi1MB9Jl/")</f>
        <v>https://www.instagram.com/p/BYYpi1MB9Jl/</v>
      </c>
      <c r="F3494" t="s">
        <v>19969</v>
      </c>
      <c r="G3494" t="s">
        <v>2478</v>
      </c>
      <c r="H3494">
        <v>80</v>
      </c>
      <c r="I3494" t="s">
        <v>2479</v>
      </c>
      <c r="J3494">
        <v>0</v>
      </c>
      <c r="K3494">
        <v>4</v>
      </c>
      <c r="L3494">
        <v>4</v>
      </c>
      <c r="Q3494">
        <v>0</v>
      </c>
      <c r="R3494">
        <v>0</v>
      </c>
      <c r="S3494">
        <v>4</v>
      </c>
      <c r="Y3494" t="s">
        <v>19970</v>
      </c>
      <c r="Z3494" t="s">
        <v>4734</v>
      </c>
      <c r="AA3494" t="s">
        <v>6877</v>
      </c>
      <c r="AB3494" t="s">
        <v>19971</v>
      </c>
      <c r="AC3494" t="s">
        <v>2497</v>
      </c>
      <c r="AD3494" s="249" t="str">
        <f>HYPERLINK("https://scontent.cdninstagram.com/t51.2885-15/s320x320/e35/21148952_1011760722294878_475108762592477184_n.jpg")</f>
        <v>https://scontent.cdninstagram.com/t51.2885-15/s320x320/e35/21148952_1011760722294878_475108762592477184_n.jpg</v>
      </c>
      <c r="AE3494" s="249" t="str">
        <f>HYPERLINK("https://scontent.cdninstagram.com/t51.2885-19/s150x150/18809129_454724551550264_793440202289840128_a.jpg")</f>
        <v>https://scontent.cdninstagram.com/t51.2885-19/s150x150/18809129_454724551550264_793440202289840128_a.jpg</v>
      </c>
    </row>
    <row r="3495" spans="1:31" ht="15" x14ac:dyDescent="0.25">
      <c r="A3495" t="s">
        <v>2474</v>
      </c>
      <c r="B3495" t="s">
        <v>19972</v>
      </c>
      <c r="C3495" s="221">
        <v>42976.538715277777</v>
      </c>
      <c r="D3495" t="s">
        <v>19973</v>
      </c>
      <c r="E3495" s="249" t="str">
        <f>HYPERLINK("https://www.instagram.com/p/BYYpsAkgw-w/")</f>
        <v>https://www.instagram.com/p/BYYpsAkgw-w/</v>
      </c>
      <c r="F3495" t="s">
        <v>19974</v>
      </c>
      <c r="G3495" t="s">
        <v>2478</v>
      </c>
      <c r="H3495">
        <v>304</v>
      </c>
      <c r="I3495" t="s">
        <v>2479</v>
      </c>
      <c r="J3495">
        <v>0</v>
      </c>
      <c r="K3495">
        <v>42</v>
      </c>
      <c r="L3495">
        <v>42</v>
      </c>
      <c r="Q3495">
        <v>0</v>
      </c>
      <c r="R3495">
        <v>0</v>
      </c>
      <c r="S3495">
        <v>42</v>
      </c>
      <c r="Y3495" t="s">
        <v>19975</v>
      </c>
      <c r="Z3495" t="s">
        <v>19976</v>
      </c>
      <c r="AA3495" t="s">
        <v>19977</v>
      </c>
      <c r="AB3495" t="s">
        <v>11599</v>
      </c>
      <c r="AC3495" t="s">
        <v>3636</v>
      </c>
      <c r="AD3495" s="249" t="str">
        <f>HYPERLINK("https://scontent.cdninstagram.com/t51.2885-15/s320x320/e35/21224112_277323556103159_1801350382484455424_n.jpg")</f>
        <v>https://scontent.cdninstagram.com/t51.2885-15/s320x320/e35/21224112_277323556103159_1801350382484455424_n.jpg</v>
      </c>
      <c r="AE3495" s="249" t="str">
        <f>HYPERLINK("https://scontent.cdninstagram.com/t51.2885-19/s150x150/21107718_299276353814647_7989736049372823552_a.jpg")</f>
        <v>https://scontent.cdninstagram.com/t51.2885-19/s150x150/21107718_299276353814647_7989736049372823552_a.jpg</v>
      </c>
    </row>
    <row r="3496" spans="1:31" ht="15" x14ac:dyDescent="0.25">
      <c r="A3496" t="s">
        <v>2474</v>
      </c>
      <c r="B3496" t="s">
        <v>19978</v>
      </c>
      <c r="C3496" s="221">
        <v>42976.540902777779</v>
      </c>
      <c r="D3496" t="s">
        <v>19979</v>
      </c>
      <c r="E3496" s="249" t="str">
        <f>HYPERLINK("https://www.instagram.com/p/BYYqDCug8zN/")</f>
        <v>https://www.instagram.com/p/BYYqDCug8zN/</v>
      </c>
      <c r="F3496" t="s">
        <v>19980</v>
      </c>
      <c r="G3496" t="s">
        <v>2478</v>
      </c>
      <c r="H3496">
        <v>782</v>
      </c>
      <c r="I3496" t="s">
        <v>2599</v>
      </c>
      <c r="J3496">
        <v>17</v>
      </c>
      <c r="K3496">
        <v>118</v>
      </c>
      <c r="L3496">
        <v>135</v>
      </c>
      <c r="Q3496">
        <v>0</v>
      </c>
      <c r="R3496">
        <v>0</v>
      </c>
      <c r="S3496">
        <v>135</v>
      </c>
      <c r="Y3496" t="s">
        <v>19981</v>
      </c>
      <c r="Z3496" t="s">
        <v>7489</v>
      </c>
      <c r="AA3496" t="s">
        <v>19982</v>
      </c>
      <c r="AB3496" t="s">
        <v>19983</v>
      </c>
      <c r="AC3496" t="s">
        <v>4218</v>
      </c>
      <c r="AD3496" s="249" t="str">
        <f>HYPERLINK("https://scontent.cdninstagram.com/t51.2885-15/e35/p320x320/21107507_795206253976000_9024133705198731264_n.jpg")</f>
        <v>https://scontent.cdninstagram.com/t51.2885-15/e35/p320x320/21107507_795206253976000_9024133705198731264_n.jpg</v>
      </c>
      <c r="AE3496" s="249" t="str">
        <f>HYPERLINK("https://scontent.cdninstagram.com/t51.2885-19/11850108_473587792803386_1442052103_a.jpg")</f>
        <v>https://scontent.cdninstagram.com/t51.2885-19/11850108_473587792803386_1442052103_a.jpg</v>
      </c>
    </row>
    <row r="3497" spans="1:31" ht="15" x14ac:dyDescent="0.25">
      <c r="A3497" t="s">
        <v>2474</v>
      </c>
      <c r="B3497" t="s">
        <v>19984</v>
      </c>
      <c r="C3497" s="221">
        <v>42976.541250000002</v>
      </c>
      <c r="D3497" t="s">
        <v>19985</v>
      </c>
      <c r="E3497" s="249" t="str">
        <f>HYPERLINK("https://www.instagram.com/p/BYYqGxRAJsP/")</f>
        <v>https://www.instagram.com/p/BYYqGxRAJsP/</v>
      </c>
      <c r="F3497" t="s">
        <v>19986</v>
      </c>
      <c r="G3497" t="s">
        <v>2478</v>
      </c>
      <c r="H3497">
        <v>168</v>
      </c>
      <c r="I3497" t="s">
        <v>2479</v>
      </c>
      <c r="J3497">
        <v>0</v>
      </c>
      <c r="K3497">
        <v>22</v>
      </c>
      <c r="L3497">
        <v>22</v>
      </c>
      <c r="Q3497">
        <v>0</v>
      </c>
      <c r="R3497">
        <v>0</v>
      </c>
      <c r="S3497">
        <v>22</v>
      </c>
      <c r="Y3497" t="s">
        <v>19987</v>
      </c>
      <c r="Z3497" t="s">
        <v>2736</v>
      </c>
      <c r="AA3497" t="s">
        <v>19988</v>
      </c>
      <c r="AB3497" t="s">
        <v>8181</v>
      </c>
      <c r="AC3497" t="s">
        <v>19989</v>
      </c>
      <c r="AD3497" s="249" t="str">
        <f>HYPERLINK("https://scontent.cdninstagram.com/t51.2885-15/s320x320/e35/21107991_316044995472833_261024915132514304_n.jpg")</f>
        <v>https://scontent.cdninstagram.com/t51.2885-15/s320x320/e35/21107991_316044995472833_261024915132514304_n.jpg</v>
      </c>
      <c r="AE3497" s="249" t="str">
        <f>HYPERLINK("https://scontent.cdninstagram.com/t51.2885-19/s150x150/16463951_560127730843560_7165258450602033152_a.jpg")</f>
        <v>https://scontent.cdninstagram.com/t51.2885-19/s150x150/16463951_560127730843560_7165258450602033152_a.jpg</v>
      </c>
    </row>
    <row r="3498" spans="1:31" ht="15" x14ac:dyDescent="0.25">
      <c r="A3498" t="s">
        <v>2474</v>
      </c>
      <c r="B3498" t="s">
        <v>19990</v>
      </c>
      <c r="C3498" s="221">
        <v>42976.550358796296</v>
      </c>
      <c r="D3498" t="s">
        <v>19991</v>
      </c>
      <c r="E3498" s="249" t="str">
        <f>HYPERLINK("https://www.instagram.com/p/BYYrm3KldLu/")</f>
        <v>https://www.instagram.com/p/BYYrm3KldLu/</v>
      </c>
      <c r="F3498" t="s">
        <v>19992</v>
      </c>
      <c r="G3498" t="s">
        <v>2478</v>
      </c>
      <c r="H3498">
        <v>496</v>
      </c>
      <c r="I3498" t="s">
        <v>3898</v>
      </c>
      <c r="J3498">
        <v>2</v>
      </c>
      <c r="K3498">
        <v>23</v>
      </c>
      <c r="L3498">
        <v>25</v>
      </c>
      <c r="Q3498">
        <v>0</v>
      </c>
      <c r="R3498">
        <v>0</v>
      </c>
      <c r="S3498">
        <v>25</v>
      </c>
      <c r="Y3498" t="s">
        <v>3543</v>
      </c>
      <c r="Z3498" t="s">
        <v>2666</v>
      </c>
      <c r="AA3498" t="s">
        <v>19993</v>
      </c>
      <c r="AB3498" t="s">
        <v>19994</v>
      </c>
      <c r="AC3498" t="s">
        <v>19995</v>
      </c>
      <c r="AD3498" s="249" t="str">
        <f>HYPERLINK("https://scontent.cdninstagram.com/t51.2885-15/s320x320/e35/21224562_1926643984250050_4894478794183671808_n.jpg")</f>
        <v>https://scontent.cdninstagram.com/t51.2885-15/s320x320/e35/21224562_1926643984250050_4894478794183671808_n.jpg</v>
      </c>
      <c r="AE3498" s="249" t="str">
        <f>HYPERLINK("https://scontent.cdninstagram.com/t51.2885-19/s150x150/20225938_1545711185460389_3308248119371628544_a.jpg")</f>
        <v>https://scontent.cdninstagram.com/t51.2885-19/s150x150/20225938_1545711185460389_3308248119371628544_a.jpg</v>
      </c>
    </row>
    <row r="3499" spans="1:31" ht="15" x14ac:dyDescent="0.25">
      <c r="A3499" t="s">
        <v>2474</v>
      </c>
      <c r="B3499" t="s">
        <v>19996</v>
      </c>
      <c r="C3499" s="221">
        <v>42976.556631944448</v>
      </c>
      <c r="D3499" t="s">
        <v>19997</v>
      </c>
      <c r="E3499" s="249" t="str">
        <f>HYPERLINK("https://www.instagram.com/p/BYYso-8DBod/")</f>
        <v>https://www.instagram.com/p/BYYso-8DBod/</v>
      </c>
      <c r="F3499" t="s">
        <v>19998</v>
      </c>
      <c r="G3499" t="s">
        <v>2478</v>
      </c>
      <c r="H3499">
        <v>10337</v>
      </c>
      <c r="I3499" t="s">
        <v>2479</v>
      </c>
      <c r="J3499">
        <v>10</v>
      </c>
      <c r="K3499">
        <v>425</v>
      </c>
      <c r="L3499">
        <v>435</v>
      </c>
      <c r="Q3499">
        <v>0</v>
      </c>
      <c r="R3499">
        <v>0</v>
      </c>
      <c r="S3499">
        <v>435</v>
      </c>
      <c r="T3499" t="s">
        <v>14751</v>
      </c>
      <c r="V3499" t="s">
        <v>2182</v>
      </c>
      <c r="W3499">
        <v>40</v>
      </c>
      <c r="X3499">
        <v>9</v>
      </c>
      <c r="Y3499" t="s">
        <v>2651</v>
      </c>
      <c r="Z3499" t="s">
        <v>4248</v>
      </c>
      <c r="AA3499" t="s">
        <v>4174</v>
      </c>
      <c r="AB3499" t="s">
        <v>19999</v>
      </c>
      <c r="AC3499" t="s">
        <v>4863</v>
      </c>
      <c r="AD3499" s="249" t="str">
        <f>HYPERLINK("https://scontent.cdninstagram.com/t51.2885-15/s320x320/e35/21147991_1986966938251057_2371500242987122688_n.jpg")</f>
        <v>https://scontent.cdninstagram.com/t51.2885-15/s320x320/e35/21147991_1986966938251057_2371500242987122688_n.jpg</v>
      </c>
      <c r="AE3499" s="249" t="str">
        <f>HYPERLINK("https://scontent.cdninstagram.com/t51.2885-19/s150x150/21107619_493678050989355_967023775163875328_a.jpg")</f>
        <v>https://scontent.cdninstagram.com/t51.2885-19/s150x150/21107619_493678050989355_967023775163875328_a.jpg</v>
      </c>
    </row>
    <row r="3500" spans="1:31" ht="15" x14ac:dyDescent="0.25">
      <c r="A3500" t="s">
        <v>2474</v>
      </c>
      <c r="B3500" t="s">
        <v>20000</v>
      </c>
      <c r="C3500" s="221">
        <v>42976.568368055552</v>
      </c>
      <c r="D3500" t="s">
        <v>20001</v>
      </c>
      <c r="E3500" s="249" t="str">
        <f>HYPERLINK("https://www.instagram.com/p/BYYuktjjyxM/")</f>
        <v>https://www.instagram.com/p/BYYuktjjyxM/</v>
      </c>
      <c r="F3500" t="s">
        <v>20002</v>
      </c>
      <c r="G3500" t="s">
        <v>2478</v>
      </c>
      <c r="H3500">
        <v>686</v>
      </c>
      <c r="I3500" t="s">
        <v>2479</v>
      </c>
      <c r="J3500">
        <v>0</v>
      </c>
      <c r="K3500">
        <v>14</v>
      </c>
      <c r="L3500">
        <v>14</v>
      </c>
      <c r="Q3500">
        <v>0</v>
      </c>
      <c r="R3500">
        <v>0</v>
      </c>
      <c r="S3500">
        <v>14</v>
      </c>
      <c r="Y3500" t="s">
        <v>4749</v>
      </c>
      <c r="Z3500" t="s">
        <v>16352</v>
      </c>
      <c r="AA3500" t="s">
        <v>20003</v>
      </c>
      <c r="AB3500" t="s">
        <v>4285</v>
      </c>
      <c r="AC3500" t="s">
        <v>20004</v>
      </c>
      <c r="AD3500" s="249" t="str">
        <f>HYPERLINK("https://scontent.cdninstagram.com/t51.2885-15/s320x320/e35/21107897_539357573062979_3799674798456438784_n.jpg")</f>
        <v>https://scontent.cdninstagram.com/t51.2885-15/s320x320/e35/21107897_539357573062979_3799674798456438784_n.jpg</v>
      </c>
      <c r="AE3500" s="249" t="str">
        <f>HYPERLINK("https://scontent.cdninstagram.com/t51.2885-19/s150x150/14717463_1034847576626469_5386494107126333440_a.jpg")</f>
        <v>https://scontent.cdninstagram.com/t51.2885-19/s150x150/14717463_1034847576626469_5386494107126333440_a.jpg</v>
      </c>
    </row>
    <row r="3501" spans="1:31" ht="15" x14ac:dyDescent="0.25">
      <c r="A3501" t="s">
        <v>2474</v>
      </c>
      <c r="B3501" t="s">
        <v>3251</v>
      </c>
      <c r="C3501" s="221">
        <v>42976.572500000002</v>
      </c>
      <c r="D3501" t="s">
        <v>20005</v>
      </c>
      <c r="E3501" s="249" t="str">
        <f>HYPERLINK("https://www.instagram.com/p/BYYvQVfnhGU/")</f>
        <v>https://www.instagram.com/p/BYYvQVfnhGU/</v>
      </c>
      <c r="F3501" t="s">
        <v>20006</v>
      </c>
      <c r="G3501" t="s">
        <v>2488</v>
      </c>
      <c r="H3501">
        <v>308</v>
      </c>
      <c r="I3501" t="s">
        <v>2479</v>
      </c>
      <c r="J3501">
        <v>1</v>
      </c>
      <c r="K3501">
        <v>28</v>
      </c>
      <c r="L3501">
        <v>29</v>
      </c>
      <c r="Q3501">
        <v>0</v>
      </c>
      <c r="R3501">
        <v>0</v>
      </c>
      <c r="S3501">
        <v>29</v>
      </c>
      <c r="Y3501" t="s">
        <v>3255</v>
      </c>
      <c r="Z3501" t="s">
        <v>5943</v>
      </c>
      <c r="AA3501" t="s">
        <v>2497</v>
      </c>
      <c r="AB3501" t="s">
        <v>3969</v>
      </c>
      <c r="AC3501" t="s">
        <v>3970</v>
      </c>
      <c r="AD3501" s="249" t="str">
        <f>HYPERLINK("https://scontent.cdninstagram.com/t51.2885-15/s320x320/e35/21107804_169478666942676_9201787120362979328_n.jpg")</f>
        <v>https://scontent.cdninstagram.com/t51.2885-15/s320x320/e35/21107804_169478666942676_9201787120362979328_n.jpg</v>
      </c>
      <c r="AE3501" s="249" t="str">
        <f>HYPERLINK("https://scontent.cdninstagram.com/t51.2885-19/s150x150/20986614_891746094322067_1272495017625124864_a.jpg")</f>
        <v>https://scontent.cdninstagram.com/t51.2885-19/s150x150/20986614_891746094322067_1272495017625124864_a.jpg</v>
      </c>
    </row>
    <row r="3502" spans="1:31" ht="15" x14ac:dyDescent="0.25">
      <c r="A3502" t="s">
        <v>2474</v>
      </c>
      <c r="B3502" t="s">
        <v>20007</v>
      </c>
      <c r="C3502" s="221">
        <v>42976.581921296296</v>
      </c>
      <c r="D3502" t="s">
        <v>20008</v>
      </c>
      <c r="E3502" s="249" t="str">
        <f>HYPERLINK("https://www.instagram.com/p/BYYwzwZFY-p/")</f>
        <v>https://www.instagram.com/p/BYYwzwZFY-p/</v>
      </c>
      <c r="F3502" t="s">
        <v>20009</v>
      </c>
      <c r="G3502" t="s">
        <v>2478</v>
      </c>
      <c r="H3502">
        <v>396</v>
      </c>
      <c r="I3502" t="s">
        <v>3898</v>
      </c>
      <c r="J3502">
        <v>4</v>
      </c>
      <c r="K3502">
        <v>60</v>
      </c>
      <c r="L3502">
        <v>64</v>
      </c>
      <c r="Q3502">
        <v>0</v>
      </c>
      <c r="R3502">
        <v>0</v>
      </c>
      <c r="S3502">
        <v>64</v>
      </c>
      <c r="Y3502" t="s">
        <v>20010</v>
      </c>
      <c r="Z3502" t="s">
        <v>20011</v>
      </c>
      <c r="AA3502" t="s">
        <v>4240</v>
      </c>
      <c r="AB3502" t="s">
        <v>9593</v>
      </c>
      <c r="AC3502" t="s">
        <v>20012</v>
      </c>
      <c r="AD3502" s="249" t="str">
        <f>HYPERLINK("https://scontent.cdninstagram.com/t51.2885-15/s320x320/e35/21149451_1988860104729881_5792248309053652992_n.jpg")</f>
        <v>https://scontent.cdninstagram.com/t51.2885-15/s320x320/e35/21149451_1988860104729881_5792248309053652992_n.jpg</v>
      </c>
      <c r="AE3502" s="249" t="str">
        <f>HYPERLINK("https://scontent.cdninstagram.com/t51.2885-19/s150x150/17494065_2273207202904335_8250106012057468928_a.jpg")</f>
        <v>https://scontent.cdninstagram.com/t51.2885-19/s150x150/17494065_2273207202904335_8250106012057468928_a.jpg</v>
      </c>
    </row>
    <row r="3503" spans="1:31" ht="15" x14ac:dyDescent="0.25">
      <c r="A3503" t="s">
        <v>2474</v>
      </c>
      <c r="B3503" t="s">
        <v>20013</v>
      </c>
      <c r="C3503" s="221">
        <v>42976.585706018515</v>
      </c>
      <c r="D3503" t="s">
        <v>20014</v>
      </c>
      <c r="E3503" s="249" t="str">
        <f>HYPERLINK("https://www.instagram.com/p/BYYxbqgnaiH/")</f>
        <v>https://www.instagram.com/p/BYYxbqgnaiH/</v>
      </c>
      <c r="F3503" t="s">
        <v>20015</v>
      </c>
      <c r="G3503" t="s">
        <v>2478</v>
      </c>
      <c r="H3503">
        <v>64</v>
      </c>
      <c r="I3503" t="s">
        <v>2542</v>
      </c>
      <c r="J3503">
        <v>4</v>
      </c>
      <c r="K3503">
        <v>18</v>
      </c>
      <c r="L3503">
        <v>22</v>
      </c>
      <c r="Q3503">
        <v>0</v>
      </c>
      <c r="R3503">
        <v>0</v>
      </c>
      <c r="S3503">
        <v>22</v>
      </c>
      <c r="Y3503" t="s">
        <v>20016</v>
      </c>
      <c r="Z3503" t="s">
        <v>20017</v>
      </c>
      <c r="AA3503" t="s">
        <v>2513</v>
      </c>
      <c r="AB3503" t="s">
        <v>20018</v>
      </c>
      <c r="AC3503" t="s">
        <v>20019</v>
      </c>
      <c r="AD3503" s="249" t="str">
        <f>HYPERLINK("https://scontent.cdninstagram.com/t51.2885-15/e35/p320x320/21147622_124351108214237_2249615698261180416_n.jpg")</f>
        <v>https://scontent.cdninstagram.com/t51.2885-15/e35/p320x320/21147622_124351108214237_2249615698261180416_n.jpg</v>
      </c>
      <c r="AE3503" s="249" t="str">
        <f>HYPERLINK("https://scontent.cdninstagram.com/t51.2885-19/s150x150/20759640_1543400619052786_1896518920664252416_a.jpg")</f>
        <v>https://scontent.cdninstagram.com/t51.2885-19/s150x150/20759640_1543400619052786_1896518920664252416_a.jpg</v>
      </c>
    </row>
    <row r="3504" spans="1:31" ht="15" x14ac:dyDescent="0.25">
      <c r="A3504" t="s">
        <v>2474</v>
      </c>
      <c r="B3504" t="s">
        <v>20020</v>
      </c>
      <c r="C3504" s="221">
        <v>42976.593113425923</v>
      </c>
      <c r="D3504" t="s">
        <v>20021</v>
      </c>
      <c r="E3504" s="249" t="str">
        <f>HYPERLINK("https://www.instagram.com/p/BYYypuvDvul/")</f>
        <v>https://www.instagram.com/p/BYYypuvDvul/</v>
      </c>
      <c r="F3504" t="s">
        <v>20022</v>
      </c>
      <c r="G3504" t="s">
        <v>2478</v>
      </c>
      <c r="I3504" t="s">
        <v>2599</v>
      </c>
      <c r="J3504">
        <v>2</v>
      </c>
      <c r="K3504">
        <v>17</v>
      </c>
      <c r="L3504">
        <v>19</v>
      </c>
      <c r="Q3504">
        <v>0</v>
      </c>
      <c r="R3504">
        <v>0</v>
      </c>
      <c r="S3504">
        <v>19</v>
      </c>
      <c r="Y3504" t="s">
        <v>4988</v>
      </c>
      <c r="Z3504" t="s">
        <v>20023</v>
      </c>
      <c r="AA3504" t="s">
        <v>11606</v>
      </c>
      <c r="AB3504" t="s">
        <v>2937</v>
      </c>
      <c r="AC3504" t="s">
        <v>10644</v>
      </c>
      <c r="AD3504" s="249" t="str">
        <f>HYPERLINK("https://scontent.cdninstagram.com/t51.2885-15/s320x320/e35/21147566_799045130269194_1755261599532187648_n.jpg")</f>
        <v>https://scontent.cdninstagram.com/t51.2885-15/s320x320/e35/21147566_799045130269194_1755261599532187648_n.jpg</v>
      </c>
      <c r="AE3504" s="249" t="str">
        <f>HYPERLINK("https://scontent.cdninstagram.com/t51.2885-19/s150x150/19622956_1917346321846395_3673213961781641216_a.jpg")</f>
        <v>https://scontent.cdninstagram.com/t51.2885-19/s150x150/19622956_1917346321846395_3673213961781641216_a.jpg</v>
      </c>
    </row>
    <row r="3505" spans="1:31" ht="15" x14ac:dyDescent="0.25">
      <c r="A3505" t="s">
        <v>2474</v>
      </c>
      <c r="B3505" t="s">
        <v>3754</v>
      </c>
      <c r="C3505" s="221">
        <v>42976.593113425923</v>
      </c>
      <c r="D3505" t="s">
        <v>20024</v>
      </c>
      <c r="E3505" s="249" t="str">
        <f>HYPERLINK("https://www.instagram.com/p/BYYypy5jhqS/")</f>
        <v>https://www.instagram.com/p/BYYypy5jhqS/</v>
      </c>
      <c r="F3505" t="s">
        <v>15777</v>
      </c>
      <c r="G3505" t="s">
        <v>2478</v>
      </c>
      <c r="H3505">
        <v>201321</v>
      </c>
      <c r="I3505" t="s">
        <v>2479</v>
      </c>
      <c r="J3505">
        <v>0</v>
      </c>
      <c r="K3505">
        <v>105</v>
      </c>
      <c r="L3505">
        <v>105</v>
      </c>
      <c r="Q3505">
        <v>0</v>
      </c>
      <c r="R3505">
        <v>0</v>
      </c>
      <c r="S3505">
        <v>105</v>
      </c>
      <c r="Y3505" t="s">
        <v>4801</v>
      </c>
      <c r="Z3505" t="s">
        <v>4231</v>
      </c>
      <c r="AA3505" t="s">
        <v>5197</v>
      </c>
      <c r="AB3505" t="s">
        <v>3759</v>
      </c>
      <c r="AC3505" t="s">
        <v>6789</v>
      </c>
      <c r="AD3505" s="249" t="str">
        <f>HYPERLINK("https://scontent.cdninstagram.com/t51.2885-15/s320x320/e35/21107907_1933754450173276_402333058612592640_n.jpg")</f>
        <v>https://scontent.cdninstagram.com/t51.2885-15/s320x320/e35/21107907_1933754450173276_402333058612592640_n.jpg</v>
      </c>
      <c r="AE3505" s="249" t="str">
        <f>HYPERLINK("https://scontent.cdninstagram.com/t51.2885-19/s150x150/12905002_1681254462136092_1137392787_a.jpg")</f>
        <v>https://scontent.cdninstagram.com/t51.2885-19/s150x150/12905002_1681254462136092_1137392787_a.jpg</v>
      </c>
    </row>
    <row r="3506" spans="1:31" ht="15" x14ac:dyDescent="0.25">
      <c r="A3506" t="s">
        <v>2474</v>
      </c>
      <c r="B3506" t="s">
        <v>20025</v>
      </c>
      <c r="C3506" s="221">
        <v>42976.593738425923</v>
      </c>
      <c r="D3506" t="s">
        <v>20026</v>
      </c>
      <c r="E3506" s="249" t="str">
        <f>HYPERLINK("https://www.instagram.com/p/BYYywUGF6ss/")</f>
        <v>https://www.instagram.com/p/BYYywUGF6ss/</v>
      </c>
      <c r="F3506" t="s">
        <v>20027</v>
      </c>
      <c r="G3506" t="s">
        <v>2478</v>
      </c>
      <c r="H3506">
        <v>163</v>
      </c>
      <c r="I3506" t="s">
        <v>2479</v>
      </c>
      <c r="J3506">
        <v>3</v>
      </c>
      <c r="K3506">
        <v>13</v>
      </c>
      <c r="L3506">
        <v>16</v>
      </c>
      <c r="Q3506">
        <v>0</v>
      </c>
      <c r="R3506">
        <v>0</v>
      </c>
      <c r="S3506">
        <v>16</v>
      </c>
      <c r="Y3506" t="s">
        <v>20028</v>
      </c>
      <c r="Z3506" t="s">
        <v>3968</v>
      </c>
      <c r="AA3506" t="s">
        <v>2492</v>
      </c>
      <c r="AB3506" t="s">
        <v>20029</v>
      </c>
      <c r="AC3506" t="s">
        <v>20030</v>
      </c>
      <c r="AD3506" s="249" t="str">
        <f>HYPERLINK("https://scontent.cdninstagram.com/t51.2885-15/e35/p320x320/21149171_112211129472856_3154948049243996160_n.jpg")</f>
        <v>https://scontent.cdninstagram.com/t51.2885-15/e35/p320x320/21149171_112211129472856_3154948049243996160_n.jpg</v>
      </c>
      <c r="AE3506" s="249" t="str">
        <f>HYPERLINK("https://scontent.cdninstagram.com/t51.2885-19/s150x150/20347229_1517153248347957_1550576240027500544_a.jpg")</f>
        <v>https://scontent.cdninstagram.com/t51.2885-19/s150x150/20347229_1517153248347957_1550576240027500544_a.jpg</v>
      </c>
    </row>
    <row r="3507" spans="1:31" ht="15" x14ac:dyDescent="0.25">
      <c r="A3507" t="s">
        <v>2474</v>
      </c>
      <c r="B3507" t="s">
        <v>20031</v>
      </c>
      <c r="C3507" s="221">
        <v>42976.596226851849</v>
      </c>
      <c r="D3507" t="s">
        <v>20032</v>
      </c>
      <c r="E3507" s="249" t="str">
        <f>HYPERLINK("https://www.instagram.com/p/BYYzKianqsQ/")</f>
        <v>https://www.instagram.com/p/BYYzKianqsQ/</v>
      </c>
      <c r="F3507" t="s">
        <v>20033</v>
      </c>
      <c r="G3507" t="s">
        <v>2478</v>
      </c>
      <c r="H3507">
        <v>7753</v>
      </c>
      <c r="I3507" t="s">
        <v>2479</v>
      </c>
      <c r="J3507">
        <v>11</v>
      </c>
      <c r="K3507">
        <v>194</v>
      </c>
      <c r="L3507">
        <v>205</v>
      </c>
      <c r="Q3507">
        <v>0</v>
      </c>
      <c r="R3507">
        <v>0</v>
      </c>
      <c r="S3507">
        <v>205</v>
      </c>
      <c r="Y3507" t="s">
        <v>20034</v>
      </c>
      <c r="Z3507" t="s">
        <v>20035</v>
      </c>
      <c r="AA3507" t="s">
        <v>2497</v>
      </c>
      <c r="AB3507" t="s">
        <v>20036</v>
      </c>
      <c r="AC3507" t="s">
        <v>20037</v>
      </c>
      <c r="AD3507" s="249" t="str">
        <f>HYPERLINK("https://scontent.cdninstagram.com/t51.2885-15/s320x320/e35/21147194_165285117370078_4870776587663966208_n.jpg")</f>
        <v>https://scontent.cdninstagram.com/t51.2885-15/s320x320/e35/21147194_165285117370078_4870776587663966208_n.jpg</v>
      </c>
      <c r="AE3507" s="249" t="str">
        <f>HYPERLINK("https://scontent.cdninstagram.com/t51.2885-19/s150x150/19764608_318401661935328_5996485196663226368_n.jpg")</f>
        <v>https://scontent.cdninstagram.com/t51.2885-19/s150x150/19764608_318401661935328_5996485196663226368_n.jpg</v>
      </c>
    </row>
    <row r="3508" spans="1:31" ht="15" x14ac:dyDescent="0.25">
      <c r="A3508" t="s">
        <v>2474</v>
      </c>
      <c r="B3508" t="s">
        <v>3248</v>
      </c>
      <c r="C3508" s="221">
        <v>42976.601342592592</v>
      </c>
      <c r="D3508" t="s">
        <v>20038</v>
      </c>
      <c r="E3508" s="249" t="str">
        <f>HYPERLINK("https://www.instagram.com/p/BYY0AltHZny/")</f>
        <v>https://www.instagram.com/p/BYY0AltHZny/</v>
      </c>
      <c r="F3508" t="s">
        <v>20039</v>
      </c>
      <c r="G3508" t="s">
        <v>2478</v>
      </c>
      <c r="H3508">
        <v>32693</v>
      </c>
      <c r="I3508" t="s">
        <v>2479</v>
      </c>
      <c r="J3508">
        <v>5</v>
      </c>
      <c r="K3508">
        <v>603</v>
      </c>
      <c r="L3508">
        <v>608</v>
      </c>
      <c r="Q3508">
        <v>0</v>
      </c>
      <c r="R3508">
        <v>0</v>
      </c>
      <c r="S3508">
        <v>608</v>
      </c>
      <c r="Y3508" t="s">
        <v>2651</v>
      </c>
      <c r="Z3508" t="s">
        <v>2913</v>
      </c>
      <c r="AA3508" t="s">
        <v>2730</v>
      </c>
      <c r="AB3508" t="s">
        <v>5449</v>
      </c>
      <c r="AC3508" t="s">
        <v>2513</v>
      </c>
      <c r="AD3508" s="249" t="str">
        <f>HYPERLINK("https://scontent.cdninstagram.com/t51.2885-15/s320x320/e35/21108077_1623528904378915_8744870211443752960_n.jpg")</f>
        <v>https://scontent.cdninstagram.com/t51.2885-15/s320x320/e35/21108077_1623528904378915_8744870211443752960_n.jpg</v>
      </c>
      <c r="AE3508" s="249" t="str">
        <f>HYPERLINK("https://scontent.cdninstagram.com/t51.2885-19/s150x150/16229301_1876915245885793_5124596849776263168_n.jpg")</f>
        <v>https://scontent.cdninstagram.com/t51.2885-19/s150x150/16229301_1876915245885793_5124596849776263168_n.jpg</v>
      </c>
    </row>
    <row r="3509" spans="1:31" ht="15" x14ac:dyDescent="0.25">
      <c r="A3509" t="s">
        <v>2474</v>
      </c>
      <c r="B3509" t="s">
        <v>20040</v>
      </c>
      <c r="C3509" s="221">
        <v>42976.603564814817</v>
      </c>
      <c r="D3509" t="s">
        <v>20041</v>
      </c>
      <c r="E3509" s="249" t="str">
        <f>HYPERLINK("https://www.instagram.com/p/BYY0YBVA7oj/")</f>
        <v>https://www.instagram.com/p/BYY0YBVA7oj/</v>
      </c>
      <c r="F3509" t="s">
        <v>20042</v>
      </c>
      <c r="G3509" t="s">
        <v>2478</v>
      </c>
      <c r="H3509">
        <v>144</v>
      </c>
      <c r="I3509" t="s">
        <v>2542</v>
      </c>
      <c r="J3509">
        <v>0</v>
      </c>
      <c r="K3509">
        <v>6</v>
      </c>
      <c r="L3509">
        <v>6</v>
      </c>
      <c r="Q3509">
        <v>0</v>
      </c>
      <c r="R3509">
        <v>0</v>
      </c>
      <c r="S3509">
        <v>6</v>
      </c>
      <c r="T3509" t="s">
        <v>19830</v>
      </c>
      <c r="V3509" t="s">
        <v>2264</v>
      </c>
      <c r="W3509">
        <v>42.883299999999998</v>
      </c>
      <c r="X3509">
        <v>-8.5500000000000007</v>
      </c>
      <c r="Y3509" t="s">
        <v>20043</v>
      </c>
      <c r="Z3509" t="s">
        <v>20044</v>
      </c>
      <c r="AA3509" t="s">
        <v>20045</v>
      </c>
      <c r="AB3509" t="s">
        <v>2497</v>
      </c>
      <c r="AD3509" s="249" t="str">
        <f>HYPERLINK("https://scontent.cdninstagram.com/t51.2885-15/s320x320/e35/21147562_1576201652400611_2447134127443410944_n.jpg")</f>
        <v>https://scontent.cdninstagram.com/t51.2885-15/s320x320/e35/21147562_1576201652400611_2447134127443410944_n.jpg</v>
      </c>
      <c r="AE3509" s="249" t="str">
        <f>HYPERLINK("https://scontent.cdninstagram.com/t51.2885-19/s150x150/21041034_1651136464919770_6645656180465074176_a.jpg")</f>
        <v>https://scontent.cdninstagram.com/t51.2885-19/s150x150/21041034_1651136464919770_6645656180465074176_a.jpg</v>
      </c>
    </row>
    <row r="3510" spans="1:31" ht="15" x14ac:dyDescent="0.25">
      <c r="A3510" t="s">
        <v>2474</v>
      </c>
      <c r="B3510" t="s">
        <v>14322</v>
      </c>
      <c r="C3510" s="221">
        <v>42976.603877314818</v>
      </c>
      <c r="D3510" t="s">
        <v>20046</v>
      </c>
      <c r="E3510" s="249" t="str">
        <f>HYPERLINK("https://www.instagram.com/p/BYY0bRfgwWm/")</f>
        <v>https://www.instagram.com/p/BYY0bRfgwWm/</v>
      </c>
      <c r="F3510" t="s">
        <v>20047</v>
      </c>
      <c r="G3510" t="s">
        <v>2478</v>
      </c>
      <c r="H3510">
        <v>3191</v>
      </c>
      <c r="I3510" t="s">
        <v>2479</v>
      </c>
      <c r="J3510">
        <v>0</v>
      </c>
      <c r="K3510">
        <v>27</v>
      </c>
      <c r="L3510">
        <v>27</v>
      </c>
      <c r="Q3510">
        <v>0</v>
      </c>
      <c r="R3510">
        <v>0</v>
      </c>
      <c r="S3510">
        <v>27</v>
      </c>
      <c r="Y3510" t="s">
        <v>4563</v>
      </c>
      <c r="Z3510" t="s">
        <v>20048</v>
      </c>
      <c r="AA3510" t="s">
        <v>4801</v>
      </c>
      <c r="AB3510" t="s">
        <v>4231</v>
      </c>
      <c r="AC3510" t="s">
        <v>5197</v>
      </c>
      <c r="AD3510" s="249" t="str">
        <f>HYPERLINK("https://scontent.cdninstagram.com/t51.2885-15/s320x320/e35/21149630_719574018229441_8078105113157173248_n.jpg")</f>
        <v>https://scontent.cdninstagram.com/t51.2885-15/s320x320/e35/21149630_719574018229441_8078105113157173248_n.jpg</v>
      </c>
      <c r="AE3510" s="249" t="str">
        <f>HYPERLINK("https://scontent.cdninstagram.com/t51.2885-19/s150x150/14722983_620984121413610_3612595600819748864_a.jpg")</f>
        <v>https://scontent.cdninstagram.com/t51.2885-19/s150x150/14722983_620984121413610_3612595600819748864_a.jpg</v>
      </c>
    </row>
    <row r="3511" spans="1:31" ht="15" x14ac:dyDescent="0.25">
      <c r="A3511" t="s">
        <v>2474</v>
      </c>
      <c r="B3511" t="s">
        <v>3761</v>
      </c>
      <c r="C3511" s="221">
        <v>42976.604988425926</v>
      </c>
      <c r="D3511" t="s">
        <v>20049</v>
      </c>
      <c r="E3511" s="249" t="str">
        <f>HYPERLINK("https://www.instagram.com/p/BYY0m_VnyNz/")</f>
        <v>https://www.instagram.com/p/BYY0m_VnyNz/</v>
      </c>
      <c r="F3511" t="s">
        <v>20050</v>
      </c>
      <c r="G3511" t="s">
        <v>2478</v>
      </c>
      <c r="H3511">
        <v>35558</v>
      </c>
      <c r="I3511" t="s">
        <v>2479</v>
      </c>
      <c r="J3511">
        <v>0</v>
      </c>
      <c r="K3511">
        <v>17</v>
      </c>
      <c r="L3511">
        <v>17</v>
      </c>
      <c r="Q3511">
        <v>0</v>
      </c>
      <c r="R3511">
        <v>0</v>
      </c>
      <c r="S3511">
        <v>17</v>
      </c>
      <c r="Y3511" t="s">
        <v>4563</v>
      </c>
      <c r="Z3511" t="s">
        <v>20048</v>
      </c>
      <c r="AA3511" t="s">
        <v>4801</v>
      </c>
      <c r="AB3511" t="s">
        <v>4231</v>
      </c>
      <c r="AC3511" t="s">
        <v>5197</v>
      </c>
      <c r="AD3511" s="249" t="str">
        <f>HYPERLINK("https://scontent.cdninstagram.com/t51.2885-15/s320x320/e35/21148075_182980622245938_2827978854788759552_n.jpg")</f>
        <v>https://scontent.cdninstagram.com/t51.2885-15/s320x320/e35/21148075_182980622245938_2827978854788759552_n.jpg</v>
      </c>
      <c r="AE3511" s="249" t="str">
        <f>HYPERLINK("https://scontent.cdninstagram.com/t51.2885-19/s150x150/19985865_1705783593058831_5928851088227696640_n.jpg")</f>
        <v>https://scontent.cdninstagram.com/t51.2885-19/s150x150/19985865_1705783593058831_5928851088227696640_n.jpg</v>
      </c>
    </row>
    <row r="3512" spans="1:31" ht="15" x14ac:dyDescent="0.25">
      <c r="A3512" t="s">
        <v>2474</v>
      </c>
      <c r="B3512" t="s">
        <v>5225</v>
      </c>
      <c r="C3512" s="221">
        <v>42976.607233796298</v>
      </c>
      <c r="D3512" t="s">
        <v>20051</v>
      </c>
      <c r="E3512" s="249" t="str">
        <f>HYPERLINK("https://www.instagram.com/p/BYY0-p7AgMk/")</f>
        <v>https://www.instagram.com/p/BYY0-p7AgMk/</v>
      </c>
      <c r="F3512" t="s">
        <v>20052</v>
      </c>
      <c r="G3512" t="s">
        <v>2488</v>
      </c>
      <c r="H3512">
        <v>63</v>
      </c>
      <c r="I3512" t="s">
        <v>2479</v>
      </c>
      <c r="J3512">
        <v>0</v>
      </c>
      <c r="K3512">
        <v>21</v>
      </c>
      <c r="L3512">
        <v>21</v>
      </c>
      <c r="Q3512">
        <v>0</v>
      </c>
      <c r="R3512">
        <v>0</v>
      </c>
      <c r="S3512">
        <v>21</v>
      </c>
      <c r="T3512" t="s">
        <v>5228</v>
      </c>
      <c r="V3512" t="s">
        <v>2154</v>
      </c>
      <c r="W3512">
        <v>47.498634698221998</v>
      </c>
      <c r="X3512">
        <v>-0.50784128552246999</v>
      </c>
      <c r="Y3512" t="s">
        <v>3804</v>
      </c>
      <c r="Z3512" t="s">
        <v>18420</v>
      </c>
      <c r="AA3512" t="s">
        <v>6490</v>
      </c>
      <c r="AB3512" t="s">
        <v>5232</v>
      </c>
      <c r="AC3512" t="s">
        <v>2513</v>
      </c>
      <c r="AD3512" s="249" t="str">
        <f>HYPERLINK("https://scontent.cdninstagram.com/t51.2885-15/s320x320/e35/21147350_2045244192364230_6140593349582651392_n.jpg")</f>
        <v>https://scontent.cdninstagram.com/t51.2885-15/s320x320/e35/21147350_2045244192364230_6140593349582651392_n.jpg</v>
      </c>
      <c r="AE3512" s="249" t="str">
        <f>HYPERLINK("https://scontent.cdninstagram.com/t51.2885-19/s150x150/18949503_1122155304550657_4049188449616396288_a.jpg")</f>
        <v>https://scontent.cdninstagram.com/t51.2885-19/s150x150/18949503_1122155304550657_4049188449616396288_a.jpg</v>
      </c>
    </row>
    <row r="3513" spans="1:31" ht="15" x14ac:dyDescent="0.25">
      <c r="A3513" t="s">
        <v>2474</v>
      </c>
      <c r="B3513" t="s">
        <v>20053</v>
      </c>
      <c r="C3513" s="221">
        <v>42976.61146990741</v>
      </c>
      <c r="D3513" t="s">
        <v>20054</v>
      </c>
      <c r="E3513" s="249" t="str">
        <f>HYPERLINK("https://www.instagram.com/p/BYY1rYND4Q4/")</f>
        <v>https://www.instagram.com/p/BYY1rYND4Q4/</v>
      </c>
      <c r="F3513" t="s">
        <v>20055</v>
      </c>
      <c r="G3513" t="s">
        <v>2478</v>
      </c>
      <c r="H3513">
        <v>11</v>
      </c>
      <c r="I3513" t="s">
        <v>2479</v>
      </c>
      <c r="J3513">
        <v>1</v>
      </c>
      <c r="K3513">
        <v>6</v>
      </c>
      <c r="L3513">
        <v>7</v>
      </c>
      <c r="Q3513">
        <v>0</v>
      </c>
      <c r="R3513">
        <v>0</v>
      </c>
      <c r="S3513">
        <v>7</v>
      </c>
      <c r="Y3513" t="s">
        <v>20056</v>
      </c>
      <c r="Z3513" t="s">
        <v>3968</v>
      </c>
      <c r="AA3513" t="s">
        <v>3145</v>
      </c>
      <c r="AB3513" t="s">
        <v>2497</v>
      </c>
      <c r="AD3513" s="249" t="str">
        <f>HYPERLINK("https://scontent.cdninstagram.com/t51.2885-15/s320x320/e35/21107570_111978226163139_881580503231102976_n.jpg")</f>
        <v>https://scontent.cdninstagram.com/t51.2885-15/s320x320/e35/21107570_111978226163139_881580503231102976_n.jpg</v>
      </c>
      <c r="AE3513" s="249" t="str">
        <f>HYPERLINK("https://scontent.cdninstagram.com/t51.2885-19/s150x150/21108016_138047490135841_2854379730994462720_a.jpg")</f>
        <v>https://scontent.cdninstagram.com/t51.2885-19/s150x150/21108016_138047490135841_2854379730994462720_a.jpg</v>
      </c>
    </row>
    <row r="3514" spans="1:31" ht="15" x14ac:dyDescent="0.25">
      <c r="A3514" t="s">
        <v>2474</v>
      </c>
      <c r="B3514" t="s">
        <v>14261</v>
      </c>
      <c r="C3514" s="221">
        <v>42976.614918981482</v>
      </c>
      <c r="D3514" t="s">
        <v>20057</v>
      </c>
      <c r="E3514" s="249" t="str">
        <f>HYPERLINK("https://www.instagram.com/p/BYY2Pr2HJow/")</f>
        <v>https://www.instagram.com/p/BYY2Pr2HJow/</v>
      </c>
      <c r="F3514" t="s">
        <v>20058</v>
      </c>
      <c r="G3514" t="s">
        <v>2478</v>
      </c>
      <c r="H3514">
        <v>289</v>
      </c>
      <c r="I3514" t="s">
        <v>2479</v>
      </c>
      <c r="J3514">
        <v>0</v>
      </c>
      <c r="K3514">
        <v>13</v>
      </c>
      <c r="L3514">
        <v>13</v>
      </c>
      <c r="Q3514">
        <v>0</v>
      </c>
      <c r="R3514">
        <v>0</v>
      </c>
      <c r="S3514">
        <v>13</v>
      </c>
      <c r="Y3514" t="s">
        <v>14264</v>
      </c>
      <c r="Z3514" t="s">
        <v>2492</v>
      </c>
      <c r="AA3514" t="s">
        <v>20059</v>
      </c>
      <c r="AB3514" t="s">
        <v>20060</v>
      </c>
      <c r="AC3514" t="s">
        <v>2497</v>
      </c>
      <c r="AD3514" s="249" t="str">
        <f>HYPERLINK("https://scontent.cdninstagram.com/t51.2885-15/e35/21107510_709152192614386_8318305724736208896_n.jpg")</f>
        <v>https://scontent.cdninstagram.com/t51.2885-15/e35/21107510_709152192614386_8318305724736208896_n.jpg</v>
      </c>
      <c r="AE3514" s="249" t="str">
        <f>HYPERLINK("https://scontent.cdninstagram.com/t51.2885-19/s150x150/19622798_445440812500533_2515259704691654656_a.jpg")</f>
        <v>https://scontent.cdninstagram.com/t51.2885-19/s150x150/19622798_445440812500533_2515259704691654656_a.jpg</v>
      </c>
    </row>
    <row r="3515" spans="1:31" ht="15" x14ac:dyDescent="0.25">
      <c r="A3515" t="s">
        <v>2474</v>
      </c>
      <c r="B3515" t="s">
        <v>20061</v>
      </c>
      <c r="C3515" s="221">
        <v>42976.615185185183</v>
      </c>
      <c r="D3515" t="s">
        <v>20062</v>
      </c>
      <c r="E3515" s="249" t="str">
        <f>HYPERLINK("https://www.instagram.com/p/BYY2Si4HYDT/")</f>
        <v>https://www.instagram.com/p/BYY2Si4HYDT/</v>
      </c>
      <c r="F3515" t="s">
        <v>20063</v>
      </c>
      <c r="G3515" t="s">
        <v>2478</v>
      </c>
      <c r="H3515">
        <v>6132</v>
      </c>
      <c r="I3515" t="s">
        <v>2896</v>
      </c>
      <c r="J3515">
        <v>11</v>
      </c>
      <c r="K3515">
        <v>1131</v>
      </c>
      <c r="L3515">
        <v>1142</v>
      </c>
      <c r="Q3515">
        <v>0</v>
      </c>
      <c r="R3515">
        <v>0</v>
      </c>
      <c r="S3515">
        <v>1142</v>
      </c>
      <c r="Y3515" t="s">
        <v>2497</v>
      </c>
      <c r="AD3515" s="249" t="str">
        <f>HYPERLINK("https://scontent.cdninstagram.com/t51.2885-15/e35/p320x320/21107906_189990491542468_3792227595748114432_n.jpg")</f>
        <v>https://scontent.cdninstagram.com/t51.2885-15/e35/p320x320/21107906_189990491542468_3792227595748114432_n.jpg</v>
      </c>
      <c r="AE3515" s="249" t="str">
        <f>HYPERLINK("https://scontent.cdninstagram.com/t51.2885-19/s150x150/18382088_856091241224587_2254504964476895232_a.jpg")</f>
        <v>https://scontent.cdninstagram.com/t51.2885-19/s150x150/18382088_856091241224587_2254504964476895232_a.jpg</v>
      </c>
    </row>
    <row r="3516" spans="1:31" ht="15" x14ac:dyDescent="0.25">
      <c r="A3516" t="s">
        <v>2474</v>
      </c>
      <c r="B3516" t="s">
        <v>13053</v>
      </c>
      <c r="C3516" s="221">
        <v>42976.623310185183</v>
      </c>
      <c r="D3516" t="s">
        <v>20064</v>
      </c>
      <c r="E3516" s="249" t="str">
        <f>HYPERLINK("https://www.instagram.com/p/BYY3oPTBSqr/")</f>
        <v>https://www.instagram.com/p/BYY3oPTBSqr/</v>
      </c>
      <c r="F3516" t="s">
        <v>20065</v>
      </c>
      <c r="G3516" t="s">
        <v>2478</v>
      </c>
      <c r="H3516">
        <v>578</v>
      </c>
      <c r="I3516" t="s">
        <v>2479</v>
      </c>
      <c r="J3516">
        <v>1</v>
      </c>
      <c r="K3516">
        <v>13</v>
      </c>
      <c r="L3516">
        <v>14</v>
      </c>
      <c r="Q3516">
        <v>0</v>
      </c>
      <c r="R3516">
        <v>0</v>
      </c>
      <c r="S3516">
        <v>14</v>
      </c>
      <c r="Y3516" t="s">
        <v>6393</v>
      </c>
      <c r="Z3516" t="s">
        <v>4582</v>
      </c>
      <c r="AA3516" t="s">
        <v>17485</v>
      </c>
      <c r="AB3516" t="s">
        <v>5285</v>
      </c>
      <c r="AC3516" t="s">
        <v>2497</v>
      </c>
      <c r="AD3516" s="249" t="str">
        <f>HYPERLINK("https://scontent.cdninstagram.com/t51.2885-15/s320x320/e35/21107517_1723407827677942_3904124881221976064_n.jpg")</f>
        <v>https://scontent.cdninstagram.com/t51.2885-15/s320x320/e35/21107517_1723407827677942_3904124881221976064_n.jpg</v>
      </c>
      <c r="AE3516" s="249" t="str">
        <f>HYPERLINK("https://scontent.cdninstagram.com/t51.2885-19/s150x150/18512791_101765410410438_1751000416448937984_a.jpg")</f>
        <v>https://scontent.cdninstagram.com/t51.2885-19/s150x150/18512791_101765410410438_1751000416448937984_a.jpg</v>
      </c>
    </row>
    <row r="3517" spans="1:31" ht="15" x14ac:dyDescent="0.25">
      <c r="A3517" t="s">
        <v>2474</v>
      </c>
      <c r="B3517" t="s">
        <v>6479</v>
      </c>
      <c r="C3517" s="221">
        <v>42976.623877314814</v>
      </c>
      <c r="D3517" t="s">
        <v>20066</v>
      </c>
      <c r="E3517" s="249" t="str">
        <f>HYPERLINK("https://www.instagram.com/p/BYY3uJ_l3pI/")</f>
        <v>https://www.instagram.com/p/BYY3uJ_l3pI/</v>
      </c>
      <c r="F3517" t="s">
        <v>20067</v>
      </c>
      <c r="G3517" t="s">
        <v>2478</v>
      </c>
      <c r="H3517">
        <v>76538</v>
      </c>
      <c r="I3517" t="s">
        <v>2479</v>
      </c>
      <c r="J3517">
        <v>17</v>
      </c>
      <c r="K3517">
        <v>2281</v>
      </c>
      <c r="L3517">
        <v>2298</v>
      </c>
      <c r="Q3517">
        <v>0</v>
      </c>
      <c r="R3517">
        <v>0</v>
      </c>
      <c r="S3517">
        <v>2298</v>
      </c>
      <c r="AD3517" s="249" t="str">
        <f>HYPERLINK("https://scontent.cdninstagram.com/t51.2885-15/s320x320/e35/21107902_1916560831915390_5705323604116242432_n.jpg")</f>
        <v>https://scontent.cdninstagram.com/t51.2885-15/s320x320/e35/21107902_1916560831915390_5705323604116242432_n.jpg</v>
      </c>
      <c r="AE3517" s="249" t="str">
        <f>HYPERLINK("https://scontent.cdninstagram.com/t51.2885-19/s150x150/17439144_1895752470643302_743998926780104704_n.jpg")</f>
        <v>https://scontent.cdninstagram.com/t51.2885-19/s150x150/17439144_1895752470643302_743998926780104704_n.jpg</v>
      </c>
    </row>
    <row r="3518" spans="1:31" ht="15" x14ac:dyDescent="0.25">
      <c r="A3518" t="s">
        <v>2474</v>
      </c>
      <c r="B3518" t="s">
        <v>20068</v>
      </c>
      <c r="C3518" s="221">
        <v>42976.630868055552</v>
      </c>
      <c r="D3518" t="s">
        <v>20069</v>
      </c>
      <c r="E3518" s="249" t="str">
        <f>HYPERLINK("https://www.instagram.com/p/BYY435BHJFp/")</f>
        <v>https://www.instagram.com/p/BYY435BHJFp/</v>
      </c>
      <c r="F3518" t="s">
        <v>20070</v>
      </c>
      <c r="G3518" t="s">
        <v>2478</v>
      </c>
      <c r="H3518">
        <v>5869</v>
      </c>
      <c r="I3518" t="s">
        <v>2479</v>
      </c>
      <c r="J3518">
        <v>24</v>
      </c>
      <c r="K3518">
        <v>163</v>
      </c>
      <c r="L3518">
        <v>187</v>
      </c>
      <c r="Q3518">
        <v>0</v>
      </c>
      <c r="R3518">
        <v>0</v>
      </c>
      <c r="S3518">
        <v>187</v>
      </c>
      <c r="Y3518" t="s">
        <v>20071</v>
      </c>
      <c r="Z3518" t="s">
        <v>20072</v>
      </c>
      <c r="AA3518" t="s">
        <v>20073</v>
      </c>
      <c r="AB3518" t="s">
        <v>6043</v>
      </c>
      <c r="AC3518" t="s">
        <v>20074</v>
      </c>
      <c r="AD3518" s="249" t="str">
        <f>HYPERLINK("https://scontent.cdninstagram.com/t51.2885-15/s320x320/e35/21226922_169053563668025_5783288642201976832_n.jpg")</f>
        <v>https://scontent.cdninstagram.com/t51.2885-15/s320x320/e35/21226922_169053563668025_5783288642201976832_n.jpg</v>
      </c>
      <c r="AE3518" s="249" t="str">
        <f>HYPERLINK("https://scontent.cdninstagram.com/t51.2885-19/s150x150/21295028_1319823414806282_4411866427372339200_n.jpg")</f>
        <v>https://scontent.cdninstagram.com/t51.2885-19/s150x150/21295028_1319823414806282_4411866427372339200_n.jpg</v>
      </c>
    </row>
    <row r="3519" spans="1:31" ht="15" x14ac:dyDescent="0.25">
      <c r="A3519" t="s">
        <v>2474</v>
      </c>
      <c r="B3519" t="s">
        <v>20075</v>
      </c>
      <c r="C3519" s="221">
        <v>42976.632152777776</v>
      </c>
      <c r="D3519" t="s">
        <v>20076</v>
      </c>
      <c r="E3519" s="249" t="str">
        <f>HYPERLINK("https://www.instagram.com/p/BYY5FhWh2NH/")</f>
        <v>https://www.instagram.com/p/BYY5FhWh2NH/</v>
      </c>
      <c r="F3519" t="s">
        <v>20077</v>
      </c>
      <c r="G3519" t="s">
        <v>2478</v>
      </c>
      <c r="H3519">
        <v>499</v>
      </c>
      <c r="I3519" t="s">
        <v>2479</v>
      </c>
      <c r="J3519">
        <v>0</v>
      </c>
      <c r="K3519">
        <v>32</v>
      </c>
      <c r="L3519">
        <v>32</v>
      </c>
      <c r="Q3519">
        <v>0</v>
      </c>
      <c r="R3519">
        <v>0</v>
      </c>
      <c r="S3519">
        <v>32</v>
      </c>
      <c r="Y3519" t="s">
        <v>20078</v>
      </c>
      <c r="Z3519" t="s">
        <v>3110</v>
      </c>
      <c r="AA3519" t="s">
        <v>2513</v>
      </c>
      <c r="AB3519" t="s">
        <v>3717</v>
      </c>
      <c r="AC3519" t="s">
        <v>3982</v>
      </c>
      <c r="AD3519" s="249" t="str">
        <f>HYPERLINK("https://scontent.cdninstagram.com/t51.2885-15/s320x320/e35/21107517_291669471309534_2820365213507780608_n.jpg")</f>
        <v>https://scontent.cdninstagram.com/t51.2885-15/s320x320/e35/21107517_291669471309534_2820365213507780608_n.jpg</v>
      </c>
      <c r="AE3519" s="249" t="str">
        <f>HYPERLINK("https://scontent.cdninstagram.com/t51.2885-19/s150x150/18013913_650476008496670_7930023088991764480_n.jpg")</f>
        <v>https://scontent.cdninstagram.com/t51.2885-19/s150x150/18013913_650476008496670_7930023088991764480_n.jpg</v>
      </c>
    </row>
    <row r="3520" spans="1:31" ht="15" x14ac:dyDescent="0.25">
      <c r="A3520" t="s">
        <v>2474</v>
      </c>
      <c r="B3520" t="s">
        <v>7987</v>
      </c>
      <c r="C3520" s="221">
        <v>42976.632465277777</v>
      </c>
      <c r="D3520" t="s">
        <v>20079</v>
      </c>
      <c r="E3520" s="249" t="str">
        <f>HYPERLINK("https://www.instagram.com/p/BYY5IxdhCqV/")</f>
        <v>https://www.instagram.com/p/BYY5IxdhCqV/</v>
      </c>
      <c r="F3520" t="s">
        <v>20080</v>
      </c>
      <c r="G3520" t="s">
        <v>2478</v>
      </c>
      <c r="H3520">
        <v>464</v>
      </c>
      <c r="I3520" t="s">
        <v>2479</v>
      </c>
      <c r="J3520">
        <v>4</v>
      </c>
      <c r="K3520">
        <v>63</v>
      </c>
      <c r="L3520">
        <v>67</v>
      </c>
      <c r="Q3520">
        <v>0</v>
      </c>
      <c r="R3520">
        <v>0</v>
      </c>
      <c r="S3520">
        <v>67</v>
      </c>
      <c r="T3520" t="s">
        <v>20081</v>
      </c>
      <c r="V3520" t="s">
        <v>2161</v>
      </c>
      <c r="W3520">
        <v>53.994444444443999</v>
      </c>
      <c r="X3520">
        <v>10.782500000000001</v>
      </c>
      <c r="Y3520" t="s">
        <v>20082</v>
      </c>
      <c r="Z3520" t="s">
        <v>14295</v>
      </c>
      <c r="AA3520" t="s">
        <v>2730</v>
      </c>
      <c r="AB3520" t="s">
        <v>2513</v>
      </c>
      <c r="AC3520" t="s">
        <v>13887</v>
      </c>
      <c r="AD3520" s="249" t="str">
        <f>HYPERLINK("https://scontent.cdninstagram.com/t51.2885-15/s320x320/e35/21147331_1603762779698560_224250705064493056_n.jpg")</f>
        <v>https://scontent.cdninstagram.com/t51.2885-15/s320x320/e35/21147331_1603762779698560_224250705064493056_n.jpg</v>
      </c>
      <c r="AE3520" s="249" t="str">
        <f>HYPERLINK("https://scontent.cdninstagram.com/t51.2885-19/s150x150/18513681_139423189934717_6442695353408946176_a.jpg")</f>
        <v>https://scontent.cdninstagram.com/t51.2885-19/s150x150/18513681_139423189934717_6442695353408946176_a.jpg</v>
      </c>
    </row>
    <row r="3521" spans="1:31" ht="15" x14ac:dyDescent="0.25">
      <c r="A3521" t="s">
        <v>2474</v>
      </c>
      <c r="B3521" t="s">
        <v>20083</v>
      </c>
      <c r="C3521" s="221">
        <v>42976.633472222224</v>
      </c>
      <c r="D3521" t="s">
        <v>20084</v>
      </c>
      <c r="E3521" s="249" t="str">
        <f>HYPERLINK("https://www.instagram.com/p/BYY5TYODLBP/")</f>
        <v>https://www.instagram.com/p/BYY5TYODLBP/</v>
      </c>
      <c r="F3521" t="s">
        <v>20085</v>
      </c>
      <c r="G3521" t="s">
        <v>2478</v>
      </c>
      <c r="H3521">
        <v>88</v>
      </c>
      <c r="I3521" t="s">
        <v>2599</v>
      </c>
      <c r="J3521">
        <v>1</v>
      </c>
      <c r="K3521">
        <v>9</v>
      </c>
      <c r="L3521">
        <v>10</v>
      </c>
      <c r="Q3521">
        <v>0</v>
      </c>
      <c r="R3521">
        <v>0</v>
      </c>
      <c r="S3521">
        <v>10</v>
      </c>
      <c r="Y3521" t="s">
        <v>11466</v>
      </c>
      <c r="Z3521" t="s">
        <v>2497</v>
      </c>
      <c r="AD3521" s="249" t="str">
        <f>HYPERLINK("https://scontent.cdninstagram.com/t51.2885-15/s320x320/e35/21227290_1682578861815727_3637933940771127296_n.jpg")</f>
        <v>https://scontent.cdninstagram.com/t51.2885-15/s320x320/e35/21227290_1682578861815727_3637933940771127296_n.jpg</v>
      </c>
      <c r="AE3521" s="249" t="str">
        <f>HYPERLINK("https://scontent.cdninstagram.com/t51.2885-19/s150x150/20968543_1776082669088533_4963433192745861120_a.jpg")</f>
        <v>https://scontent.cdninstagram.com/t51.2885-19/s150x150/20968543_1776082669088533_4963433192745861120_a.jpg</v>
      </c>
    </row>
    <row r="3522" spans="1:31" ht="15" x14ac:dyDescent="0.25">
      <c r="A3522" t="s">
        <v>2474</v>
      </c>
      <c r="B3522" t="s">
        <v>20086</v>
      </c>
      <c r="C3522" s="221">
        <v>42976.636307870373</v>
      </c>
      <c r="D3522" t="s">
        <v>20087</v>
      </c>
      <c r="E3522" s="249" t="str">
        <f>HYPERLINK("https://www.instagram.com/p/BYY5xSADPkC/")</f>
        <v>https://www.instagram.com/p/BYY5xSADPkC/</v>
      </c>
      <c r="F3522" t="s">
        <v>20088</v>
      </c>
      <c r="G3522" t="s">
        <v>2478</v>
      </c>
      <c r="H3522">
        <v>173</v>
      </c>
      <c r="I3522" t="s">
        <v>2479</v>
      </c>
      <c r="J3522">
        <v>1</v>
      </c>
      <c r="K3522">
        <v>34</v>
      </c>
      <c r="L3522">
        <v>35</v>
      </c>
      <c r="Q3522">
        <v>0</v>
      </c>
      <c r="R3522">
        <v>0</v>
      </c>
      <c r="S3522">
        <v>35</v>
      </c>
      <c r="Y3522" t="s">
        <v>3512</v>
      </c>
      <c r="Z3522" t="s">
        <v>2492</v>
      </c>
      <c r="AA3522" t="s">
        <v>2513</v>
      </c>
      <c r="AB3522" t="s">
        <v>2497</v>
      </c>
      <c r="AC3522" t="s">
        <v>4121</v>
      </c>
      <c r="AD3522" s="249" t="str">
        <f>HYPERLINK("https://scontent.cdninstagram.com/t51.2885-15/s320x320/e35/21147345_169565170277234_829302023865237504_n.jpg")</f>
        <v>https://scontent.cdninstagram.com/t51.2885-15/s320x320/e35/21147345_169565170277234_829302023865237504_n.jpg</v>
      </c>
      <c r="AE3522" s="249" t="str">
        <f>HYPERLINK("https://scontent.cdninstagram.com/t51.2885-19/s150x150/20225959_113437209307942_1441028941614678016_a.jpg")</f>
        <v>https://scontent.cdninstagram.com/t51.2885-19/s150x150/20225959_113437209307942_1441028941614678016_a.jpg</v>
      </c>
    </row>
    <row r="3523" spans="1:31" ht="15" x14ac:dyDescent="0.25">
      <c r="A3523" t="s">
        <v>2474</v>
      </c>
      <c r="B3523" t="s">
        <v>20089</v>
      </c>
      <c r="C3523" s="221">
        <v>42976.642523148148</v>
      </c>
      <c r="D3523" t="s">
        <v>20090</v>
      </c>
      <c r="E3523" s="249" t="str">
        <f>HYPERLINK("https://www.instagram.com/p/BYY6y4Vl46T/")</f>
        <v>https://www.instagram.com/p/BYY6y4Vl46T/</v>
      </c>
      <c r="F3523" t="s">
        <v>20091</v>
      </c>
      <c r="G3523" t="s">
        <v>2478</v>
      </c>
      <c r="H3523">
        <v>393</v>
      </c>
      <c r="I3523" t="s">
        <v>2479</v>
      </c>
      <c r="J3523">
        <v>0</v>
      </c>
      <c r="K3523">
        <v>32</v>
      </c>
      <c r="L3523">
        <v>32</v>
      </c>
      <c r="Q3523">
        <v>0</v>
      </c>
      <c r="R3523">
        <v>0</v>
      </c>
      <c r="S3523">
        <v>32</v>
      </c>
      <c r="Y3523" t="s">
        <v>20092</v>
      </c>
      <c r="Z3523" t="s">
        <v>20093</v>
      </c>
      <c r="AA3523" t="s">
        <v>7692</v>
      </c>
      <c r="AB3523" t="s">
        <v>4995</v>
      </c>
      <c r="AC3523" t="s">
        <v>2497</v>
      </c>
      <c r="AD3523" s="249" t="str">
        <f>HYPERLINK("https://scontent.cdninstagram.com/t51.2885-15/s320x320/e35/21147482_1486037004768385_343893886747279360_n.jpg")</f>
        <v>https://scontent.cdninstagram.com/t51.2885-15/s320x320/e35/21147482_1486037004768385_343893886747279360_n.jpg</v>
      </c>
      <c r="AE3523" s="249" t="str">
        <f>HYPERLINK("https://scontent.cdninstagram.com/t51.2885-19/s150x150/20582623_1927563310852590_1108215224382521344_a.jpg")</f>
        <v>https://scontent.cdninstagram.com/t51.2885-19/s150x150/20582623_1927563310852590_1108215224382521344_a.jpg</v>
      </c>
    </row>
    <row r="3524" spans="1:31" ht="15" x14ac:dyDescent="0.25">
      <c r="A3524" t="s">
        <v>2474</v>
      </c>
      <c r="B3524" t="s">
        <v>11978</v>
      </c>
      <c r="C3524" s="221">
        <v>42976.643321759257</v>
      </c>
      <c r="D3524" t="s">
        <v>20094</v>
      </c>
      <c r="E3524" s="249" t="str">
        <f>HYPERLINK("https://www.instagram.com/p/BYY67V9nJ6w/")</f>
        <v>https://www.instagram.com/p/BYY67V9nJ6w/</v>
      </c>
      <c r="F3524" t="s">
        <v>20095</v>
      </c>
      <c r="G3524" t="s">
        <v>2478</v>
      </c>
      <c r="H3524">
        <v>151267</v>
      </c>
      <c r="I3524" t="s">
        <v>2479</v>
      </c>
      <c r="J3524">
        <v>31</v>
      </c>
      <c r="K3524">
        <v>2165</v>
      </c>
      <c r="L3524">
        <v>2196</v>
      </c>
      <c r="Q3524">
        <v>0</v>
      </c>
      <c r="R3524">
        <v>0</v>
      </c>
      <c r="S3524">
        <v>2196</v>
      </c>
      <c r="Y3524" t="s">
        <v>11978</v>
      </c>
      <c r="AD3524" s="249" t="str">
        <f>HYPERLINK("https://scontent.cdninstagram.com/t51.2885-15/e35/p320x320/21149618_403216343461523_1400075277396082688_n.jpg")</f>
        <v>https://scontent.cdninstagram.com/t51.2885-15/e35/p320x320/21149618_403216343461523_1400075277396082688_n.jpg</v>
      </c>
      <c r="AE3524" s="249" t="str">
        <f>HYPERLINK("https://scontent.cdninstagram.com/t51.2885-19/s150x150/20766920_169834930230526_973590951958151168_a.jpg")</f>
        <v>https://scontent.cdninstagram.com/t51.2885-19/s150x150/20766920_169834930230526_973590951958151168_a.jpg</v>
      </c>
    </row>
    <row r="3525" spans="1:31" ht="15" x14ac:dyDescent="0.25">
      <c r="A3525" t="s">
        <v>2474</v>
      </c>
      <c r="B3525" t="s">
        <v>13059</v>
      </c>
      <c r="C3525" s="221">
        <v>42976.648368055554</v>
      </c>
      <c r="D3525" t="s">
        <v>20096</v>
      </c>
      <c r="E3525" s="249" t="str">
        <f>HYPERLINK("https://www.instagram.com/p/BYY7wfJhra3/")</f>
        <v>https://www.instagram.com/p/BYY7wfJhra3/</v>
      </c>
      <c r="F3525" t="s">
        <v>20097</v>
      </c>
      <c r="G3525" t="s">
        <v>2478</v>
      </c>
      <c r="H3525">
        <v>201</v>
      </c>
      <c r="I3525" t="s">
        <v>2542</v>
      </c>
      <c r="J3525">
        <v>0</v>
      </c>
      <c r="K3525">
        <v>14</v>
      </c>
      <c r="L3525">
        <v>14</v>
      </c>
      <c r="Q3525">
        <v>0</v>
      </c>
      <c r="R3525">
        <v>0</v>
      </c>
      <c r="S3525">
        <v>14</v>
      </c>
      <c r="Y3525" t="s">
        <v>9804</v>
      </c>
      <c r="Z3525" t="s">
        <v>2730</v>
      </c>
      <c r="AA3525" t="s">
        <v>17487</v>
      </c>
      <c r="AB3525" t="s">
        <v>4240</v>
      </c>
      <c r="AC3525" t="s">
        <v>5118</v>
      </c>
      <c r="AD3525" s="249" t="str">
        <f>HYPERLINK("https://scontent.cdninstagram.com/t51.2885-15/e35/p320x320/21147472_379658755784053_138991408055844864_n.jpg")</f>
        <v>https://scontent.cdninstagram.com/t51.2885-15/e35/p320x320/21147472_379658755784053_138991408055844864_n.jpg</v>
      </c>
      <c r="AE3525" s="249" t="str">
        <f>HYPERLINK("https://scontent.cdninstagram.com/t51.2885-19/926474_1618389535052165_1262024776_a.jpg")</f>
        <v>https://scontent.cdninstagram.com/t51.2885-19/926474_1618389535052165_1262024776_a.jpg</v>
      </c>
    </row>
    <row r="3526" spans="1:31" ht="15" x14ac:dyDescent="0.25">
      <c r="A3526" t="s">
        <v>2474</v>
      </c>
      <c r="B3526" t="s">
        <v>20098</v>
      </c>
      <c r="C3526" s="221">
        <v>42976.651192129626</v>
      </c>
      <c r="D3526" t="s">
        <v>20099</v>
      </c>
      <c r="E3526" s="249" t="str">
        <f>HYPERLINK("https://www.instagram.com/p/BYY8OVzn9un/")</f>
        <v>https://www.instagram.com/p/BYY8OVzn9un/</v>
      </c>
      <c r="F3526" t="s">
        <v>20100</v>
      </c>
      <c r="G3526" t="s">
        <v>2478</v>
      </c>
      <c r="H3526">
        <v>379</v>
      </c>
      <c r="I3526" t="s">
        <v>2479</v>
      </c>
      <c r="J3526">
        <v>0</v>
      </c>
      <c r="K3526">
        <v>18</v>
      </c>
      <c r="L3526">
        <v>18</v>
      </c>
      <c r="Q3526">
        <v>0</v>
      </c>
      <c r="R3526">
        <v>0</v>
      </c>
      <c r="S3526">
        <v>18</v>
      </c>
      <c r="Y3526" t="s">
        <v>2497</v>
      </c>
      <c r="Z3526" t="s">
        <v>18608</v>
      </c>
      <c r="AA3526" t="s">
        <v>4253</v>
      </c>
      <c r="AB3526" t="s">
        <v>5168</v>
      </c>
      <c r="AC3526" t="s">
        <v>20101</v>
      </c>
      <c r="AD3526" s="249" t="str">
        <f>HYPERLINK("https://scontent.cdninstagram.com/t51.2885-15/s320x320/e35/21148117_1948871508690654_1251350365345939456_n.jpg")</f>
        <v>https://scontent.cdninstagram.com/t51.2885-15/s320x320/e35/21148117_1948871508690654_1251350365345939456_n.jpg</v>
      </c>
      <c r="AE3526" s="249" t="str">
        <f>HYPERLINK("https://scontent.cdninstagram.com/t51.2885-19/s150x150/20589687_111773096131358_8680045419641700352_a.jpg")</f>
        <v>https://scontent.cdninstagram.com/t51.2885-19/s150x150/20589687_111773096131358_8680045419641700352_a.jpg</v>
      </c>
    </row>
    <row r="3527" spans="1:31" ht="15" x14ac:dyDescent="0.25">
      <c r="A3527" t="s">
        <v>2474</v>
      </c>
      <c r="B3527" t="s">
        <v>20102</v>
      </c>
      <c r="C3527" s="221">
        <v>42976.652222222219</v>
      </c>
      <c r="D3527" t="s">
        <v>20103</v>
      </c>
      <c r="E3527" s="249" t="str">
        <f>HYPERLINK("https://www.instagram.com/p/BYY8ZI2Axsc/")</f>
        <v>https://www.instagram.com/p/BYY8ZI2Axsc/</v>
      </c>
      <c r="F3527" t="s">
        <v>20104</v>
      </c>
      <c r="G3527" t="s">
        <v>2478</v>
      </c>
      <c r="H3527">
        <v>1277</v>
      </c>
      <c r="I3527" t="s">
        <v>2479</v>
      </c>
      <c r="J3527">
        <v>0</v>
      </c>
      <c r="K3527">
        <v>32</v>
      </c>
      <c r="L3527">
        <v>32</v>
      </c>
      <c r="Q3527">
        <v>0</v>
      </c>
      <c r="R3527">
        <v>0</v>
      </c>
      <c r="S3527">
        <v>32</v>
      </c>
      <c r="Y3527" t="s">
        <v>16881</v>
      </c>
      <c r="Z3527" t="s">
        <v>20105</v>
      </c>
      <c r="AA3527" t="s">
        <v>2497</v>
      </c>
      <c r="AB3527" t="s">
        <v>5449</v>
      </c>
      <c r="AC3527" t="s">
        <v>20106</v>
      </c>
      <c r="AD3527" s="249" t="str">
        <f>HYPERLINK("https://scontent.cdninstagram.com/t51.2885-15/s320x320/e35/21149129_503321636683352_3825487547610431488_n.jpg")</f>
        <v>https://scontent.cdninstagram.com/t51.2885-15/s320x320/e35/21149129_503321636683352_3825487547610431488_n.jpg</v>
      </c>
      <c r="AE3527" s="249" t="str">
        <f>HYPERLINK("https://scontent.cdninstagram.com/t51.2885-19/s150x150/20398337_1976063852628607_2522076135617986560_a.jpg")</f>
        <v>https://scontent.cdninstagram.com/t51.2885-19/s150x150/20398337_1976063852628607_2522076135617986560_a.jpg</v>
      </c>
    </row>
    <row r="3528" spans="1:31" ht="15" x14ac:dyDescent="0.25">
      <c r="A3528" t="s">
        <v>2474</v>
      </c>
      <c r="B3528" t="s">
        <v>13059</v>
      </c>
      <c r="C3528" s="221">
        <v>42976.652696759258</v>
      </c>
      <c r="D3528" t="s">
        <v>20107</v>
      </c>
      <c r="E3528" s="249" t="str">
        <f>HYPERLINK("https://www.instagram.com/p/BYY8eM4hCcD/")</f>
        <v>https://www.instagram.com/p/BYY8eM4hCcD/</v>
      </c>
      <c r="F3528" t="s">
        <v>20108</v>
      </c>
      <c r="G3528" t="s">
        <v>2478</v>
      </c>
      <c r="H3528">
        <v>201</v>
      </c>
      <c r="I3528" t="s">
        <v>2510</v>
      </c>
      <c r="J3528">
        <v>12</v>
      </c>
      <c r="K3528">
        <v>32</v>
      </c>
      <c r="L3528">
        <v>44</v>
      </c>
      <c r="Q3528">
        <v>0</v>
      </c>
      <c r="R3528">
        <v>0</v>
      </c>
      <c r="S3528">
        <v>44</v>
      </c>
      <c r="Y3528" t="s">
        <v>2497</v>
      </c>
      <c r="Z3528" t="s">
        <v>5162</v>
      </c>
      <c r="AA3528" t="s">
        <v>20109</v>
      </c>
      <c r="AB3528" t="s">
        <v>2730</v>
      </c>
      <c r="AC3528" t="s">
        <v>6678</v>
      </c>
      <c r="AD3528" s="249" t="str">
        <f>HYPERLINK("https://scontent.cdninstagram.com/t51.2885-15/e35/p320x320/21107665_1915521302038887_6178572654459486208_n.jpg")</f>
        <v>https://scontent.cdninstagram.com/t51.2885-15/e35/p320x320/21107665_1915521302038887_6178572654459486208_n.jpg</v>
      </c>
      <c r="AE3528" s="249" t="str">
        <f>HYPERLINK("https://scontent.cdninstagram.com/t51.2885-19/926474_1618389535052165_1262024776_a.jpg")</f>
        <v>https://scontent.cdninstagram.com/t51.2885-19/926474_1618389535052165_1262024776_a.jpg</v>
      </c>
    </row>
    <row r="3529" spans="1:31" ht="15" x14ac:dyDescent="0.25">
      <c r="A3529" t="s">
        <v>2474</v>
      </c>
      <c r="B3529" t="s">
        <v>7540</v>
      </c>
      <c r="C3529" s="221">
        <v>42976.660277777781</v>
      </c>
      <c r="D3529" t="s">
        <v>20110</v>
      </c>
      <c r="E3529" s="249" t="str">
        <f>HYPERLINK("https://www.instagram.com/p/BYY9uKcgO0k/")</f>
        <v>https://www.instagram.com/p/BYY9uKcgO0k/</v>
      </c>
      <c r="F3529" t="s">
        <v>20111</v>
      </c>
      <c r="G3529" t="s">
        <v>2478</v>
      </c>
      <c r="H3529">
        <v>923</v>
      </c>
      <c r="I3529" t="s">
        <v>2479</v>
      </c>
      <c r="J3529">
        <v>0</v>
      </c>
      <c r="K3529">
        <v>27</v>
      </c>
      <c r="L3529">
        <v>27</v>
      </c>
      <c r="Q3529">
        <v>0</v>
      </c>
      <c r="R3529">
        <v>0</v>
      </c>
      <c r="S3529">
        <v>27</v>
      </c>
      <c r="Y3529" t="s">
        <v>5644</v>
      </c>
      <c r="Z3529" t="s">
        <v>2497</v>
      </c>
      <c r="AA3529" t="s">
        <v>20112</v>
      </c>
      <c r="AB3529" t="s">
        <v>4584</v>
      </c>
      <c r="AC3529" t="s">
        <v>2826</v>
      </c>
      <c r="AD3529" s="249" t="str">
        <f>HYPERLINK("https://scontent.cdninstagram.com/t51.2885-15/e35/p320x320/21147866_1501885216545126_2257147215472492544_n.jpg")</f>
        <v>https://scontent.cdninstagram.com/t51.2885-15/e35/p320x320/21147866_1501885216545126_2257147215472492544_n.jpg</v>
      </c>
      <c r="AE3529" s="249" t="str">
        <f>HYPERLINK("https://scontent.cdninstagram.com/t51.2885-19/10601767_517697101694681_1044067692_a.jpg")</f>
        <v>https://scontent.cdninstagram.com/t51.2885-19/10601767_517697101694681_1044067692_a.jpg</v>
      </c>
    </row>
    <row r="3530" spans="1:31" ht="15" x14ac:dyDescent="0.25">
      <c r="A3530" t="s">
        <v>2474</v>
      </c>
      <c r="B3530" t="s">
        <v>3754</v>
      </c>
      <c r="C3530" s="221">
        <v>42976.6643287037</v>
      </c>
      <c r="D3530" t="s">
        <v>20113</v>
      </c>
      <c r="E3530" s="249" t="str">
        <f>HYPERLINK("https://www.instagram.com/p/BYY-Y3vDvqQ/")</f>
        <v>https://www.instagram.com/p/BYY-Y3vDvqQ/</v>
      </c>
      <c r="F3530" t="s">
        <v>20114</v>
      </c>
      <c r="G3530" t="s">
        <v>2478</v>
      </c>
      <c r="H3530">
        <v>201319</v>
      </c>
      <c r="I3530" t="s">
        <v>2479</v>
      </c>
      <c r="J3530">
        <v>4</v>
      </c>
      <c r="K3530">
        <v>196</v>
      </c>
      <c r="L3530">
        <v>200</v>
      </c>
      <c r="Q3530">
        <v>0</v>
      </c>
      <c r="R3530">
        <v>0</v>
      </c>
      <c r="S3530">
        <v>200</v>
      </c>
      <c r="Y3530" t="s">
        <v>4564</v>
      </c>
      <c r="Z3530" t="s">
        <v>10199</v>
      </c>
      <c r="AA3530" t="s">
        <v>4801</v>
      </c>
      <c r="AB3530" t="s">
        <v>16557</v>
      </c>
      <c r="AC3530" t="s">
        <v>2497</v>
      </c>
      <c r="AD3530" s="249" t="str">
        <f>HYPERLINK("https://scontent.cdninstagram.com/t51.2885-15/e35/p320x320/21224235_339477089836149_3930636747972542464_n.jpg")</f>
        <v>https://scontent.cdninstagram.com/t51.2885-15/e35/p320x320/21224235_339477089836149_3930636747972542464_n.jpg</v>
      </c>
      <c r="AE3530" s="249" t="str">
        <f>HYPERLINK("https://scontent.cdninstagram.com/t51.2885-19/s150x150/12905002_1681254462136092_1137392787_a.jpg")</f>
        <v>https://scontent.cdninstagram.com/t51.2885-19/s150x150/12905002_1681254462136092_1137392787_a.jpg</v>
      </c>
    </row>
    <row r="3531" spans="1:31" ht="15" x14ac:dyDescent="0.25">
      <c r="A3531" t="s">
        <v>2474</v>
      </c>
      <c r="B3531" t="s">
        <v>18287</v>
      </c>
      <c r="C3531" s="221">
        <v>42976.666851851849</v>
      </c>
      <c r="D3531" t="s">
        <v>20115</v>
      </c>
      <c r="E3531" s="249" t="str">
        <f>HYPERLINK("https://www.instagram.com/p/BYY-zgQgr5G/")</f>
        <v>https://www.instagram.com/p/BYY-zgQgr5G/</v>
      </c>
      <c r="F3531" t="s">
        <v>20116</v>
      </c>
      <c r="G3531" t="s">
        <v>2631</v>
      </c>
      <c r="H3531">
        <v>1183</v>
      </c>
      <c r="I3531" t="s">
        <v>2927</v>
      </c>
      <c r="J3531">
        <v>6</v>
      </c>
      <c r="K3531">
        <v>122</v>
      </c>
      <c r="L3531">
        <v>128</v>
      </c>
      <c r="Q3531">
        <v>0</v>
      </c>
      <c r="R3531">
        <v>0</v>
      </c>
      <c r="S3531">
        <v>128</v>
      </c>
      <c r="Y3531" t="s">
        <v>20117</v>
      </c>
      <c r="Z3531" t="s">
        <v>20118</v>
      </c>
      <c r="AA3531" t="s">
        <v>3262</v>
      </c>
      <c r="AB3531" t="s">
        <v>20119</v>
      </c>
      <c r="AD3531" s="249" t="str">
        <f>HYPERLINK("https://scontent.cdninstagram.com/t51.2885-15/e15/p320x320/21107772_238101296713722_6544025851103543296_n.jpg")</f>
        <v>https://scontent.cdninstagram.com/t51.2885-15/e15/p320x320/21107772_238101296713722_6544025851103543296_n.jpg</v>
      </c>
      <c r="AE3531" s="249" t="str">
        <f>HYPERLINK("https://scontent.cdninstagram.com/t51.2885-19/s150x150/20759556_528553680816023_7391302287332737024_a.jpg")</f>
        <v>https://scontent.cdninstagram.com/t51.2885-19/s150x150/20759556_528553680816023_7391302287332737024_a.jpg</v>
      </c>
    </row>
    <row r="3532" spans="1:31" ht="15" x14ac:dyDescent="0.25">
      <c r="A3532" t="s">
        <v>2474</v>
      </c>
      <c r="B3532" t="s">
        <v>3754</v>
      </c>
      <c r="C3532" s="221">
        <v>42976.671643518515</v>
      </c>
      <c r="D3532" t="s">
        <v>20120</v>
      </c>
      <c r="E3532" s="249" t="str">
        <f>HYPERLINK("https://www.instagram.com/p/BYY_l8xDkX8/")</f>
        <v>https://www.instagram.com/p/BYY_l8xDkX8/</v>
      </c>
      <c r="F3532" t="s">
        <v>20121</v>
      </c>
      <c r="G3532" t="s">
        <v>2478</v>
      </c>
      <c r="H3532">
        <v>201321</v>
      </c>
      <c r="I3532" t="s">
        <v>2479</v>
      </c>
      <c r="J3532">
        <v>0</v>
      </c>
      <c r="K3532">
        <v>20</v>
      </c>
      <c r="L3532">
        <v>20</v>
      </c>
      <c r="Q3532">
        <v>0</v>
      </c>
      <c r="R3532">
        <v>0</v>
      </c>
      <c r="S3532">
        <v>20</v>
      </c>
      <c r="Y3532" t="s">
        <v>4564</v>
      </c>
      <c r="Z3532" t="s">
        <v>10199</v>
      </c>
      <c r="AA3532" t="s">
        <v>4801</v>
      </c>
      <c r="AB3532" t="s">
        <v>16557</v>
      </c>
      <c r="AC3532" t="s">
        <v>2497</v>
      </c>
      <c r="AD3532" s="249" t="str">
        <f>HYPERLINK("https://scontent.cdninstagram.com/t51.2885-15/s320x320/e35/21224493_333543527087061_645874471848116224_n.jpg")</f>
        <v>https://scontent.cdninstagram.com/t51.2885-15/s320x320/e35/21224493_333543527087061_645874471848116224_n.jpg</v>
      </c>
      <c r="AE3532" s="249" t="str">
        <f>HYPERLINK("https://scontent.cdninstagram.com/t51.2885-19/s150x150/12905002_1681254462136092_1137392787_a.jpg")</f>
        <v>https://scontent.cdninstagram.com/t51.2885-19/s150x150/12905002_1681254462136092_1137392787_a.jpg</v>
      </c>
    </row>
    <row r="3533" spans="1:31" ht="15" x14ac:dyDescent="0.25">
      <c r="A3533" t="s">
        <v>2474</v>
      </c>
      <c r="B3533" t="s">
        <v>19920</v>
      </c>
      <c r="C3533" s="221">
        <v>42976.672951388886</v>
      </c>
      <c r="D3533" t="s">
        <v>20122</v>
      </c>
      <c r="E3533" s="249" t="str">
        <f>HYPERLINK("https://www.instagram.com/p/BYY_zx7lA9c/")</f>
        <v>https://www.instagram.com/p/BYY_zx7lA9c/</v>
      </c>
      <c r="F3533" t="s">
        <v>20123</v>
      </c>
      <c r="G3533" t="s">
        <v>2478</v>
      </c>
      <c r="H3533">
        <v>44</v>
      </c>
      <c r="I3533" t="s">
        <v>2479</v>
      </c>
      <c r="J3533">
        <v>0</v>
      </c>
      <c r="K3533">
        <v>3</v>
      </c>
      <c r="L3533">
        <v>3</v>
      </c>
      <c r="Q3533">
        <v>0</v>
      </c>
      <c r="R3533">
        <v>0</v>
      </c>
      <c r="S3533">
        <v>3</v>
      </c>
      <c r="Y3533" t="s">
        <v>20124</v>
      </c>
      <c r="Z3533" t="s">
        <v>2497</v>
      </c>
      <c r="AA3533" t="s">
        <v>3769</v>
      </c>
      <c r="AB3533" t="s">
        <v>20125</v>
      </c>
      <c r="AC3533" t="s">
        <v>20126</v>
      </c>
      <c r="AD3533" s="249" t="str">
        <f>HYPERLINK("https://scontent.cdninstagram.com/t51.2885-15/s320x320/e35/21227719_346116615829393_7102972736091193344_n.jpg")</f>
        <v>https://scontent.cdninstagram.com/t51.2885-15/s320x320/e35/21227719_346116615829393_7102972736091193344_n.jpg</v>
      </c>
      <c r="AE3533" s="249" t="str">
        <f>HYPERLINK("https://scontent.cdninstagram.com/t51.2885-19/s150x150/21147769_112832832758983_2000361957047140352_a.jpg")</f>
        <v>https://scontent.cdninstagram.com/t51.2885-19/s150x150/21147769_112832832758983_2000361957047140352_a.jpg</v>
      </c>
    </row>
    <row r="3534" spans="1:31" ht="15" x14ac:dyDescent="0.25">
      <c r="A3534" t="s">
        <v>2474</v>
      </c>
      <c r="B3534" t="s">
        <v>20127</v>
      </c>
      <c r="C3534" s="221">
        <v>42976.673900462964</v>
      </c>
      <c r="D3534" t="s">
        <v>20128</v>
      </c>
      <c r="E3534" s="249" t="str">
        <f>HYPERLINK("https://www.instagram.com/p/BYY_918ntMF/")</f>
        <v>https://www.instagram.com/p/BYY_918ntMF/</v>
      </c>
      <c r="F3534" t="s">
        <v>20129</v>
      </c>
      <c r="G3534" t="s">
        <v>2478</v>
      </c>
      <c r="H3534">
        <v>162</v>
      </c>
      <c r="I3534" t="s">
        <v>2542</v>
      </c>
      <c r="J3534">
        <v>2</v>
      </c>
      <c r="K3534">
        <v>23</v>
      </c>
      <c r="L3534">
        <v>25</v>
      </c>
      <c r="Q3534">
        <v>0</v>
      </c>
      <c r="R3534">
        <v>0</v>
      </c>
      <c r="S3534">
        <v>25</v>
      </c>
      <c r="Y3534" t="s">
        <v>16881</v>
      </c>
      <c r="Z3534" t="s">
        <v>3655</v>
      </c>
      <c r="AA3534" t="s">
        <v>2497</v>
      </c>
      <c r="AB3534" t="s">
        <v>2554</v>
      </c>
      <c r="AC3534" t="s">
        <v>4779</v>
      </c>
      <c r="AD3534" s="249" t="str">
        <f>HYPERLINK("https://scontent.cdninstagram.com/t51.2885-15/s320x320/e35/21149260_1784298808264096_412883267818094592_n.jpg")</f>
        <v>https://scontent.cdninstagram.com/t51.2885-15/s320x320/e35/21149260_1784298808264096_412883267818094592_n.jpg</v>
      </c>
      <c r="AE3534" s="249" t="str">
        <f>HYPERLINK("https://scontent.cdninstagram.com/t51.2885-19/s150x150/21147449_114308365921678_6963061947335966720_a.jpg")</f>
        <v>https://scontent.cdninstagram.com/t51.2885-19/s150x150/21147449_114308365921678_6963061947335966720_a.jpg</v>
      </c>
    </row>
    <row r="3535" spans="1:31" ht="15" x14ac:dyDescent="0.25">
      <c r="A3535" t="s">
        <v>2474</v>
      </c>
      <c r="B3535" t="s">
        <v>3301</v>
      </c>
      <c r="C3535" s="221">
        <v>42976.67869212963</v>
      </c>
      <c r="D3535" t="s">
        <v>20130</v>
      </c>
      <c r="E3535" s="249" t="str">
        <f>HYPERLINK("https://www.instagram.com/p/BYZAwXfD3vX/")</f>
        <v>https://www.instagram.com/p/BYZAwXfD3vX/</v>
      </c>
      <c r="F3535" t="s">
        <v>20131</v>
      </c>
      <c r="G3535" t="s">
        <v>2478</v>
      </c>
      <c r="H3535">
        <v>606</v>
      </c>
      <c r="I3535" t="s">
        <v>2542</v>
      </c>
      <c r="J3535">
        <v>1</v>
      </c>
      <c r="K3535">
        <v>65</v>
      </c>
      <c r="L3535">
        <v>66</v>
      </c>
      <c r="Q3535">
        <v>0</v>
      </c>
      <c r="R3535">
        <v>0</v>
      </c>
      <c r="S3535">
        <v>66</v>
      </c>
      <c r="Y3535" t="s">
        <v>10878</v>
      </c>
      <c r="Z3535" t="s">
        <v>2497</v>
      </c>
      <c r="AA3535" t="s">
        <v>2513</v>
      </c>
      <c r="AB3535" t="s">
        <v>4159</v>
      </c>
      <c r="AC3535" t="s">
        <v>4158</v>
      </c>
      <c r="AD3535" s="249" t="str">
        <f>HYPERLINK("https://scontent.cdninstagram.com/t51.2885-15/s320x320/e35/21227371_399753013760171_6537740187940683776_n.jpg")</f>
        <v>https://scontent.cdninstagram.com/t51.2885-15/s320x320/e35/21227371_399753013760171_6537740187940683776_n.jpg</v>
      </c>
      <c r="AE3535" s="249" t="str">
        <f>HYPERLINK("https://scontent.cdninstagram.com/t51.2885-19/s150x150/19228478_370974479971900_5746578409966796800_a.jpg")</f>
        <v>https://scontent.cdninstagram.com/t51.2885-19/s150x150/19228478_370974479971900_5746578409966796800_a.jpg</v>
      </c>
    </row>
    <row r="3536" spans="1:31" ht="15" x14ac:dyDescent="0.25">
      <c r="A3536" t="s">
        <v>2474</v>
      </c>
      <c r="B3536" t="s">
        <v>20132</v>
      </c>
      <c r="C3536" s="221">
        <v>42976.690011574072</v>
      </c>
      <c r="D3536" t="s">
        <v>20133</v>
      </c>
      <c r="E3536" s="249" t="str">
        <f>HYPERLINK("https://www.instagram.com/p/BYZCnw1gNsI/")</f>
        <v>https://www.instagram.com/p/BYZCnw1gNsI/</v>
      </c>
      <c r="F3536" t="s">
        <v>20134</v>
      </c>
      <c r="G3536" t="s">
        <v>2478</v>
      </c>
      <c r="H3536">
        <v>108</v>
      </c>
      <c r="I3536" t="s">
        <v>3273</v>
      </c>
      <c r="J3536">
        <v>2</v>
      </c>
      <c r="K3536">
        <v>29</v>
      </c>
      <c r="L3536">
        <v>31</v>
      </c>
      <c r="Q3536">
        <v>0</v>
      </c>
      <c r="R3536">
        <v>0</v>
      </c>
      <c r="S3536">
        <v>31</v>
      </c>
      <c r="Y3536" t="s">
        <v>11544</v>
      </c>
      <c r="Z3536" t="s">
        <v>2497</v>
      </c>
      <c r="AA3536" t="s">
        <v>20135</v>
      </c>
      <c r="AB3536" t="s">
        <v>11006</v>
      </c>
      <c r="AC3536" t="s">
        <v>2813</v>
      </c>
      <c r="AD3536" s="249" t="str">
        <f>HYPERLINK("https://scontent.cdninstagram.com/t51.2885-15/s320x320/e35/21108064_1493451514075608_4429779919920168960_n.jpg")</f>
        <v>https://scontent.cdninstagram.com/t51.2885-15/s320x320/e35/21108064_1493451514075608_4429779919920168960_n.jpg</v>
      </c>
      <c r="AE3536" s="249" t="str">
        <f>HYPERLINK("https://scontent.cdninstagram.com/t51.2885-19/s150x150/21147833_287328181673038_6068739087886450688_a.jpg")</f>
        <v>https://scontent.cdninstagram.com/t51.2885-19/s150x150/21147833_287328181673038_6068739087886450688_a.jpg</v>
      </c>
    </row>
    <row r="3537" spans="1:31" ht="15" x14ac:dyDescent="0.25">
      <c r="A3537" t="s">
        <v>2474</v>
      </c>
      <c r="B3537" t="s">
        <v>17158</v>
      </c>
      <c r="C3537" s="221">
        <v>42976.721932870372</v>
      </c>
      <c r="D3537" t="s">
        <v>20136</v>
      </c>
      <c r="E3537" s="249" t="str">
        <f>HYPERLINK("https://www.instagram.com/p/BYZH4Y8nrBQ/")</f>
        <v>https://www.instagram.com/p/BYZH4Y8nrBQ/</v>
      </c>
      <c r="F3537" t="s">
        <v>20137</v>
      </c>
      <c r="G3537" t="s">
        <v>2631</v>
      </c>
      <c r="H3537">
        <v>379</v>
      </c>
      <c r="I3537" t="s">
        <v>2479</v>
      </c>
      <c r="J3537">
        <v>1</v>
      </c>
      <c r="K3537">
        <v>48</v>
      </c>
      <c r="L3537">
        <v>49</v>
      </c>
      <c r="Q3537">
        <v>0</v>
      </c>
      <c r="R3537">
        <v>0</v>
      </c>
      <c r="S3537">
        <v>49</v>
      </c>
      <c r="Y3537" t="s">
        <v>20138</v>
      </c>
      <c r="Z3537" t="s">
        <v>2497</v>
      </c>
      <c r="AA3537" t="s">
        <v>17559</v>
      </c>
      <c r="AB3537" t="s">
        <v>18624</v>
      </c>
      <c r="AC3537" t="s">
        <v>20139</v>
      </c>
      <c r="AD3537" s="249" t="str">
        <f>HYPERLINK("https://scontent.cdninstagram.com/t51.2885-15/s320x320/e15/21148094_1780474198922595_1877536071454031872_n.jpg")</f>
        <v>https://scontent.cdninstagram.com/t51.2885-15/s320x320/e15/21148094_1780474198922595_1877536071454031872_n.jpg</v>
      </c>
      <c r="AE3537" s="249" t="str">
        <f>HYPERLINK("https://scontent.cdninstagram.com/t51.2885-19/s150x150/13658639_315931348749567_46952542_a.jpg")</f>
        <v>https://scontent.cdninstagram.com/t51.2885-19/s150x150/13658639_315931348749567_46952542_a.jpg</v>
      </c>
    </row>
    <row r="3538" spans="1:31" ht="15" x14ac:dyDescent="0.25">
      <c r="A3538" t="s">
        <v>2474</v>
      </c>
      <c r="B3538" t="s">
        <v>15182</v>
      </c>
      <c r="C3538" s="221">
        <v>42976.730636574073</v>
      </c>
      <c r="D3538" t="s">
        <v>20140</v>
      </c>
      <c r="E3538" s="249" t="str">
        <f>HYPERLINK("https://www.instagram.com/p/BYZJUJlgKvm/")</f>
        <v>https://www.instagram.com/p/BYZJUJlgKvm/</v>
      </c>
      <c r="F3538" t="s">
        <v>20141</v>
      </c>
      <c r="G3538" t="s">
        <v>2478</v>
      </c>
      <c r="H3538">
        <v>740</v>
      </c>
      <c r="I3538" t="s">
        <v>2479</v>
      </c>
      <c r="J3538">
        <v>1</v>
      </c>
      <c r="K3538">
        <v>100</v>
      </c>
      <c r="L3538">
        <v>101</v>
      </c>
      <c r="Q3538">
        <v>0</v>
      </c>
      <c r="R3538">
        <v>0</v>
      </c>
      <c r="S3538">
        <v>101</v>
      </c>
      <c r="Y3538" t="s">
        <v>2497</v>
      </c>
      <c r="Z3538" t="s">
        <v>20142</v>
      </c>
      <c r="AA3538" t="s">
        <v>4761</v>
      </c>
      <c r="AB3538" t="s">
        <v>10644</v>
      </c>
      <c r="AC3538" t="s">
        <v>2730</v>
      </c>
      <c r="AD3538" s="249" t="str">
        <f>HYPERLINK("https://scontent.cdninstagram.com/t51.2885-15/s320x320/e15/21147687_480713945639470_8936028120478121984_n.jpg")</f>
        <v>https://scontent.cdninstagram.com/t51.2885-15/s320x320/e15/21147687_480713945639470_8936028120478121984_n.jpg</v>
      </c>
      <c r="AE3538" s="249" t="str">
        <f>HYPERLINK("https://scontent.cdninstagram.com/t51.2885-19/s150x150/18513619_1254348571345625_691913201251516416_a.jpg")</f>
        <v>https://scontent.cdninstagram.com/t51.2885-19/s150x150/18513619_1254348571345625_691913201251516416_a.jpg</v>
      </c>
    </row>
    <row r="3539" spans="1:31" ht="15" x14ac:dyDescent="0.25">
      <c r="A3539" t="s">
        <v>2474</v>
      </c>
      <c r="B3539" t="s">
        <v>20143</v>
      </c>
      <c r="C3539" s="221">
        <v>42976.7340625</v>
      </c>
      <c r="D3539" t="s">
        <v>20144</v>
      </c>
      <c r="E3539" s="249" t="str">
        <f>HYPERLINK("https://www.instagram.com/p/BYZJ4RdFV_a/")</f>
        <v>https://www.instagram.com/p/BYZJ4RdFV_a/</v>
      </c>
      <c r="F3539" t="s">
        <v>20145</v>
      </c>
      <c r="G3539" t="s">
        <v>2478</v>
      </c>
      <c r="H3539">
        <v>734</v>
      </c>
      <c r="I3539" t="s">
        <v>2479</v>
      </c>
      <c r="J3539">
        <v>0</v>
      </c>
      <c r="K3539">
        <v>41</v>
      </c>
      <c r="L3539">
        <v>41</v>
      </c>
      <c r="Q3539">
        <v>0</v>
      </c>
      <c r="R3539">
        <v>0</v>
      </c>
      <c r="S3539">
        <v>41</v>
      </c>
      <c r="Y3539" t="s">
        <v>20143</v>
      </c>
      <c r="Z3539" t="s">
        <v>2497</v>
      </c>
      <c r="AA3539" t="s">
        <v>2730</v>
      </c>
      <c r="AB3539" t="s">
        <v>20146</v>
      </c>
      <c r="AC3539" t="s">
        <v>2968</v>
      </c>
      <c r="AD3539" s="249" t="str">
        <f>HYPERLINK("https://scontent.cdninstagram.com/t51.2885-15/s320x320/e35/21147629_514485238899659_9141514912290308096_n.jpg")</f>
        <v>https://scontent.cdninstagram.com/t51.2885-15/s320x320/e35/21147629_514485238899659_9141514912290308096_n.jpg</v>
      </c>
      <c r="AE3539" s="249" t="str">
        <f>HYPERLINK("https://scontent.cdninstagram.com/t51.2885-19/s150x150/21294915_114635122556362_3783808948746846208_a.jpg")</f>
        <v>https://scontent.cdninstagram.com/t51.2885-19/s150x150/21294915_114635122556362_3783808948746846208_a.jpg</v>
      </c>
    </row>
    <row r="3540" spans="1:31" ht="15" x14ac:dyDescent="0.25">
      <c r="A3540" t="s">
        <v>2474</v>
      </c>
      <c r="B3540" t="s">
        <v>5944</v>
      </c>
      <c r="C3540" s="221">
        <v>42976.743379629632</v>
      </c>
      <c r="D3540" t="s">
        <v>20147</v>
      </c>
      <c r="E3540" s="249" t="str">
        <f>HYPERLINK("https://www.instagram.com/p/BYZLajoDRsC/")</f>
        <v>https://www.instagram.com/p/BYZLajoDRsC/</v>
      </c>
      <c r="F3540" t="s">
        <v>20148</v>
      </c>
      <c r="G3540" t="s">
        <v>2478</v>
      </c>
      <c r="H3540">
        <v>119</v>
      </c>
      <c r="I3540" t="s">
        <v>2479</v>
      </c>
      <c r="J3540">
        <v>0</v>
      </c>
      <c r="K3540">
        <v>12</v>
      </c>
      <c r="L3540">
        <v>12</v>
      </c>
      <c r="Q3540">
        <v>0</v>
      </c>
      <c r="R3540">
        <v>0</v>
      </c>
      <c r="S3540">
        <v>12</v>
      </c>
      <c r="Y3540" t="s">
        <v>20149</v>
      </c>
      <c r="Z3540" t="s">
        <v>12467</v>
      </c>
      <c r="AA3540" t="s">
        <v>20150</v>
      </c>
      <c r="AB3540" t="s">
        <v>7782</v>
      </c>
      <c r="AC3540" t="s">
        <v>2497</v>
      </c>
      <c r="AD3540" s="249" t="str">
        <f>HYPERLINK("https://scontent.cdninstagram.com/t51.2885-15/s320x320/e35/21147844_520806314929493_5439331228593422336_n.jpg")</f>
        <v>https://scontent.cdninstagram.com/t51.2885-15/s320x320/e35/21147844_520806314929493_5439331228593422336_n.jpg</v>
      </c>
      <c r="AE3540" s="249" t="str">
        <f>HYPERLINK("https://scontent.cdninstagram.com/t51.2885-19/s150x150/15802915_1200615713341079_5687537410104098816_a.jpg")</f>
        <v>https://scontent.cdninstagram.com/t51.2885-19/s150x150/15802915_1200615713341079_5687537410104098816_a.jpg</v>
      </c>
    </row>
    <row r="3541" spans="1:31" ht="15" x14ac:dyDescent="0.25">
      <c r="A3541" t="s">
        <v>2474</v>
      </c>
      <c r="B3541" t="s">
        <v>20151</v>
      </c>
      <c r="C3541" s="221">
        <v>42976.752569444441</v>
      </c>
      <c r="D3541" t="s">
        <v>20152</v>
      </c>
      <c r="E3541" s="249" t="str">
        <f>HYPERLINK("https://www.instagram.com/p/BYZM7dql2Bj/")</f>
        <v>https://www.instagram.com/p/BYZM7dql2Bj/</v>
      </c>
      <c r="F3541" t="s">
        <v>20153</v>
      </c>
      <c r="G3541" t="s">
        <v>2478</v>
      </c>
      <c r="H3541">
        <v>53</v>
      </c>
      <c r="I3541" t="s">
        <v>2479</v>
      </c>
      <c r="J3541">
        <v>2</v>
      </c>
      <c r="K3541">
        <v>38</v>
      </c>
      <c r="L3541">
        <v>40</v>
      </c>
      <c r="Q3541">
        <v>0</v>
      </c>
      <c r="R3541">
        <v>0</v>
      </c>
      <c r="S3541">
        <v>40</v>
      </c>
      <c r="Y3541" t="s">
        <v>20154</v>
      </c>
      <c r="Z3541" t="s">
        <v>20155</v>
      </c>
      <c r="AA3541" t="s">
        <v>6760</v>
      </c>
      <c r="AB3541" t="s">
        <v>2497</v>
      </c>
      <c r="AC3541" t="s">
        <v>6550</v>
      </c>
      <c r="AD3541" s="249" t="str">
        <f>HYPERLINK("https://scontent.cdninstagram.com/t51.2885-15/s320x320/e35/21224436_121702918485940_2015981829684723712_n.jpg")</f>
        <v>https://scontent.cdninstagram.com/t51.2885-15/s320x320/e35/21224436_121702918485940_2015981829684723712_n.jpg</v>
      </c>
      <c r="AE3541" s="249" t="str">
        <f>HYPERLINK("https://scontent.cdninstagram.com/t51.2885-19/s150x150/21294696_294874230994630_4097685682724536320_a.jpg")</f>
        <v>https://scontent.cdninstagram.com/t51.2885-19/s150x150/21294696_294874230994630_4097685682724536320_a.jpg</v>
      </c>
    </row>
    <row r="3542" spans="1:31" ht="15" x14ac:dyDescent="0.25">
      <c r="A3542" t="s">
        <v>2474</v>
      </c>
      <c r="B3542" t="s">
        <v>4535</v>
      </c>
      <c r="C3542" s="221">
        <v>42976.790555555555</v>
      </c>
      <c r="D3542" t="s">
        <v>20156</v>
      </c>
      <c r="E3542" s="249" t="str">
        <f>HYPERLINK("https://www.instagram.com/p/BYZTMIiD9p7/")</f>
        <v>https://www.instagram.com/p/BYZTMIiD9p7/</v>
      </c>
      <c r="F3542" t="s">
        <v>20157</v>
      </c>
      <c r="G3542" t="s">
        <v>2478</v>
      </c>
      <c r="H3542">
        <v>173</v>
      </c>
      <c r="I3542" t="s">
        <v>2479</v>
      </c>
      <c r="J3542">
        <v>1</v>
      </c>
      <c r="K3542">
        <v>34</v>
      </c>
      <c r="L3542">
        <v>35</v>
      </c>
      <c r="Q3542">
        <v>0</v>
      </c>
      <c r="R3542">
        <v>0</v>
      </c>
      <c r="S3542">
        <v>35</v>
      </c>
      <c r="Y3542" t="s">
        <v>2497</v>
      </c>
      <c r="Z3542" t="s">
        <v>5605</v>
      </c>
      <c r="AA3542" t="s">
        <v>8844</v>
      </c>
      <c r="AB3542" t="s">
        <v>10684</v>
      </c>
      <c r="AC3542" t="s">
        <v>4538</v>
      </c>
      <c r="AD3542" s="249" t="str">
        <f>HYPERLINK("https://scontent.cdninstagram.com/t51.2885-15/s320x320/e35/21147763_441671452900241_872800632300371968_n.jpg")</f>
        <v>https://scontent.cdninstagram.com/t51.2885-15/s320x320/e35/21147763_441671452900241_872800632300371968_n.jpg</v>
      </c>
      <c r="AE3542" s="249" t="str">
        <f>HYPERLINK("https://scontent.cdninstagram.com/t51.2885-19/s150x150/20399028_1624608414236560_533007696291430400_a.jpg")</f>
        <v>https://scontent.cdninstagram.com/t51.2885-19/s150x150/20399028_1624608414236560_533007696291430400_a.jpg</v>
      </c>
    </row>
    <row r="3543" spans="1:31" ht="15" x14ac:dyDescent="0.25">
      <c r="A3543" t="s">
        <v>2474</v>
      </c>
      <c r="B3543" t="s">
        <v>4535</v>
      </c>
      <c r="C3543" s="221">
        <v>42976.791932870372</v>
      </c>
      <c r="D3543" t="s">
        <v>20158</v>
      </c>
      <c r="E3543" s="249" t="str">
        <f>HYPERLINK("https://www.instagram.com/p/BYZTaouDAM_/")</f>
        <v>https://www.instagram.com/p/BYZTaouDAM_/</v>
      </c>
      <c r="F3543" t="s">
        <v>20159</v>
      </c>
      <c r="G3543" t="s">
        <v>2478</v>
      </c>
      <c r="H3543">
        <v>173</v>
      </c>
      <c r="I3543" t="s">
        <v>2479</v>
      </c>
      <c r="J3543">
        <v>0</v>
      </c>
      <c r="K3543">
        <v>31</v>
      </c>
      <c r="L3543">
        <v>31</v>
      </c>
      <c r="Q3543">
        <v>0</v>
      </c>
      <c r="R3543">
        <v>0</v>
      </c>
      <c r="S3543">
        <v>31</v>
      </c>
      <c r="Y3543" t="s">
        <v>2497</v>
      </c>
      <c r="Z3543" t="s">
        <v>5605</v>
      </c>
      <c r="AA3543" t="s">
        <v>8844</v>
      </c>
      <c r="AB3543" t="s">
        <v>10684</v>
      </c>
      <c r="AC3543" t="s">
        <v>4538</v>
      </c>
      <c r="AD3543" s="249" t="str">
        <f>HYPERLINK("https://scontent.cdninstagram.com/t51.2885-15/e35/p320x320/21224578_301666326908709_2695720765747101696_n.jpg")</f>
        <v>https://scontent.cdninstagram.com/t51.2885-15/e35/p320x320/21224578_301666326908709_2695720765747101696_n.jpg</v>
      </c>
      <c r="AE3543" s="249" t="str">
        <f>HYPERLINK("https://scontent.cdninstagram.com/t51.2885-19/s150x150/20399028_1624608414236560_533007696291430400_a.jpg")</f>
        <v>https://scontent.cdninstagram.com/t51.2885-19/s150x150/20399028_1624608414236560_533007696291430400_a.jpg</v>
      </c>
    </row>
    <row r="3544" spans="1:31" ht="15" x14ac:dyDescent="0.25">
      <c r="A3544" t="s">
        <v>2474</v>
      </c>
      <c r="B3544" t="s">
        <v>10744</v>
      </c>
      <c r="C3544" s="221">
        <v>42976.792268518519</v>
      </c>
      <c r="D3544" t="s">
        <v>20160</v>
      </c>
      <c r="E3544" s="249" t="str">
        <f>HYPERLINK("https://www.instagram.com/p/BYZTeJ5Fsfk/")</f>
        <v>https://www.instagram.com/p/BYZTeJ5Fsfk/</v>
      </c>
      <c r="F3544" t="s">
        <v>20161</v>
      </c>
      <c r="G3544" t="s">
        <v>2478</v>
      </c>
      <c r="H3544">
        <v>239</v>
      </c>
      <c r="I3544" t="s">
        <v>2479</v>
      </c>
      <c r="J3544">
        <v>1</v>
      </c>
      <c r="K3544">
        <v>27</v>
      </c>
      <c r="L3544">
        <v>28</v>
      </c>
      <c r="Q3544">
        <v>0</v>
      </c>
      <c r="R3544">
        <v>0</v>
      </c>
      <c r="S3544">
        <v>28</v>
      </c>
      <c r="Y3544" t="s">
        <v>9549</v>
      </c>
      <c r="Z3544" t="s">
        <v>3885</v>
      </c>
      <c r="AA3544" t="s">
        <v>2497</v>
      </c>
      <c r="AB3544" t="s">
        <v>3262</v>
      </c>
      <c r="AC3544" t="s">
        <v>2728</v>
      </c>
      <c r="AD3544" s="249" t="str">
        <f>HYPERLINK("https://scontent.cdninstagram.com/t51.2885-15/s320x320/e35/21147549_858180690998725_2482977557968846848_n.jpg")</f>
        <v>https://scontent.cdninstagram.com/t51.2885-15/s320x320/e35/21147549_858180690998725_2482977557968846848_n.jpg</v>
      </c>
      <c r="AE3544" s="249" t="str">
        <f>HYPERLINK("https://scontent.cdninstagram.com/t51.2885-19/s150x150/20213813_344846052612243_1171122777143377920_a.jpg")</f>
        <v>https://scontent.cdninstagram.com/t51.2885-19/s150x150/20213813_344846052612243_1171122777143377920_a.jpg</v>
      </c>
    </row>
    <row r="3545" spans="1:31" ht="15" x14ac:dyDescent="0.25">
      <c r="A3545" t="s">
        <v>2474</v>
      </c>
      <c r="B3545" t="s">
        <v>4535</v>
      </c>
      <c r="C3545" s="221">
        <v>42976.793078703704</v>
      </c>
      <c r="D3545" t="s">
        <v>20162</v>
      </c>
      <c r="E3545" s="249" t="str">
        <f>HYPERLINK("https://www.instagram.com/p/BYZTmzgDlty/")</f>
        <v>https://www.instagram.com/p/BYZTmzgDlty/</v>
      </c>
      <c r="F3545" t="s">
        <v>20163</v>
      </c>
      <c r="G3545" t="s">
        <v>2478</v>
      </c>
      <c r="H3545">
        <v>173</v>
      </c>
      <c r="I3545" t="s">
        <v>2479</v>
      </c>
      <c r="J3545">
        <v>0</v>
      </c>
      <c r="K3545">
        <v>33</v>
      </c>
      <c r="L3545">
        <v>33</v>
      </c>
      <c r="Q3545">
        <v>0</v>
      </c>
      <c r="R3545">
        <v>0</v>
      </c>
      <c r="S3545">
        <v>33</v>
      </c>
      <c r="Y3545" t="s">
        <v>2497</v>
      </c>
      <c r="Z3545" t="s">
        <v>5605</v>
      </c>
      <c r="AA3545" t="s">
        <v>8844</v>
      </c>
      <c r="AB3545" t="s">
        <v>10684</v>
      </c>
      <c r="AC3545" t="s">
        <v>4538</v>
      </c>
      <c r="AD3545" s="249" t="str">
        <f>HYPERLINK("https://scontent.cdninstagram.com/t51.2885-15/s320x320/e35/21149252_491160191264462_4113018342309101568_n.jpg")</f>
        <v>https://scontent.cdninstagram.com/t51.2885-15/s320x320/e35/21149252_491160191264462_4113018342309101568_n.jpg</v>
      </c>
      <c r="AE3545" s="249" t="str">
        <f>HYPERLINK("https://scontent.cdninstagram.com/t51.2885-19/s150x150/20399028_1624608414236560_533007696291430400_a.jpg")</f>
        <v>https://scontent.cdninstagram.com/t51.2885-19/s150x150/20399028_1624608414236560_533007696291430400_a.jpg</v>
      </c>
    </row>
    <row r="3546" spans="1:31" ht="15" x14ac:dyDescent="0.25">
      <c r="A3546" t="s">
        <v>2474</v>
      </c>
      <c r="B3546" t="s">
        <v>20164</v>
      </c>
      <c r="C3546" s="221">
        <v>42976.794722222221</v>
      </c>
      <c r="D3546" t="s">
        <v>20165</v>
      </c>
      <c r="E3546" s="249" t="str">
        <f>HYPERLINK("https://www.instagram.com/p/BYZT4GhgMYk/")</f>
        <v>https://www.instagram.com/p/BYZT4GhgMYk/</v>
      </c>
      <c r="F3546" t="s">
        <v>20166</v>
      </c>
      <c r="G3546" t="s">
        <v>2478</v>
      </c>
      <c r="H3546">
        <v>255</v>
      </c>
      <c r="I3546" t="s">
        <v>2479</v>
      </c>
      <c r="J3546">
        <v>0</v>
      </c>
      <c r="K3546">
        <v>19</v>
      </c>
      <c r="L3546">
        <v>19</v>
      </c>
      <c r="Q3546">
        <v>0</v>
      </c>
      <c r="R3546">
        <v>0</v>
      </c>
      <c r="S3546">
        <v>19</v>
      </c>
      <c r="Y3546" t="s">
        <v>2497</v>
      </c>
      <c r="AD3546" s="249" t="str">
        <f>HYPERLINK("https://scontent.cdninstagram.com/t51.2885-15/s320x320/e35/21107991_2382382105319460_1757842904941854720_n.jpg")</f>
        <v>https://scontent.cdninstagram.com/t51.2885-15/s320x320/e35/21107991_2382382105319460_1757842904941854720_n.jpg</v>
      </c>
      <c r="AE3546" s="249" t="str">
        <f>HYPERLINK("https://scontent.cdninstagram.com/t51.2885-19/s150x150/14052163_525998307611282_528595518_a.jpg")</f>
        <v>https://scontent.cdninstagram.com/t51.2885-19/s150x150/14052163_525998307611282_528595518_a.jpg</v>
      </c>
    </row>
    <row r="3547" spans="1:31" ht="15" x14ac:dyDescent="0.25">
      <c r="A3547" t="s">
        <v>2474</v>
      </c>
      <c r="B3547" t="s">
        <v>20167</v>
      </c>
      <c r="C3547" s="221">
        <v>42976.796493055554</v>
      </c>
      <c r="D3547" t="s">
        <v>20168</v>
      </c>
      <c r="E3547" s="249" t="str">
        <f>HYPERLINK("https://www.instagram.com/p/BYZUKyWDf3a/")</f>
        <v>https://www.instagram.com/p/BYZUKyWDf3a/</v>
      </c>
      <c r="F3547" t="s">
        <v>20169</v>
      </c>
      <c r="G3547" t="s">
        <v>2631</v>
      </c>
      <c r="H3547">
        <v>22505</v>
      </c>
      <c r="I3547" t="s">
        <v>2479</v>
      </c>
      <c r="J3547">
        <v>0</v>
      </c>
      <c r="K3547">
        <v>12</v>
      </c>
      <c r="L3547">
        <v>12</v>
      </c>
      <c r="Q3547">
        <v>0</v>
      </c>
      <c r="R3547">
        <v>0</v>
      </c>
      <c r="S3547">
        <v>12</v>
      </c>
      <c r="Y3547" t="s">
        <v>20170</v>
      </c>
      <c r="Z3547" t="s">
        <v>2497</v>
      </c>
      <c r="AA3547" t="s">
        <v>8612</v>
      </c>
      <c r="AD3547" s="249" t="str">
        <f>HYPERLINK("https://scontent.cdninstagram.com/t51.2885-15/s320x320/e15/21108037_113849042624103_5688189557938323456_n.jpg")</f>
        <v>https://scontent.cdninstagram.com/t51.2885-15/s320x320/e15/21108037_113849042624103_5688189557938323456_n.jpg</v>
      </c>
      <c r="AE3547" s="249" t="str">
        <f>HYPERLINK("https://scontent.cdninstagram.com/t51.2885-19/s150x150/19428641_1980864675480720_7389780713563750400_a.jpg")</f>
        <v>https://scontent.cdninstagram.com/t51.2885-19/s150x150/19428641_1980864675480720_7389780713563750400_a.jpg</v>
      </c>
    </row>
    <row r="3548" spans="1:31" ht="15" x14ac:dyDescent="0.25">
      <c r="A3548" t="s">
        <v>2474</v>
      </c>
      <c r="B3548" t="s">
        <v>20171</v>
      </c>
      <c r="C3548" s="221">
        <v>42976.80164351852</v>
      </c>
      <c r="D3548" t="s">
        <v>20172</v>
      </c>
      <c r="E3548" s="249" t="str">
        <f>HYPERLINK("https://www.instagram.com/p/BYZVBIQh-qC/")</f>
        <v>https://www.instagram.com/p/BYZVBIQh-qC/</v>
      </c>
      <c r="F3548" t="s">
        <v>20173</v>
      </c>
      <c r="G3548" t="s">
        <v>2478</v>
      </c>
      <c r="H3548">
        <v>241</v>
      </c>
      <c r="I3548" t="s">
        <v>2479</v>
      </c>
      <c r="J3548">
        <v>1</v>
      </c>
      <c r="K3548">
        <v>17</v>
      </c>
      <c r="L3548">
        <v>18</v>
      </c>
      <c r="Q3548">
        <v>0</v>
      </c>
      <c r="R3548">
        <v>0</v>
      </c>
      <c r="S3548">
        <v>18</v>
      </c>
      <c r="Y3548" t="s">
        <v>10839</v>
      </c>
      <c r="Z3548" t="s">
        <v>2497</v>
      </c>
      <c r="AA3548" t="s">
        <v>3543</v>
      </c>
      <c r="AB3548" t="s">
        <v>13448</v>
      </c>
      <c r="AC3548" t="s">
        <v>20174</v>
      </c>
      <c r="AD3548" s="249" t="str">
        <f>HYPERLINK("https://scontent.cdninstagram.com/t51.2885-15/s320x320/e35/21149589_350709882029788_567813802020569088_n.jpg")</f>
        <v>https://scontent.cdninstagram.com/t51.2885-15/s320x320/e35/21149589_350709882029788_567813802020569088_n.jpg</v>
      </c>
      <c r="AE3548" s="249" t="str">
        <f>HYPERLINK("https://scontent.cdninstagram.com/t51.2885-19/s150x150/21107616_127670621215376_2426355380608040960_a.jpg")</f>
        <v>https://scontent.cdninstagram.com/t51.2885-19/s150x150/21107616_127670621215376_2426355380608040960_a.jpg</v>
      </c>
    </row>
    <row r="3549" spans="1:31" ht="15" x14ac:dyDescent="0.25">
      <c r="A3549" t="s">
        <v>2474</v>
      </c>
      <c r="B3549" t="s">
        <v>16078</v>
      </c>
      <c r="C3549" s="221">
        <v>42976.801979166667</v>
      </c>
      <c r="D3549" t="s">
        <v>20175</v>
      </c>
      <c r="E3549" s="249" t="str">
        <f>HYPERLINK("https://www.instagram.com/p/BYZVEpogmRY/")</f>
        <v>https://www.instagram.com/p/BYZVEpogmRY/</v>
      </c>
      <c r="F3549" t="s">
        <v>20176</v>
      </c>
      <c r="G3549" t="s">
        <v>2478</v>
      </c>
      <c r="H3549">
        <v>380</v>
      </c>
      <c r="I3549" t="s">
        <v>2479</v>
      </c>
      <c r="J3549">
        <v>0</v>
      </c>
      <c r="K3549">
        <v>20</v>
      </c>
      <c r="L3549">
        <v>20</v>
      </c>
      <c r="Q3549">
        <v>0</v>
      </c>
      <c r="R3549">
        <v>0</v>
      </c>
      <c r="S3549">
        <v>20</v>
      </c>
      <c r="Y3549" t="s">
        <v>2497</v>
      </c>
      <c r="Z3549" t="s">
        <v>20177</v>
      </c>
      <c r="AA3549" t="s">
        <v>8014</v>
      </c>
      <c r="AB3549" t="s">
        <v>20178</v>
      </c>
      <c r="AC3549" t="s">
        <v>14094</v>
      </c>
      <c r="AD3549" s="249" t="str">
        <f>HYPERLINK("https://scontent.cdninstagram.com/t51.2885-15/s320x320/e35/21147555_358172234618532_2409306039775133696_n.jpg")</f>
        <v>https://scontent.cdninstagram.com/t51.2885-15/s320x320/e35/21147555_358172234618532_2409306039775133696_n.jpg</v>
      </c>
      <c r="AE3549" s="249" t="str">
        <f>HYPERLINK("https://scontent.cdninstagram.com/t51.2885-19/s150x150/19954915_1164705506967050_1282601896011366400_a.jpg")</f>
        <v>https://scontent.cdninstagram.com/t51.2885-19/s150x150/19954915_1164705506967050_1282601896011366400_a.jpg</v>
      </c>
    </row>
    <row r="3550" spans="1:31" ht="15" x14ac:dyDescent="0.25">
      <c r="A3550" t="s">
        <v>2474</v>
      </c>
      <c r="B3550" t="s">
        <v>6899</v>
      </c>
      <c r="C3550" s="221">
        <v>42976.813449074078</v>
      </c>
      <c r="D3550" t="s">
        <v>20179</v>
      </c>
      <c r="E3550" s="249" t="str">
        <f>HYPERLINK("https://www.instagram.com/p/BYZW9jIAUDf/")</f>
        <v>https://www.instagram.com/p/BYZW9jIAUDf/</v>
      </c>
      <c r="F3550" t="s">
        <v>20180</v>
      </c>
      <c r="G3550" t="s">
        <v>2478</v>
      </c>
      <c r="H3550">
        <v>36238</v>
      </c>
      <c r="I3550" t="s">
        <v>2479</v>
      </c>
      <c r="J3550">
        <v>9</v>
      </c>
      <c r="K3550">
        <v>951</v>
      </c>
      <c r="L3550">
        <v>960</v>
      </c>
      <c r="Q3550">
        <v>0</v>
      </c>
      <c r="R3550">
        <v>0</v>
      </c>
      <c r="S3550">
        <v>960</v>
      </c>
      <c r="AD3550" s="249" t="str">
        <f>HYPERLINK("https://scontent.cdninstagram.com/t51.2885-15/e35/p320x320/21107664_367249463678470_5478784553361342464_n.jpg")</f>
        <v>https://scontent.cdninstagram.com/t51.2885-15/e35/p320x320/21107664_367249463678470_5478784553361342464_n.jpg</v>
      </c>
      <c r="AE3550" s="249" t="str">
        <f>HYPERLINK("https://scontent.cdninstagram.com/t51.2885-19/s150x150/17493776_1474371442636277_6993911971573661696_n.jpg")</f>
        <v>https://scontent.cdninstagram.com/t51.2885-19/s150x150/17493776_1474371442636277_6993911971573661696_n.jpg</v>
      </c>
    </row>
    <row r="3551" spans="1:31" ht="15" x14ac:dyDescent="0.25">
      <c r="A3551" t="s">
        <v>2474</v>
      </c>
      <c r="B3551" t="s">
        <v>14223</v>
      </c>
      <c r="C3551" s="221">
        <v>42976.817928240744</v>
      </c>
      <c r="D3551" t="s">
        <v>20181</v>
      </c>
      <c r="E3551" s="249" t="str">
        <f>HYPERLINK("https://www.instagram.com/p/BYZXsz0DrU1/")</f>
        <v>https://www.instagram.com/p/BYZXsz0DrU1/</v>
      </c>
      <c r="F3551" t="s">
        <v>20182</v>
      </c>
      <c r="G3551" t="s">
        <v>2478</v>
      </c>
      <c r="H3551">
        <v>377</v>
      </c>
      <c r="I3551" t="s">
        <v>3575</v>
      </c>
      <c r="J3551">
        <v>13</v>
      </c>
      <c r="K3551">
        <v>128</v>
      </c>
      <c r="L3551">
        <v>141</v>
      </c>
      <c r="Q3551">
        <v>0</v>
      </c>
      <c r="R3551">
        <v>0</v>
      </c>
      <c r="S3551">
        <v>141</v>
      </c>
      <c r="AD3551" s="249" t="str">
        <f>HYPERLINK("https://scontent.cdninstagram.com/t51.2885-15/s320x320/e35/21295133_191674658040550_6630087344923869184_n.jpg")</f>
        <v>https://scontent.cdninstagram.com/t51.2885-15/s320x320/e35/21295133_191674658040550_6630087344923869184_n.jpg</v>
      </c>
      <c r="AE3551" s="249" t="str">
        <f>HYPERLINK("https://scontent.cdninstagram.com/t51.2885-19/s150x150/21227574_1422592047777379_8955010707695337472_n.jpg")</f>
        <v>https://scontent.cdninstagram.com/t51.2885-19/s150x150/21227574_1422592047777379_8955010707695337472_n.jpg</v>
      </c>
    </row>
    <row r="3552" spans="1:31" ht="15" x14ac:dyDescent="0.25">
      <c r="A3552" t="s">
        <v>2474</v>
      </c>
      <c r="B3552" t="s">
        <v>19152</v>
      </c>
      <c r="C3552" s="221">
        <v>42976.81927083333</v>
      </c>
      <c r="D3552" t="s">
        <v>20183</v>
      </c>
      <c r="E3552" s="249" t="str">
        <f>HYPERLINK("https://www.instagram.com/p/BYZX7CaAHBO/")</f>
        <v>https://www.instagram.com/p/BYZX7CaAHBO/</v>
      </c>
      <c r="F3552" t="s">
        <v>20184</v>
      </c>
      <c r="G3552" t="s">
        <v>2478</v>
      </c>
      <c r="H3552">
        <v>246</v>
      </c>
      <c r="I3552" t="s">
        <v>2479</v>
      </c>
      <c r="J3552">
        <v>1</v>
      </c>
      <c r="K3552">
        <v>14</v>
      </c>
      <c r="L3552">
        <v>15</v>
      </c>
      <c r="Q3552">
        <v>0</v>
      </c>
      <c r="R3552">
        <v>0</v>
      </c>
      <c r="S3552">
        <v>15</v>
      </c>
      <c r="Y3552" t="s">
        <v>2497</v>
      </c>
      <c r="Z3552" t="s">
        <v>20185</v>
      </c>
      <c r="AA3552" t="s">
        <v>20186</v>
      </c>
      <c r="AB3552" t="s">
        <v>8778</v>
      </c>
      <c r="AC3552" t="s">
        <v>2667</v>
      </c>
      <c r="AD3552" s="249" t="str">
        <f>HYPERLINK("https://scontent.cdninstagram.com/t51.2885-15/s320x320/e35/21227705_1725083647797691_7324666136023269376_n.jpg")</f>
        <v>https://scontent.cdninstagram.com/t51.2885-15/s320x320/e35/21227705_1725083647797691_7324666136023269376_n.jpg</v>
      </c>
      <c r="AE3552" s="249" t="str">
        <f>HYPERLINK("https://scontent.cdninstagram.com/t51.2885-19/s150x150/17125870_1850959431840129_2427212574475943936_a.jpg")</f>
        <v>https://scontent.cdninstagram.com/t51.2885-19/s150x150/17125870_1850959431840129_2427212574475943936_a.jpg</v>
      </c>
    </row>
    <row r="3553" spans="1:31" ht="15" x14ac:dyDescent="0.25">
      <c r="A3553" t="s">
        <v>2474</v>
      </c>
      <c r="B3553" t="s">
        <v>3015</v>
      </c>
      <c r="C3553" s="221">
        <v>42976.832824074074</v>
      </c>
      <c r="D3553" t="s">
        <v>20187</v>
      </c>
      <c r="E3553" s="249" t="str">
        <f>HYPERLINK("https://www.instagram.com/p/BYZaJ4qAN8Z/")</f>
        <v>https://www.instagram.com/p/BYZaJ4qAN8Z/</v>
      </c>
      <c r="F3553" t="s">
        <v>20188</v>
      </c>
      <c r="G3553" t="s">
        <v>2478</v>
      </c>
      <c r="H3553">
        <v>255</v>
      </c>
      <c r="I3553" t="s">
        <v>2479</v>
      </c>
      <c r="J3553">
        <v>0</v>
      </c>
      <c r="K3553">
        <v>38</v>
      </c>
      <c r="L3553">
        <v>38</v>
      </c>
      <c r="Q3553">
        <v>0</v>
      </c>
      <c r="R3553">
        <v>0</v>
      </c>
      <c r="S3553">
        <v>38</v>
      </c>
      <c r="Y3553" t="s">
        <v>3165</v>
      </c>
      <c r="Z3553" t="s">
        <v>2497</v>
      </c>
      <c r="AA3553" t="s">
        <v>6259</v>
      </c>
      <c r="AB3553" t="s">
        <v>3727</v>
      </c>
      <c r="AC3553" t="s">
        <v>3728</v>
      </c>
      <c r="AD3553" s="249" t="str">
        <f>HYPERLINK("https://scontent.cdninstagram.com/t51.2885-15/s320x320/e35/21149210_130872854198620_4364651508290027520_n.jpg")</f>
        <v>https://scontent.cdninstagram.com/t51.2885-15/s320x320/e35/21149210_130872854198620_4364651508290027520_n.jpg</v>
      </c>
      <c r="AE3553" s="249" t="str">
        <f>HYPERLINK("https://scontent.cdninstagram.com/t51.2885-19/s150x150/21373102_1087463374722515_8750956974671134720_a.jpg")</f>
        <v>https://scontent.cdninstagram.com/t51.2885-19/s150x150/21373102_1087463374722515_8750956974671134720_a.jpg</v>
      </c>
    </row>
    <row r="3554" spans="1:31" ht="15" x14ac:dyDescent="0.25">
      <c r="A3554" t="s">
        <v>2474</v>
      </c>
      <c r="B3554" t="s">
        <v>3015</v>
      </c>
      <c r="C3554" s="221">
        <v>42976.833668981482</v>
      </c>
      <c r="D3554" t="s">
        <v>20189</v>
      </c>
      <c r="E3554" s="249" t="str">
        <f>HYPERLINK("https://www.instagram.com/p/BYZaS0JA6NO/")</f>
        <v>https://www.instagram.com/p/BYZaS0JA6NO/</v>
      </c>
      <c r="F3554" t="s">
        <v>20190</v>
      </c>
      <c r="G3554" t="s">
        <v>2478</v>
      </c>
      <c r="H3554">
        <v>255</v>
      </c>
      <c r="I3554" t="s">
        <v>2479</v>
      </c>
      <c r="J3554">
        <v>0</v>
      </c>
      <c r="K3554">
        <v>45</v>
      </c>
      <c r="L3554">
        <v>45</v>
      </c>
      <c r="Q3554">
        <v>0</v>
      </c>
      <c r="R3554">
        <v>0</v>
      </c>
      <c r="S3554">
        <v>45</v>
      </c>
      <c r="Y3554" t="s">
        <v>3165</v>
      </c>
      <c r="Z3554" t="s">
        <v>2497</v>
      </c>
      <c r="AA3554" t="s">
        <v>6259</v>
      </c>
      <c r="AB3554" t="s">
        <v>3727</v>
      </c>
      <c r="AC3554" t="s">
        <v>3728</v>
      </c>
      <c r="AD3554" s="249" t="str">
        <f>HYPERLINK("https://scontent.cdninstagram.com/t51.2885-15/s320x320/e35/21107736_1937733626441580_4909398922159456256_n.jpg")</f>
        <v>https://scontent.cdninstagram.com/t51.2885-15/s320x320/e35/21107736_1937733626441580_4909398922159456256_n.jpg</v>
      </c>
      <c r="AE3554" s="249" t="str">
        <f>HYPERLINK("https://scontent.cdninstagram.com/t51.2885-19/s150x150/21373102_1087463374722515_8750956974671134720_a.jpg")</f>
        <v>https://scontent.cdninstagram.com/t51.2885-19/s150x150/21373102_1087463374722515_8750956974671134720_a.jpg</v>
      </c>
    </row>
    <row r="3555" spans="1:31" ht="15" x14ac:dyDescent="0.25">
      <c r="A3555" t="s">
        <v>2474</v>
      </c>
      <c r="B3555" t="s">
        <v>20191</v>
      </c>
      <c r="C3555" s="221">
        <v>42976.837557870371</v>
      </c>
      <c r="D3555" t="s">
        <v>20192</v>
      </c>
      <c r="E3555" s="249" t="str">
        <f>HYPERLINK("https://www.instagram.com/p/BYZa70xA0B5/")</f>
        <v>https://www.instagram.com/p/BYZa70xA0B5/</v>
      </c>
      <c r="F3555" t="s">
        <v>20193</v>
      </c>
      <c r="G3555" t="s">
        <v>2478</v>
      </c>
      <c r="H3555">
        <v>172</v>
      </c>
      <c r="I3555" t="s">
        <v>2519</v>
      </c>
      <c r="J3555">
        <v>0</v>
      </c>
      <c r="K3555">
        <v>5</v>
      </c>
      <c r="L3555">
        <v>5</v>
      </c>
      <c r="Q3555">
        <v>0</v>
      </c>
      <c r="R3555">
        <v>0</v>
      </c>
      <c r="S3555">
        <v>5</v>
      </c>
      <c r="Y3555" t="s">
        <v>2497</v>
      </c>
      <c r="Z3555" t="s">
        <v>3225</v>
      </c>
      <c r="AA3555" t="s">
        <v>4081</v>
      </c>
      <c r="AB3555" t="s">
        <v>2753</v>
      </c>
      <c r="AC3555" t="s">
        <v>9841</v>
      </c>
      <c r="AD3555" s="249" t="str">
        <f>HYPERLINK("https://scontent.cdninstagram.com/t51.2885-15/s320x320/e35/21107802_1975499709365529_5904592674853224448_n.jpg")</f>
        <v>https://scontent.cdninstagram.com/t51.2885-15/s320x320/e35/21107802_1975499709365529_5904592674853224448_n.jpg</v>
      </c>
      <c r="AE3555" s="249" t="str">
        <f>HYPERLINK("https://scontent.cdninstagram.com/t51.2885-19/s150x150/20589741_1742074176090150_7843858382812348416_a.jpg")</f>
        <v>https://scontent.cdninstagram.com/t51.2885-19/s150x150/20589741_1742074176090150_7843858382812348416_a.jpg</v>
      </c>
    </row>
    <row r="3556" spans="1:31" ht="15" x14ac:dyDescent="0.25">
      <c r="A3556" t="s">
        <v>2474</v>
      </c>
      <c r="B3556" t="s">
        <v>20194</v>
      </c>
      <c r="C3556" s="221">
        <v>42976.840486111112</v>
      </c>
      <c r="D3556" t="s">
        <v>20195</v>
      </c>
      <c r="E3556" s="249" t="str">
        <f>HYPERLINK("https://www.instagram.com/p/BYZbawXjL4M/")</f>
        <v>https://www.instagram.com/p/BYZbawXjL4M/</v>
      </c>
      <c r="F3556" t="s">
        <v>20196</v>
      </c>
      <c r="G3556" t="s">
        <v>2478</v>
      </c>
      <c r="H3556">
        <v>240</v>
      </c>
      <c r="I3556" t="s">
        <v>3170</v>
      </c>
      <c r="J3556">
        <v>0</v>
      </c>
      <c r="K3556">
        <v>16</v>
      </c>
      <c r="L3556">
        <v>16</v>
      </c>
      <c r="Q3556">
        <v>0</v>
      </c>
      <c r="R3556">
        <v>0</v>
      </c>
      <c r="S3556">
        <v>16</v>
      </c>
      <c r="Y3556" t="s">
        <v>2497</v>
      </c>
      <c r="Z3556" t="s">
        <v>20197</v>
      </c>
      <c r="AA3556" t="s">
        <v>20198</v>
      </c>
      <c r="AB3556" t="s">
        <v>20199</v>
      </c>
      <c r="AC3556" t="s">
        <v>8844</v>
      </c>
      <c r="AD3556" s="249" t="str">
        <f>HYPERLINK("https://scontent.cdninstagram.com/t51.2885-15/e35/p320x320/21147559_113622319327856_5766620526961229824_n.jpg")</f>
        <v>https://scontent.cdninstagram.com/t51.2885-15/e35/p320x320/21147559_113622319327856_5766620526961229824_n.jpg</v>
      </c>
      <c r="AE3556" s="249" t="str">
        <f>HYPERLINK("https://scontent.cdninstagram.com/t51.2885-19/s150x150/15624724_239371163141295_1428958631813971968_a.jpg")</f>
        <v>https://scontent.cdninstagram.com/t51.2885-19/s150x150/15624724_239371163141295_1428958631813971968_a.jpg</v>
      </c>
    </row>
    <row r="3557" spans="1:31" ht="15" x14ac:dyDescent="0.25">
      <c r="A3557" t="s">
        <v>2474</v>
      </c>
      <c r="B3557" t="s">
        <v>20200</v>
      </c>
      <c r="C3557" s="221">
        <v>42976.848993055559</v>
      </c>
      <c r="D3557" t="s">
        <v>20201</v>
      </c>
      <c r="E3557" s="249" t="str">
        <f>HYPERLINK("https://www.instagram.com/p/BYZc0arHG3A/")</f>
        <v>https://www.instagram.com/p/BYZc0arHG3A/</v>
      </c>
      <c r="F3557" t="s">
        <v>20202</v>
      </c>
      <c r="G3557" t="s">
        <v>2478</v>
      </c>
      <c r="H3557">
        <v>336</v>
      </c>
      <c r="I3557" t="s">
        <v>2479</v>
      </c>
      <c r="J3557">
        <v>2</v>
      </c>
      <c r="K3557">
        <v>50</v>
      </c>
      <c r="L3557">
        <v>52</v>
      </c>
      <c r="Q3557">
        <v>0</v>
      </c>
      <c r="R3557">
        <v>0</v>
      </c>
      <c r="S3557">
        <v>52</v>
      </c>
      <c r="Y3557" t="s">
        <v>2497</v>
      </c>
      <c r="Z3557" t="s">
        <v>2730</v>
      </c>
      <c r="AA3557" t="s">
        <v>20203</v>
      </c>
      <c r="AB3557" t="s">
        <v>3671</v>
      </c>
      <c r="AC3557" t="s">
        <v>2833</v>
      </c>
      <c r="AD3557" s="249" t="str">
        <f>HYPERLINK("https://scontent.cdninstagram.com/t51.2885-15/e35/p320x320/21147793_1876794165971548_2682963385733087232_n.jpg")</f>
        <v>https://scontent.cdninstagram.com/t51.2885-15/e35/p320x320/21147793_1876794165971548_2682963385733087232_n.jpg</v>
      </c>
      <c r="AE3557" s="249" t="str">
        <f>HYPERLINK("https://scontent.cdninstagram.com/t51.2885-19/s150x150/20838371_123724934932698_1178948207556689920_a.jpg")</f>
        <v>https://scontent.cdninstagram.com/t51.2885-19/s150x150/20838371_123724934932698_1178948207556689920_a.jpg</v>
      </c>
    </row>
    <row r="3558" spans="1:31" ht="15" x14ac:dyDescent="0.25">
      <c r="A3558" t="s">
        <v>2474</v>
      </c>
      <c r="B3558" t="s">
        <v>3471</v>
      </c>
      <c r="C3558" s="221">
        <v>42976.865937499999</v>
      </c>
      <c r="D3558" t="s">
        <v>20204</v>
      </c>
      <c r="E3558" s="249" t="str">
        <f>HYPERLINK("https://www.instagram.com/p/BYZfnNEnbQN/")</f>
        <v>https://www.instagram.com/p/BYZfnNEnbQN/</v>
      </c>
      <c r="F3558" t="s">
        <v>20205</v>
      </c>
      <c r="G3558" t="s">
        <v>2488</v>
      </c>
      <c r="H3558">
        <v>192</v>
      </c>
      <c r="I3558" t="s">
        <v>2479</v>
      </c>
      <c r="J3558">
        <v>4</v>
      </c>
      <c r="K3558">
        <v>21</v>
      </c>
      <c r="L3558">
        <v>25</v>
      </c>
      <c r="Q3558">
        <v>0</v>
      </c>
      <c r="R3558">
        <v>0</v>
      </c>
      <c r="S3558">
        <v>25</v>
      </c>
      <c r="T3558" t="s">
        <v>20206</v>
      </c>
      <c r="V3558" t="s">
        <v>2222</v>
      </c>
      <c r="W3558">
        <v>52.316666666666997</v>
      </c>
      <c r="X3558">
        <v>5.55</v>
      </c>
      <c r="Y3558" t="s">
        <v>9408</v>
      </c>
      <c r="Z3558" t="s">
        <v>7826</v>
      </c>
      <c r="AA3558" t="s">
        <v>16430</v>
      </c>
      <c r="AB3558" t="s">
        <v>3476</v>
      </c>
      <c r="AC3558" t="s">
        <v>11615</v>
      </c>
      <c r="AD3558" s="249" t="str">
        <f>HYPERLINK("https://scontent.cdninstagram.com/t51.2885-15/s320x320/e15/21147362_1044739698961673_4752343517311795200_n.jpg")</f>
        <v>https://scontent.cdninstagram.com/t51.2885-15/s320x320/e15/21147362_1044739698961673_4752343517311795200_n.jpg</v>
      </c>
      <c r="AE3558" s="249" t="str">
        <f>HYPERLINK("https://scontent.cdninstagram.com/t51.2885-19/s150x150/19986209_741127056067001_1270489010199855104_a.jpg")</f>
        <v>https://scontent.cdninstagram.com/t51.2885-19/s150x150/19986209_741127056067001_1270489010199855104_a.jpg</v>
      </c>
    </row>
    <row r="3559" spans="1:31" ht="15" x14ac:dyDescent="0.25">
      <c r="A3559" t="s">
        <v>2474</v>
      </c>
      <c r="B3559" t="s">
        <v>8530</v>
      </c>
      <c r="C3559" s="221">
        <v>42976.867986111109</v>
      </c>
      <c r="D3559" t="s">
        <v>20207</v>
      </c>
      <c r="E3559" s="249" t="str">
        <f>HYPERLINK("https://www.instagram.com/p/BYZf8zzDA-z/")</f>
        <v>https://www.instagram.com/p/BYZf8zzDA-z/</v>
      </c>
      <c r="F3559" t="s">
        <v>20208</v>
      </c>
      <c r="G3559" t="s">
        <v>2478</v>
      </c>
      <c r="H3559">
        <v>222</v>
      </c>
      <c r="I3559" t="s">
        <v>2479</v>
      </c>
      <c r="J3559">
        <v>3</v>
      </c>
      <c r="K3559">
        <v>80</v>
      </c>
      <c r="L3559">
        <v>83</v>
      </c>
      <c r="Q3559">
        <v>0</v>
      </c>
      <c r="R3559">
        <v>0</v>
      </c>
      <c r="S3559">
        <v>83</v>
      </c>
      <c r="Y3559" t="s">
        <v>20209</v>
      </c>
      <c r="Z3559" t="s">
        <v>8535</v>
      </c>
      <c r="AA3559" t="s">
        <v>20210</v>
      </c>
      <c r="AB3559" t="s">
        <v>20211</v>
      </c>
      <c r="AC3559" t="s">
        <v>9017</v>
      </c>
      <c r="AD3559" s="249" t="str">
        <f>HYPERLINK("https://scontent.cdninstagram.com/t51.2885-15/s320x320/e35/21107785_113258039386373_6367984861151494144_n.jpg")</f>
        <v>https://scontent.cdninstagram.com/t51.2885-15/s320x320/e35/21107785_113258039386373_6367984861151494144_n.jpg</v>
      </c>
      <c r="AE3559" s="249" t="str">
        <f>HYPERLINK("https://scontent.cdninstagram.com/t51.2885-19/s150x150/15876516_1512682192093365_273405136888397824_a.jpg")</f>
        <v>https://scontent.cdninstagram.com/t51.2885-19/s150x150/15876516_1512682192093365_273405136888397824_a.jpg</v>
      </c>
    </row>
    <row r="3560" spans="1:31" ht="15" x14ac:dyDescent="0.25">
      <c r="A3560" t="s">
        <v>2474</v>
      </c>
      <c r="B3560" t="s">
        <v>20212</v>
      </c>
      <c r="C3560" s="221">
        <v>42976.869328703702</v>
      </c>
      <c r="D3560" t="s">
        <v>20213</v>
      </c>
      <c r="E3560" s="249" t="str">
        <f>HYPERLINK("https://www.instagram.com/p/BYZgK8cB8UV/")</f>
        <v>https://www.instagram.com/p/BYZgK8cB8UV/</v>
      </c>
      <c r="F3560" t="s">
        <v>20214</v>
      </c>
      <c r="G3560" t="s">
        <v>2488</v>
      </c>
      <c r="H3560">
        <v>276</v>
      </c>
      <c r="I3560" t="s">
        <v>2479</v>
      </c>
      <c r="J3560">
        <v>0</v>
      </c>
      <c r="K3560">
        <v>12</v>
      </c>
      <c r="L3560">
        <v>12</v>
      </c>
      <c r="Q3560">
        <v>0</v>
      </c>
      <c r="R3560">
        <v>0</v>
      </c>
      <c r="S3560">
        <v>12</v>
      </c>
      <c r="T3560" t="s">
        <v>20215</v>
      </c>
      <c r="V3560" t="s">
        <v>2102</v>
      </c>
      <c r="W3560">
        <v>-28.080449999999999</v>
      </c>
      <c r="X3560">
        <v>153.3836</v>
      </c>
      <c r="Y3560" t="s">
        <v>20216</v>
      </c>
      <c r="Z3560" t="s">
        <v>20217</v>
      </c>
      <c r="AA3560" t="s">
        <v>20218</v>
      </c>
      <c r="AB3560" t="s">
        <v>2497</v>
      </c>
      <c r="AC3560" t="s">
        <v>20219</v>
      </c>
      <c r="AD3560" s="249" t="str">
        <f>HYPERLINK("https://scontent.cdninstagram.com/t51.2885-15/s320x320/e35/21148164_120578528597506_1355828507132821504_n.jpg")</f>
        <v>https://scontent.cdninstagram.com/t51.2885-15/s320x320/e35/21148164_120578528597506_1355828507132821504_n.jpg</v>
      </c>
      <c r="AE3560" s="249" t="str">
        <f>HYPERLINK("https://scontent.cdninstagram.com/t51.2885-19/s150x150/20968648_599304033791869_9066082126792753152_a.jpg")</f>
        <v>https://scontent.cdninstagram.com/t51.2885-19/s150x150/20968648_599304033791869_9066082126792753152_a.jpg</v>
      </c>
    </row>
    <row r="3561" spans="1:31" ht="15" x14ac:dyDescent="0.25">
      <c r="A3561" t="s">
        <v>2474</v>
      </c>
      <c r="B3561" t="s">
        <v>12323</v>
      </c>
      <c r="C3561" s="221">
        <v>42976.87190972222</v>
      </c>
      <c r="D3561" t="s">
        <v>20220</v>
      </c>
      <c r="E3561" s="249" t="str">
        <f>HYPERLINK("https://www.instagram.com/p/BYZgmPCnTB1/")</f>
        <v>https://www.instagram.com/p/BYZgmPCnTB1/</v>
      </c>
      <c r="F3561" t="s">
        <v>20221</v>
      </c>
      <c r="G3561" t="s">
        <v>2478</v>
      </c>
      <c r="H3561">
        <v>428</v>
      </c>
      <c r="I3561" t="s">
        <v>2479</v>
      </c>
      <c r="J3561">
        <v>0</v>
      </c>
      <c r="K3561">
        <v>13</v>
      </c>
      <c r="L3561">
        <v>13</v>
      </c>
      <c r="Q3561">
        <v>0</v>
      </c>
      <c r="R3561">
        <v>0</v>
      </c>
      <c r="S3561">
        <v>13</v>
      </c>
      <c r="Y3561" t="s">
        <v>20222</v>
      </c>
      <c r="Z3561" t="s">
        <v>20223</v>
      </c>
      <c r="AA3561" t="s">
        <v>2575</v>
      </c>
      <c r="AB3561" t="s">
        <v>2543</v>
      </c>
      <c r="AC3561" t="s">
        <v>2497</v>
      </c>
      <c r="AD3561" s="249" t="str">
        <f>HYPERLINK("https://scontent.cdninstagram.com/t51.2885-15/e35/p320x320/21148015_1880959298884741_7916059488887504896_n.jpg")</f>
        <v>https://scontent.cdninstagram.com/t51.2885-15/e35/p320x320/21148015_1880959298884741_7916059488887504896_n.jpg</v>
      </c>
      <c r="AE3561" s="249" t="str">
        <f>HYPERLINK("https://scontent.cdninstagram.com/t51.2885-19/s150x150/15625114_2188195658072330_2124140187213627392_a.jpg")</f>
        <v>https://scontent.cdninstagram.com/t51.2885-19/s150x150/15625114_2188195658072330_2124140187213627392_a.jpg</v>
      </c>
    </row>
    <row r="3562" spans="1:31" ht="15" x14ac:dyDescent="0.25">
      <c r="A3562" t="s">
        <v>2474</v>
      </c>
      <c r="B3562" t="s">
        <v>20224</v>
      </c>
      <c r="C3562" s="221">
        <v>42976.872129629628</v>
      </c>
      <c r="D3562" t="s">
        <v>20225</v>
      </c>
      <c r="E3562" s="249" t="str">
        <f>HYPERLINK("https://www.instagram.com/p/BYZgoimhO3y/")</f>
        <v>https://www.instagram.com/p/BYZgoimhO3y/</v>
      </c>
      <c r="F3562" t="s">
        <v>20226</v>
      </c>
      <c r="G3562" t="s">
        <v>2478</v>
      </c>
      <c r="H3562">
        <v>771</v>
      </c>
      <c r="I3562" t="s">
        <v>2479</v>
      </c>
      <c r="J3562">
        <v>1</v>
      </c>
      <c r="K3562">
        <v>13</v>
      </c>
      <c r="L3562">
        <v>14</v>
      </c>
      <c r="Q3562">
        <v>0</v>
      </c>
      <c r="R3562">
        <v>0</v>
      </c>
      <c r="S3562">
        <v>14</v>
      </c>
      <c r="Y3562" t="s">
        <v>20227</v>
      </c>
      <c r="Z3562" t="s">
        <v>20228</v>
      </c>
      <c r="AA3562" t="s">
        <v>20229</v>
      </c>
      <c r="AB3562" t="s">
        <v>20230</v>
      </c>
      <c r="AC3562" t="s">
        <v>2497</v>
      </c>
      <c r="AD3562" s="249" t="str">
        <f>HYPERLINK("https://scontent.cdninstagram.com/t51.2885-15/s320x320/e35/21147990_1659481667418400_8472854221597704192_n.jpg")</f>
        <v>https://scontent.cdninstagram.com/t51.2885-15/s320x320/e35/21147990_1659481667418400_8472854221597704192_n.jpg</v>
      </c>
      <c r="AE3562" s="249" t="str">
        <f>HYPERLINK("https://scontent.cdninstagram.com/t51.2885-19/s150x150/21041765_325115854615341_3573067397591990272_a.jpg")</f>
        <v>https://scontent.cdninstagram.com/t51.2885-19/s150x150/21041765_325115854615341_3573067397591990272_a.jpg</v>
      </c>
    </row>
    <row r="3563" spans="1:31" ht="15" x14ac:dyDescent="0.25">
      <c r="A3563" t="s">
        <v>2474</v>
      </c>
      <c r="B3563" t="s">
        <v>3754</v>
      </c>
      <c r="C3563" s="221">
        <v>42976.874618055554</v>
      </c>
      <c r="D3563" t="s">
        <v>20231</v>
      </c>
      <c r="E3563" s="249" t="str">
        <f>HYPERLINK("https://www.instagram.com/p/BYZhCwZjd_d/")</f>
        <v>https://www.instagram.com/p/BYZhCwZjd_d/</v>
      </c>
      <c r="F3563" t="s">
        <v>20232</v>
      </c>
      <c r="G3563" t="s">
        <v>2478</v>
      </c>
      <c r="H3563">
        <v>201312</v>
      </c>
      <c r="I3563" t="s">
        <v>2479</v>
      </c>
      <c r="J3563">
        <v>1</v>
      </c>
      <c r="K3563">
        <v>74</v>
      </c>
      <c r="L3563">
        <v>75</v>
      </c>
      <c r="Q3563">
        <v>0</v>
      </c>
      <c r="R3563">
        <v>0</v>
      </c>
      <c r="S3563">
        <v>75</v>
      </c>
      <c r="Y3563" t="s">
        <v>4562</v>
      </c>
      <c r="Z3563" t="s">
        <v>3759</v>
      </c>
      <c r="AA3563" t="s">
        <v>4561</v>
      </c>
      <c r="AB3563" t="s">
        <v>12535</v>
      </c>
      <c r="AC3563" t="s">
        <v>20233</v>
      </c>
      <c r="AD3563" s="249" t="str">
        <f>HYPERLINK("https://scontent.cdninstagram.com/t51.2885-15/e35/p320x320/21147229_1971420863139508_8034585648360849408_n.jpg")</f>
        <v>https://scontent.cdninstagram.com/t51.2885-15/e35/p320x320/21147229_1971420863139508_8034585648360849408_n.jpg</v>
      </c>
      <c r="AE3563" s="249" t="str">
        <f>HYPERLINK("https://scontent.cdninstagram.com/t51.2885-19/s150x150/12905002_1681254462136092_1137392787_a.jpg")</f>
        <v>https://scontent.cdninstagram.com/t51.2885-19/s150x150/12905002_1681254462136092_1137392787_a.jpg</v>
      </c>
    </row>
    <row r="3564" spans="1:31" ht="15" x14ac:dyDescent="0.25">
      <c r="A3564" t="s">
        <v>2474</v>
      </c>
      <c r="B3564" t="s">
        <v>3761</v>
      </c>
      <c r="C3564" s="221">
        <v>42976.878148148149</v>
      </c>
      <c r="D3564" t="s">
        <v>20234</v>
      </c>
      <c r="E3564" s="249" t="str">
        <f>HYPERLINK("https://www.instagram.com/p/BYZhn--n81m/")</f>
        <v>https://www.instagram.com/p/BYZhn--n81m/</v>
      </c>
      <c r="F3564" t="s">
        <v>20235</v>
      </c>
      <c r="G3564" t="s">
        <v>2478</v>
      </c>
      <c r="H3564">
        <v>35555</v>
      </c>
      <c r="I3564" t="s">
        <v>2479</v>
      </c>
      <c r="J3564">
        <v>1</v>
      </c>
      <c r="K3564">
        <v>17</v>
      </c>
      <c r="L3564">
        <v>18</v>
      </c>
      <c r="Q3564">
        <v>0</v>
      </c>
      <c r="R3564">
        <v>0</v>
      </c>
      <c r="S3564">
        <v>18</v>
      </c>
      <c r="Y3564" t="s">
        <v>4562</v>
      </c>
      <c r="Z3564" t="s">
        <v>3759</v>
      </c>
      <c r="AA3564" t="s">
        <v>4561</v>
      </c>
      <c r="AB3564" t="s">
        <v>12535</v>
      </c>
      <c r="AC3564" t="s">
        <v>20233</v>
      </c>
      <c r="AD3564" s="249" t="str">
        <f>HYPERLINK("https://scontent.cdninstagram.com/t51.2885-15/s320x320/e35/21107568_1916938051893581_6691860528102375424_n.jpg")</f>
        <v>https://scontent.cdninstagram.com/t51.2885-15/s320x320/e35/21107568_1916938051893581_6691860528102375424_n.jpg</v>
      </c>
      <c r="AE3564" s="249" t="str">
        <f>HYPERLINK("https://scontent.cdninstagram.com/t51.2885-19/s150x150/19985865_1705783593058831_5928851088227696640_n.jpg")</f>
        <v>https://scontent.cdninstagram.com/t51.2885-19/s150x150/19985865_1705783593058831_5928851088227696640_n.jpg</v>
      </c>
    </row>
    <row r="3565" spans="1:31" ht="15" x14ac:dyDescent="0.25">
      <c r="A3565" t="s">
        <v>2474</v>
      </c>
      <c r="B3565" t="s">
        <v>20236</v>
      </c>
      <c r="C3565" s="221">
        <v>42976.882256944446</v>
      </c>
      <c r="D3565" t="s">
        <v>20237</v>
      </c>
      <c r="E3565" s="249" t="str">
        <f>HYPERLINK("https://www.instagram.com/p/BYZiTTWDi-X/")</f>
        <v>https://www.instagram.com/p/BYZiTTWDi-X/</v>
      </c>
      <c r="F3565" t="s">
        <v>20238</v>
      </c>
      <c r="G3565" t="s">
        <v>2478</v>
      </c>
      <c r="H3565">
        <v>228</v>
      </c>
      <c r="I3565" t="s">
        <v>2903</v>
      </c>
      <c r="J3565">
        <v>2</v>
      </c>
      <c r="K3565">
        <v>16</v>
      </c>
      <c r="L3565">
        <v>18</v>
      </c>
      <c r="Q3565">
        <v>0</v>
      </c>
      <c r="R3565">
        <v>0</v>
      </c>
      <c r="S3565">
        <v>18</v>
      </c>
      <c r="Y3565" t="s">
        <v>3132</v>
      </c>
      <c r="Z3565" t="s">
        <v>8786</v>
      </c>
      <c r="AA3565" t="s">
        <v>4355</v>
      </c>
      <c r="AB3565" t="s">
        <v>5884</v>
      </c>
      <c r="AC3565" t="s">
        <v>4271</v>
      </c>
      <c r="AD3565" s="249" t="str">
        <f>HYPERLINK("https://scontent.cdninstagram.com/t51.2885-15/e35/p320x320/21147762_891252447697264_2801011871828672512_n.jpg")</f>
        <v>https://scontent.cdninstagram.com/t51.2885-15/e35/p320x320/21147762_891252447697264_2801011871828672512_n.jpg</v>
      </c>
      <c r="AE3565" s="249" t="str">
        <f>HYPERLINK("https://scontent.cdninstagram.com/t51.2885-19/s150x150/19984309_1985555058343264_6637843467449925632_a.jpg")</f>
        <v>https://scontent.cdninstagram.com/t51.2885-19/s150x150/19984309_1985555058343264_6637843467449925632_a.jpg</v>
      </c>
    </row>
    <row r="3566" spans="1:31" ht="15" x14ac:dyDescent="0.25">
      <c r="A3566" t="s">
        <v>2474</v>
      </c>
      <c r="B3566" t="s">
        <v>20239</v>
      </c>
      <c r="C3566" s="221">
        <v>42976.886990740742</v>
      </c>
      <c r="D3566" t="s">
        <v>20240</v>
      </c>
      <c r="E3566" s="249" t="str">
        <f>HYPERLINK("https://www.instagram.com/p/BYZjFNrg1JS/")</f>
        <v>https://www.instagram.com/p/BYZjFNrg1JS/</v>
      </c>
      <c r="F3566" t="s">
        <v>20241</v>
      </c>
      <c r="G3566" t="s">
        <v>2478</v>
      </c>
      <c r="H3566">
        <v>26</v>
      </c>
      <c r="I3566" t="s">
        <v>2542</v>
      </c>
      <c r="J3566">
        <v>1</v>
      </c>
      <c r="K3566">
        <v>21</v>
      </c>
      <c r="L3566">
        <v>22</v>
      </c>
      <c r="Q3566">
        <v>0</v>
      </c>
      <c r="R3566">
        <v>0</v>
      </c>
      <c r="S3566">
        <v>22</v>
      </c>
      <c r="Y3566" t="s">
        <v>20242</v>
      </c>
      <c r="Z3566" t="s">
        <v>20243</v>
      </c>
      <c r="AA3566" t="s">
        <v>7287</v>
      </c>
      <c r="AB3566" t="s">
        <v>20244</v>
      </c>
      <c r="AC3566" t="s">
        <v>20245</v>
      </c>
      <c r="AD3566" s="249" t="str">
        <f>HYPERLINK("https://scontent.cdninstagram.com/t51.2885-15/s320x320/e35/21149636_1616915491712516_5451265211837186048_n.jpg")</f>
        <v>https://scontent.cdninstagram.com/t51.2885-15/s320x320/e35/21149636_1616915491712516_5451265211837186048_n.jpg</v>
      </c>
      <c r="AE3566" s="249" t="str">
        <f>HYPERLINK("https://scontent.cdninstagram.com/t51.2885-19/s150x150/21147329_127707521190081_619678225064263680_a.jpg")</f>
        <v>https://scontent.cdninstagram.com/t51.2885-19/s150x150/21147329_127707521190081_619678225064263680_a.jpg</v>
      </c>
    </row>
    <row r="3567" spans="1:31" ht="15" x14ac:dyDescent="0.25">
      <c r="A3567" t="s">
        <v>2474</v>
      </c>
      <c r="B3567" t="s">
        <v>14485</v>
      </c>
      <c r="C3567" s="221">
        <v>42976.887303240743</v>
      </c>
      <c r="D3567" t="s">
        <v>20246</v>
      </c>
      <c r="E3567" s="249" t="str">
        <f>HYPERLINK("https://www.instagram.com/p/BYZjIkPl7EI/")</f>
        <v>https://www.instagram.com/p/BYZjIkPl7EI/</v>
      </c>
      <c r="F3567" t="s">
        <v>20247</v>
      </c>
      <c r="G3567" t="s">
        <v>2478</v>
      </c>
      <c r="H3567">
        <v>112</v>
      </c>
      <c r="I3567" t="s">
        <v>2479</v>
      </c>
      <c r="J3567">
        <v>0</v>
      </c>
      <c r="K3567">
        <v>34</v>
      </c>
      <c r="L3567">
        <v>34</v>
      </c>
      <c r="Q3567">
        <v>0</v>
      </c>
      <c r="R3567">
        <v>0</v>
      </c>
      <c r="S3567">
        <v>34</v>
      </c>
      <c r="Y3567" t="s">
        <v>14490</v>
      </c>
      <c r="Z3567" t="s">
        <v>2730</v>
      </c>
      <c r="AA3567" t="s">
        <v>20248</v>
      </c>
      <c r="AB3567" t="s">
        <v>20249</v>
      </c>
      <c r="AC3567" t="s">
        <v>5006</v>
      </c>
      <c r="AD3567" s="249" t="str">
        <f>HYPERLINK("https://scontent.cdninstagram.com/t51.2885-15/e35/p320x320/21149123_1899697573685214_5551334913292107776_n.jpg")</f>
        <v>https://scontent.cdninstagram.com/t51.2885-15/e35/p320x320/21149123_1899697573685214_5551334913292107776_n.jpg</v>
      </c>
      <c r="AE3567" s="249" t="str">
        <f>HYPERLINK("https://scontent.cdninstagram.com/t51.2885-19/s150x150/21227901_120841715307590_495931464123154432_a.jpg")</f>
        <v>https://scontent.cdninstagram.com/t51.2885-19/s150x150/21227901_120841715307590_495931464123154432_a.jpg</v>
      </c>
    </row>
    <row r="3568" spans="1:31" ht="15" x14ac:dyDescent="0.25">
      <c r="A3568" t="s">
        <v>2474</v>
      </c>
      <c r="B3568" t="s">
        <v>7232</v>
      </c>
      <c r="C3568" s="221">
        <v>42976.896122685182</v>
      </c>
      <c r="D3568" t="s">
        <v>20250</v>
      </c>
      <c r="E3568" s="249" t="str">
        <f>HYPERLINK("https://www.instagram.com/p/BYZklkaHI1Z/")</f>
        <v>https://www.instagram.com/p/BYZklkaHI1Z/</v>
      </c>
      <c r="F3568" t="s">
        <v>20251</v>
      </c>
      <c r="G3568" t="s">
        <v>2478</v>
      </c>
      <c r="H3568">
        <v>529</v>
      </c>
      <c r="I3568" t="s">
        <v>2599</v>
      </c>
      <c r="J3568">
        <v>5</v>
      </c>
      <c r="K3568">
        <v>60</v>
      </c>
      <c r="L3568">
        <v>65</v>
      </c>
      <c r="Q3568">
        <v>0</v>
      </c>
      <c r="R3568">
        <v>0</v>
      </c>
      <c r="S3568">
        <v>65</v>
      </c>
      <c r="Y3568" t="s">
        <v>4975</v>
      </c>
      <c r="Z3568" t="s">
        <v>10416</v>
      </c>
      <c r="AA3568" t="s">
        <v>12637</v>
      </c>
      <c r="AB3568" t="s">
        <v>3671</v>
      </c>
      <c r="AC3568" t="s">
        <v>2543</v>
      </c>
      <c r="AD3568" s="249" t="str">
        <f>HYPERLINK("https://scontent.cdninstagram.com/t51.2885-15/e35/p320x320/21107813_2044981752392219_6438678111583207424_n.jpg")</f>
        <v>https://scontent.cdninstagram.com/t51.2885-15/e35/p320x320/21107813_2044981752392219_6438678111583207424_n.jpg</v>
      </c>
      <c r="AE3568" s="249" t="str">
        <f>HYPERLINK("https://scontent.cdninstagram.com/t51.2885-19/s150x150/14482263_1660577494243200_2334360342223650816_a.jpg")</f>
        <v>https://scontent.cdninstagram.com/t51.2885-19/s150x150/14482263_1660577494243200_2334360342223650816_a.jpg</v>
      </c>
    </row>
    <row r="3569" spans="1:31" ht="15" x14ac:dyDescent="0.25">
      <c r="A3569" t="s">
        <v>2474</v>
      </c>
      <c r="B3569" t="s">
        <v>7232</v>
      </c>
      <c r="C3569" s="221">
        <v>42976.898715277777</v>
      </c>
      <c r="D3569" t="s">
        <v>20252</v>
      </c>
      <c r="E3569" s="249" t="str">
        <f>HYPERLINK("https://www.instagram.com/p/BYZlA56HrFK/")</f>
        <v>https://www.instagram.com/p/BYZlA56HrFK/</v>
      </c>
      <c r="F3569" t="s">
        <v>20253</v>
      </c>
      <c r="G3569" t="s">
        <v>2478</v>
      </c>
      <c r="H3569">
        <v>529</v>
      </c>
      <c r="I3569" t="s">
        <v>2479</v>
      </c>
      <c r="J3569">
        <v>0</v>
      </c>
      <c r="K3569">
        <v>46</v>
      </c>
      <c r="L3569">
        <v>46</v>
      </c>
      <c r="Q3569">
        <v>0</v>
      </c>
      <c r="R3569">
        <v>0</v>
      </c>
      <c r="S3569">
        <v>46</v>
      </c>
      <c r="Y3569" t="s">
        <v>4975</v>
      </c>
      <c r="Z3569" t="s">
        <v>10416</v>
      </c>
      <c r="AA3569" t="s">
        <v>12637</v>
      </c>
      <c r="AB3569" t="s">
        <v>3671</v>
      </c>
      <c r="AC3569" t="s">
        <v>2543</v>
      </c>
      <c r="AD3569" s="249" t="str">
        <f>HYPERLINK("https://scontent.cdninstagram.com/t51.2885-15/s320x320/e35/21147929_126945144613643_4242330586296877056_n.jpg")</f>
        <v>https://scontent.cdninstagram.com/t51.2885-15/s320x320/e35/21147929_126945144613643_4242330586296877056_n.jpg</v>
      </c>
      <c r="AE3569" s="249" t="str">
        <f>HYPERLINK("https://scontent.cdninstagram.com/t51.2885-19/s150x150/14482263_1660577494243200_2334360342223650816_a.jpg")</f>
        <v>https://scontent.cdninstagram.com/t51.2885-19/s150x150/14482263_1660577494243200_2334360342223650816_a.jpg</v>
      </c>
    </row>
    <row r="3570" spans="1:31" ht="15" x14ac:dyDescent="0.25">
      <c r="A3570" t="s">
        <v>2474</v>
      </c>
      <c r="B3570" t="s">
        <v>20254</v>
      </c>
      <c r="C3570" s="221">
        <v>42976.90421296296</v>
      </c>
      <c r="D3570" t="s">
        <v>20255</v>
      </c>
      <c r="E3570" s="249" t="str">
        <f>HYPERLINK("https://www.instagram.com/p/BYZl63MjhhW/")</f>
        <v>https://www.instagram.com/p/BYZl63MjhhW/</v>
      </c>
      <c r="F3570" t="s">
        <v>20256</v>
      </c>
      <c r="G3570" t="s">
        <v>2478</v>
      </c>
      <c r="H3570">
        <v>1318</v>
      </c>
      <c r="I3570" t="s">
        <v>2479</v>
      </c>
      <c r="J3570">
        <v>5</v>
      </c>
      <c r="K3570">
        <v>170</v>
      </c>
      <c r="L3570">
        <v>175</v>
      </c>
      <c r="Q3570">
        <v>0</v>
      </c>
      <c r="R3570">
        <v>0</v>
      </c>
      <c r="S3570">
        <v>175</v>
      </c>
      <c r="Y3570" t="s">
        <v>2497</v>
      </c>
      <c r="Z3570" t="s">
        <v>20257</v>
      </c>
      <c r="AD3570" s="249" t="str">
        <f>HYPERLINK("https://scontent.cdninstagram.com/t51.2885-15/s320x320/e35/21148053_2047723262128793_9095650653048406016_n.jpg")</f>
        <v>https://scontent.cdninstagram.com/t51.2885-15/s320x320/e35/21148053_2047723262128793_9095650653048406016_n.jpg</v>
      </c>
      <c r="AE3570" s="249" t="str">
        <f>HYPERLINK("https://scontent.cdninstagram.com/t51.2885-19/s150x150/20986880_1543899842338067_5368647774982111232_a.jpg")</f>
        <v>https://scontent.cdninstagram.com/t51.2885-19/s150x150/20986880_1543899842338067_5368647774982111232_a.jpg</v>
      </c>
    </row>
    <row r="3571" spans="1:31" ht="15" x14ac:dyDescent="0.25">
      <c r="A3571" t="s">
        <v>2474</v>
      </c>
      <c r="B3571" t="s">
        <v>20258</v>
      </c>
      <c r="C3571" s="221">
        <v>42976.913159722222</v>
      </c>
      <c r="D3571" t="s">
        <v>20259</v>
      </c>
      <c r="E3571" s="249" t="str">
        <f>HYPERLINK("https://www.instagram.com/p/BYZnZNKn7Nz/")</f>
        <v>https://www.instagram.com/p/BYZnZNKn7Nz/</v>
      </c>
      <c r="F3571" t="s">
        <v>20260</v>
      </c>
      <c r="G3571" t="s">
        <v>2478</v>
      </c>
      <c r="H3571">
        <v>1065</v>
      </c>
      <c r="I3571" t="s">
        <v>2542</v>
      </c>
      <c r="J3571">
        <v>0</v>
      </c>
      <c r="K3571">
        <v>57</v>
      </c>
      <c r="L3571">
        <v>57</v>
      </c>
      <c r="Q3571">
        <v>0</v>
      </c>
      <c r="R3571">
        <v>0</v>
      </c>
      <c r="S3571">
        <v>57</v>
      </c>
      <c r="T3571" t="s">
        <v>20261</v>
      </c>
      <c r="U3571" t="s">
        <v>140</v>
      </c>
      <c r="V3571" t="s">
        <v>2299</v>
      </c>
      <c r="W3571">
        <v>41.514879999999998</v>
      </c>
      <c r="X3571">
        <v>-81.607439999999997</v>
      </c>
      <c r="Y3571" t="s">
        <v>12973</v>
      </c>
      <c r="Z3571" t="s">
        <v>20262</v>
      </c>
      <c r="AA3571" t="s">
        <v>20263</v>
      </c>
      <c r="AB3571" t="s">
        <v>2497</v>
      </c>
      <c r="AC3571" t="s">
        <v>20264</v>
      </c>
      <c r="AD3571" s="249" t="str">
        <f>HYPERLINK("https://scontent.cdninstagram.com/t51.2885-15/s320x320/e35/21147998_118308375567697_4294421263922757632_n.jpg")</f>
        <v>https://scontent.cdninstagram.com/t51.2885-15/s320x320/e35/21147998_118308375567697_4294421263922757632_n.jpg</v>
      </c>
      <c r="AE3571" s="249" t="str">
        <f>HYPERLINK("https://scontent.cdninstagram.com/t51.2885-19/s150x150/17332830_318482071888295_9084121350213206016_a.jpg")</f>
        <v>https://scontent.cdninstagram.com/t51.2885-19/s150x150/17332830_318482071888295_9084121350213206016_a.jpg</v>
      </c>
    </row>
    <row r="3572" spans="1:31" ht="15" x14ac:dyDescent="0.25">
      <c r="A3572" t="s">
        <v>2474</v>
      </c>
      <c r="B3572" t="s">
        <v>5699</v>
      </c>
      <c r="C3572" s="221">
        <v>42976.913657407407</v>
      </c>
      <c r="D3572" t="s">
        <v>20265</v>
      </c>
      <c r="E3572" s="249" t="str">
        <f>HYPERLINK("https://www.instagram.com/p/BYZnedPBcG6/")</f>
        <v>https://www.instagram.com/p/BYZnedPBcG6/</v>
      </c>
      <c r="F3572" t="s">
        <v>20266</v>
      </c>
      <c r="G3572" t="s">
        <v>2631</v>
      </c>
      <c r="H3572">
        <v>97</v>
      </c>
      <c r="I3572" t="s">
        <v>2479</v>
      </c>
      <c r="J3572">
        <v>1</v>
      </c>
      <c r="K3572">
        <v>16</v>
      </c>
      <c r="L3572">
        <v>17</v>
      </c>
      <c r="Q3572">
        <v>0</v>
      </c>
      <c r="R3572">
        <v>0</v>
      </c>
      <c r="S3572">
        <v>17</v>
      </c>
      <c r="T3572" t="s">
        <v>20267</v>
      </c>
      <c r="V3572" t="s">
        <v>2125</v>
      </c>
      <c r="W3572">
        <v>51.045000000000002</v>
      </c>
      <c r="X3572">
        <v>-114.057</v>
      </c>
      <c r="Y3572" t="s">
        <v>9408</v>
      </c>
      <c r="Z3572" t="s">
        <v>7826</v>
      </c>
      <c r="AA3572" t="s">
        <v>16430</v>
      </c>
      <c r="AB3572" t="s">
        <v>3476</v>
      </c>
      <c r="AC3572" t="s">
        <v>11615</v>
      </c>
      <c r="AD3572" s="249" t="str">
        <f>HYPERLINK("https://scontent.cdninstagram.com/t51.2885-15/s320x320/e15/21147874_110057123063968_8381266676825456640_n.jpg")</f>
        <v>https://scontent.cdninstagram.com/t51.2885-15/s320x320/e15/21147874_110057123063968_8381266676825456640_n.jpg</v>
      </c>
      <c r="AE3572" s="249" t="str">
        <f>HYPERLINK("https://scontent.cdninstagram.com/t51.2885-19/s150x150/18252635_446319085720165_2717160400675143680_a.jpg")</f>
        <v>https://scontent.cdninstagram.com/t51.2885-19/s150x150/18252635_446319085720165_2717160400675143680_a.jpg</v>
      </c>
    </row>
    <row r="3573" spans="1:31" ht="15" x14ac:dyDescent="0.25">
      <c r="A3573" t="s">
        <v>2474</v>
      </c>
      <c r="B3573" t="s">
        <v>20268</v>
      </c>
      <c r="C3573" s="221">
        <v>42976.92255787037</v>
      </c>
      <c r="D3573" t="s">
        <v>20269</v>
      </c>
      <c r="E3573" s="249" t="str">
        <f>HYPERLINK("https://www.instagram.com/p/BYZo8TTgISh/")</f>
        <v>https://www.instagram.com/p/BYZo8TTgISh/</v>
      </c>
      <c r="F3573" t="s">
        <v>20270</v>
      </c>
      <c r="G3573" t="s">
        <v>2478</v>
      </c>
      <c r="H3573">
        <v>238</v>
      </c>
      <c r="I3573" t="s">
        <v>2542</v>
      </c>
      <c r="J3573">
        <v>0</v>
      </c>
      <c r="K3573">
        <v>0</v>
      </c>
      <c r="L3573">
        <v>0</v>
      </c>
      <c r="Q3573">
        <v>0</v>
      </c>
      <c r="R3573">
        <v>0</v>
      </c>
      <c r="S3573">
        <v>0</v>
      </c>
      <c r="Y3573" t="s">
        <v>20271</v>
      </c>
      <c r="Z3573" t="s">
        <v>20272</v>
      </c>
      <c r="AA3573" t="s">
        <v>2497</v>
      </c>
      <c r="AB3573" t="s">
        <v>20273</v>
      </c>
      <c r="AC3573" t="s">
        <v>20274</v>
      </c>
      <c r="AD3573" s="249" t="str">
        <f>HYPERLINK("https://scontent.cdninstagram.com/t51.2885-15/s320x320/e35/21147232_1956816794574752_1947290515049283584_n.jpg")</f>
        <v>https://scontent.cdninstagram.com/t51.2885-15/s320x320/e35/21147232_1956816794574752_1947290515049283584_n.jpg</v>
      </c>
      <c r="AE3573" s="249" t="str">
        <f>HYPERLINK("https://scontent.cdninstagram.com/t51.2885-19/s150x150/16465411_134204967092553_1875926261876916224_a.jpg")</f>
        <v>https://scontent.cdninstagram.com/t51.2885-19/s150x150/16465411_134204967092553_1875926261876916224_a.jpg</v>
      </c>
    </row>
    <row r="3574" spans="1:31" ht="15" x14ac:dyDescent="0.25">
      <c r="A3574" t="s">
        <v>2474</v>
      </c>
      <c r="B3574" t="s">
        <v>20275</v>
      </c>
      <c r="C3574" s="221">
        <v>42976.928923611114</v>
      </c>
      <c r="D3574" t="s">
        <v>20276</v>
      </c>
      <c r="E3574" s="249" t="str">
        <f>HYPERLINK("https://www.instagram.com/p/BYZp_fQlKiR/")</f>
        <v>https://www.instagram.com/p/BYZp_fQlKiR/</v>
      </c>
      <c r="F3574" t="s">
        <v>20277</v>
      </c>
      <c r="G3574" t="s">
        <v>2478</v>
      </c>
      <c r="H3574">
        <v>37</v>
      </c>
      <c r="I3574" t="s">
        <v>2479</v>
      </c>
      <c r="J3574">
        <v>0</v>
      </c>
      <c r="K3574">
        <v>14</v>
      </c>
      <c r="L3574">
        <v>14</v>
      </c>
      <c r="Q3574">
        <v>0</v>
      </c>
      <c r="R3574">
        <v>0</v>
      </c>
      <c r="S3574">
        <v>14</v>
      </c>
      <c r="Y3574" t="s">
        <v>2497</v>
      </c>
      <c r="Z3574" t="s">
        <v>20278</v>
      </c>
      <c r="AD3574" s="249" t="str">
        <f>HYPERLINK("https://scontent.cdninstagram.com/t51.2885-15/s320x320/e35/21224232_121072961882490_3276855572044972032_n.jpg")</f>
        <v>https://scontent.cdninstagram.com/t51.2885-15/s320x320/e35/21224232_121072961882490_3276855572044972032_n.jpg</v>
      </c>
      <c r="AE3574" s="249" t="str">
        <f>HYPERLINK("https://scontent.cdninstagram.com/t51.2885-19/s150x150/17333639_1286945784688023_7074107996061564928_a.jpg")</f>
        <v>https://scontent.cdninstagram.com/t51.2885-19/s150x150/17333639_1286945784688023_7074107996061564928_a.jpg</v>
      </c>
    </row>
    <row r="3575" spans="1:31" ht="15" x14ac:dyDescent="0.25">
      <c r="A3575" t="s">
        <v>2474</v>
      </c>
      <c r="B3575" t="s">
        <v>4535</v>
      </c>
      <c r="C3575" s="221">
        <v>42976.933113425926</v>
      </c>
      <c r="D3575" t="s">
        <v>20279</v>
      </c>
      <c r="E3575" s="249" t="str">
        <f>HYPERLINK("https://www.instagram.com/p/BYZqrpiFmOC/")</f>
        <v>https://www.instagram.com/p/BYZqrpiFmOC/</v>
      </c>
      <c r="F3575" t="s">
        <v>20280</v>
      </c>
      <c r="G3575" t="s">
        <v>2478</v>
      </c>
      <c r="H3575">
        <v>173</v>
      </c>
      <c r="I3575" t="s">
        <v>2479</v>
      </c>
      <c r="J3575">
        <v>0</v>
      </c>
      <c r="K3575">
        <v>6</v>
      </c>
      <c r="L3575">
        <v>6</v>
      </c>
      <c r="Q3575">
        <v>0</v>
      </c>
      <c r="R3575">
        <v>0</v>
      </c>
      <c r="S3575">
        <v>6</v>
      </c>
      <c r="Y3575" t="s">
        <v>5607</v>
      </c>
      <c r="Z3575" t="s">
        <v>12358</v>
      </c>
      <c r="AA3575" t="s">
        <v>3174</v>
      </c>
      <c r="AB3575" t="s">
        <v>4542</v>
      </c>
      <c r="AC3575" t="s">
        <v>8844</v>
      </c>
      <c r="AD3575" s="249" t="str">
        <f>HYPERLINK("https://scontent.cdninstagram.com/t51.2885-15/s320x320/e35/21108032_1410552879010106_4791442507277795328_n.jpg")</f>
        <v>https://scontent.cdninstagram.com/t51.2885-15/s320x320/e35/21108032_1410552879010106_4791442507277795328_n.jpg</v>
      </c>
      <c r="AE3575" s="249" t="str">
        <f>HYPERLINK("https://scontent.cdninstagram.com/t51.2885-19/s150x150/20399028_1624608414236560_533007696291430400_a.jpg")</f>
        <v>https://scontent.cdninstagram.com/t51.2885-19/s150x150/20399028_1624608414236560_533007696291430400_a.jpg</v>
      </c>
    </row>
    <row r="3576" spans="1:31" ht="15" x14ac:dyDescent="0.25">
      <c r="A3576" t="s">
        <v>2474</v>
      </c>
      <c r="B3576" t="s">
        <v>20281</v>
      </c>
      <c r="C3576" s="221">
        <v>42976.938634259262</v>
      </c>
      <c r="D3576" t="s">
        <v>20282</v>
      </c>
      <c r="E3576" s="249" t="str">
        <f>HYPERLINK("https://www.instagram.com/p/BYZrl5xnmsI/")</f>
        <v>https://www.instagram.com/p/BYZrl5xnmsI/</v>
      </c>
      <c r="F3576" t="s">
        <v>20283</v>
      </c>
      <c r="G3576" t="s">
        <v>2478</v>
      </c>
      <c r="H3576">
        <v>886</v>
      </c>
      <c r="I3576" t="s">
        <v>2542</v>
      </c>
      <c r="J3576">
        <v>0</v>
      </c>
      <c r="K3576">
        <v>33</v>
      </c>
      <c r="L3576">
        <v>33</v>
      </c>
      <c r="Q3576">
        <v>0</v>
      </c>
      <c r="R3576">
        <v>0</v>
      </c>
      <c r="S3576">
        <v>33</v>
      </c>
      <c r="Y3576" t="s">
        <v>14097</v>
      </c>
      <c r="Z3576" t="s">
        <v>20284</v>
      </c>
      <c r="AA3576" t="s">
        <v>11400</v>
      </c>
      <c r="AB3576" t="s">
        <v>20285</v>
      </c>
      <c r="AC3576" t="s">
        <v>20286</v>
      </c>
      <c r="AD3576" s="249" t="str">
        <f>HYPERLINK("https://scontent.cdninstagram.com/t51.2885-15/s320x320/e35/21147458_128499851119844_2056687176074133504_n.jpg")</f>
        <v>https://scontent.cdninstagram.com/t51.2885-15/s320x320/e35/21147458_128499851119844_2056687176074133504_n.jpg</v>
      </c>
      <c r="AE3576" s="249" t="str">
        <f>HYPERLINK("https://scontent.cdninstagram.com/t51.2885-19/s150x150/16908827_1370975766298553_3174765900226101248_a.jpg")</f>
        <v>https://scontent.cdninstagram.com/t51.2885-19/s150x150/16908827_1370975766298553_3174765900226101248_a.jpg</v>
      </c>
    </row>
    <row r="3577" spans="1:31" ht="15" x14ac:dyDescent="0.25">
      <c r="A3577" t="s">
        <v>2474</v>
      </c>
      <c r="B3577" t="s">
        <v>20287</v>
      </c>
      <c r="C3577" s="221">
        <v>42976.953043981484</v>
      </c>
      <c r="D3577" t="s">
        <v>20288</v>
      </c>
      <c r="E3577" s="249" t="str">
        <f>HYPERLINK("https://www.instagram.com/p/BYZt98OBhbT/")</f>
        <v>https://www.instagram.com/p/BYZt98OBhbT/</v>
      </c>
      <c r="F3577" t="s">
        <v>20289</v>
      </c>
      <c r="G3577" t="s">
        <v>2478</v>
      </c>
      <c r="H3577">
        <v>465</v>
      </c>
      <c r="I3577" t="s">
        <v>2542</v>
      </c>
      <c r="J3577">
        <v>0</v>
      </c>
      <c r="K3577">
        <v>61</v>
      </c>
      <c r="L3577">
        <v>61</v>
      </c>
      <c r="Q3577">
        <v>0</v>
      </c>
      <c r="R3577">
        <v>0</v>
      </c>
      <c r="S3577">
        <v>61</v>
      </c>
      <c r="T3577" t="s">
        <v>11404</v>
      </c>
      <c r="V3577" t="s">
        <v>2237</v>
      </c>
      <c r="W3577">
        <v>-8</v>
      </c>
      <c r="X3577">
        <v>-78</v>
      </c>
      <c r="Y3577" t="s">
        <v>20290</v>
      </c>
      <c r="Z3577" t="s">
        <v>20291</v>
      </c>
      <c r="AA3577" t="s">
        <v>3337</v>
      </c>
      <c r="AB3577" t="s">
        <v>5989</v>
      </c>
      <c r="AC3577" t="s">
        <v>12809</v>
      </c>
      <c r="AD3577" s="249" t="str">
        <f>HYPERLINK("https://scontent.cdninstagram.com/t51.2885-15/s320x320/e35/21224410_340784603000505_751542113417560064_n.jpg")</f>
        <v>https://scontent.cdninstagram.com/t51.2885-15/s320x320/e35/21224410_340784603000505_751542113417560064_n.jpg</v>
      </c>
      <c r="AE3577" s="249" t="str">
        <f>HYPERLINK("https://scontent.cdninstagram.com/t51.2885-19/s150x150/19955005_1123246351152456_1028698779684962304_a.jpg")</f>
        <v>https://scontent.cdninstagram.com/t51.2885-19/s150x150/19955005_1123246351152456_1028698779684962304_a.jpg</v>
      </c>
    </row>
    <row r="3578" spans="1:31" ht="15" x14ac:dyDescent="0.25">
      <c r="A3578" t="s">
        <v>2474</v>
      </c>
      <c r="B3578" t="s">
        <v>20292</v>
      </c>
      <c r="C3578" s="221">
        <v>42976.957974537036</v>
      </c>
      <c r="D3578" t="s">
        <v>20293</v>
      </c>
      <c r="E3578" s="249" t="str">
        <f>HYPERLINK("https://www.instagram.com/p/BYZux4BjXmp/")</f>
        <v>https://www.instagram.com/p/BYZux4BjXmp/</v>
      </c>
      <c r="F3578" t="s">
        <v>20294</v>
      </c>
      <c r="G3578" t="s">
        <v>2478</v>
      </c>
      <c r="H3578">
        <v>271</v>
      </c>
      <c r="I3578" t="s">
        <v>2542</v>
      </c>
      <c r="J3578">
        <v>0</v>
      </c>
      <c r="K3578">
        <v>16</v>
      </c>
      <c r="L3578">
        <v>16</v>
      </c>
      <c r="Q3578">
        <v>0</v>
      </c>
      <c r="R3578">
        <v>0</v>
      </c>
      <c r="S3578">
        <v>16</v>
      </c>
      <c r="Y3578" t="s">
        <v>20295</v>
      </c>
      <c r="Z3578" t="s">
        <v>2778</v>
      </c>
      <c r="AA3578" t="s">
        <v>12252</v>
      </c>
      <c r="AB3578" t="s">
        <v>5383</v>
      </c>
      <c r="AC3578" t="s">
        <v>7495</v>
      </c>
      <c r="AD3578" s="249" t="str">
        <f>HYPERLINK("https://scontent.cdninstagram.com/t51.2885-15/s320x320/e35/21108093_1930018507268878_8739979901550985216_n.jpg")</f>
        <v>https://scontent.cdninstagram.com/t51.2885-15/s320x320/e35/21108093_1930018507268878_8739979901550985216_n.jpg</v>
      </c>
      <c r="AE3578" s="249" t="str">
        <f>HYPERLINK("https://scontent.cdninstagram.com/t51.2885-19/s150x150/20393882_875734775916235_3524879208855633920_a.jpg")</f>
        <v>https://scontent.cdninstagram.com/t51.2885-19/s150x150/20393882_875734775916235_3524879208855633920_a.jpg</v>
      </c>
    </row>
    <row r="3579" spans="1:31" ht="15" x14ac:dyDescent="0.25">
      <c r="A3579" t="s">
        <v>2474</v>
      </c>
      <c r="B3579" t="s">
        <v>20296</v>
      </c>
      <c r="C3579" s="221">
        <v>42976.973414351851</v>
      </c>
      <c r="D3579" t="s">
        <v>20297</v>
      </c>
      <c r="E3579" s="249" t="str">
        <f>HYPERLINK("https://www.instagram.com/p/BYZxUvfnM7t/")</f>
        <v>https://www.instagram.com/p/BYZxUvfnM7t/</v>
      </c>
      <c r="F3579" t="s">
        <v>20298</v>
      </c>
      <c r="G3579" t="s">
        <v>2478</v>
      </c>
      <c r="H3579">
        <v>200</v>
      </c>
      <c r="I3579" t="s">
        <v>2479</v>
      </c>
      <c r="J3579">
        <v>1</v>
      </c>
      <c r="K3579">
        <v>19</v>
      </c>
      <c r="L3579">
        <v>20</v>
      </c>
      <c r="Q3579">
        <v>0</v>
      </c>
      <c r="R3579">
        <v>0</v>
      </c>
      <c r="S3579">
        <v>20</v>
      </c>
      <c r="Y3579" t="s">
        <v>4180</v>
      </c>
      <c r="Z3579" t="s">
        <v>2551</v>
      </c>
      <c r="AA3579" t="s">
        <v>2861</v>
      </c>
      <c r="AB3579" t="s">
        <v>13515</v>
      </c>
      <c r="AC3579" t="s">
        <v>2492</v>
      </c>
      <c r="AD3579" s="249" t="str">
        <f>HYPERLINK("https://scontent.cdninstagram.com/t51.2885-15/e15/p320x320/21149229_469964960043077_1089708291908435968_n.jpg")</f>
        <v>https://scontent.cdninstagram.com/t51.2885-15/e15/p320x320/21149229_469964960043077_1089708291908435968_n.jpg</v>
      </c>
      <c r="AE3579" s="249" t="str">
        <f>HYPERLINK("https://scontent.cdninstagram.com/t51.2885-19/s150x150/16230097_597676827109212_7877830195439206400_n.jpg")</f>
        <v>https://scontent.cdninstagram.com/t51.2885-19/s150x150/16230097_597676827109212_7877830195439206400_n.jpg</v>
      </c>
    </row>
    <row r="3580" spans="1:31" ht="15" x14ac:dyDescent="0.25">
      <c r="A3580" t="s">
        <v>2474</v>
      </c>
      <c r="B3580" t="s">
        <v>16980</v>
      </c>
      <c r="C3580" s="221">
        <v>42976.978483796294</v>
      </c>
      <c r="D3580" t="s">
        <v>20299</v>
      </c>
      <c r="E3580" s="249" t="str">
        <f>HYPERLINK("https://www.instagram.com/p/BYZyKKkBMvG/")</f>
        <v>https://www.instagram.com/p/BYZyKKkBMvG/</v>
      </c>
      <c r="F3580" t="s">
        <v>20300</v>
      </c>
      <c r="G3580" t="s">
        <v>2478</v>
      </c>
      <c r="H3580">
        <v>91</v>
      </c>
      <c r="I3580" t="s">
        <v>2479</v>
      </c>
      <c r="J3580">
        <v>5</v>
      </c>
      <c r="K3580">
        <v>49</v>
      </c>
      <c r="L3580">
        <v>54</v>
      </c>
      <c r="Q3580">
        <v>0</v>
      </c>
      <c r="R3580">
        <v>0</v>
      </c>
      <c r="S3580">
        <v>54</v>
      </c>
      <c r="T3580" t="s">
        <v>20301</v>
      </c>
      <c r="U3580" t="s">
        <v>97</v>
      </c>
      <c r="V3580" t="s">
        <v>2299</v>
      </c>
      <c r="W3580">
        <v>34.023474099805</v>
      </c>
      <c r="X3580">
        <v>-118.28639811543</v>
      </c>
      <c r="Y3580" t="s">
        <v>20302</v>
      </c>
      <c r="AD3580" s="249" t="str">
        <f>HYPERLINK("https://scontent.cdninstagram.com/t51.2885-15/s320x320/e15/21107590_144995632761108_1011025874025185280_n.jpg")</f>
        <v>https://scontent.cdninstagram.com/t51.2885-15/s320x320/e15/21107590_144995632761108_1011025874025185280_n.jpg</v>
      </c>
      <c r="AE3580" s="249" t="str">
        <f>HYPERLINK("https://scontent.cdninstagram.com/t51.2885-19/s150x150/17662838_1488900077846637_6510729130026205184_a.jpg")</f>
        <v>https://scontent.cdninstagram.com/t51.2885-19/s150x150/17662838_1488900077846637_6510729130026205184_a.jpg</v>
      </c>
    </row>
    <row r="3581" spans="1:31" ht="15" x14ac:dyDescent="0.25">
      <c r="A3581" t="s">
        <v>2474</v>
      </c>
      <c r="B3581" t="s">
        <v>20303</v>
      </c>
      <c r="C3581" s="221">
        <v>42976.978738425925</v>
      </c>
      <c r="D3581" t="s">
        <v>20304</v>
      </c>
      <c r="E3581" s="249" t="str">
        <f>HYPERLINK("https://www.instagram.com/p/BYZyM3EFQX3/")</f>
        <v>https://www.instagram.com/p/BYZyM3EFQX3/</v>
      </c>
      <c r="F3581" t="s">
        <v>20305</v>
      </c>
      <c r="G3581" t="s">
        <v>2478</v>
      </c>
      <c r="H3581">
        <v>418</v>
      </c>
      <c r="I3581" t="s">
        <v>2479</v>
      </c>
      <c r="J3581">
        <v>6</v>
      </c>
      <c r="K3581">
        <v>55</v>
      </c>
      <c r="L3581">
        <v>61</v>
      </c>
      <c r="Q3581">
        <v>0</v>
      </c>
      <c r="R3581">
        <v>0</v>
      </c>
      <c r="S3581">
        <v>61</v>
      </c>
      <c r="Y3581" t="s">
        <v>20306</v>
      </c>
      <c r="Z3581" t="s">
        <v>20307</v>
      </c>
      <c r="AA3581" t="s">
        <v>20308</v>
      </c>
      <c r="AB3581" t="s">
        <v>20309</v>
      </c>
      <c r="AC3581" t="s">
        <v>10078</v>
      </c>
      <c r="AD3581" s="249" t="str">
        <f>HYPERLINK("https://scontent.cdninstagram.com/t51.2885-15/s320x320/e35/21149520_1493012340736741_3512695499033411584_n.jpg")</f>
        <v>https://scontent.cdninstagram.com/t51.2885-15/s320x320/e35/21149520_1493012340736741_3512695499033411584_n.jpg</v>
      </c>
      <c r="AE3581" s="249" t="str">
        <f>HYPERLINK("https://scontent.cdninstagram.com/t51.2885-19/s150x150/13739638_1582630622031313_1073844086_a.jpg")</f>
        <v>https://scontent.cdninstagram.com/t51.2885-19/s150x150/13739638_1582630622031313_1073844086_a.jpg</v>
      </c>
    </row>
    <row r="3582" spans="1:31" ht="15" x14ac:dyDescent="0.25">
      <c r="A3582" t="s">
        <v>2474</v>
      </c>
      <c r="B3582" t="s">
        <v>20310</v>
      </c>
      <c r="C3582" s="221">
        <v>42976.987442129626</v>
      </c>
      <c r="D3582" t="s">
        <v>20311</v>
      </c>
      <c r="E3582" s="249" t="str">
        <f>HYPERLINK("https://www.instagram.com/p/BYZzounDcWR/")</f>
        <v>https://www.instagram.com/p/BYZzounDcWR/</v>
      </c>
      <c r="F3582" t="s">
        <v>20312</v>
      </c>
      <c r="G3582" t="s">
        <v>2478</v>
      </c>
      <c r="H3582">
        <v>276</v>
      </c>
      <c r="I3582" t="s">
        <v>2542</v>
      </c>
      <c r="J3582">
        <v>0</v>
      </c>
      <c r="K3582">
        <v>20</v>
      </c>
      <c r="L3582">
        <v>20</v>
      </c>
      <c r="Q3582">
        <v>0</v>
      </c>
      <c r="R3582">
        <v>0</v>
      </c>
      <c r="S3582">
        <v>20</v>
      </c>
      <c r="T3582" t="s">
        <v>20313</v>
      </c>
      <c r="U3582" t="s">
        <v>238</v>
      </c>
      <c r="V3582" t="s">
        <v>2299</v>
      </c>
      <c r="W3582">
        <v>36.488630235959</v>
      </c>
      <c r="X3582">
        <v>-119.72972050781</v>
      </c>
      <c r="Y3582" t="s">
        <v>20314</v>
      </c>
      <c r="Z3582" t="s">
        <v>6164</v>
      </c>
      <c r="AA3582" t="s">
        <v>4539</v>
      </c>
      <c r="AB3582" t="s">
        <v>11777</v>
      </c>
      <c r="AC3582" t="s">
        <v>9496</v>
      </c>
      <c r="AD3582" s="249" t="str">
        <f>HYPERLINK("https://scontent.cdninstagram.com/t51.2885-15/s320x320/e35/21148890_968322453310349_1811369342890147840_n.jpg")</f>
        <v>https://scontent.cdninstagram.com/t51.2885-15/s320x320/e35/21148890_968322453310349_1811369342890147840_n.jpg</v>
      </c>
      <c r="AE3582" s="249" t="str">
        <f>HYPERLINK("https://scontent.cdninstagram.com/t51.2885-19/s150x150/12135233_103933146636402_1291624130_a.jpg")</f>
        <v>https://scontent.cdninstagram.com/t51.2885-19/s150x150/12135233_103933146636402_1291624130_a.jpg</v>
      </c>
    </row>
    <row r="3583" spans="1:31" ht="15" x14ac:dyDescent="0.25">
      <c r="A3583" t="s">
        <v>2474</v>
      </c>
      <c r="B3583" t="s">
        <v>20315</v>
      </c>
      <c r="C3583" s="221">
        <v>42976.99355324074</v>
      </c>
      <c r="D3583" t="s">
        <v>20316</v>
      </c>
      <c r="E3583" s="249" t="str">
        <f>HYPERLINK("https://www.instagram.com/p/BYZ0pF9FSLS/")</f>
        <v>https://www.instagram.com/p/BYZ0pF9FSLS/</v>
      </c>
      <c r="F3583" t="s">
        <v>20317</v>
      </c>
      <c r="G3583" t="s">
        <v>2478</v>
      </c>
      <c r="H3583">
        <v>1073</v>
      </c>
      <c r="I3583" t="s">
        <v>2542</v>
      </c>
      <c r="J3583">
        <v>0</v>
      </c>
      <c r="K3583">
        <v>37</v>
      </c>
      <c r="L3583">
        <v>37</v>
      </c>
      <c r="Q3583">
        <v>0</v>
      </c>
      <c r="R3583">
        <v>0</v>
      </c>
      <c r="S3583">
        <v>37</v>
      </c>
      <c r="T3583" t="s">
        <v>20318</v>
      </c>
      <c r="V3583" t="s">
        <v>2272</v>
      </c>
      <c r="W3583">
        <v>33.512058805377997</v>
      </c>
      <c r="X3583">
        <v>36.291103363037003</v>
      </c>
      <c r="Y3583" t="s">
        <v>20319</v>
      </c>
      <c r="Z3583" t="s">
        <v>2521</v>
      </c>
      <c r="AA3583" t="s">
        <v>20320</v>
      </c>
      <c r="AB3583" t="s">
        <v>4684</v>
      </c>
      <c r="AC3583" t="s">
        <v>2562</v>
      </c>
      <c r="AD3583" s="249" t="str">
        <f>HYPERLINK("https://scontent.cdninstagram.com/t51.2885-15/s320x320/e35/21147497_692017957668355_3928428112580182016_n.jpg")</f>
        <v>https://scontent.cdninstagram.com/t51.2885-15/s320x320/e35/21147497_692017957668355_3928428112580182016_n.jpg</v>
      </c>
      <c r="AE3583" s="249" t="str">
        <f>HYPERLINK("https://scontent.cdninstagram.com/t51.2885-19/s150x150/21436236_115325379183923_8523496919719215104_a.jpg")</f>
        <v>https://scontent.cdninstagram.com/t51.2885-19/s150x150/21436236_115325379183923_8523496919719215104_a.jpg</v>
      </c>
    </row>
    <row r="3584" spans="1:31" ht="15" x14ac:dyDescent="0.25">
      <c r="A3584" t="s">
        <v>2474</v>
      </c>
      <c r="B3584" t="s">
        <v>20321</v>
      </c>
      <c r="C3584" s="221">
        <v>42977.009409722225</v>
      </c>
      <c r="D3584" t="s">
        <v>20322</v>
      </c>
      <c r="E3584" s="249" t="str">
        <f>HYPERLINK("https://www.instagram.com/p/BYZ3QZ5Aahz/")</f>
        <v>https://www.instagram.com/p/BYZ3QZ5Aahz/</v>
      </c>
      <c r="F3584" t="s">
        <v>20323</v>
      </c>
      <c r="G3584" t="s">
        <v>2478</v>
      </c>
      <c r="H3584">
        <v>1105</v>
      </c>
      <c r="I3584" t="s">
        <v>2479</v>
      </c>
      <c r="J3584">
        <v>6</v>
      </c>
      <c r="K3584">
        <v>212</v>
      </c>
      <c r="L3584">
        <v>218</v>
      </c>
      <c r="Q3584">
        <v>0</v>
      </c>
      <c r="R3584">
        <v>0</v>
      </c>
      <c r="S3584">
        <v>218</v>
      </c>
      <c r="Y3584" t="s">
        <v>20324</v>
      </c>
      <c r="Z3584" t="s">
        <v>20325</v>
      </c>
      <c r="AA3584" t="s">
        <v>7703</v>
      </c>
      <c r="AB3584" t="s">
        <v>20326</v>
      </c>
      <c r="AC3584" t="s">
        <v>2497</v>
      </c>
      <c r="AD3584" s="249" t="str">
        <f>HYPERLINK("https://scontent.cdninstagram.com/t51.2885-15/s320x320/e35/21147931_316924435436284_4911383274359619584_n.jpg")</f>
        <v>https://scontent.cdninstagram.com/t51.2885-15/s320x320/e35/21147931_316924435436284_4911383274359619584_n.jpg</v>
      </c>
      <c r="AE3584" s="249" t="str">
        <f>HYPERLINK("https://scontent.cdninstagram.com/t51.2885-19/s150x150/20181219_201676193698011_2226845430925230080_a.jpg")</f>
        <v>https://scontent.cdninstagram.com/t51.2885-19/s150x150/20181219_201676193698011_2226845430925230080_a.jpg</v>
      </c>
    </row>
    <row r="3585" spans="1:31" ht="15" x14ac:dyDescent="0.25">
      <c r="A3585" t="s">
        <v>2474</v>
      </c>
      <c r="B3585" t="s">
        <v>20327</v>
      </c>
      <c r="C3585" s="221">
        <v>42977.010671296295</v>
      </c>
      <c r="D3585" t="s">
        <v>20328</v>
      </c>
      <c r="E3585" s="249" t="str">
        <f>HYPERLINK("https://www.instagram.com/p/BYZ3dteBBMz/")</f>
        <v>https://www.instagram.com/p/BYZ3dteBBMz/</v>
      </c>
      <c r="F3585" t="s">
        <v>20329</v>
      </c>
      <c r="G3585" t="s">
        <v>2488</v>
      </c>
      <c r="H3585">
        <v>119</v>
      </c>
      <c r="I3585" t="s">
        <v>2479</v>
      </c>
      <c r="J3585">
        <v>0</v>
      </c>
      <c r="K3585">
        <v>9</v>
      </c>
      <c r="L3585">
        <v>9</v>
      </c>
      <c r="Q3585">
        <v>0</v>
      </c>
      <c r="R3585">
        <v>0</v>
      </c>
      <c r="S3585">
        <v>9</v>
      </c>
      <c r="T3585" t="s">
        <v>20330</v>
      </c>
      <c r="U3585" t="s">
        <v>1142</v>
      </c>
      <c r="V3585" t="s">
        <v>2299</v>
      </c>
      <c r="W3585">
        <v>32.896999999999998</v>
      </c>
      <c r="X3585">
        <v>-110.488</v>
      </c>
      <c r="Y3585" t="s">
        <v>20331</v>
      </c>
      <c r="Z3585" t="s">
        <v>5848</v>
      </c>
      <c r="AA3585" t="s">
        <v>10796</v>
      </c>
      <c r="AB3585" t="s">
        <v>3543</v>
      </c>
      <c r="AC3585" t="s">
        <v>2696</v>
      </c>
      <c r="AD3585" s="249" t="str">
        <f>HYPERLINK("https://scontent.cdninstagram.com/t51.2885-15/s320x320/e35/21107504_1047549102047505_3190804480635437056_n.jpg")</f>
        <v>https://scontent.cdninstagram.com/t51.2885-15/s320x320/e35/21107504_1047549102047505_3190804480635437056_n.jpg</v>
      </c>
      <c r="AE3585" s="249" t="str">
        <f>HYPERLINK("https://scontent.cdninstagram.com/t51.2885-19/s150x150/925143_1537635036529257_1979282403_a.jpg")</f>
        <v>https://scontent.cdninstagram.com/t51.2885-19/s150x150/925143_1537635036529257_1979282403_a.jpg</v>
      </c>
    </row>
    <row r="3586" spans="1:31" ht="15" x14ac:dyDescent="0.25">
      <c r="A3586" t="s">
        <v>2474</v>
      </c>
      <c r="B3586" t="s">
        <v>4616</v>
      </c>
      <c r="C3586" s="221">
        <v>42977.014884259261</v>
      </c>
      <c r="D3586" t="s">
        <v>20332</v>
      </c>
      <c r="E3586" s="249" t="str">
        <f>HYPERLINK("https://www.instagram.com/p/BYZ4KI1h-lW/")</f>
        <v>https://www.instagram.com/p/BYZ4KI1h-lW/</v>
      </c>
      <c r="F3586" t="s">
        <v>20333</v>
      </c>
      <c r="G3586" t="s">
        <v>2478</v>
      </c>
      <c r="H3586">
        <v>113</v>
      </c>
      <c r="I3586" t="s">
        <v>2479</v>
      </c>
      <c r="J3586">
        <v>3</v>
      </c>
      <c r="K3586">
        <v>34</v>
      </c>
      <c r="L3586">
        <v>37</v>
      </c>
      <c r="Q3586">
        <v>0</v>
      </c>
      <c r="R3586">
        <v>0</v>
      </c>
      <c r="S3586">
        <v>37</v>
      </c>
      <c r="T3586" t="s">
        <v>20334</v>
      </c>
      <c r="V3586" t="s">
        <v>2125</v>
      </c>
      <c r="W3586">
        <v>44.67</v>
      </c>
      <c r="X3586">
        <v>-63.61</v>
      </c>
      <c r="Y3586" t="s">
        <v>4623</v>
      </c>
      <c r="Z3586" t="s">
        <v>7451</v>
      </c>
      <c r="AA3586" t="s">
        <v>3569</v>
      </c>
      <c r="AB3586" t="s">
        <v>6429</v>
      </c>
      <c r="AC3586" t="s">
        <v>4622</v>
      </c>
      <c r="AD3586" s="249" t="str">
        <f>HYPERLINK("https://scontent.cdninstagram.com/t51.2885-15/s320x320/e35/21147317_851507598341021_8743798402355036160_n.jpg")</f>
        <v>https://scontent.cdninstagram.com/t51.2885-15/s320x320/e35/21147317_851507598341021_8743798402355036160_n.jpg</v>
      </c>
      <c r="AE3586" s="249" t="str">
        <f>HYPERLINK("https://scontent.cdninstagram.com/t51.2885-19/s150x150/17494353_1347957098574282_2527511313651859456_a.jpg")</f>
        <v>https://scontent.cdninstagram.com/t51.2885-19/s150x150/17494353_1347957098574282_2527511313651859456_a.jpg</v>
      </c>
    </row>
    <row r="3587" spans="1:31" ht="15" x14ac:dyDescent="0.25">
      <c r="A3587" t="s">
        <v>2474</v>
      </c>
      <c r="B3587" t="s">
        <v>2516</v>
      </c>
      <c r="C3587" s="221">
        <v>42977.047962962963</v>
      </c>
      <c r="D3587" t="s">
        <v>20335</v>
      </c>
      <c r="E3587" s="249" t="str">
        <f>HYPERLINK("https://www.instagram.com/p/BYZ9m_gjlr6/")</f>
        <v>https://www.instagram.com/p/BYZ9m_gjlr6/</v>
      </c>
      <c r="F3587" t="s">
        <v>20336</v>
      </c>
      <c r="G3587" t="s">
        <v>2478</v>
      </c>
      <c r="H3587">
        <v>690</v>
      </c>
      <c r="I3587" t="s">
        <v>3186</v>
      </c>
      <c r="J3587">
        <v>0</v>
      </c>
      <c r="K3587">
        <v>43</v>
      </c>
      <c r="L3587">
        <v>43</v>
      </c>
      <c r="Q3587">
        <v>0</v>
      </c>
      <c r="R3587">
        <v>0</v>
      </c>
      <c r="S3587">
        <v>43</v>
      </c>
      <c r="Y3587" t="s">
        <v>6719</v>
      </c>
      <c r="Z3587" t="s">
        <v>3543</v>
      </c>
      <c r="AA3587" t="s">
        <v>2559</v>
      </c>
      <c r="AB3587" t="s">
        <v>20337</v>
      </c>
      <c r="AC3587" t="s">
        <v>5788</v>
      </c>
      <c r="AD3587" s="249" t="str">
        <f>HYPERLINK("https://scontent.cdninstagram.com/t51.2885-15/s320x320/e35/21148073_2030403590579575_8318861746907381760_n.jpg")</f>
        <v>https://scontent.cdninstagram.com/t51.2885-15/s320x320/e35/21148073_2030403590579575_8318861746907381760_n.jpg</v>
      </c>
      <c r="AE3587" s="249" t="str">
        <f>HYPERLINK("https://scontent.cdninstagram.com/t51.2885-19/s150x150/21372563_140209839921980_5104164354614362112_a.jpg")</f>
        <v>https://scontent.cdninstagram.com/t51.2885-19/s150x150/21372563_140209839921980_5104164354614362112_a.jpg</v>
      </c>
    </row>
    <row r="3588" spans="1:31" ht="15" x14ac:dyDescent="0.25">
      <c r="A3588" t="s">
        <v>2474</v>
      </c>
      <c r="B3588" t="s">
        <v>20338</v>
      </c>
      <c r="C3588" s="221">
        <v>42977.060578703706</v>
      </c>
      <c r="D3588" t="s">
        <v>20339</v>
      </c>
      <c r="E3588" s="249" t="str">
        <f>HYPERLINK("https://www.instagram.com/p/BYZ_sC1AdhR/")</f>
        <v>https://www.instagram.com/p/BYZ_sC1AdhR/</v>
      </c>
      <c r="F3588" t="s">
        <v>20340</v>
      </c>
      <c r="G3588" t="s">
        <v>2478</v>
      </c>
      <c r="H3588">
        <v>397</v>
      </c>
      <c r="I3588" t="s">
        <v>3025</v>
      </c>
      <c r="J3588">
        <v>0</v>
      </c>
      <c r="K3588">
        <v>27</v>
      </c>
      <c r="L3588">
        <v>27</v>
      </c>
      <c r="Q3588">
        <v>0</v>
      </c>
      <c r="R3588">
        <v>0</v>
      </c>
      <c r="S3588">
        <v>27</v>
      </c>
      <c r="Y3588" t="s">
        <v>20341</v>
      </c>
      <c r="Z3588" t="s">
        <v>2898</v>
      </c>
      <c r="AA3588" t="s">
        <v>20342</v>
      </c>
      <c r="AB3588" t="s">
        <v>7960</v>
      </c>
      <c r="AC3588" t="s">
        <v>20343</v>
      </c>
      <c r="AD3588" s="249" t="str">
        <f>HYPERLINK("https://scontent.cdninstagram.com/t51.2885-15/s320x320/e35/21149357_1487265467999007_5809472038443679744_n.jpg")</f>
        <v>https://scontent.cdninstagram.com/t51.2885-15/s320x320/e35/21149357_1487265467999007_5809472038443679744_n.jpg</v>
      </c>
      <c r="AE3588" s="249" t="str">
        <f>HYPERLINK("https://scontent.cdninstagram.com/t51.2885-19/s150x150/13256638_188524888213365_784910033_a.jpg")</f>
        <v>https://scontent.cdninstagram.com/t51.2885-19/s150x150/13256638_188524888213365_784910033_a.jpg</v>
      </c>
    </row>
    <row r="3589" spans="1:31" ht="15" x14ac:dyDescent="0.25">
      <c r="A3589" t="s">
        <v>2474</v>
      </c>
      <c r="B3589" t="s">
        <v>20344</v>
      </c>
      <c r="C3589" s="221">
        <v>42977.08829861111</v>
      </c>
      <c r="D3589" t="s">
        <v>20345</v>
      </c>
      <c r="E3589" s="249" t="str">
        <f>HYPERLINK("https://www.instagram.com/p/BYaEQcwgowY/")</f>
        <v>https://www.instagram.com/p/BYaEQcwgowY/</v>
      </c>
      <c r="F3589" t="s">
        <v>20346</v>
      </c>
      <c r="G3589" t="s">
        <v>2478</v>
      </c>
      <c r="H3589">
        <v>159</v>
      </c>
      <c r="I3589" t="s">
        <v>3186</v>
      </c>
      <c r="J3589">
        <v>1</v>
      </c>
      <c r="K3589">
        <v>34</v>
      </c>
      <c r="L3589">
        <v>35</v>
      </c>
      <c r="Q3589">
        <v>0</v>
      </c>
      <c r="R3589">
        <v>0</v>
      </c>
      <c r="S3589">
        <v>35</v>
      </c>
      <c r="Y3589" t="s">
        <v>2497</v>
      </c>
      <c r="Z3589" t="s">
        <v>20347</v>
      </c>
      <c r="AA3589" t="s">
        <v>2492</v>
      </c>
      <c r="AB3589" t="s">
        <v>4513</v>
      </c>
      <c r="AC3589" t="s">
        <v>20348</v>
      </c>
      <c r="AD3589" s="249" t="str">
        <f>HYPERLINK("https://scontent.cdninstagram.com/t51.2885-15/e35/p320x320/21148064_168145087086270_5217251204295294976_n.jpg")</f>
        <v>https://scontent.cdninstagram.com/t51.2885-15/e35/p320x320/21148064_168145087086270_5217251204295294976_n.jpg</v>
      </c>
      <c r="AE3589" s="249" t="str">
        <f>HYPERLINK("https://scontent.cdninstagram.com/t51.2885-19/s150x150/21147268_266921320463099_8718754426577223680_a.jpg")</f>
        <v>https://scontent.cdninstagram.com/t51.2885-19/s150x150/21147268_266921320463099_8718754426577223680_a.jpg</v>
      </c>
    </row>
    <row r="3590" spans="1:31" ht="15" x14ac:dyDescent="0.25">
      <c r="A3590" t="s">
        <v>2474</v>
      </c>
      <c r="B3590" t="s">
        <v>20349</v>
      </c>
      <c r="C3590" s="221">
        <v>42977.089675925927</v>
      </c>
      <c r="D3590" t="s">
        <v>20350</v>
      </c>
      <c r="E3590" s="249" t="str">
        <f>HYPERLINK("https://www.instagram.com/p/BYaEe7FAoPo/")</f>
        <v>https://www.instagram.com/p/BYaEe7FAoPo/</v>
      </c>
      <c r="F3590" t="s">
        <v>20351</v>
      </c>
      <c r="G3590" t="s">
        <v>2478</v>
      </c>
      <c r="H3590">
        <v>286</v>
      </c>
      <c r="I3590" t="s">
        <v>2479</v>
      </c>
      <c r="J3590">
        <v>1</v>
      </c>
      <c r="K3590">
        <v>15</v>
      </c>
      <c r="L3590">
        <v>16</v>
      </c>
      <c r="Q3590">
        <v>0</v>
      </c>
      <c r="R3590">
        <v>0</v>
      </c>
      <c r="S3590">
        <v>16</v>
      </c>
      <c r="Y3590" t="s">
        <v>20352</v>
      </c>
      <c r="Z3590" t="s">
        <v>20353</v>
      </c>
      <c r="AA3590" t="s">
        <v>20354</v>
      </c>
      <c r="AB3590" t="s">
        <v>20355</v>
      </c>
      <c r="AC3590" t="s">
        <v>20356</v>
      </c>
      <c r="AD3590" s="249" t="str">
        <f>HYPERLINK("https://scontent.cdninstagram.com/t51.2885-15/s320x320/e35/21149416_1440133432761598_8021186866520784896_n.jpg")</f>
        <v>https://scontent.cdninstagram.com/t51.2885-15/s320x320/e35/21149416_1440133432761598_8021186866520784896_n.jpg</v>
      </c>
      <c r="AE3590" s="249" t="str">
        <f>HYPERLINK("https://scontent.cdninstagram.com/t51.2885-19/s150x150/16465464_251254055328016_885081172160282624_a.jpg")</f>
        <v>https://scontent.cdninstagram.com/t51.2885-19/s150x150/16465464_251254055328016_885081172160282624_a.jpg</v>
      </c>
    </row>
    <row r="3591" spans="1:31" ht="15" x14ac:dyDescent="0.25">
      <c r="A3591" t="s">
        <v>2474</v>
      </c>
      <c r="B3591" t="s">
        <v>5766</v>
      </c>
      <c r="C3591" s="221">
        <v>42977.089872685188</v>
      </c>
      <c r="D3591" t="s">
        <v>20357</v>
      </c>
      <c r="E3591" s="249" t="str">
        <f>HYPERLINK("https://www.instagram.com/p/BYaEhB2gqmA/")</f>
        <v>https://www.instagram.com/p/BYaEhB2gqmA/</v>
      </c>
      <c r="F3591" t="s">
        <v>20358</v>
      </c>
      <c r="G3591" t="s">
        <v>2478</v>
      </c>
      <c r="H3591">
        <v>140</v>
      </c>
      <c r="I3591" t="s">
        <v>2479</v>
      </c>
      <c r="J3591">
        <v>0</v>
      </c>
      <c r="K3591">
        <v>33</v>
      </c>
      <c r="L3591">
        <v>33</v>
      </c>
      <c r="Q3591">
        <v>0</v>
      </c>
      <c r="R3591">
        <v>0</v>
      </c>
      <c r="S3591">
        <v>33</v>
      </c>
      <c r="Y3591" t="s">
        <v>13172</v>
      </c>
      <c r="Z3591" t="s">
        <v>20359</v>
      </c>
      <c r="AA3591" t="s">
        <v>20360</v>
      </c>
      <c r="AB3591" t="s">
        <v>7925</v>
      </c>
      <c r="AC3591" t="s">
        <v>7329</v>
      </c>
      <c r="AD3591" s="249" t="str">
        <f>HYPERLINK("https://scontent.cdninstagram.com/t51.2885-15/e35/p320x320/21149582_1908990902756510_6279676588334252032_n.jpg")</f>
        <v>https://scontent.cdninstagram.com/t51.2885-15/e35/p320x320/21149582_1908990902756510_6279676588334252032_n.jpg</v>
      </c>
      <c r="AE3591" s="249" t="str">
        <f>HYPERLINK("https://scontent.cdninstagram.com/t51.2885-19/s150x150/18879663_1692879440726703_2212180471251468288_a.jpg")</f>
        <v>https://scontent.cdninstagram.com/t51.2885-19/s150x150/18879663_1692879440726703_2212180471251468288_a.jpg</v>
      </c>
    </row>
    <row r="3592" spans="1:31" ht="15" x14ac:dyDescent="0.25">
      <c r="A3592" t="s">
        <v>2474</v>
      </c>
      <c r="B3592" t="s">
        <v>7421</v>
      </c>
      <c r="C3592" s="221">
        <v>42977.0934375</v>
      </c>
      <c r="D3592" t="s">
        <v>20361</v>
      </c>
      <c r="E3592" s="249" t="str">
        <f>HYPERLINK("https://www.instagram.com/p/BYaFGn1AyKz/")</f>
        <v>https://www.instagram.com/p/BYaFGn1AyKz/</v>
      </c>
      <c r="F3592" t="s">
        <v>20362</v>
      </c>
      <c r="G3592" t="s">
        <v>2478</v>
      </c>
      <c r="H3592">
        <v>512</v>
      </c>
      <c r="I3592" t="s">
        <v>2479</v>
      </c>
      <c r="J3592">
        <v>4</v>
      </c>
      <c r="K3592">
        <v>83</v>
      </c>
      <c r="L3592">
        <v>87</v>
      </c>
      <c r="Q3592">
        <v>0</v>
      </c>
      <c r="R3592">
        <v>0</v>
      </c>
      <c r="S3592">
        <v>87</v>
      </c>
      <c r="T3592" t="s">
        <v>20363</v>
      </c>
      <c r="V3592" t="s">
        <v>2270</v>
      </c>
      <c r="W3592">
        <v>59.607599999999998</v>
      </c>
      <c r="X3592">
        <v>16.55491</v>
      </c>
      <c r="Y3592" t="s">
        <v>20364</v>
      </c>
      <c r="Z3592" t="s">
        <v>20365</v>
      </c>
      <c r="AA3592" t="s">
        <v>20366</v>
      </c>
      <c r="AB3592" t="s">
        <v>13859</v>
      </c>
      <c r="AC3592" t="s">
        <v>20367</v>
      </c>
      <c r="AD3592" s="249" t="str">
        <f>HYPERLINK("https://scontent.cdninstagram.com/t51.2885-15/e35/p320x320/21147509_116498142406070_4263662589344481280_n.jpg")</f>
        <v>https://scontent.cdninstagram.com/t51.2885-15/e35/p320x320/21147509_116498142406070_4263662589344481280_n.jpg</v>
      </c>
      <c r="AE3592" s="249" t="str">
        <f>HYPERLINK("https://scontent.cdninstagram.com/t51.2885-19/s150x150/21149381_111820502847444_8601511457303035904_a.jpg")</f>
        <v>https://scontent.cdninstagram.com/t51.2885-19/s150x150/21149381_111820502847444_8601511457303035904_a.jpg</v>
      </c>
    </row>
    <row r="3593" spans="1:31" ht="15" x14ac:dyDescent="0.25">
      <c r="A3593" t="s">
        <v>2474</v>
      </c>
      <c r="B3593" t="s">
        <v>20368</v>
      </c>
      <c r="C3593" s="221">
        <v>42977.094236111108</v>
      </c>
      <c r="D3593" t="s">
        <v>20369</v>
      </c>
      <c r="E3593" s="249" t="str">
        <f>HYPERLINK("https://www.instagram.com/p/BYaFO-cBdi8/")</f>
        <v>https://www.instagram.com/p/BYaFO-cBdi8/</v>
      </c>
      <c r="F3593" t="s">
        <v>20370</v>
      </c>
      <c r="G3593" t="s">
        <v>2478</v>
      </c>
      <c r="H3593">
        <v>67</v>
      </c>
      <c r="I3593" t="s">
        <v>2479</v>
      </c>
      <c r="J3593">
        <v>1</v>
      </c>
      <c r="K3593">
        <v>6</v>
      </c>
      <c r="L3593">
        <v>7</v>
      </c>
      <c r="Q3593">
        <v>0</v>
      </c>
      <c r="R3593">
        <v>0</v>
      </c>
      <c r="S3593">
        <v>7</v>
      </c>
      <c r="T3593" t="s">
        <v>20371</v>
      </c>
      <c r="V3593" t="s">
        <v>2222</v>
      </c>
      <c r="W3593">
        <v>53.033299999999997</v>
      </c>
      <c r="X3593">
        <v>5.6666699999999999</v>
      </c>
      <c r="Y3593" t="s">
        <v>20372</v>
      </c>
      <c r="Z3593" t="s">
        <v>20373</v>
      </c>
      <c r="AA3593" t="s">
        <v>2497</v>
      </c>
      <c r="AB3593" t="s">
        <v>20374</v>
      </c>
      <c r="AD3593" s="249" t="str">
        <f>HYPERLINK("https://scontent.cdninstagram.com/t51.2885-15/s320x320/e35/21148060_342581222858812_2656712455425622016_n.jpg")</f>
        <v>https://scontent.cdninstagram.com/t51.2885-15/s320x320/e35/21148060_342581222858812_2656712455425622016_n.jpg</v>
      </c>
      <c r="AE3593" s="249" t="str">
        <f>HYPERLINK("https://scontent.cdninstagram.com/t51.2885-19/s150x150/19367199_320440371721276_247560622156283904_a.jpg")</f>
        <v>https://scontent.cdninstagram.com/t51.2885-19/s150x150/19367199_320440371721276_247560622156283904_a.jpg</v>
      </c>
    </row>
    <row r="3594" spans="1:31" ht="15" x14ac:dyDescent="0.25">
      <c r="A3594" t="s">
        <v>2474</v>
      </c>
      <c r="B3594" t="s">
        <v>20375</v>
      </c>
      <c r="C3594" s="221">
        <v>42977.118900462963</v>
      </c>
      <c r="D3594" t="s">
        <v>20376</v>
      </c>
      <c r="E3594" s="249" t="str">
        <f>HYPERLINK("https://www.instagram.com/p/BYaJTMhAkPW/")</f>
        <v>https://www.instagram.com/p/BYaJTMhAkPW/</v>
      </c>
      <c r="F3594" t="s">
        <v>20377</v>
      </c>
      <c r="G3594" t="s">
        <v>2478</v>
      </c>
      <c r="H3594">
        <v>239</v>
      </c>
      <c r="I3594" t="s">
        <v>2510</v>
      </c>
      <c r="J3594">
        <v>1</v>
      </c>
      <c r="K3594">
        <v>17</v>
      </c>
      <c r="L3594">
        <v>18</v>
      </c>
      <c r="Q3594">
        <v>0</v>
      </c>
      <c r="R3594">
        <v>0</v>
      </c>
      <c r="S3594">
        <v>18</v>
      </c>
      <c r="Y3594" t="s">
        <v>2497</v>
      </c>
      <c r="Z3594" t="s">
        <v>20378</v>
      </c>
      <c r="AD3594" s="249" t="str">
        <f>HYPERLINK("https://scontent.cdninstagram.com/t51.2885-15/e35/p320x320/21149120_1728152484145725_4969513784105238528_n.jpg")</f>
        <v>https://scontent.cdninstagram.com/t51.2885-15/e35/p320x320/21149120_1728152484145725_4969513784105238528_n.jpg</v>
      </c>
      <c r="AE3594" s="249" t="str">
        <f>HYPERLINK("https://scontent.cdninstagram.com/t51.2885-19/s150x150/13259675_567067943496435_294673665_a.jpg")</f>
        <v>https://scontent.cdninstagram.com/t51.2885-19/s150x150/13259675_567067943496435_294673665_a.jpg</v>
      </c>
    </row>
    <row r="3595" spans="1:31" ht="15" x14ac:dyDescent="0.25">
      <c r="A3595" t="s">
        <v>2474</v>
      </c>
      <c r="B3595" t="s">
        <v>20379</v>
      </c>
      <c r="C3595" s="221">
        <v>42977.129791666666</v>
      </c>
      <c r="D3595" t="s">
        <v>20380</v>
      </c>
      <c r="E3595" s="249" t="str">
        <f>HYPERLINK("https://www.instagram.com/p/BYaLGBTAn6D/")</f>
        <v>https://www.instagram.com/p/BYaLGBTAn6D/</v>
      </c>
      <c r="F3595" t="s">
        <v>20381</v>
      </c>
      <c r="G3595" t="s">
        <v>2478</v>
      </c>
      <c r="H3595">
        <v>10547</v>
      </c>
      <c r="I3595" t="s">
        <v>2542</v>
      </c>
      <c r="J3595">
        <v>6</v>
      </c>
      <c r="K3595">
        <v>703</v>
      </c>
      <c r="L3595">
        <v>709</v>
      </c>
      <c r="Q3595">
        <v>0</v>
      </c>
      <c r="R3595">
        <v>0</v>
      </c>
      <c r="S3595">
        <v>709</v>
      </c>
      <c r="T3595" t="s">
        <v>12386</v>
      </c>
      <c r="V3595" t="s">
        <v>2178</v>
      </c>
      <c r="W3595">
        <v>35.696100000000001</v>
      </c>
      <c r="X3595">
        <v>51.423099999999998</v>
      </c>
      <c r="Y3595" t="s">
        <v>2769</v>
      </c>
      <c r="Z3595" t="s">
        <v>3187</v>
      </c>
      <c r="AA3595" t="s">
        <v>2497</v>
      </c>
      <c r="AB3595" t="s">
        <v>20382</v>
      </c>
      <c r="AD3595" s="249" t="str">
        <f>HYPERLINK("https://scontent.cdninstagram.com/t51.2885-15/s320x320/e35/21224720_163951584157591_863626242853699584_n.jpg")</f>
        <v>https://scontent.cdninstagram.com/t51.2885-15/s320x320/e35/21224720_163951584157591_863626242853699584_n.jpg</v>
      </c>
      <c r="AE3595" s="249" t="str">
        <f>HYPERLINK("https://scontent.cdninstagram.com/t51.2885-19/s150x150/17933753_1745320089100297_6719037023862128640_a.jpg")</f>
        <v>https://scontent.cdninstagram.com/t51.2885-19/s150x150/17933753_1745320089100297_6719037023862128640_a.jpg</v>
      </c>
    </row>
    <row r="3596" spans="1:31" ht="15" x14ac:dyDescent="0.25">
      <c r="A3596" t="s">
        <v>2474</v>
      </c>
      <c r="B3596" t="s">
        <v>13623</v>
      </c>
      <c r="C3596" s="221">
        <v>42977.130150462966</v>
      </c>
      <c r="D3596" t="s">
        <v>20383</v>
      </c>
      <c r="E3596" s="249" t="str">
        <f>HYPERLINK("https://www.instagram.com/p/BYaLJzKhmuV/")</f>
        <v>https://www.instagram.com/p/BYaLJzKhmuV/</v>
      </c>
      <c r="F3596" t="s">
        <v>20384</v>
      </c>
      <c r="G3596" t="s">
        <v>2478</v>
      </c>
      <c r="H3596">
        <v>1466</v>
      </c>
      <c r="I3596" t="s">
        <v>2479</v>
      </c>
      <c r="J3596">
        <v>0</v>
      </c>
      <c r="K3596">
        <v>103</v>
      </c>
      <c r="L3596">
        <v>103</v>
      </c>
      <c r="Q3596">
        <v>0</v>
      </c>
      <c r="R3596">
        <v>0</v>
      </c>
      <c r="S3596">
        <v>103</v>
      </c>
      <c r="Y3596" t="s">
        <v>2497</v>
      </c>
      <c r="Z3596" t="s">
        <v>13626</v>
      </c>
      <c r="AD3596" s="249" t="str">
        <f>HYPERLINK("https://scontent.cdninstagram.com/t51.2885-15/e35/p320x320/21148946_1933795736832868_1989610026112647168_n.jpg")</f>
        <v>https://scontent.cdninstagram.com/t51.2885-15/e35/p320x320/21148946_1933795736832868_1989610026112647168_n.jpg</v>
      </c>
      <c r="AE3596" s="249" t="str">
        <f>HYPERLINK("https://scontent.cdninstagram.com/t51.2885-19/s150x150/19429341_620367721503275_4355175375915974656_a.jpg")</f>
        <v>https://scontent.cdninstagram.com/t51.2885-19/s150x150/19429341_620367721503275_4355175375915974656_a.jpg</v>
      </c>
    </row>
    <row r="3597" spans="1:31" ht="15" x14ac:dyDescent="0.25">
      <c r="A3597" t="s">
        <v>2474</v>
      </c>
      <c r="B3597" t="s">
        <v>20385</v>
      </c>
      <c r="C3597" s="221">
        <v>42977.133275462962</v>
      </c>
      <c r="D3597" t="s">
        <v>20386</v>
      </c>
      <c r="E3597" s="249" t="str">
        <f>HYPERLINK("https://www.instagram.com/p/BYaLqtQjdLl/")</f>
        <v>https://www.instagram.com/p/BYaLqtQjdLl/</v>
      </c>
      <c r="F3597" t="s">
        <v>20387</v>
      </c>
      <c r="G3597" t="s">
        <v>2478</v>
      </c>
      <c r="H3597">
        <v>346</v>
      </c>
      <c r="I3597" t="s">
        <v>2542</v>
      </c>
      <c r="J3597">
        <v>0</v>
      </c>
      <c r="K3597">
        <v>33</v>
      </c>
      <c r="L3597">
        <v>33</v>
      </c>
      <c r="Q3597">
        <v>0</v>
      </c>
      <c r="R3597">
        <v>0</v>
      </c>
      <c r="S3597">
        <v>33</v>
      </c>
      <c r="Y3597" t="s">
        <v>2513</v>
      </c>
      <c r="Z3597" t="s">
        <v>20373</v>
      </c>
      <c r="AA3597" t="s">
        <v>20388</v>
      </c>
      <c r="AB3597" t="s">
        <v>20389</v>
      </c>
      <c r="AC3597" t="s">
        <v>7247</v>
      </c>
      <c r="AD3597" s="249" t="str">
        <f>HYPERLINK("https://scontent.cdninstagram.com/t51.2885-15/s320x320/e35/21149051_168682053695743_290501619282345984_n.jpg")</f>
        <v>https://scontent.cdninstagram.com/t51.2885-15/s320x320/e35/21149051_168682053695743_290501619282345984_n.jpg</v>
      </c>
      <c r="AE3597" s="249" t="str">
        <f>HYPERLINK("https://scontent.cdninstagram.com/t51.2885-19/s150x150/18949921_118888292032403_3380299777764753408_a.jpg")</f>
        <v>https://scontent.cdninstagram.com/t51.2885-19/s150x150/18949921_118888292032403_3380299777764753408_a.jpg</v>
      </c>
    </row>
    <row r="3598" spans="1:31" ht="15" x14ac:dyDescent="0.25">
      <c r="A3598" t="s">
        <v>2474</v>
      </c>
      <c r="B3598" t="s">
        <v>20390</v>
      </c>
      <c r="C3598" s="221">
        <v>42977.133553240739</v>
      </c>
      <c r="D3598" t="s">
        <v>20391</v>
      </c>
      <c r="E3598" s="249" t="str">
        <f>HYPERLINK("https://www.instagram.com/p/BYaLtwUFCyg/")</f>
        <v>https://www.instagram.com/p/BYaLtwUFCyg/</v>
      </c>
      <c r="F3598" t="s">
        <v>20392</v>
      </c>
      <c r="G3598" t="s">
        <v>2478</v>
      </c>
      <c r="H3598">
        <v>583</v>
      </c>
      <c r="I3598" t="s">
        <v>2542</v>
      </c>
      <c r="J3598">
        <v>4</v>
      </c>
      <c r="K3598">
        <v>47</v>
      </c>
      <c r="L3598">
        <v>51</v>
      </c>
      <c r="Q3598">
        <v>0</v>
      </c>
      <c r="R3598">
        <v>0</v>
      </c>
      <c r="S3598">
        <v>51</v>
      </c>
      <c r="Y3598" t="s">
        <v>3335</v>
      </c>
      <c r="Z3598" t="s">
        <v>3012</v>
      </c>
      <c r="AA3598" t="s">
        <v>20393</v>
      </c>
      <c r="AB3598" t="s">
        <v>7564</v>
      </c>
      <c r="AC3598" t="s">
        <v>15908</v>
      </c>
      <c r="AD3598" s="249" t="str">
        <f>HYPERLINK("https://scontent.cdninstagram.com/t51.2885-15/s320x320/e35/21149628_838864016274953_5586591445126479872_n.jpg")</f>
        <v>https://scontent.cdninstagram.com/t51.2885-15/s320x320/e35/21149628_838864016274953_5586591445126479872_n.jpg</v>
      </c>
      <c r="AE3598" s="249" t="str">
        <f>HYPERLINK("https://scontent.cdninstagram.com/t51.2885-19/s150x150/20582846_338996513205501_2249493502146641920_a.jpg")</f>
        <v>https://scontent.cdninstagram.com/t51.2885-19/s150x150/20582846_338996513205501_2249493502146641920_a.jpg</v>
      </c>
    </row>
    <row r="3599" spans="1:31" ht="15" x14ac:dyDescent="0.25">
      <c r="A3599" t="s">
        <v>2474</v>
      </c>
      <c r="B3599" t="s">
        <v>3644</v>
      </c>
      <c r="C3599" s="221">
        <v>42977.138252314813</v>
      </c>
      <c r="D3599" t="s">
        <v>20394</v>
      </c>
      <c r="E3599" s="249" t="str">
        <f>HYPERLINK("https://www.instagram.com/p/BYaMfT5lET6/")</f>
        <v>https://www.instagram.com/p/BYaMfT5lET6/</v>
      </c>
      <c r="F3599" t="s">
        <v>20395</v>
      </c>
      <c r="G3599" t="s">
        <v>2631</v>
      </c>
      <c r="H3599">
        <v>582</v>
      </c>
      <c r="I3599" t="s">
        <v>2479</v>
      </c>
      <c r="J3599">
        <v>0</v>
      </c>
      <c r="K3599">
        <v>37</v>
      </c>
      <c r="L3599">
        <v>37</v>
      </c>
      <c r="Q3599">
        <v>0</v>
      </c>
      <c r="R3599">
        <v>0</v>
      </c>
      <c r="S3599">
        <v>37</v>
      </c>
      <c r="T3599" t="s">
        <v>9465</v>
      </c>
      <c r="V3599" t="s">
        <v>2141</v>
      </c>
      <c r="W3599">
        <v>55.4</v>
      </c>
      <c r="X3599">
        <v>10.3833</v>
      </c>
      <c r="Y3599" t="s">
        <v>6485</v>
      </c>
      <c r="Z3599" t="s">
        <v>8618</v>
      </c>
      <c r="AA3599" t="s">
        <v>3648</v>
      </c>
      <c r="AB3599" t="s">
        <v>9794</v>
      </c>
      <c r="AC3599" t="s">
        <v>13820</v>
      </c>
      <c r="AD3599" s="249" t="str">
        <f>HYPERLINK("https://scontent.cdninstagram.com/t51.2885-15/s320x320/e15/21149815_337035516750377_5662849302431531008_n.jpg")</f>
        <v>https://scontent.cdninstagram.com/t51.2885-15/s320x320/e15/21149815_337035516750377_5662849302431531008_n.jpg</v>
      </c>
      <c r="AE3599" s="249" t="str">
        <f>HYPERLINK("https://scontent.cdninstagram.com/t51.2885-19/s150x150/14714495_1790450111234953_7147855754219749376_a.jpg")</f>
        <v>https://scontent.cdninstagram.com/t51.2885-19/s150x150/14714495_1790450111234953_7147855754219749376_a.jpg</v>
      </c>
    </row>
    <row r="3600" spans="1:31" ht="15" x14ac:dyDescent="0.25">
      <c r="A3600" t="s">
        <v>2474</v>
      </c>
      <c r="B3600" t="s">
        <v>4535</v>
      </c>
      <c r="C3600" s="221">
        <v>42977.138553240744</v>
      </c>
      <c r="D3600" t="s">
        <v>20396</v>
      </c>
      <c r="E3600" s="249" t="str">
        <f>HYPERLINK("https://www.instagram.com/p/BYaMiX8FAvu/")</f>
        <v>https://www.instagram.com/p/BYaMiX8FAvu/</v>
      </c>
      <c r="F3600" t="s">
        <v>20397</v>
      </c>
      <c r="G3600" t="s">
        <v>2488</v>
      </c>
      <c r="H3600">
        <v>172</v>
      </c>
      <c r="I3600" t="s">
        <v>2479</v>
      </c>
      <c r="J3600">
        <v>0</v>
      </c>
      <c r="K3600">
        <v>22</v>
      </c>
      <c r="L3600">
        <v>22</v>
      </c>
      <c r="Q3600">
        <v>0</v>
      </c>
      <c r="R3600">
        <v>0</v>
      </c>
      <c r="S3600">
        <v>22</v>
      </c>
      <c r="Y3600" t="s">
        <v>8844</v>
      </c>
      <c r="Z3600" t="s">
        <v>4538</v>
      </c>
      <c r="AA3600" t="s">
        <v>12353</v>
      </c>
      <c r="AB3600" t="s">
        <v>5607</v>
      </c>
      <c r="AC3600" t="s">
        <v>10673</v>
      </c>
      <c r="AD3600" s="249" t="str">
        <f>HYPERLINK("https://scontent.cdninstagram.com/t51.2885-15/s320x320/e35/21224994_157585758155274_2095572504302059520_n.jpg")</f>
        <v>https://scontent.cdninstagram.com/t51.2885-15/s320x320/e35/21224994_157585758155274_2095572504302059520_n.jpg</v>
      </c>
      <c r="AE3600" s="249" t="str">
        <f>HYPERLINK("https://scontent.cdninstagram.com/t51.2885-19/s150x150/20399028_1624608414236560_533007696291430400_a.jpg")</f>
        <v>https://scontent.cdninstagram.com/t51.2885-19/s150x150/20399028_1624608414236560_533007696291430400_a.jpg</v>
      </c>
    </row>
    <row r="3601" spans="1:31" ht="15" x14ac:dyDescent="0.25">
      <c r="A3601" t="s">
        <v>2474</v>
      </c>
      <c r="B3601" t="s">
        <v>20398</v>
      </c>
      <c r="C3601" s="221">
        <v>42977.140266203707</v>
      </c>
      <c r="D3601" t="s">
        <v>20399</v>
      </c>
      <c r="E3601" s="249" t="str">
        <f>HYPERLINK("https://www.instagram.com/p/BYaM0fHAKye/")</f>
        <v>https://www.instagram.com/p/BYaM0fHAKye/</v>
      </c>
      <c r="F3601" t="s">
        <v>20400</v>
      </c>
      <c r="G3601" t="s">
        <v>2478</v>
      </c>
      <c r="H3601">
        <v>485</v>
      </c>
      <c r="I3601" t="s">
        <v>3025</v>
      </c>
      <c r="J3601">
        <v>0</v>
      </c>
      <c r="K3601">
        <v>35</v>
      </c>
      <c r="L3601">
        <v>35</v>
      </c>
      <c r="Q3601">
        <v>0</v>
      </c>
      <c r="R3601">
        <v>0</v>
      </c>
      <c r="S3601">
        <v>35</v>
      </c>
      <c r="Y3601" t="s">
        <v>20401</v>
      </c>
      <c r="Z3601" t="s">
        <v>3738</v>
      </c>
      <c r="AA3601" t="s">
        <v>2497</v>
      </c>
      <c r="AB3601" t="s">
        <v>20402</v>
      </c>
      <c r="AD3601" s="249" t="str">
        <f>HYPERLINK("https://scontent.cdninstagram.com/t51.2885-15/e35/p320x320/21108050_309731446159471_4783440626723061760_n.jpg")</f>
        <v>https://scontent.cdninstagram.com/t51.2885-15/e35/p320x320/21108050_309731446159471_4783440626723061760_n.jpg</v>
      </c>
      <c r="AE3601" s="249" t="str">
        <f>HYPERLINK("https://scontent.cdninstagram.com/t51.2885-19/s150x150/19932510_136885180225143_5550717142376120320_a.jpg")</f>
        <v>https://scontent.cdninstagram.com/t51.2885-19/s150x150/19932510_136885180225143_5550717142376120320_a.jpg</v>
      </c>
    </row>
    <row r="3602" spans="1:31" ht="15" x14ac:dyDescent="0.25">
      <c r="A3602" t="s">
        <v>2474</v>
      </c>
      <c r="B3602" t="s">
        <v>20403</v>
      </c>
      <c r="C3602" s="221">
        <v>42977.143935185188</v>
      </c>
      <c r="D3602" t="s">
        <v>20404</v>
      </c>
      <c r="E3602" s="249" t="str">
        <f>HYPERLINK("https://www.instagram.com/p/BYaNbKujWU3/")</f>
        <v>https://www.instagram.com/p/BYaNbKujWU3/</v>
      </c>
      <c r="F3602" t="s">
        <v>20405</v>
      </c>
      <c r="G3602" t="s">
        <v>2478</v>
      </c>
      <c r="H3602">
        <v>31</v>
      </c>
      <c r="I3602" t="s">
        <v>2479</v>
      </c>
      <c r="J3602">
        <v>0</v>
      </c>
      <c r="K3602">
        <v>13</v>
      </c>
      <c r="L3602">
        <v>13</v>
      </c>
      <c r="Q3602">
        <v>0</v>
      </c>
      <c r="R3602">
        <v>0</v>
      </c>
      <c r="S3602">
        <v>13</v>
      </c>
      <c r="Y3602" t="s">
        <v>20406</v>
      </c>
      <c r="Z3602" t="s">
        <v>20407</v>
      </c>
      <c r="AA3602" t="s">
        <v>20408</v>
      </c>
      <c r="AB3602" t="s">
        <v>20409</v>
      </c>
      <c r="AC3602" t="s">
        <v>20410</v>
      </c>
      <c r="AD3602" s="249" t="str">
        <f>HYPERLINK("https://scontent.cdninstagram.com/t51.2885-15/s320x320/e35/21227010_1935263423411409_5639236246547988480_n.jpg")</f>
        <v>https://scontent.cdninstagram.com/t51.2885-15/s320x320/e35/21227010_1935263423411409_5639236246547988480_n.jpg</v>
      </c>
      <c r="AE3602" s="249" t="str">
        <f>HYPERLINK("https://scontent-mxp1-1.cdninstagram.com/t51.2885-19/11906329_960233084022564_1448528159_a.jpg")</f>
        <v>https://scontent-mxp1-1.cdninstagram.com/t51.2885-19/11906329_960233084022564_1448528159_a.jpg</v>
      </c>
    </row>
    <row r="3603" spans="1:31" ht="15" x14ac:dyDescent="0.25">
      <c r="A3603" t="s">
        <v>2474</v>
      </c>
      <c r="B3603" t="s">
        <v>20411</v>
      </c>
      <c r="C3603" s="221">
        <v>42977.162835648145</v>
      </c>
      <c r="D3603" t="s">
        <v>20412</v>
      </c>
      <c r="E3603" s="249" t="str">
        <f>HYPERLINK("https://www.instagram.com/p/BYaQijZBjPX/")</f>
        <v>https://www.instagram.com/p/BYaQijZBjPX/</v>
      </c>
      <c r="F3603" t="s">
        <v>20413</v>
      </c>
      <c r="G3603" t="s">
        <v>2478</v>
      </c>
      <c r="H3603">
        <v>474</v>
      </c>
      <c r="I3603" t="s">
        <v>2479</v>
      </c>
      <c r="J3603">
        <v>0</v>
      </c>
      <c r="K3603">
        <v>71</v>
      </c>
      <c r="L3603">
        <v>71</v>
      </c>
      <c r="Q3603">
        <v>0</v>
      </c>
      <c r="R3603">
        <v>0</v>
      </c>
      <c r="S3603">
        <v>71</v>
      </c>
      <c r="Y3603" t="s">
        <v>20414</v>
      </c>
      <c r="Z3603" t="s">
        <v>15126</v>
      </c>
      <c r="AA3603" t="s">
        <v>20415</v>
      </c>
      <c r="AB3603" t="s">
        <v>2734</v>
      </c>
      <c r="AC3603" t="s">
        <v>3335</v>
      </c>
      <c r="AD3603" s="249" t="str">
        <f>HYPERLINK("https://scontent.cdninstagram.com/t51.2885-15/s320x320/e35/21147748_1902095839816932_4026040998252511232_n.jpg")</f>
        <v>https://scontent.cdninstagram.com/t51.2885-15/s320x320/e35/21147748_1902095839816932_4026040998252511232_n.jpg</v>
      </c>
      <c r="AE3603" s="249" t="str">
        <f>HYPERLINK("https://scontent.cdninstagram.com/t51.2885-19/s150x150/12826052_1681439392120849_2052961644_a.jpg")</f>
        <v>https://scontent.cdninstagram.com/t51.2885-19/s150x150/12826052_1681439392120849_2052961644_a.jpg</v>
      </c>
    </row>
    <row r="3604" spans="1:31" ht="15" x14ac:dyDescent="0.25">
      <c r="A3604" t="s">
        <v>2474</v>
      </c>
      <c r="B3604" t="s">
        <v>2636</v>
      </c>
      <c r="C3604" s="221">
        <v>42977.163923611108</v>
      </c>
      <c r="D3604" t="s">
        <v>20416</v>
      </c>
      <c r="E3604" s="249" t="str">
        <f>HYPERLINK("https://www.instagram.com/p/BYaQt9QHM-k/")</f>
        <v>https://www.instagram.com/p/BYaQt9QHM-k/</v>
      </c>
      <c r="F3604" t="s">
        <v>20417</v>
      </c>
      <c r="G3604" t="s">
        <v>2488</v>
      </c>
      <c r="H3604">
        <v>322</v>
      </c>
      <c r="I3604" t="s">
        <v>2479</v>
      </c>
      <c r="J3604">
        <v>7</v>
      </c>
      <c r="K3604">
        <v>47</v>
      </c>
      <c r="L3604">
        <v>54</v>
      </c>
      <c r="Q3604">
        <v>0</v>
      </c>
      <c r="R3604">
        <v>0</v>
      </c>
      <c r="S3604">
        <v>54</v>
      </c>
      <c r="Y3604" t="s">
        <v>14680</v>
      </c>
      <c r="Z3604" t="s">
        <v>3157</v>
      </c>
      <c r="AA3604" t="s">
        <v>8031</v>
      </c>
      <c r="AB3604" t="s">
        <v>3813</v>
      </c>
      <c r="AC3604" t="s">
        <v>10115</v>
      </c>
      <c r="AD3604" s="249" t="str">
        <f>HYPERLINK("https://scontent.cdninstagram.com/t51.2885-15/s320x320/e35/21149384_271714256646796_8999160029445619712_n.jpg")</f>
        <v>https://scontent.cdninstagram.com/t51.2885-15/s320x320/e35/21149384_271714256646796_8999160029445619712_n.jpg</v>
      </c>
      <c r="AE3604" s="249" t="str">
        <f>HYPERLINK("https://scontent.cdninstagram.com/t51.2885-19/s150x150/15802797_1331780626878656_4160680230047973376_a.jpg")</f>
        <v>https://scontent.cdninstagram.com/t51.2885-19/s150x150/15802797_1331780626878656_4160680230047973376_a.jpg</v>
      </c>
    </row>
    <row r="3605" spans="1:31" ht="15" x14ac:dyDescent="0.25">
      <c r="A3605" t="s">
        <v>2474</v>
      </c>
      <c r="B3605" t="s">
        <v>20418</v>
      </c>
      <c r="C3605" s="221">
        <v>42977.165960648148</v>
      </c>
      <c r="D3605" t="s">
        <v>20419</v>
      </c>
      <c r="E3605" s="249" t="str">
        <f>HYPERLINK("https://www.instagram.com/p/BYaRDg0AjZj/")</f>
        <v>https://www.instagram.com/p/BYaRDg0AjZj/</v>
      </c>
      <c r="F3605" t="s">
        <v>20420</v>
      </c>
      <c r="G3605" t="s">
        <v>2478</v>
      </c>
      <c r="H3605">
        <v>304</v>
      </c>
      <c r="I3605" t="s">
        <v>5670</v>
      </c>
      <c r="J3605">
        <v>1</v>
      </c>
      <c r="K3605">
        <v>20</v>
      </c>
      <c r="L3605">
        <v>21</v>
      </c>
      <c r="Q3605">
        <v>0</v>
      </c>
      <c r="R3605">
        <v>0</v>
      </c>
      <c r="S3605">
        <v>21</v>
      </c>
      <c r="Y3605" t="s">
        <v>5629</v>
      </c>
      <c r="Z3605" t="s">
        <v>20421</v>
      </c>
      <c r="AA3605" t="s">
        <v>2562</v>
      </c>
      <c r="AB3605" t="s">
        <v>13461</v>
      </c>
      <c r="AC3605" t="s">
        <v>20422</v>
      </c>
      <c r="AD3605" s="249" t="str">
        <f>HYPERLINK("https://scontent.cdninstagram.com/t51.2885-15/s320x320/e35/21107775_747313645453359_6291415219285524480_n.jpg")</f>
        <v>https://scontent.cdninstagram.com/t51.2885-15/s320x320/e35/21107775_747313645453359_6291415219285524480_n.jpg</v>
      </c>
      <c r="AE3605" s="249" t="str">
        <f>HYPERLINK("https://scontent.cdninstagram.com/t51.2885-19/s150x150/12346094_523694974458882_873038413_a.jpg")</f>
        <v>https://scontent.cdninstagram.com/t51.2885-19/s150x150/12346094_523694974458882_873038413_a.jpg</v>
      </c>
    </row>
    <row r="3606" spans="1:31" ht="15" x14ac:dyDescent="0.25">
      <c r="A3606" t="s">
        <v>2474</v>
      </c>
      <c r="B3606" t="s">
        <v>2619</v>
      </c>
      <c r="C3606" s="221">
        <v>42977.168749999997</v>
      </c>
      <c r="D3606" t="s">
        <v>20423</v>
      </c>
      <c r="E3606" s="249" t="str">
        <f>HYPERLINK("https://www.instagram.com/p/BYaRg3LjWst/")</f>
        <v>https://www.instagram.com/p/BYaRg3LjWst/</v>
      </c>
      <c r="F3606" t="s">
        <v>20424</v>
      </c>
      <c r="G3606" t="s">
        <v>2631</v>
      </c>
      <c r="I3606" t="s">
        <v>5670</v>
      </c>
      <c r="J3606">
        <v>0</v>
      </c>
      <c r="K3606">
        <v>43</v>
      </c>
      <c r="L3606">
        <v>43</v>
      </c>
      <c r="Q3606">
        <v>0</v>
      </c>
      <c r="R3606">
        <v>0</v>
      </c>
      <c r="S3606">
        <v>43</v>
      </c>
      <c r="Y3606" t="s">
        <v>20425</v>
      </c>
      <c r="Z3606" t="s">
        <v>3936</v>
      </c>
      <c r="AA3606" t="s">
        <v>7830</v>
      </c>
      <c r="AB3606" t="s">
        <v>20426</v>
      </c>
      <c r="AC3606" t="s">
        <v>20427</v>
      </c>
      <c r="AD3606" s="249" t="str">
        <f>HYPERLINK("https://scontent.cdninstagram.com/t51.2885-15/s320x320/e15/21224059_778273022345041_2817755939271081984_n.jpg")</f>
        <v>https://scontent.cdninstagram.com/t51.2885-15/s320x320/e15/21224059_778273022345041_2817755939271081984_n.jpg</v>
      </c>
      <c r="AE3606" s="249" t="str">
        <f>HYPERLINK("https://scontent.cdninstagram.com/t51.2885-19/s150x150/14719583_1073368536093824_6781485298590154752_a.jpg")</f>
        <v>https://scontent.cdninstagram.com/t51.2885-19/s150x150/14719583_1073368536093824_6781485298590154752_a.jpg</v>
      </c>
    </row>
    <row r="3607" spans="1:31" ht="15" x14ac:dyDescent="0.25">
      <c r="A3607" t="s">
        <v>2474</v>
      </c>
      <c r="B3607" t="s">
        <v>19639</v>
      </c>
      <c r="C3607" s="221">
        <v>42977.16946759259</v>
      </c>
      <c r="D3607" t="s">
        <v>20428</v>
      </c>
      <c r="E3607" s="249" t="str">
        <f>HYPERLINK("https://www.instagram.com/p/BYaRofoHWQY/")</f>
        <v>https://www.instagram.com/p/BYaRofoHWQY/</v>
      </c>
      <c r="F3607" t="s">
        <v>20429</v>
      </c>
      <c r="G3607" t="s">
        <v>2478</v>
      </c>
      <c r="H3607">
        <v>7</v>
      </c>
      <c r="I3607" t="s">
        <v>2479</v>
      </c>
      <c r="J3607">
        <v>2</v>
      </c>
      <c r="K3607">
        <v>8</v>
      </c>
      <c r="L3607">
        <v>10</v>
      </c>
      <c r="Q3607">
        <v>0</v>
      </c>
      <c r="R3607">
        <v>0</v>
      </c>
      <c r="S3607">
        <v>10</v>
      </c>
      <c r="Y3607" t="s">
        <v>18679</v>
      </c>
      <c r="Z3607" t="s">
        <v>20430</v>
      </c>
      <c r="AA3607" t="s">
        <v>19642</v>
      </c>
      <c r="AB3607" t="s">
        <v>2544</v>
      </c>
      <c r="AC3607" t="s">
        <v>11948</v>
      </c>
      <c r="AD3607" s="249" t="str">
        <f>HYPERLINK("https://scontent.cdninstagram.com/t51.2885-15/s320x320/e35/21227468_152004112049966_3216557465319505920_n.jpg")</f>
        <v>https://scontent.cdninstagram.com/t51.2885-15/s320x320/e35/21227468_152004112049966_3216557465319505920_n.jpg</v>
      </c>
      <c r="AE3607" s="249" t="str">
        <f>HYPERLINK("https://scontent.cdninstagram.com/t51.2885-19/s150x150/20686926_510088886001218_5946672659885457408_a.jpg")</f>
        <v>https://scontent.cdninstagram.com/t51.2885-19/s150x150/20686926_510088886001218_5946672659885457408_a.jpg</v>
      </c>
    </row>
    <row r="3608" spans="1:31" ht="15" x14ac:dyDescent="0.25">
      <c r="A3608" t="s">
        <v>2474</v>
      </c>
      <c r="B3608" t="s">
        <v>18309</v>
      </c>
      <c r="C3608" s="221">
        <v>42977.1721875</v>
      </c>
      <c r="D3608" t="s">
        <v>20431</v>
      </c>
      <c r="E3608" s="249" t="str">
        <f>HYPERLINK("https://www.instagram.com/p/BYaSFNijKZM/")</f>
        <v>https://www.instagram.com/p/BYaSFNijKZM/</v>
      </c>
      <c r="F3608" t="s">
        <v>20432</v>
      </c>
      <c r="G3608" t="s">
        <v>2478</v>
      </c>
      <c r="H3608">
        <v>12</v>
      </c>
      <c r="I3608" t="s">
        <v>2479</v>
      </c>
      <c r="J3608">
        <v>1</v>
      </c>
      <c r="K3608">
        <v>12</v>
      </c>
      <c r="L3608">
        <v>13</v>
      </c>
      <c r="Q3608">
        <v>0</v>
      </c>
      <c r="R3608">
        <v>0</v>
      </c>
      <c r="S3608">
        <v>13</v>
      </c>
      <c r="Y3608" t="s">
        <v>12295</v>
      </c>
      <c r="Z3608" t="s">
        <v>4180</v>
      </c>
      <c r="AA3608" t="s">
        <v>3269</v>
      </c>
      <c r="AB3608" t="s">
        <v>2906</v>
      </c>
      <c r="AC3608" t="s">
        <v>2562</v>
      </c>
      <c r="AD3608" s="249" t="str">
        <f>HYPERLINK("https://scontent.cdninstagram.com/t51.2885-15/s320x320/e35/21227274_1421125917963858_2496905007333376_n.jpg")</f>
        <v>https://scontent.cdninstagram.com/t51.2885-15/s320x320/e35/21227274_1421125917963858_2496905007333376_n.jpg</v>
      </c>
      <c r="AE3608" s="249" t="str">
        <f>HYPERLINK("https://scontent.cdninstagram.com/t51.2885-19/s150x150/21224635_116853155713206_6935607206414909440_a.jpg")</f>
        <v>https://scontent.cdninstagram.com/t51.2885-19/s150x150/21224635_116853155713206_6935607206414909440_a.jpg</v>
      </c>
    </row>
    <row r="3609" spans="1:31" ht="15" x14ac:dyDescent="0.25">
      <c r="A3609" t="s">
        <v>2474</v>
      </c>
      <c r="B3609" t="s">
        <v>20433</v>
      </c>
      <c r="C3609" s="221">
        <v>42977.17527777778</v>
      </c>
      <c r="D3609" t="s">
        <v>20434</v>
      </c>
      <c r="E3609" s="249" t="str">
        <f>HYPERLINK("https://www.instagram.com/p/BYaSlyZDkQY/")</f>
        <v>https://www.instagram.com/p/BYaSlyZDkQY/</v>
      </c>
      <c r="F3609" t="s">
        <v>20435</v>
      </c>
      <c r="G3609" t="s">
        <v>2478</v>
      </c>
      <c r="H3609">
        <v>1311</v>
      </c>
      <c r="I3609" t="s">
        <v>2479</v>
      </c>
      <c r="J3609">
        <v>4</v>
      </c>
      <c r="K3609">
        <v>47</v>
      </c>
      <c r="L3609">
        <v>51</v>
      </c>
      <c r="Q3609">
        <v>0</v>
      </c>
      <c r="R3609">
        <v>0</v>
      </c>
      <c r="S3609">
        <v>51</v>
      </c>
      <c r="Y3609" t="s">
        <v>20436</v>
      </c>
      <c r="Z3609" t="s">
        <v>20437</v>
      </c>
      <c r="AA3609" t="s">
        <v>20438</v>
      </c>
      <c r="AB3609" t="s">
        <v>10296</v>
      </c>
      <c r="AC3609" t="s">
        <v>20439</v>
      </c>
      <c r="AD3609" s="249" t="str">
        <f>HYPERLINK("https://scontent.cdninstagram.com/t51.2885-15/e35/21108092_113099216068461_1657136916966932480_n.jpg")</f>
        <v>https://scontent.cdninstagram.com/t51.2885-15/e35/21108092_113099216068461_1657136916966932480_n.jpg</v>
      </c>
      <c r="AE3609" s="249" t="str">
        <f>HYPERLINK("https://scontent.cdninstagram.com/t51.2885-19/s150x150/14350808_1848977781989817_7967242734413021184_a.jpg")</f>
        <v>https://scontent.cdninstagram.com/t51.2885-19/s150x150/14350808_1848977781989817_7967242734413021184_a.jpg</v>
      </c>
    </row>
    <row r="3610" spans="1:31" ht="15" x14ac:dyDescent="0.25">
      <c r="A3610" t="s">
        <v>2474</v>
      </c>
      <c r="B3610" t="s">
        <v>20440</v>
      </c>
      <c r="C3610" s="221">
        <v>42977.180648148147</v>
      </c>
      <c r="D3610" t="s">
        <v>20441</v>
      </c>
      <c r="E3610" s="249" t="str">
        <f>HYPERLINK("https://www.instagram.com/p/BYaTecVDGj6/")</f>
        <v>https://www.instagram.com/p/BYaTecVDGj6/</v>
      </c>
      <c r="F3610" t="s">
        <v>20442</v>
      </c>
      <c r="G3610" t="s">
        <v>2478</v>
      </c>
      <c r="H3610">
        <v>284</v>
      </c>
      <c r="I3610" t="s">
        <v>2903</v>
      </c>
      <c r="J3610">
        <v>0</v>
      </c>
      <c r="K3610">
        <v>15</v>
      </c>
      <c r="L3610">
        <v>15</v>
      </c>
      <c r="Q3610">
        <v>0</v>
      </c>
      <c r="R3610">
        <v>0</v>
      </c>
      <c r="S3610">
        <v>15</v>
      </c>
      <c r="T3610" t="s">
        <v>20443</v>
      </c>
      <c r="V3610" t="s">
        <v>2110</v>
      </c>
      <c r="W3610">
        <v>50.641963184319998</v>
      </c>
      <c r="X3610">
        <v>4.6662096329354998</v>
      </c>
      <c r="Y3610" t="s">
        <v>3706</v>
      </c>
      <c r="Z3610" t="s">
        <v>20444</v>
      </c>
      <c r="AA3610" t="s">
        <v>2497</v>
      </c>
      <c r="AB3610" t="s">
        <v>7182</v>
      </c>
      <c r="AC3610" t="s">
        <v>3569</v>
      </c>
      <c r="AD3610" s="249" t="str">
        <f>HYPERLINK("https://scontent.cdninstagram.com/t51.2885-15/s320x320/e35/21147930_1612881215398748_7421586325075132416_n.jpg")</f>
        <v>https://scontent.cdninstagram.com/t51.2885-15/s320x320/e35/21147930_1612881215398748_7421586325075132416_n.jpg</v>
      </c>
      <c r="AE3610" s="249" t="str">
        <f>HYPERLINK("https://scontent.cdninstagram.com/t51.2885-19/s150x150/20688437_924370747729964_2195121015770578944_a.jpg")</f>
        <v>https://scontent.cdninstagram.com/t51.2885-19/s150x150/20688437_924370747729964_2195121015770578944_a.jpg</v>
      </c>
    </row>
    <row r="3611" spans="1:31" ht="15" x14ac:dyDescent="0.25">
      <c r="A3611" t="s">
        <v>2474</v>
      </c>
      <c r="B3611" t="s">
        <v>20418</v>
      </c>
      <c r="C3611" s="221">
        <v>42977.183171296296</v>
      </c>
      <c r="D3611" t="s">
        <v>20445</v>
      </c>
      <c r="E3611" s="249" t="str">
        <f>HYPERLINK("https://www.instagram.com/p/BYaT5DZg01x/")</f>
        <v>https://www.instagram.com/p/BYaT5DZg01x/</v>
      </c>
      <c r="F3611" t="s">
        <v>20446</v>
      </c>
      <c r="G3611" t="s">
        <v>2478</v>
      </c>
      <c r="H3611">
        <v>305</v>
      </c>
      <c r="I3611" t="s">
        <v>2519</v>
      </c>
      <c r="J3611">
        <v>1</v>
      </c>
      <c r="K3611">
        <v>16</v>
      </c>
      <c r="L3611">
        <v>17</v>
      </c>
      <c r="Q3611">
        <v>0</v>
      </c>
      <c r="R3611">
        <v>0</v>
      </c>
      <c r="S3611">
        <v>17</v>
      </c>
      <c r="Y3611" t="s">
        <v>4388</v>
      </c>
      <c r="Z3611" t="s">
        <v>12968</v>
      </c>
      <c r="AA3611" t="s">
        <v>2497</v>
      </c>
      <c r="AB3611" t="s">
        <v>20447</v>
      </c>
      <c r="AD3611" s="249" t="str">
        <f>HYPERLINK("https://scontent.cdninstagram.com/t51.2885-15/s320x320/e35/21227678_170051806877436_3354515980985303040_n.jpg")</f>
        <v>https://scontent.cdninstagram.com/t51.2885-15/s320x320/e35/21227678_170051806877436_3354515980985303040_n.jpg</v>
      </c>
      <c r="AE3611" s="249" t="str">
        <f>HYPERLINK("https://scontent.cdninstagram.com/t51.2885-19/s150x150/12346094_523694974458882_873038413_a.jpg")</f>
        <v>https://scontent.cdninstagram.com/t51.2885-19/s150x150/12346094_523694974458882_873038413_a.jpg</v>
      </c>
    </row>
    <row r="3612" spans="1:31" ht="15" x14ac:dyDescent="0.25">
      <c r="A3612" t="s">
        <v>2474</v>
      </c>
      <c r="B3612" t="s">
        <v>20448</v>
      </c>
      <c r="C3612" s="221">
        <v>42977.191701388889</v>
      </c>
      <c r="D3612" t="s">
        <v>20449</v>
      </c>
      <c r="E3612" s="249" t="str">
        <f>HYPERLINK("https://www.instagram.com/p/BYaVTAQAy_1/")</f>
        <v>https://www.instagram.com/p/BYaVTAQAy_1/</v>
      </c>
      <c r="F3612" t="s">
        <v>20450</v>
      </c>
      <c r="G3612" t="s">
        <v>2631</v>
      </c>
      <c r="H3612">
        <v>485</v>
      </c>
      <c r="I3612" t="s">
        <v>2599</v>
      </c>
      <c r="J3612">
        <v>0</v>
      </c>
      <c r="K3612">
        <v>28</v>
      </c>
      <c r="L3612">
        <v>28</v>
      </c>
      <c r="Q3612">
        <v>0</v>
      </c>
      <c r="R3612">
        <v>0</v>
      </c>
      <c r="S3612">
        <v>28</v>
      </c>
      <c r="T3612" t="s">
        <v>20451</v>
      </c>
      <c r="V3612" t="s">
        <v>2102</v>
      </c>
      <c r="W3612">
        <v>-33.419699999999999</v>
      </c>
      <c r="X3612">
        <v>151.3399</v>
      </c>
      <c r="Y3612" t="s">
        <v>2497</v>
      </c>
      <c r="Z3612" t="s">
        <v>20452</v>
      </c>
      <c r="AA3612" t="s">
        <v>20453</v>
      </c>
      <c r="AD3612" s="249" t="str">
        <f>HYPERLINK("https://scontent.cdninstagram.com/t51.2885-15/s320x320/e15/21147352_179603065916901_6996750219106844672_n.jpg")</f>
        <v>https://scontent.cdninstagram.com/t51.2885-15/s320x320/e15/21147352_179603065916901_6996750219106844672_n.jpg</v>
      </c>
      <c r="AE3612" s="249" t="str">
        <f>HYPERLINK("https://scontent.cdninstagram.com/t51.2885-19/914494_1492349111009174_1628720594_a.jpg")</f>
        <v>https://scontent.cdninstagram.com/t51.2885-19/914494_1492349111009174_1628720594_a.jpg</v>
      </c>
    </row>
    <row r="3613" spans="1:31" ht="15" x14ac:dyDescent="0.25">
      <c r="A3613" t="s">
        <v>2474</v>
      </c>
      <c r="B3613" t="s">
        <v>20454</v>
      </c>
      <c r="C3613" s="221">
        <v>42977.194791666669</v>
      </c>
      <c r="D3613" t="s">
        <v>20455</v>
      </c>
      <c r="E3613" s="249" t="str">
        <f>HYPERLINK("https://www.instagram.com/p/BYaVzjHgfBP/")</f>
        <v>https://www.instagram.com/p/BYaVzjHgfBP/</v>
      </c>
      <c r="F3613" t="s">
        <v>20456</v>
      </c>
      <c r="G3613" t="s">
        <v>2478</v>
      </c>
      <c r="H3613">
        <v>253</v>
      </c>
      <c r="I3613" t="s">
        <v>2903</v>
      </c>
      <c r="J3613">
        <v>0</v>
      </c>
      <c r="K3613">
        <v>35</v>
      </c>
      <c r="L3613">
        <v>35</v>
      </c>
      <c r="Q3613">
        <v>0</v>
      </c>
      <c r="R3613">
        <v>0</v>
      </c>
      <c r="S3613">
        <v>35</v>
      </c>
      <c r="T3613" t="s">
        <v>20457</v>
      </c>
      <c r="V3613" t="s">
        <v>2176</v>
      </c>
      <c r="W3613">
        <v>18.975000000000001</v>
      </c>
      <c r="X3613">
        <v>72.825800000000001</v>
      </c>
      <c r="Y3613" t="s">
        <v>20458</v>
      </c>
      <c r="Z3613" t="s">
        <v>20459</v>
      </c>
      <c r="AA3613" t="s">
        <v>3930</v>
      </c>
      <c r="AB3613" t="s">
        <v>20460</v>
      </c>
      <c r="AC3613" t="s">
        <v>14622</v>
      </c>
      <c r="AD3613" s="249" t="str">
        <f>HYPERLINK("https://scontent.cdninstagram.com/t51.2885-15/s320x320/e35/21224080_1913820938866247_3235736985377177600_n.jpg")</f>
        <v>https://scontent.cdninstagram.com/t51.2885-15/s320x320/e35/21224080_1913820938866247_3235736985377177600_n.jpg</v>
      </c>
      <c r="AE3613" s="249" t="str">
        <f>HYPERLINK("https://scontent.cdninstagram.com/t51.2885-19/s150x150/17586637_180965042415714_5255614324629569536_a.jpg")</f>
        <v>https://scontent.cdninstagram.com/t51.2885-19/s150x150/17586637_180965042415714_5255614324629569536_a.jpg</v>
      </c>
    </row>
    <row r="3614" spans="1:31" ht="15" x14ac:dyDescent="0.25">
      <c r="A3614" t="s">
        <v>2474</v>
      </c>
      <c r="B3614" t="s">
        <v>4811</v>
      </c>
      <c r="C3614" s="221">
        <v>42977.197824074072</v>
      </c>
      <c r="D3614" t="s">
        <v>20461</v>
      </c>
      <c r="E3614" s="249" t="str">
        <f>HYPERLINK("https://www.instagram.com/p/BYaWTlDA_HG/")</f>
        <v>https://www.instagram.com/p/BYaWTlDA_HG/</v>
      </c>
      <c r="F3614" t="s">
        <v>20462</v>
      </c>
      <c r="G3614" t="s">
        <v>2478</v>
      </c>
      <c r="H3614">
        <v>993</v>
      </c>
      <c r="I3614" t="s">
        <v>2479</v>
      </c>
      <c r="J3614">
        <v>4</v>
      </c>
      <c r="K3614">
        <v>74</v>
      </c>
      <c r="L3614">
        <v>78</v>
      </c>
      <c r="Q3614">
        <v>0</v>
      </c>
      <c r="R3614">
        <v>0</v>
      </c>
      <c r="S3614">
        <v>78</v>
      </c>
      <c r="Y3614" t="s">
        <v>20463</v>
      </c>
      <c r="Z3614" t="s">
        <v>17161</v>
      </c>
      <c r="AA3614" t="s">
        <v>3512</v>
      </c>
      <c r="AB3614" t="s">
        <v>7341</v>
      </c>
      <c r="AC3614" t="s">
        <v>5168</v>
      </c>
      <c r="AD3614" s="249" t="str">
        <f>HYPERLINK("https://scontent.cdninstagram.com/t51.2885-15/s320x320/e35/21227090_169677613590698_1584822479589736448_n.jpg")</f>
        <v>https://scontent.cdninstagram.com/t51.2885-15/s320x320/e35/21227090_169677613590698_1584822479589736448_n.jpg</v>
      </c>
      <c r="AE3614" s="249" t="str">
        <f>HYPERLINK("https://scontent.cdninstagram.com/t51.2885-19/s150x150/16124251_1913091765603634_8004330562992996352_a.jpg")</f>
        <v>https://scontent.cdninstagram.com/t51.2885-19/s150x150/16124251_1913091765603634_8004330562992996352_a.jpg</v>
      </c>
    </row>
    <row r="3615" spans="1:31" ht="15" x14ac:dyDescent="0.25">
      <c r="A3615" t="s">
        <v>2474</v>
      </c>
      <c r="B3615" t="s">
        <v>2644</v>
      </c>
      <c r="C3615" s="221">
        <v>42977.203472222223</v>
      </c>
      <c r="D3615" t="s">
        <v>20464</v>
      </c>
      <c r="E3615" s="249" t="str">
        <f>HYPERLINK("https://www.instagram.com/p/BYaXPKwgF8t/")</f>
        <v>https://www.instagram.com/p/BYaXPKwgF8t/</v>
      </c>
      <c r="F3615" t="s">
        <v>20465</v>
      </c>
      <c r="G3615" t="s">
        <v>2478</v>
      </c>
      <c r="H3615">
        <v>1728</v>
      </c>
      <c r="I3615" t="s">
        <v>2479</v>
      </c>
      <c r="J3615">
        <v>2</v>
      </c>
      <c r="K3615">
        <v>101</v>
      </c>
      <c r="L3615">
        <v>103</v>
      </c>
      <c r="Q3615">
        <v>0</v>
      </c>
      <c r="R3615">
        <v>0</v>
      </c>
      <c r="S3615">
        <v>103</v>
      </c>
      <c r="T3615" t="s">
        <v>20466</v>
      </c>
      <c r="V3615" t="s">
        <v>2648</v>
      </c>
      <c r="W3615">
        <v>55.7652</v>
      </c>
      <c r="X3615">
        <v>37.560899999999997</v>
      </c>
      <c r="Y3615" t="s">
        <v>15976</v>
      </c>
      <c r="Z3615" t="s">
        <v>5902</v>
      </c>
      <c r="AA3615" t="s">
        <v>7428</v>
      </c>
      <c r="AB3615" t="s">
        <v>4863</v>
      </c>
      <c r="AC3615" t="s">
        <v>2844</v>
      </c>
      <c r="AD3615" s="249" t="str">
        <f>HYPERLINK("https://scontent.cdninstagram.com/t51.2885-15/s320x320/e35/21149654_129328697690427_4373560138045325312_n.jpg")</f>
        <v>https://scontent.cdninstagram.com/t51.2885-15/s320x320/e35/21149654_129328697690427_4373560138045325312_n.jpg</v>
      </c>
      <c r="AE3615" s="249" t="str">
        <f>HYPERLINK("https://scontent.cdninstagram.com/t51.2885-19/11372086_1598451257062069_1320225693_a.jpg")</f>
        <v>https://scontent.cdninstagram.com/t51.2885-19/11372086_1598451257062069_1320225693_a.jpg</v>
      </c>
    </row>
    <row r="3616" spans="1:31" ht="15" x14ac:dyDescent="0.25">
      <c r="A3616" t="s">
        <v>2474</v>
      </c>
      <c r="B3616" t="s">
        <v>3895</v>
      </c>
      <c r="C3616" s="221">
        <v>42977.20894675926</v>
      </c>
      <c r="D3616" t="s">
        <v>20467</v>
      </c>
      <c r="E3616" s="249" t="str">
        <f>HYPERLINK("https://www.instagram.com/p/BYaYIztlt-p/")</f>
        <v>https://www.instagram.com/p/BYaYIztlt-p/</v>
      </c>
      <c r="F3616" t="s">
        <v>20468</v>
      </c>
      <c r="G3616" t="s">
        <v>2478</v>
      </c>
      <c r="H3616">
        <v>431</v>
      </c>
      <c r="I3616" t="s">
        <v>2903</v>
      </c>
      <c r="J3616">
        <v>1</v>
      </c>
      <c r="K3616">
        <v>78</v>
      </c>
      <c r="L3616">
        <v>79</v>
      </c>
      <c r="Q3616">
        <v>0</v>
      </c>
      <c r="R3616">
        <v>0</v>
      </c>
      <c r="S3616">
        <v>79</v>
      </c>
      <c r="Y3616" t="s">
        <v>11097</v>
      </c>
      <c r="Z3616" t="s">
        <v>3157</v>
      </c>
      <c r="AA3616" t="s">
        <v>10186</v>
      </c>
      <c r="AB3616" t="s">
        <v>8007</v>
      </c>
      <c r="AC3616" t="s">
        <v>3900</v>
      </c>
      <c r="AD3616" s="249" t="str">
        <f>HYPERLINK("https://scontent.cdninstagram.com/t51.2885-15/s320x320/e35/21107827_859847654179589_2352412119833509888_n.jpg")</f>
        <v>https://scontent.cdninstagram.com/t51.2885-15/s320x320/e35/21107827_859847654179589_2352412119833509888_n.jpg</v>
      </c>
      <c r="AE3616" s="249" t="str">
        <f>HYPERLINK("https://scontent.cdninstagram.com/t51.2885-19/s150x150/20902130_1390331654386412_4188068892897181696_a.jpg")</f>
        <v>https://scontent.cdninstagram.com/t51.2885-19/s150x150/20902130_1390331654386412_4188068892897181696_a.jpg</v>
      </c>
    </row>
    <row r="3617" spans="1:31" ht="15" x14ac:dyDescent="0.25">
      <c r="A3617" t="s">
        <v>2474</v>
      </c>
      <c r="B3617" t="s">
        <v>12550</v>
      </c>
      <c r="C3617" s="221">
        <v>42977.211030092592</v>
      </c>
      <c r="D3617" t="s">
        <v>20469</v>
      </c>
      <c r="E3617" s="249" t="str">
        <f>HYPERLINK("https://www.instagram.com/p/BYaYezpHJ3r/")</f>
        <v>https://www.instagram.com/p/BYaYezpHJ3r/</v>
      </c>
      <c r="F3617" t="s">
        <v>20470</v>
      </c>
      <c r="G3617" t="s">
        <v>2478</v>
      </c>
      <c r="H3617">
        <v>859</v>
      </c>
      <c r="I3617" t="s">
        <v>2599</v>
      </c>
      <c r="J3617">
        <v>3</v>
      </c>
      <c r="K3617">
        <v>85</v>
      </c>
      <c r="L3617">
        <v>88</v>
      </c>
      <c r="Q3617">
        <v>0</v>
      </c>
      <c r="R3617">
        <v>0</v>
      </c>
      <c r="S3617">
        <v>88</v>
      </c>
      <c r="T3617" t="s">
        <v>20471</v>
      </c>
      <c r="V3617" t="s">
        <v>2207</v>
      </c>
      <c r="W3617">
        <v>35.960847999999999</v>
      </c>
      <c r="X3617">
        <v>14.3413</v>
      </c>
      <c r="Y3617" t="s">
        <v>2651</v>
      </c>
      <c r="Z3617" t="s">
        <v>4863</v>
      </c>
      <c r="AA3617" t="s">
        <v>11832</v>
      </c>
      <c r="AB3617" t="s">
        <v>20472</v>
      </c>
      <c r="AC3617" t="s">
        <v>4761</v>
      </c>
      <c r="AD3617" s="249" t="str">
        <f>HYPERLINK("https://scontent.cdninstagram.com/t51.2885-15/s320x320/e35/21147354_1894751097454670_367229427613958144_n.jpg")</f>
        <v>https://scontent.cdninstagram.com/t51.2885-15/s320x320/e35/21147354_1894751097454670_367229427613958144_n.jpg</v>
      </c>
      <c r="AE3617" s="249" t="str">
        <f>HYPERLINK("https://scontent.cdninstagram.com/t51.2885-19/s150x150/19534736_1894547127467294_2028662634726817792_a.jpg")</f>
        <v>https://scontent.cdninstagram.com/t51.2885-19/s150x150/19534736_1894547127467294_2028662634726817792_a.jpg</v>
      </c>
    </row>
    <row r="3618" spans="1:31" ht="15" x14ac:dyDescent="0.25">
      <c r="A3618" t="s">
        <v>2474</v>
      </c>
      <c r="B3618" t="s">
        <v>2539</v>
      </c>
      <c r="C3618" s="221">
        <v>42977.217824074076</v>
      </c>
      <c r="D3618" t="s">
        <v>20473</v>
      </c>
      <c r="E3618" s="249" t="str">
        <f>HYPERLINK("https://www.instagram.com/p/BYaZmc1As7T/")</f>
        <v>https://www.instagram.com/p/BYaZmc1As7T/</v>
      </c>
      <c r="F3618" t="s">
        <v>20474</v>
      </c>
      <c r="G3618" t="s">
        <v>2478</v>
      </c>
      <c r="H3618">
        <v>409</v>
      </c>
      <c r="I3618" t="s">
        <v>2542</v>
      </c>
      <c r="J3618">
        <v>0</v>
      </c>
      <c r="K3618">
        <v>15</v>
      </c>
      <c r="L3618">
        <v>15</v>
      </c>
      <c r="Q3618">
        <v>0</v>
      </c>
      <c r="R3618">
        <v>0</v>
      </c>
      <c r="S3618">
        <v>15</v>
      </c>
      <c r="Y3618" t="s">
        <v>4980</v>
      </c>
      <c r="Z3618" t="s">
        <v>4988</v>
      </c>
      <c r="AA3618" t="s">
        <v>2876</v>
      </c>
      <c r="AB3618" t="s">
        <v>14717</v>
      </c>
      <c r="AC3618" t="s">
        <v>20475</v>
      </c>
      <c r="AD3618" s="249" t="str">
        <f>HYPERLINK("https://scontent.cdninstagram.com/t51.2885-15/e35/21149042_113417269372989_8437038558035836928_n.jpg")</f>
        <v>https://scontent.cdninstagram.com/t51.2885-15/e35/21149042_113417269372989_8437038558035836928_n.jpg</v>
      </c>
      <c r="AE3618" s="249" t="str">
        <f>HYPERLINK("https://scontent.cdninstagram.com/t51.2885-19/s150x150/19227114_291634031306626_657711552039747584_a.jpg")</f>
        <v>https://scontent.cdninstagram.com/t51.2885-19/s150x150/19227114_291634031306626_657711552039747584_a.jpg</v>
      </c>
    </row>
    <row r="3619" spans="1:31" ht="15" x14ac:dyDescent="0.25">
      <c r="A3619" t="s">
        <v>2474</v>
      </c>
      <c r="B3619" t="s">
        <v>3015</v>
      </c>
      <c r="C3619" s="221">
        <v>42977.222812499997</v>
      </c>
      <c r="D3619" t="s">
        <v>20476</v>
      </c>
      <c r="E3619" s="249" t="str">
        <f>HYPERLINK("https://www.instagram.com/p/BYaabG9APQP/")</f>
        <v>https://www.instagram.com/p/BYaabG9APQP/</v>
      </c>
      <c r="F3619" t="s">
        <v>20477</v>
      </c>
      <c r="G3619" t="s">
        <v>2478</v>
      </c>
      <c r="H3619">
        <v>252</v>
      </c>
      <c r="I3619" t="s">
        <v>2479</v>
      </c>
      <c r="J3619">
        <v>0</v>
      </c>
      <c r="K3619">
        <v>33</v>
      </c>
      <c r="L3619">
        <v>33</v>
      </c>
      <c r="Q3619">
        <v>0</v>
      </c>
      <c r="R3619">
        <v>0</v>
      </c>
      <c r="S3619">
        <v>33</v>
      </c>
      <c r="Y3619" t="s">
        <v>4127</v>
      </c>
      <c r="Z3619" t="s">
        <v>3020</v>
      </c>
      <c r="AA3619" t="s">
        <v>4128</v>
      </c>
      <c r="AB3619" t="s">
        <v>10032</v>
      </c>
      <c r="AC3619" t="s">
        <v>3494</v>
      </c>
      <c r="AD3619" s="249" t="str">
        <f>HYPERLINK("https://scontent.cdninstagram.com/t51.2885-15/s320x320/e35/21108053_487202174985317_7388351198123786240_n.jpg")</f>
        <v>https://scontent.cdninstagram.com/t51.2885-15/s320x320/e35/21108053_487202174985317_7388351198123786240_n.jpg</v>
      </c>
      <c r="AE3619" s="249" t="str">
        <f>HYPERLINK("https://scontent.cdninstagram.com/t51.2885-19/s150x150/21373025_723410537866046_6184601968204316672_a.jpg")</f>
        <v>https://scontent.cdninstagram.com/t51.2885-19/s150x150/21373025_723410537866046_6184601968204316672_a.jpg</v>
      </c>
    </row>
    <row r="3620" spans="1:31" ht="15" x14ac:dyDescent="0.25">
      <c r="A3620" t="s">
        <v>2474</v>
      </c>
      <c r="B3620" t="s">
        <v>20478</v>
      </c>
      <c r="C3620" s="221">
        <v>42977.233437499999</v>
      </c>
      <c r="D3620" t="s">
        <v>20479</v>
      </c>
      <c r="E3620" s="249" t="str">
        <f>HYPERLINK("https://www.instagram.com/p/BYacLJpHIIU/")</f>
        <v>https://www.instagram.com/p/BYacLJpHIIU/</v>
      </c>
      <c r="F3620" t="s">
        <v>20480</v>
      </c>
      <c r="G3620" t="s">
        <v>2478</v>
      </c>
      <c r="H3620">
        <v>251</v>
      </c>
      <c r="I3620" t="s">
        <v>3575</v>
      </c>
      <c r="J3620">
        <v>0</v>
      </c>
      <c r="K3620">
        <v>10</v>
      </c>
      <c r="L3620">
        <v>10</v>
      </c>
      <c r="Q3620">
        <v>0</v>
      </c>
      <c r="R3620">
        <v>0</v>
      </c>
      <c r="S3620">
        <v>10</v>
      </c>
      <c r="Y3620" t="s">
        <v>2734</v>
      </c>
      <c r="Z3620" t="s">
        <v>2562</v>
      </c>
      <c r="AA3620" t="s">
        <v>2497</v>
      </c>
      <c r="AD3620" s="249" t="str">
        <f>HYPERLINK("https://scontent.cdninstagram.com/t51.2885-15/e35/21224948_1492046260881782_3137651760676470784_n.jpg")</f>
        <v>https://scontent.cdninstagram.com/t51.2885-15/e35/21224948_1492046260881782_3137651760676470784_n.jpg</v>
      </c>
      <c r="AE3620" s="249" t="str">
        <f>HYPERLINK("https://scontent.cdninstagram.com/t51.2885-19/s150x150/19986078_1458808070848545_2009414665775349760_a.jpg")</f>
        <v>https://scontent.cdninstagram.com/t51.2885-19/s150x150/19986078_1458808070848545_2009414665775349760_a.jpg</v>
      </c>
    </row>
    <row r="3621" spans="1:31" ht="15" x14ac:dyDescent="0.25">
      <c r="A3621" t="s">
        <v>2474</v>
      </c>
      <c r="B3621" t="s">
        <v>20481</v>
      </c>
      <c r="C3621" s="221">
        <v>42977.241608796299</v>
      </c>
      <c r="D3621" t="s">
        <v>20482</v>
      </c>
      <c r="E3621" s="249" t="str">
        <f>HYPERLINK("https://www.instagram.com/p/BYadhUkFiyA/")</f>
        <v>https://www.instagram.com/p/BYadhUkFiyA/</v>
      </c>
      <c r="F3621" t="s">
        <v>20483</v>
      </c>
      <c r="G3621" t="s">
        <v>2478</v>
      </c>
      <c r="H3621">
        <v>921</v>
      </c>
      <c r="I3621" t="s">
        <v>2479</v>
      </c>
      <c r="J3621">
        <v>17</v>
      </c>
      <c r="K3621">
        <v>117</v>
      </c>
      <c r="L3621">
        <v>134</v>
      </c>
      <c r="Q3621">
        <v>0</v>
      </c>
      <c r="R3621">
        <v>0</v>
      </c>
      <c r="S3621">
        <v>134</v>
      </c>
      <c r="Y3621" t="s">
        <v>3157</v>
      </c>
      <c r="Z3621" t="s">
        <v>6612</v>
      </c>
      <c r="AA3621" t="s">
        <v>2861</v>
      </c>
      <c r="AB3621" t="s">
        <v>20484</v>
      </c>
      <c r="AC3621" t="s">
        <v>19242</v>
      </c>
      <c r="AD3621" s="249" t="str">
        <f>HYPERLINK("https://scontent.cdninstagram.com/t51.2885-15/s320x320/e35/21147272_1844012242290422_7277064047114059776_n.jpg")</f>
        <v>https://scontent.cdninstagram.com/t51.2885-15/s320x320/e35/21147272_1844012242290422_7277064047114059776_n.jpg</v>
      </c>
      <c r="AE3621" s="249" t="str">
        <f>HYPERLINK("https://scontent.cdninstagram.com/t51.2885-19/s150x150/20634861_1395756977212407_4320410282829545472_a.jpg")</f>
        <v>https://scontent.cdninstagram.com/t51.2885-19/s150x150/20634861_1395756977212407_4320410282829545472_a.jpg</v>
      </c>
    </row>
    <row r="3622" spans="1:31" ht="15" x14ac:dyDescent="0.25">
      <c r="A3622" t="s">
        <v>2474</v>
      </c>
      <c r="B3622" t="s">
        <v>20485</v>
      </c>
      <c r="C3622" s="221">
        <v>42977.245717592596</v>
      </c>
      <c r="D3622" t="s">
        <v>20486</v>
      </c>
      <c r="E3622" s="249" t="str">
        <f>HYPERLINK("https://www.instagram.com/p/BYaeMsCg8hS/")</f>
        <v>https://www.instagram.com/p/BYaeMsCg8hS/</v>
      </c>
      <c r="F3622" t="s">
        <v>20487</v>
      </c>
      <c r="G3622" t="s">
        <v>2478</v>
      </c>
      <c r="H3622">
        <v>282</v>
      </c>
      <c r="I3622" t="s">
        <v>2599</v>
      </c>
      <c r="J3622">
        <v>0</v>
      </c>
      <c r="K3622">
        <v>48</v>
      </c>
      <c r="L3622">
        <v>48</v>
      </c>
      <c r="Q3622">
        <v>0</v>
      </c>
      <c r="R3622">
        <v>0</v>
      </c>
      <c r="S3622">
        <v>48</v>
      </c>
      <c r="Y3622" t="s">
        <v>2734</v>
      </c>
      <c r="Z3622" t="s">
        <v>20488</v>
      </c>
      <c r="AA3622" t="s">
        <v>3982</v>
      </c>
      <c r="AB3622" t="s">
        <v>20489</v>
      </c>
      <c r="AC3622" t="s">
        <v>3039</v>
      </c>
      <c r="AD3622" s="249" t="str">
        <f>HYPERLINK("https://scontent.cdninstagram.com/t51.2885-15/s320x320/e35/21147629_1272424776236000_5913951868152709120_n.jpg")</f>
        <v>https://scontent.cdninstagram.com/t51.2885-15/s320x320/e35/21147629_1272424776236000_5913951868152709120_n.jpg</v>
      </c>
      <c r="AE3622" s="249" t="str">
        <f>HYPERLINK("https://scontent.cdninstagram.com/t51.2885-19/s150x150/12292729_1526790840974974_114194708_a.jpg")</f>
        <v>https://scontent.cdninstagram.com/t51.2885-19/s150x150/12292729_1526790840974974_114194708_a.jpg</v>
      </c>
    </row>
    <row r="3623" spans="1:31" ht="15" x14ac:dyDescent="0.25">
      <c r="A3623" t="s">
        <v>2474</v>
      </c>
      <c r="B3623" t="s">
        <v>2685</v>
      </c>
      <c r="C3623" s="221">
        <v>42977.258888888886</v>
      </c>
      <c r="D3623" t="s">
        <v>20490</v>
      </c>
      <c r="E3623" s="249" t="str">
        <f>HYPERLINK("https://www.instagram.com/p/BYagXkJlngU/")</f>
        <v>https://www.instagram.com/p/BYagXkJlngU/</v>
      </c>
      <c r="F3623" t="s">
        <v>20491</v>
      </c>
      <c r="G3623" t="s">
        <v>2478</v>
      </c>
      <c r="H3623">
        <v>244</v>
      </c>
      <c r="I3623" t="s">
        <v>2479</v>
      </c>
      <c r="J3623">
        <v>2</v>
      </c>
      <c r="K3623">
        <v>33</v>
      </c>
      <c r="L3623">
        <v>35</v>
      </c>
      <c r="Q3623">
        <v>0</v>
      </c>
      <c r="R3623">
        <v>0</v>
      </c>
      <c r="S3623">
        <v>35</v>
      </c>
      <c r="Y3623" t="s">
        <v>6052</v>
      </c>
      <c r="Z3623" t="s">
        <v>20492</v>
      </c>
      <c r="AA3623" t="s">
        <v>16611</v>
      </c>
      <c r="AB3623" t="s">
        <v>2690</v>
      </c>
      <c r="AC3623" t="s">
        <v>8094</v>
      </c>
      <c r="AD3623" s="249" t="str">
        <f>HYPERLINK("https://scontent.cdninstagram.com/t51.2885-15/s320x320/e35/21224519_1928485350809360_1747749078961225728_n.jpg")</f>
        <v>https://scontent.cdninstagram.com/t51.2885-15/s320x320/e35/21224519_1928485350809360_1747749078961225728_n.jpg</v>
      </c>
      <c r="AE3623" s="249" t="str">
        <f>HYPERLINK("https://scontent.cdninstagram.com/t51.2885-19/s150x150/12339026_997056470351354_891418646_a.jpg")</f>
        <v>https://scontent.cdninstagram.com/t51.2885-19/s150x150/12339026_997056470351354_891418646_a.jpg</v>
      </c>
    </row>
    <row r="3624" spans="1:31" ht="15" x14ac:dyDescent="0.25">
      <c r="A3624" t="s">
        <v>2474</v>
      </c>
      <c r="B3624" t="s">
        <v>2628</v>
      </c>
      <c r="C3624" s="221">
        <v>42977.261423611111</v>
      </c>
      <c r="D3624" t="s">
        <v>20493</v>
      </c>
      <c r="E3624" s="249" t="str">
        <f>HYPERLINK("https://www.instagram.com/p/BYagyR0gZw_/")</f>
        <v>https://www.instagram.com/p/BYagyR0gZw_/</v>
      </c>
      <c r="F3624" t="s">
        <v>20494</v>
      </c>
      <c r="G3624" t="s">
        <v>2631</v>
      </c>
      <c r="H3624">
        <v>183</v>
      </c>
      <c r="I3624" t="s">
        <v>2479</v>
      </c>
      <c r="J3624">
        <v>0</v>
      </c>
      <c r="K3624">
        <v>29</v>
      </c>
      <c r="L3624">
        <v>29</v>
      </c>
      <c r="Q3624">
        <v>0</v>
      </c>
      <c r="R3624">
        <v>0</v>
      </c>
      <c r="S3624">
        <v>29</v>
      </c>
      <c r="Y3624" t="s">
        <v>2524</v>
      </c>
      <c r="Z3624" t="s">
        <v>12681</v>
      </c>
      <c r="AA3624" t="s">
        <v>2778</v>
      </c>
      <c r="AB3624" t="s">
        <v>5836</v>
      </c>
      <c r="AC3624" t="s">
        <v>2633</v>
      </c>
      <c r="AD3624" s="249" t="str">
        <f>HYPERLINK("https://scontent.cdninstagram.com/t51.2885-15/s320x320/e15/21147902_113629669328113_5218186996064714752_n.jpg")</f>
        <v>https://scontent.cdninstagram.com/t51.2885-15/s320x320/e15/21147902_113629669328113_5218186996064714752_n.jpg</v>
      </c>
      <c r="AE3624" s="249" t="str">
        <f>HYPERLINK("https://scontent.cdninstagram.com/t51.2885-19/s150x150/13739472_923311071148595_1681273203_a.jpg")</f>
        <v>https://scontent.cdninstagram.com/t51.2885-19/s150x150/13739472_923311071148595_1681273203_a.jpg</v>
      </c>
    </row>
    <row r="3625" spans="1:31" ht="15" x14ac:dyDescent="0.25">
      <c r="A3625" t="s">
        <v>2474</v>
      </c>
      <c r="B3625" t="s">
        <v>2644</v>
      </c>
      <c r="C3625" s="221">
        <v>42977.276180555556</v>
      </c>
      <c r="D3625" t="s">
        <v>20495</v>
      </c>
      <c r="E3625" s="249" t="str">
        <f>HYPERLINK("https://www.instagram.com/p/BYajN9bgxQB/")</f>
        <v>https://www.instagram.com/p/BYajN9bgxQB/</v>
      </c>
      <c r="F3625" t="s">
        <v>20496</v>
      </c>
      <c r="G3625" t="s">
        <v>2478</v>
      </c>
      <c r="H3625">
        <v>1733</v>
      </c>
      <c r="I3625" t="s">
        <v>2479</v>
      </c>
      <c r="J3625">
        <v>1</v>
      </c>
      <c r="K3625">
        <v>77</v>
      </c>
      <c r="L3625">
        <v>78</v>
      </c>
      <c r="Q3625">
        <v>0</v>
      </c>
      <c r="R3625">
        <v>0</v>
      </c>
      <c r="S3625">
        <v>78</v>
      </c>
      <c r="T3625" t="s">
        <v>20497</v>
      </c>
      <c r="V3625" t="s">
        <v>2648</v>
      </c>
      <c r="W3625">
        <v>55.763888888888999</v>
      </c>
      <c r="X3625">
        <v>37.591944444444003</v>
      </c>
      <c r="Y3625" t="s">
        <v>5902</v>
      </c>
      <c r="Z3625" t="s">
        <v>7428</v>
      </c>
      <c r="AA3625" t="s">
        <v>2651</v>
      </c>
      <c r="AB3625" t="s">
        <v>4863</v>
      </c>
      <c r="AC3625" t="s">
        <v>2844</v>
      </c>
      <c r="AD3625" s="249" t="str">
        <f>HYPERLINK("https://scontent.cdninstagram.com/t51.2885-15/e35/p320x320/21147791_1760506877579940_1037624413215784960_n.jpg")</f>
        <v>https://scontent.cdninstagram.com/t51.2885-15/e35/p320x320/21147791_1760506877579940_1037624413215784960_n.jpg</v>
      </c>
      <c r="AE3625" s="249" t="str">
        <f>HYPERLINK("https://scontent.cdninstagram.com/t51.2885-19/11372086_1598451257062069_1320225693_a.jpg")</f>
        <v>https://scontent.cdninstagram.com/t51.2885-19/11372086_1598451257062069_1320225693_a.jpg</v>
      </c>
    </row>
    <row r="3626" spans="1:31" ht="15" x14ac:dyDescent="0.25">
      <c r="A3626" t="s">
        <v>2474</v>
      </c>
      <c r="B3626" t="s">
        <v>20498</v>
      </c>
      <c r="C3626" s="221">
        <v>42977.279780092591</v>
      </c>
      <c r="D3626" t="s">
        <v>20499</v>
      </c>
      <c r="E3626" s="249" t="str">
        <f>HYPERLINK("https://www.instagram.com/p/BYajz_FDgd0/")</f>
        <v>https://www.instagram.com/p/BYajz_FDgd0/</v>
      </c>
      <c r="F3626" t="s">
        <v>20500</v>
      </c>
      <c r="G3626" t="s">
        <v>2488</v>
      </c>
      <c r="H3626">
        <v>928</v>
      </c>
      <c r="I3626" t="s">
        <v>2479</v>
      </c>
      <c r="J3626">
        <v>0</v>
      </c>
      <c r="K3626">
        <v>23</v>
      </c>
      <c r="L3626">
        <v>23</v>
      </c>
      <c r="Q3626">
        <v>0</v>
      </c>
      <c r="R3626">
        <v>0</v>
      </c>
      <c r="S3626">
        <v>23</v>
      </c>
      <c r="Y3626" t="s">
        <v>20501</v>
      </c>
      <c r="Z3626" t="s">
        <v>20502</v>
      </c>
      <c r="AA3626" t="s">
        <v>20503</v>
      </c>
      <c r="AB3626" t="s">
        <v>20504</v>
      </c>
      <c r="AC3626" t="s">
        <v>20505</v>
      </c>
      <c r="AD3626" s="249" t="str">
        <f>HYPERLINK("https://scontent.cdninstagram.com/t51.2885-15/s320x320/e35/21147953_522546054753846_5212512274819842048_n.jpg")</f>
        <v>https://scontent.cdninstagram.com/t51.2885-15/s320x320/e35/21147953_522546054753846_5212512274819842048_n.jpg</v>
      </c>
      <c r="AE3626" s="249" t="str">
        <f>HYPERLINK("https://scontent.cdninstagram.com/t51.2885-19/s150x150/21294638_1620693864655862_6689775394494611456_a.jpg")</f>
        <v>https://scontent.cdninstagram.com/t51.2885-19/s150x150/21294638_1620693864655862_6689775394494611456_a.jpg</v>
      </c>
    </row>
    <row r="3627" spans="1:31" ht="15" x14ac:dyDescent="0.25">
      <c r="A3627" t="s">
        <v>2474</v>
      </c>
      <c r="B3627" t="s">
        <v>17158</v>
      </c>
      <c r="C3627" s="221">
        <v>42977.286840277775</v>
      </c>
      <c r="D3627" t="s">
        <v>20506</v>
      </c>
      <c r="E3627" s="249" t="str">
        <f>HYPERLINK("https://www.instagram.com/p/BYak-ZsHXrw/")</f>
        <v>https://www.instagram.com/p/BYak-ZsHXrw/</v>
      </c>
      <c r="F3627" t="s">
        <v>20507</v>
      </c>
      <c r="G3627" t="s">
        <v>2478</v>
      </c>
      <c r="H3627">
        <v>378</v>
      </c>
      <c r="I3627" t="s">
        <v>2479</v>
      </c>
      <c r="J3627">
        <v>4</v>
      </c>
      <c r="K3627">
        <v>59</v>
      </c>
      <c r="L3627">
        <v>63</v>
      </c>
      <c r="Q3627">
        <v>0</v>
      </c>
      <c r="R3627">
        <v>0</v>
      </c>
      <c r="S3627">
        <v>63</v>
      </c>
      <c r="Y3627" t="s">
        <v>16743</v>
      </c>
      <c r="Z3627" t="s">
        <v>17161</v>
      </c>
      <c r="AA3627" t="s">
        <v>6043</v>
      </c>
      <c r="AB3627" t="s">
        <v>6865</v>
      </c>
      <c r="AC3627" t="s">
        <v>20508</v>
      </c>
      <c r="AD3627" s="249" t="str">
        <f>HYPERLINK("https://scontent.cdninstagram.com/t51.2885-15/s320x320/e35/21149640_113076956074481_3711521930440867840_n.jpg")</f>
        <v>https://scontent.cdninstagram.com/t51.2885-15/s320x320/e35/21149640_113076956074481_3711521930440867840_n.jpg</v>
      </c>
      <c r="AE3627" s="249" t="str">
        <f>HYPERLINK("https://scontent.cdninstagram.com/t51.2885-19/s150x150/13658639_315931348749567_46952542_a.jpg")</f>
        <v>https://scontent.cdninstagram.com/t51.2885-19/s150x150/13658639_315931348749567_46952542_a.jpg</v>
      </c>
    </row>
    <row r="3628" spans="1:31" ht="15" x14ac:dyDescent="0.25">
      <c r="A3628" t="s">
        <v>2474</v>
      </c>
      <c r="B3628" t="s">
        <v>20509</v>
      </c>
      <c r="C3628" s="221">
        <v>42977.293321759258</v>
      </c>
      <c r="D3628" t="s">
        <v>20510</v>
      </c>
      <c r="E3628" s="249" t="str">
        <f>HYPERLINK("https://www.instagram.com/p/BYamC0El5SM/")</f>
        <v>https://www.instagram.com/p/BYamC0El5SM/</v>
      </c>
      <c r="F3628" t="s">
        <v>20511</v>
      </c>
      <c r="G3628" t="s">
        <v>2478</v>
      </c>
      <c r="H3628">
        <v>42</v>
      </c>
      <c r="I3628" t="s">
        <v>2479</v>
      </c>
      <c r="J3628">
        <v>0</v>
      </c>
      <c r="K3628">
        <v>29</v>
      </c>
      <c r="L3628">
        <v>29</v>
      </c>
      <c r="Q3628">
        <v>0</v>
      </c>
      <c r="R3628">
        <v>0</v>
      </c>
      <c r="S3628">
        <v>29</v>
      </c>
      <c r="T3628" t="s">
        <v>20512</v>
      </c>
      <c r="V3628" t="s">
        <v>2238</v>
      </c>
      <c r="W3628">
        <v>13.581297292593</v>
      </c>
      <c r="X3628">
        <v>124.23020913481</v>
      </c>
      <c r="Y3628" t="s">
        <v>14470</v>
      </c>
      <c r="Z3628" t="s">
        <v>20513</v>
      </c>
      <c r="AA3628" t="s">
        <v>3568</v>
      </c>
      <c r="AB3628" t="s">
        <v>20514</v>
      </c>
      <c r="AC3628" t="s">
        <v>20515</v>
      </c>
      <c r="AD3628" s="249" t="str">
        <f>HYPERLINK("https://scontent.cdninstagram.com/t51.2885-15/e35/p320x320/21149679_990394317769942_6718280482552807424_n.jpg")</f>
        <v>https://scontent.cdninstagram.com/t51.2885-15/e35/p320x320/21149679_990394317769942_6718280482552807424_n.jpg</v>
      </c>
      <c r="AE3628" s="249" t="str">
        <f>HYPERLINK("https://scontent.cdninstagram.com/t51.2885-19/s150x150/20688229_321944491600371_7731383853733904384_a.jpg")</f>
        <v>https://scontent.cdninstagram.com/t51.2885-19/s150x150/20688229_321944491600371_7731383853733904384_a.jpg</v>
      </c>
    </row>
    <row r="3629" spans="1:31" ht="15" x14ac:dyDescent="0.25">
      <c r="A3629" t="s">
        <v>2474</v>
      </c>
      <c r="B3629" t="s">
        <v>9202</v>
      </c>
      <c r="C3629" s="221">
        <v>42977.296365740738</v>
      </c>
      <c r="D3629" t="s">
        <v>20516</v>
      </c>
      <c r="E3629" s="249" t="str">
        <f>HYPERLINK("https://www.instagram.com/p/BYami0HHkhB/")</f>
        <v>https://www.instagram.com/p/BYami0HHkhB/</v>
      </c>
      <c r="F3629" t="s">
        <v>20517</v>
      </c>
      <c r="G3629" t="s">
        <v>2631</v>
      </c>
      <c r="H3629">
        <v>1312</v>
      </c>
      <c r="I3629" t="s">
        <v>2479</v>
      </c>
      <c r="J3629">
        <v>3</v>
      </c>
      <c r="K3629">
        <v>75</v>
      </c>
      <c r="L3629">
        <v>78</v>
      </c>
      <c r="Q3629">
        <v>0</v>
      </c>
      <c r="R3629">
        <v>0</v>
      </c>
      <c r="S3629">
        <v>78</v>
      </c>
      <c r="T3629" t="s">
        <v>20518</v>
      </c>
      <c r="V3629" t="s">
        <v>2182</v>
      </c>
      <c r="W3629">
        <v>45.514211494500998</v>
      </c>
      <c r="X3629">
        <v>12.224600767057</v>
      </c>
      <c r="Y3629" t="s">
        <v>8592</v>
      </c>
      <c r="Z3629" t="s">
        <v>20519</v>
      </c>
      <c r="AA3629" t="s">
        <v>20520</v>
      </c>
      <c r="AB3629" t="s">
        <v>20521</v>
      </c>
      <c r="AC3629" t="s">
        <v>17441</v>
      </c>
      <c r="AD3629" s="249" t="str">
        <f>HYPERLINK("https://scontent.cdninstagram.com/t51.2885-15/s320x320/e15/21224412_683667238510634_1335575301085724672_n.jpg")</f>
        <v>https://scontent.cdninstagram.com/t51.2885-15/s320x320/e15/21224412_683667238510634_1335575301085724672_n.jpg</v>
      </c>
      <c r="AE3629" s="249" t="str">
        <f>HYPERLINK("https://scontent.cdninstagram.com/t51.2885-19/s150x150/21107631_113930275955600_738991162416693248_a.jpg")</f>
        <v>https://scontent.cdninstagram.com/t51.2885-19/s150x150/21107631_113930275955600_738991162416693248_a.jpg</v>
      </c>
    </row>
    <row r="3630" spans="1:31" ht="15" x14ac:dyDescent="0.25">
      <c r="A3630" t="s">
        <v>2474</v>
      </c>
      <c r="B3630" t="s">
        <v>20522</v>
      </c>
      <c r="C3630" s="221">
        <v>42977.29755787037</v>
      </c>
      <c r="D3630" t="s">
        <v>20523</v>
      </c>
      <c r="E3630" s="249" t="str">
        <f>HYPERLINK("https://www.instagram.com/p/BYamvYdFQld/")</f>
        <v>https://www.instagram.com/p/BYamvYdFQld/</v>
      </c>
      <c r="F3630" t="s">
        <v>20524</v>
      </c>
      <c r="G3630" t="s">
        <v>2631</v>
      </c>
      <c r="I3630" t="s">
        <v>3575</v>
      </c>
      <c r="J3630">
        <v>0</v>
      </c>
      <c r="K3630">
        <v>10</v>
      </c>
      <c r="L3630">
        <v>10</v>
      </c>
      <c r="Q3630">
        <v>0</v>
      </c>
      <c r="R3630">
        <v>0</v>
      </c>
      <c r="S3630">
        <v>10</v>
      </c>
      <c r="Y3630" t="s">
        <v>20525</v>
      </c>
      <c r="Z3630" t="s">
        <v>3936</v>
      </c>
      <c r="AA3630" t="s">
        <v>20526</v>
      </c>
      <c r="AB3630" t="s">
        <v>20527</v>
      </c>
      <c r="AC3630" t="s">
        <v>2497</v>
      </c>
      <c r="AD3630" s="249" t="str">
        <f>HYPERLINK("https://scontent.cdninstagram.com/t51.2885-15/s320x320/e15/21224242_465920133787764_934990298457571328_n.jpg")</f>
        <v>https://scontent.cdninstagram.com/t51.2885-15/s320x320/e15/21224242_465920133787764_934990298457571328_n.jpg</v>
      </c>
      <c r="AE3630" s="249" t="str">
        <f>HYPERLINK("https://scontent.cdninstagram.com/t51.2885-19/s150x150/20986902_269506990203786_5716462730647437312_a.jpg")</f>
        <v>https://scontent.cdninstagram.com/t51.2885-19/s150x150/20986902_269506990203786_5716462730647437312_a.jpg</v>
      </c>
    </row>
    <row r="3631" spans="1:31" ht="15" x14ac:dyDescent="0.25">
      <c r="A3631" t="s">
        <v>2474</v>
      </c>
      <c r="B3631" t="s">
        <v>20528</v>
      </c>
      <c r="C3631" s="221">
        <v>42977.304699074077</v>
      </c>
      <c r="D3631" t="s">
        <v>20529</v>
      </c>
      <c r="E3631" s="249" t="str">
        <f>HYPERLINK("https://www.instagram.com/p/BYan6tAB2Ha/")</f>
        <v>https://www.instagram.com/p/BYan6tAB2Ha/</v>
      </c>
      <c r="F3631" t="s">
        <v>20530</v>
      </c>
      <c r="G3631" t="s">
        <v>2478</v>
      </c>
      <c r="H3631">
        <v>490</v>
      </c>
      <c r="I3631" t="s">
        <v>2479</v>
      </c>
      <c r="J3631">
        <v>0</v>
      </c>
      <c r="K3631">
        <v>102</v>
      </c>
      <c r="L3631">
        <v>102</v>
      </c>
      <c r="Q3631">
        <v>0</v>
      </c>
      <c r="R3631">
        <v>0</v>
      </c>
      <c r="S3631">
        <v>102</v>
      </c>
      <c r="Y3631" t="s">
        <v>16760</v>
      </c>
      <c r="Z3631" t="s">
        <v>3598</v>
      </c>
      <c r="AA3631" t="s">
        <v>4761</v>
      </c>
      <c r="AB3631" t="s">
        <v>3477</v>
      </c>
      <c r="AC3631" t="s">
        <v>20531</v>
      </c>
      <c r="AD3631" s="249" t="str">
        <f>HYPERLINK("https://scontent.cdninstagram.com/t51.2885-15/s320x320/e35/21147970_1481959765173677_9176889302322249728_n.jpg")</f>
        <v>https://scontent.cdninstagram.com/t51.2885-15/s320x320/e35/21147970_1481959765173677_9176889302322249728_n.jpg</v>
      </c>
      <c r="AE3631" s="249" t="str">
        <f>HYPERLINK("https://scontent.cdninstagram.com/t51.2885-19/s150x150/20969128_1951589418422396_3123905103665299456_a.jpg")</f>
        <v>https://scontent.cdninstagram.com/t51.2885-19/s150x150/20969128_1951589418422396_3123905103665299456_a.jpg</v>
      </c>
    </row>
    <row r="3632" spans="1:31" ht="15" x14ac:dyDescent="0.25">
      <c r="A3632" t="s">
        <v>2474</v>
      </c>
      <c r="B3632" t="s">
        <v>8202</v>
      </c>
      <c r="C3632" s="221">
        <v>42977.305231481485</v>
      </c>
      <c r="D3632" t="s">
        <v>20532</v>
      </c>
      <c r="E3632" s="249" t="str">
        <f>HYPERLINK("https://www.instagram.com/p/BYaoAXwjoJ7/")</f>
        <v>https://www.instagram.com/p/BYaoAXwjoJ7/</v>
      </c>
      <c r="F3632" t="s">
        <v>20533</v>
      </c>
      <c r="G3632" t="s">
        <v>2478</v>
      </c>
      <c r="H3632">
        <v>43880</v>
      </c>
      <c r="I3632" t="s">
        <v>2479</v>
      </c>
      <c r="J3632">
        <v>12</v>
      </c>
      <c r="K3632">
        <v>1316</v>
      </c>
      <c r="L3632">
        <v>1328</v>
      </c>
      <c r="Q3632">
        <v>0</v>
      </c>
      <c r="R3632">
        <v>0</v>
      </c>
      <c r="S3632">
        <v>1328</v>
      </c>
      <c r="Y3632" t="s">
        <v>8206</v>
      </c>
      <c r="Z3632" t="s">
        <v>20534</v>
      </c>
      <c r="AA3632" t="s">
        <v>11144</v>
      </c>
      <c r="AB3632" t="s">
        <v>18013</v>
      </c>
      <c r="AC3632" t="s">
        <v>20535</v>
      </c>
      <c r="AD3632" s="249" t="str">
        <f>HYPERLINK("https://scontent.cdninstagram.com/t51.2885-15/e35/p320x320/21149160_515308445488045_458949648220946432_n.jpg")</f>
        <v>https://scontent.cdninstagram.com/t51.2885-15/e35/p320x320/21149160_515308445488045_458949648220946432_n.jpg</v>
      </c>
      <c r="AE3632" s="249" t="str">
        <f>HYPERLINK("https://scontent.cdninstagram.com/t51.2885-19/s150x150/20479365_288964168246039_8270596716911132672_a.jpg")</f>
        <v>https://scontent.cdninstagram.com/t51.2885-19/s150x150/20479365_288964168246039_8270596716911132672_a.jpg</v>
      </c>
    </row>
    <row r="3633" spans="1:31" ht="15" x14ac:dyDescent="0.25">
      <c r="A3633" t="s">
        <v>2474</v>
      </c>
      <c r="B3633" t="s">
        <v>20536</v>
      </c>
      <c r="C3633" s="221">
        <v>42977.314780092594</v>
      </c>
      <c r="D3633" t="s">
        <v>20537</v>
      </c>
      <c r="E3633" s="249" t="str">
        <f>HYPERLINK("https://www.instagram.com/p/BYaplIXlA5r/")</f>
        <v>https://www.instagram.com/p/BYaplIXlA5r/</v>
      </c>
      <c r="F3633" t="s">
        <v>20538</v>
      </c>
      <c r="G3633" t="s">
        <v>2478</v>
      </c>
      <c r="H3633">
        <v>380</v>
      </c>
      <c r="I3633" t="s">
        <v>2479</v>
      </c>
      <c r="J3633">
        <v>0</v>
      </c>
      <c r="K3633">
        <v>41</v>
      </c>
      <c r="L3633">
        <v>41</v>
      </c>
      <c r="Q3633">
        <v>0</v>
      </c>
      <c r="R3633">
        <v>0</v>
      </c>
      <c r="S3633">
        <v>41</v>
      </c>
      <c r="Y3633" t="s">
        <v>20539</v>
      </c>
      <c r="Z3633" t="s">
        <v>3262</v>
      </c>
      <c r="AA3633" t="s">
        <v>20540</v>
      </c>
      <c r="AB3633" t="s">
        <v>2497</v>
      </c>
      <c r="AC3633" t="s">
        <v>6367</v>
      </c>
      <c r="AD3633" s="249" t="str">
        <f>HYPERLINK("https://scontent.cdninstagram.com/t51.2885-15/s320x320/e35/21227275_299299470475978_3028142962350489600_n.jpg")</f>
        <v>https://scontent.cdninstagram.com/t51.2885-15/s320x320/e35/21227275_299299470475978_3028142962350489600_n.jpg</v>
      </c>
      <c r="AE3633" s="249" t="str">
        <f>HYPERLINK("https://scontent.cdninstagram.com/t51.2885-19/s150x150/18646537_115676032282901_547466330031259648_a.jpg")</f>
        <v>https://scontent.cdninstagram.com/t51.2885-19/s150x150/18646537_115676032282901_547466330031259648_a.jpg</v>
      </c>
    </row>
    <row r="3634" spans="1:31" ht="15" x14ac:dyDescent="0.25">
      <c r="A3634" t="s">
        <v>2474</v>
      </c>
      <c r="B3634" t="s">
        <v>20541</v>
      </c>
      <c r="C3634" s="221">
        <v>42977.315381944441</v>
      </c>
      <c r="D3634" t="s">
        <v>20542</v>
      </c>
      <c r="E3634" s="249" t="str">
        <f>HYPERLINK("https://www.instagram.com/p/BYapraGHVeG/")</f>
        <v>https://www.instagram.com/p/BYapraGHVeG/</v>
      </c>
      <c r="F3634" t="s">
        <v>20543</v>
      </c>
      <c r="G3634" t="s">
        <v>2478</v>
      </c>
      <c r="H3634">
        <v>300</v>
      </c>
      <c r="I3634" t="s">
        <v>2479</v>
      </c>
      <c r="J3634">
        <v>3</v>
      </c>
      <c r="K3634">
        <v>73</v>
      </c>
      <c r="L3634">
        <v>76</v>
      </c>
      <c r="Q3634">
        <v>0</v>
      </c>
      <c r="R3634">
        <v>0</v>
      </c>
      <c r="S3634">
        <v>76</v>
      </c>
      <c r="Y3634" t="s">
        <v>3549</v>
      </c>
      <c r="Z3634" t="s">
        <v>20544</v>
      </c>
      <c r="AA3634" t="s">
        <v>3568</v>
      </c>
      <c r="AB3634" t="s">
        <v>20545</v>
      </c>
      <c r="AC3634" t="s">
        <v>4761</v>
      </c>
      <c r="AD3634" s="249" t="str">
        <f>HYPERLINK("https://scontent.cdninstagram.com/t51.2885-15/s320x320/e35/21147974_130947820858742_6571548280709185536_n.jpg")</f>
        <v>https://scontent.cdninstagram.com/t51.2885-15/s320x320/e35/21147974_130947820858742_6571548280709185536_n.jpg</v>
      </c>
      <c r="AE3634" s="249" t="str">
        <f>HYPERLINK("https://scontent.cdninstagram.com/t51.2885-19/s150x150/20589610_1952148661727739_4255424773351276544_a.jpg")</f>
        <v>https://scontent.cdninstagram.com/t51.2885-19/s150x150/20589610_1952148661727739_4255424773351276544_a.jpg</v>
      </c>
    </row>
    <row r="3635" spans="1:31" ht="15" x14ac:dyDescent="0.25">
      <c r="A3635" t="s">
        <v>2474</v>
      </c>
      <c r="B3635" t="s">
        <v>20546</v>
      </c>
      <c r="C3635" s="221">
        <v>42977.32471064815</v>
      </c>
      <c r="D3635" t="s">
        <v>20547</v>
      </c>
      <c r="E3635" s="249" t="str">
        <f>HYPERLINK("https://www.instagram.com/p/BYarN0Ehzpz/")</f>
        <v>https://www.instagram.com/p/BYarN0Ehzpz/</v>
      </c>
      <c r="F3635" t="s">
        <v>20548</v>
      </c>
      <c r="G3635" t="s">
        <v>2478</v>
      </c>
      <c r="H3635">
        <v>1393</v>
      </c>
      <c r="I3635" t="s">
        <v>2479</v>
      </c>
      <c r="J3635">
        <v>8</v>
      </c>
      <c r="K3635">
        <v>120</v>
      </c>
      <c r="L3635">
        <v>128</v>
      </c>
      <c r="Q3635">
        <v>0</v>
      </c>
      <c r="R3635">
        <v>0</v>
      </c>
      <c r="S3635">
        <v>128</v>
      </c>
      <c r="T3635" t="s">
        <v>20549</v>
      </c>
      <c r="V3635" t="s">
        <v>2182</v>
      </c>
      <c r="W3635">
        <v>43.269456214514001</v>
      </c>
      <c r="X3635">
        <v>11.798383035781001</v>
      </c>
      <c r="Y3635" t="s">
        <v>20550</v>
      </c>
      <c r="Z3635" t="s">
        <v>20551</v>
      </c>
      <c r="AA3635" t="s">
        <v>6633</v>
      </c>
      <c r="AB3635" t="s">
        <v>2529</v>
      </c>
      <c r="AC3635" t="s">
        <v>20552</v>
      </c>
      <c r="AD3635" s="249" t="str">
        <f>HYPERLINK("https://scontent.cdninstagram.com/t51.2885-15/e35/p320x320/21224437_347007219060831_228025946957938688_n.jpg")</f>
        <v>https://scontent.cdninstagram.com/t51.2885-15/e35/p320x320/21224437_347007219060831_228025946957938688_n.jpg</v>
      </c>
      <c r="AE3635" s="249" t="str">
        <f>HYPERLINK("https://scontent.cdninstagram.com/t51.2885-19/s150x150/21041895_255304081625485_1744912996091559936_a.jpg")</f>
        <v>https://scontent.cdninstagram.com/t51.2885-19/s150x150/21041895_255304081625485_1744912996091559936_a.jpg</v>
      </c>
    </row>
    <row r="3636" spans="1:31" ht="15" x14ac:dyDescent="0.25">
      <c r="A3636" t="s">
        <v>2474</v>
      </c>
      <c r="B3636" t="s">
        <v>20553</v>
      </c>
      <c r="C3636" s="221">
        <v>42977.326504629629</v>
      </c>
      <c r="D3636" t="s">
        <v>20554</v>
      </c>
      <c r="E3636" s="249" t="str">
        <f>HYPERLINK("https://www.instagram.com/p/BYargsDn0PI/")</f>
        <v>https://www.instagram.com/p/BYargsDn0PI/</v>
      </c>
      <c r="F3636" t="s">
        <v>20555</v>
      </c>
      <c r="G3636" t="s">
        <v>2478</v>
      </c>
      <c r="H3636">
        <v>261</v>
      </c>
      <c r="I3636" t="s">
        <v>2542</v>
      </c>
      <c r="J3636">
        <v>0</v>
      </c>
      <c r="K3636">
        <v>19</v>
      </c>
      <c r="L3636">
        <v>19</v>
      </c>
      <c r="Q3636">
        <v>0</v>
      </c>
      <c r="R3636">
        <v>0</v>
      </c>
      <c r="S3636">
        <v>19</v>
      </c>
      <c r="Y3636" t="s">
        <v>20556</v>
      </c>
      <c r="Z3636" t="s">
        <v>20557</v>
      </c>
      <c r="AA3636" t="s">
        <v>3829</v>
      </c>
      <c r="AB3636" t="s">
        <v>11373</v>
      </c>
      <c r="AC3636" t="s">
        <v>20558</v>
      </c>
      <c r="AD3636" s="249" t="str">
        <f>HYPERLINK("https://scontent.cdninstagram.com/t51.2885-15/s320x320/e35/21147800_258395221335364_4739887828685553664_n.jpg")</f>
        <v>https://scontent.cdninstagram.com/t51.2885-15/s320x320/e35/21147800_258395221335364_4739887828685553664_n.jpg</v>
      </c>
      <c r="AE3636" s="249" t="str">
        <f>HYPERLINK("https://scontent.cdninstagram.com/t51.2885-19/s150x150/18252847_460349151006475_4223054743007657984_a.jpg")</f>
        <v>https://scontent.cdninstagram.com/t51.2885-19/s150x150/18252847_460349151006475_4223054743007657984_a.jpg</v>
      </c>
    </row>
    <row r="3637" spans="1:31" ht="15" x14ac:dyDescent="0.25">
      <c r="A3637" t="s">
        <v>2474</v>
      </c>
      <c r="B3637" t="s">
        <v>20559</v>
      </c>
      <c r="C3637" s="221">
        <v>42977.329409722224</v>
      </c>
      <c r="D3637" t="s">
        <v>20560</v>
      </c>
      <c r="E3637" s="249" t="str">
        <f>HYPERLINK("https://www.instagram.com/p/BYar_XHnNY4/")</f>
        <v>https://www.instagram.com/p/BYar_XHnNY4/</v>
      </c>
      <c r="F3637" t="s">
        <v>20561</v>
      </c>
      <c r="G3637" t="s">
        <v>2478</v>
      </c>
      <c r="H3637">
        <v>180</v>
      </c>
      <c r="I3637" t="s">
        <v>2479</v>
      </c>
      <c r="J3637">
        <v>1</v>
      </c>
      <c r="K3637">
        <v>21</v>
      </c>
      <c r="L3637">
        <v>22</v>
      </c>
      <c r="Q3637">
        <v>0</v>
      </c>
      <c r="R3637">
        <v>0</v>
      </c>
      <c r="S3637">
        <v>22</v>
      </c>
      <c r="Y3637" t="s">
        <v>2730</v>
      </c>
      <c r="Z3637" t="s">
        <v>2562</v>
      </c>
      <c r="AA3637" t="s">
        <v>7014</v>
      </c>
      <c r="AB3637" t="s">
        <v>6922</v>
      </c>
      <c r="AC3637" t="s">
        <v>20562</v>
      </c>
      <c r="AD3637" s="249" t="str">
        <f>HYPERLINK("https://scontent.cdninstagram.com/t51.2885-15/s320x320/e35/21227159_347898458957405_7784796741336825856_n.jpg")</f>
        <v>https://scontent.cdninstagram.com/t51.2885-15/s320x320/e35/21227159_347898458957405_7784796741336825856_n.jpg</v>
      </c>
      <c r="AE3637" s="249" t="str">
        <f>HYPERLINK("https://scontent.cdninstagram.com/t51.2885-19/s150x150/19367012_242660666248623_4499726778050281472_a.jpg")</f>
        <v>https://scontent.cdninstagram.com/t51.2885-19/s150x150/19367012_242660666248623_4499726778050281472_a.jpg</v>
      </c>
    </row>
    <row r="3638" spans="1:31" ht="15" x14ac:dyDescent="0.25">
      <c r="A3638" t="s">
        <v>2474</v>
      </c>
      <c r="B3638" t="s">
        <v>3644</v>
      </c>
      <c r="C3638" s="221">
        <v>42977.333344907405</v>
      </c>
      <c r="D3638" t="s">
        <v>20563</v>
      </c>
      <c r="E3638" s="249" t="str">
        <f>HYPERLINK("https://www.instagram.com/p/BYaso3PlpA3/")</f>
        <v>https://www.instagram.com/p/BYaso3PlpA3/</v>
      </c>
      <c r="F3638" t="s">
        <v>20564</v>
      </c>
      <c r="G3638" t="s">
        <v>2478</v>
      </c>
      <c r="H3638">
        <v>582</v>
      </c>
      <c r="I3638" t="s">
        <v>2479</v>
      </c>
      <c r="J3638">
        <v>12</v>
      </c>
      <c r="K3638">
        <v>32</v>
      </c>
      <c r="L3638">
        <v>44</v>
      </c>
      <c r="Q3638">
        <v>0</v>
      </c>
      <c r="R3638">
        <v>0</v>
      </c>
      <c r="S3638">
        <v>44</v>
      </c>
      <c r="T3638" t="s">
        <v>9465</v>
      </c>
      <c r="V3638" t="s">
        <v>2141</v>
      </c>
      <c r="W3638">
        <v>55.4</v>
      </c>
      <c r="X3638">
        <v>10.3833</v>
      </c>
      <c r="Y3638" t="s">
        <v>3649</v>
      </c>
      <c r="Z3638" t="s">
        <v>5867</v>
      </c>
      <c r="AA3638" t="s">
        <v>3650</v>
      </c>
      <c r="AB3638" t="s">
        <v>6485</v>
      </c>
      <c r="AC3638" t="s">
        <v>3213</v>
      </c>
      <c r="AD3638" s="249" t="str">
        <f>HYPERLINK("https://scontent.cdninstagram.com/t51.2885-15/s320x320/e35/21149199_287804998364184_1043940235638996992_n.jpg")</f>
        <v>https://scontent.cdninstagram.com/t51.2885-15/s320x320/e35/21149199_287804998364184_1043940235638996992_n.jpg</v>
      </c>
      <c r="AE3638" s="249" t="str">
        <f>HYPERLINK("https://scontent.cdninstagram.com/t51.2885-19/s150x150/14714495_1790450111234953_7147855754219749376_a.jpg")</f>
        <v>https://scontent.cdninstagram.com/t51.2885-19/s150x150/14714495_1790450111234953_7147855754219749376_a.jpg</v>
      </c>
    </row>
    <row r="3639" spans="1:31" ht="15" x14ac:dyDescent="0.25">
      <c r="A3639" t="s">
        <v>2474</v>
      </c>
      <c r="B3639" t="s">
        <v>20565</v>
      </c>
      <c r="C3639" s="221">
        <v>42977.334722222222</v>
      </c>
      <c r="D3639" t="s">
        <v>20566</v>
      </c>
      <c r="E3639" s="249" t="str">
        <f>HYPERLINK("https://www.instagram.com/p/BYas3XTlhm8/")</f>
        <v>https://www.instagram.com/p/BYas3XTlhm8/</v>
      </c>
      <c r="F3639" t="s">
        <v>20567</v>
      </c>
      <c r="G3639" t="s">
        <v>2478</v>
      </c>
      <c r="H3639">
        <v>131</v>
      </c>
      <c r="I3639" t="s">
        <v>2479</v>
      </c>
      <c r="J3639">
        <v>0</v>
      </c>
      <c r="K3639">
        <v>14</v>
      </c>
      <c r="L3639">
        <v>14</v>
      </c>
      <c r="Q3639">
        <v>0</v>
      </c>
      <c r="R3639">
        <v>0</v>
      </c>
      <c r="S3639">
        <v>14</v>
      </c>
      <c r="Y3639" t="s">
        <v>2497</v>
      </c>
      <c r="Z3639" t="s">
        <v>16901</v>
      </c>
      <c r="AD3639" s="249" t="str">
        <f>HYPERLINK("https://scontent.cdninstagram.com/t51.2885-15/s320x320/e35/21149856_1805744239716266_1746838571664277504_n.jpg")</f>
        <v>https://scontent.cdninstagram.com/t51.2885-15/s320x320/e35/21149856_1805744239716266_1746838571664277504_n.jpg</v>
      </c>
      <c r="AE3639" s="249" t="str">
        <f>HYPERLINK("https://scontent.cdninstagram.com/t51.2885-19/s150x150/18949902_390499764680472_1153197198557577216_a.jpg")</f>
        <v>https://scontent.cdninstagram.com/t51.2885-19/s150x150/18949902_390499764680472_1153197198557577216_a.jpg</v>
      </c>
    </row>
    <row r="3640" spans="1:31" ht="15" x14ac:dyDescent="0.25">
      <c r="A3640" t="s">
        <v>2474</v>
      </c>
      <c r="B3640" t="s">
        <v>3301</v>
      </c>
      <c r="C3640" s="221">
        <v>42977.337199074071</v>
      </c>
      <c r="D3640" t="s">
        <v>20568</v>
      </c>
      <c r="E3640" s="249" t="str">
        <f>HYPERLINK("https://www.instagram.com/p/BYatRijD3iK/")</f>
        <v>https://www.instagram.com/p/BYatRijD3iK/</v>
      </c>
      <c r="F3640" t="s">
        <v>20569</v>
      </c>
      <c r="G3640" t="s">
        <v>2478</v>
      </c>
      <c r="H3640">
        <v>604</v>
      </c>
      <c r="I3640" t="s">
        <v>2542</v>
      </c>
      <c r="J3640">
        <v>0</v>
      </c>
      <c r="K3640">
        <v>93</v>
      </c>
      <c r="L3640">
        <v>93</v>
      </c>
      <c r="Q3640">
        <v>0</v>
      </c>
      <c r="R3640">
        <v>0</v>
      </c>
      <c r="S3640">
        <v>93</v>
      </c>
      <c r="Y3640" t="s">
        <v>7350</v>
      </c>
      <c r="Z3640" t="s">
        <v>9279</v>
      </c>
      <c r="AA3640" t="s">
        <v>4161</v>
      </c>
      <c r="AB3640" t="s">
        <v>9280</v>
      </c>
      <c r="AC3640" t="s">
        <v>3305</v>
      </c>
      <c r="AD3640" s="249" t="str">
        <f>HYPERLINK("https://scontent.cdninstagram.com/t51.2885-15/e35/p320x320/21147180_345014535953268_4168958474568335360_n.jpg")</f>
        <v>https://scontent.cdninstagram.com/t51.2885-15/e35/p320x320/21147180_345014535953268_4168958474568335360_n.jpg</v>
      </c>
      <c r="AE3640" s="249" t="str">
        <f>HYPERLINK("https://scontent.cdninstagram.com/t51.2885-19/s150x150/19228478_370974479971900_5746578409966796800_a.jpg")</f>
        <v>https://scontent.cdninstagram.com/t51.2885-19/s150x150/19228478_370974479971900_5746578409966796800_a.jpg</v>
      </c>
    </row>
    <row r="3641" spans="1:31" ht="15" x14ac:dyDescent="0.25">
      <c r="A3641" t="s">
        <v>2474</v>
      </c>
      <c r="B3641" t="s">
        <v>12038</v>
      </c>
      <c r="C3641" s="221">
        <v>42977.348657407405</v>
      </c>
      <c r="D3641" t="s">
        <v>20570</v>
      </c>
      <c r="E3641" s="249" t="str">
        <f>HYPERLINK("https://www.instagram.com/p/BYavKbjAS5p/")</f>
        <v>https://www.instagram.com/p/BYavKbjAS5p/</v>
      </c>
      <c r="F3641" t="s">
        <v>20571</v>
      </c>
      <c r="G3641" t="s">
        <v>2488</v>
      </c>
      <c r="H3641">
        <v>278</v>
      </c>
      <c r="I3641" t="s">
        <v>2479</v>
      </c>
      <c r="J3641">
        <v>0</v>
      </c>
      <c r="K3641">
        <v>14</v>
      </c>
      <c r="L3641">
        <v>14</v>
      </c>
      <c r="Q3641">
        <v>0</v>
      </c>
      <c r="R3641">
        <v>0</v>
      </c>
      <c r="S3641">
        <v>14</v>
      </c>
      <c r="Y3641" t="s">
        <v>7329</v>
      </c>
      <c r="Z3641" t="s">
        <v>20572</v>
      </c>
      <c r="AA3641" t="s">
        <v>15576</v>
      </c>
      <c r="AB3641" t="s">
        <v>20573</v>
      </c>
      <c r="AC3641" t="s">
        <v>20574</v>
      </c>
      <c r="AD3641" s="249" t="str">
        <f>HYPERLINK("https://scontent.cdninstagram.com/t51.2885-15/e35/p320x320/21224763_2273032039590580_255855926286745600_n.jpg")</f>
        <v>https://scontent.cdninstagram.com/t51.2885-15/e35/p320x320/21224763_2273032039590580_255855926286745600_n.jpg</v>
      </c>
      <c r="AE3641" s="249" t="str">
        <f>HYPERLINK("https://scontent.cdninstagram.com/t51.2885-19/s150x150/21372512_501716906853494_8282570355587940352_a.jpg")</f>
        <v>https://scontent.cdninstagram.com/t51.2885-19/s150x150/21372512_501716906853494_8282570355587940352_a.jpg</v>
      </c>
    </row>
    <row r="3642" spans="1:31" ht="15" x14ac:dyDescent="0.25">
      <c r="A3642" t="s">
        <v>2474</v>
      </c>
      <c r="B3642" t="s">
        <v>5657</v>
      </c>
      <c r="C3642" s="221">
        <v>42977.352581018517</v>
      </c>
      <c r="D3642" t="s">
        <v>20575</v>
      </c>
      <c r="E3642" s="249" t="str">
        <f>HYPERLINK("https://www.instagram.com/p/BYavzy_ASUl/")</f>
        <v>https://www.instagram.com/p/BYavzy_ASUl/</v>
      </c>
      <c r="F3642" t="s">
        <v>20576</v>
      </c>
      <c r="G3642" t="s">
        <v>2478</v>
      </c>
      <c r="H3642">
        <v>100</v>
      </c>
      <c r="I3642" t="s">
        <v>4523</v>
      </c>
      <c r="J3642">
        <v>4</v>
      </c>
      <c r="K3642">
        <v>38</v>
      </c>
      <c r="L3642">
        <v>42</v>
      </c>
      <c r="Q3642">
        <v>0</v>
      </c>
      <c r="R3642">
        <v>0</v>
      </c>
      <c r="S3642">
        <v>42</v>
      </c>
      <c r="Y3642" t="s">
        <v>6172</v>
      </c>
      <c r="Z3642" t="s">
        <v>20577</v>
      </c>
      <c r="AA3642" t="s">
        <v>14402</v>
      </c>
      <c r="AB3642" t="s">
        <v>5660</v>
      </c>
      <c r="AC3642" t="s">
        <v>2497</v>
      </c>
      <c r="AD3642" s="249" t="str">
        <f>HYPERLINK("https://scontent.cdninstagram.com/t51.2885-15/s320x320/e35/21224128_1014993431977189_4122031494388514816_n.jpg")</f>
        <v>https://scontent.cdninstagram.com/t51.2885-15/s320x320/e35/21224128_1014993431977189_4122031494388514816_n.jpg</v>
      </c>
      <c r="AE3642" s="249" t="str">
        <f>HYPERLINK("https://scontent.cdninstagram.com/t51.2885-19/s150x150/18722414_1929874740617287_7467972564577419264_a.jpg")</f>
        <v>https://scontent.cdninstagram.com/t51.2885-19/s150x150/18722414_1929874740617287_7467972564577419264_a.jpg</v>
      </c>
    </row>
    <row r="3643" spans="1:31" ht="15" x14ac:dyDescent="0.25">
      <c r="A3643" t="s">
        <v>2474</v>
      </c>
      <c r="B3643" t="s">
        <v>20578</v>
      </c>
      <c r="C3643" s="221">
        <v>42977.35365740741</v>
      </c>
      <c r="D3643" t="s">
        <v>20579</v>
      </c>
      <c r="E3643" s="249" t="str">
        <f>HYPERLINK("https://www.instagram.com/p/BYav_JrjYbn/")</f>
        <v>https://www.instagram.com/p/BYav_JrjYbn/</v>
      </c>
      <c r="F3643" t="s">
        <v>20580</v>
      </c>
      <c r="G3643" t="s">
        <v>2478</v>
      </c>
      <c r="H3643">
        <v>391</v>
      </c>
      <c r="I3643" t="s">
        <v>2479</v>
      </c>
      <c r="J3643">
        <v>2</v>
      </c>
      <c r="K3643">
        <v>39</v>
      </c>
      <c r="L3643">
        <v>41</v>
      </c>
      <c r="Q3643">
        <v>0</v>
      </c>
      <c r="R3643">
        <v>0</v>
      </c>
      <c r="S3643">
        <v>41</v>
      </c>
      <c r="Y3643" t="s">
        <v>2666</v>
      </c>
      <c r="Z3643" t="s">
        <v>20581</v>
      </c>
      <c r="AA3643" t="s">
        <v>20582</v>
      </c>
      <c r="AB3643" t="s">
        <v>8250</v>
      </c>
      <c r="AC3643" t="s">
        <v>3277</v>
      </c>
      <c r="AD3643" s="249" t="str">
        <f>HYPERLINK("https://scontent.cdninstagram.com/t51.2885-15/s320x320/e35/21149165_351880468582769_5218245111267196928_n.jpg")</f>
        <v>https://scontent.cdninstagram.com/t51.2885-15/s320x320/e35/21149165_351880468582769_5218245111267196928_n.jpg</v>
      </c>
      <c r="AE3643" s="249" t="str">
        <f>HYPERLINK("https://scontent.cdninstagram.com/t51.2885-19/s150x150/18949683_465643153786065_4503174331118911488_a.jpg")</f>
        <v>https://scontent.cdninstagram.com/t51.2885-19/s150x150/18949683_465643153786065_4503174331118911488_a.jpg</v>
      </c>
    </row>
    <row r="3644" spans="1:31" ht="15" x14ac:dyDescent="0.25">
      <c r="A3644" t="s">
        <v>2474</v>
      </c>
      <c r="B3644" t="s">
        <v>7232</v>
      </c>
      <c r="C3644" s="221">
        <v>42977.355185185188</v>
      </c>
      <c r="D3644" t="s">
        <v>20583</v>
      </c>
      <c r="E3644" s="249" t="str">
        <f>HYPERLINK("https://www.instagram.com/p/BYawPQqnvNn/")</f>
        <v>https://www.instagram.com/p/BYawPQqnvNn/</v>
      </c>
      <c r="F3644" t="s">
        <v>20584</v>
      </c>
      <c r="G3644" t="s">
        <v>2631</v>
      </c>
      <c r="H3644">
        <v>527</v>
      </c>
      <c r="I3644" t="s">
        <v>2599</v>
      </c>
      <c r="J3644">
        <v>1</v>
      </c>
      <c r="K3644">
        <v>31</v>
      </c>
      <c r="L3644">
        <v>32</v>
      </c>
      <c r="Q3644">
        <v>0</v>
      </c>
      <c r="R3644">
        <v>0</v>
      </c>
      <c r="S3644">
        <v>32</v>
      </c>
      <c r="Y3644" t="s">
        <v>12637</v>
      </c>
      <c r="Z3644" t="s">
        <v>7235</v>
      </c>
      <c r="AA3644" t="s">
        <v>3262</v>
      </c>
      <c r="AB3644" t="s">
        <v>10415</v>
      </c>
      <c r="AC3644" t="s">
        <v>4161</v>
      </c>
      <c r="AD3644" s="249" t="str">
        <f>HYPERLINK("https://scontent.cdninstagram.com/t51.2885-15/e15/p320x320/21227393_807791146056295_6769638086570672128_n.jpg")</f>
        <v>https://scontent.cdninstagram.com/t51.2885-15/e15/p320x320/21227393_807791146056295_6769638086570672128_n.jpg</v>
      </c>
      <c r="AE3644" s="249" t="str">
        <f>HYPERLINK("https://scontent.cdninstagram.com/t51.2885-19/s150x150/14482263_1660577494243200_2334360342223650816_a.jpg")</f>
        <v>https://scontent.cdninstagram.com/t51.2885-19/s150x150/14482263_1660577494243200_2334360342223650816_a.jpg</v>
      </c>
    </row>
    <row r="3645" spans="1:31" ht="15" x14ac:dyDescent="0.25">
      <c r="A3645" t="s">
        <v>2474</v>
      </c>
      <c r="B3645" t="s">
        <v>20585</v>
      </c>
      <c r="C3645" s="221">
        <v>42977.356388888889</v>
      </c>
      <c r="D3645" t="s">
        <v>20586</v>
      </c>
      <c r="E3645" s="249" t="str">
        <f>HYPERLINK("https://www.instagram.com/p/BYawb22FXba/")</f>
        <v>https://www.instagram.com/p/BYawb22FXba/</v>
      </c>
      <c r="F3645" t="s">
        <v>20587</v>
      </c>
      <c r="G3645" t="s">
        <v>2478</v>
      </c>
      <c r="H3645">
        <v>231</v>
      </c>
      <c r="I3645" t="s">
        <v>2479</v>
      </c>
      <c r="J3645">
        <v>0</v>
      </c>
      <c r="K3645">
        <v>23</v>
      </c>
      <c r="L3645">
        <v>23</v>
      </c>
      <c r="Q3645">
        <v>0</v>
      </c>
      <c r="R3645">
        <v>0</v>
      </c>
      <c r="S3645">
        <v>23</v>
      </c>
      <c r="Y3645" t="s">
        <v>20588</v>
      </c>
      <c r="Z3645" t="s">
        <v>20589</v>
      </c>
      <c r="AA3645" t="s">
        <v>2497</v>
      </c>
      <c r="AB3645" t="s">
        <v>20590</v>
      </c>
      <c r="AC3645" t="s">
        <v>20591</v>
      </c>
      <c r="AD3645" s="249" t="str">
        <f>HYPERLINK("https://scontent.cdninstagram.com/t51.2885-15/s320x320/e35/21149649_491061094591893_6298031066649198592_n.jpg")</f>
        <v>https://scontent.cdninstagram.com/t51.2885-15/s320x320/e35/21149649_491061094591893_6298031066649198592_n.jpg</v>
      </c>
      <c r="AE3645" s="249" t="str">
        <f>HYPERLINK("https://scontent.cdninstagram.com/t51.2885-19/s150x150/20759263_1694102087564079_7782340037223383040_a.jpg")</f>
        <v>https://scontent.cdninstagram.com/t51.2885-19/s150x150/20759263_1694102087564079_7782340037223383040_a.jpg</v>
      </c>
    </row>
    <row r="3646" spans="1:31" ht="15" x14ac:dyDescent="0.25">
      <c r="A3646" t="s">
        <v>2474</v>
      </c>
      <c r="B3646" t="s">
        <v>5657</v>
      </c>
      <c r="C3646" s="221">
        <v>42977.357118055559</v>
      </c>
      <c r="D3646" t="s">
        <v>20592</v>
      </c>
      <c r="E3646" s="249" t="str">
        <f>HYPERLINK("https://www.instagram.com/p/BYawjjCAWXe/")</f>
        <v>https://www.instagram.com/p/BYawjjCAWXe/</v>
      </c>
      <c r="F3646" t="s">
        <v>20593</v>
      </c>
      <c r="G3646" t="s">
        <v>2488</v>
      </c>
      <c r="H3646">
        <v>100</v>
      </c>
      <c r="I3646" t="s">
        <v>2479</v>
      </c>
      <c r="J3646">
        <v>5</v>
      </c>
      <c r="K3646">
        <v>47</v>
      </c>
      <c r="L3646">
        <v>52</v>
      </c>
      <c r="Q3646">
        <v>0</v>
      </c>
      <c r="R3646">
        <v>0</v>
      </c>
      <c r="S3646">
        <v>52</v>
      </c>
      <c r="Y3646" t="s">
        <v>5662</v>
      </c>
      <c r="Z3646" t="s">
        <v>6172</v>
      </c>
      <c r="AA3646" t="s">
        <v>20577</v>
      </c>
      <c r="AB3646" t="s">
        <v>5660</v>
      </c>
      <c r="AC3646" t="s">
        <v>20594</v>
      </c>
      <c r="AD3646" s="249" t="str">
        <f>HYPERLINK("https://scontent.cdninstagram.com/t51.2885-15/s320x320/e35/21147872_1950728991881316_2986251848505098240_n.jpg")</f>
        <v>https://scontent.cdninstagram.com/t51.2885-15/s320x320/e35/21147872_1950728991881316_2986251848505098240_n.jpg</v>
      </c>
      <c r="AE3646" s="249" t="str">
        <f>HYPERLINK("https://scontent.cdninstagram.com/t51.2885-19/s150x150/18722414_1929874740617287_7467972564577419264_a.jpg")</f>
        <v>https://scontent.cdninstagram.com/t51.2885-19/s150x150/18722414_1929874740617287_7467972564577419264_a.jpg</v>
      </c>
    </row>
    <row r="3647" spans="1:31" ht="15" x14ac:dyDescent="0.25">
      <c r="A3647" t="s">
        <v>2474</v>
      </c>
      <c r="B3647" t="s">
        <v>20595</v>
      </c>
      <c r="C3647" s="221">
        <v>42977.358449074076</v>
      </c>
      <c r="D3647" t="s">
        <v>20596</v>
      </c>
      <c r="E3647" s="249" t="str">
        <f>HYPERLINK("https://www.instagram.com/p/BYawxseD-m-/")</f>
        <v>https://www.instagram.com/p/BYawxseD-m-/</v>
      </c>
      <c r="F3647" t="s">
        <v>20597</v>
      </c>
      <c r="G3647" t="s">
        <v>2478</v>
      </c>
      <c r="H3647">
        <v>347</v>
      </c>
      <c r="I3647" t="s">
        <v>3170</v>
      </c>
      <c r="J3647">
        <v>2</v>
      </c>
      <c r="K3647">
        <v>30</v>
      </c>
      <c r="L3647">
        <v>32</v>
      </c>
      <c r="Q3647">
        <v>0</v>
      </c>
      <c r="R3647">
        <v>0</v>
      </c>
      <c r="S3647">
        <v>32</v>
      </c>
      <c r="Y3647" t="s">
        <v>20598</v>
      </c>
      <c r="Z3647" t="s">
        <v>9296</v>
      </c>
      <c r="AA3647" t="s">
        <v>20599</v>
      </c>
      <c r="AB3647" t="s">
        <v>20600</v>
      </c>
      <c r="AC3647" t="s">
        <v>20601</v>
      </c>
      <c r="AD3647" s="249" t="str">
        <f>HYPERLINK("https://scontent.cdninstagram.com/t51.2885-15/s320x320/e35/21227693_229023714291017_8376925323882659840_n.jpg")</f>
        <v>https://scontent.cdninstagram.com/t51.2885-15/s320x320/e35/21227693_229023714291017_8376925323882659840_n.jpg</v>
      </c>
      <c r="AE3647" s="249" t="str">
        <f>HYPERLINK("https://scontent.cdninstagram.com/t51.2885-19/s150x150/13126901_1014948031937881_1660459843_a.jpg")</f>
        <v>https://scontent.cdninstagram.com/t51.2885-19/s150x150/13126901_1014948031937881_1660459843_a.jpg</v>
      </c>
    </row>
    <row r="3648" spans="1:31" ht="15" x14ac:dyDescent="0.25">
      <c r="A3648" t="s">
        <v>2474</v>
      </c>
      <c r="B3648" t="s">
        <v>20602</v>
      </c>
      <c r="C3648" s="221">
        <v>42977.363449074073</v>
      </c>
      <c r="D3648" t="s">
        <v>20603</v>
      </c>
      <c r="E3648" s="249" t="str">
        <f>HYPERLINK("https://www.instagram.com/p/BYaxmcJj4r8/")</f>
        <v>https://www.instagram.com/p/BYaxmcJj4r8/</v>
      </c>
      <c r="F3648" t="s">
        <v>20604</v>
      </c>
      <c r="G3648" t="s">
        <v>2478</v>
      </c>
      <c r="H3648">
        <v>96</v>
      </c>
      <c r="I3648" t="s">
        <v>2542</v>
      </c>
      <c r="J3648">
        <v>0</v>
      </c>
      <c r="K3648">
        <v>28</v>
      </c>
      <c r="L3648">
        <v>28</v>
      </c>
      <c r="Q3648">
        <v>0</v>
      </c>
      <c r="R3648">
        <v>0</v>
      </c>
      <c r="S3648">
        <v>28</v>
      </c>
      <c r="Y3648" t="s">
        <v>20605</v>
      </c>
      <c r="Z3648" t="s">
        <v>4272</v>
      </c>
      <c r="AA3648" t="s">
        <v>20606</v>
      </c>
      <c r="AB3648" t="s">
        <v>20607</v>
      </c>
      <c r="AC3648" t="s">
        <v>20608</v>
      </c>
      <c r="AD3648" s="249" t="str">
        <f>HYPERLINK("https://scontent.cdninstagram.com/t51.2885-15/e35/p320x320/21147538_1952927994996992_986443821980057600_n.jpg")</f>
        <v>https://scontent.cdninstagram.com/t51.2885-15/e35/p320x320/21147538_1952927994996992_986443821980057600_n.jpg</v>
      </c>
      <c r="AE3648" s="249" t="str">
        <f>HYPERLINK("https://scontent.cdninstagram.com/t51.2885-19/s150x150/20347409_701425280047023_4469101509451186176_a.jpg")</f>
        <v>https://scontent.cdninstagram.com/t51.2885-19/s150x150/20347409_701425280047023_4469101509451186176_a.jpg</v>
      </c>
    </row>
    <row r="3649" spans="1:31" ht="15" x14ac:dyDescent="0.25">
      <c r="A3649" t="s">
        <v>2474</v>
      </c>
      <c r="B3649" t="s">
        <v>4881</v>
      </c>
      <c r="C3649" s="221">
        <v>42977.374849537038</v>
      </c>
      <c r="D3649" t="s">
        <v>20609</v>
      </c>
      <c r="E3649" s="249" t="str">
        <f>HYPERLINK("https://www.instagram.com/p/BYazerNFnoM/")</f>
        <v>https://www.instagram.com/p/BYazerNFnoM/</v>
      </c>
      <c r="F3649" t="s">
        <v>20610</v>
      </c>
      <c r="G3649" t="s">
        <v>2478</v>
      </c>
      <c r="H3649">
        <v>51012</v>
      </c>
      <c r="I3649" t="s">
        <v>2479</v>
      </c>
      <c r="J3649">
        <v>33</v>
      </c>
      <c r="K3649">
        <v>1214</v>
      </c>
      <c r="L3649">
        <v>1247</v>
      </c>
      <c r="Q3649">
        <v>0</v>
      </c>
      <c r="R3649">
        <v>0</v>
      </c>
      <c r="S3649">
        <v>1247</v>
      </c>
      <c r="Y3649" t="s">
        <v>8328</v>
      </c>
      <c r="Z3649" t="s">
        <v>11834</v>
      </c>
      <c r="AA3649" t="s">
        <v>20611</v>
      </c>
      <c r="AB3649" t="s">
        <v>20612</v>
      </c>
      <c r="AC3649" t="s">
        <v>20613</v>
      </c>
      <c r="AD3649" s="249" t="str">
        <f>HYPERLINK("https://scontent.cdninstagram.com/t51.2885-15/e35/p320x320/21227508_265883213902475_7137404462406041600_n.jpg")</f>
        <v>https://scontent.cdninstagram.com/t51.2885-15/e35/p320x320/21227508_265883213902475_7137404462406041600_n.jpg</v>
      </c>
      <c r="AE3649" s="249" t="str">
        <f>HYPERLINK("https://scontent.cdninstagram.com/t51.2885-19/s150x150/17333929_1765882303741559_4510635522535718912_n.jpg")</f>
        <v>https://scontent.cdninstagram.com/t51.2885-19/s150x150/17333929_1765882303741559_4510635522535718912_n.jpg</v>
      </c>
    </row>
    <row r="3650" spans="1:31" ht="15" x14ac:dyDescent="0.25">
      <c r="A3650" t="s">
        <v>2474</v>
      </c>
      <c r="B3650" t="s">
        <v>8320</v>
      </c>
      <c r="C3650" s="221">
        <v>42977.378298611111</v>
      </c>
      <c r="D3650" t="s">
        <v>20614</v>
      </c>
      <c r="E3650" s="249" t="str">
        <f>HYPERLINK("https://www.instagram.com/p/BYa0C_TlV5-/")</f>
        <v>https://www.instagram.com/p/BYa0C_TlV5-/</v>
      </c>
      <c r="F3650" t="s">
        <v>20615</v>
      </c>
      <c r="G3650" t="s">
        <v>2478</v>
      </c>
      <c r="H3650">
        <v>2361</v>
      </c>
      <c r="I3650" t="s">
        <v>2479</v>
      </c>
      <c r="J3650">
        <v>0</v>
      </c>
      <c r="K3650">
        <v>85</v>
      </c>
      <c r="L3650">
        <v>85</v>
      </c>
      <c r="Q3650">
        <v>0</v>
      </c>
      <c r="R3650">
        <v>0</v>
      </c>
      <c r="S3650">
        <v>85</v>
      </c>
      <c r="Y3650" t="s">
        <v>3446</v>
      </c>
      <c r="Z3650" t="s">
        <v>20616</v>
      </c>
      <c r="AA3650" t="s">
        <v>4569</v>
      </c>
      <c r="AB3650" t="s">
        <v>4514</v>
      </c>
      <c r="AC3650" t="s">
        <v>16245</v>
      </c>
      <c r="AD3650" s="249" t="str">
        <f>HYPERLINK("https://scontent.cdninstagram.com/t51.2885-15/e35/p320x320/21149324_113297632719115_1046687794937724928_n.jpg")</f>
        <v>https://scontent.cdninstagram.com/t51.2885-15/e35/p320x320/21149324_113297632719115_1046687794937724928_n.jpg</v>
      </c>
      <c r="AE3650" s="249" t="str">
        <f>HYPERLINK("https://scontent.cdninstagram.com/t51.2885-19/s150x150/14677160_1118752464886698_3376108667072937984_a.jpg")</f>
        <v>https://scontent.cdninstagram.com/t51.2885-19/s150x150/14677160_1118752464886698_3376108667072937984_a.jpg</v>
      </c>
    </row>
    <row r="3651" spans="1:31" ht="15" x14ac:dyDescent="0.25">
      <c r="A3651" t="s">
        <v>2474</v>
      </c>
      <c r="B3651" t="s">
        <v>4811</v>
      </c>
      <c r="C3651" s="221">
        <v>42977.387361111112</v>
      </c>
      <c r="D3651" t="s">
        <v>20617</v>
      </c>
      <c r="E3651" s="249" t="str">
        <f>HYPERLINK("https://www.instagram.com/p/BYa1ij4Alo8/")</f>
        <v>https://www.instagram.com/p/BYa1ij4Alo8/</v>
      </c>
      <c r="F3651" t="s">
        <v>20618</v>
      </c>
      <c r="G3651" t="s">
        <v>2631</v>
      </c>
      <c r="H3651">
        <v>994</v>
      </c>
      <c r="I3651" t="s">
        <v>2479</v>
      </c>
      <c r="J3651">
        <v>1</v>
      </c>
      <c r="K3651">
        <v>74</v>
      </c>
      <c r="L3651">
        <v>75</v>
      </c>
      <c r="Q3651">
        <v>0</v>
      </c>
      <c r="R3651">
        <v>0</v>
      </c>
      <c r="S3651">
        <v>75</v>
      </c>
      <c r="Y3651" t="s">
        <v>5964</v>
      </c>
      <c r="Z3651" t="s">
        <v>15942</v>
      </c>
      <c r="AA3651" t="s">
        <v>8501</v>
      </c>
      <c r="AB3651" t="s">
        <v>3246</v>
      </c>
      <c r="AC3651" t="s">
        <v>2833</v>
      </c>
      <c r="AD3651" s="249" t="str">
        <f>HYPERLINK("https://scontent.cdninstagram.com/t51.2885-15/s320x320/e15/21227221_1633907393349878_7720178052130406400_n.jpg")</f>
        <v>https://scontent.cdninstagram.com/t51.2885-15/s320x320/e15/21227221_1633907393349878_7720178052130406400_n.jpg</v>
      </c>
      <c r="AE3651" s="249" t="str">
        <f>HYPERLINK("https://scontent.cdninstagram.com/t51.2885-19/s150x150/16124251_1913091765603634_8004330562992996352_a.jpg")</f>
        <v>https://scontent.cdninstagram.com/t51.2885-19/s150x150/16124251_1913091765603634_8004330562992996352_a.jpg</v>
      </c>
    </row>
    <row r="3652" spans="1:31" ht="15" x14ac:dyDescent="0.25">
      <c r="A3652" t="s">
        <v>2474</v>
      </c>
      <c r="B3652" t="s">
        <v>20619</v>
      </c>
      <c r="C3652" s="221">
        <v>42977.398900462962</v>
      </c>
      <c r="D3652" t="s">
        <v>20620</v>
      </c>
      <c r="E3652" s="249" t="str">
        <f>HYPERLINK("https://www.instagram.com/p/BYa3cSQHopn/")</f>
        <v>https://www.instagram.com/p/BYa3cSQHopn/</v>
      </c>
      <c r="F3652" t="s">
        <v>20621</v>
      </c>
      <c r="G3652" t="s">
        <v>2478</v>
      </c>
      <c r="H3652">
        <v>62</v>
      </c>
      <c r="I3652" t="s">
        <v>2599</v>
      </c>
      <c r="J3652">
        <v>0</v>
      </c>
      <c r="K3652">
        <v>6</v>
      </c>
      <c r="L3652">
        <v>6</v>
      </c>
      <c r="Q3652">
        <v>0</v>
      </c>
      <c r="R3652">
        <v>0</v>
      </c>
      <c r="S3652">
        <v>6</v>
      </c>
      <c r="Y3652" t="s">
        <v>20622</v>
      </c>
      <c r="Z3652" t="s">
        <v>8178</v>
      </c>
      <c r="AA3652" t="s">
        <v>2497</v>
      </c>
      <c r="AB3652" t="s">
        <v>20623</v>
      </c>
      <c r="AC3652" t="s">
        <v>2696</v>
      </c>
      <c r="AD3652" s="249" t="str">
        <f>HYPERLINK("https://scontent.cdninstagram.com/t51.2885-15/s320x320/e35/21149121_514536375549233_3056758993708908544_n.jpg")</f>
        <v>https://scontent.cdninstagram.com/t51.2885-15/s320x320/e35/21149121_514536375549233_3056758993708908544_n.jpg</v>
      </c>
      <c r="AE3652" s="249" t="str">
        <f>HYPERLINK("https://scontent.cdninstagram.com/t51.2885-19/s150x150/19761873_245343425980522_821416322175860736_a.jpg")</f>
        <v>https://scontent.cdninstagram.com/t51.2885-19/s150x150/19761873_245343425980522_821416322175860736_a.jpg</v>
      </c>
    </row>
    <row r="3653" spans="1:31" ht="15" x14ac:dyDescent="0.25">
      <c r="A3653" t="s">
        <v>2474</v>
      </c>
      <c r="B3653" t="s">
        <v>20624</v>
      </c>
      <c r="C3653" s="221">
        <v>42977.401932870373</v>
      </c>
      <c r="D3653" t="s">
        <v>20625</v>
      </c>
      <c r="E3653" s="249" t="str">
        <f>HYPERLINK("https://www.instagram.com/p/BYa38OGA3i3/")</f>
        <v>https://www.instagram.com/p/BYa38OGA3i3/</v>
      </c>
      <c r="F3653" t="s">
        <v>20626</v>
      </c>
      <c r="G3653" t="s">
        <v>2488</v>
      </c>
      <c r="H3653">
        <v>682</v>
      </c>
      <c r="I3653" t="s">
        <v>2479</v>
      </c>
      <c r="J3653">
        <v>2</v>
      </c>
      <c r="K3653">
        <v>72</v>
      </c>
      <c r="L3653">
        <v>74</v>
      </c>
      <c r="Q3653">
        <v>0</v>
      </c>
      <c r="R3653">
        <v>0</v>
      </c>
      <c r="S3653">
        <v>74</v>
      </c>
      <c r="Y3653" t="s">
        <v>20627</v>
      </c>
      <c r="Z3653" t="s">
        <v>20628</v>
      </c>
      <c r="AA3653" t="s">
        <v>20629</v>
      </c>
      <c r="AB3653" t="s">
        <v>20630</v>
      </c>
      <c r="AC3653" t="s">
        <v>20631</v>
      </c>
      <c r="AD3653" s="249" t="str">
        <f>HYPERLINK("https://scontent.cdninstagram.com/t51.2885-15/s320x320/e35/21224406_1865686070426740_7896360926327078912_n.jpg")</f>
        <v>https://scontent.cdninstagram.com/t51.2885-15/s320x320/e35/21224406_1865686070426740_7896360926327078912_n.jpg</v>
      </c>
      <c r="AE3653" s="249" t="str">
        <f>HYPERLINK("https://scontent.cdninstagram.com/t51.2885-19/s150x150/20635172_108709516466802_2099832330175643648_a.jpg")</f>
        <v>https://scontent.cdninstagram.com/t51.2885-19/s150x150/20635172_108709516466802_2099832330175643648_a.jpg</v>
      </c>
    </row>
    <row r="3654" spans="1:31" ht="15" x14ac:dyDescent="0.25">
      <c r="A3654" t="s">
        <v>2474</v>
      </c>
      <c r="B3654" t="s">
        <v>20632</v>
      </c>
      <c r="C3654" s="221">
        <v>42977.402766203704</v>
      </c>
      <c r="D3654" t="s">
        <v>20633</v>
      </c>
      <c r="E3654" s="249" t="str">
        <f>HYPERLINK("https://www.instagram.com/p/BYa4FD6H-Z1/")</f>
        <v>https://www.instagram.com/p/BYa4FD6H-Z1/</v>
      </c>
      <c r="F3654" t="s">
        <v>20634</v>
      </c>
      <c r="G3654" t="s">
        <v>2478</v>
      </c>
      <c r="H3654">
        <v>43</v>
      </c>
      <c r="I3654" t="s">
        <v>2479</v>
      </c>
      <c r="J3654">
        <v>0</v>
      </c>
      <c r="K3654">
        <v>0</v>
      </c>
      <c r="L3654">
        <v>0</v>
      </c>
      <c r="Q3654">
        <v>0</v>
      </c>
      <c r="R3654">
        <v>0</v>
      </c>
      <c r="S3654">
        <v>0</v>
      </c>
      <c r="Y3654" t="s">
        <v>15535</v>
      </c>
      <c r="Z3654" t="s">
        <v>2497</v>
      </c>
      <c r="AA3654" t="s">
        <v>20635</v>
      </c>
      <c r="AD3654" s="249" t="str">
        <f>HYPERLINK("https://scontent.cdninstagram.com/t51.2885-15/s320x320/e35/21224198_1719047304772740_7083144693151694848_n.jpg")</f>
        <v>https://scontent.cdninstagram.com/t51.2885-15/s320x320/e35/21224198_1719047304772740_7083144693151694848_n.jpg</v>
      </c>
      <c r="AE3654" s="249" t="str">
        <f>HYPERLINK("https://scontent.cdninstagram.com/t51.2885-19/s150x150/21107190_358788941209205_4605193741567787008_a.jpg")</f>
        <v>https://scontent.cdninstagram.com/t51.2885-19/s150x150/21107190_358788941209205_4605193741567787008_a.jpg</v>
      </c>
    </row>
    <row r="3655" spans="1:31" ht="15" x14ac:dyDescent="0.25">
      <c r="A3655" t="s">
        <v>2474</v>
      </c>
      <c r="B3655" t="s">
        <v>20636</v>
      </c>
      <c r="C3655" s="221">
        <v>42977.404930555553</v>
      </c>
      <c r="D3655" t="s">
        <v>20637</v>
      </c>
      <c r="E3655" s="249" t="str">
        <f>HYPERLINK("https://www.instagram.com/p/BYa4b4AByYs/")</f>
        <v>https://www.instagram.com/p/BYa4b4AByYs/</v>
      </c>
      <c r="F3655" t="s">
        <v>20638</v>
      </c>
      <c r="G3655" t="s">
        <v>2478</v>
      </c>
      <c r="H3655">
        <v>506</v>
      </c>
      <c r="I3655" t="s">
        <v>3273</v>
      </c>
      <c r="J3655">
        <v>5</v>
      </c>
      <c r="K3655">
        <v>19</v>
      </c>
      <c r="L3655">
        <v>24</v>
      </c>
      <c r="Q3655">
        <v>0</v>
      </c>
      <c r="R3655">
        <v>0</v>
      </c>
      <c r="S3655">
        <v>24</v>
      </c>
      <c r="T3655" t="s">
        <v>20639</v>
      </c>
      <c r="V3655" t="s">
        <v>2175</v>
      </c>
      <c r="W3655">
        <v>64.133300000000006</v>
      </c>
      <c r="X3655">
        <v>-21.933299999999999</v>
      </c>
      <c r="Y3655" t="s">
        <v>9903</v>
      </c>
      <c r="Z3655" t="s">
        <v>8753</v>
      </c>
      <c r="AA3655" t="s">
        <v>3982</v>
      </c>
      <c r="AB3655" t="s">
        <v>4620</v>
      </c>
      <c r="AC3655" t="s">
        <v>20640</v>
      </c>
      <c r="AD3655" s="249" t="str">
        <f>HYPERLINK("https://scontent.cdninstagram.com/t51.2885-15/s320x320/e35/21149764_1936946323184661_8349371549605691392_n.jpg")</f>
        <v>https://scontent.cdninstagram.com/t51.2885-15/s320x320/e35/21149764_1936946323184661_8349371549605691392_n.jpg</v>
      </c>
      <c r="AE3655" s="249" t="str">
        <f>HYPERLINK("https://scontent.cdninstagram.com/t51.2885-19/s150x150/20394317_125795474697623_7483588657643782144_a.jpg")</f>
        <v>https://scontent.cdninstagram.com/t51.2885-19/s150x150/20394317_125795474697623_7483588657643782144_a.jpg</v>
      </c>
    </row>
    <row r="3656" spans="1:31" ht="15" x14ac:dyDescent="0.25">
      <c r="A3656" t="s">
        <v>2474</v>
      </c>
      <c r="B3656" t="s">
        <v>20641</v>
      </c>
      <c r="C3656" s="221">
        <v>42977.416180555556</v>
      </c>
      <c r="D3656" t="s">
        <v>20642</v>
      </c>
      <c r="E3656" s="249" t="str">
        <f>HYPERLINK("https://www.instagram.com/p/BYa6Sl1gCdp/")</f>
        <v>https://www.instagram.com/p/BYa6Sl1gCdp/</v>
      </c>
      <c r="F3656" t="s">
        <v>20643</v>
      </c>
      <c r="G3656" t="s">
        <v>2478</v>
      </c>
      <c r="H3656">
        <v>508</v>
      </c>
      <c r="I3656" t="s">
        <v>2479</v>
      </c>
      <c r="J3656">
        <v>3</v>
      </c>
      <c r="K3656">
        <v>28</v>
      </c>
      <c r="L3656">
        <v>31</v>
      </c>
      <c r="Q3656">
        <v>0</v>
      </c>
      <c r="R3656">
        <v>0</v>
      </c>
      <c r="S3656">
        <v>31</v>
      </c>
      <c r="Y3656" t="s">
        <v>20644</v>
      </c>
      <c r="Z3656" t="s">
        <v>20645</v>
      </c>
      <c r="AA3656" t="s">
        <v>14113</v>
      </c>
      <c r="AB3656" t="s">
        <v>8009</v>
      </c>
      <c r="AC3656" t="s">
        <v>20646</v>
      </c>
      <c r="AD3656" s="249" t="str">
        <f>HYPERLINK("https://scontent.cdninstagram.com/t51.2885-15/s320x320/e35/21148161_113400462682552_7556796856240439296_n.jpg")</f>
        <v>https://scontent.cdninstagram.com/t51.2885-15/s320x320/e35/21148161_113400462682552_7556796856240439296_n.jpg</v>
      </c>
      <c r="AE3656" s="249" t="str">
        <f>HYPERLINK("https://scontent.cdninstagram.com/t51.2885-19/s150x150/16906494_739953702839376_5187882406903808_a.jpg")</f>
        <v>https://scontent.cdninstagram.com/t51.2885-19/s150x150/16906494_739953702839376_5187882406903808_a.jpg</v>
      </c>
    </row>
    <row r="3657" spans="1:31" ht="15" x14ac:dyDescent="0.25">
      <c r="A3657" t="s">
        <v>2474</v>
      </c>
      <c r="B3657" t="s">
        <v>20647</v>
      </c>
      <c r="C3657" s="221">
        <v>42977.435127314813</v>
      </c>
      <c r="D3657" t="s">
        <v>20648</v>
      </c>
      <c r="E3657" s="249" t="str">
        <f>HYPERLINK("https://www.instagram.com/p/BYa9aWrAhne/")</f>
        <v>https://www.instagram.com/p/BYa9aWrAhne/</v>
      </c>
      <c r="F3657" t="s">
        <v>20649</v>
      </c>
      <c r="G3657" t="s">
        <v>2478</v>
      </c>
      <c r="H3657">
        <v>583</v>
      </c>
      <c r="I3657" t="s">
        <v>2903</v>
      </c>
      <c r="J3657">
        <v>2</v>
      </c>
      <c r="K3657">
        <v>23</v>
      </c>
      <c r="L3657">
        <v>25</v>
      </c>
      <c r="Q3657">
        <v>0</v>
      </c>
      <c r="R3657">
        <v>0</v>
      </c>
      <c r="S3657">
        <v>25</v>
      </c>
      <c r="T3657" t="s">
        <v>20650</v>
      </c>
      <c r="V3657" t="s">
        <v>2182</v>
      </c>
      <c r="W3657">
        <v>41.4</v>
      </c>
      <c r="X3657">
        <v>13.766666666667</v>
      </c>
      <c r="Y3657" t="s">
        <v>20651</v>
      </c>
      <c r="Z3657" t="s">
        <v>20652</v>
      </c>
      <c r="AA3657" t="s">
        <v>2497</v>
      </c>
      <c r="AB3657" t="s">
        <v>20653</v>
      </c>
      <c r="AC3657" t="s">
        <v>6597</v>
      </c>
      <c r="AD3657" s="249" t="str">
        <f>HYPERLINK("https://scontent.cdninstagram.com/t51.2885-15/e35/p320x320/21147317_130014724287655_1762191567918989312_n.jpg")</f>
        <v>https://scontent.cdninstagram.com/t51.2885-15/e35/p320x320/21147317_130014724287655_1762191567918989312_n.jpg</v>
      </c>
      <c r="AE3657" s="249" t="str">
        <f>HYPERLINK("https://scontent.cdninstagram.com/t51.2885-19/s150x150/21041266_171969510038956_6531082567725088768_a.jpg")</f>
        <v>https://scontent.cdninstagram.com/t51.2885-19/s150x150/21041266_171969510038956_6531082567725088768_a.jpg</v>
      </c>
    </row>
    <row r="3658" spans="1:31" ht="15" x14ac:dyDescent="0.25">
      <c r="A3658" t="s">
        <v>2474</v>
      </c>
      <c r="B3658" t="s">
        <v>20654</v>
      </c>
      <c r="C3658" s="221">
        <v>42977.437280092592</v>
      </c>
      <c r="D3658" t="s">
        <v>20655</v>
      </c>
      <c r="E3658" s="249" t="str">
        <f>HYPERLINK("https://www.instagram.com/p/BYa9xHMHplp/")</f>
        <v>https://www.instagram.com/p/BYa9xHMHplp/</v>
      </c>
      <c r="F3658" t="s">
        <v>20656</v>
      </c>
      <c r="G3658" t="s">
        <v>2478</v>
      </c>
      <c r="H3658">
        <v>250</v>
      </c>
      <c r="I3658" t="s">
        <v>2542</v>
      </c>
      <c r="J3658">
        <v>1</v>
      </c>
      <c r="K3658">
        <v>17</v>
      </c>
      <c r="L3658">
        <v>18</v>
      </c>
      <c r="Q3658">
        <v>0</v>
      </c>
      <c r="R3658">
        <v>0</v>
      </c>
      <c r="S3658">
        <v>18</v>
      </c>
      <c r="Y3658" t="s">
        <v>9622</v>
      </c>
      <c r="Z3658" t="s">
        <v>2497</v>
      </c>
      <c r="AA3658" t="s">
        <v>20657</v>
      </c>
      <c r="AD3658" s="249" t="str">
        <f>HYPERLINK("https://scontent.cdninstagram.com/t51.2885-15/e35/p320x320/21149304_167130000501631_4653469148205023232_n.jpg")</f>
        <v>https://scontent.cdninstagram.com/t51.2885-15/e35/p320x320/21149304_167130000501631_4653469148205023232_n.jpg</v>
      </c>
      <c r="AE3658" s="249" t="str">
        <f>HYPERLINK("https://scontent.cdninstagram.com/t51.2885-19/s150x150/16231004_1272974859404198_399831742673846272_a.jpg")</f>
        <v>https://scontent.cdninstagram.com/t51.2885-19/s150x150/16231004_1272974859404198_399831742673846272_a.jpg</v>
      </c>
    </row>
    <row r="3659" spans="1:31" ht="15" x14ac:dyDescent="0.25">
      <c r="A3659" t="s">
        <v>2474</v>
      </c>
      <c r="B3659" t="s">
        <v>20658</v>
      </c>
      <c r="C3659" s="221">
        <v>42977.438460648147</v>
      </c>
      <c r="D3659" t="s">
        <v>20659</v>
      </c>
      <c r="E3659" s="249" t="str">
        <f>HYPERLINK("https://www.instagram.com/p/BYa99hgjV_1/")</f>
        <v>https://www.instagram.com/p/BYa99hgjV_1/</v>
      </c>
      <c r="F3659" t="s">
        <v>20660</v>
      </c>
      <c r="G3659" t="s">
        <v>2478</v>
      </c>
      <c r="H3659">
        <v>507</v>
      </c>
      <c r="I3659" t="s">
        <v>2479</v>
      </c>
      <c r="J3659">
        <v>12</v>
      </c>
      <c r="K3659">
        <v>192</v>
      </c>
      <c r="L3659">
        <v>204</v>
      </c>
      <c r="Q3659">
        <v>0</v>
      </c>
      <c r="R3659">
        <v>0</v>
      </c>
      <c r="S3659">
        <v>204</v>
      </c>
      <c r="T3659" t="s">
        <v>20661</v>
      </c>
      <c r="V3659" t="s">
        <v>2182</v>
      </c>
      <c r="W3659">
        <v>46.9</v>
      </c>
      <c r="X3659">
        <v>11.1</v>
      </c>
      <c r="Y3659" t="s">
        <v>20662</v>
      </c>
      <c r="Z3659" t="s">
        <v>2497</v>
      </c>
      <c r="AA3659" t="s">
        <v>20663</v>
      </c>
      <c r="AB3659" t="s">
        <v>20664</v>
      </c>
      <c r="AC3659" t="s">
        <v>20665</v>
      </c>
      <c r="AD3659" s="249" t="str">
        <f>HYPERLINK("https://scontent.cdninstagram.com/t51.2885-15/s320x320/e35/21147745_165591337323784_5743888274380816384_n.jpg")</f>
        <v>https://scontent.cdninstagram.com/t51.2885-15/s320x320/e35/21147745_165591337323784_5743888274380816384_n.jpg</v>
      </c>
      <c r="AE3659" s="249" t="str">
        <f>HYPERLINK("https://scontent.cdninstagram.com/t51.2885-19/s150x150/18160512_438108389890331_6933798127535128576_a.jpg")</f>
        <v>https://scontent.cdninstagram.com/t51.2885-19/s150x150/18160512_438108389890331_6933798127535128576_a.jpg</v>
      </c>
    </row>
    <row r="3660" spans="1:31" ht="15" x14ac:dyDescent="0.25">
      <c r="A3660" t="s">
        <v>2474</v>
      </c>
      <c r="B3660" t="s">
        <v>20666</v>
      </c>
      <c r="C3660" s="221">
        <v>42977.441145833334</v>
      </c>
      <c r="D3660" t="s">
        <v>20667</v>
      </c>
      <c r="E3660" s="249" t="str">
        <f>HYPERLINK("https://www.instagram.com/p/BYa-Z35lSKX/")</f>
        <v>https://www.instagram.com/p/BYa-Z35lSKX/</v>
      </c>
      <c r="F3660" t="s">
        <v>20668</v>
      </c>
      <c r="G3660" t="s">
        <v>2478</v>
      </c>
      <c r="H3660">
        <v>203</v>
      </c>
      <c r="I3660" t="s">
        <v>2479</v>
      </c>
      <c r="J3660">
        <v>0</v>
      </c>
      <c r="K3660">
        <v>17</v>
      </c>
      <c r="L3660">
        <v>17</v>
      </c>
      <c r="Q3660">
        <v>0</v>
      </c>
      <c r="R3660">
        <v>0</v>
      </c>
      <c r="S3660">
        <v>17</v>
      </c>
      <c r="T3660" t="s">
        <v>20669</v>
      </c>
      <c r="U3660" t="s">
        <v>124</v>
      </c>
      <c r="V3660" t="s">
        <v>2299</v>
      </c>
      <c r="W3660">
        <v>44.98</v>
      </c>
      <c r="X3660">
        <v>-93.263599999999997</v>
      </c>
      <c r="Y3660" t="s">
        <v>20670</v>
      </c>
      <c r="Z3660" t="s">
        <v>2575</v>
      </c>
      <c r="AA3660" t="s">
        <v>20671</v>
      </c>
      <c r="AB3660" t="s">
        <v>20672</v>
      </c>
      <c r="AC3660" t="s">
        <v>2844</v>
      </c>
      <c r="AD3660" s="249" t="str">
        <f>HYPERLINK("https://scontent.cdninstagram.com/t51.2885-15/s320x320/e35/21227883_678301892368381_4747396303397322752_n.jpg")</f>
        <v>https://scontent.cdninstagram.com/t51.2885-15/s320x320/e35/21227883_678301892368381_4747396303397322752_n.jpg</v>
      </c>
      <c r="AE3660" s="249" t="str">
        <f>HYPERLINK("https://scontent.cdninstagram.com/t51.2885-19/s150x150/13736976_1752335441716378_2043091460_a.jpg")</f>
        <v>https://scontent.cdninstagram.com/t51.2885-19/s150x150/13736976_1752335441716378_2043091460_a.jpg</v>
      </c>
    </row>
    <row r="3661" spans="1:31" ht="15" x14ac:dyDescent="0.25">
      <c r="A3661" t="s">
        <v>2474</v>
      </c>
      <c r="B3661" t="s">
        <v>20673</v>
      </c>
      <c r="C3661" s="221">
        <v>42977.442800925928</v>
      </c>
      <c r="D3661" t="s">
        <v>20674</v>
      </c>
      <c r="E3661" s="249" t="str">
        <f>HYPERLINK("https://www.instagram.com/p/BYa-rRBF0wx/")</f>
        <v>https://www.instagram.com/p/BYa-rRBF0wx/</v>
      </c>
      <c r="F3661" t="s">
        <v>20675</v>
      </c>
      <c r="G3661" t="s">
        <v>2478</v>
      </c>
      <c r="H3661">
        <v>1</v>
      </c>
      <c r="I3661" t="s">
        <v>2479</v>
      </c>
      <c r="J3661">
        <v>0</v>
      </c>
      <c r="K3661">
        <v>1</v>
      </c>
      <c r="L3661">
        <v>1</v>
      </c>
      <c r="Q3661">
        <v>0</v>
      </c>
      <c r="R3661">
        <v>0</v>
      </c>
      <c r="S3661">
        <v>1</v>
      </c>
      <c r="Y3661" t="s">
        <v>20676</v>
      </c>
      <c r="Z3661" t="s">
        <v>2497</v>
      </c>
      <c r="AA3661" t="s">
        <v>17154</v>
      </c>
      <c r="AD3661" s="249" t="str">
        <f>HYPERLINK("https://scontent.cdninstagram.com/t51.2885-15/s320x320/e35/21148047_379090425838697_3817348335476408320_n.jpg")</f>
        <v>https://scontent.cdninstagram.com/t51.2885-15/s320x320/e35/21148047_379090425838697_3817348335476408320_n.jpg</v>
      </c>
      <c r="AE3661" s="249" t="str">
        <f>HYPERLINK("https://scontent.cdninstagram.com/t51.2885-19/s150x150/21107488_1471734189540931_5281319862809919488_a.jpg")</f>
        <v>https://scontent.cdninstagram.com/t51.2885-19/s150x150/21107488_1471734189540931_5281319862809919488_a.jpg</v>
      </c>
    </row>
    <row r="3662" spans="1:31" ht="15" x14ac:dyDescent="0.25">
      <c r="A3662" t="s">
        <v>2474</v>
      </c>
      <c r="B3662" t="s">
        <v>6847</v>
      </c>
      <c r="C3662" s="221">
        <v>42977.442870370367</v>
      </c>
      <c r="D3662" t="s">
        <v>20677</v>
      </c>
      <c r="E3662" s="249" t="str">
        <f>HYPERLINK("https://www.instagram.com/p/BYa-sD1BFhO/")</f>
        <v>https://www.instagram.com/p/BYa-sD1BFhO/</v>
      </c>
      <c r="F3662" t="s">
        <v>20678</v>
      </c>
      <c r="G3662" t="s">
        <v>2478</v>
      </c>
      <c r="H3662">
        <v>146</v>
      </c>
      <c r="I3662" t="s">
        <v>2519</v>
      </c>
      <c r="J3662">
        <v>0</v>
      </c>
      <c r="K3662">
        <v>37</v>
      </c>
      <c r="L3662">
        <v>37</v>
      </c>
      <c r="Q3662">
        <v>0</v>
      </c>
      <c r="R3662">
        <v>0</v>
      </c>
      <c r="S3662">
        <v>37</v>
      </c>
      <c r="T3662" t="s">
        <v>6850</v>
      </c>
      <c r="V3662" t="s">
        <v>2161</v>
      </c>
      <c r="W3662">
        <v>50.95</v>
      </c>
      <c r="X3662">
        <v>6.9667000000000003</v>
      </c>
      <c r="Y3662" t="s">
        <v>10105</v>
      </c>
      <c r="Z3662" t="s">
        <v>12732</v>
      </c>
      <c r="AA3662" t="s">
        <v>4796</v>
      </c>
      <c r="AB3662" t="s">
        <v>3225</v>
      </c>
      <c r="AC3662" t="s">
        <v>20679</v>
      </c>
      <c r="AD3662" s="249" t="str">
        <f>HYPERLINK("https://scontent.cdninstagram.com/t51.2885-15/s320x320/e35/21224123_1940263006245009_4754647638417080320_n.jpg")</f>
        <v>https://scontent.cdninstagram.com/t51.2885-15/s320x320/e35/21224123_1940263006245009_4754647638417080320_n.jpg</v>
      </c>
      <c r="AE3662" s="249" t="str">
        <f>HYPERLINK("https://scontent.cdninstagram.com/t51.2885-19/s150x150/21227085_490035654689267_1134010918221381632_a.jpg")</f>
        <v>https://scontent.cdninstagram.com/t51.2885-19/s150x150/21227085_490035654689267_1134010918221381632_a.jpg</v>
      </c>
    </row>
    <row r="3663" spans="1:31" ht="15" x14ac:dyDescent="0.25">
      <c r="A3663" t="s">
        <v>2474</v>
      </c>
      <c r="B3663" t="s">
        <v>3015</v>
      </c>
      <c r="C3663" s="221">
        <v>42977.448009259257</v>
      </c>
      <c r="D3663" t="s">
        <v>20680</v>
      </c>
      <c r="E3663" s="249" t="str">
        <f>HYPERLINK("https://www.instagram.com/p/BYa_iNsAR_W/")</f>
        <v>https://www.instagram.com/p/BYa_iNsAR_W/</v>
      </c>
      <c r="F3663" t="s">
        <v>20681</v>
      </c>
      <c r="G3663" t="s">
        <v>2478</v>
      </c>
      <c r="H3663">
        <v>253</v>
      </c>
      <c r="I3663" t="s">
        <v>2479</v>
      </c>
      <c r="J3663">
        <v>0</v>
      </c>
      <c r="K3663">
        <v>44</v>
      </c>
      <c r="L3663">
        <v>44</v>
      </c>
      <c r="Q3663">
        <v>0</v>
      </c>
      <c r="R3663">
        <v>0</v>
      </c>
      <c r="S3663">
        <v>44</v>
      </c>
      <c r="Y3663" t="s">
        <v>3571</v>
      </c>
      <c r="Z3663" t="s">
        <v>10468</v>
      </c>
      <c r="AA3663" t="s">
        <v>4919</v>
      </c>
      <c r="AB3663" t="s">
        <v>7275</v>
      </c>
      <c r="AC3663" t="s">
        <v>3021</v>
      </c>
      <c r="AD3663" s="249" t="str">
        <f>HYPERLINK("https://scontent.cdninstagram.com/t51.2885-15/s320x320/e35/21108070_129938710964068_6007331024172744704_n.jpg")</f>
        <v>https://scontent.cdninstagram.com/t51.2885-15/s320x320/e35/21108070_129938710964068_6007331024172744704_n.jpg</v>
      </c>
      <c r="AE3663" s="249" t="str">
        <f>HYPERLINK("https://scontent.cdninstagram.com/t51.2885-19/s150x150/21373025_723410537866046_6184601968204316672_a.jpg")</f>
        <v>https://scontent.cdninstagram.com/t51.2885-19/s150x150/21373025_723410537866046_6184601968204316672_a.jpg</v>
      </c>
    </row>
    <row r="3664" spans="1:31" ht="15" x14ac:dyDescent="0.25">
      <c r="A3664" t="s">
        <v>2474</v>
      </c>
      <c r="B3664" t="s">
        <v>20682</v>
      </c>
      <c r="C3664" s="221">
        <v>42977.45380787037</v>
      </c>
      <c r="D3664" t="s">
        <v>20683</v>
      </c>
      <c r="E3664" s="249" t="str">
        <f>HYPERLINK("https://www.instagram.com/p/BYbAfaxFTOb/")</f>
        <v>https://www.instagram.com/p/BYbAfaxFTOb/</v>
      </c>
      <c r="F3664" t="s">
        <v>20684</v>
      </c>
      <c r="G3664" t="s">
        <v>2478</v>
      </c>
      <c r="H3664">
        <v>369</v>
      </c>
      <c r="I3664" t="s">
        <v>2479</v>
      </c>
      <c r="J3664">
        <v>0</v>
      </c>
      <c r="K3664">
        <v>31</v>
      </c>
      <c r="L3664">
        <v>31</v>
      </c>
      <c r="Q3664">
        <v>0</v>
      </c>
      <c r="R3664">
        <v>0</v>
      </c>
      <c r="S3664">
        <v>31</v>
      </c>
      <c r="Y3664" t="s">
        <v>20685</v>
      </c>
      <c r="Z3664" t="s">
        <v>7418</v>
      </c>
      <c r="AA3664" t="s">
        <v>6678</v>
      </c>
      <c r="AB3664" t="s">
        <v>13088</v>
      </c>
      <c r="AC3664" t="s">
        <v>8587</v>
      </c>
      <c r="AD3664" s="249" t="str">
        <f>HYPERLINK("https://scontent.cdninstagram.com/t51.2885-15/e35/p320x320/21149461_256213281565888_1516359356566732800_n.jpg")</f>
        <v>https://scontent.cdninstagram.com/t51.2885-15/e35/p320x320/21149461_256213281565888_1516359356566732800_n.jpg</v>
      </c>
      <c r="AE3664" s="249" t="str">
        <f>HYPERLINK("https://scontent.cdninstagram.com/t51.2885-19/s150x150/20398080_126797124597367_6290388129396293632_a.jpg")</f>
        <v>https://scontent.cdninstagram.com/t51.2885-19/s150x150/20398080_126797124597367_6290388129396293632_a.jpg</v>
      </c>
    </row>
    <row r="3665" spans="1:31" ht="15" x14ac:dyDescent="0.25">
      <c r="A3665" t="s">
        <v>2474</v>
      </c>
      <c r="B3665" t="s">
        <v>20686</v>
      </c>
      <c r="C3665" s="221">
        <v>42977.471064814818</v>
      </c>
      <c r="D3665" t="s">
        <v>20687</v>
      </c>
      <c r="E3665" s="249" t="str">
        <f>HYPERLINK("https://www.instagram.com/p/BYbDVXcnFq3/")</f>
        <v>https://www.instagram.com/p/BYbDVXcnFq3/</v>
      </c>
      <c r="F3665" t="s">
        <v>20688</v>
      </c>
      <c r="G3665" t="s">
        <v>2478</v>
      </c>
      <c r="H3665">
        <v>494</v>
      </c>
      <c r="I3665" t="s">
        <v>4062</v>
      </c>
      <c r="J3665">
        <v>7</v>
      </c>
      <c r="K3665">
        <v>40</v>
      </c>
      <c r="L3665">
        <v>47</v>
      </c>
      <c r="Q3665">
        <v>0</v>
      </c>
      <c r="R3665">
        <v>0</v>
      </c>
      <c r="S3665">
        <v>47</v>
      </c>
      <c r="Y3665" t="s">
        <v>20689</v>
      </c>
      <c r="Z3665" t="s">
        <v>20690</v>
      </c>
      <c r="AA3665" t="s">
        <v>20691</v>
      </c>
      <c r="AB3665" t="s">
        <v>20692</v>
      </c>
      <c r="AC3665" t="s">
        <v>3070</v>
      </c>
      <c r="AD3665" s="249" t="str">
        <f>HYPERLINK("https://scontent.cdninstagram.com/t51.2885-15/s320x320/e35/21224111_1437014669715358_7754615731269926912_n.jpg")</f>
        <v>https://scontent.cdninstagram.com/t51.2885-15/s320x320/e35/21224111_1437014669715358_7754615731269926912_n.jpg</v>
      </c>
      <c r="AE3665" s="249" t="str">
        <f>HYPERLINK("https://scontent.cdninstagram.com/t51.2885-19/s150x150/12965177_103770106699279_1528933216_a.jpg")</f>
        <v>https://scontent.cdninstagram.com/t51.2885-19/s150x150/12965177_103770106699279_1528933216_a.jpg</v>
      </c>
    </row>
    <row r="3666" spans="1:31" ht="15" x14ac:dyDescent="0.25">
      <c r="A3666" t="s">
        <v>2474</v>
      </c>
      <c r="B3666" t="s">
        <v>20693</v>
      </c>
      <c r="C3666" s="221">
        <v>42977.483796296299</v>
      </c>
      <c r="D3666" t="s">
        <v>20694</v>
      </c>
      <c r="E3666" s="249" t="str">
        <f>HYPERLINK("https://www.instagram.com/p/BYbFbr0nll6/")</f>
        <v>https://www.instagram.com/p/BYbFbr0nll6/</v>
      </c>
      <c r="F3666" t="s">
        <v>20695</v>
      </c>
      <c r="G3666" t="s">
        <v>2478</v>
      </c>
      <c r="H3666">
        <v>318</v>
      </c>
      <c r="I3666" t="s">
        <v>2479</v>
      </c>
      <c r="J3666">
        <v>8</v>
      </c>
      <c r="K3666">
        <v>76</v>
      </c>
      <c r="L3666">
        <v>84</v>
      </c>
      <c r="Q3666">
        <v>0</v>
      </c>
      <c r="R3666">
        <v>0</v>
      </c>
      <c r="S3666">
        <v>84</v>
      </c>
      <c r="Y3666" t="s">
        <v>17660</v>
      </c>
      <c r="Z3666" t="s">
        <v>20696</v>
      </c>
      <c r="AA3666" t="s">
        <v>20697</v>
      </c>
      <c r="AB3666" t="s">
        <v>20698</v>
      </c>
      <c r="AC3666" t="s">
        <v>3262</v>
      </c>
      <c r="AD3666" s="249" t="str">
        <f>HYPERLINK("https://scontent.cdninstagram.com/t51.2885-15/s320x320/e35/21147758_1549676575111660_2516273029210701824_n.jpg")</f>
        <v>https://scontent.cdninstagram.com/t51.2885-15/s320x320/e35/21147758_1549676575111660_2516273029210701824_n.jpg</v>
      </c>
      <c r="AE3666" s="249" t="str">
        <f>HYPERLINK("https://scontent.cdninstagram.com/t51.2885-19/s150x150/21107315_1054172068053328_6047065493204893696_a.jpg")</f>
        <v>https://scontent.cdninstagram.com/t51.2885-19/s150x150/21107315_1054172068053328_6047065493204893696_a.jpg</v>
      </c>
    </row>
    <row r="3667" spans="1:31" ht="15" x14ac:dyDescent="0.25">
      <c r="A3667" t="s">
        <v>2474</v>
      </c>
      <c r="B3667" t="s">
        <v>20699</v>
      </c>
      <c r="C3667" s="221">
        <v>42977.487870370373</v>
      </c>
      <c r="D3667" t="s">
        <v>20700</v>
      </c>
      <c r="E3667" s="249" t="str">
        <f>HYPERLINK("https://www.instagram.com/p/BYbGGqJBqTa/")</f>
        <v>https://www.instagram.com/p/BYbGGqJBqTa/</v>
      </c>
      <c r="F3667" t="s">
        <v>20701</v>
      </c>
      <c r="G3667" t="s">
        <v>2478</v>
      </c>
      <c r="H3667">
        <v>86</v>
      </c>
      <c r="I3667" t="s">
        <v>2479</v>
      </c>
      <c r="J3667">
        <v>0</v>
      </c>
      <c r="K3667">
        <v>24</v>
      </c>
      <c r="L3667">
        <v>24</v>
      </c>
      <c r="Q3667">
        <v>0</v>
      </c>
      <c r="R3667">
        <v>0</v>
      </c>
      <c r="S3667">
        <v>24</v>
      </c>
      <c r="Y3667" t="s">
        <v>3571</v>
      </c>
      <c r="Z3667" t="s">
        <v>20702</v>
      </c>
      <c r="AA3667" t="s">
        <v>5405</v>
      </c>
      <c r="AB3667" t="s">
        <v>20703</v>
      </c>
      <c r="AC3667" t="s">
        <v>20704</v>
      </c>
      <c r="AD3667" s="249" t="str">
        <f>HYPERLINK("https://scontent.cdninstagram.com/t51.2885-15/s320x320/e35/21225004_502500763435673_2910260042949197824_n.jpg")</f>
        <v>https://scontent.cdninstagram.com/t51.2885-15/s320x320/e35/21225004_502500763435673_2910260042949197824_n.jpg</v>
      </c>
      <c r="AE3667" s="249" t="str">
        <f>HYPERLINK("https://scontent.cdninstagram.com/t51.2885-19/s150x150/19050293_191212098087279_2050307569091608576_a.jpg")</f>
        <v>https://scontent.cdninstagram.com/t51.2885-19/s150x150/19050293_191212098087279_2050307569091608576_a.jpg</v>
      </c>
    </row>
    <row r="3668" spans="1:31" ht="15" x14ac:dyDescent="0.25">
      <c r="A3668" t="s">
        <v>2474</v>
      </c>
      <c r="B3668" t="s">
        <v>20705</v>
      </c>
      <c r="C3668" s="221">
        <v>42977.493668981479</v>
      </c>
      <c r="D3668" t="s">
        <v>20706</v>
      </c>
      <c r="E3668" s="249" t="str">
        <f>HYPERLINK("https://www.instagram.com/p/BYbHD0CFdLw/")</f>
        <v>https://www.instagram.com/p/BYbHD0CFdLw/</v>
      </c>
      <c r="F3668" t="s">
        <v>20707</v>
      </c>
      <c r="G3668" t="s">
        <v>2478</v>
      </c>
      <c r="I3668" t="s">
        <v>2479</v>
      </c>
      <c r="J3668">
        <v>3</v>
      </c>
      <c r="K3668">
        <v>14</v>
      </c>
      <c r="L3668">
        <v>17</v>
      </c>
      <c r="Q3668">
        <v>0</v>
      </c>
      <c r="R3668">
        <v>0</v>
      </c>
      <c r="S3668">
        <v>17</v>
      </c>
      <c r="Y3668" t="s">
        <v>2827</v>
      </c>
      <c r="Z3668" t="s">
        <v>2968</v>
      </c>
      <c r="AA3668" t="s">
        <v>4271</v>
      </c>
      <c r="AB3668" t="s">
        <v>2497</v>
      </c>
      <c r="AD3668" s="249" t="str">
        <f>HYPERLINK("https://scontent.cdninstagram.com/t51.2885-15/e35/p320x320/21149264_356393654818389_4048822587122253824_n.jpg")</f>
        <v>https://scontent.cdninstagram.com/t51.2885-15/e35/p320x320/21149264_356393654818389_4048822587122253824_n.jpg</v>
      </c>
      <c r="AE3668" s="249" t="str">
        <f>HYPERLINK("https://scontent.cdninstagram.com/t51.2885-19/s150x150/20184492_1909577982649304_6509726989601996800_a.jpg")</f>
        <v>https://scontent.cdninstagram.com/t51.2885-19/s150x150/20184492_1909577982649304_6509726989601996800_a.jpg</v>
      </c>
    </row>
    <row r="3669" spans="1:31" ht="15" x14ac:dyDescent="0.25">
      <c r="A3669" t="s">
        <v>2474</v>
      </c>
      <c r="B3669" t="s">
        <v>20708</v>
      </c>
      <c r="C3669" s="221">
        <v>42977.505370370367</v>
      </c>
      <c r="D3669" t="s">
        <v>20709</v>
      </c>
      <c r="E3669" s="249" t="str">
        <f>HYPERLINK("https://www.instagram.com/p/BYbI_OdhoQd/")</f>
        <v>https://www.instagram.com/p/BYbI_OdhoQd/</v>
      </c>
      <c r="F3669" t="s">
        <v>20710</v>
      </c>
      <c r="G3669" t="s">
        <v>2478</v>
      </c>
      <c r="H3669">
        <v>721</v>
      </c>
      <c r="I3669" t="s">
        <v>2599</v>
      </c>
      <c r="J3669">
        <v>11</v>
      </c>
      <c r="K3669">
        <v>149</v>
      </c>
      <c r="L3669">
        <v>160</v>
      </c>
      <c r="Q3669">
        <v>0</v>
      </c>
      <c r="R3669">
        <v>0</v>
      </c>
      <c r="S3669">
        <v>160</v>
      </c>
      <c r="T3669" t="s">
        <v>20711</v>
      </c>
      <c r="V3669" t="s">
        <v>2161</v>
      </c>
      <c r="W3669">
        <v>49.030850000000001</v>
      </c>
      <c r="X3669">
        <v>8.3855000000000004</v>
      </c>
      <c r="Y3669" t="s">
        <v>20712</v>
      </c>
      <c r="Z3669" t="s">
        <v>20713</v>
      </c>
      <c r="AA3669" t="s">
        <v>4240</v>
      </c>
      <c r="AB3669" t="s">
        <v>3860</v>
      </c>
      <c r="AC3669" t="s">
        <v>3982</v>
      </c>
      <c r="AD3669" s="249" t="str">
        <f>HYPERLINK("https://scontent.cdninstagram.com/t51.2885-15/s320x320/e35/21147488_255219028321168_3383440588564070400_n.jpg")</f>
        <v>https://scontent.cdninstagram.com/t51.2885-15/s320x320/e35/21147488_255219028321168_3383440588564070400_n.jpg</v>
      </c>
      <c r="AE3669" s="249" t="str">
        <f>HYPERLINK("https://scontent.cdninstagram.com/t51.2885-19/s150x150/16123584_661553084030059_6613662939012399104_n.jpg")</f>
        <v>https://scontent.cdninstagram.com/t51.2885-19/s150x150/16123584_661553084030059_6613662939012399104_n.jpg</v>
      </c>
    </row>
    <row r="3670" spans="1:31" ht="15" x14ac:dyDescent="0.25">
      <c r="A3670" t="s">
        <v>2474</v>
      </c>
      <c r="B3670" t="s">
        <v>20714</v>
      </c>
      <c r="C3670" s="221">
        <v>42977.506990740738</v>
      </c>
      <c r="D3670" t="s">
        <v>20715</v>
      </c>
      <c r="E3670" s="249" t="str">
        <f>HYPERLINK("https://www.instagram.com/p/BYbJQV5BZkn/")</f>
        <v>https://www.instagram.com/p/BYbJQV5BZkn/</v>
      </c>
      <c r="F3670" t="s">
        <v>20716</v>
      </c>
      <c r="G3670" t="s">
        <v>2478</v>
      </c>
      <c r="H3670">
        <v>202</v>
      </c>
      <c r="I3670" t="s">
        <v>2479</v>
      </c>
      <c r="J3670">
        <v>0</v>
      </c>
      <c r="K3670">
        <v>20</v>
      </c>
      <c r="L3670">
        <v>20</v>
      </c>
      <c r="Q3670">
        <v>0</v>
      </c>
      <c r="R3670">
        <v>0</v>
      </c>
      <c r="S3670">
        <v>20</v>
      </c>
      <c r="Y3670" t="s">
        <v>13236</v>
      </c>
      <c r="Z3670" t="s">
        <v>20717</v>
      </c>
      <c r="AA3670" t="s">
        <v>20718</v>
      </c>
      <c r="AB3670" t="s">
        <v>2497</v>
      </c>
      <c r="AC3670" t="s">
        <v>20719</v>
      </c>
      <c r="AD3670" s="249" t="str">
        <f>HYPERLINK("https://scontent.cdninstagram.com/t51.2885-15/s320x320/e35/21224630_315622468904719_234367642264141824_n.jpg")</f>
        <v>https://scontent.cdninstagram.com/t51.2885-15/s320x320/e35/21224630_315622468904719_234367642264141824_n.jpg</v>
      </c>
      <c r="AE3670" s="249" t="str">
        <f>HYPERLINK("https://scontent.cdninstagram.com/t51.2885-19/s150x150/18162173_423405578033825_4664742831766634496_a.jpg")</f>
        <v>https://scontent.cdninstagram.com/t51.2885-19/s150x150/18162173_423405578033825_4664742831766634496_a.jpg</v>
      </c>
    </row>
    <row r="3671" spans="1:31" ht="15" x14ac:dyDescent="0.25">
      <c r="A3671" t="s">
        <v>2474</v>
      </c>
      <c r="B3671" t="s">
        <v>20720</v>
      </c>
      <c r="C3671" s="221">
        <v>42977.509409722225</v>
      </c>
      <c r="D3671" t="s">
        <v>20721</v>
      </c>
      <c r="E3671" s="249" t="str">
        <f>HYPERLINK("https://www.instagram.com/p/BYbJp1nhgU0/")</f>
        <v>https://www.instagram.com/p/BYbJp1nhgU0/</v>
      </c>
      <c r="F3671" t="s">
        <v>20722</v>
      </c>
      <c r="G3671" t="s">
        <v>2478</v>
      </c>
      <c r="H3671">
        <v>1652</v>
      </c>
      <c r="I3671" t="s">
        <v>2479</v>
      </c>
      <c r="J3671">
        <v>5</v>
      </c>
      <c r="K3671">
        <v>143</v>
      </c>
      <c r="L3671">
        <v>148</v>
      </c>
      <c r="Q3671">
        <v>0</v>
      </c>
      <c r="R3671">
        <v>0</v>
      </c>
      <c r="S3671">
        <v>148</v>
      </c>
      <c r="T3671" t="s">
        <v>20723</v>
      </c>
      <c r="U3671" t="s">
        <v>1058</v>
      </c>
      <c r="V3671" t="s">
        <v>2299</v>
      </c>
      <c r="W3671">
        <v>44.357329972287999</v>
      </c>
      <c r="X3671">
        <v>-122.91697454051</v>
      </c>
      <c r="AD3671" s="249" t="str">
        <f>HYPERLINK("https://scontent.cdninstagram.com/t51.2885-15/e35/p320x320/21147474_284692345346734_1679313061476827136_n.jpg")</f>
        <v>https://scontent.cdninstagram.com/t51.2885-15/e35/p320x320/21147474_284692345346734_1679313061476827136_n.jpg</v>
      </c>
      <c r="AE3671" s="249" t="str">
        <f>HYPERLINK("https://scontent.cdninstagram.com/t51.2885-19/s150x150/20687821_108238459869626_7296233611437539328_a.jpg")</f>
        <v>https://scontent.cdninstagram.com/t51.2885-19/s150x150/20687821_108238459869626_7296233611437539328_a.jpg</v>
      </c>
    </row>
    <row r="3672" spans="1:31" ht="15" x14ac:dyDescent="0.25">
      <c r="A3672" t="s">
        <v>2474</v>
      </c>
      <c r="B3672" t="s">
        <v>20724</v>
      </c>
      <c r="C3672" s="221">
        <v>42977.519386574073</v>
      </c>
      <c r="D3672" t="s">
        <v>20725</v>
      </c>
      <c r="E3672" s="249" t="str">
        <f>HYPERLINK("https://www.instagram.com/p/BYbLS_mlCG5/")</f>
        <v>https://www.instagram.com/p/BYbLS_mlCG5/</v>
      </c>
      <c r="F3672" t="s">
        <v>20726</v>
      </c>
      <c r="G3672" t="s">
        <v>2478</v>
      </c>
      <c r="H3672">
        <v>17</v>
      </c>
      <c r="I3672" t="s">
        <v>2479</v>
      </c>
      <c r="J3672">
        <v>0</v>
      </c>
      <c r="K3672">
        <v>8</v>
      </c>
      <c r="L3672">
        <v>8</v>
      </c>
      <c r="Q3672">
        <v>0</v>
      </c>
      <c r="R3672">
        <v>0</v>
      </c>
      <c r="S3672">
        <v>8</v>
      </c>
      <c r="Y3672" t="s">
        <v>2618</v>
      </c>
      <c r="Z3672" t="s">
        <v>9240</v>
      </c>
      <c r="AA3672" t="s">
        <v>2497</v>
      </c>
      <c r="AB3672" t="s">
        <v>4419</v>
      </c>
      <c r="AD3672" s="249" t="str">
        <f>HYPERLINK("https://scontent.cdninstagram.com/t51.2885-15/s320x320/e35/21147392_1405478022882422_3092455562122625024_n.jpg")</f>
        <v>https://scontent.cdninstagram.com/t51.2885-15/s320x320/e35/21147392_1405478022882422_3092455562122625024_n.jpg</v>
      </c>
      <c r="AE3672" s="249" t="str">
        <f>HYPERLINK("https://scontent.cdninstagram.com/t51.2885-19/s150x150/21147776_485464048498142_80784632575950848_a.jpg")</f>
        <v>https://scontent.cdninstagram.com/t51.2885-19/s150x150/21147776_485464048498142_80784632575950848_a.jpg</v>
      </c>
    </row>
    <row r="3673" spans="1:31" ht="15" x14ac:dyDescent="0.25">
      <c r="A3673" t="s">
        <v>2474</v>
      </c>
      <c r="B3673" t="s">
        <v>20727</v>
      </c>
      <c r="C3673" s="221">
        <v>42977.52107638889</v>
      </c>
      <c r="D3673" t="s">
        <v>20728</v>
      </c>
      <c r="E3673" s="249" t="str">
        <f>HYPERLINK("https://www.instagram.com/p/BYbLkzzhS8Q/")</f>
        <v>https://www.instagram.com/p/BYbLkzzhS8Q/</v>
      </c>
      <c r="F3673" t="s">
        <v>20729</v>
      </c>
      <c r="G3673" t="s">
        <v>2478</v>
      </c>
      <c r="H3673">
        <v>131</v>
      </c>
      <c r="I3673" t="s">
        <v>2896</v>
      </c>
      <c r="J3673">
        <v>3</v>
      </c>
      <c r="K3673">
        <v>42</v>
      </c>
      <c r="L3673">
        <v>45</v>
      </c>
      <c r="Q3673">
        <v>0</v>
      </c>
      <c r="R3673">
        <v>0</v>
      </c>
      <c r="S3673">
        <v>45</v>
      </c>
      <c r="T3673" t="s">
        <v>20730</v>
      </c>
      <c r="V3673" t="s">
        <v>2230</v>
      </c>
      <c r="W3673">
        <v>62.258426</v>
      </c>
      <c r="X3673">
        <v>8.2041360000000001</v>
      </c>
      <c r="Y3673" t="s">
        <v>20731</v>
      </c>
      <c r="Z3673" t="s">
        <v>20732</v>
      </c>
      <c r="AA3673" t="s">
        <v>20733</v>
      </c>
      <c r="AB3673" t="s">
        <v>20734</v>
      </c>
      <c r="AC3673" t="s">
        <v>20735</v>
      </c>
      <c r="AD3673" s="249" t="str">
        <f>HYPERLINK("https://scontent.cdninstagram.com/t51.2885-15/s320x320/e35/21148957_1768820883415098_7914852835005562880_n.jpg")</f>
        <v>https://scontent.cdninstagram.com/t51.2885-15/s320x320/e35/21148957_1768820883415098_7914852835005562880_n.jpg</v>
      </c>
      <c r="AE3673" s="249" t="str">
        <f>HYPERLINK("https://scontent.cdninstagram.com/t51.2885-19/s150x150/19228862_1763469863669635_8711158579345752064_a.jpg")</f>
        <v>https://scontent.cdninstagram.com/t51.2885-19/s150x150/19228862_1763469863669635_8711158579345752064_a.jpg</v>
      </c>
    </row>
    <row r="3674" spans="1:31" ht="15" x14ac:dyDescent="0.25">
      <c r="A3674" t="s">
        <v>2474</v>
      </c>
      <c r="B3674" t="s">
        <v>20736</v>
      </c>
      <c r="C3674" s="221">
        <v>42977.522962962961</v>
      </c>
      <c r="D3674" t="s">
        <v>20737</v>
      </c>
      <c r="E3674" s="249" t="str">
        <f>HYPERLINK("https://www.instagram.com/p/BYbL4uSAlGP/")</f>
        <v>https://www.instagram.com/p/BYbL4uSAlGP/</v>
      </c>
      <c r="F3674" t="s">
        <v>20738</v>
      </c>
      <c r="G3674" t="s">
        <v>2478</v>
      </c>
      <c r="H3674">
        <v>128</v>
      </c>
      <c r="I3674" t="s">
        <v>2479</v>
      </c>
      <c r="J3674">
        <v>0</v>
      </c>
      <c r="K3674">
        <v>64</v>
      </c>
      <c r="L3674">
        <v>64</v>
      </c>
      <c r="Q3674">
        <v>0</v>
      </c>
      <c r="R3674">
        <v>0</v>
      </c>
      <c r="S3674">
        <v>64</v>
      </c>
      <c r="Y3674" t="s">
        <v>20739</v>
      </c>
      <c r="Z3674" t="s">
        <v>2497</v>
      </c>
      <c r="AD3674" s="249" t="str">
        <f>HYPERLINK("https://scontent.cdninstagram.com/t51.2885-15/s320x320/e35/21147382_1996748603948000_2222801019136376832_n.jpg")</f>
        <v>https://scontent.cdninstagram.com/t51.2885-15/s320x320/e35/21147382_1996748603948000_2222801019136376832_n.jpg</v>
      </c>
      <c r="AE3674" s="249" t="str">
        <f>HYPERLINK("https://scontent.cdninstagram.com/t51.2885-19/s150x150/20837198_480411368983183_4693687926339403776_a.jpg")</f>
        <v>https://scontent.cdninstagram.com/t51.2885-19/s150x150/20837198_480411368983183_4693687926339403776_a.jpg</v>
      </c>
    </row>
    <row r="3675" spans="1:31" ht="15" x14ac:dyDescent="0.25">
      <c r="A3675" t="s">
        <v>2474</v>
      </c>
      <c r="B3675" t="s">
        <v>16073</v>
      </c>
      <c r="C3675" s="221">
        <v>42977.526585648149</v>
      </c>
      <c r="D3675" t="s">
        <v>20740</v>
      </c>
      <c r="E3675" s="249" t="str">
        <f>HYPERLINK("https://www.instagram.com/p/BYbMe-7nvJs/")</f>
        <v>https://www.instagram.com/p/BYbMe-7nvJs/</v>
      </c>
      <c r="F3675" t="s">
        <v>20741</v>
      </c>
      <c r="G3675" t="s">
        <v>2478</v>
      </c>
      <c r="H3675">
        <v>1650</v>
      </c>
      <c r="I3675" t="s">
        <v>2542</v>
      </c>
      <c r="J3675">
        <v>0</v>
      </c>
      <c r="K3675">
        <v>28</v>
      </c>
      <c r="L3675">
        <v>28</v>
      </c>
      <c r="Q3675">
        <v>0</v>
      </c>
      <c r="R3675">
        <v>0</v>
      </c>
      <c r="S3675">
        <v>28</v>
      </c>
      <c r="T3675" t="s">
        <v>16076</v>
      </c>
      <c r="V3675" t="s">
        <v>2118</v>
      </c>
      <c r="W3675">
        <v>-20.816700000000001</v>
      </c>
      <c r="X3675">
        <v>-49.633299999999998</v>
      </c>
      <c r="Y3675" t="s">
        <v>16077</v>
      </c>
      <c r="Z3675" t="s">
        <v>5229</v>
      </c>
      <c r="AA3675" t="s">
        <v>20742</v>
      </c>
      <c r="AB3675" t="s">
        <v>20743</v>
      </c>
      <c r="AC3675" t="s">
        <v>2492</v>
      </c>
      <c r="AD3675" s="249" t="str">
        <f>HYPERLINK("https://scontent.cdninstagram.com/t51.2885-15/e35/p320x320/21148069_464825047234268_3961580415382192128_n.jpg")</f>
        <v>https://scontent.cdninstagram.com/t51.2885-15/e35/p320x320/21148069_464825047234268_3961580415382192128_n.jpg</v>
      </c>
      <c r="AE3675" s="249" t="str">
        <f>HYPERLINK("https://scontent.cdninstagram.com/t51.2885-19/s150x150/20482137_1860053810678622_8742033179386314752_a.jpg")</f>
        <v>https://scontent.cdninstagram.com/t51.2885-19/s150x150/20482137_1860053810678622_8742033179386314752_a.jpg</v>
      </c>
    </row>
    <row r="3676" spans="1:31" ht="15" x14ac:dyDescent="0.25">
      <c r="A3676" t="s">
        <v>2474</v>
      </c>
      <c r="B3676" t="s">
        <v>20744</v>
      </c>
      <c r="C3676" s="221">
        <v>42977.527233796296</v>
      </c>
      <c r="D3676" t="s">
        <v>20745</v>
      </c>
      <c r="E3676" s="249" t="str">
        <f>HYPERLINK("https://www.instagram.com/p/BYbMlzVjgFE/")</f>
        <v>https://www.instagram.com/p/BYbMlzVjgFE/</v>
      </c>
      <c r="F3676" t="s">
        <v>20746</v>
      </c>
      <c r="G3676" t="s">
        <v>2478</v>
      </c>
      <c r="H3676">
        <v>1701</v>
      </c>
      <c r="I3676" t="s">
        <v>2479</v>
      </c>
      <c r="J3676">
        <v>31</v>
      </c>
      <c r="K3676">
        <v>74</v>
      </c>
      <c r="L3676">
        <v>105</v>
      </c>
      <c r="Q3676">
        <v>0</v>
      </c>
      <c r="R3676">
        <v>0</v>
      </c>
      <c r="S3676">
        <v>105</v>
      </c>
      <c r="Y3676" t="s">
        <v>2730</v>
      </c>
      <c r="Z3676" t="s">
        <v>20747</v>
      </c>
      <c r="AA3676" t="s">
        <v>20748</v>
      </c>
      <c r="AB3676" t="s">
        <v>3445</v>
      </c>
      <c r="AC3676" t="s">
        <v>20749</v>
      </c>
      <c r="AD3676" s="249" t="str">
        <f>HYPERLINK("https://scontent.cdninstagram.com/t51.2885-15/s320x320/e35/21149560_168558017025928_8104942963630538752_n.jpg")</f>
        <v>https://scontent.cdninstagram.com/t51.2885-15/s320x320/e35/21149560_168558017025928_8104942963630538752_n.jpg</v>
      </c>
      <c r="AE3676" s="249" t="str">
        <f>HYPERLINK("https://scontent.cdninstagram.com/t51.2885-19/11280525_960306567353007_1182243309_a.jpg")</f>
        <v>https://scontent.cdninstagram.com/t51.2885-19/11280525_960306567353007_1182243309_a.jpg</v>
      </c>
    </row>
    <row r="3677" spans="1:31" ht="15" x14ac:dyDescent="0.25">
      <c r="A3677" t="s">
        <v>2474</v>
      </c>
      <c r="B3677" t="s">
        <v>3015</v>
      </c>
      <c r="C3677" s="221">
        <v>42977.534375000003</v>
      </c>
      <c r="D3677" t="s">
        <v>20750</v>
      </c>
      <c r="E3677" s="249" t="str">
        <f>HYPERLINK("https://www.instagram.com/p/BYbNxI0ANCp/")</f>
        <v>https://www.instagram.com/p/BYbNxI0ANCp/</v>
      </c>
      <c r="F3677" t="s">
        <v>20751</v>
      </c>
      <c r="G3677" t="s">
        <v>2478</v>
      </c>
      <c r="H3677">
        <v>254</v>
      </c>
      <c r="I3677" t="s">
        <v>2479</v>
      </c>
      <c r="J3677">
        <v>0</v>
      </c>
      <c r="K3677">
        <v>40</v>
      </c>
      <c r="L3677">
        <v>40</v>
      </c>
      <c r="Q3677">
        <v>0</v>
      </c>
      <c r="R3677">
        <v>0</v>
      </c>
      <c r="S3677">
        <v>40</v>
      </c>
      <c r="Y3677" t="s">
        <v>10468</v>
      </c>
      <c r="Z3677" t="s">
        <v>3727</v>
      </c>
      <c r="AA3677" t="s">
        <v>3854</v>
      </c>
      <c r="AB3677" t="s">
        <v>3856</v>
      </c>
      <c r="AC3677" t="s">
        <v>3725</v>
      </c>
      <c r="AD3677" s="249" t="str">
        <f>HYPERLINK("https://scontent.cdninstagram.com/t51.2885-15/s320x320/e35/21147731_671678016375711_3941720091468496896_n.jpg")</f>
        <v>https://scontent.cdninstagram.com/t51.2885-15/s320x320/e35/21147731_671678016375711_3941720091468496896_n.jpg</v>
      </c>
      <c r="AE3677" s="249" t="str">
        <f>HYPERLINK("https://scontent.cdninstagram.com/t51.2885-19/s150x150/21373025_723410537866046_6184601968204316672_a.jpg")</f>
        <v>https://scontent.cdninstagram.com/t51.2885-19/s150x150/21373025_723410537866046_6184601968204316672_a.jpg</v>
      </c>
    </row>
    <row r="3678" spans="1:31" ht="15" x14ac:dyDescent="0.25">
      <c r="A3678" t="s">
        <v>2474</v>
      </c>
      <c r="B3678" t="s">
        <v>8705</v>
      </c>
      <c r="C3678" s="221">
        <v>42977.536423611113</v>
      </c>
      <c r="D3678" t="s">
        <v>20752</v>
      </c>
      <c r="E3678" s="249" t="str">
        <f>HYPERLINK("https://www.instagram.com/p/BYbOGqPjbNc/")</f>
        <v>https://www.instagram.com/p/BYbOGqPjbNc/</v>
      </c>
      <c r="F3678" t="s">
        <v>20753</v>
      </c>
      <c r="G3678" t="s">
        <v>2478</v>
      </c>
      <c r="H3678">
        <v>951</v>
      </c>
      <c r="I3678" t="s">
        <v>2479</v>
      </c>
      <c r="J3678">
        <v>6</v>
      </c>
      <c r="K3678">
        <v>44</v>
      </c>
      <c r="L3678">
        <v>50</v>
      </c>
      <c r="Q3678">
        <v>0</v>
      </c>
      <c r="R3678">
        <v>0</v>
      </c>
      <c r="S3678">
        <v>50</v>
      </c>
      <c r="T3678" t="s">
        <v>8708</v>
      </c>
      <c r="V3678" t="s">
        <v>2240</v>
      </c>
      <c r="W3678">
        <v>37.583333333333002</v>
      </c>
      <c r="X3678">
        <v>-8.6333333333333009</v>
      </c>
      <c r="Y3678" t="s">
        <v>4514</v>
      </c>
      <c r="Z3678" t="s">
        <v>8878</v>
      </c>
      <c r="AA3678" t="s">
        <v>11907</v>
      </c>
      <c r="AB3678" t="s">
        <v>20754</v>
      </c>
      <c r="AC3678" t="s">
        <v>20755</v>
      </c>
      <c r="AD3678" s="249" t="str">
        <f>HYPERLINK("https://scontent.cdninstagram.com/t51.2885-15/e35/p320x320/21147188_152199675364480_1200548092009512960_n.jpg")</f>
        <v>https://scontent.cdninstagram.com/t51.2885-15/e35/p320x320/21147188_152199675364480_1200548092009512960_n.jpg</v>
      </c>
      <c r="AE3678" s="249" t="str">
        <f>HYPERLINK("https://scontent.cdninstagram.com/t51.2885-19/11273008_1005535259487345_1925728229_a.jpg")</f>
        <v>https://scontent.cdninstagram.com/t51.2885-19/11273008_1005535259487345_1925728229_a.jpg</v>
      </c>
    </row>
    <row r="3679" spans="1:31" ht="15" x14ac:dyDescent="0.25">
      <c r="A3679" t="s">
        <v>2474</v>
      </c>
      <c r="B3679" t="s">
        <v>3015</v>
      </c>
      <c r="C3679" s="221">
        <v>42977.539189814815</v>
      </c>
      <c r="D3679" t="s">
        <v>20756</v>
      </c>
      <c r="E3679" s="249" t="str">
        <f>HYPERLINK("https://www.instagram.com/p/BYbOj4ogb8y/")</f>
        <v>https://www.instagram.com/p/BYbOj4ogb8y/</v>
      </c>
      <c r="F3679" t="s">
        <v>20757</v>
      </c>
      <c r="G3679" t="s">
        <v>2478</v>
      </c>
      <c r="H3679">
        <v>254</v>
      </c>
      <c r="I3679" t="s">
        <v>2479</v>
      </c>
      <c r="J3679">
        <v>0</v>
      </c>
      <c r="K3679">
        <v>28</v>
      </c>
      <c r="L3679">
        <v>28</v>
      </c>
      <c r="Q3679">
        <v>0</v>
      </c>
      <c r="R3679">
        <v>0</v>
      </c>
      <c r="S3679">
        <v>28</v>
      </c>
      <c r="Y3679" t="s">
        <v>10468</v>
      </c>
      <c r="Z3679" t="s">
        <v>3727</v>
      </c>
      <c r="AA3679" t="s">
        <v>3854</v>
      </c>
      <c r="AB3679" t="s">
        <v>3856</v>
      </c>
      <c r="AC3679" t="s">
        <v>3725</v>
      </c>
      <c r="AD3679" s="249" t="str">
        <f>HYPERLINK("https://scontent.cdninstagram.com/t51.2885-15/s320x320/e35/21149337_2037455306482965_8832802451284295680_n.jpg")</f>
        <v>https://scontent.cdninstagram.com/t51.2885-15/s320x320/e35/21149337_2037455306482965_8832802451284295680_n.jpg</v>
      </c>
      <c r="AE3679" s="249" t="str">
        <f>HYPERLINK("https://scontent.cdninstagram.com/t51.2885-19/s150x150/21373025_723410537866046_6184601968204316672_a.jpg")</f>
        <v>https://scontent.cdninstagram.com/t51.2885-19/s150x150/21373025_723410537866046_6184601968204316672_a.jpg</v>
      </c>
    </row>
    <row r="3680" spans="1:31" ht="15" x14ac:dyDescent="0.25">
      <c r="A3680" t="s">
        <v>2474</v>
      </c>
      <c r="B3680" t="s">
        <v>20758</v>
      </c>
      <c r="C3680" s="221">
        <v>42977.541076388887</v>
      </c>
      <c r="D3680" t="s">
        <v>20759</v>
      </c>
      <c r="E3680" s="249" t="str">
        <f>HYPERLINK("https://www.instagram.com/p/BYbO3yolEZz/")</f>
        <v>https://www.instagram.com/p/BYbO3yolEZz/</v>
      </c>
      <c r="F3680" t="s">
        <v>20760</v>
      </c>
      <c r="G3680" t="s">
        <v>2478</v>
      </c>
      <c r="H3680">
        <v>329</v>
      </c>
      <c r="I3680" t="s">
        <v>2479</v>
      </c>
      <c r="J3680">
        <v>0</v>
      </c>
      <c r="K3680">
        <v>31</v>
      </c>
      <c r="L3680">
        <v>31</v>
      </c>
      <c r="Q3680">
        <v>0</v>
      </c>
      <c r="R3680">
        <v>0</v>
      </c>
      <c r="S3680">
        <v>31</v>
      </c>
      <c r="Y3680" t="s">
        <v>20761</v>
      </c>
      <c r="Z3680" t="s">
        <v>20762</v>
      </c>
      <c r="AA3680" t="s">
        <v>14122</v>
      </c>
      <c r="AB3680" t="s">
        <v>5848</v>
      </c>
      <c r="AC3680" t="s">
        <v>20763</v>
      </c>
      <c r="AD3680" s="249" t="str">
        <f>HYPERLINK("https://scontent.cdninstagram.com/t51.2885-15/s320x320/e35/21147195_1906239682961169_3364053801974628352_n.jpg")</f>
        <v>https://scontent.cdninstagram.com/t51.2885-15/s320x320/e35/21147195_1906239682961169_3364053801974628352_n.jpg</v>
      </c>
      <c r="AE3680" s="249" t="str">
        <f>HYPERLINK("https://scontent.cdninstagram.com/t51.2885-19/925500_1437686883148222_617226082_a.jpg")</f>
        <v>https://scontent.cdninstagram.com/t51.2885-19/925500_1437686883148222_617226082_a.jpg</v>
      </c>
    </row>
    <row r="3681" spans="1:31" ht="15" x14ac:dyDescent="0.25">
      <c r="A3681" t="s">
        <v>2474</v>
      </c>
      <c r="B3681" t="s">
        <v>3754</v>
      </c>
      <c r="C3681" s="221">
        <v>42977.54283564815</v>
      </c>
      <c r="D3681" t="s">
        <v>20764</v>
      </c>
      <c r="E3681" s="249" t="str">
        <f>HYPERLINK("https://www.instagram.com/p/BYbPKUCDUFh/")</f>
        <v>https://www.instagram.com/p/BYbPKUCDUFh/</v>
      </c>
      <c r="F3681" t="s">
        <v>20765</v>
      </c>
      <c r="G3681" t="s">
        <v>2478</v>
      </c>
      <c r="H3681">
        <v>201285</v>
      </c>
      <c r="I3681" t="s">
        <v>2479</v>
      </c>
      <c r="J3681">
        <v>0</v>
      </c>
      <c r="K3681">
        <v>248</v>
      </c>
      <c r="L3681">
        <v>248</v>
      </c>
      <c r="Q3681">
        <v>0</v>
      </c>
      <c r="R3681">
        <v>0</v>
      </c>
      <c r="S3681">
        <v>248</v>
      </c>
      <c r="Y3681" t="s">
        <v>5197</v>
      </c>
      <c r="Z3681" t="s">
        <v>4803</v>
      </c>
      <c r="AA3681" t="s">
        <v>3759</v>
      </c>
      <c r="AB3681" t="s">
        <v>6243</v>
      </c>
      <c r="AC3681" t="s">
        <v>8654</v>
      </c>
      <c r="AD3681" s="249" t="str">
        <f>HYPERLINK("https://scontent.cdninstagram.com/t51.2885-15/s320x320/e35/21147479_120375931955054_7614542614225747968_n.jpg")</f>
        <v>https://scontent.cdninstagram.com/t51.2885-15/s320x320/e35/21147479_120375931955054_7614542614225747968_n.jpg</v>
      </c>
      <c r="AE3681" s="249" t="str">
        <f>HYPERLINK("https://scontent.cdninstagram.com/t51.2885-19/s150x150/12905002_1681254462136092_1137392787_a.jpg")</f>
        <v>https://scontent.cdninstagram.com/t51.2885-19/s150x150/12905002_1681254462136092_1137392787_a.jpg</v>
      </c>
    </row>
    <row r="3682" spans="1:31" ht="15" x14ac:dyDescent="0.25">
      <c r="A3682" t="s">
        <v>2474</v>
      </c>
      <c r="B3682" t="s">
        <v>3754</v>
      </c>
      <c r="C3682" s="221">
        <v>42977.544085648151</v>
      </c>
      <c r="D3682" t="s">
        <v>20766</v>
      </c>
      <c r="E3682" s="249" t="str">
        <f>HYPERLINK("https://www.instagram.com/p/BYbPXk_jovY/")</f>
        <v>https://www.instagram.com/p/BYbPXk_jovY/</v>
      </c>
      <c r="F3682" t="s">
        <v>20767</v>
      </c>
      <c r="G3682" t="s">
        <v>2478</v>
      </c>
      <c r="H3682">
        <v>201285</v>
      </c>
      <c r="I3682" t="s">
        <v>2479</v>
      </c>
      <c r="J3682">
        <v>1</v>
      </c>
      <c r="K3682">
        <v>185</v>
      </c>
      <c r="L3682">
        <v>186</v>
      </c>
      <c r="Q3682">
        <v>0</v>
      </c>
      <c r="R3682">
        <v>0</v>
      </c>
      <c r="S3682">
        <v>186</v>
      </c>
      <c r="Y3682" t="s">
        <v>5197</v>
      </c>
      <c r="Z3682" t="s">
        <v>4803</v>
      </c>
      <c r="AA3682" t="s">
        <v>3759</v>
      </c>
      <c r="AB3682" t="s">
        <v>6243</v>
      </c>
      <c r="AC3682" t="s">
        <v>8654</v>
      </c>
      <c r="AD3682" s="249" t="str">
        <f>HYPERLINK("https://scontent.cdninstagram.com/t51.2885-15/e35/p320x320/21147745_1889049138088247_344178402560835584_n.jpg")</f>
        <v>https://scontent.cdninstagram.com/t51.2885-15/e35/p320x320/21147745_1889049138088247_344178402560835584_n.jpg</v>
      </c>
      <c r="AE3682" s="249" t="str">
        <f>HYPERLINK("https://scontent.cdninstagram.com/t51.2885-19/s150x150/12905002_1681254462136092_1137392787_a.jpg")</f>
        <v>https://scontent.cdninstagram.com/t51.2885-19/s150x150/12905002_1681254462136092_1137392787_a.jpg</v>
      </c>
    </row>
    <row r="3683" spans="1:31" ht="15" x14ac:dyDescent="0.25">
      <c r="A3683" t="s">
        <v>2474</v>
      </c>
      <c r="B3683" t="s">
        <v>20768</v>
      </c>
      <c r="C3683" s="221">
        <v>42977.546493055554</v>
      </c>
      <c r="D3683" t="s">
        <v>20769</v>
      </c>
      <c r="E3683" s="249" t="str">
        <f>HYPERLINK("https://www.instagram.com/p/BYbPw8lBrCZ/")</f>
        <v>https://www.instagram.com/p/BYbPw8lBrCZ/</v>
      </c>
      <c r="F3683" t="s">
        <v>20770</v>
      </c>
      <c r="G3683" t="s">
        <v>2478</v>
      </c>
      <c r="H3683">
        <v>472</v>
      </c>
      <c r="I3683" t="s">
        <v>5670</v>
      </c>
      <c r="J3683">
        <v>4</v>
      </c>
      <c r="K3683">
        <v>25</v>
      </c>
      <c r="L3683">
        <v>29</v>
      </c>
      <c r="Q3683">
        <v>0</v>
      </c>
      <c r="R3683">
        <v>0</v>
      </c>
      <c r="S3683">
        <v>29</v>
      </c>
      <c r="Y3683" t="s">
        <v>20771</v>
      </c>
      <c r="Z3683" t="s">
        <v>4620</v>
      </c>
      <c r="AA3683" t="s">
        <v>9453</v>
      </c>
      <c r="AB3683" t="s">
        <v>2497</v>
      </c>
      <c r="AC3683" t="s">
        <v>20772</v>
      </c>
      <c r="AD3683" s="249" t="str">
        <f>HYPERLINK("https://scontent.cdninstagram.com/t51.2885-15/s320x320/e35/21147472_273563136475844_4511769681664671744_n.jpg")</f>
        <v>https://scontent.cdninstagram.com/t51.2885-15/s320x320/e35/21147472_273563136475844_4511769681664671744_n.jpg</v>
      </c>
      <c r="AE3683" s="249" t="str">
        <f>HYPERLINK("https://scontent.cdninstagram.com/t51.2885-19/s150x150/18646236_116314782285522_850252638111924224_a.jpg")</f>
        <v>https://scontent.cdninstagram.com/t51.2885-19/s150x150/18646236_116314782285522_850252638111924224_a.jpg</v>
      </c>
    </row>
    <row r="3684" spans="1:31" ht="15" x14ac:dyDescent="0.25">
      <c r="A3684" t="s">
        <v>2474</v>
      </c>
      <c r="B3684" t="s">
        <v>20773</v>
      </c>
      <c r="C3684" s="221">
        <v>42977.557835648149</v>
      </c>
      <c r="D3684" t="s">
        <v>20774</v>
      </c>
      <c r="E3684" s="249" t="str">
        <f>HYPERLINK("https://www.instagram.com/p/BYbRombFzZh/")</f>
        <v>https://www.instagram.com/p/BYbRombFzZh/</v>
      </c>
      <c r="F3684" t="s">
        <v>20775</v>
      </c>
      <c r="G3684" t="s">
        <v>2478</v>
      </c>
      <c r="H3684">
        <v>119</v>
      </c>
      <c r="I3684" t="s">
        <v>2479</v>
      </c>
      <c r="J3684">
        <v>0</v>
      </c>
      <c r="K3684">
        <v>14</v>
      </c>
      <c r="L3684">
        <v>14</v>
      </c>
      <c r="Q3684">
        <v>0</v>
      </c>
      <c r="R3684">
        <v>0</v>
      </c>
      <c r="S3684">
        <v>14</v>
      </c>
      <c r="T3684" t="s">
        <v>20776</v>
      </c>
      <c r="V3684" t="s">
        <v>2125</v>
      </c>
      <c r="W3684">
        <v>53.586699175698001</v>
      </c>
      <c r="X3684">
        <v>-116.41476771385</v>
      </c>
      <c r="Y3684" t="s">
        <v>5644</v>
      </c>
      <c r="Z3684" t="s">
        <v>20777</v>
      </c>
      <c r="AA3684" t="s">
        <v>10922</v>
      </c>
      <c r="AB3684" t="s">
        <v>20778</v>
      </c>
      <c r="AC3684" t="s">
        <v>2551</v>
      </c>
      <c r="AD3684" s="249" t="str">
        <f>HYPERLINK("https://scontent.cdninstagram.com/t51.2885-15/s320x320/e35/21107647_438798339854076_3943372537185959936_n.jpg")</f>
        <v>https://scontent.cdninstagram.com/t51.2885-15/s320x320/e35/21107647_438798339854076_3943372537185959936_n.jpg</v>
      </c>
      <c r="AE3684" s="249" t="str">
        <f>HYPERLINK("https://scontent.cdninstagram.com/t51.2885-19/s150x150/15803017_305652816497464_50538695488438272_a.jpg")</f>
        <v>https://scontent.cdninstagram.com/t51.2885-19/s150x150/15803017_305652816497464_50538695488438272_a.jpg</v>
      </c>
    </row>
    <row r="3685" spans="1:31" ht="15" x14ac:dyDescent="0.25">
      <c r="A3685" t="s">
        <v>2474</v>
      </c>
      <c r="B3685" t="s">
        <v>20779</v>
      </c>
      <c r="C3685" s="221">
        <v>42977.560486111113</v>
      </c>
      <c r="D3685" t="s">
        <v>20780</v>
      </c>
      <c r="E3685" s="249" t="str">
        <f>HYPERLINK("https://www.instagram.com/p/BYbSEdtBMy7/")</f>
        <v>https://www.instagram.com/p/BYbSEdtBMy7/</v>
      </c>
      <c r="F3685" t="s">
        <v>20781</v>
      </c>
      <c r="G3685" t="s">
        <v>2478</v>
      </c>
      <c r="H3685">
        <v>78</v>
      </c>
      <c r="I3685" t="s">
        <v>2479</v>
      </c>
      <c r="J3685">
        <v>0</v>
      </c>
      <c r="K3685">
        <v>21</v>
      </c>
      <c r="L3685">
        <v>21</v>
      </c>
      <c r="Q3685">
        <v>0</v>
      </c>
      <c r="R3685">
        <v>0</v>
      </c>
      <c r="S3685">
        <v>21</v>
      </c>
      <c r="Y3685" t="s">
        <v>8047</v>
      </c>
      <c r="Z3685" t="s">
        <v>20670</v>
      </c>
      <c r="AA3685" t="s">
        <v>20782</v>
      </c>
      <c r="AB3685" t="s">
        <v>20783</v>
      </c>
      <c r="AC3685" t="s">
        <v>2735</v>
      </c>
      <c r="AD3685" s="249" t="str">
        <f>HYPERLINK("https://scontent.cdninstagram.com/t51.2885-15/s320x320/e35/21224051_1144036672394926_2381428154381107200_n.jpg")</f>
        <v>https://scontent.cdninstagram.com/t51.2885-15/s320x320/e35/21224051_1144036672394926_2381428154381107200_n.jpg</v>
      </c>
      <c r="AE3685" s="249" t="str">
        <f>HYPERLINK("https://scontent.cdninstagram.com/t51.2885-19/s150x150/17495374_1144584758996694_8008800120709578752_a.jpg")</f>
        <v>https://scontent.cdninstagram.com/t51.2885-19/s150x150/17495374_1144584758996694_8008800120709578752_a.jpg</v>
      </c>
    </row>
    <row r="3686" spans="1:31" ht="15" x14ac:dyDescent="0.25">
      <c r="A3686" t="s">
        <v>2474</v>
      </c>
      <c r="B3686" t="s">
        <v>20784</v>
      </c>
      <c r="C3686" s="221">
        <v>42977.561793981484</v>
      </c>
      <c r="D3686" t="s">
        <v>20785</v>
      </c>
      <c r="E3686" s="249" t="str">
        <f>HYPERLINK("https://www.instagram.com/p/BYbSSUfD7bb/")</f>
        <v>https://www.instagram.com/p/BYbSSUfD7bb/</v>
      </c>
      <c r="F3686" t="s">
        <v>20786</v>
      </c>
      <c r="G3686" t="s">
        <v>2478</v>
      </c>
      <c r="H3686">
        <v>409</v>
      </c>
      <c r="I3686" t="s">
        <v>2479</v>
      </c>
      <c r="J3686">
        <v>0</v>
      </c>
      <c r="K3686">
        <v>54</v>
      </c>
      <c r="L3686">
        <v>54</v>
      </c>
      <c r="Q3686">
        <v>0</v>
      </c>
      <c r="R3686">
        <v>0</v>
      </c>
      <c r="S3686">
        <v>54</v>
      </c>
      <c r="T3686" t="s">
        <v>20787</v>
      </c>
      <c r="V3686" t="s">
        <v>2255</v>
      </c>
      <c r="W3686">
        <v>44.820599999999999</v>
      </c>
      <c r="X3686">
        <v>20.462199999999999</v>
      </c>
      <c r="Y3686" t="s">
        <v>19380</v>
      </c>
      <c r="Z3686" t="s">
        <v>4319</v>
      </c>
      <c r="AA3686" t="s">
        <v>20788</v>
      </c>
      <c r="AB3686" t="s">
        <v>3843</v>
      </c>
      <c r="AC3686" t="s">
        <v>2497</v>
      </c>
      <c r="AD3686" s="249" t="str">
        <f>HYPERLINK("https://scontent.cdninstagram.com/t51.2885-15/e35/p320x320/21148134_146741109251341_7457835552700628992_n.jpg")</f>
        <v>https://scontent.cdninstagram.com/t51.2885-15/e35/p320x320/21148134_146741109251341_7457835552700628992_n.jpg</v>
      </c>
      <c r="AE3686" s="249" t="str">
        <f>HYPERLINK("https://scontent.cdninstagram.com/t51.2885-19/s150x150/21107848_342302479550328_2181565841286365184_a.jpg")</f>
        <v>https://scontent.cdninstagram.com/t51.2885-19/s150x150/21107848_342302479550328_2181565841286365184_a.jpg</v>
      </c>
    </row>
    <row r="3687" spans="1:31" ht="15" x14ac:dyDescent="0.25">
      <c r="A3687" t="s">
        <v>2474</v>
      </c>
      <c r="B3687" t="s">
        <v>20789</v>
      </c>
      <c r="C3687" s="221">
        <v>42977.569363425922</v>
      </c>
      <c r="D3687" t="s">
        <v>20790</v>
      </c>
      <c r="E3687" s="249" t="str">
        <f>HYPERLINK("https://www.instagram.com/p/BYbTiK0lqEu/")</f>
        <v>https://www.instagram.com/p/BYbTiK0lqEu/</v>
      </c>
      <c r="F3687" t="s">
        <v>20791</v>
      </c>
      <c r="G3687" t="s">
        <v>2631</v>
      </c>
      <c r="H3687">
        <v>156</v>
      </c>
      <c r="I3687" t="s">
        <v>2479</v>
      </c>
      <c r="J3687">
        <v>2</v>
      </c>
      <c r="K3687">
        <v>36</v>
      </c>
      <c r="L3687">
        <v>38</v>
      </c>
      <c r="Q3687">
        <v>0</v>
      </c>
      <c r="R3687">
        <v>0</v>
      </c>
      <c r="S3687">
        <v>38</v>
      </c>
      <c r="Y3687" t="s">
        <v>9189</v>
      </c>
      <c r="Z3687" t="s">
        <v>2497</v>
      </c>
      <c r="AA3687" t="s">
        <v>20792</v>
      </c>
      <c r="AD3687" s="249" t="str">
        <f>HYPERLINK("https://scontent.cdninstagram.com/t51.2885-15/s320x320/e15/21147677_1439029089484303_4907205147353939968_n.jpg")</f>
        <v>https://scontent.cdninstagram.com/t51.2885-15/s320x320/e15/21147677_1439029089484303_4907205147353939968_n.jpg</v>
      </c>
      <c r="AE3687" s="249" t="str">
        <f>HYPERLINK("https://scontent.cdninstagram.com/t51.2885-19/s150x150/14373958_208410679575602_1220619736_a.jpg")</f>
        <v>https://scontent.cdninstagram.com/t51.2885-19/s150x150/14373958_208410679575602_1220619736_a.jpg</v>
      </c>
    </row>
    <row r="3688" spans="1:31" ht="15" x14ac:dyDescent="0.25">
      <c r="A3688" t="s">
        <v>2474</v>
      </c>
      <c r="B3688" t="s">
        <v>5773</v>
      </c>
      <c r="C3688" s="221">
        <v>42977.571909722225</v>
      </c>
      <c r="D3688" t="s">
        <v>20793</v>
      </c>
      <c r="E3688" s="249" t="str">
        <f>HYPERLINK("https://www.instagram.com/p/BYbT9A1Fqwd/")</f>
        <v>https://www.instagram.com/p/BYbT9A1Fqwd/</v>
      </c>
      <c r="F3688" t="s">
        <v>20794</v>
      </c>
      <c r="G3688" t="s">
        <v>2478</v>
      </c>
      <c r="H3688">
        <v>834</v>
      </c>
      <c r="I3688" t="s">
        <v>3186</v>
      </c>
      <c r="J3688">
        <v>6</v>
      </c>
      <c r="K3688">
        <v>49</v>
      </c>
      <c r="L3688">
        <v>55</v>
      </c>
      <c r="Q3688">
        <v>0</v>
      </c>
      <c r="R3688">
        <v>0</v>
      </c>
      <c r="S3688">
        <v>55</v>
      </c>
      <c r="T3688" t="s">
        <v>5923</v>
      </c>
      <c r="V3688" t="s">
        <v>2270</v>
      </c>
      <c r="W3688">
        <v>57.706573499999998</v>
      </c>
      <c r="X3688">
        <v>11.969223299999999</v>
      </c>
      <c r="Y3688" t="s">
        <v>5162</v>
      </c>
      <c r="Z3688" t="s">
        <v>5778</v>
      </c>
      <c r="AA3688" t="s">
        <v>2718</v>
      </c>
      <c r="AB3688" t="s">
        <v>20795</v>
      </c>
      <c r="AC3688" t="s">
        <v>2492</v>
      </c>
      <c r="AD3688" s="249" t="str">
        <f>HYPERLINK("https://scontent.cdninstagram.com/t51.2885-15/s320x320/e35/21147643_269388690233201_8598638437714624512_n.jpg")</f>
        <v>https://scontent.cdninstagram.com/t51.2885-15/s320x320/e35/21147643_269388690233201_8598638437714624512_n.jpg</v>
      </c>
      <c r="AE3688" s="249" t="str">
        <f>HYPERLINK("https://scontent.cdninstagram.com/t51.2885-19/10838625_357924367702733_1358700153_a.jpg")</f>
        <v>https://scontent.cdninstagram.com/t51.2885-19/10838625_357924367702733_1358700153_a.jpg</v>
      </c>
    </row>
    <row r="3689" spans="1:31" ht="15" x14ac:dyDescent="0.25">
      <c r="A3689" t="s">
        <v>2474</v>
      </c>
      <c r="B3689" t="s">
        <v>5225</v>
      </c>
      <c r="C3689" s="221">
        <v>42977.572893518518</v>
      </c>
      <c r="D3689" t="s">
        <v>20796</v>
      </c>
      <c r="E3689" s="249" t="str">
        <f>HYPERLINK("https://www.instagram.com/p/BYbUHWIAx-o/")</f>
        <v>https://www.instagram.com/p/BYbUHWIAx-o/</v>
      </c>
      <c r="F3689" t="s">
        <v>20797</v>
      </c>
      <c r="G3689" t="s">
        <v>2488</v>
      </c>
      <c r="H3689">
        <v>63</v>
      </c>
      <c r="I3689" t="s">
        <v>2479</v>
      </c>
      <c r="J3689">
        <v>0</v>
      </c>
      <c r="K3689">
        <v>23</v>
      </c>
      <c r="L3689">
        <v>23</v>
      </c>
      <c r="Q3689">
        <v>0</v>
      </c>
      <c r="R3689">
        <v>0</v>
      </c>
      <c r="S3689">
        <v>23</v>
      </c>
      <c r="T3689" t="s">
        <v>5228</v>
      </c>
      <c r="V3689" t="s">
        <v>2154</v>
      </c>
      <c r="W3689">
        <v>47.498634698221998</v>
      </c>
      <c r="X3689">
        <v>-0.50784128552246999</v>
      </c>
      <c r="Y3689" t="s">
        <v>5231</v>
      </c>
      <c r="Z3689" t="s">
        <v>5229</v>
      </c>
      <c r="AA3689" t="s">
        <v>18420</v>
      </c>
      <c r="AB3689" t="s">
        <v>8704</v>
      </c>
      <c r="AC3689" t="s">
        <v>6490</v>
      </c>
      <c r="AD3689" s="249" t="str">
        <f>HYPERLINK("https://scontent.cdninstagram.com/t51.2885-15/s320x320/e35/21147463_717065335151330_856943999590596608_n.jpg")</f>
        <v>https://scontent.cdninstagram.com/t51.2885-15/s320x320/e35/21147463_717065335151330_856943999590596608_n.jpg</v>
      </c>
      <c r="AE3689" s="249" t="str">
        <f>HYPERLINK("https://scontent.cdninstagram.com/t51.2885-19/s150x150/18949503_1122155304550657_4049188449616396288_a.jpg")</f>
        <v>https://scontent.cdninstagram.com/t51.2885-19/s150x150/18949503_1122155304550657_4049188449616396288_a.jpg</v>
      </c>
    </row>
    <row r="3690" spans="1:31" ht="15" x14ac:dyDescent="0.25">
      <c r="A3690" t="s">
        <v>2474</v>
      </c>
      <c r="B3690" t="s">
        <v>19132</v>
      </c>
      <c r="C3690" s="221">
        <v>42977.577175925922</v>
      </c>
      <c r="D3690" t="s">
        <v>20798</v>
      </c>
      <c r="E3690" s="249" t="str">
        <f>HYPERLINK("https://www.instagram.com/p/BYbU0hdgvV7/")</f>
        <v>https://www.instagram.com/p/BYbU0hdgvV7/</v>
      </c>
      <c r="F3690" t="s">
        <v>20799</v>
      </c>
      <c r="G3690" t="s">
        <v>2478</v>
      </c>
      <c r="H3690">
        <v>191</v>
      </c>
      <c r="I3690" t="s">
        <v>2479</v>
      </c>
      <c r="J3690">
        <v>6</v>
      </c>
      <c r="K3690">
        <v>31</v>
      </c>
      <c r="L3690">
        <v>37</v>
      </c>
      <c r="Q3690">
        <v>0</v>
      </c>
      <c r="R3690">
        <v>0</v>
      </c>
      <c r="S3690">
        <v>37</v>
      </c>
      <c r="Y3690" t="s">
        <v>19136</v>
      </c>
      <c r="Z3690" t="s">
        <v>20800</v>
      </c>
      <c r="AA3690" t="s">
        <v>20801</v>
      </c>
      <c r="AB3690" t="s">
        <v>20802</v>
      </c>
      <c r="AC3690" t="s">
        <v>20803</v>
      </c>
      <c r="AD3690" s="249" t="str">
        <f>HYPERLINK("https://scontent.cdninstagram.com/t51.2885-15/s320x320/e35/21149009_599051687152135_1517658700137889792_n.jpg")</f>
        <v>https://scontent.cdninstagram.com/t51.2885-15/s320x320/e35/21149009_599051687152135_1517658700137889792_n.jpg</v>
      </c>
      <c r="AE3690" s="249" t="str">
        <f>HYPERLINK("https://scontent.cdninstagram.com/t51.2885-19/s150x150/19931923_864242733752313_1292981899957895168_a.jpg")</f>
        <v>https://scontent.cdninstagram.com/t51.2885-19/s150x150/19931923_864242733752313_1292981899957895168_a.jpg</v>
      </c>
    </row>
    <row r="3691" spans="1:31" ht="15" x14ac:dyDescent="0.25">
      <c r="A3691" t="s">
        <v>2474</v>
      </c>
      <c r="B3691" t="s">
        <v>3784</v>
      </c>
      <c r="C3691" s="221">
        <v>42977.58189814815</v>
      </c>
      <c r="D3691" t="s">
        <v>20804</v>
      </c>
      <c r="E3691" s="249" t="str">
        <f>HYPERLINK("https://www.instagram.com/p/BYbVmVBF1mX/")</f>
        <v>https://www.instagram.com/p/BYbVmVBF1mX/</v>
      </c>
      <c r="F3691" t="s">
        <v>20805</v>
      </c>
      <c r="G3691" t="s">
        <v>2631</v>
      </c>
      <c r="H3691">
        <v>367</v>
      </c>
      <c r="I3691" t="s">
        <v>2479</v>
      </c>
      <c r="J3691">
        <v>0</v>
      </c>
      <c r="K3691">
        <v>28</v>
      </c>
      <c r="L3691">
        <v>28</v>
      </c>
      <c r="Q3691">
        <v>0</v>
      </c>
      <c r="R3691">
        <v>0</v>
      </c>
      <c r="S3691">
        <v>28</v>
      </c>
      <c r="Y3691" t="s">
        <v>2696</v>
      </c>
      <c r="Z3691" t="s">
        <v>2497</v>
      </c>
      <c r="AA3691" t="s">
        <v>2513</v>
      </c>
      <c r="AD3691" s="249" t="str">
        <f>HYPERLINK("https://scontent.cdninstagram.com/t51.2885-15/s320x320/e35/21227877_1396190200435739_1404664029045063680_n.jpg")</f>
        <v>https://scontent.cdninstagram.com/t51.2885-15/s320x320/e35/21227877_1396190200435739_1404664029045063680_n.jpg</v>
      </c>
      <c r="AE3691" s="249" t="str">
        <f>HYPERLINK("https://scontent.cdninstagram.com/t51.2885-19/s150x150/21041715_334484806997590_2930354635854053376_a.jpg")</f>
        <v>https://scontent.cdninstagram.com/t51.2885-19/s150x150/21041715_334484806997590_2930354635854053376_a.jpg</v>
      </c>
    </row>
    <row r="3692" spans="1:31" ht="15" x14ac:dyDescent="0.25">
      <c r="A3692" t="s">
        <v>2474</v>
      </c>
      <c r="B3692" t="s">
        <v>14206</v>
      </c>
      <c r="C3692" s="221">
        <v>42977.583958333336</v>
      </c>
      <c r="D3692" t="s">
        <v>20806</v>
      </c>
      <c r="E3692" s="249" t="str">
        <f>HYPERLINK("https://www.instagram.com/p/BYbV8GQD7fi/")</f>
        <v>https://www.instagram.com/p/BYbV8GQD7fi/</v>
      </c>
      <c r="F3692" t="s">
        <v>20807</v>
      </c>
      <c r="G3692" t="s">
        <v>2478</v>
      </c>
      <c r="H3692">
        <v>142</v>
      </c>
      <c r="I3692" t="s">
        <v>4052</v>
      </c>
      <c r="J3692">
        <v>0</v>
      </c>
      <c r="K3692">
        <v>26</v>
      </c>
      <c r="L3692">
        <v>26</v>
      </c>
      <c r="Q3692">
        <v>0</v>
      </c>
      <c r="R3692">
        <v>0</v>
      </c>
      <c r="S3692">
        <v>26</v>
      </c>
      <c r="Y3692" t="s">
        <v>20808</v>
      </c>
      <c r="Z3692" t="s">
        <v>2899</v>
      </c>
      <c r="AA3692" t="s">
        <v>16072</v>
      </c>
      <c r="AB3692" t="s">
        <v>20203</v>
      </c>
      <c r="AC3692" t="s">
        <v>4194</v>
      </c>
      <c r="AD3692" s="249" t="str">
        <f>HYPERLINK("https://scontent.cdninstagram.com/t51.2885-15/s320x320/e35/21224606_337079683382262_1017698178733965312_n.jpg")</f>
        <v>https://scontent.cdninstagram.com/t51.2885-15/s320x320/e35/21224606_337079683382262_1017698178733965312_n.jpg</v>
      </c>
      <c r="AE3692" s="249" t="str">
        <f>HYPERLINK("https://scontent.cdninstagram.com/t51.2885-19/s150x150/20225451_255713454928667_8870280215650107392_a.jpg")</f>
        <v>https://scontent.cdninstagram.com/t51.2885-19/s150x150/20225451_255713454928667_8870280215650107392_a.jpg</v>
      </c>
    </row>
    <row r="3693" spans="1:31" ht="15" x14ac:dyDescent="0.25">
      <c r="A3693" t="s">
        <v>2474</v>
      </c>
      <c r="B3693" t="s">
        <v>20809</v>
      </c>
      <c r="C3693" s="221">
        <v>42977.58866898148</v>
      </c>
      <c r="D3693" t="s">
        <v>20810</v>
      </c>
      <c r="E3693" s="249" t="str">
        <f>HYPERLINK("https://www.instagram.com/p/BYbWtyWFYu9/")</f>
        <v>https://www.instagram.com/p/BYbWtyWFYu9/</v>
      </c>
      <c r="F3693" t="s">
        <v>20811</v>
      </c>
      <c r="G3693" t="s">
        <v>2478</v>
      </c>
      <c r="H3693">
        <v>216</v>
      </c>
      <c r="I3693" t="s">
        <v>2479</v>
      </c>
      <c r="J3693">
        <v>1</v>
      </c>
      <c r="K3693">
        <v>25</v>
      </c>
      <c r="L3693">
        <v>26</v>
      </c>
      <c r="Q3693">
        <v>0</v>
      </c>
      <c r="R3693">
        <v>0</v>
      </c>
      <c r="S3693">
        <v>26</v>
      </c>
      <c r="Y3693" t="s">
        <v>20409</v>
      </c>
      <c r="Z3693" t="s">
        <v>2730</v>
      </c>
      <c r="AA3693" t="s">
        <v>20812</v>
      </c>
      <c r="AB3693" t="s">
        <v>20813</v>
      </c>
      <c r="AC3693" t="s">
        <v>20814</v>
      </c>
      <c r="AD3693" s="249" t="str">
        <f>HYPERLINK("https://scontent.cdninstagram.com/t51.2885-15/s320x320/e35/21149297_308557119554490_6368582029109362688_n.jpg")</f>
        <v>https://scontent.cdninstagram.com/t51.2885-15/s320x320/e35/21149297_308557119554490_6368582029109362688_n.jpg</v>
      </c>
      <c r="AE3693" s="249" t="str">
        <f>HYPERLINK("https://scontent.cdninstagram.com/t51.2885-19/s150x150/20759345_811080969061709_5727665487119122432_a.jpg")</f>
        <v>https://scontent.cdninstagram.com/t51.2885-19/s150x150/20759345_811080969061709_5727665487119122432_a.jpg</v>
      </c>
    </row>
    <row r="3694" spans="1:31" ht="15" x14ac:dyDescent="0.25">
      <c r="A3694" t="s">
        <v>2474</v>
      </c>
      <c r="B3694" t="s">
        <v>10744</v>
      </c>
      <c r="C3694" s="221">
        <v>42977.589004629626</v>
      </c>
      <c r="D3694" t="s">
        <v>20815</v>
      </c>
      <c r="E3694" s="249" t="str">
        <f>HYPERLINK("https://www.instagram.com/p/BYbWxVklGP_/")</f>
        <v>https://www.instagram.com/p/BYbWxVklGP_/</v>
      </c>
      <c r="F3694" t="s">
        <v>20816</v>
      </c>
      <c r="G3694" t="s">
        <v>2478</v>
      </c>
      <c r="H3694">
        <v>239</v>
      </c>
      <c r="I3694" t="s">
        <v>4523</v>
      </c>
      <c r="J3694">
        <v>2</v>
      </c>
      <c r="K3694">
        <v>24</v>
      </c>
      <c r="L3694">
        <v>26</v>
      </c>
      <c r="Q3694">
        <v>0</v>
      </c>
      <c r="R3694">
        <v>0</v>
      </c>
      <c r="S3694">
        <v>26</v>
      </c>
      <c r="Y3694" t="s">
        <v>4354</v>
      </c>
      <c r="Z3694" t="s">
        <v>2492</v>
      </c>
      <c r="AA3694" t="s">
        <v>3077</v>
      </c>
      <c r="AB3694" t="s">
        <v>2497</v>
      </c>
      <c r="AC3694" t="s">
        <v>4180</v>
      </c>
      <c r="AD3694" s="249" t="str">
        <f>HYPERLINK("https://scontent.cdninstagram.com/t51.2885-15/e35/p320x320/21147713_1531818446882581_6898356959351668736_n.jpg")</f>
        <v>https://scontent.cdninstagram.com/t51.2885-15/e35/p320x320/21147713_1531818446882581_6898356959351668736_n.jpg</v>
      </c>
      <c r="AE3694" s="249" t="str">
        <f>HYPERLINK("https://scontent.cdninstagram.com/t51.2885-19/s150x150/20213813_344846052612243_1171122777143377920_a.jpg")</f>
        <v>https://scontent.cdninstagram.com/t51.2885-19/s150x150/20213813_344846052612243_1171122777143377920_a.jpg</v>
      </c>
    </row>
    <row r="3695" spans="1:31" ht="15" x14ac:dyDescent="0.25">
      <c r="A3695" t="s">
        <v>2474</v>
      </c>
      <c r="B3695" t="s">
        <v>20817</v>
      </c>
      <c r="C3695" s="221">
        <v>42977.589050925926</v>
      </c>
      <c r="D3695" t="s">
        <v>20818</v>
      </c>
      <c r="E3695" s="249" t="str">
        <f>HYPERLINK("https://www.instagram.com/p/BYbWxurFILj/")</f>
        <v>https://www.instagram.com/p/BYbWxurFILj/</v>
      </c>
      <c r="F3695" t="s">
        <v>20819</v>
      </c>
      <c r="G3695" t="s">
        <v>2478</v>
      </c>
      <c r="I3695" t="s">
        <v>2748</v>
      </c>
      <c r="J3695">
        <v>0</v>
      </c>
      <c r="K3695">
        <v>5</v>
      </c>
      <c r="L3695">
        <v>5</v>
      </c>
      <c r="Q3695">
        <v>0</v>
      </c>
      <c r="R3695">
        <v>0</v>
      </c>
      <c r="S3695">
        <v>5</v>
      </c>
      <c r="Y3695" t="s">
        <v>20820</v>
      </c>
      <c r="Z3695" t="s">
        <v>3153</v>
      </c>
      <c r="AA3695" t="s">
        <v>20821</v>
      </c>
      <c r="AB3695" t="s">
        <v>20822</v>
      </c>
      <c r="AC3695" t="s">
        <v>3132</v>
      </c>
      <c r="AD3695" s="249" t="str">
        <f>HYPERLINK("https://scontent.cdninstagram.com/t51.2885-15/s320x320/e35/21226984_1636076099757245_3842797202116182016_n.jpg")</f>
        <v>https://scontent.cdninstagram.com/t51.2885-15/s320x320/e35/21226984_1636076099757245_3842797202116182016_n.jpg</v>
      </c>
      <c r="AE3695" s="249" t="str">
        <f>HYPERLINK("https://scontent.cdninstagram.com/t51.2885-19/s150x150/21147212_163917417492362_1330542424048533504_a.jpg")</f>
        <v>https://scontent.cdninstagram.com/t51.2885-19/s150x150/21147212_163917417492362_1330542424048533504_a.jpg</v>
      </c>
    </row>
    <row r="3696" spans="1:31" ht="15" x14ac:dyDescent="0.25">
      <c r="A3696" t="s">
        <v>2474</v>
      </c>
      <c r="B3696" t="s">
        <v>20823</v>
      </c>
      <c r="C3696" s="221">
        <v>42977.598483796297</v>
      </c>
      <c r="D3696" t="s">
        <v>20824</v>
      </c>
      <c r="E3696" s="249" t="str">
        <f>HYPERLINK("https://www.instagram.com/p/BYbYVQhgRBS/")</f>
        <v>https://www.instagram.com/p/BYbYVQhgRBS/</v>
      </c>
      <c r="F3696" t="s">
        <v>20825</v>
      </c>
      <c r="G3696" t="s">
        <v>2478</v>
      </c>
      <c r="H3696">
        <v>299</v>
      </c>
      <c r="I3696" t="s">
        <v>2479</v>
      </c>
      <c r="J3696">
        <v>4</v>
      </c>
      <c r="K3696">
        <v>6</v>
      </c>
      <c r="L3696">
        <v>10</v>
      </c>
      <c r="Q3696">
        <v>0</v>
      </c>
      <c r="R3696">
        <v>0</v>
      </c>
      <c r="S3696">
        <v>10</v>
      </c>
      <c r="Y3696" t="s">
        <v>8095</v>
      </c>
      <c r="Z3696" t="s">
        <v>20826</v>
      </c>
      <c r="AA3696" t="s">
        <v>20827</v>
      </c>
      <c r="AB3696" t="s">
        <v>5567</v>
      </c>
      <c r="AC3696" t="s">
        <v>2497</v>
      </c>
      <c r="AD3696" s="249" t="str">
        <f>HYPERLINK("https://scontent.cdninstagram.com/t51.2885-15/e35/p320x320/21147922_1992414521036051_6426234977146372096_n.jpg")</f>
        <v>https://scontent.cdninstagram.com/t51.2885-15/e35/p320x320/21147922_1992414521036051_6426234977146372096_n.jpg</v>
      </c>
      <c r="AE3696" s="249" t="str">
        <f>HYPERLINK("https://scontent.cdninstagram.com/t51.2885-19/s150x150/13102507_491415311054412_1080185747_a.jpg")</f>
        <v>https://scontent.cdninstagram.com/t51.2885-19/s150x150/13102507_491415311054412_1080185747_a.jpg</v>
      </c>
    </row>
    <row r="3697" spans="1:31" ht="15" x14ac:dyDescent="0.25">
      <c r="A3697" t="s">
        <v>2474</v>
      </c>
      <c r="B3697" t="s">
        <v>20828</v>
      </c>
      <c r="C3697" s="221">
        <v>42977.598726851851</v>
      </c>
      <c r="D3697" t="s">
        <v>20829</v>
      </c>
      <c r="E3697" s="249" t="str">
        <f>HYPERLINK("https://www.instagram.com/p/BYbYX1UHWWY/")</f>
        <v>https://www.instagram.com/p/BYbYX1UHWWY/</v>
      </c>
      <c r="F3697" t="s">
        <v>20830</v>
      </c>
      <c r="G3697" t="s">
        <v>2478</v>
      </c>
      <c r="H3697">
        <v>139</v>
      </c>
      <c r="I3697" t="s">
        <v>2542</v>
      </c>
      <c r="J3697">
        <v>1</v>
      </c>
      <c r="K3697">
        <v>10</v>
      </c>
      <c r="L3697">
        <v>11</v>
      </c>
      <c r="Q3697">
        <v>0</v>
      </c>
      <c r="R3697">
        <v>0</v>
      </c>
      <c r="S3697">
        <v>11</v>
      </c>
      <c r="Y3697" t="s">
        <v>20831</v>
      </c>
      <c r="Z3697" t="s">
        <v>20832</v>
      </c>
      <c r="AA3697" t="s">
        <v>20833</v>
      </c>
      <c r="AB3697" t="s">
        <v>20834</v>
      </c>
      <c r="AC3697" t="s">
        <v>2497</v>
      </c>
      <c r="AD3697" s="249" t="str">
        <f>HYPERLINK("https://scontent.cdninstagram.com/t51.2885-15/s320x320/e35/21225032_1806375779653810_8352669998589673472_n.jpg")</f>
        <v>https://scontent.cdninstagram.com/t51.2885-15/s320x320/e35/21225032_1806375779653810_8352669998589673472_n.jpg</v>
      </c>
      <c r="AE3697" s="249" t="str">
        <f>HYPERLINK("https://scontent.cdninstagram.com/t51.2885-19/s150x150/19764802_114974489123893_6296799927158702080_a.jpg")</f>
        <v>https://scontent.cdninstagram.com/t51.2885-19/s150x150/19764802_114974489123893_6296799927158702080_a.jpg</v>
      </c>
    </row>
    <row r="3698" spans="1:31" ht="15" x14ac:dyDescent="0.25">
      <c r="A3698" t="s">
        <v>2474</v>
      </c>
      <c r="B3698" t="s">
        <v>20835</v>
      </c>
      <c r="C3698" s="221">
        <v>42977.604675925926</v>
      </c>
      <c r="D3698" t="s">
        <v>20836</v>
      </c>
      <c r="E3698" s="249" t="str">
        <f>HYPERLINK("https://www.instagram.com/p/BYbZWjilwq9/")</f>
        <v>https://www.instagram.com/p/BYbZWjilwq9/</v>
      </c>
      <c r="F3698" t="s">
        <v>20837</v>
      </c>
      <c r="G3698" t="s">
        <v>2478</v>
      </c>
      <c r="H3698">
        <v>172</v>
      </c>
      <c r="I3698" t="s">
        <v>3273</v>
      </c>
      <c r="J3698">
        <v>0</v>
      </c>
      <c r="K3698">
        <v>11</v>
      </c>
      <c r="L3698">
        <v>11</v>
      </c>
      <c r="Q3698">
        <v>0</v>
      </c>
      <c r="R3698">
        <v>0</v>
      </c>
      <c r="S3698">
        <v>11</v>
      </c>
      <c r="Y3698" t="s">
        <v>20838</v>
      </c>
      <c r="Z3698" t="s">
        <v>20839</v>
      </c>
      <c r="AA3698" t="s">
        <v>3205</v>
      </c>
      <c r="AB3698" t="s">
        <v>20840</v>
      </c>
      <c r="AC3698" t="s">
        <v>2497</v>
      </c>
      <c r="AD3698" s="249" t="str">
        <f>HYPERLINK("https://scontent.cdninstagram.com/t51.2885-15/s320x320/e35/21227232_1110065579123389_5506667463867105280_n.jpg")</f>
        <v>https://scontent.cdninstagram.com/t51.2885-15/s320x320/e35/21227232_1110065579123389_5506667463867105280_n.jpg</v>
      </c>
      <c r="AE3698" s="249" t="str">
        <f>HYPERLINK("https://scontent.cdninstagram.com/t51.2885-19/10881812_483592338446646_1111539649_a.jpg")</f>
        <v>https://scontent.cdninstagram.com/t51.2885-19/10881812_483592338446646_1111539649_a.jpg</v>
      </c>
    </row>
    <row r="3699" spans="1:31" ht="15" x14ac:dyDescent="0.25">
      <c r="A3699" t="s">
        <v>2474</v>
      </c>
      <c r="B3699" t="s">
        <v>20841</v>
      </c>
      <c r="C3699" s="221">
        <v>42977.60837962963</v>
      </c>
      <c r="D3699" t="s">
        <v>20842</v>
      </c>
      <c r="E3699" s="249" t="str">
        <f>HYPERLINK("https://www.instagram.com/p/BYbZ9lIDgU6/")</f>
        <v>https://www.instagram.com/p/BYbZ9lIDgU6/</v>
      </c>
      <c r="F3699" t="s">
        <v>20843</v>
      </c>
      <c r="G3699" t="s">
        <v>2478</v>
      </c>
      <c r="H3699">
        <v>197</v>
      </c>
      <c r="I3699" t="s">
        <v>2479</v>
      </c>
      <c r="J3699">
        <v>0</v>
      </c>
      <c r="K3699">
        <v>27</v>
      </c>
      <c r="L3699">
        <v>27</v>
      </c>
      <c r="Q3699">
        <v>0</v>
      </c>
      <c r="R3699">
        <v>0</v>
      </c>
      <c r="S3699">
        <v>27</v>
      </c>
      <c r="T3699" t="s">
        <v>20844</v>
      </c>
      <c r="V3699" t="s">
        <v>2132</v>
      </c>
      <c r="W3699">
        <v>6.2166699999999997</v>
      </c>
      <c r="X3699">
        <v>-75.166700000000006</v>
      </c>
      <c r="Y3699" t="s">
        <v>2497</v>
      </c>
      <c r="Z3699" t="s">
        <v>20845</v>
      </c>
      <c r="AA3699" t="s">
        <v>7491</v>
      </c>
      <c r="AD3699" s="249" t="str">
        <f>HYPERLINK("https://scontent.cdninstagram.com/t51.2885-15/s320x320/e35/21148929_125066971471742_1906911195332345856_n.jpg")</f>
        <v>https://scontent.cdninstagram.com/t51.2885-15/s320x320/e35/21148929_125066971471742_1906911195332345856_n.jpg</v>
      </c>
      <c r="AE3699" s="249" t="str">
        <f>HYPERLINK("https://scontent.cdninstagram.com/t51.2885-19/s150x150/20837326_132241600723369_5112295775677710336_a.jpg")</f>
        <v>https://scontent.cdninstagram.com/t51.2885-19/s150x150/20837326_132241600723369_5112295775677710336_a.jpg</v>
      </c>
    </row>
    <row r="3700" spans="1:31" ht="15" x14ac:dyDescent="0.25">
      <c r="A3700" t="s">
        <v>2474</v>
      </c>
      <c r="B3700" t="s">
        <v>20846</v>
      </c>
      <c r="C3700" s="221">
        <v>42977.615925925929</v>
      </c>
      <c r="D3700" t="s">
        <v>20847</v>
      </c>
      <c r="E3700" s="249" t="str">
        <f>HYPERLINK("https://www.instagram.com/p/BYbbNOYFb8t/")</f>
        <v>https://www.instagram.com/p/BYbbNOYFb8t/</v>
      </c>
      <c r="F3700" t="s">
        <v>20848</v>
      </c>
      <c r="G3700" t="s">
        <v>2478</v>
      </c>
      <c r="H3700">
        <v>341</v>
      </c>
      <c r="I3700" t="s">
        <v>3273</v>
      </c>
      <c r="J3700">
        <v>0</v>
      </c>
      <c r="K3700">
        <v>19</v>
      </c>
      <c r="L3700">
        <v>19</v>
      </c>
      <c r="Q3700">
        <v>0</v>
      </c>
      <c r="R3700">
        <v>0</v>
      </c>
      <c r="S3700">
        <v>19</v>
      </c>
      <c r="Y3700" t="s">
        <v>20849</v>
      </c>
      <c r="Z3700" t="s">
        <v>20850</v>
      </c>
      <c r="AA3700" t="s">
        <v>20851</v>
      </c>
      <c r="AB3700" t="s">
        <v>2734</v>
      </c>
      <c r="AC3700" t="s">
        <v>5838</v>
      </c>
      <c r="AD3700" s="249" t="str">
        <f>HYPERLINK("https://scontent.cdninstagram.com/t51.2885-15/s320x320/e35/21147427_117605775634697_5118706452453654528_n.jpg")</f>
        <v>https://scontent.cdninstagram.com/t51.2885-15/s320x320/e35/21147427_117605775634697_5118706452453654528_n.jpg</v>
      </c>
      <c r="AE3700" s="249" t="str">
        <f>HYPERLINK("https://scontent.cdninstagram.com/t51.2885-19/s150x150/14624571_316265402090384_7723946911702450176_a.jpg")</f>
        <v>https://scontent.cdninstagram.com/t51.2885-19/s150x150/14624571_316265402090384_7723946911702450176_a.jpg</v>
      </c>
    </row>
    <row r="3701" spans="1:31" ht="15" x14ac:dyDescent="0.25">
      <c r="A3701" t="s">
        <v>2474</v>
      </c>
      <c r="B3701" t="s">
        <v>20852</v>
      </c>
      <c r="C3701" s="221">
        <v>42977.616863425923</v>
      </c>
      <c r="D3701" t="s">
        <v>20853</v>
      </c>
      <c r="E3701" s="249" t="str">
        <f>HYPERLINK("https://www.instagram.com/p/BYbbXD0j88F/")</f>
        <v>https://www.instagram.com/p/BYbbXD0j88F/</v>
      </c>
      <c r="F3701" t="s">
        <v>20854</v>
      </c>
      <c r="G3701" t="s">
        <v>2478</v>
      </c>
      <c r="H3701">
        <v>326</v>
      </c>
      <c r="I3701" t="s">
        <v>3575</v>
      </c>
      <c r="J3701">
        <v>0</v>
      </c>
      <c r="K3701">
        <v>14</v>
      </c>
      <c r="L3701">
        <v>14</v>
      </c>
      <c r="Q3701">
        <v>0</v>
      </c>
      <c r="R3701">
        <v>0</v>
      </c>
      <c r="S3701">
        <v>14</v>
      </c>
      <c r="Y3701" t="s">
        <v>20855</v>
      </c>
      <c r="Z3701" t="s">
        <v>2730</v>
      </c>
      <c r="AA3701" t="s">
        <v>3570</v>
      </c>
      <c r="AB3701" t="s">
        <v>20856</v>
      </c>
      <c r="AC3701" t="s">
        <v>8753</v>
      </c>
      <c r="AD3701" s="249" t="str">
        <f>HYPERLINK("https://scontent.cdninstagram.com/t51.2885-15/s320x320/e35/21224292_120473671944035_6180534075829256192_n.jpg")</f>
        <v>https://scontent.cdninstagram.com/t51.2885-15/s320x320/e35/21224292_120473671944035_6180534075829256192_n.jpg</v>
      </c>
      <c r="AE3701" s="249" t="str">
        <f>HYPERLINK("https://scontent.cdninstagram.com/t51.2885-19/s150x150/18722263_1535141213185595_9091523945391194112_a.jpg")</f>
        <v>https://scontent.cdninstagram.com/t51.2885-19/s150x150/18722263_1535141213185595_9091523945391194112_a.jpg</v>
      </c>
    </row>
    <row r="3702" spans="1:31" ht="15" x14ac:dyDescent="0.25">
      <c r="A3702" t="s">
        <v>2474</v>
      </c>
      <c r="B3702" t="s">
        <v>7232</v>
      </c>
      <c r="C3702" s="221">
        <v>42977.619247685187</v>
      </c>
      <c r="D3702" t="s">
        <v>20857</v>
      </c>
      <c r="E3702" s="249" t="str">
        <f>HYPERLINK("https://www.instagram.com/p/BYbbwQ9HeVg/")</f>
        <v>https://www.instagram.com/p/BYbbwQ9HeVg/</v>
      </c>
      <c r="F3702" t="s">
        <v>20858</v>
      </c>
      <c r="G3702" t="s">
        <v>2488</v>
      </c>
      <c r="I3702" t="s">
        <v>2479</v>
      </c>
      <c r="J3702">
        <v>1</v>
      </c>
      <c r="K3702">
        <v>18</v>
      </c>
      <c r="L3702">
        <v>19</v>
      </c>
      <c r="Q3702">
        <v>0</v>
      </c>
      <c r="R3702">
        <v>0</v>
      </c>
      <c r="S3702">
        <v>19</v>
      </c>
      <c r="Y3702" t="s">
        <v>2728</v>
      </c>
      <c r="Z3702" t="s">
        <v>4620</v>
      </c>
      <c r="AA3702" t="s">
        <v>9926</v>
      </c>
      <c r="AB3702" t="s">
        <v>7235</v>
      </c>
      <c r="AC3702" t="s">
        <v>4975</v>
      </c>
      <c r="AD3702" s="249" t="str">
        <f>HYPERLINK("https://scontent.cdninstagram.com/t51.2885-15/e35/p320x320/21149046_1941080536213830_2265041700369989632_n.jpg")</f>
        <v>https://scontent.cdninstagram.com/t51.2885-15/e35/p320x320/21149046_1941080536213830_2265041700369989632_n.jpg</v>
      </c>
      <c r="AE3702" s="249" t="str">
        <f>HYPERLINK("https://scontent.cdninstagram.com/t51.2885-19/s150x150/14482263_1660577494243200_2334360342223650816_a.jpg")</f>
        <v>https://scontent.cdninstagram.com/t51.2885-19/s150x150/14482263_1660577494243200_2334360342223650816_a.jpg</v>
      </c>
    </row>
    <row r="3703" spans="1:31" ht="15" x14ac:dyDescent="0.25">
      <c r="A3703" t="s">
        <v>2474</v>
      </c>
      <c r="B3703" t="s">
        <v>4881</v>
      </c>
      <c r="C3703" s="221">
        <v>42977.62023148148</v>
      </c>
      <c r="D3703" t="s">
        <v>20859</v>
      </c>
      <c r="E3703" s="249" t="str">
        <f>HYPERLINK("https://www.instagram.com/p/BYbb6mEFUbI/")</f>
        <v>https://www.instagram.com/p/BYbb6mEFUbI/</v>
      </c>
      <c r="F3703" t="s">
        <v>20860</v>
      </c>
      <c r="G3703" t="s">
        <v>2478</v>
      </c>
      <c r="H3703">
        <v>51023</v>
      </c>
      <c r="I3703" t="s">
        <v>2479</v>
      </c>
      <c r="J3703">
        <v>34</v>
      </c>
      <c r="K3703">
        <v>1145</v>
      </c>
      <c r="L3703">
        <v>1179</v>
      </c>
      <c r="Q3703">
        <v>0</v>
      </c>
      <c r="R3703">
        <v>0</v>
      </c>
      <c r="S3703">
        <v>1179</v>
      </c>
      <c r="Y3703" t="s">
        <v>20861</v>
      </c>
      <c r="Z3703" t="s">
        <v>20862</v>
      </c>
      <c r="AA3703" t="s">
        <v>4550</v>
      </c>
      <c r="AB3703" t="s">
        <v>20863</v>
      </c>
      <c r="AC3703" t="s">
        <v>7528</v>
      </c>
      <c r="AD3703" s="249" t="str">
        <f>HYPERLINK("https://scontent.cdninstagram.com/t51.2885-15/e35/p320x320/21149516_266615387178069_402244990308188160_n.jpg")</f>
        <v>https://scontent.cdninstagram.com/t51.2885-15/e35/p320x320/21149516_266615387178069_402244990308188160_n.jpg</v>
      </c>
      <c r="AE3703" s="249" t="str">
        <f>HYPERLINK("https://scontent.cdninstagram.com/t51.2885-19/s150x150/17333929_1765882303741559_4510635522535718912_n.jpg")</f>
        <v>https://scontent.cdninstagram.com/t51.2885-19/s150x150/17333929_1765882303741559_4510635522535718912_n.jpg</v>
      </c>
    </row>
    <row r="3704" spans="1:31" ht="15" x14ac:dyDescent="0.25">
      <c r="A3704" t="s">
        <v>2474</v>
      </c>
      <c r="B3704" t="s">
        <v>20864</v>
      </c>
      <c r="C3704" s="221">
        <v>42977.620381944442</v>
      </c>
      <c r="D3704" t="s">
        <v>20865</v>
      </c>
      <c r="E3704" s="249" t="str">
        <f>HYPERLINK("https://www.instagram.com/p/BYbb8M-ltPJ/")</f>
        <v>https://www.instagram.com/p/BYbb8M-ltPJ/</v>
      </c>
      <c r="F3704" t="s">
        <v>20866</v>
      </c>
      <c r="G3704" t="s">
        <v>2478</v>
      </c>
      <c r="H3704">
        <v>778</v>
      </c>
      <c r="I3704" t="s">
        <v>2479</v>
      </c>
      <c r="J3704">
        <v>0</v>
      </c>
      <c r="K3704">
        <v>86</v>
      </c>
      <c r="L3704">
        <v>86</v>
      </c>
      <c r="Q3704">
        <v>0</v>
      </c>
      <c r="R3704">
        <v>0</v>
      </c>
      <c r="S3704">
        <v>86</v>
      </c>
      <c r="T3704" t="s">
        <v>20867</v>
      </c>
      <c r="V3704" t="s">
        <v>2240</v>
      </c>
      <c r="W3704">
        <v>38.562060579380002</v>
      </c>
      <c r="X3704">
        <v>-9.1909696144861996</v>
      </c>
      <c r="Y3704" t="s">
        <v>20868</v>
      </c>
      <c r="Z3704" t="s">
        <v>20869</v>
      </c>
      <c r="AA3704" t="s">
        <v>20870</v>
      </c>
      <c r="AB3704" t="s">
        <v>4620</v>
      </c>
      <c r="AC3704" t="s">
        <v>20871</v>
      </c>
      <c r="AD3704" s="249" t="str">
        <f>HYPERLINK("https://scontent.cdninstagram.com/t51.2885-15/s320x320/e35/21226996_1469043043161133_6997442434690973696_n.jpg")</f>
        <v>https://scontent.cdninstagram.com/t51.2885-15/s320x320/e35/21226996_1469043043161133_6997442434690973696_n.jpg</v>
      </c>
      <c r="AE3704" s="249" t="str">
        <f>HYPERLINK("https://scontent.cdninstagram.com/t51.2885-19/s150x150/21107654_160094547878706_10731598559313920_a.jpg")</f>
        <v>https://scontent.cdninstagram.com/t51.2885-19/s150x150/21107654_160094547878706_10731598559313920_a.jpg</v>
      </c>
    </row>
    <row r="3705" spans="1:31" ht="15" x14ac:dyDescent="0.25">
      <c r="A3705" t="s">
        <v>2474</v>
      </c>
      <c r="B3705" t="s">
        <v>20872</v>
      </c>
      <c r="C3705" s="221">
        <v>42977.625057870369</v>
      </c>
      <c r="D3705" t="s">
        <v>20873</v>
      </c>
      <c r="E3705" s="249" t="str">
        <f>HYPERLINK("https://www.instagram.com/p/BYbctgqjFYX/")</f>
        <v>https://www.instagram.com/p/BYbctgqjFYX/</v>
      </c>
      <c r="F3705" t="s">
        <v>20874</v>
      </c>
      <c r="G3705" t="s">
        <v>2478</v>
      </c>
      <c r="H3705">
        <v>276</v>
      </c>
      <c r="I3705" t="s">
        <v>2479</v>
      </c>
      <c r="J3705">
        <v>0</v>
      </c>
      <c r="K3705">
        <v>1</v>
      </c>
      <c r="L3705">
        <v>1</v>
      </c>
      <c r="Q3705">
        <v>0</v>
      </c>
      <c r="R3705">
        <v>0</v>
      </c>
      <c r="S3705">
        <v>1</v>
      </c>
      <c r="Y3705" t="s">
        <v>9963</v>
      </c>
      <c r="Z3705" t="s">
        <v>20875</v>
      </c>
      <c r="AA3705" t="s">
        <v>17396</v>
      </c>
      <c r="AB3705" t="s">
        <v>2734</v>
      </c>
      <c r="AC3705" t="s">
        <v>20876</v>
      </c>
      <c r="AD3705" s="249" t="str">
        <f>HYPERLINK("https://scontent.cdninstagram.com/t51.2885-15/s320x320/e35/21149158_288443741639542_4585451731118194688_n.jpg")</f>
        <v>https://scontent.cdninstagram.com/t51.2885-15/s320x320/e35/21149158_288443741639542_4585451731118194688_n.jpg</v>
      </c>
      <c r="AE3705" s="249" t="str">
        <f>HYPERLINK("https://scontent.cdninstagram.com/t51.2885-19/s150x150/21148087_117157932344757_7160515075835428864_a.jpg")</f>
        <v>https://scontent.cdninstagram.com/t51.2885-19/s150x150/21148087_117157932344757_7160515075835428864_a.jpg</v>
      </c>
    </row>
    <row r="3706" spans="1:31" ht="15" x14ac:dyDescent="0.25">
      <c r="A3706" t="s">
        <v>2474</v>
      </c>
      <c r="B3706" t="s">
        <v>20877</v>
      </c>
      <c r="C3706" s="221">
        <v>42977.628333333334</v>
      </c>
      <c r="D3706" t="s">
        <v>20878</v>
      </c>
      <c r="E3706" s="249" t="str">
        <f>HYPERLINK("https://www.instagram.com/p/BYbdQD1hVdr/")</f>
        <v>https://www.instagram.com/p/BYbdQD1hVdr/</v>
      </c>
      <c r="F3706" t="s">
        <v>20879</v>
      </c>
      <c r="G3706" t="s">
        <v>2478</v>
      </c>
      <c r="H3706">
        <v>134</v>
      </c>
      <c r="I3706" t="s">
        <v>2479</v>
      </c>
      <c r="J3706">
        <v>0</v>
      </c>
      <c r="K3706">
        <v>11</v>
      </c>
      <c r="L3706">
        <v>11</v>
      </c>
      <c r="Q3706">
        <v>0</v>
      </c>
      <c r="R3706">
        <v>0</v>
      </c>
      <c r="S3706">
        <v>11</v>
      </c>
      <c r="T3706" t="s">
        <v>20880</v>
      </c>
      <c r="V3706" t="s">
        <v>2110</v>
      </c>
      <c r="W3706">
        <v>50.909004353592998</v>
      </c>
      <c r="X3706">
        <v>5.3547476569093</v>
      </c>
      <c r="Y3706" t="s">
        <v>20881</v>
      </c>
      <c r="Z3706" t="s">
        <v>2827</v>
      </c>
      <c r="AA3706" t="s">
        <v>7039</v>
      </c>
      <c r="AB3706" t="s">
        <v>2497</v>
      </c>
      <c r="AC3706" t="s">
        <v>2730</v>
      </c>
      <c r="AD3706" s="249" t="str">
        <f>HYPERLINK("https://scontent.cdninstagram.com/t51.2885-15/s320x320/e35/21147637_1661125497291872_8764515413330493440_n.jpg")</f>
        <v>https://scontent.cdninstagram.com/t51.2885-15/s320x320/e35/21147637_1661125497291872_8764515413330493440_n.jpg</v>
      </c>
      <c r="AE3706" s="249" t="str">
        <f>HYPERLINK("https://scontent.cdninstagram.com/t51.2885-19/s150x150/12960028_1002891229798103_1996281501_a.jpg")</f>
        <v>https://scontent.cdninstagram.com/t51.2885-19/s150x150/12960028_1002891229798103_1996281501_a.jpg</v>
      </c>
    </row>
    <row r="3707" spans="1:31" ht="15" x14ac:dyDescent="0.25">
      <c r="A3707" t="s">
        <v>2474</v>
      </c>
      <c r="B3707" t="s">
        <v>17738</v>
      </c>
      <c r="C3707" s="221">
        <v>42977.629363425927</v>
      </c>
      <c r="D3707" t="s">
        <v>20882</v>
      </c>
      <c r="E3707" s="249" t="str">
        <f>HYPERLINK("https://www.instagram.com/p/BYbda44h9dj/")</f>
        <v>https://www.instagram.com/p/BYbda44h9dj/</v>
      </c>
      <c r="F3707" t="s">
        <v>20883</v>
      </c>
      <c r="G3707" t="s">
        <v>2478</v>
      </c>
      <c r="H3707">
        <v>69160</v>
      </c>
      <c r="I3707" t="s">
        <v>2479</v>
      </c>
      <c r="J3707">
        <v>0</v>
      </c>
      <c r="K3707">
        <v>22</v>
      </c>
      <c r="L3707">
        <v>22</v>
      </c>
      <c r="Q3707">
        <v>0</v>
      </c>
      <c r="R3707">
        <v>0</v>
      </c>
      <c r="S3707">
        <v>22</v>
      </c>
      <c r="Y3707" t="s">
        <v>4564</v>
      </c>
      <c r="Z3707" t="s">
        <v>20884</v>
      </c>
      <c r="AA3707" t="s">
        <v>4232</v>
      </c>
      <c r="AB3707" t="s">
        <v>10199</v>
      </c>
      <c r="AC3707" t="s">
        <v>4561</v>
      </c>
      <c r="AD3707" s="249" t="str">
        <f>HYPERLINK("https://scontent.cdninstagram.com/t51.2885-15/s320x320/e35/21149299_473463613038341_8093025296967532544_n.jpg")</f>
        <v>https://scontent.cdninstagram.com/t51.2885-15/s320x320/e35/21149299_473463613038341_8093025296967532544_n.jpg</v>
      </c>
      <c r="AE3707" s="249" t="str">
        <f>HYPERLINK("https://scontent.cdninstagram.com/t51.2885-19/s150x150/14701076_1598337030462226_7312252327623131136_a.jpg")</f>
        <v>https://scontent.cdninstagram.com/t51.2885-19/s150x150/14701076_1598337030462226_7312252327623131136_a.jpg</v>
      </c>
    </row>
    <row r="3708" spans="1:31" ht="15" x14ac:dyDescent="0.25">
      <c r="A3708" t="s">
        <v>2474</v>
      </c>
      <c r="B3708" t="s">
        <v>20885</v>
      </c>
      <c r="C3708" s="221">
        <v>42977.62976851852</v>
      </c>
      <c r="D3708" t="s">
        <v>20886</v>
      </c>
      <c r="E3708" s="249" t="str">
        <f>HYPERLINK("https://www.instagram.com/p/BYbdfP1FZcq/")</f>
        <v>https://www.instagram.com/p/BYbdfP1FZcq/</v>
      </c>
      <c r="F3708" t="s">
        <v>20887</v>
      </c>
      <c r="G3708" t="s">
        <v>2478</v>
      </c>
      <c r="H3708">
        <v>3146</v>
      </c>
      <c r="I3708" t="s">
        <v>2479</v>
      </c>
      <c r="J3708">
        <v>8</v>
      </c>
      <c r="K3708">
        <v>371</v>
      </c>
      <c r="L3708">
        <v>379</v>
      </c>
      <c r="Q3708">
        <v>0</v>
      </c>
      <c r="R3708">
        <v>0</v>
      </c>
      <c r="S3708">
        <v>379</v>
      </c>
      <c r="T3708" t="s">
        <v>20888</v>
      </c>
      <c r="V3708" t="s">
        <v>2137</v>
      </c>
      <c r="W3708">
        <v>44.539880595401002</v>
      </c>
      <c r="X3708">
        <v>14.913918972015001</v>
      </c>
      <c r="Y3708" t="s">
        <v>2906</v>
      </c>
      <c r="Z3708" t="s">
        <v>9941</v>
      </c>
      <c r="AA3708" t="s">
        <v>2492</v>
      </c>
      <c r="AB3708" t="s">
        <v>20889</v>
      </c>
      <c r="AC3708" t="s">
        <v>20890</v>
      </c>
      <c r="AD3708" s="249" t="str">
        <f>HYPERLINK("https://scontent.cdninstagram.com/t51.2885-15/s320x320/e35/21147979_276153626201864_7837420969864986624_n.jpg")</f>
        <v>https://scontent.cdninstagram.com/t51.2885-15/s320x320/e35/21147979_276153626201864_7837420969864986624_n.jpg</v>
      </c>
      <c r="AE3708" s="249" t="str">
        <f>HYPERLINK("https://scontent.cdninstagram.com/t51.2885-19/s150x150/18888999_235239803642320_3632737940876034048_a.jpg")</f>
        <v>https://scontent.cdninstagram.com/t51.2885-19/s150x150/18888999_235239803642320_3632737940876034048_a.jpg</v>
      </c>
    </row>
    <row r="3709" spans="1:31" ht="15" x14ac:dyDescent="0.25">
      <c r="A3709" t="s">
        <v>2474</v>
      </c>
      <c r="B3709" t="s">
        <v>20891</v>
      </c>
      <c r="C3709" s="221">
        <v>42977.631724537037</v>
      </c>
      <c r="D3709" t="s">
        <v>20892</v>
      </c>
      <c r="E3709" s="249" t="str">
        <f>HYPERLINK("https://www.instagram.com/p/BYbdzzflj3_/")</f>
        <v>https://www.instagram.com/p/BYbdzzflj3_/</v>
      </c>
      <c r="F3709" t="s">
        <v>20893</v>
      </c>
      <c r="G3709" t="s">
        <v>2478</v>
      </c>
      <c r="I3709" t="s">
        <v>2910</v>
      </c>
      <c r="J3709">
        <v>1</v>
      </c>
      <c r="K3709">
        <v>74</v>
      </c>
      <c r="L3709">
        <v>75</v>
      </c>
      <c r="Q3709">
        <v>0</v>
      </c>
      <c r="R3709">
        <v>0</v>
      </c>
      <c r="S3709">
        <v>75</v>
      </c>
      <c r="Y3709" t="s">
        <v>20894</v>
      </c>
      <c r="Z3709" t="s">
        <v>20895</v>
      </c>
      <c r="AA3709" t="s">
        <v>8095</v>
      </c>
      <c r="AB3709" t="s">
        <v>20896</v>
      </c>
      <c r="AC3709" t="s">
        <v>20897</v>
      </c>
      <c r="AD3709" s="249" t="str">
        <f>HYPERLINK("https://scontent.cdninstagram.com/t51.2885-15/s320x320/e35/21224240_1454537537933741_2456983432345944064_n.jpg")</f>
        <v>https://scontent.cdninstagram.com/t51.2885-15/s320x320/e35/21224240_1454537537933741_2456983432345944064_n.jpg</v>
      </c>
      <c r="AE3709" s="249" t="str">
        <f>HYPERLINK("https://scontent.cdninstagram.com/t51.2885-19/s150x150/20393557_1465967883488960_7839773916158492672_a.jpg")</f>
        <v>https://scontent.cdninstagram.com/t51.2885-19/s150x150/20393557_1465967883488960_7839773916158492672_a.jpg</v>
      </c>
    </row>
    <row r="3710" spans="1:31" ht="15" x14ac:dyDescent="0.25">
      <c r="A3710" t="s">
        <v>2474</v>
      </c>
      <c r="B3710" t="s">
        <v>20898</v>
      </c>
      <c r="C3710" s="221">
        <v>42977.635752314818</v>
      </c>
      <c r="D3710" t="s">
        <v>20899</v>
      </c>
      <c r="E3710" s="249" t="str">
        <f>HYPERLINK("https://www.instagram.com/p/BYbeeUBnEmD/")</f>
        <v>https://www.instagram.com/p/BYbeeUBnEmD/</v>
      </c>
      <c r="F3710" t="s">
        <v>20900</v>
      </c>
      <c r="G3710" t="s">
        <v>2478</v>
      </c>
      <c r="H3710">
        <v>431</v>
      </c>
      <c r="I3710" t="s">
        <v>2479</v>
      </c>
      <c r="J3710">
        <v>2</v>
      </c>
      <c r="K3710">
        <v>62</v>
      </c>
      <c r="L3710">
        <v>64</v>
      </c>
      <c r="Q3710">
        <v>0</v>
      </c>
      <c r="R3710">
        <v>0</v>
      </c>
      <c r="S3710">
        <v>64</v>
      </c>
      <c r="Y3710" t="s">
        <v>2777</v>
      </c>
      <c r="Z3710" t="s">
        <v>18608</v>
      </c>
      <c r="AA3710" t="s">
        <v>3982</v>
      </c>
      <c r="AB3710" t="s">
        <v>20901</v>
      </c>
      <c r="AC3710" t="s">
        <v>4427</v>
      </c>
      <c r="AD3710" s="249" t="str">
        <f>HYPERLINK("https://scontent.cdninstagram.com/t51.2885-15/s320x320/e35/21149729_340654799717971_2778250684053585920_n.jpg")</f>
        <v>https://scontent.cdninstagram.com/t51.2885-15/s320x320/e35/21149729_340654799717971_2778250684053585920_n.jpg</v>
      </c>
      <c r="AE3710" s="249" t="str">
        <f>HYPERLINK("https://scontent.cdninstagram.com/t51.2885-19/s150x150/20065453_105073393504038_5300822068055506944_a.jpg")</f>
        <v>https://scontent.cdninstagram.com/t51.2885-19/s150x150/20065453_105073393504038_5300822068055506944_a.jpg</v>
      </c>
    </row>
    <row r="3711" spans="1:31" ht="15" x14ac:dyDescent="0.25">
      <c r="A3711" t="s">
        <v>2474</v>
      </c>
      <c r="B3711" t="s">
        <v>17343</v>
      </c>
      <c r="C3711" s="221">
        <v>42977.646296296298</v>
      </c>
      <c r="D3711" t="s">
        <v>20902</v>
      </c>
      <c r="E3711" s="249" t="str">
        <f>HYPERLINK("https://www.instagram.com/p/BYbgNiJlU2d/")</f>
        <v>https://www.instagram.com/p/BYbgNiJlU2d/</v>
      </c>
      <c r="F3711" t="s">
        <v>20903</v>
      </c>
      <c r="G3711" t="s">
        <v>2478</v>
      </c>
      <c r="H3711">
        <v>141</v>
      </c>
      <c r="I3711" t="s">
        <v>4052</v>
      </c>
      <c r="J3711">
        <v>1</v>
      </c>
      <c r="K3711">
        <v>52</v>
      </c>
      <c r="L3711">
        <v>53</v>
      </c>
      <c r="Q3711">
        <v>0</v>
      </c>
      <c r="R3711">
        <v>0</v>
      </c>
      <c r="S3711">
        <v>53</v>
      </c>
      <c r="Y3711" t="s">
        <v>17110</v>
      </c>
      <c r="Z3711" t="s">
        <v>3982</v>
      </c>
      <c r="AA3711" t="s">
        <v>20904</v>
      </c>
      <c r="AB3711" t="s">
        <v>2861</v>
      </c>
      <c r="AC3711" t="s">
        <v>2492</v>
      </c>
      <c r="AD3711" s="249" t="str">
        <f>HYPERLINK("https://scontent.cdninstagram.com/t51.2885-15/s320x320/e35/21149092_146354132620647_6055239206811205632_n.jpg")</f>
        <v>https://scontent.cdninstagram.com/t51.2885-15/s320x320/e35/21149092_146354132620647_6055239206811205632_n.jpg</v>
      </c>
      <c r="AE3711" s="249" t="str">
        <f>HYPERLINK("https://scontent.cdninstagram.com/t51.2885-19/s150x150/20766966_327950150984704_834355813098192896_a.jpg")</f>
        <v>https://scontent.cdninstagram.com/t51.2885-19/s150x150/20766966_327950150984704_834355813098192896_a.jpg</v>
      </c>
    </row>
    <row r="3712" spans="1:31" ht="15" x14ac:dyDescent="0.25">
      <c r="A3712" t="s">
        <v>2474</v>
      </c>
      <c r="B3712" t="s">
        <v>15182</v>
      </c>
      <c r="C3712" s="221">
        <v>42977.648379629631</v>
      </c>
      <c r="D3712" t="s">
        <v>20905</v>
      </c>
      <c r="E3712" s="249" t="str">
        <f>HYPERLINK("https://www.instagram.com/p/BYbgje2gler/")</f>
        <v>https://www.instagram.com/p/BYbgje2gler/</v>
      </c>
      <c r="F3712" t="s">
        <v>20906</v>
      </c>
      <c r="G3712" t="s">
        <v>2478</v>
      </c>
      <c r="H3712">
        <v>737</v>
      </c>
      <c r="I3712" t="s">
        <v>20907</v>
      </c>
      <c r="J3712">
        <v>2</v>
      </c>
      <c r="K3712">
        <v>99</v>
      </c>
      <c r="L3712">
        <v>101</v>
      </c>
      <c r="Q3712">
        <v>0</v>
      </c>
      <c r="R3712">
        <v>0</v>
      </c>
      <c r="S3712">
        <v>101</v>
      </c>
      <c r="Y3712" t="s">
        <v>14243</v>
      </c>
      <c r="Z3712" t="s">
        <v>10644</v>
      </c>
      <c r="AA3712" t="s">
        <v>20908</v>
      </c>
      <c r="AB3712" t="s">
        <v>9183</v>
      </c>
      <c r="AC3712" t="s">
        <v>20909</v>
      </c>
      <c r="AD3712" s="249" t="str">
        <f>HYPERLINK("https://scontent.cdninstagram.com/t51.2885-15/s320x320/e15/21147878_1792101057471301_4598493309118185472_n.jpg")</f>
        <v>https://scontent.cdninstagram.com/t51.2885-15/s320x320/e15/21147878_1792101057471301_4598493309118185472_n.jpg</v>
      </c>
      <c r="AE3712" s="249" t="str">
        <f>HYPERLINK("https://scontent.cdninstagram.com/t51.2885-19/s150x150/18513619_1254348571345625_691913201251516416_a.jpg")</f>
        <v>https://scontent.cdninstagram.com/t51.2885-19/s150x150/18513619_1254348571345625_691913201251516416_a.jpg</v>
      </c>
    </row>
    <row r="3713" spans="1:31" ht="15" x14ac:dyDescent="0.25">
      <c r="A3713" t="s">
        <v>2474</v>
      </c>
      <c r="B3713" t="s">
        <v>20910</v>
      </c>
      <c r="C3713" s="221">
        <v>42977.648634259262</v>
      </c>
      <c r="D3713" t="s">
        <v>20911</v>
      </c>
      <c r="E3713" s="249" t="str">
        <f>HYPERLINK("https://www.instagram.com/p/BYbgmJHjPWc/")</f>
        <v>https://www.instagram.com/p/BYbgmJHjPWc/</v>
      </c>
      <c r="F3713" t="s">
        <v>20912</v>
      </c>
      <c r="G3713" t="s">
        <v>2478</v>
      </c>
      <c r="H3713">
        <v>259</v>
      </c>
      <c r="I3713" t="s">
        <v>2542</v>
      </c>
      <c r="J3713">
        <v>4</v>
      </c>
      <c r="K3713">
        <v>12</v>
      </c>
      <c r="L3713">
        <v>16</v>
      </c>
      <c r="Q3713">
        <v>0</v>
      </c>
      <c r="R3713">
        <v>0</v>
      </c>
      <c r="S3713">
        <v>16</v>
      </c>
      <c r="T3713" t="s">
        <v>20913</v>
      </c>
      <c r="W3713">
        <v>24.191700000000001</v>
      </c>
      <c r="X3713">
        <v>55.760599999999997</v>
      </c>
      <c r="Y3713" t="s">
        <v>20914</v>
      </c>
      <c r="Z3713" t="s">
        <v>7564</v>
      </c>
      <c r="AA3713" t="s">
        <v>20915</v>
      </c>
      <c r="AB3713" t="s">
        <v>2497</v>
      </c>
      <c r="AC3713" t="s">
        <v>4253</v>
      </c>
      <c r="AD3713" s="249" t="str">
        <f>HYPERLINK("https://scontent.cdninstagram.com/t51.2885-15/s320x320/e35/21147910_128712351097738_1920356195315482624_n.jpg")</f>
        <v>https://scontent.cdninstagram.com/t51.2885-15/s320x320/e35/21147910_128712351097738_1920356195315482624_n.jpg</v>
      </c>
      <c r="AE3713" s="249" t="str">
        <f>HYPERLINK("https://scontent.cdninstagram.com/t51.2885-19/s150x150/21040953_377887872628787_2323945098070458368_a.jpg")</f>
        <v>https://scontent.cdninstagram.com/t51.2885-19/s150x150/21040953_377887872628787_2323945098070458368_a.jpg</v>
      </c>
    </row>
    <row r="3714" spans="1:31" ht="15" x14ac:dyDescent="0.25">
      <c r="A3714" t="s">
        <v>2474</v>
      </c>
      <c r="B3714" t="s">
        <v>20916</v>
      </c>
      <c r="C3714" s="221">
        <v>42977.649259259262</v>
      </c>
      <c r="D3714" t="s">
        <v>20917</v>
      </c>
      <c r="E3714" s="249" t="str">
        <f>HYPERLINK("https://www.instagram.com/p/BYbgsumgPwl/")</f>
        <v>https://www.instagram.com/p/BYbgsumgPwl/</v>
      </c>
      <c r="F3714" t="s">
        <v>20918</v>
      </c>
      <c r="G3714" t="s">
        <v>2478</v>
      </c>
      <c r="H3714">
        <v>254</v>
      </c>
      <c r="I3714" t="s">
        <v>2479</v>
      </c>
      <c r="J3714">
        <v>0</v>
      </c>
      <c r="K3714">
        <v>19</v>
      </c>
      <c r="L3714">
        <v>19</v>
      </c>
      <c r="Q3714">
        <v>0</v>
      </c>
      <c r="R3714">
        <v>0</v>
      </c>
      <c r="S3714">
        <v>19</v>
      </c>
      <c r="Y3714" t="s">
        <v>2673</v>
      </c>
      <c r="Z3714" t="s">
        <v>6158</v>
      </c>
      <c r="AA3714" t="s">
        <v>6678</v>
      </c>
      <c r="AB3714" t="s">
        <v>20919</v>
      </c>
      <c r="AC3714" t="s">
        <v>20920</v>
      </c>
      <c r="AD3714" s="249" t="str">
        <f>HYPERLINK("https://scontent.cdninstagram.com/t51.2885-15/s320x320/e35/21227364_1363003693816442_6762659791211855872_n.jpg")</f>
        <v>https://scontent.cdninstagram.com/t51.2885-15/s320x320/e35/21227364_1363003693816442_6762659791211855872_n.jpg</v>
      </c>
      <c r="AE3714" s="249" t="str">
        <f>HYPERLINK("https://scontent.cdninstagram.com/t51.2885-19/s150x150/14583371_541914226008207_4524680413485989888_a.jpg")</f>
        <v>https://scontent.cdninstagram.com/t51.2885-19/s150x150/14583371_541914226008207_4524680413485989888_a.jpg</v>
      </c>
    </row>
    <row r="3715" spans="1:31" ht="15" x14ac:dyDescent="0.25">
      <c r="A3715" t="s">
        <v>2474</v>
      </c>
      <c r="B3715" t="s">
        <v>20921</v>
      </c>
      <c r="C3715" s="221">
        <v>42977.650347222225</v>
      </c>
      <c r="D3715" t="s">
        <v>20922</v>
      </c>
      <c r="E3715" s="249" t="str">
        <f>HYPERLINK("https://www.instagram.com/p/BYbg4UUgCbE/")</f>
        <v>https://www.instagram.com/p/BYbg4UUgCbE/</v>
      </c>
      <c r="F3715" t="s">
        <v>20923</v>
      </c>
      <c r="G3715" t="s">
        <v>2478</v>
      </c>
      <c r="H3715">
        <v>3</v>
      </c>
      <c r="I3715" t="s">
        <v>2479</v>
      </c>
      <c r="J3715">
        <v>0</v>
      </c>
      <c r="K3715">
        <v>10</v>
      </c>
      <c r="L3715">
        <v>10</v>
      </c>
      <c r="Q3715">
        <v>0</v>
      </c>
      <c r="R3715">
        <v>0</v>
      </c>
      <c r="S3715">
        <v>10</v>
      </c>
      <c r="T3715" t="s">
        <v>20924</v>
      </c>
      <c r="V3715" t="s">
        <v>2161</v>
      </c>
      <c r="W3715">
        <v>49.412199999999999</v>
      </c>
      <c r="X3715">
        <v>8.7100000000000009</v>
      </c>
      <c r="Y3715" t="s">
        <v>7830</v>
      </c>
      <c r="Z3715" t="s">
        <v>2497</v>
      </c>
      <c r="AA3715" t="s">
        <v>20925</v>
      </c>
      <c r="AB3715" t="s">
        <v>20926</v>
      </c>
      <c r="AD3715" s="249" t="str">
        <f>HYPERLINK("https://scontent.cdninstagram.com/t51.2885-15/s320x320/e35/21148943_524759494531657_1091646829692452864_n.jpg")</f>
        <v>https://scontent.cdninstagram.com/t51.2885-15/s320x320/e35/21148943_524759494531657_1091646829692452864_n.jpg</v>
      </c>
      <c r="AE3715" s="249" t="str">
        <f>HYPERLINK("https://scontent.cdninstagram.com/t51.2885-19/s150x150/20482383_103922140308411_6022582586184826880_a.jpg")</f>
        <v>https://scontent.cdninstagram.com/t51.2885-19/s150x150/20482383_103922140308411_6022582586184826880_a.jpg</v>
      </c>
    </row>
    <row r="3716" spans="1:31" ht="15" x14ac:dyDescent="0.25">
      <c r="A3716" t="s">
        <v>2474</v>
      </c>
      <c r="B3716" t="s">
        <v>20927</v>
      </c>
      <c r="C3716" s="221">
        <v>42977.65289351852</v>
      </c>
      <c r="D3716" t="s">
        <v>20928</v>
      </c>
      <c r="E3716" s="249" t="str">
        <f>HYPERLINK("https://www.instagram.com/p/BYbhTIRF1bw/")</f>
        <v>https://www.instagram.com/p/BYbhTIRF1bw/</v>
      </c>
      <c r="F3716" t="s">
        <v>20929</v>
      </c>
      <c r="G3716" t="s">
        <v>2478</v>
      </c>
      <c r="H3716">
        <v>265</v>
      </c>
      <c r="I3716" t="s">
        <v>2479</v>
      </c>
      <c r="J3716">
        <v>1</v>
      </c>
      <c r="K3716">
        <v>27</v>
      </c>
      <c r="L3716">
        <v>28</v>
      </c>
      <c r="Q3716">
        <v>0</v>
      </c>
      <c r="R3716">
        <v>0</v>
      </c>
      <c r="S3716">
        <v>28</v>
      </c>
      <c r="T3716" t="s">
        <v>20930</v>
      </c>
      <c r="V3716" t="s">
        <v>2259</v>
      </c>
      <c r="W3716">
        <v>48.156869999999998</v>
      </c>
      <c r="X3716">
        <v>17.113659999999999</v>
      </c>
      <c r="Y3716" t="s">
        <v>20931</v>
      </c>
      <c r="Z3716" t="s">
        <v>20932</v>
      </c>
      <c r="AA3716" t="s">
        <v>9677</v>
      </c>
      <c r="AB3716" t="s">
        <v>2497</v>
      </c>
      <c r="AD3716" s="249" t="str">
        <f>HYPERLINK("https://scontent.cdninstagram.com/t51.2885-15/e35/p320x320/21149373_268541236968293_337119288802410496_n.jpg")</f>
        <v>https://scontent.cdninstagram.com/t51.2885-15/e35/p320x320/21149373_268541236968293_337119288802410496_n.jpg</v>
      </c>
      <c r="AE3716" s="249" t="str">
        <f>HYPERLINK("https://scontent.cdninstagram.com/t51.2885-19/s150x150/21041591_133907107223363_4941941365375238144_a.jpg")</f>
        <v>https://scontent.cdninstagram.com/t51.2885-19/s150x150/21041591_133907107223363_4941941365375238144_a.jpg</v>
      </c>
    </row>
    <row r="3717" spans="1:31" ht="15" x14ac:dyDescent="0.25">
      <c r="A3717" t="s">
        <v>2474</v>
      </c>
      <c r="B3717" t="s">
        <v>20933</v>
      </c>
      <c r="C3717" s="221">
        <v>42977.653101851851</v>
      </c>
      <c r="D3717" t="s">
        <v>20934</v>
      </c>
      <c r="E3717" s="249" t="str">
        <f>HYPERLINK("https://www.instagram.com/p/BYbhVSEhRjv/")</f>
        <v>https://www.instagram.com/p/BYbhVSEhRjv/</v>
      </c>
      <c r="F3717" t="s">
        <v>20935</v>
      </c>
      <c r="G3717" t="s">
        <v>2478</v>
      </c>
      <c r="H3717">
        <v>264</v>
      </c>
      <c r="I3717" t="s">
        <v>2479</v>
      </c>
      <c r="J3717">
        <v>0</v>
      </c>
      <c r="K3717">
        <v>14</v>
      </c>
      <c r="L3717">
        <v>14</v>
      </c>
      <c r="Q3717">
        <v>0</v>
      </c>
      <c r="R3717">
        <v>0</v>
      </c>
      <c r="S3717">
        <v>14</v>
      </c>
      <c r="Y3717" t="s">
        <v>15855</v>
      </c>
      <c r="Z3717" t="s">
        <v>20936</v>
      </c>
      <c r="AA3717" t="s">
        <v>20937</v>
      </c>
      <c r="AB3717" t="s">
        <v>20938</v>
      </c>
      <c r="AC3717" t="s">
        <v>20939</v>
      </c>
      <c r="AD3717" s="249" t="str">
        <f>HYPERLINK("https://scontent.cdninstagram.com/t51.2885-15/s320x320/e35/21224043_346637139119146_2497931431502675968_n.jpg")</f>
        <v>https://scontent.cdninstagram.com/t51.2885-15/s320x320/e35/21224043_346637139119146_2497931431502675968_n.jpg</v>
      </c>
      <c r="AE3717" s="249" t="str">
        <f>HYPERLINK("https://scontent.cdninstagram.com/t51.2885-19/s150x150/14474169_1820588431557640_7756827192750768128_a.jpg")</f>
        <v>https://scontent.cdninstagram.com/t51.2885-19/s150x150/14474169_1820588431557640_7756827192750768128_a.jpg</v>
      </c>
    </row>
    <row r="3718" spans="1:31" ht="15" x14ac:dyDescent="0.25">
      <c r="A3718" t="s">
        <v>2474</v>
      </c>
      <c r="B3718" t="s">
        <v>20940</v>
      </c>
      <c r="C3718" s="221">
        <v>42977.653761574074</v>
      </c>
      <c r="D3718" t="s">
        <v>20941</v>
      </c>
      <c r="E3718" s="249" t="str">
        <f>HYPERLINK("https://www.instagram.com/p/BYbhcTbF1SS/")</f>
        <v>https://www.instagram.com/p/BYbhcTbF1SS/</v>
      </c>
      <c r="F3718" t="s">
        <v>20942</v>
      </c>
      <c r="G3718" t="s">
        <v>2478</v>
      </c>
      <c r="H3718">
        <v>386</v>
      </c>
      <c r="I3718" t="s">
        <v>2479</v>
      </c>
      <c r="J3718">
        <v>0</v>
      </c>
      <c r="K3718">
        <v>85</v>
      </c>
      <c r="L3718">
        <v>85</v>
      </c>
      <c r="Q3718">
        <v>0</v>
      </c>
      <c r="R3718">
        <v>0</v>
      </c>
      <c r="S3718">
        <v>85</v>
      </c>
      <c r="Y3718" t="s">
        <v>6779</v>
      </c>
      <c r="Z3718" t="s">
        <v>2827</v>
      </c>
      <c r="AA3718" t="s">
        <v>5202</v>
      </c>
      <c r="AB3718" t="s">
        <v>6806</v>
      </c>
      <c r="AC3718" t="s">
        <v>9762</v>
      </c>
      <c r="AD3718" s="249" t="str">
        <f>HYPERLINK("https://scontent.cdninstagram.com/t51.2885-15/e35/p320x320/21149644_482861565406327_4009799618077392896_n.jpg")</f>
        <v>https://scontent.cdninstagram.com/t51.2885-15/e35/p320x320/21149644_482861565406327_4009799618077392896_n.jpg</v>
      </c>
      <c r="AE3718" s="249" t="str">
        <f>HYPERLINK("https://scontent.cdninstagram.com/t51.2885-19/s150x150/20066910_1229805640481796_8015821941266972672_a.jpg")</f>
        <v>https://scontent.cdninstagram.com/t51.2885-19/s150x150/20066910_1229805640481796_8015821941266972672_a.jpg</v>
      </c>
    </row>
    <row r="3719" spans="1:31" ht="15" x14ac:dyDescent="0.25">
      <c r="A3719" t="s">
        <v>2474</v>
      </c>
      <c r="B3719" t="s">
        <v>20943</v>
      </c>
      <c r="C3719" s="221">
        <v>42977.660011574073</v>
      </c>
      <c r="D3719" t="s">
        <v>20944</v>
      </c>
      <c r="E3719" s="249" t="str">
        <f>HYPERLINK("https://www.instagram.com/p/BYbieIJjLza/")</f>
        <v>https://www.instagram.com/p/BYbieIJjLza/</v>
      </c>
      <c r="F3719" t="s">
        <v>20945</v>
      </c>
      <c r="G3719" t="s">
        <v>2478</v>
      </c>
      <c r="H3719">
        <v>205</v>
      </c>
      <c r="I3719" t="s">
        <v>2479</v>
      </c>
      <c r="J3719">
        <v>0</v>
      </c>
      <c r="K3719">
        <v>6</v>
      </c>
      <c r="L3719">
        <v>6</v>
      </c>
      <c r="Q3719">
        <v>0</v>
      </c>
      <c r="R3719">
        <v>0</v>
      </c>
      <c r="S3719">
        <v>6</v>
      </c>
      <c r="Y3719" t="s">
        <v>20946</v>
      </c>
      <c r="Z3719" t="s">
        <v>2497</v>
      </c>
      <c r="AA3719" t="s">
        <v>20947</v>
      </c>
      <c r="AD3719" s="249" t="str">
        <f>HYPERLINK("https://scontent.cdninstagram.com/t51.2885-15/e35/p320x320/21149655_1370976923019322_7141881093933760512_n.jpg")</f>
        <v>https://scontent.cdninstagram.com/t51.2885-15/e35/p320x320/21149655_1370976923019322_7141881093933760512_n.jpg</v>
      </c>
      <c r="AE3719" s="249" t="str">
        <f>HYPERLINK("https://scontent.cdninstagram.com/t51.2885-19/s150x150/17495345_427518497597577_2414354395874459648_a.jpg")</f>
        <v>https://scontent.cdninstagram.com/t51.2885-19/s150x150/17495345_427518497597577_2414354395874459648_a.jpg</v>
      </c>
    </row>
    <row r="3720" spans="1:31" ht="15" x14ac:dyDescent="0.25">
      <c r="A3720" t="s">
        <v>2474</v>
      </c>
      <c r="B3720" t="s">
        <v>20948</v>
      </c>
      <c r="C3720" s="221">
        <v>42977.664386574077</v>
      </c>
      <c r="D3720" t="s">
        <v>20949</v>
      </c>
      <c r="E3720" s="249" t="str">
        <f>HYPERLINK("https://www.instagram.com/p/BYbjMWkBOQ0/")</f>
        <v>https://www.instagram.com/p/BYbjMWkBOQ0/</v>
      </c>
      <c r="F3720" t="s">
        <v>20950</v>
      </c>
      <c r="G3720" t="s">
        <v>2478</v>
      </c>
      <c r="H3720">
        <v>520</v>
      </c>
      <c r="I3720" t="s">
        <v>2582</v>
      </c>
      <c r="J3720">
        <v>0</v>
      </c>
      <c r="K3720">
        <v>11</v>
      </c>
      <c r="L3720">
        <v>11</v>
      </c>
      <c r="Q3720">
        <v>0</v>
      </c>
      <c r="R3720">
        <v>0</v>
      </c>
      <c r="S3720">
        <v>11</v>
      </c>
      <c r="T3720" t="s">
        <v>11619</v>
      </c>
      <c r="V3720" t="s">
        <v>2110</v>
      </c>
      <c r="W3720">
        <v>51.216700000000003</v>
      </c>
      <c r="X3720">
        <v>4.4000000000000004</v>
      </c>
      <c r="Y3720" t="s">
        <v>20951</v>
      </c>
      <c r="Z3720" t="s">
        <v>20952</v>
      </c>
      <c r="AA3720" t="s">
        <v>20953</v>
      </c>
      <c r="AB3720" t="s">
        <v>3196</v>
      </c>
      <c r="AC3720" t="s">
        <v>20954</v>
      </c>
      <c r="AD3720" s="249" t="str">
        <f>HYPERLINK("https://scontent.cdninstagram.com/t51.2885-15/e35/p320x320/21224635_1518886878170224_4358602347501322240_n.jpg")</f>
        <v>https://scontent.cdninstagram.com/t51.2885-15/e35/p320x320/21224635_1518886878170224_4358602347501322240_n.jpg</v>
      </c>
      <c r="AE3720" s="249" t="str">
        <f>HYPERLINK("https://scontent.cdninstagram.com/t51.2885-19/s150x150/19624803_124376821498163_7666547435455381504_a.jpg")</f>
        <v>https://scontent.cdninstagram.com/t51.2885-19/s150x150/19624803_124376821498163_7666547435455381504_a.jpg</v>
      </c>
    </row>
    <row r="3721" spans="1:31" ht="15" x14ac:dyDescent="0.25">
      <c r="A3721" t="s">
        <v>2474</v>
      </c>
      <c r="B3721" t="s">
        <v>20955</v>
      </c>
      <c r="C3721" s="221">
        <v>42977.665914351855</v>
      </c>
      <c r="D3721" t="s">
        <v>20956</v>
      </c>
      <c r="E3721" s="249" t="str">
        <f>HYPERLINK("https://www.instagram.com/p/BYbjcevjcVk/")</f>
        <v>https://www.instagram.com/p/BYbjcevjcVk/</v>
      </c>
      <c r="F3721" t="s">
        <v>20957</v>
      </c>
      <c r="G3721" t="s">
        <v>2478</v>
      </c>
      <c r="H3721">
        <v>316</v>
      </c>
      <c r="I3721" t="s">
        <v>2479</v>
      </c>
      <c r="J3721">
        <v>4</v>
      </c>
      <c r="K3721">
        <v>41</v>
      </c>
      <c r="L3721">
        <v>45</v>
      </c>
      <c r="Q3721">
        <v>0</v>
      </c>
      <c r="R3721">
        <v>0</v>
      </c>
      <c r="S3721">
        <v>45</v>
      </c>
      <c r="Y3721" t="s">
        <v>4428</v>
      </c>
      <c r="Z3721" t="s">
        <v>9963</v>
      </c>
      <c r="AA3721" t="s">
        <v>20958</v>
      </c>
      <c r="AB3721" t="s">
        <v>20959</v>
      </c>
      <c r="AC3721" t="s">
        <v>20960</v>
      </c>
      <c r="AD3721" s="249" t="str">
        <f>HYPERLINK("https://scontent.cdninstagram.com/t51.2885-15/s320x320/e35/21147295_1972449879699461_4301314896886235136_n.jpg")</f>
        <v>https://scontent.cdninstagram.com/t51.2885-15/s320x320/e35/21147295_1972449879699461_4301314896886235136_n.jpg</v>
      </c>
      <c r="AE3721" s="249" t="str">
        <f>HYPERLINK("https://scontent.cdninstagram.com/t51.2885-19/s150x150/18812932_133808273855808_7658511371255939072_a.jpg")</f>
        <v>https://scontent.cdninstagram.com/t51.2885-19/s150x150/18812932_133808273855808_7658511371255939072_a.jpg</v>
      </c>
    </row>
    <row r="3722" spans="1:31" ht="15" x14ac:dyDescent="0.25">
      <c r="A3722" t="s">
        <v>2474</v>
      </c>
      <c r="B3722" t="s">
        <v>20961</v>
      </c>
      <c r="C3722" s="221">
        <v>42977.667581018519</v>
      </c>
      <c r="D3722" t="s">
        <v>20962</v>
      </c>
      <c r="E3722" s="249" t="str">
        <f>HYPERLINK("https://www.instagram.com/p/BYbjuAnBcV6/")</f>
        <v>https://www.instagram.com/p/BYbjuAnBcV6/</v>
      </c>
      <c r="F3722" t="s">
        <v>20963</v>
      </c>
      <c r="G3722" t="s">
        <v>2478</v>
      </c>
      <c r="H3722">
        <v>498</v>
      </c>
      <c r="I3722" t="s">
        <v>3170</v>
      </c>
      <c r="J3722">
        <v>2</v>
      </c>
      <c r="K3722">
        <v>44</v>
      </c>
      <c r="L3722">
        <v>46</v>
      </c>
      <c r="Q3722">
        <v>0</v>
      </c>
      <c r="R3722">
        <v>0</v>
      </c>
      <c r="S3722">
        <v>46</v>
      </c>
      <c r="Y3722" t="s">
        <v>20964</v>
      </c>
      <c r="Z3722" t="s">
        <v>4168</v>
      </c>
      <c r="AA3722" t="s">
        <v>11226</v>
      </c>
      <c r="AB3722" t="s">
        <v>6429</v>
      </c>
      <c r="AC3722" t="s">
        <v>10364</v>
      </c>
      <c r="AD3722" s="249" t="str">
        <f>HYPERLINK("https://scontent.cdninstagram.com/t51.2885-15/s320x320/e35/21224584_127742204527627_2878677477679431680_n.jpg")</f>
        <v>https://scontent.cdninstagram.com/t51.2885-15/s320x320/e35/21224584_127742204527627_2878677477679431680_n.jpg</v>
      </c>
      <c r="AE3722" s="249" t="str">
        <f>HYPERLINK("https://scontent.cdninstagram.com/t51.2885-19/s150x150/21296685_790806141091464_522524510050582528_a.jpg")</f>
        <v>https://scontent.cdninstagram.com/t51.2885-19/s150x150/21296685_790806141091464_522524510050582528_a.jpg</v>
      </c>
    </row>
    <row r="3723" spans="1:31" ht="15" x14ac:dyDescent="0.25">
      <c r="A3723" t="s">
        <v>2474</v>
      </c>
      <c r="B3723" t="s">
        <v>3290</v>
      </c>
      <c r="C3723" s="221">
        <v>42977.667743055557</v>
      </c>
      <c r="D3723" t="s">
        <v>20965</v>
      </c>
      <c r="E3723" s="249" t="str">
        <f>HYPERLINK("https://www.instagram.com/p/BYbjvu9H-g_/")</f>
        <v>https://www.instagram.com/p/BYbjvu9H-g_/</v>
      </c>
      <c r="F3723" t="s">
        <v>20966</v>
      </c>
      <c r="G3723" t="s">
        <v>2478</v>
      </c>
      <c r="H3723">
        <v>2040</v>
      </c>
      <c r="I3723" t="s">
        <v>2479</v>
      </c>
      <c r="J3723">
        <v>5</v>
      </c>
      <c r="K3723">
        <v>301</v>
      </c>
      <c r="L3723">
        <v>306</v>
      </c>
      <c r="Q3723">
        <v>0</v>
      </c>
      <c r="R3723">
        <v>0</v>
      </c>
      <c r="S3723">
        <v>306</v>
      </c>
      <c r="Y3723" t="s">
        <v>3293</v>
      </c>
      <c r="Z3723" t="s">
        <v>13754</v>
      </c>
      <c r="AA3723" t="s">
        <v>2547</v>
      </c>
      <c r="AB3723" t="s">
        <v>6414</v>
      </c>
      <c r="AC3723" t="s">
        <v>6417</v>
      </c>
      <c r="AD3723" s="249" t="str">
        <f>HYPERLINK("https://scontent.cdninstagram.com/t51.2885-15/s320x320/e35/21224381_348874985526620_213682890788044800_n.jpg")</f>
        <v>https://scontent.cdninstagram.com/t51.2885-15/s320x320/e35/21224381_348874985526620_213682890788044800_n.jpg</v>
      </c>
      <c r="AE3723" s="249" t="str">
        <f>HYPERLINK("https://scontent.cdninstagram.com/t51.2885-19/s150x150/18380245_313241119112969_3297379408276357120_a.jpg")</f>
        <v>https://scontent.cdninstagram.com/t51.2885-19/s150x150/18380245_313241119112969_3297379408276357120_a.jpg</v>
      </c>
    </row>
    <row r="3724" spans="1:31" ht="15" x14ac:dyDescent="0.25">
      <c r="A3724" t="s">
        <v>2474</v>
      </c>
      <c r="B3724" t="s">
        <v>8705</v>
      </c>
      <c r="C3724" s="221">
        <v>42977.669745370367</v>
      </c>
      <c r="D3724" t="s">
        <v>20967</v>
      </c>
      <c r="E3724" s="249" t="str">
        <f>HYPERLINK("https://www.instagram.com/p/BYbkEzuD9lo/")</f>
        <v>https://www.instagram.com/p/BYbkEzuD9lo/</v>
      </c>
      <c r="F3724" t="s">
        <v>20968</v>
      </c>
      <c r="G3724" t="s">
        <v>2478</v>
      </c>
      <c r="H3724">
        <v>952</v>
      </c>
      <c r="I3724" t="s">
        <v>2479</v>
      </c>
      <c r="J3724">
        <v>0</v>
      </c>
      <c r="K3724">
        <v>66</v>
      </c>
      <c r="L3724">
        <v>66</v>
      </c>
      <c r="Q3724">
        <v>0</v>
      </c>
      <c r="R3724">
        <v>0</v>
      </c>
      <c r="S3724">
        <v>66</v>
      </c>
      <c r="T3724" t="s">
        <v>8708</v>
      </c>
      <c r="V3724" t="s">
        <v>2240</v>
      </c>
      <c r="W3724">
        <v>37.583333333333002</v>
      </c>
      <c r="X3724">
        <v>-8.6333333333333009</v>
      </c>
      <c r="Y3724" t="s">
        <v>20754</v>
      </c>
      <c r="Z3724" t="s">
        <v>20969</v>
      </c>
      <c r="AA3724" t="s">
        <v>20970</v>
      </c>
      <c r="AB3724" t="s">
        <v>20971</v>
      </c>
      <c r="AC3724" t="s">
        <v>20972</v>
      </c>
      <c r="AD3724" s="249" t="str">
        <f>HYPERLINK("https://scontent.cdninstagram.com/t51.2885-15/s320x320/e35/21149286_1584917164863824_8319437032006877184_n.jpg")</f>
        <v>https://scontent.cdninstagram.com/t51.2885-15/s320x320/e35/21149286_1584917164863824_8319437032006877184_n.jpg</v>
      </c>
      <c r="AE3724" s="249" t="str">
        <f>HYPERLINK("https://scontent.cdninstagram.com/t51.2885-19/11273008_1005535259487345_1925728229_a.jpg")</f>
        <v>https://scontent.cdninstagram.com/t51.2885-19/11273008_1005535259487345_1925728229_a.jpg</v>
      </c>
    </row>
    <row r="3725" spans="1:31" ht="15" x14ac:dyDescent="0.25">
      <c r="A3725" t="s">
        <v>2474</v>
      </c>
      <c r="B3725" t="s">
        <v>20973</v>
      </c>
      <c r="C3725" s="221">
        <v>42977.674224537041</v>
      </c>
      <c r="D3725" t="s">
        <v>20974</v>
      </c>
      <c r="E3725" s="249" t="str">
        <f>HYPERLINK("https://www.instagram.com/p/BYbk0E6grQ9/")</f>
        <v>https://www.instagram.com/p/BYbk0E6grQ9/</v>
      </c>
      <c r="F3725" t="s">
        <v>20975</v>
      </c>
      <c r="G3725" t="s">
        <v>2631</v>
      </c>
      <c r="H3725">
        <v>1090</v>
      </c>
      <c r="I3725" t="s">
        <v>2479</v>
      </c>
      <c r="J3725">
        <v>0</v>
      </c>
      <c r="K3725">
        <v>6</v>
      </c>
      <c r="L3725">
        <v>6</v>
      </c>
      <c r="Q3725">
        <v>0</v>
      </c>
      <c r="R3725">
        <v>0</v>
      </c>
      <c r="S3725">
        <v>6</v>
      </c>
      <c r="Y3725" t="s">
        <v>5791</v>
      </c>
      <c r="Z3725" t="s">
        <v>2734</v>
      </c>
      <c r="AA3725" t="s">
        <v>8009</v>
      </c>
      <c r="AB3725" t="s">
        <v>20976</v>
      </c>
      <c r="AC3725" t="s">
        <v>20977</v>
      </c>
      <c r="AD3725" s="249" t="str">
        <f>HYPERLINK("https://scontent.cdninstagram.com/t51.2885-15/e15/p320x320/21148919_708009572730362_3150521999546122240_n.jpg")</f>
        <v>https://scontent.cdninstagram.com/t51.2885-15/e15/p320x320/21148919_708009572730362_3150521999546122240_n.jpg</v>
      </c>
      <c r="AE3725" s="249" t="str">
        <f>HYPERLINK("https://scontent.cdninstagram.com/t51.2885-19/s150x150/20226062_1945982995670404_8254044509952802816_a.jpg")</f>
        <v>https://scontent.cdninstagram.com/t51.2885-19/s150x150/20226062_1945982995670404_8254044509952802816_a.jpg</v>
      </c>
    </row>
    <row r="3726" spans="1:31" ht="15" x14ac:dyDescent="0.25">
      <c r="A3726" t="s">
        <v>2474</v>
      </c>
      <c r="B3726" t="s">
        <v>3263</v>
      </c>
      <c r="C3726" s="221">
        <v>42977.679305555554</v>
      </c>
      <c r="D3726" t="s">
        <v>20978</v>
      </c>
      <c r="E3726" s="249" t="str">
        <f>HYPERLINK("https://www.instagram.com/p/BYblpueFSwX/")</f>
        <v>https://www.instagram.com/p/BYblpueFSwX/</v>
      </c>
      <c r="F3726" t="s">
        <v>20979</v>
      </c>
      <c r="G3726" t="s">
        <v>2478</v>
      </c>
      <c r="H3726">
        <v>473</v>
      </c>
      <c r="I3726" t="s">
        <v>2479</v>
      </c>
      <c r="J3726">
        <v>2</v>
      </c>
      <c r="K3726">
        <v>78</v>
      </c>
      <c r="L3726">
        <v>80</v>
      </c>
      <c r="Q3726">
        <v>0</v>
      </c>
      <c r="R3726">
        <v>0</v>
      </c>
      <c r="S3726">
        <v>80</v>
      </c>
      <c r="Y3726" t="s">
        <v>2673</v>
      </c>
      <c r="Z3726" t="s">
        <v>20980</v>
      </c>
      <c r="AA3726" t="s">
        <v>20981</v>
      </c>
      <c r="AB3726" t="s">
        <v>7298</v>
      </c>
      <c r="AC3726" t="s">
        <v>20982</v>
      </c>
      <c r="AD3726" s="249" t="str">
        <f>HYPERLINK("https://scontent.cdninstagram.com/t51.2885-15/e35/p320x320/21147589_1870992076497943_3302796530267717632_n.jpg")</f>
        <v>https://scontent.cdninstagram.com/t51.2885-15/e35/p320x320/21147589_1870992076497943_3302796530267717632_n.jpg</v>
      </c>
      <c r="AE3726" s="249" t="str">
        <f>HYPERLINK("https://scontent.cdninstagram.com/t51.2885-19/s150x150/17934068_1876967155909712_272714690830794752_a.jpg")</f>
        <v>https://scontent.cdninstagram.com/t51.2885-19/s150x150/17934068_1876967155909712_272714690830794752_a.jpg</v>
      </c>
    </row>
    <row r="3727" spans="1:31" ht="15" x14ac:dyDescent="0.25">
      <c r="A3727" t="s">
        <v>2474</v>
      </c>
      <c r="B3727" t="s">
        <v>8538</v>
      </c>
      <c r="C3727" s="221">
        <v>42977.683379629627</v>
      </c>
      <c r="D3727" t="s">
        <v>20983</v>
      </c>
      <c r="E3727" s="249" t="str">
        <f>HYPERLINK("https://www.instagram.com/p/BYbmUqMgljk/")</f>
        <v>https://www.instagram.com/p/BYbmUqMgljk/</v>
      </c>
      <c r="F3727" t="s">
        <v>20984</v>
      </c>
      <c r="G3727" t="s">
        <v>2478</v>
      </c>
      <c r="H3727">
        <v>5512</v>
      </c>
      <c r="I3727" t="s">
        <v>2786</v>
      </c>
      <c r="J3727">
        <v>4</v>
      </c>
      <c r="K3727">
        <v>311</v>
      </c>
      <c r="L3727">
        <v>315</v>
      </c>
      <c r="Q3727">
        <v>0</v>
      </c>
      <c r="R3727">
        <v>0</v>
      </c>
      <c r="S3727">
        <v>315</v>
      </c>
      <c r="T3727" t="s">
        <v>20985</v>
      </c>
      <c r="V3727" t="s">
        <v>2264</v>
      </c>
      <c r="W3727">
        <v>38.867760060702999</v>
      </c>
      <c r="X3727">
        <v>1.3173908038511</v>
      </c>
      <c r="Y3727" t="s">
        <v>2497</v>
      </c>
      <c r="Z3727" t="s">
        <v>11090</v>
      </c>
      <c r="AD3727" s="249" t="str">
        <f>HYPERLINK("https://scontent.cdninstagram.com/t51.2885-15/s320x320/e35/21224896_163129000931439_80332114821644288_n.jpg")</f>
        <v>https://scontent.cdninstagram.com/t51.2885-15/s320x320/e35/21224896_163129000931439_80332114821644288_n.jpg</v>
      </c>
      <c r="AE3727" s="249" t="str">
        <f>HYPERLINK("https://scontent.cdninstagram.com/t51.2885-19/s150x150/18950246_1127968397303807_6772371073045364736_a.jpg")</f>
        <v>https://scontent.cdninstagram.com/t51.2885-19/s150x150/18950246_1127968397303807_6772371073045364736_a.jpg</v>
      </c>
    </row>
    <row r="3728" spans="1:31" ht="15" x14ac:dyDescent="0.25">
      <c r="A3728" t="s">
        <v>2474</v>
      </c>
      <c r="B3728" t="s">
        <v>5409</v>
      </c>
      <c r="C3728" s="221">
        <v>42977.684594907405</v>
      </c>
      <c r="D3728" t="s">
        <v>20986</v>
      </c>
      <c r="E3728" s="249" t="str">
        <f>HYPERLINK("https://www.instagram.com/p/BYbmhgqB_ON/")</f>
        <v>https://www.instagram.com/p/BYbmhgqB_ON/</v>
      </c>
      <c r="F3728" t="s">
        <v>20987</v>
      </c>
      <c r="G3728" t="s">
        <v>2478</v>
      </c>
      <c r="H3728">
        <v>643</v>
      </c>
      <c r="I3728" t="s">
        <v>2479</v>
      </c>
      <c r="J3728">
        <v>0</v>
      </c>
      <c r="K3728">
        <v>42</v>
      </c>
      <c r="L3728">
        <v>42</v>
      </c>
      <c r="Q3728">
        <v>0</v>
      </c>
      <c r="R3728">
        <v>0</v>
      </c>
      <c r="S3728">
        <v>42</v>
      </c>
      <c r="Y3728" t="s">
        <v>6505</v>
      </c>
      <c r="Z3728" t="s">
        <v>20988</v>
      </c>
      <c r="AA3728" t="s">
        <v>2497</v>
      </c>
      <c r="AD3728" s="249" t="str">
        <f>HYPERLINK("https://scontent.cdninstagram.com/t51.2885-15/s320x320/e35/21224152_147145905875600_8763035088427417600_n.jpg")</f>
        <v>https://scontent.cdninstagram.com/t51.2885-15/s320x320/e35/21224152_147145905875600_8763035088427417600_n.jpg</v>
      </c>
      <c r="AE3728" s="249" t="str">
        <f>HYPERLINK("https://scontent.cdninstagram.com/t51.2885-19/s150x150/20482666_330708970704858_7693193017422774272_a.jpg")</f>
        <v>https://scontent.cdninstagram.com/t51.2885-19/s150x150/20482666_330708970704858_7693193017422774272_a.jpg</v>
      </c>
    </row>
    <row r="3729" spans="1:31" ht="15" x14ac:dyDescent="0.25">
      <c r="A3729" t="s">
        <v>2474</v>
      </c>
      <c r="B3729" t="s">
        <v>20989</v>
      </c>
      <c r="C3729" s="221">
        <v>42977.690023148149</v>
      </c>
      <c r="D3729" t="s">
        <v>20990</v>
      </c>
      <c r="E3729" s="249" t="str">
        <f>HYPERLINK("https://www.instagram.com/p/BYbnawflpU_/")</f>
        <v>https://www.instagram.com/p/BYbnawflpU_/</v>
      </c>
      <c r="F3729" t="s">
        <v>20991</v>
      </c>
      <c r="G3729" t="s">
        <v>2478</v>
      </c>
      <c r="H3729">
        <v>1392</v>
      </c>
      <c r="I3729" t="s">
        <v>2927</v>
      </c>
      <c r="J3729">
        <v>6</v>
      </c>
      <c r="K3729">
        <v>127</v>
      </c>
      <c r="L3729">
        <v>133</v>
      </c>
      <c r="Q3729">
        <v>0</v>
      </c>
      <c r="R3729">
        <v>0</v>
      </c>
      <c r="S3729">
        <v>133</v>
      </c>
      <c r="T3729" t="s">
        <v>20992</v>
      </c>
      <c r="V3729" t="s">
        <v>2161</v>
      </c>
      <c r="W3729">
        <v>50.208611111110997</v>
      </c>
      <c r="X3729">
        <v>6.9797222222222004</v>
      </c>
      <c r="Y3729" t="s">
        <v>2911</v>
      </c>
      <c r="Z3729" t="s">
        <v>3927</v>
      </c>
      <c r="AA3729" t="s">
        <v>20993</v>
      </c>
      <c r="AB3729" t="s">
        <v>20994</v>
      </c>
      <c r="AC3729" t="s">
        <v>20995</v>
      </c>
      <c r="AD3729" s="249" t="str">
        <f>HYPERLINK("https://scontent.cdninstagram.com/t51.2885-15/s320x320/e35/21108108_237439563445793_6357858337584840704_n.jpg")</f>
        <v>https://scontent.cdninstagram.com/t51.2885-15/s320x320/e35/21108108_237439563445793_6357858337584840704_n.jpg</v>
      </c>
      <c r="AE3729" s="249" t="str">
        <f>HYPERLINK("https://scontent.cdninstagram.com/t51.2885-19/s150x150/19954977_248404352343347_1195826346698211328_a.jpg")</f>
        <v>https://scontent.cdninstagram.com/t51.2885-19/s150x150/19954977_248404352343347_1195826346698211328_a.jpg</v>
      </c>
    </row>
    <row r="3730" spans="1:31" ht="15" x14ac:dyDescent="0.25">
      <c r="A3730" t="s">
        <v>2474</v>
      </c>
      <c r="B3730" t="s">
        <v>20996</v>
      </c>
      <c r="C3730" s="221">
        <v>42977.696481481478</v>
      </c>
      <c r="D3730" t="s">
        <v>20997</v>
      </c>
      <c r="E3730" s="249" t="str">
        <f>HYPERLINK("https://www.instagram.com/p/BYboe03ABYK/")</f>
        <v>https://www.instagram.com/p/BYboe03ABYK/</v>
      </c>
      <c r="F3730" t="s">
        <v>20998</v>
      </c>
      <c r="G3730" t="s">
        <v>2478</v>
      </c>
      <c r="H3730">
        <v>811</v>
      </c>
      <c r="I3730" t="s">
        <v>2542</v>
      </c>
      <c r="J3730">
        <v>0</v>
      </c>
      <c r="K3730">
        <v>8</v>
      </c>
      <c r="L3730">
        <v>8</v>
      </c>
      <c r="Q3730">
        <v>0</v>
      </c>
      <c r="R3730">
        <v>0</v>
      </c>
      <c r="S3730">
        <v>8</v>
      </c>
      <c r="Y3730" t="s">
        <v>20999</v>
      </c>
      <c r="Z3730" t="s">
        <v>5787</v>
      </c>
      <c r="AA3730" t="s">
        <v>21000</v>
      </c>
      <c r="AB3730" t="s">
        <v>4419</v>
      </c>
      <c r="AC3730" t="s">
        <v>21001</v>
      </c>
      <c r="AD3730" s="249" t="str">
        <f>HYPERLINK("https://scontent.cdninstagram.com/t51.2885-15/s320x320/e35/21149313_304004620074448_3014788062191288320_n.jpg")</f>
        <v>https://scontent.cdninstagram.com/t51.2885-15/s320x320/e35/21149313_304004620074448_3014788062191288320_n.jpg</v>
      </c>
      <c r="AE3730" s="249" t="str">
        <f>HYPERLINK("https://scontent.cdninstagram.com/t51.2885-19/s150x150/13092274_1028347800585666_593177028_a.jpg")</f>
        <v>https://scontent.cdninstagram.com/t51.2885-19/s150x150/13092274_1028347800585666_593177028_a.jpg</v>
      </c>
    </row>
    <row r="3731" spans="1:31" ht="15" x14ac:dyDescent="0.25">
      <c r="A3731" t="s">
        <v>2474</v>
      </c>
      <c r="B3731" t="s">
        <v>21002</v>
      </c>
      <c r="C3731" s="221">
        <v>42977.69972222222</v>
      </c>
      <c r="D3731" t="s">
        <v>21003</v>
      </c>
      <c r="E3731" s="249" t="str">
        <f>HYPERLINK("https://www.instagram.com/p/BYbpBD8lLRh/")</f>
        <v>https://www.instagram.com/p/BYbpBD8lLRh/</v>
      </c>
      <c r="F3731" t="s">
        <v>21004</v>
      </c>
      <c r="G3731" t="s">
        <v>2478</v>
      </c>
      <c r="H3731">
        <v>478</v>
      </c>
      <c r="I3731" t="s">
        <v>3170</v>
      </c>
      <c r="J3731">
        <v>0</v>
      </c>
      <c r="K3731">
        <v>42</v>
      </c>
      <c r="L3731">
        <v>42</v>
      </c>
      <c r="Q3731">
        <v>0</v>
      </c>
      <c r="R3731">
        <v>0</v>
      </c>
      <c r="S3731">
        <v>42</v>
      </c>
      <c r="Y3731" t="s">
        <v>21005</v>
      </c>
      <c r="Z3731" t="s">
        <v>3549</v>
      </c>
      <c r="AA3731" t="s">
        <v>7264</v>
      </c>
      <c r="AB3731" t="s">
        <v>21006</v>
      </c>
      <c r="AC3731" t="s">
        <v>3384</v>
      </c>
      <c r="AD3731" s="249" t="str">
        <f>HYPERLINK("https://scontent.cdninstagram.com/t51.2885-15/s320x320/e35/21224261_1842406572756172_2604503906717270016_n.jpg")</f>
        <v>https://scontent.cdninstagram.com/t51.2885-15/s320x320/e35/21224261_1842406572756172_2604503906717270016_n.jpg</v>
      </c>
      <c r="AE3731" s="249" t="str">
        <f>HYPERLINK("https://scontent.cdninstagram.com/t51.2885-19/11899467_576423415830317_1186401656_a.jpg")</f>
        <v>https://scontent.cdninstagram.com/t51.2885-19/11899467_576423415830317_1186401656_a.jpg</v>
      </c>
    </row>
    <row r="3732" spans="1:31" ht="15" x14ac:dyDescent="0.25">
      <c r="A3732" t="s">
        <v>2474</v>
      </c>
      <c r="B3732" t="s">
        <v>21007</v>
      </c>
      <c r="C3732" s="221">
        <v>42977.70815972222</v>
      </c>
      <c r="D3732" t="s">
        <v>21008</v>
      </c>
      <c r="E3732" s="249" t="str">
        <f>HYPERLINK("https://www.instagram.com/p/BYbqaD5FNAQ/")</f>
        <v>https://www.instagram.com/p/BYbqaD5FNAQ/</v>
      </c>
      <c r="F3732" t="s">
        <v>21009</v>
      </c>
      <c r="G3732" t="s">
        <v>2478</v>
      </c>
      <c r="H3732">
        <v>243</v>
      </c>
      <c r="I3732" t="s">
        <v>2510</v>
      </c>
      <c r="J3732">
        <v>9</v>
      </c>
      <c r="K3732">
        <v>40</v>
      </c>
      <c r="L3732">
        <v>49</v>
      </c>
      <c r="Q3732">
        <v>0</v>
      </c>
      <c r="R3732">
        <v>0</v>
      </c>
      <c r="S3732">
        <v>49</v>
      </c>
      <c r="Y3732" t="s">
        <v>21010</v>
      </c>
      <c r="Z3732" t="s">
        <v>20374</v>
      </c>
      <c r="AA3732" t="s">
        <v>2497</v>
      </c>
      <c r="AD3732" s="249" t="str">
        <f>HYPERLINK("https://scontent.cdninstagram.com/t51.2885-15/e35/p320x320/21148044_148145725771952_1159765053956685824_n.jpg")</f>
        <v>https://scontent.cdninstagram.com/t51.2885-15/e35/p320x320/21148044_148145725771952_1159765053956685824_n.jpg</v>
      </c>
      <c r="AE3732" s="249" t="str">
        <f>HYPERLINK("https://scontent.cdninstagram.com/t51.2885-19/10932564_331530087053929_2052878260_a.jpg")</f>
        <v>https://scontent.cdninstagram.com/t51.2885-19/10932564_331530087053929_2052878260_a.jpg</v>
      </c>
    </row>
    <row r="3733" spans="1:31" ht="15" x14ac:dyDescent="0.25">
      <c r="A3733" t="s">
        <v>2474</v>
      </c>
      <c r="B3733" t="s">
        <v>21011</v>
      </c>
      <c r="C3733" s="221">
        <v>42977.719710648147</v>
      </c>
      <c r="D3733" t="s">
        <v>21012</v>
      </c>
      <c r="E3733" s="249" t="str">
        <f>HYPERLINK("https://www.instagram.com/p/BYbsT1ng1ph/")</f>
        <v>https://www.instagram.com/p/BYbsT1ng1ph/</v>
      </c>
      <c r="F3733" t="s">
        <v>21013</v>
      </c>
      <c r="G3733" t="s">
        <v>2478</v>
      </c>
      <c r="H3733">
        <v>6161</v>
      </c>
      <c r="I3733" t="s">
        <v>2479</v>
      </c>
      <c r="J3733">
        <v>35</v>
      </c>
      <c r="K3733">
        <v>598</v>
      </c>
      <c r="L3733">
        <v>633</v>
      </c>
      <c r="Q3733">
        <v>0</v>
      </c>
      <c r="R3733">
        <v>0</v>
      </c>
      <c r="S3733">
        <v>633</v>
      </c>
      <c r="Y3733" t="s">
        <v>21014</v>
      </c>
      <c r="Z3733" t="s">
        <v>21015</v>
      </c>
      <c r="AA3733" t="s">
        <v>21016</v>
      </c>
      <c r="AB3733" t="s">
        <v>2734</v>
      </c>
      <c r="AC3733" t="s">
        <v>3706</v>
      </c>
      <c r="AD3733" s="249" t="str">
        <f>HYPERLINK("https://scontent.cdninstagram.com/t51.2885-15/e35/p320x320/21149868_1395534213833415_8491846249153036288_n.jpg")</f>
        <v>https://scontent.cdninstagram.com/t51.2885-15/e35/p320x320/21149868_1395534213833415_8491846249153036288_n.jpg</v>
      </c>
      <c r="AE3733" s="249" t="str">
        <f>HYPERLINK("https://scontent.cdninstagram.com/t51.2885-19/s150x150/20766976_169556143590437_765000019777421312_a.jpg")</f>
        <v>https://scontent.cdninstagram.com/t51.2885-19/s150x150/20766976_169556143590437_765000019777421312_a.jpg</v>
      </c>
    </row>
    <row r="3734" spans="1:31" ht="15" x14ac:dyDescent="0.25">
      <c r="A3734" t="s">
        <v>2474</v>
      </c>
      <c r="B3734" t="s">
        <v>21017</v>
      </c>
      <c r="C3734" s="221">
        <v>42977.720729166664</v>
      </c>
      <c r="D3734" t="s">
        <v>21018</v>
      </c>
      <c r="E3734" s="249" t="str">
        <f>HYPERLINK("https://www.instagram.com/p/BYbsempFBpJ/")</f>
        <v>https://www.instagram.com/p/BYbsempFBpJ/</v>
      </c>
      <c r="F3734" t="s">
        <v>21019</v>
      </c>
      <c r="G3734" t="s">
        <v>2488</v>
      </c>
      <c r="H3734">
        <v>265</v>
      </c>
      <c r="I3734" t="s">
        <v>2479</v>
      </c>
      <c r="J3734">
        <v>1</v>
      </c>
      <c r="K3734">
        <v>43</v>
      </c>
      <c r="L3734">
        <v>44</v>
      </c>
      <c r="Q3734">
        <v>0</v>
      </c>
      <c r="R3734">
        <v>0</v>
      </c>
      <c r="S3734">
        <v>44</v>
      </c>
      <c r="T3734" t="s">
        <v>21020</v>
      </c>
      <c r="U3734" t="s">
        <v>99</v>
      </c>
      <c r="V3734" t="s">
        <v>2299</v>
      </c>
      <c r="W3734">
        <v>40.494689999999999</v>
      </c>
      <c r="X3734">
        <v>-74.440669999999997</v>
      </c>
      <c r="Y3734" t="s">
        <v>21021</v>
      </c>
      <c r="Z3734" t="s">
        <v>8009</v>
      </c>
      <c r="AA3734" t="s">
        <v>21022</v>
      </c>
      <c r="AB3734" t="s">
        <v>21023</v>
      </c>
      <c r="AC3734" t="s">
        <v>21024</v>
      </c>
      <c r="AD3734" s="249" t="str">
        <f>HYPERLINK("https://scontent.cdninstagram.com/t51.2885-15/e35/p320x320/21147362_356772661418211_1304782425682870272_n.jpg")</f>
        <v>https://scontent.cdninstagram.com/t51.2885-15/e35/p320x320/21147362_356772661418211_1304782425682870272_n.jpg</v>
      </c>
      <c r="AE3734" s="249" t="str">
        <f>HYPERLINK("https://scontent.cdninstagram.com/t51.2885-19/s150x150/20838711_124229164882007_1240333662562549760_a.jpg")</f>
        <v>https://scontent.cdninstagram.com/t51.2885-19/s150x150/20838711_124229164882007_1240333662562549760_a.jpg</v>
      </c>
    </row>
    <row r="3735" spans="1:31" ht="15" x14ac:dyDescent="0.25">
      <c r="A3735" t="s">
        <v>2474</v>
      </c>
      <c r="B3735" t="s">
        <v>3248</v>
      </c>
      <c r="C3735" s="221">
        <v>42977.724699074075</v>
      </c>
      <c r="D3735" t="s">
        <v>21025</v>
      </c>
      <c r="E3735" s="249" t="str">
        <f>HYPERLINK("https://www.instagram.com/p/BYbtIbrDN-3/")</f>
        <v>https://www.instagram.com/p/BYbtIbrDN-3/</v>
      </c>
      <c r="F3735" t="s">
        <v>21026</v>
      </c>
      <c r="G3735" t="s">
        <v>2478</v>
      </c>
      <c r="H3735">
        <v>32849</v>
      </c>
      <c r="I3735" t="s">
        <v>2479</v>
      </c>
      <c r="J3735">
        <v>5</v>
      </c>
      <c r="K3735">
        <v>675</v>
      </c>
      <c r="L3735">
        <v>680</v>
      </c>
      <c r="Q3735">
        <v>0</v>
      </c>
      <c r="R3735">
        <v>0</v>
      </c>
      <c r="S3735">
        <v>680</v>
      </c>
      <c r="AD3735" s="249" t="str">
        <f>HYPERLINK("https://scontent.cdninstagram.com/t51.2885-15/s320x320/e35/21149607_842822812552245_4382805823949111296_n.jpg")</f>
        <v>https://scontent.cdninstagram.com/t51.2885-15/s320x320/e35/21149607_842822812552245_4382805823949111296_n.jpg</v>
      </c>
      <c r="AE3735" s="249" t="str">
        <f>HYPERLINK("https://scontent.cdninstagram.com/t51.2885-19/s150x150/16229301_1876915245885793_5124596849776263168_n.jpg")</f>
        <v>https://scontent.cdninstagram.com/t51.2885-19/s150x150/16229301_1876915245885793_5124596849776263168_n.jpg</v>
      </c>
    </row>
    <row r="3736" spans="1:31" ht="15" x14ac:dyDescent="0.25">
      <c r="A3736" t="s">
        <v>2474</v>
      </c>
      <c r="B3736" t="s">
        <v>21027</v>
      </c>
      <c r="C3736" s="221">
        <v>42977.728900462964</v>
      </c>
      <c r="D3736" t="s">
        <v>21028</v>
      </c>
      <c r="E3736" s="249" t="str">
        <f>HYPERLINK("https://www.instagram.com/p/BYbt0yeglnK/")</f>
        <v>https://www.instagram.com/p/BYbt0yeglnK/</v>
      </c>
      <c r="F3736" t="s">
        <v>21029</v>
      </c>
      <c r="G3736" t="s">
        <v>2631</v>
      </c>
      <c r="H3736">
        <v>367</v>
      </c>
      <c r="I3736" t="s">
        <v>2479</v>
      </c>
      <c r="J3736">
        <v>3</v>
      </c>
      <c r="K3736">
        <v>32</v>
      </c>
      <c r="L3736">
        <v>35</v>
      </c>
      <c r="Q3736">
        <v>0</v>
      </c>
      <c r="R3736">
        <v>0</v>
      </c>
      <c r="S3736">
        <v>35</v>
      </c>
      <c r="Y3736" t="s">
        <v>3174</v>
      </c>
      <c r="Z3736" t="s">
        <v>21030</v>
      </c>
      <c r="AA3736" t="s">
        <v>2696</v>
      </c>
      <c r="AB3736" t="s">
        <v>2497</v>
      </c>
      <c r="AC3736" t="s">
        <v>6922</v>
      </c>
      <c r="AD3736" s="249" t="str">
        <f>HYPERLINK("https://scontent.cdninstagram.com/t51.2885-15/s320x320/e15/21147861_301072683702123_6434774823829766144_n.jpg")</f>
        <v>https://scontent.cdninstagram.com/t51.2885-15/s320x320/e15/21147861_301072683702123_6434774823829766144_n.jpg</v>
      </c>
      <c r="AE3736" s="249" t="str">
        <f>HYPERLINK("https://scontent.cdninstagram.com/t51.2885-19/s150x150/20686595_499666437046650_6245503981691338752_a.jpg")</f>
        <v>https://scontent.cdninstagram.com/t51.2885-19/s150x150/20686595_499666437046650_6245503981691338752_a.jpg</v>
      </c>
    </row>
    <row r="3737" spans="1:31" ht="15" x14ac:dyDescent="0.25">
      <c r="A3737" t="s">
        <v>2474</v>
      </c>
      <c r="B3737" t="s">
        <v>21031</v>
      </c>
      <c r="C3737" s="221">
        <v>42977.732499999998</v>
      </c>
      <c r="D3737" t="s">
        <v>21032</v>
      </c>
      <c r="E3737" s="249" t="str">
        <f>HYPERLINK("https://www.instagram.com/p/BYbuatpDfnB/")</f>
        <v>https://www.instagram.com/p/BYbuatpDfnB/</v>
      </c>
      <c r="F3737" t="s">
        <v>21033</v>
      </c>
      <c r="G3737" t="s">
        <v>2478</v>
      </c>
      <c r="H3737">
        <v>164684</v>
      </c>
      <c r="I3737" t="s">
        <v>2479</v>
      </c>
      <c r="J3737">
        <v>31</v>
      </c>
      <c r="K3737">
        <v>5375</v>
      </c>
      <c r="L3737">
        <v>5406</v>
      </c>
      <c r="Q3737">
        <v>0</v>
      </c>
      <c r="R3737">
        <v>0</v>
      </c>
      <c r="S3737">
        <v>5406</v>
      </c>
      <c r="Y3737" t="s">
        <v>5577</v>
      </c>
      <c r="Z3737" t="s">
        <v>6366</v>
      </c>
      <c r="AA3737" t="s">
        <v>21034</v>
      </c>
      <c r="AB3737" t="s">
        <v>21035</v>
      </c>
      <c r="AC3737" t="s">
        <v>2497</v>
      </c>
      <c r="AD3737" s="249" t="str">
        <f>HYPERLINK("https://scontent.cdninstagram.com/t51.2885-15/s320x320/e35/21149451_1198274676983386_389137475970269184_n.jpg")</f>
        <v>https://scontent.cdninstagram.com/t51.2885-15/s320x320/e35/21149451_1198274676983386_389137475970269184_n.jpg</v>
      </c>
      <c r="AE3737" s="249" t="str">
        <f>HYPERLINK("https://scontent.cdninstagram.com/t51.2885-19/10957245_455817094569962_2104117377_a.jpg")</f>
        <v>https://scontent.cdninstagram.com/t51.2885-19/10957245_455817094569962_2104117377_a.jpg</v>
      </c>
    </row>
    <row r="3738" spans="1:31" ht="15" x14ac:dyDescent="0.25">
      <c r="A3738" t="s">
        <v>2474</v>
      </c>
      <c r="B3738" t="s">
        <v>21036</v>
      </c>
      <c r="C3738" s="221">
        <v>42977.740162037036</v>
      </c>
      <c r="D3738" t="s">
        <v>21037</v>
      </c>
      <c r="E3738" s="249" t="str">
        <f>HYPERLINK("https://www.instagram.com/p/BYbvrkOA0zp/")</f>
        <v>https://www.instagram.com/p/BYbvrkOA0zp/</v>
      </c>
      <c r="F3738" t="s">
        <v>21038</v>
      </c>
      <c r="G3738" t="s">
        <v>2478</v>
      </c>
      <c r="H3738">
        <v>327</v>
      </c>
      <c r="I3738" t="s">
        <v>2479</v>
      </c>
      <c r="J3738">
        <v>0</v>
      </c>
      <c r="K3738">
        <v>27</v>
      </c>
      <c r="L3738">
        <v>27</v>
      </c>
      <c r="Q3738">
        <v>0</v>
      </c>
      <c r="R3738">
        <v>0</v>
      </c>
      <c r="S3738">
        <v>27</v>
      </c>
      <c r="T3738" t="s">
        <v>21039</v>
      </c>
      <c r="V3738" t="s">
        <v>2288</v>
      </c>
      <c r="W3738">
        <v>53.785263193052998</v>
      </c>
      <c r="X3738">
        <v>-1.4581990242003999</v>
      </c>
      <c r="Y3738" t="s">
        <v>2617</v>
      </c>
      <c r="Z3738" t="s">
        <v>21040</v>
      </c>
      <c r="AA3738" t="s">
        <v>5625</v>
      </c>
      <c r="AB3738" t="s">
        <v>20814</v>
      </c>
      <c r="AC3738" t="s">
        <v>3256</v>
      </c>
      <c r="AD3738" s="249" t="str">
        <f>HYPERLINK("https://scontent.cdninstagram.com/t51.2885-15/s320x320/e35/21149603_735174596669538_1945171962300989440_n.jpg")</f>
        <v>https://scontent.cdninstagram.com/t51.2885-15/s320x320/e35/21149603_735174596669538_1945171962300989440_n.jpg</v>
      </c>
      <c r="AE3738" s="249" t="str">
        <f>HYPERLINK("https://scontent.cdninstagram.com/t51.2885-19/s150x150/16122533_373843759674777_8364171989727838208_n.jpg")</f>
        <v>https://scontent.cdninstagram.com/t51.2885-19/s150x150/16122533_373843759674777_8364171989727838208_n.jpg</v>
      </c>
    </row>
    <row r="3739" spans="1:31" ht="15" x14ac:dyDescent="0.25">
      <c r="A3739" t="s">
        <v>2474</v>
      </c>
      <c r="B3739" t="s">
        <v>21041</v>
      </c>
      <c r="C3739" s="221">
        <v>42977.748738425929</v>
      </c>
      <c r="D3739" t="s">
        <v>21042</v>
      </c>
      <c r="E3739" s="249" t="str">
        <f>HYPERLINK("https://www.instagram.com/p/BYbxF_ngI4G/")</f>
        <v>https://www.instagram.com/p/BYbxF_ngI4G/</v>
      </c>
      <c r="F3739" t="s">
        <v>21043</v>
      </c>
      <c r="G3739" t="s">
        <v>2478</v>
      </c>
      <c r="H3739">
        <v>220</v>
      </c>
      <c r="I3739" t="s">
        <v>2479</v>
      </c>
      <c r="J3739">
        <v>0</v>
      </c>
      <c r="K3739">
        <v>13</v>
      </c>
      <c r="L3739">
        <v>13</v>
      </c>
      <c r="Q3739">
        <v>0</v>
      </c>
      <c r="R3739">
        <v>0</v>
      </c>
      <c r="S3739">
        <v>13</v>
      </c>
      <c r="Y3739" t="s">
        <v>2673</v>
      </c>
      <c r="Z3739" t="s">
        <v>21044</v>
      </c>
      <c r="AA3739" t="s">
        <v>2697</v>
      </c>
      <c r="AB3739" t="s">
        <v>6760</v>
      </c>
      <c r="AC3739" t="s">
        <v>2492</v>
      </c>
      <c r="AD3739" s="249" t="str">
        <f>HYPERLINK("https://scontent.cdninstagram.com/t51.2885-15/s320x320/e35/21227590_135098527101849_8522035608636358656_n.jpg")</f>
        <v>https://scontent.cdninstagram.com/t51.2885-15/s320x320/e35/21227590_135098527101849_8522035608636358656_n.jpg</v>
      </c>
      <c r="AE3739" s="249" t="str">
        <f>HYPERLINK("https://scontent.cdninstagram.com/t51.2885-19/s150x150/18443897_668486486695621_9050680090601455616_a.jpg")</f>
        <v>https://scontent.cdninstagram.com/t51.2885-19/s150x150/18443897_668486486695621_9050680090601455616_a.jpg</v>
      </c>
    </row>
    <row r="3740" spans="1:31" ht="15" x14ac:dyDescent="0.25">
      <c r="A3740" t="s">
        <v>2474</v>
      </c>
      <c r="B3740" t="s">
        <v>21045</v>
      </c>
      <c r="C3740" s="221">
        <v>42977.752187500002</v>
      </c>
      <c r="D3740" t="s">
        <v>21046</v>
      </c>
      <c r="E3740" s="249" t="str">
        <f>HYPERLINK("https://www.instagram.com/p/BYbxqWAgtJb/")</f>
        <v>https://www.instagram.com/p/BYbxqWAgtJb/</v>
      </c>
      <c r="F3740" t="s">
        <v>21047</v>
      </c>
      <c r="G3740" t="s">
        <v>2478</v>
      </c>
      <c r="H3740">
        <v>482</v>
      </c>
      <c r="I3740" t="s">
        <v>3025</v>
      </c>
      <c r="J3740">
        <v>0</v>
      </c>
      <c r="K3740">
        <v>32</v>
      </c>
      <c r="L3740">
        <v>32</v>
      </c>
      <c r="Q3740">
        <v>0</v>
      </c>
      <c r="R3740">
        <v>0</v>
      </c>
      <c r="S3740">
        <v>32</v>
      </c>
      <c r="Y3740" t="s">
        <v>3349</v>
      </c>
      <c r="Z3740" t="s">
        <v>2497</v>
      </c>
      <c r="AA3740" t="s">
        <v>6760</v>
      </c>
      <c r="AB3740" t="s">
        <v>21048</v>
      </c>
      <c r="AC3740" t="s">
        <v>21049</v>
      </c>
      <c r="AD3740" s="249" t="str">
        <f>HYPERLINK("https://scontent.cdninstagram.com/t51.2885-15/e35/p320x320/21147683_1469803673117507_2285448765030531072_n.jpg")</f>
        <v>https://scontent.cdninstagram.com/t51.2885-15/e35/p320x320/21147683_1469803673117507_2285448765030531072_n.jpg</v>
      </c>
      <c r="AE3740" s="249" t="str">
        <f>HYPERLINK("https://scontent.cdninstagram.com/t51.2885-19/s150x150/1172086_236226390199079_1928369869850411008_a.jpg")</f>
        <v>https://scontent.cdninstagram.com/t51.2885-19/s150x150/1172086_236226390199079_1928369869850411008_a.jpg</v>
      </c>
    </row>
    <row r="3741" spans="1:31" ht="15" x14ac:dyDescent="0.25">
      <c r="A3741" t="s">
        <v>2474</v>
      </c>
      <c r="B3741" t="s">
        <v>21050</v>
      </c>
      <c r="C3741" s="221">
        <v>42977.759780092594</v>
      </c>
      <c r="D3741" t="s">
        <v>21051</v>
      </c>
      <c r="E3741" s="249" t="str">
        <f>HYPERLINK("https://www.instagram.com/p/BYby6ZGD0EY/")</f>
        <v>https://www.instagram.com/p/BYby6ZGD0EY/</v>
      </c>
      <c r="F3741" t="s">
        <v>21052</v>
      </c>
      <c r="G3741" t="s">
        <v>2478</v>
      </c>
      <c r="H3741">
        <v>688</v>
      </c>
      <c r="I3741" t="s">
        <v>2542</v>
      </c>
      <c r="J3741">
        <v>6</v>
      </c>
      <c r="K3741">
        <v>116</v>
      </c>
      <c r="L3741">
        <v>122</v>
      </c>
      <c r="Q3741">
        <v>0</v>
      </c>
      <c r="R3741">
        <v>0</v>
      </c>
      <c r="S3741">
        <v>122</v>
      </c>
      <c r="Y3741" t="s">
        <v>21053</v>
      </c>
      <c r="Z3741" t="s">
        <v>21054</v>
      </c>
      <c r="AA3741" t="s">
        <v>21055</v>
      </c>
      <c r="AB3741" t="s">
        <v>9470</v>
      </c>
      <c r="AC3741" t="s">
        <v>21056</v>
      </c>
      <c r="AD3741" s="249" t="str">
        <f>HYPERLINK("https://scontent.cdninstagram.com/t51.2885-15/e35/p320x320/21147415_468872453489015_658442757336989696_n.jpg")</f>
        <v>https://scontent.cdninstagram.com/t51.2885-15/e35/p320x320/21147415_468872453489015_658442757336989696_n.jpg</v>
      </c>
      <c r="AE3741" s="249" t="str">
        <f>HYPERLINK("https://scontent.cdninstagram.com/t51.2885-19/s150x150/20066197_463527520669818_3184301908739227648_a.jpg")</f>
        <v>https://scontent.cdninstagram.com/t51.2885-19/s150x150/20066197_463527520669818_3184301908739227648_a.jpg</v>
      </c>
    </row>
    <row r="3742" spans="1:31" ht="15" x14ac:dyDescent="0.25">
      <c r="A3742" t="s">
        <v>2474</v>
      </c>
      <c r="B3742" t="s">
        <v>5149</v>
      </c>
      <c r="C3742" s="221">
        <v>42977.76258101852</v>
      </c>
      <c r="D3742" t="s">
        <v>21057</v>
      </c>
      <c r="E3742" s="249" t="str">
        <f>HYPERLINK("https://www.instagram.com/p/BYbzX-SjBKK/")</f>
        <v>https://www.instagram.com/p/BYbzX-SjBKK/</v>
      </c>
      <c r="F3742" t="s">
        <v>21058</v>
      </c>
      <c r="G3742" t="s">
        <v>2478</v>
      </c>
      <c r="H3742">
        <v>64689</v>
      </c>
      <c r="I3742" t="s">
        <v>2479</v>
      </c>
      <c r="J3742">
        <v>0</v>
      </c>
      <c r="K3742">
        <v>23</v>
      </c>
      <c r="L3742">
        <v>23</v>
      </c>
      <c r="Q3742">
        <v>0</v>
      </c>
      <c r="R3742">
        <v>0</v>
      </c>
      <c r="S3742">
        <v>23</v>
      </c>
      <c r="Y3742" t="s">
        <v>2497</v>
      </c>
      <c r="Z3742" t="s">
        <v>21059</v>
      </c>
      <c r="AD3742" s="249" t="str">
        <f>HYPERLINK("https://scontent.cdninstagram.com/t51.2885-15/s320x320/e35/21149761_462714630753490_4207238616134451200_n.jpg")</f>
        <v>https://scontent.cdninstagram.com/t51.2885-15/s320x320/e35/21149761_462714630753490_4207238616134451200_n.jpg</v>
      </c>
      <c r="AE3742" s="249" t="str">
        <f>HYPERLINK("https://scontent.cdninstagram.com/t51.2885-19/s150x150/14128779_278010482584432_2056131760_a.jpg")</f>
        <v>https://scontent.cdninstagram.com/t51.2885-19/s150x150/14128779_278010482584432_2056131760_a.jpg</v>
      </c>
    </row>
    <row r="3743" spans="1:31" ht="15" x14ac:dyDescent="0.25">
      <c r="A3743" t="s">
        <v>2474</v>
      </c>
      <c r="B3743" t="s">
        <v>21060</v>
      </c>
      <c r="C3743" s="221">
        <v>42977.768425925926</v>
      </c>
      <c r="D3743" t="s">
        <v>21061</v>
      </c>
      <c r="E3743" s="249" t="str">
        <f>HYPERLINK("https://www.instagram.com/p/BYb0VqkAGBE/")</f>
        <v>https://www.instagram.com/p/BYb0VqkAGBE/</v>
      </c>
      <c r="F3743" t="s">
        <v>21062</v>
      </c>
      <c r="G3743" t="s">
        <v>2478</v>
      </c>
      <c r="H3743">
        <v>1006</v>
      </c>
      <c r="I3743" t="s">
        <v>2479</v>
      </c>
      <c r="J3743">
        <v>0</v>
      </c>
      <c r="K3743">
        <v>33</v>
      </c>
      <c r="L3743">
        <v>33</v>
      </c>
      <c r="Q3743">
        <v>0</v>
      </c>
      <c r="R3743">
        <v>0</v>
      </c>
      <c r="S3743">
        <v>33</v>
      </c>
      <c r="T3743" t="s">
        <v>21063</v>
      </c>
      <c r="V3743" t="s">
        <v>2118</v>
      </c>
      <c r="W3743">
        <v>-3.1293145</v>
      </c>
      <c r="X3743">
        <v>-60.019950799999997</v>
      </c>
      <c r="Y3743" t="s">
        <v>21064</v>
      </c>
      <c r="Z3743" t="s">
        <v>21065</v>
      </c>
      <c r="AA3743" t="s">
        <v>2497</v>
      </c>
      <c r="AB3743" t="s">
        <v>21066</v>
      </c>
      <c r="AC3743" t="s">
        <v>21067</v>
      </c>
      <c r="AD3743" s="249" t="str">
        <f>HYPERLINK("https://scontent.cdninstagram.com/t51.2885-15/s320x320/e35/21226977_480559345652151_7794519400538701824_n.jpg")</f>
        <v>https://scontent.cdninstagram.com/t51.2885-15/s320x320/e35/21226977_480559345652151_7794519400538701824_n.jpg</v>
      </c>
      <c r="AE3743" s="249" t="str">
        <f>HYPERLINK("https://scontent.cdninstagram.com/t51.2885-19/s150x150/20479143_186681601871236_7096724787036160000_a.jpg")</f>
        <v>https://scontent.cdninstagram.com/t51.2885-19/s150x150/20479143_186681601871236_7096724787036160000_a.jpg</v>
      </c>
    </row>
    <row r="3744" spans="1:31" ht="15" x14ac:dyDescent="0.25">
      <c r="A3744" t="s">
        <v>2474</v>
      </c>
      <c r="B3744" t="s">
        <v>20151</v>
      </c>
      <c r="C3744" s="221">
        <v>42977.771793981483</v>
      </c>
      <c r="D3744" t="s">
        <v>21068</v>
      </c>
      <c r="E3744" s="249" t="str">
        <f>HYPERLINK("https://www.instagram.com/p/BYb05KOlm6-/")</f>
        <v>https://www.instagram.com/p/BYb05KOlm6-/</v>
      </c>
      <c r="F3744" t="s">
        <v>21069</v>
      </c>
      <c r="G3744" t="s">
        <v>2478</v>
      </c>
      <c r="H3744">
        <v>53</v>
      </c>
      <c r="I3744" t="s">
        <v>2542</v>
      </c>
      <c r="J3744">
        <v>2</v>
      </c>
      <c r="K3744">
        <v>21</v>
      </c>
      <c r="L3744">
        <v>23</v>
      </c>
      <c r="Q3744">
        <v>0</v>
      </c>
      <c r="R3744">
        <v>0</v>
      </c>
      <c r="S3744">
        <v>23</v>
      </c>
      <c r="T3744" t="s">
        <v>21070</v>
      </c>
      <c r="V3744" t="s">
        <v>2240</v>
      </c>
      <c r="W3744">
        <v>38.700000000000003</v>
      </c>
      <c r="X3744">
        <v>-9.1833333333332998</v>
      </c>
      <c r="Y3744" t="s">
        <v>4754</v>
      </c>
      <c r="Z3744" t="s">
        <v>2728</v>
      </c>
      <c r="AA3744" t="s">
        <v>8481</v>
      </c>
      <c r="AB3744" t="s">
        <v>3174</v>
      </c>
      <c r="AC3744" t="s">
        <v>4620</v>
      </c>
      <c r="AD3744" s="249" t="str">
        <f>HYPERLINK("https://scontent.cdninstagram.com/t51.2885-15/s320x320/e35/21149771_1391464500938572_5076527528554790912_n.jpg")</f>
        <v>https://scontent.cdninstagram.com/t51.2885-15/s320x320/e35/21149771_1391464500938572_5076527528554790912_n.jpg</v>
      </c>
      <c r="AE3744" s="249" t="str">
        <f>HYPERLINK("https://scontent.cdninstagram.com/t51.2885-19/s150x150/21294696_294874230994630_4097685682724536320_a.jpg")</f>
        <v>https://scontent.cdninstagram.com/t51.2885-19/s150x150/21294696_294874230994630_4097685682724536320_a.jpg</v>
      </c>
    </row>
    <row r="3745" spans="1:31" ht="15" x14ac:dyDescent="0.25">
      <c r="A3745" t="s">
        <v>2474</v>
      </c>
      <c r="B3745" t="s">
        <v>21071</v>
      </c>
      <c r="C3745" s="221">
        <v>42977.77851851852</v>
      </c>
      <c r="D3745" t="s">
        <v>21072</v>
      </c>
      <c r="E3745" s="249" t="str">
        <f>HYPERLINK("https://www.instagram.com/p/BYb2ABCAG40/")</f>
        <v>https://www.instagram.com/p/BYb2ABCAG40/</v>
      </c>
      <c r="F3745" t="s">
        <v>21073</v>
      </c>
      <c r="G3745" t="s">
        <v>2478</v>
      </c>
      <c r="H3745">
        <v>201</v>
      </c>
      <c r="I3745" t="s">
        <v>2542</v>
      </c>
      <c r="J3745">
        <v>0</v>
      </c>
      <c r="K3745">
        <v>20</v>
      </c>
      <c r="L3745">
        <v>20</v>
      </c>
      <c r="Q3745">
        <v>0</v>
      </c>
      <c r="R3745">
        <v>0</v>
      </c>
      <c r="S3745">
        <v>20</v>
      </c>
      <c r="T3745" t="s">
        <v>21074</v>
      </c>
      <c r="U3745" t="s">
        <v>146</v>
      </c>
      <c r="V3745" t="s">
        <v>2299</v>
      </c>
      <c r="W3745">
        <v>32.797057536598999</v>
      </c>
      <c r="X3745">
        <v>-117.21218545353</v>
      </c>
      <c r="Y3745" t="s">
        <v>21075</v>
      </c>
      <c r="Z3745" t="s">
        <v>21076</v>
      </c>
      <c r="AA3745" t="s">
        <v>6577</v>
      </c>
      <c r="AB3745" t="s">
        <v>21077</v>
      </c>
      <c r="AC3745" t="s">
        <v>2497</v>
      </c>
      <c r="AD3745" s="249" t="str">
        <f>HYPERLINK("https://scontent.cdninstagram.com/t51.2885-15/s320x320/e35/21149846_124398004872411_2230423344841228288_n.jpg")</f>
        <v>https://scontent.cdninstagram.com/t51.2885-15/s320x320/e35/21149846_124398004872411_2230423344841228288_n.jpg</v>
      </c>
      <c r="AE3745" s="249" t="str">
        <f>HYPERLINK("https://scontent.cdninstagram.com/t51.2885-19/s150x150/19984646_1219785074833500_5331796319927271424_a.jpg")</f>
        <v>https://scontent.cdninstagram.com/t51.2885-19/s150x150/19984646_1219785074833500_5331796319927271424_a.jpg</v>
      </c>
    </row>
    <row r="3746" spans="1:31" ht="15" x14ac:dyDescent="0.25">
      <c r="A3746" t="s">
        <v>2474</v>
      </c>
      <c r="B3746" t="s">
        <v>21078</v>
      </c>
      <c r="C3746" s="221">
        <v>42977.786493055559</v>
      </c>
      <c r="D3746" t="s">
        <v>21079</v>
      </c>
      <c r="E3746" s="249" t="str">
        <f>HYPERLINK("https://www.instagram.com/p/BYb3ULHjaCr/")</f>
        <v>https://www.instagram.com/p/BYb3ULHjaCr/</v>
      </c>
      <c r="F3746" t="s">
        <v>21080</v>
      </c>
      <c r="G3746" t="s">
        <v>2478</v>
      </c>
      <c r="H3746">
        <v>361</v>
      </c>
      <c r="I3746" t="s">
        <v>3575</v>
      </c>
      <c r="J3746">
        <v>0</v>
      </c>
      <c r="K3746">
        <v>50</v>
      </c>
      <c r="L3746">
        <v>50</v>
      </c>
      <c r="Q3746">
        <v>0</v>
      </c>
      <c r="R3746">
        <v>0</v>
      </c>
      <c r="S3746">
        <v>50</v>
      </c>
      <c r="T3746" t="s">
        <v>21081</v>
      </c>
      <c r="V3746" t="s">
        <v>2103</v>
      </c>
      <c r="W3746">
        <v>48.178238603331003</v>
      </c>
      <c r="X3746">
        <v>16.375211337597001</v>
      </c>
      <c r="Y3746" t="s">
        <v>5000</v>
      </c>
      <c r="Z3746" t="s">
        <v>21082</v>
      </c>
      <c r="AA3746" t="s">
        <v>2497</v>
      </c>
      <c r="AB3746" t="s">
        <v>21083</v>
      </c>
      <c r="AC3746" t="s">
        <v>21084</v>
      </c>
      <c r="AD3746" s="249" t="str">
        <f>HYPERLINK("https://scontent.cdninstagram.com/t51.2885-15/s320x320/e35/21224242_1733433640283578_1431540564288864256_n.jpg")</f>
        <v>https://scontent.cdninstagram.com/t51.2885-15/s320x320/e35/21224242_1733433640283578_1431540564288864256_n.jpg</v>
      </c>
      <c r="AE3746" s="249" t="str">
        <f>HYPERLINK("https://scontent.cdninstagram.com/t51.2885-19/s150x150/20968915_1930280983877980_2631307199883771904_a.jpg")</f>
        <v>https://scontent.cdninstagram.com/t51.2885-19/s150x150/20968915_1930280983877980_2631307199883771904_a.jpg</v>
      </c>
    </row>
    <row r="3747" spans="1:31" ht="15" x14ac:dyDescent="0.25">
      <c r="A3747" t="s">
        <v>2474</v>
      </c>
      <c r="B3747" t="s">
        <v>4650</v>
      </c>
      <c r="C3747" s="221">
        <v>42977.805868055555</v>
      </c>
      <c r="D3747" t="s">
        <v>21085</v>
      </c>
      <c r="E3747" s="249" t="str">
        <f>HYPERLINK("https://www.instagram.com/p/BYb6ggmgLGx/")</f>
        <v>https://www.instagram.com/p/BYb6ggmgLGx/</v>
      </c>
      <c r="F3747" t="s">
        <v>21086</v>
      </c>
      <c r="G3747" t="s">
        <v>2478</v>
      </c>
      <c r="H3747">
        <v>51214</v>
      </c>
      <c r="I3747" t="s">
        <v>2479</v>
      </c>
      <c r="J3747">
        <v>15</v>
      </c>
      <c r="K3747">
        <v>1210</v>
      </c>
      <c r="L3747">
        <v>1225</v>
      </c>
      <c r="Q3747">
        <v>0</v>
      </c>
      <c r="R3747">
        <v>0</v>
      </c>
      <c r="S3747">
        <v>1225</v>
      </c>
      <c r="Y3747" t="s">
        <v>21087</v>
      </c>
      <c r="Z3747" t="s">
        <v>21088</v>
      </c>
      <c r="AA3747" t="s">
        <v>18225</v>
      </c>
      <c r="AB3747" t="s">
        <v>21089</v>
      </c>
      <c r="AC3747" t="s">
        <v>20472</v>
      </c>
      <c r="AD3747" s="249" t="str">
        <f>HYPERLINK("https://scontent.cdninstagram.com/t51.2885-15/e35/p320x320/21107849_199186290619966_4171870393675546624_n.jpg")</f>
        <v>https://scontent.cdninstagram.com/t51.2885-15/e35/p320x320/21107849_199186290619966_4171870393675546624_n.jpg</v>
      </c>
      <c r="AE3747" s="249" t="str">
        <f>HYPERLINK("https://scontent.cdninstagram.com/t51.2885-19/s150x150/19761953_352834771801381_7484399315541032960_a.jpg")</f>
        <v>https://scontent.cdninstagram.com/t51.2885-19/s150x150/19761953_352834771801381_7484399315541032960_a.jpg</v>
      </c>
    </row>
    <row r="3748" spans="1:31" ht="15" x14ac:dyDescent="0.25">
      <c r="A3748" t="s">
        <v>2474</v>
      </c>
      <c r="B3748" t="s">
        <v>21090</v>
      </c>
      <c r="C3748" s="221">
        <v>42977.81354166667</v>
      </c>
      <c r="D3748" t="s">
        <v>21091</v>
      </c>
      <c r="E3748" s="249" t="str">
        <f>HYPERLINK("https://www.instagram.com/p/BYb7xdOnoCt/")</f>
        <v>https://www.instagram.com/p/BYb7xdOnoCt/</v>
      </c>
      <c r="F3748" t="s">
        <v>21092</v>
      </c>
      <c r="G3748" t="s">
        <v>2478</v>
      </c>
      <c r="H3748">
        <v>1472</v>
      </c>
      <c r="I3748" t="s">
        <v>2542</v>
      </c>
      <c r="J3748">
        <v>2</v>
      </c>
      <c r="K3748">
        <v>37</v>
      </c>
      <c r="L3748">
        <v>39</v>
      </c>
      <c r="Q3748">
        <v>0</v>
      </c>
      <c r="R3748">
        <v>0</v>
      </c>
      <c r="S3748">
        <v>39</v>
      </c>
      <c r="Y3748" t="s">
        <v>2492</v>
      </c>
      <c r="Z3748" t="s">
        <v>2861</v>
      </c>
      <c r="AA3748" t="s">
        <v>2497</v>
      </c>
      <c r="AB3748" t="s">
        <v>16483</v>
      </c>
      <c r="AC3748" t="s">
        <v>8587</v>
      </c>
      <c r="AD3748" s="249" t="str">
        <f>HYPERLINK("https://scontent.cdninstagram.com/t51.2885-15/s320x320/e35/21149421_331784017291852_6092356490276896768_n.jpg")</f>
        <v>https://scontent.cdninstagram.com/t51.2885-15/s320x320/e35/21149421_331784017291852_6092356490276896768_n.jpg</v>
      </c>
      <c r="AE3748" s="249" t="str">
        <f>HYPERLINK("https://scontent.cdninstagram.com/t51.2885-19/s150x150/21107537_1935283570075190_201882412307709952_a.jpg")</f>
        <v>https://scontent.cdninstagram.com/t51.2885-19/s150x150/21107537_1935283570075190_201882412307709952_a.jpg</v>
      </c>
    </row>
    <row r="3749" spans="1:31" ht="15" x14ac:dyDescent="0.25">
      <c r="A3749" t="s">
        <v>2474</v>
      </c>
      <c r="B3749" t="s">
        <v>21093</v>
      </c>
      <c r="C3749" s="221">
        <v>42977.814606481479</v>
      </c>
      <c r="D3749" t="s">
        <v>21094</v>
      </c>
      <c r="E3749" s="249" t="str">
        <f>HYPERLINK("https://www.instagram.com/p/BYb78oLgdRD/")</f>
        <v>https://www.instagram.com/p/BYb78oLgdRD/</v>
      </c>
      <c r="F3749" t="s">
        <v>21095</v>
      </c>
      <c r="G3749" t="s">
        <v>2488</v>
      </c>
      <c r="H3749">
        <v>355</v>
      </c>
      <c r="I3749" t="s">
        <v>2479</v>
      </c>
      <c r="J3749">
        <v>0</v>
      </c>
      <c r="K3749">
        <v>40</v>
      </c>
      <c r="L3749">
        <v>40</v>
      </c>
      <c r="Q3749">
        <v>0</v>
      </c>
      <c r="R3749">
        <v>0</v>
      </c>
      <c r="S3749">
        <v>40</v>
      </c>
      <c r="Y3749" t="s">
        <v>21096</v>
      </c>
      <c r="Z3749" t="s">
        <v>5802</v>
      </c>
      <c r="AA3749" t="s">
        <v>2634</v>
      </c>
      <c r="AB3749" t="s">
        <v>2497</v>
      </c>
      <c r="AC3749" t="s">
        <v>21097</v>
      </c>
      <c r="AD3749" s="249" t="str">
        <f>HYPERLINK("https://scontent.cdninstagram.com/t51.2885-15/s320x320/e35/21227058_1981659012079965_183101667078569984_n.jpg")</f>
        <v>https://scontent.cdninstagram.com/t51.2885-15/s320x320/e35/21227058_1981659012079965_183101667078569984_n.jpg</v>
      </c>
      <c r="AE3749" s="249" t="str">
        <f>HYPERLINK("https://scontent.cdninstagram.com/t51.2885-19/s150x150/17076948_105723900103936_6587839637123760128_a.jpg")</f>
        <v>https://scontent.cdninstagram.com/t51.2885-19/s150x150/17076948_105723900103936_6587839637123760128_a.jpg</v>
      </c>
    </row>
    <row r="3750" spans="1:31" ht="15" x14ac:dyDescent="0.25">
      <c r="A3750" t="s">
        <v>2474</v>
      </c>
      <c r="B3750" t="s">
        <v>18612</v>
      </c>
      <c r="C3750" s="221">
        <v>42977.830104166664</v>
      </c>
      <c r="D3750" t="s">
        <v>21098</v>
      </c>
      <c r="E3750" s="249" t="str">
        <f>HYPERLINK("https://www.instagram.com/p/BYb-gJQheOi/")</f>
        <v>https://www.instagram.com/p/BYb-gJQheOi/</v>
      </c>
      <c r="F3750" t="s">
        <v>21099</v>
      </c>
      <c r="G3750" t="s">
        <v>2478</v>
      </c>
      <c r="H3750">
        <v>361</v>
      </c>
      <c r="I3750" t="s">
        <v>2896</v>
      </c>
      <c r="J3750">
        <v>2</v>
      </c>
      <c r="K3750">
        <v>39</v>
      </c>
      <c r="L3750">
        <v>41</v>
      </c>
      <c r="Q3750">
        <v>0</v>
      </c>
      <c r="R3750">
        <v>0</v>
      </c>
      <c r="S3750">
        <v>41</v>
      </c>
      <c r="Y3750" t="s">
        <v>7564</v>
      </c>
      <c r="Z3750" t="s">
        <v>3225</v>
      </c>
      <c r="AA3750" t="s">
        <v>4620</v>
      </c>
      <c r="AB3750" t="s">
        <v>21100</v>
      </c>
      <c r="AC3750" t="s">
        <v>21101</v>
      </c>
      <c r="AD3750" s="249" t="str">
        <f>HYPERLINK("https://scontent.cdninstagram.com/t51.2885-15/e35/p320x320/21226935_1887634297929824_5678330250056957952_n.jpg")</f>
        <v>https://scontent.cdninstagram.com/t51.2885-15/e35/p320x320/21226935_1887634297929824_5678330250056957952_n.jpg</v>
      </c>
      <c r="AE3750" s="249" t="str">
        <f>HYPERLINK("https://scontent.cdninstagram.com/t51.2885-19/s150x150/19121149_1951444398424401_9065173139914227712_a.jpg")</f>
        <v>https://scontent.cdninstagram.com/t51.2885-19/s150x150/19121149_1951444398424401_9065173139914227712_a.jpg</v>
      </c>
    </row>
    <row r="3751" spans="1:31" ht="15" x14ac:dyDescent="0.25">
      <c r="A3751" t="s">
        <v>2474</v>
      </c>
      <c r="B3751" t="s">
        <v>3601</v>
      </c>
      <c r="C3751" s="221">
        <v>42977.831689814811</v>
      </c>
      <c r="D3751" t="s">
        <v>21102</v>
      </c>
      <c r="E3751" s="249" t="str">
        <f>HYPERLINK("https://www.instagram.com/p/BYb-w6jn_Q7/")</f>
        <v>https://www.instagram.com/p/BYb-w6jn_Q7/</v>
      </c>
      <c r="F3751" t="s">
        <v>21103</v>
      </c>
      <c r="G3751" t="s">
        <v>2478</v>
      </c>
      <c r="H3751">
        <v>681</v>
      </c>
      <c r="I3751" t="s">
        <v>2479</v>
      </c>
      <c r="J3751">
        <v>3</v>
      </c>
      <c r="K3751">
        <v>19</v>
      </c>
      <c r="L3751">
        <v>22</v>
      </c>
      <c r="Q3751">
        <v>0</v>
      </c>
      <c r="R3751">
        <v>0</v>
      </c>
      <c r="S3751">
        <v>22</v>
      </c>
      <c r="Y3751" t="s">
        <v>6865</v>
      </c>
      <c r="Z3751" t="s">
        <v>21104</v>
      </c>
      <c r="AA3751" t="s">
        <v>21105</v>
      </c>
      <c r="AB3751" t="s">
        <v>4620</v>
      </c>
      <c r="AC3751" t="s">
        <v>5884</v>
      </c>
      <c r="AD3751" s="249" t="str">
        <f>HYPERLINK("https://scontent.cdninstagram.com/t51.2885-15/s320x320/e35/21224449_1709992682638704_3420512955261779968_n.jpg")</f>
        <v>https://scontent.cdninstagram.com/t51.2885-15/s320x320/e35/21224449_1709992682638704_3420512955261779968_n.jpg</v>
      </c>
      <c r="AE3751" s="249" t="str">
        <f>HYPERLINK("https://scontent.cdninstagram.com/t51.2885-19/s150x150/15048246_1010636362391741_270322140643852288_a.jpg")</f>
        <v>https://scontent.cdninstagram.com/t51.2885-19/s150x150/15048246_1010636362391741_270322140643852288_a.jpg</v>
      </c>
    </row>
    <row r="3752" spans="1:31" ht="15" x14ac:dyDescent="0.25">
      <c r="A3752" t="s">
        <v>2474</v>
      </c>
      <c r="B3752" t="s">
        <v>3754</v>
      </c>
      <c r="C3752" s="221">
        <v>42977.841284722221</v>
      </c>
      <c r="D3752" t="s">
        <v>21106</v>
      </c>
      <c r="E3752" s="249" t="str">
        <f>HYPERLINK("https://www.instagram.com/p/BYcAWBADLsd/")</f>
        <v>https://www.instagram.com/p/BYcAWBADLsd/</v>
      </c>
      <c r="F3752" t="s">
        <v>21107</v>
      </c>
      <c r="G3752" t="s">
        <v>2478</v>
      </c>
      <c r="H3752">
        <v>201277</v>
      </c>
      <c r="I3752" t="s">
        <v>2479</v>
      </c>
      <c r="J3752">
        <v>0</v>
      </c>
      <c r="K3752">
        <v>144</v>
      </c>
      <c r="L3752">
        <v>144</v>
      </c>
      <c r="Q3752">
        <v>0</v>
      </c>
      <c r="R3752">
        <v>0</v>
      </c>
      <c r="S3752">
        <v>144</v>
      </c>
      <c r="Y3752" t="s">
        <v>6790</v>
      </c>
      <c r="Z3752" t="s">
        <v>4233</v>
      </c>
      <c r="AA3752" t="s">
        <v>3764</v>
      </c>
      <c r="AB3752" t="s">
        <v>4561</v>
      </c>
      <c r="AC3752" t="s">
        <v>11395</v>
      </c>
      <c r="AD3752" s="249" t="str">
        <f>HYPERLINK("https://scontent.cdninstagram.com/t51.2885-15/e35/p320x320/21227517_113015989374771_1767759438967472128_n.jpg")</f>
        <v>https://scontent.cdninstagram.com/t51.2885-15/e35/p320x320/21227517_113015989374771_1767759438967472128_n.jpg</v>
      </c>
      <c r="AE3752" s="249" t="str">
        <f>HYPERLINK("https://scontent.cdninstagram.com/t51.2885-19/s150x150/12905002_1681254462136092_1137392787_a.jpg")</f>
        <v>https://scontent.cdninstagram.com/t51.2885-19/s150x150/12905002_1681254462136092_1137392787_a.jpg</v>
      </c>
    </row>
    <row r="3753" spans="1:31" ht="15" x14ac:dyDescent="0.25">
      <c r="A3753" t="s">
        <v>2474</v>
      </c>
      <c r="B3753" t="s">
        <v>3754</v>
      </c>
      <c r="C3753" s="221">
        <v>42977.843541666669</v>
      </c>
      <c r="D3753" t="s">
        <v>21108</v>
      </c>
      <c r="E3753" s="249" t="str">
        <f>HYPERLINK("https://www.instagram.com/p/BYcAtzUDfhE/")</f>
        <v>https://www.instagram.com/p/BYcAtzUDfhE/</v>
      </c>
      <c r="F3753" t="s">
        <v>21109</v>
      </c>
      <c r="G3753" t="s">
        <v>2478</v>
      </c>
      <c r="H3753">
        <v>201277</v>
      </c>
      <c r="I3753" t="s">
        <v>2479</v>
      </c>
      <c r="J3753">
        <v>1</v>
      </c>
      <c r="K3753">
        <v>101</v>
      </c>
      <c r="L3753">
        <v>102</v>
      </c>
      <c r="Q3753">
        <v>0</v>
      </c>
      <c r="R3753">
        <v>0</v>
      </c>
      <c r="S3753">
        <v>102</v>
      </c>
      <c r="Y3753" t="s">
        <v>6790</v>
      </c>
      <c r="Z3753" t="s">
        <v>4233</v>
      </c>
      <c r="AA3753" t="s">
        <v>3764</v>
      </c>
      <c r="AB3753" t="s">
        <v>4561</v>
      </c>
      <c r="AC3753" t="s">
        <v>11395</v>
      </c>
      <c r="AD3753" s="249" t="str">
        <f>HYPERLINK("https://scontent.cdninstagram.com/t51.2885-15/s320x320/e35/21227320_1959475010983931_8188184746996531200_n.jpg")</f>
        <v>https://scontent.cdninstagram.com/t51.2885-15/s320x320/e35/21227320_1959475010983931_8188184746996531200_n.jpg</v>
      </c>
      <c r="AE3753" s="249" t="str">
        <f>HYPERLINK("https://scontent.cdninstagram.com/t51.2885-19/s150x150/12905002_1681254462136092_1137392787_a.jpg")</f>
        <v>https://scontent.cdninstagram.com/t51.2885-19/s150x150/12905002_1681254462136092_1137392787_a.jpg</v>
      </c>
    </row>
    <row r="3754" spans="1:31" ht="15" x14ac:dyDescent="0.25">
      <c r="A3754" t="s">
        <v>2474</v>
      </c>
      <c r="B3754" t="s">
        <v>3523</v>
      </c>
      <c r="C3754" s="221">
        <v>42977.845347222225</v>
      </c>
      <c r="D3754" t="s">
        <v>21110</v>
      </c>
      <c r="E3754" s="249" t="str">
        <f>HYPERLINK("https://www.instagram.com/p/BYcBA5xDkp4/")</f>
        <v>https://www.instagram.com/p/BYcBA5xDkp4/</v>
      </c>
      <c r="F3754" t="s">
        <v>21111</v>
      </c>
      <c r="G3754" t="s">
        <v>2488</v>
      </c>
      <c r="H3754">
        <v>803</v>
      </c>
      <c r="I3754" t="s">
        <v>2479</v>
      </c>
      <c r="J3754">
        <v>5</v>
      </c>
      <c r="K3754">
        <v>35</v>
      </c>
      <c r="L3754">
        <v>40</v>
      </c>
      <c r="Q3754">
        <v>0</v>
      </c>
      <c r="R3754">
        <v>0</v>
      </c>
      <c r="S3754">
        <v>40</v>
      </c>
      <c r="Y3754" t="s">
        <v>3529</v>
      </c>
      <c r="Z3754" t="s">
        <v>2497</v>
      </c>
      <c r="AA3754" t="s">
        <v>21112</v>
      </c>
      <c r="AB3754" t="s">
        <v>6929</v>
      </c>
      <c r="AC3754" t="s">
        <v>21113</v>
      </c>
      <c r="AD3754" s="249" t="str">
        <f>HYPERLINK("https://scontent.cdninstagram.com/t51.2885-15/e35/p320x320/21147384_138902936717582_7731823516651094016_n.jpg")</f>
        <v>https://scontent.cdninstagram.com/t51.2885-15/e35/p320x320/21147384_138902936717582_7731823516651094016_n.jpg</v>
      </c>
      <c r="AE3754" s="249" t="str">
        <f>HYPERLINK("https://scontent.cdninstagram.com/t51.2885-19/s150x150/13423548_1579884235642985_2055615186_a.jpg")</f>
        <v>https://scontent.cdninstagram.com/t51.2885-19/s150x150/13423548_1579884235642985_2055615186_a.jpg</v>
      </c>
    </row>
    <row r="3755" spans="1:31" ht="15" x14ac:dyDescent="0.25">
      <c r="A3755" t="s">
        <v>2474</v>
      </c>
      <c r="B3755" t="s">
        <v>3754</v>
      </c>
      <c r="C3755" s="221">
        <v>42977.848935185182</v>
      </c>
      <c r="D3755" t="s">
        <v>21114</v>
      </c>
      <c r="E3755" s="249" t="str">
        <f>HYPERLINK("https://www.instagram.com/p/BYcBmvZjwhN/")</f>
        <v>https://www.instagram.com/p/BYcBmvZjwhN/</v>
      </c>
      <c r="F3755" t="s">
        <v>21115</v>
      </c>
      <c r="G3755" t="s">
        <v>2478</v>
      </c>
      <c r="H3755">
        <v>201277</v>
      </c>
      <c r="I3755" t="s">
        <v>2479</v>
      </c>
      <c r="J3755">
        <v>1</v>
      </c>
      <c r="K3755">
        <v>85</v>
      </c>
      <c r="L3755">
        <v>86</v>
      </c>
      <c r="Q3755">
        <v>0</v>
      </c>
      <c r="R3755">
        <v>0</v>
      </c>
      <c r="S3755">
        <v>86</v>
      </c>
      <c r="Y3755" t="s">
        <v>6790</v>
      </c>
      <c r="Z3755" t="s">
        <v>4233</v>
      </c>
      <c r="AA3755" t="s">
        <v>3764</v>
      </c>
      <c r="AB3755" t="s">
        <v>4561</v>
      </c>
      <c r="AC3755" t="s">
        <v>11395</v>
      </c>
      <c r="AD3755" s="249" t="str">
        <f>HYPERLINK("https://scontent.cdninstagram.com/t51.2885-15/s320x320/e35/21148888_1484431748310576_4590990533828018176_n.jpg")</f>
        <v>https://scontent.cdninstagram.com/t51.2885-15/s320x320/e35/21148888_1484431748310576_4590990533828018176_n.jpg</v>
      </c>
      <c r="AE3755" s="249" t="str">
        <f>HYPERLINK("https://scontent.cdninstagram.com/t51.2885-19/s150x150/12905002_1681254462136092_1137392787_a.jpg")</f>
        <v>https://scontent.cdninstagram.com/t51.2885-19/s150x150/12905002_1681254462136092_1137392787_a.jpg</v>
      </c>
    </row>
    <row r="3756" spans="1:31" ht="15" x14ac:dyDescent="0.25">
      <c r="A3756" t="s">
        <v>2474</v>
      </c>
      <c r="B3756" t="s">
        <v>5486</v>
      </c>
      <c r="C3756" s="221">
        <v>42977.850868055553</v>
      </c>
      <c r="D3756" t="s">
        <v>21116</v>
      </c>
      <c r="E3756" s="249" t="str">
        <f>HYPERLINK("https://www.instagram.com/p/BYcB7IMj-tD/")</f>
        <v>https://www.instagram.com/p/BYcB7IMj-tD/</v>
      </c>
      <c r="G3756" t="s">
        <v>2478</v>
      </c>
      <c r="H3756">
        <v>33678</v>
      </c>
      <c r="I3756" t="s">
        <v>2479</v>
      </c>
      <c r="J3756">
        <v>5</v>
      </c>
      <c r="K3756">
        <v>891</v>
      </c>
      <c r="L3756">
        <v>896</v>
      </c>
      <c r="Q3756">
        <v>0</v>
      </c>
      <c r="R3756">
        <v>0</v>
      </c>
      <c r="S3756">
        <v>896</v>
      </c>
      <c r="AD3756" s="249" t="str">
        <f>HYPERLINK("https://scontent.cdninstagram.com/t51.2885-15/e35/p320x320/21149296_1536432786376857_3606008022930817024_n.jpg")</f>
        <v>https://scontent.cdninstagram.com/t51.2885-15/e35/p320x320/21149296_1536432786376857_3606008022930817024_n.jpg</v>
      </c>
      <c r="AE3756" s="249" t="str">
        <f>HYPERLINK("https://scontent.cdninstagram.com/t51.2885-19/18096331_1858853611040874_8999714561263140864_n.jpg")</f>
        <v>https://scontent.cdninstagram.com/t51.2885-19/18096331_1858853611040874_8999714561263140864_n.jpg</v>
      </c>
    </row>
    <row r="3757" spans="1:31" ht="15" x14ac:dyDescent="0.25">
      <c r="A3757" t="s">
        <v>2474</v>
      </c>
      <c r="B3757" t="s">
        <v>3761</v>
      </c>
      <c r="C3757" s="221">
        <v>42977.851863425924</v>
      </c>
      <c r="D3757" t="s">
        <v>21117</v>
      </c>
      <c r="E3757" s="249" t="str">
        <f>HYPERLINK("https://www.instagram.com/p/BYcCFkLnn4a/")</f>
        <v>https://www.instagram.com/p/BYcCFkLnn4a/</v>
      </c>
      <c r="F3757" t="s">
        <v>21118</v>
      </c>
      <c r="G3757" t="s">
        <v>2478</v>
      </c>
      <c r="H3757">
        <v>35543</v>
      </c>
      <c r="I3757" t="s">
        <v>2479</v>
      </c>
      <c r="J3757">
        <v>0</v>
      </c>
      <c r="K3757">
        <v>8</v>
      </c>
      <c r="L3757">
        <v>8</v>
      </c>
      <c r="Q3757">
        <v>0</v>
      </c>
      <c r="R3757">
        <v>0</v>
      </c>
      <c r="S3757">
        <v>8</v>
      </c>
      <c r="Y3757" t="s">
        <v>6790</v>
      </c>
      <c r="Z3757" t="s">
        <v>4233</v>
      </c>
      <c r="AA3757" t="s">
        <v>3764</v>
      </c>
      <c r="AB3757" t="s">
        <v>4561</v>
      </c>
      <c r="AC3757" t="s">
        <v>11395</v>
      </c>
      <c r="AD3757" s="249" t="str">
        <f>HYPERLINK("https://scontent.cdninstagram.com/t51.2885-15/s320x320/e35/21227253_142013769732891_78256580465786880_n.jpg")</f>
        <v>https://scontent.cdninstagram.com/t51.2885-15/s320x320/e35/21227253_142013769732891_78256580465786880_n.jpg</v>
      </c>
      <c r="AE3757" s="249" t="str">
        <f>HYPERLINK("https://scontent.cdninstagram.com/t51.2885-19/s150x150/19985865_1705783593058831_5928851088227696640_n.jpg")</f>
        <v>https://scontent.cdninstagram.com/t51.2885-19/s150x150/19985865_1705783593058831_5928851088227696640_n.jpg</v>
      </c>
    </row>
    <row r="3758" spans="1:31" ht="15" x14ac:dyDescent="0.25">
      <c r="A3758" t="s">
        <v>2474</v>
      </c>
      <c r="B3758" t="s">
        <v>3761</v>
      </c>
      <c r="C3758" s="221">
        <v>42977.853460648148</v>
      </c>
      <c r="D3758" t="s">
        <v>21119</v>
      </c>
      <c r="E3758" s="249" t="str">
        <f>HYPERLINK("https://www.instagram.com/p/BYcCWeGn0bX/")</f>
        <v>https://www.instagram.com/p/BYcCWeGn0bX/</v>
      </c>
      <c r="F3758" t="s">
        <v>7206</v>
      </c>
      <c r="G3758" t="s">
        <v>2478</v>
      </c>
      <c r="H3758">
        <v>35543</v>
      </c>
      <c r="I3758" t="s">
        <v>2479</v>
      </c>
      <c r="J3758">
        <v>0</v>
      </c>
      <c r="K3758">
        <v>24</v>
      </c>
      <c r="L3758">
        <v>24</v>
      </c>
      <c r="Q3758">
        <v>0</v>
      </c>
      <c r="R3758">
        <v>0</v>
      </c>
      <c r="S3758">
        <v>24</v>
      </c>
      <c r="Y3758" t="s">
        <v>6790</v>
      </c>
      <c r="Z3758" t="s">
        <v>4233</v>
      </c>
      <c r="AA3758" t="s">
        <v>3764</v>
      </c>
      <c r="AB3758" t="s">
        <v>4561</v>
      </c>
      <c r="AC3758" t="s">
        <v>11395</v>
      </c>
      <c r="AD3758" s="249" t="str">
        <f>HYPERLINK("https://scontent.cdninstagram.com/t51.2885-15/s320x320/e35/21147190_122889411696635_1296952210675990528_n.jpg")</f>
        <v>https://scontent.cdninstagram.com/t51.2885-15/s320x320/e35/21147190_122889411696635_1296952210675990528_n.jpg</v>
      </c>
      <c r="AE3758" s="249" t="str">
        <f>HYPERLINK("https://scontent.cdninstagram.com/t51.2885-19/s150x150/19985865_1705783593058831_5928851088227696640_n.jpg")</f>
        <v>https://scontent.cdninstagram.com/t51.2885-19/s150x150/19985865_1705783593058831_5928851088227696640_n.jpg</v>
      </c>
    </row>
    <row r="3759" spans="1:31" ht="15" x14ac:dyDescent="0.25">
      <c r="A3759" t="s">
        <v>2474</v>
      </c>
      <c r="B3759" t="s">
        <v>21120</v>
      </c>
      <c r="C3759" s="221">
        <v>42977.870219907411</v>
      </c>
      <c r="D3759" t="s">
        <v>21121</v>
      </c>
      <c r="E3759" s="249" t="str">
        <f>HYPERLINK("https://www.instagram.com/p/BYcFHMJHmLX/")</f>
        <v>https://www.instagram.com/p/BYcFHMJHmLX/</v>
      </c>
      <c r="F3759" t="s">
        <v>21122</v>
      </c>
      <c r="G3759" t="s">
        <v>2478</v>
      </c>
      <c r="H3759">
        <v>481</v>
      </c>
      <c r="I3759" t="s">
        <v>4935</v>
      </c>
      <c r="J3759">
        <v>2</v>
      </c>
      <c r="K3759">
        <v>32</v>
      </c>
      <c r="L3759">
        <v>34</v>
      </c>
      <c r="Q3759">
        <v>0</v>
      </c>
      <c r="R3759">
        <v>0</v>
      </c>
      <c r="S3759">
        <v>34</v>
      </c>
      <c r="T3759" t="s">
        <v>21123</v>
      </c>
      <c r="U3759" t="s">
        <v>2020</v>
      </c>
      <c r="V3759" t="s">
        <v>2299</v>
      </c>
      <c r="W3759">
        <v>44.901944440000001</v>
      </c>
      <c r="X3759">
        <v>-67.017777780000003</v>
      </c>
      <c r="Y3759" t="s">
        <v>21124</v>
      </c>
      <c r="Z3759" t="s">
        <v>21125</v>
      </c>
      <c r="AA3759" t="s">
        <v>21126</v>
      </c>
      <c r="AB3759" t="s">
        <v>21127</v>
      </c>
      <c r="AC3759" t="s">
        <v>21128</v>
      </c>
      <c r="AD3759" s="249" t="str">
        <f>HYPERLINK("https://scontent.cdninstagram.com/t51.2885-15/s320x320/e35/21149037_726602310864913_5275925998066466816_n.jpg")</f>
        <v>https://scontent.cdninstagram.com/t51.2885-15/s320x320/e35/21149037_726602310864913_5275925998066466816_n.jpg</v>
      </c>
      <c r="AE3759" s="249" t="str">
        <f>HYPERLINK("https://scontent.cdninstagram.com/t51.2885-19/11355082_112373782435216_1113607495_a.jpg")</f>
        <v>https://scontent.cdninstagram.com/t51.2885-19/11355082_112373782435216_1113607495_a.jpg</v>
      </c>
    </row>
    <row r="3760" spans="1:31" ht="15" x14ac:dyDescent="0.25">
      <c r="A3760" t="s">
        <v>2474</v>
      </c>
      <c r="B3760" t="s">
        <v>17158</v>
      </c>
      <c r="C3760" s="221">
        <v>42977.876712962963</v>
      </c>
      <c r="D3760" t="s">
        <v>21129</v>
      </c>
      <c r="E3760" s="249" t="str">
        <f>HYPERLINK("https://www.instagram.com/p/BYcGLwMhbfs/")</f>
        <v>https://www.instagram.com/p/BYcGLwMhbfs/</v>
      </c>
      <c r="F3760" t="s">
        <v>21130</v>
      </c>
      <c r="G3760" t="s">
        <v>2478</v>
      </c>
      <c r="H3760">
        <v>379</v>
      </c>
      <c r="I3760" t="s">
        <v>2479</v>
      </c>
      <c r="J3760">
        <v>3</v>
      </c>
      <c r="K3760">
        <v>60</v>
      </c>
      <c r="L3760">
        <v>63</v>
      </c>
      <c r="Q3760">
        <v>0</v>
      </c>
      <c r="R3760">
        <v>0</v>
      </c>
      <c r="S3760">
        <v>63</v>
      </c>
      <c r="Y3760" t="s">
        <v>20138</v>
      </c>
      <c r="Z3760" t="s">
        <v>17560</v>
      </c>
      <c r="AA3760" t="s">
        <v>18625</v>
      </c>
      <c r="AB3760" t="s">
        <v>5982</v>
      </c>
      <c r="AC3760" t="s">
        <v>3962</v>
      </c>
      <c r="AD3760" s="249" t="str">
        <f>HYPERLINK("https://scontent.cdninstagram.com/t51.2885-15/s320x320/e35/21224863_268612576973265_6799039530008576000_n.jpg")</f>
        <v>https://scontent.cdninstagram.com/t51.2885-15/s320x320/e35/21224863_268612576973265_6799039530008576000_n.jpg</v>
      </c>
      <c r="AE3760" s="249" t="str">
        <f>HYPERLINK("https://scontent.cdninstagram.com/t51.2885-19/s150x150/13658639_315931348749567_46952542_a.jpg")</f>
        <v>https://scontent.cdninstagram.com/t51.2885-19/s150x150/13658639_315931348749567_46952542_a.jpg</v>
      </c>
    </row>
    <row r="3761" spans="1:31" ht="15" x14ac:dyDescent="0.25">
      <c r="A3761" t="s">
        <v>2474</v>
      </c>
      <c r="B3761" t="s">
        <v>21131</v>
      </c>
      <c r="C3761" s="221">
        <v>42977.882118055553</v>
      </c>
      <c r="D3761" t="s">
        <v>21132</v>
      </c>
      <c r="E3761" s="249" t="str">
        <f>HYPERLINK("https://www.instagram.com/p/BYcHEqhAgyS/")</f>
        <v>https://www.instagram.com/p/BYcHEqhAgyS/</v>
      </c>
      <c r="F3761" t="s">
        <v>21133</v>
      </c>
      <c r="G3761" t="s">
        <v>2478</v>
      </c>
      <c r="H3761">
        <v>629</v>
      </c>
      <c r="I3761" t="s">
        <v>2479</v>
      </c>
      <c r="J3761">
        <v>1</v>
      </c>
      <c r="K3761">
        <v>31</v>
      </c>
      <c r="L3761">
        <v>32</v>
      </c>
      <c r="Q3761">
        <v>0</v>
      </c>
      <c r="R3761">
        <v>0</v>
      </c>
      <c r="S3761">
        <v>32</v>
      </c>
      <c r="Y3761" t="s">
        <v>5383</v>
      </c>
      <c r="Z3761" t="s">
        <v>21134</v>
      </c>
      <c r="AA3761" t="s">
        <v>2981</v>
      </c>
      <c r="AB3761" t="s">
        <v>21135</v>
      </c>
      <c r="AC3761" t="s">
        <v>21136</v>
      </c>
      <c r="AD3761" s="249" t="str">
        <f>HYPERLINK("https://scontent.cdninstagram.com/t51.2885-15/e35/p320x320/21224820_240447269812927_5774565112652234752_n.jpg")</f>
        <v>https://scontent.cdninstagram.com/t51.2885-15/e35/p320x320/21224820_240447269812927_5774565112652234752_n.jpg</v>
      </c>
      <c r="AE3761" s="249" t="str">
        <f>HYPERLINK("https://scontent.cdninstagram.com/t51.2885-19/s150x150/18949560_1309515912477076_7998603876938809344_a.jpg")</f>
        <v>https://scontent.cdninstagram.com/t51.2885-19/s150x150/18949560_1309515912477076_7998603876938809344_a.jpg</v>
      </c>
    </row>
    <row r="3762" spans="1:31" ht="15" x14ac:dyDescent="0.25">
      <c r="A3762" t="s">
        <v>2474</v>
      </c>
      <c r="B3762" t="s">
        <v>4535</v>
      </c>
      <c r="C3762" s="221">
        <v>42977.898495370369</v>
      </c>
      <c r="D3762" t="s">
        <v>21137</v>
      </c>
      <c r="E3762" s="249" t="str">
        <f>HYPERLINK("https://www.instagram.com/p/BYcJxc2FRqM/")</f>
        <v>https://www.instagram.com/p/BYcJxc2FRqM/</v>
      </c>
      <c r="F3762" t="s">
        <v>21138</v>
      </c>
      <c r="G3762" t="s">
        <v>2488</v>
      </c>
      <c r="H3762">
        <v>171</v>
      </c>
      <c r="I3762" t="s">
        <v>2479</v>
      </c>
      <c r="J3762">
        <v>0</v>
      </c>
      <c r="K3762">
        <v>4</v>
      </c>
      <c r="L3762">
        <v>4</v>
      </c>
      <c r="Q3762">
        <v>0</v>
      </c>
      <c r="R3762">
        <v>0</v>
      </c>
      <c r="S3762">
        <v>4</v>
      </c>
      <c r="Y3762" t="s">
        <v>10684</v>
      </c>
      <c r="Z3762" t="s">
        <v>4542</v>
      </c>
      <c r="AA3762" t="s">
        <v>4540</v>
      </c>
      <c r="AB3762" t="s">
        <v>3174</v>
      </c>
      <c r="AC3762" t="s">
        <v>12353</v>
      </c>
      <c r="AD3762" s="249" t="str">
        <f>HYPERLINK("https://scontent.cdninstagram.com/t51.2885-15/s320x320/e35/21224438_123347784921109_1271426945157955584_n.jpg")</f>
        <v>https://scontent.cdninstagram.com/t51.2885-15/s320x320/e35/21224438_123347784921109_1271426945157955584_n.jpg</v>
      </c>
      <c r="AE3762" s="249" t="str">
        <f>HYPERLINK("https://scontent.cdninstagram.com/t51.2885-19/s150x150/20399028_1624608414236560_533007696291430400_a.jpg")</f>
        <v>https://scontent.cdninstagram.com/t51.2885-19/s150x150/20399028_1624608414236560_533007696291430400_a.jpg</v>
      </c>
    </row>
    <row r="3763" spans="1:31" ht="15" x14ac:dyDescent="0.25">
      <c r="A3763" t="s">
        <v>2474</v>
      </c>
      <c r="B3763" t="s">
        <v>21139</v>
      </c>
      <c r="C3763" s="221">
        <v>42977.899178240739</v>
      </c>
      <c r="D3763" t="s">
        <v>21140</v>
      </c>
      <c r="E3763" s="249" t="str">
        <f>HYPERLINK("https://www.instagram.com/p/BYcJ4qTgonF/")</f>
        <v>https://www.instagram.com/p/BYcJ4qTgonF/</v>
      </c>
      <c r="F3763" t="s">
        <v>21141</v>
      </c>
      <c r="G3763" t="s">
        <v>2478</v>
      </c>
      <c r="H3763">
        <v>218</v>
      </c>
      <c r="I3763" t="s">
        <v>2479</v>
      </c>
      <c r="J3763">
        <v>1</v>
      </c>
      <c r="K3763">
        <v>15</v>
      </c>
      <c r="L3763">
        <v>16</v>
      </c>
      <c r="Q3763">
        <v>0</v>
      </c>
      <c r="R3763">
        <v>0</v>
      </c>
      <c r="S3763">
        <v>16</v>
      </c>
      <c r="Y3763" t="s">
        <v>21142</v>
      </c>
      <c r="Z3763" t="s">
        <v>5383</v>
      </c>
      <c r="AA3763" t="s">
        <v>21143</v>
      </c>
      <c r="AB3763" t="s">
        <v>7231</v>
      </c>
      <c r="AC3763" t="s">
        <v>21144</v>
      </c>
      <c r="AD3763" s="249" t="str">
        <f>HYPERLINK("https://scontent.cdninstagram.com/t51.2885-15/e35/p320x320/21149669_1409304029138515_8325315416305958912_n.jpg")</f>
        <v>https://scontent.cdninstagram.com/t51.2885-15/e35/p320x320/21149669_1409304029138515_8325315416305958912_n.jpg</v>
      </c>
      <c r="AE3763" s="249" t="str">
        <f>HYPERLINK("https://scontent.cdninstagram.com/t51.2885-19/s150x150/20686663_308101719654251_4832315589319983104_a.jpg")</f>
        <v>https://scontent.cdninstagram.com/t51.2885-19/s150x150/20686663_308101719654251_4832315589319983104_a.jpg</v>
      </c>
    </row>
    <row r="3764" spans="1:31" ht="15" x14ac:dyDescent="0.25">
      <c r="A3764" t="s">
        <v>2474</v>
      </c>
      <c r="B3764" t="s">
        <v>21145</v>
      </c>
      <c r="C3764" s="221">
        <v>42977.89943287037</v>
      </c>
      <c r="D3764" t="s">
        <v>21146</v>
      </c>
      <c r="E3764" s="249" t="str">
        <f>HYPERLINK("https://www.instagram.com/p/BYcJ7V_ltq9/")</f>
        <v>https://www.instagram.com/p/BYcJ7V_ltq9/</v>
      </c>
      <c r="F3764" t="s">
        <v>21147</v>
      </c>
      <c r="G3764" t="s">
        <v>2631</v>
      </c>
      <c r="H3764">
        <v>12</v>
      </c>
      <c r="I3764" t="s">
        <v>2479</v>
      </c>
      <c r="J3764">
        <v>1</v>
      </c>
      <c r="K3764">
        <v>27</v>
      </c>
      <c r="L3764">
        <v>28</v>
      </c>
      <c r="Q3764">
        <v>0</v>
      </c>
      <c r="R3764">
        <v>0</v>
      </c>
      <c r="S3764">
        <v>28</v>
      </c>
      <c r="Y3764" t="s">
        <v>21148</v>
      </c>
      <c r="Z3764" t="s">
        <v>21149</v>
      </c>
      <c r="AA3764" t="s">
        <v>2497</v>
      </c>
      <c r="AB3764" t="s">
        <v>21150</v>
      </c>
      <c r="AC3764" t="s">
        <v>12569</v>
      </c>
      <c r="AD3764" s="249" t="str">
        <f>HYPERLINK("https://scontent.cdninstagram.com/t51.2885-15/s320x320/e15/21224411_1125743757525138_1037490964286930944_n.jpg")</f>
        <v>https://scontent.cdninstagram.com/t51.2885-15/s320x320/e15/21224411_1125743757525138_1037490964286930944_n.jpg</v>
      </c>
      <c r="AE3764" s="249" t="str">
        <f>HYPERLINK("https://instagram.fpku1-1.fna.fbcdn.net/t51.2885-19/11906329_960233084022564_1448528159_a.jpg")</f>
        <v>https://instagram.fpku1-1.fna.fbcdn.net/t51.2885-19/11906329_960233084022564_1448528159_a.jpg</v>
      </c>
    </row>
    <row r="3765" spans="1:31" ht="15" x14ac:dyDescent="0.25">
      <c r="A3765" t="s">
        <v>2474</v>
      </c>
      <c r="B3765" t="s">
        <v>4535</v>
      </c>
      <c r="C3765" s="221">
        <v>42977.899560185186</v>
      </c>
      <c r="D3765" t="s">
        <v>21151</v>
      </c>
      <c r="E3765" s="249" t="str">
        <f>HYPERLINK("https://www.instagram.com/p/BYcJ8tyll-D/")</f>
        <v>https://www.instagram.com/p/BYcJ8tyll-D/</v>
      </c>
      <c r="F3765" t="s">
        <v>21152</v>
      </c>
      <c r="G3765" t="s">
        <v>2478</v>
      </c>
      <c r="H3765">
        <v>175</v>
      </c>
      <c r="I3765" t="s">
        <v>2479</v>
      </c>
      <c r="J3765">
        <v>2</v>
      </c>
      <c r="K3765">
        <v>28</v>
      </c>
      <c r="L3765">
        <v>30</v>
      </c>
      <c r="Q3765">
        <v>0</v>
      </c>
      <c r="R3765">
        <v>0</v>
      </c>
      <c r="S3765">
        <v>30</v>
      </c>
      <c r="Y3765" t="s">
        <v>10684</v>
      </c>
      <c r="Z3765" t="s">
        <v>3174</v>
      </c>
      <c r="AA3765" t="s">
        <v>13436</v>
      </c>
      <c r="AB3765" t="s">
        <v>5607</v>
      </c>
      <c r="AC3765" t="s">
        <v>5606</v>
      </c>
      <c r="AD3765" s="249" t="str">
        <f>HYPERLINK("https://scontent.cdninstagram.com/t51.2885-15/s320x320/e35/21148054_508292756186058_8759995303848837120_n.jpg")</f>
        <v>https://scontent.cdninstagram.com/t51.2885-15/s320x320/e35/21148054_508292756186058_8759995303848837120_n.jpg</v>
      </c>
      <c r="AE3765" s="249" t="str">
        <f>HYPERLINK("https://scontent.cdninstagram.com/t51.2885-19/s150x150/20399028_1624608414236560_533007696291430400_a.jpg")</f>
        <v>https://scontent.cdninstagram.com/t51.2885-19/s150x150/20399028_1624608414236560_533007696291430400_a.jpg</v>
      </c>
    </row>
    <row r="3766" spans="1:31" ht="15" x14ac:dyDescent="0.25">
      <c r="A3766" t="s">
        <v>2474</v>
      </c>
      <c r="B3766" t="s">
        <v>21153</v>
      </c>
      <c r="C3766" s="221">
        <v>42977.909282407411</v>
      </c>
      <c r="D3766" t="s">
        <v>21154</v>
      </c>
      <c r="E3766" s="249" t="str">
        <f>HYPERLINK("https://www.instagram.com/p/BYcLjRYnT-7/")</f>
        <v>https://www.instagram.com/p/BYcLjRYnT-7/</v>
      </c>
      <c r="F3766" t="s">
        <v>21155</v>
      </c>
      <c r="G3766" t="s">
        <v>2478</v>
      </c>
      <c r="H3766">
        <v>1028</v>
      </c>
      <c r="I3766" t="s">
        <v>2479</v>
      </c>
      <c r="J3766">
        <v>6</v>
      </c>
      <c r="K3766">
        <v>37</v>
      </c>
      <c r="L3766">
        <v>43</v>
      </c>
      <c r="Q3766">
        <v>0</v>
      </c>
      <c r="R3766">
        <v>0</v>
      </c>
      <c r="S3766">
        <v>43</v>
      </c>
      <c r="AD3766" s="249" t="str">
        <f>HYPERLINK("https://scontent.cdninstagram.com/t51.2885-15/s320x320/e35/21224269_472848399737433_2528956226549579776_n.jpg")</f>
        <v>https://scontent.cdninstagram.com/t51.2885-15/s320x320/e35/21224269_472848399737433_2528956226549579776_n.jpg</v>
      </c>
      <c r="AE3766" s="249" t="str">
        <f>HYPERLINK("https://scontent.cdninstagram.com/t51.2885-19/s150x150/12362271_1716649185236194_1465519136_a.jpg")</f>
        <v>https://scontent.cdninstagram.com/t51.2885-19/s150x150/12362271_1716649185236194_1465519136_a.jpg</v>
      </c>
    </row>
    <row r="3767" spans="1:31" ht="15" x14ac:dyDescent="0.25">
      <c r="A3767" t="s">
        <v>2474</v>
      </c>
      <c r="B3767" t="s">
        <v>4535</v>
      </c>
      <c r="C3767" s="221">
        <v>42977.912986111114</v>
      </c>
      <c r="D3767" t="s">
        <v>21156</v>
      </c>
      <c r="E3767" s="249" t="str">
        <f>HYPERLINK("https://www.instagram.com/p/BYcMKOsF9fE/")</f>
        <v>https://www.instagram.com/p/BYcMKOsF9fE/</v>
      </c>
      <c r="F3767" t="s">
        <v>21157</v>
      </c>
      <c r="G3767" t="s">
        <v>2478</v>
      </c>
      <c r="H3767">
        <v>175</v>
      </c>
      <c r="I3767" t="s">
        <v>2479</v>
      </c>
      <c r="J3767">
        <v>2</v>
      </c>
      <c r="K3767">
        <v>36</v>
      </c>
      <c r="L3767">
        <v>38</v>
      </c>
      <c r="Q3767">
        <v>0</v>
      </c>
      <c r="R3767">
        <v>0</v>
      </c>
      <c r="S3767">
        <v>38</v>
      </c>
      <c r="Y3767" t="s">
        <v>10684</v>
      </c>
      <c r="Z3767" t="s">
        <v>3174</v>
      </c>
      <c r="AA3767" t="s">
        <v>13436</v>
      </c>
      <c r="AB3767" t="s">
        <v>5607</v>
      </c>
      <c r="AC3767" t="s">
        <v>5606</v>
      </c>
      <c r="AD3767" s="249" t="str">
        <f>HYPERLINK("https://scontent.cdninstagram.com/t51.2885-15/e35/p320x320/21149378_135683903714814_5887660483548282880_n.jpg")</f>
        <v>https://scontent.cdninstagram.com/t51.2885-15/e35/p320x320/21149378_135683903714814_5887660483548282880_n.jpg</v>
      </c>
      <c r="AE3767" s="249" t="str">
        <f>HYPERLINK("https://scontent.cdninstagram.com/t51.2885-19/s150x150/20399028_1624608414236560_533007696291430400_a.jpg")</f>
        <v>https://scontent.cdninstagram.com/t51.2885-19/s150x150/20399028_1624608414236560_533007696291430400_a.jpg</v>
      </c>
    </row>
    <row r="3768" spans="1:31" ht="15" x14ac:dyDescent="0.25">
      <c r="A3768" t="s">
        <v>2474</v>
      </c>
      <c r="B3768" t="s">
        <v>21158</v>
      </c>
      <c r="C3768" s="221">
        <v>42977.914652777778</v>
      </c>
      <c r="D3768" t="s">
        <v>21159</v>
      </c>
      <c r="E3768" s="249" t="str">
        <f>HYPERLINK("https://www.instagram.com/p/BYcMb6AAKx5/")</f>
        <v>https://www.instagram.com/p/BYcMb6AAKx5/</v>
      </c>
      <c r="F3768" t="s">
        <v>21160</v>
      </c>
      <c r="G3768" t="s">
        <v>2478</v>
      </c>
      <c r="H3768">
        <v>17762</v>
      </c>
      <c r="I3768" t="s">
        <v>2479</v>
      </c>
      <c r="J3768">
        <v>10</v>
      </c>
      <c r="K3768">
        <v>761</v>
      </c>
      <c r="L3768">
        <v>771</v>
      </c>
      <c r="Q3768">
        <v>0</v>
      </c>
      <c r="R3768">
        <v>0</v>
      </c>
      <c r="S3768">
        <v>771</v>
      </c>
      <c r="T3768" t="s">
        <v>21161</v>
      </c>
      <c r="U3768" t="s">
        <v>182</v>
      </c>
      <c r="V3768" t="s">
        <v>2299</v>
      </c>
      <c r="W3768">
        <v>35.933909999999997</v>
      </c>
      <c r="X3768">
        <v>-86.860129999999998</v>
      </c>
      <c r="Y3768" t="s">
        <v>2497</v>
      </c>
      <c r="Z3768" t="s">
        <v>4026</v>
      </c>
      <c r="AA3768" t="s">
        <v>21162</v>
      </c>
      <c r="AD3768" s="249" t="str">
        <f>HYPERLINK("https://scontent.cdninstagram.com/t51.2885-15/s320x320/e35/21224108_126740144625370_8933679404727402496_n.jpg")</f>
        <v>https://scontent.cdninstagram.com/t51.2885-15/s320x320/e35/21224108_126740144625370_8933679404727402496_n.jpg</v>
      </c>
      <c r="AE3768" s="249" t="str">
        <f>HYPERLINK("https://scontent.cdninstagram.com/t51.2885-19/s150x150/20838341_1358322214266677_6378927999735037952_a.jpg")</f>
        <v>https://scontent.cdninstagram.com/t51.2885-19/s150x150/20838341_1358322214266677_6378927999735037952_a.jpg</v>
      </c>
    </row>
    <row r="3769" spans="1:31" ht="15" x14ac:dyDescent="0.25">
      <c r="A3769" t="s">
        <v>2474</v>
      </c>
      <c r="B3769" t="s">
        <v>4535</v>
      </c>
      <c r="C3769" s="221">
        <v>42977.916921296295</v>
      </c>
      <c r="D3769" t="s">
        <v>21163</v>
      </c>
      <c r="E3769" s="249" t="str">
        <f>HYPERLINK("https://www.instagram.com/p/BYcMzxTlO7B/")</f>
        <v>https://www.instagram.com/p/BYcMzxTlO7B/</v>
      </c>
      <c r="F3769" t="s">
        <v>21164</v>
      </c>
      <c r="G3769" t="s">
        <v>2488</v>
      </c>
      <c r="H3769">
        <v>175</v>
      </c>
      <c r="I3769" t="s">
        <v>2479</v>
      </c>
      <c r="J3769">
        <v>2</v>
      </c>
      <c r="K3769">
        <v>39</v>
      </c>
      <c r="L3769">
        <v>41</v>
      </c>
      <c r="Q3769">
        <v>0</v>
      </c>
      <c r="R3769">
        <v>0</v>
      </c>
      <c r="S3769">
        <v>41</v>
      </c>
      <c r="Y3769" t="s">
        <v>10684</v>
      </c>
      <c r="Z3769" t="s">
        <v>3174</v>
      </c>
      <c r="AA3769" t="s">
        <v>13436</v>
      </c>
      <c r="AB3769" t="s">
        <v>5607</v>
      </c>
      <c r="AC3769" t="s">
        <v>5606</v>
      </c>
      <c r="AD3769" s="249" t="str">
        <f>HYPERLINK("https://scontent.cdninstagram.com/t51.2885-15/s320x320/e35/21224615_775690815952318_3776088178096603136_n.jpg")</f>
        <v>https://scontent.cdninstagram.com/t51.2885-15/s320x320/e35/21224615_775690815952318_3776088178096603136_n.jpg</v>
      </c>
      <c r="AE3769" s="249" t="str">
        <f>HYPERLINK("https://scontent.cdninstagram.com/t51.2885-19/s150x150/20399028_1624608414236560_533007696291430400_a.jpg")</f>
        <v>https://scontent.cdninstagram.com/t51.2885-19/s150x150/20399028_1624608414236560_533007696291430400_a.jpg</v>
      </c>
    </row>
    <row r="3770" spans="1:31" ht="15" x14ac:dyDescent="0.25">
      <c r="A3770" t="s">
        <v>2474</v>
      </c>
      <c r="B3770" t="s">
        <v>21165</v>
      </c>
      <c r="C3770" s="221">
        <v>42977.92695601852</v>
      </c>
      <c r="D3770" t="s">
        <v>21166</v>
      </c>
      <c r="E3770" s="249" t="str">
        <f>HYPERLINK("https://www.instagram.com/p/BYcOdmAlV96/")</f>
        <v>https://www.instagram.com/p/BYcOdmAlV96/</v>
      </c>
      <c r="F3770" t="s">
        <v>21167</v>
      </c>
      <c r="G3770" t="s">
        <v>2478</v>
      </c>
      <c r="H3770">
        <v>145</v>
      </c>
      <c r="I3770" t="s">
        <v>2479</v>
      </c>
      <c r="J3770">
        <v>3</v>
      </c>
      <c r="K3770">
        <v>29</v>
      </c>
      <c r="L3770">
        <v>32</v>
      </c>
      <c r="Q3770">
        <v>0</v>
      </c>
      <c r="R3770">
        <v>0</v>
      </c>
      <c r="S3770">
        <v>32</v>
      </c>
      <c r="Y3770" t="s">
        <v>2911</v>
      </c>
      <c r="Z3770" t="s">
        <v>2861</v>
      </c>
      <c r="AA3770" t="s">
        <v>2497</v>
      </c>
      <c r="AB3770" t="s">
        <v>3982</v>
      </c>
      <c r="AC3770" t="s">
        <v>21168</v>
      </c>
      <c r="AD3770" s="249" t="str">
        <f>HYPERLINK("https://scontent.cdninstagram.com/t51.2885-15/s320x320/e35/21149469_1531649863525002_4212707977813032960_n.jpg")</f>
        <v>https://scontent.cdninstagram.com/t51.2885-15/s320x320/e35/21149469_1531649863525002_4212707977813032960_n.jpg</v>
      </c>
      <c r="AE3770" s="249" t="str">
        <f>HYPERLINK("https://scontent.cdninstagram.com/t51.2885-19/11236206_384392675089609_1024859789_a.jpg")</f>
        <v>https://scontent.cdninstagram.com/t51.2885-19/11236206_384392675089609_1024859789_a.jpg</v>
      </c>
    </row>
    <row r="3771" spans="1:31" ht="15" x14ac:dyDescent="0.25">
      <c r="A3771" t="s">
        <v>2474</v>
      </c>
      <c r="B3771" t="s">
        <v>4535</v>
      </c>
      <c r="C3771" s="221">
        <v>42977.928391203706</v>
      </c>
      <c r="D3771" t="s">
        <v>21169</v>
      </c>
      <c r="E3771" s="249" t="str">
        <f>HYPERLINK("https://www.instagram.com/p/BYcOszklOQ6/")</f>
        <v>https://www.instagram.com/p/BYcOszklOQ6/</v>
      </c>
      <c r="F3771" t="s">
        <v>21170</v>
      </c>
      <c r="G3771" t="s">
        <v>2478</v>
      </c>
      <c r="H3771">
        <v>177</v>
      </c>
      <c r="I3771" t="s">
        <v>2479</v>
      </c>
      <c r="J3771">
        <v>1</v>
      </c>
      <c r="K3771">
        <v>26</v>
      </c>
      <c r="L3771">
        <v>27</v>
      </c>
      <c r="Q3771">
        <v>0</v>
      </c>
      <c r="R3771">
        <v>0</v>
      </c>
      <c r="S3771">
        <v>27</v>
      </c>
      <c r="Y3771" t="s">
        <v>8845</v>
      </c>
      <c r="Z3771" t="s">
        <v>4541</v>
      </c>
      <c r="AA3771" t="s">
        <v>5605</v>
      </c>
      <c r="AB3771" t="s">
        <v>12421</v>
      </c>
      <c r="AC3771" t="s">
        <v>4539</v>
      </c>
      <c r="AD3771" s="249" t="str">
        <f>HYPERLINK("https://scontent.cdninstagram.com/t51.2885-15/s320x320/e35/21149176_807390206091471_6269975859235389440_n.jpg")</f>
        <v>https://scontent.cdninstagram.com/t51.2885-15/s320x320/e35/21149176_807390206091471_6269975859235389440_n.jpg</v>
      </c>
      <c r="AE3771" s="249" t="str">
        <f>HYPERLINK("https://scontent.cdninstagram.com/t51.2885-19/s150x150/20399028_1624608414236560_533007696291430400_a.jpg")</f>
        <v>https://scontent.cdninstagram.com/t51.2885-19/s150x150/20399028_1624608414236560_533007696291430400_a.jpg</v>
      </c>
    </row>
    <row r="3772" spans="1:31" ht="15" x14ac:dyDescent="0.25">
      <c r="A3772" t="s">
        <v>2474</v>
      </c>
      <c r="B3772" t="s">
        <v>21171</v>
      </c>
      <c r="C3772" s="221">
        <v>42977.949791666666</v>
      </c>
      <c r="D3772" t="s">
        <v>21172</v>
      </c>
      <c r="E3772" s="249" t="str">
        <f>HYPERLINK("https://www.instagram.com/p/BYcSOb8gXb9/")</f>
        <v>https://www.instagram.com/p/BYcSOb8gXb9/</v>
      </c>
      <c r="F3772" t="s">
        <v>21173</v>
      </c>
      <c r="G3772" t="s">
        <v>2478</v>
      </c>
      <c r="H3772">
        <v>41</v>
      </c>
      <c r="I3772" t="s">
        <v>2542</v>
      </c>
      <c r="J3772">
        <v>0</v>
      </c>
      <c r="K3772">
        <v>42</v>
      </c>
      <c r="L3772">
        <v>42</v>
      </c>
      <c r="Q3772">
        <v>0</v>
      </c>
      <c r="R3772">
        <v>0</v>
      </c>
      <c r="S3772">
        <v>42</v>
      </c>
      <c r="Y3772" t="s">
        <v>8401</v>
      </c>
      <c r="Z3772" t="s">
        <v>6093</v>
      </c>
      <c r="AA3772" t="s">
        <v>3996</v>
      </c>
      <c r="AB3772" t="s">
        <v>2837</v>
      </c>
      <c r="AC3772" t="s">
        <v>21174</v>
      </c>
      <c r="AD3772" s="249" t="str">
        <f>HYPERLINK("https://scontent.cdninstagram.com/t51.2885-15/s320x320/e35/21147518_164264774149695_2632793894223347712_n.jpg")</f>
        <v>https://scontent.cdninstagram.com/t51.2885-15/s320x320/e35/21147518_164264774149695_2632793894223347712_n.jpg</v>
      </c>
      <c r="AE3772" s="249" t="str">
        <f>HYPERLINK("https://scontent.cdninstagram.com/t51.2885-19/s150x150/21147250_492598777787564_4913415317876637696_a.jpg")</f>
        <v>https://scontent.cdninstagram.com/t51.2885-19/s150x150/21147250_492598777787564_4913415317876637696_a.jpg</v>
      </c>
    </row>
    <row r="3773" spans="1:31" ht="15" x14ac:dyDescent="0.25">
      <c r="A3773" t="s">
        <v>2474</v>
      </c>
      <c r="B3773" t="s">
        <v>21175</v>
      </c>
      <c r="C3773" s="221">
        <v>42977.952372685184</v>
      </c>
      <c r="D3773" t="s">
        <v>21176</v>
      </c>
      <c r="E3773" s="249" t="str">
        <f>HYPERLINK("https://www.instagram.com/p/BYcSptMBYSN/")</f>
        <v>https://www.instagram.com/p/BYcSptMBYSN/</v>
      </c>
      <c r="F3773" t="s">
        <v>21177</v>
      </c>
      <c r="G3773" t="s">
        <v>2478</v>
      </c>
      <c r="H3773">
        <v>129</v>
      </c>
      <c r="I3773" t="s">
        <v>2748</v>
      </c>
      <c r="J3773">
        <v>0</v>
      </c>
      <c r="K3773">
        <v>7</v>
      </c>
      <c r="L3773">
        <v>7</v>
      </c>
      <c r="Q3773">
        <v>0</v>
      </c>
      <c r="R3773">
        <v>0</v>
      </c>
      <c r="S3773">
        <v>7</v>
      </c>
      <c r="Y3773" t="s">
        <v>2906</v>
      </c>
      <c r="Z3773" t="s">
        <v>21178</v>
      </c>
      <c r="AA3773" t="s">
        <v>2497</v>
      </c>
      <c r="AD3773" s="249" t="str">
        <f>HYPERLINK("https://scontent.cdninstagram.com/t51.2885-15/e35/p320x320/21147911_306794323122947_1462936032193282048_n.jpg")</f>
        <v>https://scontent.cdninstagram.com/t51.2885-15/e35/p320x320/21147911_306794323122947_1462936032193282048_n.jpg</v>
      </c>
      <c r="AE3773" s="249" t="str">
        <f>HYPERLINK("https://scontent.cdninstagram.com/t51.2885-19/11809950_1663096257235786_829000538_a.jpg")</f>
        <v>https://scontent.cdninstagram.com/t51.2885-19/11809950_1663096257235786_829000538_a.jpg</v>
      </c>
    </row>
    <row r="3774" spans="1:31" ht="15" x14ac:dyDescent="0.25">
      <c r="A3774" t="s">
        <v>2474</v>
      </c>
      <c r="B3774" t="s">
        <v>18309</v>
      </c>
      <c r="C3774" s="221">
        <v>42977.957013888888</v>
      </c>
      <c r="D3774" t="s">
        <v>21179</v>
      </c>
      <c r="E3774" s="249" t="str">
        <f>HYPERLINK("https://www.instagram.com/p/BYcTap1DpEP/")</f>
        <v>https://www.instagram.com/p/BYcTap1DpEP/</v>
      </c>
      <c r="F3774" t="s">
        <v>21180</v>
      </c>
      <c r="G3774" t="s">
        <v>2478</v>
      </c>
      <c r="H3774">
        <v>16</v>
      </c>
      <c r="I3774" t="s">
        <v>2479</v>
      </c>
      <c r="J3774">
        <v>0</v>
      </c>
      <c r="K3774">
        <v>13</v>
      </c>
      <c r="L3774">
        <v>13</v>
      </c>
      <c r="Q3774">
        <v>0</v>
      </c>
      <c r="R3774">
        <v>0</v>
      </c>
      <c r="S3774">
        <v>13</v>
      </c>
      <c r="Y3774" t="s">
        <v>2562</v>
      </c>
      <c r="Z3774" t="s">
        <v>8753</v>
      </c>
      <c r="AA3774" t="s">
        <v>10374</v>
      </c>
      <c r="AB3774" t="s">
        <v>2696</v>
      </c>
      <c r="AC3774" t="s">
        <v>2730</v>
      </c>
      <c r="AD3774" s="249" t="str">
        <f>HYPERLINK("https://scontent.cdninstagram.com/t51.2885-15/s320x320/e35/21224491_981748088634279_6603547260238168064_n.jpg")</f>
        <v>https://scontent.cdninstagram.com/t51.2885-15/s320x320/e35/21224491_981748088634279_6603547260238168064_n.jpg</v>
      </c>
      <c r="AE3774" s="249" t="str">
        <f>HYPERLINK("https://scontent.cdninstagram.com/t51.2885-19/s150x150/21224635_116853155713206_6935607206414909440_a.jpg")</f>
        <v>https://scontent.cdninstagram.com/t51.2885-19/s150x150/21224635_116853155713206_6935607206414909440_a.jpg</v>
      </c>
    </row>
    <row r="3775" spans="1:31" ht="15" x14ac:dyDescent="0.25">
      <c r="A3775" t="s">
        <v>2474</v>
      </c>
      <c r="B3775" t="s">
        <v>4341</v>
      </c>
      <c r="C3775" s="221">
        <v>42977.95952546296</v>
      </c>
      <c r="D3775" t="s">
        <v>21181</v>
      </c>
      <c r="E3775" s="249" t="str">
        <f>HYPERLINK("https://www.instagram.com/p/BYcT1LYgBpk/")</f>
        <v>https://www.instagram.com/p/BYcT1LYgBpk/</v>
      </c>
      <c r="F3775" t="s">
        <v>21182</v>
      </c>
      <c r="G3775" t="s">
        <v>2478</v>
      </c>
      <c r="H3775">
        <v>391293</v>
      </c>
      <c r="I3775" t="s">
        <v>2479</v>
      </c>
      <c r="J3775">
        <v>25</v>
      </c>
      <c r="K3775">
        <v>3715</v>
      </c>
      <c r="L3775">
        <v>3740</v>
      </c>
      <c r="Q3775">
        <v>0</v>
      </c>
      <c r="R3775">
        <v>0</v>
      </c>
      <c r="S3775">
        <v>3740</v>
      </c>
      <c r="AD3775" s="249" t="str">
        <f>HYPERLINK("https://scontent.cdninstagram.com/t51.2885-15/s320x320/e35/21227243_271143020054027_1255695880112046080_n.jpg")</f>
        <v>https://scontent.cdninstagram.com/t51.2885-15/s320x320/e35/21227243_271143020054027_1255695880112046080_n.jpg</v>
      </c>
      <c r="AE3775" s="249" t="str">
        <f>HYPERLINK("https://scontent.cdninstagram.com/t51.2885-19/s150x150/12357356_524081691094860_312972369_a.jpg")</f>
        <v>https://scontent.cdninstagram.com/t51.2885-19/s150x150/12357356_524081691094860_312972369_a.jpg</v>
      </c>
    </row>
    <row r="3776" spans="1:31" ht="15" x14ac:dyDescent="0.25">
      <c r="A3776" t="s">
        <v>2474</v>
      </c>
      <c r="B3776" t="s">
        <v>21183</v>
      </c>
      <c r="C3776" s="221">
        <v>42977.971076388887</v>
      </c>
      <c r="D3776" t="s">
        <v>21184</v>
      </c>
      <c r="E3776" s="249" t="str">
        <f>HYPERLINK("https://www.instagram.com/p/BYcVu7bgTXH/")</f>
        <v>https://www.instagram.com/p/BYcVu7bgTXH/</v>
      </c>
      <c r="F3776" t="s">
        <v>21185</v>
      </c>
      <c r="G3776" t="s">
        <v>2478</v>
      </c>
      <c r="H3776">
        <v>1186</v>
      </c>
      <c r="I3776" t="s">
        <v>2582</v>
      </c>
      <c r="J3776">
        <v>14</v>
      </c>
      <c r="K3776">
        <v>183</v>
      </c>
      <c r="L3776">
        <v>197</v>
      </c>
      <c r="Q3776">
        <v>0</v>
      </c>
      <c r="R3776">
        <v>0</v>
      </c>
      <c r="S3776">
        <v>197</v>
      </c>
      <c r="T3776" t="s">
        <v>21186</v>
      </c>
      <c r="U3776" t="s">
        <v>106</v>
      </c>
      <c r="V3776" t="s">
        <v>2299</v>
      </c>
      <c r="W3776">
        <v>25.778130000000001</v>
      </c>
      <c r="X3776">
        <v>-80.131429999999995</v>
      </c>
      <c r="Y3776" t="s">
        <v>2730</v>
      </c>
      <c r="Z3776" t="s">
        <v>4779</v>
      </c>
      <c r="AA3776" t="s">
        <v>21187</v>
      </c>
      <c r="AB3776" t="s">
        <v>8007</v>
      </c>
      <c r="AC3776" t="s">
        <v>21014</v>
      </c>
      <c r="AD3776" s="249" t="str">
        <f>HYPERLINK("https://scontent.cdninstagram.com/t51.2885-15/s320x320/e35/21147877_1428185770605512_6625628249747619840_n.jpg")</f>
        <v>https://scontent.cdninstagram.com/t51.2885-15/s320x320/e35/21147877_1428185770605512_6625628249747619840_n.jpg</v>
      </c>
      <c r="AE3776" s="249" t="str">
        <f>HYPERLINK("https://scontent.cdninstagram.com/t51.2885-19/s150x150/16908197_258284574583348_8157582155824758784_a.jpg")</f>
        <v>https://scontent.cdninstagram.com/t51.2885-19/s150x150/16908197_258284574583348_8157582155824758784_a.jpg</v>
      </c>
    </row>
    <row r="3777" spans="1:31" ht="15" x14ac:dyDescent="0.25">
      <c r="A3777" t="s">
        <v>2474</v>
      </c>
      <c r="B3777" t="s">
        <v>21188</v>
      </c>
      <c r="C3777" s="221">
        <v>42977.979097222225</v>
      </c>
      <c r="D3777" t="s">
        <v>21189</v>
      </c>
      <c r="E3777" s="249" t="str">
        <f>HYPERLINK("https://www.instagram.com/p/BYcXDltlw9h/")</f>
        <v>https://www.instagram.com/p/BYcXDltlw9h/</v>
      </c>
      <c r="F3777" t="s">
        <v>21190</v>
      </c>
      <c r="G3777" t="s">
        <v>2478</v>
      </c>
      <c r="H3777">
        <v>328</v>
      </c>
      <c r="I3777" t="s">
        <v>2479</v>
      </c>
      <c r="J3777">
        <v>3</v>
      </c>
      <c r="K3777">
        <v>59</v>
      </c>
      <c r="L3777">
        <v>62</v>
      </c>
      <c r="Q3777">
        <v>0</v>
      </c>
      <c r="R3777">
        <v>0</v>
      </c>
      <c r="S3777">
        <v>62</v>
      </c>
      <c r="Y3777" t="s">
        <v>21191</v>
      </c>
      <c r="Z3777" t="s">
        <v>21192</v>
      </c>
      <c r="AA3777" t="s">
        <v>4582</v>
      </c>
      <c r="AB3777" t="s">
        <v>2551</v>
      </c>
      <c r="AC3777" t="s">
        <v>5950</v>
      </c>
      <c r="AD3777" s="249" t="str">
        <f>HYPERLINK("https://scontent.cdninstagram.com/t51.2885-15/e35/p320x320/21227725_705527419650785_3242064228118429696_n.jpg")</f>
        <v>https://scontent.cdninstagram.com/t51.2885-15/e35/p320x320/21227725_705527419650785_3242064228118429696_n.jpg</v>
      </c>
      <c r="AE3777" s="249" t="str">
        <f>HYPERLINK("https://scontent.cdninstagram.com/t51.2885-19/s150x150/18878886_1382311121806790_5092013179169406976_a.jpg")</f>
        <v>https://scontent.cdninstagram.com/t51.2885-19/s150x150/18878886_1382311121806790_5092013179169406976_a.jpg</v>
      </c>
    </row>
    <row r="3778" spans="1:31" ht="15" x14ac:dyDescent="0.25">
      <c r="A3778" t="s">
        <v>2474</v>
      </c>
      <c r="B3778" t="s">
        <v>21193</v>
      </c>
      <c r="C3778" s="221">
        <v>42977.984976851854</v>
      </c>
      <c r="D3778" t="s">
        <v>21194</v>
      </c>
      <c r="E3778" s="249" t="str">
        <f>HYPERLINK("https://www.instagram.com/p/BYcYBnQgdWV/")</f>
        <v>https://www.instagram.com/p/BYcYBnQgdWV/</v>
      </c>
      <c r="F3778" t="s">
        <v>21195</v>
      </c>
      <c r="G3778" t="s">
        <v>2631</v>
      </c>
      <c r="H3778">
        <v>566</v>
      </c>
      <c r="I3778" t="s">
        <v>2479</v>
      </c>
      <c r="J3778">
        <v>0</v>
      </c>
      <c r="K3778">
        <v>33</v>
      </c>
      <c r="L3778">
        <v>33</v>
      </c>
      <c r="Q3778">
        <v>0</v>
      </c>
      <c r="R3778">
        <v>0</v>
      </c>
      <c r="S3778">
        <v>33</v>
      </c>
      <c r="Y3778" t="s">
        <v>21196</v>
      </c>
      <c r="Z3778" t="s">
        <v>21197</v>
      </c>
      <c r="AA3778" t="s">
        <v>2930</v>
      </c>
      <c r="AB3778" t="s">
        <v>21198</v>
      </c>
      <c r="AC3778" t="s">
        <v>21199</v>
      </c>
      <c r="AD3778" s="249" t="str">
        <f>HYPERLINK("https://scontent.cdninstagram.com/t51.2885-15/s320x320/e15/21224131_113369682675164_1899776077832650752_n.jpg")</f>
        <v>https://scontent.cdninstagram.com/t51.2885-15/s320x320/e15/21224131_113369682675164_1899776077832650752_n.jpg</v>
      </c>
      <c r="AE3778" s="249" t="str">
        <f>HYPERLINK("https://scontent.cdninstagram.com/t51.2885-19/s150x150/17332471_1876362502585958_1939830302885019648_a.jpg")</f>
        <v>https://scontent.cdninstagram.com/t51.2885-19/s150x150/17332471_1876362502585958_1939830302885019648_a.jpg</v>
      </c>
    </row>
    <row r="3779" spans="1:31" ht="15" x14ac:dyDescent="0.25">
      <c r="A3779" t="s">
        <v>2474</v>
      </c>
      <c r="B3779" t="s">
        <v>21200</v>
      </c>
      <c r="C3779" s="221">
        <v>42977.991574074076</v>
      </c>
      <c r="D3779" t="s">
        <v>21201</v>
      </c>
      <c r="E3779" s="249" t="str">
        <f>HYPERLINK("https://www.instagram.com/p/BYcZHFDA2_s/")</f>
        <v>https://www.instagram.com/p/BYcZHFDA2_s/</v>
      </c>
      <c r="F3779" t="s">
        <v>21202</v>
      </c>
      <c r="G3779" t="s">
        <v>2488</v>
      </c>
      <c r="H3779">
        <v>263</v>
      </c>
      <c r="I3779" t="s">
        <v>2479</v>
      </c>
      <c r="J3779">
        <v>3</v>
      </c>
      <c r="K3779">
        <v>11</v>
      </c>
      <c r="L3779">
        <v>14</v>
      </c>
      <c r="Q3779">
        <v>0</v>
      </c>
      <c r="R3779">
        <v>0</v>
      </c>
      <c r="S3779">
        <v>14</v>
      </c>
      <c r="T3779" t="s">
        <v>21203</v>
      </c>
      <c r="W3779">
        <v>-18.186895</v>
      </c>
      <c r="X3779">
        <v>125.58315</v>
      </c>
      <c r="Y3779" t="s">
        <v>21204</v>
      </c>
      <c r="Z3779" t="s">
        <v>5884</v>
      </c>
      <c r="AA3779" t="s">
        <v>21205</v>
      </c>
      <c r="AB3779" t="s">
        <v>21206</v>
      </c>
      <c r="AC3779" t="s">
        <v>2497</v>
      </c>
      <c r="AD3779" s="249" t="str">
        <f>HYPERLINK("https://scontent.cdninstagram.com/t51.2885-15/s320x320/e35/21224277_1461728267277575_3896723127857577984_n.jpg")</f>
        <v>https://scontent.cdninstagram.com/t51.2885-15/s320x320/e35/21224277_1461728267277575_3896723127857577984_n.jpg</v>
      </c>
      <c r="AE3779" s="249" t="str">
        <f>HYPERLINK("https://scontent.cdninstagram.com/t51.2885-19/10424425_1429600510659932_1818866422_a.jpg")</f>
        <v>https://scontent.cdninstagram.com/t51.2885-19/10424425_1429600510659932_1818866422_a.jpg</v>
      </c>
    </row>
    <row r="3780" spans="1:31" ht="15" x14ac:dyDescent="0.25">
      <c r="A3780" t="s">
        <v>2474</v>
      </c>
      <c r="B3780" t="s">
        <v>21207</v>
      </c>
      <c r="C3780" s="221">
        <v>42977.996666666666</v>
      </c>
      <c r="D3780" t="s">
        <v>21208</v>
      </c>
      <c r="E3780" s="249" t="str">
        <f>HYPERLINK("https://www.instagram.com/p/BYcZ8zigorS/")</f>
        <v>https://www.instagram.com/p/BYcZ8zigorS/</v>
      </c>
      <c r="F3780" t="s">
        <v>21209</v>
      </c>
      <c r="G3780" t="s">
        <v>2478</v>
      </c>
      <c r="H3780">
        <v>1062</v>
      </c>
      <c r="I3780" t="s">
        <v>2479</v>
      </c>
      <c r="J3780">
        <v>0</v>
      </c>
      <c r="K3780">
        <v>5</v>
      </c>
      <c r="L3780">
        <v>5</v>
      </c>
      <c r="Q3780">
        <v>0</v>
      </c>
      <c r="R3780">
        <v>0</v>
      </c>
      <c r="S3780">
        <v>5</v>
      </c>
      <c r="Y3780" t="s">
        <v>5196</v>
      </c>
      <c r="Z3780" t="s">
        <v>3764</v>
      </c>
      <c r="AA3780" t="s">
        <v>5197</v>
      </c>
      <c r="AB3780" t="s">
        <v>4803</v>
      </c>
      <c r="AC3780" t="s">
        <v>4231</v>
      </c>
      <c r="AD3780" s="249" t="str">
        <f>HYPERLINK("https://scontent.cdninstagram.com/t51.2885-15/s320x320/e35/21372497_264018417452027_6191075295668207616_n.jpg")</f>
        <v>https://scontent.cdninstagram.com/t51.2885-15/s320x320/e35/21372497_264018417452027_6191075295668207616_n.jpg</v>
      </c>
      <c r="AE3780" s="249" t="str">
        <f>HYPERLINK("https://scontent.cdninstagram.com/t51.2885-19/s150x150/21373657_361442290952078_6703401105226727424_n.jpg")</f>
        <v>https://scontent.cdninstagram.com/t51.2885-19/s150x150/21373657_361442290952078_6703401105226727424_n.jpg</v>
      </c>
    </row>
    <row r="3781" spans="1:31" ht="15" x14ac:dyDescent="0.25">
      <c r="A3781" t="s">
        <v>2474</v>
      </c>
      <c r="B3781" t="s">
        <v>21210</v>
      </c>
      <c r="C3781" s="221">
        <v>42977.999780092592</v>
      </c>
      <c r="D3781" t="s">
        <v>21211</v>
      </c>
      <c r="E3781" s="249" t="str">
        <f>HYPERLINK("https://www.instagram.com/p/BYcadsIg9zU/")</f>
        <v>https://www.instagram.com/p/BYcadsIg9zU/</v>
      </c>
      <c r="F3781" t="s">
        <v>21212</v>
      </c>
      <c r="G3781" t="s">
        <v>2488</v>
      </c>
      <c r="H3781">
        <v>422</v>
      </c>
      <c r="I3781" t="s">
        <v>2479</v>
      </c>
      <c r="J3781">
        <v>0</v>
      </c>
      <c r="K3781">
        <v>22</v>
      </c>
      <c r="L3781">
        <v>22</v>
      </c>
      <c r="Q3781">
        <v>0</v>
      </c>
      <c r="R3781">
        <v>0</v>
      </c>
      <c r="S3781">
        <v>22</v>
      </c>
      <c r="Y3781" t="s">
        <v>21213</v>
      </c>
      <c r="Z3781" t="s">
        <v>8753</v>
      </c>
      <c r="AA3781" t="s">
        <v>2497</v>
      </c>
      <c r="AD3781" s="249" t="str">
        <f>HYPERLINK("https://scontent.cdninstagram.com/t51.2885-15/s320x320/e35/21224217_1481306338650271_1643724060519038976_n.jpg")</f>
        <v>https://scontent.cdninstagram.com/t51.2885-15/s320x320/e35/21224217_1481306338650271_1643724060519038976_n.jpg</v>
      </c>
      <c r="AE3781" s="249" t="str">
        <f>HYPERLINK("https://scontent.cdninstagram.com/t51.2885-19/s150x150/21224891_158444204733838_8860846680761696256_a.jpg")</f>
        <v>https://scontent.cdninstagram.com/t51.2885-19/s150x150/21224891_158444204733838_8860846680761696256_a.jpg</v>
      </c>
    </row>
    <row r="3782" spans="1:31" ht="15" x14ac:dyDescent="0.25">
      <c r="A3782" t="s">
        <v>2474</v>
      </c>
      <c r="B3782" t="s">
        <v>3754</v>
      </c>
      <c r="C3782" s="221">
        <v>42978.010347222225</v>
      </c>
      <c r="D3782" t="s">
        <v>21214</v>
      </c>
      <c r="E3782" s="249" t="str">
        <f>HYPERLINK("https://www.instagram.com/p/BYccNL6jPIY/")</f>
        <v>https://www.instagram.com/p/BYccNL6jPIY/</v>
      </c>
      <c r="F3782" t="s">
        <v>21215</v>
      </c>
      <c r="G3782" t="s">
        <v>2478</v>
      </c>
      <c r="H3782">
        <v>201262</v>
      </c>
      <c r="I3782" t="s">
        <v>2479</v>
      </c>
      <c r="J3782">
        <v>4</v>
      </c>
      <c r="K3782">
        <v>121</v>
      </c>
      <c r="L3782">
        <v>125</v>
      </c>
      <c r="Q3782">
        <v>0</v>
      </c>
      <c r="R3782">
        <v>0</v>
      </c>
      <c r="S3782">
        <v>125</v>
      </c>
      <c r="Y3782" t="s">
        <v>5196</v>
      </c>
      <c r="Z3782" t="s">
        <v>3764</v>
      </c>
      <c r="AA3782" t="s">
        <v>5197</v>
      </c>
      <c r="AB3782" t="s">
        <v>4803</v>
      </c>
      <c r="AC3782" t="s">
        <v>4231</v>
      </c>
      <c r="AD3782" s="249" t="str">
        <f>HYPERLINK("https://scontent.cdninstagram.com/t51.2885-15/s320x320/e35/21224223_308381739630732_5590213283673014272_n.jpg")</f>
        <v>https://scontent.cdninstagram.com/t51.2885-15/s320x320/e35/21224223_308381739630732_5590213283673014272_n.jpg</v>
      </c>
      <c r="AE3782" s="249" t="str">
        <f>HYPERLINK("https://scontent.cdninstagram.com/t51.2885-19/s150x150/12905002_1681254462136092_1137392787_a.jpg")</f>
        <v>https://scontent.cdninstagram.com/t51.2885-19/s150x150/12905002_1681254462136092_1137392787_a.jpg</v>
      </c>
    </row>
    <row r="3783" spans="1:31" ht="15" x14ac:dyDescent="0.25">
      <c r="A3783" t="s">
        <v>2474</v>
      </c>
      <c r="B3783" t="s">
        <v>19920</v>
      </c>
      <c r="C3783" s="221">
        <v>42978.017476851855</v>
      </c>
      <c r="D3783" t="s">
        <v>21216</v>
      </c>
      <c r="E3783" s="249" t="str">
        <f>HYPERLINK("https://www.instagram.com/p/BYcdYYNFzu4/")</f>
        <v>https://www.instagram.com/p/BYcdYYNFzu4/</v>
      </c>
      <c r="F3783" t="s">
        <v>21217</v>
      </c>
      <c r="G3783" t="s">
        <v>2478</v>
      </c>
      <c r="H3783">
        <v>43</v>
      </c>
      <c r="I3783" t="s">
        <v>2479</v>
      </c>
      <c r="J3783">
        <v>1</v>
      </c>
      <c r="K3783">
        <v>8</v>
      </c>
      <c r="L3783">
        <v>9</v>
      </c>
      <c r="Q3783">
        <v>0</v>
      </c>
      <c r="R3783">
        <v>0</v>
      </c>
      <c r="S3783">
        <v>9</v>
      </c>
      <c r="Y3783" t="s">
        <v>6922</v>
      </c>
      <c r="Z3783" t="s">
        <v>21218</v>
      </c>
      <c r="AA3783" t="s">
        <v>8778</v>
      </c>
      <c r="AB3783" t="s">
        <v>2577</v>
      </c>
      <c r="AC3783" t="s">
        <v>3937</v>
      </c>
      <c r="AD3783" s="249" t="str">
        <f>HYPERLINK("https://scontent.cdninstagram.com/t51.2885-15/e35/p320x320/21227305_1235972196514887_4426410041335087104_n.jpg")</f>
        <v>https://scontent.cdninstagram.com/t51.2885-15/e35/p320x320/21227305_1235972196514887_4426410041335087104_n.jpg</v>
      </c>
      <c r="AE3783" s="249" t="str">
        <f>HYPERLINK("https://scontent.cdninstagram.com/t51.2885-19/s150x150/21147769_112832832758983_2000361957047140352_a.jpg")</f>
        <v>https://scontent.cdninstagram.com/t51.2885-19/s150x150/21147769_112832832758983_2000361957047140352_a.jpg</v>
      </c>
    </row>
    <row r="3784" spans="1:31" ht="15" x14ac:dyDescent="0.25">
      <c r="A3784" t="s">
        <v>2474</v>
      </c>
      <c r="B3784" t="s">
        <v>21219</v>
      </c>
      <c r="C3784" s="221">
        <v>42978.017997685187</v>
      </c>
      <c r="D3784" t="s">
        <v>21220</v>
      </c>
      <c r="E3784" s="249" t="str">
        <f>HYPERLINK("https://www.instagram.com/p/BYcdd0PlwIJ/")</f>
        <v>https://www.instagram.com/p/BYcdd0PlwIJ/</v>
      </c>
      <c r="F3784" t="s">
        <v>21221</v>
      </c>
      <c r="G3784" t="s">
        <v>2478</v>
      </c>
      <c r="H3784">
        <v>281</v>
      </c>
      <c r="I3784" t="s">
        <v>2599</v>
      </c>
      <c r="J3784">
        <v>1</v>
      </c>
      <c r="K3784">
        <v>35</v>
      </c>
      <c r="L3784">
        <v>36</v>
      </c>
      <c r="Q3784">
        <v>0</v>
      </c>
      <c r="R3784">
        <v>0</v>
      </c>
      <c r="S3784">
        <v>36</v>
      </c>
      <c r="T3784" t="s">
        <v>21222</v>
      </c>
      <c r="V3784" t="s">
        <v>2271</v>
      </c>
      <c r="W3784">
        <v>47.3</v>
      </c>
      <c r="X3784">
        <v>8.6</v>
      </c>
      <c r="Y3784" t="s">
        <v>4287</v>
      </c>
      <c r="Z3784" t="s">
        <v>9599</v>
      </c>
      <c r="AA3784" t="s">
        <v>2696</v>
      </c>
      <c r="AB3784" t="s">
        <v>4161</v>
      </c>
      <c r="AC3784" t="s">
        <v>15984</v>
      </c>
      <c r="AD3784" s="249" t="str">
        <f>HYPERLINK("https://scontent.cdninstagram.com/t51.2885-15/s320x320/e35/21227642_142640509669994_8901744995736748032_n.jpg")</f>
        <v>https://scontent.cdninstagram.com/t51.2885-15/s320x320/e35/21227642_142640509669994_8901744995736748032_n.jpg</v>
      </c>
      <c r="AE3784" s="249" t="str">
        <f>HYPERLINK("https://scontent.cdninstagram.com/t51.2885-19/s150x150/18722404_1215068958618497_8590471067775008768_a.jpg")</f>
        <v>https://scontent.cdninstagram.com/t51.2885-19/s150x150/18722404_1215068958618497_8590471067775008768_a.jpg</v>
      </c>
    </row>
    <row r="3785" spans="1:31" ht="15" x14ac:dyDescent="0.25">
      <c r="A3785" t="s">
        <v>2474</v>
      </c>
      <c r="B3785" t="s">
        <v>3154</v>
      </c>
      <c r="C3785" s="221">
        <v>42978.024756944447</v>
      </c>
      <c r="D3785" t="s">
        <v>21223</v>
      </c>
      <c r="E3785" s="249" t="str">
        <f>HYPERLINK("https://www.instagram.com/p/BYcelG_noX4/")</f>
        <v>https://www.instagram.com/p/BYcelG_noX4/</v>
      </c>
      <c r="F3785" t="s">
        <v>21224</v>
      </c>
      <c r="G3785" t="s">
        <v>2488</v>
      </c>
      <c r="H3785">
        <v>860</v>
      </c>
      <c r="I3785" t="s">
        <v>2479</v>
      </c>
      <c r="J3785">
        <v>2</v>
      </c>
      <c r="K3785">
        <v>102</v>
      </c>
      <c r="L3785">
        <v>104</v>
      </c>
      <c r="Q3785">
        <v>0</v>
      </c>
      <c r="R3785">
        <v>0</v>
      </c>
      <c r="S3785">
        <v>104</v>
      </c>
      <c r="Y3785" t="s">
        <v>3159</v>
      </c>
      <c r="Z3785" t="s">
        <v>2730</v>
      </c>
      <c r="AA3785" t="s">
        <v>2906</v>
      </c>
      <c r="AB3785" t="s">
        <v>5457</v>
      </c>
      <c r="AC3785" t="s">
        <v>3157</v>
      </c>
      <c r="AD3785" s="249" t="str">
        <f>HYPERLINK("https://scontent.cdninstagram.com/t51.2885-15/s320x320/e35/21227003_237482863443989_4229499831061577728_n.jpg")</f>
        <v>https://scontent.cdninstagram.com/t51.2885-15/s320x320/e35/21227003_237482863443989_4229499831061577728_n.jpg</v>
      </c>
      <c r="AE3785" s="249" t="str">
        <f>HYPERLINK("https://scontent.cdninstagram.com/t51.2885-19/s150x150/19985569_317129912066691_5696369542196887552_a.jpg")</f>
        <v>https://scontent.cdninstagram.com/t51.2885-19/s150x150/19985569_317129912066691_5696369542196887552_a.jpg</v>
      </c>
    </row>
    <row r="3786" spans="1:31" ht="15" x14ac:dyDescent="0.25">
      <c r="A3786" t="s">
        <v>2474</v>
      </c>
      <c r="B3786" t="s">
        <v>4941</v>
      </c>
      <c r="C3786" s="221">
        <v>42978.028437499997</v>
      </c>
      <c r="D3786" t="s">
        <v>21225</v>
      </c>
      <c r="E3786" s="249" t="str">
        <f>HYPERLINK("https://www.instagram.com/p/BYcfL4SBgDJ/")</f>
        <v>https://www.instagram.com/p/BYcfL4SBgDJ/</v>
      </c>
      <c r="F3786" t="s">
        <v>21226</v>
      </c>
      <c r="G3786" t="s">
        <v>2478</v>
      </c>
      <c r="H3786">
        <v>42897</v>
      </c>
      <c r="I3786" t="s">
        <v>2479</v>
      </c>
      <c r="J3786">
        <v>26</v>
      </c>
      <c r="K3786">
        <v>1039</v>
      </c>
      <c r="L3786">
        <v>1065</v>
      </c>
      <c r="Q3786">
        <v>0</v>
      </c>
      <c r="R3786">
        <v>0</v>
      </c>
      <c r="S3786">
        <v>1065</v>
      </c>
      <c r="Y3786" t="s">
        <v>10000</v>
      </c>
      <c r="Z3786" t="s">
        <v>11833</v>
      </c>
      <c r="AA3786" t="s">
        <v>18013</v>
      </c>
      <c r="AB3786" t="s">
        <v>17226</v>
      </c>
      <c r="AC3786" t="s">
        <v>6023</v>
      </c>
      <c r="AD3786" s="249" t="str">
        <f>HYPERLINK("https://scontent.cdninstagram.com/t51.2885-15/e35/p320x320/21147603_1973576396189241_4598790160077815808_n.jpg")</f>
        <v>https://scontent.cdninstagram.com/t51.2885-15/e35/p320x320/21147603_1973576396189241_4598790160077815808_n.jpg</v>
      </c>
      <c r="AE3786" s="249" t="str">
        <f>HYPERLINK("https://scontent.cdninstagram.com/t51.2885-19/14624229_1857850484502104_5357040355281731584_a.jpg")</f>
        <v>https://scontent.cdninstagram.com/t51.2885-19/14624229_1857850484502104_5357040355281731584_a.jpg</v>
      </c>
    </row>
    <row r="3787" spans="1:31" ht="15" x14ac:dyDescent="0.25">
      <c r="A3787" t="s">
        <v>2474</v>
      </c>
      <c r="B3787" t="s">
        <v>17738</v>
      </c>
      <c r="C3787" s="221">
        <v>42978.037638888891</v>
      </c>
      <c r="D3787" t="s">
        <v>21227</v>
      </c>
      <c r="E3787" s="249" t="str">
        <f>HYPERLINK("https://www.instagram.com/p/BYcgs_th4wG/")</f>
        <v>https://www.instagram.com/p/BYcgs_th4wG/</v>
      </c>
      <c r="F3787" t="s">
        <v>20883</v>
      </c>
      <c r="G3787" t="s">
        <v>2478</v>
      </c>
      <c r="H3787">
        <v>69156</v>
      </c>
      <c r="I3787" t="s">
        <v>2479</v>
      </c>
      <c r="J3787">
        <v>0</v>
      </c>
      <c r="K3787">
        <v>20</v>
      </c>
      <c r="L3787">
        <v>20</v>
      </c>
      <c r="Q3787">
        <v>0</v>
      </c>
      <c r="R3787">
        <v>0</v>
      </c>
      <c r="S3787">
        <v>20</v>
      </c>
      <c r="Y3787" t="s">
        <v>5196</v>
      </c>
      <c r="Z3787" t="s">
        <v>3764</v>
      </c>
      <c r="AA3787" t="s">
        <v>5197</v>
      </c>
      <c r="AB3787" t="s">
        <v>4803</v>
      </c>
      <c r="AC3787" t="s">
        <v>4231</v>
      </c>
      <c r="AD3787" s="249" t="str">
        <f>HYPERLINK("https://scontent.cdninstagram.com/t51.2885-15/s320x320/e35/21149198_322685144808718_2458937139954450432_n.jpg")</f>
        <v>https://scontent.cdninstagram.com/t51.2885-15/s320x320/e35/21149198_322685144808718_2458937139954450432_n.jpg</v>
      </c>
      <c r="AE3787" s="249" t="str">
        <f>HYPERLINK("https://scontent.cdninstagram.com/t51.2885-19/s150x150/14701076_1598337030462226_7312252327623131136_a.jpg")</f>
        <v>https://scontent.cdninstagram.com/t51.2885-19/s150x150/14701076_1598337030462226_7312252327623131136_a.jpg</v>
      </c>
    </row>
    <row r="3788" spans="1:31" ht="15" x14ac:dyDescent="0.25">
      <c r="A3788" t="s">
        <v>2474</v>
      </c>
      <c r="B3788" t="s">
        <v>18254</v>
      </c>
      <c r="C3788" s="221">
        <v>42978.051851851851</v>
      </c>
      <c r="D3788" t="s">
        <v>21228</v>
      </c>
      <c r="E3788" s="249" t="str">
        <f>HYPERLINK("https://www.instagram.com/p/BYcjC4-AHlC/")</f>
        <v>https://www.instagram.com/p/BYcjC4-AHlC/</v>
      </c>
      <c r="F3788" t="s">
        <v>21229</v>
      </c>
      <c r="G3788" t="s">
        <v>2631</v>
      </c>
      <c r="H3788">
        <v>188</v>
      </c>
      <c r="I3788" t="s">
        <v>2479</v>
      </c>
      <c r="J3788">
        <v>0</v>
      </c>
      <c r="K3788">
        <v>16</v>
      </c>
      <c r="L3788">
        <v>16</v>
      </c>
      <c r="Q3788">
        <v>0</v>
      </c>
      <c r="R3788">
        <v>0</v>
      </c>
      <c r="S3788">
        <v>16</v>
      </c>
      <c r="Y3788" t="s">
        <v>21230</v>
      </c>
      <c r="Z3788" t="s">
        <v>21231</v>
      </c>
      <c r="AA3788" t="s">
        <v>21232</v>
      </c>
      <c r="AB3788" t="s">
        <v>21233</v>
      </c>
      <c r="AC3788" t="s">
        <v>3316</v>
      </c>
      <c r="AD3788" s="249" t="str">
        <f>HYPERLINK("https://scontent.cdninstagram.com/t51.2885-15/s320x320/e15/21294447_345871512521339_6496656862954389504_n.jpg")</f>
        <v>https://scontent.cdninstagram.com/t51.2885-15/s320x320/e15/21294447_345871512521339_6496656862954389504_n.jpg</v>
      </c>
      <c r="AE3788" s="249" t="str">
        <f>HYPERLINK("https://scontent.cdninstagram.com/t51.2885-19/s150x150/21294956_1970824476487101_3817255070261575680_a.jpg")</f>
        <v>https://scontent.cdninstagram.com/t51.2885-19/s150x150/21294956_1970824476487101_3817255070261575680_a.jpg</v>
      </c>
    </row>
    <row r="3789" spans="1:31" ht="15" x14ac:dyDescent="0.25">
      <c r="A3789" t="s">
        <v>2474</v>
      </c>
      <c r="B3789" t="s">
        <v>21234</v>
      </c>
      <c r="C3789" s="221">
        <v>42978.056967592594</v>
      </c>
      <c r="D3789" t="s">
        <v>21235</v>
      </c>
      <c r="E3789" s="249" t="str">
        <f>HYPERLINK("https://www.instagram.com/p/BYcj42IFEYj/")</f>
        <v>https://www.instagram.com/p/BYcj42IFEYj/</v>
      </c>
      <c r="F3789" t="s">
        <v>21236</v>
      </c>
      <c r="G3789" t="s">
        <v>2478</v>
      </c>
      <c r="H3789">
        <v>185</v>
      </c>
      <c r="I3789" t="s">
        <v>2479</v>
      </c>
      <c r="J3789">
        <v>0</v>
      </c>
      <c r="K3789">
        <v>11</v>
      </c>
      <c r="L3789">
        <v>11</v>
      </c>
      <c r="Q3789">
        <v>0</v>
      </c>
      <c r="R3789">
        <v>0</v>
      </c>
      <c r="S3789">
        <v>11</v>
      </c>
      <c r="Y3789" t="s">
        <v>2492</v>
      </c>
      <c r="Z3789" t="s">
        <v>5170</v>
      </c>
      <c r="AA3789" t="s">
        <v>2497</v>
      </c>
      <c r="AD3789" s="249" t="str">
        <f>HYPERLINK("https://scontent.cdninstagram.com/t51.2885-15/e15/p320x320/21147483_380446502374146_1358373133521780736_n.jpg")</f>
        <v>https://scontent.cdninstagram.com/t51.2885-15/e15/p320x320/21147483_380446502374146_1358373133521780736_n.jpg</v>
      </c>
      <c r="AE3789" s="249" t="str">
        <f>HYPERLINK("https://scontent.cdninstagram.com/t51.2885-19/s150x150/13109114_443142609228157_1864597464_a.jpg")</f>
        <v>https://scontent.cdninstagram.com/t51.2885-19/s150x150/13109114_443142609228157_1864597464_a.jpg</v>
      </c>
    </row>
    <row r="3790" spans="1:31" ht="15" x14ac:dyDescent="0.25">
      <c r="A3790" t="s">
        <v>2474</v>
      </c>
      <c r="B3790" t="s">
        <v>21237</v>
      </c>
      <c r="C3790" s="221">
        <v>42978.061724537038</v>
      </c>
      <c r="D3790" t="s">
        <v>21238</v>
      </c>
      <c r="E3790" s="249" t="str">
        <f>HYPERLINK("https://www.instagram.com/p/BYckq-Jl5J0/")</f>
        <v>https://www.instagram.com/p/BYckq-Jl5J0/</v>
      </c>
      <c r="F3790" t="s">
        <v>21239</v>
      </c>
      <c r="G3790" t="s">
        <v>2478</v>
      </c>
      <c r="H3790">
        <v>855</v>
      </c>
      <c r="I3790" t="s">
        <v>2479</v>
      </c>
      <c r="J3790">
        <v>1</v>
      </c>
      <c r="K3790">
        <v>12</v>
      </c>
      <c r="L3790">
        <v>13</v>
      </c>
      <c r="Q3790">
        <v>0</v>
      </c>
      <c r="R3790">
        <v>0</v>
      </c>
      <c r="S3790">
        <v>13</v>
      </c>
      <c r="T3790" t="s">
        <v>21240</v>
      </c>
      <c r="U3790" t="s">
        <v>106</v>
      </c>
      <c r="V3790" t="s">
        <v>2299</v>
      </c>
      <c r="W3790">
        <v>26.161310004529</v>
      </c>
      <c r="X3790">
        <v>-80.122250844567006</v>
      </c>
      <c r="Y3790" t="s">
        <v>21241</v>
      </c>
      <c r="Z3790" t="s">
        <v>21242</v>
      </c>
      <c r="AA3790" t="s">
        <v>21243</v>
      </c>
      <c r="AB3790" t="s">
        <v>2497</v>
      </c>
      <c r="AD3790" s="249" t="str">
        <f>HYPERLINK("https://scontent.cdninstagram.com/t51.2885-15/s320x320/e35/21148027_121836585139149_6901996475983593472_n.jpg")</f>
        <v>https://scontent.cdninstagram.com/t51.2885-15/s320x320/e35/21148027_121836585139149_6901996475983593472_n.jpg</v>
      </c>
      <c r="AE3790" s="249" t="str">
        <f>HYPERLINK("https://scontent.cdninstagram.com/t51.2885-19/s150x150/19533783_750965401742930_6528283163876130816_a.jpg")</f>
        <v>https://scontent.cdninstagram.com/t51.2885-19/s150x150/19533783_750965401742930_6528283163876130816_a.jpg</v>
      </c>
    </row>
    <row r="3791" spans="1:31" ht="15" x14ac:dyDescent="0.25">
      <c r="A3791" t="s">
        <v>2474</v>
      </c>
      <c r="B3791" t="s">
        <v>3471</v>
      </c>
      <c r="C3791" s="221">
        <v>42978.065486111111</v>
      </c>
      <c r="D3791" t="s">
        <v>21244</v>
      </c>
      <c r="E3791" s="249" t="str">
        <f>HYPERLINK("https://www.instagram.com/p/BYclSs9nIUJ/")</f>
        <v>https://www.instagram.com/p/BYclSs9nIUJ/</v>
      </c>
      <c r="F3791" t="s">
        <v>21245</v>
      </c>
      <c r="G3791" t="s">
        <v>2631</v>
      </c>
      <c r="H3791">
        <v>190</v>
      </c>
      <c r="I3791" t="s">
        <v>2479</v>
      </c>
      <c r="J3791">
        <v>0</v>
      </c>
      <c r="K3791">
        <v>21</v>
      </c>
      <c r="L3791">
        <v>21</v>
      </c>
      <c r="Q3791">
        <v>0</v>
      </c>
      <c r="R3791">
        <v>0</v>
      </c>
      <c r="S3791">
        <v>21</v>
      </c>
      <c r="T3791" t="s">
        <v>3474</v>
      </c>
      <c r="V3791" t="s">
        <v>2258</v>
      </c>
      <c r="W3791">
        <v>1.2930600000000001</v>
      </c>
      <c r="X3791">
        <v>103.85599999999999</v>
      </c>
      <c r="Y3791" t="s">
        <v>6957</v>
      </c>
      <c r="Z3791" t="s">
        <v>3851</v>
      </c>
      <c r="AA3791" t="s">
        <v>10236</v>
      </c>
      <c r="AB3791" t="s">
        <v>6299</v>
      </c>
      <c r="AC3791" t="s">
        <v>5702</v>
      </c>
      <c r="AD3791" s="249" t="str">
        <f>HYPERLINK("https://scontent.cdninstagram.com/t51.2885-15/s320x320/e15/21224107_111904969505587_2380425541510496256_n.jpg")</f>
        <v>https://scontent.cdninstagram.com/t51.2885-15/s320x320/e15/21224107_111904969505587_2380425541510496256_n.jpg</v>
      </c>
      <c r="AE3791" s="249" t="str">
        <f>HYPERLINK("https://scontent.cdninstagram.com/t51.2885-19/s150x150/19986209_741127056067001_1270489010199855104_a.jpg")</f>
        <v>https://scontent.cdninstagram.com/t51.2885-19/s150x150/19986209_741127056067001_1270489010199855104_a.jpg</v>
      </c>
    </row>
    <row r="3792" spans="1:31" ht="15" x14ac:dyDescent="0.25">
      <c r="A3792" t="s">
        <v>2474</v>
      </c>
      <c r="B3792" t="s">
        <v>19920</v>
      </c>
      <c r="C3792" s="221">
        <v>42978.067442129628</v>
      </c>
      <c r="D3792" t="s">
        <v>21246</v>
      </c>
      <c r="E3792" s="249" t="str">
        <f>HYPERLINK("https://www.instagram.com/p/BYclnUOlcjt/")</f>
        <v>https://www.instagram.com/p/BYclnUOlcjt/</v>
      </c>
      <c r="F3792" t="s">
        <v>21247</v>
      </c>
      <c r="G3792" t="s">
        <v>2478</v>
      </c>
      <c r="H3792">
        <v>46</v>
      </c>
      <c r="I3792" t="s">
        <v>2479</v>
      </c>
      <c r="J3792">
        <v>0</v>
      </c>
      <c r="K3792">
        <v>13</v>
      </c>
      <c r="L3792">
        <v>13</v>
      </c>
      <c r="Q3792">
        <v>0</v>
      </c>
      <c r="R3792">
        <v>0</v>
      </c>
      <c r="S3792">
        <v>13</v>
      </c>
      <c r="Y3792" t="s">
        <v>21248</v>
      </c>
      <c r="Z3792" t="s">
        <v>2696</v>
      </c>
      <c r="AA3792" t="s">
        <v>21249</v>
      </c>
      <c r="AB3792" t="s">
        <v>21250</v>
      </c>
      <c r="AC3792" t="s">
        <v>5552</v>
      </c>
      <c r="AD3792" s="249" t="str">
        <f>HYPERLINK("https://scontent.cdninstagram.com/t51.2885-15/e35/p320x320/21294345_726274590910972_4775052285011034112_n.jpg")</f>
        <v>https://scontent.cdninstagram.com/t51.2885-15/e35/p320x320/21294345_726274590910972_4775052285011034112_n.jpg</v>
      </c>
      <c r="AE3792" s="249" t="str">
        <f>HYPERLINK("https://scontent.cdninstagram.com/t51.2885-19/s150x150/21147769_112832832758983_2000361957047140352_a.jpg")</f>
        <v>https://scontent.cdninstagram.com/t51.2885-19/s150x150/21147769_112832832758983_2000361957047140352_a.jpg</v>
      </c>
    </row>
    <row r="3793" spans="1:31" ht="15" x14ac:dyDescent="0.25">
      <c r="A3793" t="s">
        <v>2474</v>
      </c>
      <c r="B3793" t="s">
        <v>3761</v>
      </c>
      <c r="C3793" s="221">
        <v>42978.069351851853</v>
      </c>
      <c r="D3793" t="s">
        <v>21251</v>
      </c>
      <c r="E3793" s="249" t="str">
        <f>HYPERLINK("https://www.instagram.com/p/BYcl7ceHMxa/")</f>
        <v>https://www.instagram.com/p/BYcl7ceHMxa/</v>
      </c>
      <c r="F3793" t="s">
        <v>21252</v>
      </c>
      <c r="G3793" t="s">
        <v>2478</v>
      </c>
      <c r="H3793">
        <v>35537</v>
      </c>
      <c r="I3793" t="s">
        <v>2479</v>
      </c>
      <c r="J3793">
        <v>0</v>
      </c>
      <c r="K3793">
        <v>12</v>
      </c>
      <c r="L3793">
        <v>12</v>
      </c>
      <c r="Q3793">
        <v>0</v>
      </c>
      <c r="R3793">
        <v>0</v>
      </c>
      <c r="S3793">
        <v>12</v>
      </c>
      <c r="Y3793" t="s">
        <v>3754</v>
      </c>
      <c r="Z3793" t="s">
        <v>3757</v>
      </c>
      <c r="AA3793" t="s">
        <v>6789</v>
      </c>
      <c r="AB3793" t="s">
        <v>3758</v>
      </c>
      <c r="AC3793" t="s">
        <v>8654</v>
      </c>
      <c r="AD3793" s="249" t="str">
        <f>HYPERLINK("https://scontent.cdninstagram.com/t51.2885-15/s320x320/e35/21224078_387299635005903_1446309028379492352_n.jpg")</f>
        <v>https://scontent.cdninstagram.com/t51.2885-15/s320x320/e35/21224078_387299635005903_1446309028379492352_n.jpg</v>
      </c>
      <c r="AE3793" s="249" t="str">
        <f>HYPERLINK("https://scontent.cdninstagram.com/t51.2885-19/s150x150/19985865_1705783593058831_5928851088227696640_n.jpg")</f>
        <v>https://scontent.cdninstagram.com/t51.2885-19/s150x150/19985865_1705783593058831_5928851088227696640_n.jpg</v>
      </c>
    </row>
    <row r="3794" spans="1:31" ht="15" x14ac:dyDescent="0.25">
      <c r="A3794" t="s">
        <v>2474</v>
      </c>
      <c r="B3794" t="s">
        <v>3754</v>
      </c>
      <c r="C3794" s="221">
        <v>42978.072546296295</v>
      </c>
      <c r="D3794" t="s">
        <v>21253</v>
      </c>
      <c r="E3794" s="249" t="str">
        <f>HYPERLINK("https://www.instagram.com/p/BYcmdITDn3G/")</f>
        <v>https://www.instagram.com/p/BYcmdITDn3G/</v>
      </c>
      <c r="F3794" t="s">
        <v>21254</v>
      </c>
      <c r="G3794" t="s">
        <v>2478</v>
      </c>
      <c r="H3794">
        <v>201255</v>
      </c>
      <c r="I3794" t="s">
        <v>2479</v>
      </c>
      <c r="J3794">
        <v>0</v>
      </c>
      <c r="K3794">
        <v>106</v>
      </c>
      <c r="L3794">
        <v>106</v>
      </c>
      <c r="Q3794">
        <v>0</v>
      </c>
      <c r="R3794">
        <v>0</v>
      </c>
      <c r="S3794">
        <v>106</v>
      </c>
      <c r="Y3794" t="s">
        <v>3754</v>
      </c>
      <c r="Z3794" t="s">
        <v>3757</v>
      </c>
      <c r="AA3794" t="s">
        <v>6789</v>
      </c>
      <c r="AB3794" t="s">
        <v>3758</v>
      </c>
      <c r="AC3794" t="s">
        <v>8654</v>
      </c>
      <c r="AD3794" s="249" t="str">
        <f>HYPERLINK("https://scontent.cdninstagram.com/t51.2885-15/s320x320/e35/21147913_1930507517231948_8352644340455047168_n.jpg")</f>
        <v>https://scontent.cdninstagram.com/t51.2885-15/s320x320/e35/21147913_1930507517231948_8352644340455047168_n.jpg</v>
      </c>
      <c r="AE3794" s="249" t="str">
        <f>HYPERLINK("https://scontent.cdninstagram.com/t51.2885-19/s150x150/12905002_1681254462136092_1137392787_a.jpg")</f>
        <v>https://scontent.cdninstagram.com/t51.2885-19/s150x150/12905002_1681254462136092_1137392787_a.jpg</v>
      </c>
    </row>
    <row r="3795" spans="1:31" ht="15" x14ac:dyDescent="0.25">
      <c r="A3795" t="s">
        <v>2474</v>
      </c>
      <c r="B3795" t="s">
        <v>21255</v>
      </c>
      <c r="C3795" s="221">
        <v>42978.078773148147</v>
      </c>
      <c r="D3795" t="s">
        <v>21256</v>
      </c>
      <c r="E3795" s="249" t="str">
        <f>HYPERLINK("https://www.instagram.com/p/BYcne1bBoPp/")</f>
        <v>https://www.instagram.com/p/BYcne1bBoPp/</v>
      </c>
      <c r="F3795" t="s">
        <v>21257</v>
      </c>
      <c r="G3795" t="s">
        <v>2478</v>
      </c>
      <c r="H3795">
        <v>171</v>
      </c>
      <c r="I3795" t="s">
        <v>4052</v>
      </c>
      <c r="J3795">
        <v>2</v>
      </c>
      <c r="K3795">
        <v>32</v>
      </c>
      <c r="L3795">
        <v>34</v>
      </c>
      <c r="Q3795">
        <v>0</v>
      </c>
      <c r="R3795">
        <v>0</v>
      </c>
      <c r="S3795">
        <v>34</v>
      </c>
      <c r="Y3795" t="s">
        <v>12924</v>
      </c>
      <c r="Z3795" t="s">
        <v>21258</v>
      </c>
      <c r="AA3795" t="s">
        <v>21259</v>
      </c>
      <c r="AB3795" t="s">
        <v>21260</v>
      </c>
      <c r="AC3795" t="s">
        <v>15587</v>
      </c>
      <c r="AD3795" s="249" t="str">
        <f>HYPERLINK("https://scontent.cdninstagram.com/t51.2885-15/s320x320/e35/21147712_298385197307437_3042855080765161472_n.jpg")</f>
        <v>https://scontent.cdninstagram.com/t51.2885-15/s320x320/e35/21147712_298385197307437_3042855080765161472_n.jpg</v>
      </c>
      <c r="AE3795" s="249" t="str">
        <f>HYPERLINK("https://scontent.cdninstagram.com/t51.2885-19/s150x150/13391207_875427042584604_1966142606_a.jpg")</f>
        <v>https://scontent.cdninstagram.com/t51.2885-19/s150x150/13391207_875427042584604_1966142606_a.jpg</v>
      </c>
    </row>
    <row r="3796" spans="1:31" ht="15" x14ac:dyDescent="0.25">
      <c r="A3796" t="s">
        <v>2474</v>
      </c>
      <c r="B3796" t="s">
        <v>21261</v>
      </c>
      <c r="C3796" s="221">
        <v>42978.082407407404</v>
      </c>
      <c r="D3796" t="s">
        <v>21262</v>
      </c>
      <c r="E3796" s="249" t="str">
        <f>HYPERLINK("https://www.instagram.com/p/BYcoFJKB5PC/")</f>
        <v>https://www.instagram.com/p/BYcoFJKB5PC/</v>
      </c>
      <c r="F3796" t="s">
        <v>21263</v>
      </c>
      <c r="G3796" t="s">
        <v>2478</v>
      </c>
      <c r="H3796">
        <v>191</v>
      </c>
      <c r="I3796" t="s">
        <v>2479</v>
      </c>
      <c r="J3796">
        <v>0</v>
      </c>
      <c r="K3796">
        <v>9</v>
      </c>
      <c r="L3796">
        <v>9</v>
      </c>
      <c r="Q3796">
        <v>0</v>
      </c>
      <c r="R3796">
        <v>0</v>
      </c>
      <c r="S3796">
        <v>9</v>
      </c>
      <c r="Y3796" t="s">
        <v>8994</v>
      </c>
      <c r="Z3796" t="s">
        <v>21264</v>
      </c>
      <c r="AA3796" t="s">
        <v>6442</v>
      </c>
      <c r="AB3796" t="s">
        <v>4154</v>
      </c>
      <c r="AC3796" t="s">
        <v>2497</v>
      </c>
      <c r="AD3796" s="249" t="str">
        <f>HYPERLINK("https://scontent.cdninstagram.com/t51.2885-15/s320x320/e35/21149618_277923962702971_5043404998466076672_n.jpg")</f>
        <v>https://scontent.cdninstagram.com/t51.2885-15/s320x320/e35/21149618_277923962702971_5043404998466076672_n.jpg</v>
      </c>
      <c r="AE3796" s="249" t="str">
        <f>HYPERLINK("https://scontent.cdninstagram.com/t51.2885-19/s150x150/12677273_187654811593127_1018140563_a.jpg")</f>
        <v>https://scontent.cdninstagram.com/t51.2885-19/s150x150/12677273_187654811593127_1018140563_a.jpg</v>
      </c>
    </row>
    <row r="3797" spans="1:31" ht="15" x14ac:dyDescent="0.25">
      <c r="A3797" t="s">
        <v>2474</v>
      </c>
      <c r="B3797" t="s">
        <v>21265</v>
      </c>
      <c r="C3797" s="221">
        <v>42978.087453703702</v>
      </c>
      <c r="D3797" t="s">
        <v>21266</v>
      </c>
      <c r="E3797" s="249" t="str">
        <f>HYPERLINK("https://www.instagram.com/p/BYco6YmjrYW/")</f>
        <v>https://www.instagram.com/p/BYco6YmjrYW/</v>
      </c>
      <c r="F3797" t="s">
        <v>21267</v>
      </c>
      <c r="G3797" t="s">
        <v>2478</v>
      </c>
      <c r="H3797">
        <v>282</v>
      </c>
      <c r="I3797" t="s">
        <v>2479</v>
      </c>
      <c r="J3797">
        <v>0</v>
      </c>
      <c r="K3797">
        <v>52</v>
      </c>
      <c r="L3797">
        <v>52</v>
      </c>
      <c r="Q3797">
        <v>0</v>
      </c>
      <c r="R3797">
        <v>0</v>
      </c>
      <c r="S3797">
        <v>52</v>
      </c>
      <c r="T3797" t="s">
        <v>21268</v>
      </c>
      <c r="V3797" t="s">
        <v>2259</v>
      </c>
      <c r="W3797">
        <v>48.184722219999998</v>
      </c>
      <c r="X3797">
        <v>17.189444439999999</v>
      </c>
      <c r="Y3797" t="s">
        <v>21269</v>
      </c>
      <c r="Z3797" t="s">
        <v>2696</v>
      </c>
      <c r="AA3797" t="s">
        <v>3194</v>
      </c>
      <c r="AB3797" t="s">
        <v>21270</v>
      </c>
      <c r="AC3797" t="s">
        <v>2529</v>
      </c>
      <c r="AD3797" s="249" t="str">
        <f>HYPERLINK("https://scontent.cdninstagram.com/t51.2885-15/s320x320/e35/21149760_115925212439019_2122231546696957952_n.jpg")</f>
        <v>https://scontent.cdninstagram.com/t51.2885-15/s320x320/e35/21149760_115925212439019_2122231546696957952_n.jpg</v>
      </c>
      <c r="AE3797" s="249" t="str">
        <f>HYPERLINK("https://scontent.cdninstagram.com/t51.2885-19/s150x150/18722269_1944827282465720_5551421959394295808_a.jpg")</f>
        <v>https://scontent.cdninstagram.com/t51.2885-19/s150x150/18722269_1944827282465720_5551421959394295808_a.jpg</v>
      </c>
    </row>
    <row r="3798" spans="1:31" ht="15" x14ac:dyDescent="0.25">
      <c r="A3798" t="s">
        <v>2474</v>
      </c>
      <c r="B3798" t="s">
        <v>21271</v>
      </c>
      <c r="C3798" s="221">
        <v>42978.096643518518</v>
      </c>
      <c r="D3798" t="s">
        <v>21272</v>
      </c>
      <c r="E3798" s="249" t="str">
        <f>HYPERLINK("https://www.instagram.com/p/BYcqbRzh7Ne/")</f>
        <v>https://www.instagram.com/p/BYcqbRzh7Ne/</v>
      </c>
      <c r="F3798" t="s">
        <v>21273</v>
      </c>
      <c r="G3798" t="s">
        <v>2478</v>
      </c>
      <c r="H3798">
        <v>807</v>
      </c>
      <c r="I3798" t="s">
        <v>2519</v>
      </c>
      <c r="J3798">
        <v>1</v>
      </c>
      <c r="K3798">
        <v>160</v>
      </c>
      <c r="L3798">
        <v>161</v>
      </c>
      <c r="Q3798">
        <v>0</v>
      </c>
      <c r="R3798">
        <v>0</v>
      </c>
      <c r="S3798">
        <v>161</v>
      </c>
      <c r="Y3798" t="s">
        <v>2696</v>
      </c>
      <c r="Z3798" t="s">
        <v>2730</v>
      </c>
      <c r="AA3798" t="s">
        <v>21274</v>
      </c>
      <c r="AB3798" t="s">
        <v>12123</v>
      </c>
      <c r="AC3798" t="s">
        <v>21275</v>
      </c>
      <c r="AD3798" s="249" t="str">
        <f>HYPERLINK("https://scontent.cdninstagram.com/t51.2885-15/e35/p320x320/21147602_139895779945839_1851696839531692032_n.jpg")</f>
        <v>https://scontent.cdninstagram.com/t51.2885-15/e35/p320x320/21147602_139895779945839_1851696839531692032_n.jpg</v>
      </c>
      <c r="AE3798" s="249" t="str">
        <f>HYPERLINK("https://scontent.cdninstagram.com/t51.2885-19/s150x150/21372825_1571102609620089_2516145567466258432_a.jpg")</f>
        <v>https://scontent.cdninstagram.com/t51.2885-19/s150x150/21372825_1571102609620089_2516145567466258432_a.jpg</v>
      </c>
    </row>
    <row r="3799" spans="1:31" ht="15" x14ac:dyDescent="0.25">
      <c r="A3799" t="s">
        <v>2474</v>
      </c>
      <c r="B3799" t="s">
        <v>11503</v>
      </c>
      <c r="C3799" s="221">
        <v>42978.097627314812</v>
      </c>
      <c r="D3799" t="s">
        <v>21276</v>
      </c>
      <c r="E3799" s="249" t="str">
        <f>HYPERLINK("https://www.instagram.com/p/BYcqlsRgtjw/")</f>
        <v>https://www.instagram.com/p/BYcqlsRgtjw/</v>
      </c>
      <c r="F3799" t="s">
        <v>21277</v>
      </c>
      <c r="G3799" t="s">
        <v>2478</v>
      </c>
      <c r="H3799">
        <v>378</v>
      </c>
      <c r="I3799" t="s">
        <v>2479</v>
      </c>
      <c r="J3799">
        <v>3</v>
      </c>
      <c r="K3799">
        <v>30</v>
      </c>
      <c r="L3799">
        <v>33</v>
      </c>
      <c r="Q3799">
        <v>0</v>
      </c>
      <c r="R3799">
        <v>0</v>
      </c>
      <c r="S3799">
        <v>33</v>
      </c>
      <c r="T3799" t="s">
        <v>21278</v>
      </c>
      <c r="V3799" t="s">
        <v>2225</v>
      </c>
      <c r="W3799">
        <v>-36.884498499999999</v>
      </c>
      <c r="X3799">
        <v>174.64598659999999</v>
      </c>
      <c r="Y3799" t="s">
        <v>2730</v>
      </c>
      <c r="Z3799" t="s">
        <v>5980</v>
      </c>
      <c r="AA3799" t="s">
        <v>2554</v>
      </c>
      <c r="AB3799" t="s">
        <v>2705</v>
      </c>
      <c r="AC3799" t="s">
        <v>3157</v>
      </c>
      <c r="AD3799" s="249" t="str">
        <f>HYPERLINK("https://scontent.cdninstagram.com/t51.2885-15/s320x320/e35/21147544_164913154071834_3555255360761626624_n.jpg")</f>
        <v>https://scontent.cdninstagram.com/t51.2885-15/s320x320/e35/21147544_164913154071834_3555255360761626624_n.jpg</v>
      </c>
      <c r="AE3799" s="249" t="str">
        <f>HYPERLINK("https://scontent.cdninstagram.com/t51.2885-19/s150x150/15802750_195109014292066_160430944199639040_a.jpg")</f>
        <v>https://scontent.cdninstagram.com/t51.2885-19/s150x150/15802750_195109014292066_160430944199639040_a.jpg</v>
      </c>
    </row>
    <row r="3800" spans="1:31" ht="15" x14ac:dyDescent="0.25">
      <c r="A3800" t="s">
        <v>2474</v>
      </c>
      <c r="B3800" t="s">
        <v>15206</v>
      </c>
      <c r="C3800" s="221">
        <v>42978.10423611111</v>
      </c>
      <c r="D3800" t="s">
        <v>21279</v>
      </c>
      <c r="E3800" s="249" t="str">
        <f>HYPERLINK("https://www.instagram.com/p/BYcrralBepV/")</f>
        <v>https://www.instagram.com/p/BYcrralBepV/</v>
      </c>
      <c r="F3800" t="s">
        <v>21280</v>
      </c>
      <c r="G3800" t="s">
        <v>2478</v>
      </c>
      <c r="H3800">
        <v>61750</v>
      </c>
      <c r="I3800" t="s">
        <v>2479</v>
      </c>
      <c r="J3800">
        <v>10</v>
      </c>
      <c r="K3800">
        <v>1204</v>
      </c>
      <c r="L3800">
        <v>1214</v>
      </c>
      <c r="Q3800">
        <v>0</v>
      </c>
      <c r="R3800">
        <v>0</v>
      </c>
      <c r="S3800">
        <v>1214</v>
      </c>
      <c r="AD3800" s="249" t="str">
        <f>HYPERLINK("https://scontent.cdninstagram.com/t51.2885-15/s320x320/e35/21149311_341422089612990_766381281259814912_n.jpg")</f>
        <v>https://scontent.cdninstagram.com/t51.2885-15/s320x320/e35/21149311_341422089612990_766381281259814912_n.jpg</v>
      </c>
      <c r="AE3800" s="249" t="str">
        <f>HYPERLINK("https://scontent.cdninstagram.com/t51.2885-19/17663530_1657274724581959_2295744149531394048_n.jpg")</f>
        <v>https://scontent.cdninstagram.com/t51.2885-19/17663530_1657274724581959_2295744149531394048_n.jpg</v>
      </c>
    </row>
    <row r="3801" spans="1:31" ht="15" x14ac:dyDescent="0.25">
      <c r="A3801" t="s">
        <v>2474</v>
      </c>
      <c r="B3801" t="s">
        <v>21281</v>
      </c>
      <c r="C3801" s="221">
        <v>42978.108715277776</v>
      </c>
      <c r="D3801" t="s">
        <v>21282</v>
      </c>
      <c r="E3801" s="249" t="str">
        <f>HYPERLINK("https://www.instagram.com/p/BYcsaoPn-Lr/")</f>
        <v>https://www.instagram.com/p/BYcsaoPn-Lr/</v>
      </c>
      <c r="F3801" t="s">
        <v>21283</v>
      </c>
      <c r="G3801" t="s">
        <v>2478</v>
      </c>
      <c r="H3801">
        <v>901</v>
      </c>
      <c r="I3801" t="s">
        <v>2479</v>
      </c>
      <c r="J3801">
        <v>3</v>
      </c>
      <c r="K3801">
        <v>26</v>
      </c>
      <c r="L3801">
        <v>29</v>
      </c>
      <c r="Q3801">
        <v>0</v>
      </c>
      <c r="R3801">
        <v>0</v>
      </c>
      <c r="S3801">
        <v>29</v>
      </c>
      <c r="T3801" t="s">
        <v>21284</v>
      </c>
      <c r="U3801" t="s">
        <v>97</v>
      </c>
      <c r="V3801" t="s">
        <v>2299</v>
      </c>
      <c r="W3801">
        <v>34.082966112699999</v>
      </c>
      <c r="X3801">
        <v>-118.181566684</v>
      </c>
      <c r="Y3801" t="s">
        <v>21285</v>
      </c>
      <c r="Z3801" t="s">
        <v>7347</v>
      </c>
      <c r="AA3801" t="s">
        <v>21286</v>
      </c>
      <c r="AB3801" t="s">
        <v>7690</v>
      </c>
      <c r="AC3801" t="s">
        <v>21287</v>
      </c>
      <c r="AD3801" s="249" t="str">
        <f>HYPERLINK("https://scontent.cdninstagram.com/t51.2885-15/s320x320/e35/21148051_229517894241382_5499702667590500352_n.jpg")</f>
        <v>https://scontent.cdninstagram.com/t51.2885-15/s320x320/e35/21148051_229517894241382_5499702667590500352_n.jpg</v>
      </c>
      <c r="AE3801" s="249" t="str">
        <f>HYPERLINK("https://scontent.cdninstagram.com/t51.2885-19/s150x150/13687245_1792702980986283_724894816_a.jpg")</f>
        <v>https://scontent.cdninstagram.com/t51.2885-19/s150x150/13687245_1792702980986283_724894816_a.jpg</v>
      </c>
    </row>
    <row r="3802" spans="1:31" ht="15" x14ac:dyDescent="0.25">
      <c r="A3802" t="s">
        <v>2474</v>
      </c>
      <c r="B3802" t="s">
        <v>2873</v>
      </c>
      <c r="C3802" s="221">
        <v>42978.113078703704</v>
      </c>
      <c r="D3802" t="s">
        <v>21288</v>
      </c>
      <c r="E3802" s="249" t="str">
        <f>HYPERLINK("https://www.instagram.com/p/BYctIojln8m/")</f>
        <v>https://www.instagram.com/p/BYctIojln8m/</v>
      </c>
      <c r="F3802" t="s">
        <v>21289</v>
      </c>
      <c r="G3802" t="s">
        <v>2478</v>
      </c>
      <c r="H3802">
        <v>2653</v>
      </c>
      <c r="I3802" t="s">
        <v>2479</v>
      </c>
      <c r="J3802">
        <v>0</v>
      </c>
      <c r="K3802">
        <v>34</v>
      </c>
      <c r="L3802">
        <v>34</v>
      </c>
      <c r="Q3802">
        <v>0</v>
      </c>
      <c r="R3802">
        <v>0</v>
      </c>
      <c r="S3802">
        <v>34</v>
      </c>
      <c r="Y3802" t="s">
        <v>2878</v>
      </c>
      <c r="Z3802" t="s">
        <v>21290</v>
      </c>
      <c r="AA3802" t="s">
        <v>2877</v>
      </c>
      <c r="AB3802" t="s">
        <v>21291</v>
      </c>
      <c r="AC3802" t="s">
        <v>21292</v>
      </c>
      <c r="AD3802" s="249" t="str">
        <f>HYPERLINK("https://scontent.cdninstagram.com/t51.2885-15/s320x320/e35/21147189_899527556880378_6771497334963437568_n.jpg")</f>
        <v>https://scontent.cdninstagram.com/t51.2885-15/s320x320/e35/21147189_899527556880378_6771497334963437568_n.jpg</v>
      </c>
      <c r="AE3802" s="249" t="str">
        <f>HYPERLINK("https://scontent.cdninstagram.com/t51.2885-19/s150x150/14723181_1238199739572953_5424221452041715712_n.jpg")</f>
        <v>https://scontent.cdninstagram.com/t51.2885-19/s150x150/14723181_1238199739572953_5424221452041715712_n.jpg</v>
      </c>
    </row>
    <row r="3803" spans="1:31" ht="15" x14ac:dyDescent="0.25">
      <c r="A3803" t="s">
        <v>2474</v>
      </c>
      <c r="B3803" t="s">
        <v>21293</v>
      </c>
      <c r="C3803" s="221">
        <v>42978.114131944443</v>
      </c>
      <c r="D3803" t="s">
        <v>21294</v>
      </c>
      <c r="E3803" s="249" t="str">
        <f>HYPERLINK("https://www.instagram.com/p/BYctTt4DjHJ/")</f>
        <v>https://www.instagram.com/p/BYctTt4DjHJ/</v>
      </c>
      <c r="F3803" t="s">
        <v>21295</v>
      </c>
      <c r="G3803" t="s">
        <v>2478</v>
      </c>
      <c r="H3803">
        <v>496</v>
      </c>
      <c r="I3803" t="s">
        <v>2479</v>
      </c>
      <c r="J3803">
        <v>4</v>
      </c>
      <c r="K3803">
        <v>29</v>
      </c>
      <c r="L3803">
        <v>33</v>
      </c>
      <c r="Q3803">
        <v>0</v>
      </c>
      <c r="R3803">
        <v>0</v>
      </c>
      <c r="S3803">
        <v>33</v>
      </c>
      <c r="T3803" t="s">
        <v>21296</v>
      </c>
      <c r="V3803" t="s">
        <v>2264</v>
      </c>
      <c r="W3803">
        <v>39.566699999999997</v>
      </c>
      <c r="X3803">
        <v>2.65</v>
      </c>
      <c r="Y3803" t="s">
        <v>21297</v>
      </c>
      <c r="Z3803" t="s">
        <v>21298</v>
      </c>
      <c r="AA3803" t="s">
        <v>21299</v>
      </c>
      <c r="AB3803" t="s">
        <v>21300</v>
      </c>
      <c r="AC3803" t="s">
        <v>2603</v>
      </c>
      <c r="AD3803" s="249" t="str">
        <f>HYPERLINK("https://scontent.cdninstagram.com/t51.2885-15/s320x320/e35/21295000_1750142268613470_3344159642308575232_n.jpg")</f>
        <v>https://scontent.cdninstagram.com/t51.2885-15/s320x320/e35/21295000_1750142268613470_3344159642308575232_n.jpg</v>
      </c>
      <c r="AE3803" s="249" t="str">
        <f>HYPERLINK("https://scontent.cdninstagram.com/t51.2885-19/s150x150/18161208_438905113142486_1448180401464934400_a.jpg")</f>
        <v>https://scontent.cdninstagram.com/t51.2885-19/s150x150/18161208_438905113142486_1448180401464934400_a.jpg</v>
      </c>
    </row>
    <row r="3804" spans="1:31" ht="15" x14ac:dyDescent="0.25">
      <c r="A3804" t="s">
        <v>2474</v>
      </c>
      <c r="B3804" t="s">
        <v>18309</v>
      </c>
      <c r="C3804" s="221">
        <v>42978.124745370369</v>
      </c>
      <c r="D3804" t="s">
        <v>21301</v>
      </c>
      <c r="E3804" s="249" t="str">
        <f>HYPERLINK("https://www.instagram.com/p/BYcvDpEDzWc/")</f>
        <v>https://www.instagram.com/p/BYcvDpEDzWc/</v>
      </c>
      <c r="F3804" t="s">
        <v>21302</v>
      </c>
      <c r="G3804" t="s">
        <v>2478</v>
      </c>
      <c r="H3804">
        <v>19</v>
      </c>
      <c r="I3804" t="s">
        <v>2479</v>
      </c>
      <c r="J3804">
        <v>2</v>
      </c>
      <c r="K3804">
        <v>20</v>
      </c>
      <c r="L3804">
        <v>22</v>
      </c>
      <c r="Q3804">
        <v>0</v>
      </c>
      <c r="R3804">
        <v>0</v>
      </c>
      <c r="S3804">
        <v>22</v>
      </c>
      <c r="Y3804" t="s">
        <v>8753</v>
      </c>
      <c r="Z3804" t="s">
        <v>2730</v>
      </c>
      <c r="AA3804" t="s">
        <v>4180</v>
      </c>
      <c r="AB3804" t="s">
        <v>3269</v>
      </c>
      <c r="AC3804" t="s">
        <v>6843</v>
      </c>
      <c r="AD3804" s="249" t="str">
        <f>HYPERLINK("https://scontent.cdninstagram.com/t51.2885-15/s320x320/e35/21224227_239330489924393_3164134473189031936_n.jpg")</f>
        <v>https://scontent.cdninstagram.com/t51.2885-15/s320x320/e35/21224227_239330489924393_3164134473189031936_n.jpg</v>
      </c>
      <c r="AE3804" s="249" t="str">
        <f>HYPERLINK("https://scontent.cdninstagram.com/t51.2885-19/s150x150/21224635_116853155713206_6935607206414909440_a.jpg")</f>
        <v>https://scontent.cdninstagram.com/t51.2885-19/s150x150/21224635_116853155713206_6935607206414909440_a.jpg</v>
      </c>
    </row>
    <row r="3805" spans="1:31" ht="15" x14ac:dyDescent="0.25">
      <c r="A3805" t="s">
        <v>2474</v>
      </c>
      <c r="B3805" t="s">
        <v>13059</v>
      </c>
      <c r="C3805" s="221">
        <v>42978.125173611108</v>
      </c>
      <c r="D3805" t="s">
        <v>21303</v>
      </c>
      <c r="E3805" s="249" t="str">
        <f>HYPERLINK("https://www.instagram.com/p/BYcvILiB8Jj/")</f>
        <v>https://www.instagram.com/p/BYcvILiB8Jj/</v>
      </c>
      <c r="F3805" t="s">
        <v>13061</v>
      </c>
      <c r="G3805" t="s">
        <v>2478</v>
      </c>
      <c r="H3805">
        <v>202</v>
      </c>
      <c r="I3805" t="s">
        <v>2542</v>
      </c>
      <c r="J3805">
        <v>0</v>
      </c>
      <c r="K3805">
        <v>39</v>
      </c>
      <c r="L3805">
        <v>39</v>
      </c>
      <c r="Q3805">
        <v>0</v>
      </c>
      <c r="R3805">
        <v>0</v>
      </c>
      <c r="S3805">
        <v>39</v>
      </c>
      <c r="Y3805" t="s">
        <v>4779</v>
      </c>
      <c r="Z3805" t="s">
        <v>9804</v>
      </c>
      <c r="AA3805" t="s">
        <v>2730</v>
      </c>
      <c r="AB3805" t="s">
        <v>10979</v>
      </c>
      <c r="AC3805" t="s">
        <v>6678</v>
      </c>
      <c r="AD3805" s="249" t="str">
        <f>HYPERLINK("https://scontent.cdninstagram.com/t51.2885-15/e35/p320x320/21149608_501912063534715_3688868108258246656_n.jpg")</f>
        <v>https://scontent.cdninstagram.com/t51.2885-15/e35/p320x320/21149608_501912063534715_3688868108258246656_n.jpg</v>
      </c>
      <c r="AE3805" s="249" t="str">
        <f>HYPERLINK("https://scontent.cdninstagram.com/t51.2885-19/926474_1618389535052165_1262024776_a.jpg")</f>
        <v>https://scontent.cdninstagram.com/t51.2885-19/926474_1618389535052165_1262024776_a.jpg</v>
      </c>
    </row>
    <row r="3806" spans="1:31" ht="15" x14ac:dyDescent="0.25">
      <c r="A3806" t="s">
        <v>2474</v>
      </c>
      <c r="B3806" t="s">
        <v>21304</v>
      </c>
      <c r="C3806" s="221">
        <v>42978.126087962963</v>
      </c>
      <c r="D3806" t="s">
        <v>21305</v>
      </c>
      <c r="E3806" s="249" t="str">
        <f>HYPERLINK("https://www.instagram.com/p/BYcvRx-gsOa/")</f>
        <v>https://www.instagram.com/p/BYcvRx-gsOa/</v>
      </c>
      <c r="F3806" t="s">
        <v>21306</v>
      </c>
      <c r="G3806" t="s">
        <v>2478</v>
      </c>
      <c r="H3806">
        <v>328</v>
      </c>
      <c r="I3806" t="s">
        <v>2479</v>
      </c>
      <c r="J3806">
        <v>0</v>
      </c>
      <c r="K3806">
        <v>29</v>
      </c>
      <c r="L3806">
        <v>29</v>
      </c>
      <c r="Q3806">
        <v>0</v>
      </c>
      <c r="R3806">
        <v>0</v>
      </c>
      <c r="S3806">
        <v>29</v>
      </c>
      <c r="Y3806" t="s">
        <v>9794</v>
      </c>
      <c r="Z3806" t="s">
        <v>21307</v>
      </c>
      <c r="AA3806" t="s">
        <v>21308</v>
      </c>
      <c r="AB3806" t="s">
        <v>12468</v>
      </c>
      <c r="AC3806" t="s">
        <v>9112</v>
      </c>
      <c r="AD3806" s="249" t="str">
        <f>HYPERLINK("https://scontent.cdninstagram.com/t51.2885-15/e35/p320x320/21147886_1709202976056288_1581391582404280320_n.jpg")</f>
        <v>https://scontent.cdninstagram.com/t51.2885-15/e35/p320x320/21147886_1709202976056288_1581391582404280320_n.jpg</v>
      </c>
      <c r="AE3806" s="249" t="str">
        <f>HYPERLINK("https://scontent.cdninstagram.com/t51.2885-19/s150x150/20635458_213804295816784_3201927599823519744_a.jpg")</f>
        <v>https://scontent.cdninstagram.com/t51.2885-19/s150x150/20635458_213804295816784_3201927599823519744_a.jpg</v>
      </c>
    </row>
    <row r="3807" spans="1:31" ht="15" x14ac:dyDescent="0.25">
      <c r="A3807" t="s">
        <v>2474</v>
      </c>
      <c r="B3807" t="s">
        <v>3601</v>
      </c>
      <c r="C3807" s="221">
        <v>42978.127256944441</v>
      </c>
      <c r="D3807" t="s">
        <v>21309</v>
      </c>
      <c r="E3807" s="249" t="str">
        <f>HYPERLINK("https://www.instagram.com/p/BYcveKSnrzh/")</f>
        <v>https://www.instagram.com/p/BYcveKSnrzh/</v>
      </c>
      <c r="F3807" t="s">
        <v>21310</v>
      </c>
      <c r="G3807" t="s">
        <v>2478</v>
      </c>
      <c r="H3807">
        <v>687</v>
      </c>
      <c r="I3807" t="s">
        <v>2479</v>
      </c>
      <c r="J3807">
        <v>3</v>
      </c>
      <c r="K3807">
        <v>21</v>
      </c>
      <c r="L3807">
        <v>24</v>
      </c>
      <c r="Q3807">
        <v>0</v>
      </c>
      <c r="R3807">
        <v>0</v>
      </c>
      <c r="S3807">
        <v>24</v>
      </c>
      <c r="Y3807" t="s">
        <v>21311</v>
      </c>
      <c r="Z3807" t="s">
        <v>2696</v>
      </c>
      <c r="AA3807" t="s">
        <v>3706</v>
      </c>
      <c r="AB3807" t="s">
        <v>13451</v>
      </c>
      <c r="AC3807" t="s">
        <v>21312</v>
      </c>
      <c r="AD3807" s="249" t="str">
        <f>HYPERLINK("https://scontent.cdninstagram.com/t51.2885-15/e35/p320x320/21147640_1427052460704767_6966200116730396672_n.jpg")</f>
        <v>https://scontent.cdninstagram.com/t51.2885-15/e35/p320x320/21147640_1427052460704767_6966200116730396672_n.jpg</v>
      </c>
      <c r="AE3807" s="249" t="str">
        <f>HYPERLINK("https://scontent.cdninstagram.com/t51.2885-19/s150x150/15048246_1010636362391741_270322140643852288_a.jpg")</f>
        <v>https://scontent.cdninstagram.com/t51.2885-19/s150x150/15048246_1010636362391741_270322140643852288_a.jpg</v>
      </c>
    </row>
    <row r="3808" spans="1:31" ht="15" x14ac:dyDescent="0.25">
      <c r="A3808" t="s">
        <v>2474</v>
      </c>
      <c r="B3808" t="s">
        <v>21313</v>
      </c>
      <c r="C3808" s="221">
        <v>42978.129791666666</v>
      </c>
      <c r="D3808" t="s">
        <v>21314</v>
      </c>
      <c r="E3808" s="249" t="str">
        <f>HYPERLINK("https://www.instagram.com/p/BYcv45AlQdp/")</f>
        <v>https://www.instagram.com/p/BYcv45AlQdp/</v>
      </c>
      <c r="F3808" t="s">
        <v>21315</v>
      </c>
      <c r="G3808" t="s">
        <v>2478</v>
      </c>
      <c r="H3808">
        <v>950</v>
      </c>
      <c r="I3808" t="s">
        <v>2479</v>
      </c>
      <c r="J3808">
        <v>0</v>
      </c>
      <c r="K3808">
        <v>32</v>
      </c>
      <c r="L3808">
        <v>32</v>
      </c>
      <c r="Q3808">
        <v>0</v>
      </c>
      <c r="R3808">
        <v>0</v>
      </c>
      <c r="S3808">
        <v>32</v>
      </c>
      <c r="Y3808" t="s">
        <v>21316</v>
      </c>
      <c r="Z3808" t="s">
        <v>2492</v>
      </c>
      <c r="AA3808" t="s">
        <v>21317</v>
      </c>
      <c r="AB3808" t="s">
        <v>21318</v>
      </c>
      <c r="AC3808" t="s">
        <v>2861</v>
      </c>
      <c r="AD3808" s="249" t="str">
        <f>HYPERLINK("https://scontent.cdninstagram.com/t51.2885-15/e35/p320x320/21224587_1580042785349448_3118645946276118528_n.jpg")</f>
        <v>https://scontent.cdninstagram.com/t51.2885-15/e35/p320x320/21224587_1580042785349448_3118645946276118528_n.jpg</v>
      </c>
      <c r="AE3808" s="249" t="str">
        <f>HYPERLINK("https://scontent.cdninstagram.com/t51.2885-19/s150x150/21224462_1554450211312244_5434139188658176000_a.jpg")</f>
        <v>https://scontent.cdninstagram.com/t51.2885-19/s150x150/21224462_1554450211312244_5434139188658176000_a.jpg</v>
      </c>
    </row>
    <row r="3809" spans="1:31" ht="15" x14ac:dyDescent="0.25">
      <c r="A3809" t="s">
        <v>2474</v>
      </c>
      <c r="B3809" t="s">
        <v>19639</v>
      </c>
      <c r="C3809" s="221">
        <v>42978.138854166667</v>
      </c>
      <c r="D3809" t="s">
        <v>21319</v>
      </c>
      <c r="E3809" s="249" t="str">
        <f>HYPERLINK("https://www.instagram.com/p/BYcxYgGnlRE/")</f>
        <v>https://www.instagram.com/p/BYcxYgGnlRE/</v>
      </c>
      <c r="F3809" t="s">
        <v>21320</v>
      </c>
      <c r="G3809" t="s">
        <v>2478</v>
      </c>
      <c r="H3809">
        <v>7</v>
      </c>
      <c r="I3809" t="s">
        <v>2479</v>
      </c>
      <c r="J3809">
        <v>0</v>
      </c>
      <c r="K3809">
        <v>12</v>
      </c>
      <c r="L3809">
        <v>12</v>
      </c>
      <c r="Q3809">
        <v>0</v>
      </c>
      <c r="R3809">
        <v>0</v>
      </c>
      <c r="S3809">
        <v>12</v>
      </c>
      <c r="Y3809" t="s">
        <v>2544</v>
      </c>
      <c r="Z3809" t="s">
        <v>11948</v>
      </c>
      <c r="AA3809" t="s">
        <v>18679</v>
      </c>
      <c r="AB3809" t="s">
        <v>20430</v>
      </c>
      <c r="AC3809" t="s">
        <v>19643</v>
      </c>
      <c r="AD3809" s="249" t="str">
        <f>HYPERLINK("https://scontent.cdninstagram.com/t51.2885-15/s320x320/e35/21147523_221408985056978_3510532321574912000_n.jpg")</f>
        <v>https://scontent.cdninstagram.com/t51.2885-15/s320x320/e35/21147523_221408985056978_3510532321574912000_n.jpg</v>
      </c>
      <c r="AE3809" s="249" t="str">
        <f>HYPERLINK("https://scontent.cdninstagram.com/t51.2885-19/s150x150/20686926_510088886001218_5946672659885457408_a.jpg")</f>
        <v>https://scontent.cdninstagram.com/t51.2885-19/s150x150/20686926_510088886001218_5946672659885457408_a.jpg</v>
      </c>
    </row>
    <row r="3810" spans="1:31" ht="15" x14ac:dyDescent="0.25">
      <c r="A3810" t="s">
        <v>2474</v>
      </c>
      <c r="B3810" t="s">
        <v>7987</v>
      </c>
      <c r="C3810" s="221">
        <v>42978.143009259256</v>
      </c>
      <c r="D3810" t="s">
        <v>21321</v>
      </c>
      <c r="E3810" s="249" t="str">
        <f>HYPERLINK("https://www.instagram.com/p/BYcyEVlheoA/")</f>
        <v>https://www.instagram.com/p/BYcyEVlheoA/</v>
      </c>
      <c r="F3810" t="s">
        <v>21322</v>
      </c>
      <c r="G3810" t="s">
        <v>2478</v>
      </c>
      <c r="H3810">
        <v>467</v>
      </c>
      <c r="I3810" t="s">
        <v>3575</v>
      </c>
      <c r="J3810">
        <v>6</v>
      </c>
      <c r="K3810">
        <v>84</v>
      </c>
      <c r="L3810">
        <v>90</v>
      </c>
      <c r="Q3810">
        <v>0</v>
      </c>
      <c r="R3810">
        <v>0</v>
      </c>
      <c r="S3810">
        <v>90</v>
      </c>
      <c r="Y3810" t="s">
        <v>20082</v>
      </c>
      <c r="Z3810" t="s">
        <v>2730</v>
      </c>
      <c r="AA3810" t="s">
        <v>2929</v>
      </c>
      <c r="AB3810" t="s">
        <v>21323</v>
      </c>
      <c r="AC3810" t="s">
        <v>21324</v>
      </c>
      <c r="AD3810" s="249" t="str">
        <f>HYPERLINK("https://scontent.cdninstagram.com/t51.2885-15/e35/p320x320/21224158_1880053375645669_55923184318283776_n.jpg")</f>
        <v>https://scontent.cdninstagram.com/t51.2885-15/e35/p320x320/21224158_1880053375645669_55923184318283776_n.jpg</v>
      </c>
      <c r="AE3810" s="249" t="str">
        <f>HYPERLINK("https://scontent.cdninstagram.com/t51.2885-19/s150x150/18513681_139423189934717_6442695353408946176_a.jpg")</f>
        <v>https://scontent.cdninstagram.com/t51.2885-19/s150x150/18513681_139423189934717_6442695353408946176_a.jpg</v>
      </c>
    </row>
    <row r="3811" spans="1:31" ht="15" x14ac:dyDescent="0.25">
      <c r="A3811" t="s">
        <v>2474</v>
      </c>
      <c r="B3811" t="s">
        <v>16992</v>
      </c>
      <c r="C3811" s="221">
        <v>42978.146724537037</v>
      </c>
      <c r="D3811" t="s">
        <v>21325</v>
      </c>
      <c r="E3811" s="249" t="str">
        <f>HYPERLINK("https://www.instagram.com/p/BYcyrg5BCg9/")</f>
        <v>https://www.instagram.com/p/BYcyrg5BCg9/</v>
      </c>
      <c r="F3811" t="s">
        <v>21326</v>
      </c>
      <c r="G3811" t="s">
        <v>2478</v>
      </c>
      <c r="H3811">
        <v>38</v>
      </c>
      <c r="I3811" t="s">
        <v>2479</v>
      </c>
      <c r="J3811">
        <v>0</v>
      </c>
      <c r="K3811">
        <v>16</v>
      </c>
      <c r="L3811">
        <v>16</v>
      </c>
      <c r="Q3811">
        <v>0</v>
      </c>
      <c r="R3811">
        <v>0</v>
      </c>
      <c r="S3811">
        <v>16</v>
      </c>
      <c r="Y3811" t="s">
        <v>21327</v>
      </c>
      <c r="Z3811" t="s">
        <v>8753</v>
      </c>
      <c r="AA3811" t="s">
        <v>8994</v>
      </c>
      <c r="AB3811" t="s">
        <v>21328</v>
      </c>
      <c r="AC3811" t="s">
        <v>21329</v>
      </c>
      <c r="AD3811" s="249" t="str">
        <f>HYPERLINK("https://scontent.cdninstagram.com/t51.2885-15/s320x320/e35/21147367_1991148781123870_9085874843626242048_n.jpg")</f>
        <v>https://scontent.cdninstagram.com/t51.2885-15/s320x320/e35/21147367_1991148781123870_9085874843626242048_n.jpg</v>
      </c>
      <c r="AE3811" s="249" t="str">
        <f>HYPERLINK("https://scontent.cdninstagram.com/t51.2885-19/s150x150/21041727_1255516541242494_8603636478272077824_a.jpg")</f>
        <v>https://scontent.cdninstagram.com/t51.2885-19/s150x150/21041727_1255516541242494_8603636478272077824_a.jpg</v>
      </c>
    </row>
    <row r="3812" spans="1:31" ht="15" x14ac:dyDescent="0.25">
      <c r="A3812" t="s">
        <v>2474</v>
      </c>
      <c r="B3812" t="s">
        <v>4148</v>
      </c>
      <c r="C3812" s="221">
        <v>42978.146886574075</v>
      </c>
      <c r="D3812" t="s">
        <v>21330</v>
      </c>
      <c r="E3812" s="249" t="str">
        <f>HYPERLINK("https://www.instagram.com/p/BYcytMZAe1d/")</f>
        <v>https://www.instagram.com/p/BYcytMZAe1d/</v>
      </c>
      <c r="F3812" t="s">
        <v>21331</v>
      </c>
      <c r="G3812" t="s">
        <v>2478</v>
      </c>
      <c r="H3812">
        <v>166</v>
      </c>
      <c r="I3812" t="s">
        <v>2748</v>
      </c>
      <c r="J3812">
        <v>1</v>
      </c>
      <c r="K3812">
        <v>22</v>
      </c>
      <c r="L3812">
        <v>23</v>
      </c>
      <c r="Q3812">
        <v>0</v>
      </c>
      <c r="R3812">
        <v>0</v>
      </c>
      <c r="S3812">
        <v>23</v>
      </c>
      <c r="T3812" t="s">
        <v>21332</v>
      </c>
      <c r="V3812" t="s">
        <v>2222</v>
      </c>
      <c r="W3812">
        <v>52.003909999999998</v>
      </c>
      <c r="X3812">
        <v>4.44299</v>
      </c>
      <c r="Y3812" t="s">
        <v>17412</v>
      </c>
      <c r="Z3812" t="s">
        <v>21333</v>
      </c>
      <c r="AA3812" t="s">
        <v>5202</v>
      </c>
      <c r="AB3812" t="s">
        <v>4271</v>
      </c>
      <c r="AC3812" t="s">
        <v>21334</v>
      </c>
      <c r="AD3812" s="249" t="str">
        <f>HYPERLINK("https://scontent.cdninstagram.com/t51.2885-15/s320x320/e35/21227753_119365798790034_9071572336242589696_n.jpg")</f>
        <v>https://scontent.cdninstagram.com/t51.2885-15/s320x320/e35/21227753_119365798790034_9071572336242589696_n.jpg</v>
      </c>
      <c r="AE3812" s="249" t="str">
        <f>HYPERLINK("https://scontent.cdninstagram.com/t51.2885-19/s150x150/20687812_777554912450628_2712738005994438656_a.jpg")</f>
        <v>https://scontent.cdninstagram.com/t51.2885-19/s150x150/20687812_777554912450628_2712738005994438656_a.jpg</v>
      </c>
    </row>
    <row r="3813" spans="1:31" ht="15" x14ac:dyDescent="0.25">
      <c r="A3813" t="s">
        <v>2474</v>
      </c>
      <c r="B3813" t="s">
        <v>4811</v>
      </c>
      <c r="C3813" s="221">
        <v>42978.15284722222</v>
      </c>
      <c r="D3813" t="s">
        <v>21335</v>
      </c>
      <c r="E3813" s="249" t="str">
        <f>HYPERLINK("https://www.instagram.com/p/BYczsBzAeN5/")</f>
        <v>https://www.instagram.com/p/BYczsBzAeN5/</v>
      </c>
      <c r="F3813" t="s">
        <v>21336</v>
      </c>
      <c r="G3813" t="s">
        <v>2478</v>
      </c>
      <c r="H3813">
        <v>999</v>
      </c>
      <c r="I3813" t="s">
        <v>2479</v>
      </c>
      <c r="J3813">
        <v>8</v>
      </c>
      <c r="K3813">
        <v>140</v>
      </c>
      <c r="L3813">
        <v>148</v>
      </c>
      <c r="Q3813">
        <v>0</v>
      </c>
      <c r="R3813">
        <v>0</v>
      </c>
      <c r="S3813">
        <v>148</v>
      </c>
      <c r="Y3813" t="s">
        <v>7340</v>
      </c>
      <c r="Z3813" t="s">
        <v>2697</v>
      </c>
      <c r="AA3813" t="s">
        <v>12100</v>
      </c>
      <c r="AB3813" t="s">
        <v>8112</v>
      </c>
      <c r="AC3813" t="s">
        <v>12101</v>
      </c>
      <c r="AD3813" s="249" t="str">
        <f>HYPERLINK("https://scontent.cdninstagram.com/t51.2885-15/s320x320/e35/21147511_111209266240741_7199176034971811840_n.jpg")</f>
        <v>https://scontent.cdninstagram.com/t51.2885-15/s320x320/e35/21147511_111209266240741_7199176034971811840_n.jpg</v>
      </c>
      <c r="AE3813" s="249" t="str">
        <f>HYPERLINK("https://scontent.cdninstagram.com/t51.2885-19/s150x150/16124251_1913091765603634_8004330562992996352_a.jpg")</f>
        <v>https://scontent.cdninstagram.com/t51.2885-19/s150x150/16124251_1913091765603634_8004330562992996352_a.jpg</v>
      </c>
    </row>
    <row r="3814" spans="1:31" ht="15" x14ac:dyDescent="0.25">
      <c r="A3814" t="s">
        <v>2474</v>
      </c>
      <c r="B3814" t="s">
        <v>21337</v>
      </c>
      <c r="C3814" s="221">
        <v>42978.158310185187</v>
      </c>
      <c r="D3814" t="s">
        <v>21338</v>
      </c>
      <c r="E3814" s="249" t="str">
        <f>HYPERLINK("https://www.instagram.com/p/BYc0ltQh1Wh/")</f>
        <v>https://www.instagram.com/p/BYc0ltQh1Wh/</v>
      </c>
      <c r="F3814" t="s">
        <v>21339</v>
      </c>
      <c r="G3814" t="s">
        <v>2478</v>
      </c>
      <c r="H3814">
        <v>81</v>
      </c>
      <c r="I3814" t="s">
        <v>3170</v>
      </c>
      <c r="J3814">
        <v>0</v>
      </c>
      <c r="K3814">
        <v>4</v>
      </c>
      <c r="L3814">
        <v>4</v>
      </c>
      <c r="Q3814">
        <v>0</v>
      </c>
      <c r="R3814">
        <v>0</v>
      </c>
      <c r="S3814">
        <v>4</v>
      </c>
      <c r="Y3814" t="s">
        <v>9053</v>
      </c>
      <c r="Z3814" t="s">
        <v>2497</v>
      </c>
      <c r="AD3814" s="249" t="str">
        <f>HYPERLINK("https://scontent.cdninstagram.com/t51.2885-15/e35/p320x320/21149490_1978259369080514_5411477489505533952_n.jpg")</f>
        <v>https://scontent.cdninstagram.com/t51.2885-15/e35/p320x320/21149490_1978259369080514_5411477489505533952_n.jpg</v>
      </c>
      <c r="AE3814" s="249" t="str">
        <f>HYPERLINK("https://scontent.cdninstagram.com/t51.2885-19/s150x150/13394943_150225025395748_442505632_a.jpg")</f>
        <v>https://scontent.cdninstagram.com/t51.2885-19/s150x150/13394943_150225025395748_442505632_a.jpg</v>
      </c>
    </row>
    <row r="3815" spans="1:31" ht="15" x14ac:dyDescent="0.25">
      <c r="A3815" t="s">
        <v>2474</v>
      </c>
      <c r="B3815" t="s">
        <v>16992</v>
      </c>
      <c r="C3815" s="221">
        <v>42978.158888888887</v>
      </c>
      <c r="D3815" t="s">
        <v>21340</v>
      </c>
      <c r="E3815" s="249" t="str">
        <f>HYPERLINK("https://www.instagram.com/p/BYc0rzqhvzw/")</f>
        <v>https://www.instagram.com/p/BYc0rzqhvzw/</v>
      </c>
      <c r="F3815" t="s">
        <v>21341</v>
      </c>
      <c r="G3815" t="s">
        <v>2478</v>
      </c>
      <c r="H3815">
        <v>38</v>
      </c>
      <c r="I3815" t="s">
        <v>2479</v>
      </c>
      <c r="J3815">
        <v>0</v>
      </c>
      <c r="K3815">
        <v>6</v>
      </c>
      <c r="L3815">
        <v>6</v>
      </c>
      <c r="Q3815">
        <v>0</v>
      </c>
      <c r="R3815">
        <v>0</v>
      </c>
      <c r="S3815">
        <v>6</v>
      </c>
      <c r="Y3815" t="s">
        <v>16997</v>
      </c>
      <c r="Z3815" t="s">
        <v>16998</v>
      </c>
      <c r="AA3815" t="s">
        <v>16995</v>
      </c>
      <c r="AB3815" t="s">
        <v>8753</v>
      </c>
      <c r="AC3815" t="s">
        <v>21342</v>
      </c>
      <c r="AD3815" s="249" t="str">
        <f>HYPERLINK("https://scontent.cdninstagram.com/t51.2885-15/s320x320/e35/21149202_390421044708030_5254047112538095616_n.jpg")</f>
        <v>https://scontent.cdninstagram.com/t51.2885-15/s320x320/e35/21149202_390421044708030_5254047112538095616_n.jpg</v>
      </c>
      <c r="AE3815" s="249" t="str">
        <f>HYPERLINK("https://scontent.cdninstagram.com/t51.2885-19/s150x150/21041727_1255516541242494_8603636478272077824_a.jpg")</f>
        <v>https://scontent.cdninstagram.com/t51.2885-19/s150x150/21041727_1255516541242494_8603636478272077824_a.jpg</v>
      </c>
    </row>
    <row r="3816" spans="1:31" ht="15" x14ac:dyDescent="0.25">
      <c r="A3816" t="s">
        <v>2474</v>
      </c>
      <c r="B3816" t="s">
        <v>20498</v>
      </c>
      <c r="C3816" s="221">
        <v>42978.16505787037</v>
      </c>
      <c r="D3816" t="s">
        <v>21343</v>
      </c>
      <c r="E3816" s="249" t="str">
        <f>HYPERLINK("https://www.instagram.com/p/BYc1s3mjaDC/")</f>
        <v>https://www.instagram.com/p/BYc1s3mjaDC/</v>
      </c>
      <c r="F3816" t="s">
        <v>21344</v>
      </c>
      <c r="G3816" t="s">
        <v>2478</v>
      </c>
      <c r="H3816">
        <v>930</v>
      </c>
      <c r="I3816" t="s">
        <v>2599</v>
      </c>
      <c r="J3816">
        <v>1</v>
      </c>
      <c r="K3816">
        <v>15</v>
      </c>
      <c r="L3816">
        <v>16</v>
      </c>
      <c r="Q3816">
        <v>0</v>
      </c>
      <c r="R3816">
        <v>0</v>
      </c>
      <c r="S3816">
        <v>16</v>
      </c>
      <c r="Y3816" t="s">
        <v>5950</v>
      </c>
      <c r="Z3816" t="s">
        <v>2696</v>
      </c>
      <c r="AA3816" t="s">
        <v>2730</v>
      </c>
      <c r="AB3816" t="s">
        <v>2513</v>
      </c>
      <c r="AC3816" t="s">
        <v>2736</v>
      </c>
      <c r="AD3816" s="249" t="str">
        <f>HYPERLINK("https://scontent.cdninstagram.com/t51.2885-15/s320x320/e35/21149139_467759366926589_7423696721680531456_n.jpg")</f>
        <v>https://scontent.cdninstagram.com/t51.2885-15/s320x320/e35/21149139_467759366926589_7423696721680531456_n.jpg</v>
      </c>
      <c r="AE3816" s="249" t="str">
        <f>HYPERLINK("https://scontent.cdninstagram.com/t51.2885-19/s150x150/21294638_1620693864655862_6689775394494611456_a.jpg")</f>
        <v>https://scontent.cdninstagram.com/t51.2885-19/s150x150/21294638_1620693864655862_6689775394494611456_a.jpg</v>
      </c>
    </row>
    <row r="3817" spans="1:31" ht="15" x14ac:dyDescent="0.25">
      <c r="A3817" t="s">
        <v>2474</v>
      </c>
      <c r="B3817" t="s">
        <v>6007</v>
      </c>
      <c r="C3817" s="221">
        <v>42978.167222222219</v>
      </c>
      <c r="D3817" t="s">
        <v>21345</v>
      </c>
      <c r="E3817" s="249" t="str">
        <f>HYPERLINK("https://www.instagram.com/p/BYc2DnpjEaj/")</f>
        <v>https://www.instagram.com/p/BYc2DnpjEaj/</v>
      </c>
      <c r="F3817" t="s">
        <v>21346</v>
      </c>
      <c r="G3817" t="s">
        <v>2478</v>
      </c>
      <c r="H3817">
        <v>291</v>
      </c>
      <c r="I3817" t="s">
        <v>2542</v>
      </c>
      <c r="J3817">
        <v>2</v>
      </c>
      <c r="K3817">
        <v>25</v>
      </c>
      <c r="L3817">
        <v>27</v>
      </c>
      <c r="Q3817">
        <v>0</v>
      </c>
      <c r="R3817">
        <v>0</v>
      </c>
      <c r="S3817">
        <v>27</v>
      </c>
      <c r="T3817" t="s">
        <v>13743</v>
      </c>
      <c r="V3817" t="s">
        <v>2102</v>
      </c>
      <c r="W3817">
        <v>-34.933300000000003</v>
      </c>
      <c r="X3817">
        <v>138.6</v>
      </c>
      <c r="Y3817" t="s">
        <v>21347</v>
      </c>
      <c r="Z3817" t="s">
        <v>21348</v>
      </c>
      <c r="AA3817" t="s">
        <v>21349</v>
      </c>
      <c r="AB3817" t="s">
        <v>6010</v>
      </c>
      <c r="AC3817" t="s">
        <v>10128</v>
      </c>
      <c r="AD3817" s="249" t="str">
        <f>HYPERLINK("https://scontent.cdninstagram.com/t51.2885-15/s320x320/e35/21227408_1647960521937941_6437275783286226944_n.jpg")</f>
        <v>https://scontent.cdninstagram.com/t51.2885-15/s320x320/e35/21227408_1647960521937941_6437275783286226944_n.jpg</v>
      </c>
      <c r="AE3817" s="249" t="str">
        <f>HYPERLINK("https://scontent.cdninstagram.com/t51.2885-19/s150x150/20759940_820317361481773_6834587660057575424_a.jpg")</f>
        <v>https://scontent.cdninstagram.com/t51.2885-19/s150x150/20759940_820317361481773_6834587660057575424_a.jpg</v>
      </c>
    </row>
    <row r="3818" spans="1:31" ht="15" x14ac:dyDescent="0.25">
      <c r="A3818" t="s">
        <v>2474</v>
      </c>
      <c r="B3818" t="s">
        <v>2636</v>
      </c>
      <c r="C3818" s="221">
        <v>42978.187025462961</v>
      </c>
      <c r="D3818" t="s">
        <v>21350</v>
      </c>
      <c r="E3818" s="249" t="str">
        <f>HYPERLINK("https://www.instagram.com/p/BYc5UiuHCfd/")</f>
        <v>https://www.instagram.com/p/BYc5UiuHCfd/</v>
      </c>
      <c r="F3818" t="s">
        <v>21351</v>
      </c>
      <c r="G3818" t="s">
        <v>2478</v>
      </c>
      <c r="H3818">
        <v>325</v>
      </c>
      <c r="I3818" t="s">
        <v>5670</v>
      </c>
      <c r="J3818">
        <v>1</v>
      </c>
      <c r="K3818">
        <v>55</v>
      </c>
      <c r="L3818">
        <v>56</v>
      </c>
      <c r="Q3818">
        <v>0</v>
      </c>
      <c r="R3818">
        <v>0</v>
      </c>
      <c r="S3818">
        <v>56</v>
      </c>
      <c r="Y3818" t="s">
        <v>8032</v>
      </c>
      <c r="Z3818" t="s">
        <v>8031</v>
      </c>
      <c r="AA3818" t="s">
        <v>3813</v>
      </c>
      <c r="AB3818" t="s">
        <v>3815</v>
      </c>
      <c r="AC3818" t="s">
        <v>14678</v>
      </c>
      <c r="AD3818" s="249" t="str">
        <f>HYPERLINK("https://scontent.cdninstagram.com/t51.2885-15/e35/p320x320/21294314_273174026513149_3467615444985184256_n.jpg")</f>
        <v>https://scontent.cdninstagram.com/t51.2885-15/e35/p320x320/21294314_273174026513149_3467615444985184256_n.jpg</v>
      </c>
      <c r="AE3818" s="249" t="str">
        <f>HYPERLINK("https://scontent.cdninstagram.com/t51.2885-19/s150x150/15802797_1331780626878656_4160680230047973376_a.jpg")</f>
        <v>https://scontent.cdninstagram.com/t51.2885-19/s150x150/15802797_1331780626878656_4160680230047973376_a.jpg</v>
      </c>
    </row>
    <row r="3819" spans="1:31" ht="15" x14ac:dyDescent="0.25">
      <c r="A3819" t="s">
        <v>2474</v>
      </c>
      <c r="B3819" t="s">
        <v>21352</v>
      </c>
      <c r="C3819" s="221">
        <v>42978.19091435185</v>
      </c>
      <c r="D3819" t="s">
        <v>21353</v>
      </c>
      <c r="E3819" s="249" t="str">
        <f>HYPERLINK("https://www.instagram.com/p/BYc59jCgv1x/")</f>
        <v>https://www.instagram.com/p/BYc59jCgv1x/</v>
      </c>
      <c r="F3819" t="s">
        <v>21354</v>
      </c>
      <c r="G3819" t="s">
        <v>2478</v>
      </c>
      <c r="H3819">
        <v>1618</v>
      </c>
      <c r="I3819" t="s">
        <v>2479</v>
      </c>
      <c r="J3819">
        <v>2</v>
      </c>
      <c r="K3819">
        <v>75</v>
      </c>
      <c r="L3819">
        <v>77</v>
      </c>
      <c r="Q3819">
        <v>0</v>
      </c>
      <c r="R3819">
        <v>0</v>
      </c>
      <c r="S3819">
        <v>77</v>
      </c>
      <c r="Y3819" t="s">
        <v>21355</v>
      </c>
      <c r="Z3819" t="s">
        <v>21356</v>
      </c>
      <c r="AA3819" t="s">
        <v>9011</v>
      </c>
      <c r="AB3819" t="s">
        <v>21357</v>
      </c>
      <c r="AC3819" t="s">
        <v>21358</v>
      </c>
      <c r="AD3819" s="249" t="str">
        <f>HYPERLINK("https://scontent.cdninstagram.com/t51.2885-15/e35/p320x320/21148171_1805790926378181_5046387977807200256_n.jpg")</f>
        <v>https://scontent.cdninstagram.com/t51.2885-15/e35/p320x320/21148171_1805790926378181_5046387977807200256_n.jpg</v>
      </c>
      <c r="AE3819" s="249" t="str">
        <f>HYPERLINK("https://scontent.cdninstagram.com/t51.2885-19/s150x150/20766335_111080612896555_502647388519792640_a.jpg")</f>
        <v>https://scontent.cdninstagram.com/t51.2885-19/s150x150/20766335_111080612896555_502647388519792640_a.jpg</v>
      </c>
    </row>
    <row r="3820" spans="1:31" ht="15" x14ac:dyDescent="0.25">
      <c r="A3820" t="s">
        <v>2474</v>
      </c>
      <c r="B3820" t="s">
        <v>21359</v>
      </c>
      <c r="C3820" s="221">
        <v>42978.195150462961</v>
      </c>
      <c r="D3820" t="s">
        <v>21360</v>
      </c>
      <c r="E3820" s="249" t="str">
        <f>HYPERLINK("https://www.instagram.com/p/BYc6qK8DdkS/")</f>
        <v>https://www.instagram.com/p/BYc6qK8DdkS/</v>
      </c>
      <c r="F3820" t="s">
        <v>21361</v>
      </c>
      <c r="G3820" t="s">
        <v>2478</v>
      </c>
      <c r="H3820">
        <v>530</v>
      </c>
      <c r="I3820" t="s">
        <v>2479</v>
      </c>
      <c r="J3820">
        <v>2</v>
      </c>
      <c r="K3820">
        <v>11</v>
      </c>
      <c r="L3820">
        <v>13</v>
      </c>
      <c r="Q3820">
        <v>0</v>
      </c>
      <c r="R3820">
        <v>0</v>
      </c>
      <c r="S3820">
        <v>13</v>
      </c>
      <c r="Y3820" t="s">
        <v>21362</v>
      </c>
      <c r="Z3820" t="s">
        <v>6724</v>
      </c>
      <c r="AA3820" t="s">
        <v>21363</v>
      </c>
      <c r="AB3820" t="s">
        <v>21364</v>
      </c>
      <c r="AC3820" t="s">
        <v>2497</v>
      </c>
      <c r="AD3820" s="249" t="str">
        <f>HYPERLINK("https://scontent.cdninstagram.com/t51.2885-15/e35/p320x320/21149182_293656584441914_1582147032791908352_n.jpg")</f>
        <v>https://scontent.cdninstagram.com/t51.2885-15/e35/p320x320/21149182_293656584441914_1582147032791908352_n.jpg</v>
      </c>
      <c r="AE3820" s="249" t="str">
        <f>HYPERLINK("https://scontent.cdninstagram.com/t51.2885-19/s150x150/18948325_1199948213442743_2052905629168697344_a.jpg")</f>
        <v>https://scontent.cdninstagram.com/t51.2885-19/s150x150/18948325_1199948213442743_2052905629168697344_a.jpg</v>
      </c>
    </row>
    <row r="3821" spans="1:31" ht="15" x14ac:dyDescent="0.25">
      <c r="A3821" t="s">
        <v>2474</v>
      </c>
      <c r="B3821" t="s">
        <v>21365</v>
      </c>
      <c r="C3821" s="221">
        <v>42978.204409722224</v>
      </c>
      <c r="D3821" t="s">
        <v>21366</v>
      </c>
      <c r="E3821" s="249" t="str">
        <f>HYPERLINK("https://www.instagram.com/p/BYc8L7ClNjC/")</f>
        <v>https://www.instagram.com/p/BYc8L7ClNjC/</v>
      </c>
      <c r="F3821" t="s">
        <v>21367</v>
      </c>
      <c r="G3821" t="s">
        <v>2478</v>
      </c>
      <c r="H3821">
        <v>148</v>
      </c>
      <c r="I3821" t="s">
        <v>2479</v>
      </c>
      <c r="J3821">
        <v>0</v>
      </c>
      <c r="K3821">
        <v>10</v>
      </c>
      <c r="L3821">
        <v>10</v>
      </c>
      <c r="Q3821">
        <v>0</v>
      </c>
      <c r="R3821">
        <v>0</v>
      </c>
      <c r="S3821">
        <v>10</v>
      </c>
      <c r="T3821" t="s">
        <v>21368</v>
      </c>
      <c r="V3821" t="s">
        <v>2153</v>
      </c>
      <c r="W3821">
        <v>63.15</v>
      </c>
      <c r="X3821">
        <v>27.3</v>
      </c>
      <c r="Y3821" t="s">
        <v>21369</v>
      </c>
      <c r="Z3821" t="s">
        <v>21370</v>
      </c>
      <c r="AA3821" t="s">
        <v>21371</v>
      </c>
      <c r="AB3821" t="s">
        <v>21372</v>
      </c>
      <c r="AC3821" t="s">
        <v>3655</v>
      </c>
      <c r="AD3821" s="249" t="str">
        <f>HYPERLINK("https://scontent.cdninstagram.com/t51.2885-15/s320x320/e35/21147873_1445079885611708_3844474172096905216_n.jpg")</f>
        <v>https://scontent.cdninstagram.com/t51.2885-15/s320x320/e35/21147873_1445079885611708_3844474172096905216_n.jpg</v>
      </c>
      <c r="AE3821" s="249" t="str">
        <f>HYPERLINK("https://scontent.cdninstagram.com/t51.2885-19/s150x150/21434064_1616660741719684_800156680737259520_a.jpg")</f>
        <v>https://scontent.cdninstagram.com/t51.2885-19/s150x150/21434064_1616660741719684_800156680737259520_a.jpg</v>
      </c>
    </row>
    <row r="3822" spans="1:31" ht="15" x14ac:dyDescent="0.25">
      <c r="A3822" t="s">
        <v>2474</v>
      </c>
      <c r="B3822" t="s">
        <v>21373</v>
      </c>
      <c r="C3822" s="221">
        <v>42978.217361111114</v>
      </c>
      <c r="D3822" t="s">
        <v>21374</v>
      </c>
      <c r="E3822" s="249" t="str">
        <f>HYPERLINK("https://www.instagram.com/p/BYc-UfwAqjP/")</f>
        <v>https://www.instagram.com/p/BYc-UfwAqjP/</v>
      </c>
      <c r="F3822" t="s">
        <v>21375</v>
      </c>
      <c r="G3822" t="s">
        <v>2478</v>
      </c>
      <c r="H3822">
        <v>217</v>
      </c>
      <c r="I3822" t="s">
        <v>2479</v>
      </c>
      <c r="J3822">
        <v>2</v>
      </c>
      <c r="K3822">
        <v>36</v>
      </c>
      <c r="L3822">
        <v>38</v>
      </c>
      <c r="Q3822">
        <v>0</v>
      </c>
      <c r="R3822">
        <v>0</v>
      </c>
      <c r="S3822">
        <v>38</v>
      </c>
      <c r="Y3822" t="s">
        <v>21376</v>
      </c>
      <c r="Z3822" t="s">
        <v>21377</v>
      </c>
      <c r="AA3822" t="s">
        <v>21378</v>
      </c>
      <c r="AB3822" t="s">
        <v>21379</v>
      </c>
      <c r="AC3822" t="s">
        <v>4273</v>
      </c>
      <c r="AD3822" s="249" t="str">
        <f>HYPERLINK("https://scontent.cdninstagram.com/t51.2885-15/s320x320/e35/21227062_274104483105981_3465973887009816576_n.jpg")</f>
        <v>https://scontent.cdninstagram.com/t51.2885-15/s320x320/e35/21227062_274104483105981_3465973887009816576_n.jpg</v>
      </c>
      <c r="AE3822" s="249" t="str">
        <f>HYPERLINK("https://scontent.cdninstagram.com/t51.2885-19/s150x150/19121135_428447810871114_6526312654355562496_a.jpg")</f>
        <v>https://scontent.cdninstagram.com/t51.2885-19/s150x150/19121135_428447810871114_6526312654355562496_a.jpg</v>
      </c>
    </row>
    <row r="3823" spans="1:31" ht="15" x14ac:dyDescent="0.25">
      <c r="A3823" t="s">
        <v>2474</v>
      </c>
      <c r="B3823" t="s">
        <v>21380</v>
      </c>
      <c r="C3823" s="221">
        <v>42978.219618055555</v>
      </c>
      <c r="D3823" t="s">
        <v>21381</v>
      </c>
      <c r="E3823" s="249" t="str">
        <f>HYPERLINK("https://www.instagram.com/p/BYc-sQ8nufN/")</f>
        <v>https://www.instagram.com/p/BYc-sQ8nufN/</v>
      </c>
      <c r="F3823" t="s">
        <v>21382</v>
      </c>
      <c r="G3823" t="s">
        <v>2478</v>
      </c>
      <c r="H3823">
        <v>833</v>
      </c>
      <c r="I3823" t="s">
        <v>2510</v>
      </c>
      <c r="J3823">
        <v>2</v>
      </c>
      <c r="K3823">
        <v>69</v>
      </c>
      <c r="L3823">
        <v>71</v>
      </c>
      <c r="Q3823">
        <v>0</v>
      </c>
      <c r="R3823">
        <v>0</v>
      </c>
      <c r="S3823">
        <v>71</v>
      </c>
      <c r="Y3823" t="s">
        <v>4779</v>
      </c>
      <c r="Z3823" t="s">
        <v>21383</v>
      </c>
      <c r="AA3823" t="s">
        <v>21384</v>
      </c>
      <c r="AB3823" t="s">
        <v>8250</v>
      </c>
      <c r="AC3823" t="s">
        <v>4582</v>
      </c>
      <c r="AD3823" s="249" t="str">
        <f>HYPERLINK("https://scontent.cdninstagram.com/t51.2885-15/e35/p320x320/21149027_476240786094413_8283015060796735488_n.jpg")</f>
        <v>https://scontent.cdninstagram.com/t51.2885-15/e35/p320x320/21149027_476240786094413_8283015060796735488_n.jpg</v>
      </c>
      <c r="AE3823" s="249" t="str">
        <f>HYPERLINK("https://scontent.cdninstagram.com/t51.2885-19/s150x150/19436590_207870019736788_9142868161995997184_a.jpg")</f>
        <v>https://scontent.cdninstagram.com/t51.2885-19/s150x150/19436590_207870019736788_9142868161995997184_a.jpg</v>
      </c>
    </row>
    <row r="3824" spans="1:31" ht="15" x14ac:dyDescent="0.25">
      <c r="A3824" t="s">
        <v>2474</v>
      </c>
      <c r="B3824" t="s">
        <v>7987</v>
      </c>
      <c r="C3824" s="221">
        <v>42978.232673611114</v>
      </c>
      <c r="D3824" t="s">
        <v>21385</v>
      </c>
      <c r="E3824" s="249" t="str">
        <f>HYPERLINK("https://www.instagram.com/p/BYdA2CvBfj1/")</f>
        <v>https://www.instagram.com/p/BYdA2CvBfj1/</v>
      </c>
      <c r="F3824" t="s">
        <v>21386</v>
      </c>
      <c r="G3824" t="s">
        <v>2488</v>
      </c>
      <c r="H3824">
        <v>475</v>
      </c>
      <c r="I3824" t="s">
        <v>2479</v>
      </c>
      <c r="J3824">
        <v>6</v>
      </c>
      <c r="K3824">
        <v>78</v>
      </c>
      <c r="L3824">
        <v>84</v>
      </c>
      <c r="Q3824">
        <v>0</v>
      </c>
      <c r="R3824">
        <v>0</v>
      </c>
      <c r="S3824">
        <v>84</v>
      </c>
      <c r="Y3824" t="s">
        <v>2929</v>
      </c>
      <c r="Z3824" t="s">
        <v>21323</v>
      </c>
      <c r="AA3824" t="s">
        <v>2730</v>
      </c>
      <c r="AB3824" t="s">
        <v>21387</v>
      </c>
      <c r="AC3824" t="s">
        <v>7991</v>
      </c>
      <c r="AD3824" s="249" t="str">
        <f>HYPERLINK("https://scontent.cdninstagram.com/t51.2885-15/s320x320/e35/21148030_130265177594315_1010932617400287232_n.jpg")</f>
        <v>https://scontent.cdninstagram.com/t51.2885-15/s320x320/e35/21148030_130265177594315_1010932617400287232_n.jpg</v>
      </c>
      <c r="AE3824" s="249" t="str">
        <f>HYPERLINK("https://scontent.cdninstagram.com/t51.2885-19/s150x150/18513681_139423189934717_6442695353408946176_a.jpg")</f>
        <v>https://scontent.cdninstagram.com/t51.2885-19/s150x150/18513681_139423189934717_6442695353408946176_a.jpg</v>
      </c>
    </row>
    <row r="3825" spans="1:31" ht="15" x14ac:dyDescent="0.25">
      <c r="A3825" t="s">
        <v>2474</v>
      </c>
      <c r="B3825" t="s">
        <v>21388</v>
      </c>
      <c r="C3825" s="221">
        <v>42978.234039351853</v>
      </c>
      <c r="D3825" t="s">
        <v>21389</v>
      </c>
      <c r="E3825" s="249" t="str">
        <f>HYPERLINK("https://www.instagram.com/p/BYdBEV7jyKV/")</f>
        <v>https://www.instagram.com/p/BYdBEV7jyKV/</v>
      </c>
      <c r="F3825" t="s">
        <v>21390</v>
      </c>
      <c r="G3825" t="s">
        <v>2478</v>
      </c>
      <c r="H3825">
        <v>74</v>
      </c>
      <c r="I3825" t="s">
        <v>2510</v>
      </c>
      <c r="J3825">
        <v>0</v>
      </c>
      <c r="K3825">
        <v>2</v>
      </c>
      <c r="L3825">
        <v>2</v>
      </c>
      <c r="Q3825">
        <v>0</v>
      </c>
      <c r="R3825">
        <v>0</v>
      </c>
      <c r="S3825">
        <v>2</v>
      </c>
      <c r="Y3825" t="s">
        <v>21391</v>
      </c>
      <c r="Z3825" t="s">
        <v>21392</v>
      </c>
      <c r="AA3825" t="s">
        <v>2497</v>
      </c>
      <c r="AD3825" s="249" t="str">
        <f>HYPERLINK("https://scontent.cdninstagram.com/t51.2885-15/s320x320/e35/21147657_1591741267551357_8316436713882779648_n.jpg")</f>
        <v>https://scontent.cdninstagram.com/t51.2885-15/s320x320/e35/21147657_1591741267551357_8316436713882779648_n.jpg</v>
      </c>
      <c r="AE3825" s="249" t="str">
        <f>HYPERLINK("https://scontent.cdninstagram.com/t51.2885-19/s150x150/20837779_1581704518520872_5948723047207796736_a.jpg")</f>
        <v>https://scontent.cdninstagram.com/t51.2885-19/s150x150/20837779_1581704518520872_5948723047207796736_a.jpg</v>
      </c>
    </row>
    <row r="3826" spans="1:31" ht="15" x14ac:dyDescent="0.25">
      <c r="A3826" t="s">
        <v>2474</v>
      </c>
      <c r="B3826" t="s">
        <v>19696</v>
      </c>
      <c r="C3826" s="221">
        <v>42978.237372685187</v>
      </c>
      <c r="D3826" t="s">
        <v>21393</v>
      </c>
      <c r="E3826" s="249" t="str">
        <f>HYPERLINK("https://www.instagram.com/p/BYdBnjyg5Wi/")</f>
        <v>https://www.instagram.com/p/BYdBnjyg5Wi/</v>
      </c>
      <c r="F3826" t="s">
        <v>21394</v>
      </c>
      <c r="G3826" t="s">
        <v>2478</v>
      </c>
      <c r="H3826">
        <v>101</v>
      </c>
      <c r="I3826" t="s">
        <v>2639</v>
      </c>
      <c r="J3826">
        <v>1</v>
      </c>
      <c r="K3826">
        <v>25</v>
      </c>
      <c r="L3826">
        <v>26</v>
      </c>
      <c r="Q3826">
        <v>0</v>
      </c>
      <c r="R3826">
        <v>0</v>
      </c>
      <c r="S3826">
        <v>26</v>
      </c>
      <c r="Y3826" t="s">
        <v>21395</v>
      </c>
      <c r="Z3826" t="s">
        <v>4653</v>
      </c>
      <c r="AA3826" t="s">
        <v>3861</v>
      </c>
      <c r="AB3826" t="s">
        <v>21396</v>
      </c>
      <c r="AC3826" t="s">
        <v>21397</v>
      </c>
      <c r="AD3826" s="249" t="str">
        <f>HYPERLINK("https://scontent.cdninstagram.com/t51.2885-15/s320x320/e35/21147571_219075521957325_5079045088059850752_n.jpg")</f>
        <v>https://scontent.cdninstagram.com/t51.2885-15/s320x320/e35/21147571_219075521957325_5079045088059850752_n.jpg</v>
      </c>
      <c r="AE3826" s="249" t="str">
        <f>HYPERLINK("https://scontent.cdninstagram.com/t51.2885-19/s150x150/19764415_1336139433090009_8416251384474632192_a.jpg")</f>
        <v>https://scontent.cdninstagram.com/t51.2885-19/s150x150/19764415_1336139433090009_8416251384474632192_a.jpg</v>
      </c>
    </row>
    <row r="3827" spans="1:31" ht="15" x14ac:dyDescent="0.25">
      <c r="A3827" t="s">
        <v>2474</v>
      </c>
      <c r="B3827" t="s">
        <v>19696</v>
      </c>
      <c r="C3827" s="221">
        <v>42978.240520833337</v>
      </c>
      <c r="D3827" t="s">
        <v>21398</v>
      </c>
      <c r="E3827" s="249" t="str">
        <f>HYPERLINK("https://www.instagram.com/p/BYdCItHAEF0/")</f>
        <v>https://www.instagram.com/p/BYdCItHAEF0/</v>
      </c>
      <c r="F3827" t="s">
        <v>21399</v>
      </c>
      <c r="G3827" t="s">
        <v>2478</v>
      </c>
      <c r="H3827">
        <v>101</v>
      </c>
      <c r="I3827" t="s">
        <v>2542</v>
      </c>
      <c r="J3827">
        <v>1</v>
      </c>
      <c r="K3827">
        <v>53</v>
      </c>
      <c r="L3827">
        <v>54</v>
      </c>
      <c r="Q3827">
        <v>0</v>
      </c>
      <c r="R3827">
        <v>0</v>
      </c>
      <c r="S3827">
        <v>54</v>
      </c>
      <c r="Y3827" t="s">
        <v>21395</v>
      </c>
      <c r="Z3827" t="s">
        <v>3861</v>
      </c>
      <c r="AA3827" t="s">
        <v>4653</v>
      </c>
      <c r="AB3827" t="s">
        <v>21396</v>
      </c>
      <c r="AC3827" t="s">
        <v>21397</v>
      </c>
      <c r="AD3827" s="249" t="str">
        <f>HYPERLINK("https://scontent.cdninstagram.com/t51.2885-15/e35/p320x320/21147470_114859165866819_1394482474062446592_n.jpg")</f>
        <v>https://scontent.cdninstagram.com/t51.2885-15/e35/p320x320/21147470_114859165866819_1394482474062446592_n.jpg</v>
      </c>
      <c r="AE3827" s="249" t="str">
        <f>HYPERLINK("https://scontent.cdninstagram.com/t51.2885-19/s150x150/19764415_1336139433090009_8416251384474632192_a.jpg")</f>
        <v>https://scontent.cdninstagram.com/t51.2885-19/s150x150/19764415_1336139433090009_8416251384474632192_a.jpg</v>
      </c>
    </row>
    <row r="3828" spans="1:31" ht="15" x14ac:dyDescent="0.25">
      <c r="A3828" t="s">
        <v>2474</v>
      </c>
      <c r="B3828" t="s">
        <v>21400</v>
      </c>
      <c r="C3828" s="221">
        <v>42978.250081018516</v>
      </c>
      <c r="D3828" t="s">
        <v>21401</v>
      </c>
      <c r="E3828" s="249" t="str">
        <f>HYPERLINK("https://www.instagram.com/p/BYdDtkuhcPz/")</f>
        <v>https://www.instagram.com/p/BYdDtkuhcPz/</v>
      </c>
      <c r="F3828" t="s">
        <v>21402</v>
      </c>
      <c r="G3828" t="s">
        <v>2478</v>
      </c>
      <c r="I3828" t="s">
        <v>2479</v>
      </c>
      <c r="J3828">
        <v>9</v>
      </c>
      <c r="K3828">
        <v>122</v>
      </c>
      <c r="L3828">
        <v>131</v>
      </c>
      <c r="Q3828">
        <v>0</v>
      </c>
      <c r="R3828">
        <v>0</v>
      </c>
      <c r="S3828">
        <v>131</v>
      </c>
      <c r="T3828" t="s">
        <v>21403</v>
      </c>
      <c r="V3828" t="s">
        <v>2153</v>
      </c>
      <c r="W3828">
        <v>60.181944444443999</v>
      </c>
      <c r="X3828">
        <v>24.913472222222001</v>
      </c>
      <c r="Y3828" t="s">
        <v>21404</v>
      </c>
      <c r="Z3828" t="s">
        <v>21405</v>
      </c>
      <c r="AA3828" t="s">
        <v>21406</v>
      </c>
      <c r="AB3828" t="s">
        <v>21407</v>
      </c>
      <c r="AC3828" t="s">
        <v>3075</v>
      </c>
      <c r="AD3828" s="249" t="str">
        <f>HYPERLINK("https://scontent.cdninstagram.com/t51.2885-15/s320x320/e35/21227505_139072153365909_4817109188889018368_n.jpg")</f>
        <v>https://scontent.cdninstagram.com/t51.2885-15/s320x320/e35/21227505_139072153365909_4817109188889018368_n.jpg</v>
      </c>
      <c r="AE3828" s="249" t="str">
        <f>HYPERLINK("https://scontent.cdninstagram.com/t51.2885-19/s150x150/19228485_130118600901016_191030107987509248_a.jpg")</f>
        <v>https://scontent.cdninstagram.com/t51.2885-19/s150x150/19228485_130118600901016_191030107987509248_a.jpg</v>
      </c>
    </row>
    <row r="3829" spans="1:31" ht="15" x14ac:dyDescent="0.25">
      <c r="A3829" t="s">
        <v>2474</v>
      </c>
      <c r="B3829" t="s">
        <v>21408</v>
      </c>
      <c r="C3829" s="221">
        <v>42978.254699074074</v>
      </c>
      <c r="D3829" t="s">
        <v>21409</v>
      </c>
      <c r="E3829" s="249" t="str">
        <f>HYPERLINK("https://www.instagram.com/p/BYdEeQylo2H/")</f>
        <v>https://www.instagram.com/p/BYdEeQylo2H/</v>
      </c>
      <c r="F3829" t="s">
        <v>21410</v>
      </c>
      <c r="G3829" t="s">
        <v>2478</v>
      </c>
      <c r="H3829">
        <v>164</v>
      </c>
      <c r="I3829" t="s">
        <v>2479</v>
      </c>
      <c r="J3829">
        <v>0</v>
      </c>
      <c r="K3829">
        <v>10</v>
      </c>
      <c r="L3829">
        <v>10</v>
      </c>
      <c r="Q3829">
        <v>0</v>
      </c>
      <c r="R3829">
        <v>0</v>
      </c>
      <c r="S3829">
        <v>10</v>
      </c>
      <c r="Y3829" t="s">
        <v>6877</v>
      </c>
      <c r="Z3829" t="s">
        <v>21411</v>
      </c>
      <c r="AA3829" t="s">
        <v>11227</v>
      </c>
      <c r="AB3829" t="s">
        <v>2497</v>
      </c>
      <c r="AC3829" t="s">
        <v>21412</v>
      </c>
      <c r="AD3829" s="249" t="str">
        <f>HYPERLINK("https://scontent.cdninstagram.com/t51.2885-15/s320x320/e35/21224931_375583642858345_4738731769518358528_n.jpg")</f>
        <v>https://scontent.cdninstagram.com/t51.2885-15/s320x320/e35/21224931_375583642858345_4738731769518358528_n.jpg</v>
      </c>
      <c r="AE3829" s="249" t="str">
        <f>HYPERLINK("https://scontent.cdninstagram.com/t51.2885-19/s150x150/21041071_322155621578526_4572586289727012864_a.jpg")</f>
        <v>https://scontent.cdninstagram.com/t51.2885-19/s150x150/21041071_322155621578526_4572586289727012864_a.jpg</v>
      </c>
    </row>
    <row r="3830" spans="1:31" ht="15" x14ac:dyDescent="0.25">
      <c r="A3830" t="s">
        <v>2474</v>
      </c>
      <c r="B3830" t="s">
        <v>21413</v>
      </c>
      <c r="C3830" s="221">
        <v>42978.261805555558</v>
      </c>
      <c r="D3830" t="s">
        <v>21414</v>
      </c>
      <c r="E3830" s="249" t="str">
        <f>HYPERLINK("https://www.instagram.com/p/BYdFpPDACLe/")</f>
        <v>https://www.instagram.com/p/BYdFpPDACLe/</v>
      </c>
      <c r="F3830" t="s">
        <v>21415</v>
      </c>
      <c r="G3830" t="s">
        <v>2478</v>
      </c>
      <c r="H3830">
        <v>374</v>
      </c>
      <c r="I3830" t="s">
        <v>2479</v>
      </c>
      <c r="J3830">
        <v>13</v>
      </c>
      <c r="K3830">
        <v>109</v>
      </c>
      <c r="L3830">
        <v>122</v>
      </c>
      <c r="Q3830">
        <v>0</v>
      </c>
      <c r="R3830">
        <v>0</v>
      </c>
      <c r="S3830">
        <v>122</v>
      </c>
      <c r="Y3830" t="s">
        <v>4779</v>
      </c>
      <c r="Z3830" t="s">
        <v>4863</v>
      </c>
      <c r="AA3830" t="s">
        <v>21416</v>
      </c>
      <c r="AB3830" t="s">
        <v>3262</v>
      </c>
      <c r="AC3830" t="s">
        <v>3568</v>
      </c>
      <c r="AD3830" s="249" t="str">
        <f>HYPERLINK("https://scontent.cdninstagram.com/t51.2885-15/s320x320/e35/21147607_2001805740034411_8367247220671512576_n.jpg")</f>
        <v>https://scontent.cdninstagram.com/t51.2885-15/s320x320/e35/21147607_2001805740034411_8367247220671512576_n.jpg</v>
      </c>
      <c r="AE3830" s="249" t="str">
        <f>HYPERLINK("https://scontent.cdninstagram.com/t51.2885-19/s150x150/19050307_1333960500056745_3680237822448500736_a.jpg")</f>
        <v>https://scontent.cdninstagram.com/t51.2885-19/s150x150/19050307_1333960500056745_3680237822448500736_a.jpg</v>
      </c>
    </row>
    <row r="3831" spans="1:31" ht="15" x14ac:dyDescent="0.25">
      <c r="A3831" t="s">
        <v>2474</v>
      </c>
      <c r="B3831" t="s">
        <v>21417</v>
      </c>
      <c r="C3831" s="221">
        <v>42978.262627314813</v>
      </c>
      <c r="D3831" t="s">
        <v>21418</v>
      </c>
      <c r="E3831" s="249" t="str">
        <f>HYPERLINK("https://www.instagram.com/p/BYdFx9UHIoK/")</f>
        <v>https://www.instagram.com/p/BYdFx9UHIoK/</v>
      </c>
      <c r="F3831" t="s">
        <v>21419</v>
      </c>
      <c r="G3831" t="s">
        <v>2478</v>
      </c>
      <c r="H3831">
        <v>1327</v>
      </c>
      <c r="I3831" t="s">
        <v>2479</v>
      </c>
      <c r="J3831">
        <v>4</v>
      </c>
      <c r="K3831">
        <v>107</v>
      </c>
      <c r="L3831">
        <v>111</v>
      </c>
      <c r="Q3831">
        <v>0</v>
      </c>
      <c r="R3831">
        <v>0</v>
      </c>
      <c r="S3831">
        <v>111</v>
      </c>
      <c r="T3831" t="s">
        <v>21420</v>
      </c>
      <c r="V3831" t="s">
        <v>2161</v>
      </c>
      <c r="W3831">
        <v>53.083300000000001</v>
      </c>
      <c r="X3831">
        <v>8.8000000000000007</v>
      </c>
      <c r="Y3831" t="s">
        <v>3197</v>
      </c>
      <c r="Z3831" t="s">
        <v>3901</v>
      </c>
      <c r="AA3831" t="s">
        <v>3204</v>
      </c>
      <c r="AB3831" t="s">
        <v>7967</v>
      </c>
      <c r="AC3831" t="s">
        <v>9599</v>
      </c>
      <c r="AD3831" s="249" t="str">
        <f>HYPERLINK("https://scontent.cdninstagram.com/t51.2885-15/e35/p320x320/21148050_778958118950813_73576333128499200_n.jpg")</f>
        <v>https://scontent.cdninstagram.com/t51.2885-15/e35/p320x320/21148050_778958118950813_73576333128499200_n.jpg</v>
      </c>
      <c r="AE3831" s="249" t="str">
        <f>HYPERLINK("https://scontent.cdninstagram.com/t51.2885-19/s150x150/20838550_301188040344532_3544667192635162624_a.jpg")</f>
        <v>https://scontent.cdninstagram.com/t51.2885-19/s150x150/20838550_301188040344532_3544667192635162624_a.jpg</v>
      </c>
    </row>
    <row r="3832" spans="1:31" ht="15" x14ac:dyDescent="0.25">
      <c r="A3832" t="s">
        <v>2474</v>
      </c>
      <c r="B3832" t="s">
        <v>21421</v>
      </c>
      <c r="C3832" s="221">
        <v>42978.275289351855</v>
      </c>
      <c r="D3832" t="s">
        <v>21422</v>
      </c>
      <c r="E3832" s="249" t="str">
        <f>HYPERLINK("https://www.instagram.com/p/BYdH3cZF3Lw/")</f>
        <v>https://www.instagram.com/p/BYdH3cZF3Lw/</v>
      </c>
      <c r="F3832" t="s">
        <v>21423</v>
      </c>
      <c r="G3832" t="s">
        <v>2478</v>
      </c>
      <c r="H3832">
        <v>396</v>
      </c>
      <c r="I3832" t="s">
        <v>2542</v>
      </c>
      <c r="J3832">
        <v>3</v>
      </c>
      <c r="K3832">
        <v>45</v>
      </c>
      <c r="L3832">
        <v>48</v>
      </c>
      <c r="Q3832">
        <v>0</v>
      </c>
      <c r="R3832">
        <v>0</v>
      </c>
      <c r="S3832">
        <v>48</v>
      </c>
      <c r="T3832" t="s">
        <v>21424</v>
      </c>
      <c r="V3832" t="s">
        <v>2263</v>
      </c>
      <c r="W3832">
        <v>-33.904914290526001</v>
      </c>
      <c r="X3832">
        <v>18.420241235368</v>
      </c>
      <c r="Y3832" t="s">
        <v>21425</v>
      </c>
      <c r="Z3832" t="s">
        <v>8178</v>
      </c>
      <c r="AA3832" t="s">
        <v>21426</v>
      </c>
      <c r="AB3832" t="s">
        <v>21427</v>
      </c>
      <c r="AC3832" t="s">
        <v>8048</v>
      </c>
      <c r="AD3832" s="249" t="str">
        <f>HYPERLINK("https://scontent.cdninstagram.com/t51.2885-15/s320x320/e35/21147972_169340396968613_1558206893673938944_n.jpg")</f>
        <v>https://scontent.cdninstagram.com/t51.2885-15/s320x320/e35/21147972_169340396968613_1558206893673938944_n.jpg</v>
      </c>
      <c r="AE3832" s="249" t="str">
        <f>HYPERLINK("https://scontent.cdninstagram.com/t51.2885-19/s150x150/12394147_594900530676165_1287914588_a.jpg")</f>
        <v>https://scontent.cdninstagram.com/t51.2885-19/s150x150/12394147_594900530676165_1287914588_a.jpg</v>
      </c>
    </row>
    <row r="3833" spans="1:31" ht="15" x14ac:dyDescent="0.25">
      <c r="A3833" t="s">
        <v>2474</v>
      </c>
      <c r="B3833" t="s">
        <v>21428</v>
      </c>
      <c r="C3833" s="221">
        <v>42978.275289351855</v>
      </c>
      <c r="D3833" t="s">
        <v>21429</v>
      </c>
      <c r="E3833" s="249" t="str">
        <f>HYPERLINK("https://www.instagram.com/p/BYdH3c7j02y/")</f>
        <v>https://www.instagram.com/p/BYdH3c7j02y/</v>
      </c>
      <c r="F3833" t="s">
        <v>21430</v>
      </c>
      <c r="G3833" t="s">
        <v>2478</v>
      </c>
      <c r="H3833">
        <v>209</v>
      </c>
      <c r="I3833" t="s">
        <v>2903</v>
      </c>
      <c r="J3833">
        <v>0</v>
      </c>
      <c r="K3833">
        <v>16</v>
      </c>
      <c r="L3833">
        <v>16</v>
      </c>
      <c r="Q3833">
        <v>0</v>
      </c>
      <c r="R3833">
        <v>0</v>
      </c>
      <c r="S3833">
        <v>16</v>
      </c>
      <c r="Y3833" t="s">
        <v>21431</v>
      </c>
      <c r="Z3833" t="s">
        <v>21432</v>
      </c>
      <c r="AA3833" t="s">
        <v>18726</v>
      </c>
      <c r="AB3833" t="s">
        <v>2497</v>
      </c>
      <c r="AD3833" s="249" t="str">
        <f>HYPERLINK("https://scontent.cdninstagram.com/t51.2885-15/s320x320/e35/21149383_345780339199717_8849370656995803136_n.jpg")</f>
        <v>https://scontent.cdninstagram.com/t51.2885-15/s320x320/e35/21149383_345780339199717_8849370656995803136_n.jpg</v>
      </c>
      <c r="AE3833" s="249" t="str">
        <f>HYPERLINK("https://scontent.cdninstagram.com/t51.2885-19/11015504_1548083678780023_1130405814_a.jpg")</f>
        <v>https://scontent.cdninstagram.com/t51.2885-19/11015504_1548083678780023_1130405814_a.jpg</v>
      </c>
    </row>
    <row r="3834" spans="1:31" ht="15" x14ac:dyDescent="0.25">
      <c r="A3834" t="s">
        <v>2474</v>
      </c>
      <c r="B3834" t="s">
        <v>21433</v>
      </c>
      <c r="C3834" s="221">
        <v>42978.276469907411</v>
      </c>
      <c r="D3834" t="s">
        <v>21434</v>
      </c>
      <c r="E3834" s="249" t="str">
        <f>HYPERLINK("https://www.instagram.com/p/BYdID4yAxak/")</f>
        <v>https://www.instagram.com/p/BYdID4yAxak/</v>
      </c>
      <c r="F3834" t="s">
        <v>21435</v>
      </c>
      <c r="G3834" t="s">
        <v>2478</v>
      </c>
      <c r="H3834">
        <v>221</v>
      </c>
      <c r="I3834" t="s">
        <v>4062</v>
      </c>
      <c r="J3834">
        <v>1</v>
      </c>
      <c r="K3834">
        <v>25</v>
      </c>
      <c r="L3834">
        <v>26</v>
      </c>
      <c r="Q3834">
        <v>0</v>
      </c>
      <c r="R3834">
        <v>0</v>
      </c>
      <c r="S3834">
        <v>26</v>
      </c>
      <c r="Y3834" t="s">
        <v>20263</v>
      </c>
      <c r="Z3834" t="s">
        <v>21436</v>
      </c>
      <c r="AA3834" t="s">
        <v>21437</v>
      </c>
      <c r="AB3834" t="s">
        <v>21438</v>
      </c>
      <c r="AC3834" t="s">
        <v>2899</v>
      </c>
      <c r="AD3834" s="249" t="str">
        <f>HYPERLINK("https://scontent.cdninstagram.com/t51.2885-15/s320x320/e35/21227345_306535476486966_7249657315337437184_n.jpg")</f>
        <v>https://scontent.cdninstagram.com/t51.2885-15/s320x320/e35/21227345_306535476486966_7249657315337437184_n.jpg</v>
      </c>
      <c r="AE3834" s="249" t="str">
        <f>HYPERLINK("https://scontent.cdninstagram.com/t51.2885-19/s150x150/21147534_486817331676303_412417792147456000_a.jpg")</f>
        <v>https://scontent.cdninstagram.com/t51.2885-19/s150x150/21147534_486817331676303_412417792147456000_a.jpg</v>
      </c>
    </row>
    <row r="3835" spans="1:31" ht="15" x14ac:dyDescent="0.25">
      <c r="A3835" t="s">
        <v>2474</v>
      </c>
      <c r="B3835" t="s">
        <v>21439</v>
      </c>
      <c r="C3835" s="221">
        <v>42978.278333333335</v>
      </c>
      <c r="D3835" t="s">
        <v>21440</v>
      </c>
      <c r="E3835" s="249" t="str">
        <f>HYPERLINK("https://www.instagram.com/p/BYdIXjEDdCq/")</f>
        <v>https://www.instagram.com/p/BYdIXjEDdCq/</v>
      </c>
      <c r="F3835" t="s">
        <v>21441</v>
      </c>
      <c r="G3835" t="s">
        <v>2478</v>
      </c>
      <c r="H3835">
        <v>688</v>
      </c>
      <c r="I3835" t="s">
        <v>2542</v>
      </c>
      <c r="J3835">
        <v>2</v>
      </c>
      <c r="K3835">
        <v>31</v>
      </c>
      <c r="L3835">
        <v>33</v>
      </c>
      <c r="Q3835">
        <v>0</v>
      </c>
      <c r="R3835">
        <v>0</v>
      </c>
      <c r="S3835">
        <v>33</v>
      </c>
      <c r="Y3835" t="s">
        <v>21442</v>
      </c>
      <c r="Z3835" t="s">
        <v>3535</v>
      </c>
      <c r="AA3835" t="s">
        <v>21443</v>
      </c>
      <c r="AB3835" t="s">
        <v>21444</v>
      </c>
      <c r="AC3835" t="s">
        <v>21445</v>
      </c>
      <c r="AD3835" s="249" t="str">
        <f>HYPERLINK("https://scontent.cdninstagram.com/t51.2885-15/e35/p320x320/21148910_1889210894673048_1678910528551911424_n.jpg")</f>
        <v>https://scontent.cdninstagram.com/t51.2885-15/e35/p320x320/21148910_1889210894673048_1678910528551911424_n.jpg</v>
      </c>
      <c r="AE3835" s="249" t="str">
        <f>HYPERLINK("https://scontent.cdninstagram.com/t51.2885-19/s150x150/20969397_1385918024819619_3332813717397045248_a.jpg")</f>
        <v>https://scontent.cdninstagram.com/t51.2885-19/s150x150/20969397_1385918024819619_3332813717397045248_a.jpg</v>
      </c>
    </row>
    <row r="3836" spans="1:31" ht="15" x14ac:dyDescent="0.25">
      <c r="A3836" t="s">
        <v>2474</v>
      </c>
      <c r="B3836" t="s">
        <v>2685</v>
      </c>
      <c r="C3836" s="221">
        <v>42978.283171296294</v>
      </c>
      <c r="D3836" t="s">
        <v>21446</v>
      </c>
      <c r="E3836" s="249" t="str">
        <f>HYPERLINK("https://www.instagram.com/p/BYdJKkWFfnS/")</f>
        <v>https://www.instagram.com/p/BYdJKkWFfnS/</v>
      </c>
      <c r="F3836" t="s">
        <v>21447</v>
      </c>
      <c r="G3836" t="s">
        <v>2478</v>
      </c>
      <c r="H3836">
        <v>238</v>
      </c>
      <c r="I3836" t="s">
        <v>2479</v>
      </c>
      <c r="J3836">
        <v>4</v>
      </c>
      <c r="K3836">
        <v>39</v>
      </c>
      <c r="L3836">
        <v>43</v>
      </c>
      <c r="Q3836">
        <v>0</v>
      </c>
      <c r="R3836">
        <v>0</v>
      </c>
      <c r="S3836">
        <v>43</v>
      </c>
      <c r="Y3836" t="s">
        <v>13615</v>
      </c>
      <c r="Z3836" t="s">
        <v>2690</v>
      </c>
      <c r="AA3836" t="s">
        <v>21448</v>
      </c>
      <c r="AB3836" t="s">
        <v>6051</v>
      </c>
      <c r="AC3836" t="s">
        <v>6050</v>
      </c>
      <c r="AD3836" s="249" t="str">
        <f>HYPERLINK("https://scontent.cdninstagram.com/t51.2885-15/s320x320/e35/21224273_145633889366603_7847625417023291392_n.jpg")</f>
        <v>https://scontent.cdninstagram.com/t51.2885-15/s320x320/e35/21224273_145633889366603_7847625417023291392_n.jpg</v>
      </c>
      <c r="AE3836" s="249" t="str">
        <f>HYPERLINK("https://scontent.cdninstagram.com/t51.2885-19/s150x150/12339026_997056470351354_891418646_a.jpg")</f>
        <v>https://scontent.cdninstagram.com/t51.2885-19/s150x150/12339026_997056470351354_891418646_a.jpg</v>
      </c>
    </row>
    <row r="3837" spans="1:31" ht="15" x14ac:dyDescent="0.25">
      <c r="A3837" t="s">
        <v>2474</v>
      </c>
      <c r="B3837" t="s">
        <v>3754</v>
      </c>
      <c r="C3837" s="221">
        <v>42978.290173611109</v>
      </c>
      <c r="D3837" t="s">
        <v>21449</v>
      </c>
      <c r="E3837" s="249" t="str">
        <f>HYPERLINK("https://www.instagram.com/p/BYdKUeNjJG_/")</f>
        <v>https://www.instagram.com/p/BYdKUeNjJG_/</v>
      </c>
      <c r="F3837" t="s">
        <v>7206</v>
      </c>
      <c r="G3837" t="s">
        <v>2478</v>
      </c>
      <c r="H3837">
        <v>201249</v>
      </c>
      <c r="I3837" t="s">
        <v>2479</v>
      </c>
      <c r="J3837">
        <v>0</v>
      </c>
      <c r="K3837">
        <v>170</v>
      </c>
      <c r="L3837">
        <v>170</v>
      </c>
      <c r="Q3837">
        <v>0</v>
      </c>
      <c r="R3837">
        <v>0</v>
      </c>
      <c r="S3837">
        <v>170</v>
      </c>
      <c r="Y3837" t="s">
        <v>6790</v>
      </c>
      <c r="Z3837" t="s">
        <v>2575</v>
      </c>
      <c r="AA3837" t="s">
        <v>4232</v>
      </c>
      <c r="AB3837" t="s">
        <v>4564</v>
      </c>
      <c r="AC3837" t="s">
        <v>8783</v>
      </c>
      <c r="AD3837" s="249" t="str">
        <f>HYPERLINK("https://scontent.cdninstagram.com/t51.2885-15/s320x320/e35/21224136_849443741887969_90524647740669952_n.jpg")</f>
        <v>https://scontent.cdninstagram.com/t51.2885-15/s320x320/e35/21224136_849443741887969_90524647740669952_n.jpg</v>
      </c>
      <c r="AE3837" s="249" t="str">
        <f>HYPERLINK("https://scontent.cdninstagram.com/t51.2885-19/s150x150/12905002_1681254462136092_1137392787_a.jpg")</f>
        <v>https://scontent.cdninstagram.com/t51.2885-19/s150x150/12905002_1681254462136092_1137392787_a.jpg</v>
      </c>
    </row>
    <row r="3838" spans="1:31" ht="15" x14ac:dyDescent="0.25">
      <c r="A3838" t="s">
        <v>2474</v>
      </c>
      <c r="B3838" t="s">
        <v>21450</v>
      </c>
      <c r="C3838" s="221">
        <v>42978.292650462965</v>
      </c>
      <c r="D3838" t="s">
        <v>21451</v>
      </c>
      <c r="E3838" s="249" t="str">
        <f>HYPERLINK("https://www.instagram.com/p/BYdKuleDuyY/")</f>
        <v>https://www.instagram.com/p/BYdKuleDuyY/</v>
      </c>
      <c r="F3838" t="s">
        <v>21452</v>
      </c>
      <c r="G3838" t="s">
        <v>2478</v>
      </c>
      <c r="H3838">
        <v>133</v>
      </c>
      <c r="I3838" t="s">
        <v>3273</v>
      </c>
      <c r="J3838">
        <v>0</v>
      </c>
      <c r="K3838">
        <v>7</v>
      </c>
      <c r="L3838">
        <v>7</v>
      </c>
      <c r="Q3838">
        <v>0</v>
      </c>
      <c r="R3838">
        <v>0</v>
      </c>
      <c r="S3838">
        <v>7</v>
      </c>
      <c r="Y3838" t="s">
        <v>2497</v>
      </c>
      <c r="AD3838" s="249" t="str">
        <f>HYPERLINK("https://scontent.cdninstagram.com/t51.2885-15/e35/p320x320/21224646_130840527541232_3842664981547974656_n.jpg")</f>
        <v>https://scontent.cdninstagram.com/t51.2885-15/e35/p320x320/21224646_130840527541232_3842664981547974656_n.jpg</v>
      </c>
      <c r="AE3838" s="249" t="str">
        <f>HYPERLINK("https://scontent.cdninstagram.com/t51.2885-19/s150x150/15046894_682651295227982_5430320722213863424_a.jpg")</f>
        <v>https://scontent.cdninstagram.com/t51.2885-19/s150x150/15046894_682651295227982_5430320722213863424_a.jpg</v>
      </c>
    </row>
    <row r="3839" spans="1:31" ht="15" x14ac:dyDescent="0.25">
      <c r="A3839" t="s">
        <v>2474</v>
      </c>
      <c r="B3839" t="s">
        <v>13685</v>
      </c>
      <c r="C3839" s="221">
        <v>42978.305219907408</v>
      </c>
      <c r="D3839" t="s">
        <v>21453</v>
      </c>
      <c r="E3839" s="249" t="str">
        <f>HYPERLINK("https://www.instagram.com/p/BYdMzIXHWsx/")</f>
        <v>https://www.instagram.com/p/BYdMzIXHWsx/</v>
      </c>
      <c r="F3839" t="s">
        <v>21454</v>
      </c>
      <c r="G3839" t="s">
        <v>2478</v>
      </c>
      <c r="H3839">
        <v>20</v>
      </c>
      <c r="I3839" t="s">
        <v>2479</v>
      </c>
      <c r="J3839">
        <v>0</v>
      </c>
      <c r="K3839">
        <v>1</v>
      </c>
      <c r="L3839">
        <v>1</v>
      </c>
      <c r="Q3839">
        <v>0</v>
      </c>
      <c r="R3839">
        <v>0</v>
      </c>
      <c r="S3839">
        <v>1</v>
      </c>
      <c r="Y3839" t="s">
        <v>21455</v>
      </c>
      <c r="Z3839" t="s">
        <v>13691</v>
      </c>
      <c r="AA3839" t="s">
        <v>4808</v>
      </c>
      <c r="AB3839" t="s">
        <v>13685</v>
      </c>
      <c r="AC3839" t="s">
        <v>21456</v>
      </c>
      <c r="AD3839" s="249" t="str">
        <f>HYPERLINK("https://scontent.cdninstagram.com/t51.2885-15/s320x320/e35/21149582_1749583278675870_2117481046579609600_n.jpg")</f>
        <v>https://scontent.cdninstagram.com/t51.2885-15/s320x320/e35/21149582_1749583278675870_2117481046579609600_n.jpg</v>
      </c>
      <c r="AE3839" s="249" t="str">
        <f>HYPERLINK("https://scontent.cdninstagram.com/t51.2885-19/s150x150/20583254_1495833227145506_3266719745579155456_a.jpg")</f>
        <v>https://scontent.cdninstagram.com/t51.2885-19/s150x150/20583254_1495833227145506_3266719745579155456_a.jpg</v>
      </c>
    </row>
    <row r="3840" spans="1:31" ht="15" x14ac:dyDescent="0.25">
      <c r="A3840" t="s">
        <v>2474</v>
      </c>
      <c r="B3840" t="s">
        <v>3846</v>
      </c>
      <c r="C3840" s="221">
        <v>42978.309479166666</v>
      </c>
      <c r="D3840" t="s">
        <v>21457</v>
      </c>
      <c r="E3840" s="249" t="str">
        <f>HYPERLINK("https://www.instagram.com/p/BYdNgF3AstC/")</f>
        <v>https://www.instagram.com/p/BYdNgF3AstC/</v>
      </c>
      <c r="F3840" t="s">
        <v>21458</v>
      </c>
      <c r="G3840" t="s">
        <v>2478</v>
      </c>
      <c r="H3840">
        <v>1030</v>
      </c>
      <c r="I3840" t="s">
        <v>2479</v>
      </c>
      <c r="J3840">
        <v>0</v>
      </c>
      <c r="K3840">
        <v>69</v>
      </c>
      <c r="L3840">
        <v>69</v>
      </c>
      <c r="Q3840">
        <v>0</v>
      </c>
      <c r="R3840">
        <v>0</v>
      </c>
      <c r="S3840">
        <v>69</v>
      </c>
      <c r="Y3840" t="s">
        <v>14744</v>
      </c>
      <c r="Z3840" t="s">
        <v>9308</v>
      </c>
      <c r="AA3840" t="s">
        <v>21459</v>
      </c>
      <c r="AB3840" t="s">
        <v>7820</v>
      </c>
      <c r="AC3840" t="s">
        <v>6100</v>
      </c>
      <c r="AD3840" s="249" t="str">
        <f>HYPERLINK("https://scontent.cdninstagram.com/t51.2885-15/s320x320/e35/21147971_248017142387201_4076275025940840448_n.jpg")</f>
        <v>https://scontent.cdninstagram.com/t51.2885-15/s320x320/e35/21147971_248017142387201_4076275025940840448_n.jpg</v>
      </c>
      <c r="AE3840" s="249" t="str">
        <f>HYPERLINK("https://scontent.cdninstagram.com/t51.2885-19/11313229_1459878014310621_82799200_a.jpg")</f>
        <v>https://scontent.cdninstagram.com/t51.2885-19/11313229_1459878014310621_82799200_a.jpg</v>
      </c>
    </row>
    <row r="3841" spans="1:31" ht="15" x14ac:dyDescent="0.25">
      <c r="A3841" t="s">
        <v>2474</v>
      </c>
      <c r="B3841" t="s">
        <v>21460</v>
      </c>
      <c r="C3841" s="221">
        <v>42978.315104166664</v>
      </c>
      <c r="D3841" t="s">
        <v>21461</v>
      </c>
      <c r="E3841" s="249" t="str">
        <f>HYPERLINK("https://www.instagram.com/p/BYdObZDBZSN/")</f>
        <v>https://www.instagram.com/p/BYdObZDBZSN/</v>
      </c>
      <c r="F3841" t="s">
        <v>21462</v>
      </c>
      <c r="G3841" t="s">
        <v>2478</v>
      </c>
      <c r="H3841">
        <v>590</v>
      </c>
      <c r="I3841" t="s">
        <v>2599</v>
      </c>
      <c r="J3841">
        <v>5</v>
      </c>
      <c r="K3841">
        <v>76</v>
      </c>
      <c r="L3841">
        <v>81</v>
      </c>
      <c r="Q3841">
        <v>0</v>
      </c>
      <c r="R3841">
        <v>0</v>
      </c>
      <c r="S3841">
        <v>81</v>
      </c>
      <c r="Y3841" t="s">
        <v>12265</v>
      </c>
      <c r="Z3841" t="s">
        <v>8250</v>
      </c>
      <c r="AA3841" t="s">
        <v>3069</v>
      </c>
      <c r="AB3841" t="s">
        <v>21463</v>
      </c>
      <c r="AC3841" t="s">
        <v>21464</v>
      </c>
      <c r="AD3841" s="249" t="str">
        <f>HYPERLINK("https://scontent.cdninstagram.com/t51.2885-15/s320x320/e35/21227472_126592567978434_477859616131121152_n.jpg")</f>
        <v>https://scontent.cdninstagram.com/t51.2885-15/s320x320/e35/21227472_126592567978434_477859616131121152_n.jpg</v>
      </c>
      <c r="AE3841" s="249" t="str">
        <f>HYPERLINK("https://scontent.cdninstagram.com/t51.2885-19/s150x150/1171070_1690173484564778_208035344_a.jpg")</f>
        <v>https://scontent.cdninstagram.com/t51.2885-19/s150x150/1171070_1690173484564778_208035344_a.jpg</v>
      </c>
    </row>
    <row r="3842" spans="1:31" ht="15" x14ac:dyDescent="0.25">
      <c r="A3842" t="s">
        <v>2474</v>
      </c>
      <c r="B3842" t="s">
        <v>17738</v>
      </c>
      <c r="C3842" s="221">
        <v>42978.31790509259</v>
      </c>
      <c r="D3842" t="s">
        <v>21465</v>
      </c>
      <c r="E3842" s="249" t="str">
        <f>HYPERLINK("https://www.instagram.com/p/BYdO44sBzRp/")</f>
        <v>https://www.instagram.com/p/BYdO44sBzRp/</v>
      </c>
      <c r="F3842" t="s">
        <v>21466</v>
      </c>
      <c r="G3842" t="s">
        <v>2478</v>
      </c>
      <c r="H3842">
        <v>69154</v>
      </c>
      <c r="I3842" t="s">
        <v>2479</v>
      </c>
      <c r="J3842">
        <v>0</v>
      </c>
      <c r="K3842">
        <v>17</v>
      </c>
      <c r="L3842">
        <v>17</v>
      </c>
      <c r="Q3842">
        <v>0</v>
      </c>
      <c r="R3842">
        <v>0</v>
      </c>
      <c r="S3842">
        <v>17</v>
      </c>
      <c r="Y3842" t="s">
        <v>6790</v>
      </c>
      <c r="Z3842" t="s">
        <v>2575</v>
      </c>
      <c r="AA3842" t="s">
        <v>4232</v>
      </c>
      <c r="AB3842" t="s">
        <v>4564</v>
      </c>
      <c r="AC3842" t="s">
        <v>8783</v>
      </c>
      <c r="AD3842" s="249" t="str">
        <f>HYPERLINK("https://scontent.cdninstagram.com/t51.2885-15/s320x320/e35/21224589_1840445436284846_664155811164979200_n.jpg")</f>
        <v>https://scontent.cdninstagram.com/t51.2885-15/s320x320/e35/21224589_1840445436284846_664155811164979200_n.jpg</v>
      </c>
      <c r="AE3842" s="249" t="str">
        <f>HYPERLINK("https://scontent.cdninstagram.com/t51.2885-19/s150x150/14701076_1598337030462226_7312252327623131136_a.jpg")</f>
        <v>https://scontent.cdninstagram.com/t51.2885-19/s150x150/14701076_1598337030462226_7312252327623131136_a.jpg</v>
      </c>
    </row>
    <row r="3843" spans="1:31" ht="15" x14ac:dyDescent="0.25">
      <c r="A3843" t="s">
        <v>2474</v>
      </c>
      <c r="B3843" t="s">
        <v>21467</v>
      </c>
      <c r="C3843" s="221">
        <v>42978.320324074077</v>
      </c>
      <c r="D3843" t="s">
        <v>21468</v>
      </c>
      <c r="E3843" s="249" t="str">
        <f>HYPERLINK("https://www.instagram.com/p/BYdPSdXg4AJ/")</f>
        <v>https://www.instagram.com/p/BYdPSdXg4AJ/</v>
      </c>
      <c r="F3843" t="s">
        <v>21469</v>
      </c>
      <c r="G3843" t="s">
        <v>2478</v>
      </c>
      <c r="H3843">
        <v>90</v>
      </c>
      <c r="I3843" t="s">
        <v>2479</v>
      </c>
      <c r="J3843">
        <v>1</v>
      </c>
      <c r="K3843">
        <v>14</v>
      </c>
      <c r="L3843">
        <v>15</v>
      </c>
      <c r="Q3843">
        <v>0</v>
      </c>
      <c r="R3843">
        <v>0</v>
      </c>
      <c r="S3843">
        <v>15</v>
      </c>
      <c r="Y3843" t="s">
        <v>5566</v>
      </c>
      <c r="Z3843" t="s">
        <v>3357</v>
      </c>
      <c r="AA3843" t="s">
        <v>9888</v>
      </c>
      <c r="AB3843" t="s">
        <v>12922</v>
      </c>
      <c r="AC3843" t="s">
        <v>21470</v>
      </c>
      <c r="AD3843" s="249" t="str">
        <f>HYPERLINK("https://scontent.cdninstagram.com/t51.2885-15/s320x320/e35/21148881_1999828130253193_5267202283833131008_n.jpg")</f>
        <v>https://scontent.cdninstagram.com/t51.2885-15/s320x320/e35/21148881_1999828130253193_5267202283833131008_n.jpg</v>
      </c>
      <c r="AE3843" s="249" t="str">
        <f>HYPERLINK("https://scontent.cdninstagram.com/t51.2885-19/s150x150/20686889_485664108455480_8265595579682258944_a.jpg")</f>
        <v>https://scontent.cdninstagram.com/t51.2885-19/s150x150/20686889_485664108455480_8265595579682258944_a.jpg</v>
      </c>
    </row>
    <row r="3844" spans="1:31" ht="15" x14ac:dyDescent="0.25">
      <c r="A3844" t="s">
        <v>2474</v>
      </c>
      <c r="B3844" t="s">
        <v>3665</v>
      </c>
      <c r="C3844" s="221">
        <v>42978.32267361111</v>
      </c>
      <c r="D3844" t="s">
        <v>21471</v>
      </c>
      <c r="E3844" s="249" t="str">
        <f>HYPERLINK("https://www.instagram.com/p/BYdPrN-g8yu/")</f>
        <v>https://www.instagram.com/p/BYdPrN-g8yu/</v>
      </c>
      <c r="F3844" t="s">
        <v>21472</v>
      </c>
      <c r="G3844" t="s">
        <v>2478</v>
      </c>
      <c r="H3844">
        <v>131</v>
      </c>
      <c r="I3844" t="s">
        <v>3575</v>
      </c>
      <c r="J3844">
        <v>2</v>
      </c>
      <c r="K3844">
        <v>32</v>
      </c>
      <c r="L3844">
        <v>34</v>
      </c>
      <c r="Q3844">
        <v>0</v>
      </c>
      <c r="R3844">
        <v>0</v>
      </c>
      <c r="S3844">
        <v>34</v>
      </c>
      <c r="Y3844" t="s">
        <v>8542</v>
      </c>
      <c r="Z3844" t="s">
        <v>21473</v>
      </c>
      <c r="AA3844" t="s">
        <v>12002</v>
      </c>
      <c r="AB3844" t="s">
        <v>4620</v>
      </c>
      <c r="AC3844" t="s">
        <v>4803</v>
      </c>
      <c r="AD3844" s="249" t="str">
        <f>HYPERLINK("https://scontent.cdninstagram.com/t51.2885-15/s320x320/e35/21149100_1465961210136905_226343475124109312_n.jpg")</f>
        <v>https://scontent.cdninstagram.com/t51.2885-15/s320x320/e35/21149100_1465961210136905_226343475124109312_n.jpg</v>
      </c>
      <c r="AE3844" s="249" t="str">
        <f>HYPERLINK("https://scontent.cdninstagram.com/t51.2885-19/s150x150/20837660_2021233788104513_3267636454808879104_a.jpg")</f>
        <v>https://scontent.cdninstagram.com/t51.2885-19/s150x150/20837660_2021233788104513_3267636454808879104_a.jpg</v>
      </c>
    </row>
    <row r="3845" spans="1:31" ht="15" x14ac:dyDescent="0.25">
      <c r="A3845" t="s">
        <v>2474</v>
      </c>
      <c r="B3845" t="s">
        <v>21474</v>
      </c>
      <c r="C3845" s="221">
        <v>42978.325798611113</v>
      </c>
      <c r="D3845" t="s">
        <v>21475</v>
      </c>
      <c r="E3845" s="249" t="str">
        <f>HYPERLINK("https://www.instagram.com/p/BYdQMHjHmIm/")</f>
        <v>https://www.instagram.com/p/BYdQMHjHmIm/</v>
      </c>
      <c r="F3845" t="s">
        <v>21476</v>
      </c>
      <c r="G3845" t="s">
        <v>2478</v>
      </c>
      <c r="I3845" t="s">
        <v>2479</v>
      </c>
      <c r="J3845">
        <v>6</v>
      </c>
      <c r="K3845">
        <v>68</v>
      </c>
      <c r="L3845">
        <v>74</v>
      </c>
      <c r="Q3845">
        <v>0</v>
      </c>
      <c r="R3845">
        <v>0</v>
      </c>
      <c r="S3845">
        <v>74</v>
      </c>
      <c r="Y3845" t="s">
        <v>21477</v>
      </c>
      <c r="Z3845" t="s">
        <v>21478</v>
      </c>
      <c r="AA3845" t="s">
        <v>21479</v>
      </c>
      <c r="AB3845" t="s">
        <v>21480</v>
      </c>
      <c r="AC3845" t="s">
        <v>21481</v>
      </c>
      <c r="AD3845" s="249" t="str">
        <f>HYPERLINK("https://scontent.cdninstagram.com/t51.2885-15/s320x320/e35/21294600_917425981728786_1670287995158134784_n.jpg")</f>
        <v>https://scontent.cdninstagram.com/t51.2885-15/s320x320/e35/21294600_917425981728786_1670287995158134784_n.jpg</v>
      </c>
      <c r="AE3845" s="249" t="str">
        <f>HYPERLINK("https://scontent.cdninstagram.com/t51.2885-19/s150x150/18162043_201567270358302_4462507553535819776_a.jpg")</f>
        <v>https://scontent.cdninstagram.com/t51.2885-19/s150x150/18162043_201567270358302_4462507553535819776_a.jpg</v>
      </c>
    </row>
    <row r="3846" spans="1:31" ht="15" x14ac:dyDescent="0.25">
      <c r="A3846" t="s">
        <v>2474</v>
      </c>
      <c r="B3846" t="s">
        <v>21482</v>
      </c>
      <c r="C3846" s="221">
        <v>42978.337847222225</v>
      </c>
      <c r="D3846" t="s">
        <v>21483</v>
      </c>
      <c r="E3846" s="249" t="str">
        <f>HYPERLINK("https://www.instagram.com/p/BYdSLMHgJ9Q/")</f>
        <v>https://www.instagram.com/p/BYdSLMHgJ9Q/</v>
      </c>
      <c r="F3846" t="s">
        <v>21484</v>
      </c>
      <c r="G3846" t="s">
        <v>2478</v>
      </c>
      <c r="H3846">
        <v>439</v>
      </c>
      <c r="I3846" t="s">
        <v>2479</v>
      </c>
      <c r="J3846">
        <v>5</v>
      </c>
      <c r="K3846">
        <v>29</v>
      </c>
      <c r="L3846">
        <v>34</v>
      </c>
      <c r="Q3846">
        <v>0</v>
      </c>
      <c r="R3846">
        <v>0</v>
      </c>
      <c r="S3846">
        <v>34</v>
      </c>
      <c r="T3846" t="s">
        <v>21485</v>
      </c>
      <c r="U3846" t="s">
        <v>182</v>
      </c>
      <c r="V3846" t="s">
        <v>2299</v>
      </c>
      <c r="W3846">
        <v>35.929099999999998</v>
      </c>
      <c r="X3846">
        <v>-86.857399999999998</v>
      </c>
      <c r="Y3846" t="s">
        <v>4743</v>
      </c>
      <c r="AD3846" s="249" t="str">
        <f>HYPERLINK("https://scontent.cdninstagram.com/t51.2885-15/s320x320/e35/21224759_168238200401395_127267375698411520_n.jpg")</f>
        <v>https://scontent.cdninstagram.com/t51.2885-15/s320x320/e35/21224759_168238200401395_127267375698411520_n.jpg</v>
      </c>
      <c r="AE3846" s="249" t="str">
        <f>HYPERLINK("https://scontent.cdninstagram.com/t51.2885-19/11324282_1194086900616964_1174410247_a.jpg")</f>
        <v>https://scontent.cdninstagram.com/t51.2885-19/11324282_1194086900616964_1174410247_a.jpg</v>
      </c>
    </row>
    <row r="3847" spans="1:31" ht="15" x14ac:dyDescent="0.25">
      <c r="A3847" t="s">
        <v>2474</v>
      </c>
      <c r="B3847" t="s">
        <v>3895</v>
      </c>
      <c r="C3847" s="221">
        <v>42978.342430555553</v>
      </c>
      <c r="D3847" t="s">
        <v>21486</v>
      </c>
      <c r="E3847" s="249" t="str">
        <f>HYPERLINK("https://www.instagram.com/p/BYdS7iYlpF7/")</f>
        <v>https://www.instagram.com/p/BYdS7iYlpF7/</v>
      </c>
      <c r="F3847" t="s">
        <v>21487</v>
      </c>
      <c r="G3847" t="s">
        <v>2478</v>
      </c>
      <c r="H3847">
        <v>431</v>
      </c>
      <c r="I3847" t="s">
        <v>2479</v>
      </c>
      <c r="J3847">
        <v>3</v>
      </c>
      <c r="K3847">
        <v>51</v>
      </c>
      <c r="L3847">
        <v>54</v>
      </c>
      <c r="Q3847">
        <v>0</v>
      </c>
      <c r="R3847">
        <v>0</v>
      </c>
      <c r="S3847">
        <v>54</v>
      </c>
      <c r="Y3847" t="s">
        <v>18427</v>
      </c>
      <c r="Z3847" t="s">
        <v>10186</v>
      </c>
      <c r="AA3847" t="s">
        <v>7905</v>
      </c>
      <c r="AB3847" t="s">
        <v>3815</v>
      </c>
      <c r="AC3847" t="s">
        <v>11096</v>
      </c>
      <c r="AD3847" s="249" t="str">
        <f>HYPERLINK("https://scontent.cdninstagram.com/t51.2885-15/s320x320/e35/21227645_169653066914907_2755921475499196416_n.jpg")</f>
        <v>https://scontent.cdninstagram.com/t51.2885-15/s320x320/e35/21227645_169653066914907_2755921475499196416_n.jpg</v>
      </c>
      <c r="AE3847" s="249" t="str">
        <f>HYPERLINK("https://scontent.cdninstagram.com/t51.2885-19/s150x150/20902130_1390331654386412_4188068892897181696_a.jpg")</f>
        <v>https://scontent.cdninstagram.com/t51.2885-19/s150x150/20902130_1390331654386412_4188068892897181696_a.jpg</v>
      </c>
    </row>
    <row r="3848" spans="1:31" ht="15" x14ac:dyDescent="0.25">
      <c r="A3848" t="s">
        <v>2474</v>
      </c>
      <c r="B3848" t="s">
        <v>21488</v>
      </c>
      <c r="C3848" s="221">
        <v>42978.342615740738</v>
      </c>
      <c r="D3848" t="s">
        <v>21489</v>
      </c>
      <c r="E3848" s="249" t="str">
        <f>HYPERLINK("https://www.instagram.com/p/BYdS9eng4wb/")</f>
        <v>https://www.instagram.com/p/BYdS9eng4wb/</v>
      </c>
      <c r="F3848" t="s">
        <v>21490</v>
      </c>
      <c r="G3848" t="s">
        <v>2478</v>
      </c>
      <c r="H3848">
        <v>1120</v>
      </c>
      <c r="I3848" t="s">
        <v>2542</v>
      </c>
      <c r="J3848">
        <v>14</v>
      </c>
      <c r="K3848">
        <v>157</v>
      </c>
      <c r="L3848">
        <v>171</v>
      </c>
      <c r="Q3848">
        <v>0</v>
      </c>
      <c r="R3848">
        <v>0</v>
      </c>
      <c r="S3848">
        <v>171</v>
      </c>
      <c r="Y3848" t="s">
        <v>2734</v>
      </c>
      <c r="Z3848" t="s">
        <v>21491</v>
      </c>
      <c r="AA3848" t="s">
        <v>21492</v>
      </c>
      <c r="AB3848" t="s">
        <v>21493</v>
      </c>
      <c r="AC3848" t="s">
        <v>21494</v>
      </c>
      <c r="AD3848" s="249" t="str">
        <f>HYPERLINK("https://scontent.cdninstagram.com/t51.2885-15/s320x320/e35/21224167_503004216701268_6094608152651628544_n.jpg")</f>
        <v>https://scontent.cdninstagram.com/t51.2885-15/s320x320/e35/21224167_503004216701268_6094608152651628544_n.jpg</v>
      </c>
      <c r="AE3848" s="249" t="str">
        <f>HYPERLINK("https://scontent.cdninstagram.com/t51.2885-19/s150x150/18094862_148718518994788_7475413178805911552_a.jpg")</f>
        <v>https://scontent.cdninstagram.com/t51.2885-19/s150x150/18094862_148718518994788_7475413178805911552_a.jpg</v>
      </c>
    </row>
    <row r="3849" spans="1:31" ht="15" x14ac:dyDescent="0.25">
      <c r="A3849" t="s">
        <v>2474</v>
      </c>
      <c r="B3849" t="s">
        <v>7152</v>
      </c>
      <c r="C3849" s="221">
        <v>42978.355891203704</v>
      </c>
      <c r="D3849" t="s">
        <v>21495</v>
      </c>
      <c r="E3849" s="249" t="str">
        <f>HYPERLINK("https://www.instagram.com/p/BYdVJgoDWAY/")</f>
        <v>https://www.instagram.com/p/BYdVJgoDWAY/</v>
      </c>
      <c r="F3849" t="s">
        <v>21496</v>
      </c>
      <c r="G3849" t="s">
        <v>2478</v>
      </c>
      <c r="H3849">
        <v>122</v>
      </c>
      <c r="I3849" t="s">
        <v>2542</v>
      </c>
      <c r="J3849">
        <v>1</v>
      </c>
      <c r="K3849">
        <v>14</v>
      </c>
      <c r="L3849">
        <v>15</v>
      </c>
      <c r="Q3849">
        <v>0</v>
      </c>
      <c r="R3849">
        <v>0</v>
      </c>
      <c r="S3849">
        <v>15</v>
      </c>
      <c r="Y3849" t="s">
        <v>2730</v>
      </c>
      <c r="Z3849" t="s">
        <v>4582</v>
      </c>
      <c r="AA3849" t="s">
        <v>6299</v>
      </c>
      <c r="AB3849" t="s">
        <v>8213</v>
      </c>
      <c r="AC3849" t="s">
        <v>2497</v>
      </c>
      <c r="AD3849" s="249" t="str">
        <f>HYPERLINK("https://scontent.cdninstagram.com/t51.2885-15/s320x320/e35/21149704_1403119056474197_4503566135215521792_n.jpg")</f>
        <v>https://scontent.cdninstagram.com/t51.2885-15/s320x320/e35/21149704_1403119056474197_4503566135215521792_n.jpg</v>
      </c>
      <c r="AE3849" s="249" t="str">
        <f>HYPERLINK("https://scontent.cdninstagram.com/t51.2885-19/s150x150/20181062_1791856511105718_4709893984703479808_a.jpg")</f>
        <v>https://scontent.cdninstagram.com/t51.2885-19/s150x150/20181062_1791856511105718_4709893984703479808_a.jpg</v>
      </c>
    </row>
    <row r="3850" spans="1:31" ht="15" x14ac:dyDescent="0.25">
      <c r="A3850" t="s">
        <v>2474</v>
      </c>
      <c r="B3850" t="s">
        <v>12550</v>
      </c>
      <c r="C3850" s="221">
        <v>42978.364537037036</v>
      </c>
      <c r="D3850" t="s">
        <v>21497</v>
      </c>
      <c r="E3850" s="249" t="str">
        <f>HYPERLINK("https://www.instagram.com/p/BYdWkxMna8Q/")</f>
        <v>https://www.instagram.com/p/BYdWkxMna8Q/</v>
      </c>
      <c r="F3850" t="s">
        <v>21498</v>
      </c>
      <c r="G3850" t="s">
        <v>2478</v>
      </c>
      <c r="H3850">
        <v>869</v>
      </c>
      <c r="I3850" t="s">
        <v>2599</v>
      </c>
      <c r="J3850">
        <v>0</v>
      </c>
      <c r="K3850">
        <v>39</v>
      </c>
      <c r="L3850">
        <v>39</v>
      </c>
      <c r="Q3850">
        <v>0</v>
      </c>
      <c r="R3850">
        <v>0</v>
      </c>
      <c r="S3850">
        <v>39</v>
      </c>
      <c r="T3850" t="s">
        <v>21499</v>
      </c>
      <c r="V3850" t="s">
        <v>2207</v>
      </c>
      <c r="W3850">
        <v>35.917502593088997</v>
      </c>
      <c r="X3850">
        <v>14.498820304871</v>
      </c>
      <c r="Y3850" t="s">
        <v>10186</v>
      </c>
      <c r="Z3850" t="s">
        <v>12556</v>
      </c>
      <c r="AA3850" t="s">
        <v>17512</v>
      </c>
      <c r="AB3850" t="s">
        <v>7451</v>
      </c>
      <c r="AC3850" t="s">
        <v>21500</v>
      </c>
      <c r="AD3850" s="249" t="str">
        <f>HYPERLINK("https://scontent.cdninstagram.com/t51.2885-15/s320x320/e35/21294553_114007239267332_7943587879907753984_n.jpg")</f>
        <v>https://scontent.cdninstagram.com/t51.2885-15/s320x320/e35/21294553_114007239267332_7943587879907753984_n.jpg</v>
      </c>
      <c r="AE3850" s="249" t="str">
        <f>HYPERLINK("https://scontent.cdninstagram.com/t51.2885-19/s150x150/19534736_1894547127467294_2028662634726817792_a.jpg")</f>
        <v>https://scontent.cdninstagram.com/t51.2885-19/s150x150/19534736_1894547127467294_2028662634726817792_a.jpg</v>
      </c>
    </row>
    <row r="3851" spans="1:31" ht="15" x14ac:dyDescent="0.25">
      <c r="A3851" t="s">
        <v>2474</v>
      </c>
      <c r="B3851" t="s">
        <v>21501</v>
      </c>
      <c r="C3851" s="221">
        <v>42978.364999999998</v>
      </c>
      <c r="D3851" t="s">
        <v>21502</v>
      </c>
      <c r="E3851" s="249" t="str">
        <f>HYPERLINK("https://www.instagram.com/p/BYdWpkZgHbA/")</f>
        <v>https://www.instagram.com/p/BYdWpkZgHbA/</v>
      </c>
      <c r="F3851" t="s">
        <v>21503</v>
      </c>
      <c r="G3851" t="s">
        <v>2478</v>
      </c>
      <c r="H3851">
        <v>612</v>
      </c>
      <c r="I3851" t="s">
        <v>2510</v>
      </c>
      <c r="J3851">
        <v>1</v>
      </c>
      <c r="K3851">
        <v>23</v>
      </c>
      <c r="L3851">
        <v>24</v>
      </c>
      <c r="Q3851">
        <v>0</v>
      </c>
      <c r="R3851">
        <v>0</v>
      </c>
      <c r="S3851">
        <v>24</v>
      </c>
      <c r="Y3851" t="s">
        <v>5902</v>
      </c>
      <c r="Z3851" t="s">
        <v>21504</v>
      </c>
      <c r="AA3851" t="s">
        <v>21505</v>
      </c>
      <c r="AB3851" t="s">
        <v>21506</v>
      </c>
      <c r="AC3851" t="s">
        <v>21507</v>
      </c>
      <c r="AD3851" s="249" t="str">
        <f>HYPERLINK("https://scontent.cdninstagram.com/t51.2885-15/s320x320/e35/21147923_910289495778777_1305357109486944256_n.jpg")</f>
        <v>https://scontent.cdninstagram.com/t51.2885-15/s320x320/e35/21147923_910289495778777_1305357109486944256_n.jpg</v>
      </c>
      <c r="AE3851" s="249" t="str">
        <f>HYPERLINK("https://scontent.cdninstagram.com/t51.2885-19/s150x150/18382655_1797262197257426_706005908072693760_a.jpg")</f>
        <v>https://scontent.cdninstagram.com/t51.2885-19/s150x150/18382655_1797262197257426_706005908072693760_a.jpg</v>
      </c>
    </row>
    <row r="3852" spans="1:31" ht="15" x14ac:dyDescent="0.25">
      <c r="A3852" t="s">
        <v>2474</v>
      </c>
      <c r="B3852" t="s">
        <v>21508</v>
      </c>
      <c r="C3852" s="221">
        <v>42978.373761574076</v>
      </c>
      <c r="D3852" t="s">
        <v>21509</v>
      </c>
      <c r="E3852" s="249" t="str">
        <f>HYPERLINK("https://www.instagram.com/p/BYdYF94HT6P/")</f>
        <v>https://www.instagram.com/p/BYdYF94HT6P/</v>
      </c>
      <c r="F3852" t="s">
        <v>21510</v>
      </c>
      <c r="G3852" t="s">
        <v>2478</v>
      </c>
      <c r="H3852">
        <v>875</v>
      </c>
      <c r="I3852" t="s">
        <v>2479</v>
      </c>
      <c r="J3852">
        <v>0</v>
      </c>
      <c r="K3852">
        <v>127</v>
      </c>
      <c r="L3852">
        <v>127</v>
      </c>
      <c r="Q3852">
        <v>0</v>
      </c>
      <c r="R3852">
        <v>0</v>
      </c>
      <c r="S3852">
        <v>127</v>
      </c>
      <c r="Y3852" t="s">
        <v>21511</v>
      </c>
      <c r="Z3852" t="s">
        <v>2603</v>
      </c>
      <c r="AA3852" t="s">
        <v>6043</v>
      </c>
      <c r="AB3852" t="s">
        <v>21512</v>
      </c>
      <c r="AC3852" t="s">
        <v>21513</v>
      </c>
      <c r="AD3852" s="249" t="str">
        <f>HYPERLINK("https://scontent.cdninstagram.com/t51.2885-15/e35/p320x320/21224606_114683309207226_725617854027661312_n.jpg")</f>
        <v>https://scontent.cdninstagram.com/t51.2885-15/e35/p320x320/21224606_114683309207226_725617854027661312_n.jpg</v>
      </c>
      <c r="AE3852" s="249" t="str">
        <f>HYPERLINK("https://scontent.cdninstagram.com/t51.2885-19/s150x150/20346929_1908419619412465_9062907256902778880_a.jpg")</f>
        <v>https://scontent.cdninstagram.com/t51.2885-19/s150x150/20346929_1908419619412465_9062907256902778880_a.jpg</v>
      </c>
    </row>
    <row r="3853" spans="1:31" ht="15" x14ac:dyDescent="0.25">
      <c r="A3853" t="s">
        <v>2474</v>
      </c>
      <c r="B3853" t="s">
        <v>21514</v>
      </c>
      <c r="C3853" s="221">
        <v>42978.373854166668</v>
      </c>
      <c r="D3853" t="s">
        <v>21515</v>
      </c>
      <c r="E3853" s="249" t="str">
        <f>HYPERLINK("https://www.instagram.com/p/BYdYG8ZFL1z/")</f>
        <v>https://www.instagram.com/p/BYdYG8ZFL1z/</v>
      </c>
      <c r="F3853" t="s">
        <v>21516</v>
      </c>
      <c r="G3853" t="s">
        <v>2478</v>
      </c>
      <c r="H3853">
        <v>412</v>
      </c>
      <c r="I3853" t="s">
        <v>2479</v>
      </c>
      <c r="J3853">
        <v>0</v>
      </c>
      <c r="K3853">
        <v>30</v>
      </c>
      <c r="L3853">
        <v>30</v>
      </c>
      <c r="Q3853">
        <v>0</v>
      </c>
      <c r="R3853">
        <v>0</v>
      </c>
      <c r="S3853">
        <v>30</v>
      </c>
      <c r="Y3853" t="s">
        <v>21517</v>
      </c>
      <c r="Z3853" t="s">
        <v>11634</v>
      </c>
      <c r="AA3853" t="s">
        <v>21518</v>
      </c>
      <c r="AB3853" t="s">
        <v>21519</v>
      </c>
      <c r="AC3853" t="s">
        <v>21520</v>
      </c>
      <c r="AD3853" s="249" t="str">
        <f>HYPERLINK("https://scontent.cdninstagram.com/t51.2885-15/s320x320/e35/21294610_1621159901235676_8806633060930945024_n.jpg")</f>
        <v>https://scontent.cdninstagram.com/t51.2885-15/s320x320/e35/21294610_1621159901235676_8806633060930945024_n.jpg</v>
      </c>
      <c r="AE3853" s="249" t="str">
        <f>HYPERLINK("https://scontent.cdninstagram.com/t51.2885-19/s150x150/21295065_114641055870234_90349567693815808_n.jpg")</f>
        <v>https://scontent.cdninstagram.com/t51.2885-19/s150x150/21295065_114641055870234_90349567693815808_n.jpg</v>
      </c>
    </row>
    <row r="3854" spans="1:31" ht="15" x14ac:dyDescent="0.25">
      <c r="A3854" t="s">
        <v>2474</v>
      </c>
      <c r="B3854" t="s">
        <v>21521</v>
      </c>
      <c r="C3854" s="221">
        <v>42978.374594907407</v>
      </c>
      <c r="D3854" t="s">
        <v>21522</v>
      </c>
      <c r="E3854" s="249" t="str">
        <f>HYPERLINK("https://www.instagram.com/p/BYdYOxNjJLd/")</f>
        <v>https://www.instagram.com/p/BYdYOxNjJLd/</v>
      </c>
      <c r="F3854" t="s">
        <v>21523</v>
      </c>
      <c r="G3854" t="s">
        <v>2478</v>
      </c>
      <c r="H3854">
        <v>314</v>
      </c>
      <c r="I3854" t="s">
        <v>2479</v>
      </c>
      <c r="J3854">
        <v>0</v>
      </c>
      <c r="K3854">
        <v>27</v>
      </c>
      <c r="L3854">
        <v>27</v>
      </c>
      <c r="Q3854">
        <v>0</v>
      </c>
      <c r="R3854">
        <v>0</v>
      </c>
      <c r="S3854">
        <v>27</v>
      </c>
      <c r="Y3854" t="s">
        <v>5982</v>
      </c>
      <c r="Z3854" t="s">
        <v>2492</v>
      </c>
      <c r="AA3854" t="s">
        <v>21524</v>
      </c>
      <c r="AB3854" t="s">
        <v>3962</v>
      </c>
      <c r="AC3854" t="s">
        <v>10101</v>
      </c>
      <c r="AD3854" s="249" t="str">
        <f>HYPERLINK("https://scontent.cdninstagram.com/t51.2885-15/s320x320/e35/21147907_143947292870070_4726605934380449792_n.jpg")</f>
        <v>https://scontent.cdninstagram.com/t51.2885-15/s320x320/e35/21147907_143947292870070_4726605934380449792_n.jpg</v>
      </c>
      <c r="AE3854" s="249" t="str">
        <f>HYPERLINK("https://scontent.cdninstagram.com/t51.2885-19/s150x150/16464504_878745138932213_4181310091842027520_a.jpg")</f>
        <v>https://scontent.cdninstagram.com/t51.2885-19/s150x150/16464504_878745138932213_4181310091842027520_a.jpg</v>
      </c>
    </row>
    <row r="3855" spans="1:31" ht="15" x14ac:dyDescent="0.25">
      <c r="A3855" t="s">
        <v>2474</v>
      </c>
      <c r="B3855" t="s">
        <v>15215</v>
      </c>
      <c r="C3855" s="221">
        <v>42978.375057870369</v>
      </c>
      <c r="D3855" t="s">
        <v>21525</v>
      </c>
      <c r="E3855" s="249" t="str">
        <f>HYPERLINK("https://www.instagram.com/p/BYdYTpSByEI/")</f>
        <v>https://www.instagram.com/p/BYdYTpSByEI/</v>
      </c>
      <c r="F3855" t="s">
        <v>21526</v>
      </c>
      <c r="G3855" t="s">
        <v>2478</v>
      </c>
      <c r="H3855">
        <v>57296</v>
      </c>
      <c r="I3855" t="s">
        <v>2479</v>
      </c>
      <c r="J3855">
        <v>47</v>
      </c>
      <c r="K3855">
        <v>1410</v>
      </c>
      <c r="L3855">
        <v>1457</v>
      </c>
      <c r="Q3855">
        <v>0</v>
      </c>
      <c r="R3855">
        <v>0</v>
      </c>
      <c r="S3855">
        <v>1457</v>
      </c>
      <c r="Y3855" t="s">
        <v>16653</v>
      </c>
      <c r="Z3855" t="s">
        <v>9535</v>
      </c>
      <c r="AA3855" t="s">
        <v>21527</v>
      </c>
      <c r="AB3855" t="s">
        <v>4886</v>
      </c>
      <c r="AC3855" t="s">
        <v>7529</v>
      </c>
      <c r="AD3855" s="249" t="str">
        <f>HYPERLINK("https://scontent.cdninstagram.com/t51.2885-15/e35/p320x320/21226923_112916129397501_6559037367393452032_n.jpg")</f>
        <v>https://scontent.cdninstagram.com/t51.2885-15/e35/p320x320/21226923_112916129397501_6559037367393452032_n.jpg</v>
      </c>
      <c r="AE3855" s="249" t="str">
        <f>HYPERLINK("https://scontent.cdninstagram.com/t51.2885-19/s150x150/19932865_641502086046126_7825033261981106176_n.jpg")</f>
        <v>https://scontent.cdninstagram.com/t51.2885-19/s150x150/19932865_641502086046126_7825033261981106176_n.jpg</v>
      </c>
    </row>
    <row r="3856" spans="1:31" ht="15" x14ac:dyDescent="0.25">
      <c r="A3856" t="s">
        <v>2474</v>
      </c>
      <c r="B3856" t="s">
        <v>7520</v>
      </c>
      <c r="C3856" s="221">
        <v>42978.375173611108</v>
      </c>
      <c r="D3856" t="s">
        <v>21528</v>
      </c>
      <c r="E3856" s="249" t="str">
        <f>HYPERLINK("https://www.instagram.com/p/BYdYU5cjfp9/")</f>
        <v>https://www.instagram.com/p/BYdYU5cjfp9/</v>
      </c>
      <c r="F3856" t="s">
        <v>21529</v>
      </c>
      <c r="G3856" t="s">
        <v>2478</v>
      </c>
      <c r="H3856">
        <v>54777</v>
      </c>
      <c r="I3856" t="s">
        <v>2479</v>
      </c>
      <c r="J3856">
        <v>33</v>
      </c>
      <c r="K3856">
        <v>1120</v>
      </c>
      <c r="L3856">
        <v>1153</v>
      </c>
      <c r="Q3856">
        <v>0</v>
      </c>
      <c r="R3856">
        <v>0</v>
      </c>
      <c r="S3856">
        <v>1153</v>
      </c>
      <c r="Y3856" t="s">
        <v>21530</v>
      </c>
      <c r="Z3856" t="s">
        <v>21531</v>
      </c>
      <c r="AA3856" t="s">
        <v>20472</v>
      </c>
      <c r="AB3856" t="s">
        <v>14903</v>
      </c>
      <c r="AC3856" t="s">
        <v>19628</v>
      </c>
      <c r="AD3856" s="249" t="str">
        <f>HYPERLINK("https://scontent.cdninstagram.com/t51.2885-15/e35/p320x320/21147722_1128324540631524_4066937333247639552_n.jpg")</f>
        <v>https://scontent.cdninstagram.com/t51.2885-15/e35/p320x320/21147722_1128324540631524_4066937333247639552_n.jpg</v>
      </c>
      <c r="AE3856" s="249" t="str">
        <f>HYPERLINK("https://scontent.cdninstagram.com/t51.2885-19/s150x150/18298688_1494068440643997_308683869408722944_a.jpg")</f>
        <v>https://scontent.cdninstagram.com/t51.2885-19/s150x150/18298688_1494068440643997_308683869408722944_a.jpg</v>
      </c>
    </row>
    <row r="3857" spans="1:31" ht="15" x14ac:dyDescent="0.25">
      <c r="A3857" t="s">
        <v>2474</v>
      </c>
      <c r="B3857" t="s">
        <v>21532</v>
      </c>
      <c r="C3857" s="221">
        <v>42978.383206018516</v>
      </c>
      <c r="D3857" t="s">
        <v>21533</v>
      </c>
      <c r="E3857" s="249" t="str">
        <f>HYPERLINK("https://www.instagram.com/p/BYdZpnxDtpl/")</f>
        <v>https://www.instagram.com/p/BYdZpnxDtpl/</v>
      </c>
      <c r="F3857" t="s">
        <v>21534</v>
      </c>
      <c r="G3857" t="s">
        <v>2478</v>
      </c>
      <c r="H3857">
        <v>836</v>
      </c>
      <c r="I3857" t="s">
        <v>2479</v>
      </c>
      <c r="J3857">
        <v>0</v>
      </c>
      <c r="K3857">
        <v>33</v>
      </c>
      <c r="L3857">
        <v>33</v>
      </c>
      <c r="Q3857">
        <v>0</v>
      </c>
      <c r="R3857">
        <v>0</v>
      </c>
      <c r="S3857">
        <v>33</v>
      </c>
      <c r="Y3857" t="s">
        <v>2730</v>
      </c>
      <c r="Z3857" t="s">
        <v>2497</v>
      </c>
      <c r="AA3857" t="s">
        <v>2492</v>
      </c>
      <c r="AD3857" s="249" t="str">
        <f>HYPERLINK("https://scontent.cdninstagram.com/t51.2885-15/s320x320/e35/21147796_268756026944147_1271337712917413888_n.jpg")</f>
        <v>https://scontent.cdninstagram.com/t51.2885-15/s320x320/e35/21147796_268756026944147_1271337712917413888_n.jpg</v>
      </c>
      <c r="AE3857" s="249" t="str">
        <f>HYPERLINK("https://scontent.cdninstagram.com/t51.2885-19/s150x150/13736870_1073808139371868_2067260572_a.jpg")</f>
        <v>https://scontent.cdninstagram.com/t51.2885-19/s150x150/13736870_1073808139371868_2067260572_a.jpg</v>
      </c>
    </row>
    <row r="3858" spans="1:31" ht="15" x14ac:dyDescent="0.25">
      <c r="A3858" t="s">
        <v>2474</v>
      </c>
      <c r="B3858" t="s">
        <v>21535</v>
      </c>
      <c r="C3858" s="221">
        <v>42978.384074074071</v>
      </c>
      <c r="D3858" t="s">
        <v>21536</v>
      </c>
      <c r="E3858" s="249" t="str">
        <f>HYPERLINK("https://www.instagram.com/p/BYdZyztAiCf/")</f>
        <v>https://www.instagram.com/p/BYdZyztAiCf/</v>
      </c>
      <c r="F3858" t="s">
        <v>21537</v>
      </c>
      <c r="G3858" t="s">
        <v>2478</v>
      </c>
      <c r="H3858">
        <v>761</v>
      </c>
      <c r="I3858" t="s">
        <v>2479</v>
      </c>
      <c r="J3858">
        <v>4</v>
      </c>
      <c r="K3858">
        <v>68</v>
      </c>
      <c r="L3858">
        <v>72</v>
      </c>
      <c r="Q3858">
        <v>0</v>
      </c>
      <c r="R3858">
        <v>0</v>
      </c>
      <c r="S3858">
        <v>72</v>
      </c>
      <c r="Y3858" t="s">
        <v>6094</v>
      </c>
      <c r="Z3858" t="s">
        <v>21538</v>
      </c>
      <c r="AA3858" t="s">
        <v>5168</v>
      </c>
      <c r="AB3858" t="s">
        <v>21539</v>
      </c>
      <c r="AC3858" t="s">
        <v>21540</v>
      </c>
      <c r="AD3858" s="249" t="str">
        <f>HYPERLINK("https://scontent.cdninstagram.com/t51.2885-15/s320x320/e35/21224929_288926558251299_8238181417612214272_n.jpg")</f>
        <v>https://scontent.cdninstagram.com/t51.2885-15/s320x320/e35/21224929_288926558251299_8238181417612214272_n.jpg</v>
      </c>
      <c r="AE3858" s="249" t="str">
        <f>HYPERLINK("https://scontent.cdninstagram.com/t51.2885-19/s150x150/21373207_513631152314978_1610723597695844352_a.jpg")</f>
        <v>https://scontent.cdninstagram.com/t51.2885-19/s150x150/21373207_513631152314978_1610723597695844352_a.jpg</v>
      </c>
    </row>
    <row r="3859" spans="1:31" ht="15" x14ac:dyDescent="0.25">
      <c r="A3859" t="s">
        <v>2474</v>
      </c>
      <c r="B3859" t="s">
        <v>21541</v>
      </c>
      <c r="C3859" s="221">
        <v>42978.386377314811</v>
      </c>
      <c r="D3859" t="s">
        <v>21542</v>
      </c>
      <c r="E3859" s="249" t="str">
        <f>HYPERLINK("https://www.instagram.com/p/BYdaLCVAWoj/")</f>
        <v>https://www.instagram.com/p/BYdaLCVAWoj/</v>
      </c>
      <c r="F3859" t="s">
        <v>21543</v>
      </c>
      <c r="G3859" t="s">
        <v>2478</v>
      </c>
      <c r="H3859">
        <v>1133</v>
      </c>
      <c r="I3859" t="s">
        <v>2542</v>
      </c>
      <c r="J3859">
        <v>1</v>
      </c>
      <c r="K3859">
        <v>26</v>
      </c>
      <c r="L3859">
        <v>27</v>
      </c>
      <c r="Q3859">
        <v>0</v>
      </c>
      <c r="R3859">
        <v>0</v>
      </c>
      <c r="S3859">
        <v>27</v>
      </c>
      <c r="Y3859" t="s">
        <v>21544</v>
      </c>
      <c r="Z3859" t="s">
        <v>21545</v>
      </c>
      <c r="AA3859" t="s">
        <v>21546</v>
      </c>
      <c r="AB3859" t="s">
        <v>21547</v>
      </c>
      <c r="AC3859" t="s">
        <v>21548</v>
      </c>
      <c r="AD3859" s="249" t="str">
        <f>HYPERLINK("https://scontent.cdninstagram.com/t51.2885-15/s320x320/e35/21227691_349816278806019_2059040573339205632_n.jpg")</f>
        <v>https://scontent.cdninstagram.com/t51.2885-15/s320x320/e35/21227691_349816278806019_2059040573339205632_n.jpg</v>
      </c>
      <c r="AE3859" s="249" t="str">
        <f>HYPERLINK("https://scontent.cdninstagram.com/t51.2885-19/s150x150/18251947_203670373477752_1112990506461167616_a.jpg")</f>
        <v>https://scontent.cdninstagram.com/t51.2885-19/s150x150/18251947_203670373477752_1112990506461167616_a.jpg</v>
      </c>
    </row>
    <row r="3860" spans="1:31" ht="15" x14ac:dyDescent="0.25">
      <c r="A3860" t="s">
        <v>2474</v>
      </c>
      <c r="B3860" t="s">
        <v>2863</v>
      </c>
      <c r="C3860" s="221">
        <v>42978.388333333336</v>
      </c>
      <c r="D3860" t="s">
        <v>21549</v>
      </c>
      <c r="E3860" s="249" t="str">
        <f>HYPERLINK("https://www.instagram.com/p/BYdafrYlLhh/")</f>
        <v>https://www.instagram.com/p/BYdafrYlLhh/</v>
      </c>
      <c r="F3860" t="s">
        <v>21550</v>
      </c>
      <c r="G3860" t="s">
        <v>2478</v>
      </c>
      <c r="H3860">
        <v>70</v>
      </c>
      <c r="I3860" t="s">
        <v>2479</v>
      </c>
      <c r="J3860">
        <v>0</v>
      </c>
      <c r="K3860">
        <v>12</v>
      </c>
      <c r="L3860">
        <v>12</v>
      </c>
      <c r="Q3860">
        <v>0</v>
      </c>
      <c r="R3860">
        <v>0</v>
      </c>
      <c r="S3860">
        <v>12</v>
      </c>
      <c r="Y3860" t="s">
        <v>2497</v>
      </c>
      <c r="Z3860" t="s">
        <v>2492</v>
      </c>
      <c r="AA3860" t="s">
        <v>17646</v>
      </c>
      <c r="AB3860" t="s">
        <v>5211</v>
      </c>
      <c r="AC3860" t="s">
        <v>7558</v>
      </c>
      <c r="AD3860" s="249" t="str">
        <f>HYPERLINK("https://scontent.cdninstagram.com/t51.2885-15/s320x320/e35/21294796_1978947185724721_157497674809999360_n.jpg")</f>
        <v>https://scontent.cdninstagram.com/t51.2885-15/s320x320/e35/21294796_1978947185724721_157497674809999360_n.jpg</v>
      </c>
      <c r="AE3860" s="249" t="str">
        <f>HYPERLINK("https://scontent.cdninstagram.com/t51.2885-19/s150x150/19955745_1435072766568917_8173761520967090176_a.jpg")</f>
        <v>https://scontent.cdninstagram.com/t51.2885-19/s150x150/19955745_1435072766568917_8173761520967090176_a.jpg</v>
      </c>
    </row>
    <row r="3861" spans="1:31" ht="15" x14ac:dyDescent="0.25">
      <c r="A3861" t="s">
        <v>2474</v>
      </c>
      <c r="B3861" t="s">
        <v>21551</v>
      </c>
      <c r="C3861" s="221">
        <v>42978.389884259261</v>
      </c>
      <c r="D3861" t="s">
        <v>21552</v>
      </c>
      <c r="E3861" s="249" t="str">
        <f>HYPERLINK("https://www.instagram.com/p/BYdawAeBodk/")</f>
        <v>https://www.instagram.com/p/BYdawAeBodk/</v>
      </c>
      <c r="F3861" t="s">
        <v>21553</v>
      </c>
      <c r="G3861" t="s">
        <v>2478</v>
      </c>
      <c r="H3861">
        <v>760</v>
      </c>
      <c r="I3861" t="s">
        <v>2479</v>
      </c>
      <c r="J3861">
        <v>6</v>
      </c>
      <c r="K3861">
        <v>68</v>
      </c>
      <c r="L3861">
        <v>74</v>
      </c>
      <c r="Q3861">
        <v>0</v>
      </c>
      <c r="R3861">
        <v>0</v>
      </c>
      <c r="S3861">
        <v>74</v>
      </c>
      <c r="Y3861" t="s">
        <v>3655</v>
      </c>
      <c r="Z3861" t="s">
        <v>5214</v>
      </c>
      <c r="AA3861" t="s">
        <v>21554</v>
      </c>
      <c r="AB3861" t="s">
        <v>21555</v>
      </c>
      <c r="AC3861" t="s">
        <v>6612</v>
      </c>
      <c r="AD3861" s="249" t="str">
        <f>HYPERLINK("https://scontent.cdninstagram.com/t51.2885-15/s320x320/e35/21147939_1883534601964837_6000562211548823552_n.jpg")</f>
        <v>https://scontent.cdninstagram.com/t51.2885-15/s320x320/e35/21147939_1883534601964837_6000562211548823552_n.jpg</v>
      </c>
      <c r="AE3861" s="249" t="str">
        <f>HYPERLINK("https://scontent.cdninstagram.com/t51.2885-19/s150x150/21147766_162531280989833_2684510845269966848_a.jpg")</f>
        <v>https://scontent.cdninstagram.com/t51.2885-19/s150x150/21147766_162531280989833_2684510845269966848_a.jpg</v>
      </c>
    </row>
    <row r="3862" spans="1:31" ht="15" x14ac:dyDescent="0.25">
      <c r="A3862" t="s">
        <v>2474</v>
      </c>
      <c r="B3862" t="s">
        <v>21556</v>
      </c>
      <c r="C3862" s="221">
        <v>42978.391828703701</v>
      </c>
      <c r="D3862" t="s">
        <v>21557</v>
      </c>
      <c r="E3862" s="249" t="str">
        <f>HYPERLINK("https://www.instagram.com/p/BYdbEmbFkzl/")</f>
        <v>https://www.instagram.com/p/BYdbEmbFkzl/</v>
      </c>
      <c r="F3862" t="s">
        <v>21558</v>
      </c>
      <c r="G3862" t="s">
        <v>2478</v>
      </c>
      <c r="H3862">
        <v>2758</v>
      </c>
      <c r="I3862" t="s">
        <v>2903</v>
      </c>
      <c r="J3862">
        <v>9</v>
      </c>
      <c r="K3862">
        <v>116</v>
      </c>
      <c r="L3862">
        <v>125</v>
      </c>
      <c r="Q3862">
        <v>0</v>
      </c>
      <c r="R3862">
        <v>0</v>
      </c>
      <c r="S3862">
        <v>125</v>
      </c>
      <c r="AD3862" s="249" t="str">
        <f>HYPERLINK("https://scontent.cdninstagram.com/t51.2885-15/s320x320/e35/21227368_2056121061338455_5843751508167884800_n.jpg")</f>
        <v>https://scontent.cdninstagram.com/t51.2885-15/s320x320/e35/21227368_2056121061338455_5843751508167884800_n.jpg</v>
      </c>
      <c r="AE3862" s="249" t="str">
        <f>HYPERLINK("https://scontent.cdninstagram.com/t51.2885-19/10864995_1557265031185116_1226871835_a.jpg")</f>
        <v>https://scontent.cdninstagram.com/t51.2885-19/10864995_1557265031185116_1226871835_a.jpg</v>
      </c>
    </row>
    <row r="3863" spans="1:31" ht="15" x14ac:dyDescent="0.25">
      <c r="A3863" t="s">
        <v>2474</v>
      </c>
      <c r="B3863" t="s">
        <v>21559</v>
      </c>
      <c r="C3863" s="221">
        <v>42978.391921296294</v>
      </c>
      <c r="D3863" t="s">
        <v>21560</v>
      </c>
      <c r="E3863" s="249" t="str">
        <f>HYPERLINK("https://www.instagram.com/p/BYdbFjxjR8A/")</f>
        <v>https://www.instagram.com/p/BYdbFjxjR8A/</v>
      </c>
      <c r="F3863" t="s">
        <v>21561</v>
      </c>
      <c r="G3863" t="s">
        <v>2478</v>
      </c>
      <c r="H3863">
        <v>117</v>
      </c>
      <c r="I3863" t="s">
        <v>2479</v>
      </c>
      <c r="J3863">
        <v>0</v>
      </c>
      <c r="K3863">
        <v>14</v>
      </c>
      <c r="L3863">
        <v>14</v>
      </c>
      <c r="Q3863">
        <v>0</v>
      </c>
      <c r="R3863">
        <v>0</v>
      </c>
      <c r="S3863">
        <v>14</v>
      </c>
      <c r="Y3863" t="s">
        <v>21562</v>
      </c>
      <c r="Z3863" t="s">
        <v>2730</v>
      </c>
      <c r="AA3863" t="s">
        <v>2635</v>
      </c>
      <c r="AB3863" t="s">
        <v>4993</v>
      </c>
      <c r="AC3863" t="s">
        <v>3110</v>
      </c>
      <c r="AD3863" s="249" t="str">
        <f>HYPERLINK("https://scontent.cdninstagram.com/t51.2885-15/s320x320/e35/21149866_115138715858772_3904985678567440384_n.jpg")</f>
        <v>https://scontent.cdninstagram.com/t51.2885-15/s320x320/e35/21149866_115138715858772_3904985678567440384_n.jpg</v>
      </c>
      <c r="AE3863" s="249" t="str">
        <f>HYPERLINK("https://scontent.cdninstagram.com/t51.2885-19/s150x150/19228670_1410563975691703_3675233837656309760_a.jpg")</f>
        <v>https://scontent.cdninstagram.com/t51.2885-19/s150x150/19228670_1410563975691703_3675233837656309760_a.jpg</v>
      </c>
    </row>
    <row r="3864" spans="1:31" ht="15" x14ac:dyDescent="0.25">
      <c r="A3864" t="s">
        <v>2474</v>
      </c>
      <c r="B3864" t="s">
        <v>21563</v>
      </c>
      <c r="C3864" s="221">
        <v>42978.393472222226</v>
      </c>
      <c r="D3864" t="s">
        <v>21564</v>
      </c>
      <c r="E3864" s="249" t="str">
        <f>HYPERLINK("https://www.instagram.com/p/BYdbV8vlxmu/")</f>
        <v>https://www.instagram.com/p/BYdbV8vlxmu/</v>
      </c>
      <c r="F3864" t="s">
        <v>21565</v>
      </c>
      <c r="G3864" t="s">
        <v>2478</v>
      </c>
      <c r="H3864">
        <v>1921</v>
      </c>
      <c r="I3864" t="s">
        <v>2479</v>
      </c>
      <c r="J3864">
        <v>0</v>
      </c>
      <c r="K3864">
        <v>110</v>
      </c>
      <c r="L3864">
        <v>110</v>
      </c>
      <c r="Q3864">
        <v>0</v>
      </c>
      <c r="R3864">
        <v>0</v>
      </c>
      <c r="S3864">
        <v>110</v>
      </c>
      <c r="Y3864" t="s">
        <v>2497</v>
      </c>
      <c r="AD3864" s="249" t="str">
        <f>HYPERLINK("https://scontent.cdninstagram.com/t51.2885-15/s320x320/e35/21294804_1944678122457191_6540250815368527872_n.jpg")</f>
        <v>https://scontent.cdninstagram.com/t51.2885-15/s320x320/e35/21294804_1944678122457191_6540250815368527872_n.jpg</v>
      </c>
      <c r="AE3864" s="249" t="str">
        <f>HYPERLINK("https://scontent.cdninstagram.com/t51.2885-19/s150x150/18812150_1666673900308678_2237334200623562752_a.jpg")</f>
        <v>https://scontent.cdninstagram.com/t51.2885-19/s150x150/18812150_1666673900308678_2237334200623562752_a.jpg</v>
      </c>
    </row>
    <row r="3865" spans="1:31" ht="15" x14ac:dyDescent="0.25">
      <c r="A3865" t="s">
        <v>2474</v>
      </c>
      <c r="B3865" t="s">
        <v>3015</v>
      </c>
      <c r="C3865" s="221">
        <v>42978.415173611109</v>
      </c>
      <c r="D3865" t="s">
        <v>21566</v>
      </c>
      <c r="E3865" s="249" t="str">
        <f>HYPERLINK("https://www.instagram.com/p/BYde6vQgrut/")</f>
        <v>https://www.instagram.com/p/BYde6vQgrut/</v>
      </c>
      <c r="F3865" t="s">
        <v>21567</v>
      </c>
      <c r="G3865" t="s">
        <v>2478</v>
      </c>
      <c r="H3865">
        <v>248</v>
      </c>
      <c r="I3865" t="s">
        <v>2479</v>
      </c>
      <c r="J3865">
        <v>0</v>
      </c>
      <c r="K3865">
        <v>35</v>
      </c>
      <c r="L3865">
        <v>35</v>
      </c>
      <c r="Q3865">
        <v>0</v>
      </c>
      <c r="R3865">
        <v>0</v>
      </c>
      <c r="S3865">
        <v>35</v>
      </c>
      <c r="Y3865" t="s">
        <v>3727</v>
      </c>
      <c r="Z3865" t="s">
        <v>3021</v>
      </c>
      <c r="AA3865" t="s">
        <v>3493</v>
      </c>
      <c r="AB3865" t="s">
        <v>10468</v>
      </c>
      <c r="AC3865" t="s">
        <v>3165</v>
      </c>
      <c r="AD3865" s="249" t="str">
        <f>HYPERLINK("https://scontent.cdninstagram.com/t51.2885-15/s320x320/e35/21227209_1305513772910140_6110151364417945600_n.jpg")</f>
        <v>https://scontent.cdninstagram.com/t51.2885-15/s320x320/e35/21227209_1305513772910140_6110151364417945600_n.jpg</v>
      </c>
      <c r="AE3865" s="249" t="str">
        <f>HYPERLINK("https://scontent.cdninstagram.com/t51.2885-19/s150x150/21373025_723410537866046_6184601968204316672_a.jpg")</f>
        <v>https://scontent.cdninstagram.com/t51.2885-19/s150x150/21373025_723410537866046_6184601968204316672_a.jpg</v>
      </c>
    </row>
    <row r="3866" spans="1:31" ht="15" x14ac:dyDescent="0.25">
      <c r="A3866" t="s">
        <v>2474</v>
      </c>
      <c r="B3866" t="s">
        <v>3761</v>
      </c>
      <c r="C3866" s="221">
        <v>42978.415243055555</v>
      </c>
      <c r="D3866" t="s">
        <v>21568</v>
      </c>
      <c r="E3866" s="249" t="str">
        <f>HYPERLINK("https://www.instagram.com/p/BYde7jnH31n/")</f>
        <v>https://www.instagram.com/p/BYde7jnH31n/</v>
      </c>
      <c r="F3866" t="s">
        <v>21569</v>
      </c>
      <c r="G3866" t="s">
        <v>2478</v>
      </c>
      <c r="H3866">
        <v>35527</v>
      </c>
      <c r="I3866" t="s">
        <v>2479</v>
      </c>
      <c r="J3866">
        <v>0</v>
      </c>
      <c r="K3866">
        <v>16</v>
      </c>
      <c r="L3866">
        <v>16</v>
      </c>
      <c r="Q3866">
        <v>0</v>
      </c>
      <c r="R3866">
        <v>0</v>
      </c>
      <c r="S3866">
        <v>16</v>
      </c>
      <c r="Y3866" t="s">
        <v>6243</v>
      </c>
      <c r="Z3866" t="s">
        <v>8783</v>
      </c>
      <c r="AA3866" t="s">
        <v>4802</v>
      </c>
      <c r="AB3866" t="s">
        <v>16557</v>
      </c>
      <c r="AC3866" t="s">
        <v>2575</v>
      </c>
      <c r="AD3866" s="249" t="str">
        <f>HYPERLINK("https://scontent.cdninstagram.com/t51.2885-15/s320x320/e35/21224158_126893844604760_7918858480419602432_n.jpg")</f>
        <v>https://scontent.cdninstagram.com/t51.2885-15/s320x320/e35/21224158_126893844604760_7918858480419602432_n.jpg</v>
      </c>
      <c r="AE3866" s="249" t="str">
        <f>HYPERLINK("https://scontent.cdninstagram.com/t51.2885-19/s150x150/19985865_1705783593058831_5928851088227696640_n.jpg")</f>
        <v>https://scontent.cdninstagram.com/t51.2885-19/s150x150/19985865_1705783593058831_5928851088227696640_n.jpg</v>
      </c>
    </row>
    <row r="3867" spans="1:31" ht="15" x14ac:dyDescent="0.25">
      <c r="A3867" t="s">
        <v>2474</v>
      </c>
      <c r="B3867" t="s">
        <v>21570</v>
      </c>
      <c r="C3867" s="221">
        <v>42978.416539351849</v>
      </c>
      <c r="D3867" t="s">
        <v>21571</v>
      </c>
      <c r="E3867" s="249" t="str">
        <f>HYPERLINK("https://www.instagram.com/p/BYdfJO4A_W6/")</f>
        <v>https://www.instagram.com/p/BYdfJO4A_W6/</v>
      </c>
      <c r="F3867" t="s">
        <v>21572</v>
      </c>
      <c r="G3867" t="s">
        <v>2478</v>
      </c>
      <c r="H3867">
        <v>219</v>
      </c>
      <c r="I3867" t="s">
        <v>2542</v>
      </c>
      <c r="J3867">
        <v>0</v>
      </c>
      <c r="K3867">
        <v>10</v>
      </c>
      <c r="L3867">
        <v>10</v>
      </c>
      <c r="Q3867">
        <v>0</v>
      </c>
      <c r="R3867">
        <v>0</v>
      </c>
      <c r="S3867">
        <v>10</v>
      </c>
      <c r="Y3867" t="s">
        <v>2497</v>
      </c>
      <c r="AD3867" s="249" t="str">
        <f>HYPERLINK("https://scontent.cdninstagram.com/t51.2885-15/e35/p320x320/21294864_1964435913802111_7203417744673341440_n.jpg")</f>
        <v>https://scontent.cdninstagram.com/t51.2885-15/e35/p320x320/21294864_1964435913802111_7203417744673341440_n.jpg</v>
      </c>
      <c r="AE3867" s="249" t="str">
        <f>HYPERLINK("https://scontent.cdninstagram.com/t51.2885-19/s150x150/18444883_611855139003990_6890437310240784384_a.jpg")</f>
        <v>https://scontent.cdninstagram.com/t51.2885-19/s150x150/18444883_611855139003990_6890437310240784384_a.jpg</v>
      </c>
    </row>
    <row r="3868" spans="1:31" ht="15" x14ac:dyDescent="0.25">
      <c r="A3868" t="s">
        <v>2474</v>
      </c>
      <c r="B3868" t="s">
        <v>6787</v>
      </c>
      <c r="C3868" s="221">
        <v>42978.416828703703</v>
      </c>
      <c r="D3868" t="s">
        <v>21573</v>
      </c>
      <c r="E3868" s="249" t="str">
        <f>HYPERLINK("https://www.instagram.com/p/BYdfMMuj9j4/")</f>
        <v>https://www.instagram.com/p/BYdfMMuj9j4/</v>
      </c>
      <c r="F3868" t="s">
        <v>21466</v>
      </c>
      <c r="G3868" t="s">
        <v>2478</v>
      </c>
      <c r="H3868">
        <v>34089</v>
      </c>
      <c r="I3868" t="s">
        <v>2479</v>
      </c>
      <c r="J3868">
        <v>0</v>
      </c>
      <c r="K3868">
        <v>57</v>
      </c>
      <c r="L3868">
        <v>57</v>
      </c>
      <c r="Q3868">
        <v>0</v>
      </c>
      <c r="R3868">
        <v>0</v>
      </c>
      <c r="S3868">
        <v>57</v>
      </c>
      <c r="Y3868" t="s">
        <v>6243</v>
      </c>
      <c r="Z3868" t="s">
        <v>8783</v>
      </c>
      <c r="AA3868" t="s">
        <v>4802</v>
      </c>
      <c r="AB3868" t="s">
        <v>16557</v>
      </c>
      <c r="AC3868" t="s">
        <v>2575</v>
      </c>
      <c r="AD3868" s="249" t="str">
        <f>HYPERLINK("https://scontent.cdninstagram.com/t51.2885-15/s320x320/e35/21224395_1914408998811985_1858249997552713728_n.jpg")</f>
        <v>https://scontent.cdninstagram.com/t51.2885-15/s320x320/e35/21224395_1914408998811985_1858249997552713728_n.jpg</v>
      </c>
      <c r="AE3868" s="249" t="str">
        <f>HYPERLINK("https://scontent.cdninstagram.com/t51.2885-19/s150x150/21041699_664700420390838_1827127633733746688_a.jpg")</f>
        <v>https://scontent.cdninstagram.com/t51.2885-19/s150x150/21041699_664700420390838_1827127633733746688_a.jpg</v>
      </c>
    </row>
    <row r="3869" spans="1:31" ht="15" x14ac:dyDescent="0.25">
      <c r="A3869" t="s">
        <v>2474</v>
      </c>
      <c r="B3869" t="s">
        <v>20602</v>
      </c>
      <c r="C3869" s="221">
        <v>42978.427557870367</v>
      </c>
      <c r="D3869" t="s">
        <v>21574</v>
      </c>
      <c r="E3869" s="249" t="str">
        <f>HYPERLINK("https://www.instagram.com/p/BYdg9cFj2-7/")</f>
        <v>https://www.instagram.com/p/BYdg9cFj2-7/</v>
      </c>
      <c r="F3869" t="s">
        <v>21575</v>
      </c>
      <c r="G3869" t="s">
        <v>2478</v>
      </c>
      <c r="H3869">
        <v>94</v>
      </c>
      <c r="I3869" t="s">
        <v>2786</v>
      </c>
      <c r="J3869">
        <v>0</v>
      </c>
      <c r="K3869">
        <v>24</v>
      </c>
      <c r="L3869">
        <v>24</v>
      </c>
      <c r="Q3869">
        <v>0</v>
      </c>
      <c r="R3869">
        <v>0</v>
      </c>
      <c r="S3869">
        <v>24</v>
      </c>
      <c r="Y3869" t="s">
        <v>21576</v>
      </c>
      <c r="Z3869" t="s">
        <v>21577</v>
      </c>
      <c r="AA3869" t="s">
        <v>20607</v>
      </c>
      <c r="AB3869" t="s">
        <v>2497</v>
      </c>
      <c r="AC3869" t="s">
        <v>9836</v>
      </c>
      <c r="AD3869" s="249" t="str">
        <f>HYPERLINK("https://scontent.cdninstagram.com/t51.2885-15/s320x320/e35/21149026_1914202988905709_6020312193457717248_n.jpg")</f>
        <v>https://scontent.cdninstagram.com/t51.2885-15/s320x320/e35/21149026_1914202988905709_6020312193457717248_n.jpg</v>
      </c>
      <c r="AE3869" s="249" t="str">
        <f>HYPERLINK("https://scontent.cdninstagram.com/t51.2885-19/s150x150/20347409_701425280047023_4469101509451186176_a.jpg")</f>
        <v>https://scontent.cdninstagram.com/t51.2885-19/s150x150/20347409_701425280047023_4469101509451186176_a.jpg</v>
      </c>
    </row>
    <row r="3870" spans="1:31" ht="15" x14ac:dyDescent="0.25">
      <c r="A3870" t="s">
        <v>2474</v>
      </c>
      <c r="B3870" t="s">
        <v>21578</v>
      </c>
      <c r="C3870" s="221">
        <v>42978.428842592592</v>
      </c>
      <c r="D3870" t="s">
        <v>21579</v>
      </c>
      <c r="E3870" s="249" t="str">
        <f>HYPERLINK("https://www.instagram.com/p/BYdhK55AsSJ/")</f>
        <v>https://www.instagram.com/p/BYdhK55AsSJ/</v>
      </c>
      <c r="F3870" t="s">
        <v>21580</v>
      </c>
      <c r="G3870" t="s">
        <v>2478</v>
      </c>
      <c r="H3870">
        <v>74</v>
      </c>
      <c r="I3870" t="s">
        <v>2479</v>
      </c>
      <c r="J3870">
        <v>0</v>
      </c>
      <c r="K3870">
        <v>7</v>
      </c>
      <c r="L3870">
        <v>7</v>
      </c>
      <c r="Q3870">
        <v>0</v>
      </c>
      <c r="R3870">
        <v>0</v>
      </c>
      <c r="S3870">
        <v>7</v>
      </c>
      <c r="Y3870" t="s">
        <v>4582</v>
      </c>
      <c r="Z3870" t="s">
        <v>2497</v>
      </c>
      <c r="AA3870" t="s">
        <v>21581</v>
      </c>
      <c r="AD3870" s="249" t="str">
        <f>HYPERLINK("https://scontent.cdninstagram.com/t51.2885-15/e35/p320x320/21149853_343210816134516_875679566058749952_n.jpg")</f>
        <v>https://scontent.cdninstagram.com/t51.2885-15/e35/p320x320/21149853_343210816134516_875679566058749952_n.jpg</v>
      </c>
      <c r="AE3870" s="249" t="str">
        <f>HYPERLINK("https://scontent.cdninstagram.com/t51.2885-19/s150x150/19428678_332953863800521_2093607535289303040_a.jpg")</f>
        <v>https://scontent.cdninstagram.com/t51.2885-19/s150x150/19428678_332953863800521_2093607535289303040_a.jpg</v>
      </c>
    </row>
    <row r="3871" spans="1:31" ht="15" x14ac:dyDescent="0.25">
      <c r="A3871" t="s">
        <v>2474</v>
      </c>
      <c r="B3871" t="s">
        <v>21582</v>
      </c>
      <c r="C3871" s="221">
        <v>42978.42895833333</v>
      </c>
      <c r="D3871" t="s">
        <v>21583</v>
      </c>
      <c r="E3871" s="249" t="str">
        <f>HYPERLINK("https://www.instagram.com/p/BYdhMLSgGx4/")</f>
        <v>https://www.instagram.com/p/BYdhMLSgGx4/</v>
      </c>
      <c r="F3871" t="s">
        <v>21584</v>
      </c>
      <c r="G3871" t="s">
        <v>2478</v>
      </c>
      <c r="H3871">
        <v>185</v>
      </c>
      <c r="I3871" t="s">
        <v>2519</v>
      </c>
      <c r="J3871">
        <v>2</v>
      </c>
      <c r="K3871">
        <v>20</v>
      </c>
      <c r="L3871">
        <v>22</v>
      </c>
      <c r="Q3871">
        <v>0</v>
      </c>
      <c r="R3871">
        <v>0</v>
      </c>
      <c r="S3871">
        <v>22</v>
      </c>
      <c r="T3871" t="s">
        <v>21585</v>
      </c>
      <c r="V3871" t="s">
        <v>2181</v>
      </c>
      <c r="W3871">
        <v>32.203099999999999</v>
      </c>
      <c r="X3871">
        <v>34.822800000000001</v>
      </c>
      <c r="Y3871" t="s">
        <v>3316</v>
      </c>
      <c r="Z3871" t="s">
        <v>21586</v>
      </c>
      <c r="AA3871" t="s">
        <v>4218</v>
      </c>
      <c r="AB3871" t="s">
        <v>7773</v>
      </c>
      <c r="AC3871" t="s">
        <v>2497</v>
      </c>
      <c r="AD3871" s="249" t="str">
        <f>HYPERLINK("https://scontent.cdninstagram.com/t51.2885-15/s320x320/e35/21148974_193485454525196_2971645845847408640_n.jpg")</f>
        <v>https://scontent.cdninstagram.com/t51.2885-15/s320x320/e35/21148974_193485454525196_2971645845847408640_n.jpg</v>
      </c>
      <c r="AE3871" s="249" t="str">
        <f>HYPERLINK("https://scontent.cdninstagram.com/t51.2885-19/s150x150/15276580_199699127156360_4471755245189332992_a.jpg")</f>
        <v>https://scontent.cdninstagram.com/t51.2885-19/s150x150/15276580_199699127156360_4471755245189332992_a.jpg</v>
      </c>
    </row>
    <row r="3872" spans="1:31" ht="15" x14ac:dyDescent="0.25">
      <c r="A3872" t="s">
        <v>2474</v>
      </c>
      <c r="B3872" t="s">
        <v>21587</v>
      </c>
      <c r="C3872" s="221">
        <v>42978.429097222222</v>
      </c>
      <c r="D3872" t="s">
        <v>21588</v>
      </c>
      <c r="E3872" s="249" t="str">
        <f>HYPERLINK("https://www.instagram.com/p/BYdhNlZhp60/")</f>
        <v>https://www.instagram.com/p/BYdhNlZhp60/</v>
      </c>
      <c r="F3872" t="s">
        <v>21589</v>
      </c>
      <c r="G3872" t="s">
        <v>2478</v>
      </c>
      <c r="H3872">
        <v>2438</v>
      </c>
      <c r="I3872" t="s">
        <v>2479</v>
      </c>
      <c r="J3872">
        <v>2</v>
      </c>
      <c r="K3872">
        <v>64</v>
      </c>
      <c r="L3872">
        <v>66</v>
      </c>
      <c r="Q3872">
        <v>0</v>
      </c>
      <c r="R3872">
        <v>0</v>
      </c>
      <c r="S3872">
        <v>66</v>
      </c>
      <c r="Y3872" t="s">
        <v>21590</v>
      </c>
      <c r="Z3872" t="s">
        <v>8400</v>
      </c>
      <c r="AA3872" t="s">
        <v>21591</v>
      </c>
      <c r="AB3872" t="s">
        <v>8573</v>
      </c>
      <c r="AC3872" t="s">
        <v>21592</v>
      </c>
      <c r="AD3872" s="249" t="str">
        <f>HYPERLINK("https://scontent.cdninstagram.com/t51.2885-15/e35/p320x320/21294671_821060798266780_7131440591077900288_n.jpg")</f>
        <v>https://scontent.cdninstagram.com/t51.2885-15/e35/p320x320/21294671_821060798266780_7131440591077900288_n.jpg</v>
      </c>
      <c r="AE3872" s="249" t="str">
        <f>HYPERLINK("https://scontent.cdninstagram.com/t51.2885-19/927767_1424006281155306_1917111748_a.jpg")</f>
        <v>https://scontent.cdninstagram.com/t51.2885-19/927767_1424006281155306_1917111748_a.jpg</v>
      </c>
    </row>
    <row r="3873" spans="1:31" ht="15" x14ac:dyDescent="0.25">
      <c r="A3873" t="s">
        <v>2474</v>
      </c>
      <c r="B3873" t="s">
        <v>21593</v>
      </c>
      <c r="C3873" s="221">
        <v>42978.431770833333</v>
      </c>
      <c r="D3873" t="s">
        <v>21594</v>
      </c>
      <c r="E3873" s="249" t="str">
        <f>HYPERLINK("https://www.instagram.com/p/BYdhp4cARv2/")</f>
        <v>https://www.instagram.com/p/BYdhp4cARv2/</v>
      </c>
      <c r="F3873" t="s">
        <v>21595</v>
      </c>
      <c r="G3873" t="s">
        <v>2478</v>
      </c>
      <c r="H3873">
        <v>319</v>
      </c>
      <c r="I3873" t="s">
        <v>2510</v>
      </c>
      <c r="J3873">
        <v>0</v>
      </c>
      <c r="K3873">
        <v>11</v>
      </c>
      <c r="L3873">
        <v>11</v>
      </c>
      <c r="Q3873">
        <v>0</v>
      </c>
      <c r="R3873">
        <v>0</v>
      </c>
      <c r="S3873">
        <v>11</v>
      </c>
      <c r="Y3873" t="s">
        <v>13281</v>
      </c>
      <c r="Z3873" t="s">
        <v>2492</v>
      </c>
      <c r="AA3873" t="s">
        <v>5168</v>
      </c>
      <c r="AB3873" t="s">
        <v>21596</v>
      </c>
      <c r="AC3873" t="s">
        <v>2497</v>
      </c>
      <c r="AD3873" s="249" t="str">
        <f>HYPERLINK("https://scontent.cdninstagram.com/t51.2885-15/s320x320/e35/21224609_1224269021012537_5308194916290002944_n.jpg")</f>
        <v>https://scontent.cdninstagram.com/t51.2885-15/s320x320/e35/21224609_1224269021012537_5308194916290002944_n.jpg</v>
      </c>
      <c r="AE3873" s="249" t="str">
        <f>HYPERLINK("https://scontent.cdninstagram.com/t51.2885-19/s150x150/15306788_224439241315359_2423074863112519680_a.jpg")</f>
        <v>https://scontent.cdninstagram.com/t51.2885-19/s150x150/15306788_224439241315359_2423074863112519680_a.jpg</v>
      </c>
    </row>
    <row r="3874" spans="1:31" ht="15" x14ac:dyDescent="0.25">
      <c r="A3874" t="s">
        <v>2474</v>
      </c>
      <c r="B3874" t="s">
        <v>21597</v>
      </c>
      <c r="C3874" s="221">
        <v>42978.432384259257</v>
      </c>
      <c r="D3874" t="s">
        <v>21598</v>
      </c>
      <c r="E3874" s="249" t="str">
        <f>HYPERLINK("https://www.instagram.com/p/BYdhwRclqB0/")</f>
        <v>https://www.instagram.com/p/BYdhwRclqB0/</v>
      </c>
      <c r="F3874" t="s">
        <v>21599</v>
      </c>
      <c r="G3874" t="s">
        <v>2478</v>
      </c>
      <c r="H3874">
        <v>131</v>
      </c>
      <c r="I3874" t="s">
        <v>2479</v>
      </c>
      <c r="J3874">
        <v>1</v>
      </c>
      <c r="K3874">
        <v>37</v>
      </c>
      <c r="L3874">
        <v>38</v>
      </c>
      <c r="Q3874">
        <v>0</v>
      </c>
      <c r="R3874">
        <v>0</v>
      </c>
      <c r="S3874">
        <v>38</v>
      </c>
      <c r="Y3874" t="s">
        <v>3247</v>
      </c>
      <c r="Z3874" t="s">
        <v>18135</v>
      </c>
      <c r="AA3874" t="s">
        <v>2951</v>
      </c>
      <c r="AB3874" t="s">
        <v>11860</v>
      </c>
      <c r="AC3874" t="s">
        <v>4987</v>
      </c>
      <c r="AD3874" s="249" t="str">
        <f>HYPERLINK("https://scontent.cdninstagram.com/t51.2885-15/s320x320/e35/21224209_513582542319539_2924066932581728256_n.jpg")</f>
        <v>https://scontent.cdninstagram.com/t51.2885-15/s320x320/e35/21224209_513582542319539_2924066932581728256_n.jpg</v>
      </c>
      <c r="AE3874" s="249" t="str">
        <f>HYPERLINK("https://scontent.cdninstagram.com/t51.2885-19/s150x150/20688488_121551228483201_2693806434398765056_a.jpg")</f>
        <v>https://scontent.cdninstagram.com/t51.2885-19/s150x150/20688488_121551228483201_2693806434398765056_a.jpg</v>
      </c>
    </row>
    <row r="3875" spans="1:31" ht="15" x14ac:dyDescent="0.25">
      <c r="A3875" t="s">
        <v>2474</v>
      </c>
      <c r="B3875" t="s">
        <v>9202</v>
      </c>
      <c r="C3875" s="221">
        <v>42978.442060185182</v>
      </c>
      <c r="D3875" t="s">
        <v>21600</v>
      </c>
      <c r="E3875" s="249" t="str">
        <f>HYPERLINK("https://www.instagram.com/p/BYdjWXwnltO/")</f>
        <v>https://www.instagram.com/p/BYdjWXwnltO/</v>
      </c>
      <c r="F3875" t="s">
        <v>21601</v>
      </c>
      <c r="G3875" t="s">
        <v>2478</v>
      </c>
      <c r="H3875">
        <v>1309</v>
      </c>
      <c r="I3875" t="s">
        <v>13274</v>
      </c>
      <c r="J3875">
        <v>6</v>
      </c>
      <c r="K3875">
        <v>117</v>
      </c>
      <c r="L3875">
        <v>123</v>
      </c>
      <c r="Q3875">
        <v>0</v>
      </c>
      <c r="R3875">
        <v>0</v>
      </c>
      <c r="S3875">
        <v>123</v>
      </c>
      <c r="T3875" t="s">
        <v>9284</v>
      </c>
      <c r="V3875" t="s">
        <v>2182</v>
      </c>
      <c r="W3875">
        <v>45.438600000000001</v>
      </c>
      <c r="X3875">
        <v>12.326700000000001</v>
      </c>
      <c r="AD3875" s="249" t="str">
        <f>HYPERLINK("https://scontent.cdninstagram.com/t51.2885-15/e35/p320x320/21149827_292518351227748_1544824557263650816_n.jpg")</f>
        <v>https://scontent.cdninstagram.com/t51.2885-15/e35/p320x320/21149827_292518351227748_1544824557263650816_n.jpg</v>
      </c>
      <c r="AE3875" s="249" t="str">
        <f>HYPERLINK("https://scontent.cdninstagram.com/t51.2885-19/s150x150/21107631_113930275955600_738991162416693248_a.jpg")</f>
        <v>https://scontent.cdninstagram.com/t51.2885-19/s150x150/21107631_113930275955600_738991162416693248_a.jpg</v>
      </c>
    </row>
    <row r="3876" spans="1:31" ht="15" x14ac:dyDescent="0.25">
      <c r="A3876" t="s">
        <v>2474</v>
      </c>
      <c r="B3876" t="s">
        <v>21602</v>
      </c>
      <c r="C3876" s="221">
        <v>42978.444687499999</v>
      </c>
      <c r="D3876" t="s">
        <v>21603</v>
      </c>
      <c r="E3876" s="249" t="str">
        <f>HYPERLINK("https://www.instagram.com/p/BYdjyFtg23p/")</f>
        <v>https://www.instagram.com/p/BYdjyFtg23p/</v>
      </c>
      <c r="F3876" t="s">
        <v>21604</v>
      </c>
      <c r="G3876" t="s">
        <v>2478</v>
      </c>
      <c r="H3876">
        <v>219</v>
      </c>
      <c r="I3876" t="s">
        <v>2479</v>
      </c>
      <c r="J3876">
        <v>0</v>
      </c>
      <c r="K3876">
        <v>19</v>
      </c>
      <c r="L3876">
        <v>19</v>
      </c>
      <c r="Q3876">
        <v>0</v>
      </c>
      <c r="R3876">
        <v>0</v>
      </c>
      <c r="S3876">
        <v>19</v>
      </c>
      <c r="Y3876" t="s">
        <v>2497</v>
      </c>
      <c r="Z3876" t="s">
        <v>21605</v>
      </c>
      <c r="AA3876" t="s">
        <v>21606</v>
      </c>
      <c r="AB3876" t="s">
        <v>21607</v>
      </c>
      <c r="AC3876" t="s">
        <v>21608</v>
      </c>
      <c r="AD3876" s="249" t="str">
        <f>HYPERLINK("https://scontent.cdninstagram.com/t51.2885-15/s320x320/e35/21148175_118865662174584_8068638348106792960_n.jpg")</f>
        <v>https://scontent.cdninstagram.com/t51.2885-15/s320x320/e35/21148175_118865662174584_8068638348106792960_n.jpg</v>
      </c>
      <c r="AE3876" s="249" t="str">
        <f>HYPERLINK("https://scontent.cdninstagram.com/t51.2885-19/s150x150/16230179_219358838468699_4703593602687696896_a.jpg")</f>
        <v>https://scontent.cdninstagram.com/t51.2885-19/s150x150/16230179_219358838468699_4703593602687696896_a.jpg</v>
      </c>
    </row>
    <row r="3877" spans="1:31" ht="15" x14ac:dyDescent="0.25">
      <c r="A3877" t="s">
        <v>2474</v>
      </c>
      <c r="B3877" t="s">
        <v>7185</v>
      </c>
      <c r="C3877" s="221">
        <v>42978.445543981485</v>
      </c>
      <c r="D3877" t="s">
        <v>21609</v>
      </c>
      <c r="E3877" s="249" t="str">
        <f>HYPERLINK("https://www.instagram.com/p/BYdj7IQBm-f/")</f>
        <v>https://www.instagram.com/p/BYdj7IQBm-f/</v>
      </c>
      <c r="F3877" t="s">
        <v>21610</v>
      </c>
      <c r="G3877" t="s">
        <v>2478</v>
      </c>
      <c r="H3877">
        <v>474</v>
      </c>
      <c r="I3877" t="s">
        <v>3025</v>
      </c>
      <c r="J3877">
        <v>5</v>
      </c>
      <c r="K3877">
        <v>118</v>
      </c>
      <c r="L3877">
        <v>123</v>
      </c>
      <c r="Q3877">
        <v>0</v>
      </c>
      <c r="R3877">
        <v>0</v>
      </c>
      <c r="S3877">
        <v>123</v>
      </c>
      <c r="T3877" t="s">
        <v>21611</v>
      </c>
      <c r="V3877" t="s">
        <v>2212</v>
      </c>
      <c r="W3877">
        <v>20.727319512293999</v>
      </c>
      <c r="X3877">
        <v>-103.31015861413999</v>
      </c>
      <c r="Y3877" t="s">
        <v>13366</v>
      </c>
      <c r="Z3877" t="s">
        <v>21612</v>
      </c>
      <c r="AD3877" s="249" t="str">
        <f>HYPERLINK("https://scontent.cdninstagram.com/t51.2885-15/s320x320/e35/21149168_1954235031504751_9045748587677351936_n.jpg")</f>
        <v>https://scontent.cdninstagram.com/t51.2885-15/s320x320/e35/21149168_1954235031504751_9045748587677351936_n.jpg</v>
      </c>
      <c r="AE3877" s="249" t="str">
        <f>HYPERLINK("https://scontent.cdninstagram.com/t51.2885-19/s150x150/17882752_1488967831123186_392500985118851072_a.jpg")</f>
        <v>https://scontent.cdninstagram.com/t51.2885-19/s150x150/17882752_1488967831123186_392500985118851072_a.jpg</v>
      </c>
    </row>
    <row r="3878" spans="1:31" ht="15" x14ac:dyDescent="0.25">
      <c r="A3878" t="s">
        <v>2474</v>
      </c>
      <c r="B3878" t="s">
        <v>21613</v>
      </c>
      <c r="C3878" s="221">
        <v>42978.454456018517</v>
      </c>
      <c r="D3878" t="s">
        <v>21614</v>
      </c>
      <c r="E3878" s="249" t="str">
        <f>HYPERLINK("https://www.instagram.com/p/BYdlZDGnMNT/")</f>
        <v>https://www.instagram.com/p/BYdlZDGnMNT/</v>
      </c>
      <c r="F3878" t="s">
        <v>21615</v>
      </c>
      <c r="G3878" t="s">
        <v>2478</v>
      </c>
      <c r="H3878">
        <v>544</v>
      </c>
      <c r="I3878" t="s">
        <v>2479</v>
      </c>
      <c r="J3878">
        <v>8</v>
      </c>
      <c r="K3878">
        <v>122</v>
      </c>
      <c r="L3878">
        <v>130</v>
      </c>
      <c r="Q3878">
        <v>0</v>
      </c>
      <c r="R3878">
        <v>0</v>
      </c>
      <c r="S3878">
        <v>130</v>
      </c>
      <c r="T3878" t="s">
        <v>15078</v>
      </c>
      <c r="V3878" t="s">
        <v>2276</v>
      </c>
      <c r="W3878">
        <v>7.9007462999999998</v>
      </c>
      <c r="X3878">
        <v>98.301485799999995</v>
      </c>
      <c r="Y3878" t="s">
        <v>21616</v>
      </c>
      <c r="Z3878" t="s">
        <v>21617</v>
      </c>
      <c r="AA3878" t="s">
        <v>21618</v>
      </c>
      <c r="AB3878" t="s">
        <v>2497</v>
      </c>
      <c r="AC3878" t="s">
        <v>21619</v>
      </c>
      <c r="AD3878" s="249" t="str">
        <f>HYPERLINK("https://scontent.cdninstagram.com/t51.2885-15/s320x320/e35/21294487_114613159227560_4224868215638982656_n.jpg")</f>
        <v>https://scontent.cdninstagram.com/t51.2885-15/s320x320/e35/21294487_114613159227560_4224868215638982656_n.jpg</v>
      </c>
      <c r="AE3878" s="249" t="str">
        <f>HYPERLINK("https://scontent.cdninstagram.com/t51.2885-19/s150x150/21296559_1726746060954221_3544070359684743168_a.jpg")</f>
        <v>https://scontent.cdninstagram.com/t51.2885-19/s150x150/21296559_1726746060954221_3544070359684743168_a.jpg</v>
      </c>
    </row>
    <row r="3879" spans="1:31" ht="15" x14ac:dyDescent="0.25">
      <c r="A3879" t="s">
        <v>2474</v>
      </c>
      <c r="B3879" t="s">
        <v>21620</v>
      </c>
      <c r="C3879" s="221">
        <v>42978.456990740742</v>
      </c>
      <c r="D3879" t="s">
        <v>21621</v>
      </c>
      <c r="E3879" s="249" t="str">
        <f>HYPERLINK("https://www.instagram.com/p/BYdlz4TgXs4/")</f>
        <v>https://www.instagram.com/p/BYdlz4TgXs4/</v>
      </c>
      <c r="F3879" t="s">
        <v>21622</v>
      </c>
      <c r="G3879" t="s">
        <v>2478</v>
      </c>
      <c r="H3879">
        <v>20</v>
      </c>
      <c r="I3879" t="s">
        <v>2479</v>
      </c>
      <c r="J3879">
        <v>0</v>
      </c>
      <c r="K3879">
        <v>8</v>
      </c>
      <c r="L3879">
        <v>8</v>
      </c>
      <c r="Q3879">
        <v>0</v>
      </c>
      <c r="R3879">
        <v>0</v>
      </c>
      <c r="S3879">
        <v>8</v>
      </c>
      <c r="Y3879" t="s">
        <v>14651</v>
      </c>
      <c r="Z3879" t="s">
        <v>2497</v>
      </c>
      <c r="AA3879" t="s">
        <v>21623</v>
      </c>
      <c r="AD3879" s="249" t="str">
        <f>HYPERLINK("https://scontent.cdninstagram.com/t51.2885-15/s320x320/e35/21147707_2124972914195202_2938786880721780736_n.jpg")</f>
        <v>https://scontent.cdninstagram.com/t51.2885-15/s320x320/e35/21147707_2124972914195202_2938786880721780736_n.jpg</v>
      </c>
      <c r="AE3879" s="249" t="str">
        <f>HYPERLINK("https://scontent.cdninstagram.com/t51.2885-19/s150x150/21294764_135622667054769_3314422731860082688_a.jpg")</f>
        <v>https://scontent.cdninstagram.com/t51.2885-19/s150x150/21294764_135622667054769_3314422731860082688_a.jpg</v>
      </c>
    </row>
    <row r="3880" spans="1:31" ht="15" x14ac:dyDescent="0.25">
      <c r="A3880" t="s">
        <v>2474</v>
      </c>
      <c r="B3880" t="s">
        <v>3754</v>
      </c>
      <c r="C3880" s="221">
        <v>42978.458611111113</v>
      </c>
      <c r="D3880" t="s">
        <v>21624</v>
      </c>
      <c r="E3880" s="249" t="str">
        <f>HYPERLINK("https://www.instagram.com/p/BYdmE6ejNUJ/")</f>
        <v>https://www.instagram.com/p/BYdmE6ejNUJ/</v>
      </c>
      <c r="F3880" t="s">
        <v>21625</v>
      </c>
      <c r="G3880" t="s">
        <v>2478</v>
      </c>
      <c r="H3880">
        <v>201228</v>
      </c>
      <c r="I3880" t="s">
        <v>2479</v>
      </c>
      <c r="J3880">
        <v>0</v>
      </c>
      <c r="K3880">
        <v>118</v>
      </c>
      <c r="L3880">
        <v>118</v>
      </c>
      <c r="Q3880">
        <v>0</v>
      </c>
      <c r="R3880">
        <v>0</v>
      </c>
      <c r="S3880">
        <v>118</v>
      </c>
      <c r="Y3880" t="s">
        <v>21626</v>
      </c>
      <c r="Z3880" t="s">
        <v>6243</v>
      </c>
      <c r="AA3880" t="s">
        <v>8783</v>
      </c>
      <c r="AB3880" t="s">
        <v>4802</v>
      </c>
      <c r="AC3880" t="s">
        <v>16557</v>
      </c>
      <c r="AD3880" s="249" t="str">
        <f>HYPERLINK("https://scontent.cdninstagram.com/t51.2885-15/s320x320/e35/21149789_265296300648957_7900530532117643264_n.jpg")</f>
        <v>https://scontent.cdninstagram.com/t51.2885-15/s320x320/e35/21149789_265296300648957_7900530532117643264_n.jpg</v>
      </c>
      <c r="AE3880" s="249" t="str">
        <f>HYPERLINK("https://scontent.cdninstagram.com/t51.2885-19/s150x150/12905002_1681254462136092_1137392787_a.jpg")</f>
        <v>https://scontent.cdninstagram.com/t51.2885-19/s150x150/12905002_1681254462136092_1137392787_a.jpg</v>
      </c>
    </row>
    <row r="3881" spans="1:31" ht="15" x14ac:dyDescent="0.25">
      <c r="A3881" t="s">
        <v>2474</v>
      </c>
      <c r="B3881" t="s">
        <v>4811</v>
      </c>
      <c r="C3881" s="221">
        <v>42978.46366898148</v>
      </c>
      <c r="D3881" t="s">
        <v>21627</v>
      </c>
      <c r="E3881" s="249" t="str">
        <f>HYPERLINK("https://www.instagram.com/p/BYdm6O2AcGc/")</f>
        <v>https://www.instagram.com/p/BYdm6O2AcGc/</v>
      </c>
      <c r="F3881" t="s">
        <v>21628</v>
      </c>
      <c r="G3881" t="s">
        <v>2631</v>
      </c>
      <c r="H3881">
        <v>999</v>
      </c>
      <c r="I3881" t="s">
        <v>2479</v>
      </c>
      <c r="J3881">
        <v>0</v>
      </c>
      <c r="K3881">
        <v>80</v>
      </c>
      <c r="L3881">
        <v>80</v>
      </c>
      <c r="Q3881">
        <v>0</v>
      </c>
      <c r="R3881">
        <v>0</v>
      </c>
      <c r="S3881">
        <v>80</v>
      </c>
      <c r="Y3881" t="s">
        <v>4036</v>
      </c>
      <c r="Z3881" t="s">
        <v>7339</v>
      </c>
      <c r="AA3881" t="s">
        <v>4073</v>
      </c>
      <c r="AB3881" t="s">
        <v>5964</v>
      </c>
      <c r="AC3881" t="s">
        <v>8501</v>
      </c>
      <c r="AD3881" s="249" t="str">
        <f>HYPERLINK("https://scontent.cdninstagram.com/t51.2885-15/s320x320/e15/21224116_148152792436380_1779274151798767616_n.jpg")</f>
        <v>https://scontent.cdninstagram.com/t51.2885-15/s320x320/e15/21224116_148152792436380_1779274151798767616_n.jpg</v>
      </c>
      <c r="AE3881" s="249" t="str">
        <f>HYPERLINK("https://scontent.cdninstagram.com/t51.2885-19/s150x150/16124251_1913091765603634_8004330562992996352_a.jpg")</f>
        <v>https://scontent.cdninstagram.com/t51.2885-19/s150x150/16124251_1913091765603634_8004330562992996352_a.jpg</v>
      </c>
    </row>
    <row r="3882" spans="1:31" ht="15" x14ac:dyDescent="0.25">
      <c r="A3882" t="s">
        <v>2474</v>
      </c>
      <c r="B3882" t="s">
        <v>21629</v>
      </c>
      <c r="C3882" s="221">
        <v>42978.464699074073</v>
      </c>
      <c r="D3882" t="s">
        <v>21630</v>
      </c>
      <c r="E3882" s="249" t="str">
        <f>HYPERLINK("https://www.instagram.com/p/BYdnFGmAodA/")</f>
        <v>https://www.instagram.com/p/BYdnFGmAodA/</v>
      </c>
      <c r="F3882" t="s">
        <v>21631</v>
      </c>
      <c r="G3882" t="s">
        <v>2478</v>
      </c>
      <c r="H3882">
        <v>604</v>
      </c>
      <c r="I3882" t="s">
        <v>2479</v>
      </c>
      <c r="J3882">
        <v>1</v>
      </c>
      <c r="K3882">
        <v>45</v>
      </c>
      <c r="L3882">
        <v>46</v>
      </c>
      <c r="Q3882">
        <v>0</v>
      </c>
      <c r="R3882">
        <v>0</v>
      </c>
      <c r="S3882">
        <v>46</v>
      </c>
      <c r="Y3882" t="s">
        <v>21632</v>
      </c>
      <c r="Z3882" t="s">
        <v>14881</v>
      </c>
      <c r="AA3882" t="s">
        <v>21633</v>
      </c>
      <c r="AB3882" t="s">
        <v>21634</v>
      </c>
      <c r="AC3882" t="s">
        <v>20976</v>
      </c>
      <c r="AD3882" s="249" t="str">
        <f>HYPERLINK("https://scontent.cdninstagram.com/t51.2885-15/s320x320/e35/21224122_1690762247601921_4275501408997867520_n.jpg")</f>
        <v>https://scontent.cdninstagram.com/t51.2885-15/s320x320/e35/21224122_1690762247601921_4275501408997867520_n.jpg</v>
      </c>
      <c r="AE3882" s="249" t="str">
        <f>HYPERLINK("https://scontent.cdninstagram.com/t51.2885-19/s150x150/12142572_1649060652037744_161585131_a.jpg")</f>
        <v>https://scontent.cdninstagram.com/t51.2885-19/s150x150/12142572_1649060652037744_161585131_a.jpg</v>
      </c>
    </row>
    <row r="3883" spans="1:31" ht="15" x14ac:dyDescent="0.25">
      <c r="A3883" t="s">
        <v>2474</v>
      </c>
      <c r="B3883" t="s">
        <v>21635</v>
      </c>
      <c r="C3883" s="221">
        <v>42978.470752314817</v>
      </c>
      <c r="D3883" t="s">
        <v>21636</v>
      </c>
      <c r="E3883" s="249" t="str">
        <f>HYPERLINK("https://www.instagram.com/p/BYdoE_-hps8/")</f>
        <v>https://www.instagram.com/p/BYdoE_-hps8/</v>
      </c>
      <c r="F3883" t="s">
        <v>21637</v>
      </c>
      <c r="G3883" t="s">
        <v>2478</v>
      </c>
      <c r="H3883">
        <v>2983</v>
      </c>
      <c r="I3883" t="s">
        <v>2903</v>
      </c>
      <c r="J3883">
        <v>1</v>
      </c>
      <c r="K3883">
        <v>23</v>
      </c>
      <c r="L3883">
        <v>24</v>
      </c>
      <c r="Q3883">
        <v>0</v>
      </c>
      <c r="R3883">
        <v>0</v>
      </c>
      <c r="S3883">
        <v>24</v>
      </c>
      <c r="Y3883" t="s">
        <v>15628</v>
      </c>
      <c r="Z3883" t="s">
        <v>21638</v>
      </c>
      <c r="AA3883" t="s">
        <v>3671</v>
      </c>
      <c r="AB3883" t="s">
        <v>21639</v>
      </c>
      <c r="AC3883" t="s">
        <v>8753</v>
      </c>
      <c r="AD3883" s="249" t="str">
        <f>HYPERLINK("https://scontent.cdninstagram.com/t51.2885-15/s320x320/e35/21149407_342793386167566_8049768061399465984_n.jpg")</f>
        <v>https://scontent.cdninstagram.com/t51.2885-15/s320x320/e35/21149407_342793386167566_8049768061399465984_n.jpg</v>
      </c>
      <c r="AE3883" s="249" t="str">
        <f>HYPERLINK("https://scontent.cdninstagram.com/t51.2885-19/s150x150/17586973_1565273460171872_4006043170960834560_a.jpg")</f>
        <v>https://scontent.cdninstagram.com/t51.2885-19/s150x150/17586973_1565273460171872_4006043170960834560_a.jpg</v>
      </c>
    </row>
    <row r="3884" spans="1:31" ht="15" x14ac:dyDescent="0.25">
      <c r="A3884" t="s">
        <v>2474</v>
      </c>
      <c r="B3884" t="s">
        <v>3133</v>
      </c>
      <c r="C3884" s="221">
        <v>42978.475138888891</v>
      </c>
      <c r="D3884" t="s">
        <v>21640</v>
      </c>
      <c r="E3884" s="249" t="str">
        <f>HYPERLINK("https://www.instagram.com/p/BYdozQGgmnB/")</f>
        <v>https://www.instagram.com/p/BYdozQGgmnB/</v>
      </c>
      <c r="F3884" t="s">
        <v>21641</v>
      </c>
      <c r="G3884" t="s">
        <v>2478</v>
      </c>
      <c r="H3884">
        <v>327</v>
      </c>
      <c r="I3884" t="s">
        <v>2479</v>
      </c>
      <c r="J3884">
        <v>10</v>
      </c>
      <c r="K3884">
        <v>55</v>
      </c>
      <c r="L3884">
        <v>65</v>
      </c>
      <c r="Q3884">
        <v>0</v>
      </c>
      <c r="R3884">
        <v>0</v>
      </c>
      <c r="S3884">
        <v>65</v>
      </c>
      <c r="Y3884" t="s">
        <v>21500</v>
      </c>
      <c r="Z3884" t="s">
        <v>3262</v>
      </c>
      <c r="AA3884" t="s">
        <v>4582</v>
      </c>
      <c r="AB3884" t="s">
        <v>21642</v>
      </c>
      <c r="AC3884" t="s">
        <v>5913</v>
      </c>
      <c r="AD3884" s="249" t="str">
        <f>HYPERLINK("https://scontent.cdninstagram.com/t51.2885-15/s320x320/e35/21149811_1379780232139137_7865487176690040832_n.jpg")</f>
        <v>https://scontent.cdninstagram.com/t51.2885-15/s320x320/e35/21149811_1379780232139137_7865487176690040832_n.jpg</v>
      </c>
      <c r="AE3884" s="249" t="str">
        <f>HYPERLINK("https://scontent.cdninstagram.com/t51.2885-19/s150x150/21294933_140781739774378_8954867157003403264_a.jpg")</f>
        <v>https://scontent.cdninstagram.com/t51.2885-19/s150x150/21294933_140781739774378_8954867157003403264_a.jpg</v>
      </c>
    </row>
    <row r="3885" spans="1:31" ht="15" x14ac:dyDescent="0.25">
      <c r="A3885" t="s">
        <v>2474</v>
      </c>
      <c r="B3885" t="s">
        <v>21643</v>
      </c>
      <c r="C3885" s="221">
        <v>42978.477175925924</v>
      </c>
      <c r="D3885" t="s">
        <v>21644</v>
      </c>
      <c r="E3885" s="249" t="str">
        <f>HYPERLINK("https://www.instagram.com/p/BYdpIqKFsZT/")</f>
        <v>https://www.instagram.com/p/BYdpIqKFsZT/</v>
      </c>
      <c r="F3885" t="s">
        <v>21645</v>
      </c>
      <c r="G3885" t="s">
        <v>2478</v>
      </c>
      <c r="H3885">
        <v>153</v>
      </c>
      <c r="I3885" t="s">
        <v>3186</v>
      </c>
      <c r="J3885">
        <v>0</v>
      </c>
      <c r="K3885">
        <v>10</v>
      </c>
      <c r="L3885">
        <v>10</v>
      </c>
      <c r="Q3885">
        <v>0</v>
      </c>
      <c r="R3885">
        <v>0</v>
      </c>
      <c r="S3885">
        <v>10</v>
      </c>
      <c r="Y3885" t="s">
        <v>21646</v>
      </c>
      <c r="Z3885" t="s">
        <v>2497</v>
      </c>
      <c r="AA3885" t="s">
        <v>7182</v>
      </c>
      <c r="AD3885" s="249" t="str">
        <f>HYPERLINK("https://scontent.cdninstagram.com/t51.2885-15/e35/p320x320/21224940_129524807678091_7045942631326547968_n.jpg")</f>
        <v>https://scontent.cdninstagram.com/t51.2885-15/e35/p320x320/21224940_129524807678091_7045942631326547968_n.jpg</v>
      </c>
      <c r="AE3885" s="249" t="str">
        <f>HYPERLINK("https://scontent.cdninstagram.com/t51.2885-19/s150x150/18580642_1070566519709703_1978525265277485056_a.jpg")</f>
        <v>https://scontent.cdninstagram.com/t51.2885-19/s150x150/18580642_1070566519709703_1978525265277485056_a.jpg</v>
      </c>
    </row>
    <row r="3886" spans="1:31" ht="15" x14ac:dyDescent="0.25">
      <c r="A3886" t="s">
        <v>2474</v>
      </c>
      <c r="B3886" t="s">
        <v>21647</v>
      </c>
      <c r="C3886" s="221">
        <v>42978.479629629626</v>
      </c>
      <c r="D3886" t="s">
        <v>21648</v>
      </c>
      <c r="E3886" s="249" t="str">
        <f>HYPERLINK("https://www.instagram.com/p/BYdpipSFtVA/")</f>
        <v>https://www.instagram.com/p/BYdpipSFtVA/</v>
      </c>
      <c r="F3886" t="s">
        <v>21649</v>
      </c>
      <c r="G3886" t="s">
        <v>2478</v>
      </c>
      <c r="H3886">
        <v>1141</v>
      </c>
      <c r="I3886" t="s">
        <v>2479</v>
      </c>
      <c r="J3886">
        <v>1</v>
      </c>
      <c r="K3886">
        <v>65</v>
      </c>
      <c r="L3886">
        <v>66</v>
      </c>
      <c r="Q3886">
        <v>0</v>
      </c>
      <c r="R3886">
        <v>0</v>
      </c>
      <c r="S3886">
        <v>66</v>
      </c>
      <c r="Y3886" t="s">
        <v>21650</v>
      </c>
      <c r="Z3886" t="s">
        <v>18030</v>
      </c>
      <c r="AA3886" t="s">
        <v>9999</v>
      </c>
      <c r="AB3886" t="s">
        <v>14847</v>
      </c>
      <c r="AC3886" t="s">
        <v>14713</v>
      </c>
      <c r="AD3886" s="249" t="str">
        <f>HYPERLINK("https://scontent.cdninstagram.com/t51.2885-15/s320x320/e35/21224548_279837379168715_8001849321731391488_n.jpg")</f>
        <v>https://scontent.cdninstagram.com/t51.2885-15/s320x320/e35/21224548_279837379168715_8001849321731391488_n.jpg</v>
      </c>
      <c r="AE3886" s="249" t="str">
        <f>HYPERLINK("https://scontent.cdninstagram.com/t51.2885-19/s150x150/19764418_746796685491915_7755497878897819648_a.jpg")</f>
        <v>https://scontent.cdninstagram.com/t51.2885-19/s150x150/19764418_746796685491915_7755497878897819648_a.jpg</v>
      </c>
    </row>
    <row r="3887" spans="1:31" ht="15" x14ac:dyDescent="0.25">
      <c r="A3887" t="s">
        <v>2474</v>
      </c>
      <c r="B3887" t="s">
        <v>13250</v>
      </c>
      <c r="C3887" s="221">
        <v>42978.48337962963</v>
      </c>
      <c r="D3887" t="s">
        <v>21651</v>
      </c>
      <c r="E3887" s="249" t="str">
        <f>HYPERLINK("https://www.instagram.com/p/BYdqKJlHme7/")</f>
        <v>https://www.instagram.com/p/BYdqKJlHme7/</v>
      </c>
      <c r="F3887" t="s">
        <v>21652</v>
      </c>
      <c r="G3887" t="s">
        <v>2478</v>
      </c>
      <c r="H3887">
        <v>707</v>
      </c>
      <c r="I3887" t="s">
        <v>2479</v>
      </c>
      <c r="J3887">
        <v>5</v>
      </c>
      <c r="K3887">
        <v>98</v>
      </c>
      <c r="L3887">
        <v>103</v>
      </c>
      <c r="Q3887">
        <v>0</v>
      </c>
      <c r="R3887">
        <v>0</v>
      </c>
      <c r="S3887">
        <v>103</v>
      </c>
      <c r="Y3887" t="s">
        <v>3157</v>
      </c>
      <c r="Z3887" t="s">
        <v>2513</v>
      </c>
      <c r="AA3887" t="s">
        <v>3237</v>
      </c>
      <c r="AB3887" t="s">
        <v>2497</v>
      </c>
      <c r="AC3887" t="s">
        <v>13254</v>
      </c>
      <c r="AD3887" s="249" t="str">
        <f>HYPERLINK("https://scontent.cdninstagram.com/t51.2885-15/s320x320/e35/21147818_167406063834329_8364426183072284672_n.jpg")</f>
        <v>https://scontent.cdninstagram.com/t51.2885-15/s320x320/e35/21147818_167406063834329_8364426183072284672_n.jpg</v>
      </c>
      <c r="AE3887" s="249" t="str">
        <f>HYPERLINK("https://scontent.cdninstagram.com/t51.2885-19/s150x150/19436841_256225738194799_6633884495445491712_a.jpg")</f>
        <v>https://scontent.cdninstagram.com/t51.2885-19/s150x150/19436841_256225738194799_6633884495445491712_a.jpg</v>
      </c>
    </row>
    <row r="3888" spans="1:31" ht="15" x14ac:dyDescent="0.25">
      <c r="A3888" t="s">
        <v>2474</v>
      </c>
      <c r="B3888" t="s">
        <v>21653</v>
      </c>
      <c r="C3888" s="221">
        <v>42978.48537037037</v>
      </c>
      <c r="D3888" t="s">
        <v>21654</v>
      </c>
      <c r="E3888" s="249" t="str">
        <f>HYPERLINK("https://www.instagram.com/p/BYdqfHdlK57/")</f>
        <v>https://www.instagram.com/p/BYdqfHdlK57/</v>
      </c>
      <c r="F3888" t="s">
        <v>21655</v>
      </c>
      <c r="G3888" t="s">
        <v>2478</v>
      </c>
      <c r="H3888">
        <v>740</v>
      </c>
      <c r="I3888" t="s">
        <v>2479</v>
      </c>
      <c r="J3888">
        <v>0</v>
      </c>
      <c r="K3888">
        <v>11</v>
      </c>
      <c r="L3888">
        <v>11</v>
      </c>
      <c r="Q3888">
        <v>0</v>
      </c>
      <c r="R3888">
        <v>0</v>
      </c>
      <c r="S3888">
        <v>11</v>
      </c>
      <c r="Y3888" t="s">
        <v>2513</v>
      </c>
      <c r="Z3888" t="s">
        <v>2730</v>
      </c>
      <c r="AA3888" t="s">
        <v>2861</v>
      </c>
      <c r="AB3888" t="s">
        <v>21656</v>
      </c>
      <c r="AC3888" t="s">
        <v>21657</v>
      </c>
      <c r="AD3888" s="249" t="str">
        <f>HYPERLINK("https://scontent.cdninstagram.com/t51.2885-15/s320x320/e35/21227312_1265506403576586_3072373441802797056_n.jpg")</f>
        <v>https://scontent.cdninstagram.com/t51.2885-15/s320x320/e35/21227312_1265506403576586_3072373441802797056_n.jpg</v>
      </c>
      <c r="AE3888" s="249" t="str">
        <f>HYPERLINK("https://scontent.cdninstagram.com/t51.2885-19/s150x150/20968922_1948286312077231_5409665833645375488_a.jpg")</f>
        <v>https://scontent.cdninstagram.com/t51.2885-19/s150x150/20968922_1948286312077231_5409665833645375488_a.jpg</v>
      </c>
    </row>
    <row r="3889" spans="1:31" ht="15" x14ac:dyDescent="0.25">
      <c r="A3889" t="s">
        <v>2474</v>
      </c>
      <c r="B3889" t="s">
        <v>21658</v>
      </c>
      <c r="C3889" s="221">
        <v>42978.48609953704</v>
      </c>
      <c r="D3889" t="s">
        <v>21659</v>
      </c>
      <c r="E3889" s="249" t="str">
        <f>HYPERLINK("https://www.instagram.com/p/BYdqm2_AAMS/")</f>
        <v>https://www.instagram.com/p/BYdqm2_AAMS/</v>
      </c>
      <c r="F3889" t="s">
        <v>21660</v>
      </c>
      <c r="G3889" t="s">
        <v>2478</v>
      </c>
      <c r="H3889">
        <v>341</v>
      </c>
      <c r="I3889" t="s">
        <v>2479</v>
      </c>
      <c r="J3889">
        <v>0</v>
      </c>
      <c r="K3889">
        <v>20</v>
      </c>
      <c r="L3889">
        <v>20</v>
      </c>
      <c r="Q3889">
        <v>0</v>
      </c>
      <c r="R3889">
        <v>0</v>
      </c>
      <c r="S3889">
        <v>20</v>
      </c>
      <c r="Y3889" t="s">
        <v>21661</v>
      </c>
      <c r="Z3889" t="s">
        <v>5168</v>
      </c>
      <c r="AA3889" t="s">
        <v>4180</v>
      </c>
      <c r="AB3889" t="s">
        <v>21662</v>
      </c>
      <c r="AC3889" t="s">
        <v>4388</v>
      </c>
      <c r="AD3889" s="249" t="str">
        <f>HYPERLINK("https://scontent.cdninstagram.com/t51.2885-15/s320x320/e35/21148151_831215493696233_7204624012008226816_n.jpg")</f>
        <v>https://scontent.cdninstagram.com/t51.2885-15/s320x320/e35/21148151_831215493696233_7204624012008226816_n.jpg</v>
      </c>
      <c r="AE3889" s="249" t="str">
        <f>HYPERLINK("https://scontent.cdninstagram.com/t51.2885-19/s150x150/21295014_283075645430122_4485274651185905664_a.jpg")</f>
        <v>https://scontent.cdninstagram.com/t51.2885-19/s150x150/21295014_283075645430122_4485274651185905664_a.jpg</v>
      </c>
    </row>
    <row r="3890" spans="1:31" ht="15" x14ac:dyDescent="0.25">
      <c r="A3890" t="s">
        <v>2474</v>
      </c>
      <c r="B3890" t="s">
        <v>21663</v>
      </c>
      <c r="C3890" s="221">
        <v>42978.492604166669</v>
      </c>
      <c r="D3890" t="s">
        <v>21664</v>
      </c>
      <c r="E3890" s="249" t="str">
        <f>HYPERLINK("https://www.instagram.com/p/BYdrrd7Fd92/")</f>
        <v>https://www.instagram.com/p/BYdrrd7Fd92/</v>
      </c>
      <c r="F3890" t="s">
        <v>21665</v>
      </c>
      <c r="G3890" t="s">
        <v>2478</v>
      </c>
      <c r="H3890">
        <v>833</v>
      </c>
      <c r="I3890" t="s">
        <v>2622</v>
      </c>
      <c r="J3890">
        <v>0</v>
      </c>
      <c r="K3890">
        <v>42</v>
      </c>
      <c r="L3890">
        <v>42</v>
      </c>
      <c r="Q3890">
        <v>0</v>
      </c>
      <c r="R3890">
        <v>0</v>
      </c>
      <c r="S3890">
        <v>42</v>
      </c>
      <c r="T3890" t="s">
        <v>21666</v>
      </c>
      <c r="V3890" t="s">
        <v>2182</v>
      </c>
      <c r="W3890">
        <v>43.047128379230998</v>
      </c>
      <c r="X3890">
        <v>10.879203408845999</v>
      </c>
      <c r="Y3890" t="s">
        <v>9422</v>
      </c>
      <c r="Z3890" t="s">
        <v>2497</v>
      </c>
      <c r="AA3890" t="s">
        <v>4825</v>
      </c>
      <c r="AB3890" t="s">
        <v>2803</v>
      </c>
      <c r="AC3890" t="s">
        <v>11499</v>
      </c>
      <c r="AD3890" s="249" t="str">
        <f>HYPERLINK("https://scontent.cdninstagram.com/t51.2885-15/e35/p320x320/21227387_2011683855734376_518690963976093696_n.jpg")</f>
        <v>https://scontent.cdninstagram.com/t51.2885-15/e35/p320x320/21227387_2011683855734376_518690963976093696_n.jpg</v>
      </c>
      <c r="AE3890" s="249" t="str">
        <f>HYPERLINK("https://scontent.cdninstagram.com/t51.2885-19/s150x150/17586568_134436477088247_4549224390646038528_a.jpg")</f>
        <v>https://scontent.cdninstagram.com/t51.2885-19/s150x150/17586568_134436477088247_4549224390646038528_a.jpg</v>
      </c>
    </row>
    <row r="3891" spans="1:31" ht="15" x14ac:dyDescent="0.25">
      <c r="A3891" t="s">
        <v>2474</v>
      </c>
      <c r="B3891" t="s">
        <v>21667</v>
      </c>
      <c r="C3891" s="221">
        <v>42978.494953703703</v>
      </c>
      <c r="D3891" t="s">
        <v>21668</v>
      </c>
      <c r="E3891" s="249" t="str">
        <f>HYPERLINK("https://www.instagram.com/p/BYdsENplMsK/")</f>
        <v>https://www.instagram.com/p/BYdsENplMsK/</v>
      </c>
      <c r="F3891" t="s">
        <v>21669</v>
      </c>
      <c r="G3891" t="s">
        <v>2478</v>
      </c>
      <c r="H3891">
        <v>64</v>
      </c>
      <c r="I3891" t="s">
        <v>2542</v>
      </c>
      <c r="J3891">
        <v>0</v>
      </c>
      <c r="K3891">
        <v>9</v>
      </c>
      <c r="L3891">
        <v>9</v>
      </c>
      <c r="Q3891">
        <v>0</v>
      </c>
      <c r="R3891">
        <v>0</v>
      </c>
      <c r="S3891">
        <v>9</v>
      </c>
      <c r="Y3891" t="s">
        <v>3543</v>
      </c>
      <c r="Z3891" t="s">
        <v>13777</v>
      </c>
      <c r="AA3891" t="s">
        <v>2497</v>
      </c>
      <c r="AB3891" t="s">
        <v>18087</v>
      </c>
      <c r="AC3891" t="s">
        <v>8753</v>
      </c>
      <c r="AD3891" s="249" t="str">
        <f>HYPERLINK("https://scontent.cdninstagram.com/t51.2885-15/e35/p320x320/21149025_1533501256693038_3811408412885909504_n.jpg")</f>
        <v>https://scontent.cdninstagram.com/t51.2885-15/e35/p320x320/21149025_1533501256693038_3811408412885909504_n.jpg</v>
      </c>
      <c r="AE3891" s="249" t="str">
        <f>HYPERLINK("https://scontent.cdninstagram.com/t51.2885-19/s150x150/12501938_132598223784094_1218459159_a.jpg")</f>
        <v>https://scontent.cdninstagram.com/t51.2885-19/s150x150/12501938_132598223784094_1218459159_a.jpg</v>
      </c>
    </row>
    <row r="3892" spans="1:31" ht="15" x14ac:dyDescent="0.25">
      <c r="A3892" t="s">
        <v>2474</v>
      </c>
      <c r="B3892" t="s">
        <v>21670</v>
      </c>
      <c r="C3892" s="221">
        <v>42978.498900462961</v>
      </c>
      <c r="D3892" t="s">
        <v>21671</v>
      </c>
      <c r="E3892" s="249" t="str">
        <f>HYPERLINK("https://www.instagram.com/p/BYdst5VgB4E/")</f>
        <v>https://www.instagram.com/p/BYdst5VgB4E/</v>
      </c>
      <c r="F3892" t="s">
        <v>21672</v>
      </c>
      <c r="G3892" t="s">
        <v>2478</v>
      </c>
      <c r="H3892">
        <v>262</v>
      </c>
      <c r="I3892" t="s">
        <v>2479</v>
      </c>
      <c r="J3892">
        <v>7</v>
      </c>
      <c r="K3892">
        <v>64</v>
      </c>
      <c r="L3892">
        <v>71</v>
      </c>
      <c r="Q3892">
        <v>0</v>
      </c>
      <c r="R3892">
        <v>0</v>
      </c>
      <c r="S3892">
        <v>71</v>
      </c>
      <c r="Y3892" t="s">
        <v>5229</v>
      </c>
      <c r="Z3892" t="s">
        <v>2492</v>
      </c>
      <c r="AA3892" t="s">
        <v>2497</v>
      </c>
      <c r="AB3892" t="s">
        <v>5383</v>
      </c>
      <c r="AD3892" s="249" t="str">
        <f>HYPERLINK("https://scontent.cdninstagram.com/t51.2885-15/s320x320/e35/21294758_129672870988833_1177385775763816448_n.jpg")</f>
        <v>https://scontent.cdninstagram.com/t51.2885-15/s320x320/e35/21294758_129672870988833_1177385775763816448_n.jpg</v>
      </c>
      <c r="AE3892" s="249" t="str">
        <f>HYPERLINK("https://scontent.cdninstagram.com/t51.2885-19/s150x150/20688342_106960036692550_684387190188277760_a.jpg")</f>
        <v>https://scontent.cdninstagram.com/t51.2885-19/s150x150/20688342_106960036692550_684387190188277760_a.jpg</v>
      </c>
    </row>
    <row r="3893" spans="1:31" ht="15" x14ac:dyDescent="0.25">
      <c r="A3893" t="s">
        <v>2474</v>
      </c>
      <c r="B3893" t="s">
        <v>21673</v>
      </c>
      <c r="C3893" s="221">
        <v>42978.505787037036</v>
      </c>
      <c r="D3893" t="s">
        <v>21674</v>
      </c>
      <c r="E3893" s="249" t="str">
        <f>HYPERLINK("https://www.instagram.com/p/BYdt2iQgd0e/")</f>
        <v>https://www.instagram.com/p/BYdt2iQgd0e/</v>
      </c>
      <c r="F3893" t="s">
        <v>21675</v>
      </c>
      <c r="G3893" t="s">
        <v>2478</v>
      </c>
      <c r="H3893">
        <v>1323</v>
      </c>
      <c r="I3893" t="s">
        <v>2479</v>
      </c>
      <c r="J3893">
        <v>0</v>
      </c>
      <c r="K3893">
        <v>106</v>
      </c>
      <c r="L3893">
        <v>106</v>
      </c>
      <c r="Q3893">
        <v>0</v>
      </c>
      <c r="R3893">
        <v>0</v>
      </c>
      <c r="S3893">
        <v>106</v>
      </c>
      <c r="T3893" t="s">
        <v>21676</v>
      </c>
      <c r="V3893" t="s">
        <v>2161</v>
      </c>
      <c r="W3893">
        <v>51.242959900000002</v>
      </c>
      <c r="X3893">
        <v>6.7401999999999997</v>
      </c>
      <c r="Y3893" t="s">
        <v>2861</v>
      </c>
      <c r="Z3893" t="s">
        <v>3571</v>
      </c>
      <c r="AA3893" t="s">
        <v>8592</v>
      </c>
      <c r="AB3893" t="s">
        <v>21677</v>
      </c>
      <c r="AC3893" t="s">
        <v>21678</v>
      </c>
      <c r="AD3893" s="249" t="str">
        <f>HYPERLINK("https://scontent.cdninstagram.com/t51.2885-15/e35/p320x320/21224875_237204140139146_6440271432780873728_n.jpg")</f>
        <v>https://scontent.cdninstagram.com/t51.2885-15/e35/p320x320/21224875_237204140139146_6440271432780873728_n.jpg</v>
      </c>
      <c r="AE3893" s="249" t="str">
        <f>HYPERLINK("https://scontent.cdninstagram.com/t51.2885-19/s150x150/17880992_832887663525512_9103711928705875968_a.jpg")</f>
        <v>https://scontent.cdninstagram.com/t51.2885-19/s150x150/17880992_832887663525512_9103711928705875968_a.jpg</v>
      </c>
    </row>
    <row r="3894" spans="1:31" ht="15" x14ac:dyDescent="0.25">
      <c r="A3894" t="s">
        <v>2474</v>
      </c>
      <c r="B3894" t="s">
        <v>21679</v>
      </c>
      <c r="C3894" s="221">
        <v>42978.50917824074</v>
      </c>
      <c r="D3894" t="s">
        <v>21680</v>
      </c>
      <c r="E3894" s="249" t="str">
        <f>HYPERLINK("https://www.instagram.com/p/BYduaRXjhU8/")</f>
        <v>https://www.instagram.com/p/BYduaRXjhU8/</v>
      </c>
      <c r="F3894" t="s">
        <v>21681</v>
      </c>
      <c r="G3894" t="s">
        <v>2478</v>
      </c>
      <c r="H3894">
        <v>162</v>
      </c>
      <c r="I3894" t="s">
        <v>2542</v>
      </c>
      <c r="J3894">
        <v>0</v>
      </c>
      <c r="K3894">
        <v>11</v>
      </c>
      <c r="L3894">
        <v>11</v>
      </c>
      <c r="Q3894">
        <v>0</v>
      </c>
      <c r="R3894">
        <v>0</v>
      </c>
      <c r="S3894">
        <v>11</v>
      </c>
      <c r="Y3894" t="s">
        <v>21682</v>
      </c>
      <c r="Z3894" t="s">
        <v>21683</v>
      </c>
      <c r="AA3894" t="s">
        <v>21684</v>
      </c>
      <c r="AB3894" t="s">
        <v>21685</v>
      </c>
      <c r="AC3894" t="s">
        <v>2833</v>
      </c>
      <c r="AD3894" s="249" t="str">
        <f>HYPERLINK("https://scontent.cdninstagram.com/t51.2885-15/s320x320/e35/21295087_1916598018579533_8857032268766511104_n.jpg")</f>
        <v>https://scontent.cdninstagram.com/t51.2885-15/s320x320/e35/21295087_1916598018579533_8857032268766511104_n.jpg</v>
      </c>
      <c r="AE3894" s="249" t="str">
        <f>HYPERLINK("https://scontent.cdninstagram.com/t51.2885-19/s150x150/15877135_1854443334801288_3651818032440803328_n.jpg")</f>
        <v>https://scontent.cdninstagram.com/t51.2885-19/s150x150/15877135_1854443334801288_3651818032440803328_n.jpg</v>
      </c>
    </row>
    <row r="3895" spans="1:31" ht="15" x14ac:dyDescent="0.25">
      <c r="A3895" t="s">
        <v>2474</v>
      </c>
      <c r="B3895" t="s">
        <v>21686</v>
      </c>
      <c r="C3895" s="221">
        <v>42978.511331018519</v>
      </c>
      <c r="D3895" t="s">
        <v>21687</v>
      </c>
      <c r="E3895" s="249" t="str">
        <f>HYPERLINK("https://www.instagram.com/p/BYduxAFBu1Q/")</f>
        <v>https://www.instagram.com/p/BYduxAFBu1Q/</v>
      </c>
      <c r="F3895" t="s">
        <v>21688</v>
      </c>
      <c r="G3895" t="s">
        <v>2478</v>
      </c>
      <c r="H3895">
        <v>18041</v>
      </c>
      <c r="I3895" t="s">
        <v>4052</v>
      </c>
      <c r="J3895">
        <v>4</v>
      </c>
      <c r="K3895">
        <v>250</v>
      </c>
      <c r="L3895">
        <v>254</v>
      </c>
      <c r="Q3895">
        <v>0</v>
      </c>
      <c r="R3895">
        <v>0</v>
      </c>
      <c r="S3895">
        <v>254</v>
      </c>
      <c r="Y3895" t="s">
        <v>2728</v>
      </c>
      <c r="Z3895" t="s">
        <v>21689</v>
      </c>
      <c r="AA3895" t="s">
        <v>2730</v>
      </c>
      <c r="AB3895" t="s">
        <v>21690</v>
      </c>
      <c r="AC3895" t="s">
        <v>21691</v>
      </c>
      <c r="AD3895" s="249" t="str">
        <f>HYPERLINK("https://scontent.cdninstagram.com/t51.2885-15/s320x320/e35/21225020_350015922102906_6249957570719514624_n.jpg")</f>
        <v>https://scontent.cdninstagram.com/t51.2885-15/s320x320/e35/21225020_350015922102906_6249957570719514624_n.jpg</v>
      </c>
      <c r="AE3895" s="249" t="str">
        <f>HYPERLINK("https://scontent.cdninstagram.com/t51.2885-19/s150x150/11426265_1643850765831890_1553983853_a.jpg")</f>
        <v>https://scontent.cdninstagram.com/t51.2885-19/s150x150/11426265_1643850765831890_1553983853_a.jpg</v>
      </c>
    </row>
    <row r="3896" spans="1:31" ht="15" x14ac:dyDescent="0.25">
      <c r="A3896" t="s">
        <v>2474</v>
      </c>
      <c r="B3896" t="s">
        <v>3754</v>
      </c>
      <c r="C3896" s="221">
        <v>42978.516203703701</v>
      </c>
      <c r="D3896" t="s">
        <v>21692</v>
      </c>
      <c r="E3896" s="249" t="str">
        <f>HYPERLINK("https://www.instagram.com/p/BYdvkYbjpQQ/")</f>
        <v>https://www.instagram.com/p/BYdvkYbjpQQ/</v>
      </c>
      <c r="F3896" t="s">
        <v>7206</v>
      </c>
      <c r="G3896" t="s">
        <v>2478</v>
      </c>
      <c r="H3896">
        <v>201228</v>
      </c>
      <c r="I3896" t="s">
        <v>2479</v>
      </c>
      <c r="J3896">
        <v>0</v>
      </c>
      <c r="K3896">
        <v>136</v>
      </c>
      <c r="L3896">
        <v>136</v>
      </c>
      <c r="Q3896">
        <v>0</v>
      </c>
      <c r="R3896">
        <v>0</v>
      </c>
      <c r="S3896">
        <v>136</v>
      </c>
      <c r="Y3896" t="s">
        <v>6789</v>
      </c>
      <c r="Z3896" t="s">
        <v>4801</v>
      </c>
      <c r="AA3896" t="s">
        <v>16557</v>
      </c>
      <c r="AB3896" t="s">
        <v>4233</v>
      </c>
      <c r="AC3896" t="s">
        <v>8783</v>
      </c>
      <c r="AD3896" s="249" t="str">
        <f>HYPERLINK("https://scontent.cdninstagram.com/t51.2885-15/s320x320/e35/21148977_1674076672633498_3186946096765075456_n.jpg")</f>
        <v>https://scontent.cdninstagram.com/t51.2885-15/s320x320/e35/21148977_1674076672633498_3186946096765075456_n.jpg</v>
      </c>
      <c r="AE3896" s="249" t="str">
        <f>HYPERLINK("https://scontent.cdninstagram.com/t51.2885-19/s150x150/12905002_1681254462136092_1137392787_a.jpg")</f>
        <v>https://scontent.cdninstagram.com/t51.2885-19/s150x150/12905002_1681254462136092_1137392787_a.jpg</v>
      </c>
    </row>
    <row r="3897" spans="1:31" ht="15" x14ac:dyDescent="0.25">
      <c r="A3897" t="s">
        <v>2474</v>
      </c>
      <c r="B3897" t="s">
        <v>3754</v>
      </c>
      <c r="C3897" s="221">
        <v>42978.520775462966</v>
      </c>
      <c r="D3897" t="s">
        <v>21693</v>
      </c>
      <c r="E3897" s="249" t="str">
        <f>HYPERLINK("https://www.instagram.com/p/BYdwUlRj0Ej/")</f>
        <v>https://www.instagram.com/p/BYdwUlRj0Ej/</v>
      </c>
      <c r="F3897" t="s">
        <v>7206</v>
      </c>
      <c r="G3897" t="s">
        <v>2478</v>
      </c>
      <c r="H3897">
        <v>201228</v>
      </c>
      <c r="I3897" t="s">
        <v>2479</v>
      </c>
      <c r="J3897">
        <v>2</v>
      </c>
      <c r="K3897">
        <v>281</v>
      </c>
      <c r="L3897">
        <v>283</v>
      </c>
      <c r="Q3897">
        <v>0</v>
      </c>
      <c r="R3897">
        <v>0</v>
      </c>
      <c r="S3897">
        <v>283</v>
      </c>
      <c r="T3897" t="s">
        <v>21694</v>
      </c>
      <c r="U3897" t="s">
        <v>112</v>
      </c>
      <c r="V3897" t="s">
        <v>2299</v>
      </c>
      <c r="W3897">
        <v>29.599599999999999</v>
      </c>
      <c r="X3897">
        <v>-95.614099999999993</v>
      </c>
      <c r="Y3897" t="s">
        <v>6789</v>
      </c>
      <c r="Z3897" t="s">
        <v>4801</v>
      </c>
      <c r="AA3897" t="s">
        <v>16557</v>
      </c>
      <c r="AB3897" t="s">
        <v>4233</v>
      </c>
      <c r="AC3897" t="s">
        <v>8783</v>
      </c>
      <c r="AD3897" s="249" t="str">
        <f>HYPERLINK("https://scontent.cdninstagram.com/t51.2885-15/s320x320/e35/21148914_114442909266251_6165730027934580736_n.jpg")</f>
        <v>https://scontent.cdninstagram.com/t51.2885-15/s320x320/e35/21148914_114442909266251_6165730027934580736_n.jpg</v>
      </c>
      <c r="AE3897" s="249" t="str">
        <f>HYPERLINK("https://scontent.cdninstagram.com/t51.2885-19/s150x150/12905002_1681254462136092_1137392787_a.jpg")</f>
        <v>https://scontent.cdninstagram.com/t51.2885-19/s150x150/12905002_1681254462136092_1137392787_a.jpg</v>
      </c>
    </row>
    <row r="3898" spans="1:31" ht="15" x14ac:dyDescent="0.25">
      <c r="A3898" t="s">
        <v>2474</v>
      </c>
      <c r="B3898" t="s">
        <v>2516</v>
      </c>
      <c r="C3898" s="221">
        <v>42978.532395833332</v>
      </c>
      <c r="D3898" t="s">
        <v>21695</v>
      </c>
      <c r="E3898" s="249" t="str">
        <f>HYPERLINK("https://www.instagram.com/p/BYdyPGdjK5x/")</f>
        <v>https://www.instagram.com/p/BYdyPGdjK5x/</v>
      </c>
      <c r="F3898" t="s">
        <v>21696</v>
      </c>
      <c r="G3898" t="s">
        <v>2478</v>
      </c>
      <c r="H3898">
        <v>691</v>
      </c>
      <c r="I3898" t="s">
        <v>2479</v>
      </c>
      <c r="J3898">
        <v>1</v>
      </c>
      <c r="K3898">
        <v>14</v>
      </c>
      <c r="L3898">
        <v>15</v>
      </c>
      <c r="Q3898">
        <v>0</v>
      </c>
      <c r="R3898">
        <v>0</v>
      </c>
      <c r="S3898">
        <v>15</v>
      </c>
      <c r="Y3898" t="s">
        <v>21697</v>
      </c>
      <c r="Z3898" t="s">
        <v>6550</v>
      </c>
      <c r="AA3898" t="s">
        <v>15637</v>
      </c>
      <c r="AB3898" t="s">
        <v>2520</v>
      </c>
      <c r="AC3898" t="s">
        <v>2497</v>
      </c>
      <c r="AD3898" s="249" t="str">
        <f>HYPERLINK("https://scontent.cdninstagram.com/t51.2885-15/s320x320/e35/21224101_128159184490968_6418479150973059072_n.jpg")</f>
        <v>https://scontent.cdninstagram.com/t51.2885-15/s320x320/e35/21224101_128159184490968_6418479150973059072_n.jpg</v>
      </c>
      <c r="AE3898" s="249" t="str">
        <f>HYPERLINK("https://scontent.cdninstagram.com/t51.2885-19/s150x150/21372563_140209839921980_5104164354614362112_a.jpg")</f>
        <v>https://scontent.cdninstagram.com/t51.2885-19/s150x150/21372563_140209839921980_5104164354614362112_a.jpg</v>
      </c>
    </row>
    <row r="3899" spans="1:31" ht="15" x14ac:dyDescent="0.25">
      <c r="A3899" t="s">
        <v>2474</v>
      </c>
      <c r="B3899" t="s">
        <v>21698</v>
      </c>
      <c r="C3899" s="221">
        <v>42978.538738425923</v>
      </c>
      <c r="D3899" t="s">
        <v>21699</v>
      </c>
      <c r="E3899" s="249" t="str">
        <f>HYPERLINK("https://www.instagram.com/p/BYdzR_hH-P4/")</f>
        <v>https://www.instagram.com/p/BYdzR_hH-P4/</v>
      </c>
      <c r="F3899" t="s">
        <v>21700</v>
      </c>
      <c r="G3899" t="s">
        <v>2478</v>
      </c>
      <c r="H3899">
        <v>196</v>
      </c>
      <c r="I3899" t="s">
        <v>2479</v>
      </c>
      <c r="J3899">
        <v>0</v>
      </c>
      <c r="K3899">
        <v>22</v>
      </c>
      <c r="L3899">
        <v>22</v>
      </c>
      <c r="Q3899">
        <v>0</v>
      </c>
      <c r="R3899">
        <v>0</v>
      </c>
      <c r="S3899">
        <v>22</v>
      </c>
      <c r="Y3899" t="s">
        <v>21701</v>
      </c>
      <c r="Z3899" t="s">
        <v>2497</v>
      </c>
      <c r="AD3899" s="249" t="str">
        <f>HYPERLINK("https://scontent.cdninstagram.com/t51.2885-15/s320x320/e15/21295217_1892364757747399_7818769060769824768_n.jpg")</f>
        <v>https://scontent.cdninstagram.com/t51.2885-15/s320x320/e15/21295217_1892364757747399_7818769060769824768_n.jpg</v>
      </c>
      <c r="AE3899" s="249" t="str">
        <f>HYPERLINK("https://scontent.cdninstagram.com/t51.2885-19/s150x150/17076786_1874793389460270_2338035043227664384_a.jpg")</f>
        <v>https://scontent.cdninstagram.com/t51.2885-19/s150x150/17076786_1874793389460270_2338035043227664384_a.jpg</v>
      </c>
    </row>
    <row r="3900" spans="1:31" ht="15" x14ac:dyDescent="0.25">
      <c r="A3900" t="s">
        <v>2474</v>
      </c>
      <c r="B3900" t="s">
        <v>2644</v>
      </c>
      <c r="C3900" s="221">
        <v>42978.541631944441</v>
      </c>
      <c r="D3900" t="s">
        <v>21702</v>
      </c>
      <c r="E3900" s="249" t="str">
        <f>HYPERLINK("https://www.instagram.com/p/BYdzwjqgp9D/")</f>
        <v>https://www.instagram.com/p/BYdzwjqgp9D/</v>
      </c>
      <c r="F3900" t="s">
        <v>21703</v>
      </c>
      <c r="G3900" t="s">
        <v>2478</v>
      </c>
      <c r="H3900">
        <v>1736</v>
      </c>
      <c r="I3900" t="s">
        <v>2479</v>
      </c>
      <c r="J3900">
        <v>1</v>
      </c>
      <c r="K3900">
        <v>84</v>
      </c>
      <c r="L3900">
        <v>85</v>
      </c>
      <c r="Q3900">
        <v>0</v>
      </c>
      <c r="R3900">
        <v>0</v>
      </c>
      <c r="S3900">
        <v>85</v>
      </c>
      <c r="T3900" t="s">
        <v>21704</v>
      </c>
      <c r="V3900" t="s">
        <v>2648</v>
      </c>
      <c r="W3900">
        <v>55.75311</v>
      </c>
      <c r="X3900">
        <v>37.587530000000001</v>
      </c>
      <c r="Y3900" t="s">
        <v>3635</v>
      </c>
      <c r="Z3900" t="s">
        <v>2649</v>
      </c>
      <c r="AA3900" t="s">
        <v>3076</v>
      </c>
      <c r="AB3900" t="s">
        <v>3636</v>
      </c>
      <c r="AC3900" t="s">
        <v>8161</v>
      </c>
      <c r="AD3900" s="249" t="str">
        <f>HYPERLINK("https://scontent.cdninstagram.com/t51.2885-15/e35/p320x320/21224830_1651544678221355_9191274015379947520_n.jpg")</f>
        <v>https://scontent.cdninstagram.com/t51.2885-15/e35/p320x320/21224830_1651544678221355_9191274015379947520_n.jpg</v>
      </c>
      <c r="AE3900" s="249" t="str">
        <f>HYPERLINK("https://scontent.cdninstagram.com/t51.2885-19/11372086_1598451257062069_1320225693_a.jpg")</f>
        <v>https://scontent.cdninstagram.com/t51.2885-19/11372086_1598451257062069_1320225693_a.jpg</v>
      </c>
    </row>
    <row r="3901" spans="1:31" ht="15" x14ac:dyDescent="0.25">
      <c r="A3901" t="s">
        <v>2474</v>
      </c>
      <c r="B3901" t="s">
        <v>21705</v>
      </c>
      <c r="C3901" s="221">
        <v>42978.551365740743</v>
      </c>
      <c r="D3901" t="s">
        <v>21706</v>
      </c>
      <c r="E3901" s="249" t="str">
        <f>HYPERLINK("https://www.instagram.com/p/BYd1XNiDDqU/")</f>
        <v>https://www.instagram.com/p/BYd1XNiDDqU/</v>
      </c>
      <c r="F3901" t="s">
        <v>21707</v>
      </c>
      <c r="G3901" t="s">
        <v>2488</v>
      </c>
      <c r="H3901">
        <v>664</v>
      </c>
      <c r="I3901" t="s">
        <v>2479</v>
      </c>
      <c r="J3901">
        <v>0</v>
      </c>
      <c r="K3901">
        <v>36</v>
      </c>
      <c r="L3901">
        <v>36</v>
      </c>
      <c r="Q3901">
        <v>0</v>
      </c>
      <c r="R3901">
        <v>0</v>
      </c>
      <c r="S3901">
        <v>36</v>
      </c>
      <c r="T3901" t="s">
        <v>21708</v>
      </c>
      <c r="V3901" t="s">
        <v>2182</v>
      </c>
      <c r="W3901">
        <v>45.273190808000003</v>
      </c>
      <c r="X3901">
        <v>11.658683271999999</v>
      </c>
      <c r="Y3901" t="s">
        <v>21709</v>
      </c>
      <c r="Z3901" t="s">
        <v>4042</v>
      </c>
      <c r="AA3901" t="s">
        <v>3070</v>
      </c>
      <c r="AB3901" t="s">
        <v>2497</v>
      </c>
      <c r="AC3901" t="s">
        <v>21710</v>
      </c>
      <c r="AD3901" s="249" t="str">
        <f>HYPERLINK("https://scontent.cdninstagram.com/t51.2885-15/s320x320/e35/21149669_596575250732254_6706967053363838976_n.jpg")</f>
        <v>https://scontent.cdninstagram.com/t51.2885-15/s320x320/e35/21149669_596575250732254_6706967053363838976_n.jpg</v>
      </c>
      <c r="AE3901" s="249" t="str">
        <f>HYPERLINK("https://scontent.cdninstagram.com/t51.2885-19/s150x150/16465253_757790574390198_69436238058225664_a.jpg")</f>
        <v>https://scontent.cdninstagram.com/t51.2885-19/s150x150/16465253_757790574390198_69436238058225664_a.jpg</v>
      </c>
    </row>
    <row r="3902" spans="1:31" ht="15" x14ac:dyDescent="0.25">
      <c r="A3902" t="s">
        <v>2474</v>
      </c>
      <c r="B3902" t="s">
        <v>21711</v>
      </c>
      <c r="C3902" s="221">
        <v>42978.551990740743</v>
      </c>
      <c r="D3902" t="s">
        <v>21712</v>
      </c>
      <c r="E3902" s="249" t="str">
        <f>HYPERLINK("https://www.instagram.com/p/BYd1dxxjyOu/")</f>
        <v>https://www.instagram.com/p/BYd1dxxjyOu/</v>
      </c>
      <c r="F3902" t="s">
        <v>21713</v>
      </c>
      <c r="G3902" t="s">
        <v>2478</v>
      </c>
      <c r="H3902">
        <v>126</v>
      </c>
      <c r="I3902" t="s">
        <v>2479</v>
      </c>
      <c r="J3902">
        <v>0</v>
      </c>
      <c r="K3902">
        <v>10</v>
      </c>
      <c r="L3902">
        <v>10</v>
      </c>
      <c r="Q3902">
        <v>0</v>
      </c>
      <c r="R3902">
        <v>0</v>
      </c>
      <c r="S3902">
        <v>10</v>
      </c>
      <c r="Y3902" t="s">
        <v>21714</v>
      </c>
      <c r="Z3902" t="s">
        <v>18050</v>
      </c>
      <c r="AA3902" t="s">
        <v>2869</v>
      </c>
      <c r="AB3902" t="s">
        <v>14466</v>
      </c>
      <c r="AC3902" t="s">
        <v>21715</v>
      </c>
      <c r="AD3902" s="249" t="str">
        <f>HYPERLINK("https://scontent.cdninstagram.com/t51.2885-15/e35/p320x320/21295082_1506730522755174_5613688591365439488_n.jpg")</f>
        <v>https://scontent.cdninstagram.com/t51.2885-15/e35/p320x320/21295082_1506730522755174_5613688591365439488_n.jpg</v>
      </c>
      <c r="AE3902" s="249" t="str">
        <f>HYPERLINK("https://scontent.cdninstagram.com/t51.2885-19/s150x150/18721936_133316467224618_9125727213805633536_a.jpg")</f>
        <v>https://scontent.cdninstagram.com/t51.2885-19/s150x150/18721936_133316467224618_9125727213805633536_a.jpg</v>
      </c>
    </row>
    <row r="3903" spans="1:31" ht="15" x14ac:dyDescent="0.25">
      <c r="A3903" t="s">
        <v>2474</v>
      </c>
      <c r="B3903" t="s">
        <v>13637</v>
      </c>
      <c r="C3903" s="221">
        <v>42978.555972222224</v>
      </c>
      <c r="D3903" t="s">
        <v>21716</v>
      </c>
      <c r="E3903" s="249" t="str">
        <f>HYPERLINK("https://www.instagram.com/p/BYd2HucgKdS/")</f>
        <v>https://www.instagram.com/p/BYd2HucgKdS/</v>
      </c>
      <c r="F3903" t="s">
        <v>21717</v>
      </c>
      <c r="G3903" t="s">
        <v>2478</v>
      </c>
      <c r="H3903">
        <v>368</v>
      </c>
      <c r="I3903" t="s">
        <v>2479</v>
      </c>
      <c r="J3903">
        <v>1</v>
      </c>
      <c r="K3903">
        <v>37</v>
      </c>
      <c r="L3903">
        <v>38</v>
      </c>
      <c r="Q3903">
        <v>0</v>
      </c>
      <c r="R3903">
        <v>0</v>
      </c>
      <c r="S3903">
        <v>38</v>
      </c>
      <c r="Y3903" t="s">
        <v>21718</v>
      </c>
      <c r="Z3903" t="s">
        <v>21719</v>
      </c>
      <c r="AA3903" t="s">
        <v>21720</v>
      </c>
      <c r="AB3903" t="s">
        <v>21721</v>
      </c>
      <c r="AC3903" t="s">
        <v>9112</v>
      </c>
      <c r="AD3903" s="249" t="str">
        <f>HYPERLINK("https://scontent.cdninstagram.com/t51.2885-15/s320x320/e35/21149413_175998619636333_7845611803210940416_n.jpg")</f>
        <v>https://scontent.cdninstagram.com/t51.2885-15/s320x320/e35/21149413_175998619636333_7845611803210940416_n.jpg</v>
      </c>
      <c r="AE3903" s="249" t="str">
        <f>HYPERLINK("https://scontent.cdninstagram.com/t51.2885-19/s150x150/13774806_280777002284724_1747905075_a.jpg")</f>
        <v>https://scontent.cdninstagram.com/t51.2885-19/s150x150/13774806_280777002284724_1747905075_a.jpg</v>
      </c>
    </row>
    <row r="3904" spans="1:31" ht="15" x14ac:dyDescent="0.25">
      <c r="A3904" t="s">
        <v>2474</v>
      </c>
      <c r="B3904" t="s">
        <v>21722</v>
      </c>
      <c r="C3904" s="221">
        <v>42978.556666666664</v>
      </c>
      <c r="D3904" t="s">
        <v>21723</v>
      </c>
      <c r="E3904" s="249" t="str">
        <f>HYPERLINK("https://www.instagram.com/p/BYd2PJnjC-1/")</f>
        <v>https://www.instagram.com/p/BYd2PJnjC-1/</v>
      </c>
      <c r="F3904" t="s">
        <v>21724</v>
      </c>
      <c r="G3904" t="s">
        <v>2478</v>
      </c>
      <c r="H3904">
        <v>259</v>
      </c>
      <c r="I3904" t="s">
        <v>2479</v>
      </c>
      <c r="J3904">
        <v>3</v>
      </c>
      <c r="K3904">
        <v>36</v>
      </c>
      <c r="L3904">
        <v>39</v>
      </c>
      <c r="Q3904">
        <v>0</v>
      </c>
      <c r="R3904">
        <v>0</v>
      </c>
      <c r="S3904">
        <v>39</v>
      </c>
      <c r="Y3904" t="s">
        <v>21725</v>
      </c>
      <c r="Z3904" t="s">
        <v>21726</v>
      </c>
      <c r="AA3904" t="s">
        <v>21727</v>
      </c>
      <c r="AB3904" t="s">
        <v>21728</v>
      </c>
      <c r="AC3904" t="s">
        <v>21729</v>
      </c>
      <c r="AD3904" s="249" t="str">
        <f>HYPERLINK("https://scontent.cdninstagram.com/t51.2885-15/s320x320/e35/21149268_1944338702507564_5593118193393598464_n.jpg")</f>
        <v>https://scontent.cdninstagram.com/t51.2885-15/s320x320/e35/21149268_1944338702507564_5593118193393598464_n.jpg</v>
      </c>
      <c r="AE3904" s="249" t="str">
        <f>HYPERLINK("https://scontent.cdninstagram.com/t51.2885-19/s150x150/20225244_457410611305255_2016739904297369600_a.jpg")</f>
        <v>https://scontent.cdninstagram.com/t51.2885-19/s150x150/20225244_457410611305255_2016739904297369600_a.jpg</v>
      </c>
    </row>
    <row r="3905" spans="1:31" ht="15" x14ac:dyDescent="0.25">
      <c r="A3905" t="s">
        <v>2474</v>
      </c>
      <c r="B3905" t="s">
        <v>3644</v>
      </c>
      <c r="C3905" s="221">
        <v>42978.560694444444</v>
      </c>
      <c r="D3905" t="s">
        <v>21730</v>
      </c>
      <c r="E3905" s="249" t="str">
        <f>HYPERLINK("https://www.instagram.com/p/BYd25kTFUr3/")</f>
        <v>https://www.instagram.com/p/BYd25kTFUr3/</v>
      </c>
      <c r="F3905" t="s">
        <v>21731</v>
      </c>
      <c r="G3905" t="s">
        <v>2631</v>
      </c>
      <c r="H3905">
        <v>581</v>
      </c>
      <c r="I3905" t="s">
        <v>2479</v>
      </c>
      <c r="J3905">
        <v>2</v>
      </c>
      <c r="K3905">
        <v>32</v>
      </c>
      <c r="L3905">
        <v>34</v>
      </c>
      <c r="Q3905">
        <v>0</v>
      </c>
      <c r="R3905">
        <v>0</v>
      </c>
      <c r="S3905">
        <v>34</v>
      </c>
      <c r="T3905" t="s">
        <v>9465</v>
      </c>
      <c r="V3905" t="s">
        <v>2141</v>
      </c>
      <c r="W3905">
        <v>55.4</v>
      </c>
      <c r="X3905">
        <v>10.3833</v>
      </c>
      <c r="Y3905" t="s">
        <v>3649</v>
      </c>
      <c r="Z3905" t="s">
        <v>6486</v>
      </c>
      <c r="AA3905" t="s">
        <v>7120</v>
      </c>
      <c r="AB3905" t="s">
        <v>5865</v>
      </c>
      <c r="AC3905" t="s">
        <v>10172</v>
      </c>
      <c r="AD3905" s="249" t="str">
        <f>HYPERLINK("https://scontent.cdninstagram.com/t51.2885-15/s320x320/e15/21294567_1965784546806048_5632405324401999872_n.jpg")</f>
        <v>https://scontent.cdninstagram.com/t51.2885-15/s320x320/e15/21294567_1965784546806048_5632405324401999872_n.jpg</v>
      </c>
      <c r="AE3905" s="249" t="str">
        <f>HYPERLINK("https://scontent.cdninstagram.com/t51.2885-19/s150x150/14714495_1790450111234953_7147855754219749376_a.jpg")</f>
        <v>https://scontent.cdninstagram.com/t51.2885-19/s150x150/14714495_1790450111234953_7147855754219749376_a.jpg</v>
      </c>
    </row>
    <row r="3906" spans="1:31" ht="15" x14ac:dyDescent="0.25">
      <c r="A3906" t="s">
        <v>2474</v>
      </c>
      <c r="B3906" t="s">
        <v>21732</v>
      </c>
      <c r="C3906" s="221">
        <v>42978.563518518517</v>
      </c>
      <c r="D3906" t="s">
        <v>21733</v>
      </c>
      <c r="E3906" s="249" t="str">
        <f>HYPERLINK("https://www.instagram.com/p/BYd3XXxHZ5F/")</f>
        <v>https://www.instagram.com/p/BYd3XXxHZ5F/</v>
      </c>
      <c r="F3906" t="s">
        <v>21734</v>
      </c>
      <c r="G3906" t="s">
        <v>2478</v>
      </c>
      <c r="H3906">
        <v>8353</v>
      </c>
      <c r="I3906" t="s">
        <v>2479</v>
      </c>
      <c r="J3906">
        <v>6</v>
      </c>
      <c r="K3906">
        <v>158</v>
      </c>
      <c r="L3906">
        <v>164</v>
      </c>
      <c r="Q3906">
        <v>0</v>
      </c>
      <c r="R3906">
        <v>0</v>
      </c>
      <c r="S3906">
        <v>164</v>
      </c>
      <c r="Y3906" t="s">
        <v>21735</v>
      </c>
      <c r="Z3906" t="s">
        <v>4908</v>
      </c>
      <c r="AA3906" t="s">
        <v>2777</v>
      </c>
      <c r="AB3906" t="s">
        <v>6898</v>
      </c>
      <c r="AC3906" t="s">
        <v>21736</v>
      </c>
      <c r="AD3906" s="249" t="str">
        <f>HYPERLINK("https://scontent.cdninstagram.com/t51.2885-15/e35/p320x320/21148123_1892676717653569_4646077118646583296_n.jpg")</f>
        <v>https://scontent.cdninstagram.com/t51.2885-15/e35/p320x320/21148123_1892676717653569_4646077118646583296_n.jpg</v>
      </c>
      <c r="AE3906" s="249" t="str">
        <f>HYPERLINK("https://scontent.cdninstagram.com/t51.2885-19/s150x150/21224946_320416355096840_614330200506761216_a.jpg")</f>
        <v>https://scontent.cdninstagram.com/t51.2885-19/s150x150/21224946_320416355096840_614330200506761216_a.jpg</v>
      </c>
    </row>
    <row r="3907" spans="1:31" ht="15" x14ac:dyDescent="0.25">
      <c r="A3907" t="s">
        <v>2474</v>
      </c>
      <c r="B3907" t="s">
        <v>21737</v>
      </c>
      <c r="C3907" s="221">
        <v>42978.566157407404</v>
      </c>
      <c r="D3907" t="s">
        <v>21738</v>
      </c>
      <c r="E3907" s="249" t="str">
        <f>HYPERLINK("https://www.instagram.com/p/BYd3zM3BjRU/")</f>
        <v>https://www.instagram.com/p/BYd3zM3BjRU/</v>
      </c>
      <c r="F3907" t="s">
        <v>21739</v>
      </c>
      <c r="G3907" t="s">
        <v>2478</v>
      </c>
      <c r="H3907">
        <v>623</v>
      </c>
      <c r="I3907" t="s">
        <v>2479</v>
      </c>
      <c r="J3907">
        <v>2</v>
      </c>
      <c r="K3907">
        <v>109</v>
      </c>
      <c r="L3907">
        <v>111</v>
      </c>
      <c r="Q3907">
        <v>0</v>
      </c>
      <c r="R3907">
        <v>0</v>
      </c>
      <c r="S3907">
        <v>111</v>
      </c>
      <c r="Y3907" t="s">
        <v>8181</v>
      </c>
      <c r="Z3907" t="s">
        <v>4733</v>
      </c>
      <c r="AA3907" t="s">
        <v>4908</v>
      </c>
      <c r="AB3907" t="s">
        <v>2833</v>
      </c>
      <c r="AC3907" t="s">
        <v>8047</v>
      </c>
      <c r="AD3907" s="249" t="str">
        <f>HYPERLINK("https://scontent.cdninstagram.com/t51.2885-15/e35/p320x320/21294651_1467839006666788_7065704647733805056_n.jpg")</f>
        <v>https://scontent.cdninstagram.com/t51.2885-15/e35/p320x320/21294651_1467839006666788_7065704647733805056_n.jpg</v>
      </c>
      <c r="AE3907" s="249" t="str">
        <f>HYPERLINK("https://scontent.cdninstagram.com/t51.2885-19/s150x150/21148939_1017405445029302_374398660038885376_a.jpg")</f>
        <v>https://scontent.cdninstagram.com/t51.2885-19/s150x150/21148939_1017405445029302_374398660038885376_a.jpg</v>
      </c>
    </row>
    <row r="3908" spans="1:31" ht="15" x14ac:dyDescent="0.25">
      <c r="A3908" t="s">
        <v>2474</v>
      </c>
      <c r="B3908" t="s">
        <v>5225</v>
      </c>
      <c r="C3908" s="221">
        <v>42978.573379629626</v>
      </c>
      <c r="D3908" t="s">
        <v>21740</v>
      </c>
      <c r="E3908" s="249" t="str">
        <f>HYPERLINK("https://www.instagram.com/p/BYd4_XzAoeQ/")</f>
        <v>https://www.instagram.com/p/BYd4_XzAoeQ/</v>
      </c>
      <c r="F3908" t="s">
        <v>21741</v>
      </c>
      <c r="G3908" t="s">
        <v>2488</v>
      </c>
      <c r="H3908">
        <v>61</v>
      </c>
      <c r="I3908" t="s">
        <v>2479</v>
      </c>
      <c r="J3908">
        <v>0</v>
      </c>
      <c r="K3908">
        <v>15</v>
      </c>
      <c r="L3908">
        <v>15</v>
      </c>
      <c r="Q3908">
        <v>0</v>
      </c>
      <c r="R3908">
        <v>0</v>
      </c>
      <c r="S3908">
        <v>15</v>
      </c>
      <c r="T3908" t="s">
        <v>5228</v>
      </c>
      <c r="V3908" t="s">
        <v>2154</v>
      </c>
      <c r="W3908">
        <v>47.498634698221998</v>
      </c>
      <c r="X3908">
        <v>-0.50784128552246999</v>
      </c>
      <c r="Y3908" t="s">
        <v>11319</v>
      </c>
      <c r="Z3908" t="s">
        <v>6043</v>
      </c>
      <c r="AA3908" t="s">
        <v>2861</v>
      </c>
      <c r="AB3908" t="s">
        <v>5230</v>
      </c>
      <c r="AC3908" t="s">
        <v>18419</v>
      </c>
      <c r="AD3908" s="249" t="str">
        <f>HYPERLINK("https://scontent.cdninstagram.com/t51.2885-15/s320x320/e35/21149220_1175094462590037_2809496352088653824_n.jpg")</f>
        <v>https://scontent.cdninstagram.com/t51.2885-15/s320x320/e35/21149220_1175094462590037_2809496352088653824_n.jpg</v>
      </c>
      <c r="AE3908" s="249" t="str">
        <f>HYPERLINK("https://scontent.cdninstagram.com/t51.2885-19/s150x150/18949503_1122155304550657_4049188449616396288_a.jpg")</f>
        <v>https://scontent.cdninstagram.com/t51.2885-19/s150x150/18949503_1122155304550657_4049188449616396288_a.jpg</v>
      </c>
    </row>
    <row r="3909" spans="1:31" ht="15" x14ac:dyDescent="0.25">
      <c r="A3909" t="s">
        <v>2474</v>
      </c>
      <c r="B3909" t="s">
        <v>3784</v>
      </c>
      <c r="C3909" s="221">
        <v>42978.581134259257</v>
      </c>
      <c r="D3909" t="s">
        <v>21742</v>
      </c>
      <c r="E3909" s="249" t="str">
        <f>HYPERLINK("https://www.instagram.com/p/BYd6RKUlC02/")</f>
        <v>https://www.instagram.com/p/BYd6RKUlC02/</v>
      </c>
      <c r="F3909" t="s">
        <v>21743</v>
      </c>
      <c r="G3909" t="s">
        <v>2631</v>
      </c>
      <c r="H3909">
        <v>366</v>
      </c>
      <c r="I3909" t="s">
        <v>2479</v>
      </c>
      <c r="J3909">
        <v>0</v>
      </c>
      <c r="K3909">
        <v>19</v>
      </c>
      <c r="L3909">
        <v>19</v>
      </c>
      <c r="Q3909">
        <v>0</v>
      </c>
      <c r="R3909">
        <v>0</v>
      </c>
      <c r="S3909">
        <v>19</v>
      </c>
      <c r="Y3909" t="s">
        <v>2696</v>
      </c>
      <c r="Z3909" t="s">
        <v>2513</v>
      </c>
      <c r="AA3909" t="s">
        <v>2497</v>
      </c>
      <c r="AB3909" t="s">
        <v>21744</v>
      </c>
      <c r="AD3909" s="249" t="str">
        <f>HYPERLINK("https://scontent.cdninstagram.com/t51.2885-15/s320x320/e35/21227215_911838508963454_2958618836376485888_n.jpg")</f>
        <v>https://scontent.cdninstagram.com/t51.2885-15/s320x320/e35/21227215_911838508963454_2958618836376485888_n.jpg</v>
      </c>
      <c r="AE3909" s="249" t="str">
        <f>HYPERLINK("https://scontent.cdninstagram.com/t51.2885-19/s150x150/21041715_334484806997590_2930354635854053376_a.jpg")</f>
        <v>https://scontent.cdninstagram.com/t51.2885-19/s150x150/21041715_334484806997590_2930354635854053376_a.jpg</v>
      </c>
    </row>
    <row r="3910" spans="1:31" ht="15" x14ac:dyDescent="0.25">
      <c r="A3910" t="s">
        <v>2474</v>
      </c>
      <c r="B3910" t="s">
        <v>21745</v>
      </c>
      <c r="C3910" s="221">
        <v>42978.587326388886</v>
      </c>
      <c r="D3910" t="s">
        <v>21746</v>
      </c>
      <c r="E3910" s="249" t="str">
        <f>HYPERLINK("https://www.instagram.com/p/BYd7Sa0lCZb/")</f>
        <v>https://www.instagram.com/p/BYd7Sa0lCZb/</v>
      </c>
      <c r="F3910" t="s">
        <v>21747</v>
      </c>
      <c r="G3910" t="s">
        <v>2478</v>
      </c>
      <c r="H3910">
        <v>278</v>
      </c>
      <c r="I3910" t="s">
        <v>2479</v>
      </c>
      <c r="J3910">
        <v>1</v>
      </c>
      <c r="K3910">
        <v>35</v>
      </c>
      <c r="L3910">
        <v>36</v>
      </c>
      <c r="Q3910">
        <v>0</v>
      </c>
      <c r="R3910">
        <v>0</v>
      </c>
      <c r="S3910">
        <v>36</v>
      </c>
      <c r="T3910" t="s">
        <v>21748</v>
      </c>
      <c r="V3910" t="s">
        <v>2164</v>
      </c>
      <c r="W3910">
        <v>36.440199999999997</v>
      </c>
      <c r="X3910">
        <v>28.210899999999999</v>
      </c>
      <c r="Y3910" t="s">
        <v>21749</v>
      </c>
      <c r="Z3910" t="s">
        <v>6550</v>
      </c>
      <c r="AA3910" t="s">
        <v>5307</v>
      </c>
      <c r="AB3910" t="s">
        <v>2497</v>
      </c>
      <c r="AC3910" t="s">
        <v>15855</v>
      </c>
      <c r="AD3910" s="249" t="str">
        <f>HYPERLINK("https://scontent.cdninstagram.com/t51.2885-15/s320x320/e35/21294643_143183592950394_6046583632234020864_n.jpg")</f>
        <v>https://scontent.cdninstagram.com/t51.2885-15/s320x320/e35/21294643_143183592950394_6046583632234020864_n.jpg</v>
      </c>
      <c r="AE3910" s="249" t="str">
        <f>HYPERLINK("https://scontent.cdninstagram.com/t51.2885-19/s150x150/21107452_125755741399992_2911152683182194688_a.jpg")</f>
        <v>https://scontent.cdninstagram.com/t51.2885-19/s150x150/21107452_125755741399992_2911152683182194688_a.jpg</v>
      </c>
    </row>
    <row r="3911" spans="1:31" ht="15" x14ac:dyDescent="0.25">
      <c r="A3911" t="s">
        <v>2474</v>
      </c>
      <c r="B3911" t="s">
        <v>15206</v>
      </c>
      <c r="C3911" s="221">
        <v>42978.592442129629</v>
      </c>
      <c r="D3911" t="s">
        <v>21750</v>
      </c>
      <c r="E3911" s="249" t="str">
        <f>HYPERLINK("https://www.instagram.com/p/BYd8IbFBV7P/")</f>
        <v>https://www.instagram.com/p/BYd8IbFBV7P/</v>
      </c>
      <c r="F3911" t="s">
        <v>21751</v>
      </c>
      <c r="G3911" t="s">
        <v>2478</v>
      </c>
      <c r="H3911">
        <v>61799</v>
      </c>
      <c r="I3911" t="s">
        <v>2479</v>
      </c>
      <c r="J3911">
        <v>8</v>
      </c>
      <c r="K3911">
        <v>1197</v>
      </c>
      <c r="L3911">
        <v>1205</v>
      </c>
      <c r="Q3911">
        <v>0</v>
      </c>
      <c r="R3911">
        <v>0</v>
      </c>
      <c r="S3911">
        <v>1205</v>
      </c>
      <c r="AD3911" s="249" t="str">
        <f>HYPERLINK("https://scontent.cdninstagram.com/t51.2885-15/s320x320/e35/21294600_228618291000064_5653829673541435392_n.jpg")</f>
        <v>https://scontent.cdninstagram.com/t51.2885-15/s320x320/e35/21294600_228618291000064_5653829673541435392_n.jpg</v>
      </c>
      <c r="AE3911" s="249" t="str">
        <f>HYPERLINK("https://scontent.cdninstagram.com/t51.2885-19/17663530_1657274724581959_2295744149531394048_n.jpg")</f>
        <v>https://scontent.cdninstagram.com/t51.2885-19/17663530_1657274724581959_2295744149531394048_n.jpg</v>
      </c>
    </row>
    <row r="3912" spans="1:31" ht="15" x14ac:dyDescent="0.25">
      <c r="A3912" t="s">
        <v>2474</v>
      </c>
      <c r="B3912" t="s">
        <v>3754</v>
      </c>
      <c r="C3912" s="221">
        <v>42978.595196759263</v>
      </c>
      <c r="D3912" t="s">
        <v>21752</v>
      </c>
      <c r="E3912" s="249" t="str">
        <f>HYPERLINK("https://www.instagram.com/p/BYd8leej22a/")</f>
        <v>https://www.instagram.com/p/BYd8leej22a/</v>
      </c>
      <c r="F3912" t="s">
        <v>7206</v>
      </c>
      <c r="G3912" t="s">
        <v>2478</v>
      </c>
      <c r="H3912">
        <v>201227</v>
      </c>
      <c r="I3912" t="s">
        <v>2479</v>
      </c>
      <c r="J3912">
        <v>0</v>
      </c>
      <c r="K3912">
        <v>50</v>
      </c>
      <c r="L3912">
        <v>50</v>
      </c>
      <c r="Q3912">
        <v>0</v>
      </c>
      <c r="R3912">
        <v>0</v>
      </c>
      <c r="S3912">
        <v>50</v>
      </c>
      <c r="Y3912" t="s">
        <v>6789</v>
      </c>
      <c r="Z3912" t="s">
        <v>4801</v>
      </c>
      <c r="AA3912" t="s">
        <v>16557</v>
      </c>
      <c r="AB3912" t="s">
        <v>4233</v>
      </c>
      <c r="AC3912" t="s">
        <v>8783</v>
      </c>
      <c r="AD3912" s="249" t="str">
        <f>HYPERLINK("https://scontent.cdninstagram.com/t51.2885-15/s320x320/e35/21294634_1871304173187597_6294025850731888640_n.jpg")</f>
        <v>https://scontent.cdninstagram.com/t51.2885-15/s320x320/e35/21294634_1871304173187597_6294025850731888640_n.jpg</v>
      </c>
      <c r="AE3912" s="249" t="str">
        <f>HYPERLINK("https://scontent.cdninstagram.com/t51.2885-19/s150x150/12905002_1681254462136092_1137392787_a.jpg")</f>
        <v>https://scontent.cdninstagram.com/t51.2885-19/s150x150/12905002_1681254462136092_1137392787_a.jpg</v>
      </c>
    </row>
    <row r="3913" spans="1:31" ht="15" x14ac:dyDescent="0.25">
      <c r="A3913" t="s">
        <v>2474</v>
      </c>
      <c r="B3913" t="s">
        <v>3754</v>
      </c>
      <c r="C3913" s="221">
        <v>42978.595717592594</v>
      </c>
      <c r="D3913" t="s">
        <v>21753</v>
      </c>
      <c r="E3913" s="249" t="str">
        <f>HYPERLINK("https://www.instagram.com/p/BYd8q6Ijhq8/")</f>
        <v>https://www.instagram.com/p/BYd8q6Ijhq8/</v>
      </c>
      <c r="F3913" t="s">
        <v>7206</v>
      </c>
      <c r="G3913" t="s">
        <v>2478</v>
      </c>
      <c r="H3913">
        <v>201227</v>
      </c>
      <c r="I3913" t="s">
        <v>2479</v>
      </c>
      <c r="J3913">
        <v>0</v>
      </c>
      <c r="K3913">
        <v>110</v>
      </c>
      <c r="L3913">
        <v>110</v>
      </c>
      <c r="Q3913">
        <v>0</v>
      </c>
      <c r="R3913">
        <v>0</v>
      </c>
      <c r="S3913">
        <v>110</v>
      </c>
      <c r="Y3913" t="s">
        <v>6789</v>
      </c>
      <c r="Z3913" t="s">
        <v>4801</v>
      </c>
      <c r="AA3913" t="s">
        <v>16557</v>
      </c>
      <c r="AB3913" t="s">
        <v>4233</v>
      </c>
      <c r="AC3913" t="s">
        <v>8783</v>
      </c>
      <c r="AD3913" s="249" t="str">
        <f>HYPERLINK("https://scontent.cdninstagram.com/t51.2885-15/s320x320/e35/21224279_120284012029771_1515481413711822848_n.jpg")</f>
        <v>https://scontent.cdninstagram.com/t51.2885-15/s320x320/e35/21224279_120284012029771_1515481413711822848_n.jpg</v>
      </c>
      <c r="AE3913" s="249" t="str">
        <f>HYPERLINK("https://scontent.cdninstagram.com/t51.2885-19/s150x150/12905002_1681254462136092_1137392787_a.jpg")</f>
        <v>https://scontent.cdninstagram.com/t51.2885-19/s150x150/12905002_1681254462136092_1137392787_a.jpg</v>
      </c>
    </row>
    <row r="3914" spans="1:31" ht="15" x14ac:dyDescent="0.25">
      <c r="A3914" t="s">
        <v>2474</v>
      </c>
      <c r="B3914" t="s">
        <v>7457</v>
      </c>
      <c r="C3914" s="221">
        <v>42978.595902777779</v>
      </c>
      <c r="D3914" t="s">
        <v>21754</v>
      </c>
      <c r="E3914" s="249" t="str">
        <f>HYPERLINK("https://www.instagram.com/p/BYd8s-JFtx4/")</f>
        <v>https://www.instagram.com/p/BYd8s-JFtx4/</v>
      </c>
      <c r="F3914" t="s">
        <v>21755</v>
      </c>
      <c r="G3914" t="s">
        <v>2478</v>
      </c>
      <c r="H3914">
        <v>7118</v>
      </c>
      <c r="I3914" t="s">
        <v>2599</v>
      </c>
      <c r="J3914">
        <v>1</v>
      </c>
      <c r="K3914">
        <v>47</v>
      </c>
      <c r="L3914">
        <v>48</v>
      </c>
      <c r="Q3914">
        <v>0</v>
      </c>
      <c r="R3914">
        <v>0</v>
      </c>
      <c r="S3914">
        <v>48</v>
      </c>
      <c r="Y3914" t="s">
        <v>21756</v>
      </c>
      <c r="Z3914" t="s">
        <v>21757</v>
      </c>
      <c r="AA3914" t="s">
        <v>21758</v>
      </c>
      <c r="AB3914" t="s">
        <v>7461</v>
      </c>
      <c r="AC3914" t="s">
        <v>21759</v>
      </c>
      <c r="AD3914" s="249" t="str">
        <f>HYPERLINK("https://scontent.cdninstagram.com/t51.2885-15/s320x320/e35/21149504_1405870352815865_1656576037187747840_n.jpg")</f>
        <v>https://scontent.cdninstagram.com/t51.2885-15/s320x320/e35/21149504_1405870352815865_1656576037187747840_n.jpg</v>
      </c>
      <c r="AE3914" s="249" t="str">
        <f>HYPERLINK("https://scontent.cdninstagram.com/t51.2885-19/s150x150/18443212_284821451930273_9046638560735657984_a.jpg")</f>
        <v>https://scontent.cdninstagram.com/t51.2885-19/s150x150/18443212_284821451930273_9046638560735657984_a.jpg</v>
      </c>
    </row>
    <row r="3915" spans="1:31" ht="15" x14ac:dyDescent="0.25">
      <c r="A3915" t="s">
        <v>2474</v>
      </c>
      <c r="B3915" t="s">
        <v>3251</v>
      </c>
      <c r="C3915" s="221">
        <v>42978.596284722225</v>
      </c>
      <c r="D3915" t="s">
        <v>21760</v>
      </c>
      <c r="E3915" s="249" t="str">
        <f>HYPERLINK("https://www.instagram.com/p/BYd8w_fn8nA/")</f>
        <v>https://www.instagram.com/p/BYd8w_fn8nA/</v>
      </c>
      <c r="F3915" t="s">
        <v>21761</v>
      </c>
      <c r="G3915" t="s">
        <v>2488</v>
      </c>
      <c r="H3915">
        <v>314</v>
      </c>
      <c r="I3915" t="s">
        <v>2479</v>
      </c>
      <c r="J3915">
        <v>0</v>
      </c>
      <c r="K3915">
        <v>17</v>
      </c>
      <c r="L3915">
        <v>17</v>
      </c>
      <c r="Q3915">
        <v>0</v>
      </c>
      <c r="R3915">
        <v>0</v>
      </c>
      <c r="S3915">
        <v>17</v>
      </c>
      <c r="Y3915" t="s">
        <v>3969</v>
      </c>
      <c r="Z3915" t="s">
        <v>3256</v>
      </c>
      <c r="AA3915" t="s">
        <v>5943</v>
      </c>
      <c r="AB3915" t="s">
        <v>4844</v>
      </c>
      <c r="AC3915" t="s">
        <v>2778</v>
      </c>
      <c r="AD3915" s="249" t="str">
        <f>HYPERLINK("https://scontent.cdninstagram.com/t51.2885-15/e35/p320x320/21224251_528755750794901_2290306733819559936_n.jpg")</f>
        <v>https://scontent.cdninstagram.com/t51.2885-15/e35/p320x320/21224251_528755750794901_2290306733819559936_n.jpg</v>
      </c>
      <c r="AE3915" s="249" t="str">
        <f>HYPERLINK("https://scontent.cdninstagram.com/t51.2885-19/s150x150/20986614_891746094322067_1272495017625124864_a.jpg")</f>
        <v>https://scontent.cdninstagram.com/t51.2885-19/s150x150/20986614_891746094322067_1272495017625124864_a.jpg</v>
      </c>
    </row>
    <row r="3916" spans="1:31" ht="15" x14ac:dyDescent="0.25">
      <c r="A3916" t="s">
        <v>2474</v>
      </c>
      <c r="B3916" t="s">
        <v>21762</v>
      </c>
      <c r="C3916" s="221">
        <v>42978.597280092596</v>
      </c>
      <c r="D3916" t="s">
        <v>21763</v>
      </c>
      <c r="E3916" s="249" t="str">
        <f>HYPERLINK("https://www.instagram.com/p/BYd87YgDZd3/")</f>
        <v>https://www.instagram.com/p/BYd87YgDZd3/</v>
      </c>
      <c r="F3916" t="s">
        <v>21764</v>
      </c>
      <c r="G3916" t="s">
        <v>2478</v>
      </c>
      <c r="H3916">
        <v>45</v>
      </c>
      <c r="I3916" t="s">
        <v>2479</v>
      </c>
      <c r="J3916">
        <v>0</v>
      </c>
      <c r="K3916">
        <v>5</v>
      </c>
      <c r="L3916">
        <v>5</v>
      </c>
      <c r="Q3916">
        <v>0</v>
      </c>
      <c r="R3916">
        <v>0</v>
      </c>
      <c r="S3916">
        <v>5</v>
      </c>
      <c r="Y3916" t="s">
        <v>9175</v>
      </c>
      <c r="Z3916" t="s">
        <v>2497</v>
      </c>
      <c r="AA3916" t="s">
        <v>21765</v>
      </c>
      <c r="AB3916" t="s">
        <v>21766</v>
      </c>
      <c r="AC3916" t="s">
        <v>21767</v>
      </c>
      <c r="AD3916" s="249" t="str">
        <f>HYPERLINK("https://scontent.cdninstagram.com/t51.2885-15/e35/p320x320/21149417_116291849035629_3838769725383376896_n.jpg")</f>
        <v>https://scontent.cdninstagram.com/t51.2885-15/e35/p320x320/21149417_116291849035629_3838769725383376896_n.jpg</v>
      </c>
      <c r="AE3916" s="249" t="str">
        <f>HYPERLINK("https://scontent.cdninstagram.com/t51.2885-19/s150x150/21041354_1932627666958208_1444612331613978624_a.jpg")</f>
        <v>https://scontent.cdninstagram.com/t51.2885-19/s150x150/21041354_1932627666958208_1444612331613978624_a.jpg</v>
      </c>
    </row>
    <row r="3917" spans="1:31" ht="15" x14ac:dyDescent="0.25">
      <c r="A3917" t="s">
        <v>2474</v>
      </c>
      <c r="B3917" t="s">
        <v>21768</v>
      </c>
      <c r="C3917" s="221">
        <v>42978.598020833335</v>
      </c>
      <c r="D3917" t="s">
        <v>21769</v>
      </c>
      <c r="E3917" s="249" t="str">
        <f>HYPERLINK("https://www.instagram.com/p/BYd9DSFAHp_/")</f>
        <v>https://www.instagram.com/p/BYd9DSFAHp_/</v>
      </c>
      <c r="F3917" t="s">
        <v>21770</v>
      </c>
      <c r="G3917" t="s">
        <v>2488</v>
      </c>
      <c r="H3917">
        <v>243</v>
      </c>
      <c r="I3917" t="s">
        <v>2479</v>
      </c>
      <c r="J3917">
        <v>5</v>
      </c>
      <c r="K3917">
        <v>48</v>
      </c>
      <c r="L3917">
        <v>53</v>
      </c>
      <c r="Q3917">
        <v>0</v>
      </c>
      <c r="R3917">
        <v>0</v>
      </c>
      <c r="S3917">
        <v>53</v>
      </c>
      <c r="Y3917" t="s">
        <v>21771</v>
      </c>
      <c r="Z3917" t="s">
        <v>17392</v>
      </c>
      <c r="AA3917" t="s">
        <v>21772</v>
      </c>
      <c r="AB3917" t="s">
        <v>21773</v>
      </c>
      <c r="AC3917" t="s">
        <v>7967</v>
      </c>
      <c r="AD3917" s="249" t="str">
        <f>HYPERLINK("https://scontent.cdninstagram.com/t51.2885-15/s320x320/e35/21227310_267588903759374_6563667947728928768_n.jpg")</f>
        <v>https://scontent.cdninstagram.com/t51.2885-15/s320x320/e35/21227310_267588903759374_6563667947728928768_n.jpg</v>
      </c>
      <c r="AE3917" s="249" t="str">
        <f>HYPERLINK("https://scontent.cdninstagram.com/t51.2885-19/s150x150/21148067_117260488996317_6734363846586138624_a.jpg")</f>
        <v>https://scontent.cdninstagram.com/t51.2885-19/s150x150/21148067_117260488996317_6734363846586138624_a.jpg</v>
      </c>
    </row>
    <row r="3918" spans="1:31" ht="15" x14ac:dyDescent="0.25">
      <c r="A3918" t="s">
        <v>2474</v>
      </c>
      <c r="B3918" t="s">
        <v>21774</v>
      </c>
      <c r="C3918" s="221">
        <v>42978.603275462963</v>
      </c>
      <c r="D3918" t="s">
        <v>21775</v>
      </c>
      <c r="E3918" s="249" t="str">
        <f>HYPERLINK("https://www.instagram.com/p/BYd96sFH2gJ/")</f>
        <v>https://www.instagram.com/p/BYd96sFH2gJ/</v>
      </c>
      <c r="F3918" t="s">
        <v>21776</v>
      </c>
      <c r="G3918" t="s">
        <v>2631</v>
      </c>
      <c r="H3918">
        <v>173</v>
      </c>
      <c r="I3918" t="s">
        <v>2479</v>
      </c>
      <c r="J3918">
        <v>1</v>
      </c>
      <c r="K3918">
        <v>28</v>
      </c>
      <c r="L3918">
        <v>29</v>
      </c>
      <c r="Q3918">
        <v>0</v>
      </c>
      <c r="R3918">
        <v>0</v>
      </c>
      <c r="S3918">
        <v>29</v>
      </c>
      <c r="Y3918" t="s">
        <v>5842</v>
      </c>
      <c r="Z3918" t="s">
        <v>21777</v>
      </c>
      <c r="AA3918" t="s">
        <v>17799</v>
      </c>
      <c r="AB3918" t="s">
        <v>3655</v>
      </c>
      <c r="AC3918" t="s">
        <v>2651</v>
      </c>
      <c r="AD3918" s="249" t="str">
        <f>HYPERLINK("https://scontent.cdninstagram.com/t51.2885-15/s320x320/e15/21373194_101550167246057_1954141584886857728_n.jpg")</f>
        <v>https://scontent.cdninstagram.com/t51.2885-15/s320x320/e15/21373194_101550167246057_1954141584886857728_n.jpg</v>
      </c>
      <c r="AE3918" s="249" t="str">
        <f>HYPERLINK("https://scontent.cdninstagram.com/t51.2885-19/s150x150/21296955_871750256317420_5947846878174380032_n.jpg")</f>
        <v>https://scontent.cdninstagram.com/t51.2885-19/s150x150/21296955_871750256317420_5947846878174380032_n.jpg</v>
      </c>
    </row>
    <row r="3919" spans="1:31" ht="15" x14ac:dyDescent="0.25">
      <c r="A3919" t="s">
        <v>2474</v>
      </c>
      <c r="B3919" t="s">
        <v>3248</v>
      </c>
      <c r="C3919" s="221">
        <v>42978.605509259258</v>
      </c>
      <c r="D3919" t="s">
        <v>21778</v>
      </c>
      <c r="E3919" s="249" t="str">
        <f>HYPERLINK("https://www.instagram.com/p/BYd-SNoj6qj/")</f>
        <v>https://www.instagram.com/p/BYd-SNoj6qj/</v>
      </c>
      <c r="F3919" t="s">
        <v>21779</v>
      </c>
      <c r="G3919" t="s">
        <v>2478</v>
      </c>
      <c r="H3919">
        <v>32962</v>
      </c>
      <c r="I3919" t="s">
        <v>2479</v>
      </c>
      <c r="J3919">
        <v>6</v>
      </c>
      <c r="K3919">
        <v>717</v>
      </c>
      <c r="L3919">
        <v>723</v>
      </c>
      <c r="Q3919">
        <v>0</v>
      </c>
      <c r="R3919">
        <v>0</v>
      </c>
      <c r="S3919">
        <v>723</v>
      </c>
      <c r="Y3919" t="s">
        <v>21780</v>
      </c>
      <c r="Z3919" t="s">
        <v>3256</v>
      </c>
      <c r="AA3919" t="s">
        <v>21781</v>
      </c>
      <c r="AB3919" t="s">
        <v>21782</v>
      </c>
      <c r="AC3919" t="s">
        <v>3982</v>
      </c>
      <c r="AD3919" s="249" t="str">
        <f>HYPERLINK("https://scontent.cdninstagram.com/t51.2885-15/s320x320/e35/21224580_137216350220915_7498908071549206528_n.jpg")</f>
        <v>https://scontent.cdninstagram.com/t51.2885-15/s320x320/e35/21224580_137216350220915_7498908071549206528_n.jpg</v>
      </c>
      <c r="AE3919" s="249" t="str">
        <f>HYPERLINK("https://scontent.cdninstagram.com/t51.2885-19/s150x150/16229301_1876915245885793_5124596849776263168_n.jpg")</f>
        <v>https://scontent.cdninstagram.com/t51.2885-19/s150x150/16229301_1876915245885793_5124596849776263168_n.jpg</v>
      </c>
    </row>
    <row r="3920" spans="1:31" ht="15" x14ac:dyDescent="0.25">
      <c r="A3920" t="s">
        <v>2474</v>
      </c>
      <c r="B3920" t="s">
        <v>21762</v>
      </c>
      <c r="C3920" s="221">
        <v>42978.606006944443</v>
      </c>
      <c r="D3920" t="s">
        <v>21783</v>
      </c>
      <c r="E3920" s="249" t="str">
        <f>HYPERLINK("https://www.instagram.com/p/BYd-XhFjoxs/")</f>
        <v>https://www.instagram.com/p/BYd-XhFjoxs/</v>
      </c>
      <c r="F3920" t="s">
        <v>21784</v>
      </c>
      <c r="G3920" t="s">
        <v>2478</v>
      </c>
      <c r="H3920">
        <v>45</v>
      </c>
      <c r="I3920" t="s">
        <v>2479</v>
      </c>
      <c r="J3920">
        <v>0</v>
      </c>
      <c r="K3920">
        <v>10</v>
      </c>
      <c r="L3920">
        <v>10</v>
      </c>
      <c r="Q3920">
        <v>0</v>
      </c>
      <c r="R3920">
        <v>0</v>
      </c>
      <c r="S3920">
        <v>10</v>
      </c>
      <c r="Y3920" t="s">
        <v>21766</v>
      </c>
      <c r="Z3920" t="s">
        <v>2497</v>
      </c>
      <c r="AA3920" t="s">
        <v>21767</v>
      </c>
      <c r="AB3920" t="s">
        <v>9175</v>
      </c>
      <c r="AD3920" s="249" t="str">
        <f>HYPERLINK("https://scontent.cdninstagram.com/t51.2885-15/e35/p320x320/21149873_274598609721648_6280251615735709696_n.jpg")</f>
        <v>https://scontent.cdninstagram.com/t51.2885-15/e35/p320x320/21149873_274598609721648_6280251615735709696_n.jpg</v>
      </c>
      <c r="AE3920" s="249" t="str">
        <f>HYPERLINK("https://scontent.cdninstagram.com/t51.2885-19/s150x150/21041354_1932627666958208_1444612331613978624_a.jpg")</f>
        <v>https://scontent.cdninstagram.com/t51.2885-19/s150x150/21041354_1932627666958208_1444612331613978624_a.jpg</v>
      </c>
    </row>
    <row r="3921" spans="1:31" ht="15" x14ac:dyDescent="0.25">
      <c r="A3921" t="s">
        <v>2474</v>
      </c>
      <c r="B3921" t="s">
        <v>21785</v>
      </c>
      <c r="C3921" s="221">
        <v>42978.606192129628</v>
      </c>
      <c r="D3921" t="s">
        <v>21786</v>
      </c>
      <c r="E3921" s="249" t="str">
        <f>HYPERLINK("https://www.instagram.com/p/BYd-ZY2l8vK/")</f>
        <v>https://www.instagram.com/p/BYd-ZY2l8vK/</v>
      </c>
      <c r="F3921" t="s">
        <v>21787</v>
      </c>
      <c r="G3921" t="s">
        <v>2478</v>
      </c>
      <c r="H3921">
        <v>184</v>
      </c>
      <c r="I3921" t="s">
        <v>2479</v>
      </c>
      <c r="J3921">
        <v>0</v>
      </c>
      <c r="K3921">
        <v>19</v>
      </c>
      <c r="L3921">
        <v>19</v>
      </c>
      <c r="Q3921">
        <v>0</v>
      </c>
      <c r="R3921">
        <v>0</v>
      </c>
      <c r="S3921">
        <v>19</v>
      </c>
      <c r="Y3921" t="s">
        <v>21788</v>
      </c>
      <c r="Z3921" t="s">
        <v>21789</v>
      </c>
      <c r="AA3921" t="s">
        <v>21790</v>
      </c>
      <c r="AB3921" t="s">
        <v>2820</v>
      </c>
      <c r="AC3921" t="s">
        <v>4407</v>
      </c>
      <c r="AD3921" s="249" t="str">
        <f>HYPERLINK("https://scontent.cdninstagram.com/t51.2885-15/s320x320/e35/21227683_1480464758705912_1157110987506057216_n.jpg")</f>
        <v>https://scontent.cdninstagram.com/t51.2885-15/s320x320/e35/21227683_1480464758705912_1157110987506057216_n.jpg</v>
      </c>
      <c r="AE3921" s="249" t="str">
        <f>HYPERLINK("https://scontent.cdninstagram.com/t51.2885-19/s150x150/12912744_219695348410935_1106059523_a.jpg")</f>
        <v>https://scontent.cdninstagram.com/t51.2885-19/s150x150/12912744_219695348410935_1106059523_a.jpg</v>
      </c>
    </row>
    <row r="3922" spans="1:31" ht="15" x14ac:dyDescent="0.25">
      <c r="A3922" t="s">
        <v>2474</v>
      </c>
      <c r="B3922" t="s">
        <v>21791</v>
      </c>
      <c r="C3922" s="221">
        <v>42978.606550925928</v>
      </c>
      <c r="D3922" t="s">
        <v>21792</v>
      </c>
      <c r="E3922" s="249" t="str">
        <f>HYPERLINK("https://www.instagram.com/p/BYd-dPBlTZT/")</f>
        <v>https://www.instagram.com/p/BYd-dPBlTZT/</v>
      </c>
      <c r="F3922" t="s">
        <v>21793</v>
      </c>
      <c r="G3922" t="s">
        <v>2478</v>
      </c>
      <c r="H3922">
        <v>556</v>
      </c>
      <c r="I3922" t="s">
        <v>2479</v>
      </c>
      <c r="J3922">
        <v>5</v>
      </c>
      <c r="K3922">
        <v>60</v>
      </c>
      <c r="L3922">
        <v>65</v>
      </c>
      <c r="Q3922">
        <v>0</v>
      </c>
      <c r="R3922">
        <v>0</v>
      </c>
      <c r="S3922">
        <v>65</v>
      </c>
      <c r="Y3922" t="s">
        <v>21794</v>
      </c>
      <c r="Z3922" t="s">
        <v>21795</v>
      </c>
      <c r="AA3922" t="s">
        <v>2497</v>
      </c>
      <c r="AB3922" t="s">
        <v>21796</v>
      </c>
      <c r="AC3922" t="s">
        <v>21797</v>
      </c>
      <c r="AD3922" s="249" t="str">
        <f>HYPERLINK("https://scontent.cdninstagram.com/t51.2885-15/e35/p320x320/21147980_1560078870702163_5211337365041184768_n.jpg")</f>
        <v>https://scontent.cdninstagram.com/t51.2885-15/e35/p320x320/21147980_1560078870702163_5211337365041184768_n.jpg</v>
      </c>
      <c r="AE3922" s="249" t="str">
        <f>HYPERLINK("https://scontent.cdninstagram.com/t51.2885-19/s150x150/19984410_153117125258158_150086932079050752_a.jpg")</f>
        <v>https://scontent.cdninstagram.com/t51.2885-19/s150x150/19984410_153117125258158_150086932079050752_a.jpg</v>
      </c>
    </row>
    <row r="3923" spans="1:31" ht="15" x14ac:dyDescent="0.25">
      <c r="A3923" t="s">
        <v>2474</v>
      </c>
      <c r="B3923" t="s">
        <v>21798</v>
      </c>
      <c r="C3923" s="221">
        <v>42978.607395833336</v>
      </c>
      <c r="D3923" t="s">
        <v>21799</v>
      </c>
      <c r="E3923" s="249" t="str">
        <f>HYPERLINK("https://www.instagram.com/p/BYd-mJYBy6I/")</f>
        <v>https://www.instagram.com/p/BYd-mJYBy6I/</v>
      </c>
      <c r="F3923" t="s">
        <v>21800</v>
      </c>
      <c r="G3923" t="s">
        <v>2478</v>
      </c>
      <c r="H3923">
        <v>113</v>
      </c>
      <c r="I3923" t="s">
        <v>2542</v>
      </c>
      <c r="J3923">
        <v>3</v>
      </c>
      <c r="K3923">
        <v>15</v>
      </c>
      <c r="L3923">
        <v>18</v>
      </c>
      <c r="Q3923">
        <v>0</v>
      </c>
      <c r="R3923">
        <v>0</v>
      </c>
      <c r="S3923">
        <v>18</v>
      </c>
      <c r="Y3923" t="s">
        <v>21801</v>
      </c>
      <c r="Z3923" t="s">
        <v>15409</v>
      </c>
      <c r="AA3923" t="s">
        <v>3349</v>
      </c>
      <c r="AB3923" t="s">
        <v>2730</v>
      </c>
      <c r="AC3923" t="s">
        <v>8753</v>
      </c>
      <c r="AD3923" s="249" t="str">
        <f>HYPERLINK("https://scontent.cdninstagram.com/t51.2885-15/s320x320/e35/21149303_356043384824625_2463209408348291072_n.jpg")</f>
        <v>https://scontent.cdninstagram.com/t51.2885-15/s320x320/e35/21149303_356043384824625_2463209408348291072_n.jpg</v>
      </c>
      <c r="AE3923" s="249" t="str">
        <f>HYPERLINK("https://scontent.cdninstagram.com/t51.2885-19/s150x150/21042509_1908500216078747_6853397417790799872_a.jpg")</f>
        <v>https://scontent.cdninstagram.com/t51.2885-19/s150x150/21042509_1908500216078747_6853397417790799872_a.jpg</v>
      </c>
    </row>
    <row r="3924" spans="1:31" ht="15" x14ac:dyDescent="0.25">
      <c r="A3924" t="s">
        <v>2474</v>
      </c>
      <c r="B3924" t="s">
        <v>21802</v>
      </c>
      <c r="C3924" s="221">
        <v>42978.610798611109</v>
      </c>
      <c r="D3924" t="s">
        <v>21803</v>
      </c>
      <c r="E3924" s="249" t="str">
        <f>HYPERLINK("https://www.instagram.com/p/BYd_J_gAv5u/")</f>
        <v>https://www.instagram.com/p/BYd_J_gAv5u/</v>
      </c>
      <c r="F3924" t="s">
        <v>21804</v>
      </c>
      <c r="G3924" t="s">
        <v>2631</v>
      </c>
      <c r="H3924">
        <v>2129</v>
      </c>
      <c r="I3924" t="s">
        <v>2479</v>
      </c>
      <c r="J3924">
        <v>0</v>
      </c>
      <c r="K3924">
        <v>11</v>
      </c>
      <c r="L3924">
        <v>11</v>
      </c>
      <c r="Q3924">
        <v>0</v>
      </c>
      <c r="R3924">
        <v>0</v>
      </c>
      <c r="S3924">
        <v>11</v>
      </c>
      <c r="T3924" t="s">
        <v>21805</v>
      </c>
      <c r="V3924" t="s">
        <v>2141</v>
      </c>
      <c r="W3924">
        <v>55.598064217779999</v>
      </c>
      <c r="X3924">
        <v>12.329840119515</v>
      </c>
      <c r="Y3924" t="s">
        <v>12686</v>
      </c>
      <c r="Z3924" t="s">
        <v>3370</v>
      </c>
      <c r="AA3924" t="s">
        <v>3344</v>
      </c>
      <c r="AB3924" t="s">
        <v>21806</v>
      </c>
      <c r="AC3924" t="s">
        <v>4993</v>
      </c>
      <c r="AD3924" s="249" t="str">
        <f>HYPERLINK("https://scontent.cdninstagram.com/t51.2885-15/s320x320/e15/21224548_113823145999819_1457711934622138368_n.jpg")</f>
        <v>https://scontent.cdninstagram.com/t51.2885-15/s320x320/e15/21224548_113823145999819_1457711934622138368_n.jpg</v>
      </c>
      <c r="AE3924" s="249" t="str">
        <f>HYPERLINK("https://scontent.cdninstagram.com/t51.2885-19/s150x150/19122425_444436642591045_2925969731942875136_a.jpg")</f>
        <v>https://scontent.cdninstagram.com/t51.2885-19/s150x150/19122425_444436642591045_2925969731942875136_a.jpg</v>
      </c>
    </row>
    <row r="3925" spans="1:31" ht="15" x14ac:dyDescent="0.25">
      <c r="A3925" t="s">
        <v>2474</v>
      </c>
      <c r="B3925" t="s">
        <v>21807</v>
      </c>
      <c r="C3925" s="221">
        <v>42978.612199074072</v>
      </c>
      <c r="D3925" t="s">
        <v>21808</v>
      </c>
      <c r="E3925" s="249" t="str">
        <f>HYPERLINK("https://www.instagram.com/p/BYd_Y1sDCnK/")</f>
        <v>https://www.instagram.com/p/BYd_Y1sDCnK/</v>
      </c>
      <c r="F3925" t="s">
        <v>21809</v>
      </c>
      <c r="G3925" t="s">
        <v>2478</v>
      </c>
      <c r="H3925">
        <v>162</v>
      </c>
      <c r="I3925" t="s">
        <v>2510</v>
      </c>
      <c r="J3925">
        <v>0</v>
      </c>
      <c r="K3925">
        <v>22</v>
      </c>
      <c r="L3925">
        <v>22</v>
      </c>
      <c r="Q3925">
        <v>0</v>
      </c>
      <c r="R3925">
        <v>0</v>
      </c>
      <c r="S3925">
        <v>22</v>
      </c>
      <c r="Y3925" t="s">
        <v>21810</v>
      </c>
      <c r="Z3925" t="s">
        <v>21811</v>
      </c>
      <c r="AA3925" t="s">
        <v>5169</v>
      </c>
      <c r="AB3925" t="s">
        <v>2559</v>
      </c>
      <c r="AC3925" t="s">
        <v>16675</v>
      </c>
      <c r="AD3925" s="249" t="str">
        <f>HYPERLINK("https://scontent.cdninstagram.com/t51.2885-15/e35/p320x320/21147957_269065836915615_342077257314992128_n.jpg")</f>
        <v>https://scontent.cdninstagram.com/t51.2885-15/e35/p320x320/21147957_269065836915615_342077257314992128_n.jpg</v>
      </c>
      <c r="AE3925" s="249" t="str">
        <f>HYPERLINK("https://scontent.cdninstagram.com/t51.2885-19/s150x150/20225304_138660856724965_7187418918481297408_a.jpg")</f>
        <v>https://scontent.cdninstagram.com/t51.2885-19/s150x150/20225304_138660856724965_7187418918481297408_a.jpg</v>
      </c>
    </row>
    <row r="3926" spans="1:31" ht="15" x14ac:dyDescent="0.25">
      <c r="A3926" t="s">
        <v>2474</v>
      </c>
      <c r="B3926" t="s">
        <v>8705</v>
      </c>
      <c r="C3926" s="221">
        <v>42978.614756944444</v>
      </c>
      <c r="D3926" t="s">
        <v>21812</v>
      </c>
      <c r="E3926" s="249" t="str">
        <f>HYPERLINK("https://www.instagram.com/p/BYd_zuojB8-/")</f>
        <v>https://www.instagram.com/p/BYd_zuojB8-/</v>
      </c>
      <c r="F3926" t="s">
        <v>21813</v>
      </c>
      <c r="G3926" t="s">
        <v>2478</v>
      </c>
      <c r="H3926">
        <v>955</v>
      </c>
      <c r="I3926" t="s">
        <v>2479</v>
      </c>
      <c r="J3926">
        <v>7</v>
      </c>
      <c r="K3926">
        <v>43</v>
      </c>
      <c r="L3926">
        <v>50</v>
      </c>
      <c r="Q3926">
        <v>0</v>
      </c>
      <c r="R3926">
        <v>0</v>
      </c>
      <c r="S3926">
        <v>50</v>
      </c>
      <c r="T3926" t="s">
        <v>8708</v>
      </c>
      <c r="V3926" t="s">
        <v>2240</v>
      </c>
      <c r="W3926">
        <v>37.583333333333002</v>
      </c>
      <c r="X3926">
        <v>-8.6333333333333009</v>
      </c>
      <c r="Y3926" t="s">
        <v>5939</v>
      </c>
      <c r="Z3926" t="s">
        <v>21814</v>
      </c>
      <c r="AA3926" t="s">
        <v>20755</v>
      </c>
      <c r="AB3926" t="s">
        <v>20971</v>
      </c>
      <c r="AC3926" t="s">
        <v>9120</v>
      </c>
      <c r="AD3926" s="249" t="str">
        <f>HYPERLINK("https://scontent.cdninstagram.com/t51.2885-15/s320x320/e35/21107497_677354132454890_1807950029231489024_n.jpg")</f>
        <v>https://scontent.cdninstagram.com/t51.2885-15/s320x320/e35/21107497_677354132454890_1807950029231489024_n.jpg</v>
      </c>
      <c r="AE3926" s="249" t="str">
        <f>HYPERLINK("https://scontent.cdninstagram.com/t51.2885-19/11273008_1005535259487345_1925728229_a.jpg")</f>
        <v>https://scontent.cdninstagram.com/t51.2885-19/11273008_1005535259487345_1925728229_a.jpg</v>
      </c>
    </row>
    <row r="3927" spans="1:31" ht="15" x14ac:dyDescent="0.25">
      <c r="A3927" t="s">
        <v>2474</v>
      </c>
      <c r="B3927" t="s">
        <v>21815</v>
      </c>
      <c r="C3927" s="221">
        <v>42978.616655092592</v>
      </c>
      <c r="D3927" t="s">
        <v>21816</v>
      </c>
      <c r="E3927" s="249" t="str">
        <f>HYPERLINK("https://www.instagram.com/p/BYeAHynFfkr/")</f>
        <v>https://www.instagram.com/p/BYeAHynFfkr/</v>
      </c>
      <c r="F3927" t="s">
        <v>21817</v>
      </c>
      <c r="G3927" t="s">
        <v>2478</v>
      </c>
      <c r="H3927">
        <v>407</v>
      </c>
      <c r="I3927" t="s">
        <v>2542</v>
      </c>
      <c r="J3927">
        <v>0</v>
      </c>
      <c r="K3927">
        <v>63</v>
      </c>
      <c r="L3927">
        <v>63</v>
      </c>
      <c r="Q3927">
        <v>0</v>
      </c>
      <c r="R3927">
        <v>0</v>
      </c>
      <c r="S3927">
        <v>63</v>
      </c>
      <c r="Y3927" t="s">
        <v>4993</v>
      </c>
      <c r="Z3927" t="s">
        <v>21818</v>
      </c>
      <c r="AA3927" t="s">
        <v>5924</v>
      </c>
      <c r="AB3927" t="s">
        <v>21819</v>
      </c>
      <c r="AC3927" t="s">
        <v>2497</v>
      </c>
      <c r="AD3927" s="249" t="str">
        <f>HYPERLINK("https://scontent.cdninstagram.com/t51.2885-15/s320x320/e35/21227345_605230239864488_2196617725973889024_n.jpg")</f>
        <v>https://scontent.cdninstagram.com/t51.2885-15/s320x320/e35/21227345_605230239864488_2196617725973889024_n.jpg</v>
      </c>
      <c r="AE3927" s="249" t="str">
        <f>HYPERLINK("https://scontent.cdninstagram.com/t51.2885-19/s150x150/14701335_1283965528302856_6448602771686948864_a.jpg")</f>
        <v>https://scontent.cdninstagram.com/t51.2885-19/s150x150/14701335_1283965528302856_6448602771686948864_a.jpg</v>
      </c>
    </row>
    <row r="3928" spans="1:31" ht="15" x14ac:dyDescent="0.25">
      <c r="A3928" t="s">
        <v>2474</v>
      </c>
      <c r="B3928" t="s">
        <v>20151</v>
      </c>
      <c r="C3928" s="221">
        <v>42978.620219907411</v>
      </c>
      <c r="D3928" t="s">
        <v>21820</v>
      </c>
      <c r="E3928" s="249" t="str">
        <f>HYPERLINK("https://www.instagram.com/p/BYeAtZklePQ/")</f>
        <v>https://www.instagram.com/p/BYeAtZklePQ/</v>
      </c>
      <c r="F3928" t="s">
        <v>21821</v>
      </c>
      <c r="G3928" t="s">
        <v>2478</v>
      </c>
      <c r="H3928">
        <v>56</v>
      </c>
      <c r="I3928" t="s">
        <v>2479</v>
      </c>
      <c r="J3928">
        <v>2</v>
      </c>
      <c r="K3928">
        <v>28</v>
      </c>
      <c r="L3928">
        <v>30</v>
      </c>
      <c r="Q3928">
        <v>0</v>
      </c>
      <c r="R3928">
        <v>0</v>
      </c>
      <c r="S3928">
        <v>30</v>
      </c>
      <c r="Y3928" t="s">
        <v>13173</v>
      </c>
      <c r="Z3928" t="s">
        <v>21822</v>
      </c>
      <c r="AA3928" t="s">
        <v>2696</v>
      </c>
      <c r="AB3928" t="s">
        <v>5521</v>
      </c>
      <c r="AC3928" t="s">
        <v>20154</v>
      </c>
      <c r="AD3928" s="249" t="str">
        <f>HYPERLINK("https://scontent.cdninstagram.com/t51.2885-15/s320x320/e35/21148121_162860934269401_7980767122571657216_n.jpg")</f>
        <v>https://scontent.cdninstagram.com/t51.2885-15/s320x320/e35/21148121_162860934269401_7980767122571657216_n.jpg</v>
      </c>
      <c r="AE3928" s="249" t="str">
        <f>HYPERLINK("https://scontent.cdninstagram.com/t51.2885-19/s150x150/21294696_294874230994630_4097685682724536320_a.jpg")</f>
        <v>https://scontent.cdninstagram.com/t51.2885-19/s150x150/21294696_294874230994630_4097685682724536320_a.jpg</v>
      </c>
    </row>
    <row r="3929" spans="1:31" ht="15" x14ac:dyDescent="0.25">
      <c r="A3929" t="s">
        <v>2474</v>
      </c>
      <c r="B3929" t="s">
        <v>21823</v>
      </c>
      <c r="C3929" s="221">
        <v>42978.621898148151</v>
      </c>
      <c r="D3929" t="s">
        <v>21824</v>
      </c>
      <c r="E3929" s="249" t="str">
        <f>HYPERLINK("https://www.instagram.com/p/BYeA_CsDTzY/")</f>
        <v>https://www.instagram.com/p/BYeA_CsDTzY/</v>
      </c>
      <c r="F3929" t="s">
        <v>21825</v>
      </c>
      <c r="G3929" t="s">
        <v>2478</v>
      </c>
      <c r="H3929">
        <v>39</v>
      </c>
      <c r="I3929" t="s">
        <v>3575</v>
      </c>
      <c r="J3929">
        <v>0</v>
      </c>
      <c r="K3929">
        <v>17</v>
      </c>
      <c r="L3929">
        <v>17</v>
      </c>
      <c r="Q3929">
        <v>0</v>
      </c>
      <c r="R3929">
        <v>0</v>
      </c>
      <c r="S3929">
        <v>17</v>
      </c>
      <c r="Y3929" t="s">
        <v>21826</v>
      </c>
      <c r="Z3929" t="s">
        <v>21827</v>
      </c>
      <c r="AA3929" t="s">
        <v>21828</v>
      </c>
      <c r="AB3929" t="s">
        <v>3196</v>
      </c>
      <c r="AC3929" t="s">
        <v>21829</v>
      </c>
      <c r="AD3929" s="249" t="str">
        <f>HYPERLINK("https://scontent.cdninstagram.com/t51.2885-15/s320x320/e35/21147794_341294742985439_5028395706969227264_n.jpg")</f>
        <v>https://scontent.cdninstagram.com/t51.2885-15/s320x320/e35/21147794_341294742985439_5028395706969227264_n.jpg</v>
      </c>
      <c r="AE3929" s="249" t="str">
        <f>HYPERLINK("https://scontent.cdninstagram.com/t51.2885-19/s150x150/21148147_1956141777941057_3484314703033794560_a.jpg")</f>
        <v>https://scontent.cdninstagram.com/t51.2885-19/s150x150/21148147_1956141777941057_3484314703033794560_a.jpg</v>
      </c>
    </row>
    <row r="3930" spans="1:31" ht="15" x14ac:dyDescent="0.25">
      <c r="A3930" t="s">
        <v>2474</v>
      </c>
      <c r="B3930" t="s">
        <v>21830</v>
      </c>
      <c r="C3930" s="221">
        <v>42978.629780092589</v>
      </c>
      <c r="D3930" t="s">
        <v>21831</v>
      </c>
      <c r="E3930" s="249" t="str">
        <f>HYPERLINK("https://www.instagram.com/p/BYeCSLPnbjl/")</f>
        <v>https://www.instagram.com/p/BYeCSLPnbjl/</v>
      </c>
      <c r="F3930" t="s">
        <v>21832</v>
      </c>
      <c r="G3930" t="s">
        <v>2478</v>
      </c>
      <c r="H3930">
        <v>166</v>
      </c>
      <c r="I3930" t="s">
        <v>2479</v>
      </c>
      <c r="J3930">
        <v>3</v>
      </c>
      <c r="K3930">
        <v>28</v>
      </c>
      <c r="L3930">
        <v>31</v>
      </c>
      <c r="Q3930">
        <v>0</v>
      </c>
      <c r="R3930">
        <v>0</v>
      </c>
      <c r="S3930">
        <v>31</v>
      </c>
      <c r="Y3930" t="s">
        <v>21833</v>
      </c>
      <c r="Z3930" t="s">
        <v>21834</v>
      </c>
      <c r="AA3930" t="s">
        <v>21835</v>
      </c>
      <c r="AB3930" t="s">
        <v>21836</v>
      </c>
      <c r="AC3930" t="s">
        <v>21837</v>
      </c>
      <c r="AD3930" s="249" t="str">
        <f>HYPERLINK("https://scontent.cdninstagram.com/t51.2885-15/s320x320/e35/21149738_1938758736393765_1085542573063274496_n.jpg")</f>
        <v>https://scontent.cdninstagram.com/t51.2885-15/s320x320/e35/21149738_1938758736393765_1085542573063274496_n.jpg</v>
      </c>
      <c r="AE3930" s="249" t="str">
        <f>HYPERLINK("https://scontent.cdninstagram.com/t51.2885-19/s150x150/14582502_1120720668005629_4239730404505944064_a.jpg")</f>
        <v>https://scontent.cdninstagram.com/t51.2885-19/s150x150/14582502_1120720668005629_4239730404505944064_a.jpg</v>
      </c>
    </row>
    <row r="3931" spans="1:31" ht="15" x14ac:dyDescent="0.25">
      <c r="A3931" t="s">
        <v>2474</v>
      </c>
      <c r="B3931" t="s">
        <v>21838</v>
      </c>
      <c r="C3931" s="221">
        <v>42978.631921296299</v>
      </c>
      <c r="D3931" t="s">
        <v>21839</v>
      </c>
      <c r="E3931" s="249" t="str">
        <f>HYPERLINK("https://www.instagram.com/p/BYeCozWhiP_/")</f>
        <v>https://www.instagram.com/p/BYeCozWhiP_/</v>
      </c>
      <c r="F3931" t="s">
        <v>21840</v>
      </c>
      <c r="G3931" t="s">
        <v>2478</v>
      </c>
      <c r="H3931">
        <v>1766</v>
      </c>
      <c r="I3931" t="s">
        <v>2542</v>
      </c>
      <c r="J3931">
        <v>0</v>
      </c>
      <c r="K3931">
        <v>50</v>
      </c>
      <c r="L3931">
        <v>50</v>
      </c>
      <c r="Q3931">
        <v>0</v>
      </c>
      <c r="R3931">
        <v>0</v>
      </c>
      <c r="S3931">
        <v>50</v>
      </c>
      <c r="T3931" t="s">
        <v>21841</v>
      </c>
      <c r="U3931" t="s">
        <v>106</v>
      </c>
      <c r="V3931" t="s">
        <v>2299</v>
      </c>
      <c r="W3931">
        <v>25.767167400000002</v>
      </c>
      <c r="X3931">
        <v>-80.193087300000002</v>
      </c>
      <c r="Y3931" t="s">
        <v>10415</v>
      </c>
      <c r="Z3931" t="s">
        <v>3671</v>
      </c>
      <c r="AA3931" t="s">
        <v>5168</v>
      </c>
      <c r="AB3931" t="s">
        <v>2666</v>
      </c>
      <c r="AC3931" t="s">
        <v>2497</v>
      </c>
      <c r="AD3931" s="249" t="str">
        <f>HYPERLINK("https://scontent.cdninstagram.com/t51.2885-15/s320x320/e35/21148133_1941824439363025_8269400280756387840_n.jpg")</f>
        <v>https://scontent.cdninstagram.com/t51.2885-15/s320x320/e35/21148133_1941824439363025_8269400280756387840_n.jpg</v>
      </c>
      <c r="AE3931" s="249" t="str">
        <f>HYPERLINK("https://scontent.cdninstagram.com/t51.2885-19/s150x150/20904963_167428600492447_899304673620525056_a.jpg")</f>
        <v>https://scontent.cdninstagram.com/t51.2885-19/s150x150/20904963_167428600492447_899304673620525056_a.jpg</v>
      </c>
    </row>
    <row r="3932" spans="1:31" ht="15" x14ac:dyDescent="0.25">
      <c r="A3932" t="s">
        <v>2474</v>
      </c>
      <c r="B3932" t="s">
        <v>21842</v>
      </c>
      <c r="C3932" s="221">
        <v>42978.631956018522</v>
      </c>
      <c r="D3932" t="s">
        <v>21843</v>
      </c>
      <c r="E3932" s="249" t="str">
        <f>HYPERLINK("https://www.instagram.com/p/BYeCpNUFLh8/")</f>
        <v>https://www.instagram.com/p/BYeCpNUFLh8/</v>
      </c>
      <c r="F3932" t="s">
        <v>21844</v>
      </c>
      <c r="G3932" t="s">
        <v>2478</v>
      </c>
      <c r="H3932">
        <v>4892</v>
      </c>
      <c r="I3932" t="s">
        <v>2910</v>
      </c>
      <c r="J3932">
        <v>0</v>
      </c>
      <c r="K3932">
        <v>659</v>
      </c>
      <c r="L3932">
        <v>659</v>
      </c>
      <c r="Q3932">
        <v>0</v>
      </c>
      <c r="R3932">
        <v>0</v>
      </c>
      <c r="S3932">
        <v>659</v>
      </c>
      <c r="Y3932" t="s">
        <v>2497</v>
      </c>
      <c r="Z3932" t="s">
        <v>21845</v>
      </c>
      <c r="AA3932" t="s">
        <v>4670</v>
      </c>
      <c r="AB3932" t="s">
        <v>21846</v>
      </c>
      <c r="AC3932" t="s">
        <v>21847</v>
      </c>
      <c r="AD3932" s="249" t="str">
        <f>HYPERLINK("https://scontent.cdninstagram.com/t51.2885-15/s320x320/e35/21227519_126362354674324_3420850775914446848_n.jpg")</f>
        <v>https://scontent.cdninstagram.com/t51.2885-15/s320x320/e35/21227519_126362354674324_3420850775914446848_n.jpg</v>
      </c>
      <c r="AE3932" s="249" t="str">
        <f>HYPERLINK("https://scontent.cdninstagram.com/t51.2885-19/s150x150/12819129_826882860789005_1566471282_a.jpg")</f>
        <v>https://scontent.cdninstagram.com/t51.2885-19/s150x150/12819129_826882860789005_1566471282_a.jpg</v>
      </c>
    </row>
    <row r="3933" spans="1:31" ht="15" x14ac:dyDescent="0.25">
      <c r="A3933" t="s">
        <v>2474</v>
      </c>
      <c r="B3933" t="s">
        <v>21848</v>
      </c>
      <c r="C3933" s="221">
        <v>42978.640277777777</v>
      </c>
      <c r="D3933" t="s">
        <v>21849</v>
      </c>
      <c r="E3933" s="249" t="str">
        <f>HYPERLINK("https://www.instagram.com/p/BYeEA51Feyq/")</f>
        <v>https://www.instagram.com/p/BYeEA51Feyq/</v>
      </c>
      <c r="F3933" t="s">
        <v>21850</v>
      </c>
      <c r="G3933" t="s">
        <v>2478</v>
      </c>
      <c r="H3933">
        <v>169</v>
      </c>
      <c r="I3933" t="s">
        <v>2786</v>
      </c>
      <c r="J3933">
        <v>3</v>
      </c>
      <c r="K3933">
        <v>26</v>
      </c>
      <c r="L3933">
        <v>29</v>
      </c>
      <c r="Q3933">
        <v>0</v>
      </c>
      <c r="R3933">
        <v>0</v>
      </c>
      <c r="S3933">
        <v>29</v>
      </c>
      <c r="T3933" t="s">
        <v>21851</v>
      </c>
      <c r="V3933" t="s">
        <v>2161</v>
      </c>
      <c r="W3933">
        <v>52.2</v>
      </c>
      <c r="X3933">
        <v>8.6330555555556003</v>
      </c>
      <c r="Y3933" t="s">
        <v>2497</v>
      </c>
      <c r="Z3933" t="s">
        <v>21852</v>
      </c>
      <c r="AA3933" t="s">
        <v>4779</v>
      </c>
      <c r="AB3933" t="s">
        <v>2513</v>
      </c>
      <c r="AC3933" t="s">
        <v>21853</v>
      </c>
      <c r="AD3933" s="249" t="str">
        <f>HYPERLINK("https://scontent.cdninstagram.com/t51.2885-15/s320x320/e35/21294896_113753875966330_3543377753258590208_n.jpg")</f>
        <v>https://scontent.cdninstagram.com/t51.2885-15/s320x320/e35/21294896_113753875966330_3543377753258590208_n.jpg</v>
      </c>
      <c r="AE3933" s="249" t="str">
        <f>HYPERLINK("https://scontent.cdninstagram.com/t51.2885-19/s150x150/19984753_1317322618387173_6683260547581870080_a.jpg")</f>
        <v>https://scontent.cdninstagram.com/t51.2885-19/s150x150/19984753_1317322618387173_6683260547581870080_a.jpg</v>
      </c>
    </row>
    <row r="3934" spans="1:31" ht="15" x14ac:dyDescent="0.25">
      <c r="A3934" t="s">
        <v>2474</v>
      </c>
      <c r="B3934" t="s">
        <v>21854</v>
      </c>
      <c r="C3934" s="221">
        <v>42978.644456018519</v>
      </c>
      <c r="D3934" t="s">
        <v>21855</v>
      </c>
      <c r="E3934" s="249" t="str">
        <f>HYPERLINK("https://www.instagram.com/p/BYeEtCfnP10/")</f>
        <v>https://www.instagram.com/p/BYeEtCfnP10/</v>
      </c>
      <c r="F3934" t="s">
        <v>21856</v>
      </c>
      <c r="G3934" t="s">
        <v>2478</v>
      </c>
      <c r="H3934">
        <v>370</v>
      </c>
      <c r="I3934" t="s">
        <v>2479</v>
      </c>
      <c r="J3934">
        <v>9</v>
      </c>
      <c r="K3934">
        <v>115</v>
      </c>
      <c r="L3934">
        <v>124</v>
      </c>
      <c r="Q3934">
        <v>0</v>
      </c>
      <c r="R3934">
        <v>0</v>
      </c>
      <c r="S3934">
        <v>124</v>
      </c>
      <c r="Y3934" t="s">
        <v>2497</v>
      </c>
      <c r="Z3934" t="s">
        <v>21857</v>
      </c>
      <c r="AD3934" s="249" t="str">
        <f>HYPERLINK("https://scontent.cdninstagram.com/t51.2885-15/s320x320/e35/21225014_1293407380781707_1191267814439124992_n.jpg")</f>
        <v>https://scontent.cdninstagram.com/t51.2885-15/s320x320/e35/21225014_1293407380781707_1191267814439124992_n.jpg</v>
      </c>
      <c r="AE3934" s="249" t="str">
        <f>HYPERLINK("https://scontent.cdninstagram.com/t51.2885-19/s150x150/20398646_464075877304865_4386524440993726464_a.jpg")</f>
        <v>https://scontent.cdninstagram.com/t51.2885-19/s150x150/20398646_464075877304865_4386524440993726464_a.jpg</v>
      </c>
    </row>
    <row r="3935" spans="1:31" ht="15" x14ac:dyDescent="0.25">
      <c r="A3935" t="s">
        <v>2474</v>
      </c>
      <c r="B3935" t="s">
        <v>19308</v>
      </c>
      <c r="C3935" s="221">
        <v>42978.662476851852</v>
      </c>
      <c r="D3935" t="s">
        <v>21858</v>
      </c>
      <c r="E3935" s="249" t="str">
        <f>HYPERLINK("https://www.instagram.com/p/BYeHrCyHp96/")</f>
        <v>https://www.instagram.com/p/BYeHrCyHp96/</v>
      </c>
      <c r="F3935" t="s">
        <v>21859</v>
      </c>
      <c r="G3935" t="s">
        <v>2478</v>
      </c>
      <c r="H3935">
        <v>335</v>
      </c>
      <c r="I3935" t="s">
        <v>2479</v>
      </c>
      <c r="J3935">
        <v>13</v>
      </c>
      <c r="K3935">
        <v>126</v>
      </c>
      <c r="L3935">
        <v>139</v>
      </c>
      <c r="Q3935">
        <v>0</v>
      </c>
      <c r="R3935">
        <v>0</v>
      </c>
      <c r="S3935">
        <v>139</v>
      </c>
      <c r="Y3935" t="s">
        <v>2911</v>
      </c>
      <c r="Z3935" t="s">
        <v>5287</v>
      </c>
      <c r="AA3935" t="s">
        <v>5229</v>
      </c>
      <c r="AB3935" t="s">
        <v>21860</v>
      </c>
      <c r="AC3935" t="s">
        <v>2992</v>
      </c>
      <c r="AD3935" s="249" t="str">
        <f>HYPERLINK("https://scontent.cdninstagram.com/t51.2885-15/s320x320/e35/21149459_1706025456371729_6670508381658152960_n.jpg")</f>
        <v>https://scontent.cdninstagram.com/t51.2885-15/s320x320/e35/21149459_1706025456371729_6670508381658152960_n.jpg</v>
      </c>
      <c r="AE3935" s="249" t="str">
        <f>HYPERLINK("https://scontent.cdninstagram.com/t51.2885-19/s150x150/20226147_112026909397366_6293439329997946880_a.jpg")</f>
        <v>https://scontent.cdninstagram.com/t51.2885-19/s150x150/20226147_112026909397366_6293439329997946880_a.jpg</v>
      </c>
    </row>
    <row r="3936" spans="1:31" ht="15" x14ac:dyDescent="0.25">
      <c r="A3936" t="s">
        <v>2474</v>
      </c>
      <c r="B3936" t="s">
        <v>21861</v>
      </c>
      <c r="C3936" s="221">
        <v>42978.664733796293</v>
      </c>
      <c r="D3936" t="s">
        <v>21862</v>
      </c>
      <c r="E3936" s="249" t="str">
        <f>HYPERLINK("https://www.instagram.com/p/BYeIC3Enuqi/")</f>
        <v>https://www.instagram.com/p/BYeIC3Enuqi/</v>
      </c>
      <c r="F3936" t="s">
        <v>21863</v>
      </c>
      <c r="G3936" t="s">
        <v>2631</v>
      </c>
      <c r="H3936">
        <v>241</v>
      </c>
      <c r="I3936" t="s">
        <v>2479</v>
      </c>
      <c r="J3936">
        <v>0</v>
      </c>
      <c r="K3936">
        <v>9</v>
      </c>
      <c r="L3936">
        <v>9</v>
      </c>
      <c r="Q3936">
        <v>0</v>
      </c>
      <c r="R3936">
        <v>0</v>
      </c>
      <c r="S3936">
        <v>9</v>
      </c>
      <c r="Y3936" t="s">
        <v>4295</v>
      </c>
      <c r="Z3936" t="s">
        <v>6835</v>
      </c>
      <c r="AA3936" t="s">
        <v>2734</v>
      </c>
      <c r="AB3936" t="s">
        <v>16766</v>
      </c>
      <c r="AC3936" t="s">
        <v>13790</v>
      </c>
      <c r="AD3936" s="249" t="str">
        <f>HYPERLINK("https://scontent.cdninstagram.com/t51.2885-15/e15/p320x320/21294648_289123921565339_7017759064520130560_n.jpg")</f>
        <v>https://scontent.cdninstagram.com/t51.2885-15/e15/p320x320/21294648_289123921565339_7017759064520130560_n.jpg</v>
      </c>
      <c r="AE3936" s="249" t="str">
        <f>HYPERLINK("https://scontent.cdninstagram.com/t51.2885-19/s150x150/20987332_1082002988597336_8821762014511628288_a.jpg")</f>
        <v>https://scontent.cdninstagram.com/t51.2885-19/s150x150/20987332_1082002988597336_8821762014511628288_a.jpg</v>
      </c>
    </row>
    <row r="3937" spans="1:31" ht="15" x14ac:dyDescent="0.25">
      <c r="A3937" t="s">
        <v>2474</v>
      </c>
      <c r="B3937" t="s">
        <v>3565</v>
      </c>
      <c r="C3937" s="221">
        <v>42978.666145833333</v>
      </c>
      <c r="D3937" t="s">
        <v>21864</v>
      </c>
      <c r="E3937" s="249" t="str">
        <f>HYPERLINK("https://www.instagram.com/p/BYeIRzaA5kZ/")</f>
        <v>https://www.instagram.com/p/BYeIRzaA5kZ/</v>
      </c>
      <c r="F3937" t="s">
        <v>21865</v>
      </c>
      <c r="G3937" t="s">
        <v>2478</v>
      </c>
      <c r="H3937">
        <v>57549</v>
      </c>
      <c r="I3937" t="s">
        <v>2479</v>
      </c>
      <c r="J3937">
        <v>7</v>
      </c>
      <c r="K3937">
        <v>252</v>
      </c>
      <c r="L3937">
        <v>259</v>
      </c>
      <c r="Q3937">
        <v>0</v>
      </c>
      <c r="R3937">
        <v>0</v>
      </c>
      <c r="S3937">
        <v>259</v>
      </c>
      <c r="AD3937" s="249" t="str">
        <f>HYPERLINK("https://scontent.cdninstagram.com/t51.2885-15/s320x320/e35/21149478_1606545569416424_5197043602210947072_n.jpg")</f>
        <v>https://scontent.cdninstagram.com/t51.2885-15/s320x320/e35/21149478_1606545569416424_5197043602210947072_n.jpg</v>
      </c>
      <c r="AE3937" s="249" t="str">
        <f>HYPERLINK("https://scontent.cdninstagram.com/t51.2885-19/s150x150/10268950_1639938246262719_2023719557_a.jpg")</f>
        <v>https://scontent.cdninstagram.com/t51.2885-19/s150x150/10268950_1639938246262719_2023719557_a.jpg</v>
      </c>
    </row>
    <row r="3938" spans="1:31" ht="15" x14ac:dyDescent="0.25">
      <c r="A3938" t="s">
        <v>2474</v>
      </c>
      <c r="B3938" t="s">
        <v>21866</v>
      </c>
      <c r="C3938" s="221">
        <v>42978.672002314815</v>
      </c>
      <c r="D3938" t="s">
        <v>21867</v>
      </c>
      <c r="E3938" s="249" t="str">
        <f>HYPERLINK("https://www.instagram.com/p/BYeJPe0H46p/")</f>
        <v>https://www.instagram.com/p/BYeJPe0H46p/</v>
      </c>
      <c r="F3938" t="s">
        <v>21868</v>
      </c>
      <c r="G3938" t="s">
        <v>2478</v>
      </c>
      <c r="H3938">
        <v>296</v>
      </c>
      <c r="I3938" t="s">
        <v>3575</v>
      </c>
      <c r="J3938">
        <v>5</v>
      </c>
      <c r="K3938">
        <v>52</v>
      </c>
      <c r="L3938">
        <v>57</v>
      </c>
      <c r="Q3938">
        <v>0</v>
      </c>
      <c r="R3938">
        <v>0</v>
      </c>
      <c r="S3938">
        <v>57</v>
      </c>
      <c r="Y3938" t="s">
        <v>21869</v>
      </c>
      <c r="Z3938" t="s">
        <v>21870</v>
      </c>
      <c r="AD3938" s="249" t="str">
        <f>HYPERLINK("https://scontent.cdninstagram.com/t51.2885-15/s320x320/e35/21149600_145775922683994_5635117755163213824_n.jpg")</f>
        <v>https://scontent.cdninstagram.com/t51.2885-15/s320x320/e35/21149600_145775922683994_5635117755163213824_n.jpg</v>
      </c>
      <c r="AE3938" s="249" t="str">
        <f>HYPERLINK("https://scontent.cdninstagram.com/t51.2885-19/s150x150/19052250_438668569842446_6764251892638810112_a.jpg")</f>
        <v>https://scontent.cdninstagram.com/t51.2885-19/s150x150/19052250_438668569842446_6764251892638810112_a.jpg</v>
      </c>
    </row>
    <row r="3939" spans="1:31" ht="15" x14ac:dyDescent="0.25">
      <c r="A3939" t="s">
        <v>2474</v>
      </c>
      <c r="B3939" t="s">
        <v>12865</v>
      </c>
      <c r="C3939" s="221">
        <v>42978.683113425926</v>
      </c>
      <c r="D3939" t="s">
        <v>21871</v>
      </c>
      <c r="E3939" s="249" t="str">
        <f>HYPERLINK("https://www.instagram.com/p/BYeLEvxHQT5/")</f>
        <v>https://www.instagram.com/p/BYeLEvxHQT5/</v>
      </c>
      <c r="F3939" t="s">
        <v>21872</v>
      </c>
      <c r="G3939" t="s">
        <v>2478</v>
      </c>
      <c r="H3939">
        <v>6571</v>
      </c>
      <c r="I3939" t="s">
        <v>2479</v>
      </c>
      <c r="J3939">
        <v>44</v>
      </c>
      <c r="K3939">
        <v>765</v>
      </c>
      <c r="L3939">
        <v>809</v>
      </c>
      <c r="Q3939">
        <v>0</v>
      </c>
      <c r="R3939">
        <v>0</v>
      </c>
      <c r="S3939">
        <v>809</v>
      </c>
      <c r="T3939" t="s">
        <v>21873</v>
      </c>
      <c r="U3939" t="s">
        <v>108</v>
      </c>
      <c r="V3939" t="s">
        <v>2299</v>
      </c>
      <c r="W3939">
        <v>38.9756</v>
      </c>
      <c r="X3939">
        <v>-77.6417</v>
      </c>
      <c r="Y3939" t="s">
        <v>21874</v>
      </c>
      <c r="Z3939" t="s">
        <v>21875</v>
      </c>
      <c r="AA3939" t="s">
        <v>19462</v>
      </c>
      <c r="AB3939" t="s">
        <v>5229</v>
      </c>
      <c r="AC3939" t="s">
        <v>12295</v>
      </c>
      <c r="AD3939" s="249" t="str">
        <f>HYPERLINK("https://scontent.cdninstagram.com/t51.2885-15/e35/p320x320/21148006_206704259866979_2382733218848702464_n.jpg")</f>
        <v>https://scontent.cdninstagram.com/t51.2885-15/e35/p320x320/21148006_206704259866979_2382733218848702464_n.jpg</v>
      </c>
      <c r="AE3939" s="249" t="str">
        <f>HYPERLINK("https://scontent.cdninstagram.com/t51.2885-19/s150x150/19424815_1856187741357983_4836335979356749824_a.jpg")</f>
        <v>https://scontent.cdninstagram.com/t51.2885-19/s150x150/19424815_1856187741357983_4836335979356749824_a.jpg</v>
      </c>
    </row>
    <row r="3940" spans="1:31" ht="15" x14ac:dyDescent="0.25">
      <c r="A3940" t="s">
        <v>2474</v>
      </c>
      <c r="B3940" t="s">
        <v>21876</v>
      </c>
      <c r="C3940" s="221">
        <v>42978.696423611109</v>
      </c>
      <c r="D3940" t="s">
        <v>21877</v>
      </c>
      <c r="E3940" s="249" t="str">
        <f>HYPERLINK("https://www.instagram.com/p/BYeNRHxDY7i/")</f>
        <v>https://www.instagram.com/p/BYeNRHxDY7i/</v>
      </c>
      <c r="F3940" t="s">
        <v>21878</v>
      </c>
      <c r="G3940" t="s">
        <v>2478</v>
      </c>
      <c r="H3940">
        <v>509</v>
      </c>
      <c r="I3940" t="s">
        <v>2479</v>
      </c>
      <c r="J3940">
        <v>0</v>
      </c>
      <c r="K3940">
        <v>15</v>
      </c>
      <c r="L3940">
        <v>15</v>
      </c>
      <c r="Q3940">
        <v>0</v>
      </c>
      <c r="R3940">
        <v>0</v>
      </c>
      <c r="S3940">
        <v>15</v>
      </c>
      <c r="T3940" t="s">
        <v>21879</v>
      </c>
      <c r="V3940" t="s">
        <v>2118</v>
      </c>
      <c r="W3940">
        <v>-22.884399999999999</v>
      </c>
      <c r="X3940">
        <v>-43.0944</v>
      </c>
      <c r="Y3940" t="s">
        <v>21880</v>
      </c>
      <c r="Z3940" t="s">
        <v>21881</v>
      </c>
      <c r="AA3940" t="s">
        <v>2497</v>
      </c>
      <c r="AB3940" t="s">
        <v>21882</v>
      </c>
      <c r="AC3940" t="s">
        <v>7967</v>
      </c>
      <c r="AD3940" s="249" t="str">
        <f>HYPERLINK("https://scontent.cdninstagram.com/t51.2885-15/s320x320/e35/21294817_422250801510001_5161316131507535872_n.jpg")</f>
        <v>https://scontent.cdninstagram.com/t51.2885-15/s320x320/e35/21294817_422250801510001_5161316131507535872_n.jpg</v>
      </c>
      <c r="AE3940" s="249" t="str">
        <f>HYPERLINK("https://scontent.cdninstagram.com/t51.2885-19/s150x150/13260799_1203432423015025_746325037_a.jpg")</f>
        <v>https://scontent.cdninstagram.com/t51.2885-19/s150x150/13260799_1203432423015025_746325037_a.jpg</v>
      </c>
    </row>
    <row r="3941" spans="1:31" ht="15" x14ac:dyDescent="0.25">
      <c r="A3941" t="s">
        <v>2474</v>
      </c>
      <c r="B3941" t="s">
        <v>4297</v>
      </c>
      <c r="C3941" s="221">
        <v>42978.704050925924</v>
      </c>
      <c r="D3941" t="s">
        <v>21883</v>
      </c>
      <c r="E3941" s="249" t="str">
        <f>HYPERLINK("https://www.instagram.com/p/BYeOhevHsIS/")</f>
        <v>https://www.instagram.com/p/BYeOhevHsIS/</v>
      </c>
      <c r="F3941" t="s">
        <v>21884</v>
      </c>
      <c r="G3941" t="s">
        <v>2478</v>
      </c>
      <c r="H3941">
        <v>1090</v>
      </c>
      <c r="I3941" t="s">
        <v>2479</v>
      </c>
      <c r="J3941">
        <v>1</v>
      </c>
      <c r="K3941">
        <v>284</v>
      </c>
      <c r="L3941">
        <v>285</v>
      </c>
      <c r="Q3941">
        <v>0</v>
      </c>
      <c r="R3941">
        <v>0</v>
      </c>
      <c r="S3941">
        <v>285</v>
      </c>
      <c r="Y3941" t="s">
        <v>21885</v>
      </c>
      <c r="Z3941" t="s">
        <v>21886</v>
      </c>
      <c r="AA3941" t="s">
        <v>21887</v>
      </c>
      <c r="AB3941" t="s">
        <v>21888</v>
      </c>
      <c r="AC3941" t="s">
        <v>4303</v>
      </c>
      <c r="AD3941" s="249" t="str">
        <f>HYPERLINK("https://scontent.cdninstagram.com/t51.2885-15/s320x320/e35/21227826_137792760160073_88609547593187328_n.jpg")</f>
        <v>https://scontent.cdninstagram.com/t51.2885-15/s320x320/e35/21227826_137792760160073_88609547593187328_n.jpg</v>
      </c>
      <c r="AE3941" s="249" t="str">
        <f>HYPERLINK("https://scontent.cdninstagram.com/t51.2885-19/s150x150/20760021_265138020642655_266657318064619520_a.jpg")</f>
        <v>https://scontent.cdninstagram.com/t51.2885-19/s150x150/20760021_265138020642655_266657318064619520_a.jpg</v>
      </c>
    </row>
    <row r="3942" spans="1:31" ht="15" x14ac:dyDescent="0.25">
      <c r="A3942" t="s">
        <v>2474</v>
      </c>
      <c r="B3942" t="s">
        <v>21889</v>
      </c>
      <c r="C3942" s="221">
        <v>42978.705752314818</v>
      </c>
      <c r="D3942" t="s">
        <v>21890</v>
      </c>
      <c r="E3942" s="249" t="str">
        <f>HYPERLINK("https://www.instagram.com/p/BYeOzdHgvwv/")</f>
        <v>https://www.instagram.com/p/BYeOzdHgvwv/</v>
      </c>
      <c r="F3942" t="s">
        <v>21891</v>
      </c>
      <c r="G3942" t="s">
        <v>2478</v>
      </c>
      <c r="H3942">
        <v>6252</v>
      </c>
      <c r="I3942" t="s">
        <v>2479</v>
      </c>
      <c r="J3942">
        <v>0</v>
      </c>
      <c r="K3942">
        <v>53</v>
      </c>
      <c r="L3942">
        <v>53</v>
      </c>
      <c r="Q3942">
        <v>0</v>
      </c>
      <c r="R3942">
        <v>0</v>
      </c>
      <c r="S3942">
        <v>53</v>
      </c>
      <c r="T3942" t="s">
        <v>8942</v>
      </c>
      <c r="V3942" t="s">
        <v>2102</v>
      </c>
      <c r="W3942">
        <v>-33.86</v>
      </c>
      <c r="X3942">
        <v>151.21100000000001</v>
      </c>
      <c r="Y3942" t="s">
        <v>12270</v>
      </c>
      <c r="Z3942" t="s">
        <v>21892</v>
      </c>
      <c r="AA3942" t="s">
        <v>9963</v>
      </c>
      <c r="AB3942" t="s">
        <v>6122</v>
      </c>
      <c r="AC3942" t="s">
        <v>11937</v>
      </c>
      <c r="AD3942" s="249" t="str">
        <f>HYPERLINK("https://scontent.cdninstagram.com/t51.2885-15/e35/p320x320/21225027_266550700524927_894410816084770816_n.jpg")</f>
        <v>https://scontent.cdninstagram.com/t51.2885-15/e35/p320x320/21225027_266550700524927_894410816084770816_n.jpg</v>
      </c>
      <c r="AE3942" s="249" t="str">
        <f>HYPERLINK("https://scontent.cdninstagram.com/t51.2885-19/s150x150/14566663_1117599998337676_716989148765880320_n.jpg")</f>
        <v>https://scontent.cdninstagram.com/t51.2885-19/s150x150/14566663_1117599998337676_716989148765880320_n.jpg</v>
      </c>
    </row>
    <row r="3943" spans="1:31" ht="15" x14ac:dyDescent="0.25">
      <c r="A3943" t="s">
        <v>2474</v>
      </c>
      <c r="B3943" t="s">
        <v>21893</v>
      </c>
      <c r="C3943" s="221">
        <v>42978.709976851853</v>
      </c>
      <c r="D3943" t="s">
        <v>21894</v>
      </c>
      <c r="E3943" s="249" t="str">
        <f>HYPERLINK("https://www.instagram.com/p/BYePf_nFRbS/")</f>
        <v>https://www.instagram.com/p/BYePf_nFRbS/</v>
      </c>
      <c r="F3943" t="s">
        <v>21895</v>
      </c>
      <c r="G3943" t="s">
        <v>2478</v>
      </c>
      <c r="H3943">
        <v>1124</v>
      </c>
      <c r="I3943" t="s">
        <v>2479</v>
      </c>
      <c r="J3943">
        <v>0</v>
      </c>
      <c r="K3943">
        <v>56</v>
      </c>
      <c r="L3943">
        <v>56</v>
      </c>
      <c r="Q3943">
        <v>0</v>
      </c>
      <c r="R3943">
        <v>0</v>
      </c>
      <c r="S3943">
        <v>56</v>
      </c>
      <c r="Y3943" t="s">
        <v>21896</v>
      </c>
      <c r="Z3943" t="s">
        <v>21897</v>
      </c>
      <c r="AA3943" t="s">
        <v>21898</v>
      </c>
      <c r="AB3943" t="s">
        <v>2559</v>
      </c>
      <c r="AC3943" t="s">
        <v>20909</v>
      </c>
      <c r="AD3943" s="249" t="str">
        <f>HYPERLINK("https://scontent.cdninstagram.com/t51.2885-15/s320x320/e35/21149110_117762018885254_880872284598829056_n.jpg")</f>
        <v>https://scontent.cdninstagram.com/t51.2885-15/s320x320/e35/21149110_117762018885254_880872284598829056_n.jpg</v>
      </c>
      <c r="AE3943" s="249" t="str">
        <f>HYPERLINK("https://scontent.cdninstagram.com/t51.2885-19/s150x150/12599509_168719333524252_956109017_a.jpg")</f>
        <v>https://scontent.cdninstagram.com/t51.2885-19/s150x150/12599509_168719333524252_956109017_a.jpg</v>
      </c>
    </row>
    <row r="3944" spans="1:31" ht="15" x14ac:dyDescent="0.25">
      <c r="A3944" t="s">
        <v>2474</v>
      </c>
      <c r="B3944" t="s">
        <v>21899</v>
      </c>
      <c r="C3944" s="221">
        <v>42978.715104166666</v>
      </c>
      <c r="D3944" t="s">
        <v>21900</v>
      </c>
      <c r="E3944" s="249" t="str">
        <f>HYPERLINK("https://www.instagram.com/p/BYeQWGFA_OM/")</f>
        <v>https://www.instagram.com/p/BYeQWGFA_OM/</v>
      </c>
      <c r="F3944" t="s">
        <v>21901</v>
      </c>
      <c r="G3944" t="s">
        <v>2478</v>
      </c>
      <c r="H3944">
        <v>17697</v>
      </c>
      <c r="I3944" t="s">
        <v>2479</v>
      </c>
      <c r="J3944">
        <v>19</v>
      </c>
      <c r="K3944">
        <v>157</v>
      </c>
      <c r="L3944">
        <v>176</v>
      </c>
      <c r="Q3944">
        <v>0</v>
      </c>
      <c r="R3944">
        <v>0</v>
      </c>
      <c r="S3944">
        <v>176</v>
      </c>
      <c r="T3944" t="s">
        <v>21902</v>
      </c>
      <c r="V3944" t="s">
        <v>2110</v>
      </c>
      <c r="W3944">
        <v>51.089561186387002</v>
      </c>
      <c r="X3944">
        <v>4.3827724456787003</v>
      </c>
      <c r="Y3944" t="s">
        <v>2497</v>
      </c>
      <c r="Z3944" t="s">
        <v>21903</v>
      </c>
      <c r="AA3944" t="s">
        <v>21904</v>
      </c>
      <c r="AB3944" t="s">
        <v>21905</v>
      </c>
      <c r="AC3944" t="s">
        <v>9717</v>
      </c>
      <c r="AD3944" s="249" t="str">
        <f>HYPERLINK("https://scontent.cdninstagram.com/t51.2885-15/s320x320/e35/21149689_273210936509144_6722611218336448512_n.jpg")</f>
        <v>https://scontent.cdninstagram.com/t51.2885-15/s320x320/e35/21149689_273210936509144_6722611218336448512_n.jpg</v>
      </c>
      <c r="AE3944" s="249" t="str">
        <f>HYPERLINK("https://scontent.cdninstagram.com/t51.2885-19/s150x150/12547419_1041942089191398_221845635_a.jpg")</f>
        <v>https://scontent.cdninstagram.com/t51.2885-19/s150x150/12547419_1041942089191398_221845635_a.jpg</v>
      </c>
    </row>
    <row r="3945" spans="1:31" ht="15" x14ac:dyDescent="0.25">
      <c r="A3945" t="s">
        <v>2474</v>
      </c>
      <c r="B3945" t="s">
        <v>21906</v>
      </c>
      <c r="C3945" s="221">
        <v>42978.731574074074</v>
      </c>
      <c r="D3945" t="s">
        <v>21907</v>
      </c>
      <c r="E3945" s="249" t="str">
        <f>HYPERLINK("https://www.instagram.com/p/BYeTD3nldEZ/")</f>
        <v>https://www.instagram.com/p/BYeTD3nldEZ/</v>
      </c>
      <c r="F3945" t="s">
        <v>21908</v>
      </c>
      <c r="G3945" t="s">
        <v>2478</v>
      </c>
      <c r="H3945">
        <v>64</v>
      </c>
      <c r="I3945" t="s">
        <v>2519</v>
      </c>
      <c r="J3945">
        <v>0</v>
      </c>
      <c r="K3945">
        <v>22</v>
      </c>
      <c r="L3945">
        <v>22</v>
      </c>
      <c r="Q3945">
        <v>0</v>
      </c>
      <c r="R3945">
        <v>0</v>
      </c>
      <c r="S3945">
        <v>22</v>
      </c>
      <c r="Y3945" t="s">
        <v>21909</v>
      </c>
      <c r="Z3945" t="s">
        <v>10619</v>
      </c>
      <c r="AA3945" t="s">
        <v>21910</v>
      </c>
      <c r="AB3945" t="s">
        <v>2753</v>
      </c>
      <c r="AC3945" t="s">
        <v>2497</v>
      </c>
      <c r="AD3945" s="249" t="str">
        <f>HYPERLINK("https://scontent.cdninstagram.com/t51.2885-15/e35/p320x320/21147937_502886556719363_7920704384348979200_n.jpg")</f>
        <v>https://scontent.cdninstagram.com/t51.2885-15/e35/p320x320/21147937_502886556719363_7920704384348979200_n.jpg</v>
      </c>
      <c r="AE3945" s="249" t="str">
        <f>HYPERLINK("https://scontent.cdninstagram.com/t51.2885-19/s150x150/15034920_398854753779727_6448037377897136128_a.jpg")</f>
        <v>https://scontent.cdninstagram.com/t51.2885-19/s150x150/15034920_398854753779727_6448037377897136128_a.jpg</v>
      </c>
    </row>
    <row r="3946" spans="1:31" ht="15" x14ac:dyDescent="0.25">
      <c r="A3946" t="s">
        <v>2474</v>
      </c>
      <c r="B3946" t="s">
        <v>4616</v>
      </c>
      <c r="C3946" s="221">
        <v>42978.743530092594</v>
      </c>
      <c r="D3946" t="s">
        <v>21911</v>
      </c>
      <c r="E3946" s="249" t="str">
        <f>HYPERLINK("https://www.instagram.com/p/BYeVB6BB0Ct/")</f>
        <v>https://www.instagram.com/p/BYeVB6BB0Ct/</v>
      </c>
      <c r="F3946" t="s">
        <v>21912</v>
      </c>
      <c r="G3946" t="s">
        <v>2631</v>
      </c>
      <c r="H3946">
        <v>116</v>
      </c>
      <c r="I3946" t="s">
        <v>2479</v>
      </c>
      <c r="J3946">
        <v>1</v>
      </c>
      <c r="K3946">
        <v>40</v>
      </c>
      <c r="L3946">
        <v>41</v>
      </c>
      <c r="Q3946">
        <v>0</v>
      </c>
      <c r="R3946">
        <v>0</v>
      </c>
      <c r="S3946">
        <v>41</v>
      </c>
      <c r="T3946" t="s">
        <v>5004</v>
      </c>
      <c r="W3946">
        <v>56</v>
      </c>
      <c r="X3946">
        <v>-109</v>
      </c>
      <c r="Y3946" t="s">
        <v>4808</v>
      </c>
      <c r="Z3946" t="s">
        <v>4621</v>
      </c>
      <c r="AA3946" t="s">
        <v>5210</v>
      </c>
      <c r="AB3946" t="s">
        <v>6294</v>
      </c>
      <c r="AC3946" t="s">
        <v>4622</v>
      </c>
      <c r="AD3946" s="249" t="str">
        <f>HYPERLINK("https://scontent.cdninstagram.com/t51.2885-15/e15/p320x320/21226963_225389007987606_3653362541335150592_n.jpg")</f>
        <v>https://scontent.cdninstagram.com/t51.2885-15/e15/p320x320/21226963_225389007987606_3653362541335150592_n.jpg</v>
      </c>
      <c r="AE3946" s="249" t="str">
        <f>HYPERLINK("https://scontent.cdninstagram.com/t51.2885-19/s150x150/17494353_1347957098574282_2527511313651859456_a.jpg")</f>
        <v>https://scontent.cdninstagram.com/t51.2885-19/s150x150/17494353_1347957098574282_2527511313651859456_a.jpg</v>
      </c>
    </row>
    <row r="3947" spans="1:31" ht="15" x14ac:dyDescent="0.25">
      <c r="A3947" t="s">
        <v>2474</v>
      </c>
      <c r="B3947" t="s">
        <v>7003</v>
      </c>
      <c r="C3947" s="221">
        <v>42978.755011574074</v>
      </c>
      <c r="D3947" t="s">
        <v>21913</v>
      </c>
      <c r="E3947" s="249" t="str">
        <f>HYPERLINK("https://www.instagram.com/p/BYeW6-oAqyc/")</f>
        <v>https://www.instagram.com/p/BYeW6-oAqyc/</v>
      </c>
      <c r="F3947" t="s">
        <v>21914</v>
      </c>
      <c r="G3947" t="s">
        <v>2478</v>
      </c>
      <c r="H3947">
        <v>23785</v>
      </c>
      <c r="I3947" t="s">
        <v>2479</v>
      </c>
      <c r="J3947">
        <v>36</v>
      </c>
      <c r="K3947">
        <v>2909</v>
      </c>
      <c r="L3947">
        <v>2945</v>
      </c>
      <c r="Q3947">
        <v>0</v>
      </c>
      <c r="R3947">
        <v>0</v>
      </c>
      <c r="S3947">
        <v>2945</v>
      </c>
      <c r="Y3947" t="s">
        <v>4099</v>
      </c>
      <c r="Z3947" t="s">
        <v>2682</v>
      </c>
      <c r="AA3947" t="s">
        <v>8208</v>
      </c>
      <c r="AB3947" t="s">
        <v>21915</v>
      </c>
      <c r="AC3947" t="s">
        <v>21916</v>
      </c>
      <c r="AD3947" s="249" t="str">
        <f>HYPERLINK("https://scontent.cdninstagram.com/t51.2885-15/e35/p320x320/21224544_126545181323793_5444820226862481408_n.jpg")</f>
        <v>https://scontent.cdninstagram.com/t51.2885-15/e35/p320x320/21224544_126545181323793_5444820226862481408_n.jpg</v>
      </c>
      <c r="AE3947" s="249" t="str">
        <f>HYPERLINK("https://scontent.cdninstagram.com/t51.2885-19/s150x150/18299005_447807092243343_3242761266950832128_n.jpg")</f>
        <v>https://scontent.cdninstagram.com/t51.2885-19/s150x150/18299005_447807092243343_3242761266950832128_n.jpg</v>
      </c>
    </row>
    <row r="3948" spans="1:31" ht="15" x14ac:dyDescent="0.25">
      <c r="A3948" t="s">
        <v>2474</v>
      </c>
      <c r="B3948" t="s">
        <v>21917</v>
      </c>
      <c r="C3948" s="221">
        <v>42978.755636574075</v>
      </c>
      <c r="D3948" t="s">
        <v>21918</v>
      </c>
      <c r="E3948" s="249" t="str">
        <f>HYPERLINK("https://www.instagram.com/p/BYeXBqNhI60/")</f>
        <v>https://www.instagram.com/p/BYeXBqNhI60/</v>
      </c>
      <c r="F3948" t="s">
        <v>21919</v>
      </c>
      <c r="G3948" t="s">
        <v>2631</v>
      </c>
      <c r="H3948">
        <v>132</v>
      </c>
      <c r="I3948" t="s">
        <v>2479</v>
      </c>
      <c r="J3948">
        <v>5</v>
      </c>
      <c r="K3948">
        <v>19</v>
      </c>
      <c r="L3948">
        <v>24</v>
      </c>
      <c r="Q3948">
        <v>0</v>
      </c>
      <c r="R3948">
        <v>0</v>
      </c>
      <c r="S3948">
        <v>24</v>
      </c>
      <c r="T3948" t="s">
        <v>21920</v>
      </c>
      <c r="U3948" t="s">
        <v>2020</v>
      </c>
      <c r="V3948" t="s">
        <v>2299</v>
      </c>
      <c r="W3948">
        <v>48.459899999999998</v>
      </c>
      <c r="X3948">
        <v>-115.89100000000001</v>
      </c>
      <c r="Y3948" t="s">
        <v>2497</v>
      </c>
      <c r="Z3948" t="s">
        <v>21921</v>
      </c>
      <c r="AA3948" t="s">
        <v>8844</v>
      </c>
      <c r="AB3948" t="s">
        <v>21922</v>
      </c>
      <c r="AC3948" t="s">
        <v>21923</v>
      </c>
      <c r="AD3948" s="249" t="str">
        <f>HYPERLINK("https://scontent.cdninstagram.com/t51.2885-15/s320x320/e15/21295189_1950775355202855_330999875233644544_n.jpg")</f>
        <v>https://scontent.cdninstagram.com/t51.2885-15/s320x320/e15/21295189_1950775355202855_330999875233644544_n.jpg</v>
      </c>
      <c r="AE3948" s="249" t="str">
        <f>HYPERLINK("https://scontent.cdninstagram.com/t51.2885-19/s150x150/12552331_1545702075756244_1575140864_a.jpg")</f>
        <v>https://scontent.cdninstagram.com/t51.2885-19/s150x150/12552331_1545702075756244_1575140864_a.jpg</v>
      </c>
    </row>
    <row r="3949" spans="1:31" ht="15" x14ac:dyDescent="0.25">
      <c r="A3949" t="s">
        <v>2474</v>
      </c>
      <c r="B3949" t="s">
        <v>2516</v>
      </c>
      <c r="C3949" s="221">
        <v>42978.755833333336</v>
      </c>
      <c r="D3949" t="s">
        <v>21924</v>
      </c>
      <c r="E3949" s="249" t="str">
        <f>HYPERLINK("https://www.instagram.com/p/BYeXDrMjgpn/")</f>
        <v>https://www.instagram.com/p/BYeXDrMjgpn/</v>
      </c>
      <c r="F3949" t="s">
        <v>21925</v>
      </c>
      <c r="G3949" t="s">
        <v>2478</v>
      </c>
      <c r="H3949">
        <v>691</v>
      </c>
      <c r="I3949" t="s">
        <v>2479</v>
      </c>
      <c r="J3949">
        <v>0</v>
      </c>
      <c r="K3949">
        <v>30</v>
      </c>
      <c r="L3949">
        <v>30</v>
      </c>
      <c r="Q3949">
        <v>0</v>
      </c>
      <c r="R3949">
        <v>0</v>
      </c>
      <c r="S3949">
        <v>30</v>
      </c>
      <c r="Y3949" t="s">
        <v>2524</v>
      </c>
      <c r="Z3949" t="s">
        <v>21926</v>
      </c>
      <c r="AA3949" t="s">
        <v>7836</v>
      </c>
      <c r="AB3949" t="s">
        <v>2696</v>
      </c>
      <c r="AC3949" t="s">
        <v>4388</v>
      </c>
      <c r="AD3949" s="249" t="str">
        <f>HYPERLINK("https://scontent.cdninstagram.com/t51.2885-15/s320x320/e35/21224971_464803020562320_4787989800248410112_n.jpg")</f>
        <v>https://scontent.cdninstagram.com/t51.2885-15/s320x320/e35/21224971_464803020562320_4787989800248410112_n.jpg</v>
      </c>
      <c r="AE3949" s="249" t="str">
        <f>HYPERLINK("https://scontent.cdninstagram.com/t51.2885-19/s150x150/21372563_140209839921980_5104164354614362112_a.jpg")</f>
        <v>https://scontent.cdninstagram.com/t51.2885-19/s150x150/21372563_140209839921980_5104164354614362112_a.jpg</v>
      </c>
    </row>
    <row r="3950" spans="1:31" ht="15" x14ac:dyDescent="0.25">
      <c r="A3950" t="s">
        <v>2474</v>
      </c>
      <c r="B3950" t="s">
        <v>21927</v>
      </c>
      <c r="C3950" s="221">
        <v>42978.83252314815</v>
      </c>
      <c r="D3950" t="s">
        <v>21928</v>
      </c>
      <c r="E3950" s="249" t="str">
        <f>HYPERLINK("https://www.instagram.com/p/BYejsiBgwMz/")</f>
        <v>https://www.instagram.com/p/BYejsiBgwMz/</v>
      </c>
      <c r="F3950" t="s">
        <v>21929</v>
      </c>
      <c r="G3950" t="s">
        <v>2478</v>
      </c>
      <c r="H3950">
        <v>424</v>
      </c>
      <c r="I3950" t="s">
        <v>2910</v>
      </c>
      <c r="J3950">
        <v>0</v>
      </c>
      <c r="K3950">
        <v>2</v>
      </c>
      <c r="L3950">
        <v>2</v>
      </c>
      <c r="Q3950">
        <v>0</v>
      </c>
      <c r="R3950">
        <v>0</v>
      </c>
      <c r="S3950">
        <v>2</v>
      </c>
      <c r="Y3950" t="s">
        <v>21930</v>
      </c>
      <c r="Z3950" t="s">
        <v>21931</v>
      </c>
      <c r="AA3950" t="s">
        <v>21932</v>
      </c>
      <c r="AB3950" t="s">
        <v>2497</v>
      </c>
      <c r="AD3950" s="249" t="str">
        <f>HYPERLINK("https://scontent.cdninstagram.com/t51.2885-15/e35/p320x320/21224491_148012475795219_1586509126131777536_n.jpg")</f>
        <v>https://scontent.cdninstagram.com/t51.2885-15/e35/p320x320/21224491_148012475795219_1586509126131777536_n.jpg</v>
      </c>
      <c r="AE3950" s="249" t="str">
        <f>HYPERLINK("https://scontent.cdninstagram.com/t51.2885-19/s150x150/19228473_185614911968705_2308609161425846272_a.jpg")</f>
        <v>https://scontent.cdninstagram.com/t51.2885-19/s150x150/19228473_185614911968705_2308609161425846272_a.jpg</v>
      </c>
    </row>
    <row r="3951" spans="1:31" ht="15" x14ac:dyDescent="0.25">
      <c r="A3951" t="s">
        <v>2474</v>
      </c>
      <c r="B3951" t="s">
        <v>21933</v>
      </c>
      <c r="C3951" s="221">
        <v>42978.835081018522</v>
      </c>
      <c r="D3951" t="s">
        <v>21934</v>
      </c>
      <c r="E3951" s="249" t="str">
        <f>HYPERLINK("https://www.instagram.com/p/BYekHhmF17r/")</f>
        <v>https://www.instagram.com/p/BYekHhmF17r/</v>
      </c>
      <c r="F3951" t="s">
        <v>21935</v>
      </c>
      <c r="G3951" t="s">
        <v>2478</v>
      </c>
      <c r="H3951">
        <v>472</v>
      </c>
      <c r="I3951" t="s">
        <v>2479</v>
      </c>
      <c r="J3951">
        <v>2</v>
      </c>
      <c r="K3951">
        <v>32</v>
      </c>
      <c r="L3951">
        <v>34</v>
      </c>
      <c r="Q3951">
        <v>0</v>
      </c>
      <c r="R3951">
        <v>0</v>
      </c>
      <c r="S3951">
        <v>34</v>
      </c>
      <c r="T3951" t="s">
        <v>21936</v>
      </c>
      <c r="W3951">
        <v>61.2333</v>
      </c>
      <c r="X3951">
        <v>14.033300000000001</v>
      </c>
      <c r="Y3951" t="s">
        <v>21937</v>
      </c>
      <c r="Z3951" t="s">
        <v>14963</v>
      </c>
      <c r="AA3951" t="s">
        <v>21938</v>
      </c>
      <c r="AB3951" t="s">
        <v>5521</v>
      </c>
      <c r="AC3951" t="s">
        <v>12213</v>
      </c>
      <c r="AD3951" s="249" t="str">
        <f>HYPERLINK("https://scontent.cdninstagram.com/t51.2885-15/e35/p320x320/21149548_1433208136728004_3510233795578036224_n.jpg")</f>
        <v>https://scontent.cdninstagram.com/t51.2885-15/e35/p320x320/21149548_1433208136728004_3510233795578036224_n.jpg</v>
      </c>
      <c r="AE3951" s="249" t="str">
        <f>HYPERLINK("https://scontent.cdninstagram.com/t51.2885-19/s150x150/12599188_220860184941768_2121475905_a.jpg")</f>
        <v>https://scontent.cdninstagram.com/t51.2885-19/s150x150/12599188_220860184941768_2121475905_a.jpg</v>
      </c>
    </row>
    <row r="3952" spans="1:31" ht="15" x14ac:dyDescent="0.25">
      <c r="A3952" t="s">
        <v>2474</v>
      </c>
      <c r="B3952" t="s">
        <v>16401</v>
      </c>
      <c r="C3952" s="221">
        <v>42978.838159722225</v>
      </c>
      <c r="D3952" t="s">
        <v>21939</v>
      </c>
      <c r="E3952" s="249" t="str">
        <f>HYPERLINK("https://www.instagram.com/p/BYekn_BhCSB/")</f>
        <v>https://www.instagram.com/p/BYekn_BhCSB/</v>
      </c>
      <c r="F3952" t="s">
        <v>21940</v>
      </c>
      <c r="G3952" t="s">
        <v>2478</v>
      </c>
      <c r="H3952">
        <v>305</v>
      </c>
      <c r="I3952" t="s">
        <v>2927</v>
      </c>
      <c r="J3952">
        <v>0</v>
      </c>
      <c r="K3952">
        <v>21</v>
      </c>
      <c r="L3952">
        <v>21</v>
      </c>
      <c r="Q3952">
        <v>0</v>
      </c>
      <c r="R3952">
        <v>0</v>
      </c>
      <c r="S3952">
        <v>21</v>
      </c>
      <c r="T3952" t="s">
        <v>21941</v>
      </c>
      <c r="V3952" t="s">
        <v>2212</v>
      </c>
      <c r="W3952">
        <v>18.883299999999998</v>
      </c>
      <c r="X3952">
        <v>-97.7333</v>
      </c>
      <c r="Y3952" t="s">
        <v>17105</v>
      </c>
      <c r="Z3952" t="s">
        <v>16406</v>
      </c>
      <c r="AA3952" t="s">
        <v>21942</v>
      </c>
      <c r="AB3952" t="s">
        <v>4407</v>
      </c>
      <c r="AC3952" t="s">
        <v>21943</v>
      </c>
      <c r="AD3952" s="249" t="str">
        <f>HYPERLINK("https://scontent.cdninstagram.com/t51.2885-15/s320x320/e35/21149642_263384880835499_8366511913680502784_n.jpg")</f>
        <v>https://scontent.cdninstagram.com/t51.2885-15/s320x320/e35/21149642_263384880835499_8366511913680502784_n.jpg</v>
      </c>
      <c r="AE3952" s="249" t="str">
        <f>HYPERLINK("https://scontent.cdninstagram.com/t51.2885-19/s150x150/18579863_1537589379585561_4037411988593180672_a.jpg")</f>
        <v>https://scontent.cdninstagram.com/t51.2885-19/s150x150/18579863_1537589379585561_4037411988593180672_a.jpg</v>
      </c>
    </row>
    <row r="3953" spans="1:31" ht="15" x14ac:dyDescent="0.25">
      <c r="A3953" t="s">
        <v>2474</v>
      </c>
      <c r="B3953" t="s">
        <v>21944</v>
      </c>
      <c r="C3953" s="221">
        <v>42978.843784722223</v>
      </c>
      <c r="D3953" t="s">
        <v>21945</v>
      </c>
      <c r="E3953" s="249" t="str">
        <f>HYPERLINK("https://www.instagram.com/p/BYeljVcA00s/")</f>
        <v>https://www.instagram.com/p/BYeljVcA00s/</v>
      </c>
      <c r="F3953" t="s">
        <v>21946</v>
      </c>
      <c r="G3953" t="s">
        <v>2478</v>
      </c>
      <c r="H3953">
        <v>226</v>
      </c>
      <c r="I3953" t="s">
        <v>2850</v>
      </c>
      <c r="J3953">
        <v>0</v>
      </c>
      <c r="K3953">
        <v>7</v>
      </c>
      <c r="L3953">
        <v>7</v>
      </c>
      <c r="Q3953">
        <v>0</v>
      </c>
      <c r="R3953">
        <v>0</v>
      </c>
      <c r="S3953">
        <v>7</v>
      </c>
      <c r="Y3953" t="s">
        <v>21947</v>
      </c>
      <c r="Z3953" t="s">
        <v>21948</v>
      </c>
      <c r="AA3953" t="s">
        <v>21949</v>
      </c>
      <c r="AB3953" t="s">
        <v>21950</v>
      </c>
      <c r="AC3953" t="s">
        <v>21951</v>
      </c>
      <c r="AD3953" s="249" t="str">
        <f>HYPERLINK("https://scontent.cdninstagram.com/t51.2885-15/s320x320/e35/21148957_1806050276073220_6872567755208392704_n.jpg")</f>
        <v>https://scontent.cdninstagram.com/t51.2885-15/s320x320/e35/21148957_1806050276073220_6872567755208392704_n.jpg</v>
      </c>
      <c r="AE3953" s="249" t="str">
        <f>HYPERLINK("https://scontent.cdninstagram.com/t51.2885-19/s150x150/21107122_512326672447147_7811069717711421440_n.jpg")</f>
        <v>https://scontent.cdninstagram.com/t51.2885-19/s150x150/21107122_512326672447147_7811069717711421440_n.jpg</v>
      </c>
    </row>
    <row r="3954" spans="1:31" ht="15" x14ac:dyDescent="0.25">
      <c r="A3954" t="s">
        <v>2474</v>
      </c>
      <c r="B3954" t="s">
        <v>21952</v>
      </c>
      <c r="C3954" s="221">
        <v>42978.855879629627</v>
      </c>
      <c r="D3954" t="s">
        <v>21953</v>
      </c>
      <c r="E3954" s="249" t="str">
        <f>HYPERLINK("https://www.instagram.com/p/BYeni0LBDOz/")</f>
        <v>https://www.instagram.com/p/BYeni0LBDOz/</v>
      </c>
      <c r="F3954" t="s">
        <v>21954</v>
      </c>
      <c r="G3954" t="s">
        <v>2478</v>
      </c>
      <c r="H3954">
        <v>270</v>
      </c>
      <c r="I3954" t="s">
        <v>3170</v>
      </c>
      <c r="J3954">
        <v>4</v>
      </c>
      <c r="K3954">
        <v>53</v>
      </c>
      <c r="L3954">
        <v>57</v>
      </c>
      <c r="Q3954">
        <v>0</v>
      </c>
      <c r="R3954">
        <v>0</v>
      </c>
      <c r="S3954">
        <v>57</v>
      </c>
      <c r="Y3954" t="s">
        <v>21955</v>
      </c>
      <c r="Z3954" t="s">
        <v>21956</v>
      </c>
      <c r="AA3954" t="s">
        <v>2567</v>
      </c>
      <c r="AB3954" t="s">
        <v>5765</v>
      </c>
      <c r="AC3954" t="s">
        <v>13956</v>
      </c>
      <c r="AD3954" s="249" t="str">
        <f>HYPERLINK("https://scontent.cdninstagram.com/t51.2885-15/s320x320/e35/21147281_1530173000382910_2722324158250745856_n.jpg")</f>
        <v>https://scontent.cdninstagram.com/t51.2885-15/s320x320/e35/21147281_1530173000382910_2722324158250745856_n.jpg</v>
      </c>
      <c r="AE3954" s="249" t="str">
        <f>HYPERLINK("https://scontent.cdninstagram.com/t51.2885-19/s150x150/21149431_1542602669119035_5745717290498785280_a.jpg")</f>
        <v>https://scontent.cdninstagram.com/t51.2885-19/s150x150/21149431_1542602669119035_5745717290498785280_a.jpg</v>
      </c>
    </row>
    <row r="3955" spans="1:31" ht="15" x14ac:dyDescent="0.25">
      <c r="A3955" t="s">
        <v>2474</v>
      </c>
      <c r="B3955" t="s">
        <v>21957</v>
      </c>
      <c r="C3955" s="221">
        <v>42978.863807870373</v>
      </c>
      <c r="D3955" t="s">
        <v>21958</v>
      </c>
      <c r="E3955" s="249" t="str">
        <f>HYPERLINK("https://www.instagram.com/p/BYeo2hyH2fP/")</f>
        <v>https://www.instagram.com/p/BYeo2hyH2fP/</v>
      </c>
      <c r="F3955" t="s">
        <v>21959</v>
      </c>
      <c r="G3955" t="s">
        <v>2478</v>
      </c>
      <c r="H3955">
        <v>202</v>
      </c>
      <c r="I3955" t="s">
        <v>2582</v>
      </c>
      <c r="J3955">
        <v>0</v>
      </c>
      <c r="K3955">
        <v>17</v>
      </c>
      <c r="L3955">
        <v>17</v>
      </c>
      <c r="Q3955">
        <v>0</v>
      </c>
      <c r="R3955">
        <v>0</v>
      </c>
      <c r="S3955">
        <v>17</v>
      </c>
      <c r="Y3955" t="s">
        <v>6074</v>
      </c>
      <c r="Z3955" t="s">
        <v>2575</v>
      </c>
      <c r="AA3955" t="s">
        <v>2497</v>
      </c>
      <c r="AD3955" s="249" t="str">
        <f>HYPERLINK("https://scontent.cdninstagram.com/t51.2885-15/s320x320/e35/21227138_113746699306756_3696386899481460736_n.jpg")</f>
        <v>https://scontent.cdninstagram.com/t51.2885-15/s320x320/e35/21227138_113746699306756_3696386899481460736_n.jpg</v>
      </c>
      <c r="AE3955" s="249" t="str">
        <f>HYPERLINK("https://scontent.cdninstagram.com/t51.2885-19/s150x150/14719664_139180436546769_7648747763835863040_a.jpg")</f>
        <v>https://scontent.cdninstagram.com/t51.2885-19/s150x150/14719664_139180436546769_7648747763835863040_a.jpg</v>
      </c>
    </row>
    <row r="3956" spans="1:31" ht="15" x14ac:dyDescent="0.25">
      <c r="A3956" t="s">
        <v>2474</v>
      </c>
      <c r="B3956" t="s">
        <v>4535</v>
      </c>
      <c r="C3956" s="221">
        <v>42978.871006944442</v>
      </c>
      <c r="D3956" t="s">
        <v>21960</v>
      </c>
      <c r="E3956" s="249" t="str">
        <f>HYPERLINK("https://www.instagram.com/p/BYeqCcrlB4v/")</f>
        <v>https://www.instagram.com/p/BYeqCcrlB4v/</v>
      </c>
      <c r="F3956" t="s">
        <v>21961</v>
      </c>
      <c r="G3956" t="s">
        <v>2488</v>
      </c>
      <c r="H3956">
        <v>178</v>
      </c>
      <c r="I3956" t="s">
        <v>2479</v>
      </c>
      <c r="J3956">
        <v>1</v>
      </c>
      <c r="K3956">
        <v>43</v>
      </c>
      <c r="L3956">
        <v>44</v>
      </c>
      <c r="Q3956">
        <v>0</v>
      </c>
      <c r="R3956">
        <v>0</v>
      </c>
      <c r="S3956">
        <v>44</v>
      </c>
      <c r="Y3956" t="s">
        <v>12353</v>
      </c>
      <c r="Z3956" t="s">
        <v>5608</v>
      </c>
      <c r="AA3956" t="s">
        <v>4538</v>
      </c>
      <c r="AB3956" t="s">
        <v>12358</v>
      </c>
      <c r="AC3956" t="s">
        <v>5607</v>
      </c>
      <c r="AD3956" s="249" t="str">
        <f>HYPERLINK("https://scontent.cdninstagram.com/t51.2885-15/s320x320/e35/21224942_114186419317686_3077402084002234368_n.jpg")</f>
        <v>https://scontent.cdninstagram.com/t51.2885-15/s320x320/e35/21224942_114186419317686_3077402084002234368_n.jpg</v>
      </c>
      <c r="AE3956" s="249" t="str">
        <f>HYPERLINK("https://scontent.cdninstagram.com/t51.2885-19/s150x150/20399028_1624608414236560_533007696291430400_a.jpg")</f>
        <v>https://scontent.cdninstagram.com/t51.2885-19/s150x150/20399028_1624608414236560_533007696291430400_a.jpg</v>
      </c>
    </row>
    <row r="3957" spans="1:31" ht="15" x14ac:dyDescent="0.25">
      <c r="A3957" t="s">
        <v>2474</v>
      </c>
      <c r="B3957" t="s">
        <v>21962</v>
      </c>
      <c r="C3957" s="221">
        <v>42978.886041666665</v>
      </c>
      <c r="D3957" t="s">
        <v>21963</v>
      </c>
      <c r="E3957" s="249" t="str">
        <f>HYPERLINK("https://www.instagram.com/p/BYesg_TA_-Z/")</f>
        <v>https://www.instagram.com/p/BYesg_TA_-Z/</v>
      </c>
      <c r="F3957" t="s">
        <v>21964</v>
      </c>
      <c r="G3957" t="s">
        <v>2478</v>
      </c>
      <c r="H3957">
        <v>151</v>
      </c>
      <c r="I3957" t="s">
        <v>2542</v>
      </c>
      <c r="J3957">
        <v>0</v>
      </c>
      <c r="K3957">
        <v>7</v>
      </c>
      <c r="L3957">
        <v>7</v>
      </c>
      <c r="Q3957">
        <v>0</v>
      </c>
      <c r="R3957">
        <v>0</v>
      </c>
      <c r="S3957">
        <v>7</v>
      </c>
      <c r="Y3957" t="s">
        <v>21962</v>
      </c>
      <c r="Z3957" t="s">
        <v>2497</v>
      </c>
      <c r="AA3957" t="s">
        <v>18272</v>
      </c>
      <c r="AB3957" t="s">
        <v>21965</v>
      </c>
      <c r="AD3957" s="249" t="str">
        <f>HYPERLINK("https://scontent.cdninstagram.com/t51.2885-15/s320x320/e35/21225021_1114796995318999_4702824167886553088_n.jpg")</f>
        <v>https://scontent.cdninstagram.com/t51.2885-15/s320x320/e35/21225021_1114796995318999_4702824167886553088_n.jpg</v>
      </c>
      <c r="AE3957" s="249" t="str">
        <f>HYPERLINK("https://scontent.cdninstagram.com/t51.2885-19/10706651_1478199802446942_1548708992_a.jpg")</f>
        <v>https://scontent.cdninstagram.com/t51.2885-19/10706651_1478199802446942_1548708992_a.jpg</v>
      </c>
    </row>
    <row r="3958" spans="1:31" ht="15" x14ac:dyDescent="0.25">
      <c r="A3958" t="s">
        <v>2474</v>
      </c>
      <c r="B3958" t="s">
        <v>21966</v>
      </c>
      <c r="C3958" s="221">
        <v>42978.890173611115</v>
      </c>
      <c r="D3958" t="s">
        <v>21967</v>
      </c>
      <c r="E3958" s="249" t="str">
        <f>HYPERLINK("https://www.instagram.com/p/BYetMlJFcSB/")</f>
        <v>https://www.instagram.com/p/BYetMlJFcSB/</v>
      </c>
      <c r="F3958" t="s">
        <v>21968</v>
      </c>
      <c r="G3958" t="s">
        <v>2488</v>
      </c>
      <c r="H3958">
        <v>187</v>
      </c>
      <c r="I3958" t="s">
        <v>2479</v>
      </c>
      <c r="J3958">
        <v>7</v>
      </c>
      <c r="K3958">
        <v>43</v>
      </c>
      <c r="L3958">
        <v>50</v>
      </c>
      <c r="Q3958">
        <v>0</v>
      </c>
      <c r="R3958">
        <v>0</v>
      </c>
      <c r="S3958">
        <v>50</v>
      </c>
      <c r="Y3958" t="s">
        <v>2524</v>
      </c>
      <c r="Z3958" t="s">
        <v>21969</v>
      </c>
      <c r="AA3958" t="s">
        <v>21970</v>
      </c>
      <c r="AB3958" t="s">
        <v>21971</v>
      </c>
      <c r="AC3958" t="s">
        <v>21972</v>
      </c>
      <c r="AD3958" s="249" t="str">
        <f>HYPERLINK("https://scontent.cdninstagram.com/t51.2885-15/s320x320/e15/21149559_131739520780934_8437682476712722432_n.jpg")</f>
        <v>https://scontent.cdninstagram.com/t51.2885-15/s320x320/e15/21149559_131739520780934_8437682476712722432_n.jpg</v>
      </c>
      <c r="AE3958" s="249" t="str">
        <f>HYPERLINK("https://scontent.cdninstagram.com/t51.2885-19/s150x150/19932684_1355073424591969_37856739395108864_a.jpg")</f>
        <v>https://scontent.cdninstagram.com/t51.2885-19/s150x150/19932684_1355073424591969_37856739395108864_a.jpg</v>
      </c>
    </row>
    <row r="3959" spans="1:31" ht="15" x14ac:dyDescent="0.25">
      <c r="A3959" t="s">
        <v>2474</v>
      </c>
      <c r="B3959" t="s">
        <v>21973</v>
      </c>
      <c r="C3959" s="221">
        <v>42978.890497685185</v>
      </c>
      <c r="D3959" t="s">
        <v>21974</v>
      </c>
      <c r="E3959" s="249" t="str">
        <f>HYPERLINK("https://www.instagram.com/p/BYetP8yhLQ7/")</f>
        <v>https://www.instagram.com/p/BYetP8yhLQ7/</v>
      </c>
      <c r="F3959" t="s">
        <v>21975</v>
      </c>
      <c r="G3959" t="s">
        <v>2488</v>
      </c>
      <c r="H3959">
        <v>720</v>
      </c>
      <c r="I3959" t="s">
        <v>2479</v>
      </c>
      <c r="J3959">
        <v>11</v>
      </c>
      <c r="K3959">
        <v>54</v>
      </c>
      <c r="L3959">
        <v>65</v>
      </c>
      <c r="Q3959">
        <v>0</v>
      </c>
      <c r="R3959">
        <v>0</v>
      </c>
      <c r="S3959">
        <v>65</v>
      </c>
      <c r="Y3959" t="s">
        <v>21976</v>
      </c>
      <c r="Z3959" t="s">
        <v>21977</v>
      </c>
      <c r="AA3959" t="s">
        <v>21978</v>
      </c>
      <c r="AB3959" t="s">
        <v>3570</v>
      </c>
      <c r="AC3959" t="s">
        <v>21979</v>
      </c>
      <c r="AD3959" s="249" t="str">
        <f>HYPERLINK("https://scontent.cdninstagram.com/t51.2885-15/s320x320/e35/21148980_116073422427384_8743811291551891456_n.jpg")</f>
        <v>https://scontent.cdninstagram.com/t51.2885-15/s320x320/e35/21148980_116073422427384_8743811291551891456_n.jpg</v>
      </c>
      <c r="AE3959" s="249" t="str">
        <f>HYPERLINK("https://scontent.cdninstagram.com/t51.2885-19/s150x150/15539053_1635895520044587_5725661494033514496_a.jpg")</f>
        <v>https://scontent.cdninstagram.com/t51.2885-19/s150x150/15539053_1635895520044587_5725661494033514496_a.jpg</v>
      </c>
    </row>
    <row r="3960" spans="1:31" ht="15" x14ac:dyDescent="0.25">
      <c r="A3960" t="s">
        <v>2474</v>
      </c>
      <c r="B3960" t="s">
        <v>17158</v>
      </c>
      <c r="C3960" s="221">
        <v>42978.90016203704</v>
      </c>
      <c r="D3960" t="s">
        <v>21980</v>
      </c>
      <c r="E3960" s="249" t="str">
        <f>HYPERLINK("https://www.instagram.com/p/BYeu18qHk5h/")</f>
        <v>https://www.instagram.com/p/BYeu18qHk5h/</v>
      </c>
      <c r="F3960" t="s">
        <v>21981</v>
      </c>
      <c r="G3960" t="s">
        <v>2478</v>
      </c>
      <c r="H3960">
        <v>379</v>
      </c>
      <c r="I3960" t="s">
        <v>2479</v>
      </c>
      <c r="J3960">
        <v>1</v>
      </c>
      <c r="K3960">
        <v>61</v>
      </c>
      <c r="L3960">
        <v>62</v>
      </c>
      <c r="Q3960">
        <v>0</v>
      </c>
      <c r="R3960">
        <v>0</v>
      </c>
      <c r="S3960">
        <v>62</v>
      </c>
      <c r="Y3960" t="s">
        <v>14313</v>
      </c>
      <c r="Z3960" t="s">
        <v>16743</v>
      </c>
      <c r="AA3960" t="s">
        <v>20138</v>
      </c>
      <c r="AB3960" t="s">
        <v>17162</v>
      </c>
      <c r="AC3960" t="s">
        <v>6043</v>
      </c>
      <c r="AD3960" s="249" t="str">
        <f>HYPERLINK("https://scontent.cdninstagram.com/t51.2885-15/s320x320/e35/21149727_232367460624029_5451504437220605952_n.jpg")</f>
        <v>https://scontent.cdninstagram.com/t51.2885-15/s320x320/e35/21149727_232367460624029_5451504437220605952_n.jpg</v>
      </c>
      <c r="AE3960" s="249" t="str">
        <f>HYPERLINK("https://scontent.cdninstagram.com/t51.2885-19/s150x150/13658639_315931348749567_46952542_a.jpg")</f>
        <v>https://scontent.cdninstagram.com/t51.2885-19/s150x150/13658639_315931348749567_46952542_a.jpg</v>
      </c>
    </row>
    <row r="3961" spans="1:31" ht="15" x14ac:dyDescent="0.25">
      <c r="A3961" t="s">
        <v>2474</v>
      </c>
      <c r="B3961" t="s">
        <v>15206</v>
      </c>
      <c r="C3961" s="221">
        <v>42978.902928240743</v>
      </c>
      <c r="D3961" t="s">
        <v>21982</v>
      </c>
      <c r="E3961" s="249" t="str">
        <f>HYPERLINK("https://www.instagram.com/p/BYevTHWFUAA/")</f>
        <v>https://www.instagram.com/p/BYevTHWFUAA/</v>
      </c>
      <c r="F3961" t="s">
        <v>21983</v>
      </c>
      <c r="G3961" t="s">
        <v>2478</v>
      </c>
      <c r="H3961">
        <v>61820</v>
      </c>
      <c r="I3961" t="s">
        <v>2479</v>
      </c>
      <c r="J3961">
        <v>11</v>
      </c>
      <c r="K3961">
        <v>1145</v>
      </c>
      <c r="L3961">
        <v>1156</v>
      </c>
      <c r="Q3961">
        <v>0</v>
      </c>
      <c r="R3961">
        <v>0</v>
      </c>
      <c r="S3961">
        <v>1156</v>
      </c>
      <c r="AD3961" s="249" t="str">
        <f>HYPERLINK("https://scontent.cdninstagram.com/t51.2885-15/e35/p320x320/21294790_112304996129697_8044531452588589056_n.jpg")</f>
        <v>https://scontent.cdninstagram.com/t51.2885-15/e35/p320x320/21294790_112304996129697_8044531452588589056_n.jpg</v>
      </c>
      <c r="AE3961" s="249" t="str">
        <f>HYPERLINK("https://scontent.cdninstagram.com/t51.2885-19/17663530_1657274724581959_2295744149531394048_n.jpg")</f>
        <v>https://scontent.cdninstagram.com/t51.2885-19/17663530_1657274724581959_2295744149531394048_n.jpg</v>
      </c>
    </row>
    <row r="3962" spans="1:31" ht="15" x14ac:dyDescent="0.25">
      <c r="A3962" t="s">
        <v>2474</v>
      </c>
      <c r="B3962" t="s">
        <v>21984</v>
      </c>
      <c r="C3962" s="221">
        <v>42978.903356481482</v>
      </c>
      <c r="D3962" t="s">
        <v>21985</v>
      </c>
      <c r="E3962" s="249" t="str">
        <f>HYPERLINK("https://www.instagram.com/p/BYevXpLlsRm/")</f>
        <v>https://www.instagram.com/p/BYevXpLlsRm/</v>
      </c>
      <c r="F3962" t="s">
        <v>21986</v>
      </c>
      <c r="G3962" t="s">
        <v>2478</v>
      </c>
      <c r="H3962">
        <v>396</v>
      </c>
      <c r="I3962" t="s">
        <v>2479</v>
      </c>
      <c r="J3962">
        <v>0</v>
      </c>
      <c r="K3962">
        <v>23</v>
      </c>
      <c r="L3962">
        <v>23</v>
      </c>
      <c r="Q3962">
        <v>0</v>
      </c>
      <c r="R3962">
        <v>0</v>
      </c>
      <c r="S3962">
        <v>23</v>
      </c>
      <c r="Y3962" t="s">
        <v>10515</v>
      </c>
      <c r="Z3962" t="s">
        <v>2968</v>
      </c>
      <c r="AA3962" t="s">
        <v>2734</v>
      </c>
      <c r="AB3962" t="s">
        <v>12747</v>
      </c>
      <c r="AC3962" t="s">
        <v>9108</v>
      </c>
      <c r="AD3962" s="249" t="str">
        <f>HYPERLINK("https://scontent.cdninstagram.com/t51.2885-15/s320x320/e35/21227366_1386119494837196_1344643381501886464_n.jpg")</f>
        <v>https://scontent.cdninstagram.com/t51.2885-15/s320x320/e35/21227366_1386119494837196_1344643381501886464_n.jpg</v>
      </c>
      <c r="AE3962" s="249" t="str">
        <f>HYPERLINK("https://scontent.cdninstagram.com/t51.2885-19/s150x150/21107458_1985278545051945_7985008273927438336_a.jpg")</f>
        <v>https://scontent.cdninstagram.com/t51.2885-19/s150x150/21107458_1985278545051945_7985008273927438336_a.jpg</v>
      </c>
    </row>
    <row r="3963" spans="1:31" ht="15" x14ac:dyDescent="0.25">
      <c r="A3963" t="s">
        <v>2474</v>
      </c>
      <c r="B3963" t="s">
        <v>21987</v>
      </c>
      <c r="C3963" s="221">
        <v>42978.91747685185</v>
      </c>
      <c r="D3963" t="s">
        <v>21988</v>
      </c>
      <c r="E3963" s="249" t="str">
        <f>HYPERLINK("https://www.instagram.com/p/BYexsdXn482/")</f>
        <v>https://www.instagram.com/p/BYexsdXn482/</v>
      </c>
      <c r="F3963" t="s">
        <v>21989</v>
      </c>
      <c r="G3963" t="s">
        <v>2478</v>
      </c>
      <c r="H3963">
        <v>3932</v>
      </c>
      <c r="I3963" t="s">
        <v>2479</v>
      </c>
      <c r="J3963">
        <v>0</v>
      </c>
      <c r="K3963">
        <v>47</v>
      </c>
      <c r="L3963">
        <v>47</v>
      </c>
      <c r="Q3963">
        <v>0</v>
      </c>
      <c r="R3963">
        <v>0</v>
      </c>
      <c r="S3963">
        <v>47</v>
      </c>
      <c r="Y3963" t="s">
        <v>21990</v>
      </c>
      <c r="Z3963" t="s">
        <v>5279</v>
      </c>
      <c r="AA3963" t="s">
        <v>17594</v>
      </c>
      <c r="AB3963" t="s">
        <v>21991</v>
      </c>
      <c r="AC3963" t="s">
        <v>13310</v>
      </c>
      <c r="AD3963" s="249" t="str">
        <f>HYPERLINK("https://scontent.cdninstagram.com/t51.2885-15/s320x320/e35/21149520_126687751307262_6788171437388595200_n.jpg")</f>
        <v>https://scontent.cdninstagram.com/t51.2885-15/s320x320/e35/21149520_126687751307262_6788171437388595200_n.jpg</v>
      </c>
      <c r="AE3963" s="249" t="str">
        <f>HYPERLINK("https://scontent.cdninstagram.com/t51.2885-19/11336143_116580545343602_1420276188_a.jpg")</f>
        <v>https://scontent.cdninstagram.com/t51.2885-19/11336143_116580545343602_1420276188_a.jpg</v>
      </c>
    </row>
    <row r="3964" spans="1:31" ht="15" x14ac:dyDescent="0.25">
      <c r="A3964" t="s">
        <v>2474</v>
      </c>
      <c r="B3964" t="s">
        <v>15182</v>
      </c>
      <c r="C3964" s="221">
        <v>42978.955509259256</v>
      </c>
      <c r="D3964" t="s">
        <v>21992</v>
      </c>
      <c r="E3964" s="249" t="str">
        <f>HYPERLINK("https://www.instagram.com/p/BYe39p6AhSc/")</f>
        <v>https://www.instagram.com/p/BYe39p6AhSc/</v>
      </c>
      <c r="F3964" t="s">
        <v>21993</v>
      </c>
      <c r="G3964" t="s">
        <v>2478</v>
      </c>
      <c r="H3964">
        <v>739</v>
      </c>
      <c r="I3964" t="s">
        <v>2479</v>
      </c>
      <c r="J3964">
        <v>6</v>
      </c>
      <c r="K3964">
        <v>96</v>
      </c>
      <c r="L3964">
        <v>102</v>
      </c>
      <c r="Q3964">
        <v>0</v>
      </c>
      <c r="R3964">
        <v>0</v>
      </c>
      <c r="S3964">
        <v>102</v>
      </c>
      <c r="Y3964" t="s">
        <v>21994</v>
      </c>
      <c r="Z3964" t="s">
        <v>14243</v>
      </c>
      <c r="AA3964" t="s">
        <v>15185</v>
      </c>
      <c r="AB3964" t="s">
        <v>21995</v>
      </c>
      <c r="AC3964" t="s">
        <v>21996</v>
      </c>
      <c r="AD3964" s="249" t="str">
        <f>HYPERLINK("https://scontent.cdninstagram.com/t51.2885-15/s320x320/e15/21224152_130240870932539_4625114628815323136_n.jpg")</f>
        <v>https://scontent.cdninstagram.com/t51.2885-15/s320x320/e15/21224152_130240870932539_4625114628815323136_n.jpg</v>
      </c>
      <c r="AE3964" s="249" t="str">
        <f>HYPERLINK("https://scontent.cdninstagram.com/t51.2885-19/s150x150/18513619_1254348571345625_691913201251516416_a.jpg")</f>
        <v>https://scontent.cdninstagram.com/t51.2885-19/s150x150/18513619_1254348571345625_691913201251516416_a.jpg</v>
      </c>
    </row>
    <row r="3965" spans="1:31" ht="15" x14ac:dyDescent="0.25">
      <c r="A3965" t="s">
        <v>2474</v>
      </c>
      <c r="B3965" t="s">
        <v>21997</v>
      </c>
      <c r="C3965" s="221">
        <v>42978.970625000002</v>
      </c>
      <c r="D3965" t="s">
        <v>21998</v>
      </c>
      <c r="E3965" s="249" t="str">
        <f>HYPERLINK("https://www.instagram.com/p/BYe6dFgFUDB/")</f>
        <v>https://www.instagram.com/p/BYe6dFgFUDB/</v>
      </c>
      <c r="F3965" t="s">
        <v>21999</v>
      </c>
      <c r="G3965" t="s">
        <v>2478</v>
      </c>
      <c r="H3965">
        <v>1069</v>
      </c>
      <c r="I3965" t="s">
        <v>4052</v>
      </c>
      <c r="J3965">
        <v>1</v>
      </c>
      <c r="K3965">
        <v>76</v>
      </c>
      <c r="L3965">
        <v>77</v>
      </c>
      <c r="Q3965">
        <v>0</v>
      </c>
      <c r="R3965">
        <v>0</v>
      </c>
      <c r="S3965">
        <v>77</v>
      </c>
      <c r="Y3965" t="s">
        <v>22000</v>
      </c>
      <c r="Z3965" t="s">
        <v>22001</v>
      </c>
      <c r="AA3965" t="s">
        <v>22002</v>
      </c>
      <c r="AB3965" t="s">
        <v>22003</v>
      </c>
      <c r="AC3965" t="s">
        <v>22004</v>
      </c>
      <c r="AD3965" s="249" t="str">
        <f>HYPERLINK("https://scontent.cdninstagram.com/t51.2885-15/s320x320/e35/21149678_2240162839543864_302560242477039616_n.jpg")</f>
        <v>https://scontent.cdninstagram.com/t51.2885-15/s320x320/e35/21149678_2240162839543864_302560242477039616_n.jpg</v>
      </c>
      <c r="AE3965" s="249" t="str">
        <f>HYPERLINK("https://scontent.cdninstagram.com/t51.2885-19/s150x150/20583127_127240207887033_439157979359477760_a.jpg")</f>
        <v>https://scontent.cdninstagram.com/t51.2885-19/s150x150/20583127_127240207887033_439157979359477760_a.jpg</v>
      </c>
    </row>
    <row r="3966" spans="1:31" ht="15" x14ac:dyDescent="0.25">
      <c r="A3966" t="s">
        <v>2474</v>
      </c>
      <c r="B3966" t="s">
        <v>22005</v>
      </c>
      <c r="C3966" s="221">
        <v>42978.978032407409</v>
      </c>
      <c r="D3966" t="s">
        <v>22006</v>
      </c>
      <c r="E3966" s="249" t="str">
        <f>HYPERLINK("https://www.instagram.com/p/BYe7rP4hari/")</f>
        <v>https://www.instagram.com/p/BYe7rP4hari/</v>
      </c>
      <c r="F3966" t="s">
        <v>22007</v>
      </c>
      <c r="G3966" t="s">
        <v>2478</v>
      </c>
      <c r="H3966">
        <v>267</v>
      </c>
      <c r="I3966" t="s">
        <v>2622</v>
      </c>
      <c r="J3966">
        <v>2</v>
      </c>
      <c r="K3966">
        <v>20</v>
      </c>
      <c r="L3966">
        <v>22</v>
      </c>
      <c r="Q3966">
        <v>0</v>
      </c>
      <c r="R3966">
        <v>0</v>
      </c>
      <c r="S3966">
        <v>22</v>
      </c>
      <c r="Y3966" t="s">
        <v>22008</v>
      </c>
      <c r="Z3966" t="s">
        <v>22009</v>
      </c>
      <c r="AA3966" t="s">
        <v>22010</v>
      </c>
      <c r="AB3966" t="s">
        <v>22011</v>
      </c>
      <c r="AC3966" t="s">
        <v>20242</v>
      </c>
      <c r="AD3966" s="249" t="str">
        <f>HYPERLINK("https://scontent.cdninstagram.com/t51.2885-15/s320x320/e35/21149186_1982159828696550_3030863282966626304_n.jpg")</f>
        <v>https://scontent.cdninstagram.com/t51.2885-15/s320x320/e35/21149186_1982159828696550_3030863282966626304_n.jpg</v>
      </c>
      <c r="AE3966" s="249" t="str">
        <f>HYPERLINK("https://scontent.cdninstagram.com/t51.2885-19/s150x150/18947569_290714821388891_3791790084609540096_a.jpg")</f>
        <v>https://scontent.cdninstagram.com/t51.2885-19/s150x150/18947569_290714821388891_3791790084609540096_a.jpg</v>
      </c>
    </row>
    <row r="3967" spans="1:31" ht="15" x14ac:dyDescent="0.25">
      <c r="A3967" t="s">
        <v>2474</v>
      </c>
      <c r="B3967" t="s">
        <v>20872</v>
      </c>
      <c r="C3967" s="221">
        <v>42978.982916666668</v>
      </c>
      <c r="D3967" t="s">
        <v>22012</v>
      </c>
      <c r="E3967" s="249" t="str">
        <f>HYPERLINK("https://www.instagram.com/p/BYe8esVD1x1/")</f>
        <v>https://www.instagram.com/p/BYe8esVD1x1/</v>
      </c>
      <c r="F3967" t="s">
        <v>22013</v>
      </c>
      <c r="G3967" t="s">
        <v>2478</v>
      </c>
      <c r="H3967">
        <v>442</v>
      </c>
      <c r="I3967" t="s">
        <v>2479</v>
      </c>
      <c r="J3967">
        <v>0</v>
      </c>
      <c r="K3967">
        <v>43</v>
      </c>
      <c r="L3967">
        <v>43</v>
      </c>
      <c r="Q3967">
        <v>0</v>
      </c>
      <c r="R3967">
        <v>0</v>
      </c>
      <c r="S3967">
        <v>43</v>
      </c>
      <c r="Y3967" t="s">
        <v>10962</v>
      </c>
      <c r="Z3967" t="s">
        <v>22014</v>
      </c>
      <c r="AA3967" t="s">
        <v>8652</v>
      </c>
      <c r="AB3967" t="s">
        <v>18031</v>
      </c>
      <c r="AC3967" t="s">
        <v>22015</v>
      </c>
      <c r="AD3967" s="249" t="str">
        <f>HYPERLINK("https://scontent.cdninstagram.com/t51.2885-15/s320x320/e35/21147350_116172899047540_2433536024761073664_n.jpg")</f>
        <v>https://scontent.cdninstagram.com/t51.2885-15/s320x320/e35/21147350_116172899047540_2433536024761073664_n.jpg</v>
      </c>
      <c r="AE3967" s="249" t="str">
        <f>HYPERLINK("https://scontent.cdninstagram.com/t51.2885-19/s150x150/21148087_117157932344757_7160515075835428864_a.jpg")</f>
        <v>https://scontent.cdninstagram.com/t51.2885-19/s150x150/21148087_117157932344757_7160515075835428864_a.jpg</v>
      </c>
    </row>
    <row r="3968" spans="1:31" ht="15" x14ac:dyDescent="0.25">
      <c r="A3968" t="s">
        <v>2474</v>
      </c>
      <c r="B3968" t="s">
        <v>22016</v>
      </c>
      <c r="C3968" s="221">
        <v>42978.988136574073</v>
      </c>
      <c r="D3968" t="s">
        <v>22017</v>
      </c>
      <c r="E3968" s="249" t="str">
        <f>HYPERLINK("https://www.instagram.com/p/BYe9Vx2g7Gu/")</f>
        <v>https://www.instagram.com/p/BYe9Vx2g7Gu/</v>
      </c>
      <c r="F3968" t="s">
        <v>22018</v>
      </c>
      <c r="G3968" t="s">
        <v>2478</v>
      </c>
      <c r="H3968">
        <v>216</v>
      </c>
      <c r="I3968" t="s">
        <v>2479</v>
      </c>
      <c r="J3968">
        <v>0</v>
      </c>
      <c r="K3968">
        <v>13</v>
      </c>
      <c r="L3968">
        <v>13</v>
      </c>
      <c r="Q3968">
        <v>0</v>
      </c>
      <c r="R3968">
        <v>0</v>
      </c>
      <c r="S3968">
        <v>13</v>
      </c>
      <c r="Y3968" t="s">
        <v>2906</v>
      </c>
      <c r="Z3968" t="s">
        <v>22019</v>
      </c>
      <c r="AA3968" t="s">
        <v>2968</v>
      </c>
      <c r="AB3968" t="s">
        <v>22020</v>
      </c>
      <c r="AC3968" t="s">
        <v>3522</v>
      </c>
      <c r="AD3968" s="249" t="str">
        <f>HYPERLINK("https://scontent.cdninstagram.com/t51.2885-15/s320x320/e35/21148124_114263965960269_8000028023669653504_n.jpg")</f>
        <v>https://scontent.cdninstagram.com/t51.2885-15/s320x320/e35/21148124_114263965960269_8000028023669653504_n.jpg</v>
      </c>
      <c r="AE3968" s="249" t="str">
        <f>HYPERLINK("https://scontent.cdninstagram.com/t51.2885-19/s150x150/20393766_1202606423176688_2054943131589148672_a.jpg")</f>
        <v>https://scontent.cdninstagram.com/t51.2885-19/s150x150/20393766_1202606423176688_2054943131589148672_a.jpg</v>
      </c>
    </row>
    <row r="3969" spans="1:31" ht="15" x14ac:dyDescent="0.25">
      <c r="A3969" t="s">
        <v>2474</v>
      </c>
      <c r="B3969" t="s">
        <v>10033</v>
      </c>
      <c r="C3969" s="221">
        <v>42978.991180555553</v>
      </c>
      <c r="D3969" t="s">
        <v>22021</v>
      </c>
      <c r="E3969" s="249" t="str">
        <f>HYPERLINK("https://www.instagram.com/p/BYe9153DtI9/")</f>
        <v>https://www.instagram.com/p/BYe9153DtI9/</v>
      </c>
      <c r="F3969" t="s">
        <v>10035</v>
      </c>
      <c r="G3969" t="s">
        <v>2478</v>
      </c>
      <c r="H3969">
        <v>810</v>
      </c>
      <c r="I3969" t="s">
        <v>2479</v>
      </c>
      <c r="J3969">
        <v>1</v>
      </c>
      <c r="K3969">
        <v>47</v>
      </c>
      <c r="L3969">
        <v>48</v>
      </c>
      <c r="Q3969">
        <v>0</v>
      </c>
      <c r="R3969">
        <v>0</v>
      </c>
      <c r="S3969">
        <v>48</v>
      </c>
      <c r="Y3969" t="s">
        <v>19304</v>
      </c>
      <c r="Z3969" t="s">
        <v>16509</v>
      </c>
      <c r="AA3969" t="s">
        <v>2833</v>
      </c>
      <c r="AB3969" t="s">
        <v>14071</v>
      </c>
      <c r="AC3969" t="s">
        <v>9144</v>
      </c>
      <c r="AD3969" s="249" t="str">
        <f>HYPERLINK("https://scontent.cdninstagram.com/t51.2885-15/s320x320/e35/21149031_272856929866933_7359797937712398336_n.jpg")</f>
        <v>https://scontent.cdninstagram.com/t51.2885-15/s320x320/e35/21149031_272856929866933_7359797937712398336_n.jpg</v>
      </c>
      <c r="AE3969" s="249" t="str">
        <f>HYPERLINK("https://scontent.cdninstagram.com/t51.2885-19/s150x150/13731142_1128127230628861_1631822748_a.jpg")</f>
        <v>https://scontent.cdninstagram.com/t51.2885-19/s150x150/13731142_1128127230628861_1631822748_a.jpg</v>
      </c>
    </row>
    <row r="3970" spans="1:31" ht="15" x14ac:dyDescent="0.25">
      <c r="A3970" t="s">
        <v>2474</v>
      </c>
      <c r="B3970" t="s">
        <v>22022</v>
      </c>
      <c r="C3970" s="221">
        <v>42978.996539351851</v>
      </c>
      <c r="D3970" t="s">
        <v>22023</v>
      </c>
      <c r="E3970" s="249" t="str">
        <f>HYPERLINK("https://www.instagram.com/p/BYe-uZclDn4/")</f>
        <v>https://www.instagram.com/p/BYe-uZclDn4/</v>
      </c>
      <c r="F3970" t="s">
        <v>22024</v>
      </c>
      <c r="G3970" t="s">
        <v>2631</v>
      </c>
      <c r="H3970">
        <v>713</v>
      </c>
      <c r="I3970" t="s">
        <v>2479</v>
      </c>
      <c r="J3970">
        <v>1</v>
      </c>
      <c r="K3970">
        <v>67</v>
      </c>
      <c r="L3970">
        <v>68</v>
      </c>
      <c r="Q3970">
        <v>0</v>
      </c>
      <c r="R3970">
        <v>0</v>
      </c>
      <c r="S3970">
        <v>68</v>
      </c>
      <c r="Y3970" t="s">
        <v>22025</v>
      </c>
      <c r="Z3970" t="s">
        <v>22026</v>
      </c>
      <c r="AA3970" t="s">
        <v>22027</v>
      </c>
      <c r="AB3970" t="s">
        <v>22028</v>
      </c>
      <c r="AC3970" t="s">
        <v>22029</v>
      </c>
      <c r="AD3970" s="249" t="str">
        <f>HYPERLINK("https://scontent.cdninstagram.com/t51.2885-15/s320x320/e15/21296317_259384251236911_8431660932563730432_n.jpg")</f>
        <v>https://scontent.cdninstagram.com/t51.2885-15/s320x320/e15/21296317_259384251236911_8431660932563730432_n.jpg</v>
      </c>
      <c r="AE3970" s="249" t="str">
        <f>HYPERLINK("https://scontent.cdninstagram.com/t51.2885-19/s150x150/16908680_227186011081570_36037988248977408_a.jpg")</f>
        <v>https://scontent.cdninstagram.com/t51.2885-19/s150x150/16908680_227186011081570_36037988248977408_a.jpg</v>
      </c>
    </row>
    <row r="3971" spans="1:31" ht="15" x14ac:dyDescent="0.25">
      <c r="A3971" t="s">
        <v>2474</v>
      </c>
      <c r="B3971" t="s">
        <v>18309</v>
      </c>
      <c r="C3971" s="221">
        <v>42978.997731481482</v>
      </c>
      <c r="D3971" t="s">
        <v>22030</v>
      </c>
      <c r="E3971" s="249" t="str">
        <f>HYPERLINK("https://www.instagram.com/p/BYe-66-DcY9/")</f>
        <v>https://www.instagram.com/p/BYe-66-DcY9/</v>
      </c>
      <c r="F3971" t="s">
        <v>22031</v>
      </c>
      <c r="G3971" t="s">
        <v>2478</v>
      </c>
      <c r="H3971">
        <v>20</v>
      </c>
      <c r="I3971" t="s">
        <v>2542</v>
      </c>
      <c r="J3971">
        <v>1</v>
      </c>
      <c r="K3971">
        <v>23</v>
      </c>
      <c r="L3971">
        <v>24</v>
      </c>
      <c r="Q3971">
        <v>0</v>
      </c>
      <c r="R3971">
        <v>0</v>
      </c>
      <c r="S3971">
        <v>24</v>
      </c>
      <c r="Y3971" t="s">
        <v>2906</v>
      </c>
      <c r="Z3971" t="s">
        <v>8753</v>
      </c>
      <c r="AA3971" t="s">
        <v>2968</v>
      </c>
      <c r="AB3971" t="s">
        <v>10374</v>
      </c>
      <c r="AC3971" t="s">
        <v>2562</v>
      </c>
      <c r="AD3971" s="249" t="str">
        <f>HYPERLINK("https://scontent.cdninstagram.com/t51.2885-15/s320x320/e35/21149653_373836199701218_8917571907272835072_n.jpg")</f>
        <v>https://scontent.cdninstagram.com/t51.2885-15/s320x320/e35/21149653_373836199701218_8917571907272835072_n.jpg</v>
      </c>
      <c r="AE3971" s="249" t="str">
        <f>HYPERLINK("https://scontent.cdninstagram.com/t51.2885-19/s150x150/21224635_116853155713206_6935607206414909440_a.jpg")</f>
        <v>https://scontent.cdninstagram.com/t51.2885-19/s150x150/21224635_116853155713206_6935607206414909440_a.jpg</v>
      </c>
    </row>
    <row r="3972" spans="1:31" ht="15" x14ac:dyDescent="0.25">
      <c r="A3972" t="s">
        <v>2474</v>
      </c>
      <c r="B3972" t="s">
        <v>22032</v>
      </c>
      <c r="C3972" s="221">
        <v>42979.006215277775</v>
      </c>
      <c r="D3972" t="s">
        <v>22033</v>
      </c>
      <c r="E3972" s="249" t="str">
        <f>HYPERLINK("https://www.instagram.com/p/BYfAUaVFxhl/")</f>
        <v>https://www.instagram.com/p/BYfAUaVFxhl/</v>
      </c>
      <c r="F3972" t="s">
        <v>22034</v>
      </c>
      <c r="G3972" t="s">
        <v>2631</v>
      </c>
      <c r="H3972">
        <v>10056</v>
      </c>
      <c r="I3972" t="s">
        <v>13274</v>
      </c>
      <c r="J3972">
        <v>10</v>
      </c>
      <c r="K3972">
        <v>60</v>
      </c>
      <c r="L3972">
        <v>70</v>
      </c>
      <c r="Q3972">
        <v>0</v>
      </c>
      <c r="R3972">
        <v>0</v>
      </c>
      <c r="S3972">
        <v>70</v>
      </c>
      <c r="Y3972" t="s">
        <v>22035</v>
      </c>
      <c r="Z3972" t="s">
        <v>4908</v>
      </c>
      <c r="AA3972" t="s">
        <v>22036</v>
      </c>
      <c r="AB3972" t="s">
        <v>22037</v>
      </c>
      <c r="AC3972" t="s">
        <v>22038</v>
      </c>
      <c r="AD3972" s="249" t="str">
        <f>HYPERLINK("https://scontent.cdninstagram.com/t51.2885-15/s320x320/e15/21226930_114465855887566_2087701517170638848_n.jpg")</f>
        <v>https://scontent.cdninstagram.com/t51.2885-15/s320x320/e15/21226930_114465855887566_2087701517170638848_n.jpg</v>
      </c>
      <c r="AE3972" s="249" t="str">
        <f>HYPERLINK("https://scontent.cdninstagram.com/t51.2885-19/s150x150/20687183_324735554655294_5409013548372197376_a.jpg")</f>
        <v>https://scontent.cdninstagram.com/t51.2885-19/s150x150/20687183_324735554655294_5409013548372197376_a.jpg</v>
      </c>
    </row>
    <row r="3973" spans="1:31" ht="15" x14ac:dyDescent="0.25">
      <c r="A3973" t="s">
        <v>2474</v>
      </c>
      <c r="B3973" t="s">
        <v>22039</v>
      </c>
      <c r="C3973" s="221">
        <v>42979.008321759262</v>
      </c>
      <c r="D3973" t="s">
        <v>22040</v>
      </c>
      <c r="E3973" s="249" t="str">
        <f>HYPERLINK("https://www.instagram.com/p/BYfAqoFhGTz/")</f>
        <v>https://www.instagram.com/p/BYfAqoFhGTz/</v>
      </c>
      <c r="F3973" t="s">
        <v>22041</v>
      </c>
      <c r="G3973" t="s">
        <v>2478</v>
      </c>
      <c r="H3973">
        <v>336</v>
      </c>
      <c r="I3973" t="s">
        <v>2479</v>
      </c>
      <c r="J3973">
        <v>0</v>
      </c>
      <c r="K3973">
        <v>16</v>
      </c>
      <c r="L3973">
        <v>16</v>
      </c>
      <c r="Q3973">
        <v>0</v>
      </c>
      <c r="R3973">
        <v>0</v>
      </c>
      <c r="S3973">
        <v>16</v>
      </c>
      <c r="Y3973" t="s">
        <v>16743</v>
      </c>
      <c r="Z3973" t="s">
        <v>22042</v>
      </c>
      <c r="AA3973" t="s">
        <v>15681</v>
      </c>
      <c r="AB3973" t="s">
        <v>6905</v>
      </c>
      <c r="AC3973" t="s">
        <v>22043</v>
      </c>
      <c r="AD3973" s="249" t="str">
        <f>HYPERLINK("https://scontent.cdninstagram.com/t51.2885-15/e35/p320x320/21149192_170082060223922_8826863830068887552_n.jpg")</f>
        <v>https://scontent.cdninstagram.com/t51.2885-15/e35/p320x320/21149192_170082060223922_8826863830068887552_n.jpg</v>
      </c>
      <c r="AE3973" s="249" t="str">
        <f>HYPERLINK("https://scontent.cdninstagram.com/t51.2885-19/s150x150/19121062_1670468822993729_8889053783988895744_a.jpg")</f>
        <v>https://scontent.cdninstagram.com/t51.2885-19/s150x150/19121062_1670468822993729_8889053783988895744_a.jpg</v>
      </c>
    </row>
    <row r="3974" spans="1:31" ht="15" x14ac:dyDescent="0.25">
      <c r="A3974" t="s">
        <v>2474</v>
      </c>
      <c r="B3974" t="s">
        <v>12425</v>
      </c>
      <c r="C3974" s="221">
        <v>42979.032812500001</v>
      </c>
      <c r="D3974" t="s">
        <v>22044</v>
      </c>
      <c r="E3974" s="249" t="str">
        <f>HYPERLINK("https://www.instagram.com/p/BYfEs9GgYYO/")</f>
        <v>https://www.instagram.com/p/BYfEs9GgYYO/</v>
      </c>
      <c r="F3974" t="s">
        <v>22045</v>
      </c>
      <c r="G3974" t="s">
        <v>2478</v>
      </c>
      <c r="H3974">
        <v>5</v>
      </c>
      <c r="I3974" t="s">
        <v>2479</v>
      </c>
      <c r="J3974">
        <v>1</v>
      </c>
      <c r="K3974">
        <v>8</v>
      </c>
      <c r="L3974">
        <v>9</v>
      </c>
      <c r="Q3974">
        <v>0</v>
      </c>
      <c r="R3974">
        <v>0</v>
      </c>
      <c r="S3974">
        <v>9</v>
      </c>
      <c r="Y3974" t="s">
        <v>22046</v>
      </c>
      <c r="Z3974" t="s">
        <v>22047</v>
      </c>
      <c r="AA3974" t="s">
        <v>3349</v>
      </c>
      <c r="AB3974" t="s">
        <v>22048</v>
      </c>
      <c r="AC3974" t="s">
        <v>22049</v>
      </c>
      <c r="AD3974" s="249" t="str">
        <f>HYPERLINK("https://scontent.cdninstagram.com/t51.2885-15/e35/p320x320/21149291_1963179640617346_9038161639618117632_n.jpg")</f>
        <v>https://scontent.cdninstagram.com/t51.2885-15/e35/p320x320/21149291_1963179640617346_9038161639618117632_n.jpg</v>
      </c>
      <c r="AE3974" s="249" t="str">
        <f>HYPERLINK("https://scontent.cdninstagram.com/t51.2885-19/s150x150/20905079_1939352326347905_8444545104307290112_a.jpg")</f>
        <v>https://scontent.cdninstagram.com/t51.2885-19/s150x150/20905079_1939352326347905_8444545104307290112_a.jpg</v>
      </c>
    </row>
    <row r="3975" spans="1:31" ht="15" x14ac:dyDescent="0.25">
      <c r="A3975" t="s">
        <v>2474</v>
      </c>
      <c r="B3975" t="s">
        <v>7152</v>
      </c>
      <c r="C3975" s="221">
        <v>42979.043576388889</v>
      </c>
      <c r="D3975" t="s">
        <v>22050</v>
      </c>
      <c r="E3975" s="249" t="str">
        <f>HYPERLINK("https://www.instagram.com/p/BYfGeeCDkp8/")</f>
        <v>https://www.instagram.com/p/BYfGeeCDkp8/</v>
      </c>
      <c r="F3975" t="s">
        <v>22051</v>
      </c>
      <c r="G3975" t="s">
        <v>2478</v>
      </c>
      <c r="H3975">
        <v>124</v>
      </c>
      <c r="I3975" t="s">
        <v>2542</v>
      </c>
      <c r="J3975">
        <v>2</v>
      </c>
      <c r="K3975">
        <v>25</v>
      </c>
      <c r="L3975">
        <v>27</v>
      </c>
      <c r="Q3975">
        <v>0</v>
      </c>
      <c r="R3975">
        <v>0</v>
      </c>
      <c r="S3975">
        <v>27</v>
      </c>
      <c r="Y3975" t="s">
        <v>7286</v>
      </c>
      <c r="Z3975" t="s">
        <v>10979</v>
      </c>
      <c r="AA3975" t="s">
        <v>5981</v>
      </c>
      <c r="AB3975" t="s">
        <v>22052</v>
      </c>
      <c r="AC3975" t="s">
        <v>7901</v>
      </c>
      <c r="AD3975" s="249" t="str">
        <f>HYPERLINK("https://scontent.cdninstagram.com/t51.2885-15/s320x320/e35/21227562_1453490831425086_6158106787401695232_n.jpg")</f>
        <v>https://scontent.cdninstagram.com/t51.2885-15/s320x320/e35/21227562_1453490831425086_6158106787401695232_n.jpg</v>
      </c>
      <c r="AE3975" s="249" t="str">
        <f>HYPERLINK("https://scontent.cdninstagram.com/t51.2885-19/s150x150/20181062_1791856511105718_4709893984703479808_a.jpg")</f>
        <v>https://scontent.cdninstagram.com/t51.2885-19/s150x150/20181062_1791856511105718_4709893984703479808_a.jpg</v>
      </c>
    </row>
    <row r="3976" spans="1:31" ht="15" x14ac:dyDescent="0.25">
      <c r="A3976" t="s">
        <v>2474</v>
      </c>
      <c r="B3976" t="s">
        <v>2516</v>
      </c>
      <c r="C3976" s="221">
        <v>42979.059317129628</v>
      </c>
      <c r="D3976" t="s">
        <v>22053</v>
      </c>
      <c r="E3976" s="249" t="str">
        <f>HYPERLINK("https://www.instagram.com/p/BYfJEgYjE49/")</f>
        <v>https://www.instagram.com/p/BYfJEgYjE49/</v>
      </c>
      <c r="F3976" t="s">
        <v>22054</v>
      </c>
      <c r="G3976" t="s">
        <v>2478</v>
      </c>
      <c r="H3976">
        <v>692</v>
      </c>
      <c r="I3976" t="s">
        <v>2479</v>
      </c>
      <c r="J3976">
        <v>0</v>
      </c>
      <c r="K3976">
        <v>28</v>
      </c>
      <c r="L3976">
        <v>28</v>
      </c>
      <c r="Q3976">
        <v>0</v>
      </c>
      <c r="R3976">
        <v>0</v>
      </c>
      <c r="S3976">
        <v>28</v>
      </c>
      <c r="Y3976" t="s">
        <v>2906</v>
      </c>
      <c r="Z3976" t="s">
        <v>22055</v>
      </c>
      <c r="AA3976" t="s">
        <v>22056</v>
      </c>
      <c r="AB3976" t="s">
        <v>6719</v>
      </c>
      <c r="AC3976" t="s">
        <v>11247</v>
      </c>
      <c r="AD3976" s="249" t="str">
        <f>HYPERLINK("https://scontent.cdninstagram.com/t51.2885-15/s320x320/e35/21149510_1958665194404373_1445551370378674176_n.jpg")</f>
        <v>https://scontent.cdninstagram.com/t51.2885-15/s320x320/e35/21149510_1958665194404373_1445551370378674176_n.jpg</v>
      </c>
      <c r="AE3976" s="249" t="str">
        <f>HYPERLINK("https://scontent.cdninstagram.com/t51.2885-19/s150x150/21372563_140209839921980_5104164354614362112_a.jpg")</f>
        <v>https://scontent.cdninstagram.com/t51.2885-19/s150x150/21372563_140209839921980_5104164354614362112_a.jpg</v>
      </c>
    </row>
    <row r="3977" spans="1:31" ht="15" x14ac:dyDescent="0.25">
      <c r="A3977" t="s">
        <v>2474</v>
      </c>
      <c r="B3977" t="s">
        <v>22057</v>
      </c>
      <c r="C3977" s="221">
        <v>42979.070717592593</v>
      </c>
      <c r="D3977" t="s">
        <v>22058</v>
      </c>
      <c r="E3977" s="249" t="str">
        <f>HYPERLINK("https://www.instagram.com/p/BYfK8xAgHOn/")</f>
        <v>https://www.instagram.com/p/BYfK8xAgHOn/</v>
      </c>
      <c r="F3977" t="s">
        <v>22059</v>
      </c>
      <c r="G3977" t="s">
        <v>2478</v>
      </c>
      <c r="H3977">
        <v>606</v>
      </c>
      <c r="I3977" t="s">
        <v>2479</v>
      </c>
      <c r="J3977">
        <v>0</v>
      </c>
      <c r="K3977">
        <v>193</v>
      </c>
      <c r="L3977">
        <v>193</v>
      </c>
      <c r="Q3977">
        <v>0</v>
      </c>
      <c r="R3977">
        <v>0</v>
      </c>
      <c r="S3977">
        <v>193</v>
      </c>
      <c r="Y3977" t="s">
        <v>4779</v>
      </c>
      <c r="Z3977" t="s">
        <v>4760</v>
      </c>
      <c r="AA3977" t="s">
        <v>22060</v>
      </c>
      <c r="AB3977" t="s">
        <v>6922</v>
      </c>
      <c r="AC3977" t="s">
        <v>3157</v>
      </c>
      <c r="AD3977" s="249" t="str">
        <f>HYPERLINK("https://scontent.cdninstagram.com/t51.2885-15/e35/p320x320/21149570_1848393352155599_1852645009396858880_n.jpg")</f>
        <v>https://scontent.cdninstagram.com/t51.2885-15/e35/p320x320/21149570_1848393352155599_1852645009396858880_n.jpg</v>
      </c>
      <c r="AE3977" s="249" t="str">
        <f>HYPERLINK("https://scontent.cdninstagram.com/t51.2885-19/s150x150/20065226_471885129839531_8277720195049455616_a.jpg")</f>
        <v>https://scontent.cdninstagram.com/t51.2885-19/s150x150/20065226_471885129839531_8277720195049455616_a.jpg</v>
      </c>
    </row>
    <row r="3978" spans="1:31" ht="15" x14ac:dyDescent="0.25">
      <c r="A3978" t="s">
        <v>2474</v>
      </c>
      <c r="B3978" t="s">
        <v>22061</v>
      </c>
      <c r="C3978" s="221">
        <v>42979.076307870368</v>
      </c>
      <c r="D3978" t="s">
        <v>22062</v>
      </c>
      <c r="E3978" s="249" t="str">
        <f>HYPERLINK("https://www.instagram.com/p/BYfL3o4hLNz/")</f>
        <v>https://www.instagram.com/p/BYfL3o4hLNz/</v>
      </c>
      <c r="F3978" t="s">
        <v>22063</v>
      </c>
      <c r="G3978" t="s">
        <v>2488</v>
      </c>
      <c r="I3978" t="s">
        <v>2479</v>
      </c>
      <c r="J3978">
        <v>1</v>
      </c>
      <c r="K3978">
        <v>11</v>
      </c>
      <c r="L3978">
        <v>12</v>
      </c>
      <c r="Q3978">
        <v>0</v>
      </c>
      <c r="R3978">
        <v>0</v>
      </c>
      <c r="S3978">
        <v>12</v>
      </c>
      <c r="T3978" t="s">
        <v>22064</v>
      </c>
      <c r="V3978" t="s">
        <v>2131</v>
      </c>
      <c r="W3978">
        <v>22.676353646328</v>
      </c>
      <c r="X3978">
        <v>114.1275989319</v>
      </c>
      <c r="Y3978" t="s">
        <v>15854</v>
      </c>
      <c r="Z3978" t="s">
        <v>22065</v>
      </c>
      <c r="AA3978" t="s">
        <v>22066</v>
      </c>
      <c r="AB3978" t="s">
        <v>22067</v>
      </c>
      <c r="AC3978" t="s">
        <v>2497</v>
      </c>
      <c r="AD3978" s="249" t="str">
        <f>HYPERLINK("https://scontent.cdninstagram.com/t51.2885-15/s320x320/e35/21224081_1456871307702053_7477020544546635776_n.jpg")</f>
        <v>https://scontent.cdninstagram.com/t51.2885-15/s320x320/e35/21224081_1456871307702053_7477020544546635776_n.jpg</v>
      </c>
      <c r="AE3978" s="249" t="str">
        <f>HYPERLINK("https://scontent.cdninstagram.com/t51.2885-19/s150x150/19052200_323552234731503_1042802507392221184_a.jpg")</f>
        <v>https://scontent.cdninstagram.com/t51.2885-19/s150x150/19052200_323552234731503_1042802507392221184_a.jpg</v>
      </c>
    </row>
    <row r="3979" spans="1:31" ht="15" x14ac:dyDescent="0.25">
      <c r="A3979" t="s">
        <v>2474</v>
      </c>
      <c r="B3979" t="s">
        <v>22068</v>
      </c>
      <c r="C3979" s="221">
        <v>42979.078819444447</v>
      </c>
      <c r="D3979" t="s">
        <v>22069</v>
      </c>
      <c r="E3979" s="249" t="str">
        <f>HYPERLINK("https://www.instagram.com/p/BYfMSNoFShX/")</f>
        <v>https://www.instagram.com/p/BYfMSNoFShX/</v>
      </c>
      <c r="F3979" t="s">
        <v>22070</v>
      </c>
      <c r="G3979" t="s">
        <v>2488</v>
      </c>
      <c r="H3979">
        <v>129</v>
      </c>
      <c r="I3979" t="s">
        <v>2479</v>
      </c>
      <c r="J3979">
        <v>6</v>
      </c>
      <c r="K3979">
        <v>21</v>
      </c>
      <c r="L3979">
        <v>27</v>
      </c>
      <c r="Q3979">
        <v>0</v>
      </c>
      <c r="R3979">
        <v>0</v>
      </c>
      <c r="S3979">
        <v>27</v>
      </c>
      <c r="T3979" t="s">
        <v>16859</v>
      </c>
      <c r="V3979" t="s">
        <v>2270</v>
      </c>
      <c r="W3979">
        <v>59.342089999999999</v>
      </c>
      <c r="X3979">
        <v>18.112909999999999</v>
      </c>
      <c r="Y3979" t="s">
        <v>22071</v>
      </c>
      <c r="Z3979" t="s">
        <v>22072</v>
      </c>
      <c r="AA3979" t="s">
        <v>22073</v>
      </c>
      <c r="AB3979" t="s">
        <v>3982</v>
      </c>
      <c r="AC3979" t="s">
        <v>5802</v>
      </c>
      <c r="AD3979" s="249" t="str">
        <f>HYPERLINK("https://scontent.cdninstagram.com/t51.2885-15/s320x320/e35/21149859_1948333958769189_3235883701460008960_n.jpg")</f>
        <v>https://scontent.cdninstagram.com/t51.2885-15/s320x320/e35/21149859_1948333958769189_3235883701460008960_n.jpg</v>
      </c>
      <c r="AE3979" s="249" t="str">
        <f>HYPERLINK("https://scontent.cdninstagram.com/t51.2885-19/s150x150/19534335_232439380597329_8170683489704738816_a.jpg")</f>
        <v>https://scontent.cdninstagram.com/t51.2885-19/s150x150/19534335_232439380597329_8170683489704738816_a.jpg</v>
      </c>
    </row>
    <row r="3980" spans="1:31" ht="15" x14ac:dyDescent="0.25">
      <c r="A3980" t="s">
        <v>2474</v>
      </c>
      <c r="B3980" t="s">
        <v>2644</v>
      </c>
      <c r="C3980" s="221">
        <v>42979.092372685183</v>
      </c>
      <c r="D3980" t="s">
        <v>22074</v>
      </c>
      <c r="E3980" s="249" t="str">
        <f>HYPERLINK("https://www.instagram.com/p/BYfOhD9gLLS/")</f>
        <v>https://www.instagram.com/p/BYfOhD9gLLS/</v>
      </c>
      <c r="F3980" t="s">
        <v>22075</v>
      </c>
      <c r="G3980" t="s">
        <v>2478</v>
      </c>
      <c r="H3980">
        <v>1729</v>
      </c>
      <c r="I3980" t="s">
        <v>2479</v>
      </c>
      <c r="J3980">
        <v>2</v>
      </c>
      <c r="K3980">
        <v>93</v>
      </c>
      <c r="L3980">
        <v>95</v>
      </c>
      <c r="Q3980">
        <v>0</v>
      </c>
      <c r="R3980">
        <v>0</v>
      </c>
      <c r="S3980">
        <v>95</v>
      </c>
      <c r="T3980" t="s">
        <v>22076</v>
      </c>
      <c r="V3980" t="s">
        <v>2648</v>
      </c>
      <c r="W3980">
        <v>55.762590000000003</v>
      </c>
      <c r="X3980">
        <v>37.593969999999999</v>
      </c>
      <c r="Y3980" t="s">
        <v>3634</v>
      </c>
      <c r="Z3980" t="s">
        <v>3742</v>
      </c>
      <c r="AA3980" t="s">
        <v>5796</v>
      </c>
      <c r="AB3980" t="s">
        <v>3797</v>
      </c>
      <c r="AC3980" t="s">
        <v>5928</v>
      </c>
      <c r="AD3980" s="249" t="str">
        <f>HYPERLINK("https://scontent.cdninstagram.com/t51.2885-15/e35/p320x320/21149832_333877343738033_5613152751245590528_n.jpg")</f>
        <v>https://scontent.cdninstagram.com/t51.2885-15/e35/p320x320/21149832_333877343738033_5613152751245590528_n.jpg</v>
      </c>
      <c r="AE3980" s="249" t="str">
        <f>HYPERLINK("https://scontent.cdninstagram.com/t51.2885-19/11372086_1598451257062069_1320225693_a.jpg")</f>
        <v>https://scontent.cdninstagram.com/t51.2885-19/11372086_1598451257062069_1320225693_a.jpg</v>
      </c>
    </row>
    <row r="3981" spans="1:31" ht="15" x14ac:dyDescent="0.25">
      <c r="A3981" t="s">
        <v>2474</v>
      </c>
      <c r="B3981" t="s">
        <v>3251</v>
      </c>
      <c r="C3981" s="221">
        <v>42979.099918981483</v>
      </c>
      <c r="D3981" t="s">
        <v>22077</v>
      </c>
      <c r="E3981" s="249" t="str">
        <f>HYPERLINK("https://www.instagram.com/p/BYfPwuAnBOQ/")</f>
        <v>https://www.instagram.com/p/BYfPwuAnBOQ/</v>
      </c>
      <c r="F3981" t="s">
        <v>22078</v>
      </c>
      <c r="G3981" t="s">
        <v>2478</v>
      </c>
      <c r="H3981">
        <v>318</v>
      </c>
      <c r="I3981" t="s">
        <v>2599</v>
      </c>
      <c r="J3981">
        <v>0</v>
      </c>
      <c r="K3981">
        <v>22</v>
      </c>
      <c r="L3981">
        <v>22</v>
      </c>
      <c r="Q3981">
        <v>0</v>
      </c>
      <c r="R3981">
        <v>0</v>
      </c>
      <c r="S3981">
        <v>22</v>
      </c>
      <c r="Y3981" t="s">
        <v>4844</v>
      </c>
      <c r="Z3981" t="s">
        <v>3254</v>
      </c>
      <c r="AA3981" t="s">
        <v>2778</v>
      </c>
      <c r="AB3981" t="s">
        <v>3969</v>
      </c>
      <c r="AC3981" t="s">
        <v>3256</v>
      </c>
      <c r="AD3981" s="249" t="str">
        <f>HYPERLINK("https://scontent.cdninstagram.com/t51.2885-15/s320x320/e35/21296598_210973409438178_5980810996984315904_n.jpg")</f>
        <v>https://scontent.cdninstagram.com/t51.2885-15/s320x320/e35/21296598_210973409438178_5980810996984315904_n.jpg</v>
      </c>
      <c r="AE3981" s="249" t="str">
        <f>HYPERLINK("https://scontent.cdninstagram.com/t51.2885-19/s150x150/20986614_891746094322067_1272495017625124864_a.jpg")</f>
        <v>https://scontent.cdninstagram.com/t51.2885-19/s150x150/20986614_891746094322067_1272495017625124864_a.jpg</v>
      </c>
    </row>
    <row r="3982" spans="1:31" ht="15" x14ac:dyDescent="0.25">
      <c r="A3982" t="s">
        <v>2474</v>
      </c>
      <c r="B3982" t="s">
        <v>16706</v>
      </c>
      <c r="C3982" s="221">
        <v>42979.111527777779</v>
      </c>
      <c r="D3982" t="s">
        <v>22079</v>
      </c>
      <c r="E3982" s="249" t="str">
        <f>HYPERLINK("https://www.instagram.com/p/BYfRrItHW7H/")</f>
        <v>https://www.instagram.com/p/BYfRrItHW7H/</v>
      </c>
      <c r="F3982" t="s">
        <v>22080</v>
      </c>
      <c r="G3982" t="s">
        <v>2478</v>
      </c>
      <c r="H3982">
        <v>637</v>
      </c>
      <c r="I3982" t="s">
        <v>2479</v>
      </c>
      <c r="J3982">
        <v>8</v>
      </c>
      <c r="K3982">
        <v>44</v>
      </c>
      <c r="L3982">
        <v>52</v>
      </c>
      <c r="Q3982">
        <v>0</v>
      </c>
      <c r="R3982">
        <v>0</v>
      </c>
      <c r="S3982">
        <v>52</v>
      </c>
      <c r="Y3982" t="s">
        <v>13540</v>
      </c>
      <c r="Z3982" t="s">
        <v>22081</v>
      </c>
      <c r="AA3982" t="s">
        <v>22082</v>
      </c>
      <c r="AB3982" t="s">
        <v>22083</v>
      </c>
      <c r="AC3982" t="s">
        <v>22084</v>
      </c>
      <c r="AD3982" s="249" t="str">
        <f>HYPERLINK("https://scontent.cdninstagram.com/t51.2885-15/s320x320/e35/21224082_119344248797917_3738598684175106048_n.jpg")</f>
        <v>https://scontent.cdninstagram.com/t51.2885-15/s320x320/e35/21224082_119344248797917_3738598684175106048_n.jpg</v>
      </c>
      <c r="AE3982" s="249" t="str">
        <f>HYPERLINK("https://scontent.cdninstagram.com/t51.2885-19/11325369_911178162281666_163295806_a.jpg")</f>
        <v>https://scontent.cdninstagram.com/t51.2885-19/11325369_911178162281666_163295806_a.jpg</v>
      </c>
    </row>
    <row r="3983" spans="1:31" ht="15" x14ac:dyDescent="0.25">
      <c r="A3983" t="s">
        <v>2474</v>
      </c>
      <c r="B3983" t="s">
        <v>3679</v>
      </c>
      <c r="C3983" s="221">
        <v>42979.123657407406</v>
      </c>
      <c r="D3983" t="s">
        <v>22085</v>
      </c>
      <c r="E3983" s="249" t="str">
        <f>HYPERLINK("https://www.instagram.com/p/BYfTrCADVVc/")</f>
        <v>https://www.instagram.com/p/BYfTrCADVVc/</v>
      </c>
      <c r="F3983" t="s">
        <v>22086</v>
      </c>
      <c r="G3983" t="s">
        <v>2478</v>
      </c>
      <c r="H3983">
        <v>246</v>
      </c>
      <c r="I3983" t="s">
        <v>2542</v>
      </c>
      <c r="J3983">
        <v>0</v>
      </c>
      <c r="K3983">
        <v>16</v>
      </c>
      <c r="L3983">
        <v>16</v>
      </c>
      <c r="Q3983">
        <v>0</v>
      </c>
      <c r="R3983">
        <v>0</v>
      </c>
      <c r="S3983">
        <v>16</v>
      </c>
      <c r="Y3983" t="s">
        <v>10921</v>
      </c>
      <c r="Z3983" t="s">
        <v>22087</v>
      </c>
      <c r="AA3983" t="s">
        <v>22088</v>
      </c>
      <c r="AB3983" t="s">
        <v>3686</v>
      </c>
      <c r="AC3983" t="s">
        <v>22089</v>
      </c>
      <c r="AD3983" s="249" t="str">
        <f>HYPERLINK("https://scontent.cdninstagram.com/t51.2885-15/s320x320/e35/21227002_323651931438721_4259508033119322112_n.jpg")</f>
        <v>https://scontent.cdninstagram.com/t51.2885-15/s320x320/e35/21227002_323651931438721_4259508033119322112_n.jpg</v>
      </c>
      <c r="AE3983" s="249" t="str">
        <f>HYPERLINK("https://scontent.cdninstagram.com/t51.2885-19/s150x150/18444007_124322141455729_5810805608609218560_a.jpg")</f>
        <v>https://scontent.cdninstagram.com/t51.2885-19/s150x150/18444007_124322141455729_5810805608609218560_a.jpg</v>
      </c>
    </row>
    <row r="3984" spans="1:31" ht="15" x14ac:dyDescent="0.25">
      <c r="A3984" t="s">
        <v>2474</v>
      </c>
      <c r="B3984" t="s">
        <v>22090</v>
      </c>
      <c r="C3984" s="221">
        <v>42979.124039351853</v>
      </c>
      <c r="D3984" t="s">
        <v>22091</v>
      </c>
      <c r="E3984" s="249" t="str">
        <f>HYPERLINK("https://www.instagram.com/p/BYfTvFNDdaQ/")</f>
        <v>https://www.instagram.com/p/BYfTvFNDdaQ/</v>
      </c>
      <c r="F3984" t="s">
        <v>22092</v>
      </c>
      <c r="G3984" t="s">
        <v>2478</v>
      </c>
      <c r="H3984">
        <v>340</v>
      </c>
      <c r="I3984" t="s">
        <v>2748</v>
      </c>
      <c r="J3984">
        <v>4</v>
      </c>
      <c r="K3984">
        <v>72</v>
      </c>
      <c r="L3984">
        <v>76</v>
      </c>
      <c r="Q3984">
        <v>0</v>
      </c>
      <c r="R3984">
        <v>0</v>
      </c>
      <c r="S3984">
        <v>76</v>
      </c>
      <c r="Y3984" t="s">
        <v>2497</v>
      </c>
      <c r="Z3984" t="s">
        <v>2601</v>
      </c>
      <c r="AA3984" t="s">
        <v>22093</v>
      </c>
      <c r="AD3984" s="249" t="str">
        <f>HYPERLINK("https://scontent.cdninstagram.com/t51.2885-15/s320x320/e35/21148125_328027487658850_6499306496998768640_n.jpg")</f>
        <v>https://scontent.cdninstagram.com/t51.2885-15/s320x320/e35/21148125_328027487658850_6499306496998768640_n.jpg</v>
      </c>
      <c r="AE3984" s="249" t="str">
        <f>HYPERLINK("https://scontent.cdninstagram.com/t51.2885-19/s150x150/17437587_1477221878975104_4852980738565341184_a.jpg")</f>
        <v>https://scontent.cdninstagram.com/t51.2885-19/s150x150/17437587_1477221878975104_4852980738565341184_a.jpg</v>
      </c>
    </row>
    <row r="3985" spans="1:31" ht="15" x14ac:dyDescent="0.25">
      <c r="A3985" t="s">
        <v>2474</v>
      </c>
      <c r="B3985" t="s">
        <v>22094</v>
      </c>
      <c r="C3985" s="221">
        <v>42979.12604166667</v>
      </c>
      <c r="D3985" t="s">
        <v>22095</v>
      </c>
      <c r="E3985" s="249" t="str">
        <f>HYPERLINK("https://www.instagram.com/p/BYfUEM3nTiH/")</f>
        <v>https://www.instagram.com/p/BYfUEM3nTiH/</v>
      </c>
      <c r="F3985" t="s">
        <v>22096</v>
      </c>
      <c r="G3985" t="s">
        <v>2478</v>
      </c>
      <c r="H3985">
        <v>347</v>
      </c>
      <c r="I3985" t="s">
        <v>2519</v>
      </c>
      <c r="J3985">
        <v>2</v>
      </c>
      <c r="K3985">
        <v>17</v>
      </c>
      <c r="L3985">
        <v>19</v>
      </c>
      <c r="Q3985">
        <v>0</v>
      </c>
      <c r="R3985">
        <v>0</v>
      </c>
      <c r="S3985">
        <v>19</v>
      </c>
      <c r="Y3985" t="s">
        <v>22097</v>
      </c>
      <c r="Z3985" t="s">
        <v>2906</v>
      </c>
      <c r="AA3985" t="s">
        <v>2497</v>
      </c>
      <c r="AB3985" t="s">
        <v>13540</v>
      </c>
      <c r="AC3985" t="s">
        <v>22098</v>
      </c>
      <c r="AD3985" s="249" t="str">
        <f>HYPERLINK("https://scontent.cdninstagram.com/t51.2885-15/s320x320/e35/21227047_1425143704247626_8156542391487037440_n.jpg")</f>
        <v>https://scontent.cdninstagram.com/t51.2885-15/s320x320/e35/21227047_1425143704247626_8156542391487037440_n.jpg</v>
      </c>
      <c r="AE3985" s="249" t="str">
        <f>HYPERLINK("https://scontent.cdninstagram.com/t51.2885-19/s150x150/17439189_1828575787390678_6345385129786998784_a.jpg")</f>
        <v>https://scontent.cdninstagram.com/t51.2885-19/s150x150/17439189_1828575787390678_6345385129786998784_a.jpg</v>
      </c>
    </row>
    <row r="3986" spans="1:31" ht="15" x14ac:dyDescent="0.25">
      <c r="A3986" t="s">
        <v>2474</v>
      </c>
      <c r="B3986" t="s">
        <v>22099</v>
      </c>
      <c r="C3986" s="221">
        <v>42979.137453703705</v>
      </c>
      <c r="D3986" t="s">
        <v>22100</v>
      </c>
      <c r="E3986" s="249" t="str">
        <f>HYPERLINK("https://www.instagram.com/p/BYfV8l_DYbG/")</f>
        <v>https://www.instagram.com/p/BYfV8l_DYbG/</v>
      </c>
      <c r="F3986" t="s">
        <v>22101</v>
      </c>
      <c r="G3986" t="s">
        <v>2478</v>
      </c>
      <c r="H3986">
        <v>3951</v>
      </c>
      <c r="I3986" t="s">
        <v>2479</v>
      </c>
      <c r="J3986">
        <v>9</v>
      </c>
      <c r="K3986">
        <v>229</v>
      </c>
      <c r="L3986">
        <v>238</v>
      </c>
      <c r="Q3986">
        <v>0</v>
      </c>
      <c r="R3986">
        <v>0</v>
      </c>
      <c r="S3986">
        <v>238</v>
      </c>
      <c r="Y3986" t="s">
        <v>4180</v>
      </c>
      <c r="Z3986" t="s">
        <v>12213</v>
      </c>
      <c r="AA3986" t="s">
        <v>2906</v>
      </c>
      <c r="AB3986" t="s">
        <v>7564</v>
      </c>
      <c r="AC3986" t="s">
        <v>7914</v>
      </c>
      <c r="AD3986" s="249" t="str">
        <f>HYPERLINK("https://scontent.cdninstagram.com/t51.2885-15/s320x320/e35/21149574_693732154161297_4965553652459634688_n.jpg")</f>
        <v>https://scontent.cdninstagram.com/t51.2885-15/s320x320/e35/21149574_693732154161297_4965553652459634688_n.jpg</v>
      </c>
      <c r="AE3986" s="249" t="str">
        <f>HYPERLINK("https://scontent.cdninstagram.com/t51.2885-19/s150x150/20582600_329135114204528_5041700532104724480_a.jpg")</f>
        <v>https://scontent.cdninstagram.com/t51.2885-19/s150x150/20582600_329135114204528_5041700532104724480_a.jpg</v>
      </c>
    </row>
    <row r="3987" spans="1:31" ht="15" x14ac:dyDescent="0.25">
      <c r="A3987" t="s">
        <v>2474</v>
      </c>
      <c r="B3987" t="s">
        <v>22102</v>
      </c>
      <c r="C3987" s="221">
        <v>42979.142777777779</v>
      </c>
      <c r="D3987" t="s">
        <v>22103</v>
      </c>
      <c r="E3987" s="249" t="str">
        <f>HYPERLINK("https://www.instagram.com/p/BYfW0whgNzc/")</f>
        <v>https://www.instagram.com/p/BYfW0whgNzc/</v>
      </c>
      <c r="F3987" t="s">
        <v>22104</v>
      </c>
      <c r="G3987" t="s">
        <v>2631</v>
      </c>
      <c r="H3987">
        <v>226</v>
      </c>
      <c r="I3987" t="s">
        <v>2479</v>
      </c>
      <c r="J3987">
        <v>0</v>
      </c>
      <c r="K3987">
        <v>26</v>
      </c>
      <c r="L3987">
        <v>26</v>
      </c>
      <c r="Q3987">
        <v>0</v>
      </c>
      <c r="R3987">
        <v>0</v>
      </c>
      <c r="S3987">
        <v>26</v>
      </c>
      <c r="T3987" t="s">
        <v>22105</v>
      </c>
      <c r="U3987" t="s">
        <v>204</v>
      </c>
      <c r="V3987" t="s">
        <v>2299</v>
      </c>
      <c r="W3987">
        <v>21.284600000000001</v>
      </c>
      <c r="X3987">
        <v>-157.84700000000001</v>
      </c>
      <c r="Y3987" t="s">
        <v>5118</v>
      </c>
      <c r="Z3987" t="s">
        <v>22106</v>
      </c>
      <c r="AA3987" t="s">
        <v>2497</v>
      </c>
      <c r="AB3987" t="s">
        <v>4074</v>
      </c>
      <c r="AC3987" t="s">
        <v>22107</v>
      </c>
      <c r="AD3987" s="249" t="str">
        <f>HYPERLINK("https://scontent.cdninstagram.com/t51.2885-15/s320x320/e15/21224063_705113213032627_2105240677548818432_n.jpg")</f>
        <v>https://scontent.cdninstagram.com/t51.2885-15/s320x320/e15/21224063_705113213032627_2105240677548818432_n.jpg</v>
      </c>
      <c r="AE3987" s="249" t="str">
        <f>HYPERLINK("https://scontent.cdninstagram.com/t51.2885-19/s150x150/18723098_665888923611725_6930367900364570624_a.jpg")</f>
        <v>https://scontent.cdninstagram.com/t51.2885-19/s150x150/18723098_665888923611725_6930367900364570624_a.jpg</v>
      </c>
    </row>
    <row r="3988" spans="1:31" ht="15" x14ac:dyDescent="0.25">
      <c r="A3988" t="s">
        <v>2474</v>
      </c>
      <c r="B3988" t="s">
        <v>3015</v>
      </c>
      <c r="C3988" s="221">
        <v>42979.145891203705</v>
      </c>
      <c r="D3988" t="s">
        <v>22108</v>
      </c>
      <c r="E3988" s="249" t="str">
        <f>HYPERLINK("https://www.instagram.com/p/BYfXVhmgakY/")</f>
        <v>https://www.instagram.com/p/BYfXVhmgakY/</v>
      </c>
      <c r="F3988" t="s">
        <v>22109</v>
      </c>
      <c r="G3988" t="s">
        <v>2478</v>
      </c>
      <c r="H3988">
        <v>250</v>
      </c>
      <c r="I3988" t="s">
        <v>2479</v>
      </c>
      <c r="J3988">
        <v>0</v>
      </c>
      <c r="K3988">
        <v>32</v>
      </c>
      <c r="L3988">
        <v>32</v>
      </c>
      <c r="Q3988">
        <v>0</v>
      </c>
      <c r="R3988">
        <v>0</v>
      </c>
      <c r="S3988">
        <v>32</v>
      </c>
      <c r="Y3988" t="s">
        <v>3018</v>
      </c>
      <c r="Z3988" t="s">
        <v>3725</v>
      </c>
      <c r="AA3988" t="s">
        <v>2497</v>
      </c>
      <c r="AB3988" t="s">
        <v>3728</v>
      </c>
      <c r="AC3988" t="s">
        <v>3020</v>
      </c>
      <c r="AD3988" s="249" t="str">
        <f>HYPERLINK("https://scontent.cdninstagram.com/t51.2885-15/e35/p320x320/21227208_805048009677972_2870986887764377600_n.jpg")</f>
        <v>https://scontent.cdninstagram.com/t51.2885-15/e35/p320x320/21227208_805048009677972_2870986887764377600_n.jpg</v>
      </c>
      <c r="AE3988" s="249" t="str">
        <f>HYPERLINK("https://scontent.cdninstagram.com/t51.2885-19/s150x150/21373025_723410537866046_6184601968204316672_a.jpg")</f>
        <v>https://scontent.cdninstagram.com/t51.2885-19/s150x150/21373025_723410537866046_6184601968204316672_a.jpg</v>
      </c>
    </row>
    <row r="3989" spans="1:31" ht="15" x14ac:dyDescent="0.25">
      <c r="A3989" t="s">
        <v>2474</v>
      </c>
      <c r="B3989" t="s">
        <v>22110</v>
      </c>
      <c r="C3989" s="221">
        <v>42979.148136574076</v>
      </c>
      <c r="D3989" t="s">
        <v>22111</v>
      </c>
      <c r="E3989" s="249" t="str">
        <f>HYPERLINK("https://www.instagram.com/p/BYfXtQAFdes/")</f>
        <v>https://www.instagram.com/p/BYfXtQAFdes/</v>
      </c>
      <c r="F3989" t="s">
        <v>22112</v>
      </c>
      <c r="G3989" t="s">
        <v>2478</v>
      </c>
      <c r="H3989">
        <v>348</v>
      </c>
      <c r="I3989" t="s">
        <v>2479</v>
      </c>
      <c r="J3989">
        <v>0</v>
      </c>
      <c r="K3989">
        <v>26</v>
      </c>
      <c r="L3989">
        <v>26</v>
      </c>
      <c r="Q3989">
        <v>0</v>
      </c>
      <c r="R3989">
        <v>0</v>
      </c>
      <c r="S3989">
        <v>26</v>
      </c>
      <c r="T3989" t="s">
        <v>22113</v>
      </c>
      <c r="V3989" t="s">
        <v>2110</v>
      </c>
      <c r="W3989">
        <v>51.1</v>
      </c>
      <c r="X3989">
        <v>2.65</v>
      </c>
      <c r="Y3989" t="s">
        <v>22114</v>
      </c>
      <c r="Z3989" t="s">
        <v>22115</v>
      </c>
      <c r="AA3989" t="s">
        <v>2497</v>
      </c>
      <c r="AB3989" t="s">
        <v>22116</v>
      </c>
      <c r="AC3989" t="s">
        <v>22117</v>
      </c>
      <c r="AD3989" s="249" t="str">
        <f>HYPERLINK("https://scontent.cdninstagram.com/t51.2885-15/s320x320/e35/21227699_2090092967944105_7130180482032992256_n.jpg")</f>
        <v>https://scontent.cdninstagram.com/t51.2885-15/s320x320/e35/21227699_2090092967944105_7130180482032992256_n.jpg</v>
      </c>
      <c r="AE3989" s="249" t="str">
        <f>HYPERLINK("https://scontent.cdninstagram.com/t51.2885-19/s150x150/20633926_111776212819897_1199778171877064704_a.jpg")</f>
        <v>https://scontent.cdninstagram.com/t51.2885-19/s150x150/20633926_111776212819897_1199778171877064704_a.jpg</v>
      </c>
    </row>
    <row r="3990" spans="1:31" ht="15" x14ac:dyDescent="0.25">
      <c r="A3990" t="s">
        <v>2474</v>
      </c>
      <c r="B3990" t="s">
        <v>22118</v>
      </c>
      <c r="C3990" s="221">
        <v>42979.151412037034</v>
      </c>
      <c r="D3990" t="s">
        <v>22119</v>
      </c>
      <c r="E3990" s="249" t="str">
        <f>HYPERLINK("https://www.instagram.com/p/BYfYP0Fnx9s/")</f>
        <v>https://www.instagram.com/p/BYfYP0Fnx9s/</v>
      </c>
      <c r="F3990" t="s">
        <v>22120</v>
      </c>
      <c r="G3990" t="s">
        <v>2478</v>
      </c>
      <c r="H3990">
        <v>261</v>
      </c>
      <c r="I3990" t="s">
        <v>3273</v>
      </c>
      <c r="J3990">
        <v>1</v>
      </c>
      <c r="K3990">
        <v>28</v>
      </c>
      <c r="L3990">
        <v>29</v>
      </c>
      <c r="Q3990">
        <v>0</v>
      </c>
      <c r="R3990">
        <v>0</v>
      </c>
      <c r="S3990">
        <v>29</v>
      </c>
      <c r="Y3990" t="s">
        <v>2492</v>
      </c>
      <c r="Z3990" t="s">
        <v>2906</v>
      </c>
      <c r="AA3990" t="s">
        <v>2497</v>
      </c>
      <c r="AB3990" t="s">
        <v>6638</v>
      </c>
      <c r="AC3990" t="s">
        <v>9053</v>
      </c>
      <c r="AD3990" s="249" t="str">
        <f>HYPERLINK("https://scontent.cdninstagram.com/t51.2885-15/s320x320/e35/21149272_115431005797146_6710683999666176000_n.jpg")</f>
        <v>https://scontent.cdninstagram.com/t51.2885-15/s320x320/e35/21149272_115431005797146_6710683999666176000_n.jpg</v>
      </c>
      <c r="AE3990" s="249" t="str">
        <f>HYPERLINK("https://scontent.cdninstagram.com/t51.2885-19/s150x150/20394286_111794662814826_1694949452558630912_a.jpg")</f>
        <v>https://scontent.cdninstagram.com/t51.2885-19/s150x150/20394286_111794662814826_1694949452558630912_a.jpg</v>
      </c>
    </row>
    <row r="3991" spans="1:31" ht="15" x14ac:dyDescent="0.25">
      <c r="A3991" t="s">
        <v>2474</v>
      </c>
      <c r="B3991" t="s">
        <v>22121</v>
      </c>
      <c r="C3991" s="221">
        <v>42979.163680555554</v>
      </c>
      <c r="D3991" t="s">
        <v>22122</v>
      </c>
      <c r="E3991" s="249" t="str">
        <f>HYPERLINK("https://www.instagram.com/p/BYfaRK7HQfv/")</f>
        <v>https://www.instagram.com/p/BYfaRK7HQfv/</v>
      </c>
      <c r="F3991" t="s">
        <v>22123</v>
      </c>
      <c r="G3991" t="s">
        <v>2478</v>
      </c>
      <c r="H3991">
        <v>87</v>
      </c>
      <c r="I3991" t="s">
        <v>2542</v>
      </c>
      <c r="J3991">
        <v>0</v>
      </c>
      <c r="K3991">
        <v>10</v>
      </c>
      <c r="L3991">
        <v>10</v>
      </c>
      <c r="Q3991">
        <v>0</v>
      </c>
      <c r="R3991">
        <v>0</v>
      </c>
      <c r="S3991">
        <v>10</v>
      </c>
      <c r="Y3991" t="s">
        <v>2497</v>
      </c>
      <c r="Z3991" t="s">
        <v>12973</v>
      </c>
      <c r="AA3991" t="s">
        <v>22124</v>
      </c>
      <c r="AD3991" s="249" t="str">
        <f>HYPERLINK("https://scontent.cdninstagram.com/t51.2885-15/s320x320/e35/21149770_1475412659213544_2631666632811872256_n.jpg")</f>
        <v>https://scontent.cdninstagram.com/t51.2885-15/s320x320/e35/21149770_1475412659213544_2631666632811872256_n.jpg</v>
      </c>
      <c r="AE3991" s="249" t="str">
        <f>HYPERLINK("https://scontent.cdninstagram.com/t51.2885-19/10549719_407084419430836_1841271041_a.jpg")</f>
        <v>https://scontent.cdninstagram.com/t51.2885-19/10549719_407084419430836_1841271041_a.jpg</v>
      </c>
    </row>
    <row r="3992" spans="1:31" ht="15" x14ac:dyDescent="0.25">
      <c r="A3992" t="s">
        <v>2474</v>
      </c>
      <c r="B3992" t="s">
        <v>7408</v>
      </c>
      <c r="C3992" s="221">
        <v>42979.166990740741</v>
      </c>
      <c r="D3992" t="s">
        <v>22125</v>
      </c>
      <c r="E3992" s="249" t="str">
        <f>HYPERLINK("https://www.instagram.com/p/BYfa0H4F3_H/")</f>
        <v>https://www.instagram.com/p/BYfa0H4F3_H/</v>
      </c>
      <c r="F3992" t="s">
        <v>22126</v>
      </c>
      <c r="G3992" t="s">
        <v>2478</v>
      </c>
      <c r="H3992">
        <v>277</v>
      </c>
      <c r="I3992" t="s">
        <v>2479</v>
      </c>
      <c r="J3992">
        <v>11</v>
      </c>
      <c r="K3992">
        <v>54</v>
      </c>
      <c r="L3992">
        <v>65</v>
      </c>
      <c r="Q3992">
        <v>0</v>
      </c>
      <c r="R3992">
        <v>0</v>
      </c>
      <c r="S3992">
        <v>65</v>
      </c>
      <c r="T3992" t="s">
        <v>22127</v>
      </c>
      <c r="V3992" t="s">
        <v>2264</v>
      </c>
      <c r="W3992">
        <v>41.378799999999998</v>
      </c>
      <c r="X3992">
        <v>2.16296</v>
      </c>
      <c r="Y3992" t="s">
        <v>13944</v>
      </c>
      <c r="Z3992" t="s">
        <v>19756</v>
      </c>
      <c r="AA3992" t="s">
        <v>3549</v>
      </c>
      <c r="AB3992" t="s">
        <v>17261</v>
      </c>
      <c r="AC3992" t="s">
        <v>22128</v>
      </c>
      <c r="AD3992" s="249" t="str">
        <f>HYPERLINK("https://scontent.cdninstagram.com/t51.2885-15/s320x320/e35/21149061_353752965059728_681654538721034240_n.jpg")</f>
        <v>https://scontent.cdninstagram.com/t51.2885-15/s320x320/e35/21149061_353752965059728_681654538721034240_n.jpg</v>
      </c>
      <c r="AE3992" s="249" t="str">
        <f>HYPERLINK("https://scontent.cdninstagram.com/t51.2885-19/s150x150/20482073_1904499753135722_3924314075076493312_a.jpg")</f>
        <v>https://scontent.cdninstagram.com/t51.2885-19/s150x150/20482073_1904499753135722_3924314075076493312_a.jpg</v>
      </c>
    </row>
    <row r="3993" spans="1:31" ht="15" x14ac:dyDescent="0.25">
      <c r="A3993" t="s">
        <v>2474</v>
      </c>
      <c r="B3993" t="s">
        <v>22129</v>
      </c>
      <c r="C3993" s="221">
        <v>42979.177557870367</v>
      </c>
      <c r="D3993" t="s">
        <v>22130</v>
      </c>
      <c r="E3993" s="249" t="str">
        <f>HYPERLINK("https://www.instagram.com/p/BYfcjmFH4gj/")</f>
        <v>https://www.instagram.com/p/BYfcjmFH4gj/</v>
      </c>
      <c r="F3993" t="s">
        <v>22131</v>
      </c>
      <c r="G3993" t="s">
        <v>2478</v>
      </c>
      <c r="H3993">
        <v>176</v>
      </c>
      <c r="I3993" t="s">
        <v>2479</v>
      </c>
      <c r="J3993">
        <v>1</v>
      </c>
      <c r="K3993">
        <v>5</v>
      </c>
      <c r="L3993">
        <v>6</v>
      </c>
      <c r="Q3993">
        <v>0</v>
      </c>
      <c r="R3993">
        <v>0</v>
      </c>
      <c r="S3993">
        <v>6</v>
      </c>
      <c r="T3993" t="s">
        <v>22132</v>
      </c>
      <c r="V3993" t="s">
        <v>2141</v>
      </c>
      <c r="W3993">
        <v>55.681180631014001</v>
      </c>
      <c r="X3993">
        <v>12.480569085782999</v>
      </c>
      <c r="Y3993" t="s">
        <v>2497</v>
      </c>
      <c r="Z3993" t="s">
        <v>22133</v>
      </c>
      <c r="AA3993" t="s">
        <v>22134</v>
      </c>
      <c r="AD3993" s="249" t="str">
        <f>HYPERLINK("https://scontent.cdninstagram.com/t51.2885-15/s320x320/e35/21149872_2012149402396405_6982639718236160000_n.jpg")</f>
        <v>https://scontent.cdninstagram.com/t51.2885-15/s320x320/e35/21149872_2012149402396405_6982639718236160000_n.jpg</v>
      </c>
      <c r="AE3993" s="249" t="str">
        <f>HYPERLINK("https://scontent.cdninstagram.com/t51.2885-19/s150x150/19425442_1809791106001228_6188265446458785792_a.jpg")</f>
        <v>https://scontent.cdninstagram.com/t51.2885-19/s150x150/19425442_1809791106001228_6188265446458785792_a.jpg</v>
      </c>
    </row>
    <row r="3994" spans="1:31" ht="15" x14ac:dyDescent="0.25">
      <c r="A3994" t="s">
        <v>2474</v>
      </c>
      <c r="B3994" t="s">
        <v>22135</v>
      </c>
      <c r="C3994" s="221">
        <v>42979.19059027778</v>
      </c>
      <c r="D3994" t="s">
        <v>22136</v>
      </c>
      <c r="E3994" s="249" t="str">
        <f>HYPERLINK("https://www.instagram.com/p/BYfetBWH7bn/")</f>
        <v>https://www.instagram.com/p/BYfetBWH7bn/</v>
      </c>
      <c r="F3994" t="s">
        <v>22137</v>
      </c>
      <c r="G3994" t="s">
        <v>2478</v>
      </c>
      <c r="H3994">
        <v>1039</v>
      </c>
      <c r="I3994" t="s">
        <v>2479</v>
      </c>
      <c r="J3994">
        <v>7</v>
      </c>
      <c r="K3994">
        <v>60</v>
      </c>
      <c r="L3994">
        <v>67</v>
      </c>
      <c r="Q3994">
        <v>0</v>
      </c>
      <c r="R3994">
        <v>0</v>
      </c>
      <c r="S3994">
        <v>67</v>
      </c>
      <c r="Y3994" t="s">
        <v>8906</v>
      </c>
      <c r="Z3994" t="s">
        <v>22138</v>
      </c>
      <c r="AA3994" t="s">
        <v>2789</v>
      </c>
      <c r="AB3994" t="s">
        <v>5266</v>
      </c>
      <c r="AC3994" t="s">
        <v>2497</v>
      </c>
      <c r="AD3994" s="249" t="str">
        <f>HYPERLINK("https://scontent.cdninstagram.com/t51.2885-15/s320x320/e35/21149851_1964328770519861_6872507303543701504_n.jpg")</f>
        <v>https://scontent.cdninstagram.com/t51.2885-15/s320x320/e35/21149851_1964328770519861_6872507303543701504_n.jpg</v>
      </c>
      <c r="AE3994" s="249" t="str">
        <f>HYPERLINK("https://scontent.cdninstagram.com/t51.2885-19/s150x150/18095115_141520496387284_3805367940816044032_a.jpg")</f>
        <v>https://scontent.cdninstagram.com/t51.2885-19/s150x150/18095115_141520496387284_3805367940816044032_a.jpg</v>
      </c>
    </row>
    <row r="3995" spans="1:31" ht="15" x14ac:dyDescent="0.25">
      <c r="A3995" t="s">
        <v>2474</v>
      </c>
      <c r="B3995" t="s">
        <v>20536</v>
      </c>
      <c r="C3995" s="221">
        <v>42979.190833333334</v>
      </c>
      <c r="D3995" t="s">
        <v>22139</v>
      </c>
      <c r="E3995" s="249" t="str">
        <f>HYPERLINK("https://www.instagram.com/p/BYfevhTlT1Q/")</f>
        <v>https://www.instagram.com/p/BYfevhTlT1Q/</v>
      </c>
      <c r="F3995" t="s">
        <v>22140</v>
      </c>
      <c r="G3995" t="s">
        <v>2478</v>
      </c>
      <c r="H3995">
        <v>382</v>
      </c>
      <c r="I3995" t="s">
        <v>2479</v>
      </c>
      <c r="J3995">
        <v>0</v>
      </c>
      <c r="K3995">
        <v>27</v>
      </c>
      <c r="L3995">
        <v>27</v>
      </c>
      <c r="Q3995">
        <v>0</v>
      </c>
      <c r="R3995">
        <v>0</v>
      </c>
      <c r="S3995">
        <v>27</v>
      </c>
      <c r="Y3995" t="s">
        <v>6620</v>
      </c>
      <c r="Z3995" t="s">
        <v>20539</v>
      </c>
      <c r="AA3995" t="s">
        <v>2497</v>
      </c>
      <c r="AB3995" t="s">
        <v>4514</v>
      </c>
      <c r="AC3995" t="s">
        <v>2743</v>
      </c>
      <c r="AD3995" s="249" t="str">
        <f>HYPERLINK("https://scontent.cdninstagram.com/t51.2885-15/s320x320/e35/21227763_1917221831861779_8039050361354321920_n.jpg")</f>
        <v>https://scontent.cdninstagram.com/t51.2885-15/s320x320/e35/21227763_1917221831861779_8039050361354321920_n.jpg</v>
      </c>
      <c r="AE3995" s="249" t="str">
        <f>HYPERLINK("https://scontent.cdninstagram.com/t51.2885-19/s150x150/18646537_115676032282901_547466330031259648_a.jpg")</f>
        <v>https://scontent.cdninstagram.com/t51.2885-19/s150x150/18646537_115676032282901_547466330031259648_a.jpg</v>
      </c>
    </row>
    <row r="3996" spans="1:31" ht="15" x14ac:dyDescent="0.25">
      <c r="A3996" t="s">
        <v>2474</v>
      </c>
      <c r="B3996" t="s">
        <v>22141</v>
      </c>
      <c r="C3996" s="221">
        <v>42979.191180555557</v>
      </c>
      <c r="D3996" t="s">
        <v>22142</v>
      </c>
      <c r="E3996" s="249" t="str">
        <f>HYPERLINK("https://www.instagram.com/p/BYfezSyHoWw/")</f>
        <v>https://www.instagram.com/p/BYfezSyHoWw/</v>
      </c>
      <c r="F3996" t="s">
        <v>22143</v>
      </c>
      <c r="G3996" t="s">
        <v>2478</v>
      </c>
      <c r="H3996">
        <v>136</v>
      </c>
      <c r="I3996" t="s">
        <v>3170</v>
      </c>
      <c r="J3996">
        <v>0</v>
      </c>
      <c r="K3996">
        <v>4</v>
      </c>
      <c r="L3996">
        <v>4</v>
      </c>
      <c r="Q3996">
        <v>0</v>
      </c>
      <c r="R3996">
        <v>0</v>
      </c>
      <c r="S3996">
        <v>4</v>
      </c>
      <c r="Y3996" t="s">
        <v>9171</v>
      </c>
      <c r="Z3996" t="s">
        <v>14963</v>
      </c>
      <c r="AA3996" t="s">
        <v>22144</v>
      </c>
      <c r="AB3996" t="s">
        <v>2497</v>
      </c>
      <c r="AC3996" t="s">
        <v>2968</v>
      </c>
      <c r="AD3996" s="249" t="str">
        <f>HYPERLINK("https://scontent.cdninstagram.com/t51.2885-15/s320x320/e35/21227773_125049824812301_8761699379368165376_n.jpg")</f>
        <v>https://scontent.cdninstagram.com/t51.2885-15/s320x320/e35/21227773_125049824812301_8761699379368165376_n.jpg</v>
      </c>
      <c r="AE3996" s="249" t="str">
        <f>HYPERLINK("https://scontent.cdninstagram.com/t51.2885-19/s150x150/21224675_130341214257307_3868878790453100544_a.jpg")</f>
        <v>https://scontent.cdninstagram.com/t51.2885-19/s150x150/21224675_130341214257307_3868878790453100544_a.jpg</v>
      </c>
    </row>
    <row r="3997" spans="1:31" ht="15" x14ac:dyDescent="0.25">
      <c r="A3997" t="s">
        <v>2474</v>
      </c>
      <c r="B3997" t="s">
        <v>22145</v>
      </c>
      <c r="C3997" s="221">
        <v>42979.203703703701</v>
      </c>
      <c r="D3997" t="s">
        <v>22146</v>
      </c>
      <c r="E3997" s="249" t="str">
        <f>HYPERLINK("https://www.instagram.com/p/BYfg3UXF8tA/")</f>
        <v>https://www.instagram.com/p/BYfg3UXF8tA/</v>
      </c>
      <c r="F3997" t="s">
        <v>22147</v>
      </c>
      <c r="G3997" t="s">
        <v>2478</v>
      </c>
      <c r="H3997">
        <v>564</v>
      </c>
      <c r="I3997" t="s">
        <v>2748</v>
      </c>
      <c r="J3997">
        <v>2</v>
      </c>
      <c r="K3997">
        <v>37</v>
      </c>
      <c r="L3997">
        <v>39</v>
      </c>
      <c r="Q3997">
        <v>0</v>
      </c>
      <c r="R3997">
        <v>0</v>
      </c>
      <c r="S3997">
        <v>39</v>
      </c>
      <c r="Y3997" t="s">
        <v>2497</v>
      </c>
      <c r="Z3997" t="s">
        <v>22148</v>
      </c>
      <c r="AA3997" t="s">
        <v>22149</v>
      </c>
      <c r="AD3997" s="249" t="str">
        <f>HYPERLINK("https://scontent.cdninstagram.com/t51.2885-15/s320x320/e35/21227187_1966559373589097_8021749228063686656_n.jpg")</f>
        <v>https://scontent.cdninstagram.com/t51.2885-15/s320x320/e35/21227187_1966559373589097_8021749228063686656_n.jpg</v>
      </c>
      <c r="AE3997" s="249" t="str">
        <f>HYPERLINK("https://scontent.cdninstagram.com/t51.2885-19/s150x150/21041041_1728081200826464_3635249590506094592_a.jpg")</f>
        <v>https://scontent.cdninstagram.com/t51.2885-19/s150x150/21041041_1728081200826464_3635249590506094592_a.jpg</v>
      </c>
    </row>
    <row r="3998" spans="1:31" ht="15" x14ac:dyDescent="0.25">
      <c r="A3998" t="s">
        <v>2474</v>
      </c>
      <c r="B3998" t="s">
        <v>22150</v>
      </c>
      <c r="C3998" s="221">
        <v>42979.205752314818</v>
      </c>
      <c r="D3998" t="s">
        <v>22151</v>
      </c>
      <c r="E3998" s="249" t="str">
        <f>HYPERLINK("https://www.instagram.com/p/BYfhM9QgOY0/")</f>
        <v>https://www.instagram.com/p/BYfhM9QgOY0/</v>
      </c>
      <c r="F3998" t="s">
        <v>22152</v>
      </c>
      <c r="G3998" t="s">
        <v>2478</v>
      </c>
      <c r="H3998">
        <v>98</v>
      </c>
      <c r="I3998" t="s">
        <v>2479</v>
      </c>
      <c r="J3998">
        <v>3</v>
      </c>
      <c r="K3998">
        <v>26</v>
      </c>
      <c r="L3998">
        <v>29</v>
      </c>
      <c r="Q3998">
        <v>0</v>
      </c>
      <c r="R3998">
        <v>0</v>
      </c>
      <c r="S3998">
        <v>29</v>
      </c>
      <c r="T3998" t="s">
        <v>22153</v>
      </c>
      <c r="V3998" t="s">
        <v>2273</v>
      </c>
      <c r="W3998">
        <v>25.026429919548999</v>
      </c>
      <c r="X3998">
        <v>121.28210828651</v>
      </c>
      <c r="Y3998" t="s">
        <v>2497</v>
      </c>
      <c r="Z3998" t="s">
        <v>22154</v>
      </c>
      <c r="AA3998" t="s">
        <v>22155</v>
      </c>
      <c r="AD3998" s="249" t="str">
        <f>HYPERLINK("https://scontent.cdninstagram.com/t51.2885-15/e35/p320x320/21296294_122274568428142_4402047131406303232_n.jpg")</f>
        <v>https://scontent.cdninstagram.com/t51.2885-15/e35/p320x320/21296294_122274568428142_4402047131406303232_n.jpg</v>
      </c>
      <c r="AE3998" s="249" t="str">
        <f>HYPERLINK("https://scontent.cdninstagram.com/t51.2885-19/s150x150/14309950_165648787214688_277606173_a.jpg")</f>
        <v>https://scontent.cdninstagram.com/t51.2885-19/s150x150/14309950_165648787214688_277606173_a.jpg</v>
      </c>
    </row>
    <row r="3999" spans="1:31" ht="15" x14ac:dyDescent="0.25">
      <c r="A3999" t="s">
        <v>2474</v>
      </c>
      <c r="B3999" t="s">
        <v>22156</v>
      </c>
      <c r="C3999" s="221">
        <v>42979.210381944446</v>
      </c>
      <c r="D3999" t="s">
        <v>22157</v>
      </c>
      <c r="E3999" s="249" t="str">
        <f>HYPERLINK("https://www.instagram.com/p/BYfh9vxhGeh/")</f>
        <v>https://www.instagram.com/p/BYfh9vxhGeh/</v>
      </c>
      <c r="F3999" t="s">
        <v>22158</v>
      </c>
      <c r="G3999" t="s">
        <v>2478</v>
      </c>
      <c r="H3999">
        <v>185</v>
      </c>
      <c r="I3999" t="s">
        <v>2479</v>
      </c>
      <c r="J3999">
        <v>1</v>
      </c>
      <c r="K3999">
        <v>8</v>
      </c>
      <c r="L3999">
        <v>9</v>
      </c>
      <c r="Q3999">
        <v>0</v>
      </c>
      <c r="R3999">
        <v>0</v>
      </c>
      <c r="S3999">
        <v>9</v>
      </c>
      <c r="Y3999" t="s">
        <v>2497</v>
      </c>
      <c r="Z3999" t="s">
        <v>6877</v>
      </c>
      <c r="AA3999" t="s">
        <v>22159</v>
      </c>
      <c r="AD3999" s="249" t="str">
        <f>HYPERLINK("https://scontent.cdninstagram.com/t51.2885-15/s320x320/e35/21294565_1144954402303153_2716031434161651712_n.jpg")</f>
        <v>https://scontent.cdninstagram.com/t51.2885-15/s320x320/e35/21294565_1144954402303153_2716031434161651712_n.jpg</v>
      </c>
      <c r="AE3999" s="249" t="str">
        <f>HYPERLINK("https://scontent.cdninstagram.com/t51.2885-19/s150x150/20478857_504499416556802_1681284485825429504_a.jpg")</f>
        <v>https://scontent.cdninstagram.com/t51.2885-19/s150x150/20478857_504499416556802_1681284485825429504_a.jpg</v>
      </c>
    </row>
    <row r="4000" spans="1:31" ht="15" x14ac:dyDescent="0.25">
      <c r="A4000" t="s">
        <v>2474</v>
      </c>
      <c r="B4000" t="s">
        <v>2628</v>
      </c>
      <c r="C4000" s="221">
        <v>42979.210972222223</v>
      </c>
      <c r="D4000" t="s">
        <v>22160</v>
      </c>
      <c r="E4000" s="249" t="str">
        <f>HYPERLINK("https://www.instagram.com/p/BYfiD_0AMeB/")</f>
        <v>https://www.instagram.com/p/BYfiD_0AMeB/</v>
      </c>
      <c r="F4000" t="s">
        <v>20494</v>
      </c>
      <c r="G4000" t="s">
        <v>2631</v>
      </c>
      <c r="H4000">
        <v>187</v>
      </c>
      <c r="I4000" t="s">
        <v>2479</v>
      </c>
      <c r="J4000">
        <v>0</v>
      </c>
      <c r="K4000">
        <v>32</v>
      </c>
      <c r="L4000">
        <v>32</v>
      </c>
      <c r="Q4000">
        <v>0</v>
      </c>
      <c r="R4000">
        <v>0</v>
      </c>
      <c r="S4000">
        <v>32</v>
      </c>
      <c r="Y4000" t="s">
        <v>4180</v>
      </c>
      <c r="Z4000" t="s">
        <v>12681</v>
      </c>
      <c r="AA4000" t="s">
        <v>2497</v>
      </c>
      <c r="AB4000" t="s">
        <v>7225</v>
      </c>
      <c r="AC4000" t="s">
        <v>2524</v>
      </c>
      <c r="AD4000" s="249" t="str">
        <f>HYPERLINK("https://scontent.cdninstagram.com/t51.2885-15/s320x320/e15/21226978_128815274418343_6967516799084527616_n.jpg")</f>
        <v>https://scontent.cdninstagram.com/t51.2885-15/s320x320/e15/21226978_128815274418343_6967516799084527616_n.jpg</v>
      </c>
      <c r="AE4000" s="249" t="str">
        <f>HYPERLINK("https://scontent.cdninstagram.com/t51.2885-19/s150x150/13739472_923311071148595_1681273203_a.jpg")</f>
        <v>https://scontent.cdninstagram.com/t51.2885-19/s150x150/13739472_923311071148595_1681273203_a.jpg</v>
      </c>
    </row>
    <row r="4001" spans="1:31" ht="15" x14ac:dyDescent="0.25">
      <c r="A4001" t="s">
        <v>2474</v>
      </c>
      <c r="B4001" t="s">
        <v>22161</v>
      </c>
      <c r="C4001" s="221">
        <v>42979.218344907407</v>
      </c>
      <c r="D4001" t="s">
        <v>22162</v>
      </c>
      <c r="E4001" s="249" t="str">
        <f>HYPERLINK("https://www.instagram.com/p/BYfjRuEl1lb/")</f>
        <v>https://www.instagram.com/p/BYfjRuEl1lb/</v>
      </c>
      <c r="F4001" t="s">
        <v>22163</v>
      </c>
      <c r="G4001" t="s">
        <v>2478</v>
      </c>
      <c r="H4001">
        <v>1167</v>
      </c>
      <c r="I4001" t="s">
        <v>2479</v>
      </c>
      <c r="J4001">
        <v>5</v>
      </c>
      <c r="K4001">
        <v>220</v>
      </c>
      <c r="L4001">
        <v>225</v>
      </c>
      <c r="Q4001">
        <v>0</v>
      </c>
      <c r="R4001">
        <v>0</v>
      </c>
      <c r="S4001">
        <v>225</v>
      </c>
      <c r="T4001" t="s">
        <v>22164</v>
      </c>
      <c r="V4001" t="s">
        <v>2177</v>
      </c>
      <c r="W4001">
        <v>-7.6</v>
      </c>
      <c r="X4001">
        <v>110.417</v>
      </c>
      <c r="Y4001" t="s">
        <v>3768</v>
      </c>
      <c r="Z4001" t="s">
        <v>22165</v>
      </c>
      <c r="AA4001" t="s">
        <v>2497</v>
      </c>
      <c r="AB4001" t="s">
        <v>9408</v>
      </c>
      <c r="AC4001" t="s">
        <v>22166</v>
      </c>
      <c r="AD4001" s="249" t="str">
        <f>HYPERLINK("https://scontent.cdninstagram.com/t51.2885-15/s320x320/e35/21227443_299410420467634_6476124595702202368_n.jpg")</f>
        <v>https://scontent.cdninstagram.com/t51.2885-15/s320x320/e35/21227443_299410420467634_6476124595702202368_n.jpg</v>
      </c>
      <c r="AE4001" s="249" t="str">
        <f>HYPERLINK("https://scontent.cdninstagram.com/t51.2885-19/s150x150/18251782_110043862895424_7351285093488394240_a.jpg")</f>
        <v>https://scontent.cdninstagram.com/t51.2885-19/s150x150/18251782_110043862895424_7351285093488394240_a.jpg</v>
      </c>
    </row>
    <row r="4002" spans="1:31" ht="15" x14ac:dyDescent="0.25">
      <c r="A4002" t="s">
        <v>2474</v>
      </c>
      <c r="B4002" t="s">
        <v>22167</v>
      </c>
      <c r="C4002" s="221">
        <v>42979.21912037037</v>
      </c>
      <c r="D4002" t="s">
        <v>22168</v>
      </c>
      <c r="E4002" s="249" t="str">
        <f>HYPERLINK("https://www.instagram.com/p/BYfjZ64nsjM/")</f>
        <v>https://www.instagram.com/p/BYfjZ64nsjM/</v>
      </c>
      <c r="F4002" t="s">
        <v>22169</v>
      </c>
      <c r="G4002" t="s">
        <v>2478</v>
      </c>
      <c r="H4002">
        <v>214</v>
      </c>
      <c r="I4002" t="s">
        <v>2479</v>
      </c>
      <c r="J4002">
        <v>0</v>
      </c>
      <c r="K4002">
        <v>10</v>
      </c>
      <c r="L4002">
        <v>10</v>
      </c>
      <c r="Q4002">
        <v>0</v>
      </c>
      <c r="R4002">
        <v>0</v>
      </c>
      <c r="S4002">
        <v>10</v>
      </c>
      <c r="Y4002" t="s">
        <v>2497</v>
      </c>
      <c r="Z4002" t="s">
        <v>22170</v>
      </c>
      <c r="AD4002" s="249" t="str">
        <f>HYPERLINK("https://scontent.cdninstagram.com/t51.2885-15/s320x320/e35/21294836_112052939491857_7143495889967906816_n.jpg")</f>
        <v>https://scontent.cdninstagram.com/t51.2885-15/s320x320/e35/21294836_112052939491857_7143495889967906816_n.jpg</v>
      </c>
      <c r="AE4002" s="249" t="str">
        <f>HYPERLINK("https://scontent.cdninstagram.com/t51.2885-19/s150x150/17076718_1799225077000280_8916990214082134016_a.jpg")</f>
        <v>https://scontent.cdninstagram.com/t51.2885-19/s150x150/17076718_1799225077000280_8916990214082134016_a.jpg</v>
      </c>
    </row>
    <row r="4003" spans="1:31" ht="15" x14ac:dyDescent="0.25">
      <c r="A4003" t="s">
        <v>2474</v>
      </c>
      <c r="B4003" t="s">
        <v>2924</v>
      </c>
      <c r="C4003" s="221">
        <v>42979.219131944446</v>
      </c>
      <c r="D4003" t="s">
        <v>22171</v>
      </c>
      <c r="E4003" s="249" t="str">
        <f>HYPERLINK("https://www.instagram.com/p/BYfjaDwBDIr/")</f>
        <v>https://www.instagram.com/p/BYfjaDwBDIr/</v>
      </c>
      <c r="F4003" t="s">
        <v>22172</v>
      </c>
      <c r="G4003" t="s">
        <v>2478</v>
      </c>
      <c r="H4003">
        <v>248</v>
      </c>
      <c r="I4003" t="s">
        <v>4523</v>
      </c>
      <c r="J4003">
        <v>0</v>
      </c>
      <c r="K4003">
        <v>32</v>
      </c>
      <c r="L4003">
        <v>32</v>
      </c>
      <c r="Q4003">
        <v>0</v>
      </c>
      <c r="R4003">
        <v>0</v>
      </c>
      <c r="S4003">
        <v>32</v>
      </c>
      <c r="T4003" t="s">
        <v>2928</v>
      </c>
      <c r="V4003" t="s">
        <v>2110</v>
      </c>
      <c r="W4003">
        <v>51.033333333332997</v>
      </c>
      <c r="X4003">
        <v>2.8666666666667</v>
      </c>
      <c r="Y4003" t="s">
        <v>22173</v>
      </c>
      <c r="Z4003" t="s">
        <v>22174</v>
      </c>
      <c r="AA4003" t="s">
        <v>22175</v>
      </c>
      <c r="AB4003" t="s">
        <v>2497</v>
      </c>
      <c r="AC4003" t="s">
        <v>12109</v>
      </c>
      <c r="AD4003" s="249" t="str">
        <f>HYPERLINK("https://scontent.cdninstagram.com/t51.2885-15/s320x320/e35/21149254_114880332520259_915559067546550272_n.jpg")</f>
        <v>https://scontent.cdninstagram.com/t51.2885-15/s320x320/e35/21149254_114880332520259_915559067546550272_n.jpg</v>
      </c>
      <c r="AE4003" s="249" t="str">
        <f>HYPERLINK("https://scontent.cdninstagram.com/t51.2885-19/s150x150/18253021_1975853552636836_8547343157967192064_a.jpg")</f>
        <v>https://scontent.cdninstagram.com/t51.2885-19/s150x150/18253021_1975853552636836_8547343157967192064_a.jpg</v>
      </c>
    </row>
    <row r="4004" spans="1:31" ht="15" x14ac:dyDescent="0.25">
      <c r="A4004" t="s">
        <v>2474</v>
      </c>
      <c r="B4004" t="s">
        <v>9304</v>
      </c>
      <c r="C4004" s="221">
        <v>42979.219756944447</v>
      </c>
      <c r="D4004" t="s">
        <v>22176</v>
      </c>
      <c r="E4004" s="249" t="str">
        <f>HYPERLINK("https://www.instagram.com/p/BYfjgnIAXxb/")</f>
        <v>https://www.instagram.com/p/BYfjgnIAXxb/</v>
      </c>
      <c r="F4004" t="s">
        <v>22177</v>
      </c>
      <c r="G4004" t="s">
        <v>2478</v>
      </c>
      <c r="H4004">
        <v>262</v>
      </c>
      <c r="I4004" t="s">
        <v>2479</v>
      </c>
      <c r="J4004">
        <v>3</v>
      </c>
      <c r="K4004">
        <v>33</v>
      </c>
      <c r="L4004">
        <v>36</v>
      </c>
      <c r="Q4004">
        <v>0</v>
      </c>
      <c r="R4004">
        <v>0</v>
      </c>
      <c r="S4004">
        <v>36</v>
      </c>
      <c r="Y4004" t="s">
        <v>3342</v>
      </c>
      <c r="Z4004" t="s">
        <v>2734</v>
      </c>
      <c r="AA4004" t="s">
        <v>4319</v>
      </c>
      <c r="AB4004" t="s">
        <v>2497</v>
      </c>
      <c r="AC4004" t="s">
        <v>22178</v>
      </c>
      <c r="AD4004" s="249" t="str">
        <f>HYPERLINK("https://scontent.cdninstagram.com/t51.2885-15/s320x320/e35/21225035_809704735875487_2697214246135005184_n.jpg")</f>
        <v>https://scontent.cdninstagram.com/t51.2885-15/s320x320/e35/21225035_809704735875487_2697214246135005184_n.jpg</v>
      </c>
      <c r="AE4004" s="249" t="str">
        <f>HYPERLINK("https://scontent.cdninstagram.com/t51.2885-19/s150x150/21042607_513447562333403_4279774334521704448_a.jpg")</f>
        <v>https://scontent.cdninstagram.com/t51.2885-19/s150x150/21042607_513447562333403_4279774334521704448_a.jpg</v>
      </c>
    </row>
    <row r="4005" spans="1:31" ht="15" x14ac:dyDescent="0.25">
      <c r="A4005" t="s">
        <v>2474</v>
      </c>
      <c r="B4005" t="s">
        <v>22179</v>
      </c>
      <c r="C4005" s="221">
        <v>42979.221099537041</v>
      </c>
      <c r="D4005" t="s">
        <v>22180</v>
      </c>
      <c r="E4005" s="249" t="str">
        <f>HYPERLINK("https://www.instagram.com/p/BYfjuuujFCH/")</f>
        <v>https://www.instagram.com/p/BYfjuuujFCH/</v>
      </c>
      <c r="F4005" t="s">
        <v>22181</v>
      </c>
      <c r="G4005" t="s">
        <v>2478</v>
      </c>
      <c r="H4005">
        <v>329</v>
      </c>
      <c r="I4005" t="s">
        <v>3025</v>
      </c>
      <c r="J4005">
        <v>2</v>
      </c>
      <c r="K4005">
        <v>77</v>
      </c>
      <c r="L4005">
        <v>79</v>
      </c>
      <c r="Q4005">
        <v>0</v>
      </c>
      <c r="R4005">
        <v>0</v>
      </c>
      <c r="S4005">
        <v>79</v>
      </c>
      <c r="Y4005" t="s">
        <v>22182</v>
      </c>
      <c r="Z4005" t="s">
        <v>7143</v>
      </c>
      <c r="AA4005" t="s">
        <v>22183</v>
      </c>
      <c r="AB4005" t="s">
        <v>2497</v>
      </c>
      <c r="AC4005" t="s">
        <v>22184</v>
      </c>
      <c r="AD4005" s="249" t="str">
        <f>HYPERLINK("https://scontent.cdninstagram.com/t51.2885-15/e35/p320x320/21224433_1766671286680955_2354425956984160256_n.jpg")</f>
        <v>https://scontent.cdninstagram.com/t51.2885-15/e35/p320x320/21224433_1766671286680955_2354425956984160256_n.jpg</v>
      </c>
      <c r="AE4005" s="249" t="str">
        <f>HYPERLINK("https://scontent.cdninstagram.com/t51.2885-19/s150x150/17663210_279841975795616_467723342988705792_a.jpg")</f>
        <v>https://scontent.cdninstagram.com/t51.2885-19/s150x150/17663210_279841975795616_467723342988705792_a.jpg</v>
      </c>
    </row>
    <row r="4006" spans="1:31" ht="15" x14ac:dyDescent="0.25">
      <c r="A4006" t="s">
        <v>2474</v>
      </c>
      <c r="B4006" t="s">
        <v>2685</v>
      </c>
      <c r="C4006" s="221">
        <v>42979.222986111112</v>
      </c>
      <c r="D4006" t="s">
        <v>22185</v>
      </c>
      <c r="E4006" s="249" t="str">
        <f>HYPERLINK("https://www.instagram.com/p/BYfkCvdnyST/")</f>
        <v>https://www.instagram.com/p/BYfkCvdnyST/</v>
      </c>
      <c r="F4006" t="s">
        <v>22186</v>
      </c>
      <c r="G4006" t="s">
        <v>2478</v>
      </c>
      <c r="H4006">
        <v>237</v>
      </c>
      <c r="I4006" t="s">
        <v>2479</v>
      </c>
      <c r="J4006">
        <v>0</v>
      </c>
      <c r="K4006">
        <v>46</v>
      </c>
      <c r="L4006">
        <v>46</v>
      </c>
      <c r="Q4006">
        <v>0</v>
      </c>
      <c r="R4006">
        <v>0</v>
      </c>
      <c r="S4006">
        <v>46</v>
      </c>
      <c r="Y4006" t="s">
        <v>13615</v>
      </c>
      <c r="Z4006" t="s">
        <v>22187</v>
      </c>
      <c r="AA4006" t="s">
        <v>13614</v>
      </c>
      <c r="AB4006" t="s">
        <v>8093</v>
      </c>
      <c r="AC4006" t="s">
        <v>14733</v>
      </c>
      <c r="AD4006" s="249" t="str">
        <f>HYPERLINK("https://scontent.cdninstagram.com/t51.2885-15/s320x320/e35/21295164_124939254820283_171358693915361280_n.jpg")</f>
        <v>https://scontent.cdninstagram.com/t51.2885-15/s320x320/e35/21295164_124939254820283_171358693915361280_n.jpg</v>
      </c>
      <c r="AE4006" s="249" t="str">
        <f>HYPERLINK("https://scontent.cdninstagram.com/t51.2885-19/s150x150/12339026_997056470351354_891418646_a.jpg")</f>
        <v>https://scontent.cdninstagram.com/t51.2885-19/s150x150/12339026_997056470351354_891418646_a.jpg</v>
      </c>
    </row>
    <row r="4007" spans="1:31" ht="15" x14ac:dyDescent="0.25">
      <c r="A4007" t="s">
        <v>2474</v>
      </c>
      <c r="B4007" t="s">
        <v>22188</v>
      </c>
      <c r="C4007" s="221">
        <v>42979.230150462965</v>
      </c>
      <c r="D4007" t="s">
        <v>22189</v>
      </c>
      <c r="E4007" s="249" t="str">
        <f>HYPERLINK("https://www.instagram.com/p/BYflONfhh9b/")</f>
        <v>https://www.instagram.com/p/BYflONfhh9b/</v>
      </c>
      <c r="F4007" t="s">
        <v>22190</v>
      </c>
      <c r="G4007" t="s">
        <v>2478</v>
      </c>
      <c r="H4007">
        <v>250</v>
      </c>
      <c r="I4007" t="s">
        <v>2599</v>
      </c>
      <c r="J4007">
        <v>1</v>
      </c>
      <c r="K4007">
        <v>35</v>
      </c>
      <c r="L4007">
        <v>36</v>
      </c>
      <c r="Q4007">
        <v>0</v>
      </c>
      <c r="R4007">
        <v>0</v>
      </c>
      <c r="S4007">
        <v>36</v>
      </c>
      <c r="Y4007" t="s">
        <v>22191</v>
      </c>
      <c r="Z4007" t="s">
        <v>3829</v>
      </c>
      <c r="AA4007" t="s">
        <v>22192</v>
      </c>
      <c r="AB4007" t="s">
        <v>22193</v>
      </c>
      <c r="AC4007" t="s">
        <v>22194</v>
      </c>
      <c r="AD4007" s="249" t="str">
        <f>HYPERLINK("https://scontent.cdninstagram.com/t51.2885-15/s320x320/e35/21148888_1415502775170356_7376155217579999232_n.jpg")</f>
        <v>https://scontent.cdninstagram.com/t51.2885-15/s320x320/e35/21148888_1415502775170356_7376155217579999232_n.jpg</v>
      </c>
      <c r="AE4007" s="249" t="str">
        <f>HYPERLINK("https://scontent.cdninstagram.com/t51.2885-19/s150x150/18512717_426088164423161_315395683521658880_a.jpg")</f>
        <v>https://scontent.cdninstagram.com/t51.2885-19/s150x150/18512717_426088164423161_315395683521658880_a.jpg</v>
      </c>
    </row>
    <row r="4008" spans="1:31" ht="15" x14ac:dyDescent="0.25">
      <c r="A4008" t="s">
        <v>2474</v>
      </c>
      <c r="B4008" t="s">
        <v>22195</v>
      </c>
      <c r="C4008" s="221">
        <v>42979.230266203704</v>
      </c>
      <c r="D4008" t="s">
        <v>22196</v>
      </c>
      <c r="E4008" s="249" t="str">
        <f>HYPERLINK("https://www.instagram.com/p/BYflPayh2jn/")</f>
        <v>https://www.instagram.com/p/BYflPayh2jn/</v>
      </c>
      <c r="F4008" t="s">
        <v>22197</v>
      </c>
      <c r="G4008" t="s">
        <v>2478</v>
      </c>
      <c r="H4008">
        <v>12003</v>
      </c>
      <c r="I4008" t="s">
        <v>2479</v>
      </c>
      <c r="J4008">
        <v>2</v>
      </c>
      <c r="K4008">
        <v>91</v>
      </c>
      <c r="L4008">
        <v>93</v>
      </c>
      <c r="Q4008">
        <v>0</v>
      </c>
      <c r="R4008">
        <v>0</v>
      </c>
      <c r="S4008">
        <v>93</v>
      </c>
      <c r="Y4008" t="s">
        <v>22198</v>
      </c>
      <c r="Z4008" t="s">
        <v>5147</v>
      </c>
      <c r="AA4008" t="s">
        <v>22199</v>
      </c>
      <c r="AB4008" t="s">
        <v>6724</v>
      </c>
      <c r="AC4008" t="s">
        <v>22200</v>
      </c>
      <c r="AD4008" s="249" t="str">
        <f>HYPERLINK("https://scontent.cdninstagram.com/t51.2885-15/e35/p320x320/21227868_280496755767254_514916310493167616_n.jpg")</f>
        <v>https://scontent.cdninstagram.com/t51.2885-15/e35/p320x320/21227868_280496755767254_514916310493167616_n.jpg</v>
      </c>
      <c r="AE4008" s="249" t="str">
        <f>HYPERLINK("https://scontent.cdninstagram.com/t51.2885-19/s150x150/12826208_970275753051664_970233338_a.jpg")</f>
        <v>https://scontent.cdninstagram.com/t51.2885-19/s150x150/12826208_970275753051664_970233338_a.jpg</v>
      </c>
    </row>
    <row r="4009" spans="1:31" ht="15" x14ac:dyDescent="0.25">
      <c r="A4009" t="s">
        <v>2474</v>
      </c>
      <c r="B4009" t="s">
        <v>22201</v>
      </c>
      <c r="C4009" s="221">
        <v>42979.231793981482</v>
      </c>
      <c r="D4009" t="s">
        <v>22202</v>
      </c>
      <c r="E4009" s="249" t="str">
        <f>HYPERLINK("https://www.instagram.com/p/BYflfnqAtP2/")</f>
        <v>https://www.instagram.com/p/BYflfnqAtP2/</v>
      </c>
      <c r="F4009" t="s">
        <v>22203</v>
      </c>
      <c r="G4009" t="s">
        <v>2478</v>
      </c>
      <c r="H4009">
        <v>778</v>
      </c>
      <c r="I4009" t="s">
        <v>2479</v>
      </c>
      <c r="J4009">
        <v>15</v>
      </c>
      <c r="K4009">
        <v>64</v>
      </c>
      <c r="L4009">
        <v>79</v>
      </c>
      <c r="Q4009">
        <v>0</v>
      </c>
      <c r="R4009">
        <v>0</v>
      </c>
      <c r="S4009">
        <v>79</v>
      </c>
      <c r="Y4009" t="s">
        <v>22201</v>
      </c>
      <c r="AD4009" s="249" t="str">
        <f>HYPERLINK("https://scontent.cdninstagram.com/t51.2885-15/s320x320/e35/21149479_290614628085433_1087149423407923200_n.jpg")</f>
        <v>https://scontent.cdninstagram.com/t51.2885-15/s320x320/e35/21149479_290614628085433_1087149423407923200_n.jpg</v>
      </c>
      <c r="AE4009" s="249" t="str">
        <f>HYPERLINK("https://scontent.cdninstagram.com/t51.2885-19/s150x150/15259064_622974684530512_2926695697380016128_a.jpg")</f>
        <v>https://scontent.cdninstagram.com/t51.2885-19/s150x150/15259064_622974684530512_2926695697380016128_a.jpg</v>
      </c>
    </row>
    <row r="4010" spans="1:31" ht="15" x14ac:dyDescent="0.25">
      <c r="A4010" t="s">
        <v>2474</v>
      </c>
      <c r="B4010" t="s">
        <v>4811</v>
      </c>
      <c r="C4010" s="221">
        <v>42979.231805555559</v>
      </c>
      <c r="D4010" t="s">
        <v>22204</v>
      </c>
      <c r="E4010" s="249" t="str">
        <f>HYPERLINK("https://www.instagram.com/p/BYflfuAA0qX/")</f>
        <v>https://www.instagram.com/p/BYflfuAA0qX/</v>
      </c>
      <c r="F4010" t="s">
        <v>22205</v>
      </c>
      <c r="G4010" t="s">
        <v>2478</v>
      </c>
      <c r="H4010">
        <v>995</v>
      </c>
      <c r="I4010" t="s">
        <v>2479</v>
      </c>
      <c r="J4010">
        <v>4</v>
      </c>
      <c r="K4010">
        <v>63</v>
      </c>
      <c r="L4010">
        <v>67</v>
      </c>
      <c r="Q4010">
        <v>0</v>
      </c>
      <c r="R4010">
        <v>0</v>
      </c>
      <c r="S4010">
        <v>67</v>
      </c>
      <c r="Y4010" t="s">
        <v>22206</v>
      </c>
      <c r="Z4010" t="s">
        <v>22207</v>
      </c>
      <c r="AA4010" t="s">
        <v>22208</v>
      </c>
      <c r="AB4010" t="s">
        <v>4154</v>
      </c>
      <c r="AC4010" t="s">
        <v>7340</v>
      </c>
      <c r="AD4010" s="249" t="str">
        <f>HYPERLINK("https://scontent.cdninstagram.com/t51.2885-15/s320x320/e35/21149765_518749921798859_4773446783286116352_n.jpg")</f>
        <v>https://scontent.cdninstagram.com/t51.2885-15/s320x320/e35/21149765_518749921798859_4773446783286116352_n.jpg</v>
      </c>
      <c r="AE4010" s="249" t="str">
        <f>HYPERLINK("https://scontent.cdninstagram.com/t51.2885-19/s150x150/16124251_1913091765603634_8004330562992996352_a.jpg")</f>
        <v>https://scontent.cdninstagram.com/t51.2885-19/s150x150/16124251_1913091765603634_8004330562992996352_a.jpg</v>
      </c>
    </row>
    <row r="4011" spans="1:31" ht="15" x14ac:dyDescent="0.25">
      <c r="A4011" t="s">
        <v>2474</v>
      </c>
      <c r="B4011" t="s">
        <v>22209</v>
      </c>
      <c r="C4011" s="221">
        <v>42979.236944444441</v>
      </c>
      <c r="D4011" t="s">
        <v>22210</v>
      </c>
      <c r="E4011" s="249" t="str">
        <f>HYPERLINK("https://www.instagram.com/p/BYfmV5OA_NJ/")</f>
        <v>https://www.instagram.com/p/BYfmV5OA_NJ/</v>
      </c>
      <c r="F4011" t="s">
        <v>22211</v>
      </c>
      <c r="G4011" t="s">
        <v>2478</v>
      </c>
      <c r="H4011">
        <v>169</v>
      </c>
      <c r="I4011" t="s">
        <v>2479</v>
      </c>
      <c r="J4011">
        <v>1</v>
      </c>
      <c r="K4011">
        <v>18</v>
      </c>
      <c r="L4011">
        <v>19</v>
      </c>
      <c r="Q4011">
        <v>0</v>
      </c>
      <c r="R4011">
        <v>0</v>
      </c>
      <c r="S4011">
        <v>19</v>
      </c>
      <c r="Y4011" t="s">
        <v>22212</v>
      </c>
      <c r="Z4011" t="s">
        <v>8427</v>
      </c>
      <c r="AA4011" t="s">
        <v>22209</v>
      </c>
      <c r="AB4011" t="s">
        <v>5112</v>
      </c>
      <c r="AC4011" t="s">
        <v>22213</v>
      </c>
      <c r="AD4011" s="249" t="str">
        <f>HYPERLINK("https://scontent.cdninstagram.com/t51.2885-15/s320x320/e35/21227639_113803145965017_2943632011853561856_n.jpg")</f>
        <v>https://scontent.cdninstagram.com/t51.2885-15/s320x320/e35/21227639_113803145965017_2943632011853561856_n.jpg</v>
      </c>
      <c r="AE4011" s="249" t="str">
        <f>HYPERLINK("https://scontent.cdninstagram.com/t51.2885-19/s150x150/16110932_1813929785547879_7020908362174824448_a.jpg")</f>
        <v>https://scontent.cdninstagram.com/t51.2885-19/s150x150/16110932_1813929785547879_7020908362174824448_a.jpg</v>
      </c>
    </row>
    <row r="4012" spans="1:31" ht="15" x14ac:dyDescent="0.25">
      <c r="A4012" t="s">
        <v>2474</v>
      </c>
      <c r="B4012" t="s">
        <v>22214</v>
      </c>
      <c r="C4012" s="221">
        <v>42979.241388888891</v>
      </c>
      <c r="D4012" t="s">
        <v>22215</v>
      </c>
      <c r="E4012" s="249" t="str">
        <f>HYPERLINK("https://www.instagram.com/p/BYfnE0-nof_/")</f>
        <v>https://www.instagram.com/p/BYfnE0-nof_/</v>
      </c>
      <c r="F4012" t="s">
        <v>22216</v>
      </c>
      <c r="G4012" t="s">
        <v>2478</v>
      </c>
      <c r="H4012">
        <v>921</v>
      </c>
      <c r="I4012" t="s">
        <v>2479</v>
      </c>
      <c r="J4012">
        <v>3</v>
      </c>
      <c r="K4012">
        <v>30</v>
      </c>
      <c r="L4012">
        <v>33</v>
      </c>
      <c r="Q4012">
        <v>0</v>
      </c>
      <c r="R4012">
        <v>0</v>
      </c>
      <c r="S4012">
        <v>33</v>
      </c>
      <c r="T4012" t="s">
        <v>22217</v>
      </c>
      <c r="V4012" t="s">
        <v>2239</v>
      </c>
      <c r="W4012">
        <v>52.222529999999999</v>
      </c>
      <c r="X4012">
        <v>21.011479999999999</v>
      </c>
      <c r="Y4012" t="s">
        <v>22218</v>
      </c>
      <c r="Z4012" t="s">
        <v>22219</v>
      </c>
      <c r="AA4012" t="s">
        <v>11085</v>
      </c>
      <c r="AB4012" t="s">
        <v>22220</v>
      </c>
      <c r="AC4012" t="s">
        <v>8811</v>
      </c>
      <c r="AD4012" s="249" t="str">
        <f>HYPERLINK("https://scontent.cdninstagram.com/t51.2885-15/s320x320/e35/21227092_645626648979751_6771766964420345856_n.jpg")</f>
        <v>https://scontent.cdninstagram.com/t51.2885-15/s320x320/e35/21227092_645626648979751_6771766964420345856_n.jpg</v>
      </c>
      <c r="AE4012" s="249" t="str">
        <f>HYPERLINK("https://scontent.cdninstagram.com/t51.2885-19/s150x150/15046868_1361775600513993_8082373687879139328_a.jpg")</f>
        <v>https://scontent.cdninstagram.com/t51.2885-19/s150x150/15046868_1361775600513993_8082373687879139328_a.jpg</v>
      </c>
    </row>
    <row r="4013" spans="1:31" ht="15" x14ac:dyDescent="0.25">
      <c r="A4013" t="s">
        <v>2474</v>
      </c>
      <c r="B4013" t="s">
        <v>22221</v>
      </c>
      <c r="C4013" s="221">
        <v>42979.246921296297</v>
      </c>
      <c r="D4013" t="s">
        <v>22222</v>
      </c>
      <c r="E4013" s="249" t="str">
        <f>HYPERLINK("https://www.instagram.com/p/BYfn_Ggj7r1/")</f>
        <v>https://www.instagram.com/p/BYfn_Ggj7r1/</v>
      </c>
      <c r="F4013" t="s">
        <v>22223</v>
      </c>
      <c r="G4013" t="s">
        <v>2478</v>
      </c>
      <c r="H4013">
        <v>353</v>
      </c>
      <c r="I4013" t="s">
        <v>2910</v>
      </c>
      <c r="J4013">
        <v>0</v>
      </c>
      <c r="K4013">
        <v>33</v>
      </c>
      <c r="L4013">
        <v>33</v>
      </c>
      <c r="Q4013">
        <v>0</v>
      </c>
      <c r="R4013">
        <v>0</v>
      </c>
      <c r="S4013">
        <v>33</v>
      </c>
      <c r="Y4013" t="s">
        <v>22224</v>
      </c>
      <c r="Z4013" t="s">
        <v>22225</v>
      </c>
      <c r="AA4013" t="s">
        <v>12301</v>
      </c>
      <c r="AB4013" t="s">
        <v>22226</v>
      </c>
      <c r="AC4013" t="s">
        <v>2497</v>
      </c>
      <c r="AD4013" s="249" t="str">
        <f>HYPERLINK("https://scontent.cdninstagram.com/t51.2885-15/s320x320/e35/21147654_1520593851319796_1282008146847465472_n.jpg")</f>
        <v>https://scontent.cdninstagram.com/t51.2885-15/s320x320/e35/21147654_1520593851319796_1282008146847465472_n.jpg</v>
      </c>
      <c r="AE4013" s="249" t="str">
        <f>HYPERLINK("https://scontent.cdninstagram.com/t51.2885-19/s150x150/20482611_466204500411532_4969107050702307328_a.jpg")</f>
        <v>https://scontent.cdninstagram.com/t51.2885-19/s150x150/20482611_466204500411532_4969107050702307328_a.jpg</v>
      </c>
    </row>
    <row r="4014" spans="1:31" ht="15" x14ac:dyDescent="0.25">
      <c r="A4014" t="s">
        <v>2474</v>
      </c>
      <c r="B4014" t="s">
        <v>22227</v>
      </c>
      <c r="C4014" s="221">
        <v>42979.249976851854</v>
      </c>
      <c r="D4014" t="s">
        <v>22228</v>
      </c>
      <c r="E4014" s="249" t="str">
        <f>HYPERLINK("https://www.instagram.com/p/BYfofZdlef2/")</f>
        <v>https://www.instagram.com/p/BYfofZdlef2/</v>
      </c>
      <c r="F4014" t="s">
        <v>22229</v>
      </c>
      <c r="G4014" t="s">
        <v>2478</v>
      </c>
      <c r="H4014">
        <v>2</v>
      </c>
      <c r="I4014" t="s">
        <v>2599</v>
      </c>
      <c r="J4014">
        <v>0</v>
      </c>
      <c r="K4014">
        <v>2</v>
      </c>
      <c r="L4014">
        <v>2</v>
      </c>
      <c r="Q4014">
        <v>0</v>
      </c>
      <c r="R4014">
        <v>0</v>
      </c>
      <c r="S4014">
        <v>2</v>
      </c>
      <c r="Y4014" t="s">
        <v>22230</v>
      </c>
      <c r="Z4014" t="s">
        <v>22231</v>
      </c>
      <c r="AA4014" t="s">
        <v>22232</v>
      </c>
      <c r="AB4014" t="s">
        <v>2497</v>
      </c>
      <c r="AD4014" s="249" t="str">
        <f>HYPERLINK("https://scontent.cdninstagram.com/t51.2885-15/s320x320/e35/21224409_308200112980853_4694913233264312320_n.jpg")</f>
        <v>https://scontent.cdninstagram.com/t51.2885-15/s320x320/e35/21224409_308200112980853_4694913233264312320_n.jpg</v>
      </c>
      <c r="AE4014" s="249" t="str">
        <f>HYPERLINK("https://scontent.cdninstagram.com/t51.2885-19/s150x150/21435328_1410312895717509_1976703138287058944_a.jpg")</f>
        <v>https://scontent.cdninstagram.com/t51.2885-19/s150x150/21435328_1410312895717509_1976703138287058944_a.jpg</v>
      </c>
    </row>
    <row r="4015" spans="1:31" ht="15" x14ac:dyDescent="0.25">
      <c r="A4015" t="s">
        <v>2474</v>
      </c>
      <c r="B4015" t="s">
        <v>22233</v>
      </c>
      <c r="C4015" s="221">
        <v>42979.255393518521</v>
      </c>
      <c r="D4015" t="s">
        <v>22234</v>
      </c>
      <c r="E4015" s="249" t="str">
        <f>HYPERLINK("https://www.instagram.com/p/BYfpYfTlzJD/")</f>
        <v>https://www.instagram.com/p/BYfpYfTlzJD/</v>
      </c>
      <c r="F4015" t="s">
        <v>22235</v>
      </c>
      <c r="G4015" t="s">
        <v>2478</v>
      </c>
      <c r="H4015">
        <v>142</v>
      </c>
      <c r="I4015" t="s">
        <v>2903</v>
      </c>
      <c r="J4015">
        <v>5</v>
      </c>
      <c r="K4015">
        <v>116</v>
      </c>
      <c r="L4015">
        <v>121</v>
      </c>
      <c r="Q4015">
        <v>0</v>
      </c>
      <c r="R4015">
        <v>0</v>
      </c>
      <c r="S4015">
        <v>121</v>
      </c>
      <c r="Y4015" t="s">
        <v>22236</v>
      </c>
      <c r="Z4015" t="s">
        <v>7589</v>
      </c>
      <c r="AA4015" t="s">
        <v>2911</v>
      </c>
      <c r="AB4015" t="s">
        <v>22237</v>
      </c>
      <c r="AC4015" t="s">
        <v>3322</v>
      </c>
      <c r="AD4015" s="249" t="str">
        <f>HYPERLINK("https://scontent.cdninstagram.com/t51.2885-15/s320x320/e35/21149461_148596295725499_3753888802108604416_n.jpg")</f>
        <v>https://scontent.cdninstagram.com/t51.2885-15/s320x320/e35/21149461_148596295725499_3753888802108604416_n.jpg</v>
      </c>
      <c r="AE4015" s="249" t="str">
        <f>HYPERLINK("https://scontent.cdninstagram.com/t51.2885-19/11372517_1594074464175363_1233521047_a.jpg")</f>
        <v>https://scontent.cdninstagram.com/t51.2885-19/11372517_1594074464175363_1233521047_a.jpg</v>
      </c>
    </row>
    <row r="4016" spans="1:31" ht="15" x14ac:dyDescent="0.25">
      <c r="A4016" t="s">
        <v>2474</v>
      </c>
      <c r="B4016" t="s">
        <v>22238</v>
      </c>
      <c r="C4016" s="221">
        <v>42979.256747685184</v>
      </c>
      <c r="D4016" t="s">
        <v>22239</v>
      </c>
      <c r="E4016" s="249" t="str">
        <f>HYPERLINK("https://www.instagram.com/p/BYfpmvmnZSt/")</f>
        <v>https://www.instagram.com/p/BYfpmvmnZSt/</v>
      </c>
      <c r="F4016" t="s">
        <v>22240</v>
      </c>
      <c r="G4016" t="s">
        <v>2478</v>
      </c>
      <c r="H4016">
        <v>1044</v>
      </c>
      <c r="I4016" t="s">
        <v>2542</v>
      </c>
      <c r="J4016">
        <v>6</v>
      </c>
      <c r="K4016">
        <v>31</v>
      </c>
      <c r="L4016">
        <v>37</v>
      </c>
      <c r="Q4016">
        <v>0</v>
      </c>
      <c r="R4016">
        <v>0</v>
      </c>
      <c r="S4016">
        <v>37</v>
      </c>
      <c r="Y4016" t="s">
        <v>22241</v>
      </c>
      <c r="Z4016" t="s">
        <v>22242</v>
      </c>
      <c r="AA4016" t="s">
        <v>22243</v>
      </c>
      <c r="AB4016" t="s">
        <v>2497</v>
      </c>
      <c r="AC4016" t="s">
        <v>22244</v>
      </c>
      <c r="AD4016" s="249" t="str">
        <f>HYPERLINK("https://scontent.cdninstagram.com/t51.2885-15/s320x320/e35/21149022_1729587110669630_4163301435703820288_n.jpg")</f>
        <v>https://scontent.cdninstagram.com/t51.2885-15/s320x320/e35/21149022_1729587110669630_4163301435703820288_n.jpg</v>
      </c>
      <c r="AE4016" s="249" t="str">
        <f>HYPERLINK("https://scontent.cdninstagram.com/t51.2885-19/s150x150/20184374_1384024974984193_1311514932948238336_a.jpg")</f>
        <v>https://scontent.cdninstagram.com/t51.2885-19/s150x150/20184374_1384024974984193_1311514932948238336_a.jpg</v>
      </c>
    </row>
    <row r="4017" spans="1:31" ht="15" x14ac:dyDescent="0.25">
      <c r="A4017" t="s">
        <v>2474</v>
      </c>
      <c r="B4017" t="s">
        <v>3644</v>
      </c>
      <c r="C4017" s="221">
        <v>42979.257395833331</v>
      </c>
      <c r="D4017" t="s">
        <v>22245</v>
      </c>
      <c r="E4017" s="249" t="str">
        <f>HYPERLINK("https://www.instagram.com/p/BYfptlAlCli/")</f>
        <v>https://www.instagram.com/p/BYfptlAlCli/</v>
      </c>
      <c r="F4017" t="s">
        <v>22246</v>
      </c>
      <c r="G4017" t="s">
        <v>2478</v>
      </c>
      <c r="H4017">
        <v>580</v>
      </c>
      <c r="I4017" t="s">
        <v>2479</v>
      </c>
      <c r="J4017">
        <v>2</v>
      </c>
      <c r="K4017">
        <v>23</v>
      </c>
      <c r="L4017">
        <v>25</v>
      </c>
      <c r="Q4017">
        <v>0</v>
      </c>
      <c r="R4017">
        <v>0</v>
      </c>
      <c r="S4017">
        <v>25</v>
      </c>
      <c r="T4017" t="s">
        <v>3647</v>
      </c>
      <c r="V4017" t="s">
        <v>2141</v>
      </c>
      <c r="W4017">
        <v>55.426879900000003</v>
      </c>
      <c r="X4017">
        <v>10.3903303</v>
      </c>
      <c r="Y4017" t="s">
        <v>14695</v>
      </c>
      <c r="Z4017" t="s">
        <v>2911</v>
      </c>
      <c r="AA4017" t="s">
        <v>6486</v>
      </c>
      <c r="AB4017" t="s">
        <v>5866</v>
      </c>
      <c r="AC4017" t="s">
        <v>3061</v>
      </c>
      <c r="AD4017" s="249" t="str">
        <f>HYPERLINK("https://scontent.cdninstagram.com/t51.2885-15/s320x320/e35/21296323_1701076886630718_8037500866002944000_n.jpg")</f>
        <v>https://scontent.cdninstagram.com/t51.2885-15/s320x320/e35/21296323_1701076886630718_8037500866002944000_n.jpg</v>
      </c>
      <c r="AE4017" s="249" t="str">
        <f>HYPERLINK("https://scontent.cdninstagram.com/t51.2885-19/s150x150/14714495_1790450111234953_7147855754219749376_a.jpg")</f>
        <v>https://scontent.cdninstagram.com/t51.2885-19/s150x150/14714495_1790450111234953_7147855754219749376_a.jpg</v>
      </c>
    </row>
    <row r="4018" spans="1:31" ht="15" x14ac:dyDescent="0.25">
      <c r="A4018" t="s">
        <v>2474</v>
      </c>
      <c r="B4018" t="s">
        <v>22247</v>
      </c>
      <c r="C4018" s="221">
        <v>42979.263958333337</v>
      </c>
      <c r="D4018" t="s">
        <v>22248</v>
      </c>
      <c r="E4018" s="249" t="str">
        <f>HYPERLINK("https://www.instagram.com/p/BYfqyzyhqaw/")</f>
        <v>https://www.instagram.com/p/BYfqyzyhqaw/</v>
      </c>
      <c r="F4018" t="s">
        <v>22249</v>
      </c>
      <c r="G4018" t="s">
        <v>2478</v>
      </c>
      <c r="H4018">
        <v>793</v>
      </c>
      <c r="I4018" t="s">
        <v>2599</v>
      </c>
      <c r="J4018">
        <v>2</v>
      </c>
      <c r="K4018">
        <v>140</v>
      </c>
      <c r="L4018">
        <v>142</v>
      </c>
      <c r="Q4018">
        <v>0</v>
      </c>
      <c r="R4018">
        <v>0</v>
      </c>
      <c r="S4018">
        <v>142</v>
      </c>
      <c r="Y4018" t="s">
        <v>22250</v>
      </c>
      <c r="Z4018" t="s">
        <v>22251</v>
      </c>
      <c r="AA4018" t="s">
        <v>22252</v>
      </c>
      <c r="AB4018" t="s">
        <v>22253</v>
      </c>
      <c r="AC4018" t="s">
        <v>6835</v>
      </c>
      <c r="AD4018" s="249" t="str">
        <f>HYPERLINK("https://scontent.cdninstagram.com/t51.2885-15/e35/p320x320/21224351_1476324899121871_8940473338615037952_n.jpg")</f>
        <v>https://scontent.cdninstagram.com/t51.2885-15/e35/p320x320/21224351_1476324899121871_8940473338615037952_n.jpg</v>
      </c>
      <c r="AE4018" s="249" t="str">
        <f>HYPERLINK("https://scontent.cdninstagram.com/t51.2885-19/s150x150/19120353_1933597186918381_3064530522282655744_a.jpg")</f>
        <v>https://scontent.cdninstagram.com/t51.2885-19/s150x150/19120353_1933597186918381_3064530522282655744_a.jpg</v>
      </c>
    </row>
    <row r="4019" spans="1:31" ht="15" x14ac:dyDescent="0.25">
      <c r="A4019" t="s">
        <v>2474</v>
      </c>
      <c r="B4019" t="s">
        <v>22254</v>
      </c>
      <c r="C4019" s="221">
        <v>42979.264201388891</v>
      </c>
      <c r="D4019" t="s">
        <v>22255</v>
      </c>
      <c r="E4019" s="249" t="str">
        <f>HYPERLINK("https://www.instagram.com/p/BYfq1bLl6Ow/")</f>
        <v>https://www.instagram.com/p/BYfq1bLl6Ow/</v>
      </c>
      <c r="F4019" t="s">
        <v>22256</v>
      </c>
      <c r="G4019" t="s">
        <v>2478</v>
      </c>
      <c r="H4019">
        <v>133</v>
      </c>
      <c r="I4019" t="s">
        <v>2542</v>
      </c>
      <c r="J4019">
        <v>0</v>
      </c>
      <c r="K4019">
        <v>25</v>
      </c>
      <c r="L4019">
        <v>25</v>
      </c>
      <c r="Q4019">
        <v>0</v>
      </c>
      <c r="R4019">
        <v>0</v>
      </c>
      <c r="S4019">
        <v>25</v>
      </c>
      <c r="T4019" t="s">
        <v>22257</v>
      </c>
      <c r="V4019" t="s">
        <v>2161</v>
      </c>
      <c r="W4019">
        <v>48.389786000000001</v>
      </c>
      <c r="X4019">
        <v>10.025038</v>
      </c>
      <c r="Y4019" t="s">
        <v>22258</v>
      </c>
      <c r="Z4019" t="s">
        <v>22259</v>
      </c>
      <c r="AA4019" t="s">
        <v>9108</v>
      </c>
      <c r="AB4019" t="s">
        <v>2497</v>
      </c>
      <c r="AC4019" t="s">
        <v>22260</v>
      </c>
      <c r="AD4019" s="249" t="str">
        <f>HYPERLINK("https://scontent.cdninstagram.com/t51.2885-15/s320x320/e35/21149801_143525302911093_8672418111774785536_n.jpg")</f>
        <v>https://scontent.cdninstagram.com/t51.2885-15/s320x320/e35/21149801_143525302911093_8672418111774785536_n.jpg</v>
      </c>
      <c r="AE4019" s="249" t="str">
        <f>HYPERLINK("https://scontent.cdninstagram.com/t51.2885-19/s150x150/21435941_130568037583252_166698486895476736_a.jpg")</f>
        <v>https://scontent.cdninstagram.com/t51.2885-19/s150x150/21435941_130568037583252_166698486895476736_a.jpg</v>
      </c>
    </row>
    <row r="4020" spans="1:31" ht="15" x14ac:dyDescent="0.25">
      <c r="A4020" t="s">
        <v>2474</v>
      </c>
      <c r="B4020" t="s">
        <v>5657</v>
      </c>
      <c r="C4020" s="221">
        <v>42979.265717592592</v>
      </c>
      <c r="D4020" t="s">
        <v>22261</v>
      </c>
      <c r="E4020" s="249" t="str">
        <f>HYPERLINK("https://www.instagram.com/p/BYfrFV8AsVj/")</f>
        <v>https://www.instagram.com/p/BYfrFV8AsVj/</v>
      </c>
      <c r="F4020" t="s">
        <v>22262</v>
      </c>
      <c r="G4020" t="s">
        <v>2478</v>
      </c>
      <c r="H4020">
        <v>117</v>
      </c>
      <c r="I4020" t="s">
        <v>3170</v>
      </c>
      <c r="J4020">
        <v>1</v>
      </c>
      <c r="K4020">
        <v>42</v>
      </c>
      <c r="L4020">
        <v>43</v>
      </c>
      <c r="Q4020">
        <v>0</v>
      </c>
      <c r="R4020">
        <v>0</v>
      </c>
      <c r="S4020">
        <v>43</v>
      </c>
      <c r="Y4020" t="s">
        <v>12047</v>
      </c>
      <c r="Z4020" t="s">
        <v>4582</v>
      </c>
      <c r="AA4020" t="s">
        <v>22263</v>
      </c>
      <c r="AB4020" t="s">
        <v>7748</v>
      </c>
      <c r="AC4020" t="s">
        <v>22264</v>
      </c>
      <c r="AD4020" s="249" t="str">
        <f>HYPERLINK("https://scontent.cdninstagram.com/t51.2885-15/e35/p320x320/21149424_1943949492560168_2128507984270065664_n.jpg")</f>
        <v>https://scontent.cdninstagram.com/t51.2885-15/e35/p320x320/21149424_1943949492560168_2128507984270065664_n.jpg</v>
      </c>
      <c r="AE4020" s="249" t="str">
        <f>HYPERLINK("https://scontent.cdninstagram.com/t51.2885-19/s150x150/18722414_1929874740617287_7467972564577419264_a.jpg")</f>
        <v>https://scontent.cdninstagram.com/t51.2885-19/s150x150/18722414_1929874740617287_7467972564577419264_a.jpg</v>
      </c>
    </row>
    <row r="4021" spans="1:31" ht="15" x14ac:dyDescent="0.25">
      <c r="A4021" t="s">
        <v>2474</v>
      </c>
      <c r="B4021" t="s">
        <v>22265</v>
      </c>
      <c r="C4021" s="221">
        <v>42979.266724537039</v>
      </c>
      <c r="D4021" t="s">
        <v>22266</v>
      </c>
      <c r="E4021" s="249" t="str">
        <f>HYPERLINK("https://www.instagram.com/p/BYfrP_Zl3zC/")</f>
        <v>https://www.instagram.com/p/BYfrP_Zl3zC/</v>
      </c>
      <c r="F4021" t="s">
        <v>22267</v>
      </c>
      <c r="G4021" t="s">
        <v>2478</v>
      </c>
      <c r="H4021">
        <v>131</v>
      </c>
      <c r="I4021" t="s">
        <v>2542</v>
      </c>
      <c r="J4021">
        <v>0</v>
      </c>
      <c r="K4021">
        <v>9</v>
      </c>
      <c r="L4021">
        <v>9</v>
      </c>
      <c r="Q4021">
        <v>0</v>
      </c>
      <c r="R4021">
        <v>0</v>
      </c>
      <c r="S4021">
        <v>9</v>
      </c>
      <c r="Y4021" t="s">
        <v>22268</v>
      </c>
      <c r="Z4021" t="s">
        <v>3322</v>
      </c>
      <c r="AA4021" t="s">
        <v>22269</v>
      </c>
      <c r="AB4021" t="s">
        <v>22270</v>
      </c>
      <c r="AC4021" t="s">
        <v>2497</v>
      </c>
      <c r="AD4021" s="249" t="str">
        <f>HYPERLINK("https://scontent.cdninstagram.com/t51.2885-15/s320x320/e35/21149817_323344871460160_9132042714106298368_n.jpg")</f>
        <v>https://scontent.cdninstagram.com/t51.2885-15/s320x320/e35/21149817_323344871460160_9132042714106298368_n.jpg</v>
      </c>
      <c r="AE4021" s="249" t="str">
        <f>HYPERLINK("https://scontent.cdninstagram.com/t51.2885-19/s150x150/19122499_1387497841349509_8203944377869926400_a.jpg")</f>
        <v>https://scontent.cdninstagram.com/t51.2885-19/s150x150/19122499_1387497841349509_8203944377869926400_a.jpg</v>
      </c>
    </row>
    <row r="4022" spans="1:31" ht="15" x14ac:dyDescent="0.25">
      <c r="A4022" t="s">
        <v>2474</v>
      </c>
      <c r="B4022" t="s">
        <v>5657</v>
      </c>
      <c r="C4022" s="221">
        <v>42979.266979166663</v>
      </c>
      <c r="D4022" t="s">
        <v>22271</v>
      </c>
      <c r="E4022" s="249" t="str">
        <f>HYPERLINK("https://www.instagram.com/p/BYfrSpqA2N7/")</f>
        <v>https://www.instagram.com/p/BYfrSpqA2N7/</v>
      </c>
      <c r="F4022" t="s">
        <v>22272</v>
      </c>
      <c r="G4022" t="s">
        <v>2478</v>
      </c>
      <c r="H4022">
        <v>117</v>
      </c>
      <c r="I4022" t="s">
        <v>2510</v>
      </c>
      <c r="J4022">
        <v>1</v>
      </c>
      <c r="K4022">
        <v>33</v>
      </c>
      <c r="L4022">
        <v>34</v>
      </c>
      <c r="Q4022">
        <v>0</v>
      </c>
      <c r="R4022">
        <v>0</v>
      </c>
      <c r="S4022">
        <v>34</v>
      </c>
      <c r="Y4022" t="s">
        <v>12047</v>
      </c>
      <c r="Z4022" t="s">
        <v>22263</v>
      </c>
      <c r="AA4022" t="s">
        <v>7748</v>
      </c>
      <c r="AB4022" t="s">
        <v>22264</v>
      </c>
      <c r="AC4022" t="s">
        <v>5660</v>
      </c>
      <c r="AD4022" s="249" t="str">
        <f>HYPERLINK("https://scontent.cdninstagram.com/t51.2885-15/e35/p320x320/21149814_102701870449782_3086883413286715392_n.jpg")</f>
        <v>https://scontent.cdninstagram.com/t51.2885-15/e35/p320x320/21149814_102701870449782_3086883413286715392_n.jpg</v>
      </c>
      <c r="AE4022" s="249" t="str">
        <f>HYPERLINK("https://scontent.cdninstagram.com/t51.2885-19/s150x150/18722414_1929874740617287_7467972564577419264_a.jpg")</f>
        <v>https://scontent.cdninstagram.com/t51.2885-19/s150x150/18722414_1929874740617287_7467972564577419264_a.jpg</v>
      </c>
    </row>
    <row r="4023" spans="1:31" ht="15" x14ac:dyDescent="0.25">
      <c r="A4023" t="s">
        <v>2474</v>
      </c>
      <c r="B4023" t="s">
        <v>2863</v>
      </c>
      <c r="C4023" s="221">
        <v>42979.268287037034</v>
      </c>
      <c r="D4023" t="s">
        <v>22273</v>
      </c>
      <c r="E4023" s="249" t="str">
        <f>HYPERLINK("https://www.instagram.com/p/BYfrge2l5r5/")</f>
        <v>https://www.instagram.com/p/BYfrge2l5r5/</v>
      </c>
      <c r="F4023" t="s">
        <v>22274</v>
      </c>
      <c r="G4023" t="s">
        <v>2478</v>
      </c>
      <c r="H4023">
        <v>71</v>
      </c>
      <c r="I4023" t="s">
        <v>2479</v>
      </c>
      <c r="J4023">
        <v>2</v>
      </c>
      <c r="K4023">
        <v>24</v>
      </c>
      <c r="L4023">
        <v>26</v>
      </c>
      <c r="Q4023">
        <v>0</v>
      </c>
      <c r="R4023">
        <v>0</v>
      </c>
      <c r="S4023">
        <v>26</v>
      </c>
      <c r="Y4023" t="s">
        <v>22275</v>
      </c>
      <c r="Z4023" t="s">
        <v>16237</v>
      </c>
      <c r="AA4023" t="s">
        <v>22276</v>
      </c>
      <c r="AB4023" t="s">
        <v>22277</v>
      </c>
      <c r="AC4023" t="s">
        <v>22278</v>
      </c>
      <c r="AD4023" s="249" t="str">
        <f>HYPERLINK("https://scontent.cdninstagram.com/t51.2885-15/s320x320/e35/21225002_1485457421539014_6571271229548789760_n.jpg")</f>
        <v>https://scontent.cdninstagram.com/t51.2885-15/s320x320/e35/21225002_1485457421539014_6571271229548789760_n.jpg</v>
      </c>
      <c r="AE4023" s="249" t="str">
        <f>HYPERLINK("https://scontent.cdninstagram.com/t51.2885-19/s150x150/19955745_1435072766568917_8173761520967090176_a.jpg")</f>
        <v>https://scontent.cdninstagram.com/t51.2885-19/s150x150/19955745_1435072766568917_8173761520967090176_a.jpg</v>
      </c>
    </row>
    <row r="4024" spans="1:31" ht="15" x14ac:dyDescent="0.25">
      <c r="A4024" t="s">
        <v>2474</v>
      </c>
      <c r="B4024" t="s">
        <v>2863</v>
      </c>
      <c r="C4024" s="221">
        <v>42979.273923611108</v>
      </c>
      <c r="D4024" t="s">
        <v>22279</v>
      </c>
      <c r="E4024" s="249" t="str">
        <f>HYPERLINK("https://www.instagram.com/p/BYfsb8xlhn5/")</f>
        <v>https://www.instagram.com/p/BYfsb8xlhn5/</v>
      </c>
      <c r="F4024" t="s">
        <v>22280</v>
      </c>
      <c r="G4024" t="s">
        <v>2478</v>
      </c>
      <c r="H4024">
        <v>71</v>
      </c>
      <c r="I4024" t="s">
        <v>2479</v>
      </c>
      <c r="J4024">
        <v>0</v>
      </c>
      <c r="K4024">
        <v>22</v>
      </c>
      <c r="L4024">
        <v>22</v>
      </c>
      <c r="Q4024">
        <v>0</v>
      </c>
      <c r="R4024">
        <v>0</v>
      </c>
      <c r="S4024">
        <v>22</v>
      </c>
      <c r="Y4024" t="s">
        <v>22275</v>
      </c>
      <c r="Z4024" t="s">
        <v>16237</v>
      </c>
      <c r="AA4024" t="s">
        <v>22276</v>
      </c>
      <c r="AB4024" t="s">
        <v>22277</v>
      </c>
      <c r="AC4024" t="s">
        <v>17646</v>
      </c>
      <c r="AD4024" s="249" t="str">
        <f>HYPERLINK("https://scontent.cdninstagram.com/t51.2885-15/s320x320/e35/21227806_143843749548589_5041426006385098752_n.jpg")</f>
        <v>https://scontent.cdninstagram.com/t51.2885-15/s320x320/e35/21227806_143843749548589_5041426006385098752_n.jpg</v>
      </c>
      <c r="AE4024" s="249" t="str">
        <f>HYPERLINK("https://scontent.cdninstagram.com/t51.2885-19/s150x150/19955745_1435072766568917_8173761520967090176_a.jpg")</f>
        <v>https://scontent.cdninstagram.com/t51.2885-19/s150x150/19955745_1435072766568917_8173761520967090176_a.jpg</v>
      </c>
    </row>
    <row r="4025" spans="1:31" ht="15" x14ac:dyDescent="0.25">
      <c r="A4025" t="s">
        <v>2474</v>
      </c>
      <c r="B4025" t="s">
        <v>18309</v>
      </c>
      <c r="C4025" s="221">
        <v>42979.28025462963</v>
      </c>
      <c r="D4025" t="s">
        <v>22281</v>
      </c>
      <c r="E4025" s="249" t="str">
        <f>HYPERLINK("https://www.instagram.com/p/BYftetkD1ft/")</f>
        <v>https://www.instagram.com/p/BYftetkD1ft/</v>
      </c>
      <c r="F4025" t="s">
        <v>22282</v>
      </c>
      <c r="G4025" t="s">
        <v>2478</v>
      </c>
      <c r="H4025">
        <v>18</v>
      </c>
      <c r="I4025" t="s">
        <v>2479</v>
      </c>
      <c r="J4025">
        <v>0</v>
      </c>
      <c r="K4025">
        <v>14</v>
      </c>
      <c r="L4025">
        <v>14</v>
      </c>
      <c r="Q4025">
        <v>0</v>
      </c>
      <c r="R4025">
        <v>0</v>
      </c>
      <c r="S4025">
        <v>14</v>
      </c>
      <c r="Y4025" t="s">
        <v>8753</v>
      </c>
      <c r="Z4025" t="s">
        <v>22283</v>
      </c>
      <c r="AA4025" t="s">
        <v>2968</v>
      </c>
      <c r="AB4025" t="s">
        <v>10374</v>
      </c>
      <c r="AC4025" t="s">
        <v>2906</v>
      </c>
      <c r="AD4025" s="249" t="str">
        <f>HYPERLINK("https://scontent.cdninstagram.com/t51.2885-15/e35/p320x320/21296283_492367577764854_1876239635575734272_n.jpg")</f>
        <v>https://scontent.cdninstagram.com/t51.2885-15/e35/p320x320/21296283_492367577764854_1876239635575734272_n.jpg</v>
      </c>
      <c r="AE4025" s="249" t="str">
        <f>HYPERLINK("https://scontent.cdninstagram.com/t51.2885-19/s150x150/21224635_116853155713206_6935607206414909440_a.jpg")</f>
        <v>https://scontent.cdninstagram.com/t51.2885-19/s150x150/21224635_116853155713206_6935607206414909440_a.jpg</v>
      </c>
    </row>
    <row r="4026" spans="1:31" ht="15" x14ac:dyDescent="0.25">
      <c r="A4026" t="s">
        <v>2474</v>
      </c>
      <c r="B4026" t="s">
        <v>4650</v>
      </c>
      <c r="C4026" s="221">
        <v>42979.284814814811</v>
      </c>
      <c r="D4026" t="s">
        <v>22284</v>
      </c>
      <c r="E4026" s="249" t="str">
        <f>HYPERLINK("https://www.instagram.com/p/BYfuOzWAI6N/")</f>
        <v>https://www.instagram.com/p/BYfuOzWAI6N/</v>
      </c>
      <c r="F4026" t="s">
        <v>22285</v>
      </c>
      <c r="G4026" t="s">
        <v>2478</v>
      </c>
      <c r="H4026">
        <v>51286</v>
      </c>
      <c r="I4026" t="s">
        <v>2479</v>
      </c>
      <c r="J4026">
        <v>14</v>
      </c>
      <c r="K4026">
        <v>1288</v>
      </c>
      <c r="L4026">
        <v>1302</v>
      </c>
      <c r="Q4026">
        <v>0</v>
      </c>
      <c r="R4026">
        <v>0</v>
      </c>
      <c r="S4026">
        <v>1302</v>
      </c>
      <c r="Y4026" t="s">
        <v>22286</v>
      </c>
      <c r="Z4026" t="s">
        <v>11832</v>
      </c>
      <c r="AA4026" t="s">
        <v>17491</v>
      </c>
      <c r="AB4026" t="s">
        <v>14904</v>
      </c>
      <c r="AC4026" t="s">
        <v>22287</v>
      </c>
      <c r="AD4026" s="249" t="str">
        <f>HYPERLINK("https://scontent.cdninstagram.com/t51.2885-15/s320x320/e35/21226992_114952355859036_3317833326735130624_n.jpg")</f>
        <v>https://scontent.cdninstagram.com/t51.2885-15/s320x320/e35/21226992_114952355859036_3317833326735130624_n.jpg</v>
      </c>
      <c r="AE4026" s="249" t="str">
        <f>HYPERLINK("https://scontent.cdninstagram.com/t51.2885-19/s150x150/19761953_352834771801381_7484399315541032960_a.jpg")</f>
        <v>https://scontent.cdninstagram.com/t51.2885-19/s150x150/19761953_352834771801381_7484399315541032960_a.jpg</v>
      </c>
    </row>
    <row r="4027" spans="1:31" ht="15" x14ac:dyDescent="0.25">
      <c r="A4027" t="s">
        <v>2474</v>
      </c>
      <c r="B4027" t="s">
        <v>22288</v>
      </c>
      <c r="C4027" s="221">
        <v>42979.28570601852</v>
      </c>
      <c r="D4027" t="s">
        <v>22289</v>
      </c>
      <c r="E4027" s="249" t="str">
        <f>HYPERLINK("https://www.instagram.com/p/BYfuYJaHmuw/")</f>
        <v>https://www.instagram.com/p/BYfuYJaHmuw/</v>
      </c>
      <c r="F4027" t="s">
        <v>22290</v>
      </c>
      <c r="G4027" t="s">
        <v>2478</v>
      </c>
      <c r="H4027">
        <v>546</v>
      </c>
      <c r="I4027" t="s">
        <v>2903</v>
      </c>
      <c r="J4027">
        <v>2</v>
      </c>
      <c r="K4027">
        <v>43</v>
      </c>
      <c r="L4027">
        <v>45</v>
      </c>
      <c r="Q4027">
        <v>0</v>
      </c>
      <c r="R4027">
        <v>0</v>
      </c>
      <c r="S4027">
        <v>45</v>
      </c>
      <c r="Y4027" t="s">
        <v>9011</v>
      </c>
      <c r="Z4027" t="s">
        <v>22291</v>
      </c>
      <c r="AA4027" t="s">
        <v>5802</v>
      </c>
      <c r="AB4027" t="s">
        <v>13529</v>
      </c>
      <c r="AC4027" t="s">
        <v>2497</v>
      </c>
      <c r="AD4027" s="249" t="str">
        <f>HYPERLINK("https://scontent.cdninstagram.com/t51.2885-15/s320x320/e35/21294808_1924000774519448_3643375282083069952_n.jpg")</f>
        <v>https://scontent.cdninstagram.com/t51.2885-15/s320x320/e35/21294808_1924000774519448_3643375282083069952_n.jpg</v>
      </c>
      <c r="AE4027" s="249" t="str">
        <f>HYPERLINK("https://scontent.cdninstagram.com/t51.2885-19/s150x150/20837014_1994680327447650_4091580227799482368_a.jpg")</f>
        <v>https://scontent.cdninstagram.com/t51.2885-19/s150x150/20837014_1994680327447650_4091580227799482368_a.jpg</v>
      </c>
    </row>
    <row r="4028" spans="1:31" ht="15" x14ac:dyDescent="0.25">
      <c r="A4028" t="s">
        <v>2474</v>
      </c>
      <c r="B4028" t="s">
        <v>22292</v>
      </c>
      <c r="C4028" s="221">
        <v>42979.287534722222</v>
      </c>
      <c r="D4028" t="s">
        <v>22293</v>
      </c>
      <c r="E4028" s="249" t="str">
        <f>HYPERLINK("https://www.instagram.com/p/BYfureUg1XP/")</f>
        <v>https://www.instagram.com/p/BYfureUg1XP/</v>
      </c>
      <c r="F4028" t="s">
        <v>22294</v>
      </c>
      <c r="G4028" t="s">
        <v>2478</v>
      </c>
      <c r="H4028">
        <v>433</v>
      </c>
      <c r="I4028" t="s">
        <v>2542</v>
      </c>
      <c r="J4028">
        <v>0</v>
      </c>
      <c r="K4028">
        <v>15</v>
      </c>
      <c r="L4028">
        <v>15</v>
      </c>
      <c r="Q4028">
        <v>0</v>
      </c>
      <c r="R4028">
        <v>0</v>
      </c>
      <c r="S4028">
        <v>15</v>
      </c>
      <c r="Y4028" t="s">
        <v>22295</v>
      </c>
      <c r="Z4028" t="s">
        <v>22296</v>
      </c>
      <c r="AA4028" t="s">
        <v>6720</v>
      </c>
      <c r="AB4028" t="s">
        <v>9810</v>
      </c>
      <c r="AC4028" t="s">
        <v>22297</v>
      </c>
      <c r="AD4028" s="249" t="str">
        <f>HYPERLINK("https://scontent.cdninstagram.com/t51.2885-15/s320x320/e35/21294325_488309131539035_9031598882345189376_n.jpg")</f>
        <v>https://scontent.cdninstagram.com/t51.2885-15/s320x320/e35/21294325_488309131539035_9031598882345189376_n.jpg</v>
      </c>
      <c r="AE4028" s="249" t="str">
        <f>HYPERLINK("https://scontent.cdninstagram.com/t51.2885-19/s150x150/16585032_261399427648442_3409387323517829120_a.jpg")</f>
        <v>https://scontent.cdninstagram.com/t51.2885-19/s150x150/16585032_261399427648442_3409387323517829120_a.jpg</v>
      </c>
    </row>
    <row r="4029" spans="1:31" ht="15" x14ac:dyDescent="0.25">
      <c r="A4029" t="s">
        <v>2474</v>
      </c>
      <c r="B4029" t="s">
        <v>22298</v>
      </c>
      <c r="C4029" s="221">
        <v>42979.291759259257</v>
      </c>
      <c r="D4029" t="s">
        <v>22299</v>
      </c>
      <c r="E4029" s="249" t="str">
        <f>HYPERLINK("https://www.instagram.com/p/BYfvX-BDQ2E/")</f>
        <v>https://www.instagram.com/p/BYfvX-BDQ2E/</v>
      </c>
      <c r="F4029" t="s">
        <v>22300</v>
      </c>
      <c r="G4029" t="s">
        <v>2478</v>
      </c>
      <c r="H4029">
        <v>195</v>
      </c>
      <c r="I4029" t="s">
        <v>2479</v>
      </c>
      <c r="J4029">
        <v>1</v>
      </c>
      <c r="K4029">
        <v>55</v>
      </c>
      <c r="L4029">
        <v>56</v>
      </c>
      <c r="Q4029">
        <v>0</v>
      </c>
      <c r="R4029">
        <v>0</v>
      </c>
      <c r="S4029">
        <v>56</v>
      </c>
      <c r="T4029" t="s">
        <v>22301</v>
      </c>
      <c r="V4029" t="s">
        <v>2182</v>
      </c>
      <c r="W4029">
        <v>45.462475068022997</v>
      </c>
      <c r="X4029">
        <v>9.1764569248322996</v>
      </c>
      <c r="Y4029" t="s">
        <v>3829</v>
      </c>
      <c r="Z4029" t="s">
        <v>4295</v>
      </c>
      <c r="AA4029" t="s">
        <v>4620</v>
      </c>
      <c r="AB4029" t="s">
        <v>22302</v>
      </c>
      <c r="AC4029" t="s">
        <v>8628</v>
      </c>
      <c r="AD4029" s="249" t="str">
        <f>HYPERLINK("https://scontent.cdninstagram.com/t51.2885-15/e35/p320x320/21149170_526620401011392_2618044276449214464_n.jpg")</f>
        <v>https://scontent.cdninstagram.com/t51.2885-15/e35/p320x320/21149170_526620401011392_2618044276449214464_n.jpg</v>
      </c>
      <c r="AE4029" s="249" t="str">
        <f>HYPERLINK("https://scontent.cdninstagram.com/t51.2885-19/s150x150/14719741_271641679903986_252073486028111872_a.jpg")</f>
        <v>https://scontent.cdninstagram.com/t51.2885-19/s150x150/14719741_271641679903986_252073486028111872_a.jpg</v>
      </c>
    </row>
    <row r="4030" spans="1:31" ht="15" x14ac:dyDescent="0.25">
      <c r="A4030" t="s">
        <v>2474</v>
      </c>
      <c r="B4030" t="s">
        <v>22303</v>
      </c>
      <c r="C4030" s="221">
        <v>42979.297766203701</v>
      </c>
      <c r="D4030" t="s">
        <v>22304</v>
      </c>
      <c r="E4030" s="249" t="str">
        <f>HYPERLINK("https://www.instagram.com/p/BYfwXa7FR6W/")</f>
        <v>https://www.instagram.com/p/BYfwXa7FR6W/</v>
      </c>
      <c r="F4030" t="s">
        <v>22305</v>
      </c>
      <c r="G4030" t="s">
        <v>2478</v>
      </c>
      <c r="H4030">
        <v>2440</v>
      </c>
      <c r="I4030" t="s">
        <v>2479</v>
      </c>
      <c r="J4030">
        <v>4</v>
      </c>
      <c r="K4030">
        <v>187</v>
      </c>
      <c r="L4030">
        <v>191</v>
      </c>
      <c r="Q4030">
        <v>0</v>
      </c>
      <c r="R4030">
        <v>0</v>
      </c>
      <c r="S4030">
        <v>191</v>
      </c>
      <c r="Y4030" t="s">
        <v>22306</v>
      </c>
      <c r="Z4030" t="s">
        <v>22307</v>
      </c>
      <c r="AA4030" t="s">
        <v>22308</v>
      </c>
      <c r="AB4030" t="s">
        <v>22309</v>
      </c>
      <c r="AC4030" t="s">
        <v>2497</v>
      </c>
      <c r="AD4030" s="249" t="str">
        <f>HYPERLINK("https://scontent.cdninstagram.com/t51.2885-15/e35/p320x320/21226991_1677641235588697_3143162813602594816_n.jpg")</f>
        <v>https://scontent.cdninstagram.com/t51.2885-15/e35/p320x320/21226991_1677641235588697_3143162813602594816_n.jpg</v>
      </c>
      <c r="AE4030" s="249" t="str">
        <f>HYPERLINK("https://scontent.cdninstagram.com/t51.2885-19/s150x150/16789750_1343543339017550_5436406063807070208_a.jpg")</f>
        <v>https://scontent.cdninstagram.com/t51.2885-19/s150x150/16789750_1343543339017550_5436406063807070208_a.jpg</v>
      </c>
    </row>
    <row r="4031" spans="1:31" ht="15" x14ac:dyDescent="0.25">
      <c r="A4031" t="s">
        <v>2474</v>
      </c>
      <c r="B4031" t="s">
        <v>22310</v>
      </c>
      <c r="C4031" s="221">
        <v>42979.306828703702</v>
      </c>
      <c r="D4031" t="s">
        <v>22311</v>
      </c>
      <c r="E4031" s="249" t="str">
        <f>HYPERLINK("https://www.instagram.com/p/BYfx2_uAj_4/")</f>
        <v>https://www.instagram.com/p/BYfx2_uAj_4/</v>
      </c>
      <c r="F4031" t="s">
        <v>22312</v>
      </c>
      <c r="G4031" t="s">
        <v>2478</v>
      </c>
      <c r="H4031">
        <v>382</v>
      </c>
      <c r="I4031" t="s">
        <v>2582</v>
      </c>
      <c r="J4031">
        <v>2</v>
      </c>
      <c r="K4031">
        <v>35</v>
      </c>
      <c r="L4031">
        <v>37</v>
      </c>
      <c r="Q4031">
        <v>0</v>
      </c>
      <c r="R4031">
        <v>0</v>
      </c>
      <c r="S4031">
        <v>37</v>
      </c>
      <c r="Y4031" t="s">
        <v>2497</v>
      </c>
      <c r="Z4031" t="s">
        <v>3535</v>
      </c>
      <c r="AD4031" s="249" t="str">
        <f>HYPERLINK("https://scontent.cdninstagram.com/t51.2885-15/s320x320/e35/21149024_854137778079541_4691520651482103808_n.jpg")</f>
        <v>https://scontent.cdninstagram.com/t51.2885-15/s320x320/e35/21149024_854137778079541_4691520651482103808_n.jpg</v>
      </c>
      <c r="AE4031" s="249" t="str">
        <f>HYPERLINK("https://scontent.cdninstagram.com/t51.2885-19/s150x150/17076316_1147051395403608_240917381491195904_a.jpg")</f>
        <v>https://scontent.cdninstagram.com/t51.2885-19/s150x150/17076316_1147051395403608_240917381491195904_a.jpg</v>
      </c>
    </row>
    <row r="4032" spans="1:31" ht="15" x14ac:dyDescent="0.25">
      <c r="A4032" t="s">
        <v>2474</v>
      </c>
      <c r="B4032" t="s">
        <v>17158</v>
      </c>
      <c r="C4032" s="221">
        <v>42979.324525462966</v>
      </c>
      <c r="D4032" t="s">
        <v>22313</v>
      </c>
      <c r="E4032" s="249" t="str">
        <f>HYPERLINK("https://www.instagram.com/p/BYf0xn9hZry/")</f>
        <v>https://www.instagram.com/p/BYf0xn9hZry/</v>
      </c>
      <c r="F4032" t="s">
        <v>22314</v>
      </c>
      <c r="G4032" t="s">
        <v>2478</v>
      </c>
      <c r="H4032">
        <v>378</v>
      </c>
      <c r="I4032" t="s">
        <v>2479</v>
      </c>
      <c r="J4032">
        <v>1</v>
      </c>
      <c r="K4032">
        <v>47</v>
      </c>
      <c r="L4032">
        <v>48</v>
      </c>
      <c r="Q4032">
        <v>0</v>
      </c>
      <c r="R4032">
        <v>0</v>
      </c>
      <c r="S4032">
        <v>48</v>
      </c>
      <c r="Y4032" t="s">
        <v>6043</v>
      </c>
      <c r="Z4032" t="s">
        <v>14313</v>
      </c>
      <c r="AA4032" t="s">
        <v>10596</v>
      </c>
      <c r="AB4032" t="s">
        <v>18450</v>
      </c>
      <c r="AC4032" t="s">
        <v>2641</v>
      </c>
      <c r="AD4032" s="249" t="str">
        <f>HYPERLINK("https://scontent.cdninstagram.com/t51.2885-15/s320x320/e35/21224799_167006983862412_6219689888212582400_n.jpg")</f>
        <v>https://scontent.cdninstagram.com/t51.2885-15/s320x320/e35/21224799_167006983862412_6219689888212582400_n.jpg</v>
      </c>
      <c r="AE4032" s="249" t="str">
        <f>HYPERLINK("https://scontent.cdninstagram.com/t51.2885-19/s150x150/13658639_315931348749567_46952542_a.jpg")</f>
        <v>https://scontent.cdninstagram.com/t51.2885-19/s150x150/13658639_315931348749567_46952542_a.jpg</v>
      </c>
    </row>
    <row r="4033" spans="1:31" ht="15" x14ac:dyDescent="0.25">
      <c r="A4033" t="s">
        <v>2474</v>
      </c>
      <c r="B4033" t="s">
        <v>22315</v>
      </c>
      <c r="C4033" s="221">
        <v>42979.32912037037</v>
      </c>
      <c r="D4033" t="s">
        <v>22316</v>
      </c>
      <c r="E4033" s="249" t="str">
        <f>HYPERLINK("https://www.instagram.com/p/BYf1iHyDSNr/")</f>
        <v>https://www.instagram.com/p/BYf1iHyDSNr/</v>
      </c>
      <c r="F4033" t="s">
        <v>22317</v>
      </c>
      <c r="G4033" t="s">
        <v>2631</v>
      </c>
      <c r="H4033">
        <v>339</v>
      </c>
      <c r="I4033" t="s">
        <v>2599</v>
      </c>
      <c r="J4033">
        <v>2</v>
      </c>
      <c r="K4033">
        <v>45</v>
      </c>
      <c r="L4033">
        <v>47</v>
      </c>
      <c r="Q4033">
        <v>0</v>
      </c>
      <c r="R4033">
        <v>0</v>
      </c>
      <c r="S4033">
        <v>47</v>
      </c>
      <c r="Y4033" t="s">
        <v>22318</v>
      </c>
      <c r="Z4033" t="s">
        <v>22319</v>
      </c>
      <c r="AA4033" t="s">
        <v>22320</v>
      </c>
      <c r="AB4033" t="s">
        <v>2576</v>
      </c>
      <c r="AC4033" t="s">
        <v>22321</v>
      </c>
      <c r="AD4033" s="249" t="str">
        <f>HYPERLINK("https://scontent.cdninstagram.com/t51.2885-15/s320x320/e15/21224871_1916995295241284_6185119150986231808_n.jpg")</f>
        <v>https://scontent.cdninstagram.com/t51.2885-15/s320x320/e15/21224871_1916995295241284_6185119150986231808_n.jpg</v>
      </c>
      <c r="AE4033" s="249" t="str">
        <f>HYPERLINK("https://scontent.cdninstagram.com/t51.2885-19/s150x150/17125801_1020534171412731_6476899854478999552_a.jpg")</f>
        <v>https://scontent.cdninstagram.com/t51.2885-19/s150x150/17125801_1020534171412731_6476899854478999552_a.jpg</v>
      </c>
    </row>
    <row r="4034" spans="1:31" ht="15" x14ac:dyDescent="0.25">
      <c r="A4034" t="s">
        <v>2474</v>
      </c>
      <c r="B4034" t="s">
        <v>4341</v>
      </c>
      <c r="C4034" s="221">
        <v>42979.33289351852</v>
      </c>
      <c r="D4034" t="s">
        <v>22322</v>
      </c>
      <c r="E4034" s="249" t="str">
        <f>HYPERLINK("https://www.instagram.com/p/BYf2J6jgDsU/")</f>
        <v>https://www.instagram.com/p/BYf2J6jgDsU/</v>
      </c>
      <c r="F4034" t="s">
        <v>22323</v>
      </c>
      <c r="G4034" t="s">
        <v>2478</v>
      </c>
      <c r="H4034">
        <v>391672</v>
      </c>
      <c r="I4034" t="s">
        <v>2479</v>
      </c>
      <c r="J4034">
        <v>43</v>
      </c>
      <c r="K4034">
        <v>6965</v>
      </c>
      <c r="L4034">
        <v>7008</v>
      </c>
      <c r="Q4034">
        <v>0</v>
      </c>
      <c r="R4034">
        <v>0</v>
      </c>
      <c r="S4034">
        <v>7008</v>
      </c>
      <c r="AD4034" s="249" t="str">
        <f>HYPERLINK("https://scontent.cdninstagram.com/t51.2885-15/s320x320/e35/21149556_1155721454528827_2265799628953747456_n.jpg")</f>
        <v>https://scontent.cdninstagram.com/t51.2885-15/s320x320/e35/21149556_1155721454528827_2265799628953747456_n.jpg</v>
      </c>
      <c r="AE4034" s="249" t="str">
        <f>HYPERLINK("https://scontent.cdninstagram.com/t51.2885-19/s150x150/12357356_524081691094860_312972369_a.jpg")</f>
        <v>https://scontent.cdninstagram.com/t51.2885-19/s150x150/12357356_524081691094860_312972369_a.jpg</v>
      </c>
    </row>
    <row r="4035" spans="1:31" ht="15" x14ac:dyDescent="0.25">
      <c r="A4035" t="s">
        <v>2474</v>
      </c>
      <c r="B4035" t="s">
        <v>8235</v>
      </c>
      <c r="C4035" s="221">
        <v>42979.3359375</v>
      </c>
      <c r="D4035" t="s">
        <v>22324</v>
      </c>
      <c r="E4035" s="249" t="str">
        <f>HYPERLINK("https://www.instagram.com/p/BYf2qAYH0io/")</f>
        <v>https://www.instagram.com/p/BYf2qAYH0io/</v>
      </c>
      <c r="F4035" t="s">
        <v>22325</v>
      </c>
      <c r="G4035" t="s">
        <v>2478</v>
      </c>
      <c r="H4035">
        <v>1296</v>
      </c>
      <c r="I4035" t="s">
        <v>2910</v>
      </c>
      <c r="J4035">
        <v>10</v>
      </c>
      <c r="K4035">
        <v>342</v>
      </c>
      <c r="L4035">
        <v>352</v>
      </c>
      <c r="Q4035">
        <v>0</v>
      </c>
      <c r="R4035">
        <v>0</v>
      </c>
      <c r="S4035">
        <v>352</v>
      </c>
      <c r="T4035" t="s">
        <v>22326</v>
      </c>
      <c r="V4035" t="s">
        <v>2264</v>
      </c>
      <c r="W4035">
        <v>39.966666666667003</v>
      </c>
      <c r="X4035">
        <v>4.0833333333333002</v>
      </c>
      <c r="Y4035" t="s">
        <v>22327</v>
      </c>
      <c r="AD4035" s="249" t="str">
        <f>HYPERLINK("https://scontent.cdninstagram.com/t51.2885-15/s320x320/e35/21225015_265230807327650_8443983704837062656_n.jpg")</f>
        <v>https://scontent.cdninstagram.com/t51.2885-15/s320x320/e35/21225015_265230807327650_8443983704837062656_n.jpg</v>
      </c>
      <c r="AE4035" s="249" t="str">
        <f>HYPERLINK("https://scontent.cdninstagram.com/t51.2885-19/s150x150/13557138_1075330099193441_1639788177_a.jpg")</f>
        <v>https://scontent.cdninstagram.com/t51.2885-19/s150x150/13557138_1075330099193441_1639788177_a.jpg</v>
      </c>
    </row>
    <row r="4036" spans="1:31" ht="15" x14ac:dyDescent="0.25">
      <c r="A4036" t="s">
        <v>2474</v>
      </c>
      <c r="B4036" t="s">
        <v>3644</v>
      </c>
      <c r="C4036" s="221">
        <v>42979.338101851848</v>
      </c>
      <c r="D4036" t="s">
        <v>22328</v>
      </c>
      <c r="E4036" s="249" t="str">
        <f>HYPERLINK("https://www.instagram.com/p/BYf3AwBlzH3/")</f>
        <v>https://www.instagram.com/p/BYf3AwBlzH3/</v>
      </c>
      <c r="F4036" t="s">
        <v>22329</v>
      </c>
      <c r="G4036" t="s">
        <v>2478</v>
      </c>
      <c r="H4036">
        <v>580</v>
      </c>
      <c r="I4036" t="s">
        <v>2479</v>
      </c>
      <c r="J4036">
        <v>2</v>
      </c>
      <c r="K4036">
        <v>18</v>
      </c>
      <c r="L4036">
        <v>20</v>
      </c>
      <c r="Q4036">
        <v>0</v>
      </c>
      <c r="R4036">
        <v>0</v>
      </c>
      <c r="S4036">
        <v>20</v>
      </c>
      <c r="T4036" t="s">
        <v>3647</v>
      </c>
      <c r="V4036" t="s">
        <v>2141</v>
      </c>
      <c r="W4036">
        <v>55.426879900000003</v>
      </c>
      <c r="X4036">
        <v>10.3903303</v>
      </c>
      <c r="Y4036" t="s">
        <v>14695</v>
      </c>
      <c r="Z4036" t="s">
        <v>2911</v>
      </c>
      <c r="AA4036" t="s">
        <v>6486</v>
      </c>
      <c r="AB4036" t="s">
        <v>5866</v>
      </c>
      <c r="AC4036" t="s">
        <v>3061</v>
      </c>
      <c r="AD4036" s="249" t="str">
        <f>HYPERLINK("https://scontent.cdninstagram.com/t51.2885-15/s320x320/e35/21224695_117803532277424_881558147926327296_n.jpg")</f>
        <v>https://scontent.cdninstagram.com/t51.2885-15/s320x320/e35/21224695_117803532277424_881558147926327296_n.jpg</v>
      </c>
      <c r="AE4036" s="249" t="str">
        <f>HYPERLINK("https://scontent.cdninstagram.com/t51.2885-19/s150x150/14714495_1790450111234953_7147855754219749376_a.jpg")</f>
        <v>https://scontent.cdninstagram.com/t51.2885-19/s150x150/14714495_1790450111234953_7147855754219749376_a.jpg</v>
      </c>
    </row>
    <row r="4037" spans="1:31" ht="15" x14ac:dyDescent="0.25">
      <c r="A4037" t="s">
        <v>2474</v>
      </c>
      <c r="B4037" t="s">
        <v>22330</v>
      </c>
      <c r="C4037" s="221">
        <v>42979.341006944444</v>
      </c>
      <c r="D4037" t="s">
        <v>22331</v>
      </c>
      <c r="E4037" s="249" t="str">
        <f>HYPERLINK("https://www.instagram.com/p/BYf3fZ6jpqW/")</f>
        <v>https://www.instagram.com/p/BYf3fZ6jpqW/</v>
      </c>
      <c r="F4037" t="s">
        <v>22332</v>
      </c>
      <c r="G4037" t="s">
        <v>2478</v>
      </c>
      <c r="H4037">
        <v>396</v>
      </c>
      <c r="I4037" t="s">
        <v>2542</v>
      </c>
      <c r="J4037">
        <v>0</v>
      </c>
      <c r="K4037">
        <v>25</v>
      </c>
      <c r="L4037">
        <v>25</v>
      </c>
      <c r="Q4037">
        <v>0</v>
      </c>
      <c r="R4037">
        <v>0</v>
      </c>
      <c r="S4037">
        <v>25</v>
      </c>
      <c r="Y4037" t="s">
        <v>22333</v>
      </c>
      <c r="Z4037" t="s">
        <v>2906</v>
      </c>
      <c r="AA4037" t="s">
        <v>22334</v>
      </c>
      <c r="AB4037" t="s">
        <v>22335</v>
      </c>
      <c r="AC4037" t="s">
        <v>2497</v>
      </c>
      <c r="AD4037" s="249" t="str">
        <f>HYPERLINK("https://scontent.cdninstagram.com/t51.2885-15/s320x320/e35/21149304_420660025002281_4292870398476812288_n.jpg")</f>
        <v>https://scontent.cdninstagram.com/t51.2885-15/s320x320/e35/21149304_420660025002281_4292870398476812288_n.jpg</v>
      </c>
      <c r="AE4037" s="249" t="str">
        <f>HYPERLINK("https://scontent.cdninstagram.com/t51.2885-19/s150x150/20766277_284536955359312_9006976556391727104_a.jpg")</f>
        <v>https://scontent.cdninstagram.com/t51.2885-19/s150x150/20766277_284536955359312_9006976556391727104_a.jpg</v>
      </c>
    </row>
    <row r="4038" spans="1:31" ht="15" x14ac:dyDescent="0.25">
      <c r="A4038" t="s">
        <v>2474</v>
      </c>
      <c r="B4038" t="s">
        <v>22336</v>
      </c>
      <c r="C4038" s="221">
        <v>42979.341770833336</v>
      </c>
      <c r="D4038" t="s">
        <v>22337</v>
      </c>
      <c r="E4038" s="249" t="str">
        <f>HYPERLINK("https://www.instagram.com/p/BYf3ncpgJSZ/")</f>
        <v>https://www.instagram.com/p/BYf3ncpgJSZ/</v>
      </c>
      <c r="F4038" t="s">
        <v>22338</v>
      </c>
      <c r="G4038" t="s">
        <v>2478</v>
      </c>
      <c r="H4038">
        <v>61</v>
      </c>
      <c r="I4038" t="s">
        <v>2510</v>
      </c>
      <c r="J4038">
        <v>0</v>
      </c>
      <c r="K4038">
        <v>12</v>
      </c>
      <c r="L4038">
        <v>12</v>
      </c>
      <c r="Q4038">
        <v>0</v>
      </c>
      <c r="R4038">
        <v>0</v>
      </c>
      <c r="S4038">
        <v>12</v>
      </c>
      <c r="T4038" t="s">
        <v>22339</v>
      </c>
      <c r="V4038" t="s">
        <v>2222</v>
      </c>
      <c r="W4038">
        <v>51.692039999999999</v>
      </c>
      <c r="X4038">
        <v>4.86599</v>
      </c>
      <c r="Y4038" t="s">
        <v>5802</v>
      </c>
      <c r="Z4038" t="s">
        <v>22340</v>
      </c>
      <c r="AA4038" t="s">
        <v>2497</v>
      </c>
      <c r="AD4038" s="249" t="str">
        <f>HYPERLINK("https://scontent.cdninstagram.com/t51.2885-15/s320x320/e35/21149154_800195833483409_3361124625688821760_n.jpg")</f>
        <v>https://scontent.cdninstagram.com/t51.2885-15/s320x320/e35/21149154_800195833483409_3361124625688821760_n.jpg</v>
      </c>
      <c r="AE4038" s="249" t="str">
        <f>HYPERLINK("https://scontent.cdninstagram.com/t51.2885-19/s150x150/18161497_1682529412040961_1398599483683504128_a.jpg")</f>
        <v>https://scontent.cdninstagram.com/t51.2885-19/s150x150/18161497_1682529412040961_1398599483683504128_a.jpg</v>
      </c>
    </row>
    <row r="4039" spans="1:31" ht="15" x14ac:dyDescent="0.25">
      <c r="A4039" t="s">
        <v>2474</v>
      </c>
      <c r="B4039" t="s">
        <v>22341</v>
      </c>
      <c r="C4039" s="221">
        <v>42979.348124999997</v>
      </c>
      <c r="D4039" t="s">
        <v>22342</v>
      </c>
      <c r="E4039" s="249" t="str">
        <f>HYPERLINK("https://www.instagram.com/p/BYf4qdSjxdi/")</f>
        <v>https://www.instagram.com/p/BYf4qdSjxdi/</v>
      </c>
      <c r="F4039" t="s">
        <v>22343</v>
      </c>
      <c r="G4039" t="s">
        <v>2478</v>
      </c>
      <c r="H4039">
        <v>1326</v>
      </c>
      <c r="I4039" t="s">
        <v>3273</v>
      </c>
      <c r="J4039">
        <v>1</v>
      </c>
      <c r="K4039">
        <v>25</v>
      </c>
      <c r="L4039">
        <v>26</v>
      </c>
      <c r="Q4039">
        <v>0</v>
      </c>
      <c r="R4039">
        <v>0</v>
      </c>
      <c r="S4039">
        <v>26</v>
      </c>
      <c r="Y4039" t="s">
        <v>22344</v>
      </c>
      <c r="Z4039" t="s">
        <v>2497</v>
      </c>
      <c r="AA4039" t="s">
        <v>22345</v>
      </c>
      <c r="AB4039" t="s">
        <v>22346</v>
      </c>
      <c r="AC4039" t="s">
        <v>22347</v>
      </c>
      <c r="AD4039" s="249" t="str">
        <f>HYPERLINK("https://scontent.cdninstagram.com/t51.2885-15/e35/p320x320/21227534_719529014905592_4731356760915312640_n.jpg")</f>
        <v>https://scontent.cdninstagram.com/t51.2885-15/e35/p320x320/21227534_719529014905592_4731356760915312640_n.jpg</v>
      </c>
      <c r="AE4039" s="249" t="str">
        <f>HYPERLINK("https://scontent.cdninstagram.com/t51.2885-19/s150x150/21433779_1447898591956429_4906381784943427584_a.jpg")</f>
        <v>https://scontent.cdninstagram.com/t51.2885-19/s150x150/21433779_1447898591956429_4906381784943427584_a.jpg</v>
      </c>
    </row>
    <row r="4040" spans="1:31" ht="15" x14ac:dyDescent="0.25">
      <c r="A4040" t="s">
        <v>2474</v>
      </c>
      <c r="B4040" t="s">
        <v>7241</v>
      </c>
      <c r="C4040" s="221">
        <v>42979.349768518521</v>
      </c>
      <c r="D4040" t="s">
        <v>22348</v>
      </c>
      <c r="E4040" s="249" t="str">
        <f>HYPERLINK("https://www.instagram.com/p/BYf47zchU3E/")</f>
        <v>https://www.instagram.com/p/BYf47zchU3E/</v>
      </c>
      <c r="F4040" t="s">
        <v>22349</v>
      </c>
      <c r="G4040" t="s">
        <v>2478</v>
      </c>
      <c r="H4040">
        <v>410</v>
      </c>
      <c r="I4040" t="s">
        <v>3186</v>
      </c>
      <c r="J4040">
        <v>0</v>
      </c>
      <c r="K4040">
        <v>27</v>
      </c>
      <c r="L4040">
        <v>27</v>
      </c>
      <c r="Q4040">
        <v>0</v>
      </c>
      <c r="R4040">
        <v>0</v>
      </c>
      <c r="S4040">
        <v>27</v>
      </c>
      <c r="Y4040" t="s">
        <v>22350</v>
      </c>
      <c r="Z4040" t="s">
        <v>14057</v>
      </c>
      <c r="AA4040" t="s">
        <v>2497</v>
      </c>
      <c r="AB4040" t="s">
        <v>22351</v>
      </c>
      <c r="AC4040" t="s">
        <v>22352</v>
      </c>
      <c r="AD4040" s="249" t="str">
        <f>HYPERLINK("https://scontent.cdninstagram.com/t51.2885-15/s320x320/e35/21227093_345027662576929_8875857883518992384_n.jpg")</f>
        <v>https://scontent.cdninstagram.com/t51.2885-15/s320x320/e35/21227093_345027662576929_8875857883518992384_n.jpg</v>
      </c>
      <c r="AE4040" s="249" t="str">
        <f>HYPERLINK("https://scontent.cdninstagram.com/t51.2885-19/s150x150/20759624_1657792777595092_374058807866687488_a.jpg")</f>
        <v>https://scontent.cdninstagram.com/t51.2885-19/s150x150/20759624_1657792777595092_374058807866687488_a.jpg</v>
      </c>
    </row>
    <row r="4041" spans="1:31" ht="15" x14ac:dyDescent="0.25">
      <c r="A4041" t="s">
        <v>2474</v>
      </c>
      <c r="B4041" t="s">
        <v>4811</v>
      </c>
      <c r="C4041" s="221">
        <v>42979.354548611111</v>
      </c>
      <c r="D4041" t="s">
        <v>22353</v>
      </c>
      <c r="E4041" s="249" t="str">
        <f>HYPERLINK("https://www.instagram.com/p/BYf5uQng3fy/")</f>
        <v>https://www.instagram.com/p/BYf5uQng3fy/</v>
      </c>
      <c r="F4041" t="s">
        <v>22354</v>
      </c>
      <c r="G4041" t="s">
        <v>2631</v>
      </c>
      <c r="H4041">
        <v>1001</v>
      </c>
      <c r="I4041" t="s">
        <v>2479</v>
      </c>
      <c r="J4041">
        <v>25</v>
      </c>
      <c r="K4041">
        <v>102</v>
      </c>
      <c r="L4041">
        <v>127</v>
      </c>
      <c r="Q4041">
        <v>0</v>
      </c>
      <c r="R4041">
        <v>0</v>
      </c>
      <c r="S4041">
        <v>127</v>
      </c>
      <c r="Y4041" t="s">
        <v>22206</v>
      </c>
      <c r="Z4041" t="s">
        <v>3006</v>
      </c>
      <c r="AA4041" t="s">
        <v>22355</v>
      </c>
      <c r="AB4041" t="s">
        <v>8077</v>
      </c>
      <c r="AC4041" t="s">
        <v>21682</v>
      </c>
      <c r="AD4041" s="249" t="str">
        <f>HYPERLINK("https://scontent.cdninstagram.com/t51.2885-15/s320x320/e15/21224359_101615130579153_5391064570804568064_n.jpg")</f>
        <v>https://scontent.cdninstagram.com/t51.2885-15/s320x320/e15/21224359_101615130579153_5391064570804568064_n.jpg</v>
      </c>
      <c r="AE4041" s="249" t="str">
        <f>HYPERLINK("https://scontent.cdninstagram.com/t51.2885-19/s150x150/16124251_1913091765603634_8004330562992996352_a.jpg")</f>
        <v>https://scontent.cdninstagram.com/t51.2885-19/s150x150/16124251_1913091765603634_8004330562992996352_a.jpg</v>
      </c>
    </row>
    <row r="4042" spans="1:31" ht="15" x14ac:dyDescent="0.25">
      <c r="A4042" t="s">
        <v>2474</v>
      </c>
      <c r="B4042" t="s">
        <v>15206</v>
      </c>
      <c r="C4042" s="221">
        <v>42979.358124999999</v>
      </c>
      <c r="D4042" t="s">
        <v>22356</v>
      </c>
      <c r="E4042" s="249" t="str">
        <f>HYPERLINK("https://www.instagram.com/p/BYf6T-jF-NG/")</f>
        <v>https://www.instagram.com/p/BYf6T-jF-NG/</v>
      </c>
      <c r="F4042" t="s">
        <v>22357</v>
      </c>
      <c r="G4042" t="s">
        <v>2478</v>
      </c>
      <c r="H4042">
        <v>61872</v>
      </c>
      <c r="I4042" t="s">
        <v>2479</v>
      </c>
      <c r="J4042">
        <v>11</v>
      </c>
      <c r="K4042">
        <v>1544</v>
      </c>
      <c r="L4042">
        <v>1555</v>
      </c>
      <c r="Q4042">
        <v>0</v>
      </c>
      <c r="R4042">
        <v>0</v>
      </c>
      <c r="S4042">
        <v>1555</v>
      </c>
      <c r="AD4042" s="249" t="str">
        <f>HYPERLINK("https://scontent.cdninstagram.com/t51.2885-15/e35/p320x320/20687171_353809478410794_2040310242436186112_n.jpg")</f>
        <v>https://scontent.cdninstagram.com/t51.2885-15/e35/p320x320/20687171_353809478410794_2040310242436186112_n.jpg</v>
      </c>
      <c r="AE4042" s="249" t="str">
        <f>HYPERLINK("https://scontent.cdninstagram.com/t51.2885-19/17663530_1657274724581959_2295744149531394048_n.jpg")</f>
        <v>https://scontent.cdninstagram.com/t51.2885-19/17663530_1657274724581959_2295744149531394048_n.jpg</v>
      </c>
    </row>
    <row r="4043" spans="1:31" ht="15" x14ac:dyDescent="0.25">
      <c r="A4043" t="s">
        <v>2474</v>
      </c>
      <c r="B4043" t="s">
        <v>22358</v>
      </c>
      <c r="C4043" s="221">
        <v>42979.3596875</v>
      </c>
      <c r="D4043" t="s">
        <v>22359</v>
      </c>
      <c r="E4043" s="249" t="str">
        <f>HYPERLINK("https://www.instagram.com/p/BYf6kfLgnWm/")</f>
        <v>https://www.instagram.com/p/BYf6kfLgnWm/</v>
      </c>
      <c r="F4043" t="s">
        <v>22360</v>
      </c>
      <c r="G4043" t="s">
        <v>2478</v>
      </c>
      <c r="H4043">
        <v>377</v>
      </c>
      <c r="I4043" t="s">
        <v>2542</v>
      </c>
      <c r="J4043">
        <v>2</v>
      </c>
      <c r="K4043">
        <v>44</v>
      </c>
      <c r="L4043">
        <v>46</v>
      </c>
      <c r="Q4043">
        <v>0</v>
      </c>
      <c r="R4043">
        <v>0</v>
      </c>
      <c r="S4043">
        <v>46</v>
      </c>
      <c r="T4043" t="s">
        <v>22361</v>
      </c>
      <c r="V4043" t="s">
        <v>2161</v>
      </c>
      <c r="W4043">
        <v>50.383333333332999</v>
      </c>
      <c r="X4043">
        <v>8.0666666666667002</v>
      </c>
      <c r="Y4043" t="s">
        <v>3677</v>
      </c>
      <c r="Z4043" t="s">
        <v>22362</v>
      </c>
      <c r="AA4043" t="s">
        <v>2497</v>
      </c>
      <c r="AB4043" t="s">
        <v>22363</v>
      </c>
      <c r="AC4043" t="s">
        <v>22364</v>
      </c>
      <c r="AD4043" s="249" t="str">
        <f>HYPERLINK("https://scontent.cdninstagram.com/t51.2885-15/s320x320/e35/21149794_818576404980340_3539640478876041216_n.jpg")</f>
        <v>https://scontent.cdninstagram.com/t51.2885-15/s320x320/e35/21149794_818576404980340_3539640478876041216_n.jpg</v>
      </c>
      <c r="AE4043" s="249" t="str">
        <f>HYPERLINK("https://scontent.cdninstagram.com/t51.2885-19/s150x150/12816787_235370106807308_491211235_a.jpg")</f>
        <v>https://scontent.cdninstagram.com/t51.2885-19/s150x150/12816787_235370106807308_491211235_a.jpg</v>
      </c>
    </row>
    <row r="4044" spans="1:31" ht="15" x14ac:dyDescent="0.25">
      <c r="A4044" t="s">
        <v>2474</v>
      </c>
      <c r="B4044" t="s">
        <v>16145</v>
      </c>
      <c r="C4044" s="221">
        <v>42979.363761574074</v>
      </c>
      <c r="D4044" t="s">
        <v>22365</v>
      </c>
      <c r="E4044" s="249" t="str">
        <f>HYPERLINK("https://www.instagram.com/p/BYf7PafA9pZ/")</f>
        <v>https://www.instagram.com/p/BYf7PafA9pZ/</v>
      </c>
      <c r="F4044" t="s">
        <v>22366</v>
      </c>
      <c r="G4044" t="s">
        <v>2488</v>
      </c>
      <c r="H4044">
        <v>660</v>
      </c>
      <c r="I4044" t="s">
        <v>2479</v>
      </c>
      <c r="J4044">
        <v>0</v>
      </c>
      <c r="K4044">
        <v>59</v>
      </c>
      <c r="L4044">
        <v>59</v>
      </c>
      <c r="Q4044">
        <v>0</v>
      </c>
      <c r="R4044">
        <v>0</v>
      </c>
      <c r="S4044">
        <v>59</v>
      </c>
      <c r="T4044" t="s">
        <v>22367</v>
      </c>
      <c r="U4044" t="s">
        <v>102</v>
      </c>
      <c r="V4044" t="s">
        <v>2299</v>
      </c>
      <c r="W4044">
        <v>41.889670000000002</v>
      </c>
      <c r="X4044">
        <v>-87.622259999999997</v>
      </c>
      <c r="Y4044" t="s">
        <v>2497</v>
      </c>
      <c r="Z4044" t="s">
        <v>22368</v>
      </c>
      <c r="AA4044" t="s">
        <v>16149</v>
      </c>
      <c r="AD4044" s="249" t="str">
        <f>HYPERLINK("https://scontent.cdninstagram.com/t51.2885-15/s320x320/e35/21227508_473400223042254_1122190798855602176_n.jpg")</f>
        <v>https://scontent.cdninstagram.com/t51.2885-15/s320x320/e35/21227508_473400223042254_1122190798855602176_n.jpg</v>
      </c>
      <c r="AE4044" s="249" t="str">
        <f>HYPERLINK("https://scontent.cdninstagram.com/t51.2885-19/s150x150/14269238_492844557581169_1220015878_a.jpg")</f>
        <v>https://scontent.cdninstagram.com/t51.2885-19/s150x150/14269238_492844557581169_1220015878_a.jpg</v>
      </c>
    </row>
    <row r="4045" spans="1:31" ht="15" x14ac:dyDescent="0.25">
      <c r="A4045" t="s">
        <v>2474</v>
      </c>
      <c r="B4045" t="s">
        <v>7185</v>
      </c>
      <c r="C4045" s="221">
        <v>42979.370115740741</v>
      </c>
      <c r="D4045" t="s">
        <v>22369</v>
      </c>
      <c r="E4045" s="249" t="str">
        <f>HYPERLINK("https://www.instagram.com/p/BYf8Se8BWWB/")</f>
        <v>https://www.instagram.com/p/BYf8Se8BWWB/</v>
      </c>
      <c r="F4045" t="s">
        <v>22370</v>
      </c>
      <c r="G4045" t="s">
        <v>2478</v>
      </c>
      <c r="H4045">
        <v>478</v>
      </c>
      <c r="I4045" t="s">
        <v>3025</v>
      </c>
      <c r="J4045">
        <v>5</v>
      </c>
      <c r="K4045">
        <v>121</v>
      </c>
      <c r="L4045">
        <v>126</v>
      </c>
      <c r="Q4045">
        <v>0</v>
      </c>
      <c r="R4045">
        <v>0</v>
      </c>
      <c r="S4045">
        <v>126</v>
      </c>
      <c r="T4045" t="s">
        <v>22371</v>
      </c>
      <c r="V4045" t="s">
        <v>2168</v>
      </c>
      <c r="W4045">
        <v>15.961329081597</v>
      </c>
      <c r="X4045">
        <v>-91.40625</v>
      </c>
      <c r="Y4045" t="s">
        <v>17243</v>
      </c>
      <c r="Z4045" t="s">
        <v>13366</v>
      </c>
      <c r="AD4045" s="249" t="str">
        <f>HYPERLINK("https://scontent.cdninstagram.com/t51.2885-15/e35/p320x320/21295030_674418686093596_7492608677375901696_n.jpg")</f>
        <v>https://scontent.cdninstagram.com/t51.2885-15/e35/p320x320/21295030_674418686093596_7492608677375901696_n.jpg</v>
      </c>
      <c r="AE4045" s="249" t="str">
        <f>HYPERLINK("https://scontent.cdninstagram.com/t51.2885-19/s150x150/17882752_1488967831123186_392500985118851072_a.jpg")</f>
        <v>https://scontent.cdninstagram.com/t51.2885-19/s150x150/17882752_1488967831123186_392500985118851072_a.jpg</v>
      </c>
    </row>
    <row r="4046" spans="1:31" ht="15" x14ac:dyDescent="0.25">
      <c r="A4046" t="s">
        <v>2474</v>
      </c>
      <c r="B4046" t="s">
        <v>22372</v>
      </c>
      <c r="C4046" s="221">
        <v>42979.375439814816</v>
      </c>
      <c r="D4046" t="s">
        <v>22373</v>
      </c>
      <c r="E4046" s="249" t="str">
        <f>HYPERLINK("https://www.instagram.com/p/BYf9KpYHigw/")</f>
        <v>https://www.instagram.com/p/BYf9KpYHigw/</v>
      </c>
      <c r="F4046" t="s">
        <v>22374</v>
      </c>
      <c r="G4046" t="s">
        <v>2478</v>
      </c>
      <c r="H4046">
        <v>440</v>
      </c>
      <c r="I4046" t="s">
        <v>2479</v>
      </c>
      <c r="J4046">
        <v>1</v>
      </c>
      <c r="K4046">
        <v>29</v>
      </c>
      <c r="L4046">
        <v>30</v>
      </c>
      <c r="Q4046">
        <v>0</v>
      </c>
      <c r="R4046">
        <v>0</v>
      </c>
      <c r="S4046">
        <v>30</v>
      </c>
      <c r="Y4046" t="s">
        <v>22375</v>
      </c>
      <c r="Z4046" t="s">
        <v>22376</v>
      </c>
      <c r="AA4046" t="s">
        <v>5706</v>
      </c>
      <c r="AB4046" t="s">
        <v>22377</v>
      </c>
      <c r="AC4046" t="s">
        <v>17477</v>
      </c>
      <c r="AD4046" s="249" t="str">
        <f>HYPERLINK("https://scontent.cdninstagram.com/t51.2885-15/s320x320/e35/21149836_1965043606854036_6705981774981234688_n.jpg")</f>
        <v>https://scontent.cdninstagram.com/t51.2885-15/s320x320/e35/21149836_1965043606854036_6705981774981234688_n.jpg</v>
      </c>
      <c r="AE4046" s="249" t="str">
        <f>HYPERLINK("https://scontent.cdninstagram.com/t51.2885-19/s150x150/13549418_523897921146161_1512466849_a.jpg")</f>
        <v>https://scontent.cdninstagram.com/t51.2885-19/s150x150/13549418_523897921146161_1512466849_a.jpg</v>
      </c>
    </row>
    <row r="4047" spans="1:31" ht="15" x14ac:dyDescent="0.25">
      <c r="A4047" t="s">
        <v>2474</v>
      </c>
      <c r="B4047" t="s">
        <v>20602</v>
      </c>
      <c r="C4047" s="221">
        <v>42979.378923611112</v>
      </c>
      <c r="D4047" t="s">
        <v>22378</v>
      </c>
      <c r="E4047" s="249" t="str">
        <f>HYPERLINK("https://www.instagram.com/p/BYf9vXEnKmR/")</f>
        <v>https://www.instagram.com/p/BYf9vXEnKmR/</v>
      </c>
      <c r="F4047" t="s">
        <v>22379</v>
      </c>
      <c r="G4047" t="s">
        <v>2478</v>
      </c>
      <c r="H4047">
        <v>95</v>
      </c>
      <c r="I4047" t="s">
        <v>2542</v>
      </c>
      <c r="J4047">
        <v>0</v>
      </c>
      <c r="K4047">
        <v>27</v>
      </c>
      <c r="L4047">
        <v>27</v>
      </c>
      <c r="Q4047">
        <v>0</v>
      </c>
      <c r="R4047">
        <v>0</v>
      </c>
      <c r="S4047">
        <v>27</v>
      </c>
      <c r="Y4047" t="s">
        <v>22380</v>
      </c>
      <c r="Z4047" t="s">
        <v>21576</v>
      </c>
      <c r="AA4047" t="s">
        <v>2492</v>
      </c>
      <c r="AB4047" t="s">
        <v>20608</v>
      </c>
      <c r="AC4047" t="s">
        <v>20605</v>
      </c>
      <c r="AD4047" s="249" t="str">
        <f>HYPERLINK("https://scontent.cdninstagram.com/t51.2885-15/s320x320/e35/21294722_1275739305871407_4747801907223855104_n.jpg")</f>
        <v>https://scontent.cdninstagram.com/t51.2885-15/s320x320/e35/21294722_1275739305871407_4747801907223855104_n.jpg</v>
      </c>
      <c r="AE4047" s="249" t="str">
        <f>HYPERLINK("https://scontent.cdninstagram.com/t51.2885-19/s150x150/20347409_701425280047023_4469101509451186176_a.jpg")</f>
        <v>https://scontent.cdninstagram.com/t51.2885-19/s150x150/20347409_701425280047023_4469101509451186176_a.jpg</v>
      </c>
    </row>
    <row r="4048" spans="1:31" ht="15" x14ac:dyDescent="0.25">
      <c r="A4048" t="s">
        <v>2474</v>
      </c>
      <c r="B4048" t="s">
        <v>9087</v>
      </c>
      <c r="C4048" s="221">
        <v>42979.38652777778</v>
      </c>
      <c r="D4048" t="s">
        <v>22381</v>
      </c>
      <c r="E4048" s="249" t="str">
        <f>HYPERLINK("https://www.instagram.com/p/BYf-_lCFhyj/")</f>
        <v>https://www.instagram.com/p/BYf-_lCFhyj/</v>
      </c>
      <c r="F4048" t="s">
        <v>22382</v>
      </c>
      <c r="G4048" t="s">
        <v>2478</v>
      </c>
      <c r="H4048">
        <v>85</v>
      </c>
      <c r="I4048" t="s">
        <v>2903</v>
      </c>
      <c r="J4048">
        <v>0</v>
      </c>
      <c r="K4048">
        <v>6</v>
      </c>
      <c r="L4048">
        <v>6</v>
      </c>
      <c r="Q4048">
        <v>0</v>
      </c>
      <c r="R4048">
        <v>0</v>
      </c>
      <c r="S4048">
        <v>6</v>
      </c>
      <c r="Y4048" t="s">
        <v>22383</v>
      </c>
      <c r="Z4048" t="s">
        <v>22384</v>
      </c>
      <c r="AA4048" t="s">
        <v>9011</v>
      </c>
      <c r="AB4048" t="s">
        <v>22385</v>
      </c>
      <c r="AC4048" t="s">
        <v>22386</v>
      </c>
      <c r="AD4048" s="249" t="str">
        <f>HYPERLINK("https://scontent.cdninstagram.com/t51.2885-15/s320x320/e35/21224234_147811215808562_7686387319619715072_n.jpg")</f>
        <v>https://scontent.cdninstagram.com/t51.2885-15/s320x320/e35/21224234_147811215808562_7686387319619715072_n.jpg</v>
      </c>
      <c r="AE4048" s="249" t="str">
        <f>HYPERLINK("https://scontent.cdninstagram.com/t51.2885-19/s150x150/18812370_1311189488980282_3866534627367714816_a.jpg")</f>
        <v>https://scontent.cdninstagram.com/t51.2885-19/s150x150/18812370_1311189488980282_3866534627367714816_a.jpg</v>
      </c>
    </row>
    <row r="4049" spans="1:31" ht="15" x14ac:dyDescent="0.25">
      <c r="A4049" t="s">
        <v>2474</v>
      </c>
      <c r="B4049" t="s">
        <v>22387</v>
      </c>
      <c r="C4049" s="221">
        <v>42979.386770833335</v>
      </c>
      <c r="D4049" t="s">
        <v>22388</v>
      </c>
      <c r="E4049" s="249" t="str">
        <f>HYPERLINK("https://www.instagram.com/p/BYf_CHLADGa/")</f>
        <v>https://www.instagram.com/p/BYf_CHLADGa/</v>
      </c>
      <c r="F4049" t="s">
        <v>22389</v>
      </c>
      <c r="G4049" t="s">
        <v>2478</v>
      </c>
      <c r="H4049">
        <v>1043</v>
      </c>
      <c r="I4049" t="s">
        <v>3898</v>
      </c>
      <c r="J4049">
        <v>8</v>
      </c>
      <c r="K4049">
        <v>104</v>
      </c>
      <c r="L4049">
        <v>112</v>
      </c>
      <c r="Q4049">
        <v>0</v>
      </c>
      <c r="R4049">
        <v>0</v>
      </c>
      <c r="S4049">
        <v>112</v>
      </c>
      <c r="T4049" t="s">
        <v>22390</v>
      </c>
      <c r="V4049" t="s">
        <v>2177</v>
      </c>
      <c r="W4049">
        <v>-6.6202682717446004</v>
      </c>
      <c r="X4049">
        <v>106.86744306081</v>
      </c>
      <c r="Y4049" t="s">
        <v>22391</v>
      </c>
      <c r="Z4049" t="s">
        <v>22392</v>
      </c>
      <c r="AA4049" t="s">
        <v>3061</v>
      </c>
      <c r="AB4049" t="s">
        <v>18896</v>
      </c>
      <c r="AC4049" t="s">
        <v>3939</v>
      </c>
      <c r="AD4049" s="249" t="str">
        <f>HYPERLINK("https://scontent.cdninstagram.com/t51.2885-15/s320x320/e35/21294721_1888820624462215_2870379240086306816_n.jpg")</f>
        <v>https://scontent.cdninstagram.com/t51.2885-15/s320x320/e35/21294721_1888820624462215_2870379240086306816_n.jpg</v>
      </c>
      <c r="AE4049" s="249" t="str">
        <f>HYPERLINK("https://scontent.cdninstagram.com/t51.2885-19/s150x150/10808743_928297980546869_1236882484_a.jpg")</f>
        <v>https://scontent.cdninstagram.com/t51.2885-19/s150x150/10808743_928297980546869_1236882484_a.jpg</v>
      </c>
    </row>
    <row r="4050" spans="1:31" ht="15" x14ac:dyDescent="0.25">
      <c r="A4050" t="s">
        <v>2474</v>
      </c>
      <c r="B4050" t="s">
        <v>21602</v>
      </c>
      <c r="C4050" s="221">
        <v>42979.394166666665</v>
      </c>
      <c r="D4050" t="s">
        <v>22393</v>
      </c>
      <c r="E4050" s="249" t="str">
        <f>HYPERLINK("https://www.instagram.com/p/BYgAQC_AGaY/")</f>
        <v>https://www.instagram.com/p/BYgAQC_AGaY/</v>
      </c>
      <c r="F4050" t="s">
        <v>22394</v>
      </c>
      <c r="G4050" t="s">
        <v>2488</v>
      </c>
      <c r="H4050">
        <v>219</v>
      </c>
      <c r="I4050" t="s">
        <v>2479</v>
      </c>
      <c r="J4050">
        <v>2</v>
      </c>
      <c r="K4050">
        <v>35</v>
      </c>
      <c r="L4050">
        <v>37</v>
      </c>
      <c r="Q4050">
        <v>0</v>
      </c>
      <c r="R4050">
        <v>0</v>
      </c>
      <c r="S4050">
        <v>37</v>
      </c>
      <c r="T4050" t="s">
        <v>22395</v>
      </c>
      <c r="V4050" t="s">
        <v>2273</v>
      </c>
      <c r="W4050">
        <v>24.1629</v>
      </c>
      <c r="X4050">
        <v>120.64049</v>
      </c>
      <c r="Y4050" t="s">
        <v>22396</v>
      </c>
      <c r="Z4050" t="s">
        <v>2497</v>
      </c>
      <c r="AA4050" t="s">
        <v>22397</v>
      </c>
      <c r="AD4050" s="249" t="str">
        <f>HYPERLINK("https://scontent.cdninstagram.com/t51.2885-15/s320x320/e35/21227427_1434541923298097_228057467722924032_n.jpg")</f>
        <v>https://scontent.cdninstagram.com/t51.2885-15/s320x320/e35/21227427_1434541923298097_228057467722924032_n.jpg</v>
      </c>
      <c r="AE4050" s="249" t="str">
        <f>HYPERLINK("https://scontent.cdninstagram.com/t51.2885-19/s150x150/16230179_219358838468699_4703593602687696896_a.jpg")</f>
        <v>https://scontent.cdninstagram.com/t51.2885-19/s150x150/16230179_219358838468699_4703593602687696896_a.jpg</v>
      </c>
    </row>
    <row r="4051" spans="1:31" ht="15" x14ac:dyDescent="0.25">
      <c r="A4051" t="s">
        <v>2474</v>
      </c>
      <c r="B4051" t="s">
        <v>10736</v>
      </c>
      <c r="C4051" s="221">
        <v>42979.39434027778</v>
      </c>
      <c r="D4051" t="s">
        <v>22398</v>
      </c>
      <c r="E4051" s="249" t="str">
        <f>HYPERLINK("https://www.instagram.com/p/BYgAR7WA-7Z/")</f>
        <v>https://www.instagram.com/p/BYgAR7WA-7Z/</v>
      </c>
      <c r="F4051" t="s">
        <v>22399</v>
      </c>
      <c r="G4051" t="s">
        <v>2478</v>
      </c>
      <c r="H4051">
        <v>186</v>
      </c>
      <c r="I4051" t="s">
        <v>4523</v>
      </c>
      <c r="J4051">
        <v>0</v>
      </c>
      <c r="K4051">
        <v>9</v>
      </c>
      <c r="L4051">
        <v>9</v>
      </c>
      <c r="Q4051">
        <v>0</v>
      </c>
      <c r="R4051">
        <v>0</v>
      </c>
      <c r="S4051">
        <v>9</v>
      </c>
      <c r="Y4051" t="s">
        <v>2497</v>
      </c>
      <c r="Z4051" t="s">
        <v>10736</v>
      </c>
      <c r="AD4051" s="249" t="str">
        <f>HYPERLINK("https://scontent.cdninstagram.com/t51.2885-15/s320x320/e35/21224502_1775338722481120_8355604612304076800_n.jpg")</f>
        <v>https://scontent.cdninstagram.com/t51.2885-15/s320x320/e35/21224502_1775338722481120_8355604612304076800_n.jpg</v>
      </c>
      <c r="AE4051" s="249" t="str">
        <f>HYPERLINK("https://scontent.cdninstagram.com/t51.2885-19/s150x150/14099257_273302949721135_1868814294_a.jpg")</f>
        <v>https://scontent.cdninstagram.com/t51.2885-19/s150x150/14099257_273302949721135_1868814294_a.jpg</v>
      </c>
    </row>
    <row r="4052" spans="1:31" ht="15" x14ac:dyDescent="0.25">
      <c r="A4052" t="s">
        <v>2474</v>
      </c>
      <c r="B4052" t="s">
        <v>8749</v>
      </c>
      <c r="C4052" s="221">
        <v>42979.400659722225</v>
      </c>
      <c r="D4052" t="s">
        <v>22400</v>
      </c>
      <c r="E4052" s="249" t="str">
        <f>HYPERLINK("https://www.instagram.com/p/BYgBUiuFWw1/")</f>
        <v>https://www.instagram.com/p/BYgBUiuFWw1/</v>
      </c>
      <c r="F4052" t="s">
        <v>22401</v>
      </c>
      <c r="G4052" t="s">
        <v>2478</v>
      </c>
      <c r="H4052">
        <v>459</v>
      </c>
      <c r="I4052" t="s">
        <v>2479</v>
      </c>
      <c r="J4052">
        <v>1</v>
      </c>
      <c r="K4052">
        <v>25</v>
      </c>
      <c r="L4052">
        <v>26</v>
      </c>
      <c r="Q4052">
        <v>0</v>
      </c>
      <c r="R4052">
        <v>0</v>
      </c>
      <c r="S4052">
        <v>26</v>
      </c>
      <c r="Y4052" t="s">
        <v>4987</v>
      </c>
      <c r="Z4052" t="s">
        <v>2562</v>
      </c>
      <c r="AA4052" t="s">
        <v>18304</v>
      </c>
      <c r="AB4052" t="s">
        <v>2734</v>
      </c>
      <c r="AC4052" t="s">
        <v>2615</v>
      </c>
      <c r="AD4052" s="249" t="str">
        <f>HYPERLINK("https://scontent.cdninstagram.com/t51.2885-15/s320x320/e35/21296394_685102351681685_7418211004766486528_n.jpg")</f>
        <v>https://scontent.cdninstagram.com/t51.2885-15/s320x320/e35/21296394_685102351681685_7418211004766486528_n.jpg</v>
      </c>
      <c r="AE4052" s="249" t="str">
        <f>HYPERLINK("https://scontent.cdninstagram.com/t51.2885-19/s150x150/20838730_1717494841878513_2096832591872131072_a.jpg")</f>
        <v>https://scontent.cdninstagram.com/t51.2885-19/s150x150/20838730_1717494841878513_2096832591872131072_a.jpg</v>
      </c>
    </row>
    <row r="4053" spans="1:31" ht="15" x14ac:dyDescent="0.25">
      <c r="A4053" t="s">
        <v>2474</v>
      </c>
      <c r="B4053" t="s">
        <v>22402</v>
      </c>
      <c r="C4053" s="221">
        <v>42979.40079861111</v>
      </c>
      <c r="D4053" t="s">
        <v>22403</v>
      </c>
      <c r="E4053" s="249" t="str">
        <f>HYPERLINK("https://www.instagram.com/p/BYgBWBVlEH1/")</f>
        <v>https://www.instagram.com/p/BYgBWBVlEH1/</v>
      </c>
      <c r="F4053" t="s">
        <v>22404</v>
      </c>
      <c r="G4053" t="s">
        <v>2478</v>
      </c>
      <c r="H4053">
        <v>52</v>
      </c>
      <c r="I4053" t="s">
        <v>2542</v>
      </c>
      <c r="J4053">
        <v>0</v>
      </c>
      <c r="K4053">
        <v>6</v>
      </c>
      <c r="L4053">
        <v>6</v>
      </c>
      <c r="Q4053">
        <v>0</v>
      </c>
      <c r="R4053">
        <v>0</v>
      </c>
      <c r="S4053">
        <v>6</v>
      </c>
      <c r="Y4053" t="s">
        <v>3110</v>
      </c>
      <c r="Z4053" t="s">
        <v>2734</v>
      </c>
      <c r="AA4053" t="s">
        <v>2730</v>
      </c>
      <c r="AB4053" t="s">
        <v>3569</v>
      </c>
      <c r="AC4053" t="s">
        <v>4734</v>
      </c>
      <c r="AD4053" s="249" t="str">
        <f>HYPERLINK("https://scontent.cdninstagram.com/t51.2885-15/s320x320/e35/21294645_1577731832292624_8713727145882419200_n.jpg")</f>
        <v>https://scontent.cdninstagram.com/t51.2885-15/s320x320/e35/21294645_1577731832292624_8713727145882419200_n.jpg</v>
      </c>
      <c r="AE4053" s="249" t="str">
        <f>HYPERLINK("https://scontent.cdninstagram.com/t51.2885-19/s150x150/20969028_342234809548537_9157577926768590848_a.jpg")</f>
        <v>https://scontent.cdninstagram.com/t51.2885-19/s150x150/20969028_342234809548537_9157577926768590848_a.jpg</v>
      </c>
    </row>
    <row r="4054" spans="1:31" ht="15" x14ac:dyDescent="0.25">
      <c r="A4054" t="s">
        <v>2474</v>
      </c>
      <c r="B4054" t="s">
        <v>22405</v>
      </c>
      <c r="C4054" s="221">
        <v>42979.411249999997</v>
      </c>
      <c r="D4054" t="s">
        <v>22406</v>
      </c>
      <c r="E4054" s="249" t="str">
        <f>HYPERLINK("https://www.instagram.com/p/BYgDEUln_ux/")</f>
        <v>https://www.instagram.com/p/BYgDEUln_ux/</v>
      </c>
      <c r="F4054" t="s">
        <v>22407</v>
      </c>
      <c r="G4054" t="s">
        <v>2478</v>
      </c>
      <c r="H4054">
        <v>380</v>
      </c>
      <c r="I4054" t="s">
        <v>2479</v>
      </c>
      <c r="J4054">
        <v>2</v>
      </c>
      <c r="K4054">
        <v>25</v>
      </c>
      <c r="L4054">
        <v>27</v>
      </c>
      <c r="Q4054">
        <v>0</v>
      </c>
      <c r="R4054">
        <v>0</v>
      </c>
      <c r="S4054">
        <v>27</v>
      </c>
      <c r="Y4054" t="s">
        <v>11035</v>
      </c>
      <c r="Z4054" t="s">
        <v>22408</v>
      </c>
      <c r="AA4054" t="s">
        <v>22409</v>
      </c>
      <c r="AB4054" t="s">
        <v>22410</v>
      </c>
      <c r="AC4054" t="s">
        <v>22411</v>
      </c>
      <c r="AD4054" s="249" t="str">
        <f>HYPERLINK("https://scontent.cdninstagram.com/t51.2885-15/s320x320/e35/21224971_1607225662642443_7384811140049534976_n.jpg")</f>
        <v>https://scontent.cdninstagram.com/t51.2885-15/s320x320/e35/21224971_1607225662642443_7384811140049534976_n.jpg</v>
      </c>
      <c r="AE4054" s="249" t="str">
        <f>HYPERLINK("https://scontent.cdninstagram.com/t51.2885-19/s150x150/21041810_1213467055465331_6519230992018833408_a.jpg")</f>
        <v>https://scontent.cdninstagram.com/t51.2885-19/s150x150/21041810_1213467055465331_6519230992018833408_a.jpg</v>
      </c>
    </row>
    <row r="4055" spans="1:31" ht="15" x14ac:dyDescent="0.25">
      <c r="A4055" t="s">
        <v>2474</v>
      </c>
      <c r="B4055" t="s">
        <v>3895</v>
      </c>
      <c r="C4055" s="221">
        <v>42979.414224537039</v>
      </c>
      <c r="D4055" t="s">
        <v>22412</v>
      </c>
      <c r="E4055" s="249" t="str">
        <f>HYPERLINK("https://www.instagram.com/p/BYgDjoTFj17/")</f>
        <v>https://www.instagram.com/p/BYgDjoTFj17/</v>
      </c>
      <c r="F4055" t="s">
        <v>22413</v>
      </c>
      <c r="G4055" t="s">
        <v>2478</v>
      </c>
      <c r="H4055">
        <v>428</v>
      </c>
      <c r="I4055" t="s">
        <v>3186</v>
      </c>
      <c r="J4055">
        <v>0</v>
      </c>
      <c r="K4055">
        <v>101</v>
      </c>
      <c r="L4055">
        <v>101</v>
      </c>
      <c r="Q4055">
        <v>0</v>
      </c>
      <c r="R4055">
        <v>0</v>
      </c>
      <c r="S4055">
        <v>101</v>
      </c>
      <c r="Y4055" t="s">
        <v>3815</v>
      </c>
      <c r="Z4055" t="s">
        <v>16889</v>
      </c>
      <c r="AA4055" t="s">
        <v>2554</v>
      </c>
      <c r="AB4055" t="s">
        <v>11097</v>
      </c>
      <c r="AC4055" t="s">
        <v>3733</v>
      </c>
      <c r="AD4055" s="249" t="str">
        <f>HYPERLINK("https://scontent.cdninstagram.com/t51.2885-15/s320x320/e35/21227174_123802518270710_7287424122412335104_n.jpg")</f>
        <v>https://scontent.cdninstagram.com/t51.2885-15/s320x320/e35/21227174_123802518270710_7287424122412335104_n.jpg</v>
      </c>
      <c r="AE4055" s="249" t="str">
        <f>HYPERLINK("https://scontent.cdninstagram.com/t51.2885-19/s150x150/20902130_1390331654386412_4188068892897181696_a.jpg")</f>
        <v>https://scontent.cdninstagram.com/t51.2885-19/s150x150/20902130_1390331654386412_4188068892897181696_a.jpg</v>
      </c>
    </row>
    <row r="4056" spans="1:31" ht="15" x14ac:dyDescent="0.25">
      <c r="A4056" t="s">
        <v>2474</v>
      </c>
      <c r="B4056" t="s">
        <v>22414</v>
      </c>
      <c r="C4056" s="221">
        <v>42979.421018518522</v>
      </c>
      <c r="D4056" t="s">
        <v>22415</v>
      </c>
      <c r="E4056" s="249" t="str">
        <f>HYPERLINK("https://www.instagram.com/p/BYgErQnHH0u/")</f>
        <v>https://www.instagram.com/p/BYgErQnHH0u/</v>
      </c>
      <c r="F4056" t="s">
        <v>22416</v>
      </c>
      <c r="G4056" t="s">
        <v>2478</v>
      </c>
      <c r="H4056">
        <v>110</v>
      </c>
      <c r="I4056" t="s">
        <v>3575</v>
      </c>
      <c r="J4056">
        <v>1</v>
      </c>
      <c r="K4056">
        <v>6</v>
      </c>
      <c r="L4056">
        <v>7</v>
      </c>
      <c r="Q4056">
        <v>0</v>
      </c>
      <c r="R4056">
        <v>0</v>
      </c>
      <c r="S4056">
        <v>7</v>
      </c>
      <c r="Y4056" t="s">
        <v>2497</v>
      </c>
      <c r="Z4056" t="s">
        <v>22417</v>
      </c>
      <c r="AA4056" t="s">
        <v>16490</v>
      </c>
      <c r="AD4056" s="249" t="str">
        <f>HYPERLINK("https://scontent.cdninstagram.com/t51.2885-15/s320x320/e35/21107411_887603861393899_185868566615031808_n.jpg")</f>
        <v>https://scontent.cdninstagram.com/t51.2885-15/s320x320/e35/21107411_887603861393899_185868566615031808_n.jpg</v>
      </c>
      <c r="AE4056" s="249" t="str">
        <f>HYPERLINK("https://scontent.cdninstagram.com/t51.2885-19/11282114_835665893175672_1345736211_a.jpg")</f>
        <v>https://scontent.cdninstagram.com/t51.2885-19/11282114_835665893175672_1345736211_a.jpg</v>
      </c>
    </row>
    <row r="4057" spans="1:31" ht="15" x14ac:dyDescent="0.25">
      <c r="A4057" t="s">
        <v>2474</v>
      </c>
      <c r="B4057" t="s">
        <v>6899</v>
      </c>
      <c r="C4057" s="221">
        <v>42979.437986111108</v>
      </c>
      <c r="D4057" t="s">
        <v>22418</v>
      </c>
      <c r="E4057" s="249" t="str">
        <f>HYPERLINK("https://www.instagram.com/p/BYgHeNrA44S/")</f>
        <v>https://www.instagram.com/p/BYgHeNrA44S/</v>
      </c>
      <c r="F4057" t="s">
        <v>22419</v>
      </c>
      <c r="G4057" t="s">
        <v>2478</v>
      </c>
      <c r="H4057">
        <v>36349</v>
      </c>
      <c r="I4057" t="s">
        <v>2479</v>
      </c>
      <c r="J4057">
        <v>3</v>
      </c>
      <c r="K4057">
        <v>459</v>
      </c>
      <c r="L4057">
        <v>462</v>
      </c>
      <c r="Q4057">
        <v>0</v>
      </c>
      <c r="R4057">
        <v>0</v>
      </c>
      <c r="S4057">
        <v>462</v>
      </c>
      <c r="Y4057" t="s">
        <v>22420</v>
      </c>
      <c r="Z4057" t="s">
        <v>22421</v>
      </c>
      <c r="AA4057" t="s">
        <v>22422</v>
      </c>
      <c r="AB4057" t="s">
        <v>22423</v>
      </c>
      <c r="AC4057" t="s">
        <v>3293</v>
      </c>
      <c r="AD4057" s="249" t="str">
        <f>HYPERLINK("https://scontent.cdninstagram.com/t51.2885-15/s320x320/e35/21224886_1711704559134814_7011436980034600960_n.jpg")</f>
        <v>https://scontent.cdninstagram.com/t51.2885-15/s320x320/e35/21224886_1711704559134814_7011436980034600960_n.jpg</v>
      </c>
      <c r="AE4057" s="249" t="str">
        <f>HYPERLINK("https://scontent.cdninstagram.com/t51.2885-19/s150x150/17493776_1474371442636277_6993911971573661696_n.jpg")</f>
        <v>https://scontent.cdninstagram.com/t51.2885-19/s150x150/17493776_1474371442636277_6993911971573661696_n.jpg</v>
      </c>
    </row>
    <row r="4058" spans="1:31" ht="15" x14ac:dyDescent="0.25">
      <c r="A4058" t="s">
        <v>2474</v>
      </c>
      <c r="B4058" t="s">
        <v>11727</v>
      </c>
      <c r="C4058" s="221">
        <v>42979.444594907407</v>
      </c>
      <c r="D4058" t="s">
        <v>22424</v>
      </c>
      <c r="E4058" s="249" t="str">
        <f>HYPERLINK("https://www.instagram.com/p/BYgIj8ljmaE/")</f>
        <v>https://www.instagram.com/p/BYgIj8ljmaE/</v>
      </c>
      <c r="F4058" t="s">
        <v>22425</v>
      </c>
      <c r="G4058" t="s">
        <v>2631</v>
      </c>
      <c r="H4058">
        <v>1718</v>
      </c>
      <c r="I4058" t="s">
        <v>2479</v>
      </c>
      <c r="J4058">
        <v>2</v>
      </c>
      <c r="K4058">
        <v>247</v>
      </c>
      <c r="L4058">
        <v>249</v>
      </c>
      <c r="Q4058">
        <v>0</v>
      </c>
      <c r="R4058">
        <v>0</v>
      </c>
      <c r="S4058">
        <v>249</v>
      </c>
      <c r="Y4058" t="s">
        <v>22426</v>
      </c>
      <c r="Z4058" t="s">
        <v>22427</v>
      </c>
      <c r="AA4058" t="s">
        <v>22428</v>
      </c>
      <c r="AB4058" t="s">
        <v>22429</v>
      </c>
      <c r="AC4058" t="s">
        <v>3570</v>
      </c>
      <c r="AD4058" s="249" t="str">
        <f>HYPERLINK("https://scontent.cdninstagram.com/t51.2885-15/s320x320/e15/21149385_1452443731529891_7033472404236009472_n.jpg")</f>
        <v>https://scontent.cdninstagram.com/t51.2885-15/s320x320/e15/21149385_1452443731529891_7033472404236009472_n.jpg</v>
      </c>
      <c r="AE4058" s="249" t="str">
        <f>HYPERLINK("https://scontent.cdninstagram.com/t51.2885-19/s150x150/19121046_435535650173459_6799200389418713088_a.jpg")</f>
        <v>https://scontent.cdninstagram.com/t51.2885-19/s150x150/19121046_435535650173459_6799200389418713088_a.jpg</v>
      </c>
    </row>
    <row r="4059" spans="1:31" ht="15" x14ac:dyDescent="0.25">
      <c r="A4059" t="s">
        <v>2474</v>
      </c>
      <c r="B4059" t="s">
        <v>22430</v>
      </c>
      <c r="C4059" s="221">
        <v>42979.449814814812</v>
      </c>
      <c r="D4059" t="s">
        <v>22431</v>
      </c>
      <c r="E4059" s="249" t="str">
        <f>HYPERLINK("https://www.instagram.com/p/BYgJa_7AVnP/")</f>
        <v>https://www.instagram.com/p/BYgJa_7AVnP/</v>
      </c>
      <c r="F4059" t="s">
        <v>22432</v>
      </c>
      <c r="G4059" t="s">
        <v>2478</v>
      </c>
      <c r="H4059">
        <v>103</v>
      </c>
      <c r="I4059" t="s">
        <v>4935</v>
      </c>
      <c r="J4059">
        <v>0</v>
      </c>
      <c r="K4059">
        <v>17</v>
      </c>
      <c r="L4059">
        <v>17</v>
      </c>
      <c r="Q4059">
        <v>0</v>
      </c>
      <c r="R4059">
        <v>0</v>
      </c>
      <c r="S4059">
        <v>17</v>
      </c>
      <c r="T4059" t="s">
        <v>22433</v>
      </c>
      <c r="V4059" t="s">
        <v>2273</v>
      </c>
      <c r="W4059">
        <v>24.971963848807</v>
      </c>
      <c r="X4059">
        <v>121.49767739574</v>
      </c>
      <c r="Y4059" t="s">
        <v>2497</v>
      </c>
      <c r="Z4059" t="s">
        <v>4583</v>
      </c>
      <c r="AA4059" t="s">
        <v>20590</v>
      </c>
      <c r="AB4059" t="s">
        <v>22434</v>
      </c>
      <c r="AC4059" t="s">
        <v>2826</v>
      </c>
      <c r="AD4059" s="249" t="str">
        <f>HYPERLINK("https://scontent.cdninstagram.com/t51.2885-15/s320x320/e35/21149517_331439557321739_259031517731225600_n.jpg")</f>
        <v>https://scontent.cdninstagram.com/t51.2885-15/s320x320/e35/21149517_331439557321739_259031517731225600_n.jpg</v>
      </c>
      <c r="AE4059" s="249" t="str">
        <f>HYPERLINK("https://scontent.cdninstagram.com/t51.2885-19/11261392_1629629623993169_810612746_a.jpg")</f>
        <v>https://scontent.cdninstagram.com/t51.2885-19/11261392_1629629623993169_810612746_a.jpg</v>
      </c>
    </row>
    <row r="4060" spans="1:31" ht="15" x14ac:dyDescent="0.25">
      <c r="A4060" t="s">
        <v>2474</v>
      </c>
      <c r="B4060" t="s">
        <v>7152</v>
      </c>
      <c r="C4060" s="221">
        <v>42979.459629629629</v>
      </c>
      <c r="D4060" t="s">
        <v>22435</v>
      </c>
      <c r="E4060" s="249" t="str">
        <f>HYPERLINK("https://www.instagram.com/p/BYgLCfPDqkt/")</f>
        <v>https://www.instagram.com/p/BYgLCfPDqkt/</v>
      </c>
      <c r="F4060" t="s">
        <v>22436</v>
      </c>
      <c r="G4060" t="s">
        <v>2478</v>
      </c>
      <c r="H4060">
        <v>122</v>
      </c>
      <c r="I4060" t="s">
        <v>2479</v>
      </c>
      <c r="J4060">
        <v>1</v>
      </c>
      <c r="K4060">
        <v>16</v>
      </c>
      <c r="L4060">
        <v>17</v>
      </c>
      <c r="Q4060">
        <v>0</v>
      </c>
      <c r="R4060">
        <v>0</v>
      </c>
      <c r="S4060">
        <v>17</v>
      </c>
      <c r="Y4060" t="s">
        <v>5981</v>
      </c>
      <c r="Z4060" t="s">
        <v>4827</v>
      </c>
      <c r="AA4060" t="s">
        <v>6299</v>
      </c>
      <c r="AB4060" t="s">
        <v>2876</v>
      </c>
      <c r="AC4060" t="s">
        <v>22437</v>
      </c>
      <c r="AD4060" s="249" t="str">
        <f>HYPERLINK("https://scontent.cdninstagram.com/t51.2885-15/s320x320/e35/21227003_469825560051850_7859312559906619392_n.jpg")</f>
        <v>https://scontent.cdninstagram.com/t51.2885-15/s320x320/e35/21227003_469825560051850_7859312559906619392_n.jpg</v>
      </c>
      <c r="AE4060" s="249" t="str">
        <f>HYPERLINK("https://scontent.cdninstagram.com/t51.2885-19/s150x150/20181062_1791856511105718_4709893984703479808_a.jpg")</f>
        <v>https://scontent.cdninstagram.com/t51.2885-19/s150x150/20181062_1791856511105718_4709893984703479808_a.jpg</v>
      </c>
    </row>
    <row r="4061" spans="1:31" ht="15" x14ac:dyDescent="0.25">
      <c r="A4061" t="s">
        <v>2474</v>
      </c>
      <c r="B4061" t="s">
        <v>22438</v>
      </c>
      <c r="C4061" s="221">
        <v>42979.460011574076</v>
      </c>
      <c r="D4061" t="s">
        <v>22439</v>
      </c>
      <c r="E4061" s="249" t="str">
        <f>HYPERLINK("https://www.instagram.com/p/BYgLGhrloFI/")</f>
        <v>https://www.instagram.com/p/BYgLGhrloFI/</v>
      </c>
      <c r="F4061" t="s">
        <v>22440</v>
      </c>
      <c r="G4061" t="s">
        <v>2478</v>
      </c>
      <c r="H4061">
        <v>0</v>
      </c>
      <c r="I4061" t="s">
        <v>2479</v>
      </c>
      <c r="J4061">
        <v>0</v>
      </c>
      <c r="K4061">
        <v>1</v>
      </c>
      <c r="L4061">
        <v>1</v>
      </c>
      <c r="Q4061">
        <v>0</v>
      </c>
      <c r="R4061">
        <v>0</v>
      </c>
      <c r="S4061">
        <v>1</v>
      </c>
      <c r="Y4061" t="s">
        <v>22441</v>
      </c>
      <c r="Z4061" t="s">
        <v>2497</v>
      </c>
      <c r="AD4061" s="249" t="str">
        <f>HYPERLINK("https://scontent.cdninstagram.com/t51.2885-15/s320x320/e35/21227493_1077021682432605_1962258321457020928_n.jpg")</f>
        <v>https://scontent.cdninstagram.com/t51.2885-15/s320x320/e35/21227493_1077021682432605_1962258321457020928_n.jpg</v>
      </c>
      <c r="AE4061" s="249" t="str">
        <f>HYPERLINK("https://scontent.cdninstagram.com/t51.2885-19/s150x150/21148154_511771752548373_177898936969723904_a.jpg")</f>
        <v>https://scontent.cdninstagram.com/t51.2885-19/s150x150/21148154_511771752548373_177898936969723904_a.jpg</v>
      </c>
    </row>
    <row r="4062" spans="1:31" ht="15" x14ac:dyDescent="0.25">
      <c r="A4062" t="s">
        <v>2474</v>
      </c>
      <c r="B4062" t="s">
        <v>22442</v>
      </c>
      <c r="C4062" s="221">
        <v>42979.46770833333</v>
      </c>
      <c r="D4062" t="s">
        <v>22443</v>
      </c>
      <c r="E4062" s="249" t="str">
        <f>HYPERLINK("https://www.instagram.com/p/BYgMXscH2JT/")</f>
        <v>https://www.instagram.com/p/BYgMXscH2JT/</v>
      </c>
      <c r="F4062" t="s">
        <v>22444</v>
      </c>
      <c r="G4062" t="s">
        <v>2478</v>
      </c>
      <c r="H4062">
        <v>1598</v>
      </c>
      <c r="I4062" t="s">
        <v>2542</v>
      </c>
      <c r="J4062">
        <v>7</v>
      </c>
      <c r="K4062">
        <v>79</v>
      </c>
      <c r="L4062">
        <v>86</v>
      </c>
      <c r="Q4062">
        <v>0</v>
      </c>
      <c r="R4062">
        <v>0</v>
      </c>
      <c r="S4062">
        <v>86</v>
      </c>
      <c r="Y4062" t="s">
        <v>22445</v>
      </c>
      <c r="Z4062" t="s">
        <v>22446</v>
      </c>
      <c r="AA4062" t="s">
        <v>3110</v>
      </c>
      <c r="AB4062" t="s">
        <v>14607</v>
      </c>
      <c r="AC4062" t="s">
        <v>3323</v>
      </c>
      <c r="AD4062" s="249" t="str">
        <f>HYPERLINK("https://scontent.cdninstagram.com/t51.2885-15/s320x320/e35/21224185_355924731505975_1161984491191795712_n.jpg")</f>
        <v>https://scontent.cdninstagram.com/t51.2885-15/s320x320/e35/21224185_355924731505975_1161984491191795712_n.jpg</v>
      </c>
      <c r="AE4062" s="249" t="str">
        <f>HYPERLINK("https://scontent.cdninstagram.com/t51.2885-19/s150x150/20398860_106611633361783_7227523910047105024_a.jpg")</f>
        <v>https://scontent.cdninstagram.com/t51.2885-19/s150x150/20398860_106611633361783_7227523910047105024_a.jpg</v>
      </c>
    </row>
    <row r="4063" spans="1:31" ht="15" x14ac:dyDescent="0.25">
      <c r="A4063" t="s">
        <v>2474</v>
      </c>
      <c r="B4063" t="s">
        <v>3015</v>
      </c>
      <c r="C4063" s="221">
        <v>42979.478472222225</v>
      </c>
      <c r="D4063" t="s">
        <v>22447</v>
      </c>
      <c r="E4063" s="249" t="str">
        <f>HYPERLINK("https://www.instagram.com/p/BYgOJQjgcJp/")</f>
        <v>https://www.instagram.com/p/BYgOJQjgcJp/</v>
      </c>
      <c r="F4063" t="s">
        <v>22448</v>
      </c>
      <c r="G4063" t="s">
        <v>2478</v>
      </c>
      <c r="H4063">
        <v>252</v>
      </c>
      <c r="I4063" t="s">
        <v>2479</v>
      </c>
      <c r="J4063">
        <v>0</v>
      </c>
      <c r="K4063">
        <v>52</v>
      </c>
      <c r="L4063">
        <v>52</v>
      </c>
      <c r="Q4063">
        <v>0</v>
      </c>
      <c r="R4063">
        <v>0</v>
      </c>
      <c r="S4063">
        <v>52</v>
      </c>
      <c r="Y4063" t="s">
        <v>3856</v>
      </c>
      <c r="Z4063" t="s">
        <v>3021</v>
      </c>
      <c r="AA4063" t="s">
        <v>4128</v>
      </c>
      <c r="AB4063" t="s">
        <v>7275</v>
      </c>
      <c r="AC4063" t="s">
        <v>3020</v>
      </c>
      <c r="AD4063" s="249" t="str">
        <f>HYPERLINK("https://scontent.cdninstagram.com/t51.2885-15/s320x320/e35/21224544_857153651114734_2807715740252110848_n.jpg")</f>
        <v>https://scontent.cdninstagram.com/t51.2885-15/s320x320/e35/21224544_857153651114734_2807715740252110848_n.jpg</v>
      </c>
      <c r="AE4063" s="249" t="str">
        <f>HYPERLINK("https://scontent.cdninstagram.com/t51.2885-19/s150x150/21373025_723410537866046_6184601968204316672_a.jpg")</f>
        <v>https://scontent.cdninstagram.com/t51.2885-19/s150x150/21373025_723410537866046_6184601968204316672_a.jpg</v>
      </c>
    </row>
    <row r="4064" spans="1:31" ht="15" x14ac:dyDescent="0.25">
      <c r="A4064" t="s">
        <v>2474</v>
      </c>
      <c r="B4064" t="s">
        <v>5486</v>
      </c>
      <c r="C4064" s="221">
        <v>42979.484583333331</v>
      </c>
      <c r="D4064" t="s">
        <v>22449</v>
      </c>
      <c r="E4064" s="249" t="str">
        <f>HYPERLINK("https://www.instagram.com/p/BYgPJwhDuhs/")</f>
        <v>https://www.instagram.com/p/BYgPJwhDuhs/</v>
      </c>
      <c r="G4064" t="s">
        <v>2478</v>
      </c>
      <c r="H4064">
        <v>33794</v>
      </c>
      <c r="I4064" t="s">
        <v>2479</v>
      </c>
      <c r="J4064">
        <v>4</v>
      </c>
      <c r="K4064">
        <v>590</v>
      </c>
      <c r="L4064">
        <v>594</v>
      </c>
      <c r="Q4064">
        <v>0</v>
      </c>
      <c r="R4064">
        <v>0</v>
      </c>
      <c r="S4064">
        <v>594</v>
      </c>
      <c r="Y4064" t="s">
        <v>22450</v>
      </c>
      <c r="Z4064" t="s">
        <v>19336</v>
      </c>
      <c r="AA4064" t="s">
        <v>22451</v>
      </c>
      <c r="AB4064" t="s">
        <v>22452</v>
      </c>
      <c r="AC4064" t="s">
        <v>22453</v>
      </c>
      <c r="AD4064" s="249" t="str">
        <f>HYPERLINK("https://scontent.cdninstagram.com/t51.2885-15/e35/p320x320/21224661_678602725667979_4521105548996771840_n.jpg")</f>
        <v>https://scontent.cdninstagram.com/t51.2885-15/e35/p320x320/21224661_678602725667979_4521105548996771840_n.jpg</v>
      </c>
      <c r="AE4064" s="249" t="str">
        <f>HYPERLINK("https://scontent.cdninstagram.com/t51.2885-19/18096331_1858853611040874_8999714561263140864_n.jpg")</f>
        <v>https://scontent.cdninstagram.com/t51.2885-19/18096331_1858853611040874_8999714561263140864_n.jpg</v>
      </c>
    </row>
    <row r="4065" spans="1:31" ht="15" x14ac:dyDescent="0.25">
      <c r="A4065" t="s">
        <v>2474</v>
      </c>
      <c r="B4065" t="s">
        <v>3015</v>
      </c>
      <c r="C4065" s="221">
        <v>42979.485243055555</v>
      </c>
      <c r="D4065" t="s">
        <v>22454</v>
      </c>
      <c r="E4065" s="249" t="str">
        <f>HYPERLINK("https://www.instagram.com/p/BYgPQn8g2ng/")</f>
        <v>https://www.instagram.com/p/BYgPQn8g2ng/</v>
      </c>
      <c r="F4065" t="s">
        <v>22455</v>
      </c>
      <c r="G4065" t="s">
        <v>2478</v>
      </c>
      <c r="H4065">
        <v>252</v>
      </c>
      <c r="I4065" t="s">
        <v>2479</v>
      </c>
      <c r="J4065">
        <v>0</v>
      </c>
      <c r="K4065">
        <v>33</v>
      </c>
      <c r="L4065">
        <v>33</v>
      </c>
      <c r="Q4065">
        <v>0</v>
      </c>
      <c r="R4065">
        <v>0</v>
      </c>
      <c r="S4065">
        <v>33</v>
      </c>
      <c r="Y4065" t="s">
        <v>3856</v>
      </c>
      <c r="Z4065" t="s">
        <v>3021</v>
      </c>
      <c r="AA4065" t="s">
        <v>4128</v>
      </c>
      <c r="AB4065" t="s">
        <v>7275</v>
      </c>
      <c r="AC4065" t="s">
        <v>3020</v>
      </c>
      <c r="AD4065" s="249" t="str">
        <f>HYPERLINK("https://scontent.cdninstagram.com/t51.2885-15/s320x320/e35/21224953_1898726550387612_2534282119140605952_n.jpg")</f>
        <v>https://scontent.cdninstagram.com/t51.2885-15/s320x320/e35/21224953_1898726550387612_2534282119140605952_n.jpg</v>
      </c>
      <c r="AE4065" s="249" t="str">
        <f>HYPERLINK("https://scontent.cdninstagram.com/t51.2885-19/s150x150/21373025_723410537866046_6184601968204316672_a.jpg")</f>
        <v>https://scontent.cdninstagram.com/t51.2885-19/s150x150/21373025_723410537866046_6184601968204316672_a.jpg</v>
      </c>
    </row>
    <row r="4066" spans="1:31" ht="15" x14ac:dyDescent="0.25">
      <c r="A4066" t="s">
        <v>2474</v>
      </c>
      <c r="B4066" t="s">
        <v>22456</v>
      </c>
      <c r="C4066" s="221">
        <v>42979.485509259262</v>
      </c>
      <c r="D4066" t="s">
        <v>22457</v>
      </c>
      <c r="E4066" s="249" t="str">
        <f>HYPERLINK("https://www.instagram.com/p/BYgPTf5FFZa/")</f>
        <v>https://www.instagram.com/p/BYgPTf5FFZa/</v>
      </c>
      <c r="F4066" t="s">
        <v>22458</v>
      </c>
      <c r="G4066" t="s">
        <v>2478</v>
      </c>
      <c r="H4066">
        <v>322</v>
      </c>
      <c r="I4066" t="s">
        <v>2479</v>
      </c>
      <c r="J4066">
        <v>0</v>
      </c>
      <c r="K4066">
        <v>8</v>
      </c>
      <c r="L4066">
        <v>8</v>
      </c>
      <c r="Q4066">
        <v>0</v>
      </c>
      <c r="R4066">
        <v>0</v>
      </c>
      <c r="S4066">
        <v>8</v>
      </c>
      <c r="Y4066" t="s">
        <v>14117</v>
      </c>
      <c r="Z4066" t="s">
        <v>2497</v>
      </c>
      <c r="AA4066" t="s">
        <v>22459</v>
      </c>
      <c r="AD4066" s="249" t="str">
        <f>HYPERLINK("https://scontent.cdninstagram.com/t51.2885-15/s320x320/e35/21224211_129767807645713_3292750412783812608_n.jpg")</f>
        <v>https://scontent.cdninstagram.com/t51.2885-15/s320x320/e35/21224211_129767807645713_3292750412783812608_n.jpg</v>
      </c>
      <c r="AE4066" s="249" t="str">
        <f>HYPERLINK("https://scontent.cdninstagram.com/t51.2885-19/s150x150/20902185_846184992215644_474777616318988288_a.jpg")</f>
        <v>https://scontent.cdninstagram.com/t51.2885-19/s150x150/20902185_846184992215644_474777616318988288_a.jpg</v>
      </c>
    </row>
    <row r="4067" spans="1:31" ht="15" x14ac:dyDescent="0.25">
      <c r="A4067" t="s">
        <v>2474</v>
      </c>
      <c r="B4067" t="s">
        <v>22460</v>
      </c>
      <c r="C4067" s="221">
        <v>42979.486574074072</v>
      </c>
      <c r="D4067" t="s">
        <v>22461</v>
      </c>
      <c r="E4067" s="249" t="str">
        <f>HYPERLINK("https://www.instagram.com/p/BYgPewohFOH/")</f>
        <v>https://www.instagram.com/p/BYgPewohFOH/</v>
      </c>
      <c r="F4067" t="s">
        <v>22462</v>
      </c>
      <c r="G4067" t="s">
        <v>2478</v>
      </c>
      <c r="H4067">
        <v>315</v>
      </c>
      <c r="I4067" t="s">
        <v>2479</v>
      </c>
      <c r="J4067">
        <v>0</v>
      </c>
      <c r="K4067">
        <v>22</v>
      </c>
      <c r="L4067">
        <v>22</v>
      </c>
      <c r="Q4067">
        <v>0</v>
      </c>
      <c r="R4067">
        <v>0</v>
      </c>
      <c r="S4067">
        <v>22</v>
      </c>
      <c r="Y4067" t="s">
        <v>22463</v>
      </c>
      <c r="Z4067" t="s">
        <v>22464</v>
      </c>
      <c r="AA4067" t="s">
        <v>2524</v>
      </c>
      <c r="AB4067" t="s">
        <v>2562</v>
      </c>
      <c r="AC4067" t="s">
        <v>22465</v>
      </c>
      <c r="AD4067" s="249" t="str">
        <f>HYPERLINK("https://scontent.cdninstagram.com/t51.2885-15/s320x320/e35/21149112_1546558078700694_1327751326666326016_n.jpg")</f>
        <v>https://scontent.cdninstagram.com/t51.2885-15/s320x320/e35/21149112_1546558078700694_1327751326666326016_n.jpg</v>
      </c>
      <c r="AE4067" s="249" t="str">
        <f>HYPERLINK("https://scontent.cdninstagram.com/t51.2885-19/s150x150/14052164_1738751573045304_508617265_a.jpg")</f>
        <v>https://scontent.cdninstagram.com/t51.2885-19/s150x150/14052164_1738751573045304_508617265_a.jpg</v>
      </c>
    </row>
    <row r="4068" spans="1:31" ht="15" x14ac:dyDescent="0.25">
      <c r="A4068" t="s">
        <v>2474</v>
      </c>
      <c r="B4068" t="s">
        <v>22466</v>
      </c>
      <c r="C4068" s="221">
        <v>42979.488692129627</v>
      </c>
      <c r="D4068" t="s">
        <v>22467</v>
      </c>
      <c r="E4068" s="249" t="str">
        <f>HYPERLINK("https://www.instagram.com/p/BYgP0_xD9zJ/")</f>
        <v>https://www.instagram.com/p/BYgP0_xD9zJ/</v>
      </c>
      <c r="F4068" t="s">
        <v>22468</v>
      </c>
      <c r="G4068" t="s">
        <v>2478</v>
      </c>
      <c r="H4068">
        <v>580</v>
      </c>
      <c r="I4068" t="s">
        <v>4052</v>
      </c>
      <c r="J4068">
        <v>0</v>
      </c>
      <c r="K4068">
        <v>72</v>
      </c>
      <c r="L4068">
        <v>72</v>
      </c>
      <c r="Q4068">
        <v>0</v>
      </c>
      <c r="R4068">
        <v>0</v>
      </c>
      <c r="S4068">
        <v>72</v>
      </c>
      <c r="T4068" t="s">
        <v>22469</v>
      </c>
      <c r="V4068" t="s">
        <v>2276</v>
      </c>
      <c r="W4068">
        <v>16.4499712432</v>
      </c>
      <c r="X4068">
        <v>102.64153085300001</v>
      </c>
      <c r="Y4068" t="s">
        <v>14090</v>
      </c>
      <c r="Z4068" t="s">
        <v>22470</v>
      </c>
      <c r="AA4068" t="s">
        <v>22471</v>
      </c>
      <c r="AB4068" t="s">
        <v>22472</v>
      </c>
      <c r="AC4068" t="s">
        <v>22473</v>
      </c>
      <c r="AD4068" s="249" t="str">
        <f>HYPERLINK("https://scontent.cdninstagram.com/t51.2885-15/s320x320/e35/21149088_1502876046426411_7515953714415271936_n.jpg")</f>
        <v>https://scontent.cdninstagram.com/t51.2885-15/s320x320/e35/21149088_1502876046426411_7515953714415271936_n.jpg</v>
      </c>
      <c r="AE4068" s="249" t="str">
        <f>HYPERLINK("https://scontent.cdninstagram.com/t51.2885-19/s150x150/18444339_1716144565352733_7891535560634793984_a.jpg")</f>
        <v>https://scontent.cdninstagram.com/t51.2885-19/s150x150/18444339_1716144565352733_7891535560634793984_a.jpg</v>
      </c>
    </row>
    <row r="4069" spans="1:31" ht="15" x14ac:dyDescent="0.25">
      <c r="A4069" t="s">
        <v>2474</v>
      </c>
      <c r="B4069" t="s">
        <v>22474</v>
      </c>
      <c r="C4069" s="221">
        <v>42979.490497685183</v>
      </c>
      <c r="D4069" t="s">
        <v>22475</v>
      </c>
      <c r="E4069" s="249" t="str">
        <f>HYPERLINK("https://www.instagram.com/p/BYgQIEtDKta/")</f>
        <v>https://www.instagram.com/p/BYgQIEtDKta/</v>
      </c>
      <c r="F4069" t="s">
        <v>22476</v>
      </c>
      <c r="G4069" t="s">
        <v>2478</v>
      </c>
      <c r="H4069">
        <v>167</v>
      </c>
      <c r="I4069" t="s">
        <v>2542</v>
      </c>
      <c r="J4069">
        <v>1</v>
      </c>
      <c r="K4069">
        <v>13</v>
      </c>
      <c r="L4069">
        <v>14</v>
      </c>
      <c r="Q4069">
        <v>0</v>
      </c>
      <c r="R4069">
        <v>0</v>
      </c>
      <c r="S4069">
        <v>14</v>
      </c>
      <c r="Y4069" t="s">
        <v>22477</v>
      </c>
      <c r="Z4069" t="s">
        <v>2497</v>
      </c>
      <c r="AA4069" t="s">
        <v>2574</v>
      </c>
      <c r="AD4069" s="249" t="str">
        <f>HYPERLINK("https://scontent.cdninstagram.com/t51.2885-15/s320x320/e35/21227027_1626812357343725_715300844366462976_n.jpg")</f>
        <v>https://scontent.cdninstagram.com/t51.2885-15/s320x320/e35/21227027_1626812357343725_715300844366462976_n.jpg</v>
      </c>
      <c r="AE4069" s="249" t="str">
        <f>HYPERLINK("https://scontent.cdninstagram.com/t51.2885-19/s150x150/20214017_251789582001844_8799430890401824768_a.jpg")</f>
        <v>https://scontent.cdninstagram.com/t51.2885-19/s150x150/20214017_251789582001844_8799430890401824768_a.jpg</v>
      </c>
    </row>
    <row r="4070" spans="1:31" ht="15" x14ac:dyDescent="0.25">
      <c r="A4070" t="s">
        <v>2474</v>
      </c>
      <c r="B4070" t="s">
        <v>17365</v>
      </c>
      <c r="C4070" s="221">
        <v>42979.491469907407</v>
      </c>
      <c r="D4070" t="s">
        <v>22478</v>
      </c>
      <c r="E4070" s="249" t="str">
        <f>HYPERLINK("https://www.instagram.com/p/BYgQSYyD6L3/")</f>
        <v>https://www.instagram.com/p/BYgQSYyD6L3/</v>
      </c>
      <c r="F4070" t="s">
        <v>22479</v>
      </c>
      <c r="G4070" t="s">
        <v>2478</v>
      </c>
      <c r="H4070">
        <v>11</v>
      </c>
      <c r="I4070" t="s">
        <v>2479</v>
      </c>
      <c r="J4070">
        <v>0</v>
      </c>
      <c r="K4070">
        <v>1</v>
      </c>
      <c r="L4070">
        <v>1</v>
      </c>
      <c r="Q4070">
        <v>0</v>
      </c>
      <c r="R4070">
        <v>0</v>
      </c>
      <c r="S4070">
        <v>1</v>
      </c>
      <c r="Y4070" t="s">
        <v>2492</v>
      </c>
      <c r="Z4070" t="s">
        <v>22480</v>
      </c>
      <c r="AA4070" t="s">
        <v>22481</v>
      </c>
      <c r="AB4070" t="s">
        <v>2497</v>
      </c>
      <c r="AC4070" t="s">
        <v>2601</v>
      </c>
      <c r="AD4070" s="249" t="str">
        <f>HYPERLINK("https://scontent.cdninstagram.com/t51.2885-15/s320x320/e35/21224785_2197758447117244_2599546874507558912_n.jpg")</f>
        <v>https://scontent.cdninstagram.com/t51.2885-15/s320x320/e35/21224785_2197758447117244_2599546874507558912_n.jpg</v>
      </c>
      <c r="AE4070" s="249" t="str">
        <f>HYPERLINK("https://scontent.cdninstagram.com/t51.2885-19/s150x150/20766123_1988401371404106_652185870455013376_a.jpg")</f>
        <v>https://scontent.cdninstagram.com/t51.2885-19/s150x150/20766123_1988401371404106_652185870455013376_a.jpg</v>
      </c>
    </row>
    <row r="4071" spans="1:31" ht="15" x14ac:dyDescent="0.25">
      <c r="A4071" t="s">
        <v>2474</v>
      </c>
      <c r="B4071" t="s">
        <v>22482</v>
      </c>
      <c r="C4071" s="221">
        <v>42979.491481481484</v>
      </c>
      <c r="D4071" t="s">
        <v>22483</v>
      </c>
      <c r="E4071" s="249" t="str">
        <f>HYPERLINK("https://www.instagram.com/p/BYgQShjn2Ub/")</f>
        <v>https://www.instagram.com/p/BYgQShjn2Ub/</v>
      </c>
      <c r="F4071" t="s">
        <v>22484</v>
      </c>
      <c r="G4071" t="s">
        <v>2478</v>
      </c>
      <c r="H4071">
        <v>1525</v>
      </c>
      <c r="I4071" t="s">
        <v>2542</v>
      </c>
      <c r="J4071">
        <v>3</v>
      </c>
      <c r="K4071">
        <v>129</v>
      </c>
      <c r="L4071">
        <v>132</v>
      </c>
      <c r="Q4071">
        <v>0</v>
      </c>
      <c r="R4071">
        <v>0</v>
      </c>
      <c r="S4071">
        <v>132</v>
      </c>
      <c r="Y4071" t="s">
        <v>22485</v>
      </c>
      <c r="Z4071" t="s">
        <v>22486</v>
      </c>
      <c r="AA4071" t="s">
        <v>2497</v>
      </c>
      <c r="AB4071" t="s">
        <v>20373</v>
      </c>
      <c r="AC4071" t="s">
        <v>22487</v>
      </c>
      <c r="AD4071" s="249" t="str">
        <f>HYPERLINK("https://scontent.cdninstagram.com/t51.2885-15/e35/p320x320/21227619_466589920377887_7618038816388939776_n.jpg")</f>
        <v>https://scontent.cdninstagram.com/t51.2885-15/e35/p320x320/21227619_466589920377887_7618038816388939776_n.jpg</v>
      </c>
      <c r="AE4071" s="249" t="str">
        <f>HYPERLINK("https://scontent.cdninstagram.com/t51.2885-19/s150x150/19436392_1920520681559850_1899977236920926208_a.jpg")</f>
        <v>https://scontent.cdninstagram.com/t51.2885-19/s150x150/19436392_1920520681559850_1899977236920926208_a.jpg</v>
      </c>
    </row>
    <row r="4072" spans="1:31" ht="15" x14ac:dyDescent="0.25">
      <c r="A4072" t="s">
        <v>2474</v>
      </c>
      <c r="B4072" t="s">
        <v>8015</v>
      </c>
      <c r="C4072" s="221">
        <v>42979.496087962965</v>
      </c>
      <c r="D4072" t="s">
        <v>22488</v>
      </c>
      <c r="E4072" s="249" t="str">
        <f>HYPERLINK("https://www.instagram.com/p/BYgRDFyDy1k/")</f>
        <v>https://www.instagram.com/p/BYgRDFyDy1k/</v>
      </c>
      <c r="F4072" t="s">
        <v>22489</v>
      </c>
      <c r="G4072" t="s">
        <v>2478</v>
      </c>
      <c r="H4072">
        <v>400</v>
      </c>
      <c r="I4072" t="s">
        <v>2479</v>
      </c>
      <c r="J4072">
        <v>3</v>
      </c>
      <c r="K4072">
        <v>89</v>
      </c>
      <c r="L4072">
        <v>92</v>
      </c>
      <c r="Q4072">
        <v>0</v>
      </c>
      <c r="R4072">
        <v>0</v>
      </c>
      <c r="S4072">
        <v>92</v>
      </c>
      <c r="T4072" t="s">
        <v>22490</v>
      </c>
      <c r="V4072" t="s">
        <v>2264</v>
      </c>
      <c r="W4072">
        <v>40.516480638017001</v>
      </c>
      <c r="X4072">
        <v>-3.6158307826485001</v>
      </c>
      <c r="Y4072" t="s">
        <v>2497</v>
      </c>
      <c r="Z4072" t="s">
        <v>4827</v>
      </c>
      <c r="AA4072" t="s">
        <v>22491</v>
      </c>
      <c r="AB4072" t="s">
        <v>22492</v>
      </c>
      <c r="AC4072" t="s">
        <v>22493</v>
      </c>
      <c r="AD4072" s="249" t="str">
        <f>HYPERLINK("https://scontent.cdninstagram.com/t51.2885-15/e35/p320x320/21149231_119344388726730_4135025492740800512_n.jpg")</f>
        <v>https://scontent.cdninstagram.com/t51.2885-15/e35/p320x320/21149231_119344388726730_4135025492740800512_n.jpg</v>
      </c>
      <c r="AE4072" s="249" t="str">
        <f>HYPERLINK("https://scontent.cdninstagram.com/t51.2885-19/10725092_1500831486834757_1059755663_a.jpg")</f>
        <v>https://scontent.cdninstagram.com/t51.2885-19/10725092_1500831486834757_1059755663_a.jpg</v>
      </c>
    </row>
    <row r="4073" spans="1:31" ht="15" x14ac:dyDescent="0.25">
      <c r="A4073" t="s">
        <v>2474</v>
      </c>
      <c r="B4073" t="s">
        <v>22494</v>
      </c>
      <c r="C4073" s="221">
        <v>42979.497418981482</v>
      </c>
      <c r="D4073" t="s">
        <v>22495</v>
      </c>
      <c r="E4073" s="249" t="str">
        <f>HYPERLINK("https://www.instagram.com/p/BYgRRGjD0Sd/")</f>
        <v>https://www.instagram.com/p/BYgRRGjD0Sd/</v>
      </c>
      <c r="F4073" t="s">
        <v>22496</v>
      </c>
      <c r="G4073" t="s">
        <v>2478</v>
      </c>
      <c r="H4073">
        <v>655</v>
      </c>
      <c r="I4073" t="s">
        <v>2582</v>
      </c>
      <c r="J4073">
        <v>0</v>
      </c>
      <c r="K4073">
        <v>59</v>
      </c>
      <c r="L4073">
        <v>59</v>
      </c>
      <c r="Q4073">
        <v>0</v>
      </c>
      <c r="R4073">
        <v>0</v>
      </c>
      <c r="S4073">
        <v>59</v>
      </c>
      <c r="T4073" t="s">
        <v>22497</v>
      </c>
      <c r="V4073" t="s">
        <v>2240</v>
      </c>
      <c r="W4073">
        <v>41.15</v>
      </c>
      <c r="X4073">
        <v>-8.61</v>
      </c>
      <c r="Y4073" t="s">
        <v>20937</v>
      </c>
      <c r="Z4073" t="s">
        <v>22498</v>
      </c>
      <c r="AA4073" t="s">
        <v>2577</v>
      </c>
      <c r="AB4073" t="s">
        <v>22499</v>
      </c>
      <c r="AC4073" t="s">
        <v>7601</v>
      </c>
      <c r="AD4073" s="249" t="str">
        <f>HYPERLINK("https://scontent.cdninstagram.com/t51.2885-15/s320x320/e35/21149507_475013022881123_4828904874185850880_n.jpg")</f>
        <v>https://scontent.cdninstagram.com/t51.2885-15/s320x320/e35/21149507_475013022881123_4828904874185850880_n.jpg</v>
      </c>
      <c r="AE4073" s="249" t="str">
        <f>HYPERLINK("https://scontent.cdninstagram.com/t51.2885-19/s150x150/13768281_256286721430689_1410041769_a.jpg")</f>
        <v>https://scontent.cdninstagram.com/t51.2885-19/s150x150/13768281_256286721430689_1410041769_a.jpg</v>
      </c>
    </row>
    <row r="4074" spans="1:31" ht="15" x14ac:dyDescent="0.25">
      <c r="A4074" t="s">
        <v>2474</v>
      </c>
      <c r="B4074" t="s">
        <v>22500</v>
      </c>
      <c r="C4074" s="221">
        <v>42979.501574074071</v>
      </c>
      <c r="D4074" t="s">
        <v>22501</v>
      </c>
      <c r="E4074" s="249" t="str">
        <f>HYPERLINK("https://www.instagram.com/p/BYgR87GjUNe/")</f>
        <v>https://www.instagram.com/p/BYgR87GjUNe/</v>
      </c>
      <c r="F4074" t="s">
        <v>22502</v>
      </c>
      <c r="G4074" t="s">
        <v>2478</v>
      </c>
      <c r="H4074">
        <v>182</v>
      </c>
      <c r="I4074" t="s">
        <v>2479</v>
      </c>
      <c r="J4074">
        <v>0</v>
      </c>
      <c r="K4074">
        <v>21</v>
      </c>
      <c r="L4074">
        <v>21</v>
      </c>
      <c r="Q4074">
        <v>0</v>
      </c>
      <c r="R4074">
        <v>0</v>
      </c>
      <c r="S4074">
        <v>21</v>
      </c>
      <c r="Y4074" t="s">
        <v>4808</v>
      </c>
      <c r="Z4074" t="s">
        <v>2497</v>
      </c>
      <c r="AA4074" t="s">
        <v>6663</v>
      </c>
      <c r="AB4074" t="s">
        <v>2730</v>
      </c>
      <c r="AC4074" t="s">
        <v>3174</v>
      </c>
      <c r="AD4074" s="249" t="str">
        <f>HYPERLINK("https://scontent.cdninstagram.com/t51.2885-15/e35/p320x320/21224433_1471952646222600_6115955961178882048_n.jpg")</f>
        <v>https://scontent.cdninstagram.com/t51.2885-15/e35/p320x320/21224433_1471952646222600_6115955961178882048_n.jpg</v>
      </c>
      <c r="AE4074" s="249" t="str">
        <f>HYPERLINK("https://scontent.cdninstagram.com/t51.2885-19/s150x150/20905644_498977707127036_2272159650885402624_a.jpg")</f>
        <v>https://scontent.cdninstagram.com/t51.2885-19/s150x150/20905644_498977707127036_2272159650885402624_a.jpg</v>
      </c>
    </row>
    <row r="4075" spans="1:31" ht="15" x14ac:dyDescent="0.25">
      <c r="A4075" t="s">
        <v>2474</v>
      </c>
      <c r="B4075" t="s">
        <v>7421</v>
      </c>
      <c r="C4075" s="221">
        <v>42979.503391203703</v>
      </c>
      <c r="D4075" t="s">
        <v>22503</v>
      </c>
      <c r="E4075" s="249" t="str">
        <f>HYPERLINK("https://www.instagram.com/p/BYgSQGNHWbL/")</f>
        <v>https://www.instagram.com/p/BYgSQGNHWbL/</v>
      </c>
      <c r="F4075" t="s">
        <v>22504</v>
      </c>
      <c r="G4075" t="s">
        <v>2478</v>
      </c>
      <c r="H4075">
        <v>513</v>
      </c>
      <c r="I4075" t="s">
        <v>4052</v>
      </c>
      <c r="J4075">
        <v>1</v>
      </c>
      <c r="K4075">
        <v>91</v>
      </c>
      <c r="L4075">
        <v>92</v>
      </c>
      <c r="Q4075">
        <v>0</v>
      </c>
      <c r="R4075">
        <v>0</v>
      </c>
      <c r="S4075">
        <v>92</v>
      </c>
      <c r="T4075" t="s">
        <v>7424</v>
      </c>
      <c r="V4075" t="s">
        <v>2270</v>
      </c>
      <c r="W4075">
        <v>59.616700000000002</v>
      </c>
      <c r="X4075">
        <v>16.55</v>
      </c>
      <c r="Y4075" t="s">
        <v>7773</v>
      </c>
      <c r="Z4075" t="s">
        <v>22505</v>
      </c>
      <c r="AA4075" t="s">
        <v>3349</v>
      </c>
      <c r="AB4075" t="s">
        <v>20365</v>
      </c>
      <c r="AC4075" t="s">
        <v>20364</v>
      </c>
      <c r="AD4075" s="249" t="str">
        <f>HYPERLINK("https://scontent.cdninstagram.com/t51.2885-15/s320x320/e35/21225032_1925541504369648_4825963139415670784_n.jpg")</f>
        <v>https://scontent.cdninstagram.com/t51.2885-15/s320x320/e35/21225032_1925541504369648_4825963139415670784_n.jpg</v>
      </c>
      <c r="AE4075" s="249" t="str">
        <f>HYPERLINK("https://scontent.cdninstagram.com/t51.2885-19/s150x150/21149381_111820502847444_8601511457303035904_a.jpg")</f>
        <v>https://scontent.cdninstagram.com/t51.2885-19/s150x150/21149381_111820502847444_8601511457303035904_a.jpg</v>
      </c>
    </row>
    <row r="4076" spans="1:31" ht="15" x14ac:dyDescent="0.25">
      <c r="A4076" t="s">
        <v>2474</v>
      </c>
      <c r="B4076" t="s">
        <v>3644</v>
      </c>
      <c r="C4076" s="221">
        <v>42979.504421296297</v>
      </c>
      <c r="D4076" t="s">
        <v>22506</v>
      </c>
      <c r="E4076" s="249" t="str">
        <f>HYPERLINK("https://www.instagram.com/p/BYgSa-Bl24w/")</f>
        <v>https://www.instagram.com/p/BYgSa-Bl24w/</v>
      </c>
      <c r="F4076" t="s">
        <v>22507</v>
      </c>
      <c r="G4076" t="s">
        <v>2631</v>
      </c>
      <c r="H4076">
        <v>582</v>
      </c>
      <c r="I4076" t="s">
        <v>2479</v>
      </c>
      <c r="J4076">
        <v>3</v>
      </c>
      <c r="K4076">
        <v>64</v>
      </c>
      <c r="L4076">
        <v>67</v>
      </c>
      <c r="Q4076">
        <v>0</v>
      </c>
      <c r="R4076">
        <v>0</v>
      </c>
      <c r="S4076">
        <v>67</v>
      </c>
      <c r="T4076" t="s">
        <v>9465</v>
      </c>
      <c r="V4076" t="s">
        <v>2141</v>
      </c>
      <c r="W4076">
        <v>55.4</v>
      </c>
      <c r="X4076">
        <v>10.3833</v>
      </c>
      <c r="Y4076" t="s">
        <v>6994</v>
      </c>
      <c r="Z4076" t="s">
        <v>3061</v>
      </c>
      <c r="AA4076" t="s">
        <v>5867</v>
      </c>
      <c r="AB4076" t="s">
        <v>6992</v>
      </c>
      <c r="AC4076" t="s">
        <v>5865</v>
      </c>
      <c r="AD4076" s="249" t="str">
        <f>HYPERLINK("https://scontent.cdninstagram.com/t51.2885-15/s320x320/e15/21294719_272717536559018_95851420799991808_n.jpg")</f>
        <v>https://scontent.cdninstagram.com/t51.2885-15/s320x320/e15/21294719_272717536559018_95851420799991808_n.jpg</v>
      </c>
      <c r="AE4076" s="249" t="str">
        <f>HYPERLINK("https://scontent.cdninstagram.com/t51.2885-19/s150x150/14714495_1790450111234953_7147855754219749376_a.jpg")</f>
        <v>https://scontent.cdninstagram.com/t51.2885-19/s150x150/14714495_1790450111234953_7147855754219749376_a.jpg</v>
      </c>
    </row>
    <row r="4077" spans="1:31" ht="15" x14ac:dyDescent="0.25">
      <c r="A4077" t="s">
        <v>2474</v>
      </c>
      <c r="B4077" t="s">
        <v>2863</v>
      </c>
      <c r="C4077" s="221">
        <v>42979.512523148151</v>
      </c>
      <c r="D4077" t="s">
        <v>22508</v>
      </c>
      <c r="E4077" s="249" t="str">
        <f>HYPERLINK("https://www.instagram.com/p/BYgTwWkFw-A/")</f>
        <v>https://www.instagram.com/p/BYgTwWkFw-A/</v>
      </c>
      <c r="F4077" t="s">
        <v>22509</v>
      </c>
      <c r="G4077" t="s">
        <v>2478</v>
      </c>
      <c r="H4077">
        <v>72</v>
      </c>
      <c r="I4077" t="s">
        <v>2479</v>
      </c>
      <c r="J4077">
        <v>4</v>
      </c>
      <c r="K4077">
        <v>90</v>
      </c>
      <c r="L4077">
        <v>94</v>
      </c>
      <c r="Q4077">
        <v>0</v>
      </c>
      <c r="R4077">
        <v>0</v>
      </c>
      <c r="S4077">
        <v>94</v>
      </c>
      <c r="Y4077" t="s">
        <v>22276</v>
      </c>
      <c r="Z4077" t="s">
        <v>2492</v>
      </c>
      <c r="AA4077" t="s">
        <v>2949</v>
      </c>
      <c r="AB4077" t="s">
        <v>2868</v>
      </c>
      <c r="AC4077" t="s">
        <v>18135</v>
      </c>
      <c r="AD4077" s="249" t="str">
        <f>HYPERLINK("https://scontent.cdninstagram.com/t51.2885-15/s320x320/e35/21149708_104346890259589_7383846898416746496_n.jpg")</f>
        <v>https://scontent.cdninstagram.com/t51.2885-15/s320x320/e35/21149708_104346890259589_7383846898416746496_n.jpg</v>
      </c>
      <c r="AE4077" s="249" t="str">
        <f>HYPERLINK("https://scontent.cdninstagram.com/t51.2885-19/s150x150/19955745_1435072766568917_8173761520967090176_a.jpg")</f>
        <v>https://scontent.cdninstagram.com/t51.2885-19/s150x150/19955745_1435072766568917_8173761520967090176_a.jpg</v>
      </c>
    </row>
    <row r="4078" spans="1:31" ht="15" x14ac:dyDescent="0.25">
      <c r="A4078" t="s">
        <v>2474</v>
      </c>
      <c r="B4078" t="s">
        <v>22510</v>
      </c>
      <c r="C4078" s="221">
        <v>42979.516423611109</v>
      </c>
      <c r="D4078" t="s">
        <v>22511</v>
      </c>
      <c r="E4078" s="249" t="str">
        <f>HYPERLINK("https://www.instagram.com/p/BYgUZefBNKx/")</f>
        <v>https://www.instagram.com/p/BYgUZefBNKx/</v>
      </c>
      <c r="F4078" t="s">
        <v>22512</v>
      </c>
      <c r="G4078" t="s">
        <v>2478</v>
      </c>
      <c r="I4078" t="s">
        <v>2479</v>
      </c>
      <c r="J4078">
        <v>5</v>
      </c>
      <c r="K4078">
        <v>12</v>
      </c>
      <c r="L4078">
        <v>17</v>
      </c>
      <c r="Q4078">
        <v>0</v>
      </c>
      <c r="R4078">
        <v>0</v>
      </c>
      <c r="S4078">
        <v>17</v>
      </c>
      <c r="T4078" t="s">
        <v>22513</v>
      </c>
      <c r="V4078" t="s">
        <v>2271</v>
      </c>
      <c r="W4078">
        <v>47.05</v>
      </c>
      <c r="X4078">
        <v>8.31</v>
      </c>
      <c r="Y4078" t="s">
        <v>22514</v>
      </c>
      <c r="Z4078" t="s">
        <v>22515</v>
      </c>
      <c r="AA4078" t="s">
        <v>5047</v>
      </c>
      <c r="AB4078" t="s">
        <v>22516</v>
      </c>
      <c r="AC4078" t="s">
        <v>22517</v>
      </c>
      <c r="AD4078" s="249" t="str">
        <f>HYPERLINK("https://scontent.cdninstagram.com/t51.2885-15/s320x320/e35/21224574_519131978422958_2019851724067438592_n.jpg")</f>
        <v>https://scontent.cdninstagram.com/t51.2885-15/s320x320/e35/21224574_519131978422958_2019851724067438592_n.jpg</v>
      </c>
      <c r="AE4078" s="249" t="str">
        <f>HYPERLINK("https://scontent.cdninstagram.com/t51.2885-19/s150x150/20214477_348202248952600_6737346108667723776_a.jpg")</f>
        <v>https://scontent.cdninstagram.com/t51.2885-19/s150x150/20214477_348202248952600_6737346108667723776_a.jpg</v>
      </c>
    </row>
    <row r="4079" spans="1:31" ht="15" x14ac:dyDescent="0.25">
      <c r="A4079" t="s">
        <v>2474</v>
      </c>
      <c r="B4079" t="s">
        <v>22518</v>
      </c>
      <c r="C4079" s="221">
        <v>42979.517129629632</v>
      </c>
      <c r="D4079" t="s">
        <v>22519</v>
      </c>
      <c r="E4079" s="249" t="str">
        <f>HYPERLINK("https://www.instagram.com/p/BYgUg7oHfe3/")</f>
        <v>https://www.instagram.com/p/BYgUg7oHfe3/</v>
      </c>
      <c r="F4079" t="s">
        <v>22520</v>
      </c>
      <c r="G4079" t="s">
        <v>2478</v>
      </c>
      <c r="H4079">
        <v>237</v>
      </c>
      <c r="I4079" t="s">
        <v>2542</v>
      </c>
      <c r="J4079">
        <v>2</v>
      </c>
      <c r="K4079">
        <v>52</v>
      </c>
      <c r="L4079">
        <v>54</v>
      </c>
      <c r="Q4079">
        <v>0</v>
      </c>
      <c r="R4079">
        <v>0</v>
      </c>
      <c r="S4079">
        <v>54</v>
      </c>
      <c r="Y4079" t="s">
        <v>22521</v>
      </c>
      <c r="Z4079" t="s">
        <v>22522</v>
      </c>
      <c r="AA4079" t="s">
        <v>9073</v>
      </c>
      <c r="AB4079" t="s">
        <v>12910</v>
      </c>
      <c r="AC4079" t="s">
        <v>22523</v>
      </c>
      <c r="AD4079" s="249" t="str">
        <f>HYPERLINK("https://scontent.cdninstagram.com/t51.2885-15/s320x320/e35/21227457_1778566055770389_7735640849224040448_n.jpg")</f>
        <v>https://scontent.cdninstagram.com/t51.2885-15/s320x320/e35/21227457_1778566055770389_7735640849224040448_n.jpg</v>
      </c>
      <c r="AE4079" s="249" t="str">
        <f>HYPERLINK("https://scontent.cdninstagram.com/t51.2885-19/s150x150/20398181_119617902007896_1623972721400479744_a.jpg")</f>
        <v>https://scontent.cdninstagram.com/t51.2885-19/s150x150/20398181_119617902007896_1623972721400479744_a.jpg</v>
      </c>
    </row>
    <row r="4080" spans="1:31" ht="15" x14ac:dyDescent="0.25">
      <c r="A4080" t="s">
        <v>2474</v>
      </c>
      <c r="B4080" t="s">
        <v>22524</v>
      </c>
      <c r="C4080" s="221">
        <v>42979.517164351855</v>
      </c>
      <c r="D4080" t="s">
        <v>22525</v>
      </c>
      <c r="E4080" s="249" t="str">
        <f>HYPERLINK("https://www.instagram.com/p/BYgUhVmBpR-/")</f>
        <v>https://www.instagram.com/p/BYgUhVmBpR-/</v>
      </c>
      <c r="F4080" t="s">
        <v>22526</v>
      </c>
      <c r="G4080" t="s">
        <v>2478</v>
      </c>
      <c r="H4080">
        <v>839</v>
      </c>
      <c r="I4080" t="s">
        <v>2479</v>
      </c>
      <c r="J4080">
        <v>2</v>
      </c>
      <c r="K4080">
        <v>65</v>
      </c>
      <c r="L4080">
        <v>67</v>
      </c>
      <c r="Q4080">
        <v>0</v>
      </c>
      <c r="R4080">
        <v>0</v>
      </c>
      <c r="S4080">
        <v>67</v>
      </c>
      <c r="Y4080" t="s">
        <v>11186</v>
      </c>
      <c r="Z4080" t="s">
        <v>22527</v>
      </c>
      <c r="AA4080" t="s">
        <v>10326</v>
      </c>
      <c r="AB4080" t="s">
        <v>12251</v>
      </c>
      <c r="AC4080" t="s">
        <v>2866</v>
      </c>
      <c r="AD4080" s="249" t="str">
        <f>HYPERLINK("https://scontent.cdninstagram.com/t51.2885-15/s320x320/e35/21296112_159084238003324_5495824990727045120_n.jpg")</f>
        <v>https://scontent.cdninstagram.com/t51.2885-15/s320x320/e35/21296112_159084238003324_5495824990727045120_n.jpg</v>
      </c>
      <c r="AE4080" s="249" t="str">
        <f>HYPERLINK("https://scontent.cdninstagram.com/t51.2885-19/s150x150/17881267_217208862097010_1507335054752219136_a.jpg")</f>
        <v>https://scontent.cdninstagram.com/t51.2885-19/s150x150/17881267_217208862097010_1507335054752219136_a.jpg</v>
      </c>
    </row>
    <row r="4081" spans="1:31" ht="15" x14ac:dyDescent="0.25">
      <c r="A4081" t="s">
        <v>2474</v>
      </c>
      <c r="B4081" t="s">
        <v>22528</v>
      </c>
      <c r="C4081" s="221">
        <v>42979.518206018518</v>
      </c>
      <c r="D4081" t="s">
        <v>22529</v>
      </c>
      <c r="E4081" s="249" t="str">
        <f>HYPERLINK("https://www.instagram.com/p/BYgUsWJFFtw/")</f>
        <v>https://www.instagram.com/p/BYgUsWJFFtw/</v>
      </c>
      <c r="F4081" t="s">
        <v>22530</v>
      </c>
      <c r="G4081" t="s">
        <v>2478</v>
      </c>
      <c r="H4081">
        <v>110</v>
      </c>
      <c r="I4081" t="s">
        <v>2479</v>
      </c>
      <c r="J4081">
        <v>0</v>
      </c>
      <c r="K4081">
        <v>4</v>
      </c>
      <c r="L4081">
        <v>4</v>
      </c>
      <c r="Q4081">
        <v>0</v>
      </c>
      <c r="R4081">
        <v>0</v>
      </c>
      <c r="S4081">
        <v>4</v>
      </c>
      <c r="Y4081" t="s">
        <v>22531</v>
      </c>
      <c r="Z4081" t="s">
        <v>2497</v>
      </c>
      <c r="AA4081" t="s">
        <v>22532</v>
      </c>
      <c r="AB4081" t="s">
        <v>3225</v>
      </c>
      <c r="AC4081" t="s">
        <v>22533</v>
      </c>
      <c r="AD4081" s="249" t="str">
        <f>HYPERLINK("https://scontent.cdninstagram.com/t51.2885-15/s320x320/e35/21227036_350143505428967_5072961709266698240_n.jpg")</f>
        <v>https://scontent.cdninstagram.com/t51.2885-15/s320x320/e35/21227036_350143505428967_5072961709266698240_n.jpg</v>
      </c>
      <c r="AE4081" s="249" t="str">
        <f>HYPERLINK("https://scontent.cdninstagram.com/t51.2885-19/s150x150/20759154_324377901336377_6174812500786151424_a.jpg")</f>
        <v>https://scontent.cdninstagram.com/t51.2885-19/s150x150/20759154_324377901336377_6174812500786151424_a.jpg</v>
      </c>
    </row>
    <row r="4082" spans="1:31" ht="15" x14ac:dyDescent="0.25">
      <c r="A4082" t="s">
        <v>2474</v>
      </c>
      <c r="B4082" t="s">
        <v>2700</v>
      </c>
      <c r="C4082" s="221">
        <v>42979.523055555554</v>
      </c>
      <c r="D4082" t="s">
        <v>22534</v>
      </c>
      <c r="E4082" s="249" t="str">
        <f>HYPERLINK("https://www.instagram.com/p/BYgVfeABUXi/")</f>
        <v>https://www.instagram.com/p/BYgVfeABUXi/</v>
      </c>
      <c r="F4082" t="s">
        <v>22535</v>
      </c>
      <c r="G4082" t="s">
        <v>2488</v>
      </c>
      <c r="H4082">
        <v>856</v>
      </c>
      <c r="I4082" t="s">
        <v>2479</v>
      </c>
      <c r="J4082">
        <v>6</v>
      </c>
      <c r="K4082">
        <v>40</v>
      </c>
      <c r="L4082">
        <v>46</v>
      </c>
      <c r="Q4082">
        <v>0</v>
      </c>
      <c r="R4082">
        <v>0</v>
      </c>
      <c r="S4082">
        <v>46</v>
      </c>
      <c r="Y4082" t="s">
        <v>22536</v>
      </c>
      <c r="Z4082" t="s">
        <v>22537</v>
      </c>
      <c r="AA4082" t="s">
        <v>2737</v>
      </c>
      <c r="AB4082" t="s">
        <v>22538</v>
      </c>
      <c r="AC4082" t="s">
        <v>22539</v>
      </c>
      <c r="AD4082" s="249" t="str">
        <f>HYPERLINK("https://scontent.cdninstagram.com/t51.2885-15/s320x320/e35/21149153_1643695408996636_627367462064619520_n.jpg")</f>
        <v>https://scontent.cdninstagram.com/t51.2885-15/s320x320/e35/21149153_1643695408996636_627367462064619520_n.jpg</v>
      </c>
      <c r="AE4082" s="249" t="str">
        <f>HYPERLINK("https://scontent.cdninstagram.com/t51.2885-19/s150x150/14726415_1764726950434473_1846308506706116608_a.jpg")</f>
        <v>https://scontent.cdninstagram.com/t51.2885-19/s150x150/14726415_1764726950434473_1846308506706116608_a.jpg</v>
      </c>
    </row>
    <row r="4083" spans="1:31" ht="15" x14ac:dyDescent="0.25">
      <c r="A4083" t="s">
        <v>2474</v>
      </c>
      <c r="B4083" t="s">
        <v>2700</v>
      </c>
      <c r="C4083" s="221">
        <v>42979.523946759262</v>
      </c>
      <c r="D4083" t="s">
        <v>22540</v>
      </c>
      <c r="E4083" s="249" t="str">
        <f>HYPERLINK("https://www.instagram.com/p/BYgVo1nBqe_/")</f>
        <v>https://www.instagram.com/p/BYgVo1nBqe_/</v>
      </c>
      <c r="F4083" t="s">
        <v>22541</v>
      </c>
      <c r="G4083" t="s">
        <v>2478</v>
      </c>
      <c r="H4083">
        <v>856</v>
      </c>
      <c r="I4083" t="s">
        <v>2479</v>
      </c>
      <c r="J4083">
        <v>6</v>
      </c>
      <c r="K4083">
        <v>36</v>
      </c>
      <c r="L4083">
        <v>42</v>
      </c>
      <c r="Q4083">
        <v>0</v>
      </c>
      <c r="R4083">
        <v>0</v>
      </c>
      <c r="S4083">
        <v>42</v>
      </c>
      <c r="Y4083" t="s">
        <v>22542</v>
      </c>
      <c r="Z4083" t="s">
        <v>22543</v>
      </c>
      <c r="AA4083" t="s">
        <v>22544</v>
      </c>
      <c r="AB4083" t="s">
        <v>22545</v>
      </c>
      <c r="AD4083" s="249" t="str">
        <f>HYPERLINK("https://scontent.cdninstagram.com/t51.2885-15/s320x320/e35/21294859_113904709324432_1875861098633101312_n.jpg")</f>
        <v>https://scontent.cdninstagram.com/t51.2885-15/s320x320/e35/21294859_113904709324432_1875861098633101312_n.jpg</v>
      </c>
      <c r="AE4083" s="249" t="str">
        <f>HYPERLINK("https://scontent.cdninstagram.com/t51.2885-19/s150x150/14726415_1764726950434473_1846308506706116608_a.jpg")</f>
        <v>https://scontent.cdninstagram.com/t51.2885-19/s150x150/14726415_1764726950434473_1846308506706116608_a.jpg</v>
      </c>
    </row>
    <row r="4084" spans="1:31" ht="15" x14ac:dyDescent="0.25">
      <c r="A4084" t="s">
        <v>2474</v>
      </c>
      <c r="B4084" t="s">
        <v>22546</v>
      </c>
      <c r="C4084" s="221">
        <v>42979.525787037041</v>
      </c>
      <c r="D4084" t="s">
        <v>22547</v>
      </c>
      <c r="E4084" s="249" t="str">
        <f>HYPERLINK("https://www.instagram.com/p/BYgV8TXFpqo/")</f>
        <v>https://www.instagram.com/p/BYgV8TXFpqo/</v>
      </c>
      <c r="F4084" t="s">
        <v>22548</v>
      </c>
      <c r="G4084" t="s">
        <v>2478</v>
      </c>
      <c r="H4084">
        <v>241</v>
      </c>
      <c r="I4084" t="s">
        <v>2479</v>
      </c>
      <c r="J4084">
        <v>0</v>
      </c>
      <c r="K4084">
        <v>17</v>
      </c>
      <c r="L4084">
        <v>17</v>
      </c>
      <c r="Q4084">
        <v>0</v>
      </c>
      <c r="R4084">
        <v>0</v>
      </c>
      <c r="S4084">
        <v>17</v>
      </c>
      <c r="T4084" t="s">
        <v>22549</v>
      </c>
      <c r="V4084" t="s">
        <v>2153</v>
      </c>
      <c r="W4084">
        <v>60.188922822195998</v>
      </c>
      <c r="X4084">
        <v>24.913297137579001</v>
      </c>
      <c r="Y4084" t="s">
        <v>22550</v>
      </c>
      <c r="Z4084" t="s">
        <v>4524</v>
      </c>
      <c r="AA4084" t="s">
        <v>2497</v>
      </c>
      <c r="AB4084" t="s">
        <v>22551</v>
      </c>
      <c r="AC4084" t="s">
        <v>22552</v>
      </c>
      <c r="AD4084" s="249" t="str">
        <f>HYPERLINK("https://scontent.cdninstagram.com/t51.2885-15/s320x320/e35/21227455_1604231596293812_8740740364165447680_n.jpg")</f>
        <v>https://scontent.cdninstagram.com/t51.2885-15/s320x320/e35/21227455_1604231596293812_8740740364165447680_n.jpg</v>
      </c>
      <c r="AE4084" s="249" t="str">
        <f>HYPERLINK("https://scontent.cdninstagram.com/t51.2885-19/18949520_1699279870112668_5682841576330493952_a.jpg")</f>
        <v>https://scontent.cdninstagram.com/t51.2885-19/18949520_1699279870112668_5682841576330493952_a.jpg</v>
      </c>
    </row>
    <row r="4085" spans="1:31" ht="15" x14ac:dyDescent="0.25">
      <c r="A4085" t="s">
        <v>2474</v>
      </c>
      <c r="B4085" t="s">
        <v>22553</v>
      </c>
      <c r="C4085" s="221">
        <v>42979.526932870373</v>
      </c>
      <c r="D4085" t="s">
        <v>22554</v>
      </c>
      <c r="E4085" s="249" t="str">
        <f>HYPERLINK("https://www.instagram.com/p/BYgWIUwn_zM/")</f>
        <v>https://www.instagram.com/p/BYgWIUwn_zM/</v>
      </c>
      <c r="F4085" t="s">
        <v>22555</v>
      </c>
      <c r="G4085" t="s">
        <v>2478</v>
      </c>
      <c r="H4085">
        <v>205</v>
      </c>
      <c r="I4085" t="s">
        <v>2479</v>
      </c>
      <c r="J4085">
        <v>3</v>
      </c>
      <c r="K4085">
        <v>20</v>
      </c>
      <c r="L4085">
        <v>23</v>
      </c>
      <c r="Q4085">
        <v>0</v>
      </c>
      <c r="R4085">
        <v>0</v>
      </c>
      <c r="S4085">
        <v>23</v>
      </c>
      <c r="T4085" t="s">
        <v>22556</v>
      </c>
      <c r="U4085" t="s">
        <v>224</v>
      </c>
      <c r="V4085" t="s">
        <v>2299</v>
      </c>
      <c r="W4085">
        <v>34</v>
      </c>
      <c r="X4085">
        <v>-81</v>
      </c>
      <c r="Y4085" t="s">
        <v>22557</v>
      </c>
      <c r="Z4085" t="s">
        <v>22558</v>
      </c>
      <c r="AA4085" t="s">
        <v>22559</v>
      </c>
      <c r="AB4085" t="s">
        <v>2492</v>
      </c>
      <c r="AC4085" t="s">
        <v>22560</v>
      </c>
      <c r="AD4085" s="249" t="str">
        <f>HYPERLINK("https://scontent.cdninstagram.com/t51.2885-15/s320x320/e35/21296584_1924609481198871_5207506043759755264_n.jpg")</f>
        <v>https://scontent.cdninstagram.com/t51.2885-15/s320x320/e35/21296584_1924609481198871_5207506043759755264_n.jpg</v>
      </c>
      <c r="AE4085" s="249" t="str">
        <f>HYPERLINK("https://scontent.cdninstagram.com/t51.2885-19/s150x150/17268090_1658637357764833_8977390536734277632_a.jpg")</f>
        <v>https://scontent.cdninstagram.com/t51.2885-19/s150x150/17268090_1658637357764833_8977390536734277632_a.jpg</v>
      </c>
    </row>
    <row r="4086" spans="1:31" ht="15" x14ac:dyDescent="0.25">
      <c r="A4086" t="s">
        <v>2474</v>
      </c>
      <c r="B4086" t="s">
        <v>17086</v>
      </c>
      <c r="C4086" s="221">
        <v>42979.527129629627</v>
      </c>
      <c r="D4086" t="s">
        <v>22561</v>
      </c>
      <c r="E4086" s="249" t="str">
        <f>HYPERLINK("https://www.instagram.com/p/BYgWKgFj5FA/")</f>
        <v>https://www.instagram.com/p/BYgWKgFj5FA/</v>
      </c>
      <c r="F4086" t="s">
        <v>22562</v>
      </c>
      <c r="G4086" t="s">
        <v>2478</v>
      </c>
      <c r="H4086">
        <v>58</v>
      </c>
      <c r="I4086" t="s">
        <v>2479</v>
      </c>
      <c r="J4086">
        <v>2</v>
      </c>
      <c r="K4086">
        <v>15</v>
      </c>
      <c r="L4086">
        <v>17</v>
      </c>
      <c r="Q4086">
        <v>0</v>
      </c>
      <c r="R4086">
        <v>0</v>
      </c>
      <c r="S4086">
        <v>17</v>
      </c>
      <c r="T4086" t="s">
        <v>5879</v>
      </c>
      <c r="V4086" t="s">
        <v>2180</v>
      </c>
      <c r="W4086">
        <v>53.347799999999999</v>
      </c>
      <c r="X4086">
        <v>-6.2596999999999996</v>
      </c>
      <c r="Y4086" t="s">
        <v>17806</v>
      </c>
      <c r="Z4086" t="s">
        <v>18149</v>
      </c>
      <c r="AA4086" t="s">
        <v>10796</v>
      </c>
      <c r="AB4086" t="s">
        <v>12002</v>
      </c>
      <c r="AC4086" t="s">
        <v>2968</v>
      </c>
      <c r="AD4086" s="249" t="str">
        <f>HYPERLINK("https://scontent.cdninstagram.com/t51.2885-15/s320x320/e35/21149163_268334750330794_7275949460151074816_n.jpg")</f>
        <v>https://scontent.cdninstagram.com/t51.2885-15/s320x320/e35/21149163_268334750330794_7275949460151074816_n.jpg</v>
      </c>
      <c r="AE4086" s="249" t="str">
        <f>HYPERLINK("https://scontent.cdninstagram.com/t51.2885-19/s150x150/20213819_1623489541008643_6054573310786666496_a.jpg")</f>
        <v>https://scontent.cdninstagram.com/t51.2885-19/s150x150/20213819_1623489541008643_6054573310786666496_a.jpg</v>
      </c>
    </row>
    <row r="4087" spans="1:31" ht="15" x14ac:dyDescent="0.25">
      <c r="A4087" t="s">
        <v>2474</v>
      </c>
      <c r="B4087" t="s">
        <v>22563</v>
      </c>
      <c r="C4087" s="221">
        <v>42979.529074074075</v>
      </c>
      <c r="D4087" t="s">
        <v>22564</v>
      </c>
      <c r="E4087" s="249" t="str">
        <f>HYPERLINK("https://www.instagram.com/p/BYgWe5sjYX9/")</f>
        <v>https://www.instagram.com/p/BYgWe5sjYX9/</v>
      </c>
      <c r="F4087" t="s">
        <v>22565</v>
      </c>
      <c r="G4087" t="s">
        <v>2478</v>
      </c>
      <c r="H4087">
        <v>6127</v>
      </c>
      <c r="I4087" t="s">
        <v>2479</v>
      </c>
      <c r="J4087">
        <v>4</v>
      </c>
      <c r="K4087">
        <v>466</v>
      </c>
      <c r="L4087">
        <v>470</v>
      </c>
      <c r="Q4087">
        <v>0</v>
      </c>
      <c r="R4087">
        <v>0</v>
      </c>
      <c r="S4087">
        <v>470</v>
      </c>
      <c r="T4087" t="s">
        <v>22566</v>
      </c>
      <c r="V4087" t="s">
        <v>2176</v>
      </c>
      <c r="W4087">
        <v>21</v>
      </c>
      <c r="X4087">
        <v>77</v>
      </c>
      <c r="Y4087" t="s">
        <v>4388</v>
      </c>
      <c r="Z4087" t="s">
        <v>2497</v>
      </c>
      <c r="AA4087" t="s">
        <v>7608</v>
      </c>
      <c r="AB4087" t="s">
        <v>3225</v>
      </c>
      <c r="AC4087" t="s">
        <v>22567</v>
      </c>
      <c r="AD4087" s="249" t="str">
        <f>HYPERLINK("https://scontent.cdninstagram.com/t51.2885-15/s320x320/e35/21149244_465383403833054_6342505504538886144_n.jpg")</f>
        <v>https://scontent.cdninstagram.com/t51.2885-15/s320x320/e35/21149244_465383403833054_6342505504538886144_n.jpg</v>
      </c>
      <c r="AE4087" s="249" t="str">
        <f>HYPERLINK("https://scontent.cdninstagram.com/t51.2885-19/s150x150/19429328_1425059524208473_4793936534657040384_a.jpg")</f>
        <v>https://scontent.cdninstagram.com/t51.2885-19/s150x150/19429328_1425059524208473_4793936534657040384_a.jpg</v>
      </c>
    </row>
    <row r="4088" spans="1:31" ht="15" x14ac:dyDescent="0.25">
      <c r="A4088" t="s">
        <v>2474</v>
      </c>
      <c r="B4088" t="s">
        <v>22568</v>
      </c>
      <c r="C4088" s="221">
        <v>42979.534548611111</v>
      </c>
      <c r="D4088" t="s">
        <v>22569</v>
      </c>
      <c r="E4088" s="249" t="str">
        <f>HYPERLINK("https://www.instagram.com/p/BYgXYs4AtIq/")</f>
        <v>https://www.instagram.com/p/BYgXYs4AtIq/</v>
      </c>
      <c r="F4088" t="s">
        <v>22570</v>
      </c>
      <c r="G4088" t="s">
        <v>2478</v>
      </c>
      <c r="H4088">
        <v>226</v>
      </c>
      <c r="I4088" t="s">
        <v>2479</v>
      </c>
      <c r="J4088">
        <v>2</v>
      </c>
      <c r="K4088">
        <v>23</v>
      </c>
      <c r="L4088">
        <v>25</v>
      </c>
      <c r="Q4088">
        <v>0</v>
      </c>
      <c r="R4088">
        <v>0</v>
      </c>
      <c r="S4088">
        <v>25</v>
      </c>
      <c r="Y4088" t="s">
        <v>3174</v>
      </c>
      <c r="Z4088" t="s">
        <v>22571</v>
      </c>
      <c r="AA4088" t="s">
        <v>2601</v>
      </c>
      <c r="AB4088" t="s">
        <v>12085</v>
      </c>
      <c r="AC4088" t="s">
        <v>4319</v>
      </c>
      <c r="AD4088" s="249" t="str">
        <f>HYPERLINK("https://scontent.cdninstagram.com/t51.2885-15/s320x320/e15/21227033_171236320100275_7560882113168277504_n.jpg")</f>
        <v>https://scontent.cdninstagram.com/t51.2885-15/s320x320/e15/21227033_171236320100275_7560882113168277504_n.jpg</v>
      </c>
      <c r="AE4088" s="249" t="str">
        <f>HYPERLINK("https://scontent.cdninstagram.com/t51.2885-19/s150x150/21042293_1716557708639369_4151768580930666496_a.jpg")</f>
        <v>https://scontent.cdninstagram.com/t51.2885-19/s150x150/21042293_1716557708639369_4151768580930666496_a.jpg</v>
      </c>
    </row>
    <row r="4089" spans="1:31" ht="15" x14ac:dyDescent="0.25">
      <c r="A4089" t="s">
        <v>2474</v>
      </c>
      <c r="B4089" t="s">
        <v>22572</v>
      </c>
      <c r="C4089" s="221">
        <v>42979.538483796299</v>
      </c>
      <c r="D4089" t="s">
        <v>22573</v>
      </c>
      <c r="E4089" s="249" t="str">
        <f>HYPERLINK("https://www.instagram.com/p/BYgYCLvDjkQ/")</f>
        <v>https://www.instagram.com/p/BYgYCLvDjkQ/</v>
      </c>
      <c r="F4089" t="s">
        <v>22574</v>
      </c>
      <c r="G4089" t="s">
        <v>2478</v>
      </c>
      <c r="H4089">
        <v>903</v>
      </c>
      <c r="I4089" t="s">
        <v>2479</v>
      </c>
      <c r="J4089">
        <v>1</v>
      </c>
      <c r="K4089">
        <v>14</v>
      </c>
      <c r="L4089">
        <v>15</v>
      </c>
      <c r="Q4089">
        <v>0</v>
      </c>
      <c r="R4089">
        <v>0</v>
      </c>
      <c r="S4089">
        <v>15</v>
      </c>
      <c r="Y4089" t="s">
        <v>17676</v>
      </c>
      <c r="Z4089" t="s">
        <v>4839</v>
      </c>
      <c r="AA4089" t="s">
        <v>5629</v>
      </c>
      <c r="AB4089" t="s">
        <v>22575</v>
      </c>
      <c r="AC4089" t="s">
        <v>2968</v>
      </c>
      <c r="AD4089" s="249" t="str">
        <f>HYPERLINK("https://scontent.cdninstagram.com/t51.2885-15/s320x320/e35/21149807_118578412199034_8846502383346253824_n.jpg")</f>
        <v>https://scontent.cdninstagram.com/t51.2885-15/s320x320/e35/21149807_118578412199034_8846502383346253824_n.jpg</v>
      </c>
      <c r="AE4089" s="249" t="str">
        <f>HYPERLINK("https://scontent.cdninstagram.com/t51.2885-19/s150x150/18380698_1399325380132406_5210835184580034560_a.jpg")</f>
        <v>https://scontent.cdninstagram.com/t51.2885-19/s150x150/18380698_1399325380132406_5210835184580034560_a.jpg</v>
      </c>
    </row>
    <row r="4090" spans="1:31" ht="15" x14ac:dyDescent="0.25">
      <c r="A4090" t="s">
        <v>2474</v>
      </c>
      <c r="B4090" t="s">
        <v>11978</v>
      </c>
      <c r="C4090" s="221">
        <v>42979.540324074071</v>
      </c>
      <c r="D4090" t="s">
        <v>22576</v>
      </c>
      <c r="E4090" s="249" t="str">
        <f>HYPERLINK("https://www.instagram.com/p/BYgYVkTHhso/")</f>
        <v>https://www.instagram.com/p/BYgYVkTHhso/</v>
      </c>
      <c r="F4090" t="s">
        <v>22577</v>
      </c>
      <c r="G4090" t="s">
        <v>2478</v>
      </c>
      <c r="H4090">
        <v>151348</v>
      </c>
      <c r="I4090" t="s">
        <v>2479</v>
      </c>
      <c r="J4090">
        <v>48</v>
      </c>
      <c r="K4090">
        <v>1951</v>
      </c>
      <c r="L4090">
        <v>1999</v>
      </c>
      <c r="Q4090">
        <v>0</v>
      </c>
      <c r="R4090">
        <v>0</v>
      </c>
      <c r="S4090">
        <v>1999</v>
      </c>
      <c r="Y4090" t="s">
        <v>11978</v>
      </c>
      <c r="AD4090" s="249" t="str">
        <f>HYPERLINK("https://scontent.cdninstagram.com/t51.2885-15/e35/p320x320/21224990_1697288327246249_671639804563161088_n.jpg")</f>
        <v>https://scontent.cdninstagram.com/t51.2885-15/e35/p320x320/21224990_1697288327246249_671639804563161088_n.jpg</v>
      </c>
      <c r="AE4090" s="249" t="str">
        <f>HYPERLINK("https://scontent.cdninstagram.com/t51.2885-19/s150x150/20766920_169834930230526_973590951958151168_a.jpg")</f>
        <v>https://scontent.cdninstagram.com/t51.2885-19/s150x150/20766920_169834930230526_973590951958151168_a.jpg</v>
      </c>
    </row>
    <row r="4091" spans="1:31" ht="15" x14ac:dyDescent="0.25">
      <c r="A4091" t="s">
        <v>2474</v>
      </c>
      <c r="B4091" t="s">
        <v>22578</v>
      </c>
      <c r="C4091" s="221">
        <v>42979.543611111112</v>
      </c>
      <c r="D4091" t="s">
        <v>22579</v>
      </c>
      <c r="E4091" s="249" t="str">
        <f>HYPERLINK("https://www.instagram.com/p/BYgY4TZh0UO/")</f>
        <v>https://www.instagram.com/p/BYgY4TZh0UO/</v>
      </c>
      <c r="F4091" t="s">
        <v>22580</v>
      </c>
      <c r="G4091" t="s">
        <v>2478</v>
      </c>
      <c r="H4091">
        <v>191</v>
      </c>
      <c r="I4091" t="s">
        <v>2748</v>
      </c>
      <c r="J4091">
        <v>1</v>
      </c>
      <c r="K4091">
        <v>45</v>
      </c>
      <c r="L4091">
        <v>46</v>
      </c>
      <c r="Q4091">
        <v>0</v>
      </c>
      <c r="R4091">
        <v>0</v>
      </c>
      <c r="S4091">
        <v>46</v>
      </c>
      <c r="Y4091" t="s">
        <v>22581</v>
      </c>
      <c r="Z4091" t="s">
        <v>9034</v>
      </c>
      <c r="AA4091" t="s">
        <v>22582</v>
      </c>
      <c r="AB4091" t="s">
        <v>22583</v>
      </c>
      <c r="AC4091" t="s">
        <v>22584</v>
      </c>
      <c r="AD4091" s="249" t="str">
        <f>HYPERLINK("https://scontent.cdninstagram.com/t51.2885-15/s320x320/e35/21294911_893565940809948_6828776461931905024_n.jpg")</f>
        <v>https://scontent.cdninstagram.com/t51.2885-15/s320x320/e35/21294911_893565940809948_6828776461931905024_n.jpg</v>
      </c>
      <c r="AE4091" s="249" t="str">
        <f>HYPERLINK("https://scontent.cdninstagram.com/t51.2885-19/s150x150/18382574_441736542848950_4071946974511759360_a.jpg")</f>
        <v>https://scontent.cdninstagram.com/t51.2885-19/s150x150/18382574_441736542848950_4071946974511759360_a.jpg</v>
      </c>
    </row>
    <row r="4092" spans="1:31" ht="15" x14ac:dyDescent="0.25">
      <c r="A4092" t="s">
        <v>2474</v>
      </c>
      <c r="B4092" t="s">
        <v>22585</v>
      </c>
      <c r="C4092" s="221">
        <v>42979.54414351852</v>
      </c>
      <c r="D4092" t="s">
        <v>22586</v>
      </c>
      <c r="E4092" s="249" t="str">
        <f>HYPERLINK("https://www.instagram.com/p/BYgY95HF6fp/")</f>
        <v>https://www.instagram.com/p/BYgY95HF6fp/</v>
      </c>
      <c r="F4092" t="s">
        <v>22587</v>
      </c>
      <c r="G4092" t="s">
        <v>2478</v>
      </c>
      <c r="H4092">
        <v>4267</v>
      </c>
      <c r="I4092" t="s">
        <v>2479</v>
      </c>
      <c r="J4092">
        <v>5</v>
      </c>
      <c r="K4092">
        <v>84</v>
      </c>
      <c r="L4092">
        <v>89</v>
      </c>
      <c r="Q4092">
        <v>0</v>
      </c>
      <c r="R4092">
        <v>0</v>
      </c>
      <c r="S4092">
        <v>89</v>
      </c>
      <c r="Y4092" t="s">
        <v>22588</v>
      </c>
      <c r="Z4092" t="s">
        <v>22589</v>
      </c>
      <c r="AA4092" t="s">
        <v>22590</v>
      </c>
      <c r="AB4092" t="s">
        <v>22591</v>
      </c>
      <c r="AC4092" t="s">
        <v>2497</v>
      </c>
      <c r="AD4092" s="249" t="str">
        <f>HYPERLINK("https://scontent.cdninstagram.com/t51.2885-15/e35/p320x320/21227508_259506171224527_279864196470931456_n.jpg")</f>
        <v>https://scontent.cdninstagram.com/t51.2885-15/e35/p320x320/21227508_259506171224527_279864196470931456_n.jpg</v>
      </c>
      <c r="AE4092" s="249" t="str">
        <f>HYPERLINK("https://scontent.cdninstagram.com/t51.2885-19/s150x150/21296816_130169850940159_4169959403811766272_a.jpg")</f>
        <v>https://scontent.cdninstagram.com/t51.2885-19/s150x150/21296816_130169850940159_4169959403811766272_a.jpg</v>
      </c>
    </row>
    <row r="4093" spans="1:31" ht="15" x14ac:dyDescent="0.25">
      <c r="A4093" t="s">
        <v>2474</v>
      </c>
      <c r="B4093" t="s">
        <v>22592</v>
      </c>
      <c r="C4093" s="221">
        <v>42979.546319444446</v>
      </c>
      <c r="D4093" t="s">
        <v>22593</v>
      </c>
      <c r="E4093" s="249" t="str">
        <f>HYPERLINK("https://www.instagram.com/p/BYgZU4SARZW/")</f>
        <v>https://www.instagram.com/p/BYgZU4SARZW/</v>
      </c>
      <c r="F4093" t="s">
        <v>22594</v>
      </c>
      <c r="G4093" t="s">
        <v>2478</v>
      </c>
      <c r="H4093">
        <v>2447</v>
      </c>
      <c r="I4093" t="s">
        <v>2479</v>
      </c>
      <c r="J4093">
        <v>0</v>
      </c>
      <c r="K4093">
        <v>71</v>
      </c>
      <c r="L4093">
        <v>71</v>
      </c>
      <c r="Q4093">
        <v>0</v>
      </c>
      <c r="R4093">
        <v>0</v>
      </c>
      <c r="S4093">
        <v>71</v>
      </c>
      <c r="Y4093" t="s">
        <v>5787</v>
      </c>
      <c r="Z4093" t="s">
        <v>3671</v>
      </c>
      <c r="AA4093" t="s">
        <v>6404</v>
      </c>
      <c r="AB4093" t="s">
        <v>22595</v>
      </c>
      <c r="AC4093" t="s">
        <v>2497</v>
      </c>
      <c r="AD4093" s="249" t="str">
        <f>HYPERLINK("https://scontent.cdninstagram.com/t51.2885-15/s320x320/e35/21295145_1388773687839045_1571293504406028288_n.jpg")</f>
        <v>https://scontent.cdninstagram.com/t51.2885-15/s320x320/e35/21295145_1388773687839045_1571293504406028288_n.jpg</v>
      </c>
      <c r="AE4093" s="249" t="str">
        <f>HYPERLINK("https://scontent.cdninstagram.com/t51.2885-19/11296650_1175852885774183_724568847_a.jpg")</f>
        <v>https://scontent.cdninstagram.com/t51.2885-19/11296650_1175852885774183_724568847_a.jpg</v>
      </c>
    </row>
    <row r="4094" spans="1:31" ht="15" x14ac:dyDescent="0.25">
      <c r="A4094" t="s">
        <v>2474</v>
      </c>
      <c r="B4094" t="s">
        <v>22596</v>
      </c>
      <c r="C4094" s="221">
        <v>42979.546701388892</v>
      </c>
      <c r="D4094" t="s">
        <v>22597</v>
      </c>
      <c r="E4094" s="249" t="str">
        <f>HYPERLINK("https://www.instagram.com/p/BYgZY7jHFBF/")</f>
        <v>https://www.instagram.com/p/BYgZY7jHFBF/</v>
      </c>
      <c r="F4094" t="s">
        <v>22598</v>
      </c>
      <c r="G4094" t="s">
        <v>2488</v>
      </c>
      <c r="H4094">
        <v>854</v>
      </c>
      <c r="I4094" t="s">
        <v>2479</v>
      </c>
      <c r="J4094">
        <v>69</v>
      </c>
      <c r="K4094">
        <v>299</v>
      </c>
      <c r="L4094">
        <v>368</v>
      </c>
      <c r="Q4094">
        <v>0</v>
      </c>
      <c r="R4094">
        <v>0</v>
      </c>
      <c r="S4094">
        <v>368</v>
      </c>
      <c r="Y4094" t="s">
        <v>3399</v>
      </c>
      <c r="Z4094" t="s">
        <v>22599</v>
      </c>
      <c r="AA4094" t="s">
        <v>22600</v>
      </c>
      <c r="AB4094" t="s">
        <v>2704</v>
      </c>
      <c r="AC4094" t="s">
        <v>22601</v>
      </c>
      <c r="AD4094" s="249" t="str">
        <f>HYPERLINK("https://scontent.cdninstagram.com/t51.2885-15/s320x320/e35/21227685_1961966867407420_5268837579746181120_n.jpg")</f>
        <v>https://scontent.cdninstagram.com/t51.2885-15/s320x320/e35/21227685_1961966867407420_5268837579746181120_n.jpg</v>
      </c>
      <c r="AE4094" s="249" t="str">
        <f>HYPERLINK("https://scontent.cdninstagram.com/t51.2885-19/s150x150/17265525_921619651313275_6642109005630013440_a.jpg")</f>
        <v>https://scontent.cdninstagram.com/t51.2885-19/s150x150/17265525_921619651313275_6642109005630013440_a.jpg</v>
      </c>
    </row>
    <row r="4095" spans="1:31" ht="15" x14ac:dyDescent="0.25">
      <c r="A4095" t="s">
        <v>2474</v>
      </c>
      <c r="B4095" t="s">
        <v>22602</v>
      </c>
      <c r="C4095" s="221">
        <v>42979.553194444445</v>
      </c>
      <c r="D4095" t="s">
        <v>22603</v>
      </c>
      <c r="E4095" s="249" t="str">
        <f>HYPERLINK("https://www.instagram.com/p/BYgadT7gS_Y/")</f>
        <v>https://www.instagram.com/p/BYgadT7gS_Y/</v>
      </c>
      <c r="F4095" t="s">
        <v>22604</v>
      </c>
      <c r="G4095" t="s">
        <v>2631</v>
      </c>
      <c r="H4095">
        <v>724</v>
      </c>
      <c r="I4095" t="s">
        <v>3170</v>
      </c>
      <c r="J4095">
        <v>2</v>
      </c>
      <c r="K4095">
        <v>6</v>
      </c>
      <c r="L4095">
        <v>8</v>
      </c>
      <c r="Q4095">
        <v>0</v>
      </c>
      <c r="R4095">
        <v>0</v>
      </c>
      <c r="S4095">
        <v>8</v>
      </c>
      <c r="Y4095" t="s">
        <v>22605</v>
      </c>
      <c r="Z4095" t="s">
        <v>2497</v>
      </c>
      <c r="AA4095" t="s">
        <v>22606</v>
      </c>
      <c r="AD4095" s="249" t="str">
        <f>HYPERLINK("https://scontent.cdninstagram.com/t51.2885-15/s320x320/e15/21227766_514253302244349_4859421059205562368_n.jpg")</f>
        <v>https://scontent.cdninstagram.com/t51.2885-15/s320x320/e15/21227766_514253302244349_4859421059205562368_n.jpg</v>
      </c>
      <c r="AE4095" s="249" t="str">
        <f>HYPERLINK("https://scontent.cdninstagram.com/t51.2885-19/s150x150/21372388_250384252149729_6245206241673478144_a.jpg")</f>
        <v>https://scontent.cdninstagram.com/t51.2885-19/s150x150/21372388_250384252149729_6245206241673478144_a.jpg</v>
      </c>
    </row>
    <row r="4096" spans="1:31" ht="15" x14ac:dyDescent="0.25">
      <c r="A4096" t="s">
        <v>2474</v>
      </c>
      <c r="B4096" t="s">
        <v>22607</v>
      </c>
      <c r="C4096" s="221">
        <v>42979.5546875</v>
      </c>
      <c r="D4096" t="s">
        <v>22608</v>
      </c>
      <c r="E4096" s="249" t="str">
        <f>HYPERLINK("https://www.instagram.com/p/BYgatJhF7pO/")</f>
        <v>https://www.instagram.com/p/BYgatJhF7pO/</v>
      </c>
      <c r="F4096" t="s">
        <v>22609</v>
      </c>
      <c r="G4096" t="s">
        <v>2478</v>
      </c>
      <c r="H4096">
        <v>235</v>
      </c>
      <c r="I4096" t="s">
        <v>2479</v>
      </c>
      <c r="J4096">
        <v>0</v>
      </c>
      <c r="K4096">
        <v>22</v>
      </c>
      <c r="L4096">
        <v>22</v>
      </c>
      <c r="Q4096">
        <v>0</v>
      </c>
      <c r="R4096">
        <v>0</v>
      </c>
      <c r="S4096">
        <v>22</v>
      </c>
      <c r="T4096" t="s">
        <v>22610</v>
      </c>
      <c r="V4096" t="s">
        <v>2288</v>
      </c>
      <c r="W4096">
        <v>51.511730999999997</v>
      </c>
      <c r="X4096">
        <v>-8.6455000000000004E-2</v>
      </c>
      <c r="Y4096" t="s">
        <v>4760</v>
      </c>
      <c r="Z4096" t="s">
        <v>22611</v>
      </c>
      <c r="AA4096" t="s">
        <v>2497</v>
      </c>
      <c r="AB4096" t="s">
        <v>22612</v>
      </c>
      <c r="AC4096" t="s">
        <v>4761</v>
      </c>
      <c r="AD4096" s="249" t="str">
        <f>HYPERLINK("https://scontent.cdninstagram.com/t51.2885-15/s320x320/e35/21227731_235592133631502_3016589693597777920_n.jpg")</f>
        <v>https://scontent.cdninstagram.com/t51.2885-15/s320x320/e35/21227731_235592133631502_3016589693597777920_n.jpg</v>
      </c>
      <c r="AE4096" s="249" t="str">
        <f>HYPERLINK("https://scontent.cdninstagram.com/t51.2885-19/s150x150/12783333_1034709613238806_826169065_a.jpg")</f>
        <v>https://scontent.cdninstagram.com/t51.2885-19/s150x150/12783333_1034709613238806_826169065_a.jpg</v>
      </c>
    </row>
    <row r="4097" spans="1:31" ht="15" x14ac:dyDescent="0.25">
      <c r="A4097" t="s">
        <v>2474</v>
      </c>
      <c r="B4097" t="s">
        <v>22613</v>
      </c>
      <c r="C4097" s="221">
        <v>42979.565706018519</v>
      </c>
      <c r="D4097" t="s">
        <v>22614</v>
      </c>
      <c r="E4097" s="249" t="str">
        <f>HYPERLINK("https://www.instagram.com/p/BYgchUmn2lh/")</f>
        <v>https://www.instagram.com/p/BYgchUmn2lh/</v>
      </c>
      <c r="F4097" t="s">
        <v>22615</v>
      </c>
      <c r="G4097" t="s">
        <v>2478</v>
      </c>
      <c r="H4097">
        <v>6419</v>
      </c>
      <c r="I4097" t="s">
        <v>2479</v>
      </c>
      <c r="J4097">
        <v>23</v>
      </c>
      <c r="K4097">
        <v>466</v>
      </c>
      <c r="L4097">
        <v>489</v>
      </c>
      <c r="Q4097">
        <v>0</v>
      </c>
      <c r="R4097">
        <v>0</v>
      </c>
      <c r="S4097">
        <v>489</v>
      </c>
      <c r="T4097" t="s">
        <v>22616</v>
      </c>
      <c r="U4097" t="s">
        <v>176</v>
      </c>
      <c r="V4097" t="s">
        <v>2299</v>
      </c>
      <c r="W4097">
        <v>40.75</v>
      </c>
      <c r="X4097">
        <v>-111.883</v>
      </c>
      <c r="Y4097" t="s">
        <v>22617</v>
      </c>
      <c r="Z4097" t="s">
        <v>3104</v>
      </c>
      <c r="AA4097" t="s">
        <v>22618</v>
      </c>
      <c r="AB4097" t="s">
        <v>22619</v>
      </c>
      <c r="AC4097" t="s">
        <v>22620</v>
      </c>
      <c r="AD4097" s="249" t="str">
        <f>HYPERLINK("https://scontent.cdninstagram.com/t51.2885-15/s320x320/e35/21149266_481620988866415_5881823455489294336_n.jpg")</f>
        <v>https://scontent.cdninstagram.com/t51.2885-15/s320x320/e35/21149266_481620988866415_5881823455489294336_n.jpg</v>
      </c>
      <c r="AE4097" s="249" t="str">
        <f>HYPERLINK("https://scontent.cdninstagram.com/t51.2885-19/s150x150/19051074_659141397615046_7450028002236170240_a.jpg")</f>
        <v>https://scontent.cdninstagram.com/t51.2885-19/s150x150/19051074_659141397615046_7450028002236170240_a.jpg</v>
      </c>
    </row>
    <row r="4098" spans="1:31" ht="15" x14ac:dyDescent="0.25">
      <c r="A4098" t="s">
        <v>2474</v>
      </c>
      <c r="B4098" t="s">
        <v>2516</v>
      </c>
      <c r="C4098" s="221">
        <v>42979.567499999997</v>
      </c>
      <c r="D4098" t="s">
        <v>22621</v>
      </c>
      <c r="E4098" s="249" t="str">
        <f>HYPERLINK("https://www.instagram.com/p/BYgc0LbjWTf/")</f>
        <v>https://www.instagram.com/p/BYgc0LbjWTf/</v>
      </c>
      <c r="F4098" t="s">
        <v>22622</v>
      </c>
      <c r="G4098" t="s">
        <v>2478</v>
      </c>
      <c r="H4098">
        <v>692</v>
      </c>
      <c r="I4098" t="s">
        <v>2479</v>
      </c>
      <c r="J4098">
        <v>1</v>
      </c>
      <c r="K4098">
        <v>35</v>
      </c>
      <c r="L4098">
        <v>36</v>
      </c>
      <c r="Q4098">
        <v>0</v>
      </c>
      <c r="R4098">
        <v>0</v>
      </c>
      <c r="S4098">
        <v>36</v>
      </c>
      <c r="Y4098" t="s">
        <v>17098</v>
      </c>
      <c r="Z4098" t="s">
        <v>10712</v>
      </c>
      <c r="AA4098" t="s">
        <v>22623</v>
      </c>
      <c r="AB4098" t="s">
        <v>6733</v>
      </c>
      <c r="AC4098" t="s">
        <v>2601</v>
      </c>
      <c r="AD4098" s="249" t="str">
        <f>HYPERLINK("https://scontent.cdninstagram.com/t51.2885-15/s320x320/e35/21224977_119702795357333_8749500435296944128_n.jpg")</f>
        <v>https://scontent.cdninstagram.com/t51.2885-15/s320x320/e35/21224977_119702795357333_8749500435296944128_n.jpg</v>
      </c>
      <c r="AE4098" s="249" t="str">
        <f>HYPERLINK("https://scontent.cdninstagram.com/t51.2885-19/s150x150/21372563_140209839921980_5104164354614362112_a.jpg")</f>
        <v>https://scontent.cdninstagram.com/t51.2885-19/s150x150/21372563_140209839921980_5104164354614362112_a.jpg</v>
      </c>
    </row>
    <row r="4099" spans="1:31" ht="15" x14ac:dyDescent="0.25">
      <c r="A4099" t="s">
        <v>2474</v>
      </c>
      <c r="B4099" t="s">
        <v>22624</v>
      </c>
      <c r="C4099" s="221">
        <v>42979.57203703704</v>
      </c>
      <c r="D4099" t="s">
        <v>22625</v>
      </c>
      <c r="E4099" s="249" t="str">
        <f>HYPERLINK("https://www.instagram.com/p/BYgdkBdnfMF/")</f>
        <v>https://www.instagram.com/p/BYgdkBdnfMF/</v>
      </c>
      <c r="F4099" t="s">
        <v>22626</v>
      </c>
      <c r="G4099" t="s">
        <v>2478</v>
      </c>
      <c r="H4099">
        <v>165</v>
      </c>
      <c r="I4099" t="s">
        <v>2479</v>
      </c>
      <c r="J4099">
        <v>2</v>
      </c>
      <c r="K4099">
        <v>26</v>
      </c>
      <c r="L4099">
        <v>28</v>
      </c>
      <c r="Q4099">
        <v>0</v>
      </c>
      <c r="R4099">
        <v>0</v>
      </c>
      <c r="S4099">
        <v>28</v>
      </c>
      <c r="T4099" t="s">
        <v>22627</v>
      </c>
      <c r="V4099" t="s">
        <v>2140</v>
      </c>
      <c r="W4099">
        <v>50</v>
      </c>
      <c r="X4099">
        <v>16</v>
      </c>
      <c r="Y4099" t="s">
        <v>5201</v>
      </c>
      <c r="Z4099" t="s">
        <v>22628</v>
      </c>
      <c r="AA4099" t="s">
        <v>22629</v>
      </c>
      <c r="AB4099" t="s">
        <v>5210</v>
      </c>
      <c r="AC4099" t="s">
        <v>22630</v>
      </c>
      <c r="AD4099" s="249" t="str">
        <f>HYPERLINK("https://scontent.cdninstagram.com/t51.2885-15/s320x320/e35/21149834_121107305214001_84303774159470592_n.jpg")</f>
        <v>https://scontent.cdninstagram.com/t51.2885-15/s320x320/e35/21149834_121107305214001_84303774159470592_n.jpg</v>
      </c>
      <c r="AE4099" s="249" t="str">
        <f>HYPERLINK("https://scontent.cdninstagram.com/t51.2885-19/s150x150/15101650_190368981367796_8917080627438682112_a.jpg")</f>
        <v>https://scontent.cdninstagram.com/t51.2885-19/s150x150/15101650_190368981367796_8917080627438682112_a.jpg</v>
      </c>
    </row>
    <row r="4100" spans="1:31" ht="15" x14ac:dyDescent="0.25">
      <c r="A4100" t="s">
        <v>2474</v>
      </c>
      <c r="B4100" t="s">
        <v>22631</v>
      </c>
      <c r="C4100" s="221">
        <v>42979.577152777776</v>
      </c>
      <c r="D4100" t="s">
        <v>22632</v>
      </c>
      <c r="E4100" s="249" t="str">
        <f>HYPERLINK("https://www.instagram.com/p/BYgeaAjhxBz/")</f>
        <v>https://www.instagram.com/p/BYgeaAjhxBz/</v>
      </c>
      <c r="F4100" t="s">
        <v>22633</v>
      </c>
      <c r="G4100" t="s">
        <v>2488</v>
      </c>
      <c r="H4100">
        <v>83</v>
      </c>
      <c r="I4100" t="s">
        <v>2479</v>
      </c>
      <c r="J4100">
        <v>0</v>
      </c>
      <c r="K4100">
        <v>11</v>
      </c>
      <c r="L4100">
        <v>11</v>
      </c>
      <c r="Q4100">
        <v>0</v>
      </c>
      <c r="R4100">
        <v>0</v>
      </c>
      <c r="S4100">
        <v>11</v>
      </c>
      <c r="Y4100" t="s">
        <v>22634</v>
      </c>
      <c r="Z4100" t="s">
        <v>2949</v>
      </c>
      <c r="AA4100" t="s">
        <v>6404</v>
      </c>
      <c r="AB4100" t="s">
        <v>22635</v>
      </c>
      <c r="AC4100" t="s">
        <v>22636</v>
      </c>
      <c r="AD4100" s="249" t="str">
        <f>HYPERLINK("https://scontent.cdninstagram.com/t51.2885-15/e35/p320x320/21224174_120437425357133_9141048255503663104_n.jpg")</f>
        <v>https://scontent.cdninstagram.com/t51.2885-15/e35/p320x320/21224174_120437425357133_9141048255503663104_n.jpg</v>
      </c>
      <c r="AE4100" s="249" t="str">
        <f>HYPERLINK("https://scontent.cdninstagram.com/t51.2885-19/s150x150/18888698_1894458600823533_4574754543836856320_a.jpg")</f>
        <v>https://scontent.cdninstagram.com/t51.2885-19/s150x150/18888698_1894458600823533_4574754543836856320_a.jpg</v>
      </c>
    </row>
    <row r="4101" spans="1:31" ht="15" x14ac:dyDescent="0.25">
      <c r="A4101" t="s">
        <v>2474</v>
      </c>
      <c r="B4101" t="s">
        <v>20989</v>
      </c>
      <c r="C4101" s="221">
        <v>42979.578055555554</v>
      </c>
      <c r="D4101" t="s">
        <v>22637</v>
      </c>
      <c r="E4101" s="249" t="str">
        <f>HYPERLINK("https://www.instagram.com/p/BYgejh9FdCv/")</f>
        <v>https://www.instagram.com/p/BYgejh9FdCv/</v>
      </c>
      <c r="F4101" t="s">
        <v>22638</v>
      </c>
      <c r="G4101" t="s">
        <v>2478</v>
      </c>
      <c r="H4101">
        <v>1434</v>
      </c>
      <c r="I4101" t="s">
        <v>2510</v>
      </c>
      <c r="J4101">
        <v>2</v>
      </c>
      <c r="K4101">
        <v>175</v>
      </c>
      <c r="L4101">
        <v>177</v>
      </c>
      <c r="Q4101">
        <v>0</v>
      </c>
      <c r="R4101">
        <v>0</v>
      </c>
      <c r="S4101">
        <v>177</v>
      </c>
      <c r="Y4101" t="s">
        <v>22639</v>
      </c>
      <c r="Z4101" t="s">
        <v>11627</v>
      </c>
      <c r="AA4101" t="s">
        <v>22640</v>
      </c>
      <c r="AB4101" t="s">
        <v>22641</v>
      </c>
      <c r="AC4101" t="s">
        <v>22642</v>
      </c>
      <c r="AD4101" s="249" t="str">
        <f>HYPERLINK("https://scontent.cdninstagram.com/t51.2885-15/s320x320/e35/21224683_1614800135237675_867108039696580608_n.jpg")</f>
        <v>https://scontent.cdninstagram.com/t51.2885-15/s320x320/e35/21224683_1614800135237675_867108039696580608_n.jpg</v>
      </c>
      <c r="AE4101" s="249" t="str">
        <f>HYPERLINK("https://scontent.cdninstagram.com/t51.2885-19/s150x150/19954977_248404352343347_1195826346698211328_a.jpg")</f>
        <v>https://scontent.cdninstagram.com/t51.2885-19/s150x150/19954977_248404352343347_1195826346698211328_a.jpg</v>
      </c>
    </row>
    <row r="4102" spans="1:31" ht="15" x14ac:dyDescent="0.25">
      <c r="A4102" t="s">
        <v>2474</v>
      </c>
      <c r="B4102" t="s">
        <v>22643</v>
      </c>
      <c r="C4102" s="221">
        <v>42979.58488425926</v>
      </c>
      <c r="D4102" t="s">
        <v>22644</v>
      </c>
      <c r="E4102" s="249" t="str">
        <f>HYPERLINK("https://www.instagram.com/p/BYgfrmchCfx/")</f>
        <v>https://www.instagram.com/p/BYgfrmchCfx/</v>
      </c>
      <c r="F4102" t="s">
        <v>22645</v>
      </c>
      <c r="G4102" t="s">
        <v>2631</v>
      </c>
      <c r="H4102">
        <v>2298</v>
      </c>
      <c r="I4102" t="s">
        <v>2479</v>
      </c>
      <c r="J4102">
        <v>0</v>
      </c>
      <c r="K4102">
        <v>89</v>
      </c>
      <c r="L4102">
        <v>89</v>
      </c>
      <c r="Q4102">
        <v>0</v>
      </c>
      <c r="R4102">
        <v>0</v>
      </c>
      <c r="S4102">
        <v>89</v>
      </c>
      <c r="T4102" t="s">
        <v>22646</v>
      </c>
      <c r="V4102" t="s">
        <v>2176</v>
      </c>
      <c r="W4102">
        <v>28.635243232063001</v>
      </c>
      <c r="X4102">
        <v>77.158451329338007</v>
      </c>
      <c r="Y4102" t="s">
        <v>2492</v>
      </c>
      <c r="Z4102" t="s">
        <v>22647</v>
      </c>
      <c r="AA4102" t="s">
        <v>5229</v>
      </c>
      <c r="AB4102" t="s">
        <v>2601</v>
      </c>
      <c r="AC4102" t="s">
        <v>8753</v>
      </c>
      <c r="AD4102" s="249" t="str">
        <f>HYPERLINK("https://scontent.cdninstagram.com/t51.2885-15/s320x320/e15/21224999_168498820375158_3487790431087886336_n.jpg")</f>
        <v>https://scontent.cdninstagram.com/t51.2885-15/s320x320/e15/21224999_168498820375158_3487790431087886336_n.jpg</v>
      </c>
      <c r="AE4102" s="249" t="str">
        <f>HYPERLINK("https://scontent.cdninstagram.com/t51.2885-19/s150x150/20478453_820571524776770_2764927545177538560_a.jpg")</f>
        <v>https://scontent.cdninstagram.com/t51.2885-19/s150x150/20478453_820571524776770_2764927545177538560_a.jpg</v>
      </c>
    </row>
    <row r="4103" spans="1:31" ht="15" x14ac:dyDescent="0.25">
      <c r="A4103" t="s">
        <v>2474</v>
      </c>
      <c r="B4103" t="s">
        <v>16003</v>
      </c>
      <c r="C4103" s="221">
        <v>42979.587650462963</v>
      </c>
      <c r="D4103" t="s">
        <v>22648</v>
      </c>
      <c r="E4103" s="249" t="str">
        <f>HYPERLINK("https://www.instagram.com/p/BYggIuYH9OQ/")</f>
        <v>https://www.instagram.com/p/BYggIuYH9OQ/</v>
      </c>
      <c r="F4103" t="s">
        <v>22649</v>
      </c>
      <c r="G4103" t="s">
        <v>2478</v>
      </c>
      <c r="H4103">
        <v>1567</v>
      </c>
      <c r="I4103" t="s">
        <v>2542</v>
      </c>
      <c r="J4103">
        <v>3</v>
      </c>
      <c r="K4103">
        <v>35</v>
      </c>
      <c r="L4103">
        <v>38</v>
      </c>
      <c r="Q4103">
        <v>0</v>
      </c>
      <c r="R4103">
        <v>0</v>
      </c>
      <c r="S4103">
        <v>38</v>
      </c>
      <c r="Y4103" t="s">
        <v>6669</v>
      </c>
      <c r="Z4103" t="s">
        <v>3110</v>
      </c>
      <c r="AA4103" t="s">
        <v>5168</v>
      </c>
      <c r="AB4103" t="s">
        <v>6843</v>
      </c>
      <c r="AC4103" t="s">
        <v>3671</v>
      </c>
      <c r="AD4103" s="249" t="str">
        <f>HYPERLINK("https://scontent.cdninstagram.com/t51.2885-15/s320x320/e35/21294800_2004889459789616_4140496782859698176_n.jpg")</f>
        <v>https://scontent.cdninstagram.com/t51.2885-15/s320x320/e35/21294800_2004889459789616_4140496782859698176_n.jpg</v>
      </c>
      <c r="AE4103" s="249" t="str">
        <f>HYPERLINK("https://scontent.cdninstagram.com/t51.2885-19/s150x150/19932678_276990742770602_110295610564804608_a.jpg")</f>
        <v>https://scontent.cdninstagram.com/t51.2885-19/s150x150/19932678_276990742770602_110295610564804608_a.jpg</v>
      </c>
    </row>
    <row r="4104" spans="1:31" ht="15" x14ac:dyDescent="0.25">
      <c r="A4104" t="s">
        <v>2474</v>
      </c>
      <c r="B4104" t="s">
        <v>22650</v>
      </c>
      <c r="C4104" s="221">
        <v>42979.588217592594</v>
      </c>
      <c r="D4104" t="s">
        <v>22651</v>
      </c>
      <c r="E4104" s="249" t="str">
        <f>HYPERLINK("https://www.instagram.com/p/BYggOu-jLJu/")</f>
        <v>https://www.instagram.com/p/BYggOu-jLJu/</v>
      </c>
      <c r="F4104" t="s">
        <v>22652</v>
      </c>
      <c r="G4104" t="s">
        <v>2478</v>
      </c>
      <c r="H4104">
        <v>16</v>
      </c>
      <c r="I4104" t="s">
        <v>2479</v>
      </c>
      <c r="J4104">
        <v>0</v>
      </c>
      <c r="K4104">
        <v>4</v>
      </c>
      <c r="L4104">
        <v>4</v>
      </c>
      <c r="Q4104">
        <v>0</v>
      </c>
      <c r="R4104">
        <v>0</v>
      </c>
      <c r="S4104">
        <v>4</v>
      </c>
      <c r="Y4104" t="s">
        <v>22653</v>
      </c>
      <c r="Z4104" t="s">
        <v>22654</v>
      </c>
      <c r="AA4104" t="s">
        <v>2497</v>
      </c>
      <c r="AB4104" t="s">
        <v>5706</v>
      </c>
      <c r="AC4104" t="s">
        <v>22655</v>
      </c>
      <c r="AD4104" s="249" t="str">
        <f>HYPERLINK("https://scontent.cdninstagram.com/t51.2885-15/s320x320/e35/21149533_886999078115254_1423049478369181696_n.jpg")</f>
        <v>https://scontent.cdninstagram.com/t51.2885-15/s320x320/e35/21149533_886999078115254_1423049478369181696_n.jpg</v>
      </c>
      <c r="AE4104" s="249" t="str">
        <f>HYPERLINK("https://scontent.cdninstagram.com/t51.2885-19/s150x150/21224556_167809753791608_1070151592117796864_a.jpg")</f>
        <v>https://scontent.cdninstagram.com/t51.2885-19/s150x150/21224556_167809753791608_1070151592117796864_a.jpg</v>
      </c>
    </row>
    <row r="4105" spans="1:31" ht="15" x14ac:dyDescent="0.25">
      <c r="A4105" t="s">
        <v>2474</v>
      </c>
      <c r="B4105" t="s">
        <v>22656</v>
      </c>
      <c r="C4105" s="221">
        <v>42979.590196759258</v>
      </c>
      <c r="D4105" t="s">
        <v>22657</v>
      </c>
      <c r="E4105" s="249" t="str">
        <f>HYPERLINK("https://www.instagram.com/p/BYggjntB5iF/")</f>
        <v>https://www.instagram.com/p/BYggjntB5iF/</v>
      </c>
      <c r="F4105" t="s">
        <v>22658</v>
      </c>
      <c r="G4105" t="s">
        <v>2488</v>
      </c>
      <c r="H4105">
        <v>893</v>
      </c>
      <c r="I4105" t="s">
        <v>2479</v>
      </c>
      <c r="J4105">
        <v>18</v>
      </c>
      <c r="K4105">
        <v>92</v>
      </c>
      <c r="L4105">
        <v>110</v>
      </c>
      <c r="Q4105">
        <v>0</v>
      </c>
      <c r="R4105">
        <v>0</v>
      </c>
      <c r="S4105">
        <v>110</v>
      </c>
      <c r="Y4105" t="s">
        <v>22659</v>
      </c>
      <c r="Z4105" t="s">
        <v>22660</v>
      </c>
      <c r="AA4105" t="s">
        <v>22661</v>
      </c>
      <c r="AB4105" t="s">
        <v>22662</v>
      </c>
      <c r="AC4105" t="s">
        <v>22663</v>
      </c>
      <c r="AD4105" s="249" t="str">
        <f>HYPERLINK("https://scontent.cdninstagram.com/t51.2885-15/s320x320/e35/21226995_114710079213471_6281388734097129472_n.jpg")</f>
        <v>https://scontent.cdninstagram.com/t51.2885-15/s320x320/e35/21226995_114710079213471_6281388734097129472_n.jpg</v>
      </c>
      <c r="AE4105" s="249" t="str">
        <f>HYPERLINK("https://scontent.cdninstagram.com/t51.2885-19/s150x150/19533647_1722460871380949_6859589085594386432_a.jpg")</f>
        <v>https://scontent.cdninstagram.com/t51.2885-19/s150x150/19533647_1722460871380949_6859589085594386432_a.jpg</v>
      </c>
    </row>
    <row r="4106" spans="1:31" ht="15" x14ac:dyDescent="0.25">
      <c r="A4106" t="s">
        <v>2474</v>
      </c>
      <c r="B4106" t="s">
        <v>22664</v>
      </c>
      <c r="C4106" s="221">
        <v>42979.598599537036</v>
      </c>
      <c r="D4106" t="s">
        <v>22665</v>
      </c>
      <c r="E4106" s="249" t="str">
        <f>HYPERLINK("https://www.instagram.com/p/BYgh8SLlPUC/")</f>
        <v>https://www.instagram.com/p/BYgh8SLlPUC/</v>
      </c>
      <c r="F4106" t="s">
        <v>22666</v>
      </c>
      <c r="G4106" t="s">
        <v>2478</v>
      </c>
      <c r="H4106">
        <v>499</v>
      </c>
      <c r="I4106" t="s">
        <v>2542</v>
      </c>
      <c r="J4106">
        <v>0</v>
      </c>
      <c r="K4106">
        <v>65</v>
      </c>
      <c r="L4106">
        <v>65</v>
      </c>
      <c r="Q4106">
        <v>0</v>
      </c>
      <c r="R4106">
        <v>0</v>
      </c>
      <c r="S4106">
        <v>65</v>
      </c>
      <c r="Y4106" t="s">
        <v>22667</v>
      </c>
      <c r="Z4106" t="s">
        <v>22668</v>
      </c>
      <c r="AA4106" t="s">
        <v>22669</v>
      </c>
      <c r="AB4106" t="s">
        <v>22670</v>
      </c>
      <c r="AC4106" t="s">
        <v>22671</v>
      </c>
      <c r="AD4106" s="249" t="str">
        <f>HYPERLINK("https://scontent.cdninstagram.com/t51.2885-15/e35/p320x320/21149869_1551476361539736_8313968744070119424_n.jpg")</f>
        <v>https://scontent.cdninstagram.com/t51.2885-15/e35/p320x320/21149869_1551476361539736_8313968744070119424_n.jpg</v>
      </c>
      <c r="AE4106" s="249" t="str">
        <f>HYPERLINK("https://scontent.cdninstagram.com/t51.2885-19/s150x150/21224397_508910802807425_2539169602944892928_a.jpg")</f>
        <v>https://scontent.cdninstagram.com/t51.2885-19/s150x150/21224397_508910802807425_2539169602944892928_a.jpg</v>
      </c>
    </row>
    <row r="4107" spans="1:31" ht="15" x14ac:dyDescent="0.25">
      <c r="A4107" t="s">
        <v>2474</v>
      </c>
      <c r="B4107" t="s">
        <v>22672</v>
      </c>
      <c r="C4107" s="221">
        <v>42979.599120370367</v>
      </c>
      <c r="D4107" t="s">
        <v>22673</v>
      </c>
      <c r="E4107" s="249" t="str">
        <f>HYPERLINK("https://www.instagram.com/p/BYgiBsfhMcF/")</f>
        <v>https://www.instagram.com/p/BYgiBsfhMcF/</v>
      </c>
      <c r="F4107" t="s">
        <v>22674</v>
      </c>
      <c r="G4107" t="s">
        <v>2478</v>
      </c>
      <c r="H4107">
        <v>142</v>
      </c>
      <c r="I4107" t="s">
        <v>2748</v>
      </c>
      <c r="J4107">
        <v>0</v>
      </c>
      <c r="K4107">
        <v>31</v>
      </c>
      <c r="L4107">
        <v>31</v>
      </c>
      <c r="Q4107">
        <v>0</v>
      </c>
      <c r="R4107">
        <v>0</v>
      </c>
      <c r="S4107">
        <v>31</v>
      </c>
      <c r="T4107" t="s">
        <v>22675</v>
      </c>
      <c r="V4107" t="s">
        <v>2271</v>
      </c>
      <c r="W4107">
        <v>47.1656494</v>
      </c>
      <c r="X4107">
        <v>8.1034603000000001</v>
      </c>
      <c r="Y4107" t="s">
        <v>22676</v>
      </c>
      <c r="Z4107" t="s">
        <v>22677</v>
      </c>
      <c r="AA4107" t="s">
        <v>22678</v>
      </c>
      <c r="AB4107" t="s">
        <v>22679</v>
      </c>
      <c r="AC4107" t="s">
        <v>15047</v>
      </c>
      <c r="AD4107" s="249" t="str">
        <f>HYPERLINK("https://scontent.cdninstagram.com/t51.2885-15/s320x320/e35/21224152_119597298765638_8705136060239183872_n.jpg")</f>
        <v>https://scontent.cdninstagram.com/t51.2885-15/s320x320/e35/21224152_119597298765638_8705136060239183872_n.jpg</v>
      </c>
      <c r="AE4107" s="249" t="str">
        <f>HYPERLINK("https://scontent.cdninstagram.com/t51.2885-19/s150x150/20902698_111445139543811_2812890561663467520_a.jpg")</f>
        <v>https://scontent.cdninstagram.com/t51.2885-19/s150x150/20902698_111445139543811_2812890561663467520_a.jpg</v>
      </c>
    </row>
    <row r="4108" spans="1:31" ht="15" x14ac:dyDescent="0.25">
      <c r="A4108" t="s">
        <v>2474</v>
      </c>
      <c r="B4108" t="s">
        <v>19132</v>
      </c>
      <c r="C4108" s="221">
        <v>42979.60087962963</v>
      </c>
      <c r="D4108" t="s">
        <v>22680</v>
      </c>
      <c r="E4108" s="249" t="str">
        <f>HYPERLINK("https://www.instagram.com/p/BYgiUUsg_9I/")</f>
        <v>https://www.instagram.com/p/BYgiUUsg_9I/</v>
      </c>
      <c r="F4108" t="s">
        <v>22681</v>
      </c>
      <c r="G4108" t="s">
        <v>2478</v>
      </c>
      <c r="H4108">
        <v>191</v>
      </c>
      <c r="I4108" t="s">
        <v>3025</v>
      </c>
      <c r="J4108">
        <v>3</v>
      </c>
      <c r="K4108">
        <v>31</v>
      </c>
      <c r="L4108">
        <v>34</v>
      </c>
      <c r="Q4108">
        <v>0</v>
      </c>
      <c r="R4108">
        <v>0</v>
      </c>
      <c r="S4108">
        <v>34</v>
      </c>
      <c r="Y4108" t="s">
        <v>7225</v>
      </c>
      <c r="Z4108" t="s">
        <v>3198</v>
      </c>
      <c r="AA4108" t="s">
        <v>20801</v>
      </c>
      <c r="AB4108" t="s">
        <v>22682</v>
      </c>
      <c r="AC4108" t="s">
        <v>2497</v>
      </c>
      <c r="AD4108" s="249" t="str">
        <f>HYPERLINK("https://scontent.cdninstagram.com/t51.2885-15/e35/p320x320/21224084_1901877523205666_1713560018298601472_n.jpg")</f>
        <v>https://scontent.cdninstagram.com/t51.2885-15/e35/p320x320/21224084_1901877523205666_1713560018298601472_n.jpg</v>
      </c>
      <c r="AE4108" s="249" t="str">
        <f>HYPERLINK("https://scontent.cdninstagram.com/t51.2885-19/s150x150/19931923_864242733752313_1292981899957895168_a.jpg")</f>
        <v>https://scontent.cdninstagram.com/t51.2885-19/s150x150/19931923_864242733752313_1292981899957895168_a.jpg</v>
      </c>
    </row>
    <row r="4109" spans="1:31" ht="15" x14ac:dyDescent="0.25">
      <c r="A4109" t="s">
        <v>2474</v>
      </c>
      <c r="B4109" t="s">
        <v>3393</v>
      </c>
      <c r="C4109" s="221">
        <v>42979.60832175926</v>
      </c>
      <c r="D4109" t="s">
        <v>22683</v>
      </c>
      <c r="E4109" s="249" t="str">
        <f>HYPERLINK("https://www.instagram.com/p/BYgjiupHjzn/")</f>
        <v>https://www.instagram.com/p/BYgjiupHjzn/</v>
      </c>
      <c r="F4109" t="s">
        <v>22684</v>
      </c>
      <c r="G4109" t="s">
        <v>2478</v>
      </c>
      <c r="H4109">
        <v>19213</v>
      </c>
      <c r="I4109" t="s">
        <v>2479</v>
      </c>
      <c r="J4109">
        <v>7</v>
      </c>
      <c r="K4109">
        <v>523</v>
      </c>
      <c r="L4109">
        <v>530</v>
      </c>
      <c r="Q4109">
        <v>0</v>
      </c>
      <c r="R4109">
        <v>0</v>
      </c>
      <c r="S4109">
        <v>530</v>
      </c>
      <c r="AD4109" s="249" t="str">
        <f>HYPERLINK("https://scontent.cdninstagram.com/t51.2885-15/s320x320/e35/21227435_1705615352814368_1465848032904871936_n.jpg")</f>
        <v>https://scontent.cdninstagram.com/t51.2885-15/s320x320/e35/21227435_1705615352814368_1465848032904871936_n.jpg</v>
      </c>
      <c r="AE4109" s="249" t="str">
        <f>HYPERLINK("https://scontent.cdninstagram.com/t51.2885-19/s150x150/20969318_163506604224066_8451668608215416832_n.jpg")</f>
        <v>https://scontent.cdninstagram.com/t51.2885-19/s150x150/20969318_163506604224066_8451668608215416832_n.jpg</v>
      </c>
    </row>
    <row r="4110" spans="1:31" ht="15" x14ac:dyDescent="0.25">
      <c r="A4110" t="s">
        <v>2474</v>
      </c>
      <c r="B4110" t="s">
        <v>21830</v>
      </c>
      <c r="C4110" s="221">
        <v>42979.613240740742</v>
      </c>
      <c r="D4110" t="s">
        <v>22685</v>
      </c>
      <c r="E4110" s="249" t="str">
        <f>HYPERLINK("https://www.instagram.com/p/BYgkWmBn_lV/")</f>
        <v>https://www.instagram.com/p/BYgkWmBn_lV/</v>
      </c>
      <c r="F4110" t="s">
        <v>22686</v>
      </c>
      <c r="G4110" t="s">
        <v>2478</v>
      </c>
      <c r="H4110">
        <v>167</v>
      </c>
      <c r="I4110" t="s">
        <v>2479</v>
      </c>
      <c r="J4110">
        <v>1</v>
      </c>
      <c r="K4110">
        <v>21</v>
      </c>
      <c r="L4110">
        <v>22</v>
      </c>
      <c r="Q4110">
        <v>0</v>
      </c>
      <c r="R4110">
        <v>0</v>
      </c>
      <c r="S4110">
        <v>22</v>
      </c>
      <c r="Y4110" t="s">
        <v>22687</v>
      </c>
      <c r="Z4110" t="s">
        <v>21834</v>
      </c>
      <c r="AA4110" t="s">
        <v>22688</v>
      </c>
      <c r="AB4110" t="s">
        <v>2497</v>
      </c>
      <c r="AC4110" t="s">
        <v>22689</v>
      </c>
      <c r="AD4110" s="249" t="str">
        <f>HYPERLINK("https://scontent.cdninstagram.com/t51.2885-15/s320x320/e35/21224604_1946126555664328_7383210036371128320_n.jpg")</f>
        <v>https://scontent.cdninstagram.com/t51.2885-15/s320x320/e35/21224604_1946126555664328_7383210036371128320_n.jpg</v>
      </c>
      <c r="AE4110" s="249" t="str">
        <f>HYPERLINK("https://scontent.cdninstagram.com/t51.2885-19/s150x150/14582502_1120720668005629_4239730404505944064_a.jpg")</f>
        <v>https://scontent.cdninstagram.com/t51.2885-19/s150x150/14582502_1120720668005629_4239730404505944064_a.jpg</v>
      </c>
    </row>
    <row r="4111" spans="1:31" ht="15" x14ac:dyDescent="0.25">
      <c r="A4111" t="s">
        <v>2474</v>
      </c>
      <c r="B4111" t="s">
        <v>22690</v>
      </c>
      <c r="C4111" s="221">
        <v>42979.617881944447</v>
      </c>
      <c r="D4111" t="s">
        <v>22691</v>
      </c>
      <c r="E4111" s="249" t="str">
        <f>HYPERLINK("https://www.instagram.com/p/BYglHioBTEJ/")</f>
        <v>https://www.instagram.com/p/BYglHioBTEJ/</v>
      </c>
      <c r="F4111" t="s">
        <v>22692</v>
      </c>
      <c r="G4111" t="s">
        <v>2478</v>
      </c>
      <c r="H4111">
        <v>307</v>
      </c>
      <c r="I4111" t="s">
        <v>3273</v>
      </c>
      <c r="J4111">
        <v>2</v>
      </c>
      <c r="K4111">
        <v>35</v>
      </c>
      <c r="L4111">
        <v>37</v>
      </c>
      <c r="Q4111">
        <v>0</v>
      </c>
      <c r="R4111">
        <v>0</v>
      </c>
      <c r="S4111">
        <v>37</v>
      </c>
      <c r="Y4111" t="s">
        <v>22693</v>
      </c>
      <c r="Z4111" t="s">
        <v>22694</v>
      </c>
      <c r="AA4111" t="s">
        <v>22695</v>
      </c>
      <c r="AB4111" t="s">
        <v>3174</v>
      </c>
      <c r="AC4111" t="s">
        <v>22696</v>
      </c>
      <c r="AD4111" s="249" t="str">
        <f>HYPERLINK("https://scontent.cdninstagram.com/t51.2885-15/e35/p320x320/21224555_1309730532486910_5853571431199145984_n.jpg")</f>
        <v>https://scontent.cdninstagram.com/t51.2885-15/e35/p320x320/21224555_1309730532486910_5853571431199145984_n.jpg</v>
      </c>
      <c r="AE4111" s="249" t="str">
        <f>HYPERLINK("https://scontent.cdninstagram.com/t51.2885-19/s150x150/18812076_1886152101651946_4789356570511147008_a.jpg")</f>
        <v>https://scontent.cdninstagram.com/t51.2885-19/s150x150/18812076_1886152101651946_4789356570511147008_a.jpg</v>
      </c>
    </row>
    <row r="4112" spans="1:31" ht="15" x14ac:dyDescent="0.25">
      <c r="A4112" t="s">
        <v>2474</v>
      </c>
      <c r="B4112" t="s">
        <v>22697</v>
      </c>
      <c r="C4112" s="221">
        <v>42979.622569444444</v>
      </c>
      <c r="D4112" t="s">
        <v>22698</v>
      </c>
      <c r="E4112" s="249" t="str">
        <f>HYPERLINK("https://www.instagram.com/p/BYgl5Gcl2bz/")</f>
        <v>https://www.instagram.com/p/BYgl5Gcl2bz/</v>
      </c>
      <c r="F4112" t="s">
        <v>22699</v>
      </c>
      <c r="G4112" t="s">
        <v>2478</v>
      </c>
      <c r="H4112">
        <v>1001</v>
      </c>
      <c r="I4112" t="s">
        <v>2479</v>
      </c>
      <c r="J4112">
        <v>1</v>
      </c>
      <c r="K4112">
        <v>43</v>
      </c>
      <c r="L4112">
        <v>44</v>
      </c>
      <c r="Q4112">
        <v>0</v>
      </c>
      <c r="R4112">
        <v>0</v>
      </c>
      <c r="S4112">
        <v>44</v>
      </c>
      <c r="Y4112" t="s">
        <v>4833</v>
      </c>
      <c r="Z4112" t="s">
        <v>22700</v>
      </c>
      <c r="AA4112" t="s">
        <v>9608</v>
      </c>
      <c r="AB4112" t="s">
        <v>22701</v>
      </c>
      <c r="AC4112" t="s">
        <v>21638</v>
      </c>
      <c r="AD4112" s="249" t="str">
        <f>HYPERLINK("https://scontent.cdninstagram.com/t51.2885-15/s320x320/e35/21149671_1853515194976944_4120093274432077824_n.jpg")</f>
        <v>https://scontent.cdninstagram.com/t51.2885-15/s320x320/e35/21149671_1853515194976944_4120093274432077824_n.jpg</v>
      </c>
      <c r="AE4112" s="249" t="str">
        <f>HYPERLINK("https://scontent.cdninstagram.com/t51.2885-19/s150x150/20214628_698154563702861_5264643952203530240_n.jpg")</f>
        <v>https://scontent.cdninstagram.com/t51.2885-19/s150x150/20214628_698154563702861_5264643952203530240_n.jpg</v>
      </c>
    </row>
    <row r="4113" spans="1:31" ht="15" x14ac:dyDescent="0.25">
      <c r="A4113" t="s">
        <v>2474</v>
      </c>
      <c r="B4113" t="s">
        <v>22702</v>
      </c>
      <c r="C4113" s="221">
        <v>42979.627511574072</v>
      </c>
      <c r="D4113" t="s">
        <v>22703</v>
      </c>
      <c r="E4113" s="249" t="str">
        <f>HYPERLINK("https://www.instagram.com/p/BYgmtNWlHWM/")</f>
        <v>https://www.instagram.com/p/BYgmtNWlHWM/</v>
      </c>
      <c r="F4113" t="s">
        <v>22704</v>
      </c>
      <c r="G4113" t="s">
        <v>2631</v>
      </c>
      <c r="H4113">
        <v>298</v>
      </c>
      <c r="I4113" t="s">
        <v>2479</v>
      </c>
      <c r="J4113">
        <v>3</v>
      </c>
      <c r="K4113">
        <v>27</v>
      </c>
      <c r="L4113">
        <v>30</v>
      </c>
      <c r="Q4113">
        <v>0</v>
      </c>
      <c r="R4113">
        <v>0</v>
      </c>
      <c r="S4113">
        <v>30</v>
      </c>
      <c r="Y4113" t="s">
        <v>22705</v>
      </c>
      <c r="Z4113" t="s">
        <v>22706</v>
      </c>
      <c r="AA4113" t="s">
        <v>22707</v>
      </c>
      <c r="AB4113" t="s">
        <v>2497</v>
      </c>
      <c r="AD4113" s="249" t="str">
        <f>HYPERLINK("https://scontent.cdninstagram.com/t51.2885-15/s320x320/e15/21149597_1356801104388795_8881321764819304448_n.jpg")</f>
        <v>https://scontent.cdninstagram.com/t51.2885-15/s320x320/e15/21149597_1356801104388795_8881321764819304448_n.jpg</v>
      </c>
      <c r="AE4113" s="249" t="str">
        <f>HYPERLINK("https://scontent.cdninstagram.com/t51.2885-19/s150x150/21435778_850173301808065_1427599562427596800_a.jpg")</f>
        <v>https://scontent.cdninstagram.com/t51.2885-19/s150x150/21435778_850173301808065_1427599562427596800_a.jpg</v>
      </c>
    </row>
    <row r="4114" spans="1:31" ht="15" x14ac:dyDescent="0.25">
      <c r="A4114" t="s">
        <v>2474</v>
      </c>
      <c r="B4114" t="s">
        <v>22708</v>
      </c>
      <c r="C4114" s="221">
        <v>42979.632534722223</v>
      </c>
      <c r="D4114" t="s">
        <v>22709</v>
      </c>
      <c r="E4114" s="249" t="str">
        <f>HYPERLINK("https://www.instagram.com/p/BYgniM1gnqI/")</f>
        <v>https://www.instagram.com/p/BYgniM1gnqI/</v>
      </c>
      <c r="F4114" t="s">
        <v>22710</v>
      </c>
      <c r="G4114" t="s">
        <v>2488</v>
      </c>
      <c r="H4114">
        <v>371</v>
      </c>
      <c r="I4114" t="s">
        <v>2479</v>
      </c>
      <c r="J4114">
        <v>2</v>
      </c>
      <c r="K4114">
        <v>60</v>
      </c>
      <c r="L4114">
        <v>62</v>
      </c>
      <c r="Q4114">
        <v>0</v>
      </c>
      <c r="R4114">
        <v>0</v>
      </c>
      <c r="S4114">
        <v>62</v>
      </c>
      <c r="Y4114" t="s">
        <v>2497</v>
      </c>
      <c r="Z4114" t="s">
        <v>22711</v>
      </c>
      <c r="AA4114" t="s">
        <v>19666</v>
      </c>
      <c r="AB4114" t="s">
        <v>22712</v>
      </c>
      <c r="AC4114" t="s">
        <v>22713</v>
      </c>
      <c r="AD4114" s="249" t="str">
        <f>HYPERLINK("https://scontent.cdninstagram.com/t51.2885-15/s320x320/e35/21227450_1360086457441339_4177987926048636928_n.jpg")</f>
        <v>https://scontent.cdninstagram.com/t51.2885-15/s320x320/e35/21227450_1360086457441339_4177987926048636928_n.jpg</v>
      </c>
      <c r="AE4114" s="249" t="str">
        <f>HYPERLINK("https://scontent.cdninstagram.com/t51.2885-19/s150x150/12976454_1705996792951338_1473400052_a.jpg")</f>
        <v>https://scontent.cdninstagram.com/t51.2885-19/s150x150/12976454_1705996792951338_1473400052_a.jpg</v>
      </c>
    </row>
    <row r="4115" spans="1:31" ht="15" x14ac:dyDescent="0.25">
      <c r="A4115" t="s">
        <v>2474</v>
      </c>
      <c r="B4115" t="s">
        <v>22714</v>
      </c>
      <c r="C4115" s="221">
        <v>42979.64025462963</v>
      </c>
      <c r="D4115" t="s">
        <v>22715</v>
      </c>
      <c r="E4115" s="249" t="str">
        <f>HYPERLINK("https://www.instagram.com/p/BYgozk0FxO5/")</f>
        <v>https://www.instagram.com/p/BYgozk0FxO5/</v>
      </c>
      <c r="F4115" t="s">
        <v>22716</v>
      </c>
      <c r="G4115" t="s">
        <v>2478</v>
      </c>
      <c r="H4115">
        <v>85</v>
      </c>
      <c r="I4115" t="s">
        <v>2479</v>
      </c>
      <c r="J4115">
        <v>2</v>
      </c>
      <c r="K4115">
        <v>3</v>
      </c>
      <c r="L4115">
        <v>5</v>
      </c>
      <c r="Q4115">
        <v>0</v>
      </c>
      <c r="R4115">
        <v>0</v>
      </c>
      <c r="S4115">
        <v>5</v>
      </c>
      <c r="T4115" t="s">
        <v>6482</v>
      </c>
      <c r="U4115" t="s">
        <v>112</v>
      </c>
      <c r="V4115" t="s">
        <v>2299</v>
      </c>
      <c r="W4115">
        <v>29.762899999999998</v>
      </c>
      <c r="X4115">
        <v>-95.383200000000002</v>
      </c>
      <c r="Y4115" t="s">
        <v>2497</v>
      </c>
      <c r="Z4115" t="s">
        <v>22717</v>
      </c>
      <c r="AA4115" t="s">
        <v>19963</v>
      </c>
      <c r="AB4115" t="s">
        <v>22718</v>
      </c>
      <c r="AD4115" s="249" t="str">
        <f>HYPERLINK("https://scontent.cdninstagram.com/t51.2885-15/s320x320/e35/21149863_1408956952516052_7350252737969258496_n.jpg")</f>
        <v>https://scontent.cdninstagram.com/t51.2885-15/s320x320/e35/21149863_1408956952516052_7350252737969258496_n.jpg</v>
      </c>
      <c r="AE4115" s="249" t="str">
        <f>HYPERLINK("https://scontent.cdninstagram.com/t51.2885-19/s150x150/19534446_1329149267198273_7022213671455555584_a.jpg")</f>
        <v>https://scontent.cdninstagram.com/t51.2885-19/s150x150/19534446_1329149267198273_7022213671455555584_a.jpg</v>
      </c>
    </row>
    <row r="4116" spans="1:31" ht="15" x14ac:dyDescent="0.25">
      <c r="A4116" t="s">
        <v>2474</v>
      </c>
      <c r="B4116" t="s">
        <v>10554</v>
      </c>
      <c r="C4116" s="221">
        <v>42979.645185185182</v>
      </c>
      <c r="D4116" t="s">
        <v>22719</v>
      </c>
      <c r="E4116" s="249" t="str">
        <f>HYPERLINK("https://www.instagram.com/p/BYgpniklVcM/")</f>
        <v>https://www.instagram.com/p/BYgpniklVcM/</v>
      </c>
      <c r="F4116" t="s">
        <v>22720</v>
      </c>
      <c r="G4116" t="s">
        <v>2478</v>
      </c>
      <c r="H4116">
        <v>149</v>
      </c>
      <c r="I4116" t="s">
        <v>2599</v>
      </c>
      <c r="J4116">
        <v>1</v>
      </c>
      <c r="K4116">
        <v>28</v>
      </c>
      <c r="L4116">
        <v>29</v>
      </c>
      <c r="Q4116">
        <v>0</v>
      </c>
      <c r="R4116">
        <v>0</v>
      </c>
      <c r="S4116">
        <v>29</v>
      </c>
      <c r="Y4116" t="s">
        <v>2497</v>
      </c>
      <c r="Z4116" t="s">
        <v>2730</v>
      </c>
      <c r="AA4116" t="s">
        <v>22721</v>
      </c>
      <c r="AB4116" t="s">
        <v>10421</v>
      </c>
      <c r="AC4116" t="s">
        <v>3225</v>
      </c>
      <c r="AD4116" s="249" t="str">
        <f>HYPERLINK("https://scontent.cdninstagram.com/t51.2885-15/s320x320/e35/21294976_1949026845376255_3412405482936074240_n.jpg")</f>
        <v>https://scontent.cdninstagram.com/t51.2885-15/s320x320/e35/21294976_1949026845376255_3412405482936074240_n.jpg</v>
      </c>
      <c r="AE4116" s="249" t="str">
        <f>HYPERLINK("https://scontent.cdninstagram.com/t51.2885-19/s150x150/18948145_237408563428034_813367471858778112_a.jpg")</f>
        <v>https://scontent.cdninstagram.com/t51.2885-19/s150x150/18948145_237408563428034_813367471858778112_a.jpg</v>
      </c>
    </row>
    <row r="4117" spans="1:31" ht="15" x14ac:dyDescent="0.25">
      <c r="A4117" t="s">
        <v>2474</v>
      </c>
      <c r="B4117" t="s">
        <v>22722</v>
      </c>
      <c r="C4117" s="221">
        <v>42979.645983796298</v>
      </c>
      <c r="D4117" t="s">
        <v>22723</v>
      </c>
      <c r="E4117" s="249" t="str">
        <f>HYPERLINK("https://www.instagram.com/p/BYgpwAWn8c_/")</f>
        <v>https://www.instagram.com/p/BYgpwAWn8c_/</v>
      </c>
      <c r="F4117" t="s">
        <v>22724</v>
      </c>
      <c r="G4117" t="s">
        <v>2478</v>
      </c>
      <c r="H4117">
        <v>42</v>
      </c>
      <c r="I4117" t="s">
        <v>3273</v>
      </c>
      <c r="J4117">
        <v>0</v>
      </c>
      <c r="K4117">
        <v>31</v>
      </c>
      <c r="L4117">
        <v>31</v>
      </c>
      <c r="Q4117">
        <v>0</v>
      </c>
      <c r="R4117">
        <v>0</v>
      </c>
      <c r="S4117">
        <v>31</v>
      </c>
      <c r="T4117" t="s">
        <v>22725</v>
      </c>
      <c r="V4117" t="s">
        <v>2110</v>
      </c>
      <c r="W4117">
        <v>50.85</v>
      </c>
      <c r="X4117">
        <v>3.2833299999999999</v>
      </c>
      <c r="Y4117" t="s">
        <v>2497</v>
      </c>
      <c r="Z4117" t="s">
        <v>7385</v>
      </c>
      <c r="AA4117" t="s">
        <v>22726</v>
      </c>
      <c r="AB4117" t="s">
        <v>3145</v>
      </c>
      <c r="AC4117" t="s">
        <v>5090</v>
      </c>
      <c r="AD4117" s="249" t="str">
        <f>HYPERLINK("https://scontent.cdninstagram.com/t51.2885-15/s320x320/e35/21149364_1911270045793713_3495372388395122688_n.jpg")</f>
        <v>https://scontent.cdninstagram.com/t51.2885-15/s320x320/e35/21149364_1911270045793713_3495372388395122688_n.jpg</v>
      </c>
      <c r="AE4117" s="249" t="str">
        <f>HYPERLINK("https://scontent.cdninstagram.com/t51.2885-19/s150x150/14736218_1088157971281236_1769271392009715712_a.jpg")</f>
        <v>https://scontent.cdninstagram.com/t51.2885-19/s150x150/14736218_1088157971281236_1769271392009715712_a.jpg</v>
      </c>
    </row>
    <row r="4118" spans="1:31" ht="15" x14ac:dyDescent="0.25">
      <c r="A4118" t="s">
        <v>2474</v>
      </c>
      <c r="B4118" t="s">
        <v>5225</v>
      </c>
      <c r="C4118" s="221">
        <v>42979.646736111114</v>
      </c>
      <c r="D4118" t="s">
        <v>22727</v>
      </c>
      <c r="E4118" s="249" t="str">
        <f>HYPERLINK("https://www.instagram.com/p/BYgp39sg1Lh/")</f>
        <v>https://www.instagram.com/p/BYgp39sg1Lh/</v>
      </c>
      <c r="F4118" t="s">
        <v>22728</v>
      </c>
      <c r="G4118" t="s">
        <v>2488</v>
      </c>
      <c r="H4118">
        <v>63</v>
      </c>
      <c r="I4118" t="s">
        <v>2479</v>
      </c>
      <c r="J4118">
        <v>0</v>
      </c>
      <c r="K4118">
        <v>20</v>
      </c>
      <c r="L4118">
        <v>20</v>
      </c>
      <c r="Q4118">
        <v>0</v>
      </c>
      <c r="R4118">
        <v>0</v>
      </c>
      <c r="S4118">
        <v>20</v>
      </c>
      <c r="T4118" t="s">
        <v>5228</v>
      </c>
      <c r="V4118" t="s">
        <v>2154</v>
      </c>
      <c r="W4118">
        <v>47.498634698221998</v>
      </c>
      <c r="X4118">
        <v>-0.50784128552246999</v>
      </c>
      <c r="Y4118" t="s">
        <v>2497</v>
      </c>
      <c r="Z4118" t="s">
        <v>3804</v>
      </c>
      <c r="AA4118" t="s">
        <v>8704</v>
      </c>
      <c r="AB4118" t="s">
        <v>5231</v>
      </c>
      <c r="AC4118" t="s">
        <v>5232</v>
      </c>
      <c r="AD4118" s="249" t="str">
        <f>HYPERLINK("https://scontent.cdninstagram.com/t51.2885-15/s320x320/e35/21227074_1713462882295894_7586117747566706688_n.jpg")</f>
        <v>https://scontent.cdninstagram.com/t51.2885-15/s320x320/e35/21227074_1713462882295894_7586117747566706688_n.jpg</v>
      </c>
      <c r="AE4118" s="249" t="str">
        <f>HYPERLINK("https://scontent.cdninstagram.com/t51.2885-19/s150x150/18949503_1122155304550657_4049188449616396288_a.jpg")</f>
        <v>https://scontent.cdninstagram.com/t51.2885-19/s150x150/18949503_1122155304550657_4049188449616396288_a.jpg</v>
      </c>
    </row>
    <row r="4119" spans="1:31" ht="15" x14ac:dyDescent="0.25">
      <c r="A4119" t="s">
        <v>2474</v>
      </c>
      <c r="B4119" t="s">
        <v>16155</v>
      </c>
      <c r="C4119" s="221">
        <v>42979.652650462966</v>
      </c>
      <c r="D4119" t="s">
        <v>22729</v>
      </c>
      <c r="E4119" s="249" t="str">
        <f>HYPERLINK("https://www.instagram.com/p/BYgq2QmgPdg/")</f>
        <v>https://www.instagram.com/p/BYgq2QmgPdg/</v>
      </c>
      <c r="F4119" t="s">
        <v>22730</v>
      </c>
      <c r="G4119" t="s">
        <v>2478</v>
      </c>
      <c r="H4119">
        <v>1240</v>
      </c>
      <c r="I4119" t="s">
        <v>2479</v>
      </c>
      <c r="J4119">
        <v>1</v>
      </c>
      <c r="K4119">
        <v>30</v>
      </c>
      <c r="L4119">
        <v>31</v>
      </c>
      <c r="Q4119">
        <v>0</v>
      </c>
      <c r="R4119">
        <v>0</v>
      </c>
      <c r="S4119">
        <v>31</v>
      </c>
      <c r="T4119" t="s">
        <v>22731</v>
      </c>
      <c r="V4119" t="s">
        <v>2125</v>
      </c>
      <c r="W4119">
        <v>48.429069650972998</v>
      </c>
      <c r="X4119">
        <v>-123.36782898731001</v>
      </c>
      <c r="Y4119" t="s">
        <v>6164</v>
      </c>
      <c r="Z4119" t="s">
        <v>22732</v>
      </c>
      <c r="AA4119" t="s">
        <v>3384</v>
      </c>
      <c r="AB4119" t="s">
        <v>2497</v>
      </c>
      <c r="AC4119" t="s">
        <v>4207</v>
      </c>
      <c r="AD4119" s="249" t="str">
        <f>HYPERLINK("https://scontent.cdninstagram.com/t51.2885-15/e35/p320x320/21296452_153765645204833_6838488353650769920_n.jpg")</f>
        <v>https://scontent.cdninstagram.com/t51.2885-15/e35/p320x320/21296452_153765645204833_6838488353650769920_n.jpg</v>
      </c>
      <c r="AE4119" s="249" t="str">
        <f>HYPERLINK("https://scontent.cdninstagram.com/t51.2885-19/s150x150/21149329_480261879018827_5657034483648430080_a.jpg")</f>
        <v>https://scontent.cdninstagram.com/t51.2885-19/s150x150/21149329_480261879018827_5657034483648430080_a.jpg</v>
      </c>
    </row>
    <row r="4120" spans="1:31" ht="15" x14ac:dyDescent="0.25">
      <c r="A4120" t="s">
        <v>2474</v>
      </c>
      <c r="B4120" t="s">
        <v>22733</v>
      </c>
      <c r="C4120" s="221">
        <v>42979.671064814815</v>
      </c>
      <c r="D4120" t="s">
        <v>22734</v>
      </c>
      <c r="E4120" s="249" t="str">
        <f>HYPERLINK("https://www.instagram.com/p/BYgt4kVB8yO/")</f>
        <v>https://www.instagram.com/p/BYgt4kVB8yO/</v>
      </c>
      <c r="F4120" t="s">
        <v>22735</v>
      </c>
      <c r="G4120" t="s">
        <v>2478</v>
      </c>
      <c r="H4120">
        <v>446</v>
      </c>
      <c r="I4120" t="s">
        <v>2510</v>
      </c>
      <c r="J4120">
        <v>0</v>
      </c>
      <c r="K4120">
        <v>43</v>
      </c>
      <c r="L4120">
        <v>43</v>
      </c>
      <c r="Q4120">
        <v>0</v>
      </c>
      <c r="R4120">
        <v>0</v>
      </c>
      <c r="S4120">
        <v>43</v>
      </c>
      <c r="Y4120" t="s">
        <v>22736</v>
      </c>
      <c r="Z4120" t="s">
        <v>2497</v>
      </c>
      <c r="AA4120" t="s">
        <v>22737</v>
      </c>
      <c r="AB4120" t="s">
        <v>8882</v>
      </c>
      <c r="AC4120" t="s">
        <v>22738</v>
      </c>
      <c r="AD4120" s="249" t="str">
        <f>HYPERLINK("https://scontent.cdninstagram.com/t51.2885-15/s320x320/e35/21227242_119072848822776_5879050719092277248_n.jpg")</f>
        <v>https://scontent.cdninstagram.com/t51.2885-15/s320x320/e35/21227242_119072848822776_5879050719092277248_n.jpg</v>
      </c>
      <c r="AE4120" s="249" t="str">
        <f>HYPERLINK("https://scontent.cdninstagram.com/t51.2885-19/s150x150/18012069_199610633878581_5972787993780420608_a.jpg")</f>
        <v>https://scontent.cdninstagram.com/t51.2885-19/s150x150/18012069_199610633878581_5972787993780420608_a.jpg</v>
      </c>
    </row>
    <row r="4121" spans="1:31" ht="15" x14ac:dyDescent="0.25">
      <c r="A4121" t="s">
        <v>2474</v>
      </c>
      <c r="B4121" t="s">
        <v>3993</v>
      </c>
      <c r="C4121" s="221">
        <v>42979.671701388892</v>
      </c>
      <c r="D4121" t="s">
        <v>22739</v>
      </c>
      <c r="E4121" s="249" t="str">
        <f>HYPERLINK("https://www.instagram.com/p/BYgt_RsnLn1/")</f>
        <v>https://www.instagram.com/p/BYgt_RsnLn1/</v>
      </c>
      <c r="F4121" t="s">
        <v>22740</v>
      </c>
      <c r="G4121" t="s">
        <v>2478</v>
      </c>
      <c r="H4121">
        <v>4973</v>
      </c>
      <c r="I4121" t="s">
        <v>2582</v>
      </c>
      <c r="J4121">
        <v>4</v>
      </c>
      <c r="K4121">
        <v>534</v>
      </c>
      <c r="L4121">
        <v>538</v>
      </c>
      <c r="Q4121">
        <v>0</v>
      </c>
      <c r="R4121">
        <v>0</v>
      </c>
      <c r="S4121">
        <v>538</v>
      </c>
      <c r="T4121" t="s">
        <v>21694</v>
      </c>
      <c r="U4121" t="s">
        <v>112</v>
      </c>
      <c r="V4121" t="s">
        <v>2299</v>
      </c>
      <c r="W4121">
        <v>29.599599999999999</v>
      </c>
      <c r="X4121">
        <v>-95.614099999999993</v>
      </c>
      <c r="Y4121" t="s">
        <v>2497</v>
      </c>
      <c r="Z4121" t="s">
        <v>6094</v>
      </c>
      <c r="AA4121" t="s">
        <v>4000</v>
      </c>
      <c r="AB4121" t="s">
        <v>4380</v>
      </c>
      <c r="AC4121" t="s">
        <v>3998</v>
      </c>
      <c r="AD4121" s="249" t="str">
        <f>HYPERLINK("https://scontent.cdninstagram.com/t51.2885-15/s320x320/e35/21224747_775484812623223_7576507577853280256_n.jpg")</f>
        <v>https://scontent.cdninstagram.com/t51.2885-15/s320x320/e35/21224747_775484812623223_7576507577853280256_n.jpg</v>
      </c>
      <c r="AE4121" s="249" t="str">
        <f>HYPERLINK("https://scontent.cdninstagram.com/t51.2885-19/s150x150/20590168_732024603636467_1659654334738071552_a.jpg")</f>
        <v>https://scontent.cdninstagram.com/t51.2885-19/s150x150/20590168_732024603636467_1659654334738071552_a.jpg</v>
      </c>
    </row>
    <row r="4122" spans="1:31" ht="15" x14ac:dyDescent="0.25">
      <c r="A4122" t="s">
        <v>2474</v>
      </c>
      <c r="B4122" t="s">
        <v>22741</v>
      </c>
      <c r="C4122" s="221">
        <v>42979.672037037039</v>
      </c>
      <c r="D4122" t="s">
        <v>22742</v>
      </c>
      <c r="E4122" s="249" t="str">
        <f>HYPERLINK("https://www.instagram.com/p/BYguCykHycp/")</f>
        <v>https://www.instagram.com/p/BYguCykHycp/</v>
      </c>
      <c r="F4122" t="s">
        <v>22743</v>
      </c>
      <c r="G4122" t="s">
        <v>2478</v>
      </c>
      <c r="H4122">
        <v>271</v>
      </c>
      <c r="I4122" t="s">
        <v>2542</v>
      </c>
      <c r="J4122">
        <v>2</v>
      </c>
      <c r="K4122">
        <v>41</v>
      </c>
      <c r="L4122">
        <v>43</v>
      </c>
      <c r="Q4122">
        <v>0</v>
      </c>
      <c r="R4122">
        <v>0</v>
      </c>
      <c r="S4122">
        <v>43</v>
      </c>
      <c r="Y4122" t="s">
        <v>2497</v>
      </c>
      <c r="Z4122" t="s">
        <v>22744</v>
      </c>
      <c r="AA4122" t="s">
        <v>22745</v>
      </c>
      <c r="AB4122" t="s">
        <v>22746</v>
      </c>
      <c r="AC4122" t="s">
        <v>22747</v>
      </c>
      <c r="AD4122" s="249" t="str">
        <f>HYPERLINK("https://scontent.cdninstagram.com/t51.2885-15/s320x320/e35/21296526_166183833958126_2687648598052569088_n.jpg")</f>
        <v>https://scontent.cdninstagram.com/t51.2885-15/s320x320/e35/21296526_166183833958126_2687648598052569088_n.jpg</v>
      </c>
      <c r="AE4122" s="249" t="str">
        <f>HYPERLINK("https://scontent.cdninstagram.com/t51.2885-19/s150x150/20582618_493034527711682_500739847514750976_a.jpg")</f>
        <v>https://scontent.cdninstagram.com/t51.2885-19/s150x150/20582618_493034527711682_500739847514750976_a.jpg</v>
      </c>
    </row>
    <row r="4123" spans="1:31" ht="15" x14ac:dyDescent="0.25">
      <c r="A4123" t="s">
        <v>2474</v>
      </c>
      <c r="B4123" t="s">
        <v>22748</v>
      </c>
      <c r="C4123" s="221">
        <v>42979.673437500001</v>
      </c>
      <c r="D4123" t="s">
        <v>22749</v>
      </c>
      <c r="E4123" s="249" t="str">
        <f>HYPERLINK("https://www.instagram.com/p/BYguRktDori/")</f>
        <v>https://www.instagram.com/p/BYguRktDori/</v>
      </c>
      <c r="F4123" t="s">
        <v>22750</v>
      </c>
      <c r="G4123" t="s">
        <v>2478</v>
      </c>
      <c r="H4123">
        <v>520</v>
      </c>
      <c r="I4123" t="s">
        <v>2479</v>
      </c>
      <c r="J4123">
        <v>2</v>
      </c>
      <c r="K4123">
        <v>22</v>
      </c>
      <c r="L4123">
        <v>24</v>
      </c>
      <c r="Q4123">
        <v>0</v>
      </c>
      <c r="R4123">
        <v>0</v>
      </c>
      <c r="S4123">
        <v>24</v>
      </c>
      <c r="Y4123" t="s">
        <v>2497</v>
      </c>
      <c r="Z4123" t="s">
        <v>22751</v>
      </c>
      <c r="AA4123" t="s">
        <v>22752</v>
      </c>
      <c r="AB4123" t="s">
        <v>5721</v>
      </c>
      <c r="AC4123" t="s">
        <v>22753</v>
      </c>
      <c r="AD4123" s="249" t="str">
        <f>HYPERLINK("https://scontent.cdninstagram.com/t51.2885-15/s320x320/e35/21149285_1735798090057048_3235025055893159936_n.jpg")</f>
        <v>https://scontent.cdninstagram.com/t51.2885-15/s320x320/e35/21149285_1735798090057048_3235025055893159936_n.jpg</v>
      </c>
      <c r="AE4123" s="249" t="str">
        <f>HYPERLINK("https://scontent.cdninstagram.com/t51.2885-19/s150x150/20901984_1843203719328442_1589853681589682176_a.jpg")</f>
        <v>https://scontent.cdninstagram.com/t51.2885-19/s150x150/20901984_1843203719328442_1589853681589682176_a.jpg</v>
      </c>
    </row>
    <row r="4124" spans="1:31" ht="15" x14ac:dyDescent="0.25">
      <c r="A4124" t="s">
        <v>2474</v>
      </c>
      <c r="B4124" t="s">
        <v>22754</v>
      </c>
      <c r="C4124" s="221">
        <v>42979.67559027778</v>
      </c>
      <c r="D4124" t="s">
        <v>22755</v>
      </c>
      <c r="E4124" s="249" t="str">
        <f>HYPERLINK("https://www.instagram.com/p/BYguoNrjuqu/")</f>
        <v>https://www.instagram.com/p/BYguoNrjuqu/</v>
      </c>
      <c r="F4124" t="s">
        <v>22756</v>
      </c>
      <c r="G4124" t="s">
        <v>2478</v>
      </c>
      <c r="H4124">
        <v>702</v>
      </c>
      <c r="I4124" t="s">
        <v>2542</v>
      </c>
      <c r="J4124">
        <v>5</v>
      </c>
      <c r="K4124">
        <v>31</v>
      </c>
      <c r="L4124">
        <v>36</v>
      </c>
      <c r="Q4124">
        <v>0</v>
      </c>
      <c r="R4124">
        <v>0</v>
      </c>
      <c r="S4124">
        <v>36</v>
      </c>
      <c r="Y4124" t="s">
        <v>2497</v>
      </c>
      <c r="Z4124" t="s">
        <v>3636</v>
      </c>
      <c r="AA4124" t="s">
        <v>21950</v>
      </c>
      <c r="AB4124" t="s">
        <v>22757</v>
      </c>
      <c r="AC4124" t="s">
        <v>8732</v>
      </c>
      <c r="AD4124" s="249" t="str">
        <f>HYPERLINK("https://scontent.cdninstagram.com/t51.2885-15/s320x320/e35/21227667_1643263632382344_471148270169620480_n.jpg")</f>
        <v>https://scontent.cdninstagram.com/t51.2885-15/s320x320/e35/21227667_1643263632382344_471148270169620480_n.jpg</v>
      </c>
      <c r="AE4124" s="249" t="str">
        <f>HYPERLINK("https://scontent.cdninstagram.com/t51.2885-19/s150x150/13636284_1205555202838707_734465984_a.jpg")</f>
        <v>https://scontent.cdninstagram.com/t51.2885-19/s150x150/13636284_1205555202838707_734465984_a.jpg</v>
      </c>
    </row>
    <row r="4125" spans="1:31" ht="15" x14ac:dyDescent="0.25">
      <c r="A4125" t="s">
        <v>2474</v>
      </c>
      <c r="B4125" t="s">
        <v>6899</v>
      </c>
      <c r="C4125" s="221">
        <v>42979.677314814813</v>
      </c>
      <c r="D4125" t="s">
        <v>22758</v>
      </c>
      <c r="E4125" s="249" t="str">
        <f>HYPERLINK("https://www.instagram.com/p/BYgu6fSAm59/")</f>
        <v>https://www.instagram.com/p/BYgu6fSAm59/</v>
      </c>
      <c r="F4125" t="s">
        <v>22759</v>
      </c>
      <c r="G4125" t="s">
        <v>2478</v>
      </c>
      <c r="H4125">
        <v>36366</v>
      </c>
      <c r="I4125" t="s">
        <v>2479</v>
      </c>
      <c r="J4125">
        <v>2</v>
      </c>
      <c r="K4125">
        <v>693</v>
      </c>
      <c r="L4125">
        <v>695</v>
      </c>
      <c r="Q4125">
        <v>0</v>
      </c>
      <c r="R4125">
        <v>0</v>
      </c>
      <c r="S4125">
        <v>695</v>
      </c>
      <c r="Y4125" t="s">
        <v>2497</v>
      </c>
      <c r="Z4125" t="s">
        <v>22760</v>
      </c>
      <c r="AA4125" t="s">
        <v>22761</v>
      </c>
      <c r="AB4125" t="s">
        <v>5651</v>
      </c>
      <c r="AC4125" t="s">
        <v>5650</v>
      </c>
      <c r="AD4125" s="249" t="str">
        <f>HYPERLINK("https://scontent.cdninstagram.com/t51.2885-15/s320x320/e35/21224426_1883222915326584_7682290792697692160_n.jpg")</f>
        <v>https://scontent.cdninstagram.com/t51.2885-15/s320x320/e35/21224426_1883222915326584_7682290792697692160_n.jpg</v>
      </c>
      <c r="AE4125" s="249" t="str">
        <f>HYPERLINK("https://scontent.cdninstagram.com/t51.2885-19/s150x150/17493776_1474371442636277_6993911971573661696_n.jpg")</f>
        <v>https://scontent.cdninstagram.com/t51.2885-19/s150x150/17493776_1474371442636277_6993911971573661696_n.jpg</v>
      </c>
    </row>
    <row r="4126" spans="1:31" ht="15" x14ac:dyDescent="0.25">
      <c r="A4126" t="s">
        <v>2474</v>
      </c>
      <c r="B4126" t="s">
        <v>22762</v>
      </c>
      <c r="C4126" s="221">
        <v>42979.677951388891</v>
      </c>
      <c r="D4126" t="s">
        <v>22763</v>
      </c>
      <c r="E4126" s="249" t="str">
        <f>HYPERLINK("https://www.instagram.com/p/BYgvBF6HyE4/")</f>
        <v>https://www.instagram.com/p/BYgvBF6HyE4/</v>
      </c>
      <c r="F4126" t="s">
        <v>22764</v>
      </c>
      <c r="G4126" t="s">
        <v>2478</v>
      </c>
      <c r="H4126">
        <v>364</v>
      </c>
      <c r="I4126" t="s">
        <v>2479</v>
      </c>
      <c r="J4126">
        <v>0</v>
      </c>
      <c r="K4126">
        <v>20</v>
      </c>
      <c r="L4126">
        <v>20</v>
      </c>
      <c r="Q4126">
        <v>0</v>
      </c>
      <c r="R4126">
        <v>0</v>
      </c>
      <c r="S4126">
        <v>20</v>
      </c>
      <c r="Y4126" t="s">
        <v>2497</v>
      </c>
      <c r="Z4126" t="s">
        <v>22765</v>
      </c>
      <c r="AA4126" t="s">
        <v>21014</v>
      </c>
      <c r="AB4126" t="s">
        <v>22766</v>
      </c>
      <c r="AC4126" t="s">
        <v>22767</v>
      </c>
      <c r="AD4126" s="249" t="str">
        <f>HYPERLINK("https://scontent.cdninstagram.com/t51.2885-15/s320x320/e35/21149606_114744565882715_2696000582866436096_n.jpg")</f>
        <v>https://scontent.cdninstagram.com/t51.2885-15/s320x320/e35/21149606_114744565882715_2696000582866436096_n.jpg</v>
      </c>
      <c r="AE4126" s="249" t="str">
        <f>HYPERLINK("https://scontent.cdninstagram.com/t51.2885-19/s150x150/15803747_1626634160972389_8313110991856467968_a.jpg")</f>
        <v>https://scontent.cdninstagram.com/t51.2885-19/s150x150/15803747_1626634160972389_8313110991856467968_a.jpg</v>
      </c>
    </row>
    <row r="4127" spans="1:31" ht="15" x14ac:dyDescent="0.25">
      <c r="A4127" t="s">
        <v>2474</v>
      </c>
      <c r="B4127" t="s">
        <v>22768</v>
      </c>
      <c r="C4127" s="221">
        <v>42979.679918981485</v>
      </c>
      <c r="D4127" t="s">
        <v>22769</v>
      </c>
      <c r="E4127" s="249" t="str">
        <f>HYPERLINK("https://www.instagram.com/p/BYgvV1zBBAL/")</f>
        <v>https://www.instagram.com/p/BYgvV1zBBAL/</v>
      </c>
      <c r="F4127" t="s">
        <v>22770</v>
      </c>
      <c r="G4127" t="s">
        <v>2631</v>
      </c>
      <c r="H4127">
        <v>808</v>
      </c>
      <c r="I4127" t="s">
        <v>2927</v>
      </c>
      <c r="J4127">
        <v>0</v>
      </c>
      <c r="K4127">
        <v>27</v>
      </c>
      <c r="L4127">
        <v>27</v>
      </c>
      <c r="Q4127">
        <v>0</v>
      </c>
      <c r="R4127">
        <v>0</v>
      </c>
      <c r="S4127">
        <v>27</v>
      </c>
      <c r="T4127" t="s">
        <v>22771</v>
      </c>
      <c r="V4127" t="s">
        <v>2106</v>
      </c>
      <c r="W4127">
        <v>26.23151</v>
      </c>
      <c r="X4127">
        <v>50.543219999999998</v>
      </c>
      <c r="Y4127" t="s">
        <v>2513</v>
      </c>
      <c r="Z4127" t="s">
        <v>22772</v>
      </c>
      <c r="AA4127" t="s">
        <v>2497</v>
      </c>
      <c r="AB4127" t="s">
        <v>22773</v>
      </c>
      <c r="AC4127" t="s">
        <v>22774</v>
      </c>
      <c r="AD4127" s="249" t="str">
        <f>HYPERLINK("https://scontent.cdninstagram.com/t51.2885-15/s320x320/e15/21294975_1955677718037891_8716887275444633600_n.jpg")</f>
        <v>https://scontent.cdninstagram.com/t51.2885-15/s320x320/e15/21294975_1955677718037891_8716887275444633600_n.jpg</v>
      </c>
      <c r="AE4127" s="249" t="str">
        <f>HYPERLINK("https://scontent.cdninstagram.com/t51.2885-19/s150x150/21107406_1925159671141774_5529889149445734400_a.jpg")</f>
        <v>https://scontent.cdninstagram.com/t51.2885-19/s150x150/21107406_1925159671141774_5529889149445734400_a.jpg</v>
      </c>
    </row>
    <row r="4128" spans="1:31" ht="15" x14ac:dyDescent="0.25">
      <c r="A4128" t="s">
        <v>2474</v>
      </c>
      <c r="B4128" t="s">
        <v>16980</v>
      </c>
      <c r="C4128" s="221">
        <v>42979.681307870371</v>
      </c>
      <c r="D4128" t="s">
        <v>22775</v>
      </c>
      <c r="E4128" s="249" t="str">
        <f>HYPERLINK("https://www.instagram.com/p/BYgvkmMBhRd/")</f>
        <v>https://www.instagram.com/p/BYgvkmMBhRd/</v>
      </c>
      <c r="F4128" t="s">
        <v>22776</v>
      </c>
      <c r="G4128" t="s">
        <v>2478</v>
      </c>
      <c r="H4128">
        <v>101</v>
      </c>
      <c r="I4128" t="s">
        <v>2479</v>
      </c>
      <c r="J4128">
        <v>5</v>
      </c>
      <c r="K4128">
        <v>50</v>
      </c>
      <c r="L4128">
        <v>55</v>
      </c>
      <c r="Q4128">
        <v>0</v>
      </c>
      <c r="R4128">
        <v>0</v>
      </c>
      <c r="S4128">
        <v>55</v>
      </c>
      <c r="T4128" t="s">
        <v>18737</v>
      </c>
      <c r="U4128" t="s">
        <v>234</v>
      </c>
      <c r="V4128" t="s">
        <v>2299</v>
      </c>
      <c r="W4128">
        <v>34.278300000000002</v>
      </c>
      <c r="X4128">
        <v>-119.292</v>
      </c>
      <c r="Y4128" t="s">
        <v>2497</v>
      </c>
      <c r="Z4128" t="s">
        <v>22777</v>
      </c>
      <c r="AA4128" t="s">
        <v>15125</v>
      </c>
      <c r="AB4128" t="s">
        <v>22778</v>
      </c>
      <c r="AC4128" t="s">
        <v>22779</v>
      </c>
      <c r="AD4128" s="249" t="str">
        <f>HYPERLINK("https://scontent.cdninstagram.com/t51.2885-15/s320x320/e15/21224872_168330803739688_3532933397817065472_n.jpg")</f>
        <v>https://scontent.cdninstagram.com/t51.2885-15/s320x320/e15/21224872_168330803739688_3532933397817065472_n.jpg</v>
      </c>
      <c r="AE4128" s="249" t="str">
        <f>HYPERLINK("https://scontent.cdninstagram.com/t51.2885-19/s150x150/17662838_1488900077846637_6510729130026205184_a.jpg")</f>
        <v>https://scontent.cdninstagram.com/t51.2885-19/s150x150/17662838_1488900077846637_6510729130026205184_a.jpg</v>
      </c>
    </row>
    <row r="4129" spans="1:31" ht="15" x14ac:dyDescent="0.25">
      <c r="A4129" t="s">
        <v>2474</v>
      </c>
      <c r="B4129" t="s">
        <v>22780</v>
      </c>
      <c r="C4129" s="221">
        <v>42979.686365740738</v>
      </c>
      <c r="D4129" t="s">
        <v>22781</v>
      </c>
      <c r="E4129" s="249" t="str">
        <f>HYPERLINK("https://www.instagram.com/p/BYgwZ55gGDd/")</f>
        <v>https://www.instagram.com/p/BYgwZ55gGDd/</v>
      </c>
      <c r="F4129" t="s">
        <v>22782</v>
      </c>
      <c r="G4129" t="s">
        <v>2478</v>
      </c>
      <c r="H4129">
        <v>83</v>
      </c>
      <c r="I4129" t="s">
        <v>2479</v>
      </c>
      <c r="J4129">
        <v>0</v>
      </c>
      <c r="K4129">
        <v>21</v>
      </c>
      <c r="L4129">
        <v>21</v>
      </c>
      <c r="Q4129">
        <v>0</v>
      </c>
      <c r="R4129">
        <v>0</v>
      </c>
      <c r="S4129">
        <v>21</v>
      </c>
      <c r="Y4129" t="s">
        <v>22783</v>
      </c>
      <c r="Z4129" t="s">
        <v>19497</v>
      </c>
      <c r="AA4129" t="s">
        <v>5467</v>
      </c>
      <c r="AB4129" t="s">
        <v>22784</v>
      </c>
      <c r="AC4129" t="s">
        <v>2497</v>
      </c>
      <c r="AD4129" s="249" t="str">
        <f>HYPERLINK("https://scontent.cdninstagram.com/t51.2885-15/s320x320/e35/21296528_2003199436582989_777240221304487936_n.jpg")</f>
        <v>https://scontent.cdninstagram.com/t51.2885-15/s320x320/e35/21296528_2003199436582989_777240221304487936_n.jpg</v>
      </c>
      <c r="AE4129" s="249" t="str">
        <f>HYPERLINK("https://scontent.cdninstagram.com/t51.2885-19/s150x150/18299563_1931342760446875_1774442893411352576_a.jpg")</f>
        <v>https://scontent.cdninstagram.com/t51.2885-19/s150x150/18299563_1931342760446875_1774442893411352576_a.jpg</v>
      </c>
    </row>
    <row r="4130" spans="1:31" ht="15" x14ac:dyDescent="0.25">
      <c r="A4130" t="s">
        <v>2474</v>
      </c>
      <c r="B4130" t="s">
        <v>22785</v>
      </c>
      <c r="C4130" s="221">
        <v>42979.68854166667</v>
      </c>
      <c r="D4130" t="s">
        <v>22786</v>
      </c>
      <c r="E4130" s="249" t="str">
        <f>HYPERLINK("https://www.instagram.com/p/BYgwwzMlOvv/")</f>
        <v>https://www.instagram.com/p/BYgwwzMlOvv/</v>
      </c>
      <c r="F4130" t="s">
        <v>22787</v>
      </c>
      <c r="G4130" t="s">
        <v>2478</v>
      </c>
      <c r="H4130">
        <v>71</v>
      </c>
      <c r="I4130" t="s">
        <v>2510</v>
      </c>
      <c r="J4130">
        <v>1</v>
      </c>
      <c r="K4130">
        <v>17</v>
      </c>
      <c r="L4130">
        <v>18</v>
      </c>
      <c r="Q4130">
        <v>0</v>
      </c>
      <c r="R4130">
        <v>0</v>
      </c>
      <c r="S4130">
        <v>18</v>
      </c>
      <c r="Y4130" t="s">
        <v>15610</v>
      </c>
      <c r="Z4130" t="s">
        <v>2497</v>
      </c>
      <c r="AA4130" t="s">
        <v>22788</v>
      </c>
      <c r="AD4130" s="249" t="str">
        <f>HYPERLINK("https://scontent.cdninstagram.com/t51.2885-15/s320x320/e35/21226939_341936616218904_2939724493557334016_n.jpg")</f>
        <v>https://scontent.cdninstagram.com/t51.2885-15/s320x320/e35/21226939_341936616218904_2939724493557334016_n.jpg</v>
      </c>
      <c r="AE4130" s="249" t="str">
        <f>HYPERLINK("https://scontent.cdninstagram.com/t51.2885-19/s150x150/15276552_618817548320447_6550506149299355648_a.jpg")</f>
        <v>https://scontent.cdninstagram.com/t51.2885-19/s150x150/15276552_618817548320447_6550506149299355648_a.jpg</v>
      </c>
    </row>
    <row r="4131" spans="1:31" ht="15" x14ac:dyDescent="0.25">
      <c r="A4131" t="s">
        <v>2474</v>
      </c>
      <c r="B4131" t="s">
        <v>22789</v>
      </c>
      <c r="C4131" s="221">
        <v>42979.68986111111</v>
      </c>
      <c r="D4131" t="s">
        <v>22790</v>
      </c>
      <c r="E4131" s="249" t="str">
        <f>HYPERLINK("https://www.instagram.com/p/BYgw-xPn2OB/")</f>
        <v>https://www.instagram.com/p/BYgw-xPn2OB/</v>
      </c>
      <c r="F4131" t="s">
        <v>22791</v>
      </c>
      <c r="G4131" t="s">
        <v>2478</v>
      </c>
      <c r="H4131">
        <v>49</v>
      </c>
      <c r="I4131" t="s">
        <v>2542</v>
      </c>
      <c r="J4131">
        <v>0</v>
      </c>
      <c r="K4131">
        <v>7</v>
      </c>
      <c r="L4131">
        <v>7</v>
      </c>
      <c r="Q4131">
        <v>0</v>
      </c>
      <c r="R4131">
        <v>0</v>
      </c>
      <c r="S4131">
        <v>7</v>
      </c>
      <c r="Y4131" t="s">
        <v>22792</v>
      </c>
      <c r="Z4131" t="s">
        <v>22793</v>
      </c>
      <c r="AA4131" t="s">
        <v>22794</v>
      </c>
      <c r="AB4131" t="s">
        <v>22795</v>
      </c>
      <c r="AC4131" t="s">
        <v>5989</v>
      </c>
      <c r="AD4131" s="249" t="str">
        <f>HYPERLINK("https://scontent.cdninstagram.com/t51.2885-15/s320x320/e35/21149432_762051097316165_8296360971589386240_n.jpg")</f>
        <v>https://scontent.cdninstagram.com/t51.2885-15/s320x320/e35/21149432_762051097316165_8296360971589386240_n.jpg</v>
      </c>
      <c r="AE4131" s="249" t="str">
        <f>HYPERLINK("https://scontent.cdninstagram.com/t51.2885-19/s150x150/16228662_1336549133055135_2477922304152043520_a.jpg")</f>
        <v>https://scontent.cdninstagram.com/t51.2885-19/s150x150/16228662_1336549133055135_2477922304152043520_a.jpg</v>
      </c>
    </row>
    <row r="4132" spans="1:31" ht="15" x14ac:dyDescent="0.25">
      <c r="A4132" t="s">
        <v>2474</v>
      </c>
      <c r="B4132" t="s">
        <v>15206</v>
      </c>
      <c r="C4132" s="221">
        <v>42979.700300925928</v>
      </c>
      <c r="D4132" t="s">
        <v>22796</v>
      </c>
      <c r="E4132" s="249" t="str">
        <f>HYPERLINK("https://www.instagram.com/p/BYgys0Ulw_f/")</f>
        <v>https://www.instagram.com/p/BYgys0Ulw_f/</v>
      </c>
      <c r="F4132" t="s">
        <v>22797</v>
      </c>
      <c r="G4132" t="s">
        <v>2478</v>
      </c>
      <c r="H4132">
        <v>61875</v>
      </c>
      <c r="I4132" t="s">
        <v>2479</v>
      </c>
      <c r="J4132">
        <v>9</v>
      </c>
      <c r="K4132">
        <v>991</v>
      </c>
      <c r="L4132">
        <v>1000</v>
      </c>
      <c r="Q4132">
        <v>0</v>
      </c>
      <c r="R4132">
        <v>0</v>
      </c>
      <c r="S4132">
        <v>1000</v>
      </c>
      <c r="AD4132" s="249" t="str">
        <f>HYPERLINK("https://scontent.cdninstagram.com/t51.2885-15/e35/p320x320/21226988_138873970056016_7479892657896947712_n.jpg")</f>
        <v>https://scontent.cdninstagram.com/t51.2885-15/e35/p320x320/21226988_138873970056016_7479892657896947712_n.jpg</v>
      </c>
      <c r="AE4132" s="249" t="str">
        <f>HYPERLINK("https://scontent.cdninstagram.com/t51.2885-19/17663530_1657274724581959_2295744149531394048_n.jpg")</f>
        <v>https://scontent.cdninstagram.com/t51.2885-19/17663530_1657274724581959_2295744149531394048_n.jpg</v>
      </c>
    </row>
    <row r="4133" spans="1:31" ht="15" x14ac:dyDescent="0.25">
      <c r="A4133" t="s">
        <v>2474</v>
      </c>
      <c r="B4133" t="s">
        <v>22798</v>
      </c>
      <c r="C4133" s="221">
        <v>42979.706400462965</v>
      </c>
      <c r="D4133" t="s">
        <v>22799</v>
      </c>
      <c r="E4133" s="249" t="str">
        <f>HYPERLINK("https://www.instagram.com/p/BYgztJdn66M/")</f>
        <v>https://www.instagram.com/p/BYgztJdn66M/</v>
      </c>
      <c r="F4133" t="s">
        <v>22800</v>
      </c>
      <c r="G4133" t="s">
        <v>2488</v>
      </c>
      <c r="I4133" t="s">
        <v>2479</v>
      </c>
      <c r="J4133">
        <v>3</v>
      </c>
      <c r="K4133">
        <v>123</v>
      </c>
      <c r="L4133">
        <v>126</v>
      </c>
      <c r="Q4133">
        <v>0</v>
      </c>
      <c r="R4133">
        <v>0</v>
      </c>
      <c r="S4133">
        <v>126</v>
      </c>
      <c r="Y4133" t="s">
        <v>2497</v>
      </c>
      <c r="Z4133" t="s">
        <v>11818</v>
      </c>
      <c r="AA4133" t="s">
        <v>22798</v>
      </c>
      <c r="AD4133" s="249" t="str">
        <f>HYPERLINK("https://scontent.cdninstagram.com/t51.2885-15/s320x320/e35/21224746_116888712366598_7046955586478407680_n.jpg")</f>
        <v>https://scontent.cdninstagram.com/t51.2885-15/s320x320/e35/21224746_116888712366598_7046955586478407680_n.jpg</v>
      </c>
      <c r="AE4133" s="249" t="str">
        <f>HYPERLINK("https://scontent.cdninstagram.com/t51.2885-19/s150x150/12543345_214154938927490_1003872589_a.jpg")</f>
        <v>https://scontent.cdninstagram.com/t51.2885-19/s150x150/12543345_214154938927490_1003872589_a.jpg</v>
      </c>
    </row>
    <row r="4134" spans="1:31" ht="15" x14ac:dyDescent="0.25">
      <c r="A4134" t="s">
        <v>2474</v>
      </c>
      <c r="B4134" t="s">
        <v>22801</v>
      </c>
      <c r="C4134" s="221">
        <v>42979.708136574074</v>
      </c>
      <c r="D4134" t="s">
        <v>22802</v>
      </c>
      <c r="E4134" s="249" t="str">
        <f>HYPERLINK("https://www.instagram.com/p/BYgz_elBwuM/")</f>
        <v>https://www.instagram.com/p/BYgz_elBwuM/</v>
      </c>
      <c r="F4134" t="s">
        <v>22803</v>
      </c>
      <c r="G4134" t="s">
        <v>2478</v>
      </c>
      <c r="H4134">
        <v>227</v>
      </c>
      <c r="I4134" t="s">
        <v>2599</v>
      </c>
      <c r="J4134">
        <v>0</v>
      </c>
      <c r="K4134">
        <v>22</v>
      </c>
      <c r="L4134">
        <v>22</v>
      </c>
      <c r="Q4134">
        <v>0</v>
      </c>
      <c r="R4134">
        <v>0</v>
      </c>
      <c r="S4134">
        <v>22</v>
      </c>
      <c r="Y4134" t="s">
        <v>2497</v>
      </c>
      <c r="Z4134" t="s">
        <v>9903</v>
      </c>
      <c r="AA4134" t="s">
        <v>22804</v>
      </c>
      <c r="AB4134" t="s">
        <v>22805</v>
      </c>
      <c r="AC4134" t="s">
        <v>13118</v>
      </c>
      <c r="AD4134" s="249" t="str">
        <f>HYPERLINK("https://scontent.cdninstagram.com/t51.2885-15/s320x320/e35/21294734_186065441936126_7868920990158290944_n.jpg")</f>
        <v>https://scontent.cdninstagram.com/t51.2885-15/s320x320/e35/21294734_186065441936126_7868920990158290944_n.jpg</v>
      </c>
      <c r="AE4134" s="249" t="str">
        <f>HYPERLINK("https://scontent.cdninstagram.com/t51.2885-19/10597525_755172997879388_1104462610_a.jpg")</f>
        <v>https://scontent.cdninstagram.com/t51.2885-19/10597525_755172997879388_1104462610_a.jpg</v>
      </c>
    </row>
    <row r="4135" spans="1:31" ht="15" x14ac:dyDescent="0.25">
      <c r="A4135" t="s">
        <v>2474</v>
      </c>
      <c r="B4135" t="s">
        <v>17158</v>
      </c>
      <c r="C4135" s="221">
        <v>42979.717986111114</v>
      </c>
      <c r="D4135" t="s">
        <v>22806</v>
      </c>
      <c r="E4135" s="249" t="str">
        <f>HYPERLINK("https://www.instagram.com/p/BYg1nWGByXA/")</f>
        <v>https://www.instagram.com/p/BYg1nWGByXA/</v>
      </c>
      <c r="F4135" t="s">
        <v>22807</v>
      </c>
      <c r="G4135" t="s">
        <v>2631</v>
      </c>
      <c r="H4135">
        <v>376</v>
      </c>
      <c r="I4135" t="s">
        <v>2479</v>
      </c>
      <c r="J4135">
        <v>1</v>
      </c>
      <c r="K4135">
        <v>46</v>
      </c>
      <c r="L4135">
        <v>47</v>
      </c>
      <c r="Q4135">
        <v>0</v>
      </c>
      <c r="R4135">
        <v>0</v>
      </c>
      <c r="S4135">
        <v>47</v>
      </c>
      <c r="Y4135" t="s">
        <v>2497</v>
      </c>
      <c r="Z4135" t="s">
        <v>17559</v>
      </c>
      <c r="AA4135" t="s">
        <v>5982</v>
      </c>
      <c r="AB4135" t="s">
        <v>22808</v>
      </c>
      <c r="AC4135" t="s">
        <v>22809</v>
      </c>
      <c r="AD4135" s="249" t="str">
        <f>HYPERLINK("https://scontent.cdninstagram.com/t51.2885-15/s320x320/e15/21294976_657356237790700_6622554560697204736_n.jpg")</f>
        <v>https://scontent.cdninstagram.com/t51.2885-15/s320x320/e15/21294976_657356237790700_6622554560697204736_n.jpg</v>
      </c>
      <c r="AE4135" s="249" t="str">
        <f>HYPERLINK("https://scontent.cdninstagram.com/t51.2885-19/s150x150/13658639_315931348749567_46952542_a.jpg")</f>
        <v>https://scontent.cdninstagram.com/t51.2885-19/s150x150/13658639_315931348749567_46952542_a.jpg</v>
      </c>
    </row>
    <row r="4136" spans="1:31" ht="15" x14ac:dyDescent="0.25">
      <c r="A4136" t="s">
        <v>2474</v>
      </c>
      <c r="B4136" t="s">
        <v>22810</v>
      </c>
      <c r="C4136" s="221">
        <v>42979.724745370368</v>
      </c>
      <c r="D4136" t="s">
        <v>22811</v>
      </c>
      <c r="E4136" s="249" t="str">
        <f>HYPERLINK("https://www.instagram.com/p/BYg2uplnH11/")</f>
        <v>https://www.instagram.com/p/BYg2uplnH11/</v>
      </c>
      <c r="F4136" t="s">
        <v>22812</v>
      </c>
      <c r="G4136" t="s">
        <v>2478</v>
      </c>
      <c r="H4136">
        <v>788</v>
      </c>
      <c r="I4136" t="s">
        <v>2479</v>
      </c>
      <c r="J4136">
        <v>2</v>
      </c>
      <c r="K4136">
        <v>79</v>
      </c>
      <c r="L4136">
        <v>81</v>
      </c>
      <c r="Q4136">
        <v>0</v>
      </c>
      <c r="R4136">
        <v>0</v>
      </c>
      <c r="S4136">
        <v>81</v>
      </c>
      <c r="Y4136" t="s">
        <v>2497</v>
      </c>
      <c r="Z4136" t="s">
        <v>4174</v>
      </c>
      <c r="AA4136" t="s">
        <v>13242</v>
      </c>
      <c r="AB4136" t="s">
        <v>22813</v>
      </c>
      <c r="AC4136" t="s">
        <v>3570</v>
      </c>
      <c r="AD4136" s="249" t="str">
        <f>HYPERLINK("https://scontent.cdninstagram.com/t51.2885-15/s320x320/e35/21149648_287775511629278_7408796204525420544_n.jpg")</f>
        <v>https://scontent.cdninstagram.com/t51.2885-15/s320x320/e35/21149648_287775511629278_7408796204525420544_n.jpg</v>
      </c>
      <c r="AE4136" s="249" t="str">
        <f>HYPERLINK("https://scontent.cdninstagram.com/t51.2885-19/s150x150/19367809_1324245311005435_5844321063781007360_a.jpg")</f>
        <v>https://scontent.cdninstagram.com/t51.2885-19/s150x150/19367809_1324245311005435_5844321063781007360_a.jpg</v>
      </c>
    </row>
    <row r="4137" spans="1:31" ht="15" x14ac:dyDescent="0.25">
      <c r="A4137" t="s">
        <v>2474</v>
      </c>
      <c r="B4137" t="s">
        <v>22814</v>
      </c>
      <c r="C4137" s="221">
        <v>42979.725219907406</v>
      </c>
      <c r="D4137" t="s">
        <v>22815</v>
      </c>
      <c r="E4137" s="249" t="str">
        <f>HYPERLINK("https://www.instagram.com/p/BYg2zn8HZQ3/")</f>
        <v>https://www.instagram.com/p/BYg2zn8HZQ3/</v>
      </c>
      <c r="F4137" t="s">
        <v>22816</v>
      </c>
      <c r="G4137" t="s">
        <v>2478</v>
      </c>
      <c r="H4137">
        <v>68</v>
      </c>
      <c r="I4137" t="s">
        <v>2510</v>
      </c>
      <c r="J4137">
        <v>0</v>
      </c>
      <c r="K4137">
        <v>20</v>
      </c>
      <c r="L4137">
        <v>20</v>
      </c>
      <c r="Q4137">
        <v>0</v>
      </c>
      <c r="R4137">
        <v>0</v>
      </c>
      <c r="S4137">
        <v>20</v>
      </c>
      <c r="Y4137" t="s">
        <v>2497</v>
      </c>
      <c r="Z4137" t="s">
        <v>22817</v>
      </c>
      <c r="AA4137" t="s">
        <v>22818</v>
      </c>
      <c r="AB4137" t="s">
        <v>2861</v>
      </c>
      <c r="AC4137" t="s">
        <v>22819</v>
      </c>
      <c r="AD4137" s="249" t="str">
        <f>HYPERLINK("https://scontent.cdninstagram.com/t51.2885-15/s320x320/e35/21225038_1411391228969119_1414679703800774656_n.jpg")</f>
        <v>https://scontent.cdninstagram.com/t51.2885-15/s320x320/e35/21225038_1411391228969119_1414679703800774656_n.jpg</v>
      </c>
      <c r="AE4137" s="249" t="str">
        <f>HYPERLINK("https://scontent.cdninstagram.com/t51.2885-19/s150x150/19624152_1709617022677018_1128499757921075200_a.jpg")</f>
        <v>https://scontent.cdninstagram.com/t51.2885-19/s150x150/19624152_1709617022677018_1128499757921075200_a.jpg</v>
      </c>
    </row>
    <row r="4138" spans="1:31" ht="15" x14ac:dyDescent="0.25">
      <c r="A4138" t="s">
        <v>2474</v>
      </c>
      <c r="B4138" t="s">
        <v>22820</v>
      </c>
      <c r="C4138" s="221">
        <v>42979.74082175926</v>
      </c>
      <c r="D4138" t="s">
        <v>22821</v>
      </c>
      <c r="E4138" s="249" t="str">
        <f>HYPERLINK("https://www.instagram.com/p/BYg5YP5gKt0/")</f>
        <v>https://www.instagram.com/p/BYg5YP5gKt0/</v>
      </c>
      <c r="F4138" t="s">
        <v>22822</v>
      </c>
      <c r="G4138" t="s">
        <v>2478</v>
      </c>
      <c r="H4138">
        <v>370</v>
      </c>
      <c r="I4138" t="s">
        <v>2479</v>
      </c>
      <c r="J4138">
        <v>17</v>
      </c>
      <c r="K4138">
        <v>145</v>
      </c>
      <c r="L4138">
        <v>162</v>
      </c>
      <c r="Q4138">
        <v>0</v>
      </c>
      <c r="R4138">
        <v>0</v>
      </c>
      <c r="S4138">
        <v>162</v>
      </c>
      <c r="Y4138" t="s">
        <v>2497</v>
      </c>
      <c r="Z4138" t="s">
        <v>22823</v>
      </c>
      <c r="AA4138" t="s">
        <v>22824</v>
      </c>
      <c r="AB4138" t="s">
        <v>22825</v>
      </c>
      <c r="AC4138" t="s">
        <v>22826</v>
      </c>
      <c r="AD4138" s="249" t="str">
        <f>HYPERLINK("https://scontent.cdninstagram.com/t51.2885-15/s320x320/e35/21227211_119839648749477_4146890554644365312_n.jpg")</f>
        <v>https://scontent.cdninstagram.com/t51.2885-15/s320x320/e35/21227211_119839648749477_4146890554644365312_n.jpg</v>
      </c>
      <c r="AE4138" s="249" t="str">
        <f>HYPERLINK("https://scontent.cdninstagram.com/t51.2885-19/s150x150/20066026_1932474513635190_8184808906996842496_a.jpg")</f>
        <v>https://scontent.cdninstagram.com/t51.2885-19/s150x150/20066026_1932474513635190_8184808906996842496_a.jpg</v>
      </c>
    </row>
    <row r="4139" spans="1:31" ht="15" x14ac:dyDescent="0.25">
      <c r="A4139" t="s">
        <v>2474</v>
      </c>
      <c r="B4139" t="s">
        <v>2516</v>
      </c>
      <c r="C4139" s="221">
        <v>42979.749895833331</v>
      </c>
      <c r="D4139" t="s">
        <v>22827</v>
      </c>
      <c r="E4139" s="249" t="str">
        <f>HYPERLINK("https://www.instagram.com/p/BYg6399j9Tb/")</f>
        <v>https://www.instagram.com/p/BYg6399j9Tb/</v>
      </c>
      <c r="F4139" t="s">
        <v>22828</v>
      </c>
      <c r="G4139" t="s">
        <v>2478</v>
      </c>
      <c r="H4139">
        <v>690</v>
      </c>
      <c r="I4139" t="s">
        <v>2479</v>
      </c>
      <c r="J4139">
        <v>0</v>
      </c>
      <c r="K4139">
        <v>23</v>
      </c>
      <c r="L4139">
        <v>23</v>
      </c>
      <c r="Q4139">
        <v>0</v>
      </c>
      <c r="R4139">
        <v>0</v>
      </c>
      <c r="S4139">
        <v>23</v>
      </c>
      <c r="Y4139" t="s">
        <v>18544</v>
      </c>
      <c r="Z4139" t="s">
        <v>2497</v>
      </c>
      <c r="AA4139" t="s">
        <v>10712</v>
      </c>
      <c r="AB4139" t="s">
        <v>22829</v>
      </c>
      <c r="AC4139" t="s">
        <v>12097</v>
      </c>
      <c r="AD4139" s="249" t="str">
        <f>HYPERLINK("https://scontent.cdninstagram.com/t51.2885-15/s320x320/e35/21149842_1667967953213544_5299305334714662912_n.jpg")</f>
        <v>https://scontent.cdninstagram.com/t51.2885-15/s320x320/e35/21149842_1667967953213544_5299305334714662912_n.jpg</v>
      </c>
      <c r="AE4139" s="249" t="str">
        <f>HYPERLINK("https://scontent.cdninstagram.com/t51.2885-19/s150x150/21372563_140209839921980_5104164354614362112_a.jpg")</f>
        <v>https://scontent.cdninstagram.com/t51.2885-19/s150x150/21372563_140209839921980_5104164354614362112_a.jpg</v>
      </c>
    </row>
    <row r="4140" spans="1:31" ht="15" x14ac:dyDescent="0.25">
      <c r="A4140" t="s">
        <v>2474</v>
      </c>
      <c r="B4140" t="s">
        <v>7802</v>
      </c>
      <c r="C4140" s="221">
        <v>42979.764976851853</v>
      </c>
      <c r="D4140" t="s">
        <v>22830</v>
      </c>
      <c r="E4140" s="249" t="str">
        <f>HYPERLINK("https://www.instagram.com/p/BYg9XA8BATy/")</f>
        <v>https://www.instagram.com/p/BYg9XA8BATy/</v>
      </c>
      <c r="F4140" t="s">
        <v>22831</v>
      </c>
      <c r="G4140" t="s">
        <v>2478</v>
      </c>
      <c r="H4140">
        <v>181</v>
      </c>
      <c r="I4140" t="s">
        <v>2542</v>
      </c>
      <c r="J4140">
        <v>0</v>
      </c>
      <c r="K4140">
        <v>20</v>
      </c>
      <c r="L4140">
        <v>20</v>
      </c>
      <c r="Q4140">
        <v>0</v>
      </c>
      <c r="R4140">
        <v>0</v>
      </c>
      <c r="S4140">
        <v>20</v>
      </c>
      <c r="T4140" t="s">
        <v>22832</v>
      </c>
      <c r="U4140" t="s">
        <v>202</v>
      </c>
      <c r="V4140" t="s">
        <v>2299</v>
      </c>
      <c r="W4140">
        <v>39.850700000000003</v>
      </c>
      <c r="X4140">
        <v>-84.127600000000001</v>
      </c>
      <c r="Y4140" t="s">
        <v>22833</v>
      </c>
      <c r="Z4140" t="s">
        <v>2497</v>
      </c>
      <c r="AA4140" t="s">
        <v>16470</v>
      </c>
      <c r="AB4140" t="s">
        <v>15381</v>
      </c>
      <c r="AC4140" t="s">
        <v>3671</v>
      </c>
      <c r="AD4140" s="249" t="str">
        <f>HYPERLINK("https://scontent.cdninstagram.com/t51.2885-15/s320x320/e35/21294796_348214082280578_5130556280108220416_n.jpg")</f>
        <v>https://scontent.cdninstagram.com/t51.2885-15/s320x320/e35/21294796_348214082280578_5130556280108220416_n.jpg</v>
      </c>
      <c r="AE4140" s="249" t="str">
        <f>HYPERLINK("https://scontent.cdninstagram.com/t51.2885-19/s150x150/18879149_1471896259560338_6915572966390497280_a.jpg")</f>
        <v>https://scontent.cdninstagram.com/t51.2885-19/s150x150/18879149_1471896259560338_6915572966390497280_a.jpg</v>
      </c>
    </row>
    <row r="4141" spans="1:31" ht="15" x14ac:dyDescent="0.25">
      <c r="A4141" t="s">
        <v>2474</v>
      </c>
      <c r="B4141" t="s">
        <v>7232</v>
      </c>
      <c r="C4141" s="221">
        <v>42979.781527777777</v>
      </c>
      <c r="D4141" t="s">
        <v>22834</v>
      </c>
      <c r="E4141" s="249" t="str">
        <f>HYPERLINK("https://www.instagram.com/p/BYhAFhmHKvi/")</f>
        <v>https://www.instagram.com/p/BYhAFhmHKvi/</v>
      </c>
      <c r="F4141" t="s">
        <v>22835</v>
      </c>
      <c r="G4141" t="s">
        <v>2478</v>
      </c>
      <c r="H4141">
        <v>521</v>
      </c>
      <c r="I4141" t="s">
        <v>2479</v>
      </c>
      <c r="J4141">
        <v>2</v>
      </c>
      <c r="K4141">
        <v>34</v>
      </c>
      <c r="L4141">
        <v>36</v>
      </c>
      <c r="Q4141">
        <v>0</v>
      </c>
      <c r="R4141">
        <v>0</v>
      </c>
      <c r="S4141">
        <v>36</v>
      </c>
      <c r="Y4141" t="s">
        <v>2497</v>
      </c>
      <c r="Z4141" t="s">
        <v>4161</v>
      </c>
      <c r="AA4141" t="s">
        <v>7235</v>
      </c>
      <c r="AB4141" t="s">
        <v>22836</v>
      </c>
      <c r="AC4141" t="s">
        <v>3671</v>
      </c>
      <c r="AD4141" s="249" t="str">
        <f>HYPERLINK("https://scontent.cdninstagram.com/t51.2885-15/s320x320/e35/21294262_351277061962267_6547462297386745856_n.jpg")</f>
        <v>https://scontent.cdninstagram.com/t51.2885-15/s320x320/e35/21294262_351277061962267_6547462297386745856_n.jpg</v>
      </c>
      <c r="AE4141" s="249" t="str">
        <f>HYPERLINK("https://scontent.cdninstagram.com/t51.2885-19/s150x150/14482263_1660577494243200_2334360342223650816_a.jpg")</f>
        <v>https://scontent.cdninstagram.com/t51.2885-19/s150x150/14482263_1660577494243200_2334360342223650816_a.jpg</v>
      </c>
    </row>
    <row r="4142" spans="1:31" ht="15" x14ac:dyDescent="0.25">
      <c r="A4142" t="s">
        <v>2474</v>
      </c>
      <c r="B4142" t="s">
        <v>22837</v>
      </c>
      <c r="C4142" s="221">
        <v>42979.784085648149</v>
      </c>
      <c r="D4142" t="s">
        <v>22838</v>
      </c>
      <c r="E4142" s="249" t="str">
        <f>HYPERLINK("https://www.instagram.com/p/BYhAgi9lQ6T/")</f>
        <v>https://www.instagram.com/p/BYhAgi9lQ6T/</v>
      </c>
      <c r="F4142" t="s">
        <v>22839</v>
      </c>
      <c r="G4142" t="s">
        <v>2631</v>
      </c>
      <c r="H4142">
        <v>363</v>
      </c>
      <c r="I4142" t="s">
        <v>3025</v>
      </c>
      <c r="J4142">
        <v>4</v>
      </c>
      <c r="K4142">
        <v>49</v>
      </c>
      <c r="L4142">
        <v>53</v>
      </c>
      <c r="Q4142">
        <v>0</v>
      </c>
      <c r="R4142">
        <v>0</v>
      </c>
      <c r="S4142">
        <v>53</v>
      </c>
      <c r="T4142" t="s">
        <v>6459</v>
      </c>
      <c r="U4142" t="s">
        <v>97</v>
      </c>
      <c r="V4142" t="s">
        <v>2299</v>
      </c>
      <c r="W4142">
        <v>34.052199999999999</v>
      </c>
      <c r="X4142">
        <v>-118.24299999999999</v>
      </c>
      <c r="Y4142" t="s">
        <v>2497</v>
      </c>
      <c r="Z4142" t="s">
        <v>22840</v>
      </c>
      <c r="AA4142" t="s">
        <v>22841</v>
      </c>
      <c r="AB4142" t="s">
        <v>22842</v>
      </c>
      <c r="AC4142" t="s">
        <v>22843</v>
      </c>
      <c r="AD4142" s="249" t="str">
        <f>HYPERLINK("https://scontent.cdninstagram.com/t51.2885-15/s320x320/e15/21149473_114652322545784_768163812946739200_n.jpg")</f>
        <v>https://scontent.cdninstagram.com/t51.2885-15/s320x320/e15/21149473_114652322545784_768163812946739200_n.jpg</v>
      </c>
      <c r="AE4142" s="249" t="str">
        <f>HYPERLINK("https://scontent.cdninstagram.com/t51.2885-19/11376664_373299132863936_357869282_a.jpg")</f>
        <v>https://scontent.cdninstagram.com/t51.2885-19/11376664_373299132863936_357869282_a.jpg</v>
      </c>
    </row>
    <row r="4143" spans="1:31" ht="15" x14ac:dyDescent="0.25">
      <c r="A4143" t="s">
        <v>2474</v>
      </c>
      <c r="B4143" t="s">
        <v>22844</v>
      </c>
      <c r="C4143" s="221">
        <v>42979.792291666665</v>
      </c>
      <c r="D4143" t="s">
        <v>22845</v>
      </c>
      <c r="E4143" s="249" t="str">
        <f>HYPERLINK("https://www.instagram.com/p/BYhB3HwnKkQ/")</f>
        <v>https://www.instagram.com/p/BYhB3HwnKkQ/</v>
      </c>
      <c r="F4143" t="s">
        <v>22846</v>
      </c>
      <c r="G4143" t="s">
        <v>2478</v>
      </c>
      <c r="H4143">
        <v>343</v>
      </c>
      <c r="I4143" t="s">
        <v>3273</v>
      </c>
      <c r="J4143">
        <v>2</v>
      </c>
      <c r="K4143">
        <v>114</v>
      </c>
      <c r="L4143">
        <v>116</v>
      </c>
      <c r="Q4143">
        <v>0</v>
      </c>
      <c r="R4143">
        <v>0</v>
      </c>
      <c r="S4143">
        <v>116</v>
      </c>
      <c r="Y4143" t="s">
        <v>2497</v>
      </c>
      <c r="Z4143" t="s">
        <v>22847</v>
      </c>
      <c r="AA4143" t="s">
        <v>22848</v>
      </c>
      <c r="AB4143" t="s">
        <v>12043</v>
      </c>
      <c r="AC4143" t="s">
        <v>22849</v>
      </c>
      <c r="AD4143" s="249" t="str">
        <f>HYPERLINK("https://scontent.cdninstagram.com/t51.2885-15/e35/p320x320/21295063_1881696615482653_6194535828128006144_n.jpg")</f>
        <v>https://scontent.cdninstagram.com/t51.2885-15/e35/p320x320/21295063_1881696615482653_6194535828128006144_n.jpg</v>
      </c>
      <c r="AE4143" s="249" t="str">
        <f>HYPERLINK("https://scontent.cdninstagram.com/t51.2885-19/s150x150/18646613_1519996751375923_9185420009315237888_a.jpg")</f>
        <v>https://scontent.cdninstagram.com/t51.2885-19/s150x150/18646613_1519996751375923_9185420009315237888_a.jpg</v>
      </c>
    </row>
    <row r="4144" spans="1:31" ht="15" x14ac:dyDescent="0.25">
      <c r="A4144" t="s">
        <v>2474</v>
      </c>
      <c r="B4144" t="s">
        <v>22850</v>
      </c>
      <c r="C4144" s="221">
        <v>42979.79415509259</v>
      </c>
      <c r="D4144" t="s">
        <v>22851</v>
      </c>
      <c r="E4144" s="249" t="str">
        <f>HYPERLINK("https://www.instagram.com/p/BYhCKubAHo_/")</f>
        <v>https://www.instagram.com/p/BYhCKubAHo_/</v>
      </c>
      <c r="F4144" t="s">
        <v>22852</v>
      </c>
      <c r="G4144" t="s">
        <v>2478</v>
      </c>
      <c r="H4144">
        <v>588</v>
      </c>
      <c r="I4144" t="s">
        <v>2479</v>
      </c>
      <c r="J4144">
        <v>5</v>
      </c>
      <c r="K4144">
        <v>85</v>
      </c>
      <c r="L4144">
        <v>90</v>
      </c>
      <c r="Q4144">
        <v>0</v>
      </c>
      <c r="R4144">
        <v>0</v>
      </c>
      <c r="S4144">
        <v>90</v>
      </c>
      <c r="Y4144" t="s">
        <v>2497</v>
      </c>
      <c r="AD4144" s="249" t="str">
        <f>HYPERLINK("https://scontent.cdninstagram.com/t51.2885-15/s320x320/e35/21224141_403609703387556_7412434733314867200_n.jpg")</f>
        <v>https://scontent.cdninstagram.com/t51.2885-15/s320x320/e35/21224141_403609703387556_7412434733314867200_n.jpg</v>
      </c>
      <c r="AE4144" s="249" t="str">
        <f>HYPERLINK("https://scontent.cdninstagram.com/t51.2885-19/s150x150/20838987_1879216622398223_1200195311985754112_a.jpg")</f>
        <v>https://scontent.cdninstagram.com/t51.2885-19/s150x150/20838987_1879216622398223_1200195311985754112_a.jpg</v>
      </c>
    </row>
    <row r="4145" spans="1:31" ht="15" x14ac:dyDescent="0.25">
      <c r="A4145" t="s">
        <v>2474</v>
      </c>
      <c r="B4145" t="s">
        <v>3754</v>
      </c>
      <c r="C4145" s="221">
        <v>42979.83048611111</v>
      </c>
      <c r="D4145" t="s">
        <v>22853</v>
      </c>
      <c r="E4145" s="249" t="str">
        <f>HYPERLINK("https://www.instagram.com/p/BYhIJ7vDgcb/")</f>
        <v>https://www.instagram.com/p/BYhIJ7vDgcb/</v>
      </c>
      <c r="F4145" t="s">
        <v>22854</v>
      </c>
      <c r="G4145" t="s">
        <v>2478</v>
      </c>
      <c r="H4145">
        <v>201177</v>
      </c>
      <c r="I4145" t="s">
        <v>2479</v>
      </c>
      <c r="J4145">
        <v>0</v>
      </c>
      <c r="K4145">
        <v>44</v>
      </c>
      <c r="L4145">
        <v>44</v>
      </c>
      <c r="Q4145">
        <v>0</v>
      </c>
      <c r="R4145">
        <v>0</v>
      </c>
      <c r="S4145">
        <v>44</v>
      </c>
      <c r="Y4145" t="s">
        <v>6242</v>
      </c>
      <c r="Z4145" t="s">
        <v>2497</v>
      </c>
      <c r="AA4145" t="s">
        <v>4564</v>
      </c>
      <c r="AB4145" t="s">
        <v>6789</v>
      </c>
      <c r="AC4145" t="s">
        <v>3757</v>
      </c>
      <c r="AD4145" s="249" t="str">
        <f>HYPERLINK("https://scontent.cdninstagram.com/t51.2885-15/s320x320/e35/21149452_294419171034846_6488612887425187840_n.jpg")</f>
        <v>https://scontent.cdninstagram.com/t51.2885-15/s320x320/e35/21149452_294419171034846_6488612887425187840_n.jpg</v>
      </c>
      <c r="AE4145" s="249" t="str">
        <f>HYPERLINK("https://scontent.cdninstagram.com/t51.2885-19/s150x150/12905002_1681254462136092_1137392787_a.jpg")</f>
        <v>https://scontent.cdninstagram.com/t51.2885-19/s150x150/12905002_1681254462136092_1137392787_a.jpg</v>
      </c>
    </row>
    <row r="4146" spans="1:31" ht="15" x14ac:dyDescent="0.25">
      <c r="A4146" t="s">
        <v>2474</v>
      </c>
      <c r="B4146" t="s">
        <v>3393</v>
      </c>
      <c r="C4146" s="221">
        <v>42979.843078703707</v>
      </c>
      <c r="D4146" t="s">
        <v>22855</v>
      </c>
      <c r="E4146" s="249" t="str">
        <f>HYPERLINK("https://www.instagram.com/p/BYhKOs7Hf3J/")</f>
        <v>https://www.instagram.com/p/BYhKOs7Hf3J/</v>
      </c>
      <c r="F4146" t="s">
        <v>22856</v>
      </c>
      <c r="G4146" t="s">
        <v>2478</v>
      </c>
      <c r="H4146">
        <v>19219</v>
      </c>
      <c r="I4146" t="s">
        <v>2479</v>
      </c>
      <c r="J4146">
        <v>13</v>
      </c>
      <c r="K4146">
        <v>1073</v>
      </c>
      <c r="L4146">
        <v>1086</v>
      </c>
      <c r="Q4146">
        <v>0</v>
      </c>
      <c r="R4146">
        <v>0</v>
      </c>
      <c r="S4146">
        <v>1086</v>
      </c>
      <c r="AD4146" s="249" t="str">
        <f>HYPERLINK("https://scontent.cdninstagram.com/t51.2885-15/s320x320/e35/21296329_269840726839894_8188336518255869952_n.jpg")</f>
        <v>https://scontent.cdninstagram.com/t51.2885-15/s320x320/e35/21296329_269840726839894_8188336518255869952_n.jpg</v>
      </c>
      <c r="AE4146" s="249" t="str">
        <f>HYPERLINK("https://scontent.cdninstagram.com/t51.2885-19/s150x150/20969318_163506604224066_8451668608215416832_n.jpg")</f>
        <v>https://scontent.cdninstagram.com/t51.2885-19/s150x150/20969318_163506604224066_8451668608215416832_n.jpg</v>
      </c>
    </row>
    <row r="4147" spans="1:31" ht="15" x14ac:dyDescent="0.25">
      <c r="A4147" t="s">
        <v>2474</v>
      </c>
      <c r="B4147" t="s">
        <v>22857</v>
      </c>
      <c r="C4147" s="221">
        <v>42979.850474537037</v>
      </c>
      <c r="D4147" t="s">
        <v>22858</v>
      </c>
      <c r="E4147" s="249" t="str">
        <f>HYPERLINK("https://www.instagram.com/p/BYhLcqvBm5V/")</f>
        <v>https://www.instagram.com/p/BYhLcqvBm5V/</v>
      </c>
      <c r="F4147" t="s">
        <v>22859</v>
      </c>
      <c r="G4147" t="s">
        <v>2631</v>
      </c>
      <c r="H4147">
        <v>635</v>
      </c>
      <c r="I4147" t="s">
        <v>2599</v>
      </c>
      <c r="J4147">
        <v>1</v>
      </c>
      <c r="K4147">
        <v>21</v>
      </c>
      <c r="L4147">
        <v>22</v>
      </c>
      <c r="Q4147">
        <v>0</v>
      </c>
      <c r="R4147">
        <v>0</v>
      </c>
      <c r="S4147">
        <v>22</v>
      </c>
      <c r="T4147" t="s">
        <v>22860</v>
      </c>
      <c r="U4147" t="s">
        <v>134</v>
      </c>
      <c r="V4147" t="s">
        <v>2299</v>
      </c>
      <c r="W4147">
        <v>27.91</v>
      </c>
      <c r="X4147">
        <v>-82.35</v>
      </c>
      <c r="Y4147" t="s">
        <v>2497</v>
      </c>
      <c r="Z4147" t="s">
        <v>6043</v>
      </c>
      <c r="AA4147" t="s">
        <v>6761</v>
      </c>
      <c r="AB4147" t="s">
        <v>22861</v>
      </c>
      <c r="AC4147" t="s">
        <v>22862</v>
      </c>
      <c r="AD4147" s="249" t="str">
        <f>HYPERLINK("https://scontent.cdninstagram.com/t51.2885-15/s320x320/e15/21295040_1599628416754698_2843717526221750272_n.jpg")</f>
        <v>https://scontent.cdninstagram.com/t51.2885-15/s320x320/e15/21295040_1599628416754698_2843717526221750272_n.jpg</v>
      </c>
      <c r="AE4147" s="249" t="str">
        <f>HYPERLINK("https://scontent.cdninstagram.com/t51.2885-19/14504663_925744034227314_6295605187516039168_a.jpg")</f>
        <v>https://scontent.cdninstagram.com/t51.2885-19/14504663_925744034227314_6295605187516039168_a.jpg</v>
      </c>
    </row>
    <row r="4148" spans="1:31" ht="15" x14ac:dyDescent="0.25">
      <c r="A4148" t="s">
        <v>2474</v>
      </c>
      <c r="B4148" t="s">
        <v>22863</v>
      </c>
      <c r="C4148" s="221">
        <v>42979.859814814816</v>
      </c>
      <c r="D4148" t="s">
        <v>22864</v>
      </c>
      <c r="E4148" s="249" t="str">
        <f>HYPERLINK("https://www.instagram.com/p/BYhM_R6gygS/")</f>
        <v>https://www.instagram.com/p/BYhM_R6gygS/</v>
      </c>
      <c r="F4148" t="s">
        <v>22865</v>
      </c>
      <c r="G4148" t="s">
        <v>2478</v>
      </c>
      <c r="H4148">
        <v>104</v>
      </c>
      <c r="I4148" t="s">
        <v>2542</v>
      </c>
      <c r="J4148">
        <v>0</v>
      </c>
      <c r="K4148">
        <v>7</v>
      </c>
      <c r="L4148">
        <v>7</v>
      </c>
      <c r="Q4148">
        <v>0</v>
      </c>
      <c r="R4148">
        <v>0</v>
      </c>
      <c r="S4148">
        <v>7</v>
      </c>
      <c r="T4148" t="s">
        <v>22866</v>
      </c>
      <c r="U4148" t="s">
        <v>368</v>
      </c>
      <c r="V4148" t="s">
        <v>2299</v>
      </c>
      <c r="W4148">
        <v>30.589500000000001</v>
      </c>
      <c r="X4148">
        <v>-88.176270000000002</v>
      </c>
      <c r="Y4148" t="s">
        <v>2497</v>
      </c>
      <c r="Z4148" t="s">
        <v>22867</v>
      </c>
      <c r="AA4148" t="s">
        <v>3768</v>
      </c>
      <c r="AB4148" t="s">
        <v>22868</v>
      </c>
      <c r="AC4148" t="s">
        <v>22869</v>
      </c>
      <c r="AD4148" s="249" t="str">
        <f>HYPERLINK("https://scontent.cdninstagram.com/t51.2885-15/s320x320/e35/21149736_151296548786796_3413078804959068160_n.jpg")</f>
        <v>https://scontent.cdninstagram.com/t51.2885-15/s320x320/e35/21149736_151296548786796_3413078804959068160_n.jpg</v>
      </c>
      <c r="AE4148" s="249" t="str">
        <f>HYPERLINK("https://scontent.cdninstagram.com/t51.2885-19/s150x150/20393788_447382728975913_3641567865355632640_a.jpg")</f>
        <v>https://scontent.cdninstagram.com/t51.2885-19/s150x150/20393788_447382728975913_3641567865355632640_a.jpg</v>
      </c>
    </row>
    <row r="4149" spans="1:31" ht="15" x14ac:dyDescent="0.25">
      <c r="A4149" t="s">
        <v>2474</v>
      </c>
      <c r="B4149" t="s">
        <v>3754</v>
      </c>
      <c r="C4149" s="221">
        <v>42979.873831018522</v>
      </c>
      <c r="D4149" t="s">
        <v>22870</v>
      </c>
      <c r="E4149" s="249" t="str">
        <f>HYPERLINK("https://www.instagram.com/p/BYhPTHJjQuZ/")</f>
        <v>https://www.instagram.com/p/BYhPTHJjQuZ/</v>
      </c>
      <c r="F4149" t="s">
        <v>7206</v>
      </c>
      <c r="G4149" t="s">
        <v>2478</v>
      </c>
      <c r="H4149">
        <v>201177</v>
      </c>
      <c r="I4149" t="s">
        <v>2479</v>
      </c>
      <c r="J4149">
        <v>0</v>
      </c>
      <c r="K4149">
        <v>102</v>
      </c>
      <c r="L4149">
        <v>102</v>
      </c>
      <c r="Q4149">
        <v>0</v>
      </c>
      <c r="R4149">
        <v>0</v>
      </c>
      <c r="S4149">
        <v>102</v>
      </c>
      <c r="Y4149" t="s">
        <v>6242</v>
      </c>
      <c r="Z4149" t="s">
        <v>2497</v>
      </c>
      <c r="AA4149" t="s">
        <v>4564</v>
      </c>
      <c r="AB4149" t="s">
        <v>6789</v>
      </c>
      <c r="AC4149" t="s">
        <v>3757</v>
      </c>
      <c r="AD4149" s="249" t="str">
        <f>HYPERLINK("https://scontent.cdninstagram.com/t51.2885-15/s320x320/e35/21224757_285135945227007_332398329470124032_n.jpg")</f>
        <v>https://scontent.cdninstagram.com/t51.2885-15/s320x320/e35/21224757_285135945227007_332398329470124032_n.jpg</v>
      </c>
      <c r="AE4149" s="249" t="str">
        <f>HYPERLINK("https://scontent.cdninstagram.com/t51.2885-19/s150x150/12905002_1681254462136092_1137392787_a.jpg")</f>
        <v>https://scontent.cdninstagram.com/t51.2885-19/s150x150/12905002_1681254462136092_1137392787_a.jpg</v>
      </c>
    </row>
    <row r="4150" spans="1:31" ht="15" x14ac:dyDescent="0.25">
      <c r="A4150" t="s">
        <v>2474</v>
      </c>
      <c r="B4150" t="s">
        <v>3754</v>
      </c>
      <c r="C4150" s="221">
        <v>42979.874618055554</v>
      </c>
      <c r="D4150" t="s">
        <v>22871</v>
      </c>
      <c r="E4150" s="249" t="str">
        <f>HYPERLINK("https://www.instagram.com/p/BYhPbZdjVa2/")</f>
        <v>https://www.instagram.com/p/BYhPbZdjVa2/</v>
      </c>
      <c r="F4150" t="s">
        <v>7206</v>
      </c>
      <c r="G4150" t="s">
        <v>2478</v>
      </c>
      <c r="H4150">
        <v>201177</v>
      </c>
      <c r="I4150" t="s">
        <v>2479</v>
      </c>
      <c r="J4150">
        <v>0</v>
      </c>
      <c r="K4150">
        <v>73</v>
      </c>
      <c r="L4150">
        <v>73</v>
      </c>
      <c r="Q4150">
        <v>0</v>
      </c>
      <c r="R4150">
        <v>0</v>
      </c>
      <c r="S4150">
        <v>73</v>
      </c>
      <c r="Y4150" t="s">
        <v>5197</v>
      </c>
      <c r="Z4150" t="s">
        <v>4231</v>
      </c>
      <c r="AA4150" t="s">
        <v>6790</v>
      </c>
      <c r="AB4150" t="s">
        <v>6243</v>
      </c>
      <c r="AC4150" t="s">
        <v>3764</v>
      </c>
      <c r="AD4150" s="249" t="str">
        <f>HYPERLINK("https://scontent.cdninstagram.com/t51.2885-15/s320x320/e35/21227888_120295158628653_3059155941942362112_n.jpg")</f>
        <v>https://scontent.cdninstagram.com/t51.2885-15/s320x320/e35/21227888_120295158628653_3059155941942362112_n.jpg</v>
      </c>
      <c r="AE4150" s="249" t="str">
        <f>HYPERLINK("https://scontent.cdninstagram.com/t51.2885-19/s150x150/12905002_1681254462136092_1137392787_a.jpg")</f>
        <v>https://scontent.cdninstagram.com/t51.2885-19/s150x150/12905002_1681254462136092_1137392787_a.jpg</v>
      </c>
    </row>
    <row r="4151" spans="1:31" ht="15" x14ac:dyDescent="0.25">
      <c r="A4151" t="s">
        <v>2474</v>
      </c>
      <c r="B4151" t="s">
        <v>22872</v>
      </c>
      <c r="C4151" s="221">
        <v>42979.87841435185</v>
      </c>
      <c r="D4151" t="s">
        <v>22873</v>
      </c>
      <c r="E4151" s="249" t="str">
        <f>HYPERLINK("https://www.instagram.com/p/BYhQDcPhq7c/")</f>
        <v>https://www.instagram.com/p/BYhQDcPhq7c/</v>
      </c>
      <c r="F4151" t="s">
        <v>22874</v>
      </c>
      <c r="G4151" t="s">
        <v>2478</v>
      </c>
      <c r="H4151">
        <v>1076</v>
      </c>
      <c r="I4151" t="s">
        <v>2479</v>
      </c>
      <c r="J4151">
        <v>1</v>
      </c>
      <c r="K4151">
        <v>29</v>
      </c>
      <c r="L4151">
        <v>30</v>
      </c>
      <c r="Q4151">
        <v>0</v>
      </c>
      <c r="R4151">
        <v>0</v>
      </c>
      <c r="S4151">
        <v>30</v>
      </c>
      <c r="Y4151" t="s">
        <v>4908</v>
      </c>
      <c r="Z4151" t="s">
        <v>3343</v>
      </c>
      <c r="AA4151" t="s">
        <v>2497</v>
      </c>
      <c r="AB4151" t="s">
        <v>22875</v>
      </c>
      <c r="AC4151" t="s">
        <v>22876</v>
      </c>
      <c r="AD4151" s="249" t="str">
        <f>HYPERLINK("https://scontent.cdninstagram.com/t51.2885-15/e35/p320x320/21149484_135178100429436_8349099360348274688_n.jpg")</f>
        <v>https://scontent.cdninstagram.com/t51.2885-15/e35/p320x320/21149484_135178100429436_8349099360348274688_n.jpg</v>
      </c>
      <c r="AE4151" s="249" t="str">
        <f>HYPERLINK("https://scontent.cdninstagram.com/t51.2885-19/s150x150/14566762_744525965723584_4322650340202643456_a.jpg")</f>
        <v>https://scontent.cdninstagram.com/t51.2885-19/s150x150/14566762_744525965723584_4322650340202643456_a.jpg</v>
      </c>
    </row>
    <row r="4152" spans="1:31" ht="15" x14ac:dyDescent="0.25">
      <c r="A4152" t="s">
        <v>2474</v>
      </c>
      <c r="B4152" t="s">
        <v>10736</v>
      </c>
      <c r="C4152" s="221">
        <v>42979.880208333336</v>
      </c>
      <c r="D4152" t="s">
        <v>22877</v>
      </c>
      <c r="E4152" s="249" t="str">
        <f>HYPERLINK("https://www.instagram.com/p/BYhQWYIggGO/")</f>
        <v>https://www.instagram.com/p/BYhQWYIggGO/</v>
      </c>
      <c r="F4152" t="s">
        <v>22878</v>
      </c>
      <c r="G4152" t="s">
        <v>2478</v>
      </c>
      <c r="H4152">
        <v>187</v>
      </c>
      <c r="I4152" t="s">
        <v>2542</v>
      </c>
      <c r="J4152">
        <v>0</v>
      </c>
      <c r="K4152">
        <v>10</v>
      </c>
      <c r="L4152">
        <v>10</v>
      </c>
      <c r="Q4152">
        <v>0</v>
      </c>
      <c r="R4152">
        <v>0</v>
      </c>
      <c r="S4152">
        <v>10</v>
      </c>
      <c r="Y4152" t="s">
        <v>10736</v>
      </c>
      <c r="Z4152" t="s">
        <v>2497</v>
      </c>
      <c r="AD4152" s="249" t="str">
        <f>HYPERLINK("https://scontent.cdninstagram.com/t51.2885-15/e35/p320x320/21224425_674365206087426_1560156113041620992_n.jpg")</f>
        <v>https://scontent.cdninstagram.com/t51.2885-15/e35/p320x320/21224425_674365206087426_1560156113041620992_n.jpg</v>
      </c>
      <c r="AE4152" s="249" t="str">
        <f>HYPERLINK("https://scontent.cdninstagram.com/t51.2885-19/s150x150/14099257_273302949721135_1868814294_a.jpg")</f>
        <v>https://scontent.cdninstagram.com/t51.2885-19/s150x150/14099257_273302949721135_1868814294_a.jpg</v>
      </c>
    </row>
    <row r="4153" spans="1:31" ht="15" x14ac:dyDescent="0.25">
      <c r="A4153" t="s">
        <v>2474</v>
      </c>
      <c r="B4153" t="s">
        <v>5058</v>
      </c>
      <c r="C4153" s="221">
        <v>42979.883136574077</v>
      </c>
      <c r="D4153" t="s">
        <v>22879</v>
      </c>
      <c r="E4153" s="249" t="str">
        <f>HYPERLINK("https://www.instagram.com/p/BYhQ1QTlAXx/")</f>
        <v>https://www.instagram.com/p/BYhQ1QTlAXx/</v>
      </c>
      <c r="F4153" t="s">
        <v>22880</v>
      </c>
      <c r="G4153" t="s">
        <v>2478</v>
      </c>
      <c r="H4153">
        <v>228</v>
      </c>
      <c r="I4153" t="s">
        <v>2479</v>
      </c>
      <c r="J4153">
        <v>0</v>
      </c>
      <c r="K4153">
        <v>41</v>
      </c>
      <c r="L4153">
        <v>41</v>
      </c>
      <c r="Q4153">
        <v>0</v>
      </c>
      <c r="R4153">
        <v>0</v>
      </c>
      <c r="S4153">
        <v>41</v>
      </c>
      <c r="Y4153" t="s">
        <v>2641</v>
      </c>
      <c r="Z4153" t="s">
        <v>22881</v>
      </c>
      <c r="AA4153" t="s">
        <v>22882</v>
      </c>
      <c r="AB4153" t="s">
        <v>16743</v>
      </c>
      <c r="AC4153" t="s">
        <v>22883</v>
      </c>
      <c r="AD4153" s="249" t="str">
        <f>HYPERLINK("https://scontent.cdninstagram.com/t51.2885-15/s320x320/e35/21295078_273409533146587_6873852719229042688_n.jpg")</f>
        <v>https://scontent.cdninstagram.com/t51.2885-15/s320x320/e35/21295078_273409533146587_6873852719229042688_n.jpg</v>
      </c>
      <c r="AE4153" s="249" t="str">
        <f>HYPERLINK("https://scontent.cdninstagram.com/t51.2885-19/s150x150/20181000_1733874930238624_1911104509342384128_a.jpg")</f>
        <v>https://scontent.cdninstagram.com/t51.2885-19/s150x150/20181000_1733874930238624_1911104509342384128_a.jpg</v>
      </c>
    </row>
    <row r="4154" spans="1:31" ht="15" x14ac:dyDescent="0.25">
      <c r="A4154" t="s">
        <v>2474</v>
      </c>
      <c r="B4154" t="s">
        <v>5058</v>
      </c>
      <c r="C4154" s="221">
        <v>42979.886400462965</v>
      </c>
      <c r="D4154" t="s">
        <v>22884</v>
      </c>
      <c r="E4154" s="249" t="str">
        <f>HYPERLINK("https://www.instagram.com/p/BYhRXnYFx8C/")</f>
        <v>https://www.instagram.com/p/BYhRXnYFx8C/</v>
      </c>
      <c r="F4154" t="s">
        <v>22885</v>
      </c>
      <c r="G4154" t="s">
        <v>2631</v>
      </c>
      <c r="H4154">
        <v>228</v>
      </c>
      <c r="I4154" t="s">
        <v>2479</v>
      </c>
      <c r="J4154">
        <v>1</v>
      </c>
      <c r="K4154">
        <v>36</v>
      </c>
      <c r="L4154">
        <v>37</v>
      </c>
      <c r="Q4154">
        <v>0</v>
      </c>
      <c r="R4154">
        <v>0</v>
      </c>
      <c r="S4154">
        <v>37</v>
      </c>
      <c r="Y4154" t="s">
        <v>8367</v>
      </c>
      <c r="Z4154" t="s">
        <v>5982</v>
      </c>
      <c r="AA4154" t="s">
        <v>2641</v>
      </c>
      <c r="AB4154" t="s">
        <v>22886</v>
      </c>
      <c r="AC4154" t="s">
        <v>22887</v>
      </c>
      <c r="AD4154" s="249" t="str">
        <f>HYPERLINK("https://scontent.cdninstagram.com/t51.2885-15/s320x320/e15/21224825_121697501821897_5645995056193077248_n.jpg")</f>
        <v>https://scontent.cdninstagram.com/t51.2885-15/s320x320/e15/21224825_121697501821897_5645995056193077248_n.jpg</v>
      </c>
      <c r="AE4154" s="249" t="str">
        <f>HYPERLINK("https://scontent.cdninstagram.com/t51.2885-19/s150x150/20181000_1733874930238624_1911104509342384128_a.jpg")</f>
        <v>https://scontent.cdninstagram.com/t51.2885-19/s150x150/20181000_1733874930238624_1911104509342384128_a.jpg</v>
      </c>
    </row>
    <row r="4155" spans="1:31" ht="15" x14ac:dyDescent="0.25">
      <c r="A4155" t="s">
        <v>2474</v>
      </c>
      <c r="B4155" t="s">
        <v>22888</v>
      </c>
      <c r="C4155" s="221">
        <v>42979.906412037039</v>
      </c>
      <c r="D4155" t="s">
        <v>22889</v>
      </c>
      <c r="E4155" s="249" t="str">
        <f>HYPERLINK("https://www.instagram.com/p/BYhUqryA8r0/")</f>
        <v>https://www.instagram.com/p/BYhUqryA8r0/</v>
      </c>
      <c r="F4155" t="s">
        <v>22890</v>
      </c>
      <c r="G4155" t="s">
        <v>2478</v>
      </c>
      <c r="H4155">
        <v>602</v>
      </c>
      <c r="I4155" t="s">
        <v>2479</v>
      </c>
      <c r="J4155">
        <v>0</v>
      </c>
      <c r="K4155">
        <v>30</v>
      </c>
      <c r="L4155">
        <v>30</v>
      </c>
      <c r="Q4155">
        <v>0</v>
      </c>
      <c r="R4155">
        <v>0</v>
      </c>
      <c r="S4155">
        <v>30</v>
      </c>
      <c r="Y4155" t="s">
        <v>22891</v>
      </c>
      <c r="Z4155" t="s">
        <v>6404</v>
      </c>
      <c r="AA4155" t="s">
        <v>15709</v>
      </c>
      <c r="AB4155" t="s">
        <v>2497</v>
      </c>
      <c r="AC4155" t="s">
        <v>22892</v>
      </c>
      <c r="AD4155" s="249" t="str">
        <f>HYPERLINK("https://scontent.cdninstagram.com/t51.2885-15/s320x320/e35/21226928_350371688741345_4563618539746885632_n.jpg")</f>
        <v>https://scontent.cdninstagram.com/t51.2885-15/s320x320/e35/21226928_350371688741345_4563618539746885632_n.jpg</v>
      </c>
      <c r="AE4155" s="249" t="str">
        <f>HYPERLINK("https://scontent.cdninstagram.com/t51.2885-19/s150x150/20065606_1330505643664626_8316029194500833280_a.jpg")</f>
        <v>https://scontent.cdninstagram.com/t51.2885-19/s150x150/20065606_1330505643664626_8316029194500833280_a.jpg</v>
      </c>
    </row>
    <row r="4156" spans="1:31" ht="15" x14ac:dyDescent="0.25">
      <c r="A4156" t="s">
        <v>2474</v>
      </c>
      <c r="B4156" t="s">
        <v>6899</v>
      </c>
      <c r="C4156" s="221">
        <v>42979.926770833335</v>
      </c>
      <c r="D4156" t="s">
        <v>22893</v>
      </c>
      <c r="E4156" s="249" t="str">
        <f>HYPERLINK("https://www.instagram.com/p/BYhYBbpAMRU/")</f>
        <v>https://www.instagram.com/p/BYhYBbpAMRU/</v>
      </c>
      <c r="F4156" t="s">
        <v>22894</v>
      </c>
      <c r="G4156" t="s">
        <v>2478</v>
      </c>
      <c r="H4156">
        <v>36379</v>
      </c>
      <c r="I4156" t="s">
        <v>2479</v>
      </c>
      <c r="J4156">
        <v>10</v>
      </c>
      <c r="K4156">
        <v>820</v>
      </c>
      <c r="L4156">
        <v>830</v>
      </c>
      <c r="Q4156">
        <v>0</v>
      </c>
      <c r="R4156">
        <v>0</v>
      </c>
      <c r="S4156">
        <v>830</v>
      </c>
      <c r="AD4156" s="249" t="str">
        <f>HYPERLINK("https://scontent.cdninstagram.com/t51.2885-15/e35/p320x320/21227162_206528379883721_5080226298555531264_n.jpg")</f>
        <v>https://scontent.cdninstagram.com/t51.2885-15/e35/p320x320/21227162_206528379883721_5080226298555531264_n.jpg</v>
      </c>
      <c r="AE4156" s="249" t="str">
        <f>HYPERLINK("https://scontent.cdninstagram.com/t51.2885-19/s150x150/17493776_1474371442636277_6993911971573661696_n.jpg")</f>
        <v>https://scontent.cdninstagram.com/t51.2885-19/s150x150/17493776_1474371442636277_6993911971573661696_n.jpg</v>
      </c>
    </row>
    <row r="4157" spans="1:31" ht="15" x14ac:dyDescent="0.25">
      <c r="A4157" t="s">
        <v>2474</v>
      </c>
      <c r="B4157" t="s">
        <v>3015</v>
      </c>
      <c r="C4157" s="221">
        <v>42979.958032407405</v>
      </c>
      <c r="D4157" t="s">
        <v>22895</v>
      </c>
      <c r="E4157" s="249" t="str">
        <f>HYPERLINK("https://www.instagram.com/p/BYhdLJxAbLq/")</f>
        <v>https://www.instagram.com/p/BYhdLJxAbLq/</v>
      </c>
      <c r="F4157" t="s">
        <v>22896</v>
      </c>
      <c r="G4157" t="s">
        <v>2478</v>
      </c>
      <c r="H4157">
        <v>255</v>
      </c>
      <c r="I4157" t="s">
        <v>2479</v>
      </c>
      <c r="J4157">
        <v>0</v>
      </c>
      <c r="K4157">
        <v>38</v>
      </c>
      <c r="L4157">
        <v>38</v>
      </c>
      <c r="Q4157">
        <v>0</v>
      </c>
      <c r="R4157">
        <v>0</v>
      </c>
      <c r="S4157">
        <v>38</v>
      </c>
      <c r="Y4157" t="s">
        <v>4129</v>
      </c>
      <c r="Z4157" t="s">
        <v>3494</v>
      </c>
      <c r="AA4157" t="s">
        <v>2492</v>
      </c>
      <c r="AB4157" t="s">
        <v>3492</v>
      </c>
      <c r="AC4157" t="s">
        <v>3021</v>
      </c>
      <c r="AD4157" s="249" t="str">
        <f>HYPERLINK("https://scontent.cdninstagram.com/t51.2885-15/s320x320/e35/21294484_112483329447133_8588254134505832448_n.jpg")</f>
        <v>https://scontent.cdninstagram.com/t51.2885-15/s320x320/e35/21294484_112483329447133_8588254134505832448_n.jpg</v>
      </c>
      <c r="AE4157" s="249" t="str">
        <f>HYPERLINK("https://scontent.cdninstagram.com/t51.2885-19/s150x150/21373025_723410537866046_6184601968204316672_a.jpg")</f>
        <v>https://scontent.cdninstagram.com/t51.2885-19/s150x150/21373025_723410537866046_6184601968204316672_a.jpg</v>
      </c>
    </row>
    <row r="4158" spans="1:31" ht="15" x14ac:dyDescent="0.25">
      <c r="A4158" t="s">
        <v>2474</v>
      </c>
      <c r="B4158" t="s">
        <v>22897</v>
      </c>
      <c r="C4158" s="221">
        <v>42979.959965277776</v>
      </c>
      <c r="D4158" t="s">
        <v>22898</v>
      </c>
      <c r="E4158" s="249" t="str">
        <f>HYPERLINK("https://www.instagram.com/p/BYhdfdmHI3P/")</f>
        <v>https://www.instagram.com/p/BYhdfdmHI3P/</v>
      </c>
      <c r="F4158" t="s">
        <v>22899</v>
      </c>
      <c r="G4158" t="s">
        <v>2478</v>
      </c>
      <c r="H4158">
        <v>322</v>
      </c>
      <c r="I4158" t="s">
        <v>2542</v>
      </c>
      <c r="J4158">
        <v>2</v>
      </c>
      <c r="K4158">
        <v>21</v>
      </c>
      <c r="L4158">
        <v>23</v>
      </c>
      <c r="Q4158">
        <v>0</v>
      </c>
      <c r="R4158">
        <v>0</v>
      </c>
      <c r="S4158">
        <v>23</v>
      </c>
      <c r="Y4158" t="s">
        <v>4272</v>
      </c>
      <c r="Z4158" t="s">
        <v>22900</v>
      </c>
      <c r="AA4158" t="s">
        <v>2497</v>
      </c>
      <c r="AB4158" t="s">
        <v>22901</v>
      </c>
      <c r="AC4158" t="s">
        <v>22902</v>
      </c>
      <c r="AD4158" s="249" t="str">
        <f>HYPERLINK("https://scontent.cdninstagram.com/t51.2885-15/s320x320/e35/21225011_1368819636529272_5650607911198523392_n.jpg")</f>
        <v>https://scontent.cdninstagram.com/t51.2885-15/s320x320/e35/21225011_1368819636529272_5650607911198523392_n.jpg</v>
      </c>
      <c r="AE4158" s="249" t="str">
        <f>HYPERLINK("https://scontent.cdninstagram.com/t51.2885-19/s150x150/18879740_227797324389809_4622127534895529984_a.jpg")</f>
        <v>https://scontent.cdninstagram.com/t51.2885-19/s150x150/18879740_227797324389809_4622127534895529984_a.jpg</v>
      </c>
    </row>
    <row r="4159" spans="1:31" ht="15" x14ac:dyDescent="0.25">
      <c r="A4159" t="s">
        <v>2474</v>
      </c>
      <c r="B4159" t="s">
        <v>4535</v>
      </c>
      <c r="C4159" s="221">
        <v>42979.960081018522</v>
      </c>
      <c r="D4159" t="s">
        <v>22903</v>
      </c>
      <c r="E4159" s="249" t="str">
        <f>HYPERLINK("https://www.instagram.com/p/BYhdgvFlgoK/")</f>
        <v>https://www.instagram.com/p/BYhdgvFlgoK/</v>
      </c>
      <c r="F4159" t="s">
        <v>22904</v>
      </c>
      <c r="G4159" t="s">
        <v>2478</v>
      </c>
      <c r="H4159">
        <v>178</v>
      </c>
      <c r="I4159" t="s">
        <v>2479</v>
      </c>
      <c r="J4159">
        <v>0</v>
      </c>
      <c r="K4159">
        <v>44</v>
      </c>
      <c r="L4159">
        <v>44</v>
      </c>
      <c r="Q4159">
        <v>0</v>
      </c>
      <c r="R4159">
        <v>0</v>
      </c>
      <c r="S4159">
        <v>44</v>
      </c>
      <c r="Y4159" t="s">
        <v>12421</v>
      </c>
      <c r="Z4159" t="s">
        <v>5605</v>
      </c>
      <c r="AA4159" t="s">
        <v>5608</v>
      </c>
      <c r="AB4159" t="s">
        <v>10684</v>
      </c>
      <c r="AC4159" t="s">
        <v>13436</v>
      </c>
      <c r="AD4159" s="249" t="str">
        <f>HYPERLINK("https://scontent.cdninstagram.com/t51.2885-15/s320x320/e35/21224816_170162413548886_5043594939099774976_n.jpg")</f>
        <v>https://scontent.cdninstagram.com/t51.2885-15/s320x320/e35/21224816_170162413548886_5043594939099774976_n.jpg</v>
      </c>
      <c r="AE4159" s="249" t="str">
        <f>HYPERLINK("https://scontent.cdninstagram.com/t51.2885-19/s150x150/20399028_1624608414236560_533007696291430400_a.jpg")</f>
        <v>https://scontent.cdninstagram.com/t51.2885-19/s150x150/20399028_1624608414236560_533007696291430400_a.jpg</v>
      </c>
    </row>
    <row r="4160" spans="1:31" ht="15" x14ac:dyDescent="0.25">
      <c r="A4160" t="s">
        <v>2474</v>
      </c>
      <c r="B4160" t="s">
        <v>2863</v>
      </c>
      <c r="C4160" s="221">
        <v>42979.968043981484</v>
      </c>
      <c r="D4160" t="s">
        <v>22905</v>
      </c>
      <c r="E4160" s="249" t="str">
        <f>HYPERLINK("https://www.instagram.com/p/BYhe0vNlnJP/")</f>
        <v>https://www.instagram.com/p/BYhe0vNlnJP/</v>
      </c>
      <c r="F4160" t="s">
        <v>22906</v>
      </c>
      <c r="G4160" t="s">
        <v>2478</v>
      </c>
      <c r="H4160">
        <v>74</v>
      </c>
      <c r="I4160" t="s">
        <v>2479</v>
      </c>
      <c r="J4160">
        <v>0</v>
      </c>
      <c r="K4160">
        <v>42</v>
      </c>
      <c r="L4160">
        <v>42</v>
      </c>
      <c r="Q4160">
        <v>0</v>
      </c>
      <c r="R4160">
        <v>0</v>
      </c>
      <c r="S4160">
        <v>42</v>
      </c>
      <c r="Y4160" t="s">
        <v>22907</v>
      </c>
      <c r="Z4160" t="s">
        <v>2868</v>
      </c>
      <c r="AA4160" t="s">
        <v>3351</v>
      </c>
      <c r="AB4160" t="s">
        <v>2950</v>
      </c>
      <c r="AC4160" t="s">
        <v>2497</v>
      </c>
      <c r="AD4160" s="249" t="str">
        <f>HYPERLINK("https://scontent.cdninstagram.com/t51.2885-15/s320x320/e35/21227889_1761255630840538_4066323930313392128_n.jpg")</f>
        <v>https://scontent.cdninstagram.com/t51.2885-15/s320x320/e35/21227889_1761255630840538_4066323930313392128_n.jpg</v>
      </c>
      <c r="AE4160" s="249" t="str">
        <f>HYPERLINK("https://scontent.cdninstagram.com/t51.2885-19/s150x150/19955745_1435072766568917_8173761520967090176_a.jpg")</f>
        <v>https://scontent.cdninstagram.com/t51.2885-19/s150x150/19955745_1435072766568917_8173761520967090176_a.jpg</v>
      </c>
    </row>
    <row r="4161" spans="1:31" ht="15" x14ac:dyDescent="0.25">
      <c r="A4161" t="s">
        <v>2474</v>
      </c>
      <c r="B4161" t="s">
        <v>4535</v>
      </c>
      <c r="C4161" s="221">
        <v>42979.970289351855</v>
      </c>
      <c r="D4161" t="s">
        <v>22908</v>
      </c>
      <c r="E4161" s="249" t="str">
        <f>HYPERLINK("https://www.instagram.com/p/BYhfMZflV0M/")</f>
        <v>https://www.instagram.com/p/BYhfMZflV0M/</v>
      </c>
      <c r="F4161" t="s">
        <v>22909</v>
      </c>
      <c r="G4161" t="s">
        <v>2478</v>
      </c>
      <c r="H4161">
        <v>179</v>
      </c>
      <c r="I4161" t="s">
        <v>2479</v>
      </c>
      <c r="J4161">
        <v>0</v>
      </c>
      <c r="K4161">
        <v>47</v>
      </c>
      <c r="L4161">
        <v>47</v>
      </c>
      <c r="Q4161">
        <v>0</v>
      </c>
      <c r="R4161">
        <v>0</v>
      </c>
      <c r="S4161">
        <v>47</v>
      </c>
      <c r="Y4161" t="s">
        <v>12421</v>
      </c>
      <c r="Z4161" t="s">
        <v>5605</v>
      </c>
      <c r="AA4161" t="s">
        <v>5608</v>
      </c>
      <c r="AB4161" t="s">
        <v>10684</v>
      </c>
      <c r="AC4161" t="s">
        <v>13436</v>
      </c>
      <c r="AD4161" s="249" t="str">
        <f>HYPERLINK("https://scontent.cdninstagram.com/t51.2885-15/e35/p320x320/21227756_113268479366689_5028618078900977664_n.jpg")</f>
        <v>https://scontent.cdninstagram.com/t51.2885-15/e35/p320x320/21227756_113268479366689_5028618078900977664_n.jpg</v>
      </c>
      <c r="AE4161" s="249" t="str">
        <f>HYPERLINK("https://scontent.cdninstagram.com/t51.2885-19/s150x150/20399028_1624608414236560_533007696291430400_a.jpg")</f>
        <v>https://scontent.cdninstagram.com/t51.2885-19/s150x150/20399028_1624608414236560_533007696291430400_a.jpg</v>
      </c>
    </row>
    <row r="4162" spans="1:31" ht="15" x14ac:dyDescent="0.25">
      <c r="A4162" t="s">
        <v>2474</v>
      </c>
      <c r="B4162" t="s">
        <v>4535</v>
      </c>
      <c r="C4162" s="221">
        <v>42979.970879629633</v>
      </c>
      <c r="D4162" t="s">
        <v>22910</v>
      </c>
      <c r="E4162" s="249" t="str">
        <f>HYPERLINK("https://www.instagram.com/p/BYhfSrOlrnC/")</f>
        <v>https://www.instagram.com/p/BYhfSrOlrnC/</v>
      </c>
      <c r="F4162" t="s">
        <v>22911</v>
      </c>
      <c r="G4162" t="s">
        <v>2478</v>
      </c>
      <c r="H4162">
        <v>179</v>
      </c>
      <c r="I4162" t="s">
        <v>2479</v>
      </c>
      <c r="J4162">
        <v>0</v>
      </c>
      <c r="K4162">
        <v>35</v>
      </c>
      <c r="L4162">
        <v>35</v>
      </c>
      <c r="Q4162">
        <v>0</v>
      </c>
      <c r="R4162">
        <v>0</v>
      </c>
      <c r="S4162">
        <v>35</v>
      </c>
      <c r="Y4162" t="s">
        <v>12421</v>
      </c>
      <c r="Z4162" t="s">
        <v>5605</v>
      </c>
      <c r="AA4162" t="s">
        <v>5608</v>
      </c>
      <c r="AB4162" t="s">
        <v>10684</v>
      </c>
      <c r="AC4162" t="s">
        <v>13436</v>
      </c>
      <c r="AD4162" s="249" t="str">
        <f>HYPERLINK("https://scontent.cdninstagram.com/t51.2885-15/s320x320/e35/21149727_278346192682384_7897840997827084288_n.jpg")</f>
        <v>https://scontent.cdninstagram.com/t51.2885-15/s320x320/e35/21149727_278346192682384_7897840997827084288_n.jpg</v>
      </c>
      <c r="AE4162" s="249" t="str">
        <f>HYPERLINK("https://scontent.cdninstagram.com/t51.2885-19/s150x150/20399028_1624608414236560_533007696291430400_a.jpg")</f>
        <v>https://scontent.cdninstagram.com/t51.2885-19/s150x150/20399028_1624608414236560_533007696291430400_a.jpg</v>
      </c>
    </row>
    <row r="4163" spans="1:31" ht="15" x14ac:dyDescent="0.25">
      <c r="A4163" t="s">
        <v>2474</v>
      </c>
      <c r="B4163" t="s">
        <v>22912</v>
      </c>
      <c r="C4163" s="221">
        <v>42979.973807870374</v>
      </c>
      <c r="D4163" t="s">
        <v>22913</v>
      </c>
      <c r="E4163" s="249" t="str">
        <f>HYPERLINK("https://www.instagram.com/p/BYhfxkWhsWh/")</f>
        <v>https://www.instagram.com/p/BYhfxkWhsWh/</v>
      </c>
      <c r="F4163" t="s">
        <v>22914</v>
      </c>
      <c r="G4163" t="s">
        <v>2478</v>
      </c>
      <c r="H4163">
        <v>192</v>
      </c>
      <c r="I4163" t="s">
        <v>2542</v>
      </c>
      <c r="J4163">
        <v>1</v>
      </c>
      <c r="K4163">
        <v>46</v>
      </c>
      <c r="L4163">
        <v>47</v>
      </c>
      <c r="Q4163">
        <v>0</v>
      </c>
      <c r="R4163">
        <v>0</v>
      </c>
      <c r="S4163">
        <v>47</v>
      </c>
      <c r="T4163" t="s">
        <v>22915</v>
      </c>
      <c r="V4163" t="s">
        <v>2288</v>
      </c>
      <c r="W4163">
        <v>51.5</v>
      </c>
      <c r="X4163">
        <v>-0.11666666666667</v>
      </c>
      <c r="Y4163" t="s">
        <v>22916</v>
      </c>
      <c r="Z4163" t="s">
        <v>2696</v>
      </c>
      <c r="AA4163" t="s">
        <v>2497</v>
      </c>
      <c r="AB4163" t="s">
        <v>11400</v>
      </c>
      <c r="AC4163" t="s">
        <v>2735</v>
      </c>
      <c r="AD4163" s="249" t="str">
        <f>HYPERLINK("https://scontent.cdninstagram.com/t51.2885-15/s320x320/e35/21294913_1416324655130169_4084252906218323968_n.jpg")</f>
        <v>https://scontent.cdninstagram.com/t51.2885-15/s320x320/e35/21294913_1416324655130169_4084252906218323968_n.jpg</v>
      </c>
      <c r="AE4163" s="249" t="str">
        <f>HYPERLINK("https://scontent.cdninstagram.com/t51.2885-19/10809488_578881282257296_1818812684_a.jpg")</f>
        <v>https://scontent.cdninstagram.com/t51.2885-19/10809488_578881282257296_1818812684_a.jpg</v>
      </c>
    </row>
    <row r="4164" spans="1:31" ht="15" x14ac:dyDescent="0.25">
      <c r="A4164" t="s">
        <v>2474</v>
      </c>
      <c r="B4164" t="s">
        <v>4535</v>
      </c>
      <c r="C4164" s="221">
        <v>42979.986400462964</v>
      </c>
      <c r="D4164" t="s">
        <v>22917</v>
      </c>
      <c r="E4164" s="249" t="str">
        <f>HYPERLINK("https://www.instagram.com/p/BYhh2TOluVv/")</f>
        <v>https://www.instagram.com/p/BYhh2TOluVv/</v>
      </c>
      <c r="F4164" t="s">
        <v>22918</v>
      </c>
      <c r="G4164" t="s">
        <v>2478</v>
      </c>
      <c r="H4164">
        <v>179</v>
      </c>
      <c r="I4164" t="s">
        <v>2479</v>
      </c>
      <c r="J4164">
        <v>0</v>
      </c>
      <c r="K4164">
        <v>33</v>
      </c>
      <c r="L4164">
        <v>33</v>
      </c>
      <c r="Q4164">
        <v>0</v>
      </c>
      <c r="R4164">
        <v>0</v>
      </c>
      <c r="S4164">
        <v>33</v>
      </c>
      <c r="Y4164" t="s">
        <v>12421</v>
      </c>
      <c r="Z4164" t="s">
        <v>5605</v>
      </c>
      <c r="AA4164" t="s">
        <v>5608</v>
      </c>
      <c r="AB4164" t="s">
        <v>10684</v>
      </c>
      <c r="AC4164" t="s">
        <v>13436</v>
      </c>
      <c r="AD4164" s="249" t="str">
        <f>HYPERLINK("https://scontent.cdninstagram.com/t51.2885-15/s320x320/e35/21296171_605640666273288_9141728483834068992_n.jpg")</f>
        <v>https://scontent.cdninstagram.com/t51.2885-15/s320x320/e35/21296171_605640666273288_9141728483834068992_n.jpg</v>
      </c>
      <c r="AE4164" s="249" t="str">
        <f>HYPERLINK("https://scontent.cdninstagram.com/t51.2885-19/s150x150/20399028_1624608414236560_533007696291430400_a.jpg")</f>
        <v>https://scontent.cdninstagram.com/t51.2885-19/s150x150/20399028_1624608414236560_533007696291430400_a.jpg</v>
      </c>
    </row>
    <row r="4165" spans="1:31" ht="15" x14ac:dyDescent="0.25">
      <c r="A4165" t="s">
        <v>2474</v>
      </c>
      <c r="B4165" t="s">
        <v>4535</v>
      </c>
      <c r="C4165" s="221">
        <v>42979.986770833333</v>
      </c>
      <c r="D4165" t="s">
        <v>22919</v>
      </c>
      <c r="E4165" s="249" t="str">
        <f>HYPERLINK("https://www.instagram.com/p/BYhh6NPFH9V/")</f>
        <v>https://www.instagram.com/p/BYhh6NPFH9V/</v>
      </c>
      <c r="F4165" t="s">
        <v>22920</v>
      </c>
      <c r="G4165" t="s">
        <v>2478</v>
      </c>
      <c r="H4165">
        <v>179</v>
      </c>
      <c r="I4165" t="s">
        <v>2479</v>
      </c>
      <c r="J4165">
        <v>1</v>
      </c>
      <c r="K4165">
        <v>39</v>
      </c>
      <c r="L4165">
        <v>40</v>
      </c>
      <c r="Q4165">
        <v>0</v>
      </c>
      <c r="R4165">
        <v>0</v>
      </c>
      <c r="S4165">
        <v>40</v>
      </c>
      <c r="Y4165" t="s">
        <v>12421</v>
      </c>
      <c r="Z4165" t="s">
        <v>5605</v>
      </c>
      <c r="AA4165" t="s">
        <v>5608</v>
      </c>
      <c r="AB4165" t="s">
        <v>10684</v>
      </c>
      <c r="AC4165" t="s">
        <v>13436</v>
      </c>
      <c r="AD4165" s="249" t="str">
        <f>HYPERLINK("https://scontent.cdninstagram.com/t51.2885-15/e35/p320x320/21224554_116735122323048_8122022493788569600_n.jpg")</f>
        <v>https://scontent.cdninstagram.com/t51.2885-15/e35/p320x320/21224554_116735122323048_8122022493788569600_n.jpg</v>
      </c>
      <c r="AE4165" s="249" t="str">
        <f>HYPERLINK("https://scontent.cdninstagram.com/t51.2885-19/s150x150/20399028_1624608414236560_533007696291430400_a.jpg")</f>
        <v>https://scontent.cdninstagram.com/t51.2885-19/s150x150/20399028_1624608414236560_533007696291430400_a.jpg</v>
      </c>
    </row>
    <row r="4166" spans="1:31" ht="15" x14ac:dyDescent="0.25">
      <c r="A4166" t="s">
        <v>2474</v>
      </c>
      <c r="B4166" t="s">
        <v>8312</v>
      </c>
      <c r="C4166" s="221">
        <v>42980.007071759261</v>
      </c>
      <c r="D4166" t="s">
        <v>22921</v>
      </c>
      <c r="E4166" s="249" t="str">
        <f>HYPERLINK("https://www.instagram.com/p/BYhlQSzFbe-/")</f>
        <v>https://www.instagram.com/p/BYhlQSzFbe-/</v>
      </c>
      <c r="F4166" t="s">
        <v>22922</v>
      </c>
      <c r="G4166" t="s">
        <v>2478</v>
      </c>
      <c r="H4166">
        <v>26</v>
      </c>
      <c r="I4166" t="s">
        <v>2542</v>
      </c>
      <c r="J4166">
        <v>1</v>
      </c>
      <c r="K4166">
        <v>35</v>
      </c>
      <c r="L4166">
        <v>36</v>
      </c>
      <c r="Q4166">
        <v>0</v>
      </c>
      <c r="R4166">
        <v>0</v>
      </c>
      <c r="S4166">
        <v>36</v>
      </c>
      <c r="T4166" t="s">
        <v>10329</v>
      </c>
      <c r="V4166" t="s">
        <v>2264</v>
      </c>
      <c r="W4166">
        <v>42.764014243490003</v>
      </c>
      <c r="X4166">
        <v>-7.9069180053236003</v>
      </c>
      <c r="Y4166" t="s">
        <v>9075</v>
      </c>
      <c r="Z4166" t="s">
        <v>9073</v>
      </c>
      <c r="AA4166" t="s">
        <v>2497</v>
      </c>
      <c r="AB4166" t="s">
        <v>3946</v>
      </c>
      <c r="AC4166" t="s">
        <v>2832</v>
      </c>
      <c r="AD4166" s="249" t="str">
        <f>HYPERLINK("https://scontent.cdninstagram.com/t51.2885-15/s320x320/e35/21294260_1396355503753742_8786027680450478080_n.jpg")</f>
        <v>https://scontent.cdninstagram.com/t51.2885-15/s320x320/e35/21294260_1396355503753742_8786027680450478080_n.jpg</v>
      </c>
      <c r="AE4166" s="249" t="str">
        <f>HYPERLINK("https://scontent.cdninstagram.com/t51.2885-19/s150x150/20347739_515336592144896_3974966673097621504_a.jpg")</f>
        <v>https://scontent.cdninstagram.com/t51.2885-19/s150x150/20347739_515336592144896_3974966673097621504_a.jpg</v>
      </c>
    </row>
    <row r="4167" spans="1:31" ht="15" x14ac:dyDescent="0.25">
      <c r="A4167" t="s">
        <v>2474</v>
      </c>
      <c r="B4167" t="s">
        <v>6826</v>
      </c>
      <c r="C4167" s="221">
        <v>42980.01866898148</v>
      </c>
      <c r="D4167" t="s">
        <v>22923</v>
      </c>
      <c r="E4167" s="249" t="str">
        <f>HYPERLINK("https://www.instagram.com/p/BYhnKpEhbOK/")</f>
        <v>https://www.instagram.com/p/BYhnKpEhbOK/</v>
      </c>
      <c r="F4167" t="s">
        <v>22924</v>
      </c>
      <c r="G4167" t="s">
        <v>2478</v>
      </c>
      <c r="H4167">
        <v>26075</v>
      </c>
      <c r="I4167" t="s">
        <v>2479</v>
      </c>
      <c r="J4167">
        <v>10</v>
      </c>
      <c r="K4167">
        <v>250</v>
      </c>
      <c r="L4167">
        <v>260</v>
      </c>
      <c r="Q4167">
        <v>0</v>
      </c>
      <c r="R4167">
        <v>0</v>
      </c>
      <c r="S4167">
        <v>260</v>
      </c>
      <c r="Y4167" t="s">
        <v>7171</v>
      </c>
      <c r="Z4167" t="s">
        <v>18014</v>
      </c>
      <c r="AA4167" t="s">
        <v>2497</v>
      </c>
      <c r="AB4167" t="s">
        <v>8340</v>
      </c>
      <c r="AC4167" t="s">
        <v>17491</v>
      </c>
      <c r="AD4167" s="249" t="str">
        <f>HYPERLINK("https://scontent.cdninstagram.com/t51.2885-15/s320x320/e35/21149872_113408372705635_923966354359320576_n.jpg")</f>
        <v>https://scontent.cdninstagram.com/t51.2885-15/s320x320/e35/21149872_113408372705635_923966354359320576_n.jpg</v>
      </c>
      <c r="AE4167" s="249" t="str">
        <f>HYPERLINK("https://scontent.cdninstagram.com/t51.2885-19/s150x150/15535145_1299231863453741_6995494065726816256_a.jpg")</f>
        <v>https://scontent.cdninstagram.com/t51.2885-19/s150x150/15535145_1299231863453741_6995494065726816256_a.jpg</v>
      </c>
    </row>
    <row r="4168" spans="1:31" ht="15" x14ac:dyDescent="0.25">
      <c r="A4168" t="s">
        <v>2474</v>
      </c>
      <c r="B4168" t="s">
        <v>22925</v>
      </c>
      <c r="C4168" s="221">
        <v>42980.026504629626</v>
      </c>
      <c r="D4168" t="s">
        <v>22926</v>
      </c>
      <c r="E4168" s="249" t="str">
        <f>HYPERLINK("https://www.instagram.com/p/BYhodUSAa48/")</f>
        <v>https://www.instagram.com/p/BYhodUSAa48/</v>
      </c>
      <c r="F4168" t="s">
        <v>22927</v>
      </c>
      <c r="G4168" t="s">
        <v>2631</v>
      </c>
      <c r="H4168">
        <v>42</v>
      </c>
      <c r="I4168" t="s">
        <v>2479</v>
      </c>
      <c r="J4168">
        <v>0</v>
      </c>
      <c r="K4168">
        <v>9</v>
      </c>
      <c r="L4168">
        <v>9</v>
      </c>
      <c r="Q4168">
        <v>0</v>
      </c>
      <c r="R4168">
        <v>0</v>
      </c>
      <c r="S4168">
        <v>9</v>
      </c>
      <c r="Y4168" t="s">
        <v>22928</v>
      </c>
      <c r="Z4168" t="s">
        <v>22929</v>
      </c>
      <c r="AA4168" t="s">
        <v>22930</v>
      </c>
      <c r="AB4168" t="s">
        <v>2497</v>
      </c>
      <c r="AC4168" t="s">
        <v>22931</v>
      </c>
      <c r="AD4168" s="249" t="str">
        <f>HYPERLINK("https://scontent.cdninstagram.com/t51.2885-15/s320x320/e15/21149641_570510116406513_4873700700183330816_n.jpg")</f>
        <v>https://scontent.cdninstagram.com/t51.2885-15/s320x320/e15/21149641_570510116406513_4873700700183330816_n.jpg</v>
      </c>
      <c r="AE4168" s="249" t="str">
        <f>HYPERLINK("https://scontent.cdninstagram.com/t51.2885-19/s150x150/12237260_737594383041806_6003009_a.jpg")</f>
        <v>https://scontent.cdninstagram.com/t51.2885-19/s150x150/12237260_737594383041806_6003009_a.jpg</v>
      </c>
    </row>
    <row r="4169" spans="1:31" ht="15" x14ac:dyDescent="0.25">
      <c r="A4169" t="s">
        <v>2474</v>
      </c>
      <c r="B4169" t="s">
        <v>22932</v>
      </c>
      <c r="C4169" s="221">
        <v>42980.05</v>
      </c>
      <c r="D4169" t="s">
        <v>22933</v>
      </c>
      <c r="E4169" s="249" t="str">
        <f>HYPERLINK("https://www.instagram.com/p/BYhsVEYj_96/")</f>
        <v>https://www.instagram.com/p/BYhsVEYj_96/</v>
      </c>
      <c r="F4169" t="s">
        <v>22934</v>
      </c>
      <c r="G4169" t="s">
        <v>2478</v>
      </c>
      <c r="H4169">
        <v>750</v>
      </c>
      <c r="I4169" t="s">
        <v>2479</v>
      </c>
      <c r="J4169">
        <v>2</v>
      </c>
      <c r="K4169">
        <v>59</v>
      </c>
      <c r="L4169">
        <v>61</v>
      </c>
      <c r="Q4169">
        <v>0</v>
      </c>
      <c r="R4169">
        <v>0</v>
      </c>
      <c r="S4169">
        <v>61</v>
      </c>
      <c r="Y4169" t="s">
        <v>10919</v>
      </c>
      <c r="Z4169" t="s">
        <v>22935</v>
      </c>
      <c r="AA4169" t="s">
        <v>2497</v>
      </c>
      <c r="AB4169" t="s">
        <v>22936</v>
      </c>
      <c r="AC4169" t="s">
        <v>22937</v>
      </c>
      <c r="AD4169" s="249" t="str">
        <f>HYPERLINK("https://scontent.cdninstagram.com/t51.2885-15/s320x320/e35/21294968_550495092008786_6828865642632839168_n.jpg")</f>
        <v>https://scontent.cdninstagram.com/t51.2885-15/s320x320/e35/21294968_550495092008786_6828865642632839168_n.jpg</v>
      </c>
      <c r="AE4169" s="249" t="str">
        <f>HYPERLINK("https://scontent.cdninstagram.com/t51.2885-19/s150x150/21107539_1923411387979147_5687084991134040064_a.jpg")</f>
        <v>https://scontent.cdninstagram.com/t51.2885-19/s150x150/21107539_1923411387979147_5687084991134040064_a.jpg</v>
      </c>
    </row>
    <row r="4170" spans="1:31" ht="15" x14ac:dyDescent="0.25">
      <c r="A4170" t="s">
        <v>2474</v>
      </c>
      <c r="B4170" t="s">
        <v>22938</v>
      </c>
      <c r="C4170" s="221">
        <v>42980.051921296297</v>
      </c>
      <c r="D4170" t="s">
        <v>22939</v>
      </c>
      <c r="E4170" s="249" t="str">
        <f>HYPERLINK("https://www.instagram.com/p/BYhspU9nLD-/")</f>
        <v>https://www.instagram.com/p/BYhspU9nLD-/</v>
      </c>
      <c r="F4170" t="s">
        <v>22940</v>
      </c>
      <c r="G4170" t="s">
        <v>2478</v>
      </c>
      <c r="H4170">
        <v>308</v>
      </c>
      <c r="I4170" t="s">
        <v>2510</v>
      </c>
      <c r="J4170">
        <v>3</v>
      </c>
      <c r="K4170">
        <v>37</v>
      </c>
      <c r="L4170">
        <v>40</v>
      </c>
      <c r="Q4170">
        <v>0</v>
      </c>
      <c r="R4170">
        <v>0</v>
      </c>
      <c r="S4170">
        <v>40</v>
      </c>
      <c r="Y4170" t="s">
        <v>4734</v>
      </c>
      <c r="Z4170" t="s">
        <v>22941</v>
      </c>
      <c r="AA4170" t="s">
        <v>9011</v>
      </c>
      <c r="AB4170" t="s">
        <v>3269</v>
      </c>
      <c r="AC4170" t="s">
        <v>2497</v>
      </c>
      <c r="AD4170" s="249" t="str">
        <f>HYPERLINK("https://scontent.cdninstagram.com/t51.2885-15/s320x320/e35/21295228_125222344793468_5959238286789574656_n.jpg")</f>
        <v>https://scontent.cdninstagram.com/t51.2885-15/s320x320/e35/21295228_125222344793468_5959238286789574656_n.jpg</v>
      </c>
      <c r="AE4170" s="249" t="str">
        <f>HYPERLINK("https://scontent.cdninstagram.com/t51.2885-19/s150x150/20482186_1977106145859492_4488430855148011520_a.jpg")</f>
        <v>https://scontent.cdninstagram.com/t51.2885-19/s150x150/20482186_1977106145859492_4488430855148011520_a.jpg</v>
      </c>
    </row>
    <row r="4171" spans="1:31" ht="15" x14ac:dyDescent="0.25">
      <c r="A4171" t="s">
        <v>2474</v>
      </c>
      <c r="B4171" t="s">
        <v>3015</v>
      </c>
      <c r="C4171" s="221">
        <v>42980.055902777778</v>
      </c>
      <c r="D4171" t="s">
        <v>22942</v>
      </c>
      <c r="E4171" s="249" t="str">
        <f>HYPERLINK("https://www.instagram.com/p/BYhtTZ-ghMS/")</f>
        <v>https://www.instagram.com/p/BYhtTZ-ghMS/</v>
      </c>
      <c r="F4171" t="s">
        <v>22943</v>
      </c>
      <c r="G4171" t="s">
        <v>2478</v>
      </c>
      <c r="H4171">
        <v>252</v>
      </c>
      <c r="I4171" t="s">
        <v>2479</v>
      </c>
      <c r="J4171">
        <v>2</v>
      </c>
      <c r="K4171">
        <v>58</v>
      </c>
      <c r="L4171">
        <v>60</v>
      </c>
      <c r="Q4171">
        <v>0</v>
      </c>
      <c r="R4171">
        <v>0</v>
      </c>
      <c r="S4171">
        <v>60</v>
      </c>
      <c r="Y4171" t="s">
        <v>4129</v>
      </c>
      <c r="Z4171" t="s">
        <v>3494</v>
      </c>
      <c r="AA4171" t="s">
        <v>2492</v>
      </c>
      <c r="AB4171" t="s">
        <v>3492</v>
      </c>
      <c r="AC4171" t="s">
        <v>3021</v>
      </c>
      <c r="AD4171" s="249" t="str">
        <f>HYPERLINK("https://scontent.cdninstagram.com/t51.2885-15/s320x320/e35/21296199_1830034400640937_5895335972358324224_n.jpg")</f>
        <v>https://scontent.cdninstagram.com/t51.2885-15/s320x320/e35/21296199_1830034400640937_5895335972358324224_n.jpg</v>
      </c>
      <c r="AE4171" s="249" t="str">
        <f>HYPERLINK("https://scontent.cdninstagram.com/t51.2885-19/s150x150/21373025_723410537866046_6184601968204316672_a.jpg")</f>
        <v>https://scontent.cdninstagram.com/t51.2885-19/s150x150/21373025_723410537866046_6184601968204316672_a.jpg</v>
      </c>
    </row>
    <row r="4172" spans="1:31" ht="15" x14ac:dyDescent="0.25">
      <c r="A4172" t="s">
        <v>2474</v>
      </c>
      <c r="B4172" t="s">
        <v>22944</v>
      </c>
      <c r="C4172" s="221">
        <v>42980.056296296294</v>
      </c>
      <c r="D4172" t="s">
        <v>22945</v>
      </c>
      <c r="E4172" s="249" t="str">
        <f>HYPERLINK("https://www.instagram.com/p/BYhtXipl5mh/")</f>
        <v>https://www.instagram.com/p/BYhtXipl5mh/</v>
      </c>
      <c r="F4172" t="s">
        <v>22946</v>
      </c>
      <c r="G4172" t="s">
        <v>2478</v>
      </c>
      <c r="H4172">
        <v>941</v>
      </c>
      <c r="I4172" t="s">
        <v>2479</v>
      </c>
      <c r="J4172">
        <v>2</v>
      </c>
      <c r="K4172">
        <v>39</v>
      </c>
      <c r="L4172">
        <v>41</v>
      </c>
      <c r="Q4172">
        <v>0</v>
      </c>
      <c r="R4172">
        <v>0</v>
      </c>
      <c r="S4172">
        <v>41</v>
      </c>
      <c r="T4172" t="s">
        <v>22947</v>
      </c>
      <c r="V4172" t="s">
        <v>2102</v>
      </c>
      <c r="W4172">
        <v>-33.870147553491996</v>
      </c>
      <c r="X4172">
        <v>151.2083143975</v>
      </c>
      <c r="Y4172" t="s">
        <v>3953</v>
      </c>
      <c r="Z4172" t="s">
        <v>3344</v>
      </c>
      <c r="AA4172" t="s">
        <v>12270</v>
      </c>
      <c r="AB4172" t="s">
        <v>2958</v>
      </c>
      <c r="AC4172" t="s">
        <v>2497</v>
      </c>
      <c r="AD4172" s="249" t="str">
        <f>HYPERLINK("https://scontent.cdninstagram.com/t51.2885-15/s320x320/e35/21224473_1964164700525167_4432965892300603392_n.jpg")</f>
        <v>https://scontent.cdninstagram.com/t51.2885-15/s320x320/e35/21224473_1964164700525167_4432965892300603392_n.jpg</v>
      </c>
      <c r="AE4172" s="249" t="str">
        <f>HYPERLINK("https://scontent.cdninstagram.com/t51.2885-19/s150x150/20969291_136135206905773_3644307710893096960_a.jpg")</f>
        <v>https://scontent.cdninstagram.com/t51.2885-19/s150x150/20969291_136135206905773_3644307710893096960_a.jpg</v>
      </c>
    </row>
    <row r="4173" spans="1:31" ht="15" x14ac:dyDescent="0.25">
      <c r="A4173" t="s">
        <v>2474</v>
      </c>
      <c r="B4173" t="s">
        <v>22948</v>
      </c>
      <c r="C4173" s="221">
        <v>42980.067361111112</v>
      </c>
      <c r="D4173" t="s">
        <v>22949</v>
      </c>
      <c r="E4173" s="249" t="str">
        <f>HYPERLINK("https://www.instagram.com/p/BYhvMPXhLjm/")</f>
        <v>https://www.instagram.com/p/BYhvMPXhLjm/</v>
      </c>
      <c r="F4173" t="s">
        <v>22950</v>
      </c>
      <c r="G4173" t="s">
        <v>2478</v>
      </c>
      <c r="H4173">
        <v>1757</v>
      </c>
      <c r="I4173" t="s">
        <v>2479</v>
      </c>
      <c r="J4173">
        <v>2</v>
      </c>
      <c r="K4173">
        <v>42</v>
      </c>
      <c r="L4173">
        <v>44</v>
      </c>
      <c r="Q4173">
        <v>0</v>
      </c>
      <c r="R4173">
        <v>0</v>
      </c>
      <c r="S4173">
        <v>44</v>
      </c>
      <c r="Y4173" t="s">
        <v>2497</v>
      </c>
      <c r="AD4173" s="249" t="str">
        <f>HYPERLINK("https://scontent.cdninstagram.com/t51.2885-15/s320x320/e35/21149705_1947617735475642_622001652047544320_n.jpg")</f>
        <v>https://scontent.cdninstagram.com/t51.2885-15/s320x320/e35/21149705_1947617735475642_622001652047544320_n.jpg</v>
      </c>
      <c r="AE4173" s="249" t="str">
        <f>HYPERLINK("https://scontent.cdninstagram.com/t51.2885-19/s150x150/21041421_515947962085790_6447597564656091136_a.jpg")</f>
        <v>https://scontent.cdninstagram.com/t51.2885-19/s150x150/21041421_515947962085790_6447597564656091136_a.jpg</v>
      </c>
    </row>
    <row r="4174" spans="1:31" ht="15" x14ac:dyDescent="0.25">
      <c r="A4174" t="s">
        <v>2474</v>
      </c>
      <c r="B4174" t="s">
        <v>22951</v>
      </c>
      <c r="C4174" s="221">
        <v>42980.07136574074</v>
      </c>
      <c r="D4174" t="s">
        <v>22952</v>
      </c>
      <c r="E4174" s="249" t="str">
        <f>HYPERLINK("https://www.instagram.com/p/BYhv2dqgV8J/")</f>
        <v>https://www.instagram.com/p/BYhv2dqgV8J/</v>
      </c>
      <c r="F4174" t="s">
        <v>22953</v>
      </c>
      <c r="G4174" t="s">
        <v>2631</v>
      </c>
      <c r="H4174">
        <v>482</v>
      </c>
      <c r="I4174" t="s">
        <v>2519</v>
      </c>
      <c r="J4174">
        <v>0</v>
      </c>
      <c r="K4174">
        <v>26</v>
      </c>
      <c r="L4174">
        <v>26</v>
      </c>
      <c r="Q4174">
        <v>0</v>
      </c>
      <c r="R4174">
        <v>0</v>
      </c>
      <c r="S4174">
        <v>26</v>
      </c>
      <c r="Y4174" t="s">
        <v>2497</v>
      </c>
      <c r="Z4174" t="s">
        <v>22954</v>
      </c>
      <c r="AA4174" t="s">
        <v>22955</v>
      </c>
      <c r="AB4174" t="s">
        <v>22956</v>
      </c>
      <c r="AD4174" s="249" t="str">
        <f>HYPERLINK("https://scontent.cdninstagram.com/t51.2885-15/s320x320/e15/21296130_1927707197504477_8258140319615287296_n.jpg")</f>
        <v>https://scontent.cdninstagram.com/t51.2885-15/s320x320/e15/21296130_1927707197504477_8258140319615287296_n.jpg</v>
      </c>
      <c r="AE4174" s="249" t="str">
        <f>HYPERLINK("https://scontent.cdninstagram.com/t51.2885-19/s150x150/20766644_110648289642327_5013528806523142144_a.jpg")</f>
        <v>https://scontent.cdninstagram.com/t51.2885-19/s150x150/20766644_110648289642327_5013528806523142144_a.jpg</v>
      </c>
    </row>
    <row r="4175" spans="1:31" ht="15" x14ac:dyDescent="0.25">
      <c r="A4175" t="s">
        <v>2474</v>
      </c>
      <c r="B4175" t="s">
        <v>18309</v>
      </c>
      <c r="C4175" s="221">
        <v>42980.073553240742</v>
      </c>
      <c r="D4175" t="s">
        <v>22957</v>
      </c>
      <c r="E4175" s="249" t="str">
        <f>HYPERLINK("https://www.instagram.com/p/BYhwNejD7fF/")</f>
        <v>https://www.instagram.com/p/BYhwNejD7fF/</v>
      </c>
      <c r="F4175" t="s">
        <v>22958</v>
      </c>
      <c r="G4175" t="s">
        <v>2478</v>
      </c>
      <c r="H4175">
        <v>24</v>
      </c>
      <c r="I4175" t="s">
        <v>2479</v>
      </c>
      <c r="J4175">
        <v>2</v>
      </c>
      <c r="K4175">
        <v>39</v>
      </c>
      <c r="L4175">
        <v>41</v>
      </c>
      <c r="Q4175">
        <v>0</v>
      </c>
      <c r="R4175">
        <v>0</v>
      </c>
      <c r="S4175">
        <v>41</v>
      </c>
      <c r="Y4175" t="s">
        <v>4180</v>
      </c>
      <c r="Z4175" t="s">
        <v>6843</v>
      </c>
      <c r="AA4175" t="s">
        <v>2696</v>
      </c>
      <c r="AB4175" t="s">
        <v>2497</v>
      </c>
      <c r="AC4175" t="s">
        <v>3269</v>
      </c>
      <c r="AD4175" s="249" t="str">
        <f>HYPERLINK("https://scontent.cdninstagram.com/t51.2885-15/s320x320/e35/21227458_113326786052228_9174208203347460096_n.jpg")</f>
        <v>https://scontent.cdninstagram.com/t51.2885-15/s320x320/e35/21227458_113326786052228_9174208203347460096_n.jpg</v>
      </c>
      <c r="AE4175" s="249" t="str">
        <f>HYPERLINK("https://scontent.cdninstagram.com/t51.2885-19/s150x150/21224635_116853155713206_6935607206414909440_a.jpg")</f>
        <v>https://scontent.cdninstagram.com/t51.2885-19/s150x150/21224635_116853155713206_6935607206414909440_a.jpg</v>
      </c>
    </row>
    <row r="4176" spans="1:31" ht="15" x14ac:dyDescent="0.25">
      <c r="A4176" t="s">
        <v>2474</v>
      </c>
      <c r="B4176" t="s">
        <v>22959</v>
      </c>
      <c r="C4176" s="221">
        <v>42980.08221064815</v>
      </c>
      <c r="D4176" t="s">
        <v>22960</v>
      </c>
      <c r="E4176" s="249" t="str">
        <f>HYPERLINK("https://www.instagram.com/p/BYhxo4KlVSK/")</f>
        <v>https://www.instagram.com/p/BYhxo4KlVSK/</v>
      </c>
      <c r="F4176" t="s">
        <v>22961</v>
      </c>
      <c r="G4176" t="s">
        <v>2478</v>
      </c>
      <c r="H4176">
        <v>22</v>
      </c>
      <c r="I4176" t="s">
        <v>2479</v>
      </c>
      <c r="J4176">
        <v>0</v>
      </c>
      <c r="K4176">
        <v>6</v>
      </c>
      <c r="L4176">
        <v>6</v>
      </c>
      <c r="Q4176">
        <v>0</v>
      </c>
      <c r="R4176">
        <v>0</v>
      </c>
      <c r="S4176">
        <v>6</v>
      </c>
      <c r="Y4176" t="s">
        <v>16766</v>
      </c>
      <c r="Z4176" t="s">
        <v>8085</v>
      </c>
      <c r="AA4176" t="s">
        <v>22962</v>
      </c>
      <c r="AB4176" t="s">
        <v>22963</v>
      </c>
      <c r="AC4176" t="s">
        <v>19942</v>
      </c>
      <c r="AD4176" s="249" t="str">
        <f>HYPERLINK("https://scontent.cdninstagram.com/t51.2885-15/s320x320/e35/21296904_1563178390432703_102094860139364352_n.jpg")</f>
        <v>https://scontent.cdninstagram.com/t51.2885-15/s320x320/e35/21296904_1563178390432703_102094860139364352_n.jpg</v>
      </c>
      <c r="AE4176" s="249" t="str">
        <f>HYPERLINK("https://scontent.cdninstagram.com/t51.2885-19/s150x150/21296301_286766748467393_4523957488885694464_a.jpg")</f>
        <v>https://scontent.cdninstagram.com/t51.2885-19/s150x150/21296301_286766748467393_4523957488885694464_a.jpg</v>
      </c>
    </row>
    <row r="4177" spans="1:31" ht="15" x14ac:dyDescent="0.25">
      <c r="A4177" t="s">
        <v>2474</v>
      </c>
      <c r="B4177" t="s">
        <v>22964</v>
      </c>
      <c r="C4177" s="221">
        <v>42980.095821759256</v>
      </c>
      <c r="D4177" t="s">
        <v>22965</v>
      </c>
      <c r="E4177" s="249" t="str">
        <f>HYPERLINK("https://www.instagram.com/p/BYhz4UUA8rR/")</f>
        <v>https://www.instagram.com/p/BYhz4UUA8rR/</v>
      </c>
      <c r="F4177" t="s">
        <v>22966</v>
      </c>
      <c r="G4177" t="s">
        <v>2478</v>
      </c>
      <c r="H4177">
        <v>261</v>
      </c>
      <c r="I4177" t="s">
        <v>2479</v>
      </c>
      <c r="J4177">
        <v>0</v>
      </c>
      <c r="K4177">
        <v>0</v>
      </c>
      <c r="L4177">
        <v>0</v>
      </c>
      <c r="Q4177">
        <v>0</v>
      </c>
      <c r="R4177">
        <v>0</v>
      </c>
      <c r="S4177">
        <v>0</v>
      </c>
      <c r="Y4177" t="s">
        <v>22967</v>
      </c>
      <c r="Z4177" t="s">
        <v>2497</v>
      </c>
      <c r="AA4177" t="s">
        <v>22968</v>
      </c>
      <c r="AB4177" t="s">
        <v>22969</v>
      </c>
      <c r="AC4177" t="s">
        <v>22970</v>
      </c>
      <c r="AD4177" s="249" t="str">
        <f>HYPERLINK("https://scontent.cdninstagram.com/t51.2885-15/s320x320/e35/21296490_129234924380469_2232232814563033088_n.jpg")</f>
        <v>https://scontent.cdninstagram.com/t51.2885-15/s320x320/e35/21296490_129234924380469_2232232814563033088_n.jpg</v>
      </c>
      <c r="AE4177" s="249" t="str">
        <f>HYPERLINK("https://scontent.cdninstagram.com/t51.2885-19/10707055_860398000650995_1885931430_a.jpg")</f>
        <v>https://scontent.cdninstagram.com/t51.2885-19/10707055_860398000650995_1885931430_a.jpg</v>
      </c>
    </row>
    <row r="4178" spans="1:31" ht="15" x14ac:dyDescent="0.25">
      <c r="A4178" t="s">
        <v>2474</v>
      </c>
      <c r="B4178" t="s">
        <v>7457</v>
      </c>
      <c r="C4178" s="221">
        <v>42980.107118055559</v>
      </c>
      <c r="D4178" t="s">
        <v>22971</v>
      </c>
      <c r="E4178" s="249" t="str">
        <f>HYPERLINK("https://www.instagram.com/p/BYh1vhMFoEZ/")</f>
        <v>https://www.instagram.com/p/BYh1vhMFoEZ/</v>
      </c>
      <c r="F4178" t="s">
        <v>22972</v>
      </c>
      <c r="G4178" t="s">
        <v>2478</v>
      </c>
      <c r="H4178">
        <v>7138</v>
      </c>
      <c r="I4178" t="s">
        <v>4062</v>
      </c>
      <c r="J4178">
        <v>5</v>
      </c>
      <c r="K4178">
        <v>139</v>
      </c>
      <c r="L4178">
        <v>144</v>
      </c>
      <c r="Q4178">
        <v>0</v>
      </c>
      <c r="R4178">
        <v>0</v>
      </c>
      <c r="S4178">
        <v>144</v>
      </c>
      <c r="Y4178" t="s">
        <v>7461</v>
      </c>
      <c r="Z4178" t="s">
        <v>21756</v>
      </c>
      <c r="AA4178" t="s">
        <v>7462</v>
      </c>
      <c r="AB4178" t="s">
        <v>22973</v>
      </c>
      <c r="AC4178" t="s">
        <v>2497</v>
      </c>
      <c r="AD4178" s="249" t="str">
        <f>HYPERLINK("https://scontent.cdninstagram.com/t51.2885-15/e35/p320x320/21296299_114431472603767_5106440734525882368_n.jpg")</f>
        <v>https://scontent.cdninstagram.com/t51.2885-15/e35/p320x320/21296299_114431472603767_5106440734525882368_n.jpg</v>
      </c>
      <c r="AE4178" s="249" t="str">
        <f>HYPERLINK("https://scontent.cdninstagram.com/t51.2885-19/s150x150/18443212_284821451930273_9046638560735657984_a.jpg")</f>
        <v>https://scontent.cdninstagram.com/t51.2885-19/s150x150/18443212_284821451930273_9046638560735657984_a.jpg</v>
      </c>
    </row>
    <row r="4179" spans="1:31" ht="15" x14ac:dyDescent="0.25">
      <c r="A4179" t="s">
        <v>2474</v>
      </c>
      <c r="B4179" t="s">
        <v>22974</v>
      </c>
      <c r="C4179" s="221">
        <v>42980.107349537036</v>
      </c>
      <c r="D4179" t="s">
        <v>22975</v>
      </c>
      <c r="E4179" s="249" t="str">
        <f>HYPERLINK("https://www.instagram.com/p/BYh1x9SFnNH/")</f>
        <v>https://www.instagram.com/p/BYh1x9SFnNH/</v>
      </c>
      <c r="F4179" t="s">
        <v>22750</v>
      </c>
      <c r="G4179" t="s">
        <v>2478</v>
      </c>
      <c r="H4179">
        <v>776</v>
      </c>
      <c r="I4179" t="s">
        <v>3025</v>
      </c>
      <c r="J4179">
        <v>0</v>
      </c>
      <c r="K4179">
        <v>32</v>
      </c>
      <c r="L4179">
        <v>32</v>
      </c>
      <c r="Q4179">
        <v>0</v>
      </c>
      <c r="R4179">
        <v>0</v>
      </c>
      <c r="S4179">
        <v>32</v>
      </c>
      <c r="Y4179" t="s">
        <v>5721</v>
      </c>
      <c r="Z4179" t="s">
        <v>4272</v>
      </c>
      <c r="AA4179" t="s">
        <v>22752</v>
      </c>
      <c r="AB4179" t="s">
        <v>22976</v>
      </c>
      <c r="AC4179" t="s">
        <v>22977</v>
      </c>
      <c r="AD4179" s="249" t="str">
        <f>HYPERLINK("https://scontent.cdninstagram.com/t51.2885-15/s320x320/e35/21224311_506943112979910_1278707052163629056_n.jpg")</f>
        <v>https://scontent.cdninstagram.com/t51.2885-15/s320x320/e35/21224311_506943112979910_1278707052163629056_n.jpg</v>
      </c>
      <c r="AE4179" s="249" t="str">
        <f>HYPERLINK("https://scontent.cdninstagram.com/t51.2885-19/s150x150/20904903_678127035729350_4248444442177961984_a.jpg")</f>
        <v>https://scontent.cdninstagram.com/t51.2885-19/s150x150/20904903_678127035729350_4248444442177961984_a.jpg</v>
      </c>
    </row>
    <row r="4180" spans="1:31" ht="15" x14ac:dyDescent="0.25">
      <c r="A4180" t="s">
        <v>2474</v>
      </c>
      <c r="B4180" t="s">
        <v>7325</v>
      </c>
      <c r="C4180" s="221">
        <v>42980.137453703705</v>
      </c>
      <c r="D4180" t="s">
        <v>22978</v>
      </c>
      <c r="E4180" s="249" t="str">
        <f>HYPERLINK("https://www.instagram.com/p/BYh6vgyDmZt/")</f>
        <v>https://www.instagram.com/p/BYh6vgyDmZt/</v>
      </c>
      <c r="F4180" t="s">
        <v>22979</v>
      </c>
      <c r="G4180" t="s">
        <v>2478</v>
      </c>
      <c r="H4180">
        <v>140</v>
      </c>
      <c r="I4180" t="s">
        <v>2786</v>
      </c>
      <c r="J4180">
        <v>9</v>
      </c>
      <c r="K4180">
        <v>45</v>
      </c>
      <c r="L4180">
        <v>54</v>
      </c>
      <c r="Q4180">
        <v>0</v>
      </c>
      <c r="R4180">
        <v>0</v>
      </c>
      <c r="S4180">
        <v>54</v>
      </c>
      <c r="Y4180" t="s">
        <v>2826</v>
      </c>
      <c r="Z4180" t="s">
        <v>4513</v>
      </c>
      <c r="AA4180" t="s">
        <v>22980</v>
      </c>
      <c r="AB4180" t="s">
        <v>13777</v>
      </c>
      <c r="AC4180" t="s">
        <v>16868</v>
      </c>
      <c r="AD4180" s="249" t="str">
        <f>HYPERLINK("https://scontent.cdninstagram.com/t51.2885-15/s320x320/e35/21294436_1952458271642536_2749170937961119744_n.jpg")</f>
        <v>https://scontent.cdninstagram.com/t51.2885-15/s320x320/e35/21294436_1952458271642536_2749170937961119744_n.jpg</v>
      </c>
      <c r="AE4180" s="249" t="str">
        <f>HYPERLINK("https://scontent.cdninstagram.com/t51.2885-19/s150x150/19932627_1739546486060134_3140086573341605888_a.jpg")</f>
        <v>https://scontent.cdninstagram.com/t51.2885-19/s150x150/19932627_1739546486060134_3140086573341605888_a.jpg</v>
      </c>
    </row>
    <row r="4181" spans="1:31" ht="15" x14ac:dyDescent="0.25">
      <c r="A4181" t="s">
        <v>2474</v>
      </c>
      <c r="B4181" t="s">
        <v>22981</v>
      </c>
      <c r="C4181" s="221">
        <v>42980.142141203702</v>
      </c>
      <c r="D4181" t="s">
        <v>22982</v>
      </c>
      <c r="E4181" s="249" t="str">
        <f>HYPERLINK("https://www.instagram.com/p/BYh7g36h_NY/")</f>
        <v>https://www.instagram.com/p/BYh7g36h_NY/</v>
      </c>
      <c r="F4181" t="s">
        <v>22983</v>
      </c>
      <c r="G4181" t="s">
        <v>2478</v>
      </c>
      <c r="H4181">
        <v>480</v>
      </c>
      <c r="I4181" t="s">
        <v>2542</v>
      </c>
      <c r="J4181">
        <v>1</v>
      </c>
      <c r="K4181">
        <v>39</v>
      </c>
      <c r="L4181">
        <v>40</v>
      </c>
      <c r="Q4181">
        <v>0</v>
      </c>
      <c r="R4181">
        <v>0</v>
      </c>
      <c r="S4181">
        <v>40</v>
      </c>
      <c r="Y4181" t="s">
        <v>22984</v>
      </c>
      <c r="Z4181" t="s">
        <v>22985</v>
      </c>
      <c r="AA4181" t="s">
        <v>22986</v>
      </c>
      <c r="AB4181" t="s">
        <v>22987</v>
      </c>
      <c r="AC4181" t="s">
        <v>2497</v>
      </c>
      <c r="AD4181" s="249" t="str">
        <f>HYPERLINK("https://scontent.cdninstagram.com/t51.2885-15/s320x320/e35/21227846_1798849060125507_682150581673918464_n.jpg")</f>
        <v>https://scontent.cdninstagram.com/t51.2885-15/s320x320/e35/21227846_1798849060125507_682150581673918464_n.jpg</v>
      </c>
      <c r="AE4181" s="249" t="str">
        <f>HYPERLINK("https://scontent.cdninstagram.com/t51.2885-19/s150x150/21041857_469489326768895_5101864098979643392_a.jpg")</f>
        <v>https://scontent.cdninstagram.com/t51.2885-19/s150x150/21041857_469489326768895_5101864098979643392_a.jpg</v>
      </c>
    </row>
    <row r="4182" spans="1:31" ht="15" x14ac:dyDescent="0.25">
      <c r="A4182" t="s">
        <v>2474</v>
      </c>
      <c r="B4182" t="s">
        <v>3471</v>
      </c>
      <c r="C4182" s="221">
        <v>42980.156041666669</v>
      </c>
      <c r="D4182" t="s">
        <v>22988</v>
      </c>
      <c r="E4182" s="249" t="str">
        <f>HYPERLINK("https://www.instagram.com/p/BYh9zisHDrl/")</f>
        <v>https://www.instagram.com/p/BYh9zisHDrl/</v>
      </c>
      <c r="F4182" t="s">
        <v>22989</v>
      </c>
      <c r="G4182" t="s">
        <v>2631</v>
      </c>
      <c r="H4182">
        <v>191</v>
      </c>
      <c r="I4182" t="s">
        <v>2479</v>
      </c>
      <c r="J4182">
        <v>1</v>
      </c>
      <c r="K4182">
        <v>24</v>
      </c>
      <c r="L4182">
        <v>25</v>
      </c>
      <c r="Q4182">
        <v>0</v>
      </c>
      <c r="R4182">
        <v>0</v>
      </c>
      <c r="S4182">
        <v>25</v>
      </c>
      <c r="T4182" t="s">
        <v>3474</v>
      </c>
      <c r="V4182" t="s">
        <v>2258</v>
      </c>
      <c r="W4182">
        <v>1.2930600000000001</v>
      </c>
      <c r="X4182">
        <v>103.85599999999999</v>
      </c>
      <c r="Y4182" t="s">
        <v>2497</v>
      </c>
      <c r="Z4182" t="s">
        <v>9907</v>
      </c>
      <c r="AA4182" t="s">
        <v>3476</v>
      </c>
      <c r="AB4182" t="s">
        <v>2832</v>
      </c>
      <c r="AC4182" t="s">
        <v>6299</v>
      </c>
      <c r="AD4182" s="249" t="str">
        <f>HYPERLINK("https://scontent.cdninstagram.com/t51.2885-15/s320x320/e15/21294465_165321090697944_5806652924989800448_n.jpg")</f>
        <v>https://scontent.cdninstagram.com/t51.2885-15/s320x320/e15/21294465_165321090697944_5806652924989800448_n.jpg</v>
      </c>
      <c r="AE4182" s="249" t="str">
        <f>HYPERLINK("https://scontent.cdninstagram.com/t51.2885-19/s150x150/19986209_741127056067001_1270489010199855104_a.jpg")</f>
        <v>https://scontent.cdninstagram.com/t51.2885-19/s150x150/19986209_741127056067001_1270489010199855104_a.jpg</v>
      </c>
    </row>
    <row r="4183" spans="1:31" ht="15" x14ac:dyDescent="0.25">
      <c r="A4183" t="s">
        <v>2474</v>
      </c>
      <c r="B4183" t="s">
        <v>21673</v>
      </c>
      <c r="C4183" s="221">
        <v>42980.156840277778</v>
      </c>
      <c r="D4183" t="s">
        <v>22990</v>
      </c>
      <c r="E4183" s="249" t="str">
        <f>HYPERLINK("https://www.instagram.com/p/BYh975nHW74/")</f>
        <v>https://www.instagram.com/p/BYh975nHW74/</v>
      </c>
      <c r="F4183" t="s">
        <v>22991</v>
      </c>
      <c r="G4183" t="s">
        <v>2478</v>
      </c>
      <c r="H4183">
        <v>1328</v>
      </c>
      <c r="I4183" t="s">
        <v>2542</v>
      </c>
      <c r="J4183">
        <v>3</v>
      </c>
      <c r="K4183">
        <v>121</v>
      </c>
      <c r="L4183">
        <v>124</v>
      </c>
      <c r="Q4183">
        <v>0</v>
      </c>
      <c r="R4183">
        <v>0</v>
      </c>
      <c r="S4183">
        <v>124</v>
      </c>
      <c r="T4183" t="s">
        <v>21676</v>
      </c>
      <c r="V4183" t="s">
        <v>2161</v>
      </c>
      <c r="W4183">
        <v>51.242959900000002</v>
      </c>
      <c r="X4183">
        <v>6.7401999999999997</v>
      </c>
      <c r="Y4183" t="s">
        <v>22992</v>
      </c>
      <c r="Z4183" t="s">
        <v>3570</v>
      </c>
      <c r="AA4183" t="s">
        <v>21678</v>
      </c>
      <c r="AB4183" t="s">
        <v>2497</v>
      </c>
      <c r="AC4183" t="s">
        <v>3655</v>
      </c>
      <c r="AD4183" s="249" t="str">
        <f>HYPERLINK("https://scontent.cdninstagram.com/t51.2885-15/e35/p320x320/21224648_470443913334423_5815086522772226048_n.jpg")</f>
        <v>https://scontent.cdninstagram.com/t51.2885-15/e35/p320x320/21224648_470443913334423_5815086522772226048_n.jpg</v>
      </c>
      <c r="AE4183" s="249" t="str">
        <f>HYPERLINK("https://scontent.cdninstagram.com/t51.2885-19/s150x150/17880992_832887663525512_9103711928705875968_a.jpg")</f>
        <v>https://scontent.cdninstagram.com/t51.2885-19/s150x150/17880992_832887663525512_9103711928705875968_a.jpg</v>
      </c>
    </row>
    <row r="4184" spans="1:31" ht="15" x14ac:dyDescent="0.25">
      <c r="A4184" t="s">
        <v>2474</v>
      </c>
      <c r="B4184" t="s">
        <v>3754</v>
      </c>
      <c r="C4184" s="221">
        <v>42980.158935185187</v>
      </c>
      <c r="D4184" t="s">
        <v>22993</v>
      </c>
      <c r="E4184" s="249" t="str">
        <f>HYPERLINK("https://www.instagram.com/p/BYh-SAdDZQi/")</f>
        <v>https://www.instagram.com/p/BYh-SAdDZQi/</v>
      </c>
      <c r="F4184" t="s">
        <v>7206</v>
      </c>
      <c r="G4184" t="s">
        <v>2478</v>
      </c>
      <c r="H4184">
        <v>201180</v>
      </c>
      <c r="I4184" t="s">
        <v>2479</v>
      </c>
      <c r="J4184">
        <v>2</v>
      </c>
      <c r="K4184">
        <v>148</v>
      </c>
      <c r="L4184">
        <v>150</v>
      </c>
      <c r="Q4184">
        <v>0</v>
      </c>
      <c r="R4184">
        <v>0</v>
      </c>
      <c r="S4184">
        <v>150</v>
      </c>
      <c r="Y4184" t="s">
        <v>5197</v>
      </c>
      <c r="Z4184" t="s">
        <v>4231</v>
      </c>
      <c r="AA4184" t="s">
        <v>6790</v>
      </c>
      <c r="AB4184" t="s">
        <v>6243</v>
      </c>
      <c r="AC4184" t="s">
        <v>3764</v>
      </c>
      <c r="AD4184" s="249" t="str">
        <f>HYPERLINK("https://scontent.cdninstagram.com/t51.2885-15/s320x320/e35/21224137_678021255726267_3515083642583908352_n.jpg")</f>
        <v>https://scontent.cdninstagram.com/t51.2885-15/s320x320/e35/21224137_678021255726267_3515083642583908352_n.jpg</v>
      </c>
      <c r="AE4184" s="249" t="str">
        <f>HYPERLINK("https://scontent.cdninstagram.com/t51.2885-19/s150x150/12905002_1681254462136092_1137392787_a.jpg")</f>
        <v>https://scontent.cdninstagram.com/t51.2885-19/s150x150/12905002_1681254462136092_1137392787_a.jpg</v>
      </c>
    </row>
    <row r="4185" spans="1:31" ht="15" x14ac:dyDescent="0.25">
      <c r="A4185" t="s">
        <v>2474</v>
      </c>
      <c r="B4185" t="s">
        <v>7367</v>
      </c>
      <c r="C4185" s="221">
        <v>42980.162604166668</v>
      </c>
      <c r="D4185" t="s">
        <v>22994</v>
      </c>
      <c r="E4185" s="249" t="str">
        <f>HYPERLINK("https://www.instagram.com/p/BYh-4xoBFWw/")</f>
        <v>https://www.instagram.com/p/BYh-4xoBFWw/</v>
      </c>
      <c r="F4185" t="s">
        <v>22995</v>
      </c>
      <c r="G4185" t="s">
        <v>2478</v>
      </c>
      <c r="H4185">
        <v>3913</v>
      </c>
      <c r="I4185" t="s">
        <v>2479</v>
      </c>
      <c r="J4185">
        <v>11</v>
      </c>
      <c r="K4185">
        <v>142</v>
      </c>
      <c r="L4185">
        <v>153</v>
      </c>
      <c r="Q4185">
        <v>0</v>
      </c>
      <c r="R4185">
        <v>0</v>
      </c>
      <c r="S4185">
        <v>153</v>
      </c>
      <c r="T4185" t="s">
        <v>18342</v>
      </c>
      <c r="V4185" t="s">
        <v>2118</v>
      </c>
      <c r="W4185">
        <v>-23.56344</v>
      </c>
      <c r="X4185">
        <v>-46.624215999999997</v>
      </c>
      <c r="Y4185" t="s">
        <v>22996</v>
      </c>
      <c r="Z4185" t="s">
        <v>22997</v>
      </c>
      <c r="AD4185" s="249" t="str">
        <f>HYPERLINK("https://scontent.cdninstagram.com/t51.2885-15/e35/p320x320/21227425_112242562806370_7524910529408663552_n.jpg")</f>
        <v>https://scontent.cdninstagram.com/t51.2885-15/e35/p320x320/21227425_112242562806370_7524910529408663552_n.jpg</v>
      </c>
      <c r="AE4185" s="249" t="str">
        <f>HYPERLINK("https://scontent.cdninstagram.com/t51.2885-19/s150x150/21294703_261514667688627_643346359608410112_a.jpg")</f>
        <v>https://scontent.cdninstagram.com/t51.2885-19/s150x150/21294703_261514667688627_643346359608410112_a.jpg</v>
      </c>
    </row>
    <row r="4186" spans="1:31" ht="15" x14ac:dyDescent="0.25">
      <c r="A4186" t="s">
        <v>2474</v>
      </c>
      <c r="B4186" t="s">
        <v>22998</v>
      </c>
      <c r="C4186" s="221">
        <v>42980.169710648152</v>
      </c>
      <c r="D4186" t="s">
        <v>22999</v>
      </c>
      <c r="E4186" s="249" t="str">
        <f>HYPERLINK("https://www.instagram.com/p/BYiADqrgWLc/")</f>
        <v>https://www.instagram.com/p/BYiADqrgWLc/</v>
      </c>
      <c r="F4186" t="s">
        <v>23000</v>
      </c>
      <c r="G4186" t="s">
        <v>2478</v>
      </c>
      <c r="H4186">
        <v>1007</v>
      </c>
      <c r="I4186" t="s">
        <v>2479</v>
      </c>
      <c r="J4186">
        <v>0</v>
      </c>
      <c r="K4186">
        <v>22</v>
      </c>
      <c r="L4186">
        <v>22</v>
      </c>
      <c r="Q4186">
        <v>0</v>
      </c>
      <c r="R4186">
        <v>0</v>
      </c>
      <c r="S4186">
        <v>22</v>
      </c>
      <c r="Y4186" t="s">
        <v>2497</v>
      </c>
      <c r="Z4186" t="s">
        <v>23001</v>
      </c>
      <c r="AD4186" s="249" t="str">
        <f>HYPERLINK("https://scontent.cdninstagram.com/t51.2885-15/s320x320/e35/21227370_104611546945320_2396076574135812096_n.jpg")</f>
        <v>https://scontent.cdninstagram.com/t51.2885-15/s320x320/e35/21227370_104611546945320_2396076574135812096_n.jpg</v>
      </c>
      <c r="AE4186" s="249" t="str">
        <f>HYPERLINK("https://scontent.cdninstagram.com/t51.2885-19/s150x150/20759047_441530996230194_560371598654177280_a.jpg")</f>
        <v>https://scontent.cdninstagram.com/t51.2885-19/s150x150/20759047_441530996230194_560371598654177280_a.jpg</v>
      </c>
    </row>
    <row r="4187" spans="1:31" ht="15" x14ac:dyDescent="0.25">
      <c r="A4187" t="s">
        <v>2474</v>
      </c>
      <c r="B4187" t="s">
        <v>23002</v>
      </c>
      <c r="C4187" s="221">
        <v>42980.171909722223</v>
      </c>
      <c r="D4187" t="s">
        <v>23003</v>
      </c>
      <c r="E4187" s="249" t="str">
        <f>HYPERLINK("https://www.instagram.com/p/BYiAa2Anvgv/")</f>
        <v>https://www.instagram.com/p/BYiAa2Anvgv/</v>
      </c>
      <c r="F4187" t="s">
        <v>23004</v>
      </c>
      <c r="G4187" t="s">
        <v>2478</v>
      </c>
      <c r="H4187">
        <v>110</v>
      </c>
      <c r="I4187" t="s">
        <v>2479</v>
      </c>
      <c r="J4187">
        <v>0</v>
      </c>
      <c r="K4187">
        <v>8</v>
      </c>
      <c r="L4187">
        <v>8</v>
      </c>
      <c r="Q4187">
        <v>0</v>
      </c>
      <c r="R4187">
        <v>0</v>
      </c>
      <c r="S4187">
        <v>8</v>
      </c>
      <c r="Y4187" t="s">
        <v>2497</v>
      </c>
      <c r="Z4187" t="s">
        <v>23001</v>
      </c>
      <c r="AD4187" s="249" t="str">
        <f>HYPERLINK("https://scontent.cdninstagram.com/t51.2885-15/s320x320/e35/21294403_1165480303585544_5210276679917764608_n.jpg")</f>
        <v>https://scontent.cdninstagram.com/t51.2885-15/s320x320/e35/21294403_1165480303585544_5210276679917764608_n.jpg</v>
      </c>
      <c r="AE4187" s="249" t="str">
        <f>HYPERLINK("https://scontent.cdninstagram.com/t51.2885-19/s150x150/20986875_1856858431299214_7896811369612181504_a.jpg")</f>
        <v>https://scontent.cdninstagram.com/t51.2885-19/s150x150/20986875_1856858431299214_7896811369612181504_a.jpg</v>
      </c>
    </row>
    <row r="4188" spans="1:31" ht="15" x14ac:dyDescent="0.25">
      <c r="A4188" t="s">
        <v>2474</v>
      </c>
      <c r="B4188" t="s">
        <v>2516</v>
      </c>
      <c r="C4188" s="221">
        <v>42980.180752314816</v>
      </c>
      <c r="D4188" t="s">
        <v>23005</v>
      </c>
      <c r="E4188" s="249" t="str">
        <f>HYPERLINK("https://www.instagram.com/p/BYiB4JNDQFx/")</f>
        <v>https://www.instagram.com/p/BYiB4JNDQFx/</v>
      </c>
      <c r="F4188" t="s">
        <v>23006</v>
      </c>
      <c r="G4188" t="s">
        <v>2478</v>
      </c>
      <c r="H4188">
        <v>690</v>
      </c>
      <c r="I4188" t="s">
        <v>2479</v>
      </c>
      <c r="J4188">
        <v>1</v>
      </c>
      <c r="K4188">
        <v>30</v>
      </c>
      <c r="L4188">
        <v>31</v>
      </c>
      <c r="Q4188">
        <v>0</v>
      </c>
      <c r="R4188">
        <v>0</v>
      </c>
      <c r="S4188">
        <v>31</v>
      </c>
      <c r="Y4188" t="s">
        <v>8178</v>
      </c>
      <c r="Z4188" t="s">
        <v>5546</v>
      </c>
      <c r="AA4188" t="s">
        <v>23007</v>
      </c>
      <c r="AB4188" t="s">
        <v>4524</v>
      </c>
      <c r="AC4188" t="s">
        <v>12097</v>
      </c>
      <c r="AD4188" s="249" t="str">
        <f>HYPERLINK("https://scontent.cdninstagram.com/t51.2885-15/s320x320/e35/21227787_481117395579574_3585871378001166336_n.jpg")</f>
        <v>https://scontent.cdninstagram.com/t51.2885-15/s320x320/e35/21227787_481117395579574_3585871378001166336_n.jpg</v>
      </c>
      <c r="AE4188" s="249" t="str">
        <f>HYPERLINK("https://scontent.cdninstagram.com/t51.2885-19/s150x150/21372563_140209839921980_5104164354614362112_a.jpg")</f>
        <v>https://scontent.cdninstagram.com/t51.2885-19/s150x150/21372563_140209839921980_5104164354614362112_a.jpg</v>
      </c>
    </row>
    <row r="4189" spans="1:31" ht="15" x14ac:dyDescent="0.25">
      <c r="A4189" t="s">
        <v>2474</v>
      </c>
      <c r="B4189" t="s">
        <v>23008</v>
      </c>
      <c r="C4189" s="221">
        <v>42980.20721064815</v>
      </c>
      <c r="D4189" t="s">
        <v>23009</v>
      </c>
      <c r="E4189" s="249" t="str">
        <f>HYPERLINK("https://www.instagram.com/p/BYiGPM7AV1V/")</f>
        <v>https://www.instagram.com/p/BYiGPM7AV1V/</v>
      </c>
      <c r="F4189" t="s">
        <v>23010</v>
      </c>
      <c r="G4189" t="s">
        <v>2478</v>
      </c>
      <c r="H4189">
        <v>100</v>
      </c>
      <c r="I4189" t="s">
        <v>3575</v>
      </c>
      <c r="J4189">
        <v>0</v>
      </c>
      <c r="K4189">
        <v>27</v>
      </c>
      <c r="L4189">
        <v>27</v>
      </c>
      <c r="Q4189">
        <v>0</v>
      </c>
      <c r="R4189">
        <v>0</v>
      </c>
      <c r="S4189">
        <v>27</v>
      </c>
      <c r="T4189" t="s">
        <v>23011</v>
      </c>
      <c r="W4189">
        <v>25.650324000000001</v>
      </c>
      <c r="X4189">
        <v>56.268560000000001</v>
      </c>
      <c r="Y4189" t="s">
        <v>23012</v>
      </c>
      <c r="Z4189" t="s">
        <v>9529</v>
      </c>
      <c r="AA4189" t="s">
        <v>6895</v>
      </c>
      <c r="AB4189" t="s">
        <v>23013</v>
      </c>
      <c r="AC4189" t="s">
        <v>10948</v>
      </c>
      <c r="AD4189" s="249" t="str">
        <f>HYPERLINK("https://scontent.cdninstagram.com/t51.2885-15/s320x320/e35/21224146_798338070338330_4204180350311596032_n.jpg")</f>
        <v>https://scontent.cdninstagram.com/t51.2885-15/s320x320/e35/21224146_798338070338330_4204180350311596032_n.jpg</v>
      </c>
      <c r="AE4189" s="249" t="str">
        <f>HYPERLINK("https://scontent.cdninstagram.com/t51.2885-19/s150x150/18809545_1934487540128396_6974195748107714560_a.jpg")</f>
        <v>https://scontent.cdninstagram.com/t51.2885-19/s150x150/18809545_1934487540128396_6974195748107714560_a.jpg</v>
      </c>
    </row>
    <row r="4190" spans="1:31" ht="15" x14ac:dyDescent="0.25">
      <c r="A4190" t="s">
        <v>2474</v>
      </c>
      <c r="B4190" t="s">
        <v>23014</v>
      </c>
      <c r="C4190" s="221">
        <v>42980.207349537035</v>
      </c>
      <c r="D4190" t="s">
        <v>23015</v>
      </c>
      <c r="E4190" s="249" t="str">
        <f>HYPERLINK("https://www.instagram.com/p/BYiGQlaHSBX/")</f>
        <v>https://www.instagram.com/p/BYiGQlaHSBX/</v>
      </c>
      <c r="F4190" t="s">
        <v>23016</v>
      </c>
      <c r="G4190" t="s">
        <v>2478</v>
      </c>
      <c r="I4190" t="s">
        <v>2479</v>
      </c>
      <c r="J4190">
        <v>2</v>
      </c>
      <c r="K4190">
        <v>13</v>
      </c>
      <c r="L4190">
        <v>15</v>
      </c>
      <c r="Q4190">
        <v>0</v>
      </c>
      <c r="R4190">
        <v>0</v>
      </c>
      <c r="S4190">
        <v>15</v>
      </c>
      <c r="T4190" t="s">
        <v>23017</v>
      </c>
      <c r="V4190" t="s">
        <v>2164</v>
      </c>
      <c r="W4190">
        <v>37.733660810000003</v>
      </c>
      <c r="X4190">
        <v>27.032061689999999</v>
      </c>
      <c r="Y4190" t="s">
        <v>8844</v>
      </c>
      <c r="Z4190" t="s">
        <v>23018</v>
      </c>
      <c r="AA4190" t="s">
        <v>3343</v>
      </c>
      <c r="AB4190" t="s">
        <v>2603</v>
      </c>
      <c r="AC4190" t="s">
        <v>23019</v>
      </c>
      <c r="AD4190" s="249" t="str">
        <f>HYPERLINK("https://scontent.cdninstagram.com/t51.2885-15/s320x320/e35/21296495_715900078620093_1946669492843053056_n.jpg")</f>
        <v>https://scontent.cdninstagram.com/t51.2885-15/s320x320/e35/21296495_715900078620093_1946669492843053056_n.jpg</v>
      </c>
      <c r="AE4190" s="249" t="str">
        <f>HYPERLINK("https://scontent.cdninstagram.com/t51.2885-19/s150x150/14488189_1061217303977667_1295591599396356096_a.jpg")</f>
        <v>https://scontent.cdninstagram.com/t51.2885-19/s150x150/14488189_1061217303977667_1295591599396356096_a.jpg</v>
      </c>
    </row>
    <row r="4191" spans="1:31" ht="15" x14ac:dyDescent="0.25">
      <c r="A4191" t="s">
        <v>2474</v>
      </c>
      <c r="B4191" t="s">
        <v>23020</v>
      </c>
      <c r="C4191" s="221">
        <v>42980.207835648151</v>
      </c>
      <c r="D4191" t="s">
        <v>23021</v>
      </c>
      <c r="E4191" s="249" t="str">
        <f>HYPERLINK("https://www.instagram.com/p/BYiGVyAlJ1O/")</f>
        <v>https://www.instagram.com/p/BYiGVyAlJ1O/</v>
      </c>
      <c r="F4191" t="s">
        <v>23022</v>
      </c>
      <c r="G4191" t="s">
        <v>2478</v>
      </c>
      <c r="H4191">
        <v>423</v>
      </c>
      <c r="I4191" t="s">
        <v>2479</v>
      </c>
      <c r="J4191">
        <v>5</v>
      </c>
      <c r="K4191">
        <v>24</v>
      </c>
      <c r="L4191">
        <v>29</v>
      </c>
      <c r="Q4191">
        <v>0</v>
      </c>
      <c r="R4191">
        <v>0</v>
      </c>
      <c r="S4191">
        <v>29</v>
      </c>
      <c r="Y4191" t="s">
        <v>8178</v>
      </c>
      <c r="Z4191" t="s">
        <v>7393</v>
      </c>
      <c r="AA4191" t="s">
        <v>9445</v>
      </c>
      <c r="AB4191" t="s">
        <v>23023</v>
      </c>
      <c r="AC4191" t="s">
        <v>23024</v>
      </c>
      <c r="AD4191" s="249" t="str">
        <f>HYPERLINK("https://scontent.cdninstagram.com/t51.2885-15/s320x320/e35/21295102_714359412082233_3368744017931010048_n.jpg")</f>
        <v>https://scontent.cdninstagram.com/t51.2885-15/s320x320/e35/21295102_714359412082233_3368744017931010048_n.jpg</v>
      </c>
      <c r="AE4191" s="249" t="str">
        <f>HYPERLINK("https://scontent.cdninstagram.com/t51.2885-19/11849117_839794546118981_664300863_a.jpg")</f>
        <v>https://scontent.cdninstagram.com/t51.2885-19/11849117_839794546118981_664300863_a.jpg</v>
      </c>
    </row>
    <row r="4192" spans="1:31" ht="15" x14ac:dyDescent="0.25">
      <c r="A4192" t="s">
        <v>2474</v>
      </c>
      <c r="B4192" t="s">
        <v>23025</v>
      </c>
      <c r="C4192" s="221">
        <v>42980.228159722225</v>
      </c>
      <c r="D4192" t="s">
        <v>23026</v>
      </c>
      <c r="E4192" s="249" t="str">
        <f>HYPERLINK("https://www.instagram.com/p/BYiJsKUA0K2/")</f>
        <v>https://www.instagram.com/p/BYiJsKUA0K2/</v>
      </c>
      <c r="F4192" t="s">
        <v>23027</v>
      </c>
      <c r="G4192" t="s">
        <v>2478</v>
      </c>
      <c r="H4192">
        <v>1124</v>
      </c>
      <c r="I4192" t="s">
        <v>4523</v>
      </c>
      <c r="J4192">
        <v>56</v>
      </c>
      <c r="K4192">
        <v>168</v>
      </c>
      <c r="L4192">
        <v>224</v>
      </c>
      <c r="Q4192">
        <v>0</v>
      </c>
      <c r="R4192">
        <v>0</v>
      </c>
      <c r="S4192">
        <v>224</v>
      </c>
      <c r="T4192" t="s">
        <v>23028</v>
      </c>
      <c r="V4192" t="s">
        <v>2264</v>
      </c>
      <c r="W4192">
        <v>41.404076365694998</v>
      </c>
      <c r="X4192">
        <v>2.1751192962869998</v>
      </c>
      <c r="AD4192" s="249" t="str">
        <f>HYPERLINK("https://scontent.cdninstagram.com/t51.2885-15/s320x320/e35/21227192_518983381769171_6005970378533371904_n.jpg")</f>
        <v>https://scontent.cdninstagram.com/t51.2885-15/s320x320/e35/21227192_518983381769171_6005970378533371904_n.jpg</v>
      </c>
      <c r="AE4192" s="249" t="str">
        <f>HYPERLINK("https://scontent.cdninstagram.com/t51.2885-19/s150x150/17881139_423561124668515_2307018395733721088_n.jpg")</f>
        <v>https://scontent.cdninstagram.com/t51.2885-19/s150x150/17881139_423561124668515_2307018395733721088_n.jpg</v>
      </c>
    </row>
    <row r="4193" spans="1:31" ht="15" x14ac:dyDescent="0.25">
      <c r="A4193" t="s">
        <v>2474</v>
      </c>
      <c r="B4193" t="s">
        <v>23029</v>
      </c>
      <c r="C4193" s="221">
        <v>42980.230219907404</v>
      </c>
      <c r="D4193" t="s">
        <v>23030</v>
      </c>
      <c r="E4193" s="249" t="str">
        <f>HYPERLINK("https://www.instagram.com/p/BYiKB6RjmRn/")</f>
        <v>https://www.instagram.com/p/BYiKB6RjmRn/</v>
      </c>
      <c r="F4193" t="s">
        <v>23031</v>
      </c>
      <c r="G4193" t="s">
        <v>2478</v>
      </c>
      <c r="H4193">
        <v>117</v>
      </c>
      <c r="I4193" t="s">
        <v>2786</v>
      </c>
      <c r="J4193">
        <v>0</v>
      </c>
      <c r="K4193">
        <v>32</v>
      </c>
      <c r="L4193">
        <v>32</v>
      </c>
      <c r="Q4193">
        <v>0</v>
      </c>
      <c r="R4193">
        <v>0</v>
      </c>
      <c r="S4193">
        <v>32</v>
      </c>
      <c r="Y4193" t="s">
        <v>23032</v>
      </c>
      <c r="Z4193" t="s">
        <v>23033</v>
      </c>
      <c r="AA4193" t="s">
        <v>23034</v>
      </c>
      <c r="AB4193" t="s">
        <v>23035</v>
      </c>
      <c r="AC4193" t="s">
        <v>23036</v>
      </c>
      <c r="AD4193" s="249" t="str">
        <f>HYPERLINK("https://scontent.cdninstagram.com/t51.2885-15/s320x320/e35/21224898_143955182871067_5414788780441731072_n.jpg")</f>
        <v>https://scontent.cdninstagram.com/t51.2885-15/s320x320/e35/21224898_143955182871067_5414788780441731072_n.jpg</v>
      </c>
      <c r="AE4193" s="249" t="str">
        <f>HYPERLINK("https://scontent.cdninstagram.com/t51.2885-19/s150x150/21042258_223384414860598_6756365778632572928_a.jpg")</f>
        <v>https://scontent.cdninstagram.com/t51.2885-19/s150x150/21042258_223384414860598_6756365778632572928_a.jpg</v>
      </c>
    </row>
    <row r="4194" spans="1:31" ht="15" x14ac:dyDescent="0.25">
      <c r="A4194" t="s">
        <v>2474</v>
      </c>
      <c r="B4194" t="s">
        <v>23037</v>
      </c>
      <c r="C4194" s="221">
        <v>42980.230312500003</v>
      </c>
      <c r="D4194" t="s">
        <v>23038</v>
      </c>
      <c r="E4194" s="249" t="str">
        <f>HYPERLINK("https://www.instagram.com/p/BYiKC0sj0tJ/")</f>
        <v>https://www.instagram.com/p/BYiKC0sj0tJ/</v>
      </c>
      <c r="F4194" t="s">
        <v>23039</v>
      </c>
      <c r="G4194" t="s">
        <v>2478</v>
      </c>
      <c r="H4194">
        <v>231</v>
      </c>
      <c r="I4194" t="s">
        <v>3273</v>
      </c>
      <c r="J4194">
        <v>1</v>
      </c>
      <c r="K4194">
        <v>17</v>
      </c>
      <c r="L4194">
        <v>18</v>
      </c>
      <c r="Q4194">
        <v>0</v>
      </c>
      <c r="R4194">
        <v>0</v>
      </c>
      <c r="S4194">
        <v>18</v>
      </c>
      <c r="T4194" t="s">
        <v>23040</v>
      </c>
      <c r="V4194" t="s">
        <v>2137</v>
      </c>
      <c r="W4194">
        <v>45.153590000000001</v>
      </c>
      <c r="X4194">
        <v>13.612130000000001</v>
      </c>
      <c r="Y4194" t="s">
        <v>23041</v>
      </c>
      <c r="Z4194" t="s">
        <v>23042</v>
      </c>
      <c r="AA4194" t="s">
        <v>23043</v>
      </c>
      <c r="AB4194" t="s">
        <v>23044</v>
      </c>
      <c r="AC4194" t="s">
        <v>23045</v>
      </c>
      <c r="AD4194" s="249" t="str">
        <f>HYPERLINK("https://scontent.cdninstagram.com/t51.2885-15/s320x320/e35/21227776_1464151880337917_5785084179049873408_n.jpg")</f>
        <v>https://scontent.cdninstagram.com/t51.2885-15/s320x320/e35/21227776_1464151880337917_5785084179049873408_n.jpg</v>
      </c>
      <c r="AE4194" s="249" t="str">
        <f>HYPERLINK("https://scontent.cdninstagram.com/t51.2885-19/s150x150/15803551_1309326969142120_6890009772016271360_a.jpg")</f>
        <v>https://scontent.cdninstagram.com/t51.2885-19/s150x150/15803551_1309326969142120_6890009772016271360_a.jpg</v>
      </c>
    </row>
    <row r="4195" spans="1:31" ht="15" x14ac:dyDescent="0.25">
      <c r="A4195" t="s">
        <v>2474</v>
      </c>
      <c r="B4195" t="s">
        <v>4811</v>
      </c>
      <c r="C4195" s="221">
        <v>42980.266134259262</v>
      </c>
      <c r="D4195" t="s">
        <v>23046</v>
      </c>
      <c r="E4195" s="249" t="str">
        <f>HYPERLINK("https://www.instagram.com/p/BYiP8rcA2Iz/")</f>
        <v>https://www.instagram.com/p/BYiP8rcA2Iz/</v>
      </c>
      <c r="F4195" t="s">
        <v>23047</v>
      </c>
      <c r="G4195" t="s">
        <v>2478</v>
      </c>
      <c r="H4195">
        <v>1005</v>
      </c>
      <c r="I4195" t="s">
        <v>2479</v>
      </c>
      <c r="J4195">
        <v>6</v>
      </c>
      <c r="K4195">
        <v>82</v>
      </c>
      <c r="L4195">
        <v>88</v>
      </c>
      <c r="Q4195">
        <v>0</v>
      </c>
      <c r="R4195">
        <v>0</v>
      </c>
      <c r="S4195">
        <v>88</v>
      </c>
      <c r="Y4195" t="s">
        <v>8501</v>
      </c>
      <c r="Z4195" t="s">
        <v>9984</v>
      </c>
      <c r="AA4195" t="s">
        <v>23048</v>
      </c>
      <c r="AB4195" t="s">
        <v>2833</v>
      </c>
      <c r="AC4195" t="s">
        <v>2554</v>
      </c>
      <c r="AD4195" s="249" t="str">
        <f>HYPERLINK("https://scontent.cdninstagram.com/t51.2885-15/s320x320/e35/21227185_1785783804782957_7484545692321447936_n.jpg")</f>
        <v>https://scontent.cdninstagram.com/t51.2885-15/s320x320/e35/21227185_1785783804782957_7484545692321447936_n.jpg</v>
      </c>
      <c r="AE4195" s="249" t="str">
        <f>HYPERLINK("https://scontent.cdninstagram.com/t51.2885-19/s150x150/16124251_1913091765603634_8004330562992996352_a.jpg")</f>
        <v>https://scontent.cdninstagram.com/t51.2885-19/s150x150/16124251_1913091765603634_8004330562992996352_a.jpg</v>
      </c>
    </row>
    <row r="4196" spans="1:31" ht="15" x14ac:dyDescent="0.25">
      <c r="A4196" t="s">
        <v>2474</v>
      </c>
      <c r="B4196" t="s">
        <v>3015</v>
      </c>
      <c r="C4196" s="221">
        <v>42980.273217592592</v>
      </c>
      <c r="D4196" t="s">
        <v>23049</v>
      </c>
      <c r="E4196" s="249" t="str">
        <f>HYPERLINK("https://www.instagram.com/p/BYiRHUdAxkZ/")</f>
        <v>https://www.instagram.com/p/BYiRHUdAxkZ/</v>
      </c>
      <c r="F4196" t="s">
        <v>23050</v>
      </c>
      <c r="G4196" t="s">
        <v>2478</v>
      </c>
      <c r="H4196">
        <v>251</v>
      </c>
      <c r="I4196" t="s">
        <v>2479</v>
      </c>
      <c r="J4196">
        <v>0</v>
      </c>
      <c r="K4196">
        <v>42</v>
      </c>
      <c r="L4196">
        <v>42</v>
      </c>
      <c r="Q4196">
        <v>0</v>
      </c>
      <c r="R4196">
        <v>0</v>
      </c>
      <c r="S4196">
        <v>42</v>
      </c>
      <c r="Y4196" t="s">
        <v>3855</v>
      </c>
      <c r="Z4196" t="s">
        <v>6259</v>
      </c>
      <c r="AA4196" t="s">
        <v>3018</v>
      </c>
      <c r="AB4196" t="s">
        <v>4127</v>
      </c>
      <c r="AC4196" t="s">
        <v>3728</v>
      </c>
      <c r="AD4196" s="249" t="str">
        <f>HYPERLINK("https://scontent.cdninstagram.com/t51.2885-15/s320x320/e35/21294693_119481818781593_6831014504965341184_n.jpg")</f>
        <v>https://scontent.cdninstagram.com/t51.2885-15/s320x320/e35/21294693_119481818781593_6831014504965341184_n.jpg</v>
      </c>
      <c r="AE4196" s="249" t="str">
        <f>HYPERLINK("https://scontent.cdninstagram.com/t51.2885-19/s150x150/21373025_723410537866046_6184601968204316672_a.jpg")</f>
        <v>https://scontent.cdninstagram.com/t51.2885-19/s150x150/21373025_723410537866046_6184601968204316672_a.jpg</v>
      </c>
    </row>
    <row r="4197" spans="1:31" ht="15" x14ac:dyDescent="0.25">
      <c r="A4197" t="s">
        <v>2474</v>
      </c>
      <c r="B4197" t="s">
        <v>23051</v>
      </c>
      <c r="C4197" s="221">
        <v>42980.273460648146</v>
      </c>
      <c r="D4197" t="s">
        <v>23052</v>
      </c>
      <c r="E4197" s="249" t="str">
        <f>HYPERLINK("https://www.instagram.com/p/BYiRJ8FlaNo/")</f>
        <v>https://www.instagram.com/p/BYiRJ8FlaNo/</v>
      </c>
      <c r="F4197" t="s">
        <v>23053</v>
      </c>
      <c r="G4197" t="s">
        <v>2478</v>
      </c>
      <c r="H4197">
        <v>743</v>
      </c>
      <c r="I4197" t="s">
        <v>2927</v>
      </c>
      <c r="J4197">
        <v>0</v>
      </c>
      <c r="K4197">
        <v>48</v>
      </c>
      <c r="L4197">
        <v>48</v>
      </c>
      <c r="Q4197">
        <v>0</v>
      </c>
      <c r="R4197">
        <v>0</v>
      </c>
      <c r="S4197">
        <v>48</v>
      </c>
      <c r="Y4197" t="s">
        <v>2861</v>
      </c>
      <c r="Z4197" t="s">
        <v>23054</v>
      </c>
      <c r="AA4197" t="s">
        <v>23055</v>
      </c>
      <c r="AB4197" t="s">
        <v>23056</v>
      </c>
      <c r="AC4197" t="s">
        <v>23057</v>
      </c>
      <c r="AD4197" s="249" t="str">
        <f>HYPERLINK("https://scontent.cdninstagram.com/t51.2885-15/e35/p320x320/21296542_672796182930561_4854027185872175104_n.jpg")</f>
        <v>https://scontent.cdninstagram.com/t51.2885-15/e35/p320x320/21296542_672796182930561_4854027185872175104_n.jpg</v>
      </c>
      <c r="AE4197" s="249" t="str">
        <f>HYPERLINK("https://scontent.cdninstagram.com/t51.2885-19/s150x150/17663526_508150266241457_2244915097073876992_a.jpg")</f>
        <v>https://scontent.cdninstagram.com/t51.2885-19/s150x150/17663526_508150266241457_2244915097073876992_a.jpg</v>
      </c>
    </row>
    <row r="4198" spans="1:31" ht="15" x14ac:dyDescent="0.25">
      <c r="A4198" t="s">
        <v>2474</v>
      </c>
      <c r="B4198" t="s">
        <v>17687</v>
      </c>
      <c r="C4198" s="221">
        <v>42980.278009259258</v>
      </c>
      <c r="D4198" t="s">
        <v>23058</v>
      </c>
      <c r="E4198" s="249" t="str">
        <f>HYPERLINK("https://www.instagram.com/p/BYiR52cgunR/")</f>
        <v>https://www.instagram.com/p/BYiR52cgunR/</v>
      </c>
      <c r="F4198" t="s">
        <v>23059</v>
      </c>
      <c r="G4198" t="s">
        <v>2478</v>
      </c>
      <c r="H4198">
        <v>157</v>
      </c>
      <c r="I4198" t="s">
        <v>2582</v>
      </c>
      <c r="J4198">
        <v>0</v>
      </c>
      <c r="K4198">
        <v>37</v>
      </c>
      <c r="L4198">
        <v>37</v>
      </c>
      <c r="Q4198">
        <v>0</v>
      </c>
      <c r="R4198">
        <v>0</v>
      </c>
      <c r="S4198">
        <v>37</v>
      </c>
      <c r="Y4198" t="s">
        <v>11174</v>
      </c>
      <c r="Z4198" t="s">
        <v>3982</v>
      </c>
      <c r="AA4198" t="s">
        <v>23060</v>
      </c>
      <c r="AB4198" t="s">
        <v>23061</v>
      </c>
      <c r="AC4198" t="s">
        <v>2513</v>
      </c>
      <c r="AD4198" s="249" t="str">
        <f>HYPERLINK("https://scontent.cdninstagram.com/t51.2885-15/s320x320/e35/21224548_119866405341581_7545117568852295680_n.jpg")</f>
        <v>https://scontent.cdninstagram.com/t51.2885-15/s320x320/e35/21224548_119866405341581_7545117568852295680_n.jpg</v>
      </c>
      <c r="AE4198" s="249" t="str">
        <f>HYPERLINK("https://scontent.cdninstagram.com/t51.2885-19/11809968_1479667252333990_897781257_a.jpg")</f>
        <v>https://scontent.cdninstagram.com/t51.2885-19/11809968_1479667252333990_897781257_a.jpg</v>
      </c>
    </row>
    <row r="4199" spans="1:31" ht="15" x14ac:dyDescent="0.25">
      <c r="A4199" t="s">
        <v>2474</v>
      </c>
      <c r="B4199" t="s">
        <v>23062</v>
      </c>
      <c r="C4199" s="221">
        <v>42980.284004629626</v>
      </c>
      <c r="D4199" t="s">
        <v>23063</v>
      </c>
      <c r="E4199" s="249" t="str">
        <f>HYPERLINK("https://www.instagram.com/p/BYiS5Feleut/")</f>
        <v>https://www.instagram.com/p/BYiS5Feleut/</v>
      </c>
      <c r="F4199" t="s">
        <v>23064</v>
      </c>
      <c r="G4199" t="s">
        <v>2478</v>
      </c>
      <c r="H4199">
        <v>59</v>
      </c>
      <c r="I4199" t="s">
        <v>2479</v>
      </c>
      <c r="J4199">
        <v>2</v>
      </c>
      <c r="K4199">
        <v>24</v>
      </c>
      <c r="L4199">
        <v>26</v>
      </c>
      <c r="Q4199">
        <v>0</v>
      </c>
      <c r="R4199">
        <v>0</v>
      </c>
      <c r="S4199">
        <v>26</v>
      </c>
      <c r="Y4199" t="s">
        <v>23065</v>
      </c>
      <c r="Z4199" t="s">
        <v>23066</v>
      </c>
      <c r="AA4199" t="s">
        <v>23067</v>
      </c>
      <c r="AB4199" t="s">
        <v>23068</v>
      </c>
      <c r="AC4199" t="s">
        <v>14607</v>
      </c>
      <c r="AD4199" s="249" t="str">
        <f>HYPERLINK("https://scontent.cdninstagram.com/t51.2885-15/s320x320/e35/21294515_377142912704294_2632180817706614784_n.jpg")</f>
        <v>https://scontent.cdninstagram.com/t51.2885-15/s320x320/e35/21294515_377142912704294_2632180817706614784_n.jpg</v>
      </c>
      <c r="AE4199" s="249" t="str">
        <f>HYPERLINK("https://scontent.cdninstagram.com/t51.2885-19/s150x150/17075961_1203853236380211_8081935480955863040_a.jpg")</f>
        <v>https://scontent.cdninstagram.com/t51.2885-19/s150x150/17075961_1203853236380211_8081935480955863040_a.jpg</v>
      </c>
    </row>
    <row r="4200" spans="1:31" ht="15" x14ac:dyDescent="0.25">
      <c r="A4200" t="s">
        <v>2474</v>
      </c>
      <c r="B4200" t="s">
        <v>23069</v>
      </c>
      <c r="C4200" s="221">
        <v>42980.290509259263</v>
      </c>
      <c r="D4200" t="s">
        <v>23070</v>
      </c>
      <c r="E4200" s="249" t="str">
        <f>HYPERLINK("https://www.instagram.com/p/BYiT9sngiml/")</f>
        <v>https://www.instagram.com/p/BYiT9sngiml/</v>
      </c>
      <c r="F4200" t="s">
        <v>23071</v>
      </c>
      <c r="G4200" t="s">
        <v>2478</v>
      </c>
      <c r="H4200">
        <v>490</v>
      </c>
      <c r="I4200" t="s">
        <v>3273</v>
      </c>
      <c r="J4200">
        <v>4</v>
      </c>
      <c r="K4200">
        <v>54</v>
      </c>
      <c r="L4200">
        <v>58</v>
      </c>
      <c r="Q4200">
        <v>0</v>
      </c>
      <c r="R4200">
        <v>0</v>
      </c>
      <c r="S4200">
        <v>58</v>
      </c>
      <c r="T4200" t="s">
        <v>23072</v>
      </c>
      <c r="V4200" t="s">
        <v>2154</v>
      </c>
      <c r="W4200">
        <v>45.916699999999999</v>
      </c>
      <c r="X4200">
        <v>6.8666700000000001</v>
      </c>
      <c r="Y4200" t="s">
        <v>23073</v>
      </c>
      <c r="Z4200" t="s">
        <v>23074</v>
      </c>
      <c r="AA4200" t="s">
        <v>23075</v>
      </c>
      <c r="AB4200" t="s">
        <v>23076</v>
      </c>
      <c r="AC4200" t="s">
        <v>23077</v>
      </c>
      <c r="AD4200" s="249" t="str">
        <f>HYPERLINK("https://scontent.cdninstagram.com/t51.2885-15/s320x320/e35/21294580_120344328696676_6053832875604705280_n.jpg")</f>
        <v>https://scontent.cdninstagram.com/t51.2885-15/s320x320/e35/21294580_120344328696676_6053832875604705280_n.jpg</v>
      </c>
      <c r="AE4200" s="249" t="str">
        <f>HYPERLINK("https://scontent.cdninstagram.com/t51.2885-19/11909191_1482996625351055_715644388_a.jpg")</f>
        <v>https://scontent.cdninstagram.com/t51.2885-19/11909191_1482996625351055_715644388_a.jpg</v>
      </c>
    </row>
    <row r="4201" spans="1:31" ht="15" x14ac:dyDescent="0.25">
      <c r="A4201" t="s">
        <v>2474</v>
      </c>
      <c r="B4201" t="s">
        <v>23078</v>
      </c>
      <c r="C4201" s="221">
        <v>42980.29488425926</v>
      </c>
      <c r="D4201" t="s">
        <v>23079</v>
      </c>
      <c r="E4201" s="249" t="str">
        <f>HYPERLINK("https://www.instagram.com/p/BYiUr51AvXQ/")</f>
        <v>https://www.instagram.com/p/BYiUr51AvXQ/</v>
      </c>
      <c r="F4201" t="s">
        <v>23080</v>
      </c>
      <c r="G4201" t="s">
        <v>2478</v>
      </c>
      <c r="H4201">
        <v>500</v>
      </c>
      <c r="I4201" t="s">
        <v>2910</v>
      </c>
      <c r="J4201">
        <v>2</v>
      </c>
      <c r="K4201">
        <v>54</v>
      </c>
      <c r="L4201">
        <v>56</v>
      </c>
      <c r="Q4201">
        <v>0</v>
      </c>
      <c r="R4201">
        <v>0</v>
      </c>
      <c r="S4201">
        <v>56</v>
      </c>
      <c r="Y4201" t="s">
        <v>17676</v>
      </c>
      <c r="Z4201" t="s">
        <v>6043</v>
      </c>
      <c r="AA4201" t="s">
        <v>2735</v>
      </c>
      <c r="AB4201" t="s">
        <v>23081</v>
      </c>
      <c r="AC4201" t="s">
        <v>23082</v>
      </c>
      <c r="AD4201" s="249" t="str">
        <f>HYPERLINK("https://scontent.cdninstagram.com/t51.2885-15/s320x320/e35/21227466_305314103210661_7624477706805051392_n.jpg")</f>
        <v>https://scontent.cdninstagram.com/t51.2885-15/s320x320/e35/21227466_305314103210661_7624477706805051392_n.jpg</v>
      </c>
      <c r="AE4201" s="249" t="str">
        <f>HYPERLINK("https://scontent.cdninstagram.com/t51.2885-19/s150x150/20837563_1623637964375842_8871625253378326528_a.jpg")</f>
        <v>https://scontent.cdninstagram.com/t51.2885-19/s150x150/20837563_1623637964375842_8871625253378326528_a.jpg</v>
      </c>
    </row>
    <row r="4202" spans="1:31" ht="15" x14ac:dyDescent="0.25">
      <c r="A4202" t="s">
        <v>2474</v>
      </c>
      <c r="B4202" t="s">
        <v>6312</v>
      </c>
      <c r="C4202" s="221">
        <v>42980.296886574077</v>
      </c>
      <c r="D4202" t="s">
        <v>23083</v>
      </c>
      <c r="E4202" s="249" t="str">
        <f>HYPERLINK("https://www.instagram.com/p/BYiVA8rnKbx/")</f>
        <v>https://www.instagram.com/p/BYiVA8rnKbx/</v>
      </c>
      <c r="F4202" t="s">
        <v>23084</v>
      </c>
      <c r="G4202" t="s">
        <v>2631</v>
      </c>
      <c r="H4202">
        <v>60</v>
      </c>
      <c r="I4202" t="s">
        <v>3025</v>
      </c>
      <c r="J4202">
        <v>1</v>
      </c>
      <c r="K4202">
        <v>34</v>
      </c>
      <c r="L4202">
        <v>35</v>
      </c>
      <c r="Q4202">
        <v>0</v>
      </c>
      <c r="R4202">
        <v>0</v>
      </c>
      <c r="S4202">
        <v>35</v>
      </c>
      <c r="T4202" t="s">
        <v>8528</v>
      </c>
      <c r="V4202" t="s">
        <v>2161</v>
      </c>
      <c r="W4202">
        <v>51.144979900000003</v>
      </c>
      <c r="X4202">
        <v>8.0232600000000005</v>
      </c>
      <c r="Y4202" t="s">
        <v>6317</v>
      </c>
      <c r="Z4202" t="s">
        <v>23085</v>
      </c>
      <c r="AA4202" t="s">
        <v>23086</v>
      </c>
      <c r="AB4202" t="s">
        <v>23087</v>
      </c>
      <c r="AC4202" t="s">
        <v>6315</v>
      </c>
      <c r="AD4202" s="249" t="str">
        <f>HYPERLINK("https://scontent.cdninstagram.com/t51.2885-15/e35/p320x320/21224833_784868295057160_3244125601967112192_n.jpg")</f>
        <v>https://scontent.cdninstagram.com/t51.2885-15/e35/p320x320/21224833_784868295057160_3244125601967112192_n.jpg</v>
      </c>
      <c r="AE4202" s="249" t="str">
        <f>HYPERLINK("https://scontent.cdninstagram.com/t51.2885-19/s150x150/16583685_1809557262640848_2708820201251536896_a.jpg")</f>
        <v>https://scontent.cdninstagram.com/t51.2885-19/s150x150/16583685_1809557262640848_2708820201251536896_a.jpg</v>
      </c>
    </row>
    <row r="4203" spans="1:31" ht="15" x14ac:dyDescent="0.25">
      <c r="A4203" t="s">
        <v>2474</v>
      </c>
      <c r="B4203" t="s">
        <v>2636</v>
      </c>
      <c r="C4203" s="221">
        <v>42980.299432870372</v>
      </c>
      <c r="D4203" t="s">
        <v>23088</v>
      </c>
      <c r="E4203" s="249" t="str">
        <f>HYPERLINK("https://www.instagram.com/p/BYiVbzAHArx/")</f>
        <v>https://www.instagram.com/p/BYiVbzAHArx/</v>
      </c>
      <c r="F4203" t="s">
        <v>23089</v>
      </c>
      <c r="G4203" t="s">
        <v>2478</v>
      </c>
      <c r="H4203">
        <v>325</v>
      </c>
      <c r="I4203" t="s">
        <v>2542</v>
      </c>
      <c r="J4203">
        <v>0</v>
      </c>
      <c r="K4203">
        <v>46</v>
      </c>
      <c r="L4203">
        <v>46</v>
      </c>
      <c r="Q4203">
        <v>0</v>
      </c>
      <c r="R4203">
        <v>0</v>
      </c>
      <c r="S4203">
        <v>46</v>
      </c>
      <c r="Y4203" t="s">
        <v>3814</v>
      </c>
      <c r="Z4203" t="s">
        <v>7039</v>
      </c>
      <c r="AA4203" t="s">
        <v>4513</v>
      </c>
      <c r="AB4203" t="s">
        <v>2643</v>
      </c>
      <c r="AC4203" t="s">
        <v>14679</v>
      </c>
      <c r="AD4203" s="249" t="str">
        <f>HYPERLINK("https://scontent.cdninstagram.com/t51.2885-15/s320x320/e35/21296698_1739539909450004_6737465921075412992_n.jpg")</f>
        <v>https://scontent.cdninstagram.com/t51.2885-15/s320x320/e35/21296698_1739539909450004_6737465921075412992_n.jpg</v>
      </c>
      <c r="AE4203" s="249" t="str">
        <f>HYPERLINK("https://scontent.cdninstagram.com/t51.2885-19/s150x150/15802797_1331780626878656_4160680230047973376_a.jpg")</f>
        <v>https://scontent.cdninstagram.com/t51.2885-19/s150x150/15802797_1331780626878656_4160680230047973376_a.jpg</v>
      </c>
    </row>
    <row r="4204" spans="1:31" ht="15" x14ac:dyDescent="0.25">
      <c r="A4204" t="s">
        <v>2474</v>
      </c>
      <c r="B4204" t="s">
        <v>2516</v>
      </c>
      <c r="C4204" s="221">
        <v>42980.300057870372</v>
      </c>
      <c r="D4204" t="s">
        <v>23090</v>
      </c>
      <c r="E4204" s="249" t="str">
        <f>HYPERLINK("https://www.instagram.com/p/BYiViX9jlMt/")</f>
        <v>https://www.instagram.com/p/BYiViX9jlMt/</v>
      </c>
      <c r="F4204" t="s">
        <v>23091</v>
      </c>
      <c r="G4204" t="s">
        <v>2478</v>
      </c>
      <c r="H4204">
        <v>690</v>
      </c>
      <c r="I4204" t="s">
        <v>2479</v>
      </c>
      <c r="J4204">
        <v>1</v>
      </c>
      <c r="K4204">
        <v>28</v>
      </c>
      <c r="L4204">
        <v>29</v>
      </c>
      <c r="Q4204">
        <v>0</v>
      </c>
      <c r="R4204">
        <v>0</v>
      </c>
      <c r="S4204">
        <v>29</v>
      </c>
      <c r="Y4204" t="s">
        <v>8178</v>
      </c>
      <c r="Z4204" t="s">
        <v>23092</v>
      </c>
      <c r="AA4204" t="s">
        <v>23093</v>
      </c>
      <c r="AB4204" t="s">
        <v>10712</v>
      </c>
      <c r="AC4204" t="s">
        <v>23094</v>
      </c>
      <c r="AD4204" s="249" t="str">
        <f>HYPERLINK("https://scontent.cdninstagram.com/t51.2885-15/s320x320/e35/21224787_167311727176521_2160809050323812352_n.jpg")</f>
        <v>https://scontent.cdninstagram.com/t51.2885-15/s320x320/e35/21224787_167311727176521_2160809050323812352_n.jpg</v>
      </c>
      <c r="AE4204" s="249" t="str">
        <f>HYPERLINK("https://scontent.cdninstagram.com/t51.2885-19/s150x150/21372563_140209839921980_5104164354614362112_a.jpg")</f>
        <v>https://scontent.cdninstagram.com/t51.2885-19/s150x150/21372563_140209839921980_5104164354614362112_a.jpg</v>
      </c>
    </row>
    <row r="4205" spans="1:31" ht="15" x14ac:dyDescent="0.25">
      <c r="A4205" t="s">
        <v>2474</v>
      </c>
      <c r="B4205" t="s">
        <v>23095</v>
      </c>
      <c r="C4205" s="221">
        <v>42980.301261574074</v>
      </c>
      <c r="D4205" t="s">
        <v>23096</v>
      </c>
      <c r="E4205" s="249" t="str">
        <f>HYPERLINK("https://www.instagram.com/p/BYiVvLCgjOh/")</f>
        <v>https://www.instagram.com/p/BYiVvLCgjOh/</v>
      </c>
      <c r="F4205" t="s">
        <v>23097</v>
      </c>
      <c r="G4205" t="s">
        <v>2478</v>
      </c>
      <c r="H4205">
        <v>4011</v>
      </c>
      <c r="I4205" t="s">
        <v>2910</v>
      </c>
      <c r="J4205">
        <v>4</v>
      </c>
      <c r="K4205">
        <v>149</v>
      </c>
      <c r="L4205">
        <v>153</v>
      </c>
      <c r="Q4205">
        <v>0</v>
      </c>
      <c r="R4205">
        <v>0</v>
      </c>
      <c r="S4205">
        <v>153</v>
      </c>
      <c r="T4205" t="s">
        <v>23098</v>
      </c>
      <c r="V4205" t="s">
        <v>2176</v>
      </c>
      <c r="W4205">
        <v>17.333300000000001</v>
      </c>
      <c r="X4205">
        <v>76.833299999999994</v>
      </c>
      <c r="Y4205" t="s">
        <v>3343</v>
      </c>
      <c r="Z4205" t="s">
        <v>2497</v>
      </c>
      <c r="AA4205" t="s">
        <v>6578</v>
      </c>
      <c r="AB4205" t="s">
        <v>2560</v>
      </c>
      <c r="AC4205" t="s">
        <v>3446</v>
      </c>
      <c r="AD4205" s="249" t="str">
        <f>HYPERLINK("https://scontent.cdninstagram.com/t51.2885-15/e35/p320x320/21226955_448357635564877_6593909160352415744_n.jpg")</f>
        <v>https://scontent.cdninstagram.com/t51.2885-15/e35/p320x320/21226955_448357635564877_6593909160352415744_n.jpg</v>
      </c>
      <c r="AE4205" s="249" t="str">
        <f>HYPERLINK("https://scontent.cdninstagram.com/t51.2885-19/s150x150/21294564_120437205354188_8547863806787715072_a.jpg")</f>
        <v>https://scontent.cdninstagram.com/t51.2885-19/s150x150/21294564_120437205354188_8547863806787715072_a.jpg</v>
      </c>
    </row>
    <row r="4206" spans="1:31" ht="15" x14ac:dyDescent="0.25">
      <c r="A4206" t="s">
        <v>2474</v>
      </c>
      <c r="B4206" t="s">
        <v>23099</v>
      </c>
      <c r="C4206" s="221">
        <v>42980.302071759259</v>
      </c>
      <c r="D4206" t="s">
        <v>23100</v>
      </c>
      <c r="E4206" s="249" t="str">
        <f>HYPERLINK("https://www.instagram.com/p/BYiV3oMldKi/")</f>
        <v>https://www.instagram.com/p/BYiV3oMldKi/</v>
      </c>
      <c r="F4206" t="s">
        <v>23101</v>
      </c>
      <c r="G4206" t="s">
        <v>2478</v>
      </c>
      <c r="H4206">
        <v>207</v>
      </c>
      <c r="I4206" t="s">
        <v>3575</v>
      </c>
      <c r="J4206">
        <v>1</v>
      </c>
      <c r="K4206">
        <v>20</v>
      </c>
      <c r="L4206">
        <v>21</v>
      </c>
      <c r="Q4206">
        <v>0</v>
      </c>
      <c r="R4206">
        <v>0</v>
      </c>
      <c r="S4206">
        <v>21</v>
      </c>
      <c r="Y4206" t="s">
        <v>2497</v>
      </c>
      <c r="Z4206" t="s">
        <v>23102</v>
      </c>
      <c r="AD4206" s="249" t="str">
        <f>HYPERLINK("https://scontent.cdninstagram.com/t51.2885-15/e35/p320x320/20905680_1737751609613855_434676043547148288_n.jpg")</f>
        <v>https://scontent.cdninstagram.com/t51.2885-15/e35/p320x320/20905680_1737751609613855_434676043547148288_n.jpg</v>
      </c>
      <c r="AE4206" s="249" t="str">
        <f>HYPERLINK("https://scontent.cdninstagram.com/t51.2885-19/11820422_743818212396558_87745704_a.jpg")</f>
        <v>https://scontent.cdninstagram.com/t51.2885-19/11820422_743818212396558_87745704_a.jpg</v>
      </c>
    </row>
    <row r="4207" spans="1:31" ht="15" x14ac:dyDescent="0.25">
      <c r="A4207" t="s">
        <v>2474</v>
      </c>
      <c r="B4207" t="s">
        <v>23103</v>
      </c>
      <c r="C4207" s="221">
        <v>42980.302337962959</v>
      </c>
      <c r="D4207" t="s">
        <v>23104</v>
      </c>
      <c r="E4207" s="249" t="str">
        <f>HYPERLINK("https://www.instagram.com/p/BYiV6cFHU8d/")</f>
        <v>https://www.instagram.com/p/BYiV6cFHU8d/</v>
      </c>
      <c r="F4207" t="s">
        <v>23105</v>
      </c>
      <c r="G4207" t="s">
        <v>2478</v>
      </c>
      <c r="H4207">
        <v>762</v>
      </c>
      <c r="I4207" t="s">
        <v>2479</v>
      </c>
      <c r="J4207">
        <v>2</v>
      </c>
      <c r="K4207">
        <v>25</v>
      </c>
      <c r="L4207">
        <v>27</v>
      </c>
      <c r="Q4207">
        <v>0</v>
      </c>
      <c r="R4207">
        <v>0</v>
      </c>
      <c r="S4207">
        <v>27</v>
      </c>
      <c r="Y4207" t="s">
        <v>4987</v>
      </c>
      <c r="Z4207" t="s">
        <v>2497</v>
      </c>
      <c r="AA4207" t="s">
        <v>3262</v>
      </c>
      <c r="AB4207" t="s">
        <v>23106</v>
      </c>
      <c r="AC4207" t="s">
        <v>5989</v>
      </c>
      <c r="AD4207" s="249" t="str">
        <f>HYPERLINK("https://scontent.cdninstagram.com/t51.2885-15/s320x320/e35/21224128_482775402097218_7167055348954562560_n.jpg")</f>
        <v>https://scontent.cdninstagram.com/t51.2885-15/s320x320/e35/21224128_482775402097218_7167055348954562560_n.jpg</v>
      </c>
      <c r="AE4207" s="249" t="str">
        <f>HYPERLINK("https://scontent.cdninstagram.com/t51.2885-19/s150x150/18252387_298422473940862_5479226934992830464_a.jpg")</f>
        <v>https://scontent.cdninstagram.com/t51.2885-19/s150x150/18252387_298422473940862_5479226934992830464_a.jpg</v>
      </c>
    </row>
    <row r="4208" spans="1:31" ht="15" x14ac:dyDescent="0.25">
      <c r="A4208" t="s">
        <v>2474</v>
      </c>
      <c r="B4208" t="s">
        <v>23107</v>
      </c>
      <c r="C4208" s="221">
        <v>42980.30641203704</v>
      </c>
      <c r="D4208" t="s">
        <v>23108</v>
      </c>
      <c r="E4208" s="249" t="str">
        <f>HYPERLINK("https://www.instagram.com/p/BYiWlbYnTOB/")</f>
        <v>https://www.instagram.com/p/BYiWlbYnTOB/</v>
      </c>
      <c r="F4208" t="s">
        <v>23109</v>
      </c>
      <c r="G4208" t="s">
        <v>2478</v>
      </c>
      <c r="H4208">
        <v>204</v>
      </c>
      <c r="I4208" t="s">
        <v>2479</v>
      </c>
      <c r="J4208">
        <v>1</v>
      </c>
      <c r="K4208">
        <v>26</v>
      </c>
      <c r="L4208">
        <v>27</v>
      </c>
      <c r="Q4208">
        <v>0</v>
      </c>
      <c r="R4208">
        <v>0</v>
      </c>
      <c r="S4208">
        <v>27</v>
      </c>
      <c r="Y4208" t="s">
        <v>23110</v>
      </c>
      <c r="Z4208" t="s">
        <v>2497</v>
      </c>
      <c r="AA4208" t="s">
        <v>23111</v>
      </c>
      <c r="AB4208" t="s">
        <v>8516</v>
      </c>
      <c r="AC4208" t="s">
        <v>22620</v>
      </c>
      <c r="AD4208" s="249" t="str">
        <f>HYPERLINK("https://3qavtnikcqrngrnw.igsonar.com/hphotos-ak-xft1/t51.2885-15/e35/p320x320/21227140_1936101779962894_1900051453955801088_n.jpg")</f>
        <v>https://3qavtnikcqrngrnw.igsonar.com/hphotos-ak-xft1/t51.2885-15/e35/p320x320/21227140_1936101779962894_1900051453955801088_n.jpg</v>
      </c>
      <c r="AE4208" s="249" t="str">
        <f>HYPERLINK("https://scontent.cdninstagram.com/t51.2885-19/s150x150/17881310_1664896230480417_6726693778024824832_a.jpg")</f>
        <v>https://scontent.cdninstagram.com/t51.2885-19/s150x150/17881310_1664896230480417_6726693778024824832_a.jpg</v>
      </c>
    </row>
    <row r="4209" spans="1:31" ht="15" x14ac:dyDescent="0.25">
      <c r="A4209" t="s">
        <v>2474</v>
      </c>
      <c r="B4209" t="s">
        <v>23112</v>
      </c>
      <c r="C4209" s="221">
        <v>42980.307719907411</v>
      </c>
      <c r="D4209" t="s">
        <v>23113</v>
      </c>
      <c r="E4209" s="249" t="str">
        <f>HYPERLINK("https://www.instagram.com/p/BYiWzNCnEhc/")</f>
        <v>https://www.instagram.com/p/BYiWzNCnEhc/</v>
      </c>
      <c r="F4209" t="s">
        <v>23114</v>
      </c>
      <c r="G4209" t="s">
        <v>2478</v>
      </c>
      <c r="H4209">
        <v>194</v>
      </c>
      <c r="I4209" t="s">
        <v>2479</v>
      </c>
      <c r="J4209">
        <v>1</v>
      </c>
      <c r="K4209">
        <v>46</v>
      </c>
      <c r="L4209">
        <v>47</v>
      </c>
      <c r="Q4209">
        <v>0</v>
      </c>
      <c r="R4209">
        <v>0</v>
      </c>
      <c r="S4209">
        <v>47</v>
      </c>
      <c r="Y4209" t="s">
        <v>9108</v>
      </c>
      <c r="Z4209" t="s">
        <v>23115</v>
      </c>
      <c r="AA4209" t="s">
        <v>14648</v>
      </c>
      <c r="AB4209" t="s">
        <v>23116</v>
      </c>
      <c r="AC4209" t="s">
        <v>23117</v>
      </c>
      <c r="AD4209" s="249" t="str">
        <f>HYPERLINK("https://scontent.cdninstagram.com/t51.2885-15/e35/p320x320/21224477_1930452847242217_5567949599139692544_n.jpg")</f>
        <v>https://scontent.cdninstagram.com/t51.2885-15/e35/p320x320/21224477_1930452847242217_5567949599139692544_n.jpg</v>
      </c>
      <c r="AE4209" s="249" t="str">
        <f>HYPERLINK("https://scontent.cdninstagram.com/t51.2885-19/s150x150/21108023_114390782578907_3810010985146613760_a.jpg")</f>
        <v>https://scontent.cdninstagram.com/t51.2885-19/s150x150/21108023_114390782578907_3810010985146613760_a.jpg</v>
      </c>
    </row>
    <row r="4210" spans="1:31" ht="15" x14ac:dyDescent="0.25">
      <c r="A4210" t="s">
        <v>2474</v>
      </c>
      <c r="B4210" t="s">
        <v>2644</v>
      </c>
      <c r="C4210" s="221">
        <v>42980.313194444447</v>
      </c>
      <c r="D4210" t="s">
        <v>23118</v>
      </c>
      <c r="E4210" s="249" t="str">
        <f>HYPERLINK("https://www.instagram.com/p/BYiXtBFgNLe/")</f>
        <v>https://www.instagram.com/p/BYiXtBFgNLe/</v>
      </c>
      <c r="F4210" t="s">
        <v>23119</v>
      </c>
      <c r="G4210" t="s">
        <v>2478</v>
      </c>
      <c r="H4210">
        <v>1728</v>
      </c>
      <c r="I4210" t="s">
        <v>2479</v>
      </c>
      <c r="J4210">
        <v>5</v>
      </c>
      <c r="K4210">
        <v>108</v>
      </c>
      <c r="L4210">
        <v>113</v>
      </c>
      <c r="Q4210">
        <v>0</v>
      </c>
      <c r="R4210">
        <v>0</v>
      </c>
      <c r="S4210">
        <v>113</v>
      </c>
      <c r="T4210" t="s">
        <v>3911</v>
      </c>
      <c r="V4210" t="s">
        <v>2648</v>
      </c>
      <c r="W4210">
        <v>55.734259999999999</v>
      </c>
      <c r="X4210">
        <v>37.627389999999998</v>
      </c>
      <c r="Y4210" t="s">
        <v>23120</v>
      </c>
      <c r="Z4210" t="s">
        <v>23121</v>
      </c>
      <c r="AA4210" t="s">
        <v>3912</v>
      </c>
      <c r="AB4210" t="s">
        <v>3915</v>
      </c>
      <c r="AC4210" t="s">
        <v>7428</v>
      </c>
      <c r="AD4210" s="249" t="str">
        <f>HYPERLINK("https://scontent.cdninstagram.com/t51.2885-15/s320x320/e35/21224784_1822855781062799_2317469236575862784_n.jpg")</f>
        <v>https://scontent.cdninstagram.com/t51.2885-15/s320x320/e35/21224784_1822855781062799_2317469236575862784_n.jpg</v>
      </c>
      <c r="AE4210" s="249" t="str">
        <f>HYPERLINK("https://scontent.cdninstagram.com/t51.2885-19/11372086_1598451257062069_1320225693_a.jpg")</f>
        <v>https://scontent.cdninstagram.com/t51.2885-19/11372086_1598451257062069_1320225693_a.jpg</v>
      </c>
    </row>
    <row r="4211" spans="1:31" ht="15" x14ac:dyDescent="0.25">
      <c r="A4211" t="s">
        <v>2474</v>
      </c>
      <c r="B4211" t="s">
        <v>3015</v>
      </c>
      <c r="C4211" s="221">
        <v>42980.314409722225</v>
      </c>
      <c r="D4211" t="s">
        <v>23122</v>
      </c>
      <c r="E4211" s="249" t="str">
        <f>HYPERLINK("https://www.instagram.com/p/BYiX5yNgqJ5/")</f>
        <v>https://www.instagram.com/p/BYiX5yNgqJ5/</v>
      </c>
      <c r="F4211" t="s">
        <v>23123</v>
      </c>
      <c r="G4211" t="s">
        <v>2478</v>
      </c>
      <c r="H4211">
        <v>251</v>
      </c>
      <c r="I4211" t="s">
        <v>2479</v>
      </c>
      <c r="J4211">
        <v>0</v>
      </c>
      <c r="K4211">
        <v>46</v>
      </c>
      <c r="L4211">
        <v>46</v>
      </c>
      <c r="Q4211">
        <v>0</v>
      </c>
      <c r="R4211">
        <v>0</v>
      </c>
      <c r="S4211">
        <v>46</v>
      </c>
      <c r="Y4211" t="s">
        <v>3018</v>
      </c>
      <c r="Z4211" t="s">
        <v>10032</v>
      </c>
      <c r="AA4211" t="s">
        <v>4129</v>
      </c>
      <c r="AB4211" t="s">
        <v>3725</v>
      </c>
      <c r="AC4211" t="s">
        <v>3021</v>
      </c>
      <c r="AD4211" s="249" t="str">
        <f>HYPERLINK("https://scontent.cdninstagram.com/t51.2885-15/e35/p320x320/21224987_1491259567626699_5597465550700675072_n.jpg")</f>
        <v>https://scontent.cdninstagram.com/t51.2885-15/e35/p320x320/21224987_1491259567626699_5597465550700675072_n.jpg</v>
      </c>
      <c r="AE4211" s="249" t="str">
        <f>HYPERLINK("https://scontent.cdninstagram.com/t51.2885-19/s150x150/21373025_723410537866046_6184601968204316672_a.jpg")</f>
        <v>https://scontent.cdninstagram.com/t51.2885-19/s150x150/21373025_723410537866046_6184601968204316672_a.jpg</v>
      </c>
    </row>
    <row r="4212" spans="1:31" ht="15" x14ac:dyDescent="0.25">
      <c r="A4212" t="s">
        <v>2474</v>
      </c>
      <c r="B4212" t="s">
        <v>23124</v>
      </c>
      <c r="C4212" s="221">
        <v>42980.318101851852</v>
      </c>
      <c r="D4212" t="s">
        <v>23125</v>
      </c>
      <c r="E4212" s="249" t="str">
        <f>HYPERLINK("https://www.instagram.com/p/BYiYguqFG0v/")</f>
        <v>https://www.instagram.com/p/BYiYguqFG0v/</v>
      </c>
      <c r="F4212" t="s">
        <v>23126</v>
      </c>
      <c r="G4212" t="s">
        <v>2478</v>
      </c>
      <c r="H4212">
        <v>356</v>
      </c>
      <c r="I4212" t="s">
        <v>10083</v>
      </c>
      <c r="J4212">
        <v>0</v>
      </c>
      <c r="K4212">
        <v>76</v>
      </c>
      <c r="L4212">
        <v>76</v>
      </c>
      <c r="Q4212">
        <v>0</v>
      </c>
      <c r="R4212">
        <v>0</v>
      </c>
      <c r="S4212">
        <v>76</v>
      </c>
      <c r="Y4212" t="s">
        <v>3254</v>
      </c>
      <c r="Z4212" t="s">
        <v>2497</v>
      </c>
      <c r="AA4212" t="s">
        <v>4620</v>
      </c>
      <c r="AB4212" t="s">
        <v>23127</v>
      </c>
      <c r="AC4212" t="s">
        <v>23128</v>
      </c>
      <c r="AD4212" s="249" t="str">
        <f>HYPERLINK("https://scontent.cdninstagram.com/t51.2885-15/s320x320/e35/21227229_1661600120548322_6557508389100847104_n.jpg")</f>
        <v>https://scontent.cdninstagram.com/t51.2885-15/s320x320/e35/21227229_1661600120548322_6557508389100847104_n.jpg</v>
      </c>
      <c r="AE4212" s="249" t="str">
        <f>HYPERLINK("https://scontent.cdninstagram.com/t51.2885-19/s150x150/21041943_1908276959412360_5485116284343418880_a.jpg")</f>
        <v>https://scontent.cdninstagram.com/t51.2885-19/s150x150/21041943_1908276959412360_5485116284343418880_a.jpg</v>
      </c>
    </row>
    <row r="4213" spans="1:31" ht="15" x14ac:dyDescent="0.25">
      <c r="A4213" t="s">
        <v>2474</v>
      </c>
      <c r="B4213" t="s">
        <v>3133</v>
      </c>
      <c r="C4213" s="221">
        <v>42980.318391203706</v>
      </c>
      <c r="D4213" t="s">
        <v>23129</v>
      </c>
      <c r="E4213" s="249" t="str">
        <f>HYPERLINK("https://www.instagram.com/p/BYiYjvYAY0x/")</f>
        <v>https://www.instagram.com/p/BYiYjvYAY0x/</v>
      </c>
      <c r="F4213" t="s">
        <v>23130</v>
      </c>
      <c r="G4213" t="s">
        <v>2478</v>
      </c>
      <c r="H4213">
        <v>331</v>
      </c>
      <c r="I4213" t="s">
        <v>2479</v>
      </c>
      <c r="J4213">
        <v>2</v>
      </c>
      <c r="K4213">
        <v>54</v>
      </c>
      <c r="L4213">
        <v>56</v>
      </c>
      <c r="Q4213">
        <v>0</v>
      </c>
      <c r="R4213">
        <v>0</v>
      </c>
      <c r="S4213">
        <v>56</v>
      </c>
      <c r="Y4213" t="s">
        <v>8772</v>
      </c>
      <c r="Z4213" t="s">
        <v>23131</v>
      </c>
      <c r="AA4213" t="s">
        <v>15164</v>
      </c>
      <c r="AB4213" t="s">
        <v>3139</v>
      </c>
      <c r="AC4213" t="s">
        <v>3137</v>
      </c>
      <c r="AD4213" s="249" t="str">
        <f>HYPERLINK("https://scontent.cdninstagram.com/t51.2885-15/s320x320/e35/21224778_1713192028988419_1150900735378980864_n.jpg")</f>
        <v>https://scontent.cdninstagram.com/t51.2885-15/s320x320/e35/21224778_1713192028988419_1150900735378980864_n.jpg</v>
      </c>
      <c r="AE4213" s="249" t="str">
        <f>HYPERLINK("https://scontent.cdninstagram.com/t51.2885-19/s150x150/21294933_140781739774378_8954867157003403264_a.jpg")</f>
        <v>https://scontent.cdninstagram.com/t51.2885-19/s150x150/21294933_140781739774378_8954867157003403264_a.jpg</v>
      </c>
    </row>
    <row r="4214" spans="1:31" ht="15" x14ac:dyDescent="0.25">
      <c r="A4214" t="s">
        <v>2474</v>
      </c>
      <c r="B4214" t="s">
        <v>23132</v>
      </c>
      <c r="C4214" s="221">
        <v>42980.336631944447</v>
      </c>
      <c r="D4214" t="s">
        <v>23133</v>
      </c>
      <c r="E4214" s="249" t="str">
        <f>HYPERLINK("https://www.instagram.com/p/BYibkHonEWI/")</f>
        <v>https://www.instagram.com/p/BYibkHonEWI/</v>
      </c>
      <c r="F4214" t="s">
        <v>23134</v>
      </c>
      <c r="G4214" t="s">
        <v>2478</v>
      </c>
      <c r="H4214">
        <v>287</v>
      </c>
      <c r="I4214" t="s">
        <v>2542</v>
      </c>
      <c r="J4214">
        <v>0</v>
      </c>
      <c r="K4214">
        <v>65</v>
      </c>
      <c r="L4214">
        <v>65</v>
      </c>
      <c r="Q4214">
        <v>0</v>
      </c>
      <c r="R4214">
        <v>0</v>
      </c>
      <c r="S4214">
        <v>65</v>
      </c>
      <c r="T4214" t="s">
        <v>23135</v>
      </c>
      <c r="V4214" t="s">
        <v>2103</v>
      </c>
      <c r="W4214">
        <v>47.025670222830001</v>
      </c>
      <c r="X4214">
        <v>15.435410161691999</v>
      </c>
      <c r="Y4214" t="s">
        <v>23136</v>
      </c>
      <c r="Z4214" t="s">
        <v>23137</v>
      </c>
      <c r="AA4214" t="s">
        <v>2483</v>
      </c>
      <c r="AB4214" t="s">
        <v>23138</v>
      </c>
      <c r="AC4214" t="s">
        <v>8592</v>
      </c>
      <c r="AD4214" s="249" t="str">
        <f>HYPERLINK("https://scontent.cdninstagram.com/t51.2885-15/s320x320/e35/21224075_390011751401954_4549109079364075520_n.jpg")</f>
        <v>https://scontent.cdninstagram.com/t51.2885-15/s320x320/e35/21224075_390011751401954_4549109079364075520_n.jpg</v>
      </c>
      <c r="AE4214" s="249" t="str">
        <f>HYPERLINK("https://scontent.cdninstagram.com/t51.2885-19/s150x150/20633494_1613929798652003_6059241377596702720_a.jpg")</f>
        <v>https://scontent.cdninstagram.com/t51.2885-19/s150x150/20633494_1613929798652003_6059241377596702720_a.jpg</v>
      </c>
    </row>
    <row r="4215" spans="1:31" ht="15" x14ac:dyDescent="0.25">
      <c r="A4215" t="s">
        <v>2474</v>
      </c>
      <c r="B4215" t="s">
        <v>23139</v>
      </c>
      <c r="C4215" s="221">
        <v>42980.337546296294</v>
      </c>
      <c r="D4215" t="s">
        <v>23140</v>
      </c>
      <c r="E4215" s="249" t="str">
        <f>HYPERLINK("https://www.instagram.com/p/BYibt0jBFeo/")</f>
        <v>https://www.instagram.com/p/BYibt0jBFeo/</v>
      </c>
      <c r="F4215" t="s">
        <v>23141</v>
      </c>
      <c r="G4215" t="s">
        <v>2478</v>
      </c>
      <c r="H4215">
        <v>4</v>
      </c>
      <c r="I4215" t="s">
        <v>2479</v>
      </c>
      <c r="J4215">
        <v>0</v>
      </c>
      <c r="K4215">
        <v>0</v>
      </c>
      <c r="L4215">
        <v>0</v>
      </c>
      <c r="Q4215">
        <v>0</v>
      </c>
      <c r="R4215">
        <v>0</v>
      </c>
      <c r="S4215">
        <v>0</v>
      </c>
      <c r="Y4215" t="s">
        <v>4673</v>
      </c>
      <c r="Z4215" t="s">
        <v>2497</v>
      </c>
      <c r="AA4215" t="s">
        <v>11162</v>
      </c>
      <c r="AB4215" t="s">
        <v>23142</v>
      </c>
      <c r="AC4215" t="s">
        <v>23143</v>
      </c>
      <c r="AD4215" s="249" t="str">
        <f>HYPERLINK("https://scontent.cdninstagram.com/t51.2885-15/s320x320/e35/21226978_524785494531269_5768020690594693120_n.jpg")</f>
        <v>https://scontent.cdninstagram.com/t51.2885-15/s320x320/e35/21226978_524785494531269_5768020690594693120_n.jpg</v>
      </c>
      <c r="AE4215" s="249" t="str">
        <f>HYPERLINK("https://scontent.cdninstagram.com/t51.2885-19/s150x150/19764501_1259961930793471_6008593937831297024_a.jpg")</f>
        <v>https://scontent.cdninstagram.com/t51.2885-19/s150x150/19764501_1259961930793471_6008593937831297024_a.jpg</v>
      </c>
    </row>
    <row r="4216" spans="1:31" ht="15" x14ac:dyDescent="0.25">
      <c r="A4216" t="s">
        <v>2474</v>
      </c>
      <c r="B4216" t="s">
        <v>23144</v>
      </c>
      <c r="C4216" s="221">
        <v>42980.341331018521</v>
      </c>
      <c r="D4216" t="s">
        <v>23145</v>
      </c>
      <c r="E4216" s="249" t="str">
        <f>HYPERLINK("https://www.instagram.com/p/BYicVqzHFy9/")</f>
        <v>https://www.instagram.com/p/BYicVqzHFy9/</v>
      </c>
      <c r="F4216" t="s">
        <v>23146</v>
      </c>
      <c r="G4216" t="s">
        <v>2478</v>
      </c>
      <c r="H4216">
        <v>745</v>
      </c>
      <c r="I4216" t="s">
        <v>2479</v>
      </c>
      <c r="J4216">
        <v>0</v>
      </c>
      <c r="K4216">
        <v>71</v>
      </c>
      <c r="L4216">
        <v>71</v>
      </c>
      <c r="Q4216">
        <v>0</v>
      </c>
      <c r="R4216">
        <v>0</v>
      </c>
      <c r="S4216">
        <v>71</v>
      </c>
      <c r="T4216" t="s">
        <v>2936</v>
      </c>
      <c r="V4216" t="s">
        <v>2288</v>
      </c>
      <c r="W4216">
        <v>51.507114863623997</v>
      </c>
      <c r="X4216">
        <v>-0.12731805236353</v>
      </c>
      <c r="Y4216" t="s">
        <v>23147</v>
      </c>
      <c r="Z4216" t="s">
        <v>4902</v>
      </c>
      <c r="AA4216" t="s">
        <v>2497</v>
      </c>
      <c r="AB4216" t="s">
        <v>23148</v>
      </c>
      <c r="AC4216" t="s">
        <v>10619</v>
      </c>
      <c r="AD4216" s="249" t="str">
        <f>HYPERLINK("https://scontent.cdninstagram.com/t51.2885-15/s320x320/e35/21224569_139935639953219_3536307163347550208_n.jpg")</f>
        <v>https://scontent.cdninstagram.com/t51.2885-15/s320x320/e35/21224569_139935639953219_3536307163347550208_n.jpg</v>
      </c>
      <c r="AE4216" s="249" t="str">
        <f>HYPERLINK("https://scontent.cdninstagram.com/t51.2885-19/s150x150/19437178_813568148801777_3036643046226657280_a.jpg")</f>
        <v>https://scontent.cdninstagram.com/t51.2885-19/s150x150/19437178_813568148801777_3036643046226657280_a.jpg</v>
      </c>
    </row>
    <row r="4217" spans="1:31" ht="15" x14ac:dyDescent="0.25">
      <c r="A4217" t="s">
        <v>2474</v>
      </c>
      <c r="B4217" t="s">
        <v>23149</v>
      </c>
      <c r="C4217" s="221">
        <v>42980.344317129631</v>
      </c>
      <c r="D4217" t="s">
        <v>23150</v>
      </c>
      <c r="E4217" s="249" t="str">
        <f>HYPERLINK("https://www.instagram.com/p/BYic1MvDoEX/")</f>
        <v>https://www.instagram.com/p/BYic1MvDoEX/</v>
      </c>
      <c r="F4217" t="s">
        <v>23151</v>
      </c>
      <c r="G4217" t="s">
        <v>2478</v>
      </c>
      <c r="H4217">
        <v>79</v>
      </c>
      <c r="I4217" t="s">
        <v>2479</v>
      </c>
      <c r="J4217">
        <v>1</v>
      </c>
      <c r="K4217">
        <v>38</v>
      </c>
      <c r="L4217">
        <v>39</v>
      </c>
      <c r="Q4217">
        <v>0</v>
      </c>
      <c r="R4217">
        <v>0</v>
      </c>
      <c r="S4217">
        <v>39</v>
      </c>
      <c r="Y4217" t="s">
        <v>23152</v>
      </c>
      <c r="Z4217" t="s">
        <v>23153</v>
      </c>
      <c r="AA4217" t="s">
        <v>23154</v>
      </c>
      <c r="AB4217" t="s">
        <v>23155</v>
      </c>
      <c r="AC4217" t="s">
        <v>5201</v>
      </c>
      <c r="AD4217" s="249" t="str">
        <f>HYPERLINK("https://scontent.cdninstagram.com/t51.2885-15/s320x320/e35/21226922_1439138589503645_6492823080656699392_n.jpg")</f>
        <v>https://scontent.cdninstagram.com/t51.2885-15/s320x320/e35/21226922_1439138589503645_6492823080656699392_n.jpg</v>
      </c>
      <c r="AE4217" s="249" t="str">
        <f>HYPERLINK("https://scontent.cdninstagram.com/t51.2885-19/s150x150/21040930_128183217807793_9177506622266671104_a.jpg")</f>
        <v>https://scontent.cdninstagram.com/t51.2885-19/s150x150/21040930_128183217807793_9177506622266671104_a.jpg</v>
      </c>
    </row>
    <row r="4218" spans="1:31" ht="15" x14ac:dyDescent="0.25">
      <c r="A4218" t="s">
        <v>2474</v>
      </c>
      <c r="B4218" t="s">
        <v>2700</v>
      </c>
      <c r="C4218" s="221">
        <v>42980.345486111109</v>
      </c>
      <c r="D4218" t="s">
        <v>23156</v>
      </c>
      <c r="E4218" s="249" t="str">
        <f>HYPERLINK("https://www.instagram.com/p/BYidBkwhEiL/")</f>
        <v>https://www.instagram.com/p/BYidBkwhEiL/</v>
      </c>
      <c r="F4218" t="s">
        <v>23157</v>
      </c>
      <c r="G4218" t="s">
        <v>2488</v>
      </c>
      <c r="I4218" t="s">
        <v>2479</v>
      </c>
      <c r="J4218">
        <v>5</v>
      </c>
      <c r="K4218">
        <v>16</v>
      </c>
      <c r="L4218">
        <v>21</v>
      </c>
      <c r="Q4218">
        <v>0</v>
      </c>
      <c r="R4218">
        <v>0</v>
      </c>
      <c r="S4218">
        <v>21</v>
      </c>
      <c r="Y4218" t="s">
        <v>23158</v>
      </c>
      <c r="Z4218" t="s">
        <v>23159</v>
      </c>
      <c r="AA4218" t="s">
        <v>23160</v>
      </c>
      <c r="AD4218" s="249" t="str">
        <f>HYPERLINK("https://scontent.cdninstagram.com/t51.2885-15/s320x320/e35/21296811_235556693636841_9019905430154903552_n.jpg")</f>
        <v>https://scontent.cdninstagram.com/t51.2885-15/s320x320/e35/21296811_235556693636841_9019905430154903552_n.jpg</v>
      </c>
      <c r="AE4218" s="249" t="str">
        <f>HYPERLINK("https://scontent.cdninstagram.com/t51.2885-19/s150x150/14726415_1764726950434473_1846308506706116608_a.jpg")</f>
        <v>https://scontent.cdninstagram.com/t51.2885-19/s150x150/14726415_1764726950434473_1846308506706116608_a.jpg</v>
      </c>
    </row>
    <row r="4219" spans="1:31" ht="15" x14ac:dyDescent="0.25">
      <c r="A4219" t="s">
        <v>2474</v>
      </c>
      <c r="B4219" t="s">
        <v>23161</v>
      </c>
      <c r="C4219" s="221">
        <v>42980.348101851851</v>
      </c>
      <c r="D4219" t="s">
        <v>23162</v>
      </c>
      <c r="E4219" s="249" t="str">
        <f>HYPERLINK("https://www.instagram.com/p/BYiddHCFnI5/")</f>
        <v>https://www.instagram.com/p/BYiddHCFnI5/</v>
      </c>
      <c r="F4219" t="s">
        <v>23163</v>
      </c>
      <c r="G4219" t="s">
        <v>2478</v>
      </c>
      <c r="H4219">
        <v>102</v>
      </c>
      <c r="I4219" t="s">
        <v>3170</v>
      </c>
      <c r="J4219">
        <v>0</v>
      </c>
      <c r="K4219">
        <v>9</v>
      </c>
      <c r="L4219">
        <v>9</v>
      </c>
      <c r="Q4219">
        <v>0</v>
      </c>
      <c r="R4219">
        <v>0</v>
      </c>
      <c r="S4219">
        <v>9</v>
      </c>
      <c r="Y4219" t="s">
        <v>2497</v>
      </c>
      <c r="Z4219" t="s">
        <v>18608</v>
      </c>
      <c r="AD4219" s="249" t="str">
        <f>HYPERLINK("https://scontent.cdninstagram.com/t51.2885-15/s320x320/e35/21294938_1912535478986673_3833964279749410816_n.jpg")</f>
        <v>https://scontent.cdninstagram.com/t51.2885-15/s320x320/e35/21294938_1912535478986673_3833964279749410816_n.jpg</v>
      </c>
      <c r="AE4219" s="249" t="str">
        <f>HYPERLINK("https://scontent.cdninstagram.com/t51.2885-19/s150x150/12424690_1261425397206987_925664569_a.jpg")</f>
        <v>https://scontent.cdninstagram.com/t51.2885-19/s150x150/12424690_1261425397206987_925664569_a.jpg</v>
      </c>
    </row>
    <row r="4220" spans="1:31" ht="15" x14ac:dyDescent="0.25">
      <c r="A4220" t="s">
        <v>2474</v>
      </c>
      <c r="B4220" t="s">
        <v>23164</v>
      </c>
      <c r="C4220" s="221">
        <v>42980.349988425929</v>
      </c>
      <c r="D4220" t="s">
        <v>23165</v>
      </c>
      <c r="E4220" s="249" t="str">
        <f>HYPERLINK("https://www.instagram.com/p/BYidxCdjgO9/")</f>
        <v>https://www.instagram.com/p/BYidxCdjgO9/</v>
      </c>
      <c r="F4220" t="s">
        <v>23166</v>
      </c>
      <c r="G4220" t="s">
        <v>2478</v>
      </c>
      <c r="H4220">
        <v>501</v>
      </c>
      <c r="I4220" t="s">
        <v>2479</v>
      </c>
      <c r="J4220">
        <v>0</v>
      </c>
      <c r="K4220">
        <v>38</v>
      </c>
      <c r="L4220">
        <v>38</v>
      </c>
      <c r="Q4220">
        <v>0</v>
      </c>
      <c r="R4220">
        <v>0</v>
      </c>
      <c r="S4220">
        <v>38</v>
      </c>
      <c r="Y4220" t="s">
        <v>23167</v>
      </c>
      <c r="Z4220" t="s">
        <v>23168</v>
      </c>
      <c r="AA4220" t="s">
        <v>4672</v>
      </c>
      <c r="AB4220" t="s">
        <v>23169</v>
      </c>
      <c r="AC4220" t="s">
        <v>9144</v>
      </c>
      <c r="AD4220" s="249" t="str">
        <f>HYPERLINK("https://scontent.cdninstagram.com/t51.2885-15/s320x320/e35/21227692_1741027896200713_6522758667702370304_n.jpg")</f>
        <v>https://scontent.cdninstagram.com/t51.2885-15/s320x320/e35/21227692_1741027896200713_6522758667702370304_n.jpg</v>
      </c>
      <c r="AE4220" s="249" t="str">
        <f>HYPERLINK("https://scontent.cdninstagram.com/t51.2885-19/s150x150/20214702_1738669079544010_8331353951345573888_a.jpg")</f>
        <v>https://scontent.cdninstagram.com/t51.2885-19/s150x150/20214702_1738669079544010_8331353951345573888_a.jpg</v>
      </c>
    </row>
    <row r="4221" spans="1:31" ht="15" x14ac:dyDescent="0.25">
      <c r="A4221" t="s">
        <v>2474</v>
      </c>
      <c r="B4221" t="s">
        <v>23170</v>
      </c>
      <c r="C4221" s="221">
        <v>42980.35434027778</v>
      </c>
      <c r="D4221" t="s">
        <v>23171</v>
      </c>
      <c r="E4221" s="249" t="str">
        <f>HYPERLINK("https://www.instagram.com/p/BYiee98Ar2l/")</f>
        <v>https://www.instagram.com/p/BYiee98Ar2l/</v>
      </c>
      <c r="F4221" t="s">
        <v>23172</v>
      </c>
      <c r="G4221" t="s">
        <v>2478</v>
      </c>
      <c r="H4221">
        <v>155</v>
      </c>
      <c r="I4221" t="s">
        <v>2479</v>
      </c>
      <c r="J4221">
        <v>2</v>
      </c>
      <c r="K4221">
        <v>31</v>
      </c>
      <c r="L4221">
        <v>33</v>
      </c>
      <c r="Q4221">
        <v>0</v>
      </c>
      <c r="R4221">
        <v>0</v>
      </c>
      <c r="S4221">
        <v>33</v>
      </c>
      <c r="Y4221" t="s">
        <v>23173</v>
      </c>
      <c r="Z4221" t="s">
        <v>5770</v>
      </c>
      <c r="AA4221" t="s">
        <v>2497</v>
      </c>
      <c r="AB4221" t="s">
        <v>4513</v>
      </c>
      <c r="AC4221" t="s">
        <v>2913</v>
      </c>
      <c r="AD4221" s="249" t="str">
        <f>HYPERLINK("https://scontent.cdninstagram.com/t51.2885-15/s320x320/e35/21224404_883664018466296_2436052433214898176_n.jpg")</f>
        <v>https://scontent.cdninstagram.com/t51.2885-15/s320x320/e35/21224404_883664018466296_2436052433214898176_n.jpg</v>
      </c>
      <c r="AE4221" s="249" t="str">
        <f>HYPERLINK("https://scontent.cdninstagram.com/t51.2885-19/s150x150/20905417_747961055387390_8007615272376598528_a.jpg")</f>
        <v>https://scontent.cdninstagram.com/t51.2885-19/s150x150/20905417_747961055387390_8007615272376598528_a.jpg</v>
      </c>
    </row>
    <row r="4222" spans="1:31" ht="15" x14ac:dyDescent="0.25">
      <c r="A4222" t="s">
        <v>2474</v>
      </c>
      <c r="B4222" t="s">
        <v>23174</v>
      </c>
      <c r="C4222" s="221">
        <v>42980.359895833331</v>
      </c>
      <c r="D4222" t="s">
        <v>23175</v>
      </c>
      <c r="E4222" s="249" t="str">
        <f>HYPERLINK("https://www.instagram.com/p/BYifZkLAhfC/")</f>
        <v>https://www.instagram.com/p/BYifZkLAhfC/</v>
      </c>
      <c r="F4222" t="s">
        <v>23176</v>
      </c>
      <c r="G4222" t="s">
        <v>2478</v>
      </c>
      <c r="H4222">
        <v>107</v>
      </c>
      <c r="I4222" t="s">
        <v>2479</v>
      </c>
      <c r="J4222">
        <v>0</v>
      </c>
      <c r="K4222">
        <v>15</v>
      </c>
      <c r="L4222">
        <v>15</v>
      </c>
      <c r="Q4222">
        <v>0</v>
      </c>
      <c r="R4222">
        <v>0</v>
      </c>
      <c r="S4222">
        <v>15</v>
      </c>
      <c r="T4222" t="s">
        <v>23177</v>
      </c>
      <c r="V4222" t="s">
        <v>2182</v>
      </c>
      <c r="W4222">
        <v>45.466700000000003</v>
      </c>
      <c r="X4222">
        <v>9.1999999999999993</v>
      </c>
      <c r="Y4222" t="s">
        <v>2497</v>
      </c>
      <c r="Z4222" t="s">
        <v>22065</v>
      </c>
      <c r="AA4222" t="s">
        <v>23178</v>
      </c>
      <c r="AB4222" t="s">
        <v>23179</v>
      </c>
      <c r="AC4222" t="s">
        <v>23180</v>
      </c>
      <c r="AD4222" s="249" t="str">
        <f>HYPERLINK("https://scontent.cdninstagram.com/t51.2885-15/s320x320/e35/21224644_114686265902031_3313799240047656960_n.jpg")</f>
        <v>https://scontent.cdninstagram.com/t51.2885-15/s320x320/e35/21224644_114686265902031_3313799240047656960_n.jpg</v>
      </c>
      <c r="AE4222" s="249" t="str">
        <f>HYPERLINK("https://scontent.cdninstagram.com/t51.2885-19/928734_364193797093115_1139010046_a.jpg")</f>
        <v>https://scontent.cdninstagram.com/t51.2885-19/928734_364193797093115_1139010046_a.jpg</v>
      </c>
    </row>
    <row r="4223" spans="1:31" ht="15" x14ac:dyDescent="0.25">
      <c r="A4223" t="s">
        <v>2474</v>
      </c>
      <c r="B4223" t="s">
        <v>23181</v>
      </c>
      <c r="C4223" s="221">
        <v>42980.365127314813</v>
      </c>
      <c r="D4223" t="s">
        <v>23182</v>
      </c>
      <c r="E4223" s="249" t="str">
        <f>HYPERLINK("https://www.instagram.com/p/BYigQv5nXLw/")</f>
        <v>https://www.instagram.com/p/BYigQv5nXLw/</v>
      </c>
      <c r="F4223" t="s">
        <v>23183</v>
      </c>
      <c r="G4223" t="s">
        <v>2478</v>
      </c>
      <c r="H4223">
        <v>76</v>
      </c>
      <c r="I4223" t="s">
        <v>3898</v>
      </c>
      <c r="J4223">
        <v>0</v>
      </c>
      <c r="K4223">
        <v>14</v>
      </c>
      <c r="L4223">
        <v>14</v>
      </c>
      <c r="Q4223">
        <v>0</v>
      </c>
      <c r="R4223">
        <v>0</v>
      </c>
      <c r="S4223">
        <v>14</v>
      </c>
      <c r="Y4223" t="s">
        <v>3392</v>
      </c>
      <c r="Z4223" t="s">
        <v>4270</v>
      </c>
      <c r="AA4223" t="s">
        <v>23184</v>
      </c>
      <c r="AB4223" t="s">
        <v>2777</v>
      </c>
      <c r="AC4223" t="s">
        <v>23185</v>
      </c>
      <c r="AD4223" s="249" t="str">
        <f>HYPERLINK("https://scontent.cdninstagram.com/t51.2885-15/s320x320/e35/21227796_338576089889351_4642060491001167872_n.jpg")</f>
        <v>https://scontent.cdninstagram.com/t51.2885-15/s320x320/e35/21227796_338576089889351_4642060491001167872_n.jpg</v>
      </c>
      <c r="AE4223" s="249" t="str">
        <f>HYPERLINK("https://scontent.cdninstagram.com/t51.2885-19/s150x150/21433958_129203374383052_1571725633950580736_a.jpg")</f>
        <v>https://scontent.cdninstagram.com/t51.2885-19/s150x150/21433958_129203374383052_1571725633950580736_a.jpg</v>
      </c>
    </row>
    <row r="4224" spans="1:31" ht="15" x14ac:dyDescent="0.25">
      <c r="A4224" t="s">
        <v>2474</v>
      </c>
      <c r="B4224" t="s">
        <v>3895</v>
      </c>
      <c r="C4224" s="221">
        <v>42980.366666666669</v>
      </c>
      <c r="D4224" t="s">
        <v>23186</v>
      </c>
      <c r="E4224" s="249" t="str">
        <f>HYPERLINK("https://www.instagram.com/p/BYigg4zFwee/")</f>
        <v>https://www.instagram.com/p/BYigg4zFwee/</v>
      </c>
      <c r="F4224" t="s">
        <v>23187</v>
      </c>
      <c r="G4224" t="s">
        <v>2631</v>
      </c>
      <c r="H4224">
        <v>429</v>
      </c>
      <c r="I4224" t="s">
        <v>2479</v>
      </c>
      <c r="J4224">
        <v>0</v>
      </c>
      <c r="K4224">
        <v>65</v>
      </c>
      <c r="L4224">
        <v>65</v>
      </c>
      <c r="Q4224">
        <v>0</v>
      </c>
      <c r="R4224">
        <v>0</v>
      </c>
      <c r="S4224">
        <v>65</v>
      </c>
      <c r="Y4224" t="s">
        <v>18427</v>
      </c>
      <c r="Z4224" t="s">
        <v>9108</v>
      </c>
      <c r="AA4224" t="s">
        <v>6746</v>
      </c>
      <c r="AB4224" t="s">
        <v>16889</v>
      </c>
      <c r="AC4224" t="s">
        <v>23188</v>
      </c>
      <c r="AD4224" s="249" t="str">
        <f>HYPERLINK("https://scontent.cdninstagram.com/t51.2885-15/e15/p320x320/21227196_846769615498667_1918551901029269504_n.jpg")</f>
        <v>https://scontent.cdninstagram.com/t51.2885-15/e15/p320x320/21227196_846769615498667_1918551901029269504_n.jpg</v>
      </c>
      <c r="AE4224" s="249" t="str">
        <f>HYPERLINK("https://scontent.cdninstagram.com/t51.2885-19/s150x150/20902130_1390331654386412_4188068892897181696_a.jpg")</f>
        <v>https://scontent.cdninstagram.com/t51.2885-19/s150x150/20902130_1390331654386412_4188068892897181696_a.jpg</v>
      </c>
    </row>
    <row r="4225" spans="1:31" ht="15" x14ac:dyDescent="0.25">
      <c r="A4225" t="s">
        <v>2474</v>
      </c>
      <c r="B4225" t="s">
        <v>17177</v>
      </c>
      <c r="C4225" s="221">
        <v>42980.37704861111</v>
      </c>
      <c r="D4225" t="s">
        <v>23189</v>
      </c>
      <c r="E4225" s="249" t="str">
        <f>HYPERLINK("https://www.instagram.com/p/BYiiOdSjyqN/")</f>
        <v>https://www.instagram.com/p/BYiiOdSjyqN/</v>
      </c>
      <c r="F4225" t="s">
        <v>23190</v>
      </c>
      <c r="G4225" t="s">
        <v>2478</v>
      </c>
      <c r="H4225">
        <v>201</v>
      </c>
      <c r="I4225" t="s">
        <v>2479</v>
      </c>
      <c r="J4225">
        <v>4</v>
      </c>
      <c r="K4225">
        <v>40</v>
      </c>
      <c r="L4225">
        <v>44</v>
      </c>
      <c r="Q4225">
        <v>0</v>
      </c>
      <c r="R4225">
        <v>0</v>
      </c>
      <c r="S4225">
        <v>44</v>
      </c>
      <c r="Y4225" t="s">
        <v>3814</v>
      </c>
      <c r="Z4225" t="s">
        <v>23191</v>
      </c>
      <c r="AA4225" t="s">
        <v>5943</v>
      </c>
      <c r="AB4225" t="s">
        <v>2939</v>
      </c>
      <c r="AC4225" t="s">
        <v>3952</v>
      </c>
      <c r="AD4225" s="249" t="str">
        <f>HYPERLINK("https://scontent.cdninstagram.com/t51.2885-15/s320x320/e35/21224929_170667830159955_7163386536350711808_n.jpg")</f>
        <v>https://scontent.cdninstagram.com/t51.2885-15/s320x320/e35/21224929_170667830159955_7163386536350711808_n.jpg</v>
      </c>
      <c r="AE4225" s="249" t="str">
        <f>HYPERLINK("https://scontent.cdninstagram.com/t51.2885-19/s150x150/20905166_1280234472105463_6296656561150361600_a.jpg")</f>
        <v>https://scontent.cdninstagram.com/t51.2885-19/s150x150/20905166_1280234472105463_6296656561150361600_a.jpg</v>
      </c>
    </row>
    <row r="4226" spans="1:31" ht="15" x14ac:dyDescent="0.25">
      <c r="A4226" t="s">
        <v>2474</v>
      </c>
      <c r="B4226" t="s">
        <v>3015</v>
      </c>
      <c r="C4226" s="221">
        <v>42980.381493055553</v>
      </c>
      <c r="D4226" t="s">
        <v>23192</v>
      </c>
      <c r="E4226" s="249" t="str">
        <f>HYPERLINK("https://www.instagram.com/p/BYii9QJApt6/")</f>
        <v>https://www.instagram.com/p/BYii9QJApt6/</v>
      </c>
      <c r="F4226" t="s">
        <v>23193</v>
      </c>
      <c r="G4226" t="s">
        <v>2478</v>
      </c>
      <c r="H4226">
        <v>254</v>
      </c>
      <c r="I4226" t="s">
        <v>2479</v>
      </c>
      <c r="J4226">
        <v>0</v>
      </c>
      <c r="K4226">
        <v>37</v>
      </c>
      <c r="L4226">
        <v>37</v>
      </c>
      <c r="Q4226">
        <v>0</v>
      </c>
      <c r="R4226">
        <v>0</v>
      </c>
      <c r="S4226">
        <v>37</v>
      </c>
      <c r="Y4226" t="s">
        <v>3018</v>
      </c>
      <c r="Z4226" t="s">
        <v>10032</v>
      </c>
      <c r="AA4226" t="s">
        <v>4129</v>
      </c>
      <c r="AB4226" t="s">
        <v>3725</v>
      </c>
      <c r="AC4226" t="s">
        <v>3021</v>
      </c>
      <c r="AD4226" s="249" t="str">
        <f>HYPERLINK("https://scontent.cdninstagram.com/t51.2885-15/e35/p320x320/21296085_112289042799669_4223989813222572032_n.jpg")</f>
        <v>https://scontent.cdninstagram.com/t51.2885-15/e35/p320x320/21296085_112289042799669_4223989813222572032_n.jpg</v>
      </c>
      <c r="AE4226" s="249" t="str">
        <f>HYPERLINK("https://scontent.cdninstagram.com/t51.2885-19/s150x150/21373025_723410537866046_6184601968204316672_a.jpg")</f>
        <v>https://scontent.cdninstagram.com/t51.2885-19/s150x150/21373025_723410537866046_6184601968204316672_a.jpg</v>
      </c>
    </row>
    <row r="4227" spans="1:31" ht="15" x14ac:dyDescent="0.25">
      <c r="A4227" t="s">
        <v>2474</v>
      </c>
      <c r="B4227" t="s">
        <v>23194</v>
      </c>
      <c r="C4227" s="221">
        <v>42980.389652777776</v>
      </c>
      <c r="D4227" t="s">
        <v>23195</v>
      </c>
      <c r="E4227" s="249" t="str">
        <f>HYPERLINK("https://www.instagram.com/p/BYikTVNBVoy/")</f>
        <v>https://www.instagram.com/p/BYikTVNBVoy/</v>
      </c>
      <c r="F4227" t="s">
        <v>23196</v>
      </c>
      <c r="G4227" t="s">
        <v>2478</v>
      </c>
      <c r="H4227">
        <v>148</v>
      </c>
      <c r="I4227" t="s">
        <v>3170</v>
      </c>
      <c r="J4227">
        <v>2</v>
      </c>
      <c r="K4227">
        <v>23</v>
      </c>
      <c r="L4227">
        <v>25</v>
      </c>
      <c r="Q4227">
        <v>0</v>
      </c>
      <c r="R4227">
        <v>0</v>
      </c>
      <c r="S4227">
        <v>25</v>
      </c>
      <c r="T4227" t="s">
        <v>23197</v>
      </c>
      <c r="U4227" t="s">
        <v>106</v>
      </c>
      <c r="V4227" t="s">
        <v>2299</v>
      </c>
      <c r="W4227">
        <v>25.690300000000001</v>
      </c>
      <c r="X4227">
        <v>-80.165099999999995</v>
      </c>
      <c r="Y4227" t="s">
        <v>2497</v>
      </c>
      <c r="Z4227" t="s">
        <v>7908</v>
      </c>
      <c r="AA4227" t="s">
        <v>23198</v>
      </c>
      <c r="AB4227" t="s">
        <v>2492</v>
      </c>
      <c r="AC4227" t="s">
        <v>22726</v>
      </c>
      <c r="AD4227" s="249" t="str">
        <f>HYPERLINK("https://scontent.cdninstagram.com/t51.2885-15/s320x320/e35/21224413_1980401445565924_3066461664132988928_n.jpg")</f>
        <v>https://scontent.cdninstagram.com/t51.2885-15/s320x320/e35/21224413_1980401445565924_3066461664132988928_n.jpg</v>
      </c>
      <c r="AE4227" s="249" t="str">
        <f>HYPERLINK("https://scontent.cdninstagram.com/t51.2885-19/s150x150/12424934_1534276336881494_790084721_a.jpg")</f>
        <v>https://scontent.cdninstagram.com/t51.2885-19/s150x150/12424934_1534276336881494_790084721_a.jpg</v>
      </c>
    </row>
    <row r="4228" spans="1:31" ht="15" x14ac:dyDescent="0.25">
      <c r="A4228" t="s">
        <v>2474</v>
      </c>
      <c r="B4228" t="s">
        <v>23199</v>
      </c>
      <c r="C4228" s="221">
        <v>42980.391967592594</v>
      </c>
      <c r="D4228" t="s">
        <v>23200</v>
      </c>
      <c r="E4228" s="249" t="str">
        <f>HYPERLINK("https://www.instagram.com/p/BYikrxAn7gZ/")</f>
        <v>https://www.instagram.com/p/BYikrxAn7gZ/</v>
      </c>
      <c r="F4228" t="s">
        <v>23201</v>
      </c>
      <c r="G4228" t="s">
        <v>2478</v>
      </c>
      <c r="H4228">
        <v>162</v>
      </c>
      <c r="I4228" t="s">
        <v>2479</v>
      </c>
      <c r="J4228">
        <v>3</v>
      </c>
      <c r="K4228">
        <v>20</v>
      </c>
      <c r="L4228">
        <v>23</v>
      </c>
      <c r="Q4228">
        <v>0</v>
      </c>
      <c r="R4228">
        <v>0</v>
      </c>
      <c r="S4228">
        <v>23</v>
      </c>
      <c r="Y4228" t="s">
        <v>2735</v>
      </c>
      <c r="Z4228" t="s">
        <v>2705</v>
      </c>
      <c r="AA4228" t="s">
        <v>2497</v>
      </c>
      <c r="AB4228" t="s">
        <v>2696</v>
      </c>
      <c r="AC4228" t="s">
        <v>3663</v>
      </c>
      <c r="AD4228" s="249" t="str">
        <f>HYPERLINK("https://scontent.cdninstagram.com/t51.2885-15/s320x320/e35/21224461_965872040221265_4706666286715764736_n.jpg")</f>
        <v>https://scontent.cdninstagram.com/t51.2885-15/s320x320/e35/21224461_965872040221265_4706666286715764736_n.jpg</v>
      </c>
      <c r="AE4228" s="249" t="str">
        <f>HYPERLINK("https://scontent.cdninstagram.com/t51.2885-19/s150x150/20633297_491612247849469_3365048868587700224_a.jpg")</f>
        <v>https://scontent.cdninstagram.com/t51.2885-19/s150x150/20633297_491612247849469_3365048868587700224_a.jpg</v>
      </c>
    </row>
    <row r="4229" spans="1:31" ht="15" x14ac:dyDescent="0.25">
      <c r="A4229" t="s">
        <v>2474</v>
      </c>
      <c r="B4229" t="s">
        <v>8538</v>
      </c>
      <c r="C4229" s="221">
        <v>42980.401203703703</v>
      </c>
      <c r="D4229" t="s">
        <v>23202</v>
      </c>
      <c r="E4229" s="249" t="str">
        <f>HYPERLINK("https://www.instagram.com/p/BYimNI_Amef/")</f>
        <v>https://www.instagram.com/p/BYimNI_Amef/</v>
      </c>
      <c r="F4229" t="s">
        <v>23203</v>
      </c>
      <c r="G4229" t="s">
        <v>2478</v>
      </c>
      <c r="H4229">
        <v>5470</v>
      </c>
      <c r="I4229" t="s">
        <v>2479</v>
      </c>
      <c r="J4229">
        <v>9</v>
      </c>
      <c r="K4229">
        <v>389</v>
      </c>
      <c r="L4229">
        <v>398</v>
      </c>
      <c r="Q4229">
        <v>0</v>
      </c>
      <c r="R4229">
        <v>0</v>
      </c>
      <c r="S4229">
        <v>398</v>
      </c>
      <c r="T4229" t="s">
        <v>23204</v>
      </c>
      <c r="V4229" t="s">
        <v>2264</v>
      </c>
      <c r="W4229">
        <v>38.908770629999999</v>
      </c>
      <c r="X4229">
        <v>1.4368650966667</v>
      </c>
      <c r="Y4229" t="s">
        <v>2497</v>
      </c>
      <c r="Z4229" t="s">
        <v>11090</v>
      </c>
      <c r="AA4229" t="s">
        <v>12706</v>
      </c>
      <c r="AD4229" s="249" t="str">
        <f>HYPERLINK("https://scontent.cdninstagram.com/t51.2885-15/s320x320/e35/21295011_462812884105368_7368043785294446592_n.jpg")</f>
        <v>https://scontent.cdninstagram.com/t51.2885-15/s320x320/e35/21295011_462812884105368_7368043785294446592_n.jpg</v>
      </c>
      <c r="AE4229" s="249" t="str">
        <f>HYPERLINK("https://scontent.cdninstagram.com/t51.2885-19/s150x150/18950246_1127968397303807_6772371073045364736_a.jpg")</f>
        <v>https://scontent.cdninstagram.com/t51.2885-19/s150x150/18950246_1127968397303807_6772371073045364736_a.jpg</v>
      </c>
    </row>
    <row r="4230" spans="1:31" ht="15" x14ac:dyDescent="0.25">
      <c r="A4230" t="s">
        <v>2474</v>
      </c>
      <c r="B4230" t="s">
        <v>7185</v>
      </c>
      <c r="C4230" s="221">
        <v>42980.4137962963</v>
      </c>
      <c r="D4230" t="s">
        <v>23205</v>
      </c>
      <c r="E4230" s="249" t="str">
        <f>HYPERLINK("https://www.instagram.com/p/BYioR_KhcUi/")</f>
        <v>https://www.instagram.com/p/BYioR_KhcUi/</v>
      </c>
      <c r="F4230" t="s">
        <v>23206</v>
      </c>
      <c r="G4230" t="s">
        <v>2478</v>
      </c>
      <c r="H4230">
        <v>558</v>
      </c>
      <c r="I4230" t="s">
        <v>2479</v>
      </c>
      <c r="J4230">
        <v>7</v>
      </c>
      <c r="K4230">
        <v>104</v>
      </c>
      <c r="L4230">
        <v>111</v>
      </c>
      <c r="Q4230">
        <v>0</v>
      </c>
      <c r="R4230">
        <v>0</v>
      </c>
      <c r="S4230">
        <v>111</v>
      </c>
      <c r="T4230" t="s">
        <v>23207</v>
      </c>
      <c r="V4230" t="s">
        <v>2173</v>
      </c>
      <c r="W4230">
        <v>16.083300000000001</v>
      </c>
      <c r="X4230">
        <v>-86.9</v>
      </c>
      <c r="Y4230" t="s">
        <v>23208</v>
      </c>
      <c r="Z4230" t="s">
        <v>23209</v>
      </c>
      <c r="AD4230" s="249" t="str">
        <f>HYPERLINK("https://scontent.cdninstagram.com/t51.2885-15/s320x320/e35/21227074_507718792894754_6046038742618079232_n.jpg")</f>
        <v>https://scontent.cdninstagram.com/t51.2885-15/s320x320/e35/21227074_507718792894754_6046038742618079232_n.jpg</v>
      </c>
      <c r="AE4230" s="249" t="str">
        <f>HYPERLINK("https://scontent.cdninstagram.com/t51.2885-19/s150x150/17882752_1488967831123186_392500985118851072_a.jpg")</f>
        <v>https://scontent.cdninstagram.com/t51.2885-19/s150x150/17882752_1488967831123186_392500985118851072_a.jpg</v>
      </c>
    </row>
    <row r="4231" spans="1:31" ht="15" x14ac:dyDescent="0.25">
      <c r="A4231" t="s">
        <v>2474</v>
      </c>
      <c r="B4231" t="s">
        <v>6847</v>
      </c>
      <c r="C4231" s="221">
        <v>42980.435729166667</v>
      </c>
      <c r="D4231" t="s">
        <v>23210</v>
      </c>
      <c r="E4231" s="249" t="str">
        <f>HYPERLINK("https://www.instagram.com/p/BYir5TXh4rm/")</f>
        <v>https://www.instagram.com/p/BYir5TXh4rm/</v>
      </c>
      <c r="F4231" t="s">
        <v>23211</v>
      </c>
      <c r="G4231" t="s">
        <v>2478</v>
      </c>
      <c r="I4231" t="s">
        <v>2599</v>
      </c>
      <c r="J4231">
        <v>14</v>
      </c>
      <c r="K4231">
        <v>38</v>
      </c>
      <c r="L4231">
        <v>52</v>
      </c>
      <c r="Q4231">
        <v>0</v>
      </c>
      <c r="R4231">
        <v>0</v>
      </c>
      <c r="S4231">
        <v>52</v>
      </c>
      <c r="T4231" t="s">
        <v>7142</v>
      </c>
      <c r="V4231" t="s">
        <v>2161</v>
      </c>
      <c r="W4231">
        <v>50.963769900000003</v>
      </c>
      <c r="X4231">
        <v>6.9587399999999997</v>
      </c>
      <c r="Y4231" t="s">
        <v>23212</v>
      </c>
      <c r="Z4231" t="s">
        <v>8353</v>
      </c>
      <c r="AA4231" t="s">
        <v>23213</v>
      </c>
      <c r="AB4231" t="s">
        <v>3446</v>
      </c>
      <c r="AC4231" t="s">
        <v>3006</v>
      </c>
      <c r="AD4231" s="249" t="str">
        <f>HYPERLINK("https://scontent.cdninstagram.com/t51.2885-15/s320x320/e35/21296084_475027829533042_407508653118062592_n.jpg")</f>
        <v>https://scontent.cdninstagram.com/t51.2885-15/s320x320/e35/21296084_475027829533042_407508653118062592_n.jpg</v>
      </c>
      <c r="AE4231" s="249" t="str">
        <f>HYPERLINK("https://scontent.cdninstagram.com/t51.2885-19/s150x150/21227085_490035654689267_1134010918221381632_a.jpg")</f>
        <v>https://scontent.cdninstagram.com/t51.2885-19/s150x150/21227085_490035654689267_1134010918221381632_a.jpg</v>
      </c>
    </row>
    <row r="4232" spans="1:31" ht="15" x14ac:dyDescent="0.25">
      <c r="A4232" t="s">
        <v>2474</v>
      </c>
      <c r="B4232" t="s">
        <v>13755</v>
      </c>
      <c r="C4232" s="221">
        <v>42980.441608796296</v>
      </c>
      <c r="D4232" t="s">
        <v>23214</v>
      </c>
      <c r="E4232" s="249" t="str">
        <f>HYPERLINK("https://www.instagram.com/p/BYis3UohhKp/")</f>
        <v>https://www.instagram.com/p/BYis3UohhKp/</v>
      </c>
      <c r="F4232" t="s">
        <v>23215</v>
      </c>
      <c r="G4232" t="s">
        <v>2478</v>
      </c>
      <c r="H4232">
        <v>176</v>
      </c>
      <c r="I4232" t="s">
        <v>2479</v>
      </c>
      <c r="J4232">
        <v>2</v>
      </c>
      <c r="K4232">
        <v>30</v>
      </c>
      <c r="L4232">
        <v>32</v>
      </c>
      <c r="Q4232">
        <v>0</v>
      </c>
      <c r="R4232">
        <v>0</v>
      </c>
      <c r="S4232">
        <v>32</v>
      </c>
      <c r="T4232" t="s">
        <v>23216</v>
      </c>
      <c r="V4232" t="s">
        <v>2176</v>
      </c>
      <c r="W4232">
        <v>26.572777777778001</v>
      </c>
      <c r="X4232">
        <v>73.838888888889002</v>
      </c>
      <c r="Y4232" t="s">
        <v>23217</v>
      </c>
      <c r="Z4232" t="s">
        <v>23218</v>
      </c>
      <c r="AA4232" t="s">
        <v>23219</v>
      </c>
      <c r="AB4232" t="s">
        <v>23220</v>
      </c>
      <c r="AC4232" t="s">
        <v>23221</v>
      </c>
      <c r="AD4232" s="249" t="str">
        <f>HYPERLINK("https://scontent.cdninstagram.com/t51.2885-15/e35/p320x320/21224491_166504330581202_1386266742791077888_n.jpg")</f>
        <v>https://scontent.cdninstagram.com/t51.2885-15/e35/p320x320/21224491_166504330581202_1386266742791077888_n.jpg</v>
      </c>
      <c r="AE4232" s="249" t="str">
        <f>HYPERLINK("https://scontent.cdninstagram.com/t51.2885-19/s150x150/20479128_2201548246738238_118899688484110336_a.jpg")</f>
        <v>https://scontent.cdninstagram.com/t51.2885-19/s150x150/20479128_2201548246738238_118899688484110336_a.jpg</v>
      </c>
    </row>
    <row r="4233" spans="1:31" ht="15" x14ac:dyDescent="0.25">
      <c r="A4233" t="s">
        <v>2474</v>
      </c>
      <c r="B4233" t="s">
        <v>23222</v>
      </c>
      <c r="C4233" s="221">
        <v>42980.442465277774</v>
      </c>
      <c r="D4233" t="s">
        <v>23223</v>
      </c>
      <c r="E4233" s="249" t="str">
        <f>HYPERLINK("https://www.instagram.com/p/BYitAVpneCW/")</f>
        <v>https://www.instagram.com/p/BYitAVpneCW/</v>
      </c>
      <c r="F4233" t="s">
        <v>23224</v>
      </c>
      <c r="G4233" t="s">
        <v>2478</v>
      </c>
      <c r="H4233">
        <v>591</v>
      </c>
      <c r="I4233" t="s">
        <v>2479</v>
      </c>
      <c r="J4233">
        <v>0</v>
      </c>
      <c r="K4233">
        <v>10</v>
      </c>
      <c r="L4233">
        <v>10</v>
      </c>
      <c r="Q4233">
        <v>0</v>
      </c>
      <c r="R4233">
        <v>0</v>
      </c>
      <c r="S4233">
        <v>10</v>
      </c>
      <c r="Y4233" t="s">
        <v>3849</v>
      </c>
      <c r="Z4233" t="s">
        <v>23225</v>
      </c>
      <c r="AA4233" t="s">
        <v>3583</v>
      </c>
      <c r="AB4233" t="s">
        <v>2497</v>
      </c>
      <c r="AC4233" t="s">
        <v>23226</v>
      </c>
      <c r="AD4233" s="249" t="str">
        <f>HYPERLINK("https://scontent.cdninstagram.com/t51.2885-15/e35/p320x320/21224541_1530686030287416_521770373922947072_n.jpg")</f>
        <v>https://scontent.cdninstagram.com/t51.2885-15/e35/p320x320/21224541_1530686030287416_521770373922947072_n.jpg</v>
      </c>
      <c r="AE4233" s="249" t="str">
        <f>HYPERLINK("https://scontent.cdninstagram.com/t51.2885-19/s150x150/17934375_770506433113791_7989463692611682304_a.jpg")</f>
        <v>https://scontent.cdninstagram.com/t51.2885-19/s150x150/17934375_770506433113791_7989463692611682304_a.jpg</v>
      </c>
    </row>
    <row r="4234" spans="1:31" ht="15" x14ac:dyDescent="0.25">
      <c r="A4234" t="s">
        <v>2474</v>
      </c>
      <c r="B4234" t="s">
        <v>23227</v>
      </c>
      <c r="C4234" s="221">
        <v>42980.448263888888</v>
      </c>
      <c r="D4234" t="s">
        <v>23228</v>
      </c>
      <c r="E4234" s="249" t="str">
        <f>HYPERLINK("https://www.instagram.com/p/BYit9kKgRpG/")</f>
        <v>https://www.instagram.com/p/BYit9kKgRpG/</v>
      </c>
      <c r="F4234" t="s">
        <v>23229</v>
      </c>
      <c r="G4234" t="s">
        <v>2478</v>
      </c>
      <c r="H4234">
        <v>289</v>
      </c>
      <c r="I4234" t="s">
        <v>2479</v>
      </c>
      <c r="J4234">
        <v>0</v>
      </c>
      <c r="K4234">
        <v>10</v>
      </c>
      <c r="L4234">
        <v>10</v>
      </c>
      <c r="Q4234">
        <v>0</v>
      </c>
      <c r="R4234">
        <v>0</v>
      </c>
      <c r="S4234">
        <v>10</v>
      </c>
      <c r="Y4234" t="s">
        <v>23230</v>
      </c>
      <c r="Z4234" t="s">
        <v>2497</v>
      </c>
      <c r="AA4234" t="s">
        <v>23231</v>
      </c>
      <c r="AB4234" t="s">
        <v>2493</v>
      </c>
      <c r="AC4234" t="s">
        <v>23232</v>
      </c>
      <c r="AD4234" s="249" t="str">
        <f>HYPERLINK("https://scontent.cdninstagram.com/t51.2885-15/s320x320/e35/21294553_143001256299707_1606199545434210304_n.jpg")</f>
        <v>https://scontent.cdninstagram.com/t51.2885-15/s320x320/e35/21294553_143001256299707_1606199545434210304_n.jpg</v>
      </c>
      <c r="AE4234" s="249" t="str">
        <f>HYPERLINK("https://scontent.cdninstagram.com/t51.2885-19/s150x150/20213936_1855639778098544_5743641932236587008_a.jpg")</f>
        <v>https://scontent.cdninstagram.com/t51.2885-19/s150x150/20213936_1855639778098544_5743641932236587008_a.jpg</v>
      </c>
    </row>
    <row r="4235" spans="1:31" ht="15" x14ac:dyDescent="0.25">
      <c r="A4235" t="s">
        <v>2474</v>
      </c>
      <c r="B4235" t="s">
        <v>20602</v>
      </c>
      <c r="C4235" s="221">
        <v>42980.4846875</v>
      </c>
      <c r="D4235" t="s">
        <v>23233</v>
      </c>
      <c r="E4235" s="249" t="str">
        <f>HYPERLINK("https://www.instagram.com/p/BYiz9o7DqAW/")</f>
        <v>https://www.instagram.com/p/BYiz9o7DqAW/</v>
      </c>
      <c r="F4235" t="s">
        <v>23234</v>
      </c>
      <c r="G4235" t="s">
        <v>2478</v>
      </c>
      <c r="H4235">
        <v>96</v>
      </c>
      <c r="I4235" t="s">
        <v>2542</v>
      </c>
      <c r="J4235">
        <v>1</v>
      </c>
      <c r="K4235">
        <v>28</v>
      </c>
      <c r="L4235">
        <v>29</v>
      </c>
      <c r="Q4235">
        <v>0</v>
      </c>
      <c r="R4235">
        <v>0</v>
      </c>
      <c r="S4235">
        <v>29</v>
      </c>
      <c r="Y4235" t="s">
        <v>21576</v>
      </c>
      <c r="Z4235" t="s">
        <v>4272</v>
      </c>
      <c r="AA4235" t="s">
        <v>9836</v>
      </c>
      <c r="AB4235" t="s">
        <v>22380</v>
      </c>
      <c r="AC4235" t="s">
        <v>20606</v>
      </c>
      <c r="AD4235" s="249" t="str">
        <f>HYPERLINK("https://scontent.cdninstagram.com/t51.2885-15/s320x320/e35/21227439_1946888745582338_6721315095990763520_n.jpg")</f>
        <v>https://scontent.cdninstagram.com/t51.2885-15/s320x320/e35/21227439_1946888745582338_6721315095990763520_n.jpg</v>
      </c>
      <c r="AE4235" s="249" t="str">
        <f>HYPERLINK("https://scontent.cdninstagram.com/t51.2885-19/s150x150/20347409_701425280047023_4469101509451186176_a.jpg")</f>
        <v>https://scontent.cdninstagram.com/t51.2885-19/s150x150/20347409_701425280047023_4469101509451186176_a.jpg</v>
      </c>
    </row>
    <row r="4236" spans="1:31" ht="15" x14ac:dyDescent="0.25">
      <c r="A4236" t="s">
        <v>2474</v>
      </c>
      <c r="B4236" t="s">
        <v>17158</v>
      </c>
      <c r="C4236" s="221">
        <v>42980.486111111109</v>
      </c>
      <c r="D4236" t="s">
        <v>23235</v>
      </c>
      <c r="E4236" s="249" t="str">
        <f>HYPERLINK("https://www.instagram.com/p/BYi0MsohamE/")</f>
        <v>https://www.instagram.com/p/BYi0MsohamE/</v>
      </c>
      <c r="F4236" t="s">
        <v>23236</v>
      </c>
      <c r="G4236" t="s">
        <v>2478</v>
      </c>
      <c r="H4236">
        <v>378</v>
      </c>
      <c r="I4236" t="s">
        <v>2479</v>
      </c>
      <c r="J4236">
        <v>1</v>
      </c>
      <c r="K4236">
        <v>49</v>
      </c>
      <c r="L4236">
        <v>50</v>
      </c>
      <c r="Q4236">
        <v>0</v>
      </c>
      <c r="R4236">
        <v>0</v>
      </c>
      <c r="S4236">
        <v>50</v>
      </c>
      <c r="Y4236" t="s">
        <v>22808</v>
      </c>
      <c r="Z4236" t="s">
        <v>15453</v>
      </c>
      <c r="AA4236" t="s">
        <v>2929</v>
      </c>
      <c r="AB4236" t="s">
        <v>6043</v>
      </c>
      <c r="AC4236" t="s">
        <v>18450</v>
      </c>
      <c r="AD4236" s="249" t="str">
        <f>HYPERLINK("https://scontent.cdninstagram.com/t51.2885-15/s320x320/e35/21227403_478707219163987_5701288216053678080_n.jpg")</f>
        <v>https://scontent.cdninstagram.com/t51.2885-15/s320x320/e35/21227403_478707219163987_5701288216053678080_n.jpg</v>
      </c>
      <c r="AE4236" s="249" t="str">
        <f>HYPERLINK("https://scontent.cdninstagram.com/t51.2885-19/s150x150/13658639_315931348749567_46952542_a.jpg")</f>
        <v>https://scontent.cdninstagram.com/t51.2885-19/s150x150/13658639_315931348749567_46952542_a.jpg</v>
      </c>
    </row>
    <row r="4237" spans="1:31" ht="15" x14ac:dyDescent="0.25">
      <c r="A4237" t="s">
        <v>2474</v>
      </c>
      <c r="B4237" t="s">
        <v>23237</v>
      </c>
      <c r="C4237" s="221">
        <v>42980.49359953704</v>
      </c>
      <c r="D4237" t="s">
        <v>23238</v>
      </c>
      <c r="E4237" s="249" t="str">
        <f>HYPERLINK("https://www.instagram.com/p/BYi1bqPggUF/")</f>
        <v>https://www.instagram.com/p/BYi1bqPggUF/</v>
      </c>
      <c r="F4237" t="s">
        <v>23239</v>
      </c>
      <c r="G4237" t="s">
        <v>2478</v>
      </c>
      <c r="H4237">
        <v>2497</v>
      </c>
      <c r="I4237" t="s">
        <v>2479</v>
      </c>
      <c r="J4237">
        <v>2</v>
      </c>
      <c r="K4237">
        <v>98</v>
      </c>
      <c r="L4237">
        <v>100</v>
      </c>
      <c r="Q4237">
        <v>0</v>
      </c>
      <c r="R4237">
        <v>0</v>
      </c>
      <c r="S4237">
        <v>100</v>
      </c>
      <c r="Y4237" t="s">
        <v>23240</v>
      </c>
      <c r="Z4237" t="s">
        <v>23241</v>
      </c>
      <c r="AA4237" t="s">
        <v>2492</v>
      </c>
      <c r="AB4237" t="s">
        <v>23242</v>
      </c>
      <c r="AC4237" t="s">
        <v>16334</v>
      </c>
      <c r="AD4237" s="249" t="str">
        <f>HYPERLINK("https://scontent.cdninstagram.com/t51.2885-15/s320x320/e35/21372010_936492616505515_3815844770505293824_n.jpg")</f>
        <v>https://scontent.cdninstagram.com/t51.2885-15/s320x320/e35/21372010_936492616505515_3815844770505293824_n.jpg</v>
      </c>
      <c r="AE4237" s="249" t="str">
        <f>HYPERLINK("https://scontent.cdninstagram.com/t51.2885-19/s150x150/19228368_1892080067747218_8611666233164562432_a.jpg")</f>
        <v>https://scontent.cdninstagram.com/t51.2885-19/s150x150/19228368_1892080067747218_8611666233164562432_a.jpg</v>
      </c>
    </row>
    <row r="4238" spans="1:31" ht="15" x14ac:dyDescent="0.25">
      <c r="A4238" t="s">
        <v>2474</v>
      </c>
      <c r="B4238" t="s">
        <v>2516</v>
      </c>
      <c r="C4238" s="221">
        <v>42980.494675925926</v>
      </c>
      <c r="D4238" t="s">
        <v>23243</v>
      </c>
      <c r="E4238" s="249" t="str">
        <f>HYPERLINK("https://www.instagram.com/p/BYi1nD2DpBf/")</f>
        <v>https://www.instagram.com/p/BYi1nD2DpBf/</v>
      </c>
      <c r="F4238" t="s">
        <v>23244</v>
      </c>
      <c r="G4238" t="s">
        <v>2478</v>
      </c>
      <c r="H4238">
        <v>687</v>
      </c>
      <c r="I4238" t="s">
        <v>2479</v>
      </c>
      <c r="J4238">
        <v>0</v>
      </c>
      <c r="K4238">
        <v>10</v>
      </c>
      <c r="L4238">
        <v>10</v>
      </c>
      <c r="Q4238">
        <v>0</v>
      </c>
      <c r="R4238">
        <v>0</v>
      </c>
      <c r="S4238">
        <v>10</v>
      </c>
      <c r="Y4238" t="s">
        <v>23245</v>
      </c>
      <c r="Z4238" t="s">
        <v>23246</v>
      </c>
      <c r="AA4238" t="s">
        <v>10619</v>
      </c>
      <c r="AB4238" t="s">
        <v>2696</v>
      </c>
      <c r="AC4238" t="s">
        <v>15891</v>
      </c>
      <c r="AD4238" s="249" t="str">
        <f>HYPERLINK("https://scontent.cdninstagram.com/t51.2885-15/s320x320/e35/21227491_128791897757235_5781510199323918336_n.jpg")</f>
        <v>https://scontent.cdninstagram.com/t51.2885-15/s320x320/e35/21227491_128791897757235_5781510199323918336_n.jpg</v>
      </c>
      <c r="AE4238" s="249" t="str">
        <f>HYPERLINK("https://scontent.cdninstagram.com/t51.2885-19/s150x150/21372563_140209839921980_5104164354614362112_a.jpg")</f>
        <v>https://scontent.cdninstagram.com/t51.2885-19/s150x150/21372563_140209839921980_5104164354614362112_a.jpg</v>
      </c>
    </row>
    <row r="4239" spans="1:31" ht="15" x14ac:dyDescent="0.25">
      <c r="A4239" t="s">
        <v>2474</v>
      </c>
      <c r="B4239" t="s">
        <v>5486</v>
      </c>
      <c r="C4239" s="221">
        <v>42980.497511574074</v>
      </c>
      <c r="D4239" t="s">
        <v>23247</v>
      </c>
      <c r="E4239" s="249" t="str">
        <f>HYPERLINK("https://www.instagram.com/p/BYi2E9FDzVt/")</f>
        <v>https://www.instagram.com/p/BYi2E9FDzVt/</v>
      </c>
      <c r="G4239" t="s">
        <v>2478</v>
      </c>
      <c r="H4239">
        <v>33871</v>
      </c>
      <c r="I4239" t="s">
        <v>2479</v>
      </c>
      <c r="J4239">
        <v>6</v>
      </c>
      <c r="K4239">
        <v>567</v>
      </c>
      <c r="L4239">
        <v>573</v>
      </c>
      <c r="Q4239">
        <v>0</v>
      </c>
      <c r="R4239">
        <v>0</v>
      </c>
      <c r="S4239">
        <v>573</v>
      </c>
      <c r="AD4239" s="249" t="str">
        <f>HYPERLINK("https://scontent.cdninstagram.com/t51.2885-15/e35/p320x320/21227725_1725818557723762_9139407002470973440_n.jpg")</f>
        <v>https://scontent.cdninstagram.com/t51.2885-15/e35/p320x320/21227725_1725818557723762_9139407002470973440_n.jpg</v>
      </c>
      <c r="AE4239" s="249" t="str">
        <f>HYPERLINK("https://scontent.cdninstagram.com/t51.2885-19/18096331_1858853611040874_8999714561263140864_n.jpg")</f>
        <v>https://scontent.cdninstagram.com/t51.2885-19/18096331_1858853611040874_8999714561263140864_n.jpg</v>
      </c>
    </row>
    <row r="4240" spans="1:31" ht="15" x14ac:dyDescent="0.25">
      <c r="A4240" t="s">
        <v>2474</v>
      </c>
      <c r="B4240" t="s">
        <v>6479</v>
      </c>
      <c r="C4240" s="221">
        <v>42980.500069444446</v>
      </c>
      <c r="D4240" t="s">
        <v>23248</v>
      </c>
      <c r="E4240" s="249" t="str">
        <f>HYPERLINK("https://www.instagram.com/p/BYi2f6Sn7nw/")</f>
        <v>https://www.instagram.com/p/BYi2f6Sn7nw/</v>
      </c>
      <c r="F4240" t="s">
        <v>23249</v>
      </c>
      <c r="G4240" t="s">
        <v>2478</v>
      </c>
      <c r="H4240">
        <v>78588</v>
      </c>
      <c r="I4240" t="s">
        <v>2479</v>
      </c>
      <c r="J4240">
        <v>41</v>
      </c>
      <c r="K4240">
        <v>3047</v>
      </c>
      <c r="L4240">
        <v>3088</v>
      </c>
      <c r="Q4240">
        <v>0</v>
      </c>
      <c r="R4240">
        <v>0</v>
      </c>
      <c r="S4240">
        <v>3088</v>
      </c>
      <c r="AD4240" s="249" t="str">
        <f>HYPERLINK("https://scontent.cdninstagram.com/t51.2885-15/s320x320/e35/21295097_116144785717994_1336142958323302400_n.jpg")</f>
        <v>https://scontent.cdninstagram.com/t51.2885-15/s320x320/e35/21295097_116144785717994_1336142958323302400_n.jpg</v>
      </c>
      <c r="AE4240" s="249" t="str">
        <f>HYPERLINK("https://scontent.cdninstagram.com/t51.2885-19/s150x150/17439144_1895752470643302_743998926780104704_n.jpg")</f>
        <v>https://scontent.cdninstagram.com/t51.2885-19/s150x150/17439144_1895752470643302_743998926780104704_n.jpg</v>
      </c>
    </row>
    <row r="4241" spans="1:31" ht="15" x14ac:dyDescent="0.25">
      <c r="A4241" t="s">
        <v>2474</v>
      </c>
      <c r="B4241" t="s">
        <v>23250</v>
      </c>
      <c r="C4241" s="221">
        <v>42980.502453703702</v>
      </c>
      <c r="D4241" t="s">
        <v>23251</v>
      </c>
      <c r="E4241" s="249" t="str">
        <f>HYPERLINK("https://www.instagram.com/p/BYi25Cdjt1k/")</f>
        <v>https://www.instagram.com/p/BYi25Cdjt1k/</v>
      </c>
      <c r="F4241" t="s">
        <v>23252</v>
      </c>
      <c r="G4241" t="s">
        <v>2478</v>
      </c>
      <c r="H4241">
        <v>172</v>
      </c>
      <c r="I4241" t="s">
        <v>2479</v>
      </c>
      <c r="J4241">
        <v>0</v>
      </c>
      <c r="K4241">
        <v>46</v>
      </c>
      <c r="L4241">
        <v>46</v>
      </c>
      <c r="Q4241">
        <v>0</v>
      </c>
      <c r="R4241">
        <v>0</v>
      </c>
      <c r="S4241">
        <v>46</v>
      </c>
      <c r="Y4241" t="s">
        <v>23253</v>
      </c>
      <c r="Z4241" t="s">
        <v>19667</v>
      </c>
      <c r="AA4241" t="s">
        <v>23254</v>
      </c>
      <c r="AB4241" t="s">
        <v>23255</v>
      </c>
      <c r="AC4241" t="s">
        <v>5989</v>
      </c>
      <c r="AD4241" s="249" t="str">
        <f>HYPERLINK("https://scontent.cdninstagram.com/t51.2885-15/s320x320/e35/21294641_1941804066060916_4911178601988096000_n.jpg")</f>
        <v>https://scontent.cdninstagram.com/t51.2885-15/s320x320/e35/21294641_1941804066060916_4911178601988096000_n.jpg</v>
      </c>
      <c r="AE4241" s="249" t="str">
        <f>HYPERLINK("https://scontent.cdninstagram.com/t51.2885-19/s150x150/20589542_1946558832245648_1387382107143143424_a.jpg")</f>
        <v>https://scontent.cdninstagram.com/t51.2885-19/s150x150/20589542_1946558832245648_1387382107143143424_a.jpg</v>
      </c>
    </row>
    <row r="4242" spans="1:31" ht="15" x14ac:dyDescent="0.25">
      <c r="A4242" t="s">
        <v>2474</v>
      </c>
      <c r="B4242" t="s">
        <v>23256</v>
      </c>
      <c r="C4242" s="221">
        <v>42980.505196759259</v>
      </c>
      <c r="D4242" t="s">
        <v>23257</v>
      </c>
      <c r="E4242" s="249" t="str">
        <f>HYPERLINK("https://www.instagram.com/p/BYi3WBUFwnH/")</f>
        <v>https://www.instagram.com/p/BYi3WBUFwnH/</v>
      </c>
      <c r="F4242" t="s">
        <v>23258</v>
      </c>
      <c r="G4242" t="s">
        <v>2631</v>
      </c>
      <c r="H4242">
        <v>941</v>
      </c>
      <c r="I4242" t="s">
        <v>2896</v>
      </c>
      <c r="J4242">
        <v>4</v>
      </c>
      <c r="K4242">
        <v>58</v>
      </c>
      <c r="L4242">
        <v>62</v>
      </c>
      <c r="Q4242">
        <v>0</v>
      </c>
      <c r="R4242">
        <v>0</v>
      </c>
      <c r="S4242">
        <v>62</v>
      </c>
      <c r="Y4242" t="s">
        <v>23259</v>
      </c>
      <c r="Z4242" t="s">
        <v>23260</v>
      </c>
      <c r="AA4242" t="s">
        <v>23261</v>
      </c>
      <c r="AB4242" t="s">
        <v>2767</v>
      </c>
      <c r="AC4242" t="s">
        <v>3937</v>
      </c>
      <c r="AD4242" s="249" t="str">
        <f>HYPERLINK("https://scontent.cdninstagram.com/t51.2885-15/s320x320/e15/21294801_894056470749980_536873231282339840_n.jpg")</f>
        <v>https://scontent.cdninstagram.com/t51.2885-15/s320x320/e15/21294801_894056470749980_536873231282339840_n.jpg</v>
      </c>
      <c r="AE4242" s="249" t="str">
        <f>HYPERLINK("https://scontent.cdninstagram.com/t51.2885-19/s150x150/16229504_320025805058009_8668778062566916096_n.jpg")</f>
        <v>https://scontent.cdninstagram.com/t51.2885-19/s150x150/16229504_320025805058009_8668778062566916096_n.jpg</v>
      </c>
    </row>
    <row r="4243" spans="1:31" ht="15" x14ac:dyDescent="0.25">
      <c r="A4243" t="s">
        <v>2474</v>
      </c>
      <c r="B4243" t="s">
        <v>23037</v>
      </c>
      <c r="C4243" s="221">
        <v>42980.509236111109</v>
      </c>
      <c r="D4243" t="s">
        <v>23262</v>
      </c>
      <c r="E4243" s="249" t="str">
        <f>HYPERLINK("https://www.instagram.com/p/BYi4AjRjbvR/")</f>
        <v>https://www.instagram.com/p/BYi4AjRjbvR/</v>
      </c>
      <c r="F4243" t="s">
        <v>23263</v>
      </c>
      <c r="G4243" t="s">
        <v>2478</v>
      </c>
      <c r="H4243">
        <v>232</v>
      </c>
      <c r="I4243" t="s">
        <v>2479</v>
      </c>
      <c r="J4243">
        <v>0</v>
      </c>
      <c r="K4243">
        <v>9</v>
      </c>
      <c r="L4243">
        <v>9</v>
      </c>
      <c r="Q4243">
        <v>0</v>
      </c>
      <c r="R4243">
        <v>0</v>
      </c>
      <c r="S4243">
        <v>9</v>
      </c>
      <c r="Y4243" t="s">
        <v>23264</v>
      </c>
      <c r="Z4243" t="s">
        <v>23265</v>
      </c>
      <c r="AA4243" t="s">
        <v>2789</v>
      </c>
      <c r="AB4243" t="s">
        <v>23266</v>
      </c>
      <c r="AC4243" t="s">
        <v>23267</v>
      </c>
      <c r="AD4243" s="249" t="str">
        <f>HYPERLINK("https://scontent.cdninstagram.com/t51.2885-15/s320x320/e35/21294559_491826271171128_8817289055180947456_n.jpg")</f>
        <v>https://scontent.cdninstagram.com/t51.2885-15/s320x320/e35/21294559_491826271171128_8817289055180947456_n.jpg</v>
      </c>
      <c r="AE4243" s="249" t="str">
        <f>HYPERLINK("https://scontent.cdninstagram.com/t51.2885-19/s150x150/15803551_1309326969142120_6890009772016271360_a.jpg")</f>
        <v>https://scontent.cdninstagram.com/t51.2885-19/s150x150/15803551_1309326969142120_6890009772016271360_a.jpg</v>
      </c>
    </row>
    <row r="4244" spans="1:31" ht="15" x14ac:dyDescent="0.25">
      <c r="A4244" t="s">
        <v>2474</v>
      </c>
      <c r="B4244" t="s">
        <v>23268</v>
      </c>
      <c r="C4244" s="221">
        <v>42980.512546296297</v>
      </c>
      <c r="D4244" t="s">
        <v>23269</v>
      </c>
      <c r="E4244" s="249" t="str">
        <f>HYPERLINK("https://www.instagram.com/p/BYi4jjvly5q/")</f>
        <v>https://www.instagram.com/p/BYi4jjvly5q/</v>
      </c>
      <c r="F4244" t="s">
        <v>23270</v>
      </c>
      <c r="G4244" t="s">
        <v>2478</v>
      </c>
      <c r="H4244">
        <v>711</v>
      </c>
      <c r="I4244" t="s">
        <v>3186</v>
      </c>
      <c r="J4244">
        <v>5</v>
      </c>
      <c r="K4244">
        <v>45</v>
      </c>
      <c r="L4244">
        <v>50</v>
      </c>
      <c r="Q4244">
        <v>0</v>
      </c>
      <c r="R4244">
        <v>0</v>
      </c>
      <c r="S4244">
        <v>50</v>
      </c>
      <c r="Y4244" t="s">
        <v>7015</v>
      </c>
      <c r="Z4244" t="s">
        <v>3446</v>
      </c>
      <c r="AA4244" t="s">
        <v>6429</v>
      </c>
      <c r="AB4244" t="s">
        <v>23271</v>
      </c>
      <c r="AC4244" t="s">
        <v>2734</v>
      </c>
      <c r="AD4244" s="249" t="str">
        <f>HYPERLINK("https://scontent.cdninstagram.com/t51.2885-15/s320x320/e35/21294394_294492227704049_2211862725275942912_n.jpg")</f>
        <v>https://scontent.cdninstagram.com/t51.2885-15/s320x320/e35/21294394_294492227704049_2211862725275942912_n.jpg</v>
      </c>
      <c r="AE4244" s="249" t="str">
        <f>HYPERLINK("https://scontent.cdninstagram.com/t51.2885-19/s150x150/18644827_1906546179631169_1332493533201825792_a.jpg")</f>
        <v>https://scontent.cdninstagram.com/t51.2885-19/s150x150/18644827_1906546179631169_1332493533201825792_a.jpg</v>
      </c>
    </row>
    <row r="4245" spans="1:31" ht="15" x14ac:dyDescent="0.25">
      <c r="A4245" t="s">
        <v>2474</v>
      </c>
      <c r="B4245" t="s">
        <v>2863</v>
      </c>
      <c r="C4245" s="221">
        <v>42980.520833333336</v>
      </c>
      <c r="D4245" t="s">
        <v>23272</v>
      </c>
      <c r="E4245" s="249" t="str">
        <f>HYPERLINK("https://www.instagram.com/p/BYi569IFGZf/")</f>
        <v>https://www.instagram.com/p/BYi569IFGZf/</v>
      </c>
      <c r="F4245" t="s">
        <v>23273</v>
      </c>
      <c r="G4245" t="s">
        <v>2478</v>
      </c>
      <c r="H4245">
        <v>80</v>
      </c>
      <c r="I4245" t="s">
        <v>2479</v>
      </c>
      <c r="J4245">
        <v>0</v>
      </c>
      <c r="K4245">
        <v>42</v>
      </c>
      <c r="L4245">
        <v>42</v>
      </c>
      <c r="Q4245">
        <v>0</v>
      </c>
      <c r="R4245">
        <v>0</v>
      </c>
      <c r="S4245">
        <v>42</v>
      </c>
      <c r="Y4245" t="s">
        <v>5211</v>
      </c>
      <c r="Z4245" t="s">
        <v>9275</v>
      </c>
      <c r="AA4245" t="s">
        <v>9240</v>
      </c>
      <c r="AB4245" t="s">
        <v>4620</v>
      </c>
      <c r="AC4245" t="s">
        <v>22276</v>
      </c>
      <c r="AD4245" s="249" t="str">
        <f>HYPERLINK("https://scontent.cdninstagram.com/t51.2885-15/s320x320/e35/21227894_627988427589125_4521413352123006976_n.jpg")</f>
        <v>https://scontent.cdninstagram.com/t51.2885-15/s320x320/e35/21227894_627988427589125_4521413352123006976_n.jpg</v>
      </c>
      <c r="AE4245" s="249" t="str">
        <f>HYPERLINK("https://scontent.cdninstagram.com/t51.2885-19/s150x150/19955745_1435072766568917_8173761520967090176_a.jpg")</f>
        <v>https://scontent.cdninstagram.com/t51.2885-19/s150x150/19955745_1435072766568917_8173761520967090176_a.jpg</v>
      </c>
    </row>
    <row r="4246" spans="1:31" ht="15" x14ac:dyDescent="0.25">
      <c r="A4246" t="s">
        <v>2474</v>
      </c>
      <c r="B4246" t="s">
        <v>23274</v>
      </c>
      <c r="C4246" s="221">
        <v>42980.524675925924</v>
      </c>
      <c r="D4246" t="s">
        <v>23275</v>
      </c>
      <c r="E4246" s="249" t="str">
        <f>HYPERLINK("https://www.instagram.com/p/BYi6je6HIhM/")</f>
        <v>https://www.instagram.com/p/BYi6je6HIhM/</v>
      </c>
      <c r="F4246" t="s">
        <v>23276</v>
      </c>
      <c r="G4246" t="s">
        <v>2631</v>
      </c>
      <c r="H4246">
        <v>264</v>
      </c>
      <c r="I4246" t="s">
        <v>4062</v>
      </c>
      <c r="J4246">
        <v>0</v>
      </c>
      <c r="K4246">
        <v>30</v>
      </c>
      <c r="L4246">
        <v>30</v>
      </c>
      <c r="Q4246">
        <v>0</v>
      </c>
      <c r="R4246">
        <v>0</v>
      </c>
      <c r="S4246">
        <v>30</v>
      </c>
      <c r="T4246" t="s">
        <v>23277</v>
      </c>
      <c r="U4246" t="s">
        <v>122</v>
      </c>
      <c r="V4246" t="s">
        <v>2299</v>
      </c>
      <c r="W4246">
        <v>37.922409000000002</v>
      </c>
      <c r="X4246">
        <v>-122.511769</v>
      </c>
      <c r="Y4246" t="s">
        <v>2497</v>
      </c>
      <c r="Z4246" t="s">
        <v>23278</v>
      </c>
      <c r="AA4246" t="s">
        <v>14315</v>
      </c>
      <c r="AB4246" t="s">
        <v>2735</v>
      </c>
      <c r="AC4246" t="s">
        <v>9835</v>
      </c>
      <c r="AD4246" s="249" t="str">
        <f>HYPERLINK("https://scontent.cdninstagram.com/t51.2885-15/s320x320/e15/21227904_1476001109152295_7750106067148734464_n.jpg")</f>
        <v>https://scontent.cdninstagram.com/t51.2885-15/s320x320/e15/21227904_1476001109152295_7750106067148734464_n.jpg</v>
      </c>
      <c r="AE4246" s="249" t="str">
        <f>HYPERLINK("https://scontent.cdninstagram.com/t51.2885-19/s150x150/20688573_161628591076558_297743578388496384_a.jpg")</f>
        <v>https://scontent.cdninstagram.com/t51.2885-19/s150x150/20688573_161628591076558_297743578388496384_a.jpg</v>
      </c>
    </row>
    <row r="4247" spans="1:31" ht="15" x14ac:dyDescent="0.25">
      <c r="A4247" t="s">
        <v>2474</v>
      </c>
      <c r="B4247" t="s">
        <v>23279</v>
      </c>
      <c r="C4247" s="221">
        <v>42980.52853009259</v>
      </c>
      <c r="D4247" t="s">
        <v>23280</v>
      </c>
      <c r="E4247" s="249" t="str">
        <f>HYPERLINK("https://www.instagram.com/p/BYi7MDKhkWH/")</f>
        <v>https://www.instagram.com/p/BYi7MDKhkWH/</v>
      </c>
      <c r="F4247" t="s">
        <v>23281</v>
      </c>
      <c r="G4247" t="s">
        <v>2478</v>
      </c>
      <c r="H4247">
        <v>373</v>
      </c>
      <c r="I4247" t="s">
        <v>3575</v>
      </c>
      <c r="J4247">
        <v>0</v>
      </c>
      <c r="K4247">
        <v>23</v>
      </c>
      <c r="L4247">
        <v>23</v>
      </c>
      <c r="Q4247">
        <v>0</v>
      </c>
      <c r="R4247">
        <v>0</v>
      </c>
      <c r="S4247">
        <v>23</v>
      </c>
      <c r="Y4247" t="s">
        <v>3174</v>
      </c>
      <c r="Z4247" t="s">
        <v>2497</v>
      </c>
      <c r="AA4247" t="s">
        <v>5673</v>
      </c>
      <c r="AD4247" s="249" t="str">
        <f>HYPERLINK("https://scontent.cdninstagram.com/t51.2885-15/s320x320/e35/21227732_119897385337347_6493506942529437696_n.jpg")</f>
        <v>https://scontent.cdninstagram.com/t51.2885-15/s320x320/e35/21227732_119897385337347_6493506942529437696_n.jpg</v>
      </c>
      <c r="AE4247" s="249" t="str">
        <f>HYPERLINK("https://scontent.cdninstagram.com/t51.2885-19/s150x150/17332937_177789016063079_2397996123869413376_a.jpg")</f>
        <v>https://scontent.cdninstagram.com/t51.2885-19/s150x150/17332937_177789016063079_2397996123869413376_a.jpg</v>
      </c>
    </row>
    <row r="4248" spans="1:31" ht="15" x14ac:dyDescent="0.25">
      <c r="A4248" t="s">
        <v>2474</v>
      </c>
      <c r="B4248" t="s">
        <v>23282</v>
      </c>
      <c r="C4248" s="221">
        <v>42980.529108796298</v>
      </c>
      <c r="D4248" t="s">
        <v>23283</v>
      </c>
      <c r="E4248" s="249" t="str">
        <f>HYPERLINK("https://www.instagram.com/p/BYi7SPhjQx4/")</f>
        <v>https://www.instagram.com/p/BYi7SPhjQx4/</v>
      </c>
      <c r="F4248" t="s">
        <v>23284</v>
      </c>
      <c r="G4248" t="s">
        <v>2478</v>
      </c>
      <c r="H4248">
        <v>205</v>
      </c>
      <c r="I4248" t="s">
        <v>2479</v>
      </c>
      <c r="J4248">
        <v>0</v>
      </c>
      <c r="K4248">
        <v>16</v>
      </c>
      <c r="L4248">
        <v>16</v>
      </c>
      <c r="Q4248">
        <v>0</v>
      </c>
      <c r="R4248">
        <v>0</v>
      </c>
      <c r="S4248">
        <v>16</v>
      </c>
      <c r="Y4248" t="s">
        <v>23285</v>
      </c>
      <c r="Z4248" t="s">
        <v>4620</v>
      </c>
      <c r="AA4248" t="s">
        <v>23286</v>
      </c>
      <c r="AB4248" t="s">
        <v>23287</v>
      </c>
      <c r="AC4248" t="s">
        <v>23288</v>
      </c>
      <c r="AD4248" s="249" t="str">
        <f>HYPERLINK("https://scontent.cdninstagram.com/t51.2885-15/s320x320/e35/21296358_925045940967080_826984678555648000_n.jpg")</f>
        <v>https://scontent.cdninstagram.com/t51.2885-15/s320x320/e35/21296358_925045940967080_826984678555648000_n.jpg</v>
      </c>
      <c r="AE4248" s="249" t="str">
        <f>HYPERLINK("https://scontent.cdninstagram.com/t51.2885-19/s150x150/18299872_123390544881668_4150941125416321024_a.jpg")</f>
        <v>https://scontent.cdninstagram.com/t51.2885-19/s150x150/18299872_123390544881668_4150941125416321024_a.jpg</v>
      </c>
    </row>
    <row r="4249" spans="1:31" ht="15" x14ac:dyDescent="0.25">
      <c r="A4249" t="s">
        <v>2474</v>
      </c>
      <c r="B4249" t="s">
        <v>23289</v>
      </c>
      <c r="C4249" s="221">
        <v>42980.529548611114</v>
      </c>
      <c r="D4249" t="s">
        <v>23290</v>
      </c>
      <c r="E4249" s="249" t="str">
        <f>HYPERLINK("https://www.instagram.com/p/BYi7WzonWsu/")</f>
        <v>https://www.instagram.com/p/BYi7WzonWsu/</v>
      </c>
      <c r="F4249" t="s">
        <v>23291</v>
      </c>
      <c r="G4249" t="s">
        <v>2478</v>
      </c>
      <c r="H4249">
        <v>95</v>
      </c>
      <c r="I4249" t="s">
        <v>2479</v>
      </c>
      <c r="J4249">
        <v>0</v>
      </c>
      <c r="K4249">
        <v>21</v>
      </c>
      <c r="L4249">
        <v>21</v>
      </c>
      <c r="Q4249">
        <v>0</v>
      </c>
      <c r="R4249">
        <v>0</v>
      </c>
      <c r="S4249">
        <v>21</v>
      </c>
      <c r="T4249" t="s">
        <v>23292</v>
      </c>
      <c r="V4249" t="s">
        <v>2243</v>
      </c>
      <c r="W4249">
        <v>44.505000000000003</v>
      </c>
      <c r="X4249">
        <v>26.136659999999999</v>
      </c>
      <c r="Y4249" t="s">
        <v>23293</v>
      </c>
      <c r="Z4249" t="s">
        <v>23294</v>
      </c>
      <c r="AA4249" t="s">
        <v>2497</v>
      </c>
      <c r="AB4249" t="s">
        <v>23295</v>
      </c>
      <c r="AC4249" t="s">
        <v>23296</v>
      </c>
      <c r="AD4249" s="249" t="str">
        <f>HYPERLINK("https://scontent.cdninstagram.com/t51.2885-15/s320x320/e35/21224309_1845277212449074_3245044437205647360_n.jpg")</f>
        <v>https://scontent.cdninstagram.com/t51.2885-15/s320x320/e35/21224309_1845277212449074_3245044437205647360_n.jpg</v>
      </c>
      <c r="AE4249" s="249" t="str">
        <f>HYPERLINK("https://scontent.cdninstagram.com/t51.2885-19/s150x150/20479370_601540290234633_1294595489106231296_a.jpg")</f>
        <v>https://scontent.cdninstagram.com/t51.2885-19/s150x150/20479370_601540290234633_1294595489106231296_a.jpg</v>
      </c>
    </row>
    <row r="4250" spans="1:31" ht="15" x14ac:dyDescent="0.25">
      <c r="A4250" t="s">
        <v>2474</v>
      </c>
      <c r="B4250" t="s">
        <v>23297</v>
      </c>
      <c r="C4250" s="221">
        <v>42980.531400462962</v>
      </c>
      <c r="D4250" t="s">
        <v>23298</v>
      </c>
      <c r="E4250" s="249" t="str">
        <f>HYPERLINK("https://www.instagram.com/p/BYi7qVlnKSO/")</f>
        <v>https://www.instagram.com/p/BYi7qVlnKSO/</v>
      </c>
      <c r="F4250" t="s">
        <v>23299</v>
      </c>
      <c r="G4250" t="s">
        <v>2478</v>
      </c>
      <c r="H4250">
        <v>400</v>
      </c>
      <c r="I4250" t="s">
        <v>2479</v>
      </c>
      <c r="J4250">
        <v>1</v>
      </c>
      <c r="K4250">
        <v>79</v>
      </c>
      <c r="L4250">
        <v>80</v>
      </c>
      <c r="Q4250">
        <v>0</v>
      </c>
      <c r="R4250">
        <v>0</v>
      </c>
      <c r="S4250">
        <v>80</v>
      </c>
      <c r="Y4250" t="s">
        <v>3246</v>
      </c>
      <c r="Z4250" t="s">
        <v>15810</v>
      </c>
      <c r="AA4250" t="s">
        <v>2497</v>
      </c>
      <c r="AB4250" t="s">
        <v>3014</v>
      </c>
      <c r="AC4250" t="s">
        <v>23300</v>
      </c>
      <c r="AD4250" s="249" t="str">
        <f>HYPERLINK("https://scontent.cdninstagram.com/t51.2885-15/s320x320/e35/21224986_827778487399418_3380770484705558528_n.jpg")</f>
        <v>https://scontent.cdninstagram.com/t51.2885-15/s320x320/e35/21224986_827778487399418_3380770484705558528_n.jpg</v>
      </c>
      <c r="AE4250" s="249" t="str">
        <f>HYPERLINK("https://scontent.cdninstagram.com/t51.2885-19/s150x150/20838709_1388278854601292_4246728345045172224_a.jpg")</f>
        <v>https://scontent.cdninstagram.com/t51.2885-19/s150x150/20838709_1388278854601292_4246728345045172224_a.jpg</v>
      </c>
    </row>
    <row r="4251" spans="1:31" ht="15" x14ac:dyDescent="0.25">
      <c r="A4251" t="s">
        <v>2474</v>
      </c>
      <c r="B4251" t="s">
        <v>23301</v>
      </c>
      <c r="C4251" s="221">
        <v>42980.534837962965</v>
      </c>
      <c r="D4251" t="s">
        <v>23302</v>
      </c>
      <c r="E4251" s="249" t="str">
        <f>HYPERLINK("https://www.instagram.com/p/BYi8OpvBOBZ/")</f>
        <v>https://www.instagram.com/p/BYi8OpvBOBZ/</v>
      </c>
      <c r="F4251" t="s">
        <v>23303</v>
      </c>
      <c r="G4251" t="s">
        <v>2631</v>
      </c>
      <c r="H4251">
        <v>94</v>
      </c>
      <c r="I4251" t="s">
        <v>2510</v>
      </c>
      <c r="J4251">
        <v>3</v>
      </c>
      <c r="K4251">
        <v>32</v>
      </c>
      <c r="L4251">
        <v>35</v>
      </c>
      <c r="Q4251">
        <v>0</v>
      </c>
      <c r="R4251">
        <v>0</v>
      </c>
      <c r="S4251">
        <v>35</v>
      </c>
      <c r="Y4251" t="s">
        <v>23304</v>
      </c>
      <c r="Z4251" t="s">
        <v>13830</v>
      </c>
      <c r="AA4251" t="s">
        <v>23305</v>
      </c>
      <c r="AB4251" t="s">
        <v>2547</v>
      </c>
      <c r="AC4251" t="s">
        <v>23306</v>
      </c>
      <c r="AD4251" s="249" t="str">
        <f>HYPERLINK("https://scontent.cdninstagram.com/t51.2885-15/s320x320/e35/21295169_115036609162766_8095736834375548928_n.jpg")</f>
        <v>https://scontent.cdninstagram.com/t51.2885-15/s320x320/e35/21295169_115036609162766_8095736834375548928_n.jpg</v>
      </c>
      <c r="AE4251" s="249" t="str">
        <f>HYPERLINK("https://scontent.cdninstagram.com/t51.2885-19/s150x150/16790194_234235477047140_846885662924734464_a.jpg")</f>
        <v>https://scontent.cdninstagram.com/t51.2885-19/s150x150/16790194_234235477047140_846885662924734464_a.jpg</v>
      </c>
    </row>
    <row r="4252" spans="1:31" ht="15" x14ac:dyDescent="0.25">
      <c r="A4252" t="s">
        <v>2474</v>
      </c>
      <c r="B4252" t="s">
        <v>23307</v>
      </c>
      <c r="C4252" s="221">
        <v>42980.537604166668</v>
      </c>
      <c r="D4252" t="s">
        <v>23308</v>
      </c>
      <c r="E4252" s="249" t="str">
        <f>HYPERLINK("https://www.instagram.com/p/BYi8r2NhFIO/")</f>
        <v>https://www.instagram.com/p/BYi8r2NhFIO/</v>
      </c>
      <c r="F4252" t="s">
        <v>23309</v>
      </c>
      <c r="G4252" t="s">
        <v>2478</v>
      </c>
      <c r="H4252">
        <v>3957</v>
      </c>
      <c r="I4252" t="s">
        <v>3170</v>
      </c>
      <c r="J4252">
        <v>4</v>
      </c>
      <c r="K4252">
        <v>61</v>
      </c>
      <c r="L4252">
        <v>65</v>
      </c>
      <c r="Q4252">
        <v>0</v>
      </c>
      <c r="R4252">
        <v>0</v>
      </c>
      <c r="S4252">
        <v>65</v>
      </c>
      <c r="Y4252" t="s">
        <v>2497</v>
      </c>
      <c r="Z4252" t="s">
        <v>4646</v>
      </c>
      <c r="AA4252" t="s">
        <v>23310</v>
      </c>
      <c r="AB4252" t="s">
        <v>23311</v>
      </c>
      <c r="AC4252" t="s">
        <v>6082</v>
      </c>
      <c r="AD4252" s="249" t="str">
        <f>HYPERLINK("https://scontent.cdninstagram.com/t51.2885-15/s320x320/e35/21296732_844731515686637_2626451322743816192_n.jpg")</f>
        <v>https://scontent.cdninstagram.com/t51.2885-15/s320x320/e35/21296732_844731515686637_2626451322743816192_n.jpg</v>
      </c>
      <c r="AE4252" s="249" t="str">
        <f>HYPERLINK("https://scontent.cdninstagram.com/t51.2885-19/10453985_1430188863931737_1659898052_a.jpg")</f>
        <v>https://scontent.cdninstagram.com/t51.2885-19/10453985_1430188863931737_1659898052_a.jpg</v>
      </c>
    </row>
    <row r="4253" spans="1:31" ht="15" x14ac:dyDescent="0.25">
      <c r="A4253" t="s">
        <v>2474</v>
      </c>
      <c r="B4253" t="s">
        <v>2644</v>
      </c>
      <c r="C4253" s="221">
        <v>42980.548472222225</v>
      </c>
      <c r="D4253" t="s">
        <v>23312</v>
      </c>
      <c r="E4253" s="249" t="str">
        <f>HYPERLINK("https://www.instagram.com/p/BYi-eYUAfOo/")</f>
        <v>https://www.instagram.com/p/BYi-eYUAfOo/</v>
      </c>
      <c r="F4253" t="s">
        <v>23313</v>
      </c>
      <c r="G4253" t="s">
        <v>2478</v>
      </c>
      <c r="H4253">
        <v>1731</v>
      </c>
      <c r="I4253" t="s">
        <v>2479</v>
      </c>
      <c r="J4253">
        <v>3</v>
      </c>
      <c r="K4253">
        <v>106</v>
      </c>
      <c r="L4253">
        <v>109</v>
      </c>
      <c r="Q4253">
        <v>0</v>
      </c>
      <c r="R4253">
        <v>0</v>
      </c>
      <c r="S4253">
        <v>109</v>
      </c>
      <c r="T4253" t="s">
        <v>23314</v>
      </c>
      <c r="V4253" t="s">
        <v>2648</v>
      </c>
      <c r="W4253">
        <v>55.778152550000001</v>
      </c>
      <c r="X4253">
        <v>37.593591133333</v>
      </c>
      <c r="Y4253" t="s">
        <v>23315</v>
      </c>
      <c r="Z4253" t="s">
        <v>3075</v>
      </c>
      <c r="AA4253" t="s">
        <v>3077</v>
      </c>
      <c r="AB4253" t="s">
        <v>7428</v>
      </c>
      <c r="AC4253" t="s">
        <v>4863</v>
      </c>
      <c r="AD4253" s="249" t="str">
        <f>HYPERLINK("https://scontent.cdninstagram.com/t51.2885-15/s320x320/e35/21294847_1551610778230104_3587880211514916864_n.jpg")</f>
        <v>https://scontent.cdninstagram.com/t51.2885-15/s320x320/e35/21294847_1551610778230104_3587880211514916864_n.jpg</v>
      </c>
      <c r="AE4253" s="249" t="str">
        <f>HYPERLINK("https://scontent.cdninstagram.com/t51.2885-19/11372086_1598451257062069_1320225693_a.jpg")</f>
        <v>https://scontent.cdninstagram.com/t51.2885-19/11372086_1598451257062069_1320225693_a.jpg</v>
      </c>
    </row>
    <row r="4254" spans="1:31" ht="15" x14ac:dyDescent="0.25">
      <c r="A4254" t="s">
        <v>2474</v>
      </c>
      <c r="B4254" t="s">
        <v>5225</v>
      </c>
      <c r="C4254" s="221">
        <v>42980.549305555556</v>
      </c>
      <c r="D4254" t="s">
        <v>23316</v>
      </c>
      <c r="E4254" s="249" t="str">
        <f>HYPERLINK("https://www.instagram.com/p/BYi-nNMg-kt/")</f>
        <v>https://www.instagram.com/p/BYi-nNMg-kt/</v>
      </c>
      <c r="F4254" t="s">
        <v>23317</v>
      </c>
      <c r="G4254" t="s">
        <v>2488</v>
      </c>
      <c r="H4254">
        <v>60</v>
      </c>
      <c r="I4254" t="s">
        <v>2479</v>
      </c>
      <c r="J4254">
        <v>0</v>
      </c>
      <c r="K4254">
        <v>28</v>
      </c>
      <c r="L4254">
        <v>28</v>
      </c>
      <c r="Q4254">
        <v>0</v>
      </c>
      <c r="R4254">
        <v>0</v>
      </c>
      <c r="S4254">
        <v>28</v>
      </c>
      <c r="T4254" t="s">
        <v>5228</v>
      </c>
      <c r="V4254" t="s">
        <v>2154</v>
      </c>
      <c r="W4254">
        <v>47.498634698221998</v>
      </c>
      <c r="X4254">
        <v>-0.50784128552246999</v>
      </c>
      <c r="Y4254" t="s">
        <v>11853</v>
      </c>
      <c r="Z4254" t="s">
        <v>12064</v>
      </c>
      <c r="AA4254" t="s">
        <v>11319</v>
      </c>
      <c r="AB4254" t="s">
        <v>6043</v>
      </c>
      <c r="AC4254" t="s">
        <v>5230</v>
      </c>
      <c r="AD4254" s="249" t="str">
        <f>HYPERLINK("https://scontent.cdninstagram.com/t51.2885-15/s320x320/e35/21227279_141774603096559_5179837778539577344_n.jpg")</f>
        <v>https://scontent.cdninstagram.com/t51.2885-15/s320x320/e35/21227279_141774603096559_5179837778539577344_n.jpg</v>
      </c>
      <c r="AE4254" s="249" t="str">
        <f>HYPERLINK("https://scontent.cdninstagram.com/t51.2885-19/s150x150/18949503_1122155304550657_4049188449616396288_a.jpg")</f>
        <v>https://scontent.cdninstagram.com/t51.2885-19/s150x150/18949503_1122155304550657_4049188449616396288_a.jpg</v>
      </c>
    </row>
    <row r="4255" spans="1:31" ht="15" x14ac:dyDescent="0.25">
      <c r="A4255" t="s">
        <v>2474</v>
      </c>
      <c r="B4255" t="s">
        <v>22624</v>
      </c>
      <c r="C4255" s="221">
        <v>42980.558749999997</v>
      </c>
      <c r="D4255" t="s">
        <v>23318</v>
      </c>
      <c r="E4255" s="249" t="str">
        <f>HYPERLINK("https://www.instagram.com/p/BYjAKxFHyLF/")</f>
        <v>https://www.instagram.com/p/BYjAKxFHyLF/</v>
      </c>
      <c r="F4255" t="s">
        <v>23319</v>
      </c>
      <c r="G4255" t="s">
        <v>2478</v>
      </c>
      <c r="H4255">
        <v>172</v>
      </c>
      <c r="I4255" t="s">
        <v>3575</v>
      </c>
      <c r="J4255">
        <v>1</v>
      </c>
      <c r="K4255">
        <v>32</v>
      </c>
      <c r="L4255">
        <v>33</v>
      </c>
      <c r="Q4255">
        <v>0</v>
      </c>
      <c r="R4255">
        <v>0</v>
      </c>
      <c r="S4255">
        <v>33</v>
      </c>
      <c r="T4255" t="s">
        <v>23320</v>
      </c>
      <c r="V4255" t="s">
        <v>2239</v>
      </c>
      <c r="W4255">
        <v>51.249379230887001</v>
      </c>
      <c r="X4255">
        <v>22.569213809468</v>
      </c>
      <c r="Y4255" t="s">
        <v>23321</v>
      </c>
      <c r="Z4255" t="s">
        <v>2497</v>
      </c>
      <c r="AA4255" t="s">
        <v>11970</v>
      </c>
      <c r="AB4255" t="s">
        <v>23322</v>
      </c>
      <c r="AC4255" t="s">
        <v>23323</v>
      </c>
      <c r="AD4255" s="249" t="str">
        <f>HYPERLINK("https://scontent.cdninstagram.com/t51.2885-15/s320x320/e35/21296323_434320270302502_651884445355212800_n.jpg")</f>
        <v>https://scontent.cdninstagram.com/t51.2885-15/s320x320/e35/21296323_434320270302502_651884445355212800_n.jpg</v>
      </c>
      <c r="AE4255" s="249" t="str">
        <f>HYPERLINK("https://scontent.cdninstagram.com/t51.2885-19/s150x150/15101650_190368981367796_8917080627438682112_a.jpg")</f>
        <v>https://scontent.cdninstagram.com/t51.2885-19/s150x150/15101650_190368981367796_8917080627438682112_a.jpg</v>
      </c>
    </row>
    <row r="4256" spans="1:31" ht="15" x14ac:dyDescent="0.25">
      <c r="A4256" t="s">
        <v>2474</v>
      </c>
      <c r="B4256" t="s">
        <v>23324</v>
      </c>
      <c r="C4256" s="221">
        <v>42980.560057870367</v>
      </c>
      <c r="D4256" t="s">
        <v>23325</v>
      </c>
      <c r="E4256" s="249" t="str">
        <f>HYPERLINK("https://www.instagram.com/p/BYjAYpiBieJ/")</f>
        <v>https://www.instagram.com/p/BYjAYpiBieJ/</v>
      </c>
      <c r="F4256" t="s">
        <v>23326</v>
      </c>
      <c r="G4256" t="s">
        <v>2631</v>
      </c>
      <c r="H4256">
        <v>248</v>
      </c>
      <c r="I4256" t="s">
        <v>2786</v>
      </c>
      <c r="J4256">
        <v>1</v>
      </c>
      <c r="K4256">
        <v>23</v>
      </c>
      <c r="L4256">
        <v>24</v>
      </c>
      <c r="Q4256">
        <v>0</v>
      </c>
      <c r="R4256">
        <v>0</v>
      </c>
      <c r="S4256">
        <v>24</v>
      </c>
      <c r="Y4256" t="s">
        <v>23327</v>
      </c>
      <c r="Z4256" t="s">
        <v>3599</v>
      </c>
      <c r="AA4256" t="s">
        <v>23328</v>
      </c>
      <c r="AB4256" t="s">
        <v>23329</v>
      </c>
      <c r="AC4256" t="s">
        <v>23330</v>
      </c>
      <c r="AD4256" s="249" t="str">
        <f>HYPERLINK("https://scontent.cdninstagram.com/t51.2885-15/s320x320/e15/21296849_504600819892376_5815819192653316096_n.jpg")</f>
        <v>https://scontent.cdninstagram.com/t51.2885-15/s320x320/e15/21296849_504600819892376_5815819192653316096_n.jpg</v>
      </c>
      <c r="AE4256" s="249" t="str">
        <f>HYPERLINK("https://scontent.cdninstagram.com/t51.2885-19/s150x150/19120285_341296176273507_7811978760424521728_a.jpg")</f>
        <v>https://scontent.cdninstagram.com/t51.2885-19/s150x150/19120285_341296176273507_7811978760424521728_a.jpg</v>
      </c>
    </row>
    <row r="4257" spans="1:31" ht="15" x14ac:dyDescent="0.25">
      <c r="A4257" t="s">
        <v>2474</v>
      </c>
      <c r="B4257" t="s">
        <v>23331</v>
      </c>
      <c r="C4257" s="221">
        <v>42980.563101851854</v>
      </c>
      <c r="D4257" t="s">
        <v>23332</v>
      </c>
      <c r="E4257" s="249" t="str">
        <f>HYPERLINK("https://www.instagram.com/p/BYjA4wjHdNa/")</f>
        <v>https://www.instagram.com/p/BYjA4wjHdNa/</v>
      </c>
      <c r="F4257" t="s">
        <v>2872</v>
      </c>
      <c r="G4257" t="s">
        <v>2478</v>
      </c>
      <c r="H4257">
        <v>116</v>
      </c>
      <c r="I4257" t="s">
        <v>2542</v>
      </c>
      <c r="J4257">
        <v>0</v>
      </c>
      <c r="K4257">
        <v>5</v>
      </c>
      <c r="L4257">
        <v>5</v>
      </c>
      <c r="Q4257">
        <v>0</v>
      </c>
      <c r="R4257">
        <v>0</v>
      </c>
      <c r="S4257">
        <v>5</v>
      </c>
      <c r="Y4257" t="s">
        <v>2497</v>
      </c>
      <c r="AD4257" s="249" t="str">
        <f>HYPERLINK("https://scontent.cdninstagram.com/t51.2885-15/e35/p320x320/21295049_272112946628346_7448368383923322880_n.jpg")</f>
        <v>https://scontent.cdninstagram.com/t51.2885-15/e35/p320x320/21295049_272112946628346_7448368383923322880_n.jpg</v>
      </c>
      <c r="AE4257" s="249" t="str">
        <f>HYPERLINK("https://scontent.cdninstagram.com/t51.2885-19/11111274_1425504191089033_74502103_a.jpg")</f>
        <v>https://scontent.cdninstagram.com/t51.2885-19/11111274_1425504191089033_74502103_a.jpg</v>
      </c>
    </row>
    <row r="4258" spans="1:31" ht="15" x14ac:dyDescent="0.25">
      <c r="A4258" t="s">
        <v>2474</v>
      </c>
      <c r="B4258" t="s">
        <v>23333</v>
      </c>
      <c r="C4258" s="221">
        <v>42980.5781712963</v>
      </c>
      <c r="D4258" t="s">
        <v>23334</v>
      </c>
      <c r="E4258" s="249" t="str">
        <f>HYPERLINK("https://www.instagram.com/p/BYjDXtYH0rX/")</f>
        <v>https://www.instagram.com/p/BYjDXtYH0rX/</v>
      </c>
      <c r="F4258" t="s">
        <v>23335</v>
      </c>
      <c r="G4258" t="s">
        <v>2478</v>
      </c>
      <c r="H4258">
        <v>113</v>
      </c>
      <c r="I4258" t="s">
        <v>2479</v>
      </c>
      <c r="J4258">
        <v>0</v>
      </c>
      <c r="K4258">
        <v>30</v>
      </c>
      <c r="L4258">
        <v>30</v>
      </c>
      <c r="Q4258">
        <v>0</v>
      </c>
      <c r="R4258">
        <v>0</v>
      </c>
      <c r="S4258">
        <v>30</v>
      </c>
      <c r="Y4258" t="s">
        <v>23336</v>
      </c>
      <c r="Z4258" t="s">
        <v>6612</v>
      </c>
      <c r="AA4258" t="s">
        <v>5989</v>
      </c>
      <c r="AB4258" t="s">
        <v>2492</v>
      </c>
      <c r="AC4258" t="s">
        <v>3145</v>
      </c>
      <c r="AD4258" s="249" t="str">
        <f>HYPERLINK("https://scontent.cdninstagram.com/t51.2885-15/e35/p320x320/21227154_126305554679803_2508183110416334848_n.jpg")</f>
        <v>https://scontent.cdninstagram.com/t51.2885-15/e35/p320x320/21227154_126305554679803_2508183110416334848_n.jpg</v>
      </c>
      <c r="AE4258" s="249" t="str">
        <f>HYPERLINK("https://scontent.cdninstagram.com/t51.2885-19/s150x150/19932120_151269972109343_7156209663178964992_a.jpg")</f>
        <v>https://scontent.cdninstagram.com/t51.2885-19/s150x150/19932120_151269972109343_7156209663178964992_a.jpg</v>
      </c>
    </row>
    <row r="4259" spans="1:31" ht="15" x14ac:dyDescent="0.25">
      <c r="A4259" t="s">
        <v>2474</v>
      </c>
      <c r="B4259" t="s">
        <v>23337</v>
      </c>
      <c r="C4259" s="221">
        <v>42980.578657407408</v>
      </c>
      <c r="D4259" t="s">
        <v>23338</v>
      </c>
      <c r="E4259" s="249" t="str">
        <f>HYPERLINK("https://www.instagram.com/p/BYjDczink6N/")</f>
        <v>https://www.instagram.com/p/BYjDczink6N/</v>
      </c>
      <c r="F4259" t="s">
        <v>23339</v>
      </c>
      <c r="G4259" t="s">
        <v>2488</v>
      </c>
      <c r="H4259">
        <v>79</v>
      </c>
      <c r="I4259" t="s">
        <v>2479</v>
      </c>
      <c r="J4259">
        <v>0</v>
      </c>
      <c r="K4259">
        <v>23</v>
      </c>
      <c r="L4259">
        <v>23</v>
      </c>
      <c r="Q4259">
        <v>0</v>
      </c>
      <c r="R4259">
        <v>0</v>
      </c>
      <c r="S4259">
        <v>23</v>
      </c>
      <c r="Y4259" t="s">
        <v>23340</v>
      </c>
      <c r="Z4259" t="s">
        <v>23341</v>
      </c>
      <c r="AA4259" t="s">
        <v>3885</v>
      </c>
      <c r="AB4259" t="s">
        <v>4620</v>
      </c>
      <c r="AC4259" t="s">
        <v>23342</v>
      </c>
      <c r="AD4259" s="249" t="str">
        <f>HYPERLINK("https://scontent.cdninstagram.com/t51.2885-15/s320x320/e35/21295172_525330167809371_5355823204499718144_n.jpg")</f>
        <v>https://scontent.cdninstagram.com/t51.2885-15/s320x320/e35/21295172_525330167809371_5355823204499718144_n.jpg</v>
      </c>
      <c r="AE4259" s="249" t="str">
        <f>HYPERLINK("https://scontent.cdninstagram.com/t51.2885-19/s150x150/20837596_173660393178697_7240552938152656896_a.jpg")</f>
        <v>https://scontent.cdninstagram.com/t51.2885-19/s150x150/20837596_173660393178697_7240552938152656896_a.jpg</v>
      </c>
    </row>
    <row r="4260" spans="1:31" ht="15" x14ac:dyDescent="0.25">
      <c r="A4260" t="s">
        <v>2474</v>
      </c>
      <c r="B4260" t="s">
        <v>23343</v>
      </c>
      <c r="C4260" s="221">
        <v>42980.58185185185</v>
      </c>
      <c r="D4260" t="s">
        <v>23344</v>
      </c>
      <c r="E4260" s="249" t="str">
        <f>HYPERLINK("https://www.instagram.com/p/BYjD-f4A0tF/")</f>
        <v>https://www.instagram.com/p/BYjD-f4A0tF/</v>
      </c>
      <c r="F4260" t="s">
        <v>23345</v>
      </c>
      <c r="G4260" t="s">
        <v>2478</v>
      </c>
      <c r="H4260">
        <v>80</v>
      </c>
      <c r="I4260" t="s">
        <v>2479</v>
      </c>
      <c r="J4260">
        <v>0</v>
      </c>
      <c r="K4260">
        <v>9</v>
      </c>
      <c r="L4260">
        <v>9</v>
      </c>
      <c r="Q4260">
        <v>0</v>
      </c>
      <c r="R4260">
        <v>0</v>
      </c>
      <c r="S4260">
        <v>9</v>
      </c>
      <c r="Y4260" t="s">
        <v>11934</v>
      </c>
      <c r="Z4260" t="s">
        <v>23346</v>
      </c>
      <c r="AA4260" t="s">
        <v>23347</v>
      </c>
      <c r="AB4260" t="s">
        <v>23348</v>
      </c>
      <c r="AC4260" t="s">
        <v>8053</v>
      </c>
      <c r="AD4260" s="249" t="str">
        <f>HYPERLINK("https://scontent.cdninstagram.com/t51.2885-15/s320x320/e35/21226917_1729911037314730_8454597823155929088_n.jpg")</f>
        <v>https://scontent.cdninstagram.com/t51.2885-15/s320x320/e35/21226917_1729911037314730_8454597823155929088_n.jpg</v>
      </c>
      <c r="AE4260" s="249" t="str">
        <f>HYPERLINK("https://scontent.cdninstagram.com/t51.2885-19/s150x150/20686579_1193669874110263_1352899421041328128_n.jpg")</f>
        <v>https://scontent.cdninstagram.com/t51.2885-19/s150x150/20686579_1193669874110263_1352899421041328128_n.jpg</v>
      </c>
    </row>
    <row r="4261" spans="1:31" ht="15" x14ac:dyDescent="0.25">
      <c r="A4261" t="s">
        <v>2474</v>
      </c>
      <c r="B4261" t="s">
        <v>23349</v>
      </c>
      <c r="C4261" s="221">
        <v>42980.583831018521</v>
      </c>
      <c r="D4261" t="s">
        <v>23350</v>
      </c>
      <c r="E4261" s="249" t="str">
        <f>HYPERLINK("https://www.instagram.com/p/BYjETYHj7m8/")</f>
        <v>https://www.instagram.com/p/BYjETYHj7m8/</v>
      </c>
      <c r="F4261" t="s">
        <v>23351</v>
      </c>
      <c r="G4261" t="s">
        <v>2478</v>
      </c>
      <c r="H4261">
        <v>326</v>
      </c>
      <c r="I4261" t="s">
        <v>2479</v>
      </c>
      <c r="J4261">
        <v>0</v>
      </c>
      <c r="K4261">
        <v>21</v>
      </c>
      <c r="L4261">
        <v>21</v>
      </c>
      <c r="Q4261">
        <v>0</v>
      </c>
      <c r="R4261">
        <v>0</v>
      </c>
      <c r="S4261">
        <v>21</v>
      </c>
      <c r="Y4261" t="s">
        <v>5307</v>
      </c>
      <c r="Z4261" t="s">
        <v>23352</v>
      </c>
      <c r="AA4261" t="s">
        <v>7413</v>
      </c>
      <c r="AB4261" t="s">
        <v>23353</v>
      </c>
      <c r="AC4261" t="s">
        <v>23354</v>
      </c>
      <c r="AD4261" s="249" t="str">
        <f>HYPERLINK("https://scontent.cdninstagram.com/t51.2885-15/s320x320/e35/21294696_1492545704145051_1665749984252788736_n.jpg")</f>
        <v>https://scontent.cdninstagram.com/t51.2885-15/s320x320/e35/21294696_1492545704145051_1665749984252788736_n.jpg</v>
      </c>
      <c r="AE4261" s="249" t="str">
        <f>HYPERLINK("https://scontent.cdninstagram.com/t51.2885-19/s150x150/20905166_1674775742546123_8371144766053679104_a.jpg")</f>
        <v>https://scontent.cdninstagram.com/t51.2885-19/s150x150/20905166_1674775742546123_8371144766053679104_a.jpg</v>
      </c>
    </row>
    <row r="4262" spans="1:31" ht="15" x14ac:dyDescent="0.25">
      <c r="A4262" t="s">
        <v>2474</v>
      </c>
      <c r="B4262" t="s">
        <v>23355</v>
      </c>
      <c r="C4262" s="221">
        <v>42980.585486111115</v>
      </c>
      <c r="D4262" t="s">
        <v>23356</v>
      </c>
      <c r="E4262" s="249" t="str">
        <f>HYPERLINK("https://www.instagram.com/p/BYjEk2_ly6V/")</f>
        <v>https://www.instagram.com/p/BYjEk2_ly6V/</v>
      </c>
      <c r="F4262" t="s">
        <v>23357</v>
      </c>
      <c r="G4262" t="s">
        <v>2478</v>
      </c>
      <c r="H4262">
        <v>1031</v>
      </c>
      <c r="I4262" t="s">
        <v>3025</v>
      </c>
      <c r="J4262">
        <v>3</v>
      </c>
      <c r="K4262">
        <v>55</v>
      </c>
      <c r="L4262">
        <v>58</v>
      </c>
      <c r="Q4262">
        <v>0</v>
      </c>
      <c r="R4262">
        <v>0</v>
      </c>
      <c r="S4262">
        <v>58</v>
      </c>
      <c r="T4262" t="s">
        <v>22915</v>
      </c>
      <c r="V4262" t="s">
        <v>2288</v>
      </c>
      <c r="W4262">
        <v>51.5</v>
      </c>
      <c r="X4262">
        <v>-0.11666666666667</v>
      </c>
      <c r="Y4262" t="s">
        <v>23358</v>
      </c>
      <c r="Z4262" t="s">
        <v>23359</v>
      </c>
      <c r="AA4262" t="s">
        <v>23360</v>
      </c>
      <c r="AB4262" t="s">
        <v>23361</v>
      </c>
      <c r="AC4262" t="s">
        <v>23362</v>
      </c>
      <c r="AD4262" s="249" t="str">
        <f>HYPERLINK("https://scontent.cdninstagram.com/t51.2885-15/e35/p320x320/21227903_271507646670836_3711783807481806848_n.jpg")</f>
        <v>https://scontent.cdninstagram.com/t51.2885-15/e35/p320x320/21227903_271507646670836_3711783807481806848_n.jpg</v>
      </c>
      <c r="AE4262" s="249" t="str">
        <f>HYPERLINK("https://scontent.cdninstagram.com/t51.2885-19/s150x150/14156232_1660184400963251_1066461336_a.jpg")</f>
        <v>https://scontent.cdninstagram.com/t51.2885-19/s150x150/14156232_1660184400963251_1066461336_a.jpg</v>
      </c>
    </row>
    <row r="4263" spans="1:31" ht="15" x14ac:dyDescent="0.25">
      <c r="A4263" t="s">
        <v>2474</v>
      </c>
      <c r="B4263" t="s">
        <v>4320</v>
      </c>
      <c r="C4263" s="221">
        <v>42980.589942129627</v>
      </c>
      <c r="D4263" t="s">
        <v>23363</v>
      </c>
      <c r="E4263" s="249" t="str">
        <f>HYPERLINK("https://www.instagram.com/p/BYjFTysgXk7/")</f>
        <v>https://www.instagram.com/p/BYjFTysgXk7/</v>
      </c>
      <c r="F4263" t="s">
        <v>23364</v>
      </c>
      <c r="G4263" t="s">
        <v>2478</v>
      </c>
      <c r="H4263">
        <v>200</v>
      </c>
      <c r="I4263" t="s">
        <v>3273</v>
      </c>
      <c r="J4263">
        <v>1</v>
      </c>
      <c r="K4263">
        <v>48</v>
      </c>
      <c r="L4263">
        <v>49</v>
      </c>
      <c r="Q4263">
        <v>0</v>
      </c>
      <c r="R4263">
        <v>0</v>
      </c>
      <c r="S4263">
        <v>49</v>
      </c>
      <c r="Y4263" t="s">
        <v>3716</v>
      </c>
      <c r="Z4263" t="s">
        <v>4324</v>
      </c>
      <c r="AA4263" t="s">
        <v>5989</v>
      </c>
      <c r="AB4263" t="s">
        <v>23365</v>
      </c>
      <c r="AC4263" t="s">
        <v>11093</v>
      </c>
      <c r="AD4263" s="249" t="str">
        <f>HYPERLINK("https://scontent.cdninstagram.com/t51.2885-15/e35/p320x320/21227085_505232456477078_2845467948733169664_n.jpg")</f>
        <v>https://scontent.cdninstagram.com/t51.2885-15/e35/p320x320/21227085_505232456477078_2845467948733169664_n.jpg</v>
      </c>
      <c r="AE4263" s="249" t="str">
        <f>HYPERLINK("https://scontent.cdninstagram.com/t51.2885-19/s150x150/21042251_211233842744431_6961971055707553792_a.jpg")</f>
        <v>https://scontent.cdninstagram.com/t51.2885-19/s150x150/21042251_211233842744431_6961971055707553792_a.jpg</v>
      </c>
    </row>
    <row r="4264" spans="1:31" ht="15" x14ac:dyDescent="0.25">
      <c r="A4264" t="s">
        <v>2474</v>
      </c>
      <c r="B4264" t="s">
        <v>23366</v>
      </c>
      <c r="C4264" s="221">
        <v>42980.590520833335</v>
      </c>
      <c r="D4264" t="s">
        <v>23367</v>
      </c>
      <c r="E4264" s="249" t="str">
        <f>HYPERLINK("https://www.instagram.com/p/BYjFZ7VHBEV/")</f>
        <v>https://www.instagram.com/p/BYjFZ7VHBEV/</v>
      </c>
      <c r="F4264" t="s">
        <v>23368</v>
      </c>
      <c r="G4264" t="s">
        <v>2478</v>
      </c>
      <c r="H4264">
        <v>538</v>
      </c>
      <c r="I4264" t="s">
        <v>2479</v>
      </c>
      <c r="J4264">
        <v>1</v>
      </c>
      <c r="K4264">
        <v>27</v>
      </c>
      <c r="L4264">
        <v>28</v>
      </c>
      <c r="Q4264">
        <v>0</v>
      </c>
      <c r="R4264">
        <v>0</v>
      </c>
      <c r="S4264">
        <v>28</v>
      </c>
      <c r="Y4264" t="s">
        <v>2890</v>
      </c>
      <c r="Z4264" t="s">
        <v>2497</v>
      </c>
      <c r="AA4264" t="s">
        <v>23369</v>
      </c>
      <c r="AB4264" t="s">
        <v>2547</v>
      </c>
      <c r="AD4264" s="249" t="str">
        <f>HYPERLINK("https://scontent.cdninstagram.com/t51.2885-15/s320x320/e35/21224754_119972878729418_8706440991562792960_n.jpg")</f>
        <v>https://scontent.cdninstagram.com/t51.2885-15/s320x320/e35/21224754_119972878729418_8706440991562792960_n.jpg</v>
      </c>
      <c r="AE4264" s="249" t="str">
        <f>HYPERLINK("https://scontent.cdninstagram.com/t51.2885-19/s150x150/21433328_1687568454595453_7717827244730613760_a.jpg")</f>
        <v>https://scontent.cdninstagram.com/t51.2885-19/s150x150/21433328_1687568454595453_7717827244730613760_a.jpg</v>
      </c>
    </row>
    <row r="4265" spans="1:31" ht="15" x14ac:dyDescent="0.25">
      <c r="A4265" t="s">
        <v>2474</v>
      </c>
      <c r="B4265" t="s">
        <v>23370</v>
      </c>
      <c r="C4265" s="221">
        <v>42980.591458333336</v>
      </c>
      <c r="D4265" t="s">
        <v>23371</v>
      </c>
      <c r="E4265" s="249" t="str">
        <f>HYPERLINK("https://www.instagram.com/p/BYjFjzKA4a3/")</f>
        <v>https://www.instagram.com/p/BYjFjzKA4a3/</v>
      </c>
      <c r="F4265" t="s">
        <v>23372</v>
      </c>
      <c r="G4265" t="s">
        <v>2478</v>
      </c>
      <c r="H4265">
        <v>585</v>
      </c>
      <c r="I4265" t="s">
        <v>2479</v>
      </c>
      <c r="J4265">
        <v>2</v>
      </c>
      <c r="K4265">
        <v>83</v>
      </c>
      <c r="L4265">
        <v>85</v>
      </c>
      <c r="Q4265">
        <v>0</v>
      </c>
      <c r="R4265">
        <v>0</v>
      </c>
      <c r="S4265">
        <v>85</v>
      </c>
      <c r="T4265" t="s">
        <v>23373</v>
      </c>
      <c r="U4265" t="s">
        <v>134</v>
      </c>
      <c r="V4265" t="s">
        <v>2299</v>
      </c>
      <c r="W4265">
        <v>27.979062218460001</v>
      </c>
      <c r="X4265">
        <v>-82.534698694742005</v>
      </c>
      <c r="Y4265" t="s">
        <v>2497</v>
      </c>
      <c r="AD4265" s="249" t="str">
        <f>HYPERLINK("https://scontent.cdninstagram.com/t51.2885-15/s320x320/e35/21295006_810091545839381_5957623215877521408_n.jpg")</f>
        <v>https://scontent.cdninstagram.com/t51.2885-15/s320x320/e35/21295006_810091545839381_5957623215877521408_n.jpg</v>
      </c>
      <c r="AE4265" s="249" t="str">
        <f>HYPERLINK("https://scontent.cdninstagram.com/t51.2885-19/s150x150/16788473_1827273877513762_6676532786255364096_a.jpg")</f>
        <v>https://scontent.cdninstagram.com/t51.2885-19/s150x150/16788473_1827273877513762_6676532786255364096_a.jpg</v>
      </c>
    </row>
    <row r="4266" spans="1:31" ht="15" x14ac:dyDescent="0.25">
      <c r="A4266" t="s">
        <v>2474</v>
      </c>
      <c r="B4266" t="s">
        <v>23374</v>
      </c>
      <c r="C4266" s="221">
        <v>42980.60328703704</v>
      </c>
      <c r="D4266" t="s">
        <v>23375</v>
      </c>
      <c r="E4266" s="249" t="str">
        <f>HYPERLINK("https://www.instagram.com/p/BYjHgmcA17m/")</f>
        <v>https://www.instagram.com/p/BYjHgmcA17m/</v>
      </c>
      <c r="F4266" t="s">
        <v>23376</v>
      </c>
      <c r="G4266" t="s">
        <v>2478</v>
      </c>
      <c r="H4266">
        <v>241</v>
      </c>
      <c r="I4266" t="s">
        <v>3273</v>
      </c>
      <c r="J4266">
        <v>0</v>
      </c>
      <c r="K4266">
        <v>17</v>
      </c>
      <c r="L4266">
        <v>17</v>
      </c>
      <c r="Q4266">
        <v>0</v>
      </c>
      <c r="R4266">
        <v>0</v>
      </c>
      <c r="S4266">
        <v>17</v>
      </c>
      <c r="Y4266" t="s">
        <v>23377</v>
      </c>
      <c r="Z4266" t="s">
        <v>2696</v>
      </c>
      <c r="AA4266" t="s">
        <v>15381</v>
      </c>
      <c r="AB4266" t="s">
        <v>9011</v>
      </c>
      <c r="AC4266" t="s">
        <v>23378</v>
      </c>
      <c r="AD4266" s="249" t="str">
        <f>HYPERLINK("https://scontent.cdninstagram.com/t51.2885-15/s320x320/e35/21227535_1920452071539375_647724571960541184_n.jpg")</f>
        <v>https://scontent.cdninstagram.com/t51.2885-15/s320x320/e35/21227535_1920452071539375_647724571960541184_n.jpg</v>
      </c>
      <c r="AE4266" s="249" t="str">
        <f>HYPERLINK("https://scontent.cdninstagram.com/t51.2885-19/s150x150/21224333_1929328573980940_6561237258232397824_a.jpg")</f>
        <v>https://scontent.cdninstagram.com/t51.2885-19/s150x150/21224333_1929328573980940_6561237258232397824_a.jpg</v>
      </c>
    </row>
    <row r="4267" spans="1:31" ht="15" x14ac:dyDescent="0.25">
      <c r="A4267" t="s">
        <v>2474</v>
      </c>
      <c r="B4267" t="s">
        <v>2516</v>
      </c>
      <c r="C4267" s="221">
        <v>42980.612361111111</v>
      </c>
      <c r="D4267" t="s">
        <v>23379</v>
      </c>
      <c r="E4267" s="249" t="str">
        <f>HYPERLINK("https://www.instagram.com/p/BYjJAQ4jvis/")</f>
        <v>https://www.instagram.com/p/BYjJAQ4jvis/</v>
      </c>
      <c r="F4267" t="s">
        <v>23380</v>
      </c>
      <c r="G4267" t="s">
        <v>2478</v>
      </c>
      <c r="H4267">
        <v>687</v>
      </c>
      <c r="I4267" t="s">
        <v>2479</v>
      </c>
      <c r="J4267">
        <v>0</v>
      </c>
      <c r="K4267">
        <v>18</v>
      </c>
      <c r="L4267">
        <v>18</v>
      </c>
      <c r="Q4267">
        <v>0</v>
      </c>
      <c r="R4267">
        <v>0</v>
      </c>
      <c r="S4267">
        <v>18</v>
      </c>
      <c r="Y4267" t="s">
        <v>23381</v>
      </c>
      <c r="Z4267" t="s">
        <v>23382</v>
      </c>
      <c r="AA4267" t="s">
        <v>23383</v>
      </c>
      <c r="AB4267" t="s">
        <v>3543</v>
      </c>
      <c r="AC4267" t="s">
        <v>2696</v>
      </c>
      <c r="AD4267" s="249" t="str">
        <f>HYPERLINK("https://scontent.cdninstagram.com/t51.2885-15/s320x320/e35/21224651_124575084860984_3564534384201564160_n.jpg")</f>
        <v>https://scontent.cdninstagram.com/t51.2885-15/s320x320/e35/21224651_124575084860984_3564534384201564160_n.jpg</v>
      </c>
      <c r="AE4267" s="249" t="str">
        <f>HYPERLINK("https://scontent.cdninstagram.com/t51.2885-19/s150x150/21372563_140209839921980_5104164354614362112_a.jpg")</f>
        <v>https://scontent.cdninstagram.com/t51.2885-19/s150x150/21372563_140209839921980_5104164354614362112_a.jpg</v>
      </c>
    </row>
    <row r="4268" spans="1:31" ht="15" x14ac:dyDescent="0.25">
      <c r="A4268" t="s">
        <v>2474</v>
      </c>
      <c r="B4268" t="s">
        <v>23384</v>
      </c>
      <c r="C4268" s="221">
        <v>42980.641481481478</v>
      </c>
      <c r="D4268" t="s">
        <v>23385</v>
      </c>
      <c r="E4268" s="249" t="str">
        <f>HYPERLINK("https://www.instagram.com/p/BYjNzbSlaOg/")</f>
        <v>https://www.instagram.com/p/BYjNzbSlaOg/</v>
      </c>
      <c r="F4268" t="s">
        <v>23386</v>
      </c>
      <c r="G4268" t="s">
        <v>2478</v>
      </c>
      <c r="H4268">
        <v>1818</v>
      </c>
      <c r="I4268" t="s">
        <v>2479</v>
      </c>
      <c r="J4268">
        <v>0</v>
      </c>
      <c r="K4268">
        <v>35</v>
      </c>
      <c r="L4268">
        <v>35</v>
      </c>
      <c r="Q4268">
        <v>0</v>
      </c>
      <c r="R4268">
        <v>0</v>
      </c>
      <c r="S4268">
        <v>35</v>
      </c>
      <c r="Y4268" t="s">
        <v>17115</v>
      </c>
      <c r="Z4268" t="s">
        <v>23387</v>
      </c>
      <c r="AA4268" t="s">
        <v>19963</v>
      </c>
      <c r="AB4268" t="s">
        <v>23388</v>
      </c>
      <c r="AC4268" t="s">
        <v>23389</v>
      </c>
      <c r="AD4268" s="249" t="str">
        <f>HYPERLINK("https://scontent.cdninstagram.com/t51.2885-15/s320x320/e35/21296842_1654420957961921_928164294049136640_n.jpg")</f>
        <v>https://scontent.cdninstagram.com/t51.2885-15/s320x320/e35/21296842_1654420957961921_928164294049136640_n.jpg</v>
      </c>
      <c r="AE4268" s="249" t="str">
        <f>HYPERLINK("https://scontent.cdninstagram.com/t51.2885-19/s150x150/12819049_233677940312363_1367950752_a.jpg")</f>
        <v>https://scontent.cdninstagram.com/t51.2885-19/s150x150/12819049_233677940312363_1367950752_a.jpg</v>
      </c>
    </row>
    <row r="4269" spans="1:31" ht="15" x14ac:dyDescent="0.25">
      <c r="A4269" t="s">
        <v>2474</v>
      </c>
      <c r="B4269" t="s">
        <v>15159</v>
      </c>
      <c r="C4269" s="221">
        <v>42980.642534722225</v>
      </c>
      <c r="D4269" t="s">
        <v>23390</v>
      </c>
      <c r="E4269" s="249" t="str">
        <f>HYPERLINK("https://www.instagram.com/p/BYjN-dOhmmw/")</f>
        <v>https://www.instagram.com/p/BYjN-dOhmmw/</v>
      </c>
      <c r="F4269" t="s">
        <v>23391</v>
      </c>
      <c r="G4269" t="s">
        <v>2478</v>
      </c>
      <c r="H4269">
        <v>1966</v>
      </c>
      <c r="I4269" t="s">
        <v>2479</v>
      </c>
      <c r="J4269">
        <v>3</v>
      </c>
      <c r="K4269">
        <v>39</v>
      </c>
      <c r="L4269">
        <v>42</v>
      </c>
      <c r="Q4269">
        <v>0</v>
      </c>
      <c r="R4269">
        <v>0</v>
      </c>
      <c r="S4269">
        <v>42</v>
      </c>
      <c r="Y4269" t="s">
        <v>13118</v>
      </c>
      <c r="Z4269" t="s">
        <v>15810</v>
      </c>
      <c r="AA4269" t="s">
        <v>15957</v>
      </c>
      <c r="AB4269" t="s">
        <v>2559</v>
      </c>
      <c r="AC4269" t="s">
        <v>2696</v>
      </c>
      <c r="AD4269" s="249" t="str">
        <f>HYPERLINK("https://scontent.cdninstagram.com/t51.2885-15/s320x320/e35/21294289_328166237648442_1707989054873665536_n.jpg")</f>
        <v>https://scontent.cdninstagram.com/t51.2885-15/s320x320/e35/21294289_328166237648442_1707989054873665536_n.jpg</v>
      </c>
      <c r="AE4269" s="249" t="str">
        <f>HYPERLINK("https://scontent.cdninstagram.com/t51.2885-19/s150x150/19533785_1741677726126780_8398988759860772864_a.jpg")</f>
        <v>https://scontent.cdninstagram.com/t51.2885-19/s150x150/19533785_1741677726126780_8398988759860772864_a.jpg</v>
      </c>
    </row>
    <row r="4270" spans="1:31" ht="15" x14ac:dyDescent="0.25">
      <c r="A4270" t="s">
        <v>2474</v>
      </c>
      <c r="B4270" t="s">
        <v>10554</v>
      </c>
      <c r="C4270" s="221">
        <v>42980.643136574072</v>
      </c>
      <c r="D4270" t="s">
        <v>23392</v>
      </c>
      <c r="E4270" s="249" t="str">
        <f>HYPERLINK("https://www.instagram.com/p/BYjOE19lhH_/")</f>
        <v>https://www.instagram.com/p/BYjOE19lhH_/</v>
      </c>
      <c r="F4270" t="s">
        <v>23393</v>
      </c>
      <c r="G4270" t="s">
        <v>2478</v>
      </c>
      <c r="H4270">
        <v>147</v>
      </c>
      <c r="I4270" t="s">
        <v>2479</v>
      </c>
      <c r="J4270">
        <v>0</v>
      </c>
      <c r="K4270">
        <v>3</v>
      </c>
      <c r="L4270">
        <v>3</v>
      </c>
      <c r="Q4270">
        <v>0</v>
      </c>
      <c r="R4270">
        <v>0</v>
      </c>
      <c r="S4270">
        <v>3</v>
      </c>
      <c r="Y4270" t="s">
        <v>3708</v>
      </c>
      <c r="Z4270" t="s">
        <v>11400</v>
      </c>
      <c r="AA4270" t="s">
        <v>5186</v>
      </c>
      <c r="AB4270" t="s">
        <v>2497</v>
      </c>
      <c r="AC4270" t="s">
        <v>23394</v>
      </c>
      <c r="AD4270" s="249" t="str">
        <f>HYPERLINK("https://scontent.cdninstagram.com/t51.2885-15/s320x320/e35/21227854_166821503867507_7544806041989414912_n.jpg")</f>
        <v>https://scontent.cdninstagram.com/t51.2885-15/s320x320/e35/21227854_166821503867507_7544806041989414912_n.jpg</v>
      </c>
      <c r="AE4270" s="249" t="str">
        <f>HYPERLINK("https://scontent.cdninstagram.com/t51.2885-19/s150x150/18948145_237408563428034_813367471858778112_a.jpg")</f>
        <v>https://scontent.cdninstagram.com/t51.2885-19/s150x150/18948145_237408563428034_813367471858778112_a.jpg</v>
      </c>
    </row>
    <row r="4271" spans="1:31" ht="15" x14ac:dyDescent="0.25">
      <c r="A4271" t="s">
        <v>2474</v>
      </c>
      <c r="B4271" t="s">
        <v>17738</v>
      </c>
      <c r="C4271" s="221">
        <v>42980.644594907404</v>
      </c>
      <c r="D4271" t="s">
        <v>23395</v>
      </c>
      <c r="E4271" s="249" t="str">
        <f>HYPERLINK("https://www.instagram.com/p/BYjOUOjBpMa/")</f>
        <v>https://www.instagram.com/p/BYjOUOjBpMa/</v>
      </c>
      <c r="F4271" t="s">
        <v>21466</v>
      </c>
      <c r="G4271" t="s">
        <v>2478</v>
      </c>
      <c r="H4271">
        <v>69133</v>
      </c>
      <c r="I4271" t="s">
        <v>2479</v>
      </c>
      <c r="J4271">
        <v>0</v>
      </c>
      <c r="K4271">
        <v>13</v>
      </c>
      <c r="L4271">
        <v>13</v>
      </c>
      <c r="Q4271">
        <v>0</v>
      </c>
      <c r="R4271">
        <v>0</v>
      </c>
      <c r="S4271">
        <v>13</v>
      </c>
      <c r="Y4271" t="s">
        <v>4803</v>
      </c>
      <c r="Z4271" t="s">
        <v>6790</v>
      </c>
      <c r="AA4271" t="s">
        <v>13341</v>
      </c>
      <c r="AB4271" t="s">
        <v>3758</v>
      </c>
      <c r="AC4271" t="s">
        <v>3757</v>
      </c>
      <c r="AD4271" s="249" t="str">
        <f>HYPERLINK("https://scontent.cdninstagram.com/t51.2885-15/e35/p320x320/21224968_478086635902838_3173226644076756992_n.jpg")</f>
        <v>https://scontent.cdninstagram.com/t51.2885-15/e35/p320x320/21224968_478086635902838_3173226644076756992_n.jpg</v>
      </c>
      <c r="AE4271" s="249" t="str">
        <f>HYPERLINK("https://scontent.cdninstagram.com/t51.2885-19/s150x150/14701076_1598337030462226_7312252327623131136_a.jpg")</f>
        <v>https://scontent.cdninstagram.com/t51.2885-19/s150x150/14701076_1598337030462226_7312252327623131136_a.jpg</v>
      </c>
    </row>
    <row r="4272" spans="1:31" ht="15" x14ac:dyDescent="0.25">
      <c r="A4272" t="s">
        <v>2474</v>
      </c>
      <c r="B4272" t="s">
        <v>23396</v>
      </c>
      <c r="C4272" s="221">
        <v>42980.646180555559</v>
      </c>
      <c r="D4272" t="s">
        <v>23397</v>
      </c>
      <c r="E4272" s="249" t="str">
        <f>HYPERLINK("https://www.instagram.com/p/BYjOk5MDzLO/")</f>
        <v>https://www.instagram.com/p/BYjOk5MDzLO/</v>
      </c>
      <c r="F4272" t="s">
        <v>23398</v>
      </c>
      <c r="G4272" t="s">
        <v>2478</v>
      </c>
      <c r="H4272">
        <v>893</v>
      </c>
      <c r="I4272" t="s">
        <v>2479</v>
      </c>
      <c r="J4272">
        <v>3</v>
      </c>
      <c r="K4272">
        <v>66</v>
      </c>
      <c r="L4272">
        <v>69</v>
      </c>
      <c r="Q4272">
        <v>0</v>
      </c>
      <c r="R4272">
        <v>0</v>
      </c>
      <c r="S4272">
        <v>69</v>
      </c>
      <c r="Y4272" t="s">
        <v>2615</v>
      </c>
      <c r="Z4272" t="s">
        <v>23399</v>
      </c>
      <c r="AA4272" t="s">
        <v>3534</v>
      </c>
      <c r="AB4272" t="s">
        <v>4042</v>
      </c>
      <c r="AC4272" t="s">
        <v>2497</v>
      </c>
      <c r="AD4272" s="249" t="str">
        <f>HYPERLINK("https://scontent.cdninstagram.com/t51.2885-15/s320x320/e35/21224684_276912829472516_6255446302700601344_n.jpg")</f>
        <v>https://scontent.cdninstagram.com/t51.2885-15/s320x320/e35/21224684_276912829472516_6255446302700601344_n.jpg</v>
      </c>
      <c r="AE4272" s="249" t="str">
        <f>HYPERLINK("https://scontent.cdninstagram.com/t51.2885-19/s150x150/18011296_666300160227078_42329303588798464_a.jpg")</f>
        <v>https://scontent.cdninstagram.com/t51.2885-19/s150x150/18011296_666300160227078_42329303588798464_a.jpg</v>
      </c>
    </row>
    <row r="4273" spans="1:31" ht="15" x14ac:dyDescent="0.25">
      <c r="A4273" t="s">
        <v>2474</v>
      </c>
      <c r="B4273" t="s">
        <v>23400</v>
      </c>
      <c r="C4273" s="221">
        <v>42980.646678240744</v>
      </c>
      <c r="D4273" t="s">
        <v>23401</v>
      </c>
      <c r="E4273" s="249" t="str">
        <f>HYPERLINK("https://www.instagram.com/p/BYjOqIvl54D/")</f>
        <v>https://www.instagram.com/p/BYjOqIvl54D/</v>
      </c>
      <c r="F4273" t="s">
        <v>23402</v>
      </c>
      <c r="G4273" t="s">
        <v>2478</v>
      </c>
      <c r="H4273">
        <v>236</v>
      </c>
      <c r="I4273" t="s">
        <v>2479</v>
      </c>
      <c r="J4273">
        <v>1</v>
      </c>
      <c r="K4273">
        <v>13</v>
      </c>
      <c r="L4273">
        <v>14</v>
      </c>
      <c r="Q4273">
        <v>0</v>
      </c>
      <c r="R4273">
        <v>0</v>
      </c>
      <c r="S4273">
        <v>14</v>
      </c>
      <c r="T4273" t="s">
        <v>23403</v>
      </c>
      <c r="W4273">
        <v>50</v>
      </c>
      <c r="X4273">
        <v>-85</v>
      </c>
      <c r="Y4273" t="s">
        <v>4839</v>
      </c>
      <c r="Z4273" t="s">
        <v>23404</v>
      </c>
      <c r="AA4273" t="s">
        <v>23405</v>
      </c>
      <c r="AB4273" t="s">
        <v>23406</v>
      </c>
      <c r="AC4273" t="s">
        <v>23407</v>
      </c>
      <c r="AD4273" s="249" t="str">
        <f>HYPERLINK("https://scontent.cdninstagram.com/t51.2885-15/s320x320/e35/21294292_118213215568251_852887080856977408_n.jpg")</f>
        <v>https://scontent.cdninstagram.com/t51.2885-15/s320x320/e35/21294292_118213215568251_852887080856977408_n.jpg</v>
      </c>
      <c r="AE4273" s="249" t="str">
        <f>HYPERLINK("https://scontent.cdninstagram.com/t51.2885-19/s150x150/21041987_1302320866546560_4305115045295030272_a.jpg")</f>
        <v>https://scontent.cdninstagram.com/t51.2885-19/s150x150/21041987_1302320866546560_4305115045295030272_a.jpg</v>
      </c>
    </row>
    <row r="4274" spans="1:31" ht="15" x14ac:dyDescent="0.25">
      <c r="A4274" t="s">
        <v>2474</v>
      </c>
      <c r="B4274" t="s">
        <v>23408</v>
      </c>
      <c r="C4274" s="221">
        <v>42980.647847222222</v>
      </c>
      <c r="D4274" t="s">
        <v>23409</v>
      </c>
      <c r="E4274" s="249" t="str">
        <f>HYPERLINK("https://www.instagram.com/p/BYjO2hHBFAS/")</f>
        <v>https://www.instagram.com/p/BYjO2hHBFAS/</v>
      </c>
      <c r="F4274" t="s">
        <v>23410</v>
      </c>
      <c r="G4274" t="s">
        <v>2478</v>
      </c>
      <c r="H4274">
        <v>95</v>
      </c>
      <c r="I4274" t="s">
        <v>3170</v>
      </c>
      <c r="J4274">
        <v>0</v>
      </c>
      <c r="K4274">
        <v>11</v>
      </c>
      <c r="L4274">
        <v>11</v>
      </c>
      <c r="Q4274">
        <v>0</v>
      </c>
      <c r="R4274">
        <v>0</v>
      </c>
      <c r="S4274">
        <v>11</v>
      </c>
      <c r="Y4274" t="s">
        <v>23411</v>
      </c>
      <c r="Z4274" t="s">
        <v>2497</v>
      </c>
      <c r="AA4274" t="s">
        <v>23412</v>
      </c>
      <c r="AB4274" t="s">
        <v>23413</v>
      </c>
      <c r="AC4274" t="s">
        <v>23414</v>
      </c>
      <c r="AD4274" s="249" t="str">
        <f>HYPERLINK("https://scontent.cdninstagram.com/t51.2885-15/s320x320/e35/21371914_141541653114309_8171895374856847360_n.jpg")</f>
        <v>https://scontent.cdninstagram.com/t51.2885-15/s320x320/e35/21371914_141541653114309_8171895374856847360_n.jpg</v>
      </c>
      <c r="AE4274" s="249" t="str">
        <f>HYPERLINK("https://scontent.cdninstagram.com/t51.2885-19/s150x150/20067373_323680594763382_3616368909977911296_a.jpg")</f>
        <v>https://scontent.cdninstagram.com/t51.2885-19/s150x150/20067373_323680594763382_3616368909977911296_a.jpg</v>
      </c>
    </row>
    <row r="4275" spans="1:31" ht="15" x14ac:dyDescent="0.25">
      <c r="A4275" t="s">
        <v>2474</v>
      </c>
      <c r="B4275" t="s">
        <v>23415</v>
      </c>
      <c r="C4275" s="221">
        <v>42980.650879629633</v>
      </c>
      <c r="D4275" t="s">
        <v>23416</v>
      </c>
      <c r="E4275" s="249" t="str">
        <f>HYPERLINK("https://www.instagram.com/p/BYjPWc-Hlk4/")</f>
        <v>https://www.instagram.com/p/BYjPWc-Hlk4/</v>
      </c>
      <c r="F4275" t="s">
        <v>23417</v>
      </c>
      <c r="G4275" t="s">
        <v>2478</v>
      </c>
      <c r="H4275">
        <v>349</v>
      </c>
      <c r="I4275" t="s">
        <v>5670</v>
      </c>
      <c r="J4275">
        <v>1</v>
      </c>
      <c r="K4275">
        <v>22</v>
      </c>
      <c r="L4275">
        <v>23</v>
      </c>
      <c r="Q4275">
        <v>0</v>
      </c>
      <c r="R4275">
        <v>0</v>
      </c>
      <c r="S4275">
        <v>23</v>
      </c>
      <c r="Y4275" t="s">
        <v>2497</v>
      </c>
      <c r="Z4275" t="s">
        <v>23418</v>
      </c>
      <c r="AD4275" s="249" t="str">
        <f>HYPERLINK("https://scontent.cdninstagram.com/t51.2885-15/s320x320/e35/21296509_1412246072158647_4677164620216008704_n.jpg")</f>
        <v>https://scontent.cdninstagram.com/t51.2885-15/s320x320/e35/21296509_1412246072158647_4677164620216008704_n.jpg</v>
      </c>
      <c r="AE4275" s="249" t="str">
        <f>HYPERLINK("https://scontent.cdninstagram.com/t51.2885-19/s150x150/12353394_478833895628886_286164919_a.jpg")</f>
        <v>https://scontent.cdninstagram.com/t51.2885-19/s150x150/12353394_478833895628886_286164919_a.jpg</v>
      </c>
    </row>
    <row r="4276" spans="1:31" ht="15" x14ac:dyDescent="0.25">
      <c r="A4276" t="s">
        <v>2474</v>
      </c>
      <c r="B4276" t="s">
        <v>23419</v>
      </c>
      <c r="C4276" s="221">
        <v>42980.663159722222</v>
      </c>
      <c r="D4276" t="s">
        <v>23420</v>
      </c>
      <c r="E4276" s="249" t="str">
        <f>HYPERLINK("https://www.instagram.com/p/BYjRYDLgodQ/")</f>
        <v>https://www.instagram.com/p/BYjRYDLgodQ/</v>
      </c>
      <c r="F4276" t="s">
        <v>23421</v>
      </c>
      <c r="G4276" t="s">
        <v>2478</v>
      </c>
      <c r="H4276">
        <v>140</v>
      </c>
      <c r="I4276" t="s">
        <v>3170</v>
      </c>
      <c r="J4276">
        <v>3</v>
      </c>
      <c r="K4276">
        <v>28</v>
      </c>
      <c r="L4276">
        <v>31</v>
      </c>
      <c r="Q4276">
        <v>0</v>
      </c>
      <c r="R4276">
        <v>0</v>
      </c>
      <c r="S4276">
        <v>31</v>
      </c>
      <c r="T4276" t="s">
        <v>23422</v>
      </c>
      <c r="U4276" t="s">
        <v>314</v>
      </c>
      <c r="V4276" t="s">
        <v>2299</v>
      </c>
      <c r="W4276">
        <v>43.580561840529001</v>
      </c>
      <c r="X4276">
        <v>-116.140229702</v>
      </c>
      <c r="Y4276" t="s">
        <v>2497</v>
      </c>
      <c r="Z4276" t="s">
        <v>23423</v>
      </c>
      <c r="AA4276" t="s">
        <v>8013</v>
      </c>
      <c r="AB4276" t="s">
        <v>23424</v>
      </c>
      <c r="AC4276" t="s">
        <v>23425</v>
      </c>
      <c r="AD4276" s="249" t="str">
        <f>HYPERLINK("https://scontent.cdninstagram.com/t51.2885-15/s320x320/e35/21224893_344449372677419_9073868374219423744_n.jpg")</f>
        <v>https://scontent.cdninstagram.com/t51.2885-15/s320x320/e35/21224893_344449372677419_9073868374219423744_n.jpg</v>
      </c>
      <c r="AE4276" s="249" t="str">
        <f>HYPERLINK("https://scontent.cdninstagram.com/t51.2885-19/20634944_1723582717944223_4158389608024899584_a.jpg")</f>
        <v>https://scontent.cdninstagram.com/t51.2885-19/20634944_1723582717944223_4158389608024899584_a.jpg</v>
      </c>
    </row>
    <row r="4277" spans="1:31" ht="15" x14ac:dyDescent="0.25">
      <c r="A4277" t="s">
        <v>2474</v>
      </c>
      <c r="B4277" t="s">
        <v>20151</v>
      </c>
      <c r="C4277" s="221">
        <v>42980.6640162037</v>
      </c>
      <c r="D4277" t="s">
        <v>23426</v>
      </c>
      <c r="E4277" s="249" t="str">
        <f>HYPERLINK("https://www.instagram.com/p/BYjRhBUFh3L/")</f>
        <v>https://www.instagram.com/p/BYjRhBUFh3L/</v>
      </c>
      <c r="F4277" t="s">
        <v>23427</v>
      </c>
      <c r="G4277" t="s">
        <v>2478</v>
      </c>
      <c r="H4277">
        <v>58</v>
      </c>
      <c r="I4277" t="s">
        <v>2479</v>
      </c>
      <c r="J4277">
        <v>4</v>
      </c>
      <c r="K4277">
        <v>37</v>
      </c>
      <c r="L4277">
        <v>41</v>
      </c>
      <c r="Q4277">
        <v>0</v>
      </c>
      <c r="R4277">
        <v>0</v>
      </c>
      <c r="S4277">
        <v>41</v>
      </c>
      <c r="Y4277" t="s">
        <v>6550</v>
      </c>
      <c r="Z4277" t="s">
        <v>20155</v>
      </c>
      <c r="AA4277" t="s">
        <v>4253</v>
      </c>
      <c r="AB4277" t="s">
        <v>9762</v>
      </c>
      <c r="AC4277" t="s">
        <v>7418</v>
      </c>
      <c r="AD4277" s="249" t="str">
        <f>HYPERLINK("https://scontent.cdninstagram.com/t51.2885-15/e35/p320x320/21226933_221700261695253_2912056885467152384_n.jpg")</f>
        <v>https://scontent.cdninstagram.com/t51.2885-15/e35/p320x320/21226933_221700261695253_2912056885467152384_n.jpg</v>
      </c>
      <c r="AE4277" s="249" t="str">
        <f>HYPERLINK("https://scontent.cdninstagram.com/t51.2885-19/s150x150/21294696_294874230994630_4097685682724536320_a.jpg")</f>
        <v>https://scontent.cdninstagram.com/t51.2885-19/s150x150/21294696_294874230994630_4097685682724536320_a.jpg</v>
      </c>
    </row>
    <row r="4278" spans="1:31" ht="15" x14ac:dyDescent="0.25">
      <c r="A4278" t="s">
        <v>2474</v>
      </c>
      <c r="B4278" t="s">
        <v>23428</v>
      </c>
      <c r="C4278" s="221">
        <v>42980.67391203704</v>
      </c>
      <c r="D4278" t="s">
        <v>23429</v>
      </c>
      <c r="E4278" s="249" t="str">
        <f>HYPERLINK("https://www.instagram.com/p/BYjTJdxHaYi/")</f>
        <v>https://www.instagram.com/p/BYjTJdxHaYi/</v>
      </c>
      <c r="F4278" t="s">
        <v>23430</v>
      </c>
      <c r="G4278" t="s">
        <v>2478</v>
      </c>
      <c r="H4278">
        <v>51</v>
      </c>
      <c r="I4278" t="s">
        <v>2519</v>
      </c>
      <c r="J4278">
        <v>0</v>
      </c>
      <c r="K4278">
        <v>10</v>
      </c>
      <c r="L4278">
        <v>10</v>
      </c>
      <c r="Q4278">
        <v>0</v>
      </c>
      <c r="R4278">
        <v>0</v>
      </c>
      <c r="S4278">
        <v>10</v>
      </c>
      <c r="Y4278" t="s">
        <v>2497</v>
      </c>
      <c r="Z4278" t="s">
        <v>23431</v>
      </c>
      <c r="AA4278" t="s">
        <v>3706</v>
      </c>
      <c r="AB4278" t="s">
        <v>2730</v>
      </c>
      <c r="AD4278" s="249" t="str">
        <f>HYPERLINK("https://scontent.cdninstagram.com/t51.2885-15/e35/p320x320/21224809_1952336588126432_5520653011254247424_n.jpg")</f>
        <v>https://scontent.cdninstagram.com/t51.2885-15/e35/p320x320/21224809_1952336588126432_5520653011254247424_n.jpg</v>
      </c>
      <c r="AE4278" s="249" t="str">
        <f>HYPERLINK("https://scontent.cdninstagram.com/t51.2885-19/s150x150/20837080_1591844374180224_2767433551220572160_a.jpg")</f>
        <v>https://scontent.cdninstagram.com/t51.2885-19/s150x150/20837080_1591844374180224_2767433551220572160_a.jpg</v>
      </c>
    </row>
    <row r="4279" spans="1:31" ht="15" x14ac:dyDescent="0.25">
      <c r="A4279" t="s">
        <v>2474</v>
      </c>
      <c r="B4279" t="s">
        <v>23432</v>
      </c>
      <c r="C4279" s="221">
        <v>42980.681157407409</v>
      </c>
      <c r="D4279" t="s">
        <v>23433</v>
      </c>
      <c r="E4279" s="249" t="str">
        <f>HYPERLINK("https://www.instagram.com/p/BYjUVyDArUH/")</f>
        <v>https://www.instagram.com/p/BYjUVyDArUH/</v>
      </c>
      <c r="F4279" t="s">
        <v>23434</v>
      </c>
      <c r="G4279" t="s">
        <v>2478</v>
      </c>
      <c r="H4279">
        <v>188</v>
      </c>
      <c r="I4279" t="s">
        <v>2479</v>
      </c>
      <c r="J4279">
        <v>0</v>
      </c>
      <c r="K4279">
        <v>9</v>
      </c>
      <c r="L4279">
        <v>9</v>
      </c>
      <c r="Q4279">
        <v>0</v>
      </c>
      <c r="R4279">
        <v>0</v>
      </c>
      <c r="S4279">
        <v>9</v>
      </c>
      <c r="Y4279" t="s">
        <v>4042</v>
      </c>
      <c r="Z4279" t="s">
        <v>2497</v>
      </c>
      <c r="AD4279" s="249" t="str">
        <f>HYPERLINK("https://scontent.cdninstagram.com/t51.2885-15/s320x320/e35/21227499_271289680034190_6209061235724386304_n.jpg")</f>
        <v>https://scontent.cdninstagram.com/t51.2885-15/s320x320/e35/21227499_271289680034190_6209061235724386304_n.jpg</v>
      </c>
      <c r="AE4279" s="249" t="str">
        <f>HYPERLINK("https://scontent.cdninstagram.com/t51.2885-19/s150x150/20225846_788823637965211_2054342149700321280_a.jpg")</f>
        <v>https://scontent.cdninstagram.com/t51.2885-19/s150x150/20225846_788823637965211_2054342149700321280_a.jpg</v>
      </c>
    </row>
    <row r="4280" spans="1:31" ht="15" x14ac:dyDescent="0.25">
      <c r="A4280" t="s">
        <v>2474</v>
      </c>
      <c r="B4280" t="s">
        <v>23435</v>
      </c>
      <c r="C4280" s="221">
        <v>42980.694004629629</v>
      </c>
      <c r="D4280" t="s">
        <v>23436</v>
      </c>
      <c r="E4280" s="249" t="str">
        <f>HYPERLINK("https://www.instagram.com/p/BYjWdRfBUWY/")</f>
        <v>https://www.instagram.com/p/BYjWdRfBUWY/</v>
      </c>
      <c r="F4280" t="s">
        <v>23437</v>
      </c>
      <c r="G4280" t="s">
        <v>2478</v>
      </c>
      <c r="H4280">
        <v>380</v>
      </c>
      <c r="I4280" t="s">
        <v>2479</v>
      </c>
      <c r="J4280">
        <v>4</v>
      </c>
      <c r="K4280">
        <v>51</v>
      </c>
      <c r="L4280">
        <v>55</v>
      </c>
      <c r="Q4280">
        <v>0</v>
      </c>
      <c r="R4280">
        <v>0</v>
      </c>
      <c r="S4280">
        <v>55</v>
      </c>
      <c r="Y4280" t="s">
        <v>10385</v>
      </c>
      <c r="Z4280" t="s">
        <v>2497</v>
      </c>
      <c r="AA4280" t="s">
        <v>23438</v>
      </c>
      <c r="AB4280" t="s">
        <v>23439</v>
      </c>
      <c r="AC4280" t="s">
        <v>13269</v>
      </c>
      <c r="AD4280" s="249" t="str">
        <f>HYPERLINK("https://scontent.cdninstagram.com/t51.2885-15/s320x320/e35/21294704_985948438213548_3575512127336611840_n.jpg")</f>
        <v>https://scontent.cdninstagram.com/t51.2885-15/s320x320/e35/21294704_985948438213548_3575512127336611840_n.jpg</v>
      </c>
      <c r="AE4280" s="249" t="str">
        <f>HYPERLINK("https://scontent.cdninstagram.com/t51.2885-19/s150x150/20393707_1987200781560174_3366270954287136768_a.jpg")</f>
        <v>https://scontent.cdninstagram.com/t51.2885-19/s150x150/20393707_1987200781560174_3366270954287136768_a.jpg</v>
      </c>
    </row>
    <row r="4281" spans="1:31" ht="15" x14ac:dyDescent="0.25">
      <c r="A4281" t="s">
        <v>2474</v>
      </c>
      <c r="B4281" t="s">
        <v>23440</v>
      </c>
      <c r="C4281" s="221">
        <v>42980.697152777779</v>
      </c>
      <c r="D4281" t="s">
        <v>23441</v>
      </c>
      <c r="E4281" s="249" t="str">
        <f>HYPERLINK("https://www.instagram.com/p/BYjW-l9gtwt/")</f>
        <v>https://www.instagram.com/p/BYjW-l9gtwt/</v>
      </c>
      <c r="F4281" t="s">
        <v>23442</v>
      </c>
      <c r="G4281" t="s">
        <v>2478</v>
      </c>
      <c r="H4281">
        <v>165</v>
      </c>
      <c r="I4281" t="s">
        <v>2479</v>
      </c>
      <c r="J4281">
        <v>3</v>
      </c>
      <c r="K4281">
        <v>45</v>
      </c>
      <c r="L4281">
        <v>48</v>
      </c>
      <c r="Q4281">
        <v>0</v>
      </c>
      <c r="R4281">
        <v>0</v>
      </c>
      <c r="S4281">
        <v>48</v>
      </c>
      <c r="T4281" t="s">
        <v>11026</v>
      </c>
      <c r="V4281" t="s">
        <v>2264</v>
      </c>
      <c r="W4281">
        <v>40.5</v>
      </c>
      <c r="X4281">
        <v>-3.6666666666666998</v>
      </c>
      <c r="Y4281" t="s">
        <v>6619</v>
      </c>
      <c r="Z4281" t="s">
        <v>3849</v>
      </c>
      <c r="AA4281" t="s">
        <v>23443</v>
      </c>
      <c r="AB4281" t="s">
        <v>23444</v>
      </c>
      <c r="AC4281" t="s">
        <v>3174</v>
      </c>
      <c r="AD4281" s="249" t="str">
        <f>HYPERLINK("https://scontent.cdninstagram.com/t51.2885-15/s320x320/e35/21227157_1474501232634756_8447477063731904512_n.jpg")</f>
        <v>https://scontent.cdninstagram.com/t51.2885-15/s320x320/e35/21227157_1474501232634756_8447477063731904512_n.jpg</v>
      </c>
      <c r="AE4281" s="249" t="str">
        <f>HYPERLINK("https://scontent.cdninstagram.com/t51.2885-19/s150x150/20986825_125726681396519_4995581873359945728_a.jpg")</f>
        <v>https://scontent.cdninstagram.com/t51.2885-19/s150x150/20986825_125726681396519_4995581873359945728_a.jpg</v>
      </c>
    </row>
    <row r="4282" spans="1:31" ht="15" x14ac:dyDescent="0.25">
      <c r="A4282" t="s">
        <v>2474</v>
      </c>
      <c r="B4282" t="s">
        <v>23445</v>
      </c>
      <c r="C4282" s="221">
        <v>42980.714375000003</v>
      </c>
      <c r="D4282" t="s">
        <v>23446</v>
      </c>
      <c r="E4282" s="249" t="str">
        <f>HYPERLINK("https://www.instagram.com/p/BYjZ0I1nV6N/")</f>
        <v>https://www.instagram.com/p/BYjZ0I1nV6N/</v>
      </c>
      <c r="F4282" t="s">
        <v>23447</v>
      </c>
      <c r="G4282" t="s">
        <v>2478</v>
      </c>
      <c r="H4282">
        <v>124</v>
      </c>
      <c r="I4282" t="s">
        <v>2479</v>
      </c>
      <c r="J4282">
        <v>1</v>
      </c>
      <c r="K4282">
        <v>6</v>
      </c>
      <c r="L4282">
        <v>7</v>
      </c>
      <c r="Q4282">
        <v>0</v>
      </c>
      <c r="R4282">
        <v>0</v>
      </c>
      <c r="S4282">
        <v>7</v>
      </c>
      <c r="Y4282" t="s">
        <v>23448</v>
      </c>
      <c r="Z4282" t="s">
        <v>23449</v>
      </c>
      <c r="AA4282" t="s">
        <v>23450</v>
      </c>
      <c r="AB4282" t="s">
        <v>23451</v>
      </c>
      <c r="AC4282" t="s">
        <v>23452</v>
      </c>
      <c r="AD4282" s="249" t="str">
        <f>HYPERLINK("https://scontent.cdninstagram.com/t51.2885-15/s320x320/e35/21371881_1409221775794216_8124891201229815808_n.jpg")</f>
        <v>https://scontent.cdninstagram.com/t51.2885-15/s320x320/e35/21371881_1409221775794216_8124891201229815808_n.jpg</v>
      </c>
      <c r="AE4282" s="249" t="str">
        <f>HYPERLINK("https://scontent.cdninstagram.com/t51.2885-19/s150x150/20213918_1949875505258914_2818453957356027904_a.jpg")</f>
        <v>https://scontent.cdninstagram.com/t51.2885-19/s150x150/20213918_1949875505258914_2818453957356027904_a.jpg</v>
      </c>
    </row>
    <row r="4283" spans="1:31" ht="15" x14ac:dyDescent="0.25">
      <c r="A4283" t="s">
        <v>2474</v>
      </c>
      <c r="B4283" t="s">
        <v>11701</v>
      </c>
      <c r="C4283" s="221">
        <v>42980.7265162037</v>
      </c>
      <c r="D4283" t="s">
        <v>23453</v>
      </c>
      <c r="E4283" s="249" t="str">
        <f>HYPERLINK("https://www.instagram.com/p/BYjb0PvBm-J/")</f>
        <v>https://www.instagram.com/p/BYjb0PvBm-J/</v>
      </c>
      <c r="F4283" t="s">
        <v>23454</v>
      </c>
      <c r="G4283" t="s">
        <v>2478</v>
      </c>
      <c r="H4283">
        <v>145</v>
      </c>
      <c r="I4283" t="s">
        <v>4062</v>
      </c>
      <c r="J4283">
        <v>1</v>
      </c>
      <c r="K4283">
        <v>50</v>
      </c>
      <c r="L4283">
        <v>51</v>
      </c>
      <c r="Q4283">
        <v>0</v>
      </c>
      <c r="R4283">
        <v>0</v>
      </c>
      <c r="S4283">
        <v>51</v>
      </c>
      <c r="Y4283" t="s">
        <v>23455</v>
      </c>
      <c r="Z4283" t="s">
        <v>7374</v>
      </c>
      <c r="AA4283" t="s">
        <v>23456</v>
      </c>
      <c r="AB4283" t="s">
        <v>2911</v>
      </c>
      <c r="AC4283" t="s">
        <v>5982</v>
      </c>
      <c r="AD4283" s="249" t="str">
        <f>HYPERLINK("https://scontent.cdninstagram.com/t51.2885-15/e35/p320x320/21296663_1918031111803835_6911416498904891392_n.jpg")</f>
        <v>https://scontent.cdninstagram.com/t51.2885-15/e35/p320x320/21296663_1918031111803835_6911416498904891392_n.jpg</v>
      </c>
      <c r="AE4283" s="249" t="str">
        <f>HYPERLINK("https://scontent.cdninstagram.com/t51.2885-19/s150x150/21433924_103894710327633_8346754913795047424_a.jpg")</f>
        <v>https://scontent.cdninstagram.com/t51.2885-19/s150x150/21433924_103894710327633_8346754913795047424_a.jpg</v>
      </c>
    </row>
    <row r="4284" spans="1:31" ht="15" x14ac:dyDescent="0.25">
      <c r="A4284" t="s">
        <v>2474</v>
      </c>
      <c r="B4284" t="s">
        <v>23457</v>
      </c>
      <c r="C4284" s="221">
        <v>42980.734432870369</v>
      </c>
      <c r="D4284" t="s">
        <v>23458</v>
      </c>
      <c r="E4284" s="249" t="str">
        <f>HYPERLINK("https://www.instagram.com/p/BYjdHudB139/")</f>
        <v>https://www.instagram.com/p/BYjdHudB139/</v>
      </c>
      <c r="F4284" t="s">
        <v>23459</v>
      </c>
      <c r="G4284" t="s">
        <v>2478</v>
      </c>
      <c r="H4284">
        <v>61</v>
      </c>
      <c r="I4284" t="s">
        <v>2927</v>
      </c>
      <c r="J4284">
        <v>0</v>
      </c>
      <c r="K4284">
        <v>9</v>
      </c>
      <c r="L4284">
        <v>9</v>
      </c>
      <c r="Q4284">
        <v>0</v>
      </c>
      <c r="R4284">
        <v>0</v>
      </c>
      <c r="S4284">
        <v>9</v>
      </c>
      <c r="T4284" t="s">
        <v>23460</v>
      </c>
      <c r="V4284" t="s">
        <v>2153</v>
      </c>
      <c r="W4284">
        <v>60.486493402500003</v>
      </c>
      <c r="X4284">
        <v>22.322646001593</v>
      </c>
      <c r="Y4284" t="s">
        <v>23461</v>
      </c>
      <c r="Z4284" t="s">
        <v>23462</v>
      </c>
      <c r="AA4284" t="s">
        <v>23463</v>
      </c>
      <c r="AB4284" t="s">
        <v>23464</v>
      </c>
      <c r="AC4284" t="s">
        <v>23465</v>
      </c>
      <c r="AD4284" s="249" t="str">
        <f>HYPERLINK("https://scontent.cdninstagram.com/t51.2885-15/s320x320/e35/21296639_142104059726843_5256601174970204160_n.jpg")</f>
        <v>https://scontent.cdninstagram.com/t51.2885-15/s320x320/e35/21296639_142104059726843_5256601174970204160_n.jpg</v>
      </c>
      <c r="AE4284" s="249" t="str">
        <f>HYPERLINK("https://scontent.cdninstagram.com/t51.2885-19/s150x150/21296062_1149230318510571_1545836975544598528_a.jpg")</f>
        <v>https://scontent.cdninstagram.com/t51.2885-19/s150x150/21296062_1149230318510571_1545836975544598528_a.jpg</v>
      </c>
    </row>
    <row r="4285" spans="1:31" ht="15" x14ac:dyDescent="0.25">
      <c r="A4285" t="s">
        <v>2474</v>
      </c>
      <c r="B4285" t="s">
        <v>23466</v>
      </c>
      <c r="C4285" s="221">
        <v>42980.740902777776</v>
      </c>
      <c r="D4285" t="s">
        <v>23467</v>
      </c>
      <c r="E4285" s="249" t="str">
        <f>HYPERLINK("https://www.instagram.com/p/BYjeL7-Dw4b/")</f>
        <v>https://www.instagram.com/p/BYjeL7-Dw4b/</v>
      </c>
      <c r="F4285" t="s">
        <v>23468</v>
      </c>
      <c r="G4285" t="s">
        <v>2478</v>
      </c>
      <c r="H4285">
        <v>274</v>
      </c>
      <c r="I4285" t="s">
        <v>23469</v>
      </c>
      <c r="J4285">
        <v>0</v>
      </c>
      <c r="K4285">
        <v>53</v>
      </c>
      <c r="L4285">
        <v>53</v>
      </c>
      <c r="Q4285">
        <v>0</v>
      </c>
      <c r="R4285">
        <v>0</v>
      </c>
      <c r="S4285">
        <v>53</v>
      </c>
      <c r="Y4285" t="s">
        <v>3268</v>
      </c>
      <c r="Z4285" t="s">
        <v>23470</v>
      </c>
      <c r="AA4285" t="s">
        <v>2696</v>
      </c>
      <c r="AB4285" t="s">
        <v>2529</v>
      </c>
      <c r="AC4285" t="s">
        <v>2497</v>
      </c>
      <c r="AD4285" s="249" t="str">
        <f>HYPERLINK("https://scontent.cdninstagram.com/t51.2885-15/s320x320/e35/21224913_167290447162902_7933230093827047424_n.jpg")</f>
        <v>https://scontent.cdninstagram.com/t51.2885-15/s320x320/e35/21224913_167290447162902_7933230093827047424_n.jpg</v>
      </c>
      <c r="AE4285" s="249" t="str">
        <f>HYPERLINK("https://scontent.cdninstagram.com/t51.2885-19/s150x150/21296290_723392827871941_3708790292585906176_a.jpg")</f>
        <v>https://scontent.cdninstagram.com/t51.2885-19/s150x150/21296290_723392827871941_3708790292585906176_a.jpg</v>
      </c>
    </row>
    <row r="4286" spans="1:31" ht="15" x14ac:dyDescent="0.25">
      <c r="A4286" t="s">
        <v>2474</v>
      </c>
      <c r="B4286" t="s">
        <v>2516</v>
      </c>
      <c r="C4286" s="221">
        <v>42980.744722222225</v>
      </c>
      <c r="D4286" t="s">
        <v>23471</v>
      </c>
      <c r="E4286" s="249" t="str">
        <f>HYPERLINK("https://www.instagram.com/p/BYje0MPD8MD/")</f>
        <v>https://www.instagram.com/p/BYje0MPD8MD/</v>
      </c>
      <c r="F4286" t="s">
        <v>23472</v>
      </c>
      <c r="G4286" t="s">
        <v>2478</v>
      </c>
      <c r="H4286">
        <v>688</v>
      </c>
      <c r="I4286" t="s">
        <v>2479</v>
      </c>
      <c r="J4286">
        <v>0</v>
      </c>
      <c r="K4286">
        <v>37</v>
      </c>
      <c r="L4286">
        <v>37</v>
      </c>
      <c r="Q4286">
        <v>0</v>
      </c>
      <c r="R4286">
        <v>0</v>
      </c>
      <c r="S4286">
        <v>37</v>
      </c>
      <c r="Y4286" t="s">
        <v>6550</v>
      </c>
      <c r="Z4286" t="s">
        <v>23473</v>
      </c>
      <c r="AA4286" t="s">
        <v>23474</v>
      </c>
      <c r="AB4286" t="s">
        <v>2696</v>
      </c>
      <c r="AC4286" t="s">
        <v>2906</v>
      </c>
      <c r="AD4286" s="249" t="str">
        <f>HYPERLINK("https://scontent.cdninstagram.com/t51.2885-15/s320x320/e35/21296465_1942493002691610_2561734643858538496_n.jpg")</f>
        <v>https://scontent.cdninstagram.com/t51.2885-15/s320x320/e35/21296465_1942493002691610_2561734643858538496_n.jpg</v>
      </c>
      <c r="AE4286" s="249" t="str">
        <f>HYPERLINK("https://scontent.cdninstagram.com/t51.2885-19/s150x150/21372563_140209839921980_5104164354614362112_a.jpg")</f>
        <v>https://scontent.cdninstagram.com/t51.2885-19/s150x150/21372563_140209839921980_5104164354614362112_a.jpg</v>
      </c>
    </row>
    <row r="4287" spans="1:31" ht="15" x14ac:dyDescent="0.25">
      <c r="A4287" t="s">
        <v>2474</v>
      </c>
      <c r="B4287" t="s">
        <v>23475</v>
      </c>
      <c r="C4287" s="221">
        <v>42980.746574074074</v>
      </c>
      <c r="D4287" t="s">
        <v>23476</v>
      </c>
      <c r="E4287" s="249" t="str">
        <f>HYPERLINK("https://www.instagram.com/p/BYjfHxghjqH/")</f>
        <v>https://www.instagram.com/p/BYjfHxghjqH/</v>
      </c>
      <c r="F4287" t="s">
        <v>23477</v>
      </c>
      <c r="G4287" t="s">
        <v>2478</v>
      </c>
      <c r="H4287">
        <v>376</v>
      </c>
      <c r="I4287" t="s">
        <v>2479</v>
      </c>
      <c r="J4287">
        <v>2</v>
      </c>
      <c r="K4287">
        <v>98</v>
      </c>
      <c r="L4287">
        <v>100</v>
      </c>
      <c r="Q4287">
        <v>0</v>
      </c>
      <c r="R4287">
        <v>0</v>
      </c>
      <c r="S4287">
        <v>100</v>
      </c>
      <c r="T4287" t="s">
        <v>23478</v>
      </c>
      <c r="V4287" t="s">
        <v>2164</v>
      </c>
      <c r="W4287">
        <v>36.415549689999999</v>
      </c>
      <c r="X4287">
        <v>28.15495378</v>
      </c>
      <c r="Y4287" t="s">
        <v>18018</v>
      </c>
      <c r="Z4287" t="s">
        <v>2497</v>
      </c>
      <c r="AA4287" t="s">
        <v>23479</v>
      </c>
      <c r="AB4287" t="s">
        <v>6429</v>
      </c>
      <c r="AC4287" t="s">
        <v>4778</v>
      </c>
      <c r="AD4287" s="249" t="str">
        <f>HYPERLINK("https://scontent.cdninstagram.com/t51.2885-15/s320x320/e35/21294936_1151536641612749_4550472765840293888_n.jpg")</f>
        <v>https://scontent.cdninstagram.com/t51.2885-15/s320x320/e35/21294936_1151536641612749_4550472765840293888_n.jpg</v>
      </c>
      <c r="AE4287" s="249" t="str">
        <f>HYPERLINK("https://scontent.cdninstagram.com/t51.2885-19/s150x150/19429200_118314462110045_4647292594391351296_a.jpg")</f>
        <v>https://scontent.cdninstagram.com/t51.2885-19/s150x150/19429200_118314462110045_4647292594391351296_a.jpg</v>
      </c>
    </row>
    <row r="4288" spans="1:31" ht="15" x14ac:dyDescent="0.25">
      <c r="A4288" t="s">
        <v>2474</v>
      </c>
      <c r="B4288" t="s">
        <v>23480</v>
      </c>
      <c r="C4288" s="221">
        <v>42980.758842592593</v>
      </c>
      <c r="D4288" t="s">
        <v>23481</v>
      </c>
      <c r="E4288" s="249" t="str">
        <f>HYPERLINK("https://www.instagram.com/p/BYjhJKSgSAN/")</f>
        <v>https://www.instagram.com/p/BYjhJKSgSAN/</v>
      </c>
      <c r="F4288" t="s">
        <v>23482</v>
      </c>
      <c r="G4288" t="s">
        <v>2478</v>
      </c>
      <c r="H4288">
        <v>633</v>
      </c>
      <c r="I4288" t="s">
        <v>2599</v>
      </c>
      <c r="J4288">
        <v>1</v>
      </c>
      <c r="K4288">
        <v>32</v>
      </c>
      <c r="L4288">
        <v>33</v>
      </c>
      <c r="Q4288">
        <v>0</v>
      </c>
      <c r="R4288">
        <v>0</v>
      </c>
      <c r="S4288">
        <v>33</v>
      </c>
      <c r="Y4288" t="s">
        <v>23483</v>
      </c>
      <c r="Z4288" t="s">
        <v>3543</v>
      </c>
      <c r="AA4288" t="s">
        <v>23484</v>
      </c>
      <c r="AB4288" t="s">
        <v>7393</v>
      </c>
      <c r="AC4288" t="s">
        <v>11331</v>
      </c>
      <c r="AD4288" s="249" t="str">
        <f>HYPERLINK("https://scontent.cdninstagram.com/t51.2885-15/e35/p320x320/21295192_170151793553154_5655900788375945216_n.jpg")</f>
        <v>https://scontent.cdninstagram.com/t51.2885-15/e35/p320x320/21295192_170151793553154_5655900788375945216_n.jpg</v>
      </c>
      <c r="AE4288" s="249" t="str">
        <f>HYPERLINK("https://scontent.cdninstagram.com/t51.2885-19/s150x150/12338833_187501638262496_1215513768_a.jpg")</f>
        <v>https://scontent.cdninstagram.com/t51.2885-19/s150x150/12338833_187501638262496_1215513768_a.jpg</v>
      </c>
    </row>
    <row r="4289" spans="1:31" ht="15" x14ac:dyDescent="0.25">
      <c r="A4289" t="s">
        <v>2474</v>
      </c>
      <c r="B4289" t="s">
        <v>23485</v>
      </c>
      <c r="C4289" s="221">
        <v>42980.766238425924</v>
      </c>
      <c r="D4289" t="s">
        <v>23486</v>
      </c>
      <c r="E4289" s="249" t="str">
        <f>HYPERLINK("https://www.instagram.com/p/BYjiXIzgkjw/")</f>
        <v>https://www.instagram.com/p/BYjiXIzgkjw/</v>
      </c>
      <c r="F4289" t="s">
        <v>23487</v>
      </c>
      <c r="G4289" t="s">
        <v>2478</v>
      </c>
      <c r="H4289">
        <v>184</v>
      </c>
      <c r="I4289" t="s">
        <v>8378</v>
      </c>
      <c r="J4289">
        <v>2</v>
      </c>
      <c r="K4289">
        <v>61</v>
      </c>
      <c r="L4289">
        <v>63</v>
      </c>
      <c r="Q4289">
        <v>0</v>
      </c>
      <c r="R4289">
        <v>0</v>
      </c>
      <c r="S4289">
        <v>63</v>
      </c>
      <c r="T4289" t="s">
        <v>14751</v>
      </c>
      <c r="V4289" t="s">
        <v>2182</v>
      </c>
      <c r="W4289">
        <v>40</v>
      </c>
      <c r="X4289">
        <v>9</v>
      </c>
      <c r="Y4289" t="s">
        <v>6550</v>
      </c>
      <c r="Z4289" t="s">
        <v>23488</v>
      </c>
      <c r="AA4289" t="s">
        <v>23489</v>
      </c>
      <c r="AB4289" t="s">
        <v>3197</v>
      </c>
      <c r="AC4289" t="s">
        <v>4778</v>
      </c>
      <c r="AD4289" s="249" t="str">
        <f>HYPERLINK("https://scontent.cdninstagram.com/t51.2885-15/s320x320/e35/21227146_150403715551997_7987615203111993344_n.jpg")</f>
        <v>https://scontent.cdninstagram.com/t51.2885-15/s320x320/e35/21227146_150403715551997_7987615203111993344_n.jpg</v>
      </c>
      <c r="AE4289" s="249" t="str">
        <f>HYPERLINK("https://scontent.cdninstagram.com/t51.2885-19/s150x150/15875769_157463428074044_6846695348958658560_a.jpg")</f>
        <v>https://scontent.cdninstagram.com/t51.2885-19/s150x150/15875769_157463428074044_6846695348958658560_a.jpg</v>
      </c>
    </row>
    <row r="4290" spans="1:31" ht="15" x14ac:dyDescent="0.25">
      <c r="A4290" t="s">
        <v>2474</v>
      </c>
      <c r="B4290" t="s">
        <v>23490</v>
      </c>
      <c r="C4290" s="221">
        <v>42980.768125000002</v>
      </c>
      <c r="D4290" t="s">
        <v>23491</v>
      </c>
      <c r="E4290" s="249" t="str">
        <f>HYPERLINK("https://www.instagram.com/p/BYjirG9FziU/")</f>
        <v>https://www.instagram.com/p/BYjirG9FziU/</v>
      </c>
      <c r="F4290" t="s">
        <v>23492</v>
      </c>
      <c r="G4290" t="s">
        <v>2631</v>
      </c>
      <c r="H4290">
        <v>219</v>
      </c>
      <c r="I4290" t="s">
        <v>2510</v>
      </c>
      <c r="J4290">
        <v>2</v>
      </c>
      <c r="K4290">
        <v>67</v>
      </c>
      <c r="L4290">
        <v>69</v>
      </c>
      <c r="Q4290">
        <v>0</v>
      </c>
      <c r="R4290">
        <v>0</v>
      </c>
      <c r="S4290">
        <v>69</v>
      </c>
      <c r="Y4290" t="s">
        <v>23493</v>
      </c>
      <c r="Z4290" t="s">
        <v>2736</v>
      </c>
      <c r="AA4290" t="s">
        <v>23494</v>
      </c>
      <c r="AB4290" t="s">
        <v>23495</v>
      </c>
      <c r="AC4290" t="s">
        <v>15512</v>
      </c>
      <c r="AD4290" s="249" t="str">
        <f>HYPERLINK("https://scontent.cdninstagram.com/t51.2885-15/s320x320/e15/21296084_340420309732522_4015835262604017664_n.jpg")</f>
        <v>https://scontent.cdninstagram.com/t51.2885-15/s320x320/e15/21296084_340420309732522_4015835262604017664_n.jpg</v>
      </c>
      <c r="AE4290" s="249" t="str">
        <f>HYPERLINK("https://scontent.cdninstagram.com/t51.2885-19/s150x150/13320332_294445720895762_870154265_a.jpg")</f>
        <v>https://scontent.cdninstagram.com/t51.2885-19/s150x150/13320332_294445720895762_870154265_a.jpg</v>
      </c>
    </row>
    <row r="4291" spans="1:31" ht="15" x14ac:dyDescent="0.25">
      <c r="A4291" t="s">
        <v>2474</v>
      </c>
      <c r="B4291" t="s">
        <v>23496</v>
      </c>
      <c r="C4291" s="221">
        <v>42980.768333333333</v>
      </c>
      <c r="D4291" t="s">
        <v>23497</v>
      </c>
      <c r="E4291" s="249" t="str">
        <f>HYPERLINK("https://www.instagram.com/p/BYjitQ4l-87/")</f>
        <v>https://www.instagram.com/p/BYjitQ4l-87/</v>
      </c>
      <c r="F4291" t="s">
        <v>23498</v>
      </c>
      <c r="G4291" t="s">
        <v>2478</v>
      </c>
      <c r="H4291">
        <v>283</v>
      </c>
      <c r="I4291" t="s">
        <v>2542</v>
      </c>
      <c r="J4291">
        <v>3</v>
      </c>
      <c r="K4291">
        <v>34</v>
      </c>
      <c r="L4291">
        <v>37</v>
      </c>
      <c r="Q4291">
        <v>0</v>
      </c>
      <c r="R4291">
        <v>0</v>
      </c>
      <c r="S4291">
        <v>37</v>
      </c>
      <c r="Y4291" t="s">
        <v>6550</v>
      </c>
      <c r="Z4291" t="s">
        <v>8502</v>
      </c>
      <c r="AA4291" t="s">
        <v>2497</v>
      </c>
      <c r="AB4291" t="s">
        <v>23499</v>
      </c>
      <c r="AC4291" t="s">
        <v>2492</v>
      </c>
      <c r="AD4291" s="249" t="str">
        <f>HYPERLINK("https://scontent.cdninstagram.com/t51.2885-15/s320x320/e35/21227240_107432013329588_8395779431448182784_n.jpg")</f>
        <v>https://scontent.cdninstagram.com/t51.2885-15/s320x320/e35/21227240_107432013329588_8395779431448182784_n.jpg</v>
      </c>
      <c r="AE4291" s="249" t="str">
        <f>HYPERLINK("https://scontent.cdninstagram.com/t51.2885-19/s150x150/17438599_431535327193829_3278626576039673856_a.jpg")</f>
        <v>https://scontent.cdninstagram.com/t51.2885-19/s150x150/17438599_431535327193829_3278626576039673856_a.jpg</v>
      </c>
    </row>
    <row r="4292" spans="1:31" ht="15" x14ac:dyDescent="0.25">
      <c r="A4292" t="s">
        <v>2474</v>
      </c>
      <c r="B4292" t="s">
        <v>23500</v>
      </c>
      <c r="C4292" s="221">
        <v>42980.773310185185</v>
      </c>
      <c r="D4292" t="s">
        <v>23501</v>
      </c>
      <c r="E4292" s="249" t="str">
        <f>HYPERLINK("https://www.instagram.com/p/BYjjhtyFiBI/")</f>
        <v>https://www.instagram.com/p/BYjjhtyFiBI/</v>
      </c>
      <c r="F4292" t="s">
        <v>23502</v>
      </c>
      <c r="G4292" t="s">
        <v>2478</v>
      </c>
      <c r="H4292">
        <v>39</v>
      </c>
      <c r="I4292" t="s">
        <v>2599</v>
      </c>
      <c r="J4292">
        <v>0</v>
      </c>
      <c r="K4292">
        <v>12</v>
      </c>
      <c r="L4292">
        <v>12</v>
      </c>
      <c r="Q4292">
        <v>0</v>
      </c>
      <c r="R4292">
        <v>0</v>
      </c>
      <c r="S4292">
        <v>12</v>
      </c>
      <c r="Y4292" t="s">
        <v>23503</v>
      </c>
      <c r="Z4292" t="s">
        <v>2497</v>
      </c>
      <c r="AA4292" t="s">
        <v>23504</v>
      </c>
      <c r="AB4292" t="s">
        <v>23505</v>
      </c>
      <c r="AC4292" t="s">
        <v>23506</v>
      </c>
      <c r="AD4292" s="249" t="str">
        <f>HYPERLINK("https://scontent.cdninstagram.com/t51.2885-15/s320x320/e35/21227173_1927186867536958_323110183519649792_n.jpg")</f>
        <v>https://scontent.cdninstagram.com/t51.2885-15/s320x320/e35/21227173_1927186867536958_323110183519649792_n.jpg</v>
      </c>
      <c r="AE4292" s="249" t="str">
        <f>HYPERLINK("https://scontent.cdninstagram.com/t51.2885-19/s150x150/19121141_1398741893579844_8267023188156743680_a.jpg")</f>
        <v>https://scontent.cdninstagram.com/t51.2885-19/s150x150/19121141_1398741893579844_8267023188156743680_a.jpg</v>
      </c>
    </row>
    <row r="4293" spans="1:31" ht="15" x14ac:dyDescent="0.25">
      <c r="A4293" t="s">
        <v>2474</v>
      </c>
      <c r="B4293" t="s">
        <v>23507</v>
      </c>
      <c r="C4293" s="221">
        <v>42980.7809837963</v>
      </c>
      <c r="D4293" t="s">
        <v>23508</v>
      </c>
      <c r="E4293" s="249" t="str">
        <f>HYPERLINK("https://www.instagram.com/p/BYjkyqCDsuq/")</f>
        <v>https://www.instagram.com/p/BYjkyqCDsuq/</v>
      </c>
      <c r="F4293" t="s">
        <v>23509</v>
      </c>
      <c r="G4293" t="s">
        <v>2478</v>
      </c>
      <c r="H4293">
        <v>762</v>
      </c>
      <c r="I4293" t="s">
        <v>2479</v>
      </c>
      <c r="J4293">
        <v>0</v>
      </c>
      <c r="K4293">
        <v>30</v>
      </c>
      <c r="L4293">
        <v>30</v>
      </c>
      <c r="Q4293">
        <v>0</v>
      </c>
      <c r="R4293">
        <v>0</v>
      </c>
      <c r="S4293">
        <v>30</v>
      </c>
      <c r="Y4293" t="s">
        <v>23510</v>
      </c>
      <c r="Z4293" t="s">
        <v>23511</v>
      </c>
      <c r="AA4293" t="s">
        <v>23512</v>
      </c>
      <c r="AB4293" t="s">
        <v>18115</v>
      </c>
      <c r="AC4293" t="s">
        <v>16915</v>
      </c>
      <c r="AD4293" s="249" t="str">
        <f>HYPERLINK("https://scontent.cdninstagram.com/t51.2885-15/e35/21225012_362060767563299_2098376426456612864_n.jpg")</f>
        <v>https://scontent.cdninstagram.com/t51.2885-15/e35/21225012_362060767563299_2098376426456612864_n.jpg</v>
      </c>
      <c r="AE4293" s="249" t="str">
        <f>HYPERLINK("https://scontent.cdninstagram.com/t51.2885-19/10449095_529790883813633_1959308251_a.jpg")</f>
        <v>https://scontent.cdninstagram.com/t51.2885-19/10449095_529790883813633_1959308251_a.jpg</v>
      </c>
    </row>
    <row r="4294" spans="1:31" ht="15" x14ac:dyDescent="0.25">
      <c r="A4294" t="s">
        <v>2474</v>
      </c>
      <c r="B4294" t="s">
        <v>23513</v>
      </c>
      <c r="C4294" s="221">
        <v>42980.785532407404</v>
      </c>
      <c r="D4294" t="s">
        <v>23514</v>
      </c>
      <c r="E4294" s="249" t="str">
        <f>HYPERLINK("https://www.instagram.com/p/BYjliqggliY/")</f>
        <v>https://www.instagram.com/p/BYjliqggliY/</v>
      </c>
      <c r="F4294" t="s">
        <v>23515</v>
      </c>
      <c r="G4294" t="s">
        <v>2478</v>
      </c>
      <c r="H4294">
        <v>1771</v>
      </c>
      <c r="I4294" t="s">
        <v>2479</v>
      </c>
      <c r="J4294">
        <v>1</v>
      </c>
      <c r="K4294">
        <v>95</v>
      </c>
      <c r="L4294">
        <v>96</v>
      </c>
      <c r="Q4294">
        <v>0</v>
      </c>
      <c r="R4294">
        <v>0</v>
      </c>
      <c r="S4294">
        <v>96</v>
      </c>
      <c r="Y4294" t="s">
        <v>2665</v>
      </c>
      <c r="Z4294" t="s">
        <v>2497</v>
      </c>
      <c r="AA4294" t="s">
        <v>23516</v>
      </c>
      <c r="AD4294" s="249" t="str">
        <f>HYPERLINK("https://scontent.cdninstagram.com/t51.2885-15/s320x320/e35/21296497_977066345765581_2422951734990077952_n.jpg")</f>
        <v>https://scontent.cdninstagram.com/t51.2885-15/s320x320/e35/21296497_977066345765581_2422951734990077952_n.jpg</v>
      </c>
      <c r="AE4294" s="249" t="str">
        <f>HYPERLINK("https://scontent.cdninstagram.com/t51.2885-19/s150x150/14031541_684769591672458_1548701853_a.jpg")</f>
        <v>https://scontent.cdninstagram.com/t51.2885-19/s150x150/14031541_684769591672458_1548701853_a.jpg</v>
      </c>
    </row>
    <row r="4295" spans="1:31" ht="15" x14ac:dyDescent="0.25">
      <c r="A4295" t="s">
        <v>2474</v>
      </c>
      <c r="B4295" t="s">
        <v>7232</v>
      </c>
      <c r="C4295" s="221">
        <v>42980.786712962959</v>
      </c>
      <c r="D4295" t="s">
        <v>23517</v>
      </c>
      <c r="E4295" s="249" t="str">
        <f>HYPERLINK("https://www.instagram.com/p/BYjlvGNH5yv/")</f>
        <v>https://www.instagram.com/p/BYjlvGNH5yv/</v>
      </c>
      <c r="F4295" t="s">
        <v>23518</v>
      </c>
      <c r="G4295" t="s">
        <v>2478</v>
      </c>
      <c r="H4295">
        <v>524</v>
      </c>
      <c r="I4295" t="s">
        <v>2542</v>
      </c>
      <c r="J4295">
        <v>0</v>
      </c>
      <c r="K4295">
        <v>39</v>
      </c>
      <c r="L4295">
        <v>39</v>
      </c>
      <c r="Q4295">
        <v>0</v>
      </c>
      <c r="R4295">
        <v>0</v>
      </c>
      <c r="S4295">
        <v>39</v>
      </c>
      <c r="Y4295" t="s">
        <v>23519</v>
      </c>
      <c r="Z4295" t="s">
        <v>23520</v>
      </c>
      <c r="AA4295" t="s">
        <v>2497</v>
      </c>
      <c r="AB4295" t="s">
        <v>12174</v>
      </c>
      <c r="AC4295" t="s">
        <v>4161</v>
      </c>
      <c r="AD4295" s="249" t="str">
        <f>HYPERLINK("https://scontent.cdninstagram.com/t51.2885-15/e35/p320x320/21294891_1411536715608392_3908270413720846336_n.jpg")</f>
        <v>https://scontent.cdninstagram.com/t51.2885-15/e35/p320x320/21294891_1411536715608392_3908270413720846336_n.jpg</v>
      </c>
      <c r="AE4295" s="249" t="str">
        <f>HYPERLINK("https://scontent.cdninstagram.com/t51.2885-19/s150x150/14482263_1660577494243200_2334360342223650816_a.jpg")</f>
        <v>https://scontent.cdninstagram.com/t51.2885-19/s150x150/14482263_1660577494243200_2334360342223650816_a.jpg</v>
      </c>
    </row>
    <row r="4296" spans="1:31" ht="15" x14ac:dyDescent="0.25">
      <c r="A4296" t="s">
        <v>2474</v>
      </c>
      <c r="B4296" t="s">
        <v>23521</v>
      </c>
      <c r="C4296" s="221">
        <v>42980.790532407409</v>
      </c>
      <c r="D4296" t="s">
        <v>23522</v>
      </c>
      <c r="E4296" s="249" t="str">
        <f>HYPERLINK("https://www.instagram.com/p/BYjmXZhAisM/")</f>
        <v>https://www.instagram.com/p/BYjmXZhAisM/</v>
      </c>
      <c r="F4296" t="s">
        <v>23523</v>
      </c>
      <c r="G4296" t="s">
        <v>2478</v>
      </c>
      <c r="H4296">
        <v>2851</v>
      </c>
      <c r="I4296" t="s">
        <v>2479</v>
      </c>
      <c r="J4296">
        <v>4</v>
      </c>
      <c r="K4296">
        <v>1123</v>
      </c>
      <c r="L4296">
        <v>1127</v>
      </c>
      <c r="Q4296">
        <v>0</v>
      </c>
      <c r="R4296">
        <v>0</v>
      </c>
      <c r="S4296">
        <v>1127</v>
      </c>
      <c r="T4296" t="s">
        <v>6482</v>
      </c>
      <c r="U4296" t="s">
        <v>112</v>
      </c>
      <c r="V4296" t="s">
        <v>2299</v>
      </c>
      <c r="W4296">
        <v>29.762899999999998</v>
      </c>
      <c r="X4296">
        <v>-95.383200000000002</v>
      </c>
      <c r="Y4296" t="s">
        <v>3549</v>
      </c>
      <c r="Z4296" t="s">
        <v>23524</v>
      </c>
      <c r="AA4296" t="s">
        <v>13489</v>
      </c>
      <c r="AB4296" t="s">
        <v>10364</v>
      </c>
      <c r="AC4296" t="s">
        <v>3357</v>
      </c>
      <c r="AD4296" s="249" t="str">
        <f>HYPERLINK("https://scontent.cdninstagram.com/t51.2885-15/s320x320/e35/21294498_115333255854136_4139362138399440896_n.jpg")</f>
        <v>https://scontent.cdninstagram.com/t51.2885-15/s320x320/e35/21294498_115333255854136_4139362138399440896_n.jpg</v>
      </c>
      <c r="AE4296" s="249" t="str">
        <f>HYPERLINK("https://scontent.cdninstagram.com/t51.2885-19/s150x150/13167352_860978244007256_58300114_a.jpg")</f>
        <v>https://scontent.cdninstagram.com/t51.2885-19/s150x150/13167352_860978244007256_58300114_a.jpg</v>
      </c>
    </row>
    <row r="4297" spans="1:31" ht="15" x14ac:dyDescent="0.25">
      <c r="A4297" t="s">
        <v>2474</v>
      </c>
      <c r="B4297" t="s">
        <v>23525</v>
      </c>
      <c r="C4297" s="221">
        <v>42980.795520833337</v>
      </c>
      <c r="D4297" t="s">
        <v>23526</v>
      </c>
      <c r="E4297" s="249" t="str">
        <f>HYPERLINK("https://www.instagram.com/p/BYjnMDTBYvi/")</f>
        <v>https://www.instagram.com/p/BYjnMDTBYvi/</v>
      </c>
      <c r="F4297" t="s">
        <v>23527</v>
      </c>
      <c r="G4297" t="s">
        <v>2478</v>
      </c>
      <c r="H4297">
        <v>214</v>
      </c>
      <c r="I4297" t="s">
        <v>2479</v>
      </c>
      <c r="J4297">
        <v>1</v>
      </c>
      <c r="K4297">
        <v>22</v>
      </c>
      <c r="L4297">
        <v>23</v>
      </c>
      <c r="Q4297">
        <v>0</v>
      </c>
      <c r="R4297">
        <v>0</v>
      </c>
      <c r="S4297">
        <v>23</v>
      </c>
      <c r="Y4297" t="s">
        <v>2497</v>
      </c>
      <c r="Z4297" t="s">
        <v>23528</v>
      </c>
      <c r="AA4297" t="s">
        <v>23529</v>
      </c>
      <c r="AD4297" s="249" t="str">
        <f>HYPERLINK("https://scontent.cdninstagram.com/t51.2885-15/e35/p320x320/21371702_168267773731570_7863595789056999424_n.jpg")</f>
        <v>https://scontent.cdninstagram.com/t51.2885-15/e35/p320x320/21371702_168267773731570_7863595789056999424_n.jpg</v>
      </c>
      <c r="AE4297" s="249" t="str">
        <f>HYPERLINK("https://scontent.cdninstagram.com/t51.2885-19/s150x150/21107856_493138901050209_8516263060921384960_a.jpg")</f>
        <v>https://scontent.cdninstagram.com/t51.2885-19/s150x150/21107856_493138901050209_8516263060921384960_a.jpg</v>
      </c>
    </row>
    <row r="4298" spans="1:31" ht="15" x14ac:dyDescent="0.25">
      <c r="A4298" t="s">
        <v>2474</v>
      </c>
      <c r="B4298" t="s">
        <v>23530</v>
      </c>
      <c r="C4298" s="221">
        <v>42980.796956018516</v>
      </c>
      <c r="D4298" t="s">
        <v>23531</v>
      </c>
      <c r="E4298" s="249" t="str">
        <f>HYPERLINK("https://www.instagram.com/p/BYjnbJfD5iC/")</f>
        <v>https://www.instagram.com/p/BYjnbJfD5iC/</v>
      </c>
      <c r="F4298" t="s">
        <v>23532</v>
      </c>
      <c r="G4298" t="s">
        <v>2478</v>
      </c>
      <c r="H4298">
        <v>1027</v>
      </c>
      <c r="I4298" t="s">
        <v>2479</v>
      </c>
      <c r="J4298">
        <v>0</v>
      </c>
      <c r="K4298">
        <v>28</v>
      </c>
      <c r="L4298">
        <v>28</v>
      </c>
      <c r="Q4298">
        <v>0</v>
      </c>
      <c r="R4298">
        <v>0</v>
      </c>
      <c r="S4298">
        <v>28</v>
      </c>
      <c r="Y4298" t="s">
        <v>23533</v>
      </c>
      <c r="Z4298" t="s">
        <v>2497</v>
      </c>
      <c r="AA4298" t="s">
        <v>23534</v>
      </c>
      <c r="AD4298" s="249" t="str">
        <f>HYPERLINK("https://scontent.cdninstagram.com/t51.2885-15/s320x320/e35/21296878_361025217663249_2938113219396370432_n.jpg")</f>
        <v>https://scontent.cdninstagram.com/t51.2885-15/s320x320/e35/21296878_361025217663249_2938113219396370432_n.jpg</v>
      </c>
      <c r="AE4298" s="249" t="str">
        <f>HYPERLINK("https://scontent.cdninstagram.com/t51.2885-19/s150x150/21227221_113840129285258_5021100314174947328_a.jpg")</f>
        <v>https://scontent.cdninstagram.com/t51.2885-19/s150x150/21227221_113840129285258_5021100314174947328_a.jpg</v>
      </c>
    </row>
    <row r="4299" spans="1:31" ht="15" x14ac:dyDescent="0.25">
      <c r="A4299" t="s">
        <v>2474</v>
      </c>
      <c r="B4299" t="s">
        <v>7232</v>
      </c>
      <c r="C4299" s="221">
        <v>42980.798564814817</v>
      </c>
      <c r="D4299" t="s">
        <v>23535</v>
      </c>
      <c r="E4299" s="249" t="str">
        <f>HYPERLINK("https://www.instagram.com/p/BYjnsK0HUfe/")</f>
        <v>https://www.instagram.com/p/BYjnsK0HUfe/</v>
      </c>
      <c r="F4299" t="s">
        <v>23536</v>
      </c>
      <c r="G4299" t="s">
        <v>2478</v>
      </c>
      <c r="H4299">
        <v>524</v>
      </c>
      <c r="I4299" t="s">
        <v>2479</v>
      </c>
      <c r="J4299">
        <v>5</v>
      </c>
      <c r="K4299">
        <v>42</v>
      </c>
      <c r="L4299">
        <v>47</v>
      </c>
      <c r="Q4299">
        <v>0</v>
      </c>
      <c r="R4299">
        <v>0</v>
      </c>
      <c r="S4299">
        <v>47</v>
      </c>
      <c r="Y4299" t="s">
        <v>23519</v>
      </c>
      <c r="Z4299" t="s">
        <v>23520</v>
      </c>
      <c r="AA4299" t="s">
        <v>2497</v>
      </c>
      <c r="AB4299" t="s">
        <v>12174</v>
      </c>
      <c r="AC4299" t="s">
        <v>4161</v>
      </c>
      <c r="AD4299" s="249" t="str">
        <f>HYPERLINK("https://scontent.cdninstagram.com/t51.2885-15/e35/p320x320/21224923_283801395464799_2627222505596649472_n.jpg")</f>
        <v>https://scontent.cdninstagram.com/t51.2885-15/e35/p320x320/21224923_283801395464799_2627222505596649472_n.jpg</v>
      </c>
      <c r="AE4299" s="249" t="str">
        <f>HYPERLINK("https://scontent.cdninstagram.com/t51.2885-19/s150x150/14482263_1660577494243200_2334360342223650816_a.jpg")</f>
        <v>https://scontent.cdninstagram.com/t51.2885-19/s150x150/14482263_1660577494243200_2334360342223650816_a.jpg</v>
      </c>
    </row>
    <row r="4300" spans="1:31" ht="15" x14ac:dyDescent="0.25">
      <c r="A4300" t="s">
        <v>2474</v>
      </c>
      <c r="B4300" t="s">
        <v>15182</v>
      </c>
      <c r="C4300" s="221">
        <v>42980.808020833334</v>
      </c>
      <c r="D4300" t="s">
        <v>23537</v>
      </c>
      <c r="E4300" s="249" t="str">
        <f>HYPERLINK("https://www.instagram.com/p/BYjpPyzAzC7/")</f>
        <v>https://www.instagram.com/p/BYjpPyzAzC7/</v>
      </c>
      <c r="F4300" t="s">
        <v>23538</v>
      </c>
      <c r="G4300" t="s">
        <v>2478</v>
      </c>
      <c r="H4300">
        <v>737</v>
      </c>
      <c r="I4300" t="s">
        <v>2479</v>
      </c>
      <c r="J4300">
        <v>5</v>
      </c>
      <c r="K4300">
        <v>84</v>
      </c>
      <c r="L4300">
        <v>89</v>
      </c>
      <c r="Q4300">
        <v>0</v>
      </c>
      <c r="R4300">
        <v>0</v>
      </c>
      <c r="S4300">
        <v>89</v>
      </c>
      <c r="Y4300" t="s">
        <v>23539</v>
      </c>
      <c r="Z4300" t="s">
        <v>4761</v>
      </c>
      <c r="AA4300" t="s">
        <v>10644</v>
      </c>
      <c r="AB4300" t="s">
        <v>23540</v>
      </c>
      <c r="AC4300" t="s">
        <v>23541</v>
      </c>
      <c r="AD4300" s="249" t="str">
        <f>HYPERLINK("https://scontent.cdninstagram.com/t51.2885-15/s320x320/e15/21224805_1230907627014235_578227375431483392_n.jpg")</f>
        <v>https://scontent.cdninstagram.com/t51.2885-15/s320x320/e15/21224805_1230907627014235_578227375431483392_n.jpg</v>
      </c>
      <c r="AE4300" s="249" t="str">
        <f>HYPERLINK("https://scontent.cdninstagram.com/t51.2885-19/s150x150/18513619_1254348571345625_691913201251516416_a.jpg")</f>
        <v>https://scontent.cdninstagram.com/t51.2885-19/s150x150/18513619_1254348571345625_691913201251516416_a.jpg</v>
      </c>
    </row>
    <row r="4301" spans="1:31" ht="15" x14ac:dyDescent="0.25">
      <c r="A4301" t="s">
        <v>2474</v>
      </c>
      <c r="B4301" t="s">
        <v>23542</v>
      </c>
      <c r="C4301" s="221">
        <v>42980.824016203704</v>
      </c>
      <c r="D4301" t="s">
        <v>23543</v>
      </c>
      <c r="E4301" s="249" t="str">
        <f>HYPERLINK("https://www.instagram.com/p/BYjr4ljBtNv/")</f>
        <v>https://www.instagram.com/p/BYjr4ljBtNv/</v>
      </c>
      <c r="F4301" t="s">
        <v>23544</v>
      </c>
      <c r="G4301" t="s">
        <v>2478</v>
      </c>
      <c r="H4301">
        <v>124</v>
      </c>
      <c r="I4301" t="s">
        <v>2479</v>
      </c>
      <c r="J4301">
        <v>0</v>
      </c>
      <c r="K4301">
        <v>18</v>
      </c>
      <c r="L4301">
        <v>18</v>
      </c>
      <c r="Q4301">
        <v>0</v>
      </c>
      <c r="R4301">
        <v>0</v>
      </c>
      <c r="S4301">
        <v>18</v>
      </c>
      <c r="Y4301" t="s">
        <v>2730</v>
      </c>
      <c r="Z4301" t="s">
        <v>23545</v>
      </c>
      <c r="AA4301" t="s">
        <v>9240</v>
      </c>
      <c r="AB4301" t="s">
        <v>2497</v>
      </c>
      <c r="AC4301" t="s">
        <v>23546</v>
      </c>
      <c r="AD4301" s="249" t="str">
        <f>HYPERLINK("https://scontent.cdninstagram.com/t51.2885-15/e35/p320x320/21372415_1042837299153390_3693206192730931200_n.jpg")</f>
        <v>https://scontent.cdninstagram.com/t51.2885-15/e35/p320x320/21372415_1042837299153390_3693206192730931200_n.jpg</v>
      </c>
      <c r="AE4301" s="249" t="str">
        <f>HYPERLINK("https://scontent.cdninstagram.com/t51.2885-19/10817895_227914034066155_1760181166_a.jpg")</f>
        <v>https://scontent.cdninstagram.com/t51.2885-19/10817895_227914034066155_1760181166_a.jpg</v>
      </c>
    </row>
    <row r="4302" spans="1:31" ht="15" x14ac:dyDescent="0.25">
      <c r="A4302" t="s">
        <v>2474</v>
      </c>
      <c r="B4302" t="s">
        <v>23547</v>
      </c>
      <c r="C4302" s="221">
        <v>42980.825555555559</v>
      </c>
      <c r="D4302" t="s">
        <v>23548</v>
      </c>
      <c r="E4302" s="249" t="str">
        <f>HYPERLINK("https://www.instagram.com/p/BYjsI0jH2si/")</f>
        <v>https://www.instagram.com/p/BYjsI0jH2si/</v>
      </c>
      <c r="F4302" t="s">
        <v>23544</v>
      </c>
      <c r="G4302" t="s">
        <v>2478</v>
      </c>
      <c r="H4302">
        <v>42</v>
      </c>
      <c r="I4302" t="s">
        <v>2479</v>
      </c>
      <c r="J4302">
        <v>0</v>
      </c>
      <c r="K4302">
        <v>20</v>
      </c>
      <c r="L4302">
        <v>20</v>
      </c>
      <c r="Q4302">
        <v>0</v>
      </c>
      <c r="R4302">
        <v>0</v>
      </c>
      <c r="S4302">
        <v>20</v>
      </c>
      <c r="Y4302" t="s">
        <v>2730</v>
      </c>
      <c r="Z4302" t="s">
        <v>23545</v>
      </c>
      <c r="AA4302" t="s">
        <v>9240</v>
      </c>
      <c r="AB4302" t="s">
        <v>2497</v>
      </c>
      <c r="AC4302" t="s">
        <v>23546</v>
      </c>
      <c r="AD4302" s="249" t="str">
        <f>HYPERLINK("https://scontent.cdninstagram.com/t51.2885-15/e35/p320x320/21294872_220665301797489_1131319193497501696_n.jpg")</f>
        <v>https://scontent.cdninstagram.com/t51.2885-15/e35/p320x320/21294872_220665301797489_1131319193497501696_n.jpg</v>
      </c>
      <c r="AE4302" s="249" t="str">
        <f>HYPERLINK("https://scontent.cdninstagram.com/t51.2885-19/s150x150/13098862_1675679749348943_1413249353_a.jpg")</f>
        <v>https://scontent.cdninstagram.com/t51.2885-19/s150x150/13098862_1675679749348943_1413249353_a.jpg</v>
      </c>
    </row>
    <row r="4303" spans="1:31" ht="15" x14ac:dyDescent="0.25">
      <c r="A4303" t="s">
        <v>2474</v>
      </c>
      <c r="B4303" t="s">
        <v>23549</v>
      </c>
      <c r="C4303" s="221">
        <v>42980.830127314817</v>
      </c>
      <c r="D4303" t="s">
        <v>23550</v>
      </c>
      <c r="E4303" s="249" t="str">
        <f>HYPERLINK("https://www.instagram.com/p/BYjs5EDHmek/")</f>
        <v>https://www.instagram.com/p/BYjs5EDHmek/</v>
      </c>
      <c r="F4303" t="s">
        <v>23551</v>
      </c>
      <c r="G4303" t="s">
        <v>2478</v>
      </c>
      <c r="H4303">
        <v>198</v>
      </c>
      <c r="I4303" t="s">
        <v>4052</v>
      </c>
      <c r="J4303">
        <v>0</v>
      </c>
      <c r="K4303">
        <v>15</v>
      </c>
      <c r="L4303">
        <v>15</v>
      </c>
      <c r="Q4303">
        <v>0</v>
      </c>
      <c r="R4303">
        <v>0</v>
      </c>
      <c r="S4303">
        <v>15</v>
      </c>
      <c r="Y4303" t="s">
        <v>23552</v>
      </c>
      <c r="Z4303" t="s">
        <v>16334</v>
      </c>
      <c r="AA4303" t="s">
        <v>23553</v>
      </c>
      <c r="AB4303" t="s">
        <v>8072</v>
      </c>
      <c r="AC4303" t="s">
        <v>9608</v>
      </c>
      <c r="AD4303" s="249" t="str">
        <f>HYPERLINK("https://scontent.cdninstagram.com/t51.2885-15/s320x320/e35/21371910_1553225874699877_8813034950203801600_n.jpg")</f>
        <v>https://scontent.cdninstagram.com/t51.2885-15/s320x320/e35/21371910_1553225874699877_8813034950203801600_n.jpg</v>
      </c>
      <c r="AE4303" s="249" t="str">
        <f>HYPERLINK("https://scontent.cdninstagram.com/t51.2885-19/10502640_1448024502132728_1235293127_a.jpg")</f>
        <v>https://scontent.cdninstagram.com/t51.2885-19/10502640_1448024502132728_1235293127_a.jpg</v>
      </c>
    </row>
    <row r="4304" spans="1:31" ht="15" x14ac:dyDescent="0.25">
      <c r="A4304" t="s">
        <v>2474</v>
      </c>
      <c r="B4304" t="s">
        <v>23554</v>
      </c>
      <c r="C4304" s="221">
        <v>42980.831111111111</v>
      </c>
      <c r="D4304" t="s">
        <v>23555</v>
      </c>
      <c r="E4304" s="249" t="str">
        <f>HYPERLINK("https://www.instagram.com/p/BYjtDXPHYLS/")</f>
        <v>https://www.instagram.com/p/BYjtDXPHYLS/</v>
      </c>
      <c r="F4304" t="s">
        <v>23556</v>
      </c>
      <c r="G4304" t="s">
        <v>2478</v>
      </c>
      <c r="H4304">
        <v>6633</v>
      </c>
      <c r="I4304" t="s">
        <v>2479</v>
      </c>
      <c r="J4304">
        <v>1</v>
      </c>
      <c r="K4304">
        <v>38</v>
      </c>
      <c r="L4304">
        <v>39</v>
      </c>
      <c r="Q4304">
        <v>0</v>
      </c>
      <c r="R4304">
        <v>0</v>
      </c>
      <c r="S4304">
        <v>39</v>
      </c>
      <c r="Y4304" t="s">
        <v>23557</v>
      </c>
      <c r="Z4304" t="s">
        <v>16743</v>
      </c>
      <c r="AA4304" t="s">
        <v>4347</v>
      </c>
      <c r="AB4304" t="s">
        <v>23558</v>
      </c>
      <c r="AC4304" t="s">
        <v>23559</v>
      </c>
      <c r="AD4304" s="249" t="str">
        <f>HYPERLINK("https://scontent.cdninstagram.com/t51.2885-15/s320x320/e35/21294729_1529591773773986_9003855614111121408_n.jpg")</f>
        <v>https://scontent.cdninstagram.com/t51.2885-15/s320x320/e35/21294729_1529591773773986_9003855614111121408_n.jpg</v>
      </c>
      <c r="AE4304" s="249" t="str">
        <f>HYPERLINK("https://scontent.cdninstagram.com/t51.2885-19/s150x150/14073064_291201274572209_1354384595_a.jpg")</f>
        <v>https://scontent.cdninstagram.com/t51.2885-19/s150x150/14073064_291201274572209_1354384595_a.jpg</v>
      </c>
    </row>
    <row r="4305" spans="1:31" ht="15" x14ac:dyDescent="0.25">
      <c r="A4305" t="s">
        <v>2474</v>
      </c>
      <c r="B4305" t="s">
        <v>23560</v>
      </c>
      <c r="C4305" s="221">
        <v>42980.833402777775</v>
      </c>
      <c r="D4305" t="s">
        <v>23561</v>
      </c>
      <c r="E4305" s="249" t="str">
        <f>HYPERLINK("https://www.instagram.com/p/BYjtbkxBjIC/")</f>
        <v>https://www.instagram.com/p/BYjtbkxBjIC/</v>
      </c>
      <c r="F4305" t="s">
        <v>23562</v>
      </c>
      <c r="G4305" t="s">
        <v>2631</v>
      </c>
      <c r="H4305">
        <v>873</v>
      </c>
      <c r="I4305" t="s">
        <v>2542</v>
      </c>
      <c r="J4305">
        <v>0</v>
      </c>
      <c r="K4305">
        <v>114</v>
      </c>
      <c r="L4305">
        <v>114</v>
      </c>
      <c r="Q4305">
        <v>0</v>
      </c>
      <c r="R4305">
        <v>0</v>
      </c>
      <c r="S4305">
        <v>114</v>
      </c>
      <c r="T4305" t="s">
        <v>23563</v>
      </c>
      <c r="V4305" t="s">
        <v>2220</v>
      </c>
      <c r="W4305">
        <v>-22.584013059566999</v>
      </c>
      <c r="X4305">
        <v>17.09268451818</v>
      </c>
      <c r="Y4305" t="s">
        <v>23564</v>
      </c>
      <c r="Z4305" t="s">
        <v>23565</v>
      </c>
      <c r="AA4305" t="s">
        <v>2861</v>
      </c>
      <c r="AB4305" t="s">
        <v>23566</v>
      </c>
      <c r="AC4305" t="s">
        <v>9669</v>
      </c>
      <c r="AD4305" s="249" t="str">
        <f>HYPERLINK("https://scontent.cdninstagram.com/t51.2885-15/e15/p320x320/21294795_114844992552717_2429442762014195712_n.jpg")</f>
        <v>https://scontent.cdninstagram.com/t51.2885-15/e15/p320x320/21294795_114844992552717_2429442762014195712_n.jpg</v>
      </c>
      <c r="AE4305" s="249" t="str">
        <f>HYPERLINK("https://scontent.cdninstagram.com/t51.2885-19/s150x150/21149601_928523780621507_7124804544483033088_a.jpg")</f>
        <v>https://scontent.cdninstagram.com/t51.2885-19/s150x150/21149601_928523780621507_7124804544483033088_a.jpg</v>
      </c>
    </row>
    <row r="4306" spans="1:31" ht="15" x14ac:dyDescent="0.25">
      <c r="A4306" t="s">
        <v>2474</v>
      </c>
      <c r="B4306" t="s">
        <v>23567</v>
      </c>
      <c r="C4306" s="221">
        <v>42980.867199074077</v>
      </c>
      <c r="D4306" t="s">
        <v>23568</v>
      </c>
      <c r="E4306" s="249" t="str">
        <f>HYPERLINK("https://www.instagram.com/p/BYjzABxl3mb/")</f>
        <v>https://www.instagram.com/p/BYjzABxl3mb/</v>
      </c>
      <c r="F4306" t="s">
        <v>23569</v>
      </c>
      <c r="G4306" t="s">
        <v>2478</v>
      </c>
      <c r="H4306">
        <v>19</v>
      </c>
      <c r="I4306" t="s">
        <v>3575</v>
      </c>
      <c r="J4306">
        <v>0</v>
      </c>
      <c r="K4306">
        <v>9</v>
      </c>
      <c r="L4306">
        <v>9</v>
      </c>
      <c r="Q4306">
        <v>0</v>
      </c>
      <c r="R4306">
        <v>0</v>
      </c>
      <c r="S4306">
        <v>9</v>
      </c>
      <c r="Y4306" t="s">
        <v>23570</v>
      </c>
      <c r="Z4306" t="s">
        <v>2497</v>
      </c>
      <c r="AA4306" t="s">
        <v>23571</v>
      </c>
      <c r="AD4306" s="249" t="str">
        <f>HYPERLINK("https://scontent.cdninstagram.com/t51.2885-15/s320x320/e35/21227710_1418173161584577_6214258562764374016_n.jpg")</f>
        <v>https://scontent.cdninstagram.com/t51.2885-15/s320x320/e35/21227710_1418173161584577_6214258562764374016_n.jpg</v>
      </c>
      <c r="AE4306" s="249" t="str">
        <f>HYPERLINK("https://scontent.cdninstagram.com/t51.2885-19/s150x150/20986664_334052983707436_7290824387891036160_a.jpg")</f>
        <v>https://scontent.cdninstagram.com/t51.2885-19/s150x150/20986664_334052983707436_7290824387891036160_a.jpg</v>
      </c>
    </row>
    <row r="4307" spans="1:31" ht="15" x14ac:dyDescent="0.25">
      <c r="A4307" t="s">
        <v>2474</v>
      </c>
      <c r="B4307" t="s">
        <v>20522</v>
      </c>
      <c r="C4307" s="221">
        <v>42980.877974537034</v>
      </c>
      <c r="D4307" t="s">
        <v>23572</v>
      </c>
      <c r="E4307" s="249" t="str">
        <f>HYPERLINK("https://www.instagram.com/p/BYj0xq5FwUH/")</f>
        <v>https://www.instagram.com/p/BYj0xq5FwUH/</v>
      </c>
      <c r="F4307" t="s">
        <v>23573</v>
      </c>
      <c r="G4307" t="s">
        <v>2478</v>
      </c>
      <c r="H4307">
        <v>323</v>
      </c>
      <c r="I4307" t="s">
        <v>2479</v>
      </c>
      <c r="J4307">
        <v>4</v>
      </c>
      <c r="K4307">
        <v>49</v>
      </c>
      <c r="L4307">
        <v>53</v>
      </c>
      <c r="Q4307">
        <v>0</v>
      </c>
      <c r="R4307">
        <v>0</v>
      </c>
      <c r="S4307">
        <v>53</v>
      </c>
      <c r="Y4307" t="s">
        <v>5307</v>
      </c>
      <c r="Z4307" t="s">
        <v>23574</v>
      </c>
      <c r="AA4307" t="s">
        <v>20861</v>
      </c>
      <c r="AB4307" t="s">
        <v>20527</v>
      </c>
      <c r="AC4307" t="s">
        <v>20862</v>
      </c>
      <c r="AD4307" s="249" t="str">
        <f>HYPERLINK("https://scontent.cdninstagram.com/t51.2885-15/s320x320/e35/21295195_1674286642601915_2070533837103824896_n.jpg")</f>
        <v>https://scontent.cdninstagram.com/t51.2885-15/s320x320/e35/21295195_1674286642601915_2070533837103824896_n.jpg</v>
      </c>
      <c r="AE4307" s="249" t="str">
        <f>HYPERLINK("https://scontent.cdninstagram.com/t51.2885-19/s150x150/20986902_269506990203786_5716462730647437312_a.jpg")</f>
        <v>https://scontent.cdninstagram.com/t51.2885-19/s150x150/20986902_269506990203786_5716462730647437312_a.jpg</v>
      </c>
    </row>
    <row r="4308" spans="1:31" ht="15" x14ac:dyDescent="0.25">
      <c r="A4308" t="s">
        <v>2474</v>
      </c>
      <c r="B4308" t="s">
        <v>23575</v>
      </c>
      <c r="C4308" s="221">
        <v>42980.911736111113</v>
      </c>
      <c r="D4308" t="s">
        <v>23576</v>
      </c>
      <c r="E4308" s="249" t="str">
        <f>HYPERLINK("https://www.instagram.com/p/BYj6VsSg09h/")</f>
        <v>https://www.instagram.com/p/BYj6VsSg09h/</v>
      </c>
      <c r="F4308" t="s">
        <v>23577</v>
      </c>
      <c r="G4308" t="s">
        <v>2478</v>
      </c>
      <c r="H4308">
        <v>57</v>
      </c>
      <c r="I4308" t="s">
        <v>2510</v>
      </c>
      <c r="J4308">
        <v>1</v>
      </c>
      <c r="K4308">
        <v>17</v>
      </c>
      <c r="L4308">
        <v>18</v>
      </c>
      <c r="Q4308">
        <v>0</v>
      </c>
      <c r="R4308">
        <v>0</v>
      </c>
      <c r="S4308">
        <v>18</v>
      </c>
      <c r="Y4308" t="s">
        <v>23578</v>
      </c>
      <c r="Z4308" t="s">
        <v>23579</v>
      </c>
      <c r="AA4308" t="s">
        <v>2497</v>
      </c>
      <c r="AB4308" t="s">
        <v>23580</v>
      </c>
      <c r="AD4308" s="249" t="str">
        <f>HYPERLINK("https://scontent.cdninstagram.com/t51.2885-15/e35/p320x320/21294494_1988341294784114_4979631421384556544_n.jpg")</f>
        <v>https://scontent.cdninstagram.com/t51.2885-15/e35/p320x320/21294494_1988341294784114_4979631421384556544_n.jpg</v>
      </c>
      <c r="AE4308" s="249" t="str">
        <f>HYPERLINK("https://scontent.cdninstagram.com/t51.2885-19/s150x150/21227048_114469295917628_6599868822612606976_a.jpg")</f>
        <v>https://scontent.cdninstagram.com/t51.2885-19/s150x150/21227048_114469295917628_6599868822612606976_a.jpg</v>
      </c>
    </row>
    <row r="4309" spans="1:31" ht="15" x14ac:dyDescent="0.25">
      <c r="A4309" t="s">
        <v>2474</v>
      </c>
      <c r="B4309" t="s">
        <v>6007</v>
      </c>
      <c r="C4309" s="221">
        <v>42980.916689814818</v>
      </c>
      <c r="D4309" t="s">
        <v>23581</v>
      </c>
      <c r="E4309" s="249" t="str">
        <f>HYPERLINK("https://www.instagram.com/p/BYj7J89j2gW/")</f>
        <v>https://www.instagram.com/p/BYj7J89j2gW/</v>
      </c>
      <c r="F4309" t="s">
        <v>23582</v>
      </c>
      <c r="G4309" t="s">
        <v>2478</v>
      </c>
      <c r="H4309">
        <v>284</v>
      </c>
      <c r="I4309" t="s">
        <v>2542</v>
      </c>
      <c r="J4309">
        <v>1</v>
      </c>
      <c r="K4309">
        <v>13</v>
      </c>
      <c r="L4309">
        <v>14</v>
      </c>
      <c r="Q4309">
        <v>0</v>
      </c>
      <c r="R4309">
        <v>0</v>
      </c>
      <c r="S4309">
        <v>14</v>
      </c>
      <c r="Y4309" t="s">
        <v>4987</v>
      </c>
      <c r="Z4309" t="s">
        <v>23583</v>
      </c>
      <c r="AA4309" t="s">
        <v>13746</v>
      </c>
      <c r="AB4309" t="s">
        <v>6746</v>
      </c>
      <c r="AC4309" t="s">
        <v>9946</v>
      </c>
      <c r="AD4309" s="249" t="str">
        <f>HYPERLINK("https://scontent.cdninstagram.com/t51.2885-15/s320x320/e35/21295179_378167905933157_5907955771684945920_n.jpg")</f>
        <v>https://scontent.cdninstagram.com/t51.2885-15/s320x320/e35/21295179_378167905933157_5907955771684945920_n.jpg</v>
      </c>
      <c r="AE4309" s="249" t="str">
        <f>HYPERLINK("https://scontent.cdninstagram.com/t51.2885-19/s150x150/20759940_820317361481773_6834587660057575424_a.jpg")</f>
        <v>https://scontent.cdninstagram.com/t51.2885-19/s150x150/20759940_820317361481773_6834587660057575424_a.jpg</v>
      </c>
    </row>
    <row r="4310" spans="1:31" ht="15" x14ac:dyDescent="0.25">
      <c r="A4310" t="s">
        <v>2474</v>
      </c>
      <c r="B4310" t="s">
        <v>5149</v>
      </c>
      <c r="C4310" s="221">
        <v>42980.951493055552</v>
      </c>
      <c r="D4310" t="s">
        <v>23584</v>
      </c>
      <c r="E4310" s="249" t="str">
        <f>HYPERLINK("https://www.instagram.com/p/BYkA5ASjLBv/")</f>
        <v>https://www.instagram.com/p/BYkA5ASjLBv/</v>
      </c>
      <c r="F4310" t="s">
        <v>21058</v>
      </c>
      <c r="G4310" t="s">
        <v>2478</v>
      </c>
      <c r="H4310">
        <v>64801</v>
      </c>
      <c r="I4310" t="s">
        <v>2479</v>
      </c>
      <c r="J4310">
        <v>0</v>
      </c>
      <c r="K4310">
        <v>46</v>
      </c>
      <c r="L4310">
        <v>46</v>
      </c>
      <c r="Q4310">
        <v>0</v>
      </c>
      <c r="R4310">
        <v>0</v>
      </c>
      <c r="S4310">
        <v>46</v>
      </c>
      <c r="Y4310" t="s">
        <v>21059</v>
      </c>
      <c r="Z4310" t="s">
        <v>2497</v>
      </c>
      <c r="AD4310" s="249" t="str">
        <f>HYPERLINK("https://scontent.cdninstagram.com/t51.2885-15/s320x320/e35/21294507_141721179762550_6102321557432958976_n.jpg")</f>
        <v>https://scontent.cdninstagram.com/t51.2885-15/s320x320/e35/21294507_141721179762550_6102321557432958976_n.jpg</v>
      </c>
      <c r="AE4310" s="249" t="str">
        <f>HYPERLINK("https://scontent.cdninstagram.com/t51.2885-19/s150x150/14128779_278010482584432_2056131760_a.jpg")</f>
        <v>https://scontent.cdninstagram.com/t51.2885-19/s150x150/14128779_278010482584432_2056131760_a.jpg</v>
      </c>
    </row>
    <row r="4311" spans="1:31" ht="15" x14ac:dyDescent="0.25">
      <c r="A4311" t="s">
        <v>2474</v>
      </c>
      <c r="B4311" t="s">
        <v>23585</v>
      </c>
      <c r="C4311" s="221">
        <v>42980.9528587963</v>
      </c>
      <c r="D4311" t="s">
        <v>23586</v>
      </c>
      <c r="E4311" s="249" t="str">
        <f>HYPERLINK("https://www.instagram.com/p/BYkBHajABYc/")</f>
        <v>https://www.instagram.com/p/BYkBHajABYc/</v>
      </c>
      <c r="F4311" t="s">
        <v>23587</v>
      </c>
      <c r="G4311" t="s">
        <v>2478</v>
      </c>
      <c r="I4311" t="s">
        <v>2479</v>
      </c>
      <c r="J4311">
        <v>3</v>
      </c>
      <c r="K4311">
        <v>52</v>
      </c>
      <c r="L4311">
        <v>55</v>
      </c>
      <c r="Q4311">
        <v>0</v>
      </c>
      <c r="R4311">
        <v>0</v>
      </c>
      <c r="S4311">
        <v>55</v>
      </c>
      <c r="Y4311" t="s">
        <v>23588</v>
      </c>
      <c r="Z4311" t="s">
        <v>6081</v>
      </c>
      <c r="AA4311" t="s">
        <v>2651</v>
      </c>
      <c r="AB4311" t="s">
        <v>3244</v>
      </c>
      <c r="AC4311" t="s">
        <v>5884</v>
      </c>
      <c r="AD4311" s="249" t="str">
        <f>HYPERLINK("https://scontent.cdninstagram.com/t51.2885-15/s320x320/e35/21296838_2036844659872369_7947127109053317120_n.jpg")</f>
        <v>https://scontent.cdninstagram.com/t51.2885-15/s320x320/e35/21296838_2036844659872369_7947127109053317120_n.jpg</v>
      </c>
      <c r="AE4311" s="249" t="str">
        <f>HYPERLINK("https://scontent.cdninstagram.com/t51.2885-19/10471938_1626641364217131_157644631_a.jpg")</f>
        <v>https://scontent.cdninstagram.com/t51.2885-19/10471938_1626641364217131_157644631_a.jpg</v>
      </c>
    </row>
    <row r="4312" spans="1:31" ht="15" x14ac:dyDescent="0.25">
      <c r="A4312" t="s">
        <v>2474</v>
      </c>
      <c r="B4312" t="s">
        <v>4535</v>
      </c>
      <c r="C4312" s="221">
        <v>42980.960162037038</v>
      </c>
      <c r="D4312" t="s">
        <v>23589</v>
      </c>
      <c r="E4312" s="249" t="str">
        <f>HYPERLINK("https://www.instagram.com/p/BYkCUf4FcFO/")</f>
        <v>https://www.instagram.com/p/BYkCUf4FcFO/</v>
      </c>
      <c r="F4312" t="s">
        <v>23590</v>
      </c>
      <c r="G4312" t="s">
        <v>2488</v>
      </c>
      <c r="H4312">
        <v>177</v>
      </c>
      <c r="I4312" t="s">
        <v>2479</v>
      </c>
      <c r="J4312">
        <v>0</v>
      </c>
      <c r="K4312">
        <v>18</v>
      </c>
      <c r="L4312">
        <v>18</v>
      </c>
      <c r="Q4312">
        <v>0</v>
      </c>
      <c r="R4312">
        <v>0</v>
      </c>
      <c r="S4312">
        <v>18</v>
      </c>
      <c r="Y4312" t="s">
        <v>4538</v>
      </c>
      <c r="Z4312" t="s">
        <v>8844</v>
      </c>
      <c r="AA4312" t="s">
        <v>4541</v>
      </c>
      <c r="AB4312" t="s">
        <v>3174</v>
      </c>
      <c r="AC4312" t="s">
        <v>10684</v>
      </c>
      <c r="AD4312" s="249" t="str">
        <f>HYPERLINK("https://scontent.cdninstagram.com/t51.2885-15/s320x320/e35/21296243_276719542820482_3282277504399704064_n.jpg")</f>
        <v>https://scontent.cdninstagram.com/t51.2885-15/s320x320/e35/21296243_276719542820482_3282277504399704064_n.jpg</v>
      </c>
      <c r="AE4312" s="249" t="str">
        <f>HYPERLINK("https://scontent.cdninstagram.com/t51.2885-19/s150x150/20399028_1624608414236560_533007696291430400_a.jpg")</f>
        <v>https://scontent.cdninstagram.com/t51.2885-19/s150x150/20399028_1624608414236560_533007696291430400_a.jpg</v>
      </c>
    </row>
    <row r="4313" spans="1:31" ht="15" x14ac:dyDescent="0.25">
      <c r="A4313" t="s">
        <v>2474</v>
      </c>
      <c r="B4313" t="s">
        <v>7232</v>
      </c>
      <c r="C4313" s="221">
        <v>42980.964675925927</v>
      </c>
      <c r="D4313" t="s">
        <v>23591</v>
      </c>
      <c r="E4313" s="249" t="str">
        <f>HYPERLINK("https://www.instagram.com/p/BYkDEGyHK85/")</f>
        <v>https://www.instagram.com/p/BYkDEGyHK85/</v>
      </c>
      <c r="F4313" t="s">
        <v>23592</v>
      </c>
      <c r="G4313" t="s">
        <v>2631</v>
      </c>
      <c r="H4313">
        <v>526</v>
      </c>
      <c r="I4313" t="s">
        <v>2479</v>
      </c>
      <c r="J4313">
        <v>4</v>
      </c>
      <c r="K4313">
        <v>41</v>
      </c>
      <c r="L4313">
        <v>45</v>
      </c>
      <c r="Q4313">
        <v>0</v>
      </c>
      <c r="R4313">
        <v>0</v>
      </c>
      <c r="S4313">
        <v>45</v>
      </c>
      <c r="Y4313" t="s">
        <v>10415</v>
      </c>
      <c r="Z4313" t="s">
        <v>13362</v>
      </c>
      <c r="AA4313" t="s">
        <v>7236</v>
      </c>
      <c r="AB4313" t="s">
        <v>4975</v>
      </c>
      <c r="AC4313" t="s">
        <v>3671</v>
      </c>
      <c r="AD4313" s="249" t="str">
        <f>HYPERLINK("https://scontent.cdninstagram.com/t51.2885-15/e15/p320x320/21294736_1986698774947250_6536402146714189824_n.jpg")</f>
        <v>https://scontent.cdninstagram.com/t51.2885-15/e15/p320x320/21294736_1986698774947250_6536402146714189824_n.jpg</v>
      </c>
      <c r="AE4313" s="249" t="str">
        <f>HYPERLINK("https://scontent.cdninstagram.com/t51.2885-19/s150x150/14482263_1660577494243200_2334360342223650816_a.jpg")</f>
        <v>https://scontent.cdninstagram.com/t51.2885-19/s150x150/14482263_1660577494243200_2334360342223650816_a.jpg</v>
      </c>
    </row>
    <row r="4314" spans="1:31" ht="15" x14ac:dyDescent="0.25">
      <c r="A4314" t="s">
        <v>2474</v>
      </c>
      <c r="B4314" t="s">
        <v>4535</v>
      </c>
      <c r="C4314" s="221">
        <v>42980.979537037034</v>
      </c>
      <c r="D4314" t="s">
        <v>23593</v>
      </c>
      <c r="E4314" s="249" t="str">
        <f>HYPERLINK("https://www.instagram.com/p/BYkFgv-FEcu/")</f>
        <v>https://www.instagram.com/p/BYkFgv-FEcu/</v>
      </c>
      <c r="F4314" t="s">
        <v>23594</v>
      </c>
      <c r="G4314" t="s">
        <v>2478</v>
      </c>
      <c r="H4314">
        <v>177</v>
      </c>
      <c r="I4314" t="s">
        <v>2479</v>
      </c>
      <c r="J4314">
        <v>0</v>
      </c>
      <c r="K4314">
        <v>28</v>
      </c>
      <c r="L4314">
        <v>28</v>
      </c>
      <c r="Q4314">
        <v>0</v>
      </c>
      <c r="R4314">
        <v>0</v>
      </c>
      <c r="S4314">
        <v>28</v>
      </c>
      <c r="Y4314" t="s">
        <v>4538</v>
      </c>
      <c r="Z4314" t="s">
        <v>8844</v>
      </c>
      <c r="AA4314" t="s">
        <v>4541</v>
      </c>
      <c r="AB4314" t="s">
        <v>3174</v>
      </c>
      <c r="AC4314" t="s">
        <v>10684</v>
      </c>
      <c r="AD4314" s="249" t="str">
        <f>HYPERLINK("https://scontent.cdninstagram.com/t51.2885-15/e35/p320x320/21227697_1444524498949952_3584293840808312832_n.jpg")</f>
        <v>https://scontent.cdninstagram.com/t51.2885-15/e35/p320x320/21227697_1444524498949952_3584293840808312832_n.jpg</v>
      </c>
      <c r="AE4314" s="249" t="str">
        <f>HYPERLINK("https://scontent.cdninstagram.com/t51.2885-19/s150x150/20399028_1624608414236560_533007696291430400_a.jpg")</f>
        <v>https://scontent.cdninstagram.com/t51.2885-19/s150x150/20399028_1624608414236560_533007696291430400_a.jpg</v>
      </c>
    </row>
    <row r="4315" spans="1:31" ht="15" x14ac:dyDescent="0.25">
      <c r="A4315" t="s">
        <v>2474</v>
      </c>
      <c r="B4315" t="s">
        <v>23595</v>
      </c>
      <c r="C4315" s="221">
        <v>42980.981469907405</v>
      </c>
      <c r="D4315" t="s">
        <v>23596</v>
      </c>
      <c r="E4315" s="249" t="str">
        <f>HYPERLINK("https://www.instagram.com/p/BYkF1JUhF9k/")</f>
        <v>https://www.instagram.com/p/BYkF1JUhF9k/</v>
      </c>
      <c r="F4315" t="s">
        <v>23597</v>
      </c>
      <c r="G4315" t="s">
        <v>2478</v>
      </c>
      <c r="H4315">
        <v>264</v>
      </c>
      <c r="I4315" t="s">
        <v>2510</v>
      </c>
      <c r="J4315">
        <v>0</v>
      </c>
      <c r="K4315">
        <v>50</v>
      </c>
      <c r="L4315">
        <v>50</v>
      </c>
      <c r="Q4315">
        <v>0</v>
      </c>
      <c r="R4315">
        <v>0</v>
      </c>
      <c r="S4315">
        <v>50</v>
      </c>
      <c r="Y4315" t="s">
        <v>14013</v>
      </c>
      <c r="Z4315" t="s">
        <v>2529</v>
      </c>
      <c r="AA4315" t="s">
        <v>21443</v>
      </c>
      <c r="AB4315" t="s">
        <v>3671</v>
      </c>
      <c r="AC4315" t="s">
        <v>23598</v>
      </c>
      <c r="AD4315" s="249" t="str">
        <f>HYPERLINK("https://scontent.cdninstagram.com/t51.2885-15/e35/p320x320/21294631_182178742325816_396611831461838848_n.jpg")</f>
        <v>https://scontent.cdninstagram.com/t51.2885-15/e35/p320x320/21294631_182178742325816_396611831461838848_n.jpg</v>
      </c>
      <c r="AE4315" s="249" t="str">
        <f>HYPERLINK("https://scontent.cdninstagram.com/t51.2885-19/s150x150/20589748_2005992789669119_5002771240591556608_a.jpg")</f>
        <v>https://scontent.cdninstagram.com/t51.2885-19/s150x150/20589748_2005992789669119_5002771240591556608_a.jpg</v>
      </c>
    </row>
    <row r="4316" spans="1:31" ht="15" x14ac:dyDescent="0.25">
      <c r="A4316" t="s">
        <v>2474</v>
      </c>
      <c r="B4316" t="s">
        <v>4535</v>
      </c>
      <c r="C4316" s="221">
        <v>42980.990729166668</v>
      </c>
      <c r="D4316" t="s">
        <v>23599</v>
      </c>
      <c r="E4316" s="249" t="str">
        <f>HYPERLINK("https://www.instagram.com/p/BYkHW3mF4s8/")</f>
        <v>https://www.instagram.com/p/BYkHW3mF4s8/</v>
      </c>
      <c r="F4316" t="s">
        <v>23600</v>
      </c>
      <c r="G4316" t="s">
        <v>2478</v>
      </c>
      <c r="H4316">
        <v>177</v>
      </c>
      <c r="I4316" t="s">
        <v>2479</v>
      </c>
      <c r="J4316">
        <v>3</v>
      </c>
      <c r="K4316">
        <v>28</v>
      </c>
      <c r="L4316">
        <v>31</v>
      </c>
      <c r="Q4316">
        <v>0</v>
      </c>
      <c r="R4316">
        <v>0</v>
      </c>
      <c r="S4316">
        <v>31</v>
      </c>
      <c r="Y4316" t="s">
        <v>4538</v>
      </c>
      <c r="Z4316" t="s">
        <v>8844</v>
      </c>
      <c r="AA4316" t="s">
        <v>4541</v>
      </c>
      <c r="AB4316" t="s">
        <v>3174</v>
      </c>
      <c r="AC4316" t="s">
        <v>10684</v>
      </c>
      <c r="AD4316" s="249" t="str">
        <f>HYPERLINK("https://scontent.cdninstagram.com/t51.2885-15/s320x320/e35/21294821_1534930796567291_2690212401470504960_n.jpg")</f>
        <v>https://scontent.cdninstagram.com/t51.2885-15/s320x320/e35/21294821_1534930796567291_2690212401470504960_n.jpg</v>
      </c>
      <c r="AE4316" s="249" t="str">
        <f>HYPERLINK("https://scontent.cdninstagram.com/t51.2885-19/s150x150/20399028_1624608414236560_533007696291430400_a.jpg")</f>
        <v>https://scontent.cdninstagram.com/t51.2885-19/s150x150/20399028_1624608414236560_533007696291430400_a.jpg</v>
      </c>
    </row>
    <row r="4317" spans="1:31" ht="15" x14ac:dyDescent="0.25">
      <c r="A4317" t="s">
        <v>2474</v>
      </c>
      <c r="B4317" t="s">
        <v>3015</v>
      </c>
      <c r="C4317" s="221">
        <v>42980.99391203704</v>
      </c>
      <c r="D4317" t="s">
        <v>23601</v>
      </c>
      <c r="E4317" s="249" t="str">
        <f>HYPERLINK("https://www.instagram.com/p/BYkH4aQAjVb/")</f>
        <v>https://www.instagram.com/p/BYkH4aQAjVb/</v>
      </c>
      <c r="F4317" t="s">
        <v>23602</v>
      </c>
      <c r="G4317" t="s">
        <v>2478</v>
      </c>
      <c r="H4317">
        <v>255</v>
      </c>
      <c r="I4317" t="s">
        <v>2479</v>
      </c>
      <c r="J4317">
        <v>1</v>
      </c>
      <c r="K4317">
        <v>40</v>
      </c>
      <c r="L4317">
        <v>41</v>
      </c>
      <c r="Q4317">
        <v>0</v>
      </c>
      <c r="R4317">
        <v>0</v>
      </c>
      <c r="S4317">
        <v>41</v>
      </c>
      <c r="Y4317" t="s">
        <v>3020</v>
      </c>
      <c r="Z4317" t="s">
        <v>3018</v>
      </c>
      <c r="AA4317" t="s">
        <v>4128</v>
      </c>
      <c r="AB4317" t="s">
        <v>3725</v>
      </c>
      <c r="AC4317" t="s">
        <v>3493</v>
      </c>
      <c r="AD4317" s="249" t="str">
        <f>HYPERLINK("https://scontent.cdninstagram.com/t51.2885-15/s320x320/e35/21296787_279855565832820_4195267275265146880_n.jpg")</f>
        <v>https://scontent.cdninstagram.com/t51.2885-15/s320x320/e35/21296787_279855565832820_4195267275265146880_n.jpg</v>
      </c>
      <c r="AE4317" s="249" t="str">
        <f>HYPERLINK("https://scontent.cdninstagram.com/t51.2885-19/s150x150/21373025_723410537866046_6184601968204316672_a.jpg")</f>
        <v>https://scontent.cdninstagram.com/t51.2885-19/s150x150/21373025_723410537866046_6184601968204316672_a.jpg</v>
      </c>
    </row>
    <row r="4318" spans="1:31" ht="15" x14ac:dyDescent="0.25">
      <c r="A4318" t="s">
        <v>2474</v>
      </c>
      <c r="B4318" t="s">
        <v>4535</v>
      </c>
      <c r="C4318" s="221">
        <v>42980.995995370373</v>
      </c>
      <c r="D4318" t="s">
        <v>23603</v>
      </c>
      <c r="E4318" s="249" t="str">
        <f>HYPERLINK("https://www.instagram.com/p/BYkIOVMFPvK/")</f>
        <v>https://www.instagram.com/p/BYkIOVMFPvK/</v>
      </c>
      <c r="F4318" t="s">
        <v>23604</v>
      </c>
      <c r="G4318" t="s">
        <v>2478</v>
      </c>
      <c r="H4318">
        <v>177</v>
      </c>
      <c r="I4318" t="s">
        <v>2479</v>
      </c>
      <c r="J4318">
        <v>2</v>
      </c>
      <c r="K4318">
        <v>26</v>
      </c>
      <c r="L4318">
        <v>28</v>
      </c>
      <c r="Q4318">
        <v>0</v>
      </c>
      <c r="R4318">
        <v>0</v>
      </c>
      <c r="S4318">
        <v>28</v>
      </c>
      <c r="Y4318" t="s">
        <v>4538</v>
      </c>
      <c r="Z4318" t="s">
        <v>8844</v>
      </c>
      <c r="AA4318" t="s">
        <v>4541</v>
      </c>
      <c r="AB4318" t="s">
        <v>3174</v>
      </c>
      <c r="AC4318" t="s">
        <v>10684</v>
      </c>
      <c r="AD4318" s="249" t="str">
        <f>HYPERLINK("https://scontent.cdninstagram.com/t51.2885-15/s320x320/e35/21296080_113284816031251_7518740383686197248_n.jpg")</f>
        <v>https://scontent.cdninstagram.com/t51.2885-15/s320x320/e35/21296080_113284816031251_7518740383686197248_n.jpg</v>
      </c>
      <c r="AE4318" s="249" t="str">
        <f>HYPERLINK("https://scontent.cdninstagram.com/t51.2885-19/s150x150/20399028_1624608414236560_533007696291430400_a.jpg")</f>
        <v>https://scontent.cdninstagram.com/t51.2885-19/s150x150/20399028_1624608414236560_533007696291430400_a.jpg</v>
      </c>
    </row>
    <row r="4319" spans="1:31" ht="15" x14ac:dyDescent="0.25">
      <c r="A4319" t="s">
        <v>2474</v>
      </c>
      <c r="B4319" t="s">
        <v>3015</v>
      </c>
      <c r="C4319" s="221">
        <v>42981.000324074077</v>
      </c>
      <c r="D4319" t="s">
        <v>23605</v>
      </c>
      <c r="E4319" s="249" t="str">
        <f>HYPERLINK("https://www.instagram.com/p/BYkI8C-gtg6/")</f>
        <v>https://www.instagram.com/p/BYkI8C-gtg6/</v>
      </c>
      <c r="F4319" t="s">
        <v>23606</v>
      </c>
      <c r="G4319" t="s">
        <v>2478</v>
      </c>
      <c r="H4319">
        <v>255</v>
      </c>
      <c r="I4319" t="s">
        <v>2479</v>
      </c>
      <c r="J4319">
        <v>0</v>
      </c>
      <c r="K4319">
        <v>39</v>
      </c>
      <c r="L4319">
        <v>39</v>
      </c>
      <c r="Q4319">
        <v>0</v>
      </c>
      <c r="R4319">
        <v>0</v>
      </c>
      <c r="S4319">
        <v>39</v>
      </c>
      <c r="Y4319" t="s">
        <v>3020</v>
      </c>
      <c r="Z4319" t="s">
        <v>3018</v>
      </c>
      <c r="AA4319" t="s">
        <v>4128</v>
      </c>
      <c r="AB4319" t="s">
        <v>3725</v>
      </c>
      <c r="AC4319" t="s">
        <v>3493</v>
      </c>
      <c r="AD4319" s="249" t="str">
        <f>HYPERLINK("https://scontent.cdninstagram.com/t51.2885-15/s320x320/e35/21227380_515923955416763_2131839332703535104_n.jpg")</f>
        <v>https://scontent.cdninstagram.com/t51.2885-15/s320x320/e35/21227380_515923955416763_2131839332703535104_n.jpg</v>
      </c>
      <c r="AE4319" s="249" t="str">
        <f>HYPERLINK("https://scontent.cdninstagram.com/t51.2885-19/s150x150/21373025_723410537866046_6184601968204316672_a.jpg")</f>
        <v>https://scontent.cdninstagram.com/t51.2885-19/s150x150/21373025_723410537866046_6184601968204316672_a.jpg</v>
      </c>
    </row>
    <row r="4320" spans="1:31" ht="15" x14ac:dyDescent="0.25">
      <c r="A4320" t="s">
        <v>2474</v>
      </c>
      <c r="B4320" t="s">
        <v>3015</v>
      </c>
      <c r="C4320" s="221">
        <v>42981.006215277775</v>
      </c>
      <c r="D4320" t="s">
        <v>23607</v>
      </c>
      <c r="E4320" s="249" t="str">
        <f>HYPERLINK("https://www.instagram.com/p/BYkJ6IuAhWH/")</f>
        <v>https://www.instagram.com/p/BYkJ6IuAhWH/</v>
      </c>
      <c r="F4320" t="s">
        <v>23608</v>
      </c>
      <c r="G4320" t="s">
        <v>2478</v>
      </c>
      <c r="H4320">
        <v>255</v>
      </c>
      <c r="I4320" t="s">
        <v>2479</v>
      </c>
      <c r="J4320">
        <v>0</v>
      </c>
      <c r="K4320">
        <v>39</v>
      </c>
      <c r="L4320">
        <v>39</v>
      </c>
      <c r="Q4320">
        <v>0</v>
      </c>
      <c r="R4320">
        <v>0</v>
      </c>
      <c r="S4320">
        <v>39</v>
      </c>
      <c r="Y4320" t="s">
        <v>3020</v>
      </c>
      <c r="Z4320" t="s">
        <v>3018</v>
      </c>
      <c r="AA4320" t="s">
        <v>4128</v>
      </c>
      <c r="AB4320" t="s">
        <v>3725</v>
      </c>
      <c r="AC4320" t="s">
        <v>3493</v>
      </c>
      <c r="AD4320" s="249" t="str">
        <f>HYPERLINK("https://scontent.cdninstagram.com/t51.2885-15/e35/p320x320/21296472_1575503012472735_1296560857550946304_n.jpg")</f>
        <v>https://scontent.cdninstagram.com/t51.2885-15/e35/p320x320/21296472_1575503012472735_1296560857550946304_n.jpg</v>
      </c>
      <c r="AE4320" s="249" t="str">
        <f>HYPERLINK("https://scontent.cdninstagram.com/t51.2885-19/s150x150/21373025_723410537866046_6184601968204316672_a.jpg")</f>
        <v>https://scontent.cdninstagram.com/t51.2885-19/s150x150/21373025_723410537866046_6184601968204316672_a.jpg</v>
      </c>
    </row>
    <row r="4321" spans="1:31" ht="15" x14ac:dyDescent="0.25">
      <c r="A4321" t="s">
        <v>2474</v>
      </c>
      <c r="B4321" t="s">
        <v>23609</v>
      </c>
      <c r="C4321" s="221">
        <v>42981.014953703707</v>
      </c>
      <c r="D4321" t="s">
        <v>23610</v>
      </c>
      <c r="E4321" s="249" t="str">
        <f>HYPERLINK("https://www.instagram.com/p/BYkLWVbFzhQ/")</f>
        <v>https://www.instagram.com/p/BYkLWVbFzhQ/</v>
      </c>
      <c r="F4321" t="s">
        <v>23611</v>
      </c>
      <c r="G4321" t="s">
        <v>2478</v>
      </c>
      <c r="H4321">
        <v>402</v>
      </c>
      <c r="I4321" t="s">
        <v>4935</v>
      </c>
      <c r="J4321">
        <v>1</v>
      </c>
      <c r="K4321">
        <v>43</v>
      </c>
      <c r="L4321">
        <v>44</v>
      </c>
      <c r="Q4321">
        <v>0</v>
      </c>
      <c r="R4321">
        <v>0</v>
      </c>
      <c r="S4321">
        <v>44</v>
      </c>
      <c r="Y4321" t="s">
        <v>6404</v>
      </c>
      <c r="Z4321" t="s">
        <v>23612</v>
      </c>
      <c r="AA4321" t="s">
        <v>5187</v>
      </c>
      <c r="AB4321" t="s">
        <v>7552</v>
      </c>
      <c r="AC4321" t="s">
        <v>2827</v>
      </c>
      <c r="AD4321" s="249" t="str">
        <f>HYPERLINK("https://scontent.cdninstagram.com/t51.2885-15/s320x320/e35/21227247_145315159397631_7491151502346551296_n.jpg")</f>
        <v>https://scontent.cdninstagram.com/t51.2885-15/s320x320/e35/21227247_145315159397631_7491151502346551296_n.jpg</v>
      </c>
      <c r="AE4321" s="249" t="str">
        <f>HYPERLINK("https://scontent.cdninstagram.com/t51.2885-19/s150x150/12976324_972446409470561_380215083_a.jpg")</f>
        <v>https://scontent.cdninstagram.com/t51.2885-19/s150x150/12976324_972446409470561_380215083_a.jpg</v>
      </c>
    </row>
    <row r="4322" spans="1:31" ht="15" x14ac:dyDescent="0.25">
      <c r="A4322" t="s">
        <v>2474</v>
      </c>
      <c r="B4322" t="s">
        <v>23613</v>
      </c>
      <c r="C4322" s="221">
        <v>42981.036053240743</v>
      </c>
      <c r="D4322" t="s">
        <v>23614</v>
      </c>
      <c r="E4322" s="249" t="str">
        <f>HYPERLINK("https://www.instagram.com/p/BYkO06rn4eQ/")</f>
        <v>https://www.instagram.com/p/BYkO06rn4eQ/</v>
      </c>
      <c r="F4322" t="s">
        <v>23615</v>
      </c>
      <c r="G4322" t="s">
        <v>2478</v>
      </c>
      <c r="H4322">
        <v>245</v>
      </c>
      <c r="I4322" t="s">
        <v>3898</v>
      </c>
      <c r="J4322">
        <v>0</v>
      </c>
      <c r="K4322">
        <v>19</v>
      </c>
      <c r="L4322">
        <v>19</v>
      </c>
      <c r="Q4322">
        <v>0</v>
      </c>
      <c r="R4322">
        <v>0</v>
      </c>
      <c r="S4322">
        <v>19</v>
      </c>
      <c r="Y4322" t="s">
        <v>23616</v>
      </c>
      <c r="Z4322" t="s">
        <v>23617</v>
      </c>
      <c r="AA4322" t="s">
        <v>2696</v>
      </c>
      <c r="AB4322" t="s">
        <v>4539</v>
      </c>
      <c r="AC4322" t="s">
        <v>2767</v>
      </c>
      <c r="AD4322" s="249" t="str">
        <f>HYPERLINK("https://scontent.cdninstagram.com/t51.2885-15/s320x320/e35/21294936_127991301168201_6561974596742938624_n.jpg")</f>
        <v>https://scontent.cdninstagram.com/t51.2885-15/s320x320/e35/21294936_127991301168201_6561974596742938624_n.jpg</v>
      </c>
      <c r="AE4322" s="249" t="str">
        <f>HYPERLINK("https://scontent.cdninstagram.com/t51.2885-19/s150x150/20987140_128300081135770_5575921157225316352_a.jpg")</f>
        <v>https://scontent.cdninstagram.com/t51.2885-19/s150x150/20987140_128300081135770_5575921157225316352_a.jpg</v>
      </c>
    </row>
    <row r="4323" spans="1:31" ht="15" x14ac:dyDescent="0.25">
      <c r="A4323" t="s">
        <v>2474</v>
      </c>
      <c r="B4323" t="s">
        <v>23618</v>
      </c>
      <c r="C4323" s="221">
        <v>42981.037407407406</v>
      </c>
      <c r="D4323" t="s">
        <v>23619</v>
      </c>
      <c r="E4323" s="249" t="str">
        <f>HYPERLINK("https://www.instagram.com/p/BYkPDGmhUno/")</f>
        <v>https://www.instagram.com/p/BYkPDGmhUno/</v>
      </c>
      <c r="F4323" t="s">
        <v>23620</v>
      </c>
      <c r="G4323" t="s">
        <v>2478</v>
      </c>
      <c r="H4323">
        <v>130</v>
      </c>
      <c r="I4323" t="s">
        <v>2479</v>
      </c>
      <c r="J4323">
        <v>2</v>
      </c>
      <c r="K4323">
        <v>18</v>
      </c>
      <c r="L4323">
        <v>20</v>
      </c>
      <c r="Q4323">
        <v>0</v>
      </c>
      <c r="R4323">
        <v>0</v>
      </c>
      <c r="S4323">
        <v>20</v>
      </c>
      <c r="Y4323" t="s">
        <v>23621</v>
      </c>
      <c r="Z4323" t="s">
        <v>23622</v>
      </c>
      <c r="AA4323" t="s">
        <v>23623</v>
      </c>
      <c r="AB4323" t="s">
        <v>2898</v>
      </c>
      <c r="AC4323" t="s">
        <v>6882</v>
      </c>
      <c r="AD4323" s="249" t="str">
        <f>HYPERLINK("https://scontent.cdninstagram.com/t51.2885-15/s320x320/e35/21227637_154946361753236_6572893065034334208_n.jpg")</f>
        <v>https://scontent.cdninstagram.com/t51.2885-15/s320x320/e35/21227637_154946361753236_6572893065034334208_n.jpg</v>
      </c>
      <c r="AE4323" s="249" t="str">
        <f>HYPERLINK("https://scontent.cdninstagram.com/t51.2885-19/s150x150/18513913_124717101431439_208448579784671232_a.jpg")</f>
        <v>https://scontent.cdninstagram.com/t51.2885-19/s150x150/18513913_124717101431439_208448579784671232_a.jpg</v>
      </c>
    </row>
    <row r="4324" spans="1:31" ht="15" x14ac:dyDescent="0.25">
      <c r="A4324" t="s">
        <v>2474</v>
      </c>
      <c r="B4324" t="s">
        <v>23624</v>
      </c>
      <c r="C4324" s="221">
        <v>42981.051932870374</v>
      </c>
      <c r="D4324" t="s">
        <v>23625</v>
      </c>
      <c r="E4324" s="249" t="str">
        <f>HYPERLINK("https://www.instagram.com/p/BYkRcUSnq3f/")</f>
        <v>https://www.instagram.com/p/BYkRcUSnq3f/</v>
      </c>
      <c r="F4324" t="s">
        <v>23626</v>
      </c>
      <c r="G4324" t="s">
        <v>2478</v>
      </c>
      <c r="H4324">
        <v>527</v>
      </c>
      <c r="I4324" t="s">
        <v>2479</v>
      </c>
      <c r="J4324">
        <v>2</v>
      </c>
      <c r="K4324">
        <v>44</v>
      </c>
      <c r="L4324">
        <v>46</v>
      </c>
      <c r="Q4324">
        <v>0</v>
      </c>
      <c r="R4324">
        <v>0</v>
      </c>
      <c r="S4324">
        <v>46</v>
      </c>
      <c r="Y4324" t="s">
        <v>23627</v>
      </c>
      <c r="Z4324" t="s">
        <v>23628</v>
      </c>
      <c r="AA4324" t="s">
        <v>23629</v>
      </c>
      <c r="AB4324" t="s">
        <v>23630</v>
      </c>
      <c r="AC4324" t="s">
        <v>23631</v>
      </c>
      <c r="AD4324" s="249" t="str">
        <f>HYPERLINK("https://scontent.cdninstagram.com/t51.2885-15/s320x320/e35/21294289_1918453248394472_8772023621754290176_n.jpg")</f>
        <v>https://scontent.cdninstagram.com/t51.2885-15/s320x320/e35/21294289_1918453248394472_8772023621754290176_n.jpg</v>
      </c>
      <c r="AE4324" s="249" t="str">
        <f>HYPERLINK("https://scontent.cdninstagram.com/t51.2885-19/s150x150/12950399_627271587420011_315630509_a.jpg")</f>
        <v>https://scontent.cdninstagram.com/t51.2885-19/s150x150/12950399_627271587420011_315630509_a.jpg</v>
      </c>
    </row>
    <row r="4325" spans="1:31" ht="15" x14ac:dyDescent="0.25">
      <c r="A4325" t="s">
        <v>2474</v>
      </c>
      <c r="B4325" t="s">
        <v>23632</v>
      </c>
      <c r="C4325" s="221">
        <v>42981.06077546296</v>
      </c>
      <c r="D4325" t="s">
        <v>23633</v>
      </c>
      <c r="E4325" s="249" t="str">
        <f>HYPERLINK("https://www.instagram.com/p/BYkS5pYF773/")</f>
        <v>https://www.instagram.com/p/BYkS5pYF773/</v>
      </c>
      <c r="F4325" t="s">
        <v>23634</v>
      </c>
      <c r="G4325" t="s">
        <v>2478</v>
      </c>
      <c r="H4325">
        <v>823</v>
      </c>
      <c r="I4325" t="s">
        <v>2479</v>
      </c>
      <c r="J4325">
        <v>1</v>
      </c>
      <c r="K4325">
        <v>26</v>
      </c>
      <c r="L4325">
        <v>27</v>
      </c>
      <c r="Q4325">
        <v>0</v>
      </c>
      <c r="R4325">
        <v>0</v>
      </c>
      <c r="S4325">
        <v>27</v>
      </c>
      <c r="Y4325" t="s">
        <v>2615</v>
      </c>
      <c r="Z4325" t="s">
        <v>2497</v>
      </c>
      <c r="AD4325" s="249" t="str">
        <f>HYPERLINK("https://scontent.cdninstagram.com/t51.2885-15/s320x320/e35/21227691_117893128848477_471122904092770304_n.jpg")</f>
        <v>https://scontent.cdninstagram.com/t51.2885-15/s320x320/e35/21227691_117893128848477_471122904092770304_n.jpg</v>
      </c>
      <c r="AE4325" s="249" t="str">
        <f>HYPERLINK("https://scontent.cdninstagram.com/t51.2885-19/s150x150/21435501_388269764921023_4483363846005719040_a.jpg")</f>
        <v>https://scontent.cdninstagram.com/t51.2885-19/s150x150/21435501_388269764921023_4483363846005719040_a.jpg</v>
      </c>
    </row>
    <row r="4326" spans="1:31" ht="15" x14ac:dyDescent="0.25">
      <c r="A4326" t="s">
        <v>2474</v>
      </c>
      <c r="B4326" t="s">
        <v>23635</v>
      </c>
      <c r="C4326" s="221">
        <v>42981.065092592595</v>
      </c>
      <c r="D4326" t="s">
        <v>23636</v>
      </c>
      <c r="E4326" s="249" t="str">
        <f>HYPERLINK("https://www.instagram.com/p/BYkTnIzAmov/")</f>
        <v>https://www.instagram.com/p/BYkTnIzAmov/</v>
      </c>
      <c r="F4326" t="s">
        <v>23637</v>
      </c>
      <c r="G4326" t="s">
        <v>2478</v>
      </c>
      <c r="H4326">
        <v>1134</v>
      </c>
      <c r="I4326" t="s">
        <v>2542</v>
      </c>
      <c r="J4326">
        <v>5</v>
      </c>
      <c r="K4326">
        <v>101</v>
      </c>
      <c r="L4326">
        <v>106</v>
      </c>
      <c r="Q4326">
        <v>0</v>
      </c>
      <c r="R4326">
        <v>0</v>
      </c>
      <c r="S4326">
        <v>106</v>
      </c>
      <c r="Y4326" t="s">
        <v>23638</v>
      </c>
      <c r="Z4326" t="s">
        <v>9608</v>
      </c>
      <c r="AA4326" t="s">
        <v>5160</v>
      </c>
      <c r="AB4326" t="s">
        <v>2603</v>
      </c>
      <c r="AC4326" t="s">
        <v>2696</v>
      </c>
      <c r="AD4326" s="249" t="str">
        <f>HYPERLINK("https://scontent.cdninstagram.com/t51.2885-15/s320x320/e35/21294503_1856758881308207_1988662096765648896_n.jpg")</f>
        <v>https://scontent.cdninstagram.com/t51.2885-15/s320x320/e35/21294503_1856758881308207_1988662096765648896_n.jpg</v>
      </c>
      <c r="AE4326" s="249" t="str">
        <f>HYPERLINK("https://scontent.cdninstagram.com/t51.2885-19/s150x150/18251950_244604889341817_4566698744262688768_a.jpg")</f>
        <v>https://scontent.cdninstagram.com/t51.2885-19/s150x150/18251950_244604889341817_4566698744262688768_a.jpg</v>
      </c>
    </row>
    <row r="4327" spans="1:31" ht="15" x14ac:dyDescent="0.25">
      <c r="A4327" t="s">
        <v>2474</v>
      </c>
      <c r="B4327" t="s">
        <v>23639</v>
      </c>
      <c r="C4327" s="221">
        <v>42981.067245370374</v>
      </c>
      <c r="D4327" t="s">
        <v>23640</v>
      </c>
      <c r="E4327" s="249" t="str">
        <f>HYPERLINK("https://www.instagram.com/p/BYkT94ihCFg/")</f>
        <v>https://www.instagram.com/p/BYkT94ihCFg/</v>
      </c>
      <c r="F4327" t="s">
        <v>23641</v>
      </c>
      <c r="G4327" t="s">
        <v>2478</v>
      </c>
      <c r="H4327">
        <v>4392</v>
      </c>
      <c r="I4327" t="s">
        <v>2542</v>
      </c>
      <c r="J4327">
        <v>2</v>
      </c>
      <c r="K4327">
        <v>43</v>
      </c>
      <c r="L4327">
        <v>45</v>
      </c>
      <c r="Q4327">
        <v>0</v>
      </c>
      <c r="R4327">
        <v>0</v>
      </c>
      <c r="S4327">
        <v>45</v>
      </c>
      <c r="Y4327" t="s">
        <v>3655</v>
      </c>
      <c r="Z4327" t="s">
        <v>23642</v>
      </c>
      <c r="AA4327" t="s">
        <v>10311</v>
      </c>
      <c r="AB4327" t="s">
        <v>2861</v>
      </c>
      <c r="AC4327" t="s">
        <v>13992</v>
      </c>
      <c r="AD4327" s="249" t="str">
        <f>HYPERLINK("https://scontent.cdninstagram.com/t51.2885-15/e35/p320x320/21294696_147460329184968_1216100808538456064_n.jpg")</f>
        <v>https://scontent.cdninstagram.com/t51.2885-15/e35/p320x320/21294696_147460329184968_1216100808538456064_n.jpg</v>
      </c>
      <c r="AE4327" s="249" t="str">
        <f>HYPERLINK("https://scontent.cdninstagram.com/t51.2885-19/s150x150/19051460_121457861773890_1374002918943883264_a.jpg")</f>
        <v>https://scontent.cdninstagram.com/t51.2885-19/s150x150/19051460_121457861773890_1374002918943883264_a.jpg</v>
      </c>
    </row>
    <row r="4328" spans="1:31" ht="15" x14ac:dyDescent="0.25">
      <c r="A4328" t="s">
        <v>2474</v>
      </c>
      <c r="B4328" t="s">
        <v>23643</v>
      </c>
      <c r="C4328" s="221">
        <v>42981.079502314817</v>
      </c>
      <c r="D4328" t="s">
        <v>23644</v>
      </c>
      <c r="E4328" s="249" t="str">
        <f>HYPERLINK("https://www.instagram.com/p/BYkV_EsHanl/")</f>
        <v>https://www.instagram.com/p/BYkV_EsHanl/</v>
      </c>
      <c r="F4328" t="s">
        <v>23645</v>
      </c>
      <c r="G4328" t="s">
        <v>2478</v>
      </c>
      <c r="H4328">
        <v>574</v>
      </c>
      <c r="I4328" t="s">
        <v>2479</v>
      </c>
      <c r="J4328">
        <v>6</v>
      </c>
      <c r="K4328">
        <v>11</v>
      </c>
      <c r="L4328">
        <v>17</v>
      </c>
      <c r="Q4328">
        <v>0</v>
      </c>
      <c r="R4328">
        <v>0</v>
      </c>
      <c r="S4328">
        <v>17</v>
      </c>
      <c r="Y4328" t="s">
        <v>23646</v>
      </c>
      <c r="Z4328" t="s">
        <v>23647</v>
      </c>
      <c r="AA4328" t="s">
        <v>23648</v>
      </c>
      <c r="AB4328" t="s">
        <v>3014</v>
      </c>
      <c r="AC4328" t="s">
        <v>2497</v>
      </c>
      <c r="AD4328" s="249" t="str">
        <f>HYPERLINK("https://scontent.cdninstagram.com/t51.2885-15/s320x320/e35/21296840_170683673501625_4659044874748690432_n.jpg")</f>
        <v>https://scontent.cdninstagram.com/t51.2885-15/s320x320/e35/21296840_170683673501625_4659044874748690432_n.jpg</v>
      </c>
      <c r="AE4328" s="249" t="str">
        <f>HYPERLINK("https://scontent.cdninstagram.com/t51.2885-19/s150x150/18580987_804520256374044_4750940888367104000_a.jpg")</f>
        <v>https://scontent.cdninstagram.com/t51.2885-19/s150x150/18580987_804520256374044_4750940888367104000_a.jpg</v>
      </c>
    </row>
    <row r="4329" spans="1:31" ht="15" x14ac:dyDescent="0.25">
      <c r="A4329" t="s">
        <v>2474</v>
      </c>
      <c r="B4329" t="s">
        <v>3301</v>
      </c>
      <c r="C4329" s="221">
        <v>42981.082361111112</v>
      </c>
      <c r="D4329" t="s">
        <v>23649</v>
      </c>
      <c r="E4329" s="249" t="str">
        <f>HYPERLINK("https://www.instagram.com/p/BYkWdVGD1zg/")</f>
        <v>https://www.instagram.com/p/BYkWdVGD1zg/</v>
      </c>
      <c r="F4329" t="s">
        <v>23650</v>
      </c>
      <c r="G4329" t="s">
        <v>2478</v>
      </c>
      <c r="H4329">
        <v>606</v>
      </c>
      <c r="I4329" t="s">
        <v>2479</v>
      </c>
      <c r="J4329">
        <v>0</v>
      </c>
      <c r="K4329">
        <v>75</v>
      </c>
      <c r="L4329">
        <v>75</v>
      </c>
      <c r="Q4329">
        <v>0</v>
      </c>
      <c r="R4329">
        <v>0</v>
      </c>
      <c r="S4329">
        <v>75</v>
      </c>
      <c r="Y4329" t="s">
        <v>9280</v>
      </c>
      <c r="Z4329" t="s">
        <v>4157</v>
      </c>
      <c r="AA4329" t="s">
        <v>23651</v>
      </c>
      <c r="AB4329" t="s">
        <v>4160</v>
      </c>
      <c r="AC4329" t="s">
        <v>4161</v>
      </c>
      <c r="AD4329" s="249" t="str">
        <f>HYPERLINK("https://scontent.cdninstagram.com/t51.2885-15/s320x320/e35/21294459_131830430772332_8531342858601365504_n.jpg")</f>
        <v>https://scontent.cdninstagram.com/t51.2885-15/s320x320/e35/21294459_131830430772332_8531342858601365504_n.jpg</v>
      </c>
      <c r="AE4329" s="249" t="str">
        <f>HYPERLINK("https://scontent.cdninstagram.com/t51.2885-19/s150x150/19228478_370974479971900_5746578409966796800_a.jpg")</f>
        <v>https://scontent.cdninstagram.com/t51.2885-19/s150x150/19228478_370974479971900_5746578409966796800_a.jpg</v>
      </c>
    </row>
    <row r="4330" spans="1:31" ht="15" x14ac:dyDescent="0.25">
      <c r="A4330" t="s">
        <v>2474</v>
      </c>
      <c r="B4330" t="s">
        <v>23652</v>
      </c>
      <c r="C4330" s="221">
        <v>42981.085810185185</v>
      </c>
      <c r="D4330" t="s">
        <v>23653</v>
      </c>
      <c r="E4330" s="249" t="str">
        <f>HYPERLINK("https://www.instagram.com/p/BYkXBqLgdBA/")</f>
        <v>https://www.instagram.com/p/BYkXBqLgdBA/</v>
      </c>
      <c r="F4330" t="s">
        <v>23654</v>
      </c>
      <c r="G4330" t="s">
        <v>2478</v>
      </c>
      <c r="H4330">
        <v>60</v>
      </c>
      <c r="I4330" t="s">
        <v>2479</v>
      </c>
      <c r="J4330">
        <v>0</v>
      </c>
      <c r="K4330">
        <v>2</v>
      </c>
      <c r="L4330">
        <v>2</v>
      </c>
      <c r="Q4330">
        <v>0</v>
      </c>
      <c r="R4330">
        <v>0</v>
      </c>
      <c r="S4330">
        <v>2</v>
      </c>
      <c r="Y4330" t="s">
        <v>4878</v>
      </c>
      <c r="Z4330" t="s">
        <v>2497</v>
      </c>
      <c r="AA4330" t="s">
        <v>4438</v>
      </c>
      <c r="AB4330" t="s">
        <v>23655</v>
      </c>
      <c r="AC4330" t="s">
        <v>23656</v>
      </c>
      <c r="AD4330" s="249" t="str">
        <f>HYPERLINK("https://scontent.cdninstagram.com/t51.2885-15/s320x320/e35/21295068_1437324336357249_1935627093270331392_n.jpg")</f>
        <v>https://scontent.cdninstagram.com/t51.2885-15/s320x320/e35/21295068_1437324336357249_1935627093270331392_n.jpg</v>
      </c>
      <c r="AE4330" s="249" t="str">
        <f>HYPERLINK("https://scontent.cdninstagram.com/t51.2885-19/s150x150/21296076_116411749060168_7453492657864572928_a.jpg")</f>
        <v>https://scontent.cdninstagram.com/t51.2885-19/s150x150/21296076_116411749060168_7453492657864572928_a.jpg</v>
      </c>
    </row>
    <row r="4331" spans="1:31" ht="15" x14ac:dyDescent="0.25">
      <c r="A4331" t="s">
        <v>2474</v>
      </c>
      <c r="B4331" t="s">
        <v>8312</v>
      </c>
      <c r="C4331" s="221">
        <v>42981.090729166666</v>
      </c>
      <c r="D4331" t="s">
        <v>23657</v>
      </c>
      <c r="E4331" s="249" t="str">
        <f>HYPERLINK("https://www.instagram.com/p/BYkX1e_FRix/")</f>
        <v>https://www.instagram.com/p/BYkX1e_FRix/</v>
      </c>
      <c r="F4331" t="s">
        <v>23658</v>
      </c>
      <c r="G4331" t="s">
        <v>2478</v>
      </c>
      <c r="H4331">
        <v>27</v>
      </c>
      <c r="I4331" t="s">
        <v>2910</v>
      </c>
      <c r="J4331">
        <v>0</v>
      </c>
      <c r="K4331">
        <v>25</v>
      </c>
      <c r="L4331">
        <v>25</v>
      </c>
      <c r="Q4331">
        <v>0</v>
      </c>
      <c r="R4331">
        <v>0</v>
      </c>
      <c r="S4331">
        <v>25</v>
      </c>
      <c r="T4331" t="s">
        <v>10329</v>
      </c>
      <c r="V4331" t="s">
        <v>2264</v>
      </c>
      <c r="W4331">
        <v>42.764014243490003</v>
      </c>
      <c r="X4331">
        <v>-7.9069180053236003</v>
      </c>
      <c r="Y4331" t="s">
        <v>12911</v>
      </c>
      <c r="Z4331" t="s">
        <v>3945</v>
      </c>
      <c r="AA4331" t="s">
        <v>6164</v>
      </c>
      <c r="AB4331" t="s">
        <v>11189</v>
      </c>
      <c r="AC4331" t="s">
        <v>3946</v>
      </c>
      <c r="AD4331" s="249" t="str">
        <f>HYPERLINK("https://scontent.cdninstagram.com/t51.2885-15/s320x320/e35/21371741_624129881309003_4736638101810577408_n.jpg")</f>
        <v>https://scontent.cdninstagram.com/t51.2885-15/s320x320/e35/21371741_624129881309003_4736638101810577408_n.jpg</v>
      </c>
      <c r="AE4331" s="249" t="str">
        <f>HYPERLINK("https://scontent.cdninstagram.com/t51.2885-19/s150x150/20347739_515336592144896_3974966673097621504_a.jpg")</f>
        <v>https://scontent.cdninstagram.com/t51.2885-19/s150x150/20347739_515336592144896_3974966673097621504_a.jpg</v>
      </c>
    </row>
    <row r="4332" spans="1:31" ht="15" x14ac:dyDescent="0.25">
      <c r="A4332" t="s">
        <v>2474</v>
      </c>
      <c r="B4332" t="s">
        <v>23659</v>
      </c>
      <c r="C4332" s="221">
        <v>42981.116701388892</v>
      </c>
      <c r="D4332" t="s">
        <v>23660</v>
      </c>
      <c r="E4332" s="249" t="str">
        <f>HYPERLINK("https://www.instagram.com/p/BYkcHeij61F/")</f>
        <v>https://www.instagram.com/p/BYkcHeij61F/</v>
      </c>
      <c r="F4332" t="s">
        <v>23661</v>
      </c>
      <c r="G4332" t="s">
        <v>2478</v>
      </c>
      <c r="H4332">
        <v>3375</v>
      </c>
      <c r="I4332" t="s">
        <v>2479</v>
      </c>
      <c r="J4332">
        <v>1</v>
      </c>
      <c r="K4332">
        <v>70</v>
      </c>
      <c r="L4332">
        <v>71</v>
      </c>
      <c r="Q4332">
        <v>0</v>
      </c>
      <c r="R4332">
        <v>0</v>
      </c>
      <c r="S4332">
        <v>71</v>
      </c>
      <c r="Y4332" t="s">
        <v>2497</v>
      </c>
      <c r="Z4332" t="s">
        <v>23662</v>
      </c>
      <c r="AD4332" s="249" t="str">
        <f>HYPERLINK("https://scontent.cdninstagram.com/t51.2885-15/s320x320/e35/21227276_1627796593961015_9114709312726368256_n.jpg")</f>
        <v>https://scontent.cdninstagram.com/t51.2885-15/s320x320/e35/21227276_1627796593961015_9114709312726368256_n.jpg</v>
      </c>
      <c r="AE4332" s="249" t="str">
        <f>HYPERLINK("https://scontent.cdninstagram.com/t51.2885-19/s150x150/13715096_1061988800522556_1631484691_a.jpg")</f>
        <v>https://scontent.cdninstagram.com/t51.2885-19/s150x150/13715096_1061988800522556_1631484691_a.jpg</v>
      </c>
    </row>
    <row r="4333" spans="1:31" ht="15" x14ac:dyDescent="0.25">
      <c r="A4333" t="s">
        <v>2474</v>
      </c>
      <c r="B4333" t="s">
        <v>3471</v>
      </c>
      <c r="C4333" s="221">
        <v>42981.128553240742</v>
      </c>
      <c r="D4333" t="s">
        <v>23663</v>
      </c>
      <c r="E4333" s="249" t="str">
        <f>HYPERLINK("https://www.instagram.com/p/BYkeEcjnSY_/")</f>
        <v>https://www.instagram.com/p/BYkeEcjnSY_/</v>
      </c>
      <c r="F4333" t="s">
        <v>23664</v>
      </c>
      <c r="G4333" t="s">
        <v>2488</v>
      </c>
      <c r="H4333">
        <v>191</v>
      </c>
      <c r="I4333" t="s">
        <v>2479</v>
      </c>
      <c r="J4333">
        <v>0</v>
      </c>
      <c r="K4333">
        <v>32</v>
      </c>
      <c r="L4333">
        <v>32</v>
      </c>
      <c r="Q4333">
        <v>0</v>
      </c>
      <c r="R4333">
        <v>0</v>
      </c>
      <c r="S4333">
        <v>32</v>
      </c>
      <c r="T4333" t="s">
        <v>3474</v>
      </c>
      <c r="V4333" t="s">
        <v>2258</v>
      </c>
      <c r="W4333">
        <v>1.2930600000000001</v>
      </c>
      <c r="X4333">
        <v>103.85599999999999</v>
      </c>
      <c r="Y4333" t="s">
        <v>3475</v>
      </c>
      <c r="Z4333" t="s">
        <v>16430</v>
      </c>
      <c r="AA4333" t="s">
        <v>5705</v>
      </c>
      <c r="AB4333" t="s">
        <v>3477</v>
      </c>
      <c r="AC4333" t="s">
        <v>9408</v>
      </c>
      <c r="AD4333" s="249" t="str">
        <f>HYPERLINK("https://scontent.cdninstagram.com/t51.2885-15/s320x320/e15/21371684_221502988379629_1011245226594926592_n.jpg")</f>
        <v>https://scontent.cdninstagram.com/t51.2885-15/s320x320/e15/21371684_221502988379629_1011245226594926592_n.jpg</v>
      </c>
      <c r="AE4333" s="249" t="str">
        <f>HYPERLINK("https://scontent.cdninstagram.com/t51.2885-19/s150x150/19986209_741127056067001_1270489010199855104_a.jpg")</f>
        <v>https://scontent.cdninstagram.com/t51.2885-19/s150x150/19986209_741127056067001_1270489010199855104_a.jpg</v>
      </c>
    </row>
    <row r="4334" spans="1:31" ht="15" x14ac:dyDescent="0.25">
      <c r="A4334" t="s">
        <v>2474</v>
      </c>
      <c r="B4334" t="s">
        <v>9087</v>
      </c>
      <c r="C4334" s="221">
        <v>42981.133888888886</v>
      </c>
      <c r="D4334" t="s">
        <v>23665</v>
      </c>
      <c r="E4334" s="249" t="str">
        <f>HYPERLINK("https://www.instagram.com/p/BYke8uYFYxB/")</f>
        <v>https://www.instagram.com/p/BYke8uYFYxB/</v>
      </c>
      <c r="F4334" t="s">
        <v>23666</v>
      </c>
      <c r="G4334" t="s">
        <v>2478</v>
      </c>
      <c r="H4334">
        <v>87</v>
      </c>
      <c r="I4334" t="s">
        <v>3273</v>
      </c>
      <c r="J4334">
        <v>0</v>
      </c>
      <c r="K4334">
        <v>28</v>
      </c>
      <c r="L4334">
        <v>28</v>
      </c>
      <c r="Q4334">
        <v>0</v>
      </c>
      <c r="R4334">
        <v>0</v>
      </c>
      <c r="S4334">
        <v>28</v>
      </c>
      <c r="Y4334" t="s">
        <v>23667</v>
      </c>
      <c r="Z4334" t="s">
        <v>23668</v>
      </c>
      <c r="AA4334" t="s">
        <v>2651</v>
      </c>
      <c r="AB4334" t="s">
        <v>23669</v>
      </c>
      <c r="AC4334" t="s">
        <v>7773</v>
      </c>
      <c r="AD4334" s="249" t="str">
        <f>HYPERLINK("https://scontent.cdninstagram.com/t51.2885-15/s320x320/e35/21227479_1237845346362133_4905038563986374656_n.jpg")</f>
        <v>https://scontent.cdninstagram.com/t51.2885-15/s320x320/e35/21227479_1237845346362133_4905038563986374656_n.jpg</v>
      </c>
      <c r="AE4334" s="249" t="str">
        <f>HYPERLINK("https://scontent.cdninstagram.com/t51.2885-19/s150x150/18812370_1311189488980282_3866534627367714816_a.jpg")</f>
        <v>https://scontent.cdninstagram.com/t51.2885-19/s150x150/18812370_1311189488980282_3866534627367714816_a.jpg</v>
      </c>
    </row>
    <row r="4335" spans="1:31" ht="15" x14ac:dyDescent="0.25">
      <c r="A4335" t="s">
        <v>2474</v>
      </c>
      <c r="B4335" t="s">
        <v>18309</v>
      </c>
      <c r="C4335" s="221">
        <v>42981.140115740738</v>
      </c>
      <c r="D4335" t="s">
        <v>23670</v>
      </c>
      <c r="E4335" s="249" t="str">
        <f>HYPERLINK("https://www.instagram.com/p/BYkf-a0j28k/")</f>
        <v>https://www.instagram.com/p/BYkf-a0j28k/</v>
      </c>
      <c r="F4335" t="s">
        <v>23671</v>
      </c>
      <c r="G4335" t="s">
        <v>2478</v>
      </c>
      <c r="H4335">
        <v>24</v>
      </c>
      <c r="I4335" t="s">
        <v>2510</v>
      </c>
      <c r="J4335">
        <v>0</v>
      </c>
      <c r="K4335">
        <v>29</v>
      </c>
      <c r="L4335">
        <v>29</v>
      </c>
      <c r="Q4335">
        <v>0</v>
      </c>
      <c r="R4335">
        <v>0</v>
      </c>
      <c r="S4335">
        <v>29</v>
      </c>
      <c r="Y4335" t="s">
        <v>10374</v>
      </c>
      <c r="Z4335" t="s">
        <v>2968</v>
      </c>
      <c r="AA4335" t="s">
        <v>12295</v>
      </c>
      <c r="AB4335" t="s">
        <v>2696</v>
      </c>
      <c r="AC4335" t="s">
        <v>8753</v>
      </c>
      <c r="AD4335" s="249" t="str">
        <f>HYPERLINK("https://scontent.cdninstagram.com/t51.2885-15/s320x320/e35/21372343_114401339234840_8755858159421095936_n.jpg")</f>
        <v>https://scontent.cdninstagram.com/t51.2885-15/s320x320/e35/21372343_114401339234840_8755858159421095936_n.jpg</v>
      </c>
      <c r="AE4335" s="249" t="str">
        <f>HYPERLINK("https://scontent.cdninstagram.com/t51.2885-19/s150x150/21224635_116853155713206_6935607206414909440_a.jpg")</f>
        <v>https://scontent.cdninstagram.com/t51.2885-19/s150x150/21224635_116853155713206_6935607206414909440_a.jpg</v>
      </c>
    </row>
    <row r="4336" spans="1:31" ht="15" x14ac:dyDescent="0.25">
      <c r="A4336" t="s">
        <v>2474</v>
      </c>
      <c r="B4336" t="s">
        <v>23672</v>
      </c>
      <c r="C4336" s="221">
        <v>42981.151423611111</v>
      </c>
      <c r="D4336" t="s">
        <v>23673</v>
      </c>
      <c r="E4336" s="249" t="str">
        <f>HYPERLINK("https://www.instagram.com/p/BYkh1oFFDs6/")</f>
        <v>https://www.instagram.com/p/BYkh1oFFDs6/</v>
      </c>
      <c r="F4336" t="s">
        <v>23674</v>
      </c>
      <c r="G4336" t="s">
        <v>2478</v>
      </c>
      <c r="H4336">
        <v>169</v>
      </c>
      <c r="I4336" t="s">
        <v>2542</v>
      </c>
      <c r="J4336">
        <v>6</v>
      </c>
      <c r="K4336">
        <v>72</v>
      </c>
      <c r="L4336">
        <v>78</v>
      </c>
      <c r="Q4336">
        <v>0</v>
      </c>
      <c r="R4336">
        <v>0</v>
      </c>
      <c r="S4336">
        <v>78</v>
      </c>
      <c r="T4336" t="s">
        <v>23675</v>
      </c>
      <c r="V4336" t="s">
        <v>2102</v>
      </c>
      <c r="W4336">
        <v>-31.996302941581</v>
      </c>
      <c r="X4336">
        <v>115.54157523863999</v>
      </c>
      <c r="Y4336" t="s">
        <v>3936</v>
      </c>
      <c r="Z4336" t="s">
        <v>23676</v>
      </c>
      <c r="AA4336" t="s">
        <v>2651</v>
      </c>
      <c r="AB4336" t="s">
        <v>2866</v>
      </c>
      <c r="AC4336" t="s">
        <v>3383</v>
      </c>
      <c r="AD4336" s="249" t="str">
        <f>HYPERLINK("https://scontent.cdninstagram.com/t51.2885-15/s320x320/e35/21371764_1404052206310629_7489721080668487680_n.jpg")</f>
        <v>https://scontent.cdninstagram.com/t51.2885-15/s320x320/e35/21371764_1404052206310629_7489721080668487680_n.jpg</v>
      </c>
      <c r="AE4336" s="249" t="str">
        <f>HYPERLINK("https://scontent.cdninstagram.com/t51.2885-19/s150x150/18094997_209927366168880_3728283177752461312_a.jpg")</f>
        <v>https://scontent.cdninstagram.com/t51.2885-19/s150x150/18094997_209927366168880_3728283177752461312_a.jpg</v>
      </c>
    </row>
    <row r="4337" spans="1:31" ht="15" x14ac:dyDescent="0.25">
      <c r="A4337" t="s">
        <v>2474</v>
      </c>
      <c r="B4337" t="s">
        <v>14567</v>
      </c>
      <c r="C4337" s="221">
        <v>42981.162499999999</v>
      </c>
      <c r="D4337" t="s">
        <v>23677</v>
      </c>
      <c r="E4337" s="249" t="str">
        <f>HYPERLINK("https://www.instagram.com/p/BYkjqdLAVIc/")</f>
        <v>https://www.instagram.com/p/BYkjqdLAVIc/</v>
      </c>
      <c r="F4337" t="s">
        <v>23678</v>
      </c>
      <c r="G4337" t="s">
        <v>2478</v>
      </c>
      <c r="H4337">
        <v>635</v>
      </c>
      <c r="I4337" t="s">
        <v>2479</v>
      </c>
      <c r="J4337">
        <v>1</v>
      </c>
      <c r="K4337">
        <v>50</v>
      </c>
      <c r="L4337">
        <v>51</v>
      </c>
      <c r="Q4337">
        <v>0</v>
      </c>
      <c r="R4337">
        <v>0</v>
      </c>
      <c r="S4337">
        <v>51</v>
      </c>
      <c r="Y4337" t="s">
        <v>4753</v>
      </c>
      <c r="Z4337" t="s">
        <v>7962</v>
      </c>
      <c r="AA4337" t="s">
        <v>8250</v>
      </c>
      <c r="AB4337" t="s">
        <v>5383</v>
      </c>
      <c r="AC4337" t="s">
        <v>23679</v>
      </c>
      <c r="AD4337" s="249" t="str">
        <f>HYPERLINK("https://scontent.cdninstagram.com/t51.2885-15/e35/p320x320/21294807_368830903536097_6925129985883635712_n.jpg")</f>
        <v>https://scontent.cdninstagram.com/t51.2885-15/e35/p320x320/21294807_368830903536097_6925129985883635712_n.jpg</v>
      </c>
      <c r="AE4337" s="249" t="str">
        <f>HYPERLINK("https://scontent.cdninstagram.com/t51.2885-19/s150x150/21107721_113927162614742_3645595187469615104_a.jpg")</f>
        <v>https://scontent.cdninstagram.com/t51.2885-19/s150x150/21107721_113927162614742_3645595187469615104_a.jpg</v>
      </c>
    </row>
    <row r="4338" spans="1:31" ht="15" x14ac:dyDescent="0.25">
      <c r="A4338" t="s">
        <v>2474</v>
      </c>
      <c r="B4338" t="s">
        <v>23680</v>
      </c>
      <c r="C4338" s="221">
        <v>42981.167557870373</v>
      </c>
      <c r="D4338" t="s">
        <v>23681</v>
      </c>
      <c r="E4338" s="249" t="str">
        <f>HYPERLINK("https://www.instagram.com/p/BYkkf03nQ4D/")</f>
        <v>https://www.instagram.com/p/BYkkf03nQ4D/</v>
      </c>
      <c r="F4338" t="s">
        <v>23682</v>
      </c>
      <c r="G4338" t="s">
        <v>2478</v>
      </c>
      <c r="H4338">
        <v>238</v>
      </c>
      <c r="I4338" t="s">
        <v>2479</v>
      </c>
      <c r="J4338">
        <v>4</v>
      </c>
      <c r="K4338">
        <v>77</v>
      </c>
      <c r="L4338">
        <v>81</v>
      </c>
      <c r="Q4338">
        <v>0</v>
      </c>
      <c r="R4338">
        <v>0</v>
      </c>
      <c r="S4338">
        <v>81</v>
      </c>
      <c r="Y4338" t="s">
        <v>7171</v>
      </c>
      <c r="Z4338" t="s">
        <v>6830</v>
      </c>
      <c r="AA4338" t="s">
        <v>14713</v>
      </c>
      <c r="AB4338" t="s">
        <v>10959</v>
      </c>
      <c r="AC4338" t="s">
        <v>16499</v>
      </c>
      <c r="AD4338" s="249" t="str">
        <f>HYPERLINK("https://scontent.cdninstagram.com/t51.2885-15/e35/p320x320/21295104_1864564857193330_3512647717522243584_n.jpg")</f>
        <v>https://scontent.cdninstagram.com/t51.2885-15/e35/p320x320/21295104_1864564857193330_3512647717522243584_n.jpg</v>
      </c>
      <c r="AE4338" s="249" t="str">
        <f>HYPERLINK("https://scontent.cdninstagram.com/t51.2885-19/s150x150/21373765_447712252295673_4635830632348385280_a.jpg")</f>
        <v>https://scontent.cdninstagram.com/t51.2885-19/s150x150/21373765_447712252295673_4635830632348385280_a.jpg</v>
      </c>
    </row>
    <row r="4339" spans="1:31" ht="15" x14ac:dyDescent="0.25">
      <c r="A4339" t="s">
        <v>2474</v>
      </c>
      <c r="B4339" t="s">
        <v>23683</v>
      </c>
      <c r="C4339" s="221">
        <v>42981.182187500002</v>
      </c>
      <c r="D4339" t="s">
        <v>23684</v>
      </c>
      <c r="E4339" s="249" t="str">
        <f>HYPERLINK("https://www.instagram.com/p/BYkm6KlAs_S/")</f>
        <v>https://www.instagram.com/p/BYkm6KlAs_S/</v>
      </c>
      <c r="F4339" t="s">
        <v>23685</v>
      </c>
      <c r="G4339" t="s">
        <v>2478</v>
      </c>
      <c r="I4339" t="s">
        <v>3273</v>
      </c>
      <c r="J4339">
        <v>2</v>
      </c>
      <c r="K4339">
        <v>15</v>
      </c>
      <c r="L4339">
        <v>17</v>
      </c>
      <c r="Q4339">
        <v>0</v>
      </c>
      <c r="R4339">
        <v>0</v>
      </c>
      <c r="S4339">
        <v>17</v>
      </c>
      <c r="Y4339" t="s">
        <v>3269</v>
      </c>
      <c r="Z4339" t="s">
        <v>2497</v>
      </c>
      <c r="AA4339" t="s">
        <v>2696</v>
      </c>
      <c r="AB4339" t="s">
        <v>23686</v>
      </c>
      <c r="AD4339" s="249" t="str">
        <f>HYPERLINK("https://scontent.cdninstagram.com/t51.2885-15/s320x320/e35/20986801_228567321004528_720194491448819712_n.jpg")</f>
        <v>https://scontent.cdninstagram.com/t51.2885-15/s320x320/e35/20986801_228567321004528_720194491448819712_n.jpg</v>
      </c>
      <c r="AE4339" s="249" t="str">
        <f>HYPERLINK("https://scontent.cdninstagram.com/t51.2885-19/s150x150/20633482_1873319756265928_1562545205779890176_a.jpg")</f>
        <v>https://scontent.cdninstagram.com/t51.2885-19/s150x150/20633482_1873319756265928_1562545205779890176_a.jpg</v>
      </c>
    </row>
    <row r="4340" spans="1:31" ht="15" x14ac:dyDescent="0.25">
      <c r="A4340" t="s">
        <v>2474</v>
      </c>
      <c r="B4340" t="s">
        <v>2516</v>
      </c>
      <c r="C4340" s="221">
        <v>42981.205046296294</v>
      </c>
      <c r="D4340" t="s">
        <v>23687</v>
      </c>
      <c r="E4340" s="249" t="str">
        <f>HYPERLINK("https://www.instagram.com/p/BYkqrQxj2S_/")</f>
        <v>https://www.instagram.com/p/BYkqrQxj2S_/</v>
      </c>
      <c r="F4340" t="s">
        <v>23688</v>
      </c>
      <c r="G4340" t="s">
        <v>2478</v>
      </c>
      <c r="H4340">
        <v>688</v>
      </c>
      <c r="I4340" t="s">
        <v>2479</v>
      </c>
      <c r="J4340">
        <v>1</v>
      </c>
      <c r="K4340">
        <v>25</v>
      </c>
      <c r="L4340">
        <v>26</v>
      </c>
      <c r="Q4340">
        <v>0</v>
      </c>
      <c r="R4340">
        <v>0</v>
      </c>
      <c r="S4340">
        <v>26</v>
      </c>
      <c r="Y4340" t="s">
        <v>23689</v>
      </c>
      <c r="Z4340" t="s">
        <v>23094</v>
      </c>
      <c r="AA4340" t="s">
        <v>6698</v>
      </c>
      <c r="AB4340" t="s">
        <v>3685</v>
      </c>
      <c r="AC4340" t="s">
        <v>6733</v>
      </c>
      <c r="AD4340" s="249" t="str">
        <f>HYPERLINK("https://scontent.cdninstagram.com/t51.2885-15/s320x320/e35/21227863_914188488736522_1537923399517470720_n.jpg")</f>
        <v>https://scontent.cdninstagram.com/t51.2885-15/s320x320/e35/21227863_914188488736522_1537923399517470720_n.jpg</v>
      </c>
      <c r="AE4340" s="249" t="str">
        <f>HYPERLINK("https://scontent.cdninstagram.com/t51.2885-19/s150x150/21372563_140209839921980_5104164354614362112_a.jpg")</f>
        <v>https://scontent.cdninstagram.com/t51.2885-19/s150x150/21372563_140209839921980_5104164354614362112_a.jpg</v>
      </c>
    </row>
    <row r="4341" spans="1:31" ht="15" x14ac:dyDescent="0.25">
      <c r="A4341" t="s">
        <v>2474</v>
      </c>
      <c r="B4341" t="s">
        <v>23690</v>
      </c>
      <c r="C4341" s="221">
        <v>42981.207916666666</v>
      </c>
      <c r="D4341" t="s">
        <v>23691</v>
      </c>
      <c r="E4341" s="249" t="str">
        <f>HYPERLINK("https://www.instagram.com/p/BYkrJfVjyvh/")</f>
        <v>https://www.instagram.com/p/BYkrJfVjyvh/</v>
      </c>
      <c r="F4341" t="s">
        <v>23692</v>
      </c>
      <c r="G4341" t="s">
        <v>2478</v>
      </c>
      <c r="H4341">
        <v>22</v>
      </c>
      <c r="I4341" t="s">
        <v>2479</v>
      </c>
      <c r="J4341">
        <v>0</v>
      </c>
      <c r="K4341">
        <v>16</v>
      </c>
      <c r="L4341">
        <v>16</v>
      </c>
      <c r="Q4341">
        <v>0</v>
      </c>
      <c r="R4341">
        <v>0</v>
      </c>
      <c r="S4341">
        <v>16</v>
      </c>
      <c r="Y4341" t="s">
        <v>23693</v>
      </c>
      <c r="Z4341" t="s">
        <v>16126</v>
      </c>
      <c r="AA4341" t="s">
        <v>5278</v>
      </c>
      <c r="AB4341" t="s">
        <v>23694</v>
      </c>
      <c r="AC4341" t="s">
        <v>23695</v>
      </c>
      <c r="AD4341" s="249" t="str">
        <f>HYPERLINK("https://scontent.cdninstagram.com/t51.2885-15/s320x320/e15/21294967_1957624237827707_7527902060029673472_n.jpg")</f>
        <v>https://scontent.cdninstagram.com/t51.2885-15/s320x320/e15/21294967_1957624237827707_7527902060029673472_n.jpg</v>
      </c>
      <c r="AE4341" s="249" t="str">
        <f>HYPERLINK("https://scontent.cdninstagram.com/t51.2885-19/s150x150/16464196_1076806592464922_144489563195179008_a.jpg")</f>
        <v>https://scontent.cdninstagram.com/t51.2885-19/s150x150/16464196_1076806592464922_144489563195179008_a.jpg</v>
      </c>
    </row>
    <row r="4342" spans="1:31" ht="15" x14ac:dyDescent="0.25">
      <c r="A4342" t="s">
        <v>2474</v>
      </c>
      <c r="B4342" t="s">
        <v>23696</v>
      </c>
      <c r="C4342" s="221">
        <v>42981.209282407406</v>
      </c>
      <c r="D4342" t="s">
        <v>23697</v>
      </c>
      <c r="E4342" s="249" t="str">
        <f>HYPERLINK("https://www.instagram.com/p/BYkrX5XHUY2/")</f>
        <v>https://www.instagram.com/p/BYkrX5XHUY2/</v>
      </c>
      <c r="F4342" t="s">
        <v>23698</v>
      </c>
      <c r="G4342" t="s">
        <v>2478</v>
      </c>
      <c r="H4342">
        <v>1</v>
      </c>
      <c r="I4342" t="s">
        <v>2748</v>
      </c>
      <c r="J4342">
        <v>1</v>
      </c>
      <c r="K4342">
        <v>5</v>
      </c>
      <c r="L4342">
        <v>6</v>
      </c>
      <c r="Q4342">
        <v>0</v>
      </c>
      <c r="R4342">
        <v>0</v>
      </c>
      <c r="S4342">
        <v>6</v>
      </c>
      <c r="Y4342" t="s">
        <v>19667</v>
      </c>
      <c r="Z4342" t="s">
        <v>23699</v>
      </c>
      <c r="AA4342" t="s">
        <v>23700</v>
      </c>
      <c r="AB4342" t="s">
        <v>4464</v>
      </c>
      <c r="AC4342" t="s">
        <v>2493</v>
      </c>
      <c r="AD4342" s="249" t="str">
        <f>HYPERLINK("https://scontent.cdninstagram.com/t51.2885-15/s320x320/e35/21296148_126748091306035_2720968816895983616_n.jpg")</f>
        <v>https://scontent.cdninstagram.com/t51.2885-15/s320x320/e35/21296148_126748091306035_2720968816895983616_n.jpg</v>
      </c>
      <c r="AE4342" s="249" t="str">
        <f>HYPERLINK("https://scontent.cdninstagram.com/t51.2885-19/s150x150/21107502_522537788089177_5592778199487479808_n.jpg")</f>
        <v>https://scontent.cdninstagram.com/t51.2885-19/s150x150/21107502_522537788089177_5592778199487479808_n.jpg</v>
      </c>
    </row>
    <row r="4343" spans="1:31" ht="15" x14ac:dyDescent="0.25">
      <c r="A4343" t="s">
        <v>2474</v>
      </c>
      <c r="B4343" t="s">
        <v>23701</v>
      </c>
      <c r="C4343" s="221">
        <v>42981.223171296297</v>
      </c>
      <c r="D4343" t="s">
        <v>23702</v>
      </c>
      <c r="E4343" s="249" t="str">
        <f>HYPERLINK("https://www.instagram.com/p/BYktqYwD9JC/")</f>
        <v>https://www.instagram.com/p/BYktqYwD9JC/</v>
      </c>
      <c r="F4343" t="s">
        <v>23703</v>
      </c>
      <c r="G4343" t="s">
        <v>2631</v>
      </c>
      <c r="H4343">
        <v>819</v>
      </c>
      <c r="I4343" t="s">
        <v>4052</v>
      </c>
      <c r="J4343">
        <v>0</v>
      </c>
      <c r="K4343">
        <v>57</v>
      </c>
      <c r="L4343">
        <v>57</v>
      </c>
      <c r="Q4343">
        <v>0</v>
      </c>
      <c r="R4343">
        <v>0</v>
      </c>
      <c r="S4343">
        <v>57</v>
      </c>
      <c r="T4343" t="s">
        <v>23704</v>
      </c>
      <c r="V4343" t="s">
        <v>2153</v>
      </c>
      <c r="W4343">
        <v>60.977499033332997</v>
      </c>
      <c r="X4343">
        <v>25.623683429031001</v>
      </c>
      <c r="Y4343" t="s">
        <v>23705</v>
      </c>
      <c r="Z4343" t="s">
        <v>23706</v>
      </c>
      <c r="AA4343" t="s">
        <v>23707</v>
      </c>
      <c r="AB4343" t="s">
        <v>23708</v>
      </c>
      <c r="AC4343" t="s">
        <v>23709</v>
      </c>
      <c r="AD4343" s="249" t="str">
        <f>HYPERLINK("https://scontent.cdninstagram.com/t51.2885-15/s320x320/e15/21294907_1872033843112511_2389864359208681472_n.jpg")</f>
        <v>https://scontent.cdninstagram.com/t51.2885-15/s320x320/e15/21294907_1872033843112511_2389864359208681472_n.jpg</v>
      </c>
      <c r="AE4343" s="249" t="str">
        <f>HYPERLINK("https://scontent.cdninstagram.com/t51.2885-19/s150x150/19954929_1950045051878735_5001496124930916352_a.jpg")</f>
        <v>https://scontent.cdninstagram.com/t51.2885-19/s150x150/19954929_1950045051878735_5001496124930916352_a.jpg</v>
      </c>
    </row>
    <row r="4344" spans="1:31" ht="15" x14ac:dyDescent="0.25">
      <c r="A4344" t="s">
        <v>2474</v>
      </c>
      <c r="B4344" t="s">
        <v>4811</v>
      </c>
      <c r="C4344" s="221">
        <v>42981.224780092591</v>
      </c>
      <c r="D4344" t="s">
        <v>23710</v>
      </c>
      <c r="E4344" s="249" t="str">
        <f>HYPERLINK("https://www.instagram.com/p/BYkt7Wig55D/")</f>
        <v>https://www.instagram.com/p/BYkt7Wig55D/</v>
      </c>
      <c r="F4344" t="s">
        <v>23711</v>
      </c>
      <c r="G4344" t="s">
        <v>2478</v>
      </c>
      <c r="H4344">
        <v>1015</v>
      </c>
      <c r="I4344" t="s">
        <v>2479</v>
      </c>
      <c r="J4344">
        <v>9</v>
      </c>
      <c r="K4344">
        <v>92</v>
      </c>
      <c r="L4344">
        <v>101</v>
      </c>
      <c r="Q4344">
        <v>0</v>
      </c>
      <c r="R4344">
        <v>0</v>
      </c>
      <c r="S4344">
        <v>101</v>
      </c>
      <c r="Y4344" t="s">
        <v>3269</v>
      </c>
      <c r="Z4344" t="s">
        <v>5964</v>
      </c>
      <c r="AA4344" t="s">
        <v>3246</v>
      </c>
      <c r="AB4344" t="s">
        <v>2769</v>
      </c>
      <c r="AC4344" t="s">
        <v>3262</v>
      </c>
      <c r="AD4344" s="249" t="str">
        <f>HYPERLINK("https://scontent.cdninstagram.com/t51.2885-15/s320x320/e35/21227228_353451648410495_7610643780353392640_n.jpg")</f>
        <v>https://scontent.cdninstagram.com/t51.2885-15/s320x320/e35/21227228_353451648410495_7610643780353392640_n.jpg</v>
      </c>
      <c r="AE4344" s="249" t="str">
        <f>HYPERLINK("https://scontent.cdninstagram.com/t51.2885-19/s150x150/16124251_1913091765603634_8004330562992996352_a.jpg")</f>
        <v>https://scontent.cdninstagram.com/t51.2885-19/s150x150/16124251_1913091765603634_8004330562992996352_a.jpg</v>
      </c>
    </row>
    <row r="4345" spans="1:31" ht="15" x14ac:dyDescent="0.25">
      <c r="A4345" t="s">
        <v>2474</v>
      </c>
      <c r="B4345" t="s">
        <v>4650</v>
      </c>
      <c r="C4345" s="221">
        <v>42981.239988425928</v>
      </c>
      <c r="D4345" t="s">
        <v>23712</v>
      </c>
      <c r="E4345" s="249" t="str">
        <f>HYPERLINK("https://www.instagram.com/p/BYkwbtbgZK_/")</f>
        <v>https://www.instagram.com/p/BYkwbtbgZK_/</v>
      </c>
      <c r="F4345" t="s">
        <v>23713</v>
      </c>
      <c r="G4345" t="s">
        <v>2478</v>
      </c>
      <c r="H4345">
        <v>51422</v>
      </c>
      <c r="I4345" t="s">
        <v>2479</v>
      </c>
      <c r="J4345">
        <v>25</v>
      </c>
      <c r="K4345">
        <v>2416</v>
      </c>
      <c r="L4345">
        <v>2441</v>
      </c>
      <c r="Q4345">
        <v>0</v>
      </c>
      <c r="R4345">
        <v>0</v>
      </c>
      <c r="S4345">
        <v>2441</v>
      </c>
      <c r="Y4345" t="s">
        <v>20611</v>
      </c>
      <c r="Z4345" t="s">
        <v>23714</v>
      </c>
      <c r="AA4345" t="s">
        <v>23715</v>
      </c>
      <c r="AB4345" t="s">
        <v>9535</v>
      </c>
      <c r="AC4345" t="s">
        <v>5702</v>
      </c>
      <c r="AD4345" s="249" t="str">
        <f>HYPERLINK("https://scontent.cdninstagram.com/t51.2885-15/s320x320/e35/21227468_261095531067372_6297525291300421632_n.jpg")</f>
        <v>https://scontent.cdninstagram.com/t51.2885-15/s320x320/e35/21227468_261095531067372_6297525291300421632_n.jpg</v>
      </c>
      <c r="AE4345" s="249" t="str">
        <f>HYPERLINK("https://scontent.cdninstagram.com/t51.2885-19/s150x150/19761953_352834771801381_7484399315541032960_a.jpg")</f>
        <v>https://scontent.cdninstagram.com/t51.2885-19/s150x150/19761953_352834771801381_7484399315541032960_a.jpg</v>
      </c>
    </row>
    <row r="4346" spans="1:31" ht="15" x14ac:dyDescent="0.25">
      <c r="A4346" t="s">
        <v>2474</v>
      </c>
      <c r="B4346" t="s">
        <v>23716</v>
      </c>
      <c r="C4346" s="221">
        <v>42981.246053240742</v>
      </c>
      <c r="D4346" t="s">
        <v>23717</v>
      </c>
      <c r="E4346" s="249" t="str">
        <f>HYPERLINK("https://www.instagram.com/p/BYkxbwyDXGE/")</f>
        <v>https://www.instagram.com/p/BYkxbwyDXGE/</v>
      </c>
      <c r="F4346" t="s">
        <v>23718</v>
      </c>
      <c r="G4346" t="s">
        <v>2478</v>
      </c>
      <c r="H4346">
        <v>60</v>
      </c>
      <c r="I4346" t="s">
        <v>2479</v>
      </c>
      <c r="J4346">
        <v>0</v>
      </c>
      <c r="K4346">
        <v>15</v>
      </c>
      <c r="L4346">
        <v>15</v>
      </c>
      <c r="Q4346">
        <v>0</v>
      </c>
      <c r="R4346">
        <v>0</v>
      </c>
      <c r="S4346">
        <v>15</v>
      </c>
      <c r="Y4346" t="s">
        <v>2497</v>
      </c>
      <c r="Z4346" t="s">
        <v>23719</v>
      </c>
      <c r="AA4346" t="s">
        <v>23720</v>
      </c>
      <c r="AB4346" t="s">
        <v>6761</v>
      </c>
      <c r="AC4346" t="s">
        <v>3982</v>
      </c>
      <c r="AD4346" s="249" t="str">
        <f>HYPERLINK("https://scontent.cdninstagram.com/t51.2885-15/s320x320/e35/21294783_1553271594738738_2382289634626371584_n.jpg")</f>
        <v>https://scontent.cdninstagram.com/t51.2885-15/s320x320/e35/21294783_1553271594738738_2382289634626371584_n.jpg</v>
      </c>
      <c r="AE4346" s="249" t="str">
        <f>HYPERLINK("https://scontent.cdninstagram.com/t51.2885-19/10983591_1596646570571642_1988364061_a.jpg")</f>
        <v>https://scontent.cdninstagram.com/t51.2885-19/10983591_1596646570571642_1988364061_a.jpg</v>
      </c>
    </row>
    <row r="4347" spans="1:31" ht="15" x14ac:dyDescent="0.25">
      <c r="A4347" t="s">
        <v>2474</v>
      </c>
      <c r="B4347" t="s">
        <v>23716</v>
      </c>
      <c r="C4347" s="221">
        <v>42981.24763888889</v>
      </c>
      <c r="D4347" t="s">
        <v>23721</v>
      </c>
      <c r="E4347" s="249" t="str">
        <f>HYPERLINK("https://www.instagram.com/p/BYkxsdpD1TS/")</f>
        <v>https://www.instagram.com/p/BYkxsdpD1TS/</v>
      </c>
      <c r="F4347" t="s">
        <v>23722</v>
      </c>
      <c r="G4347" t="s">
        <v>2478</v>
      </c>
      <c r="H4347">
        <v>60</v>
      </c>
      <c r="I4347" t="s">
        <v>2479</v>
      </c>
      <c r="J4347">
        <v>0</v>
      </c>
      <c r="K4347">
        <v>7</v>
      </c>
      <c r="L4347">
        <v>7</v>
      </c>
      <c r="Q4347">
        <v>0</v>
      </c>
      <c r="R4347">
        <v>0</v>
      </c>
      <c r="S4347">
        <v>7</v>
      </c>
      <c r="Y4347" t="s">
        <v>2497</v>
      </c>
      <c r="Z4347" t="s">
        <v>23719</v>
      </c>
      <c r="AA4347" t="s">
        <v>23723</v>
      </c>
      <c r="AB4347" t="s">
        <v>6761</v>
      </c>
      <c r="AC4347" t="s">
        <v>3982</v>
      </c>
      <c r="AD4347" s="249" t="str">
        <f>HYPERLINK("https://scontent.cdninstagram.com/t51.2885-15/s320x320/e35/21372570_1628842783855208_42120228875796480_n.jpg")</f>
        <v>https://scontent.cdninstagram.com/t51.2885-15/s320x320/e35/21372570_1628842783855208_42120228875796480_n.jpg</v>
      </c>
      <c r="AE4347" s="249" t="str">
        <f>HYPERLINK("https://scontent.cdninstagram.com/t51.2885-19/10983591_1596646570571642_1988364061_a.jpg")</f>
        <v>https://scontent.cdninstagram.com/t51.2885-19/10983591_1596646570571642_1988364061_a.jpg</v>
      </c>
    </row>
    <row r="4348" spans="1:31" ht="15" x14ac:dyDescent="0.25">
      <c r="A4348" t="s">
        <v>2474</v>
      </c>
      <c r="B4348" t="s">
        <v>23724</v>
      </c>
      <c r="C4348" s="221">
        <v>42981.253020833334</v>
      </c>
      <c r="D4348" t="s">
        <v>23725</v>
      </c>
      <c r="E4348" s="249" t="str">
        <f>HYPERLINK("https://www.instagram.com/p/BYkylOGAjNX/")</f>
        <v>https://www.instagram.com/p/BYkylOGAjNX/</v>
      </c>
      <c r="F4348" t="s">
        <v>23726</v>
      </c>
      <c r="G4348" t="s">
        <v>2488</v>
      </c>
      <c r="H4348">
        <v>12</v>
      </c>
      <c r="I4348" t="s">
        <v>2479</v>
      </c>
      <c r="J4348">
        <v>0</v>
      </c>
      <c r="K4348">
        <v>13</v>
      </c>
      <c r="L4348">
        <v>13</v>
      </c>
      <c r="Q4348">
        <v>0</v>
      </c>
      <c r="R4348">
        <v>0</v>
      </c>
      <c r="S4348">
        <v>13</v>
      </c>
      <c r="Y4348" t="s">
        <v>2497</v>
      </c>
      <c r="Z4348" t="s">
        <v>23727</v>
      </c>
      <c r="AA4348" t="s">
        <v>23323</v>
      </c>
      <c r="AB4348" t="s">
        <v>23728</v>
      </c>
      <c r="AC4348" t="s">
        <v>23729</v>
      </c>
      <c r="AD4348" s="249" t="str">
        <f>HYPERLINK("https://scontent.cdninstagram.com/t51.2885-15/s320x320/e35/21296569_128009074503095_8928465872775806976_n.jpg")</f>
        <v>https://scontent.cdninstagram.com/t51.2885-15/s320x320/e35/21296569_128009074503095_8928465872775806976_n.jpg</v>
      </c>
      <c r="AE4348" s="249" t="str">
        <f>HYPERLINK("https://scontent.cdninstagram.com/t51.2885-19/s150x150/21436172_1592781204087105_3813308777000599552_a.jpg")</f>
        <v>https://scontent.cdninstagram.com/t51.2885-19/s150x150/21436172_1592781204087105_3813308777000599552_a.jpg</v>
      </c>
    </row>
    <row r="4349" spans="1:31" ht="15" x14ac:dyDescent="0.25">
      <c r="A4349" t="s">
        <v>2474</v>
      </c>
      <c r="B4349" t="s">
        <v>23730</v>
      </c>
      <c r="C4349" s="221">
        <v>42981.25309027778</v>
      </c>
      <c r="D4349" t="s">
        <v>23731</v>
      </c>
      <c r="E4349" s="249" t="str">
        <f>HYPERLINK("https://www.instagram.com/p/BYkyl4TgaoR/")</f>
        <v>https://www.instagram.com/p/BYkyl4TgaoR/</v>
      </c>
      <c r="F4349" t="s">
        <v>23732</v>
      </c>
      <c r="G4349" t="s">
        <v>2478</v>
      </c>
      <c r="H4349">
        <v>50</v>
      </c>
      <c r="I4349" t="s">
        <v>2479</v>
      </c>
      <c r="J4349">
        <v>0</v>
      </c>
      <c r="K4349">
        <v>9</v>
      </c>
      <c r="L4349">
        <v>9</v>
      </c>
      <c r="Q4349">
        <v>0</v>
      </c>
      <c r="R4349">
        <v>0</v>
      </c>
      <c r="S4349">
        <v>9</v>
      </c>
      <c r="Y4349" t="s">
        <v>2497</v>
      </c>
      <c r="Z4349" t="s">
        <v>9669</v>
      </c>
      <c r="AA4349" t="s">
        <v>23733</v>
      </c>
      <c r="AB4349" t="s">
        <v>23734</v>
      </c>
      <c r="AC4349" t="s">
        <v>3335</v>
      </c>
      <c r="AD4349" s="249" t="str">
        <f>HYPERLINK("https://scontent.cdninstagram.com/t51.2885-15/s320x320/e35/21372284_168344260407340_2521908597533704192_n.jpg")</f>
        <v>https://scontent.cdninstagram.com/t51.2885-15/s320x320/e35/21372284_168344260407340_2521908597533704192_n.jpg</v>
      </c>
      <c r="AE4349" s="249" t="str">
        <f>HYPERLINK("https://scontent.cdninstagram.com/t51.2885-19/s150x150/21373509_1960456610875684_1860907555811753984_a.jpg")</f>
        <v>https://scontent.cdninstagram.com/t51.2885-19/s150x150/21373509_1960456610875684_1860907555811753984_a.jpg</v>
      </c>
    </row>
    <row r="4350" spans="1:31" ht="15" x14ac:dyDescent="0.25">
      <c r="A4350" t="s">
        <v>2474</v>
      </c>
      <c r="B4350" t="s">
        <v>11701</v>
      </c>
      <c r="C4350" s="221">
        <v>42981.253472222219</v>
      </c>
      <c r="D4350" t="s">
        <v>23735</v>
      </c>
      <c r="E4350" s="249" t="str">
        <f>HYPERLINK("https://www.instagram.com/p/BYkyqAzh6fL/")</f>
        <v>https://www.instagram.com/p/BYkyqAzh6fL/</v>
      </c>
      <c r="F4350" t="s">
        <v>23736</v>
      </c>
      <c r="G4350" t="s">
        <v>2478</v>
      </c>
      <c r="H4350">
        <v>147</v>
      </c>
      <c r="I4350" t="s">
        <v>2786</v>
      </c>
      <c r="J4350">
        <v>4</v>
      </c>
      <c r="K4350">
        <v>63</v>
      </c>
      <c r="L4350">
        <v>67</v>
      </c>
      <c r="Q4350">
        <v>0</v>
      </c>
      <c r="R4350">
        <v>0</v>
      </c>
      <c r="S4350">
        <v>67</v>
      </c>
      <c r="Y4350" t="s">
        <v>3982</v>
      </c>
      <c r="Z4350" t="s">
        <v>3006</v>
      </c>
      <c r="AA4350" t="s">
        <v>5982</v>
      </c>
      <c r="AB4350" t="s">
        <v>2513</v>
      </c>
      <c r="AC4350" t="s">
        <v>17442</v>
      </c>
      <c r="AD4350" s="249" t="str">
        <f>HYPERLINK("https://scontent.cdninstagram.com/t51.2885-15/e35/p320x320/21294435_1414889938624505_597950565334384640_n.jpg")</f>
        <v>https://scontent.cdninstagram.com/t51.2885-15/e35/p320x320/21294435_1414889938624505_597950565334384640_n.jpg</v>
      </c>
      <c r="AE4350" s="249" t="str">
        <f>HYPERLINK("https://scontent.cdninstagram.com/t51.2885-19/s150x150/21433924_103894710327633_8346754913795047424_a.jpg")</f>
        <v>https://scontent.cdninstagram.com/t51.2885-19/s150x150/21433924_103894710327633_8346754913795047424_a.jpg</v>
      </c>
    </row>
    <row r="4351" spans="1:31" ht="15" x14ac:dyDescent="0.25">
      <c r="A4351" t="s">
        <v>2474</v>
      </c>
      <c r="B4351" t="s">
        <v>22650</v>
      </c>
      <c r="C4351" s="221">
        <v>42981.25540509259</v>
      </c>
      <c r="D4351" t="s">
        <v>23737</v>
      </c>
      <c r="E4351" s="249" t="str">
        <f>HYPERLINK("https://www.instagram.com/p/BYky-VRD84j/")</f>
        <v>https://www.instagram.com/p/BYky-VRD84j/</v>
      </c>
      <c r="F4351" t="s">
        <v>23738</v>
      </c>
      <c r="G4351" t="s">
        <v>2478</v>
      </c>
      <c r="H4351">
        <v>17</v>
      </c>
      <c r="I4351" t="s">
        <v>2479</v>
      </c>
      <c r="J4351">
        <v>2</v>
      </c>
      <c r="K4351">
        <v>12</v>
      </c>
      <c r="L4351">
        <v>14</v>
      </c>
      <c r="Q4351">
        <v>0</v>
      </c>
      <c r="R4351">
        <v>0</v>
      </c>
      <c r="S4351">
        <v>14</v>
      </c>
      <c r="Y4351" t="s">
        <v>5706</v>
      </c>
      <c r="Z4351" t="s">
        <v>3849</v>
      </c>
      <c r="AA4351" t="s">
        <v>23739</v>
      </c>
      <c r="AB4351" t="s">
        <v>23740</v>
      </c>
      <c r="AC4351" t="s">
        <v>23741</v>
      </c>
      <c r="AD4351" s="249" t="str">
        <f>HYPERLINK("https://scontent.cdninstagram.com/t51.2885-15/s320x320/e35/21297032_114693119214272_7576372561261363200_n.jpg")</f>
        <v>https://scontent.cdninstagram.com/t51.2885-15/s320x320/e35/21297032_114693119214272_7576372561261363200_n.jpg</v>
      </c>
      <c r="AE4351" s="249" t="str">
        <f>HYPERLINK("https://scontent.cdninstagram.com/t51.2885-19/s150x150/21224556_167809753791608_1070151592117796864_a.jpg")</f>
        <v>https://scontent.cdninstagram.com/t51.2885-19/s150x150/21224556_167809753791608_1070151592117796864_a.jpg</v>
      </c>
    </row>
    <row r="4352" spans="1:31" ht="15" x14ac:dyDescent="0.25">
      <c r="A4352" t="s">
        <v>2474</v>
      </c>
      <c r="B4352" t="s">
        <v>19639</v>
      </c>
      <c r="C4352" s="221">
        <v>42981.257175925923</v>
      </c>
      <c r="D4352" t="s">
        <v>23742</v>
      </c>
      <c r="E4352" s="249" t="str">
        <f>HYPERLINK("https://www.instagram.com/p/BYkzRDMH_yn/")</f>
        <v>https://www.instagram.com/p/BYkzRDMH_yn/</v>
      </c>
      <c r="F4352" t="s">
        <v>23743</v>
      </c>
      <c r="G4352" t="s">
        <v>2478</v>
      </c>
      <c r="H4352">
        <v>9</v>
      </c>
      <c r="I4352" t="s">
        <v>2479</v>
      </c>
      <c r="J4352">
        <v>1</v>
      </c>
      <c r="K4352">
        <v>4</v>
      </c>
      <c r="L4352">
        <v>5</v>
      </c>
      <c r="Q4352">
        <v>0</v>
      </c>
      <c r="R4352">
        <v>0</v>
      </c>
      <c r="S4352">
        <v>5</v>
      </c>
      <c r="Y4352" t="s">
        <v>23744</v>
      </c>
      <c r="Z4352" t="s">
        <v>19643</v>
      </c>
      <c r="AA4352" t="s">
        <v>17440</v>
      </c>
      <c r="AB4352" t="s">
        <v>18679</v>
      </c>
      <c r="AC4352" t="s">
        <v>23745</v>
      </c>
      <c r="AD4352" s="249" t="str">
        <f>HYPERLINK("https://scontent.cdninstagram.com/t51.2885-15/s320x320/e35/21227293_1968378293376937_8530815376487874560_n.jpg")</f>
        <v>https://scontent.cdninstagram.com/t51.2885-15/s320x320/e35/21227293_1968378293376937_8530815376487874560_n.jpg</v>
      </c>
      <c r="AE4352" s="249" t="str">
        <f>HYPERLINK("https://scontent.cdninstagram.com/t51.2885-19/s150x150/20686926_510088886001218_5946672659885457408_a.jpg")</f>
        <v>https://scontent.cdninstagram.com/t51.2885-19/s150x150/20686926_510088886001218_5946672659885457408_a.jpg</v>
      </c>
    </row>
    <row r="4353" spans="1:31" ht="15" x14ac:dyDescent="0.25">
      <c r="A4353" t="s">
        <v>2474</v>
      </c>
      <c r="B4353" t="s">
        <v>23746</v>
      </c>
      <c r="C4353" s="221">
        <v>42981.264027777775</v>
      </c>
      <c r="D4353" t="s">
        <v>23747</v>
      </c>
      <c r="E4353" s="249" t="str">
        <f>HYPERLINK("https://www.instagram.com/p/BYk0ZP0guMw/")</f>
        <v>https://www.instagram.com/p/BYk0ZP0guMw/</v>
      </c>
      <c r="F4353" t="s">
        <v>23748</v>
      </c>
      <c r="G4353" t="s">
        <v>2478</v>
      </c>
      <c r="H4353">
        <v>0</v>
      </c>
      <c r="I4353" t="s">
        <v>2479</v>
      </c>
      <c r="J4353">
        <v>0</v>
      </c>
      <c r="K4353">
        <v>0</v>
      </c>
      <c r="L4353">
        <v>0</v>
      </c>
      <c r="Q4353">
        <v>0</v>
      </c>
      <c r="R4353">
        <v>0</v>
      </c>
      <c r="S4353">
        <v>0</v>
      </c>
      <c r="Y4353" t="s">
        <v>22962</v>
      </c>
      <c r="Z4353" t="s">
        <v>5838</v>
      </c>
      <c r="AA4353" t="s">
        <v>8628</v>
      </c>
      <c r="AB4353" t="s">
        <v>4106</v>
      </c>
      <c r="AC4353" t="s">
        <v>2497</v>
      </c>
      <c r="AD4353" s="249" t="str">
        <f>HYPERLINK("https://scontent.cdninstagram.com/t51.2885-15/s320x320/e35/21294337_373912763012101_1956622748839051264_n.jpg")</f>
        <v>https://scontent.cdninstagram.com/t51.2885-15/s320x320/e35/21294337_373912763012101_1956622748839051264_n.jpg</v>
      </c>
      <c r="AE4353" s="249" t="str">
        <f>HYPERLINK("https://scontent.cdninstagram.com/t51.2885-19/s150x150/21041473_683545775173275_1335184343097671680_a.jpg")</f>
        <v>https://scontent.cdninstagram.com/t51.2885-19/s150x150/21041473_683545775173275_1335184343097671680_a.jpg</v>
      </c>
    </row>
    <row r="4354" spans="1:31" ht="15" x14ac:dyDescent="0.25">
      <c r="A4354" t="s">
        <v>2474</v>
      </c>
      <c r="B4354" t="s">
        <v>3065</v>
      </c>
      <c r="C4354" s="221">
        <v>42981.264479166668</v>
      </c>
      <c r="D4354" t="s">
        <v>23749</v>
      </c>
      <c r="E4354" s="249" t="str">
        <f>HYPERLINK("https://www.instagram.com/p/BYk0eBUDoXD/")</f>
        <v>https://www.instagram.com/p/BYk0eBUDoXD/</v>
      </c>
      <c r="F4354" t="s">
        <v>23750</v>
      </c>
      <c r="G4354" t="s">
        <v>2478</v>
      </c>
      <c r="H4354">
        <v>152</v>
      </c>
      <c r="I4354" t="s">
        <v>2479</v>
      </c>
      <c r="J4354">
        <v>4</v>
      </c>
      <c r="K4354">
        <v>48</v>
      </c>
      <c r="L4354">
        <v>52</v>
      </c>
      <c r="Q4354">
        <v>0</v>
      </c>
      <c r="R4354">
        <v>0</v>
      </c>
      <c r="S4354">
        <v>52</v>
      </c>
      <c r="Y4354" t="s">
        <v>2554</v>
      </c>
      <c r="Z4354" t="s">
        <v>23751</v>
      </c>
      <c r="AA4354" t="s">
        <v>23752</v>
      </c>
      <c r="AB4354" t="s">
        <v>3392</v>
      </c>
      <c r="AC4354" t="s">
        <v>3069</v>
      </c>
      <c r="AD4354" s="249" t="str">
        <f>HYPERLINK("https://scontent.cdninstagram.com/t51.2885-15/s320x320/e35/21227508_1441695362606818_7940630477096878080_n.jpg")</f>
        <v>https://scontent.cdninstagram.com/t51.2885-15/s320x320/e35/21227508_1441695362606818_7940630477096878080_n.jpg</v>
      </c>
      <c r="AE4354" s="249" t="str">
        <f>HYPERLINK("https://scontent.cdninstagram.com/t51.2885-19/s150x150/19765279_1608513482524058_1389848805645484032_a.jpg")</f>
        <v>https://scontent.cdninstagram.com/t51.2885-19/s150x150/19765279_1608513482524058_1389848805645484032_a.jpg</v>
      </c>
    </row>
    <row r="4355" spans="1:31" ht="15" x14ac:dyDescent="0.25">
      <c r="A4355" t="s">
        <v>2474</v>
      </c>
      <c r="B4355" t="s">
        <v>23112</v>
      </c>
      <c r="C4355" s="221">
        <v>42981.26525462963</v>
      </c>
      <c r="D4355" t="s">
        <v>23753</v>
      </c>
      <c r="E4355" s="249" t="str">
        <f>HYPERLINK("https://www.instagram.com/p/BYk0mPWnwGK/")</f>
        <v>https://www.instagram.com/p/BYk0mPWnwGK/</v>
      </c>
      <c r="F4355" t="s">
        <v>23754</v>
      </c>
      <c r="G4355" t="s">
        <v>2631</v>
      </c>
      <c r="H4355">
        <v>194</v>
      </c>
      <c r="I4355" t="s">
        <v>2479</v>
      </c>
      <c r="J4355">
        <v>3</v>
      </c>
      <c r="K4355">
        <v>40</v>
      </c>
      <c r="L4355">
        <v>43</v>
      </c>
      <c r="Q4355">
        <v>0</v>
      </c>
      <c r="R4355">
        <v>0</v>
      </c>
      <c r="S4355">
        <v>43</v>
      </c>
      <c r="T4355" t="s">
        <v>23755</v>
      </c>
      <c r="V4355" t="s">
        <v>2137</v>
      </c>
      <c r="W4355">
        <v>44.892415200000002</v>
      </c>
      <c r="X4355">
        <v>13.8861604</v>
      </c>
      <c r="Y4355" t="s">
        <v>23756</v>
      </c>
      <c r="Z4355" t="s">
        <v>23757</v>
      </c>
      <c r="AA4355" t="s">
        <v>2513</v>
      </c>
      <c r="AB4355" t="s">
        <v>8367</v>
      </c>
      <c r="AC4355" t="s">
        <v>2497</v>
      </c>
      <c r="AD4355" s="249" t="str">
        <f>HYPERLINK("https://scontent.cdninstagram.com/t51.2885-15/e15/p320x320/21294852_360294681071626_5010572816756506624_n.jpg")</f>
        <v>https://scontent.cdninstagram.com/t51.2885-15/e15/p320x320/21294852_360294681071626_5010572816756506624_n.jpg</v>
      </c>
      <c r="AE4355" s="249" t="str">
        <f>HYPERLINK("https://scontent.cdninstagram.com/t51.2885-19/s150x150/21108023_114390782578907_3810010985146613760_a.jpg")</f>
        <v>https://scontent.cdninstagram.com/t51.2885-19/s150x150/21108023_114390782578907_3810010985146613760_a.jpg</v>
      </c>
    </row>
    <row r="4356" spans="1:31" ht="15" x14ac:dyDescent="0.25">
      <c r="A4356" t="s">
        <v>2474</v>
      </c>
      <c r="B4356" t="s">
        <v>3710</v>
      </c>
      <c r="C4356" s="221">
        <v>42981.278807870367</v>
      </c>
      <c r="D4356" t="s">
        <v>23758</v>
      </c>
      <c r="E4356" s="249" t="str">
        <f>HYPERLINK("https://www.instagram.com/p/BYk21PNgRyX/")</f>
        <v>https://www.instagram.com/p/BYk21PNgRyX/</v>
      </c>
      <c r="F4356" t="s">
        <v>23759</v>
      </c>
      <c r="G4356" t="s">
        <v>2478</v>
      </c>
      <c r="H4356">
        <v>14280</v>
      </c>
      <c r="I4356" t="s">
        <v>2479</v>
      </c>
      <c r="J4356">
        <v>4</v>
      </c>
      <c r="K4356">
        <v>177</v>
      </c>
      <c r="L4356">
        <v>181</v>
      </c>
      <c r="Q4356">
        <v>0</v>
      </c>
      <c r="R4356">
        <v>0</v>
      </c>
      <c r="S4356">
        <v>181</v>
      </c>
      <c r="Y4356" t="s">
        <v>23760</v>
      </c>
      <c r="Z4356" t="s">
        <v>23761</v>
      </c>
      <c r="AA4356" t="s">
        <v>23762</v>
      </c>
      <c r="AB4356" t="s">
        <v>23763</v>
      </c>
      <c r="AC4356" t="s">
        <v>2938</v>
      </c>
      <c r="AD4356" s="249" t="str">
        <f>HYPERLINK("https://scontent.cdninstagram.com/t51.2885-15/s320x320/e35/21294421_268959726943696_6879061290493411328_n.jpg")</f>
        <v>https://scontent.cdninstagram.com/t51.2885-15/s320x320/e35/21294421_268959726943696_6879061290493411328_n.jpg</v>
      </c>
      <c r="AE4356" s="249" t="str">
        <f>HYPERLINK("https://scontent.cdninstagram.com/t51.2885-19/s150x150/15625245_101041737067360_8349613132926156800_a.jpg")</f>
        <v>https://scontent.cdninstagram.com/t51.2885-19/s150x150/15625245_101041737067360_8349613132926156800_a.jpg</v>
      </c>
    </row>
    <row r="4357" spans="1:31" ht="15" x14ac:dyDescent="0.25">
      <c r="A4357" t="s">
        <v>2474</v>
      </c>
      <c r="B4357" t="s">
        <v>7496</v>
      </c>
      <c r="C4357" s="221">
        <v>42981.283368055556</v>
      </c>
      <c r="D4357" t="s">
        <v>23764</v>
      </c>
      <c r="E4357" s="249" t="str">
        <f>HYPERLINK("https://www.instagram.com/p/BYk3lUADtiS/")</f>
        <v>https://www.instagram.com/p/BYk3lUADtiS/</v>
      </c>
      <c r="F4357" t="s">
        <v>23765</v>
      </c>
      <c r="G4357" t="s">
        <v>2478</v>
      </c>
      <c r="H4357">
        <v>78</v>
      </c>
      <c r="I4357" t="s">
        <v>2542</v>
      </c>
      <c r="J4357">
        <v>1</v>
      </c>
      <c r="K4357">
        <v>28</v>
      </c>
      <c r="L4357">
        <v>29</v>
      </c>
      <c r="Q4357">
        <v>0</v>
      </c>
      <c r="R4357">
        <v>0</v>
      </c>
      <c r="S4357">
        <v>29</v>
      </c>
      <c r="Y4357" t="s">
        <v>23766</v>
      </c>
      <c r="Z4357" t="s">
        <v>4218</v>
      </c>
      <c r="AA4357" t="s">
        <v>22065</v>
      </c>
      <c r="AB4357" t="s">
        <v>23767</v>
      </c>
      <c r="AC4357" t="s">
        <v>23768</v>
      </c>
      <c r="AD4357" s="249" t="str">
        <f>HYPERLINK("https://scontent.cdninstagram.com/t51.2885-15/s320x320/e35/21373178_897596680395408_6151815785594486784_n.jpg")</f>
        <v>https://scontent.cdninstagram.com/t51.2885-15/s320x320/e35/21373178_897596680395408_6151815785594486784_n.jpg</v>
      </c>
      <c r="AE4357" s="249" t="str">
        <f>HYPERLINK("https://scontent.cdninstagram.com/t51.2885-19/s150x150/21041894_111066442921281_829694038415245312_a.jpg")</f>
        <v>https://scontent.cdninstagram.com/t51.2885-19/s150x150/21041894_111066442921281_829694038415245312_a.jpg</v>
      </c>
    </row>
    <row r="4358" spans="1:31" ht="15" x14ac:dyDescent="0.25">
      <c r="A4358" t="s">
        <v>2474</v>
      </c>
      <c r="B4358" t="s">
        <v>8307</v>
      </c>
      <c r="C4358" s="221">
        <v>42981.29142361111</v>
      </c>
      <c r="D4358" t="s">
        <v>23769</v>
      </c>
      <c r="E4358" s="249" t="str">
        <f>HYPERLINK("https://www.instagram.com/p/BYk46LdjXj9/")</f>
        <v>https://www.instagram.com/p/BYk46LdjXj9/</v>
      </c>
      <c r="F4358" t="s">
        <v>23770</v>
      </c>
      <c r="G4358" t="s">
        <v>2631</v>
      </c>
      <c r="H4358">
        <v>279</v>
      </c>
      <c r="I4358" t="s">
        <v>2479</v>
      </c>
      <c r="J4358">
        <v>3</v>
      </c>
      <c r="K4358">
        <v>45</v>
      </c>
      <c r="L4358">
        <v>48</v>
      </c>
      <c r="Q4358">
        <v>0</v>
      </c>
      <c r="R4358">
        <v>0</v>
      </c>
      <c r="S4358">
        <v>48</v>
      </c>
      <c r="Y4358" t="s">
        <v>23771</v>
      </c>
      <c r="Z4358" t="s">
        <v>5383</v>
      </c>
      <c r="AA4358" t="s">
        <v>2492</v>
      </c>
      <c r="AB4358" t="s">
        <v>3535</v>
      </c>
      <c r="AC4358" t="s">
        <v>6612</v>
      </c>
      <c r="AD4358" s="249" t="str">
        <f>HYPERLINK("https://scontent.cdninstagram.com/t51.2885-15/e15/p320x320/21295043_413537832374722_1463885430419095552_n.jpg")</f>
        <v>https://scontent.cdninstagram.com/t51.2885-15/e15/p320x320/21295043_413537832374722_1463885430419095552_n.jpg</v>
      </c>
      <c r="AE4358" s="249" t="str">
        <f>HYPERLINK("https://scontent.cdninstagram.com/t51.2885-19/s150x150/21149699_111553206208578_8873987816103608320_a.jpg")</f>
        <v>https://scontent.cdninstagram.com/t51.2885-19/s150x150/21149699_111553206208578_8873987816103608320_a.jpg</v>
      </c>
    </row>
    <row r="4359" spans="1:31" ht="15" x14ac:dyDescent="0.25">
      <c r="A4359" t="s">
        <v>2474</v>
      </c>
      <c r="B4359" t="s">
        <v>23772</v>
      </c>
      <c r="C4359" s="221">
        <v>42981.307430555556</v>
      </c>
      <c r="D4359" t="s">
        <v>23773</v>
      </c>
      <c r="E4359" s="249" t="str">
        <f>HYPERLINK("https://www.instagram.com/p/BYk7jB6ALWN/")</f>
        <v>https://www.instagram.com/p/BYk7jB6ALWN/</v>
      </c>
      <c r="F4359" t="s">
        <v>23774</v>
      </c>
      <c r="G4359" t="s">
        <v>2478</v>
      </c>
      <c r="H4359">
        <v>296</v>
      </c>
      <c r="I4359" t="s">
        <v>2510</v>
      </c>
      <c r="J4359">
        <v>0</v>
      </c>
      <c r="K4359">
        <v>48</v>
      </c>
      <c r="L4359">
        <v>48</v>
      </c>
      <c r="Q4359">
        <v>0</v>
      </c>
      <c r="R4359">
        <v>0</v>
      </c>
      <c r="S4359">
        <v>48</v>
      </c>
      <c r="Y4359" t="s">
        <v>20937</v>
      </c>
      <c r="Z4359" t="s">
        <v>2497</v>
      </c>
      <c r="AA4359" t="s">
        <v>23775</v>
      </c>
      <c r="AB4359" t="s">
        <v>23776</v>
      </c>
      <c r="AD4359" s="249" t="str">
        <f>HYPERLINK("https://scontent.cdninstagram.com/t51.2885-15/e35/p320x320/21227269_271912119961703_5962235018615980032_n.jpg")</f>
        <v>https://scontent.cdninstagram.com/t51.2885-15/e35/p320x320/21227269_271912119961703_5962235018615980032_n.jpg</v>
      </c>
      <c r="AE4359" s="249" t="str">
        <f>HYPERLINK("https://scontent.cdninstagram.com/t51.2885-19/s150x150/20225252_1919695244915267_7612845797201149952_a.jpg")</f>
        <v>https://scontent.cdninstagram.com/t51.2885-19/s150x150/20225252_1919695244915267_7612845797201149952_a.jpg</v>
      </c>
    </row>
    <row r="4360" spans="1:31" ht="15" x14ac:dyDescent="0.25">
      <c r="A4360" t="s">
        <v>2474</v>
      </c>
      <c r="B4360" t="s">
        <v>23777</v>
      </c>
      <c r="C4360" s="221">
        <v>42981.310069444444</v>
      </c>
      <c r="D4360" t="s">
        <v>23778</v>
      </c>
      <c r="E4360" s="249" t="str">
        <f>HYPERLINK("https://www.instagram.com/p/BYk7-1ynd-e/")</f>
        <v>https://www.instagram.com/p/BYk7-1ynd-e/</v>
      </c>
      <c r="F4360" t="s">
        <v>23779</v>
      </c>
      <c r="G4360" t="s">
        <v>2478</v>
      </c>
      <c r="H4360">
        <v>585</v>
      </c>
      <c r="I4360" t="s">
        <v>2542</v>
      </c>
      <c r="J4360">
        <v>2</v>
      </c>
      <c r="K4360">
        <v>35</v>
      </c>
      <c r="L4360">
        <v>37</v>
      </c>
      <c r="Q4360">
        <v>0</v>
      </c>
      <c r="R4360">
        <v>0</v>
      </c>
      <c r="S4360">
        <v>37</v>
      </c>
      <c r="T4360" t="s">
        <v>23780</v>
      </c>
      <c r="V4360" t="s">
        <v>2110</v>
      </c>
      <c r="W4360">
        <v>51.067390000000003</v>
      </c>
      <c r="X4360">
        <v>5.0958699999999997</v>
      </c>
      <c r="Y4360" t="s">
        <v>23781</v>
      </c>
      <c r="Z4360" t="s">
        <v>23782</v>
      </c>
      <c r="AA4360" t="s">
        <v>2497</v>
      </c>
      <c r="AD4360" s="249" t="str">
        <f>HYPERLINK("https://scontent.cdninstagram.com/t51.2885-15/e35/p320x320/21295062_2000609323493706_1070705402380812288_n.jpg")</f>
        <v>https://scontent.cdninstagram.com/t51.2885-15/e35/p320x320/21295062_2000609323493706_1070705402380812288_n.jpg</v>
      </c>
      <c r="AE4360" s="249" t="str">
        <f>HYPERLINK("https://scontent.cdninstagram.com/t51.2885-19/s150x150/18300067_124096028143057_8147783544421220352_a.jpg")</f>
        <v>https://scontent.cdninstagram.com/t51.2885-19/s150x150/18300067_124096028143057_8147783544421220352_a.jpg</v>
      </c>
    </row>
    <row r="4361" spans="1:31" ht="15" x14ac:dyDescent="0.25">
      <c r="A4361" t="s">
        <v>2474</v>
      </c>
      <c r="B4361" t="s">
        <v>7152</v>
      </c>
      <c r="C4361" s="221">
        <v>42981.334456018521</v>
      </c>
      <c r="D4361" t="s">
        <v>23783</v>
      </c>
      <c r="E4361" s="249" t="str">
        <f>HYPERLINK("https://www.instagram.com/p/BYlAAHAjvpV/")</f>
        <v>https://www.instagram.com/p/BYlAAHAjvpV/</v>
      </c>
      <c r="F4361" t="s">
        <v>23784</v>
      </c>
      <c r="G4361" t="s">
        <v>2478</v>
      </c>
      <c r="H4361">
        <v>126</v>
      </c>
      <c r="I4361" t="s">
        <v>2542</v>
      </c>
      <c r="J4361">
        <v>2</v>
      </c>
      <c r="K4361">
        <v>24</v>
      </c>
      <c r="L4361">
        <v>26</v>
      </c>
      <c r="Q4361">
        <v>0</v>
      </c>
      <c r="R4361">
        <v>0</v>
      </c>
      <c r="S4361">
        <v>26</v>
      </c>
      <c r="Y4361" t="s">
        <v>7286</v>
      </c>
      <c r="Z4361" t="s">
        <v>6746</v>
      </c>
      <c r="AA4361" t="s">
        <v>4582</v>
      </c>
      <c r="AB4361" t="s">
        <v>12669</v>
      </c>
      <c r="AC4361" t="s">
        <v>5383</v>
      </c>
      <c r="AD4361" s="249" t="str">
        <f>HYPERLINK("https://scontent.cdninstagram.com/t51.2885-15/e35/p320x320/21296593_1429494450431186_2436863735357243392_n.jpg")</f>
        <v>https://scontent.cdninstagram.com/t51.2885-15/e35/p320x320/21296593_1429494450431186_2436863735357243392_n.jpg</v>
      </c>
      <c r="AE4361" s="249" t="str">
        <f>HYPERLINK("https://scontent.cdninstagram.com/t51.2885-19/s150x150/20181062_1791856511105718_4709893984703479808_a.jpg")</f>
        <v>https://scontent.cdninstagram.com/t51.2885-19/s150x150/20181062_1791856511105718_4709893984703479808_a.jpg</v>
      </c>
    </row>
    <row r="4362" spans="1:31" ht="15" x14ac:dyDescent="0.25">
      <c r="A4362" t="s">
        <v>2474</v>
      </c>
      <c r="B4362" t="s">
        <v>11637</v>
      </c>
      <c r="C4362" s="221">
        <v>42981.33489583333</v>
      </c>
      <c r="D4362" t="s">
        <v>23785</v>
      </c>
      <c r="E4362" s="249" t="str">
        <f>HYPERLINK("https://www.instagram.com/p/BYlAEsDHH1z/")</f>
        <v>https://www.instagram.com/p/BYlAEsDHH1z/</v>
      </c>
      <c r="F4362" t="s">
        <v>23786</v>
      </c>
      <c r="G4362" t="s">
        <v>2478</v>
      </c>
      <c r="H4362">
        <v>597</v>
      </c>
      <c r="I4362" t="s">
        <v>2479</v>
      </c>
      <c r="J4362">
        <v>0</v>
      </c>
      <c r="K4362">
        <v>3</v>
      </c>
      <c r="L4362">
        <v>3</v>
      </c>
      <c r="Q4362">
        <v>0</v>
      </c>
      <c r="R4362">
        <v>0</v>
      </c>
      <c r="S4362">
        <v>3</v>
      </c>
      <c r="Y4362" t="s">
        <v>23787</v>
      </c>
      <c r="Z4362" t="s">
        <v>2497</v>
      </c>
      <c r="AA4362" t="s">
        <v>3433</v>
      </c>
      <c r="AB4362" t="s">
        <v>11641</v>
      </c>
      <c r="AC4362" t="s">
        <v>23788</v>
      </c>
      <c r="AD4362" s="249" t="str">
        <f>HYPERLINK("https://scontent.cdninstagram.com/t51.2885-15/s320x320/e35/21297001_475300559502608_694832808350187520_n.jpg")</f>
        <v>https://scontent.cdninstagram.com/t51.2885-15/s320x320/e35/21297001_475300559502608_694832808350187520_n.jpg</v>
      </c>
      <c r="AE4362" s="249" t="str">
        <f>HYPERLINK("https://scontent.cdninstagram.com/t51.2885-19/s150x150/20766072_1556596661027588_2496887604125892608_a.jpg")</f>
        <v>https://scontent.cdninstagram.com/t51.2885-19/s150x150/20766072_1556596661027588_2496887604125892608_a.jpg</v>
      </c>
    </row>
    <row r="4363" spans="1:31" ht="15" x14ac:dyDescent="0.25">
      <c r="A4363" t="s">
        <v>2474</v>
      </c>
      <c r="B4363" t="s">
        <v>22518</v>
      </c>
      <c r="C4363" s="221">
        <v>42981.340717592589</v>
      </c>
      <c r="D4363" t="s">
        <v>23789</v>
      </c>
      <c r="E4363" s="249" t="str">
        <f>HYPERLINK("https://www.instagram.com/p/BYlBCFjnsm5/")</f>
        <v>https://www.instagram.com/p/BYlBCFjnsm5/</v>
      </c>
      <c r="F4363" t="s">
        <v>23790</v>
      </c>
      <c r="G4363" t="s">
        <v>2478</v>
      </c>
      <c r="H4363">
        <v>244</v>
      </c>
      <c r="I4363" t="s">
        <v>2542</v>
      </c>
      <c r="J4363">
        <v>0</v>
      </c>
      <c r="K4363">
        <v>41</v>
      </c>
      <c r="L4363">
        <v>41</v>
      </c>
      <c r="Q4363">
        <v>0</v>
      </c>
      <c r="R4363">
        <v>0</v>
      </c>
      <c r="S4363">
        <v>41</v>
      </c>
      <c r="Y4363" t="s">
        <v>19831</v>
      </c>
      <c r="Z4363" t="s">
        <v>23791</v>
      </c>
      <c r="AA4363" t="s">
        <v>23792</v>
      </c>
      <c r="AB4363" t="s">
        <v>12910</v>
      </c>
      <c r="AC4363" t="s">
        <v>12013</v>
      </c>
      <c r="AD4363" s="249" t="str">
        <f>HYPERLINK("https://scontent.cdninstagram.com/t51.2885-15/s320x320/e35/21372149_168363640389868_3506376880586489856_n.jpg")</f>
        <v>https://scontent.cdninstagram.com/t51.2885-15/s320x320/e35/21372149_168363640389868_3506376880586489856_n.jpg</v>
      </c>
      <c r="AE4363" s="249" t="str">
        <f>HYPERLINK("https://scontent.cdninstagram.com/t51.2885-19/s150x150/20398181_119617902007896_1623972721400479744_a.jpg")</f>
        <v>https://scontent.cdninstagram.com/t51.2885-19/s150x150/20398181_119617902007896_1623972721400479744_a.jpg</v>
      </c>
    </row>
    <row r="4364" spans="1:31" ht="15" x14ac:dyDescent="0.25">
      <c r="A4364" t="s">
        <v>2474</v>
      </c>
      <c r="B4364" t="s">
        <v>23793</v>
      </c>
      <c r="C4364" s="221">
        <v>42981.342141203706</v>
      </c>
      <c r="D4364" t="s">
        <v>23794</v>
      </c>
      <c r="E4364" s="249" t="str">
        <f>HYPERLINK("https://www.instagram.com/p/BYlBRNOn2na/")</f>
        <v>https://www.instagram.com/p/BYlBRNOn2na/</v>
      </c>
      <c r="F4364" t="s">
        <v>23795</v>
      </c>
      <c r="G4364" t="s">
        <v>2478</v>
      </c>
      <c r="H4364">
        <v>224</v>
      </c>
      <c r="I4364" t="s">
        <v>2479</v>
      </c>
      <c r="J4364">
        <v>0</v>
      </c>
      <c r="K4364">
        <v>7</v>
      </c>
      <c r="L4364">
        <v>7</v>
      </c>
      <c r="Q4364">
        <v>0</v>
      </c>
      <c r="R4364">
        <v>0</v>
      </c>
      <c r="S4364">
        <v>7</v>
      </c>
      <c r="T4364" t="s">
        <v>23796</v>
      </c>
      <c r="V4364" t="s">
        <v>2182</v>
      </c>
      <c r="W4364">
        <v>44.8</v>
      </c>
      <c r="X4364">
        <v>10.333299999999999</v>
      </c>
      <c r="Y4364" t="s">
        <v>2497</v>
      </c>
      <c r="Z4364" t="s">
        <v>23797</v>
      </c>
      <c r="AA4364" t="s">
        <v>3246</v>
      </c>
      <c r="AB4364" t="s">
        <v>4295</v>
      </c>
      <c r="AC4364" t="s">
        <v>23798</v>
      </c>
      <c r="AD4364" s="249" t="str">
        <f>HYPERLINK("https://scontent.cdninstagram.com/t51.2885-15/s320x320/e35/21227406_941400872666689_4200363773652893696_n.jpg")</f>
        <v>https://scontent.cdninstagram.com/t51.2885-15/s320x320/e35/21227406_941400872666689_4200363773652893696_n.jpg</v>
      </c>
      <c r="AE4364" s="249" t="str">
        <f>HYPERLINK("https://scontent.cdninstagram.com/t51.2885-19/s150x150/21296657_114269515958584_5868808540646277120_n.jpg")</f>
        <v>https://scontent.cdninstagram.com/t51.2885-19/s150x150/21296657_114269515958584_5868808540646277120_n.jpg</v>
      </c>
    </row>
    <row r="4365" spans="1:31" ht="15" x14ac:dyDescent="0.25">
      <c r="A4365" t="s">
        <v>2474</v>
      </c>
      <c r="B4365" t="s">
        <v>23799</v>
      </c>
      <c r="C4365" s="221">
        <v>42981.345185185186</v>
      </c>
      <c r="D4365" t="s">
        <v>23800</v>
      </c>
      <c r="E4365" s="249" t="str">
        <f>HYPERLINK("https://www.instagram.com/p/BYlBxMhnyla/")</f>
        <v>https://www.instagram.com/p/BYlBxMhnyla/</v>
      </c>
      <c r="F4365" t="s">
        <v>23801</v>
      </c>
      <c r="G4365" t="s">
        <v>2478</v>
      </c>
      <c r="H4365">
        <v>253</v>
      </c>
      <c r="I4365" t="s">
        <v>2639</v>
      </c>
      <c r="J4365">
        <v>2</v>
      </c>
      <c r="K4365">
        <v>45</v>
      </c>
      <c r="L4365">
        <v>47</v>
      </c>
      <c r="Q4365">
        <v>0</v>
      </c>
      <c r="R4365">
        <v>0</v>
      </c>
      <c r="S4365">
        <v>47</v>
      </c>
      <c r="T4365" t="s">
        <v>23802</v>
      </c>
      <c r="V4365" t="s">
        <v>2161</v>
      </c>
      <c r="W4365">
        <v>53.847079999999998</v>
      </c>
      <c r="X4365">
        <v>10.75906</v>
      </c>
      <c r="Y4365" t="s">
        <v>2616</v>
      </c>
      <c r="Z4365" t="s">
        <v>9313</v>
      </c>
      <c r="AA4365" t="s">
        <v>23803</v>
      </c>
      <c r="AB4365" t="s">
        <v>2497</v>
      </c>
      <c r="AC4365" t="s">
        <v>23804</v>
      </c>
      <c r="AD4365" s="249" t="str">
        <f>HYPERLINK("https://scontent.cdninstagram.com/t51.2885-15/s320x320/e35/21296622_321243518345075_2962165753513508864_n.jpg")</f>
        <v>https://scontent.cdninstagram.com/t51.2885-15/s320x320/e35/21296622_321243518345075_2962165753513508864_n.jpg</v>
      </c>
      <c r="AE4365" s="249" t="str">
        <f>HYPERLINK("https://scontent.cdninstagram.com/t51.2885-19/s150x150/18580785_1837671869829908_4775682051770679296_a.jpg")</f>
        <v>https://scontent.cdninstagram.com/t51.2885-19/s150x150/18580785_1837671869829908_4775682051770679296_a.jpg</v>
      </c>
    </row>
    <row r="4366" spans="1:31" ht="15" x14ac:dyDescent="0.25">
      <c r="A4366" t="s">
        <v>2474</v>
      </c>
      <c r="B4366" t="s">
        <v>22578</v>
      </c>
      <c r="C4366" s="221">
        <v>42981.346655092595</v>
      </c>
      <c r="D4366" t="s">
        <v>23805</v>
      </c>
      <c r="E4366" s="249" t="str">
        <f>HYPERLINK("https://www.instagram.com/p/BYlCAu1BktI/")</f>
        <v>https://www.instagram.com/p/BYlCAu1BktI/</v>
      </c>
      <c r="F4366" t="s">
        <v>23806</v>
      </c>
      <c r="G4366" t="s">
        <v>2631</v>
      </c>
      <c r="H4366">
        <v>191</v>
      </c>
      <c r="I4366" t="s">
        <v>2748</v>
      </c>
      <c r="J4366">
        <v>3</v>
      </c>
      <c r="K4366">
        <v>41</v>
      </c>
      <c r="L4366">
        <v>44</v>
      </c>
      <c r="Q4366">
        <v>0</v>
      </c>
      <c r="R4366">
        <v>0</v>
      </c>
      <c r="S4366">
        <v>44</v>
      </c>
      <c r="Y4366" t="s">
        <v>23075</v>
      </c>
      <c r="Z4366" t="s">
        <v>23807</v>
      </c>
      <c r="AA4366" t="s">
        <v>22581</v>
      </c>
      <c r="AB4366" t="s">
        <v>23808</v>
      </c>
      <c r="AC4366" t="s">
        <v>3426</v>
      </c>
      <c r="AD4366" s="249" t="str">
        <f>HYPERLINK("https://scontent.cdninstagram.com/t51.2885-15/s320x320/e15/21227521_1426539640728634_362565325058736128_n.jpg")</f>
        <v>https://scontent.cdninstagram.com/t51.2885-15/s320x320/e15/21227521_1426539640728634_362565325058736128_n.jpg</v>
      </c>
      <c r="AE4366" s="249" t="str">
        <f>HYPERLINK("https://scontent.cdninstagram.com/t51.2885-19/s150x150/18382574_441736542848950_4071946974511759360_a.jpg")</f>
        <v>https://scontent.cdninstagram.com/t51.2885-19/s150x150/18382574_441736542848950_4071946974511759360_a.jpg</v>
      </c>
    </row>
    <row r="4367" spans="1:31" ht="15" x14ac:dyDescent="0.25">
      <c r="A4367" t="s">
        <v>2474</v>
      </c>
      <c r="B4367" t="s">
        <v>23809</v>
      </c>
      <c r="C4367" s="221">
        <v>42981.359537037039</v>
      </c>
      <c r="D4367" t="s">
        <v>23810</v>
      </c>
      <c r="E4367" s="249" t="str">
        <f>HYPERLINK("https://www.instagram.com/p/BYlEIqSAn3T/")</f>
        <v>https://www.instagram.com/p/BYlEIqSAn3T/</v>
      </c>
      <c r="F4367" t="s">
        <v>23811</v>
      </c>
      <c r="G4367" t="s">
        <v>2478</v>
      </c>
      <c r="H4367">
        <v>703</v>
      </c>
      <c r="I4367" t="s">
        <v>2479</v>
      </c>
      <c r="J4367">
        <v>1</v>
      </c>
      <c r="K4367">
        <v>36</v>
      </c>
      <c r="L4367">
        <v>37</v>
      </c>
      <c r="Q4367">
        <v>0</v>
      </c>
      <c r="R4367">
        <v>0</v>
      </c>
      <c r="S4367">
        <v>37</v>
      </c>
      <c r="T4367" t="s">
        <v>23812</v>
      </c>
      <c r="V4367" t="s">
        <v>2182</v>
      </c>
      <c r="W4367">
        <v>41.027441914935999</v>
      </c>
      <c r="X4367">
        <v>9.5443725585937997</v>
      </c>
      <c r="Y4367" t="s">
        <v>23813</v>
      </c>
      <c r="Z4367" t="s">
        <v>2696</v>
      </c>
      <c r="AA4367" t="s">
        <v>7491</v>
      </c>
      <c r="AB4367" t="s">
        <v>2492</v>
      </c>
      <c r="AC4367" t="s">
        <v>5950</v>
      </c>
      <c r="AD4367" s="249" t="str">
        <f>HYPERLINK("https://scontent.cdninstagram.com/t51.2885-15/s320x320/e35/21373150_361040570993068_715622653381050368_n.jpg")</f>
        <v>https://scontent.cdninstagram.com/t51.2885-15/s320x320/e35/21373150_361040570993068_715622653381050368_n.jpg</v>
      </c>
      <c r="AE4367" s="249" t="str">
        <f>HYPERLINK("https://scontent.cdninstagram.com/t51.2885-19/915591_663196580428409_2075378033_a.jpg")</f>
        <v>https://scontent.cdninstagram.com/t51.2885-19/915591_663196580428409_2075378033_a.jpg</v>
      </c>
    </row>
    <row r="4368" spans="1:31" ht="15" x14ac:dyDescent="0.25">
      <c r="A4368" t="s">
        <v>2474</v>
      </c>
      <c r="B4368" t="s">
        <v>2863</v>
      </c>
      <c r="C4368" s="221">
        <v>42981.360393518517</v>
      </c>
      <c r="D4368" t="s">
        <v>23814</v>
      </c>
      <c r="E4368" s="249" t="str">
        <f>HYPERLINK("https://www.instagram.com/p/BYlERqKldnh/")</f>
        <v>https://www.instagram.com/p/BYlERqKldnh/</v>
      </c>
      <c r="F4368" t="s">
        <v>23815</v>
      </c>
      <c r="G4368" t="s">
        <v>2478</v>
      </c>
      <c r="H4368">
        <v>80</v>
      </c>
      <c r="I4368" t="s">
        <v>2479</v>
      </c>
      <c r="J4368">
        <v>0</v>
      </c>
      <c r="K4368">
        <v>40</v>
      </c>
      <c r="L4368">
        <v>40</v>
      </c>
      <c r="Q4368">
        <v>0</v>
      </c>
      <c r="R4368">
        <v>0</v>
      </c>
      <c r="S4368">
        <v>40</v>
      </c>
      <c r="Y4368" t="s">
        <v>23816</v>
      </c>
      <c r="Z4368" t="s">
        <v>23817</v>
      </c>
      <c r="AA4368" t="s">
        <v>22275</v>
      </c>
      <c r="AB4368" t="s">
        <v>9240</v>
      </c>
      <c r="AC4368" t="s">
        <v>2949</v>
      </c>
      <c r="AD4368" s="249" t="str">
        <f>HYPERLINK("https://scontent.cdninstagram.com/t51.2885-15/s320x320/e35/21296240_757873487754277_8136305798373441536_n.jpg")</f>
        <v>https://scontent.cdninstagram.com/t51.2885-15/s320x320/e35/21296240_757873487754277_8136305798373441536_n.jpg</v>
      </c>
      <c r="AE4368" s="249" t="str">
        <f>HYPERLINK("https://scontent.cdninstagram.com/t51.2885-19/s150x150/19955745_1435072766568917_8173761520967090176_a.jpg")</f>
        <v>https://scontent.cdninstagram.com/t51.2885-19/s150x150/19955745_1435072766568917_8173761520967090176_a.jpg</v>
      </c>
    </row>
    <row r="4369" spans="1:31" ht="15" x14ac:dyDescent="0.25">
      <c r="A4369" t="s">
        <v>2474</v>
      </c>
      <c r="B4369" t="s">
        <v>3015</v>
      </c>
      <c r="C4369" s="221">
        <v>42981.362974537034</v>
      </c>
      <c r="D4369" t="s">
        <v>23818</v>
      </c>
      <c r="E4369" s="249" t="str">
        <f>HYPERLINK("https://www.instagram.com/p/BYlEs7SApMc/")</f>
        <v>https://www.instagram.com/p/BYlEs7SApMc/</v>
      </c>
      <c r="F4369" t="s">
        <v>23819</v>
      </c>
      <c r="G4369" t="s">
        <v>2478</v>
      </c>
      <c r="H4369">
        <v>251</v>
      </c>
      <c r="I4369" t="s">
        <v>2479</v>
      </c>
      <c r="J4369">
        <v>0</v>
      </c>
      <c r="K4369">
        <v>51</v>
      </c>
      <c r="L4369">
        <v>51</v>
      </c>
      <c r="Q4369">
        <v>0</v>
      </c>
      <c r="R4369">
        <v>0</v>
      </c>
      <c r="S4369">
        <v>51</v>
      </c>
      <c r="Y4369" t="s">
        <v>3019</v>
      </c>
      <c r="Z4369" t="s">
        <v>3165</v>
      </c>
      <c r="AA4369" t="s">
        <v>3727</v>
      </c>
      <c r="AB4369" t="s">
        <v>2492</v>
      </c>
      <c r="AC4369" t="s">
        <v>3021</v>
      </c>
      <c r="AD4369" s="249" t="str">
        <f>HYPERLINK("https://scontent.cdninstagram.com/t51.2885-15/s320x320/e35/21227700_302914163514143_217236134411894784_n.jpg")</f>
        <v>https://scontent.cdninstagram.com/t51.2885-15/s320x320/e35/21227700_302914163514143_217236134411894784_n.jpg</v>
      </c>
      <c r="AE4369" s="249" t="str">
        <f>HYPERLINK("https://scontent.cdninstagram.com/t51.2885-19/s150x150/21373025_723410537866046_6184601968204316672_a.jpg")</f>
        <v>https://scontent.cdninstagram.com/t51.2885-19/s150x150/21373025_723410537866046_6184601968204316672_a.jpg</v>
      </c>
    </row>
    <row r="4370" spans="1:31" ht="15" x14ac:dyDescent="0.25">
      <c r="A4370" t="s">
        <v>2474</v>
      </c>
      <c r="B4370" t="s">
        <v>23820</v>
      </c>
      <c r="C4370" s="221">
        <v>42981.373263888891</v>
      </c>
      <c r="D4370" t="s">
        <v>23821</v>
      </c>
      <c r="E4370" s="249" t="str">
        <f>HYPERLINK("https://www.instagram.com/p/BYlGZXjg_x-/")</f>
        <v>https://www.instagram.com/p/BYlGZXjg_x-/</v>
      </c>
      <c r="F4370" t="s">
        <v>23822</v>
      </c>
      <c r="G4370" t="s">
        <v>2478</v>
      </c>
      <c r="H4370">
        <v>930</v>
      </c>
      <c r="I4370" t="s">
        <v>2479</v>
      </c>
      <c r="J4370">
        <v>3</v>
      </c>
      <c r="K4370">
        <v>162</v>
      </c>
      <c r="L4370">
        <v>165</v>
      </c>
      <c r="Q4370">
        <v>0</v>
      </c>
      <c r="R4370">
        <v>0</v>
      </c>
      <c r="S4370">
        <v>165</v>
      </c>
      <c r="Y4370" t="s">
        <v>5034</v>
      </c>
      <c r="Z4370" t="s">
        <v>2492</v>
      </c>
      <c r="AA4370" t="s">
        <v>3535</v>
      </c>
      <c r="AB4370" t="s">
        <v>23823</v>
      </c>
      <c r="AC4370" t="s">
        <v>23824</v>
      </c>
      <c r="AD4370" s="249" t="str">
        <f>HYPERLINK("https://scontent.cdninstagram.com/t51.2885-15/s320x320/e35/21294517_1968946456683826_3390109727881953280_n.jpg")</f>
        <v>https://scontent.cdninstagram.com/t51.2885-15/s320x320/e35/21294517_1968946456683826_3390109727881953280_n.jpg</v>
      </c>
      <c r="AE4370" s="249" t="str">
        <f>HYPERLINK("https://scontent.cdninstagram.com/t51.2885-19/s150x150/11356650_538349469646212_418208199_a.jpg")</f>
        <v>https://scontent.cdninstagram.com/t51.2885-19/s150x150/11356650_538349469646212_418208199_a.jpg</v>
      </c>
    </row>
    <row r="4371" spans="1:31" ht="15" x14ac:dyDescent="0.25">
      <c r="A4371" t="s">
        <v>2474</v>
      </c>
      <c r="B4371" t="s">
        <v>23825</v>
      </c>
      <c r="C4371" s="221">
        <v>42981.373518518521</v>
      </c>
      <c r="D4371" t="s">
        <v>23826</v>
      </c>
      <c r="E4371" s="249" t="str">
        <f>HYPERLINK("https://www.instagram.com/p/BYlGcG9AZAW/")</f>
        <v>https://www.instagram.com/p/BYlGcG9AZAW/</v>
      </c>
      <c r="F4371" t="s">
        <v>23827</v>
      </c>
      <c r="G4371" t="s">
        <v>2478</v>
      </c>
      <c r="H4371">
        <v>122</v>
      </c>
      <c r="I4371" t="s">
        <v>2786</v>
      </c>
      <c r="J4371">
        <v>2</v>
      </c>
      <c r="K4371">
        <v>40</v>
      </c>
      <c r="L4371">
        <v>42</v>
      </c>
      <c r="Q4371">
        <v>0</v>
      </c>
      <c r="R4371">
        <v>0</v>
      </c>
      <c r="S4371">
        <v>42</v>
      </c>
      <c r="Y4371" t="s">
        <v>16743</v>
      </c>
      <c r="Z4371" t="s">
        <v>23828</v>
      </c>
      <c r="AA4371" t="s">
        <v>2641</v>
      </c>
      <c r="AB4371" t="s">
        <v>2497</v>
      </c>
      <c r="AD4371" s="249" t="str">
        <f>HYPERLINK("https://scontent.cdninstagram.com/t51.2885-15/s320x320/e35/21227345_1947404175472360_941456603649933312_n.jpg")</f>
        <v>https://scontent.cdninstagram.com/t51.2885-15/s320x320/e35/21227345_1947404175472360_941456603649933312_n.jpg</v>
      </c>
      <c r="AE4371" s="249" t="str">
        <f>HYPERLINK("https://scontent.cdninstagram.com/t51.2885-19/s150x150/20225949_472752649756248_5477501307327610880_a.jpg")</f>
        <v>https://scontent.cdninstagram.com/t51.2885-19/s150x150/20225949_472752649756248_5477501307327610880_a.jpg</v>
      </c>
    </row>
    <row r="4372" spans="1:31" ht="15" x14ac:dyDescent="0.25">
      <c r="A4372" t="s">
        <v>2474</v>
      </c>
      <c r="B4372" t="s">
        <v>23829</v>
      </c>
      <c r="C4372" s="221">
        <v>42981.375092592592</v>
      </c>
      <c r="D4372" t="s">
        <v>23830</v>
      </c>
      <c r="E4372" s="249" t="str">
        <f>HYPERLINK("https://www.instagram.com/p/BYlGsuzBd0Q/")</f>
        <v>https://www.instagram.com/p/BYlGsuzBd0Q/</v>
      </c>
      <c r="F4372" t="s">
        <v>23831</v>
      </c>
      <c r="G4372" t="s">
        <v>2478</v>
      </c>
      <c r="H4372">
        <v>424</v>
      </c>
      <c r="I4372" t="s">
        <v>2542</v>
      </c>
      <c r="J4372">
        <v>1</v>
      </c>
      <c r="K4372">
        <v>8</v>
      </c>
      <c r="L4372">
        <v>9</v>
      </c>
      <c r="Q4372">
        <v>0</v>
      </c>
      <c r="R4372">
        <v>0</v>
      </c>
      <c r="S4372">
        <v>9</v>
      </c>
      <c r="Y4372" t="s">
        <v>4439</v>
      </c>
      <c r="Z4372" t="s">
        <v>23832</v>
      </c>
      <c r="AA4372" t="s">
        <v>23833</v>
      </c>
      <c r="AB4372" t="s">
        <v>23834</v>
      </c>
      <c r="AC4372" t="s">
        <v>23835</v>
      </c>
      <c r="AD4372" s="249" t="str">
        <f>HYPERLINK("https://scontent.cdninstagram.com/t51.2885-15/s320x320/e35/21371718_1278089352319219_1200722214278660096_n.jpg")</f>
        <v>https://scontent.cdninstagram.com/t51.2885-15/s320x320/e35/21371718_1278089352319219_1200722214278660096_n.jpg</v>
      </c>
      <c r="AE4372" s="249" t="str">
        <f>HYPERLINK("https://scontent.cdninstagram.com/t51.2885-19/s150x150/18298631_1694441370571030_1620057089911029760_a.jpg")</f>
        <v>https://scontent.cdninstagram.com/t51.2885-19/s150x150/18298631_1694441370571030_1620057089911029760_a.jpg</v>
      </c>
    </row>
    <row r="4373" spans="1:31" ht="15" x14ac:dyDescent="0.25">
      <c r="A4373" t="s">
        <v>2474</v>
      </c>
      <c r="B4373" t="s">
        <v>23836</v>
      </c>
      <c r="C4373" s="221">
        <v>42981.378217592595</v>
      </c>
      <c r="D4373" t="s">
        <v>23837</v>
      </c>
      <c r="E4373" s="249" t="str">
        <f>HYPERLINK("https://www.instagram.com/p/BYlHNnXB8n8/")</f>
        <v>https://www.instagram.com/p/BYlHNnXB8n8/</v>
      </c>
      <c r="F4373" t="s">
        <v>23838</v>
      </c>
      <c r="G4373" t="s">
        <v>2478</v>
      </c>
      <c r="H4373">
        <v>61</v>
      </c>
      <c r="I4373" t="s">
        <v>2479</v>
      </c>
      <c r="J4373">
        <v>4</v>
      </c>
      <c r="K4373">
        <v>11</v>
      </c>
      <c r="L4373">
        <v>15</v>
      </c>
      <c r="Q4373">
        <v>0</v>
      </c>
      <c r="R4373">
        <v>0</v>
      </c>
      <c r="S4373">
        <v>15</v>
      </c>
      <c r="T4373" t="s">
        <v>23839</v>
      </c>
      <c r="U4373" t="s">
        <v>1808</v>
      </c>
      <c r="V4373" t="s">
        <v>2299</v>
      </c>
      <c r="W4373">
        <v>30.798100000000002</v>
      </c>
      <c r="X4373">
        <v>-81.564999999999998</v>
      </c>
      <c r="Y4373" t="s">
        <v>2497</v>
      </c>
      <c r="AD4373" s="249" t="str">
        <f>HYPERLINK("https://scontent.cdninstagram.com/t51.2885-15/s320x320/e35/21297046_129652990933139_2988473046676799488_n.jpg")</f>
        <v>https://scontent.cdninstagram.com/t51.2885-15/s320x320/e35/21297046_129652990933139_2988473046676799488_n.jpg</v>
      </c>
      <c r="AE4373" s="249" t="str">
        <f>HYPERLINK("https://scontent.cdninstagram.com/t51.2885-19/s150x150/13696645_1234630836547608_1096438474_a.jpg")</f>
        <v>https://scontent.cdninstagram.com/t51.2885-19/s150x150/13696645_1234630836547608_1096438474_a.jpg</v>
      </c>
    </row>
    <row r="4374" spans="1:31" ht="15" x14ac:dyDescent="0.25">
      <c r="A4374" t="s">
        <v>2474</v>
      </c>
      <c r="B4374" t="s">
        <v>17158</v>
      </c>
      <c r="C4374" s="221">
        <v>42981.385347222225</v>
      </c>
      <c r="D4374" t="s">
        <v>23840</v>
      </c>
      <c r="E4374" s="249" t="str">
        <f>HYPERLINK("https://www.instagram.com/p/BYlIYycBsVS/")</f>
        <v>https://www.instagram.com/p/BYlIYycBsVS/</v>
      </c>
      <c r="F4374" t="s">
        <v>23841</v>
      </c>
      <c r="G4374" t="s">
        <v>2478</v>
      </c>
      <c r="H4374">
        <v>387</v>
      </c>
      <c r="I4374" t="s">
        <v>2479</v>
      </c>
      <c r="J4374">
        <v>3</v>
      </c>
      <c r="K4374">
        <v>54</v>
      </c>
      <c r="L4374">
        <v>57</v>
      </c>
      <c r="Q4374">
        <v>0</v>
      </c>
      <c r="R4374">
        <v>0</v>
      </c>
      <c r="S4374">
        <v>57</v>
      </c>
      <c r="Y4374" t="s">
        <v>18449</v>
      </c>
      <c r="Z4374" t="s">
        <v>17162</v>
      </c>
      <c r="AA4374" t="s">
        <v>20139</v>
      </c>
      <c r="AB4374" t="s">
        <v>5982</v>
      </c>
      <c r="AC4374" t="s">
        <v>2641</v>
      </c>
      <c r="AD4374" s="249" t="str">
        <f>HYPERLINK("https://scontent.cdninstagram.com/t51.2885-15/s320x320/e35/21373691_487296988297306_6616542602915217408_n.jpg")</f>
        <v>https://scontent.cdninstagram.com/t51.2885-15/s320x320/e35/21373691_487296988297306_6616542602915217408_n.jpg</v>
      </c>
      <c r="AE4374" s="249" t="str">
        <f>HYPERLINK("https://scontent.cdninstagram.com/t51.2885-19/s150x150/13658639_315931348749567_46952542_a.jpg")</f>
        <v>https://scontent.cdninstagram.com/t51.2885-19/s150x150/13658639_315931348749567_46952542_a.jpg</v>
      </c>
    </row>
    <row r="4375" spans="1:31" ht="15" x14ac:dyDescent="0.25">
      <c r="A4375" t="s">
        <v>2474</v>
      </c>
      <c r="B4375" t="s">
        <v>23842</v>
      </c>
      <c r="C4375" s="221">
        <v>42981.388518518521</v>
      </c>
      <c r="D4375" t="s">
        <v>23843</v>
      </c>
      <c r="E4375" s="249" t="str">
        <f>HYPERLINK("https://www.instagram.com/p/BYlI6OkDoh2/")</f>
        <v>https://www.instagram.com/p/BYlI6OkDoh2/</v>
      </c>
      <c r="F4375" t="s">
        <v>23844</v>
      </c>
      <c r="G4375" t="s">
        <v>2478</v>
      </c>
      <c r="H4375">
        <v>110</v>
      </c>
      <c r="I4375" t="s">
        <v>4523</v>
      </c>
      <c r="J4375">
        <v>7</v>
      </c>
      <c r="K4375">
        <v>34</v>
      </c>
      <c r="L4375">
        <v>41</v>
      </c>
      <c r="Q4375">
        <v>0</v>
      </c>
      <c r="R4375">
        <v>0</v>
      </c>
      <c r="S4375">
        <v>41</v>
      </c>
      <c r="Y4375" t="s">
        <v>23845</v>
      </c>
      <c r="Z4375" t="s">
        <v>23846</v>
      </c>
      <c r="AA4375" t="s">
        <v>2497</v>
      </c>
      <c r="AB4375" t="s">
        <v>23847</v>
      </c>
      <c r="AD4375" s="249" t="str">
        <f>HYPERLINK("https://scontent.cdninstagram.com/t51.2885-15/s320x320/e35/21227551_2000609360176585_7773572007517487104_n.jpg")</f>
        <v>https://scontent.cdninstagram.com/t51.2885-15/s320x320/e35/21227551_2000609360176585_7773572007517487104_n.jpg</v>
      </c>
      <c r="AE4375" s="249" t="str">
        <f>HYPERLINK("https://scontent.cdninstagram.com/t51.2885-19/s150x150/20969079_164967804071663_2976671339835817984_a.jpg")</f>
        <v>https://scontent.cdninstagram.com/t51.2885-19/s150x150/20969079_164967804071663_2976671339835817984_a.jpg</v>
      </c>
    </row>
    <row r="4376" spans="1:31" ht="15" x14ac:dyDescent="0.25">
      <c r="A4376" t="s">
        <v>2474</v>
      </c>
      <c r="B4376" t="s">
        <v>23848</v>
      </c>
      <c r="C4376" s="221">
        <v>42981.39739583333</v>
      </c>
      <c r="D4376" t="s">
        <v>23849</v>
      </c>
      <c r="E4376" s="249" t="str">
        <f>HYPERLINK("https://www.instagram.com/p/BYlKX7fAIMf/")</f>
        <v>https://www.instagram.com/p/BYlKX7fAIMf/</v>
      </c>
      <c r="F4376" t="s">
        <v>23850</v>
      </c>
      <c r="G4376" t="s">
        <v>2478</v>
      </c>
      <c r="H4376">
        <v>196</v>
      </c>
      <c r="I4376" t="s">
        <v>2479</v>
      </c>
      <c r="J4376">
        <v>0</v>
      </c>
      <c r="K4376">
        <v>23</v>
      </c>
      <c r="L4376">
        <v>23</v>
      </c>
      <c r="Q4376">
        <v>0</v>
      </c>
      <c r="R4376">
        <v>0</v>
      </c>
      <c r="S4376">
        <v>23</v>
      </c>
      <c r="Y4376" t="s">
        <v>2734</v>
      </c>
      <c r="Z4376" t="s">
        <v>3246</v>
      </c>
      <c r="AA4376" t="s">
        <v>23851</v>
      </c>
      <c r="AB4376" t="s">
        <v>23852</v>
      </c>
      <c r="AC4376" t="s">
        <v>2497</v>
      </c>
      <c r="AD4376" s="249" t="str">
        <f>HYPERLINK("https://scontent.cdninstagram.com/t51.2885-15/s320x320/e35/21372989_1569983816392315_1435018109114122240_n.jpg")</f>
        <v>https://scontent.cdninstagram.com/t51.2885-15/s320x320/e35/21372989_1569983816392315_1435018109114122240_n.jpg</v>
      </c>
      <c r="AE4376" s="249" t="str">
        <f>HYPERLINK("https://scontent.cdninstagram.com/t51.2885-19/s150x150/21042841_328678540910112_539193462809952256_a.jpg")</f>
        <v>https://scontent.cdninstagram.com/t51.2885-19/s150x150/21042841_328678540910112_539193462809952256_a.jpg</v>
      </c>
    </row>
    <row r="4377" spans="1:31" ht="15" x14ac:dyDescent="0.25">
      <c r="A4377" t="s">
        <v>2474</v>
      </c>
      <c r="B4377" t="s">
        <v>8749</v>
      </c>
      <c r="C4377" s="221">
        <v>42981.398645833331</v>
      </c>
      <c r="D4377" t="s">
        <v>23853</v>
      </c>
      <c r="E4377" s="249" t="str">
        <f>HYPERLINK("https://www.instagram.com/p/BYlKlDCFouG/")</f>
        <v>https://www.instagram.com/p/BYlKlDCFouG/</v>
      </c>
      <c r="F4377" t="s">
        <v>23854</v>
      </c>
      <c r="G4377" t="s">
        <v>2478</v>
      </c>
      <c r="H4377">
        <v>471</v>
      </c>
      <c r="I4377" t="s">
        <v>2479</v>
      </c>
      <c r="J4377">
        <v>0</v>
      </c>
      <c r="K4377">
        <v>28</v>
      </c>
      <c r="L4377">
        <v>28</v>
      </c>
      <c r="Q4377">
        <v>0</v>
      </c>
      <c r="R4377">
        <v>0</v>
      </c>
      <c r="S4377">
        <v>28</v>
      </c>
      <c r="Y4377" t="s">
        <v>13912</v>
      </c>
      <c r="Z4377" t="s">
        <v>23752</v>
      </c>
      <c r="AA4377" t="s">
        <v>23855</v>
      </c>
      <c r="AB4377" t="s">
        <v>21592</v>
      </c>
      <c r="AC4377" t="s">
        <v>17404</v>
      </c>
      <c r="AD4377" s="249" t="str">
        <f>HYPERLINK("https://scontent.cdninstagram.com/t51.2885-15/s320x320/e35/21296981_191854184689380_6681860620171608064_n.jpg")</f>
        <v>https://scontent.cdninstagram.com/t51.2885-15/s320x320/e35/21296981_191854184689380_6681860620171608064_n.jpg</v>
      </c>
      <c r="AE4377" s="249" t="str">
        <f>HYPERLINK("https://scontent.cdninstagram.com/t51.2885-19/s150x150/21435920_387370281680102_986476661300002816_a.jpg")</f>
        <v>https://scontent.cdninstagram.com/t51.2885-19/s150x150/21435920_387370281680102_986476661300002816_a.jpg</v>
      </c>
    </row>
    <row r="4378" spans="1:31" ht="15" x14ac:dyDescent="0.25">
      <c r="A4378" t="s">
        <v>2474</v>
      </c>
      <c r="B4378" t="s">
        <v>23856</v>
      </c>
      <c r="C4378" s="221">
        <v>42981.400266203702</v>
      </c>
      <c r="D4378" t="s">
        <v>23857</v>
      </c>
      <c r="E4378" s="249" t="str">
        <f>HYPERLINK("https://www.instagram.com/p/BYlK2Ksn1UA/")</f>
        <v>https://www.instagram.com/p/BYlK2Ksn1UA/</v>
      </c>
      <c r="F4378" t="s">
        <v>23858</v>
      </c>
      <c r="G4378" t="s">
        <v>2478</v>
      </c>
      <c r="H4378">
        <v>263</v>
      </c>
      <c r="I4378" t="s">
        <v>2542</v>
      </c>
      <c r="J4378">
        <v>1</v>
      </c>
      <c r="K4378">
        <v>65</v>
      </c>
      <c r="L4378">
        <v>66</v>
      </c>
      <c r="Q4378">
        <v>0</v>
      </c>
      <c r="R4378">
        <v>0</v>
      </c>
      <c r="S4378">
        <v>66</v>
      </c>
      <c r="Y4378" t="s">
        <v>23859</v>
      </c>
      <c r="Z4378" t="s">
        <v>3349</v>
      </c>
      <c r="AA4378" t="s">
        <v>15965</v>
      </c>
      <c r="AB4378" t="s">
        <v>2497</v>
      </c>
      <c r="AC4378" t="s">
        <v>23860</v>
      </c>
      <c r="AD4378" s="249" t="str">
        <f>HYPERLINK("https://scontent.cdninstagram.com/t51.2885-15/e35/p320x320/21371922_361886810912188_6376617745416454144_n.jpg")</f>
        <v>https://scontent.cdninstagram.com/t51.2885-15/e35/p320x320/21371922_361886810912188_6376617745416454144_n.jpg</v>
      </c>
      <c r="AE4378" s="249" t="str">
        <f>HYPERLINK("https://scontent.cdninstagram.com/t51.2885-19/s150x150/20688231_1474449609314574_3189861572105207808_a.jpg")</f>
        <v>https://scontent.cdninstagram.com/t51.2885-19/s150x150/20688231_1474449609314574_3189861572105207808_a.jpg</v>
      </c>
    </row>
    <row r="4379" spans="1:31" ht="15" x14ac:dyDescent="0.25">
      <c r="A4379" t="s">
        <v>2474</v>
      </c>
      <c r="B4379" t="s">
        <v>23861</v>
      </c>
      <c r="C4379" s="221">
        <v>42981.406388888892</v>
      </c>
      <c r="D4379" t="s">
        <v>23862</v>
      </c>
      <c r="E4379" s="249" t="str">
        <f>HYPERLINK("https://www.instagram.com/p/BYlL2uRFRt3/")</f>
        <v>https://www.instagram.com/p/BYlL2uRFRt3/</v>
      </c>
      <c r="F4379" t="s">
        <v>23863</v>
      </c>
      <c r="G4379" t="s">
        <v>2478</v>
      </c>
      <c r="H4379">
        <v>249</v>
      </c>
      <c r="I4379" t="s">
        <v>4523</v>
      </c>
      <c r="J4379">
        <v>2</v>
      </c>
      <c r="K4379">
        <v>72</v>
      </c>
      <c r="L4379">
        <v>74</v>
      </c>
      <c r="Q4379">
        <v>0</v>
      </c>
      <c r="R4379">
        <v>0</v>
      </c>
      <c r="S4379">
        <v>74</v>
      </c>
      <c r="T4379" t="s">
        <v>23864</v>
      </c>
      <c r="V4379" t="s">
        <v>2161</v>
      </c>
      <c r="W4379">
        <v>52.366700000000002</v>
      </c>
      <c r="X4379">
        <v>9.7166700000000006</v>
      </c>
      <c r="Y4379" t="s">
        <v>2616</v>
      </c>
      <c r="Z4379" t="s">
        <v>6339</v>
      </c>
      <c r="AA4379" t="s">
        <v>23865</v>
      </c>
      <c r="AB4379" t="s">
        <v>4123</v>
      </c>
      <c r="AC4379" t="s">
        <v>23866</v>
      </c>
      <c r="AD4379" s="249" t="str">
        <f>HYPERLINK("https://scontent.cdninstagram.com/t51.2885-15/s320x320/e35/21294707_336103846831682_4947574356717862912_n.jpg")</f>
        <v>https://scontent.cdninstagram.com/t51.2885-15/s320x320/e35/21294707_336103846831682_4947574356717862912_n.jpg</v>
      </c>
      <c r="AE4379" s="249" t="str">
        <f>HYPERLINK("https://scontent.cdninstagram.com/t51.2885-19/s150x150/20839026_122690868371772_6564209392781099008_a.jpg")</f>
        <v>https://scontent.cdninstagram.com/t51.2885-19/s150x150/20839026_122690868371772_6564209392781099008_a.jpg</v>
      </c>
    </row>
    <row r="4380" spans="1:31" ht="15" x14ac:dyDescent="0.25">
      <c r="A4380" t="s">
        <v>2474</v>
      </c>
      <c r="B4380" t="s">
        <v>20498</v>
      </c>
      <c r="C4380" s="221">
        <v>42981.420324074075</v>
      </c>
      <c r="D4380" t="s">
        <v>23867</v>
      </c>
      <c r="E4380" s="249" t="str">
        <f>HYPERLINK("https://www.instagram.com/p/BYlOJxJjK6Y/")</f>
        <v>https://www.instagram.com/p/BYlOJxJjK6Y/</v>
      </c>
      <c r="F4380" t="s">
        <v>23868</v>
      </c>
      <c r="G4380" t="s">
        <v>2478</v>
      </c>
      <c r="H4380">
        <v>926</v>
      </c>
      <c r="I4380" t="s">
        <v>2599</v>
      </c>
      <c r="J4380">
        <v>0</v>
      </c>
      <c r="K4380">
        <v>44</v>
      </c>
      <c r="L4380">
        <v>44</v>
      </c>
      <c r="Q4380">
        <v>0</v>
      </c>
      <c r="R4380">
        <v>0</v>
      </c>
      <c r="S4380">
        <v>44</v>
      </c>
      <c r="T4380" t="s">
        <v>23869</v>
      </c>
      <c r="V4380" t="s">
        <v>2182</v>
      </c>
      <c r="W4380">
        <v>46.377499999999998</v>
      </c>
      <c r="X4380">
        <v>11.262499999999999</v>
      </c>
      <c r="Y4380" t="s">
        <v>4319</v>
      </c>
      <c r="Z4380" t="s">
        <v>9938</v>
      </c>
      <c r="AA4380" t="s">
        <v>2736</v>
      </c>
      <c r="AB4380" t="s">
        <v>2513</v>
      </c>
      <c r="AC4380" t="s">
        <v>5186</v>
      </c>
      <c r="AD4380" s="249" t="str">
        <f>HYPERLINK("https://scontent.cdninstagram.com/t51.2885-15/e35/p320x320/21227722_115341695835067_4473804799288016896_n.jpg")</f>
        <v>https://scontent.cdninstagram.com/t51.2885-15/e35/p320x320/21227722_115341695835067_4473804799288016896_n.jpg</v>
      </c>
      <c r="AE4380" s="249" t="str">
        <f>HYPERLINK("https://scontent.cdninstagram.com/t51.2885-19/s150x150/21294638_1620693864655862_6689775394494611456_a.jpg")</f>
        <v>https://scontent.cdninstagram.com/t51.2885-19/s150x150/21294638_1620693864655862_6689775394494611456_a.jpg</v>
      </c>
    </row>
    <row r="4381" spans="1:31" ht="15" x14ac:dyDescent="0.25">
      <c r="A4381" t="s">
        <v>2474</v>
      </c>
      <c r="B4381" t="s">
        <v>23870</v>
      </c>
      <c r="C4381" s="221">
        <v>42981.422777777778</v>
      </c>
      <c r="D4381" t="s">
        <v>23871</v>
      </c>
      <c r="E4381" s="249" t="str">
        <f>HYPERLINK("https://www.instagram.com/p/BYlOjpRAU1o/")</f>
        <v>https://www.instagram.com/p/BYlOjpRAU1o/</v>
      </c>
      <c r="F4381" t="s">
        <v>23872</v>
      </c>
      <c r="G4381" t="s">
        <v>2478</v>
      </c>
      <c r="H4381">
        <v>313</v>
      </c>
      <c r="I4381" t="s">
        <v>2479</v>
      </c>
      <c r="J4381">
        <v>5</v>
      </c>
      <c r="K4381">
        <v>55</v>
      </c>
      <c r="L4381">
        <v>60</v>
      </c>
      <c r="Q4381">
        <v>0</v>
      </c>
      <c r="R4381">
        <v>0</v>
      </c>
      <c r="S4381">
        <v>60</v>
      </c>
      <c r="Y4381" t="s">
        <v>9313</v>
      </c>
      <c r="Z4381" t="s">
        <v>23873</v>
      </c>
      <c r="AA4381" t="s">
        <v>2497</v>
      </c>
      <c r="AD4381" s="249" t="str">
        <f>HYPERLINK("https://scontent.cdninstagram.com/t51.2885-15/s320x320/e35/21294812_109970496408466_3731786595460710400_n.jpg")</f>
        <v>https://scontent.cdninstagram.com/t51.2885-15/s320x320/e35/21294812_109970496408466_3731786595460710400_n.jpg</v>
      </c>
      <c r="AE4381" s="249" t="str">
        <f>HYPERLINK("https://scontent.cdninstagram.com/t51.2885-19/s150x150/21294417_1433867230061442_8060100210820382720_a.jpg")</f>
        <v>https://scontent.cdninstagram.com/t51.2885-19/s150x150/21294417_1433867230061442_8060100210820382720_a.jpg</v>
      </c>
    </row>
    <row r="4382" spans="1:31" ht="15" x14ac:dyDescent="0.25">
      <c r="A4382" t="s">
        <v>2474</v>
      </c>
      <c r="B4382" t="s">
        <v>23874</v>
      </c>
      <c r="C4382" s="221">
        <v>42981.432453703703</v>
      </c>
      <c r="D4382" t="s">
        <v>23875</v>
      </c>
      <c r="E4382" s="249" t="str">
        <f>HYPERLINK("https://www.instagram.com/p/BYlQJo_HQ0w/")</f>
        <v>https://www.instagram.com/p/BYlQJo_HQ0w/</v>
      </c>
      <c r="F4382" t="s">
        <v>23876</v>
      </c>
      <c r="G4382" t="s">
        <v>2478</v>
      </c>
      <c r="H4382">
        <v>462</v>
      </c>
      <c r="I4382" t="s">
        <v>2479</v>
      </c>
      <c r="J4382">
        <v>2</v>
      </c>
      <c r="K4382">
        <v>20</v>
      </c>
      <c r="L4382">
        <v>22</v>
      </c>
      <c r="Q4382">
        <v>0</v>
      </c>
      <c r="R4382">
        <v>0</v>
      </c>
      <c r="S4382">
        <v>22</v>
      </c>
      <c r="Y4382" t="s">
        <v>3446</v>
      </c>
      <c r="Z4382" t="s">
        <v>5728</v>
      </c>
      <c r="AA4382" t="s">
        <v>11801</v>
      </c>
      <c r="AB4382" t="s">
        <v>23877</v>
      </c>
      <c r="AC4382" t="s">
        <v>2734</v>
      </c>
      <c r="AD4382" s="249" t="str">
        <f>HYPERLINK("https://scontent.cdninstagram.com/t51.2885-15/s320x320/e35/21296429_114552322553030_1703601956234199040_n.jpg")</f>
        <v>https://scontent.cdninstagram.com/t51.2885-15/s320x320/e35/21296429_114552322553030_1703601956234199040_n.jpg</v>
      </c>
      <c r="AE4382" s="249" t="str">
        <f>HYPERLINK("https://scontent.cdninstagram.com/t51.2885-19/s150x150/17663658_1650643691909633_2630823994588135424_n.jpg")</f>
        <v>https://scontent.cdninstagram.com/t51.2885-19/s150x150/17663658_1650643691909633_2630823994588135424_n.jpg</v>
      </c>
    </row>
    <row r="4383" spans="1:31" ht="15" x14ac:dyDescent="0.25">
      <c r="A4383" t="s">
        <v>2474</v>
      </c>
      <c r="B4383" t="s">
        <v>23878</v>
      </c>
      <c r="C4383" s="221">
        <v>42981.43509259259</v>
      </c>
      <c r="D4383" t="s">
        <v>23879</v>
      </c>
      <c r="E4383" s="249" t="str">
        <f>HYPERLINK("https://www.instagram.com/p/BYlQlgBHlu7/")</f>
        <v>https://www.instagram.com/p/BYlQlgBHlu7/</v>
      </c>
      <c r="F4383" t="s">
        <v>23880</v>
      </c>
      <c r="G4383" t="s">
        <v>2478</v>
      </c>
      <c r="H4383">
        <v>115</v>
      </c>
      <c r="I4383" t="s">
        <v>2479</v>
      </c>
      <c r="J4383">
        <v>2</v>
      </c>
      <c r="K4383">
        <v>35</v>
      </c>
      <c r="L4383">
        <v>37</v>
      </c>
      <c r="Q4383">
        <v>0</v>
      </c>
      <c r="R4383">
        <v>0</v>
      </c>
      <c r="S4383">
        <v>37</v>
      </c>
      <c r="Y4383" t="s">
        <v>23881</v>
      </c>
      <c r="Z4383" t="s">
        <v>22996</v>
      </c>
      <c r="AA4383" t="s">
        <v>23882</v>
      </c>
      <c r="AB4383" t="s">
        <v>23883</v>
      </c>
      <c r="AC4383" t="s">
        <v>23884</v>
      </c>
      <c r="AD4383" s="249" t="str">
        <f>HYPERLINK("https://scontent.cdninstagram.com/t51.2885-15/e35/p320x320/21294520_1917501201894959_4236043011873570816_n.jpg")</f>
        <v>https://scontent.cdninstagram.com/t51.2885-15/e35/p320x320/21294520_1917501201894959_4236043011873570816_n.jpg</v>
      </c>
      <c r="AE4383" s="249" t="str">
        <f>HYPERLINK("https://scontent.cdninstagram.com/t51.2885-19/s150x150/18298818_144539552751842_5893427422035968000_n.jpg")</f>
        <v>https://scontent.cdninstagram.com/t51.2885-19/s150x150/18298818_144539552751842_5893427422035968000_n.jpg</v>
      </c>
    </row>
    <row r="4384" spans="1:31" ht="15" x14ac:dyDescent="0.25">
      <c r="A4384" t="s">
        <v>2474</v>
      </c>
      <c r="B4384" t="s">
        <v>5657</v>
      </c>
      <c r="C4384" s="221">
        <v>42981.441990740743</v>
      </c>
      <c r="D4384" t="s">
        <v>23885</v>
      </c>
      <c r="E4384" s="249" t="str">
        <f>HYPERLINK("https://www.instagram.com/p/BYlRuT1g7jc/")</f>
        <v>https://www.instagram.com/p/BYlRuT1g7jc/</v>
      </c>
      <c r="F4384" t="s">
        <v>23886</v>
      </c>
      <c r="G4384" t="s">
        <v>2488</v>
      </c>
      <c r="H4384">
        <v>115</v>
      </c>
      <c r="I4384" t="s">
        <v>2479</v>
      </c>
      <c r="J4384">
        <v>0</v>
      </c>
      <c r="K4384">
        <v>32</v>
      </c>
      <c r="L4384">
        <v>32</v>
      </c>
      <c r="Q4384">
        <v>0</v>
      </c>
      <c r="R4384">
        <v>0</v>
      </c>
      <c r="S4384">
        <v>32</v>
      </c>
      <c r="Y4384" t="s">
        <v>14402</v>
      </c>
      <c r="Z4384" t="s">
        <v>20577</v>
      </c>
      <c r="AA4384" t="s">
        <v>12047</v>
      </c>
      <c r="AB4384" t="s">
        <v>23887</v>
      </c>
      <c r="AC4384" t="s">
        <v>4582</v>
      </c>
      <c r="AD4384" s="249" t="str">
        <f>HYPERLINK("https://scontent.cdninstagram.com/t51.2885-15/s320x320/e35/21296129_183235085554065_5765679083014848512_n.jpg")</f>
        <v>https://scontent.cdninstagram.com/t51.2885-15/s320x320/e35/21296129_183235085554065_5765679083014848512_n.jpg</v>
      </c>
      <c r="AE4384" s="249" t="str">
        <f>HYPERLINK("https://scontent.cdninstagram.com/t51.2885-19/s150x150/18722414_1929874740617287_7467972564577419264_a.jpg")</f>
        <v>https://scontent.cdninstagram.com/t51.2885-19/s150x150/18722414_1929874740617287_7467972564577419264_a.jpg</v>
      </c>
    </row>
    <row r="4385" spans="1:31" ht="15" x14ac:dyDescent="0.25">
      <c r="A4385" t="s">
        <v>2474</v>
      </c>
      <c r="B4385" t="s">
        <v>23888</v>
      </c>
      <c r="C4385" s="221">
        <v>42981.444351851853</v>
      </c>
      <c r="D4385" t="s">
        <v>23889</v>
      </c>
      <c r="E4385" s="249" t="str">
        <f>HYPERLINK("https://www.instagram.com/p/BYlSHNSlmqC/")</f>
        <v>https://www.instagram.com/p/BYlSHNSlmqC/</v>
      </c>
      <c r="F4385" t="s">
        <v>23890</v>
      </c>
      <c r="G4385" t="s">
        <v>2478</v>
      </c>
      <c r="H4385">
        <v>21</v>
      </c>
      <c r="I4385" t="s">
        <v>2479</v>
      </c>
      <c r="J4385">
        <v>0</v>
      </c>
      <c r="K4385">
        <v>4</v>
      </c>
      <c r="L4385">
        <v>4</v>
      </c>
      <c r="Q4385">
        <v>0</v>
      </c>
      <c r="R4385">
        <v>0</v>
      </c>
      <c r="S4385">
        <v>4</v>
      </c>
      <c r="Y4385" t="s">
        <v>23891</v>
      </c>
      <c r="Z4385" t="s">
        <v>23892</v>
      </c>
      <c r="AA4385" t="s">
        <v>23893</v>
      </c>
      <c r="AB4385" t="s">
        <v>23894</v>
      </c>
      <c r="AC4385" t="s">
        <v>23895</v>
      </c>
      <c r="AD4385" s="249" t="str">
        <f>HYPERLINK("https://scontent.cdninstagram.com/t51.2885-15/s320x320/e35/21373579_120984531893184_1060301733164482560_n.jpg")</f>
        <v>https://scontent.cdninstagram.com/t51.2885-15/s320x320/e35/21373579_120984531893184_1060301733164482560_n.jpg</v>
      </c>
      <c r="AE4385" s="249" t="str">
        <f>HYPERLINK("https://scontent.cdninstagram.com/t51.2885-19/10890941_1537509863180020_1313449741_a.jpg")</f>
        <v>https://scontent.cdninstagram.com/t51.2885-19/10890941_1537509863180020_1313449741_a.jpg</v>
      </c>
    </row>
    <row r="4386" spans="1:31" ht="15" x14ac:dyDescent="0.25">
      <c r="A4386" t="s">
        <v>2474</v>
      </c>
      <c r="B4386" t="s">
        <v>3015</v>
      </c>
      <c r="C4386" s="221">
        <v>42981.446817129632</v>
      </c>
      <c r="D4386" t="s">
        <v>23896</v>
      </c>
      <c r="E4386" s="249" t="str">
        <f>HYPERLINK("https://www.instagram.com/p/BYlShHeA-i1/")</f>
        <v>https://www.instagram.com/p/BYlShHeA-i1/</v>
      </c>
      <c r="F4386" t="s">
        <v>23897</v>
      </c>
      <c r="G4386" t="s">
        <v>2488</v>
      </c>
      <c r="H4386">
        <v>253</v>
      </c>
      <c r="I4386" t="s">
        <v>2479</v>
      </c>
      <c r="J4386">
        <v>4</v>
      </c>
      <c r="K4386">
        <v>37</v>
      </c>
      <c r="L4386">
        <v>41</v>
      </c>
      <c r="Q4386">
        <v>0</v>
      </c>
      <c r="R4386">
        <v>0</v>
      </c>
      <c r="S4386">
        <v>41</v>
      </c>
      <c r="Y4386" t="s">
        <v>3019</v>
      </c>
      <c r="Z4386" t="s">
        <v>2492</v>
      </c>
      <c r="AA4386" t="s">
        <v>3493</v>
      </c>
      <c r="AB4386" t="s">
        <v>4129</v>
      </c>
      <c r="AC4386" t="s">
        <v>4126</v>
      </c>
      <c r="AD4386" s="249" t="str">
        <f>HYPERLINK("https://scontent.cdninstagram.com/t51.2885-15/s320x320/e35/21295020_1936317403297706_3882148379676901376_n.jpg")</f>
        <v>https://scontent.cdninstagram.com/t51.2885-15/s320x320/e35/21295020_1936317403297706_3882148379676901376_n.jpg</v>
      </c>
      <c r="AE4386" s="249" t="str">
        <f>HYPERLINK("https://scontent.cdninstagram.com/t51.2885-19/s150x150/21373025_723410537866046_6184601968204316672_a.jpg")</f>
        <v>https://scontent.cdninstagram.com/t51.2885-19/s150x150/21373025_723410537866046_6184601968204316672_a.jpg</v>
      </c>
    </row>
    <row r="4387" spans="1:31" ht="15" x14ac:dyDescent="0.25">
      <c r="A4387" t="s">
        <v>2474</v>
      </c>
      <c r="B4387" t="s">
        <v>23898</v>
      </c>
      <c r="C4387" s="221">
        <v>42981.447789351849</v>
      </c>
      <c r="D4387" t="s">
        <v>23899</v>
      </c>
      <c r="E4387" s="249" t="str">
        <f>HYPERLINK("https://www.instagram.com/p/BYlSrbWlq-I/")</f>
        <v>https://www.instagram.com/p/BYlSrbWlq-I/</v>
      </c>
      <c r="F4387" t="s">
        <v>23900</v>
      </c>
      <c r="G4387" t="s">
        <v>2478</v>
      </c>
      <c r="H4387">
        <v>50</v>
      </c>
      <c r="I4387" t="s">
        <v>3575</v>
      </c>
      <c r="J4387">
        <v>2</v>
      </c>
      <c r="K4387">
        <v>11</v>
      </c>
      <c r="L4387">
        <v>13</v>
      </c>
      <c r="Q4387">
        <v>0</v>
      </c>
      <c r="R4387">
        <v>0</v>
      </c>
      <c r="S4387">
        <v>13</v>
      </c>
      <c r="Y4387" t="s">
        <v>2492</v>
      </c>
      <c r="Z4387" t="s">
        <v>2497</v>
      </c>
      <c r="AA4387" t="s">
        <v>23901</v>
      </c>
      <c r="AB4387" t="s">
        <v>3851</v>
      </c>
      <c r="AC4387" t="s">
        <v>23902</v>
      </c>
      <c r="AD4387" s="249" t="str">
        <f>HYPERLINK("https://scontent.cdninstagram.com/t51.2885-15/e35/p320x320/21294677_544867395844417_7925045020032237568_n.jpg")</f>
        <v>https://scontent.cdninstagram.com/t51.2885-15/e35/p320x320/21294677_544867395844417_7925045020032237568_n.jpg</v>
      </c>
      <c r="AE4387" s="249" t="str">
        <f>HYPERLINK("https://scontent.cdninstagram.com/t51.2885-19/11809995_387806778085821_390274470_a.jpg")</f>
        <v>https://scontent.cdninstagram.com/t51.2885-19/11809995_387806778085821_390274470_a.jpg</v>
      </c>
    </row>
    <row r="4388" spans="1:31" ht="15" x14ac:dyDescent="0.25">
      <c r="A4388" t="s">
        <v>2474</v>
      </c>
      <c r="B4388" t="s">
        <v>23888</v>
      </c>
      <c r="C4388" s="221">
        <v>42981.449050925927</v>
      </c>
      <c r="D4388" t="s">
        <v>23903</v>
      </c>
      <c r="E4388" s="249" t="str">
        <f>HYPERLINK("https://www.instagram.com/p/BYlS4wDFYkB/")</f>
        <v>https://www.instagram.com/p/BYlS4wDFYkB/</v>
      </c>
      <c r="F4388" t="s">
        <v>23904</v>
      </c>
      <c r="G4388" t="s">
        <v>2478</v>
      </c>
      <c r="H4388">
        <v>21</v>
      </c>
      <c r="I4388" t="s">
        <v>2479</v>
      </c>
      <c r="J4388">
        <v>0</v>
      </c>
      <c r="K4388">
        <v>15</v>
      </c>
      <c r="L4388">
        <v>15</v>
      </c>
      <c r="Q4388">
        <v>0</v>
      </c>
      <c r="R4388">
        <v>0</v>
      </c>
      <c r="S4388">
        <v>15</v>
      </c>
      <c r="Y4388" t="s">
        <v>23905</v>
      </c>
      <c r="Z4388" t="s">
        <v>23906</v>
      </c>
      <c r="AA4388" t="s">
        <v>23907</v>
      </c>
      <c r="AB4388" t="s">
        <v>23908</v>
      </c>
      <c r="AC4388" t="s">
        <v>23909</v>
      </c>
      <c r="AD4388" s="249" t="str">
        <f>HYPERLINK("https://scontent.cdninstagram.com/t51.2885-15/s320x320/e35/21294596_488135571547546_9216111523489906688_n.jpg")</f>
        <v>https://scontent.cdninstagram.com/t51.2885-15/s320x320/e35/21294596_488135571547546_9216111523489906688_n.jpg</v>
      </c>
      <c r="AE4388" s="249" t="str">
        <f>HYPERLINK("https://scontent.cdninstagram.com/t51.2885-19/10890941_1537509863180020_1313449741_a.jpg")</f>
        <v>https://scontent.cdninstagram.com/t51.2885-19/10890941_1537509863180020_1313449741_a.jpg</v>
      </c>
    </row>
    <row r="4389" spans="1:31" ht="15" x14ac:dyDescent="0.25">
      <c r="A4389" t="s">
        <v>2474</v>
      </c>
      <c r="B4389" t="s">
        <v>20536</v>
      </c>
      <c r="C4389" s="221">
        <v>42981.452662037038</v>
      </c>
      <c r="D4389" t="s">
        <v>23910</v>
      </c>
      <c r="E4389" s="249" t="str">
        <f>HYPERLINK("https://www.instagram.com/p/BYlTe2KlPXu/")</f>
        <v>https://www.instagram.com/p/BYlTe2KlPXu/</v>
      </c>
      <c r="F4389" t="s">
        <v>23911</v>
      </c>
      <c r="G4389" t="s">
        <v>2478</v>
      </c>
      <c r="H4389">
        <v>379</v>
      </c>
      <c r="I4389" t="s">
        <v>2479</v>
      </c>
      <c r="J4389">
        <v>0</v>
      </c>
      <c r="K4389">
        <v>48</v>
      </c>
      <c r="L4389">
        <v>48</v>
      </c>
      <c r="Q4389">
        <v>0</v>
      </c>
      <c r="R4389">
        <v>0</v>
      </c>
      <c r="S4389">
        <v>48</v>
      </c>
      <c r="Y4389" t="s">
        <v>20539</v>
      </c>
      <c r="Z4389" t="s">
        <v>2497</v>
      </c>
      <c r="AA4389" t="s">
        <v>23912</v>
      </c>
      <c r="AB4389" t="s">
        <v>23913</v>
      </c>
      <c r="AC4389" t="s">
        <v>6619</v>
      </c>
      <c r="AD4389" s="249" t="str">
        <f>HYPERLINK("https://scontent.cdninstagram.com/t51.2885-15/s320x320/e35/21294800_353166808470580_7149714324007682048_n.jpg")</f>
        <v>https://scontent.cdninstagram.com/t51.2885-15/s320x320/e35/21294800_353166808470580_7149714324007682048_n.jpg</v>
      </c>
      <c r="AE4389" s="249" t="str">
        <f>HYPERLINK("https://scontent.cdninstagram.com/t51.2885-19/s150x150/18646537_115676032282901_547466330031259648_a.jpg")</f>
        <v>https://scontent.cdninstagram.com/t51.2885-19/s150x150/18646537_115676032282901_547466330031259648_a.jpg</v>
      </c>
    </row>
    <row r="4390" spans="1:31" ht="15" x14ac:dyDescent="0.25">
      <c r="A4390" t="s">
        <v>2474</v>
      </c>
      <c r="B4390" t="s">
        <v>23914</v>
      </c>
      <c r="C4390" s="221">
        <v>42981.469074074077</v>
      </c>
      <c r="D4390" t="s">
        <v>23915</v>
      </c>
      <c r="E4390" s="249" t="str">
        <f>HYPERLINK("https://www.instagram.com/p/BYlWL7HA4TX/")</f>
        <v>https://www.instagram.com/p/BYlWL7HA4TX/</v>
      </c>
      <c r="F4390" t="s">
        <v>23916</v>
      </c>
      <c r="G4390" t="s">
        <v>2478</v>
      </c>
      <c r="H4390">
        <v>288</v>
      </c>
      <c r="I4390" t="s">
        <v>2599</v>
      </c>
      <c r="J4390">
        <v>0</v>
      </c>
      <c r="K4390">
        <v>91</v>
      </c>
      <c r="L4390">
        <v>91</v>
      </c>
      <c r="Q4390">
        <v>0</v>
      </c>
      <c r="R4390">
        <v>0</v>
      </c>
      <c r="S4390">
        <v>91</v>
      </c>
      <c r="Y4390" t="s">
        <v>2730</v>
      </c>
      <c r="Z4390" t="s">
        <v>2651</v>
      </c>
      <c r="AA4390" t="s">
        <v>2497</v>
      </c>
      <c r="AD4390" s="249" t="str">
        <f>HYPERLINK("https://scontent.cdninstagram.com/t51.2885-15/s320x320/e35/21373200_1940915769457486_3493245254302171136_n.jpg")</f>
        <v>https://scontent.cdninstagram.com/t51.2885-15/s320x320/e35/21373200_1940915769457486_3493245254302171136_n.jpg</v>
      </c>
      <c r="AE4390" s="249" t="str">
        <f>HYPERLINK("https://scontent.cdninstagram.com/t51.2885-19/s150x150/18011379_1856519284620586_4568618130787532800_a.jpg")</f>
        <v>https://scontent.cdninstagram.com/t51.2885-19/s150x150/18011379_1856519284620586_4568618130787532800_a.jpg</v>
      </c>
    </row>
    <row r="4391" spans="1:31" ht="15" x14ac:dyDescent="0.25">
      <c r="A4391" t="s">
        <v>2474</v>
      </c>
      <c r="B4391" t="s">
        <v>23917</v>
      </c>
      <c r="C4391" s="221">
        <v>42981.475451388891</v>
      </c>
      <c r="D4391" t="s">
        <v>23918</v>
      </c>
      <c r="E4391" s="249" t="str">
        <f>HYPERLINK("https://www.instagram.com/p/BYlXPL-BzSy/")</f>
        <v>https://www.instagram.com/p/BYlXPL-BzSy/</v>
      </c>
      <c r="F4391" t="s">
        <v>23919</v>
      </c>
      <c r="G4391" t="s">
        <v>2478</v>
      </c>
      <c r="H4391">
        <v>269</v>
      </c>
      <c r="I4391" t="s">
        <v>3025</v>
      </c>
      <c r="J4391">
        <v>1</v>
      </c>
      <c r="K4391">
        <v>33</v>
      </c>
      <c r="L4391">
        <v>34</v>
      </c>
      <c r="Q4391">
        <v>0</v>
      </c>
      <c r="R4391">
        <v>0</v>
      </c>
      <c r="S4391">
        <v>34</v>
      </c>
      <c r="T4391" t="s">
        <v>23920</v>
      </c>
      <c r="V4391" t="s">
        <v>2181</v>
      </c>
      <c r="W4391">
        <v>32.066699999999997</v>
      </c>
      <c r="X4391">
        <v>34.7667</v>
      </c>
      <c r="Y4391" t="s">
        <v>23921</v>
      </c>
      <c r="Z4391" t="s">
        <v>2497</v>
      </c>
      <c r="AA4391" t="s">
        <v>23922</v>
      </c>
      <c r="AB4391" t="s">
        <v>23923</v>
      </c>
      <c r="AD4391" s="249" t="str">
        <f>HYPERLINK("https://scontent.cdninstagram.com/t51.2885-15/s320x320/e35/21373427_337255033390984_778654803143163904_n.jpg")</f>
        <v>https://scontent.cdninstagram.com/t51.2885-15/s320x320/e35/21373427_337255033390984_778654803143163904_n.jpg</v>
      </c>
      <c r="AE4391" s="249" t="str">
        <f>HYPERLINK("https://scontent.cdninstagram.com/t51.2885-19/s150x150/21296195_224641121396422_1493952705457029120_a.jpg")</f>
        <v>https://scontent.cdninstagram.com/t51.2885-19/s150x150/21296195_224641121396422_1493952705457029120_a.jpg</v>
      </c>
    </row>
    <row r="4392" spans="1:31" ht="15" x14ac:dyDescent="0.25">
      <c r="A4392" t="s">
        <v>2474</v>
      </c>
      <c r="B4392" t="s">
        <v>3015</v>
      </c>
      <c r="C4392" s="221">
        <v>42981.477199074077</v>
      </c>
      <c r="D4392" t="s">
        <v>23924</v>
      </c>
      <c r="E4392" s="249" t="str">
        <f>HYPERLINK("https://www.instagram.com/p/BYlXhn6gWlV/")</f>
        <v>https://www.instagram.com/p/BYlXhn6gWlV/</v>
      </c>
      <c r="F4392" t="s">
        <v>23925</v>
      </c>
      <c r="G4392" t="s">
        <v>2478</v>
      </c>
      <c r="H4392">
        <v>253</v>
      </c>
      <c r="I4392" t="s">
        <v>2479</v>
      </c>
      <c r="J4392">
        <v>6</v>
      </c>
      <c r="K4392">
        <v>81</v>
      </c>
      <c r="L4392">
        <v>87</v>
      </c>
      <c r="Q4392">
        <v>0</v>
      </c>
      <c r="R4392">
        <v>0</v>
      </c>
      <c r="S4392">
        <v>87</v>
      </c>
      <c r="Y4392" t="s">
        <v>3019</v>
      </c>
      <c r="Z4392" t="s">
        <v>2492</v>
      </c>
      <c r="AA4392" t="s">
        <v>3493</v>
      </c>
      <c r="AB4392" t="s">
        <v>4129</v>
      </c>
      <c r="AC4392" t="s">
        <v>4126</v>
      </c>
      <c r="AD4392" s="249" t="str">
        <f>HYPERLINK("https://scontent.cdninstagram.com/t51.2885-15/s320x320/e35/21296790_125673564743795_5978990338872705024_n.jpg")</f>
        <v>https://scontent.cdninstagram.com/t51.2885-15/s320x320/e35/21296790_125673564743795_5978990338872705024_n.jpg</v>
      </c>
      <c r="AE4392" s="249" t="str">
        <f>HYPERLINK("https://scontent.cdninstagram.com/t51.2885-19/s150x150/21373025_723410537866046_6184601968204316672_a.jpg")</f>
        <v>https://scontent.cdninstagram.com/t51.2885-19/s150x150/21373025_723410537866046_6184601968204316672_a.jpg</v>
      </c>
    </row>
    <row r="4393" spans="1:31" ht="15" x14ac:dyDescent="0.25">
      <c r="A4393" t="s">
        <v>2474</v>
      </c>
      <c r="B4393" t="s">
        <v>3644</v>
      </c>
      <c r="C4393" s="221">
        <v>42981.482488425929</v>
      </c>
      <c r="D4393" t="s">
        <v>23926</v>
      </c>
      <c r="E4393" s="249" t="str">
        <f>HYPERLINK("https://www.instagram.com/p/BYlYZYelqxE/")</f>
        <v>https://www.instagram.com/p/BYlYZYelqxE/</v>
      </c>
      <c r="F4393" t="s">
        <v>23927</v>
      </c>
      <c r="G4393" t="s">
        <v>2631</v>
      </c>
      <c r="H4393">
        <v>581</v>
      </c>
      <c r="I4393" t="s">
        <v>2479</v>
      </c>
      <c r="J4393">
        <v>3</v>
      </c>
      <c r="K4393">
        <v>29</v>
      </c>
      <c r="L4393">
        <v>32</v>
      </c>
      <c r="Q4393">
        <v>0</v>
      </c>
      <c r="R4393">
        <v>0</v>
      </c>
      <c r="S4393">
        <v>32</v>
      </c>
      <c r="T4393" t="s">
        <v>23928</v>
      </c>
      <c r="V4393" t="s">
        <v>2141</v>
      </c>
      <c r="W4393">
        <v>55.448811750818003</v>
      </c>
      <c r="X4393">
        <v>10.427929838412</v>
      </c>
      <c r="Y4393" t="s">
        <v>3607</v>
      </c>
      <c r="Z4393" t="s">
        <v>3145</v>
      </c>
      <c r="AA4393" t="s">
        <v>6992</v>
      </c>
      <c r="AB4393" t="s">
        <v>6994</v>
      </c>
      <c r="AC4393" t="s">
        <v>5867</v>
      </c>
      <c r="AD4393" s="249" t="str">
        <f>HYPERLINK("https://scontent.cdninstagram.com/t51.2885-15/e15/p320x320/21297044_1436199053124787_3094063962950467584_n.jpg")</f>
        <v>https://scontent.cdninstagram.com/t51.2885-15/e15/p320x320/21297044_1436199053124787_3094063962950467584_n.jpg</v>
      </c>
      <c r="AE4393" s="249" t="str">
        <f>HYPERLINK("https://scontent.cdninstagram.com/t51.2885-19/s150x150/14714495_1790450111234953_7147855754219749376_a.jpg")</f>
        <v>https://scontent.cdninstagram.com/t51.2885-19/s150x150/14714495_1790450111234953_7147855754219749376_a.jpg</v>
      </c>
    </row>
    <row r="4394" spans="1:31" ht="15" x14ac:dyDescent="0.25">
      <c r="A4394" t="s">
        <v>2474</v>
      </c>
      <c r="B4394" t="s">
        <v>23929</v>
      </c>
      <c r="C4394" s="221">
        <v>42981.483356481483</v>
      </c>
      <c r="D4394" t="s">
        <v>23930</v>
      </c>
      <c r="E4394" s="249" t="str">
        <f>HYPERLINK("https://www.instagram.com/p/BYlYiirA58Z/")</f>
        <v>https://www.instagram.com/p/BYlYiirA58Z/</v>
      </c>
      <c r="F4394" t="s">
        <v>23931</v>
      </c>
      <c r="G4394" t="s">
        <v>2478</v>
      </c>
      <c r="H4394">
        <v>90</v>
      </c>
      <c r="I4394" t="s">
        <v>2479</v>
      </c>
      <c r="J4394">
        <v>0</v>
      </c>
      <c r="K4394">
        <v>27</v>
      </c>
      <c r="L4394">
        <v>27</v>
      </c>
      <c r="Q4394">
        <v>0</v>
      </c>
      <c r="R4394">
        <v>0</v>
      </c>
      <c r="S4394">
        <v>27</v>
      </c>
      <c r="Y4394" t="s">
        <v>4708</v>
      </c>
      <c r="Z4394" t="s">
        <v>3145</v>
      </c>
      <c r="AA4394" t="s">
        <v>23932</v>
      </c>
      <c r="AB4394" t="s">
        <v>23933</v>
      </c>
      <c r="AC4394" t="s">
        <v>2493</v>
      </c>
      <c r="AD4394" s="249" t="str">
        <f>HYPERLINK("https://scontent.cdninstagram.com/t51.2885-15/e35/p320x320/21294812_233451370513206_6584931836890185728_n.jpg")</f>
        <v>https://scontent.cdninstagram.com/t51.2885-15/e35/p320x320/21294812_233451370513206_6584931836890185728_n.jpg</v>
      </c>
      <c r="AE4394" s="249" t="str">
        <f>HYPERLINK("https://scontent.cdninstagram.com/t51.2885-19/s150x150/15802363_1811995582371713_5835061195895209984_a.jpg")</f>
        <v>https://scontent.cdninstagram.com/t51.2885-19/s150x150/15802363_1811995582371713_5835061195895209984_a.jpg</v>
      </c>
    </row>
    <row r="4395" spans="1:31" ht="15" x14ac:dyDescent="0.25">
      <c r="A4395" t="s">
        <v>2474</v>
      </c>
      <c r="B4395" t="s">
        <v>23934</v>
      </c>
      <c r="C4395" s="221">
        <v>42981.483368055553</v>
      </c>
      <c r="D4395" t="s">
        <v>23935</v>
      </c>
      <c r="E4395" s="249" t="str">
        <f>HYPERLINK("https://www.instagram.com/p/BYlYip4F0BA/")</f>
        <v>https://www.instagram.com/p/BYlYip4F0BA/</v>
      </c>
      <c r="F4395" t="s">
        <v>23936</v>
      </c>
      <c r="G4395" t="s">
        <v>2478</v>
      </c>
      <c r="H4395">
        <v>383</v>
      </c>
      <c r="I4395" t="s">
        <v>2479</v>
      </c>
      <c r="J4395">
        <v>1</v>
      </c>
      <c r="K4395">
        <v>18</v>
      </c>
      <c r="L4395">
        <v>19</v>
      </c>
      <c r="Q4395">
        <v>0</v>
      </c>
      <c r="R4395">
        <v>0</v>
      </c>
      <c r="S4395">
        <v>19</v>
      </c>
      <c r="Y4395" t="s">
        <v>23226</v>
      </c>
      <c r="Z4395" t="s">
        <v>22434</v>
      </c>
      <c r="AA4395" t="s">
        <v>3445</v>
      </c>
      <c r="AB4395" t="s">
        <v>2497</v>
      </c>
      <c r="AC4395" t="s">
        <v>3174</v>
      </c>
      <c r="AD4395" s="249" t="str">
        <f>HYPERLINK("https://scontent.cdninstagram.com/t51.2885-15/s320x320/e35/21371784_484193901957297_7143713799428636672_n.jpg")</f>
        <v>https://scontent.cdninstagram.com/t51.2885-15/s320x320/e35/21371784_484193901957297_7143713799428636672_n.jpg</v>
      </c>
      <c r="AE4395" s="249" t="str">
        <f>HYPERLINK("https://scontent.cdninstagram.com/t51.2885-19/11336031_793482377439974_43227173_a.jpg")</f>
        <v>https://scontent.cdninstagram.com/t51.2885-19/11336031_793482377439974_43227173_a.jpg</v>
      </c>
    </row>
    <row r="4396" spans="1:31" ht="15" x14ac:dyDescent="0.25">
      <c r="A4396" t="s">
        <v>2474</v>
      </c>
      <c r="B4396" t="s">
        <v>14021</v>
      </c>
      <c r="C4396" s="221">
        <v>42981.484259259261</v>
      </c>
      <c r="D4396" t="s">
        <v>23937</v>
      </c>
      <c r="E4396" s="249" t="str">
        <f>HYPERLINK("https://www.instagram.com/p/BYlYsC9BoP4/")</f>
        <v>https://www.instagram.com/p/BYlYsC9BoP4/</v>
      </c>
      <c r="F4396" t="s">
        <v>23938</v>
      </c>
      <c r="G4396" t="s">
        <v>2478</v>
      </c>
      <c r="H4396">
        <v>736</v>
      </c>
      <c r="I4396" t="s">
        <v>2542</v>
      </c>
      <c r="J4396">
        <v>4</v>
      </c>
      <c r="K4396">
        <v>27</v>
      </c>
      <c r="L4396">
        <v>31</v>
      </c>
      <c r="Q4396">
        <v>0</v>
      </c>
      <c r="R4396">
        <v>0</v>
      </c>
      <c r="S4396">
        <v>31</v>
      </c>
      <c r="Y4396" t="s">
        <v>17428</v>
      </c>
      <c r="Z4396" t="s">
        <v>14021</v>
      </c>
      <c r="AA4396" t="s">
        <v>16364</v>
      </c>
      <c r="AB4396" t="s">
        <v>12327</v>
      </c>
      <c r="AC4396" t="s">
        <v>23939</v>
      </c>
      <c r="AD4396" s="249" t="str">
        <f>HYPERLINK("https://scontent.cdninstagram.com/t51.2885-15/s320x320/e35/21373001_1999537016944607_3497451779631611904_n.jpg")</f>
        <v>https://scontent.cdninstagram.com/t51.2885-15/s320x320/e35/21373001_1999537016944607_3497451779631611904_n.jpg</v>
      </c>
      <c r="AE4396" s="249" t="str">
        <f>HYPERLINK("https://scontent.cdninstagram.com/t51.2885-19/s150x150/20968775_712687592255986_5533810068039925760_a.jpg")</f>
        <v>https://scontent.cdninstagram.com/t51.2885-19/s150x150/20968775_712687592255986_5533810068039925760_a.jpg</v>
      </c>
    </row>
    <row r="4397" spans="1:31" ht="15" x14ac:dyDescent="0.25">
      <c r="A4397" t="s">
        <v>2474</v>
      </c>
      <c r="B4397" t="s">
        <v>7647</v>
      </c>
      <c r="C4397" s="221">
        <v>42981.488576388889</v>
      </c>
      <c r="D4397" t="s">
        <v>23940</v>
      </c>
      <c r="E4397" s="249" t="str">
        <f>HYPERLINK("https://www.instagram.com/p/BYlZZipgIRy/")</f>
        <v>https://www.instagram.com/p/BYlZZipgIRy/</v>
      </c>
      <c r="F4397" t="s">
        <v>23941</v>
      </c>
      <c r="G4397" t="s">
        <v>2478</v>
      </c>
      <c r="H4397">
        <v>84</v>
      </c>
      <c r="I4397" t="s">
        <v>3575</v>
      </c>
      <c r="J4397">
        <v>0</v>
      </c>
      <c r="K4397">
        <v>18</v>
      </c>
      <c r="L4397">
        <v>18</v>
      </c>
      <c r="Q4397">
        <v>0</v>
      </c>
      <c r="R4397">
        <v>0</v>
      </c>
      <c r="S4397">
        <v>18</v>
      </c>
      <c r="T4397" t="s">
        <v>23942</v>
      </c>
      <c r="V4397" t="s">
        <v>2182</v>
      </c>
      <c r="W4397">
        <v>42.5</v>
      </c>
      <c r="X4397">
        <v>13.666700000000001</v>
      </c>
      <c r="Y4397" t="s">
        <v>23943</v>
      </c>
      <c r="Z4397" t="s">
        <v>23944</v>
      </c>
      <c r="AA4397" t="s">
        <v>23945</v>
      </c>
      <c r="AB4397" t="s">
        <v>23946</v>
      </c>
      <c r="AC4397" t="s">
        <v>23947</v>
      </c>
      <c r="AD4397" s="249" t="str">
        <f>HYPERLINK("https://scontent.cdninstagram.com/t51.2885-15/e35/p320x320/21373334_329361927514800_169494287266873344_n.jpg")</f>
        <v>https://scontent.cdninstagram.com/t51.2885-15/e35/p320x320/21373334_329361927514800_169494287266873344_n.jpg</v>
      </c>
      <c r="AE4397" s="249" t="str">
        <f>HYPERLINK("https://scontent.cdninstagram.com/t51.2885-19/s150x150/19984566_732703113580954_2442051729433296896_a.jpg")</f>
        <v>https://scontent.cdninstagram.com/t51.2885-19/s150x150/19984566_732703113580954_2442051729433296896_a.jpg</v>
      </c>
    </row>
    <row r="4398" spans="1:31" ht="15" x14ac:dyDescent="0.25">
      <c r="A4398" t="s">
        <v>2474</v>
      </c>
      <c r="B4398" t="s">
        <v>23948</v>
      </c>
      <c r="C4398" s="221">
        <v>42981.492291666669</v>
      </c>
      <c r="D4398" t="s">
        <v>23949</v>
      </c>
      <c r="E4398" s="249" t="str">
        <f>HYPERLINK("https://www.instagram.com/p/BYlaAyRnG4G/")</f>
        <v>https://www.instagram.com/p/BYlaAyRnG4G/</v>
      </c>
      <c r="F4398" t="s">
        <v>23950</v>
      </c>
      <c r="G4398" t="s">
        <v>2478</v>
      </c>
      <c r="H4398">
        <v>320</v>
      </c>
      <c r="I4398" t="s">
        <v>2519</v>
      </c>
      <c r="J4398">
        <v>0</v>
      </c>
      <c r="K4398">
        <v>19</v>
      </c>
      <c r="L4398">
        <v>19</v>
      </c>
      <c r="Q4398">
        <v>0</v>
      </c>
      <c r="R4398">
        <v>0</v>
      </c>
      <c r="S4398">
        <v>19</v>
      </c>
      <c r="Y4398" t="s">
        <v>23951</v>
      </c>
      <c r="Z4398" t="s">
        <v>9622</v>
      </c>
      <c r="AA4398" t="s">
        <v>23952</v>
      </c>
      <c r="AB4398" t="s">
        <v>13291</v>
      </c>
      <c r="AC4398" t="s">
        <v>3209</v>
      </c>
      <c r="AD4398" s="249" t="str">
        <f>HYPERLINK("https://scontent.cdninstagram.com/t51.2885-15/s320x320/e35/21372514_114893575881159_6931414283246895104_n.jpg")</f>
        <v>https://scontent.cdninstagram.com/t51.2885-15/s320x320/e35/21372514_114893575881159_6931414283246895104_n.jpg</v>
      </c>
      <c r="AE4398" s="249" t="str">
        <f>HYPERLINK("https://scontent.cdninstagram.com/t51.2885-19/s150x150/15625070_172098436601830_3023764118638166016_n.jpg")</f>
        <v>https://scontent.cdninstagram.com/t51.2885-19/s150x150/15625070_172098436601830_3023764118638166016_n.jpg</v>
      </c>
    </row>
    <row r="4399" spans="1:31" ht="15" x14ac:dyDescent="0.25">
      <c r="A4399" t="s">
        <v>2474</v>
      </c>
      <c r="B4399" t="s">
        <v>23953</v>
      </c>
      <c r="C4399" s="221">
        <v>42981.503067129626</v>
      </c>
      <c r="D4399" t="s">
        <v>23954</v>
      </c>
      <c r="E4399" s="249" t="str">
        <f>HYPERLINK("https://www.instagram.com/p/BYlbydHAQVv/")</f>
        <v>https://www.instagram.com/p/BYlbydHAQVv/</v>
      </c>
      <c r="F4399" t="s">
        <v>23955</v>
      </c>
      <c r="G4399" t="s">
        <v>2478</v>
      </c>
      <c r="H4399">
        <v>116</v>
      </c>
      <c r="I4399" t="s">
        <v>2479</v>
      </c>
      <c r="J4399">
        <v>0</v>
      </c>
      <c r="K4399">
        <v>11</v>
      </c>
      <c r="L4399">
        <v>11</v>
      </c>
      <c r="Q4399">
        <v>0</v>
      </c>
      <c r="R4399">
        <v>0</v>
      </c>
      <c r="S4399">
        <v>11</v>
      </c>
      <c r="Y4399" t="s">
        <v>23956</v>
      </c>
      <c r="Z4399" t="s">
        <v>23957</v>
      </c>
      <c r="AA4399" t="s">
        <v>23958</v>
      </c>
      <c r="AB4399" t="s">
        <v>3534</v>
      </c>
      <c r="AC4399" t="s">
        <v>2497</v>
      </c>
      <c r="AD4399" s="249" t="str">
        <f>HYPERLINK("https://scontent.cdninstagram.com/t51.2885-15/s320x320/e35/21296154_303991910009994_2543870809722585088_n.jpg")</f>
        <v>https://scontent.cdninstagram.com/t51.2885-15/s320x320/e35/21296154_303991910009994_2543870809722585088_n.jpg</v>
      </c>
      <c r="AE4399" s="249" t="str">
        <f>HYPERLINK("https://scontent.cdninstagram.com/t51.2885-19/s150x150/21224370_1745457065754318_2670892423097352192_a.jpg")</f>
        <v>https://scontent.cdninstagram.com/t51.2885-19/s150x150/21224370_1745457065754318_2670892423097352192_a.jpg</v>
      </c>
    </row>
    <row r="4400" spans="1:31" ht="15" x14ac:dyDescent="0.25">
      <c r="A4400" t="s">
        <v>2474</v>
      </c>
      <c r="B4400" t="s">
        <v>23959</v>
      </c>
      <c r="C4400" s="221">
        <v>42981.507152777776</v>
      </c>
      <c r="D4400" t="s">
        <v>23960</v>
      </c>
      <c r="E4400" s="249" t="str">
        <f>HYPERLINK("https://www.instagram.com/p/BYlcdc7Fi7D/")</f>
        <v>https://www.instagram.com/p/BYlcdc7Fi7D/</v>
      </c>
      <c r="F4400" t="s">
        <v>23961</v>
      </c>
      <c r="G4400" t="s">
        <v>2478</v>
      </c>
      <c r="H4400">
        <v>385</v>
      </c>
      <c r="I4400" t="s">
        <v>2479</v>
      </c>
      <c r="J4400">
        <v>2</v>
      </c>
      <c r="K4400">
        <v>54</v>
      </c>
      <c r="L4400">
        <v>56</v>
      </c>
      <c r="Q4400">
        <v>0</v>
      </c>
      <c r="R4400">
        <v>0</v>
      </c>
      <c r="S4400">
        <v>56</v>
      </c>
      <c r="Y4400" t="s">
        <v>13535</v>
      </c>
      <c r="Z4400" t="s">
        <v>11544</v>
      </c>
      <c r="AA4400" t="s">
        <v>5061</v>
      </c>
      <c r="AB4400" t="s">
        <v>3209</v>
      </c>
      <c r="AC4400" t="s">
        <v>23962</v>
      </c>
      <c r="AD4400" s="249" t="str">
        <f>HYPERLINK("https://scontent.cdninstagram.com/t51.2885-15/s320x320/e35/21371884_121468208584175_2351510511708798976_n.jpg")</f>
        <v>https://scontent.cdninstagram.com/t51.2885-15/s320x320/e35/21371884_121468208584175_2351510511708798976_n.jpg</v>
      </c>
      <c r="AE4400" s="249" t="str">
        <f>HYPERLINK("https://scontent.cdninstagram.com/t51.2885-19/s150x150/21042040_2005839376339387_4020576403987628032_a.jpg")</f>
        <v>https://scontent.cdninstagram.com/t51.2885-19/s150x150/21042040_2005839376339387_4020576403987628032_a.jpg</v>
      </c>
    </row>
    <row r="4401" spans="1:31" ht="15" x14ac:dyDescent="0.25">
      <c r="A4401" t="s">
        <v>2474</v>
      </c>
      <c r="B4401" t="s">
        <v>23963</v>
      </c>
      <c r="C4401" s="221">
        <v>42981.508229166669</v>
      </c>
      <c r="D4401" t="s">
        <v>23964</v>
      </c>
      <c r="E4401" s="249" t="str">
        <f>HYPERLINK("https://www.instagram.com/p/BYlco1JgxS9/")</f>
        <v>https://www.instagram.com/p/BYlco1JgxS9/</v>
      </c>
      <c r="F4401" t="s">
        <v>23965</v>
      </c>
      <c r="G4401" t="s">
        <v>2478</v>
      </c>
      <c r="H4401">
        <v>306</v>
      </c>
      <c r="I4401" t="s">
        <v>4052</v>
      </c>
      <c r="J4401">
        <v>13</v>
      </c>
      <c r="K4401">
        <v>74</v>
      </c>
      <c r="L4401">
        <v>87</v>
      </c>
      <c r="Q4401">
        <v>0</v>
      </c>
      <c r="R4401">
        <v>0</v>
      </c>
      <c r="S4401">
        <v>87</v>
      </c>
      <c r="Y4401" t="s">
        <v>2497</v>
      </c>
      <c r="Z4401" t="s">
        <v>23966</v>
      </c>
      <c r="AA4401" t="s">
        <v>12332</v>
      </c>
      <c r="AB4401" t="s">
        <v>2741</v>
      </c>
      <c r="AD4401" s="249" t="str">
        <f>HYPERLINK("https://scontent.cdninstagram.com/t51.2885-15/s320x320/e35/21373594_1650619958322754_7442904708781441024_n.jpg")</f>
        <v>https://scontent.cdninstagram.com/t51.2885-15/s320x320/e35/21373594_1650619958322754_7442904708781441024_n.jpg</v>
      </c>
      <c r="AE4401" s="249" t="str">
        <f>HYPERLINK("https://scontent.cdninstagram.com/t51.2885-19/s150x150/14704977_668465446659283_2921608085279604736_a.jpg")</f>
        <v>https://scontent.cdninstagram.com/t51.2885-19/s150x150/14704977_668465446659283_2921608085279604736_a.jpg</v>
      </c>
    </row>
    <row r="4402" spans="1:31" ht="15" x14ac:dyDescent="0.25">
      <c r="A4402" t="s">
        <v>2474</v>
      </c>
      <c r="B4402" t="s">
        <v>7987</v>
      </c>
      <c r="C4402" s="221">
        <v>42981.50849537037</v>
      </c>
      <c r="D4402" t="s">
        <v>23967</v>
      </c>
      <c r="E4402" s="249" t="str">
        <f>HYPERLINK("https://www.instagram.com/p/BYlcrsMh4EW/")</f>
        <v>https://www.instagram.com/p/BYlcrsMh4EW/</v>
      </c>
      <c r="F4402" t="s">
        <v>23968</v>
      </c>
      <c r="G4402" t="s">
        <v>2478</v>
      </c>
      <c r="H4402">
        <v>468</v>
      </c>
      <c r="I4402" t="s">
        <v>3575</v>
      </c>
      <c r="J4402">
        <v>1</v>
      </c>
      <c r="K4402">
        <v>51</v>
      </c>
      <c r="L4402">
        <v>52</v>
      </c>
      <c r="Q4402">
        <v>0</v>
      </c>
      <c r="R4402">
        <v>0</v>
      </c>
      <c r="S4402">
        <v>52</v>
      </c>
      <c r="Y4402" t="s">
        <v>15297</v>
      </c>
      <c r="Z4402" t="s">
        <v>13887</v>
      </c>
      <c r="AA4402" t="s">
        <v>21323</v>
      </c>
      <c r="AB4402" t="s">
        <v>3145</v>
      </c>
      <c r="AC4402" t="s">
        <v>23969</v>
      </c>
      <c r="AD4402" s="249" t="str">
        <f>HYPERLINK("https://scontent.cdninstagram.com/t51.2885-15/s320x320/e35/21371959_1933265520248528_8884355231500992512_n.jpg")</f>
        <v>https://scontent.cdninstagram.com/t51.2885-15/s320x320/e35/21371959_1933265520248528_8884355231500992512_n.jpg</v>
      </c>
      <c r="AE4402" s="249" t="str">
        <f>HYPERLINK("https://scontent.cdninstagram.com/t51.2885-19/s150x150/18513681_139423189934717_6442695353408946176_a.jpg")</f>
        <v>https://scontent.cdninstagram.com/t51.2885-19/s150x150/18513681_139423189934717_6442695353408946176_a.jpg</v>
      </c>
    </row>
    <row r="4403" spans="1:31" ht="15" x14ac:dyDescent="0.25">
      <c r="A4403" t="s">
        <v>2474</v>
      </c>
      <c r="B4403" t="s">
        <v>23970</v>
      </c>
      <c r="C4403" s="221">
        <v>42981.512615740743</v>
      </c>
      <c r="D4403" t="s">
        <v>23971</v>
      </c>
      <c r="E4403" s="249" t="str">
        <f>HYPERLINK("https://www.instagram.com/p/BYldXKkjhuY/")</f>
        <v>https://www.instagram.com/p/BYldXKkjhuY/</v>
      </c>
      <c r="F4403" t="s">
        <v>23972</v>
      </c>
      <c r="G4403" t="s">
        <v>2478</v>
      </c>
      <c r="H4403">
        <v>19830</v>
      </c>
      <c r="I4403" t="s">
        <v>2903</v>
      </c>
      <c r="J4403">
        <v>3</v>
      </c>
      <c r="K4403">
        <v>2190</v>
      </c>
      <c r="L4403">
        <v>2193</v>
      </c>
      <c r="Q4403">
        <v>0</v>
      </c>
      <c r="R4403">
        <v>0</v>
      </c>
      <c r="S4403">
        <v>2193</v>
      </c>
      <c r="Y4403" t="s">
        <v>11651</v>
      </c>
      <c r="Z4403" t="s">
        <v>2497</v>
      </c>
      <c r="AD4403" s="249" t="str">
        <f>HYPERLINK("https://scontent.cdninstagram.com/t51.2885-15/s320x320/e35/21294637_715046968679151_6993148536841830400_n.jpg")</f>
        <v>https://scontent.cdninstagram.com/t51.2885-15/s320x320/e35/21294637_715046968679151_6993148536841830400_n.jpg</v>
      </c>
      <c r="AE4403" s="249" t="str">
        <f>HYPERLINK("https://scontent.cdninstagram.com/t51.2885-19/s150x150/21041933_1368344156615517_2683814377668214784_a.jpg")</f>
        <v>https://scontent.cdninstagram.com/t51.2885-19/s150x150/21041933_1368344156615517_2683814377668214784_a.jpg</v>
      </c>
    </row>
    <row r="4404" spans="1:31" ht="15" x14ac:dyDescent="0.25">
      <c r="A4404" t="s">
        <v>2474</v>
      </c>
      <c r="B4404" t="s">
        <v>15842</v>
      </c>
      <c r="C4404" s="221">
        <v>42981.519236111111</v>
      </c>
      <c r="D4404" t="s">
        <v>23973</v>
      </c>
      <c r="E4404" s="249" t="str">
        <f>HYPERLINK("https://www.instagram.com/p/BYlec_YhoDI/")</f>
        <v>https://www.instagram.com/p/BYlec_YhoDI/</v>
      </c>
      <c r="F4404" t="s">
        <v>23974</v>
      </c>
      <c r="G4404" t="s">
        <v>2478</v>
      </c>
      <c r="H4404">
        <v>420</v>
      </c>
      <c r="I4404" t="s">
        <v>2479</v>
      </c>
      <c r="J4404">
        <v>0</v>
      </c>
      <c r="K4404">
        <v>55</v>
      </c>
      <c r="L4404">
        <v>55</v>
      </c>
      <c r="Q4404">
        <v>0</v>
      </c>
      <c r="R4404">
        <v>0</v>
      </c>
      <c r="S4404">
        <v>55</v>
      </c>
      <c r="Y4404" t="s">
        <v>23975</v>
      </c>
      <c r="Z4404" t="s">
        <v>3160</v>
      </c>
      <c r="AA4404" t="s">
        <v>2777</v>
      </c>
      <c r="AB4404" t="s">
        <v>4708</v>
      </c>
      <c r="AC4404" t="s">
        <v>23976</v>
      </c>
      <c r="AD4404" s="249" t="str">
        <f>HYPERLINK("https://scontent.cdninstagram.com/t51.2885-15/s320x320/e35/21371694_147582275836580_8047278603865423872_n.jpg")</f>
        <v>https://scontent.cdninstagram.com/t51.2885-15/s320x320/e35/21371694_147582275836580_8047278603865423872_n.jpg</v>
      </c>
      <c r="AE4404" s="249" t="str">
        <f>HYPERLINK("https://scontent.cdninstagram.com/t51.2885-19/s150x150/21224077_542129346181167_1311844296810299392_a.jpg")</f>
        <v>https://scontent.cdninstagram.com/t51.2885-19/s150x150/21224077_542129346181167_1311844296810299392_a.jpg</v>
      </c>
    </row>
    <row r="4405" spans="1:31" ht="15" x14ac:dyDescent="0.25">
      <c r="A4405" t="s">
        <v>2474</v>
      </c>
      <c r="B4405" t="s">
        <v>3830</v>
      </c>
      <c r="C4405" s="221">
        <v>42981.520138888889</v>
      </c>
      <c r="D4405" t="s">
        <v>23977</v>
      </c>
      <c r="E4405" s="249" t="str">
        <f>HYPERLINK("https://www.instagram.com/p/BYlemhyhLkP/")</f>
        <v>https://www.instagram.com/p/BYlemhyhLkP/</v>
      </c>
      <c r="F4405" t="s">
        <v>23978</v>
      </c>
      <c r="G4405" t="s">
        <v>2478</v>
      </c>
      <c r="H4405">
        <v>268</v>
      </c>
      <c r="I4405" t="s">
        <v>2479</v>
      </c>
      <c r="J4405">
        <v>1</v>
      </c>
      <c r="K4405">
        <v>65</v>
      </c>
      <c r="L4405">
        <v>66</v>
      </c>
      <c r="Q4405">
        <v>0</v>
      </c>
      <c r="R4405">
        <v>0</v>
      </c>
      <c r="S4405">
        <v>66</v>
      </c>
      <c r="Y4405" t="s">
        <v>4180</v>
      </c>
      <c r="Z4405" t="s">
        <v>23979</v>
      </c>
      <c r="AA4405" t="s">
        <v>5721</v>
      </c>
      <c r="AB4405" t="s">
        <v>13281</v>
      </c>
      <c r="AC4405" t="s">
        <v>23980</v>
      </c>
      <c r="AD4405" s="249" t="str">
        <f>HYPERLINK("https://scontent.cdninstagram.com/t51.2885-15/e35/p320x320/21294725_337670339989234_8097729458682724352_n.jpg")</f>
        <v>https://scontent.cdninstagram.com/t51.2885-15/e35/p320x320/21294725_337670339989234_8097729458682724352_n.jpg</v>
      </c>
      <c r="AE4405" s="249" t="str">
        <f>HYPERLINK("https://scontent.cdninstagram.com/t51.2885-19/11917925_974166275981467_990238625_a.jpg")</f>
        <v>https://scontent.cdninstagram.com/t51.2885-19/11917925_974166275981467_990238625_a.jpg</v>
      </c>
    </row>
    <row r="4406" spans="1:31" ht="15" x14ac:dyDescent="0.25">
      <c r="A4406" t="s">
        <v>2474</v>
      </c>
      <c r="B4406" t="s">
        <v>23981</v>
      </c>
      <c r="C4406" s="221">
        <v>42981.522847222222</v>
      </c>
      <c r="D4406" t="s">
        <v>23982</v>
      </c>
      <c r="E4406" s="249" t="str">
        <f>HYPERLINK("https://www.instagram.com/p/BYlfDCXFE44/")</f>
        <v>https://www.instagram.com/p/BYlfDCXFE44/</v>
      </c>
      <c r="F4406" t="s">
        <v>23983</v>
      </c>
      <c r="G4406" t="s">
        <v>2478</v>
      </c>
      <c r="H4406">
        <v>319</v>
      </c>
      <c r="I4406" t="s">
        <v>4523</v>
      </c>
      <c r="J4406">
        <v>0</v>
      </c>
      <c r="K4406">
        <v>100</v>
      </c>
      <c r="L4406">
        <v>100</v>
      </c>
      <c r="Q4406">
        <v>0</v>
      </c>
      <c r="R4406">
        <v>0</v>
      </c>
      <c r="S4406">
        <v>100</v>
      </c>
      <c r="T4406" t="s">
        <v>23984</v>
      </c>
      <c r="U4406" t="s">
        <v>146</v>
      </c>
      <c r="V4406" t="s">
        <v>2299</v>
      </c>
      <c r="W4406">
        <v>32.847200000000001</v>
      </c>
      <c r="X4406">
        <v>-117.273</v>
      </c>
      <c r="Y4406" t="s">
        <v>9080</v>
      </c>
      <c r="Z4406" t="s">
        <v>23985</v>
      </c>
      <c r="AA4406" t="s">
        <v>2492</v>
      </c>
      <c r="AB4406" t="s">
        <v>23986</v>
      </c>
      <c r="AC4406" t="s">
        <v>23987</v>
      </c>
      <c r="AD4406" s="249" t="str">
        <f>HYPERLINK("https://scontent.cdninstagram.com/t51.2885-15/s320x320/e35/21294619_2003175773280619_9018788433715265536_n.jpg")</f>
        <v>https://scontent.cdninstagram.com/t51.2885-15/s320x320/e35/21294619_2003175773280619_9018788433715265536_n.jpg</v>
      </c>
      <c r="AE4406" s="249" t="str">
        <f>HYPERLINK("https://scontent.cdninstagram.com/t51.2885-19/s150x150/18513797_1465720966855891_7275937571681599488_a.jpg")</f>
        <v>https://scontent.cdninstagram.com/t51.2885-19/s150x150/18513797_1465720966855891_7275937571681599488_a.jpg</v>
      </c>
    </row>
    <row r="4407" spans="1:31" ht="15" x14ac:dyDescent="0.25">
      <c r="A4407" t="s">
        <v>2474</v>
      </c>
      <c r="B4407" t="s">
        <v>23988</v>
      </c>
      <c r="C4407" s="221">
        <v>42981.52921296296</v>
      </c>
      <c r="D4407" t="s">
        <v>23989</v>
      </c>
      <c r="E4407" s="249" t="str">
        <f>HYPERLINK("https://www.instagram.com/p/BYlgGHnBPu2/")</f>
        <v>https://www.instagram.com/p/BYlgGHnBPu2/</v>
      </c>
      <c r="F4407" t="s">
        <v>23990</v>
      </c>
      <c r="G4407" t="s">
        <v>2478</v>
      </c>
      <c r="H4407">
        <v>152</v>
      </c>
      <c r="I4407" t="s">
        <v>3575</v>
      </c>
      <c r="J4407">
        <v>3</v>
      </c>
      <c r="K4407">
        <v>63</v>
      </c>
      <c r="L4407">
        <v>66</v>
      </c>
      <c r="Q4407">
        <v>0</v>
      </c>
      <c r="R4407">
        <v>0</v>
      </c>
      <c r="S4407">
        <v>66</v>
      </c>
      <c r="T4407" t="s">
        <v>23991</v>
      </c>
      <c r="V4407" t="s">
        <v>2239</v>
      </c>
      <c r="W4407">
        <v>52.363089976666998</v>
      </c>
      <c r="X4407">
        <v>20.700242423332998</v>
      </c>
      <c r="Y4407" t="s">
        <v>2744</v>
      </c>
      <c r="Z4407" t="s">
        <v>23992</v>
      </c>
      <c r="AA4407" t="s">
        <v>23993</v>
      </c>
      <c r="AB4407" t="s">
        <v>11041</v>
      </c>
      <c r="AC4407" t="s">
        <v>3006</v>
      </c>
      <c r="AD4407" s="249" t="str">
        <f>HYPERLINK("https://scontent.cdninstagram.com/t51.2885-15/s320x320/e35/21372579_136221726992353_3408972519871348736_n.jpg")</f>
        <v>https://scontent.cdninstagram.com/t51.2885-15/s320x320/e35/21372579_136221726992353_3408972519871348736_n.jpg</v>
      </c>
      <c r="AE4407" s="249" t="str">
        <f>HYPERLINK("https://scontent.cdninstagram.com/t51.2885-19/s150x150/19227379_158268301381764_6774062293727576064_a.jpg")</f>
        <v>https://scontent.cdninstagram.com/t51.2885-19/s150x150/19227379_158268301381764_6774062293727576064_a.jpg</v>
      </c>
    </row>
    <row r="4408" spans="1:31" ht="15" x14ac:dyDescent="0.25">
      <c r="A4408" t="s">
        <v>2474</v>
      </c>
      <c r="B4408" t="s">
        <v>2738</v>
      </c>
      <c r="C4408" s="221">
        <v>42981.533136574071</v>
      </c>
      <c r="D4408" t="s">
        <v>23994</v>
      </c>
      <c r="E4408" s="249" t="str">
        <f>HYPERLINK("https://www.instagram.com/p/BYlgvhZAACp/")</f>
        <v>https://www.instagram.com/p/BYlgvhZAACp/</v>
      </c>
      <c r="F4408" t="s">
        <v>23995</v>
      </c>
      <c r="G4408" t="s">
        <v>2478</v>
      </c>
      <c r="H4408">
        <v>130</v>
      </c>
      <c r="I4408" t="s">
        <v>2479</v>
      </c>
      <c r="J4408">
        <v>2</v>
      </c>
      <c r="K4408">
        <v>42</v>
      </c>
      <c r="L4408">
        <v>44</v>
      </c>
      <c r="Q4408">
        <v>0</v>
      </c>
      <c r="R4408">
        <v>0</v>
      </c>
      <c r="S4408">
        <v>44</v>
      </c>
      <c r="Y4408" t="s">
        <v>6578</v>
      </c>
      <c r="Z4408" t="s">
        <v>2744</v>
      </c>
      <c r="AA4408" t="s">
        <v>3671</v>
      </c>
      <c r="AB4408" t="s">
        <v>2742</v>
      </c>
      <c r="AC4408" t="s">
        <v>23846</v>
      </c>
      <c r="AD4408" s="249" t="str">
        <f>HYPERLINK("https://scontent.cdninstagram.com/t51.2885-15/e35/p320x320/21296206_164883837396385_4339056024351670272_n.jpg")</f>
        <v>https://scontent.cdninstagram.com/t51.2885-15/e35/p320x320/21296206_164883837396385_4339056024351670272_n.jpg</v>
      </c>
      <c r="AE4408" s="249" t="str">
        <f>HYPERLINK("https://scontent.cdninstagram.com/t51.2885-19/s150x150/11899579_897822316961809_437222074_a.jpg")</f>
        <v>https://scontent.cdninstagram.com/t51.2885-19/s150x150/11899579_897822316961809_437222074_a.jpg</v>
      </c>
    </row>
    <row r="4409" spans="1:31" ht="15" x14ac:dyDescent="0.25">
      <c r="A4409" t="s">
        <v>2474</v>
      </c>
      <c r="B4409" t="s">
        <v>23996</v>
      </c>
      <c r="C4409" s="221">
        <v>42981.535474537035</v>
      </c>
      <c r="D4409" t="s">
        <v>23997</v>
      </c>
      <c r="E4409" s="249" t="str">
        <f>HYPERLINK("https://www.instagram.com/p/BYlhIQSgeeY/")</f>
        <v>https://www.instagram.com/p/BYlhIQSgeeY/</v>
      </c>
      <c r="F4409" t="s">
        <v>23998</v>
      </c>
      <c r="G4409" t="s">
        <v>2631</v>
      </c>
      <c r="H4409">
        <v>266</v>
      </c>
      <c r="I4409" t="s">
        <v>2479</v>
      </c>
      <c r="J4409">
        <v>7</v>
      </c>
      <c r="K4409">
        <v>64</v>
      </c>
      <c r="L4409">
        <v>71</v>
      </c>
      <c r="Q4409">
        <v>0</v>
      </c>
      <c r="R4409">
        <v>0</v>
      </c>
      <c r="S4409">
        <v>71</v>
      </c>
      <c r="T4409" t="s">
        <v>23999</v>
      </c>
      <c r="V4409" t="s">
        <v>2239</v>
      </c>
      <c r="W4409">
        <v>51.116700000000002</v>
      </c>
      <c r="X4409">
        <v>17.033300000000001</v>
      </c>
      <c r="Y4409" t="s">
        <v>14341</v>
      </c>
      <c r="Z4409" t="s">
        <v>9108</v>
      </c>
      <c r="AA4409" t="s">
        <v>24000</v>
      </c>
      <c r="AB4409" t="s">
        <v>2497</v>
      </c>
      <c r="AC4409" t="s">
        <v>24001</v>
      </c>
      <c r="AD4409" s="249" t="str">
        <f>HYPERLINK("https://scontent.cdninstagram.com/t51.2885-15/e15/p320x320/21296290_478626309175084_8513911360168394752_n.jpg")</f>
        <v>https://scontent.cdninstagram.com/t51.2885-15/e15/p320x320/21296290_478626309175084_8513911360168394752_n.jpg</v>
      </c>
      <c r="AE4409" s="249" t="str">
        <f>HYPERLINK("https://scontent.cdninstagram.com/t51.2885-19/s150x150/21107773_1988816281393292_7576147380421001216_a.jpg")</f>
        <v>https://scontent.cdninstagram.com/t51.2885-19/s150x150/21107773_1988816281393292_7576147380421001216_a.jpg</v>
      </c>
    </row>
    <row r="4410" spans="1:31" ht="15" x14ac:dyDescent="0.25">
      <c r="A4410" t="s">
        <v>2474</v>
      </c>
      <c r="B4410" t="s">
        <v>24002</v>
      </c>
      <c r="C4410" s="221">
        <v>42981.537407407406</v>
      </c>
      <c r="D4410" t="s">
        <v>24003</v>
      </c>
      <c r="E4410" s="249" t="str">
        <f>HYPERLINK("https://www.instagram.com/p/BYlhcpfFWaE/")</f>
        <v>https://www.instagram.com/p/BYlhcpfFWaE/</v>
      </c>
      <c r="F4410" t="s">
        <v>24004</v>
      </c>
      <c r="G4410" t="s">
        <v>2488</v>
      </c>
      <c r="H4410">
        <v>176</v>
      </c>
      <c r="I4410" t="s">
        <v>2479</v>
      </c>
      <c r="J4410">
        <v>2</v>
      </c>
      <c r="K4410">
        <v>24</v>
      </c>
      <c r="L4410">
        <v>26</v>
      </c>
      <c r="Q4410">
        <v>0</v>
      </c>
      <c r="R4410">
        <v>0</v>
      </c>
      <c r="S4410">
        <v>26</v>
      </c>
      <c r="Y4410" t="s">
        <v>24005</v>
      </c>
      <c r="Z4410" t="s">
        <v>14700</v>
      </c>
      <c r="AA4410" t="s">
        <v>24006</v>
      </c>
      <c r="AB4410" t="s">
        <v>2497</v>
      </c>
      <c r="AC4410" t="s">
        <v>24007</v>
      </c>
      <c r="AD4410" s="249" t="str">
        <f>HYPERLINK("https://scontent.cdninstagram.com/t51.2885-15/s320x320/e35/21371649_645627855642478_5584901525819359232_n.jpg")</f>
        <v>https://scontent.cdninstagram.com/t51.2885-15/s320x320/e35/21371649_645627855642478_5584901525819359232_n.jpg</v>
      </c>
      <c r="AE4410" s="249" t="str">
        <f>HYPERLINK("https://scontent.cdninstagram.com/t51.2885-19/s150x150/20904908_475362149509940_4947357847416471552_a.jpg")</f>
        <v>https://scontent.cdninstagram.com/t51.2885-19/s150x150/20904908_475362149509940_4947357847416471552_a.jpg</v>
      </c>
    </row>
    <row r="4411" spans="1:31" ht="15" x14ac:dyDescent="0.25">
      <c r="A4411" t="s">
        <v>2474</v>
      </c>
      <c r="B4411" t="s">
        <v>24008</v>
      </c>
      <c r="C4411" s="221">
        <v>42981.53869212963</v>
      </c>
      <c r="D4411" t="s">
        <v>24009</v>
      </c>
      <c r="E4411" s="249" t="str">
        <f>HYPERLINK("https://www.instagram.com/p/BYlhqJnDToA/")</f>
        <v>https://www.instagram.com/p/BYlhqJnDToA/</v>
      </c>
      <c r="F4411" t="s">
        <v>24010</v>
      </c>
      <c r="G4411" t="s">
        <v>2478</v>
      </c>
      <c r="H4411">
        <v>203</v>
      </c>
      <c r="I4411" t="s">
        <v>2510</v>
      </c>
      <c r="J4411">
        <v>3</v>
      </c>
      <c r="K4411">
        <v>34</v>
      </c>
      <c r="L4411">
        <v>37</v>
      </c>
      <c r="Q4411">
        <v>0</v>
      </c>
      <c r="R4411">
        <v>0</v>
      </c>
      <c r="S4411">
        <v>37</v>
      </c>
      <c r="Y4411" t="s">
        <v>24011</v>
      </c>
      <c r="Z4411" t="s">
        <v>24012</v>
      </c>
      <c r="AA4411" t="s">
        <v>14141</v>
      </c>
      <c r="AB4411" t="s">
        <v>10392</v>
      </c>
      <c r="AC4411" t="s">
        <v>24013</v>
      </c>
      <c r="AD4411" s="249" t="str">
        <f>HYPERLINK("https://scontent.cdninstagram.com/t51.2885-15/s320x320/e35/19121046_115937912425295_6743495896245207040_n.jpg")</f>
        <v>https://scontent.cdninstagram.com/t51.2885-15/s320x320/e35/19121046_115937912425295_6743495896245207040_n.jpg</v>
      </c>
      <c r="AE4411" s="249" t="str">
        <f>HYPERLINK("https://scontent.cdninstagram.com/t51.2885-19/s150x150/21373182_1259437207535619_6248122988323930112_a.jpg")</f>
        <v>https://scontent.cdninstagram.com/t51.2885-19/s150x150/21373182_1259437207535619_6248122988323930112_a.jpg</v>
      </c>
    </row>
    <row r="4412" spans="1:31" ht="15" x14ac:dyDescent="0.25">
      <c r="A4412" t="s">
        <v>2474</v>
      </c>
      <c r="B4412" t="s">
        <v>24014</v>
      </c>
      <c r="C4412" s="221">
        <v>42981.543495370373</v>
      </c>
      <c r="D4412" t="s">
        <v>24015</v>
      </c>
      <c r="E4412" s="249" t="str">
        <f>HYPERLINK("https://www.instagram.com/p/BYliczCn2O8/")</f>
        <v>https://www.instagram.com/p/BYliczCn2O8/</v>
      </c>
      <c r="F4412" t="s">
        <v>24016</v>
      </c>
      <c r="G4412" t="s">
        <v>2488</v>
      </c>
      <c r="H4412">
        <v>219</v>
      </c>
      <c r="I4412" t="s">
        <v>2479</v>
      </c>
      <c r="J4412">
        <v>1</v>
      </c>
      <c r="K4412">
        <v>28</v>
      </c>
      <c r="L4412">
        <v>29</v>
      </c>
      <c r="Q4412">
        <v>0</v>
      </c>
      <c r="R4412">
        <v>0</v>
      </c>
      <c r="S4412">
        <v>29</v>
      </c>
      <c r="T4412" t="s">
        <v>24017</v>
      </c>
      <c r="V4412" t="s">
        <v>2125</v>
      </c>
      <c r="W4412">
        <v>49.275896842148001</v>
      </c>
      <c r="X4412">
        <v>-123.12450885773001</v>
      </c>
      <c r="Y4412" t="s">
        <v>24018</v>
      </c>
      <c r="Z4412" t="s">
        <v>2906</v>
      </c>
      <c r="AA4412" t="s">
        <v>2497</v>
      </c>
      <c r="AB4412" t="s">
        <v>2855</v>
      </c>
      <c r="AD4412" s="249" t="str">
        <f>HYPERLINK("https://scontent.cdninstagram.com/t51.2885-15/e35/p320x320/21294353_1816057261742021_4555286818588721152_n.jpg")</f>
        <v>https://scontent.cdninstagram.com/t51.2885-15/e35/p320x320/21294353_1816057261742021_4555286818588721152_n.jpg</v>
      </c>
      <c r="AE4412" s="249" t="str">
        <f>HYPERLINK("https://scontent.cdninstagram.com/t51.2885-19/11247035_1625894131022483_1973607281_a.jpg")</f>
        <v>https://scontent.cdninstagram.com/t51.2885-19/11247035_1625894131022483_1973607281_a.jpg</v>
      </c>
    </row>
    <row r="4413" spans="1:31" ht="15" x14ac:dyDescent="0.25">
      <c r="A4413" t="s">
        <v>2474</v>
      </c>
      <c r="B4413" t="s">
        <v>24019</v>
      </c>
      <c r="C4413" s="221">
        <v>42981.544548611113</v>
      </c>
      <c r="D4413" t="s">
        <v>24020</v>
      </c>
      <c r="E4413" s="249" t="str">
        <f>HYPERLINK("https://www.instagram.com/p/BYlin5VHFvn/")</f>
        <v>https://www.instagram.com/p/BYlin5VHFvn/</v>
      </c>
      <c r="F4413" t="s">
        <v>24021</v>
      </c>
      <c r="G4413" t="s">
        <v>2478</v>
      </c>
      <c r="H4413">
        <v>23</v>
      </c>
      <c r="I4413" t="s">
        <v>2748</v>
      </c>
      <c r="J4413">
        <v>2</v>
      </c>
      <c r="K4413">
        <v>4</v>
      </c>
      <c r="L4413">
        <v>6</v>
      </c>
      <c r="Q4413">
        <v>0</v>
      </c>
      <c r="R4413">
        <v>0</v>
      </c>
      <c r="S4413">
        <v>6</v>
      </c>
      <c r="Y4413" t="s">
        <v>2497</v>
      </c>
      <c r="Z4413" t="s">
        <v>13541</v>
      </c>
      <c r="AA4413" t="s">
        <v>24022</v>
      </c>
      <c r="AD4413" s="249" t="str">
        <f>HYPERLINK("https://scontent.cdninstagram.com/t51.2885-15/e35/p320x320/21294571_117161535616476_3213550228003094528_n.jpg")</f>
        <v>https://scontent.cdninstagram.com/t51.2885-15/e35/p320x320/21294571_117161535616476_3213550228003094528_n.jpg</v>
      </c>
      <c r="AE4413" s="249" t="str">
        <f>HYPERLINK("https://scontent.cdninstagram.com/t51.2885-19/s150x150/18949657_423250898057353_881546547219660800_a.jpg")</f>
        <v>https://scontent.cdninstagram.com/t51.2885-19/s150x150/18949657_423250898057353_881546547219660800_a.jpg</v>
      </c>
    </row>
    <row r="4414" spans="1:31" ht="15" x14ac:dyDescent="0.25">
      <c r="A4414" t="s">
        <v>2474</v>
      </c>
      <c r="B4414" t="s">
        <v>24023</v>
      </c>
      <c r="C4414" s="221">
        <v>42981.545208333337</v>
      </c>
      <c r="D4414" t="s">
        <v>24024</v>
      </c>
      <c r="E4414" s="249" t="str">
        <f>HYPERLINK("https://www.instagram.com/p/BYliu1KlJPj/")</f>
        <v>https://www.instagram.com/p/BYliu1KlJPj/</v>
      </c>
      <c r="F4414" t="s">
        <v>24025</v>
      </c>
      <c r="G4414" t="s">
        <v>2478</v>
      </c>
      <c r="H4414">
        <v>463</v>
      </c>
      <c r="I4414" t="s">
        <v>2479</v>
      </c>
      <c r="J4414">
        <v>22</v>
      </c>
      <c r="K4414">
        <v>57</v>
      </c>
      <c r="L4414">
        <v>79</v>
      </c>
      <c r="Q4414">
        <v>0</v>
      </c>
      <c r="R4414">
        <v>0</v>
      </c>
      <c r="S4414">
        <v>79</v>
      </c>
      <c r="Y4414" t="s">
        <v>6186</v>
      </c>
      <c r="Z4414" t="s">
        <v>24026</v>
      </c>
      <c r="AA4414" t="s">
        <v>24027</v>
      </c>
      <c r="AB4414" t="s">
        <v>2497</v>
      </c>
      <c r="AC4414" t="s">
        <v>6779</v>
      </c>
      <c r="AD4414" s="249" t="str">
        <f>HYPERLINK("https://scontent.cdninstagram.com/t51.2885-15/s320x320/e35/21294752_115607342455781_8601285653692416000_n.jpg")</f>
        <v>https://scontent.cdninstagram.com/t51.2885-15/s320x320/e35/21294752_115607342455781_8601285653692416000_n.jpg</v>
      </c>
      <c r="AE4414" s="249" t="str">
        <f>HYPERLINK("https://scontent.cdninstagram.com/t51.2885-19/s150x150/21434165_1953668864847850_2480376611673735168_a.jpg")</f>
        <v>https://scontent.cdninstagram.com/t51.2885-19/s150x150/21434165_1953668864847850_2480376611673735168_a.jpg</v>
      </c>
    </row>
    <row r="4415" spans="1:31" ht="15" x14ac:dyDescent="0.25">
      <c r="A4415" t="s">
        <v>2474</v>
      </c>
      <c r="B4415" t="s">
        <v>8749</v>
      </c>
      <c r="C4415" s="221">
        <v>42981.547118055554</v>
      </c>
      <c r="D4415" t="s">
        <v>24028</v>
      </c>
      <c r="E4415" s="249" t="str">
        <f>HYPERLINK("https://www.instagram.com/p/BYljDEilBDx/")</f>
        <v>https://www.instagram.com/p/BYljDEilBDx/</v>
      </c>
      <c r="F4415" t="s">
        <v>22401</v>
      </c>
      <c r="G4415" t="s">
        <v>2478</v>
      </c>
      <c r="H4415">
        <v>476</v>
      </c>
      <c r="I4415" t="s">
        <v>2479</v>
      </c>
      <c r="J4415">
        <v>1</v>
      </c>
      <c r="K4415">
        <v>47</v>
      </c>
      <c r="L4415">
        <v>48</v>
      </c>
      <c r="Q4415">
        <v>0</v>
      </c>
      <c r="R4415">
        <v>0</v>
      </c>
      <c r="S4415">
        <v>48</v>
      </c>
      <c r="Y4415" t="s">
        <v>8753</v>
      </c>
      <c r="Z4415" t="s">
        <v>23855</v>
      </c>
      <c r="AA4415" t="s">
        <v>18304</v>
      </c>
      <c r="AB4415" t="s">
        <v>23752</v>
      </c>
      <c r="AC4415" t="s">
        <v>2615</v>
      </c>
      <c r="AD4415" s="249" t="str">
        <f>HYPERLINK("https://scontent.cdninstagram.com/t51.2885-15/s320x320/e35/21373402_1883351608659452_4322844004572987392_n.jpg")</f>
        <v>https://scontent.cdninstagram.com/t51.2885-15/s320x320/e35/21373402_1883351608659452_4322844004572987392_n.jpg</v>
      </c>
      <c r="AE4415" s="249" t="str">
        <f>HYPERLINK("https://scontent.cdninstagram.com/t51.2885-19/s150x150/21435920_387370281680102_986476661300002816_a.jpg")</f>
        <v>https://scontent.cdninstagram.com/t51.2885-19/s150x150/21435920_387370281680102_986476661300002816_a.jpg</v>
      </c>
    </row>
    <row r="4416" spans="1:31" ht="15" x14ac:dyDescent="0.25">
      <c r="A4416" t="s">
        <v>2474</v>
      </c>
      <c r="B4416" t="s">
        <v>24029</v>
      </c>
      <c r="C4416" s="221">
        <v>42981.547881944447</v>
      </c>
      <c r="D4416" t="s">
        <v>24030</v>
      </c>
      <c r="E4416" s="249" t="str">
        <f>HYPERLINK("https://www.instagram.com/p/BYljLH_g6aI/")</f>
        <v>https://www.instagram.com/p/BYljLH_g6aI/</v>
      </c>
      <c r="F4416" t="s">
        <v>24031</v>
      </c>
      <c r="G4416" t="s">
        <v>2478</v>
      </c>
      <c r="H4416">
        <v>825</v>
      </c>
      <c r="I4416" t="s">
        <v>2479</v>
      </c>
      <c r="J4416">
        <v>1</v>
      </c>
      <c r="K4416">
        <v>13</v>
      </c>
      <c r="L4416">
        <v>14</v>
      </c>
      <c r="Q4416">
        <v>0</v>
      </c>
      <c r="R4416">
        <v>0</v>
      </c>
      <c r="S4416">
        <v>14</v>
      </c>
      <c r="Y4416" t="s">
        <v>2730</v>
      </c>
      <c r="Z4416" t="s">
        <v>24032</v>
      </c>
      <c r="AA4416" t="s">
        <v>3671</v>
      </c>
      <c r="AB4416" t="s">
        <v>7950</v>
      </c>
      <c r="AC4416" t="s">
        <v>24033</v>
      </c>
      <c r="AD4416" s="249" t="str">
        <f>HYPERLINK("https://scontent.cdninstagram.com/t51.2885-15/s320x320/e35/21296540_1439692359418565_8818326225358422016_n.jpg")</f>
        <v>https://scontent.cdninstagram.com/t51.2885-15/s320x320/e35/21296540_1439692359418565_8818326225358422016_n.jpg</v>
      </c>
      <c r="AE4416" s="249" t="str">
        <f>HYPERLINK("https://scontent.cdninstagram.com/t51.2885-19/s150x150/13183445_2000823620143489_931578018_a.jpg")</f>
        <v>https://scontent.cdninstagram.com/t51.2885-19/s150x150/13183445_2000823620143489_931578018_a.jpg</v>
      </c>
    </row>
    <row r="4417" spans="1:31" ht="15" x14ac:dyDescent="0.25">
      <c r="A4417" t="s">
        <v>2474</v>
      </c>
      <c r="B4417" t="s">
        <v>24034</v>
      </c>
      <c r="C4417" s="221">
        <v>42981.548333333332</v>
      </c>
      <c r="D4417" t="s">
        <v>24035</v>
      </c>
      <c r="E4417" s="249" t="str">
        <f>HYPERLINK("https://www.instagram.com/p/BYljP3ggYyC/")</f>
        <v>https://www.instagram.com/p/BYljP3ggYyC/</v>
      </c>
      <c r="F4417" t="s">
        <v>24036</v>
      </c>
      <c r="G4417" t="s">
        <v>2478</v>
      </c>
      <c r="H4417">
        <v>236</v>
      </c>
      <c r="I4417" t="s">
        <v>2479</v>
      </c>
      <c r="J4417">
        <v>0</v>
      </c>
      <c r="K4417">
        <v>13</v>
      </c>
      <c r="L4417">
        <v>13</v>
      </c>
      <c r="Q4417">
        <v>0</v>
      </c>
      <c r="R4417">
        <v>0</v>
      </c>
      <c r="S4417">
        <v>13</v>
      </c>
      <c r="Y4417" t="s">
        <v>15598</v>
      </c>
      <c r="Z4417" t="s">
        <v>2497</v>
      </c>
      <c r="AA4417" t="s">
        <v>24037</v>
      </c>
      <c r="AD4417" s="249" t="str">
        <f>HYPERLINK("https://scontent.cdninstagram.com/t51.2885-15/s320x320/e35/21373307_291055147967826_3912147201526071296_n.jpg")</f>
        <v>https://scontent.cdninstagram.com/t51.2885-15/s320x320/e35/21373307_291055147967826_3912147201526071296_n.jpg</v>
      </c>
      <c r="AE4417" s="249" t="str">
        <f>HYPERLINK("https://scontent.cdninstagram.com/t51.2885-19/s150x150/20759397_2002388343330225_7417853113731645440_a.jpg")</f>
        <v>https://scontent.cdninstagram.com/t51.2885-19/s150x150/20759397_2002388343330225_7417853113731645440_a.jpg</v>
      </c>
    </row>
    <row r="4418" spans="1:31" ht="15" x14ac:dyDescent="0.25">
      <c r="A4418" t="s">
        <v>2474</v>
      </c>
      <c r="B4418" t="s">
        <v>12038</v>
      </c>
      <c r="C4418" s="221">
        <v>42981.549027777779</v>
      </c>
      <c r="D4418" t="s">
        <v>24038</v>
      </c>
      <c r="E4418" s="249" t="str">
        <f>HYPERLINK("https://www.instagram.com/p/BYljXGLA2T1/")</f>
        <v>https://www.instagram.com/p/BYljXGLA2T1/</v>
      </c>
      <c r="F4418" t="s">
        <v>24039</v>
      </c>
      <c r="G4418" t="s">
        <v>2478</v>
      </c>
      <c r="H4418">
        <v>280</v>
      </c>
      <c r="I4418" t="s">
        <v>2479</v>
      </c>
      <c r="J4418">
        <v>0</v>
      </c>
      <c r="K4418">
        <v>4</v>
      </c>
      <c r="L4418">
        <v>4</v>
      </c>
      <c r="Q4418">
        <v>0</v>
      </c>
      <c r="R4418">
        <v>0</v>
      </c>
      <c r="S4418">
        <v>4</v>
      </c>
      <c r="Y4418" t="s">
        <v>2492</v>
      </c>
      <c r="Z4418" t="s">
        <v>2497</v>
      </c>
      <c r="AA4418" t="s">
        <v>18645</v>
      </c>
      <c r="AB4418" t="s">
        <v>5169</v>
      </c>
      <c r="AC4418" t="s">
        <v>3655</v>
      </c>
      <c r="AD4418" s="249" t="str">
        <f>HYPERLINK("https://scontent.cdninstagram.com/t51.2885-15/s320x320/e35/21294489_480730578958536_6211524287799492608_n.jpg")</f>
        <v>https://scontent.cdninstagram.com/t51.2885-15/s320x320/e35/21294489_480730578958536_6211524287799492608_n.jpg</v>
      </c>
      <c r="AE4418" s="249" t="str">
        <f>HYPERLINK("https://scontent.cdninstagram.com/t51.2885-19/s150x150/21372512_501716906853494_8282570355587940352_a.jpg")</f>
        <v>https://scontent.cdninstagram.com/t51.2885-19/s150x150/21372512_501716906853494_8282570355587940352_a.jpg</v>
      </c>
    </row>
    <row r="4419" spans="1:31" ht="15" x14ac:dyDescent="0.25">
      <c r="A4419" t="s">
        <v>2474</v>
      </c>
      <c r="B4419" t="s">
        <v>3015</v>
      </c>
      <c r="C4419" s="221">
        <v>42981.553310185183</v>
      </c>
      <c r="D4419" t="s">
        <v>24040</v>
      </c>
      <c r="E4419" s="249" t="str">
        <f>HYPERLINK("https://www.instagram.com/p/BYlkEYGAR4a/")</f>
        <v>https://www.instagram.com/p/BYlkEYGAR4a/</v>
      </c>
      <c r="F4419" t="s">
        <v>24041</v>
      </c>
      <c r="G4419" t="s">
        <v>2488</v>
      </c>
      <c r="H4419">
        <v>265</v>
      </c>
      <c r="I4419" t="s">
        <v>2479</v>
      </c>
      <c r="J4419">
        <v>2</v>
      </c>
      <c r="K4419">
        <v>62</v>
      </c>
      <c r="L4419">
        <v>64</v>
      </c>
      <c r="Q4419">
        <v>0</v>
      </c>
      <c r="R4419">
        <v>0</v>
      </c>
      <c r="S4419">
        <v>64</v>
      </c>
      <c r="Y4419" t="s">
        <v>3019</v>
      </c>
      <c r="Z4419" t="s">
        <v>2492</v>
      </c>
      <c r="AA4419" t="s">
        <v>3493</v>
      </c>
      <c r="AB4419" t="s">
        <v>4129</v>
      </c>
      <c r="AC4419" t="s">
        <v>4126</v>
      </c>
      <c r="AD4419" s="249" t="str">
        <f>HYPERLINK("https://scontent.cdninstagram.com/t51.2885-15/e35/p320x320/21372379_125946344718238_3165879024480157696_n.jpg")</f>
        <v>https://scontent.cdninstagram.com/t51.2885-15/e35/p320x320/21372379_125946344718238_3165879024480157696_n.jpg</v>
      </c>
      <c r="AE4419" s="249" t="str">
        <f>HYPERLINK("https://scontent.cdninstagram.com/t51.2885-19/s150x150/21373025_723410537866046_6184601968204316672_a.jpg")</f>
        <v>https://scontent.cdninstagram.com/t51.2885-19/s150x150/21373025_723410537866046_6184601968204316672_a.jpg</v>
      </c>
    </row>
    <row r="4420" spans="1:31" ht="15" x14ac:dyDescent="0.25">
      <c r="A4420" t="s">
        <v>2474</v>
      </c>
      <c r="B4420" t="s">
        <v>24042</v>
      </c>
      <c r="C4420" s="221">
        <v>42981.556631944448</v>
      </c>
      <c r="D4420" t="s">
        <v>24043</v>
      </c>
      <c r="E4420" s="249" t="str">
        <f>HYPERLINK("https://www.instagram.com/p/BYlknYAFj_u/")</f>
        <v>https://www.instagram.com/p/BYlknYAFj_u/</v>
      </c>
      <c r="F4420" t="s">
        <v>24044</v>
      </c>
      <c r="G4420" t="s">
        <v>2478</v>
      </c>
      <c r="H4420">
        <v>338</v>
      </c>
      <c r="I4420" t="s">
        <v>2479</v>
      </c>
      <c r="J4420">
        <v>3</v>
      </c>
      <c r="K4420">
        <v>44</v>
      </c>
      <c r="L4420">
        <v>47</v>
      </c>
      <c r="Q4420">
        <v>0</v>
      </c>
      <c r="R4420">
        <v>0</v>
      </c>
      <c r="S4420">
        <v>47</v>
      </c>
      <c r="Y4420" t="s">
        <v>24045</v>
      </c>
      <c r="Z4420" t="s">
        <v>24046</v>
      </c>
      <c r="AA4420" t="s">
        <v>24047</v>
      </c>
      <c r="AB4420" t="s">
        <v>24048</v>
      </c>
      <c r="AC4420" t="s">
        <v>24049</v>
      </c>
      <c r="AD4420" s="249" t="str">
        <f>HYPERLINK("https://scontent.cdninstagram.com/t51.2885-15/s320x320/e35/21295007_120102055386292_5113291490830843904_n.jpg")</f>
        <v>https://scontent.cdninstagram.com/t51.2885-15/s320x320/e35/21295007_120102055386292_5113291490830843904_n.jpg</v>
      </c>
      <c r="AE4420" s="249" t="str">
        <f>HYPERLINK("https://scontent.cdninstagram.com/t51.2885-19/s150x150/19534380_1439830179397665_6328937909009252352_a.jpg")</f>
        <v>https://scontent.cdninstagram.com/t51.2885-19/s150x150/19534380_1439830179397665_6328937909009252352_a.jpg</v>
      </c>
    </row>
    <row r="4421" spans="1:31" ht="15" x14ac:dyDescent="0.25">
      <c r="A4421" t="s">
        <v>2474</v>
      </c>
      <c r="B4421" t="s">
        <v>3895</v>
      </c>
      <c r="C4421" s="221">
        <v>42981.558587962965</v>
      </c>
      <c r="D4421" t="s">
        <v>24050</v>
      </c>
      <c r="E4421" s="249" t="str">
        <f>HYPERLINK("https://www.instagram.com/p/BYlk8BrlzbU/")</f>
        <v>https://www.instagram.com/p/BYlk8BrlzbU/</v>
      </c>
      <c r="F4421" t="s">
        <v>24051</v>
      </c>
      <c r="G4421" t="s">
        <v>2478</v>
      </c>
      <c r="H4421">
        <v>421</v>
      </c>
      <c r="I4421" t="s">
        <v>2479</v>
      </c>
      <c r="J4421">
        <v>2</v>
      </c>
      <c r="K4421">
        <v>57</v>
      </c>
      <c r="L4421">
        <v>59</v>
      </c>
      <c r="Q4421">
        <v>0</v>
      </c>
      <c r="R4421">
        <v>0</v>
      </c>
      <c r="S4421">
        <v>59</v>
      </c>
      <c r="Y4421" t="s">
        <v>24052</v>
      </c>
      <c r="Z4421" t="s">
        <v>3899</v>
      </c>
      <c r="AA4421" t="s">
        <v>18427</v>
      </c>
      <c r="AB4421" t="s">
        <v>2911</v>
      </c>
      <c r="AC4421" t="s">
        <v>11097</v>
      </c>
      <c r="AD4421" s="249" t="str">
        <f>HYPERLINK("https://scontent.cdninstagram.com/t51.2885-15/s320x320/e35/21372310_126592474646554_2377920407345823744_n.jpg")</f>
        <v>https://scontent.cdninstagram.com/t51.2885-15/s320x320/e35/21372310_126592474646554_2377920407345823744_n.jpg</v>
      </c>
      <c r="AE4421" s="249" t="str">
        <f>HYPERLINK("https://scontent.cdninstagram.com/t51.2885-19/s150x150/20902130_1390331654386412_4188068892897181696_a.jpg")</f>
        <v>https://scontent.cdninstagram.com/t51.2885-19/s150x150/20902130_1390331654386412_4188068892897181696_a.jpg</v>
      </c>
    </row>
    <row r="4422" spans="1:31" ht="15" x14ac:dyDescent="0.25">
      <c r="A4422" t="s">
        <v>2474</v>
      </c>
      <c r="B4422" t="s">
        <v>24053</v>
      </c>
      <c r="C4422" s="221">
        <v>42981.562268518515</v>
      </c>
      <c r="D4422" t="s">
        <v>24054</v>
      </c>
      <c r="E4422" s="249" t="str">
        <f>HYPERLINK("https://www.instagram.com/p/BYlliy6nftB/")</f>
        <v>https://www.instagram.com/p/BYlliy6nftB/</v>
      </c>
      <c r="F4422" t="s">
        <v>24055</v>
      </c>
      <c r="G4422" t="s">
        <v>2478</v>
      </c>
      <c r="H4422">
        <v>1255</v>
      </c>
      <c r="I4422" t="s">
        <v>2479</v>
      </c>
      <c r="J4422">
        <v>0</v>
      </c>
      <c r="K4422">
        <v>19</v>
      </c>
      <c r="L4422">
        <v>19</v>
      </c>
      <c r="Q4422">
        <v>0</v>
      </c>
      <c r="R4422">
        <v>0</v>
      </c>
      <c r="S4422">
        <v>19</v>
      </c>
      <c r="Y4422" t="s">
        <v>14391</v>
      </c>
      <c r="Z4422" t="s">
        <v>13777</v>
      </c>
      <c r="AA4422" t="s">
        <v>24056</v>
      </c>
      <c r="AB4422" t="s">
        <v>2497</v>
      </c>
      <c r="AC4422" t="s">
        <v>2906</v>
      </c>
      <c r="AD4422" s="249" t="str">
        <f>HYPERLINK("https://scontent.cdninstagram.com/t51.2885-15/s320x320/e35/21296600_115730705743852_1687357835869945856_n.jpg")</f>
        <v>https://scontent.cdninstagram.com/t51.2885-15/s320x320/e35/21296600_115730705743852_1687357835869945856_n.jpg</v>
      </c>
      <c r="AE4422" s="249" t="str">
        <f>HYPERLINK("https://scontent.cdninstagram.com/t51.2885-19/s150x150/20904864_1840936006235802_3678518903522197504_a.jpg")</f>
        <v>https://scontent.cdninstagram.com/t51.2885-19/s150x150/20904864_1840936006235802_3678518903522197504_a.jpg</v>
      </c>
    </row>
    <row r="4423" spans="1:31" ht="15" x14ac:dyDescent="0.25">
      <c r="A4423" t="s">
        <v>2474</v>
      </c>
      <c r="B4423" t="s">
        <v>2548</v>
      </c>
      <c r="C4423" s="221">
        <v>42981.566192129627</v>
      </c>
      <c r="D4423" t="s">
        <v>24057</v>
      </c>
      <c r="E4423" s="249" t="str">
        <f>HYPERLINK("https://www.instagram.com/p/BYlmMPeHCnI/")</f>
        <v>https://www.instagram.com/p/BYlmMPeHCnI/</v>
      </c>
      <c r="F4423" t="s">
        <v>24058</v>
      </c>
      <c r="G4423" t="s">
        <v>2478</v>
      </c>
      <c r="H4423">
        <v>526</v>
      </c>
      <c r="I4423" t="s">
        <v>13274</v>
      </c>
      <c r="J4423">
        <v>1</v>
      </c>
      <c r="K4423">
        <v>47</v>
      </c>
      <c r="L4423">
        <v>48</v>
      </c>
      <c r="Q4423">
        <v>0</v>
      </c>
      <c r="R4423">
        <v>0</v>
      </c>
      <c r="S4423">
        <v>48</v>
      </c>
      <c r="T4423" t="s">
        <v>24059</v>
      </c>
      <c r="V4423" t="s">
        <v>2222</v>
      </c>
      <c r="W4423">
        <v>52.383069900000002</v>
      </c>
      <c r="X4423">
        <v>4.9215</v>
      </c>
      <c r="Y4423" t="s">
        <v>5739</v>
      </c>
      <c r="Z4423" t="s">
        <v>24060</v>
      </c>
      <c r="AA4423" t="s">
        <v>24061</v>
      </c>
      <c r="AB4423" t="s">
        <v>24062</v>
      </c>
      <c r="AC4423" t="s">
        <v>2497</v>
      </c>
      <c r="AD4423" s="249" t="str">
        <f>HYPERLINK("https://scontent.cdninstagram.com/t51.2885-15/s320x320/e35/21371726_351117228680068_9063287872609583104_n.jpg")</f>
        <v>https://scontent.cdninstagram.com/t51.2885-15/s320x320/e35/21371726_351117228680068_9063287872609583104_n.jpg</v>
      </c>
      <c r="AE4423" s="249" t="str">
        <f>HYPERLINK("https://scontent.cdninstagram.com/t51.2885-19/s150x150/20902268_463519954020811_6603510379353997312_a.jpg")</f>
        <v>https://scontent.cdninstagram.com/t51.2885-19/s150x150/20902268_463519954020811_6603510379353997312_a.jpg</v>
      </c>
    </row>
    <row r="4424" spans="1:31" ht="15" x14ac:dyDescent="0.25">
      <c r="A4424" t="s">
        <v>2474</v>
      </c>
      <c r="B4424" t="s">
        <v>24063</v>
      </c>
      <c r="C4424" s="221">
        <v>42981.574236111112</v>
      </c>
      <c r="D4424" t="s">
        <v>24064</v>
      </c>
      <c r="E4424" s="249" t="str">
        <f>HYPERLINK("https://www.instagram.com/p/BYlng-nnVfO/")</f>
        <v>https://www.instagram.com/p/BYlng-nnVfO/</v>
      </c>
      <c r="F4424" t="s">
        <v>24065</v>
      </c>
      <c r="G4424" t="s">
        <v>2478</v>
      </c>
      <c r="I4424" t="s">
        <v>2542</v>
      </c>
      <c r="J4424">
        <v>0</v>
      </c>
      <c r="K4424">
        <v>37</v>
      </c>
      <c r="L4424">
        <v>37</v>
      </c>
      <c r="Q4424">
        <v>0</v>
      </c>
      <c r="R4424">
        <v>0</v>
      </c>
      <c r="S4424">
        <v>37</v>
      </c>
      <c r="T4424" t="s">
        <v>24066</v>
      </c>
      <c r="V4424" t="s">
        <v>2182</v>
      </c>
      <c r="W4424">
        <v>45.497612971812003</v>
      </c>
      <c r="X4424">
        <v>12.626884421333999</v>
      </c>
      <c r="Y4424" t="s">
        <v>11400</v>
      </c>
      <c r="Z4424" t="s">
        <v>24067</v>
      </c>
      <c r="AA4424" t="s">
        <v>2769</v>
      </c>
      <c r="AB4424" t="s">
        <v>18765</v>
      </c>
      <c r="AC4424" t="s">
        <v>2497</v>
      </c>
      <c r="AD4424" s="249" t="str">
        <f>HYPERLINK("https://scontent.cdninstagram.com/t51.2885-15/s320x320/e35/21296264_707494059460724_929588049937956864_n.jpg")</f>
        <v>https://scontent.cdninstagram.com/t51.2885-15/s320x320/e35/21296264_707494059460724_929588049937956864_n.jpg</v>
      </c>
      <c r="AE4424" s="249" t="str">
        <f>HYPERLINK("https://scontent.cdninstagram.com/t51.2885-19/s150x150/16789444_1884194888487844_2046278584825282560_a.jpg")</f>
        <v>https://scontent.cdninstagram.com/t51.2885-19/s150x150/16789444_1884194888487844_2046278584825282560_a.jpg</v>
      </c>
    </row>
    <row r="4425" spans="1:31" ht="15" x14ac:dyDescent="0.25">
      <c r="A4425" t="s">
        <v>2474</v>
      </c>
      <c r="B4425" t="s">
        <v>24068</v>
      </c>
      <c r="C4425" s="221">
        <v>42981.574999999997</v>
      </c>
      <c r="D4425" t="s">
        <v>24069</v>
      </c>
      <c r="E4425" s="249" t="str">
        <f>HYPERLINK("https://www.instagram.com/p/BYlnpIfnRyl/")</f>
        <v>https://www.instagram.com/p/BYlnpIfnRyl/</v>
      </c>
      <c r="F4425" t="s">
        <v>24070</v>
      </c>
      <c r="G4425" t="s">
        <v>2478</v>
      </c>
      <c r="H4425">
        <v>331</v>
      </c>
      <c r="I4425" t="s">
        <v>2542</v>
      </c>
      <c r="J4425">
        <v>0</v>
      </c>
      <c r="K4425">
        <v>12</v>
      </c>
      <c r="L4425">
        <v>12</v>
      </c>
      <c r="Q4425">
        <v>0</v>
      </c>
      <c r="R4425">
        <v>0</v>
      </c>
      <c r="S4425">
        <v>12</v>
      </c>
      <c r="Y4425" t="s">
        <v>5788</v>
      </c>
      <c r="Z4425" t="s">
        <v>24071</v>
      </c>
      <c r="AA4425" t="s">
        <v>2497</v>
      </c>
      <c r="AD4425" s="249" t="str">
        <f>HYPERLINK("https://scontent.cdninstagram.com/t51.2885-15/s320x320/e35/21372896_278961239264625_4554173648964943872_n.jpg")</f>
        <v>https://scontent.cdninstagram.com/t51.2885-15/s320x320/e35/21372896_278961239264625_4554173648964943872_n.jpg</v>
      </c>
      <c r="AE4425" s="249" t="str">
        <f>HYPERLINK("https://scontent.cdninstagram.com/t51.2885-19/s150x150/20686680_138328500097365_3321453958395854848_a.jpg")</f>
        <v>https://scontent.cdninstagram.com/t51.2885-19/s150x150/20686680_138328500097365_3321453958395854848_a.jpg</v>
      </c>
    </row>
    <row r="4426" spans="1:31" ht="15" x14ac:dyDescent="0.25">
      <c r="A4426" t="s">
        <v>2474</v>
      </c>
      <c r="B4426" t="s">
        <v>12606</v>
      </c>
      <c r="C4426" s="221">
        <v>42981.575370370374</v>
      </c>
      <c r="D4426" t="s">
        <v>24072</v>
      </c>
      <c r="E4426" s="249" t="str">
        <f>HYPERLINK("https://www.instagram.com/p/BYlns_2FnQq/")</f>
        <v>https://www.instagram.com/p/BYlns_2FnQq/</v>
      </c>
      <c r="F4426" t="s">
        <v>24073</v>
      </c>
      <c r="G4426" t="s">
        <v>2478</v>
      </c>
      <c r="H4426">
        <v>239</v>
      </c>
      <c r="I4426" t="s">
        <v>2479</v>
      </c>
      <c r="J4426">
        <v>0</v>
      </c>
      <c r="K4426">
        <v>27</v>
      </c>
      <c r="L4426">
        <v>27</v>
      </c>
      <c r="Q4426">
        <v>0</v>
      </c>
      <c r="R4426">
        <v>0</v>
      </c>
      <c r="S4426">
        <v>27</v>
      </c>
      <c r="Y4426" t="s">
        <v>19497</v>
      </c>
      <c r="Z4426" t="s">
        <v>8013</v>
      </c>
      <c r="AA4426" t="s">
        <v>7252</v>
      </c>
      <c r="AB4426" t="s">
        <v>3277</v>
      </c>
      <c r="AC4426" t="s">
        <v>2497</v>
      </c>
      <c r="AD4426" s="249" t="str">
        <f>HYPERLINK("https://scontent.cdninstagram.com/t51.2885-15/s320x320/e35/21296859_888237911332813_5920702895317057536_n.jpg")</f>
        <v>https://scontent.cdninstagram.com/t51.2885-15/s320x320/e35/21296859_888237911332813_5920702895317057536_n.jpg</v>
      </c>
      <c r="AE4426" s="249" t="str">
        <f>HYPERLINK("https://scontent.cdninstagram.com/t51.2885-19/s150x150/20987094_1431158253600668_3158311734486237184_a.jpg")</f>
        <v>https://scontent.cdninstagram.com/t51.2885-19/s150x150/20987094_1431158253600668_3158311734486237184_a.jpg</v>
      </c>
    </row>
    <row r="4427" spans="1:31" ht="15" x14ac:dyDescent="0.25">
      <c r="A4427" t="s">
        <v>2474</v>
      </c>
      <c r="B4427" t="s">
        <v>7185</v>
      </c>
      <c r="C4427" s="221">
        <v>42981.576238425929</v>
      </c>
      <c r="D4427" t="s">
        <v>24074</v>
      </c>
      <c r="E4427" s="249" t="str">
        <f>HYPERLINK("https://www.instagram.com/p/BYln2KdBbdz/")</f>
        <v>https://www.instagram.com/p/BYln2KdBbdz/</v>
      </c>
      <c r="F4427" t="s">
        <v>24075</v>
      </c>
      <c r="G4427" t="s">
        <v>2478</v>
      </c>
      <c r="H4427">
        <v>572</v>
      </c>
      <c r="I4427" t="s">
        <v>2542</v>
      </c>
      <c r="J4427">
        <v>8</v>
      </c>
      <c r="K4427">
        <v>97</v>
      </c>
      <c r="L4427">
        <v>105</v>
      </c>
      <c r="Q4427">
        <v>0</v>
      </c>
      <c r="R4427">
        <v>0</v>
      </c>
      <c r="S4427">
        <v>105</v>
      </c>
      <c r="T4427" t="s">
        <v>24076</v>
      </c>
      <c r="V4427" t="s">
        <v>2111</v>
      </c>
      <c r="W4427">
        <v>17.739489070000001</v>
      </c>
      <c r="X4427">
        <v>-88.026664659999994</v>
      </c>
      <c r="Y4427" t="s">
        <v>24077</v>
      </c>
      <c r="AD4427" s="249" t="str">
        <f>HYPERLINK("https://scontent.cdninstagram.com/t51.2885-15/s320x320/e35/21296859_128169954476728_6484712279731339264_n.jpg")</f>
        <v>https://scontent.cdninstagram.com/t51.2885-15/s320x320/e35/21296859_128169954476728_6484712279731339264_n.jpg</v>
      </c>
      <c r="AE4427" s="249" t="str">
        <f>HYPERLINK("https://scontent.cdninstagram.com/t51.2885-19/s150x150/17882752_1488967831123186_392500985118851072_a.jpg")</f>
        <v>https://scontent.cdninstagram.com/t51.2885-19/s150x150/17882752_1488967831123186_392500985118851072_a.jpg</v>
      </c>
    </row>
    <row r="4428" spans="1:31" ht="15" x14ac:dyDescent="0.25">
      <c r="A4428" t="s">
        <v>2474</v>
      </c>
      <c r="B4428" t="s">
        <v>4320</v>
      </c>
      <c r="C4428" s="221">
        <v>42981.581134259257</v>
      </c>
      <c r="D4428" t="s">
        <v>24078</v>
      </c>
      <c r="E4428" s="249" t="str">
        <f>HYPERLINK("https://www.instagram.com/p/BYlopuOASxs/")</f>
        <v>https://www.instagram.com/p/BYlopuOASxs/</v>
      </c>
      <c r="F4428" t="s">
        <v>24079</v>
      </c>
      <c r="G4428" t="s">
        <v>2478</v>
      </c>
      <c r="H4428">
        <v>205</v>
      </c>
      <c r="I4428" t="s">
        <v>5670</v>
      </c>
      <c r="J4428">
        <v>3</v>
      </c>
      <c r="K4428">
        <v>49</v>
      </c>
      <c r="L4428">
        <v>52</v>
      </c>
      <c r="Q4428">
        <v>0</v>
      </c>
      <c r="R4428">
        <v>0</v>
      </c>
      <c r="S4428">
        <v>52</v>
      </c>
      <c r="Y4428" t="s">
        <v>24080</v>
      </c>
      <c r="Z4428" t="s">
        <v>24081</v>
      </c>
      <c r="AA4428" t="s">
        <v>14760</v>
      </c>
      <c r="AB4428" t="s">
        <v>19688</v>
      </c>
      <c r="AC4428" t="s">
        <v>4779</v>
      </c>
      <c r="AD4428" s="249" t="str">
        <f>HYPERLINK("https://scontent.cdninstagram.com/t51.2885-15/s320x320/e35/21295121_1423914357662804_518706318484176896_n.jpg")</f>
        <v>https://scontent.cdninstagram.com/t51.2885-15/s320x320/e35/21295121_1423914357662804_518706318484176896_n.jpg</v>
      </c>
      <c r="AE4428" s="249" t="str">
        <f>HYPERLINK("https://scontent.cdninstagram.com/t51.2885-19/s150x150/21042251_211233842744431_6961971055707553792_a.jpg")</f>
        <v>https://scontent.cdninstagram.com/t51.2885-19/s150x150/21042251_211233842744431_6961971055707553792_a.jpg</v>
      </c>
    </row>
    <row r="4429" spans="1:31" ht="15" x14ac:dyDescent="0.25">
      <c r="A4429" t="s">
        <v>2474</v>
      </c>
      <c r="B4429" t="s">
        <v>24082</v>
      </c>
      <c r="C4429" s="221">
        <v>42981.585682870369</v>
      </c>
      <c r="D4429" t="s">
        <v>24083</v>
      </c>
      <c r="E4429" s="249" t="str">
        <f>HYPERLINK("https://www.instagram.com/p/BYlpZtJgbQ_/")</f>
        <v>https://www.instagram.com/p/BYlpZtJgbQ_/</v>
      </c>
      <c r="F4429" t="s">
        <v>24084</v>
      </c>
      <c r="G4429" t="s">
        <v>2478</v>
      </c>
      <c r="H4429">
        <v>141</v>
      </c>
      <c r="I4429" t="s">
        <v>2479</v>
      </c>
      <c r="J4429">
        <v>3</v>
      </c>
      <c r="K4429">
        <v>32</v>
      </c>
      <c r="L4429">
        <v>35</v>
      </c>
      <c r="Q4429">
        <v>0</v>
      </c>
      <c r="R4429">
        <v>0</v>
      </c>
      <c r="S4429">
        <v>35</v>
      </c>
      <c r="Y4429" t="s">
        <v>24085</v>
      </c>
      <c r="Z4429" t="s">
        <v>24086</v>
      </c>
      <c r="AA4429" t="s">
        <v>24087</v>
      </c>
      <c r="AB4429" t="s">
        <v>3936</v>
      </c>
      <c r="AC4429" t="s">
        <v>2497</v>
      </c>
      <c r="AD4429" s="249" t="str">
        <f>HYPERLINK("https://scontent.cdninstagram.com/t51.2885-15/s320x320/e35/21295131_139772563297896_1604982020990042112_n.jpg")</f>
        <v>https://scontent.cdninstagram.com/t51.2885-15/s320x320/e35/21295131_139772563297896_1604982020990042112_n.jpg</v>
      </c>
      <c r="AE4429" s="249" t="str">
        <f>HYPERLINK("https://scontent.cdninstagram.com/t51.2885-19/s150x150/19624588_1938016089809943_8453224258254929920_a.jpg")</f>
        <v>https://scontent.cdninstagram.com/t51.2885-19/s150x150/19624588_1938016089809943_8453224258254929920_a.jpg</v>
      </c>
    </row>
    <row r="4430" spans="1:31" ht="15" x14ac:dyDescent="0.25">
      <c r="A4430" t="s">
        <v>2474</v>
      </c>
      <c r="B4430" t="s">
        <v>24088</v>
      </c>
      <c r="C4430" s="221">
        <v>42981.58766203704</v>
      </c>
      <c r="D4430" t="s">
        <v>24089</v>
      </c>
      <c r="E4430" s="249" t="str">
        <f>HYPERLINK("https://www.instagram.com/p/BYlpunSFPq0/")</f>
        <v>https://www.instagram.com/p/BYlpunSFPq0/</v>
      </c>
      <c r="F4430" t="s">
        <v>24090</v>
      </c>
      <c r="G4430" t="s">
        <v>2478</v>
      </c>
      <c r="H4430">
        <v>117</v>
      </c>
      <c r="I4430" t="s">
        <v>2622</v>
      </c>
      <c r="J4430">
        <v>0</v>
      </c>
      <c r="K4430">
        <v>22</v>
      </c>
      <c r="L4430">
        <v>22</v>
      </c>
      <c r="Q4430">
        <v>0</v>
      </c>
      <c r="R4430">
        <v>0</v>
      </c>
      <c r="S4430">
        <v>22</v>
      </c>
      <c r="T4430" t="s">
        <v>24091</v>
      </c>
      <c r="V4430" t="s">
        <v>2161</v>
      </c>
      <c r="W4430">
        <v>52.249809524147999</v>
      </c>
      <c r="X4430">
        <v>8.0705177722820007</v>
      </c>
      <c r="Y4430" t="s">
        <v>2497</v>
      </c>
      <c r="Z4430" t="s">
        <v>4818</v>
      </c>
      <c r="AD4430" s="249" t="str">
        <f>HYPERLINK("https://scontent.cdninstagram.com/t51.2885-15/s320x320/e35/21294545_396186504117026_7223684939428921344_n.jpg")</f>
        <v>https://scontent.cdninstagram.com/t51.2885-15/s320x320/e35/21294545_396186504117026_7223684939428921344_n.jpg</v>
      </c>
      <c r="AE4430" s="249" t="str">
        <f>HYPERLINK("https://scontent.cdninstagram.com/t51.2885-19/s150x150/21149848_119872438740530_8369064812176474112_a.jpg")</f>
        <v>https://scontent.cdninstagram.com/t51.2885-19/s150x150/21149848_119872438740530_8369064812176474112_a.jpg</v>
      </c>
    </row>
    <row r="4431" spans="1:31" ht="15" x14ac:dyDescent="0.25">
      <c r="A4431" t="s">
        <v>2474</v>
      </c>
      <c r="B4431" t="s">
        <v>10539</v>
      </c>
      <c r="C4431" s="221">
        <v>42981.588912037034</v>
      </c>
      <c r="D4431" t="s">
        <v>24092</v>
      </c>
      <c r="E4431" s="249" t="str">
        <f>HYPERLINK("https://www.instagram.com/p/BYlp70ElPAz/")</f>
        <v>https://www.instagram.com/p/BYlp70ElPAz/</v>
      </c>
      <c r="F4431" t="s">
        <v>24093</v>
      </c>
      <c r="G4431" t="s">
        <v>2478</v>
      </c>
      <c r="H4431">
        <v>236</v>
      </c>
      <c r="I4431" t="s">
        <v>2479</v>
      </c>
      <c r="J4431">
        <v>1</v>
      </c>
      <c r="K4431">
        <v>30</v>
      </c>
      <c r="L4431">
        <v>31</v>
      </c>
      <c r="Q4431">
        <v>0</v>
      </c>
      <c r="R4431">
        <v>0</v>
      </c>
      <c r="S4431">
        <v>31</v>
      </c>
      <c r="Y4431" t="s">
        <v>3145</v>
      </c>
      <c r="Z4431" t="s">
        <v>2493</v>
      </c>
      <c r="AA4431" t="s">
        <v>2497</v>
      </c>
      <c r="AB4431" t="s">
        <v>12468</v>
      </c>
      <c r="AC4431" t="s">
        <v>3535</v>
      </c>
      <c r="AD4431" s="249" t="str">
        <f>HYPERLINK("https://scontent.cdninstagram.com/t51.2885-15/s320x320/e35/21295172_115534272484822_7050099631388098560_n.jpg")</f>
        <v>https://scontent.cdninstagram.com/t51.2885-15/s320x320/e35/21295172_115534272484822_7050099631388098560_n.jpg</v>
      </c>
      <c r="AE4431" s="249" t="str">
        <f>HYPERLINK("https://scontent.cdninstagram.com/t51.2885-19/s150x150/12338970_780018338776920_1426046864_a.jpg")</f>
        <v>https://scontent.cdninstagram.com/t51.2885-19/s150x150/12338970_780018338776920_1426046864_a.jpg</v>
      </c>
    </row>
    <row r="4432" spans="1:31" ht="15" x14ac:dyDescent="0.25">
      <c r="A4432" t="s">
        <v>2474</v>
      </c>
      <c r="B4432" t="s">
        <v>3133</v>
      </c>
      <c r="C4432" s="221">
        <v>42981.58929398148</v>
      </c>
      <c r="D4432" t="s">
        <v>24094</v>
      </c>
      <c r="E4432" s="249" t="str">
        <f>HYPERLINK("https://www.instagram.com/p/BYlp_yGAuqE/")</f>
        <v>https://www.instagram.com/p/BYlp_yGAuqE/</v>
      </c>
      <c r="F4432" t="s">
        <v>24095</v>
      </c>
      <c r="G4432" t="s">
        <v>2478</v>
      </c>
      <c r="H4432">
        <v>334</v>
      </c>
      <c r="I4432" t="s">
        <v>2479</v>
      </c>
      <c r="J4432">
        <v>2</v>
      </c>
      <c r="K4432">
        <v>48</v>
      </c>
      <c r="L4432">
        <v>50</v>
      </c>
      <c r="Q4432">
        <v>0</v>
      </c>
      <c r="R4432">
        <v>0</v>
      </c>
      <c r="S4432">
        <v>50</v>
      </c>
      <c r="Y4432" t="s">
        <v>20355</v>
      </c>
      <c r="Z4432" t="s">
        <v>6507</v>
      </c>
      <c r="AA4432" t="s">
        <v>3145</v>
      </c>
      <c r="AB4432" t="s">
        <v>2911</v>
      </c>
      <c r="AC4432" t="s">
        <v>23131</v>
      </c>
      <c r="AD4432" s="249" t="str">
        <f>HYPERLINK("https://scontent.cdninstagram.com/t51.2885-15/s320x320/e35/21294878_1934864780129248_4221042095562948608_n.jpg")</f>
        <v>https://scontent.cdninstagram.com/t51.2885-15/s320x320/e35/21294878_1934864780129248_4221042095562948608_n.jpg</v>
      </c>
      <c r="AE4432" s="249" t="str">
        <f>HYPERLINK("https://scontent.cdninstagram.com/t51.2885-19/s150x150/21294933_140781739774378_8954867157003403264_a.jpg")</f>
        <v>https://scontent.cdninstagram.com/t51.2885-19/s150x150/21294933_140781739774378_8954867157003403264_a.jpg</v>
      </c>
    </row>
    <row r="4433" spans="1:31" ht="15" x14ac:dyDescent="0.25">
      <c r="A4433" t="s">
        <v>2474</v>
      </c>
      <c r="B4433" t="s">
        <v>24096</v>
      </c>
      <c r="C4433" s="221">
        <v>42981.589317129627</v>
      </c>
      <c r="D4433" t="s">
        <v>24097</v>
      </c>
      <c r="E4433" s="249" t="str">
        <f>HYPERLINK("https://www.instagram.com/p/BYlqAHfjUld/")</f>
        <v>https://www.instagram.com/p/BYlqAHfjUld/</v>
      </c>
      <c r="F4433" t="s">
        <v>24098</v>
      </c>
      <c r="G4433" t="s">
        <v>2631</v>
      </c>
      <c r="H4433">
        <v>289</v>
      </c>
      <c r="I4433" t="s">
        <v>10083</v>
      </c>
      <c r="J4433">
        <v>0</v>
      </c>
      <c r="K4433">
        <v>32</v>
      </c>
      <c r="L4433">
        <v>32</v>
      </c>
      <c r="Q4433">
        <v>0</v>
      </c>
      <c r="R4433">
        <v>0</v>
      </c>
      <c r="S4433">
        <v>32</v>
      </c>
      <c r="Y4433" t="s">
        <v>2529</v>
      </c>
      <c r="Z4433" t="s">
        <v>2497</v>
      </c>
      <c r="AD4433" s="249" t="str">
        <f>HYPERLINK("https://scontent.cdninstagram.com/t51.2885-15/s320x320/e15/21373048_499690917076307_6222959384822022144_n.jpg")</f>
        <v>https://scontent.cdninstagram.com/t51.2885-15/s320x320/e15/21373048_499690917076307_6222959384822022144_n.jpg</v>
      </c>
      <c r="AE4433" s="249" t="str">
        <f>HYPERLINK("https://scontent.cdninstagram.com/t51.2885-19/s150x150/17932399_1914716125482280_6728196505477316608_a.jpg")</f>
        <v>https://scontent.cdninstagram.com/t51.2885-19/s150x150/17932399_1914716125482280_6728196505477316608_a.jpg</v>
      </c>
    </row>
    <row r="4434" spans="1:31" ht="15" x14ac:dyDescent="0.25">
      <c r="A4434" t="s">
        <v>2474</v>
      </c>
      <c r="B4434" t="s">
        <v>24099</v>
      </c>
      <c r="C4434" s="221">
        <v>42981.594340277778</v>
      </c>
      <c r="D4434" t="s">
        <v>24100</v>
      </c>
      <c r="E4434" s="249" t="str">
        <f>HYPERLINK("https://www.instagram.com/p/BYlq1AQBlMh/")</f>
        <v>https://www.instagram.com/p/BYlq1AQBlMh/</v>
      </c>
      <c r="F4434" t="s">
        <v>24101</v>
      </c>
      <c r="G4434" t="s">
        <v>2478</v>
      </c>
      <c r="H4434">
        <v>516</v>
      </c>
      <c r="I4434" t="s">
        <v>2479</v>
      </c>
      <c r="J4434">
        <v>0</v>
      </c>
      <c r="K4434">
        <v>9</v>
      </c>
      <c r="L4434">
        <v>9</v>
      </c>
      <c r="Q4434">
        <v>0</v>
      </c>
      <c r="R4434">
        <v>0</v>
      </c>
      <c r="S4434">
        <v>9</v>
      </c>
      <c r="T4434" t="s">
        <v>24102</v>
      </c>
      <c r="V4434" t="s">
        <v>2110</v>
      </c>
      <c r="W4434">
        <v>51.183300000000003</v>
      </c>
      <c r="X4434">
        <v>4.2166699999999997</v>
      </c>
      <c r="Y4434" t="s">
        <v>24103</v>
      </c>
      <c r="Z4434" t="s">
        <v>17027</v>
      </c>
      <c r="AA4434" t="s">
        <v>24104</v>
      </c>
      <c r="AB4434" t="s">
        <v>2497</v>
      </c>
      <c r="AC4434" t="s">
        <v>24105</v>
      </c>
      <c r="AD4434" s="249" t="str">
        <f>HYPERLINK("https://scontent.cdninstagram.com/t51.2885-15/s320x320/e35/21372081_174071923141432_2365020524611895296_n.jpg")</f>
        <v>https://scontent.cdninstagram.com/t51.2885-15/s320x320/e35/21372081_174071923141432_2365020524611895296_n.jpg</v>
      </c>
      <c r="AE4434" s="249" t="str">
        <f>HYPERLINK("https://scontent.cdninstagram.com/t51.2885-19/s150x150/16465057_422229894782231_386702637535330304_a.jpg")</f>
        <v>https://scontent.cdninstagram.com/t51.2885-19/s150x150/16465057_422229894782231_386702637535330304_a.jpg</v>
      </c>
    </row>
    <row r="4435" spans="1:31" ht="15" x14ac:dyDescent="0.25">
      <c r="A4435" t="s">
        <v>2474</v>
      </c>
      <c r="B4435" t="s">
        <v>7987</v>
      </c>
      <c r="C4435" s="221">
        <v>42981.594537037039</v>
      </c>
      <c r="D4435" t="s">
        <v>24106</v>
      </c>
      <c r="E4435" s="249" t="str">
        <f>HYPERLINK("https://www.instagram.com/p/BYlq3F5hLa6/")</f>
        <v>https://www.instagram.com/p/BYlq3F5hLa6/</v>
      </c>
      <c r="F4435" t="s">
        <v>24107</v>
      </c>
      <c r="G4435" t="s">
        <v>2488</v>
      </c>
      <c r="H4435">
        <v>468</v>
      </c>
      <c r="I4435" t="s">
        <v>2479</v>
      </c>
      <c r="J4435">
        <v>3</v>
      </c>
      <c r="K4435">
        <v>63</v>
      </c>
      <c r="L4435">
        <v>66</v>
      </c>
      <c r="Q4435">
        <v>0</v>
      </c>
      <c r="R4435">
        <v>0</v>
      </c>
      <c r="S4435">
        <v>66</v>
      </c>
      <c r="Y4435" t="s">
        <v>4464</v>
      </c>
      <c r="Z4435" t="s">
        <v>2513</v>
      </c>
      <c r="AA4435" t="s">
        <v>3145</v>
      </c>
      <c r="AB4435" t="s">
        <v>5090</v>
      </c>
      <c r="AC4435" t="s">
        <v>2929</v>
      </c>
      <c r="AD4435" s="249" t="str">
        <f>HYPERLINK("https://scontent.cdninstagram.com/t51.2885-15/s320x320/e35/21296269_118642755524896_6014907251993608192_n.jpg")</f>
        <v>https://scontent.cdninstagram.com/t51.2885-15/s320x320/e35/21296269_118642755524896_6014907251993608192_n.jpg</v>
      </c>
      <c r="AE4435" s="249" t="str">
        <f>HYPERLINK("https://scontent.cdninstagram.com/t51.2885-19/s150x150/18513681_139423189934717_6442695353408946176_a.jpg")</f>
        <v>https://scontent.cdninstagram.com/t51.2885-19/s150x150/18513681_139423189934717_6442695353408946176_a.jpg</v>
      </c>
    </row>
    <row r="4436" spans="1:31" ht="15" x14ac:dyDescent="0.25">
      <c r="A4436" t="s">
        <v>2474</v>
      </c>
      <c r="B4436" t="s">
        <v>3615</v>
      </c>
      <c r="C4436" s="221">
        <v>42981.594537037039</v>
      </c>
      <c r="D4436" t="s">
        <v>24108</v>
      </c>
      <c r="E4436" s="249" t="str">
        <f>HYPERLINK("https://www.instagram.com/p/BYlq3MMBrXR/")</f>
        <v>https://www.instagram.com/p/BYlq3MMBrXR/</v>
      </c>
      <c r="F4436" t="s">
        <v>24109</v>
      </c>
      <c r="G4436" t="s">
        <v>2478</v>
      </c>
      <c r="H4436">
        <v>159</v>
      </c>
      <c r="I4436" t="s">
        <v>2479</v>
      </c>
      <c r="J4436">
        <v>0</v>
      </c>
      <c r="K4436">
        <v>21</v>
      </c>
      <c r="L4436">
        <v>21</v>
      </c>
      <c r="Q4436">
        <v>0</v>
      </c>
      <c r="R4436">
        <v>0</v>
      </c>
      <c r="S4436">
        <v>21</v>
      </c>
      <c r="Y4436" t="s">
        <v>2497</v>
      </c>
      <c r="Z4436" t="s">
        <v>3619</v>
      </c>
      <c r="AA4436" t="s">
        <v>24110</v>
      </c>
      <c r="AB4436" t="s">
        <v>17028</v>
      </c>
      <c r="AC4436" t="s">
        <v>6429</v>
      </c>
      <c r="AD4436" s="249" t="str">
        <f>HYPERLINK("https://scontent.cdninstagram.com/t51.2885-15/s320x320/e35/21372526_271881923309306_5520497391704211456_n.jpg")</f>
        <v>https://scontent.cdninstagram.com/t51.2885-15/s320x320/e35/21372526_271881923309306_5520497391704211456_n.jpg</v>
      </c>
      <c r="AE4436" s="249" t="str">
        <f>HYPERLINK("https://scontent.cdninstagram.com/t51.2885-19/11007890_2044765145664197_683412266_a.jpg")</f>
        <v>https://scontent.cdninstagram.com/t51.2885-19/11007890_2044765145664197_683412266_a.jpg</v>
      </c>
    </row>
    <row r="4437" spans="1:31" ht="15" x14ac:dyDescent="0.25">
      <c r="A4437" t="s">
        <v>2474</v>
      </c>
      <c r="B4437" t="s">
        <v>24111</v>
      </c>
      <c r="C4437" s="221">
        <v>42981.597314814811</v>
      </c>
      <c r="D4437" t="s">
        <v>24112</v>
      </c>
      <c r="E4437" s="249" t="str">
        <f>HYPERLINK("https://www.instagram.com/p/BYlrUeJlG7_/")</f>
        <v>https://www.instagram.com/p/BYlrUeJlG7_/</v>
      </c>
      <c r="F4437" t="s">
        <v>24113</v>
      </c>
      <c r="G4437" t="s">
        <v>2478</v>
      </c>
      <c r="H4437">
        <v>544</v>
      </c>
      <c r="I4437" t="s">
        <v>2510</v>
      </c>
      <c r="J4437">
        <v>0</v>
      </c>
      <c r="K4437">
        <v>10</v>
      </c>
      <c r="L4437">
        <v>10</v>
      </c>
      <c r="Q4437">
        <v>0</v>
      </c>
      <c r="R4437">
        <v>0</v>
      </c>
      <c r="S4437">
        <v>10</v>
      </c>
      <c r="Y4437" t="s">
        <v>3543</v>
      </c>
      <c r="Z4437" t="s">
        <v>24114</v>
      </c>
      <c r="AA4437" t="s">
        <v>15915</v>
      </c>
      <c r="AB4437" t="s">
        <v>2497</v>
      </c>
      <c r="AC4437" t="s">
        <v>13836</v>
      </c>
      <c r="AD4437" s="249" t="str">
        <f>HYPERLINK("https://scontent.cdninstagram.com/t51.2885-15/s320x320/e35/21294398_1800821226599299_1503719194800160768_n.jpg")</f>
        <v>https://scontent.cdninstagram.com/t51.2885-15/s320x320/e35/21294398_1800821226599299_1503719194800160768_n.jpg</v>
      </c>
      <c r="AE4437" s="249" t="str">
        <f>HYPERLINK("https://scontent.cdninstagram.com/t51.2885-19/s150x150/21296231_167920933781544_7270654723252813824_a.jpg")</f>
        <v>https://scontent.cdninstagram.com/t51.2885-19/s150x150/21296231_167920933781544_7270654723252813824_a.jpg</v>
      </c>
    </row>
    <row r="4438" spans="1:31" ht="15" x14ac:dyDescent="0.25">
      <c r="A4438" t="s">
        <v>2474</v>
      </c>
      <c r="B4438" t="s">
        <v>24115</v>
      </c>
      <c r="C4438" s="221">
        <v>42981.604768518519</v>
      </c>
      <c r="D4438" t="s">
        <v>24116</v>
      </c>
      <c r="E4438" s="249" t="str">
        <f>HYPERLINK("https://www.instagram.com/p/BYlsjCCl2rh/")</f>
        <v>https://www.instagram.com/p/BYlsjCCl2rh/</v>
      </c>
      <c r="F4438" t="s">
        <v>24117</v>
      </c>
      <c r="G4438" t="s">
        <v>2478</v>
      </c>
      <c r="H4438">
        <v>17</v>
      </c>
      <c r="I4438" t="s">
        <v>2479</v>
      </c>
      <c r="J4438">
        <v>0</v>
      </c>
      <c r="K4438">
        <v>25</v>
      </c>
      <c r="L4438">
        <v>25</v>
      </c>
      <c r="Q4438">
        <v>0</v>
      </c>
      <c r="R4438">
        <v>0</v>
      </c>
      <c r="S4438">
        <v>25</v>
      </c>
      <c r="Y4438" t="s">
        <v>3445</v>
      </c>
      <c r="Z4438" t="s">
        <v>3262</v>
      </c>
      <c r="AA4438" t="s">
        <v>2497</v>
      </c>
      <c r="AB4438" t="s">
        <v>8013</v>
      </c>
      <c r="AC4438" t="s">
        <v>6633</v>
      </c>
      <c r="AD4438" s="249" t="str">
        <f>HYPERLINK("https://scontent.cdninstagram.com/t51.2885-15/s320x320/e35/21373571_895779117254006_6409950578578817024_n.jpg")</f>
        <v>https://scontent.cdninstagram.com/t51.2885-15/s320x320/e35/21373571_895779117254006_6409950578578817024_n.jpg</v>
      </c>
      <c r="AE4438" s="249" t="str">
        <f>HYPERLINK("https://scontent.cdninstagram.com/t51.2885-19/s150x150/21294493_290607668083257_5212774340839342080_a.jpg")</f>
        <v>https://scontent.cdninstagram.com/t51.2885-19/s150x150/21294493_290607668083257_5212774340839342080_a.jpg</v>
      </c>
    </row>
    <row r="4439" spans="1:31" ht="15" x14ac:dyDescent="0.25">
      <c r="A4439" t="s">
        <v>2474</v>
      </c>
      <c r="B4439" t="s">
        <v>24118</v>
      </c>
      <c r="C4439" s="221">
        <v>42981.606562499997</v>
      </c>
      <c r="D4439" t="s">
        <v>24119</v>
      </c>
      <c r="E4439" s="249" t="str">
        <f>HYPERLINK("https://www.instagram.com/p/BYls18eD5oQ/")</f>
        <v>https://www.instagram.com/p/BYls18eD5oQ/</v>
      </c>
      <c r="F4439" t="s">
        <v>24120</v>
      </c>
      <c r="G4439" t="s">
        <v>2631</v>
      </c>
      <c r="H4439">
        <v>459</v>
      </c>
      <c r="I4439" t="s">
        <v>2599</v>
      </c>
      <c r="J4439">
        <v>0</v>
      </c>
      <c r="K4439">
        <v>25</v>
      </c>
      <c r="L4439">
        <v>25</v>
      </c>
      <c r="Q4439">
        <v>0</v>
      </c>
      <c r="R4439">
        <v>0</v>
      </c>
      <c r="S4439">
        <v>25</v>
      </c>
      <c r="Y4439" t="s">
        <v>24121</v>
      </c>
      <c r="Z4439" t="s">
        <v>24122</v>
      </c>
      <c r="AA4439" t="s">
        <v>24123</v>
      </c>
      <c r="AB4439" t="s">
        <v>11249</v>
      </c>
      <c r="AC4439" t="s">
        <v>24124</v>
      </c>
      <c r="AD4439" s="249" t="str">
        <f>HYPERLINK("https://scontent.cdninstagram.com/t51.2885-15/s320x320/e15/21296941_360906091013712_6326498771312050176_n.jpg")</f>
        <v>https://scontent.cdninstagram.com/t51.2885-15/s320x320/e15/21296941_360906091013712_6326498771312050176_n.jpg</v>
      </c>
      <c r="AE4439" s="249" t="str">
        <f>HYPERLINK("https://scontent.cdninstagram.com/t51.2885-19/s150x150/21433711_145506409380756_5950030366533222400_a.jpg")</f>
        <v>https://scontent.cdninstagram.com/t51.2885-19/s150x150/21433711_145506409380756_5950030366533222400_a.jpg</v>
      </c>
    </row>
    <row r="4440" spans="1:31" ht="15" x14ac:dyDescent="0.25">
      <c r="A4440" t="s">
        <v>2474</v>
      </c>
      <c r="B4440" t="s">
        <v>24125</v>
      </c>
      <c r="C4440" s="221">
        <v>42981.612349537034</v>
      </c>
      <c r="D4440" t="s">
        <v>24126</v>
      </c>
      <c r="E4440" s="249" t="str">
        <f>HYPERLINK("https://www.instagram.com/p/BYltzABA33c/")</f>
        <v>https://www.instagram.com/p/BYltzABA33c/</v>
      </c>
      <c r="F4440" t="s">
        <v>24127</v>
      </c>
      <c r="G4440" t="s">
        <v>2478</v>
      </c>
      <c r="H4440">
        <v>15340</v>
      </c>
      <c r="I4440" t="s">
        <v>2479</v>
      </c>
      <c r="J4440">
        <v>0</v>
      </c>
      <c r="K4440">
        <v>60</v>
      </c>
      <c r="L4440">
        <v>60</v>
      </c>
      <c r="Q4440">
        <v>0</v>
      </c>
      <c r="R4440">
        <v>0</v>
      </c>
      <c r="S4440">
        <v>60</v>
      </c>
      <c r="Y4440" t="s">
        <v>4074</v>
      </c>
      <c r="Z4440" t="s">
        <v>2497</v>
      </c>
      <c r="AD4440" s="249" t="str">
        <f>HYPERLINK("https://scontent.cdninstagram.com/t51.2885-15/s320x320/e35/21371696_1425849267523364_6741597288772141056_n.jpg")</f>
        <v>https://scontent.cdninstagram.com/t51.2885-15/s320x320/e35/21371696_1425849267523364_6741597288772141056_n.jpg</v>
      </c>
      <c r="AE4440" s="249" t="str">
        <f>HYPERLINK("https://scontent.cdninstagram.com/t51.2885-19/s150x150/20398409_1932241120380567_8545239113618423808_a.jpg")</f>
        <v>https://scontent.cdninstagram.com/t51.2885-19/s150x150/20398409_1932241120380567_8545239113618423808_a.jpg</v>
      </c>
    </row>
    <row r="4441" spans="1:31" ht="15" x14ac:dyDescent="0.25">
      <c r="A4441" t="s">
        <v>2474</v>
      </c>
      <c r="B4441" t="s">
        <v>24128</v>
      </c>
      <c r="C4441" s="221">
        <v>42981.614155092589</v>
      </c>
      <c r="D4441" t="s">
        <v>24129</v>
      </c>
      <c r="E4441" s="249" t="str">
        <f>HYPERLINK("https://www.instagram.com/p/BYluGGCA8hw/")</f>
        <v>https://www.instagram.com/p/BYluGGCA8hw/</v>
      </c>
      <c r="F4441" t="s">
        <v>24130</v>
      </c>
      <c r="G4441" t="s">
        <v>2478</v>
      </c>
      <c r="H4441">
        <v>131</v>
      </c>
      <c r="I4441" t="s">
        <v>24131</v>
      </c>
      <c r="J4441">
        <v>0</v>
      </c>
      <c r="K4441">
        <v>11</v>
      </c>
      <c r="L4441">
        <v>11</v>
      </c>
      <c r="Q4441">
        <v>0</v>
      </c>
      <c r="R4441">
        <v>0</v>
      </c>
      <c r="S4441">
        <v>11</v>
      </c>
      <c r="Y4441" t="s">
        <v>6746</v>
      </c>
      <c r="Z4441" t="s">
        <v>24132</v>
      </c>
      <c r="AA4441" t="s">
        <v>2497</v>
      </c>
      <c r="AB4441" t="s">
        <v>3014</v>
      </c>
      <c r="AC4441" t="s">
        <v>2492</v>
      </c>
      <c r="AD4441" s="249" t="str">
        <f>HYPERLINK("https://scontent.cdninstagram.com/t51.2885-15/s320x320/e15/21372388_1790668517892036_8884603824208084992_n.jpg")</f>
        <v>https://scontent.cdninstagram.com/t51.2885-15/s320x320/e15/21372388_1790668517892036_8884603824208084992_n.jpg</v>
      </c>
      <c r="AE4441" s="249" t="str">
        <f>HYPERLINK("https://scontent.cdninstagram.com/t51.2885-19/s150x150/19436749_155106448367503_6987108447024054272_a.jpg")</f>
        <v>https://scontent.cdninstagram.com/t51.2885-19/s150x150/19436749_155106448367503_6987108447024054272_a.jpg</v>
      </c>
    </row>
    <row r="4442" spans="1:31" ht="15" x14ac:dyDescent="0.25">
      <c r="A4442" t="s">
        <v>2474</v>
      </c>
      <c r="B4442" t="s">
        <v>6443</v>
      </c>
      <c r="C4442" s="221">
        <v>42981.616840277777</v>
      </c>
      <c r="D4442" t="s">
        <v>24133</v>
      </c>
      <c r="E4442" s="249" t="str">
        <f>HYPERLINK("https://www.instagram.com/p/BYluiThAYDJ/")</f>
        <v>https://www.instagram.com/p/BYluiThAYDJ/</v>
      </c>
      <c r="F4442" t="s">
        <v>24134</v>
      </c>
      <c r="G4442" t="s">
        <v>2478</v>
      </c>
      <c r="H4442">
        <v>59043</v>
      </c>
      <c r="I4442" t="s">
        <v>2479</v>
      </c>
      <c r="J4442">
        <v>66</v>
      </c>
      <c r="K4442">
        <v>1927</v>
      </c>
      <c r="L4442">
        <v>1993</v>
      </c>
      <c r="Q4442">
        <v>0</v>
      </c>
      <c r="R4442">
        <v>0</v>
      </c>
      <c r="S4442">
        <v>1993</v>
      </c>
      <c r="Y4442" t="s">
        <v>6024</v>
      </c>
      <c r="Z4442" t="s">
        <v>24135</v>
      </c>
      <c r="AA4442" t="s">
        <v>24136</v>
      </c>
      <c r="AB4442" t="s">
        <v>11833</v>
      </c>
      <c r="AC4442" t="s">
        <v>5702</v>
      </c>
      <c r="AD4442" s="249" t="str">
        <f>HYPERLINK("https://scontent.cdninstagram.com/t51.2885-15/s320x320/e35/21294990_178109506067340_6811000270898593792_n.jpg")</f>
        <v>https://scontent.cdninstagram.com/t51.2885-15/s320x320/e35/21294990_178109506067340_6811000270898593792_n.jpg</v>
      </c>
      <c r="AE4442" s="249" t="str">
        <f>HYPERLINK("https://scontent.cdninstagram.com/t51.2885-19/s150x150/18011200_1823639797956189_2351181908055949312_a.jpg")</f>
        <v>https://scontent.cdninstagram.com/t51.2885-19/s150x150/18011200_1823639797956189_2351181908055949312_a.jpg</v>
      </c>
    </row>
    <row r="4443" spans="1:31" ht="15" x14ac:dyDescent="0.25">
      <c r="A4443" t="s">
        <v>2474</v>
      </c>
      <c r="B4443" t="s">
        <v>24137</v>
      </c>
      <c r="C4443" s="221">
        <v>42981.618055555555</v>
      </c>
      <c r="D4443" t="s">
        <v>24138</v>
      </c>
      <c r="E4443" s="249" t="str">
        <f>HYPERLINK("https://www.instagram.com/p/BYluvI-g0PS/")</f>
        <v>https://www.instagram.com/p/BYluvI-g0PS/</v>
      </c>
      <c r="F4443" t="s">
        <v>24139</v>
      </c>
      <c r="G4443" t="s">
        <v>2478</v>
      </c>
      <c r="H4443">
        <v>304</v>
      </c>
      <c r="I4443" t="s">
        <v>2479</v>
      </c>
      <c r="J4443">
        <v>0</v>
      </c>
      <c r="K4443">
        <v>27</v>
      </c>
      <c r="L4443">
        <v>27</v>
      </c>
      <c r="Q4443">
        <v>0</v>
      </c>
      <c r="R4443">
        <v>0</v>
      </c>
      <c r="S4443">
        <v>27</v>
      </c>
      <c r="Y4443" t="s">
        <v>24140</v>
      </c>
      <c r="Z4443" t="s">
        <v>4672</v>
      </c>
      <c r="AA4443" t="s">
        <v>4196</v>
      </c>
      <c r="AB4443" t="s">
        <v>2497</v>
      </c>
      <c r="AC4443" t="s">
        <v>24141</v>
      </c>
      <c r="AD4443" s="249" t="str">
        <f>HYPERLINK("https://scontent.cdninstagram.com/t51.2885-15/e35/p320x320/21295065_323261914805633_4500728720905994240_n.jpg")</f>
        <v>https://scontent.cdninstagram.com/t51.2885-15/e35/p320x320/21295065_323261914805633_4500728720905994240_n.jpg</v>
      </c>
      <c r="AE4443" s="249" t="str">
        <f>HYPERLINK("https://scontent.cdninstagram.com/t51.2885-19/s150x150/21148973_267914060364251_7230594768714072064_a.jpg")</f>
        <v>https://scontent.cdninstagram.com/t51.2885-19/s150x150/21148973_267914060364251_7230594768714072064_a.jpg</v>
      </c>
    </row>
    <row r="4444" spans="1:31" ht="15" x14ac:dyDescent="0.25">
      <c r="A4444" t="s">
        <v>2474</v>
      </c>
      <c r="B4444" t="s">
        <v>6713</v>
      </c>
      <c r="C4444" s="221">
        <v>42981.619571759256</v>
      </c>
      <c r="D4444" t="s">
        <v>24142</v>
      </c>
      <c r="E4444" s="249" t="str">
        <f>HYPERLINK("https://www.instagram.com/p/BYlu_OgD9Rk/")</f>
        <v>https://www.instagram.com/p/BYlu_OgD9Rk/</v>
      </c>
      <c r="F4444" t="s">
        <v>24143</v>
      </c>
      <c r="G4444" t="s">
        <v>2478</v>
      </c>
      <c r="H4444">
        <v>757</v>
      </c>
      <c r="I4444" t="s">
        <v>2479</v>
      </c>
      <c r="J4444">
        <v>2</v>
      </c>
      <c r="K4444">
        <v>54</v>
      </c>
      <c r="L4444">
        <v>56</v>
      </c>
      <c r="Q4444">
        <v>0</v>
      </c>
      <c r="R4444">
        <v>0</v>
      </c>
      <c r="S4444">
        <v>56</v>
      </c>
      <c r="T4444" t="s">
        <v>24144</v>
      </c>
      <c r="V4444" t="s">
        <v>2240</v>
      </c>
      <c r="W4444">
        <v>38.685780000000001</v>
      </c>
      <c r="X4444">
        <v>-9.3516998999999998</v>
      </c>
      <c r="Y4444" t="s">
        <v>24145</v>
      </c>
      <c r="Z4444" t="s">
        <v>24146</v>
      </c>
      <c r="AA4444" t="s">
        <v>24147</v>
      </c>
      <c r="AB4444" t="s">
        <v>2734</v>
      </c>
      <c r="AC4444" t="s">
        <v>24148</v>
      </c>
      <c r="AD4444" s="249" t="str">
        <f>HYPERLINK("https://scontent.cdninstagram.com/t51.2885-15/e35/p320x320/21294953_274963933005396_2440965145657081856_n.jpg")</f>
        <v>https://scontent.cdninstagram.com/t51.2885-15/e35/p320x320/21294953_274963933005396_2440965145657081856_n.jpg</v>
      </c>
      <c r="AE4444" s="249" t="str">
        <f>HYPERLINK("https://scontent.cdninstagram.com/t51.2885-19/s150x150/19436278_832756446902085_7787327095549460480_a.jpg")</f>
        <v>https://scontent.cdninstagram.com/t51.2885-19/s150x150/19436278_832756446902085_7787327095549460480_a.jpg</v>
      </c>
    </row>
    <row r="4445" spans="1:31" ht="15" x14ac:dyDescent="0.25">
      <c r="A4445" t="s">
        <v>2474</v>
      </c>
      <c r="B4445" t="s">
        <v>18573</v>
      </c>
      <c r="C4445" s="221">
        <v>42981.619930555556</v>
      </c>
      <c r="D4445" t="s">
        <v>24149</v>
      </c>
      <c r="E4445" s="249" t="str">
        <f>HYPERLINK("https://www.instagram.com/p/BYlvC_ehlzg/")</f>
        <v>https://www.instagram.com/p/BYlvC_ehlzg/</v>
      </c>
      <c r="F4445" t="s">
        <v>24150</v>
      </c>
      <c r="G4445" t="s">
        <v>2478</v>
      </c>
      <c r="H4445">
        <v>484</v>
      </c>
      <c r="I4445" t="s">
        <v>2510</v>
      </c>
      <c r="J4445">
        <v>4</v>
      </c>
      <c r="K4445">
        <v>171</v>
      </c>
      <c r="L4445">
        <v>175</v>
      </c>
      <c r="Q4445">
        <v>0</v>
      </c>
      <c r="R4445">
        <v>0</v>
      </c>
      <c r="S4445">
        <v>175</v>
      </c>
      <c r="T4445" t="s">
        <v>4214</v>
      </c>
      <c r="V4445" t="s">
        <v>2264</v>
      </c>
      <c r="W4445">
        <v>40.4</v>
      </c>
      <c r="X4445">
        <v>-3.6833300000000002</v>
      </c>
      <c r="Y4445" t="s">
        <v>3343</v>
      </c>
      <c r="Z4445" t="s">
        <v>2497</v>
      </c>
      <c r="AA4445" t="s">
        <v>12013</v>
      </c>
      <c r="AD4445" s="249" t="str">
        <f>HYPERLINK("https://scontent.cdninstagram.com/t51.2885-15/s320x320/e35/21295002_669800056552373_1462264544121323520_n.jpg")</f>
        <v>https://scontent.cdninstagram.com/t51.2885-15/s320x320/e35/21295002_669800056552373_1462264544121323520_n.jpg</v>
      </c>
      <c r="AE4445" s="249" t="str">
        <f>HYPERLINK("https://scontent.cdninstagram.com/t51.2885-19/s150x150/19985705_109780823002199_6708249302965157888_a.jpg")</f>
        <v>https://scontent.cdninstagram.com/t51.2885-19/s150x150/19985705_109780823002199_6708249302965157888_a.jpg</v>
      </c>
    </row>
    <row r="4446" spans="1:31" ht="15" x14ac:dyDescent="0.25">
      <c r="A4446" t="s">
        <v>2474</v>
      </c>
      <c r="B4446" t="s">
        <v>24151</v>
      </c>
      <c r="C4446" s="221">
        <v>42981.626087962963</v>
      </c>
      <c r="D4446" t="s">
        <v>24152</v>
      </c>
      <c r="E4446" s="249" t="str">
        <f>HYPERLINK("https://www.instagram.com/p/BYlwD7rBShx/")</f>
        <v>https://www.instagram.com/p/BYlwD7rBShx/</v>
      </c>
      <c r="F4446" t="s">
        <v>24153</v>
      </c>
      <c r="G4446" t="s">
        <v>2488</v>
      </c>
      <c r="H4446">
        <v>1571</v>
      </c>
      <c r="I4446" t="s">
        <v>2479</v>
      </c>
      <c r="J4446">
        <v>0</v>
      </c>
      <c r="K4446">
        <v>23</v>
      </c>
      <c r="L4446">
        <v>23</v>
      </c>
      <c r="Q4446">
        <v>0</v>
      </c>
      <c r="R4446">
        <v>0</v>
      </c>
      <c r="S4446">
        <v>23</v>
      </c>
      <c r="T4446" t="s">
        <v>24154</v>
      </c>
      <c r="V4446" t="s">
        <v>2182</v>
      </c>
      <c r="W4446">
        <v>37.9833</v>
      </c>
      <c r="X4446">
        <v>13.8833</v>
      </c>
      <c r="Y4446" t="s">
        <v>2529</v>
      </c>
      <c r="Z4446" t="s">
        <v>22434</v>
      </c>
      <c r="AA4446" t="s">
        <v>24155</v>
      </c>
      <c r="AB4446" t="s">
        <v>2497</v>
      </c>
      <c r="AC4446" t="s">
        <v>3549</v>
      </c>
      <c r="AD4446" s="249" t="str">
        <f>HYPERLINK("https://scontent.cdninstagram.com/t51.2885-15/s320x320/e35/21296381_1952969618307068_1020631688641773568_n.jpg")</f>
        <v>https://scontent.cdninstagram.com/t51.2885-15/s320x320/e35/21296381_1952969618307068_1020631688641773568_n.jpg</v>
      </c>
      <c r="AE4446" s="249" t="str">
        <f>HYPERLINK("https://scontent.cdninstagram.com/t51.2885-19/s150x150/20766984_1773701036261285_5492883865842221056_a.jpg")</f>
        <v>https://scontent.cdninstagram.com/t51.2885-19/s150x150/20766984_1773701036261285_5492883865842221056_a.jpg</v>
      </c>
    </row>
    <row r="4447" spans="1:31" ht="15" x14ac:dyDescent="0.25">
      <c r="A4447" t="s">
        <v>2474</v>
      </c>
      <c r="B4447" t="s">
        <v>24115</v>
      </c>
      <c r="C4447" s="221">
        <v>42981.628506944442</v>
      </c>
      <c r="D4447" t="s">
        <v>24156</v>
      </c>
      <c r="E4447" s="249" t="str">
        <f>HYPERLINK("https://www.instagram.com/p/BYlwdX-lJwH/")</f>
        <v>https://www.instagram.com/p/BYlwdX-lJwH/</v>
      </c>
      <c r="F4447" t="s">
        <v>24157</v>
      </c>
      <c r="G4447" t="s">
        <v>2478</v>
      </c>
      <c r="H4447">
        <v>26</v>
      </c>
      <c r="I4447" t="s">
        <v>2479</v>
      </c>
      <c r="J4447">
        <v>1</v>
      </c>
      <c r="K4447">
        <v>21</v>
      </c>
      <c r="L4447">
        <v>22</v>
      </c>
      <c r="Q4447">
        <v>0</v>
      </c>
      <c r="R4447">
        <v>0</v>
      </c>
      <c r="S4447">
        <v>22</v>
      </c>
      <c r="Y4447" t="s">
        <v>3445</v>
      </c>
      <c r="Z4447" t="s">
        <v>3262</v>
      </c>
      <c r="AA4447" t="s">
        <v>2497</v>
      </c>
      <c r="AB4447" t="s">
        <v>8013</v>
      </c>
      <c r="AC4447" t="s">
        <v>6633</v>
      </c>
      <c r="AD4447" s="249" t="str">
        <f>HYPERLINK("https://scontent.cdninstagram.com/t51.2885-15/e35/p320x320/21296088_205072610028836_876760570672447488_n.jpg")</f>
        <v>https://scontent.cdninstagram.com/t51.2885-15/e35/p320x320/21296088_205072610028836_876760570672447488_n.jpg</v>
      </c>
      <c r="AE4447" s="249" t="str">
        <f>HYPERLINK("https://scontent.cdninstagram.com/t51.2885-19/s150x150/21294493_290607668083257_5212774340839342080_a.jpg")</f>
        <v>https://scontent.cdninstagram.com/t51.2885-19/s150x150/21294493_290607668083257_5212774340839342080_a.jpg</v>
      </c>
    </row>
    <row r="4448" spans="1:31" ht="15" x14ac:dyDescent="0.25">
      <c r="A4448" t="s">
        <v>2474</v>
      </c>
      <c r="B4448" t="s">
        <v>24158</v>
      </c>
      <c r="C4448" s="221">
        <v>42981.629571759258</v>
      </c>
      <c r="D4448" t="s">
        <v>24159</v>
      </c>
      <c r="E4448" s="249" t="str">
        <f>HYPERLINK("https://www.instagram.com/p/BYlwopQFVJe/")</f>
        <v>https://www.instagram.com/p/BYlwopQFVJe/</v>
      </c>
      <c r="F4448" t="s">
        <v>24160</v>
      </c>
      <c r="G4448" t="s">
        <v>2478</v>
      </c>
      <c r="H4448">
        <v>118</v>
      </c>
      <c r="I4448" t="s">
        <v>2599</v>
      </c>
      <c r="J4448">
        <v>0</v>
      </c>
      <c r="K4448">
        <v>3</v>
      </c>
      <c r="L4448">
        <v>3</v>
      </c>
      <c r="Q4448">
        <v>0</v>
      </c>
      <c r="R4448">
        <v>0</v>
      </c>
      <c r="S4448">
        <v>3</v>
      </c>
      <c r="Y4448" t="s">
        <v>2497</v>
      </c>
      <c r="Z4448" t="s">
        <v>8516</v>
      </c>
      <c r="AA4448" t="s">
        <v>24161</v>
      </c>
      <c r="AD4448" s="249" t="str">
        <f>HYPERLINK("https://scontent.cdninstagram.com/t51.2885-15/e35/p320x320/21296309_274780539692388_3291770829527842816_n.jpg")</f>
        <v>https://scontent.cdninstagram.com/t51.2885-15/e35/p320x320/21296309_274780539692388_3291770829527842816_n.jpg</v>
      </c>
      <c r="AE4448" s="249" t="str">
        <f>HYPERLINK("https://scontent.cdninstagram.com/t51.2885-19/s150x150/21576659_113749139321310_1656682208779304960_a.jpg")</f>
        <v>https://scontent.cdninstagram.com/t51.2885-19/s150x150/21576659_113749139321310_1656682208779304960_a.jpg</v>
      </c>
    </row>
    <row r="4449" spans="1:31" ht="15" x14ac:dyDescent="0.25">
      <c r="A4449" t="s">
        <v>2474</v>
      </c>
      <c r="B4449" t="s">
        <v>24115</v>
      </c>
      <c r="C4449" s="221">
        <v>42981.63108796296</v>
      </c>
      <c r="D4449" t="s">
        <v>24162</v>
      </c>
      <c r="E4449" s="249" t="str">
        <f>HYPERLINK("https://www.instagram.com/p/BYlw4sWF95-/")</f>
        <v>https://www.instagram.com/p/BYlw4sWF95-/</v>
      </c>
      <c r="F4449" t="s">
        <v>24163</v>
      </c>
      <c r="G4449" t="s">
        <v>2478</v>
      </c>
      <c r="H4449">
        <v>26</v>
      </c>
      <c r="I4449" t="s">
        <v>2479</v>
      </c>
      <c r="J4449">
        <v>0</v>
      </c>
      <c r="K4449">
        <v>41</v>
      </c>
      <c r="L4449">
        <v>41</v>
      </c>
      <c r="Q4449">
        <v>0</v>
      </c>
      <c r="R4449">
        <v>0</v>
      </c>
      <c r="S4449">
        <v>41</v>
      </c>
      <c r="Y4449" t="s">
        <v>3445</v>
      </c>
      <c r="Z4449" t="s">
        <v>3262</v>
      </c>
      <c r="AA4449" t="s">
        <v>2497</v>
      </c>
      <c r="AB4449" t="s">
        <v>8013</v>
      </c>
      <c r="AC4449" t="s">
        <v>6633</v>
      </c>
      <c r="AD4449" s="249" t="str">
        <f>HYPERLINK("https://scontent.cdninstagram.com/t51.2885-15/s320x320/e35/21294879_118302638892191_964479866034454528_n.jpg")</f>
        <v>https://scontent.cdninstagram.com/t51.2885-15/s320x320/e35/21294879_118302638892191_964479866034454528_n.jpg</v>
      </c>
      <c r="AE4449" s="249" t="str">
        <f>HYPERLINK("https://scontent.cdninstagram.com/t51.2885-19/s150x150/21294493_290607668083257_5212774340839342080_a.jpg")</f>
        <v>https://scontent.cdninstagram.com/t51.2885-19/s150x150/21294493_290607668083257_5212774340839342080_a.jpg</v>
      </c>
    </row>
    <row r="4450" spans="1:31" ht="15" x14ac:dyDescent="0.25">
      <c r="A4450" t="s">
        <v>2474</v>
      </c>
      <c r="B4450" t="s">
        <v>24164</v>
      </c>
      <c r="C4450" s="221">
        <v>42981.631157407406</v>
      </c>
      <c r="D4450" t="s">
        <v>24165</v>
      </c>
      <c r="E4450" s="249" t="str">
        <f>HYPERLINK("https://www.instagram.com/p/BYlw5T3nmxn/")</f>
        <v>https://www.instagram.com/p/BYlw5T3nmxn/</v>
      </c>
      <c r="F4450" t="s">
        <v>24166</v>
      </c>
      <c r="G4450" t="s">
        <v>2631</v>
      </c>
      <c r="H4450">
        <v>294</v>
      </c>
      <c r="I4450" t="s">
        <v>5670</v>
      </c>
      <c r="J4450">
        <v>1</v>
      </c>
      <c r="K4450">
        <v>38</v>
      </c>
      <c r="L4450">
        <v>39</v>
      </c>
      <c r="Q4450">
        <v>0</v>
      </c>
      <c r="R4450">
        <v>0</v>
      </c>
      <c r="S4450">
        <v>39</v>
      </c>
      <c r="Y4450" t="s">
        <v>24167</v>
      </c>
      <c r="Z4450" t="s">
        <v>20763</v>
      </c>
      <c r="AA4450" t="s">
        <v>4295</v>
      </c>
      <c r="AB4450" t="s">
        <v>21971</v>
      </c>
      <c r="AC4450" t="s">
        <v>2497</v>
      </c>
      <c r="AD4450" s="249" t="str">
        <f>HYPERLINK("https://scontent.cdninstagram.com/t51.2885-15/s320x320/e15/21296433_462562144129502_8875742293064155136_n.jpg")</f>
        <v>https://scontent.cdninstagram.com/t51.2885-15/s320x320/e15/21296433_462562144129502_8875742293064155136_n.jpg</v>
      </c>
      <c r="AE4450" s="249" t="str">
        <f>HYPERLINK("https://scontent.cdninstagram.com/t51.2885-19/s150x150/15275743_1148413558607553_3417226162819039232_a.jpg")</f>
        <v>https://scontent.cdninstagram.com/t51.2885-19/s150x150/15275743_1148413558607553_3417226162819039232_a.jpg</v>
      </c>
    </row>
    <row r="4451" spans="1:31" ht="15" x14ac:dyDescent="0.25">
      <c r="A4451" t="s">
        <v>2474</v>
      </c>
      <c r="B4451" t="s">
        <v>24168</v>
      </c>
      <c r="C4451" s="221">
        <v>42981.639178240737</v>
      </c>
      <c r="D4451" t="s">
        <v>24169</v>
      </c>
      <c r="E4451" s="249" t="str">
        <f>HYPERLINK("https://www.instagram.com/p/BYlyN-Njy7g/")</f>
        <v>https://www.instagram.com/p/BYlyN-Njy7g/</v>
      </c>
      <c r="F4451" t="s">
        <v>24170</v>
      </c>
      <c r="G4451" t="s">
        <v>2478</v>
      </c>
      <c r="H4451">
        <v>1809</v>
      </c>
      <c r="I4451" t="s">
        <v>3575</v>
      </c>
      <c r="J4451">
        <v>1</v>
      </c>
      <c r="K4451">
        <v>12</v>
      </c>
      <c r="L4451">
        <v>13</v>
      </c>
      <c r="Q4451">
        <v>0</v>
      </c>
      <c r="R4451">
        <v>0</v>
      </c>
      <c r="S4451">
        <v>13</v>
      </c>
      <c r="Y4451" t="s">
        <v>14025</v>
      </c>
      <c r="Z4451" t="s">
        <v>24171</v>
      </c>
      <c r="AA4451" t="s">
        <v>24172</v>
      </c>
      <c r="AB4451" t="s">
        <v>3277</v>
      </c>
      <c r="AC4451" t="s">
        <v>5168</v>
      </c>
      <c r="AD4451" s="249" t="str">
        <f>HYPERLINK("https://scontent.cdninstagram.com/t51.2885-15/s320x320/e35/21296112_333604537098315_5149984646276055040_n.jpg")</f>
        <v>https://scontent.cdninstagram.com/t51.2885-15/s320x320/e35/21296112_333604537098315_5149984646276055040_n.jpg</v>
      </c>
      <c r="AE4451" s="249" t="str">
        <f>HYPERLINK("https://scontent.cdninstagram.com/t51.2885-19/s150x150/19227730_312717789182099_8360495544967102464_a.jpg")</f>
        <v>https://scontent.cdninstagram.com/t51.2885-19/s150x150/19227730_312717789182099_8360495544967102464_a.jpg</v>
      </c>
    </row>
    <row r="4452" spans="1:31" ht="15" x14ac:dyDescent="0.25">
      <c r="A4452" t="s">
        <v>2474</v>
      </c>
      <c r="B4452" t="s">
        <v>24173</v>
      </c>
      <c r="C4452" s="221">
        <v>42981.640347222223</v>
      </c>
      <c r="D4452" t="s">
        <v>24174</v>
      </c>
      <c r="E4452" s="249" t="str">
        <f>HYPERLINK("https://www.instagram.com/p/BYlyaPtjs7I/")</f>
        <v>https://www.instagram.com/p/BYlyaPtjs7I/</v>
      </c>
      <c r="F4452" t="s">
        <v>24175</v>
      </c>
      <c r="G4452" t="s">
        <v>2478</v>
      </c>
      <c r="H4452">
        <v>391</v>
      </c>
      <c r="I4452" t="s">
        <v>2910</v>
      </c>
      <c r="J4452">
        <v>0</v>
      </c>
      <c r="K4452">
        <v>142</v>
      </c>
      <c r="L4452">
        <v>142</v>
      </c>
      <c r="Q4452">
        <v>0</v>
      </c>
      <c r="R4452">
        <v>0</v>
      </c>
      <c r="S4452">
        <v>142</v>
      </c>
      <c r="T4452" t="s">
        <v>24176</v>
      </c>
      <c r="V4452" t="s">
        <v>2110</v>
      </c>
      <c r="W4452">
        <v>51.066049999999997</v>
      </c>
      <c r="X4452">
        <v>4.3911100000000003</v>
      </c>
      <c r="Y4452" t="s">
        <v>8898</v>
      </c>
      <c r="Z4452" t="s">
        <v>2769</v>
      </c>
      <c r="AA4452" t="s">
        <v>15390</v>
      </c>
      <c r="AB4452" t="s">
        <v>24177</v>
      </c>
      <c r="AC4452" t="s">
        <v>24178</v>
      </c>
      <c r="AD4452" s="249" t="str">
        <f>HYPERLINK("https://scontent.cdninstagram.com/t51.2885-15/s320x320/e35/21295006_168852817006731_5367027116317605888_n.jpg")</f>
        <v>https://scontent.cdninstagram.com/t51.2885-15/s320x320/e35/21295006_168852817006731_5367027116317605888_n.jpg</v>
      </c>
      <c r="AE4452" s="249" t="str">
        <f>HYPERLINK("https://scontent.cdninstagram.com/t51.2885-19/s150x150/11881711_983995455006988_884808620_a.jpg")</f>
        <v>https://scontent.cdninstagram.com/t51.2885-19/s150x150/11881711_983995455006988_884808620_a.jpg</v>
      </c>
    </row>
    <row r="4453" spans="1:31" ht="15" x14ac:dyDescent="0.25">
      <c r="A4453" t="s">
        <v>2474</v>
      </c>
      <c r="B4453" t="s">
        <v>24179</v>
      </c>
      <c r="C4453" s="221">
        <v>42981.640625</v>
      </c>
      <c r="D4453" t="s">
        <v>24180</v>
      </c>
      <c r="E4453" s="249" t="str">
        <f>HYPERLINK("https://www.instagram.com/p/BYlydQYlAcr/")</f>
        <v>https://www.instagram.com/p/BYlydQYlAcr/</v>
      </c>
      <c r="F4453" t="s">
        <v>24181</v>
      </c>
      <c r="G4453" t="s">
        <v>2478</v>
      </c>
      <c r="H4453">
        <v>68</v>
      </c>
      <c r="I4453" t="s">
        <v>2479</v>
      </c>
      <c r="J4453">
        <v>5</v>
      </c>
      <c r="K4453">
        <v>35</v>
      </c>
      <c r="L4453">
        <v>40</v>
      </c>
      <c r="Q4453">
        <v>0</v>
      </c>
      <c r="R4453">
        <v>0</v>
      </c>
      <c r="S4453">
        <v>40</v>
      </c>
      <c r="Y4453" t="s">
        <v>24182</v>
      </c>
      <c r="Z4453" t="s">
        <v>24183</v>
      </c>
      <c r="AA4453" t="s">
        <v>24184</v>
      </c>
      <c r="AB4453" t="s">
        <v>24185</v>
      </c>
      <c r="AC4453" t="s">
        <v>24186</v>
      </c>
      <c r="AD4453" s="249" t="str">
        <f>HYPERLINK("https://scontent.cdninstagram.com/t51.2885-15/s320x320/e35/21294338_272921946539297_7664521443547283456_n.jpg")</f>
        <v>https://scontent.cdninstagram.com/t51.2885-15/s320x320/e35/21294338_272921946539297_7664521443547283456_n.jpg</v>
      </c>
      <c r="AE4453" s="249" t="str">
        <f>HYPERLINK("https://scontent.cdninstagram.com/t51.2885-19/s150x150/21227089_380847822333477_1490016187541618688_a.jpg")</f>
        <v>https://scontent.cdninstagram.com/t51.2885-19/s150x150/21227089_380847822333477_1490016187541618688_a.jpg</v>
      </c>
    </row>
    <row r="4454" spans="1:31" ht="15" x14ac:dyDescent="0.25">
      <c r="A4454" t="s">
        <v>2474</v>
      </c>
      <c r="B4454" t="s">
        <v>24187</v>
      </c>
      <c r="C4454" s="221">
        <v>42981.656284722223</v>
      </c>
      <c r="D4454" t="s">
        <v>24188</v>
      </c>
      <c r="E4454" s="249" t="str">
        <f>HYPERLINK("https://www.instagram.com/p/BYl1CYbBFeY/")</f>
        <v>https://www.instagram.com/p/BYl1CYbBFeY/</v>
      </c>
      <c r="F4454" t="s">
        <v>24189</v>
      </c>
      <c r="G4454" t="s">
        <v>2478</v>
      </c>
      <c r="H4454">
        <v>413</v>
      </c>
      <c r="I4454" t="s">
        <v>3273</v>
      </c>
      <c r="J4454">
        <v>0</v>
      </c>
      <c r="K4454">
        <v>42</v>
      </c>
      <c r="L4454">
        <v>42</v>
      </c>
      <c r="Q4454">
        <v>0</v>
      </c>
      <c r="R4454">
        <v>0</v>
      </c>
      <c r="S4454">
        <v>42</v>
      </c>
      <c r="Y4454" t="s">
        <v>24190</v>
      </c>
      <c r="Z4454" t="s">
        <v>4180</v>
      </c>
      <c r="AA4454" t="s">
        <v>6366</v>
      </c>
      <c r="AB4454" t="s">
        <v>2493</v>
      </c>
      <c r="AC4454" t="s">
        <v>2911</v>
      </c>
      <c r="AD4454" s="249" t="str">
        <f>HYPERLINK("https://scontent.cdninstagram.com/t51.2885-15/s320x320/e35/21294917_1702121553131431_4388892548521787392_n.jpg")</f>
        <v>https://scontent.cdninstagram.com/t51.2885-15/s320x320/e35/21294917_1702121553131431_4388892548521787392_n.jpg</v>
      </c>
      <c r="AE4454" s="249" t="str">
        <f>HYPERLINK("https://scontent.cdninstagram.com/t51.2885-19/s150x150/11373939_1699385280294801_1412743309_a.jpg")</f>
        <v>https://scontent.cdninstagram.com/t51.2885-19/s150x150/11373939_1699385280294801_1412743309_a.jpg</v>
      </c>
    </row>
    <row r="4455" spans="1:31" ht="15" x14ac:dyDescent="0.25">
      <c r="A4455" t="s">
        <v>2474</v>
      </c>
      <c r="B4455" t="s">
        <v>7540</v>
      </c>
      <c r="C4455" s="221">
        <v>42981.65693287037</v>
      </c>
      <c r="D4455" t="s">
        <v>24191</v>
      </c>
      <c r="E4455" s="249" t="str">
        <f>HYPERLINK("https://www.instagram.com/p/BYl1JLoAE_V/")</f>
        <v>https://www.instagram.com/p/BYl1JLoAE_V/</v>
      </c>
      <c r="F4455" t="s">
        <v>24192</v>
      </c>
      <c r="G4455" t="s">
        <v>2478</v>
      </c>
      <c r="H4455">
        <v>920</v>
      </c>
      <c r="I4455" t="s">
        <v>2542</v>
      </c>
      <c r="J4455">
        <v>0</v>
      </c>
      <c r="K4455">
        <v>43</v>
      </c>
      <c r="L4455">
        <v>43</v>
      </c>
      <c r="Q4455">
        <v>0</v>
      </c>
      <c r="R4455">
        <v>0</v>
      </c>
      <c r="S4455">
        <v>43</v>
      </c>
      <c r="Y4455" t="s">
        <v>7544</v>
      </c>
      <c r="Z4455" t="s">
        <v>4779</v>
      </c>
      <c r="AA4455" t="s">
        <v>5619</v>
      </c>
      <c r="AB4455" t="s">
        <v>24193</v>
      </c>
      <c r="AC4455" t="s">
        <v>24194</v>
      </c>
      <c r="AD4455" s="249" t="str">
        <f>HYPERLINK("https://scontent.cdninstagram.com/t51.2885-15/s320x320/e35/21295080_1732964670342879_8296157132441518080_n.jpg")</f>
        <v>https://scontent.cdninstagram.com/t51.2885-15/s320x320/e35/21295080_1732964670342879_8296157132441518080_n.jpg</v>
      </c>
      <c r="AE4455" s="249" t="str">
        <f>HYPERLINK("https://scontent.cdninstagram.com/t51.2885-19/10601767_517697101694681_1044067692_a.jpg")</f>
        <v>https://scontent.cdninstagram.com/t51.2885-19/10601767_517697101694681_1044067692_a.jpg</v>
      </c>
    </row>
    <row r="4456" spans="1:31" ht="15" x14ac:dyDescent="0.25">
      <c r="A4456" t="s">
        <v>2474</v>
      </c>
      <c r="B4456" t="s">
        <v>24195</v>
      </c>
      <c r="C4456" s="221">
        <v>42981.657048611109</v>
      </c>
      <c r="D4456" t="s">
        <v>24196</v>
      </c>
      <c r="E4456" s="249" t="str">
        <f>HYPERLINK("https://www.instagram.com/p/BYl1KdfnzQ5/")</f>
        <v>https://www.instagram.com/p/BYl1KdfnzQ5/</v>
      </c>
      <c r="F4456" t="s">
        <v>24197</v>
      </c>
      <c r="G4456" t="s">
        <v>2478</v>
      </c>
      <c r="H4456">
        <v>151</v>
      </c>
      <c r="I4456" t="s">
        <v>2542</v>
      </c>
      <c r="J4456">
        <v>0</v>
      </c>
      <c r="K4456">
        <v>72</v>
      </c>
      <c r="L4456">
        <v>72</v>
      </c>
      <c r="Q4456">
        <v>0</v>
      </c>
      <c r="R4456">
        <v>0</v>
      </c>
      <c r="S4456">
        <v>72</v>
      </c>
      <c r="Y4456" t="s">
        <v>24198</v>
      </c>
      <c r="Z4456" t="s">
        <v>24199</v>
      </c>
      <c r="AA4456" t="s">
        <v>24200</v>
      </c>
      <c r="AB4456" t="s">
        <v>24201</v>
      </c>
      <c r="AC4456" t="s">
        <v>24202</v>
      </c>
      <c r="AD4456" s="249" t="str">
        <f>HYPERLINK("https://scontent.cdninstagram.com/t51.2885-15/s320x320/e35/21371635_2021078628112139_1876228584624881664_n.jpg")</f>
        <v>https://scontent.cdninstagram.com/t51.2885-15/s320x320/e35/21371635_2021078628112139_1876228584624881664_n.jpg</v>
      </c>
      <c r="AE4456" s="249" t="str">
        <f>HYPERLINK("https://scontent.cdninstagram.com/t51.2885-19/s150x150/21568864_1089788181151503_3554266332872572928_a.jpg")</f>
        <v>https://scontent.cdninstagram.com/t51.2885-19/s150x150/21568864_1089788181151503_3554266332872572928_a.jpg</v>
      </c>
    </row>
    <row r="4457" spans="1:31" ht="15" x14ac:dyDescent="0.25">
      <c r="A4457" t="s">
        <v>2474</v>
      </c>
      <c r="B4457" t="s">
        <v>2924</v>
      </c>
      <c r="C4457" s="221">
        <v>42981.657824074071</v>
      </c>
      <c r="D4457" t="s">
        <v>24203</v>
      </c>
      <c r="E4457" s="249" t="str">
        <f>HYPERLINK("https://www.instagram.com/p/BYl1Sphh36e/")</f>
        <v>https://www.instagram.com/p/BYl1Sphh36e/</v>
      </c>
      <c r="F4457" t="s">
        <v>24204</v>
      </c>
      <c r="G4457" t="s">
        <v>2488</v>
      </c>
      <c r="H4457">
        <v>250</v>
      </c>
      <c r="I4457" t="s">
        <v>2479</v>
      </c>
      <c r="J4457">
        <v>2</v>
      </c>
      <c r="K4457">
        <v>38</v>
      </c>
      <c r="L4457">
        <v>40</v>
      </c>
      <c r="Q4457">
        <v>0</v>
      </c>
      <c r="R4457">
        <v>0</v>
      </c>
      <c r="S4457">
        <v>40</v>
      </c>
      <c r="T4457" t="s">
        <v>24205</v>
      </c>
      <c r="V4457" t="s">
        <v>2110</v>
      </c>
      <c r="W4457">
        <v>50.996427871069002</v>
      </c>
      <c r="X4457">
        <v>5.5350279808043998</v>
      </c>
      <c r="Y4457" t="s">
        <v>24206</v>
      </c>
      <c r="Z4457" t="s">
        <v>24207</v>
      </c>
      <c r="AA4457" t="s">
        <v>2497</v>
      </c>
      <c r="AB4457" t="s">
        <v>4870</v>
      </c>
      <c r="AC4457" t="s">
        <v>22174</v>
      </c>
      <c r="AD4457" s="249" t="str">
        <f>HYPERLINK("https://scontent.cdninstagram.com/t51.2885-15/s320x320/e35/21371836_235384213652642_3457167481771130880_n.jpg")</f>
        <v>https://scontent.cdninstagram.com/t51.2885-15/s320x320/e35/21371836_235384213652642_3457167481771130880_n.jpg</v>
      </c>
      <c r="AE4457" s="249" t="str">
        <f>HYPERLINK("https://scontent.cdninstagram.com/t51.2885-19/s150x150/21576759_1966990456846876_6175629687033692160_a.jpg")</f>
        <v>https://scontent.cdninstagram.com/t51.2885-19/s150x150/21576759_1966990456846876_6175629687033692160_a.jpg</v>
      </c>
    </row>
    <row r="4458" spans="1:31" ht="15" x14ac:dyDescent="0.25">
      <c r="A4458" t="s">
        <v>2474</v>
      </c>
      <c r="B4458" t="s">
        <v>24208</v>
      </c>
      <c r="C4458" s="221">
        <v>42981.660104166665</v>
      </c>
      <c r="D4458" t="s">
        <v>24209</v>
      </c>
      <c r="E4458" s="249" t="str">
        <f>HYPERLINK("https://www.instagram.com/p/BYl1qpklcPb/")</f>
        <v>https://www.instagram.com/p/BYl1qpklcPb/</v>
      </c>
      <c r="F4458" t="s">
        <v>24210</v>
      </c>
      <c r="G4458" t="s">
        <v>2478</v>
      </c>
      <c r="H4458">
        <v>564</v>
      </c>
      <c r="I4458" t="s">
        <v>2479</v>
      </c>
      <c r="J4458">
        <v>3</v>
      </c>
      <c r="K4458">
        <v>77</v>
      </c>
      <c r="L4458">
        <v>80</v>
      </c>
      <c r="Q4458">
        <v>0</v>
      </c>
      <c r="R4458">
        <v>0</v>
      </c>
      <c r="S4458">
        <v>80</v>
      </c>
      <c r="Y4458" t="s">
        <v>3815</v>
      </c>
      <c r="Z4458" t="s">
        <v>2730</v>
      </c>
      <c r="AA4458" t="s">
        <v>2497</v>
      </c>
      <c r="AB4458" t="s">
        <v>4370</v>
      </c>
      <c r="AC4458" t="s">
        <v>24211</v>
      </c>
      <c r="AD4458" s="249" t="str">
        <f>HYPERLINK("https://scontent.cdninstagram.com/t51.2885-15/s320x320/e35/21295149_314771882329055_1261464137154691072_n.jpg")</f>
        <v>https://scontent.cdninstagram.com/t51.2885-15/s320x320/e35/21295149_314771882329055_1261464137154691072_n.jpg</v>
      </c>
      <c r="AE4458" s="249" t="str">
        <f>HYPERLINK("https://scontent.cdninstagram.com/t51.2885-19/s150x150/21577311_498159810544709_5405163604112572416_a.jpg")</f>
        <v>https://scontent.cdninstagram.com/t51.2885-19/s150x150/21577311_498159810544709_5405163604112572416_a.jpg</v>
      </c>
    </row>
    <row r="4459" spans="1:31" ht="15" x14ac:dyDescent="0.25">
      <c r="A4459" t="s">
        <v>2474</v>
      </c>
      <c r="B4459" t="s">
        <v>24212</v>
      </c>
      <c r="C4459" s="221">
        <v>42981.661226851851</v>
      </c>
      <c r="D4459" t="s">
        <v>24213</v>
      </c>
      <c r="E4459" s="249" t="str">
        <f>HYPERLINK("https://www.instagram.com/p/BYl12d7AGUC/")</f>
        <v>https://www.instagram.com/p/BYl12d7AGUC/</v>
      </c>
      <c r="F4459" t="s">
        <v>24214</v>
      </c>
      <c r="G4459" t="s">
        <v>2478</v>
      </c>
      <c r="H4459">
        <v>305</v>
      </c>
      <c r="I4459" t="s">
        <v>3273</v>
      </c>
      <c r="J4459">
        <v>0</v>
      </c>
      <c r="K4459">
        <v>39</v>
      </c>
      <c r="L4459">
        <v>39</v>
      </c>
      <c r="Q4459">
        <v>0</v>
      </c>
      <c r="R4459">
        <v>0</v>
      </c>
      <c r="S4459">
        <v>39</v>
      </c>
      <c r="T4459" t="s">
        <v>24215</v>
      </c>
      <c r="U4459" t="s">
        <v>132</v>
      </c>
      <c r="V4459" t="s">
        <v>2299</v>
      </c>
      <c r="W4459">
        <v>38.972900000000003</v>
      </c>
      <c r="X4459">
        <v>-76.501199999999997</v>
      </c>
      <c r="Y4459" t="s">
        <v>24216</v>
      </c>
      <c r="Z4459" t="s">
        <v>24217</v>
      </c>
      <c r="AA4459" t="s">
        <v>2497</v>
      </c>
      <c r="AB4459" t="s">
        <v>24218</v>
      </c>
      <c r="AC4459" t="s">
        <v>24219</v>
      </c>
      <c r="AD4459" s="249" t="str">
        <f>HYPERLINK("https://scontent.cdninstagram.com/t51.2885-15/s320x320/e35/21296890_1486746628082466_3664819083129389056_n.jpg")</f>
        <v>https://scontent.cdninstagram.com/t51.2885-15/s320x320/e35/21296890_1486746628082466_3664819083129389056_n.jpg</v>
      </c>
      <c r="AE4459" s="249" t="str">
        <f>HYPERLINK("https://scontent.cdninstagram.com/t51.2885-19/s150x150/16110718_207493533055246_765326896853417984_a.jpg")</f>
        <v>https://scontent.cdninstagram.com/t51.2885-19/s150x150/16110718_207493533055246_765326896853417984_a.jpg</v>
      </c>
    </row>
    <row r="4460" spans="1:31" ht="15" x14ac:dyDescent="0.25">
      <c r="A4460" t="s">
        <v>2474</v>
      </c>
      <c r="B4460" t="s">
        <v>4685</v>
      </c>
      <c r="C4460" s="221">
        <v>42981.6640162037</v>
      </c>
      <c r="D4460" t="s">
        <v>24220</v>
      </c>
      <c r="E4460" s="249" t="str">
        <f>HYPERLINK("https://www.instagram.com/p/BYl2T8rnM3S/")</f>
        <v>https://www.instagram.com/p/BYl2T8rnM3S/</v>
      </c>
      <c r="F4460" t="s">
        <v>24221</v>
      </c>
      <c r="G4460" t="s">
        <v>2478</v>
      </c>
      <c r="H4460">
        <v>357</v>
      </c>
      <c r="I4460" t="s">
        <v>8378</v>
      </c>
      <c r="J4460">
        <v>1</v>
      </c>
      <c r="K4460">
        <v>21</v>
      </c>
      <c r="L4460">
        <v>22</v>
      </c>
      <c r="Q4460">
        <v>0</v>
      </c>
      <c r="R4460">
        <v>0</v>
      </c>
      <c r="S4460">
        <v>22</v>
      </c>
      <c r="Y4460" t="s">
        <v>8524</v>
      </c>
      <c r="Z4460" t="s">
        <v>8525</v>
      </c>
      <c r="AA4460" t="s">
        <v>2730</v>
      </c>
      <c r="AB4460" t="s">
        <v>2497</v>
      </c>
      <c r="AC4460" t="s">
        <v>24222</v>
      </c>
      <c r="AD4460" s="249" t="str">
        <f>HYPERLINK("https://scontent.cdninstagram.com/t51.2885-15/s320x320/e35/21294335_112791312750280_6687779901149282304_n.jpg")</f>
        <v>https://scontent.cdninstagram.com/t51.2885-15/s320x320/e35/21294335_112791312750280_6687779901149282304_n.jpg</v>
      </c>
      <c r="AE4460" s="249" t="str">
        <f>HYPERLINK("https://scontent.cdninstagram.com/t51.2885-19/s150x150/14498866_1223064704423042_5122473061462835200_a.jpg")</f>
        <v>https://scontent.cdninstagram.com/t51.2885-19/s150x150/14498866_1223064704423042_5122473061462835200_a.jpg</v>
      </c>
    </row>
    <row r="4461" spans="1:31" ht="15" x14ac:dyDescent="0.25">
      <c r="A4461" t="s">
        <v>2474</v>
      </c>
      <c r="B4461" t="s">
        <v>4297</v>
      </c>
      <c r="C4461" s="221">
        <v>42981.666365740741</v>
      </c>
      <c r="D4461" t="s">
        <v>24223</v>
      </c>
      <c r="E4461" s="249" t="str">
        <f>HYPERLINK("https://www.instagram.com/p/BYl2ssLnl4U/")</f>
        <v>https://www.instagram.com/p/BYl2ssLnl4U/</v>
      </c>
      <c r="F4461" t="s">
        <v>24224</v>
      </c>
      <c r="G4461" t="s">
        <v>2631</v>
      </c>
      <c r="H4461">
        <v>1091</v>
      </c>
      <c r="I4461" t="s">
        <v>2479</v>
      </c>
      <c r="J4461">
        <v>14</v>
      </c>
      <c r="K4461">
        <v>247</v>
      </c>
      <c r="L4461">
        <v>261</v>
      </c>
      <c r="Q4461">
        <v>0</v>
      </c>
      <c r="R4461">
        <v>0</v>
      </c>
      <c r="S4461">
        <v>261</v>
      </c>
      <c r="Y4461" t="s">
        <v>4303</v>
      </c>
      <c r="Z4461" t="s">
        <v>8652</v>
      </c>
      <c r="AA4461" t="s">
        <v>3804</v>
      </c>
      <c r="AB4461" t="s">
        <v>24225</v>
      </c>
      <c r="AC4461" t="s">
        <v>2497</v>
      </c>
      <c r="AD4461" s="249" t="str">
        <f>HYPERLINK("https://scontent.cdninstagram.com/t51.2885-15/s320x320/e35/21294291_1679522222091958_2700721039687548928_n.jpg")</f>
        <v>https://scontent.cdninstagram.com/t51.2885-15/s320x320/e35/21294291_1679522222091958_2700721039687548928_n.jpg</v>
      </c>
      <c r="AE4461" s="249" t="str">
        <f>HYPERLINK("https://scontent.cdninstagram.com/t51.2885-19/s150x150/20760021_265138020642655_266657318064619520_a.jpg")</f>
        <v>https://scontent.cdninstagram.com/t51.2885-19/s150x150/20760021_265138020642655_266657318064619520_a.jpg</v>
      </c>
    </row>
    <row r="4462" spans="1:31" ht="15" x14ac:dyDescent="0.25">
      <c r="A4462" t="s">
        <v>2474</v>
      </c>
      <c r="B4462" t="s">
        <v>24226</v>
      </c>
      <c r="C4462" s="221">
        <v>42981.671249999999</v>
      </c>
      <c r="D4462" t="s">
        <v>24227</v>
      </c>
      <c r="E4462" s="249" t="str">
        <f>HYPERLINK("https://www.instagram.com/p/BYl3gKrHrHE/")</f>
        <v>https://www.instagram.com/p/BYl3gKrHrHE/</v>
      </c>
      <c r="F4462" t="s">
        <v>24228</v>
      </c>
      <c r="G4462" t="s">
        <v>2478</v>
      </c>
      <c r="H4462">
        <v>322</v>
      </c>
      <c r="I4462" t="s">
        <v>2479</v>
      </c>
      <c r="J4462">
        <v>0</v>
      </c>
      <c r="K4462">
        <v>12</v>
      </c>
      <c r="L4462">
        <v>12</v>
      </c>
      <c r="Q4462">
        <v>0</v>
      </c>
      <c r="R4462">
        <v>0</v>
      </c>
      <c r="S4462">
        <v>12</v>
      </c>
      <c r="Y4462" t="s">
        <v>14447</v>
      </c>
      <c r="Z4462" t="s">
        <v>2497</v>
      </c>
      <c r="AA4462" t="s">
        <v>24229</v>
      </c>
      <c r="AB4462" t="s">
        <v>24230</v>
      </c>
      <c r="AC4462" t="s">
        <v>15681</v>
      </c>
      <c r="AD4462" s="249" t="str">
        <f>HYPERLINK("https://scontent.cdninstagram.com/t51.2885-15/s320x320/e35/21296202_116624572408117_7800183332825726976_n.jpg")</f>
        <v>https://scontent.cdninstagram.com/t51.2885-15/s320x320/e35/21296202_116624572408117_7800183332825726976_n.jpg</v>
      </c>
      <c r="AE4462" s="249" t="str">
        <f>HYPERLINK("https://scontent.cdninstagram.com/t51.2885-19/s150x150/18094578_1345877175449065_4757731029798617088_a.jpg")</f>
        <v>https://scontent.cdninstagram.com/t51.2885-19/s150x150/18094578_1345877175449065_4757731029798617088_a.jpg</v>
      </c>
    </row>
    <row r="4463" spans="1:31" ht="15" x14ac:dyDescent="0.25">
      <c r="A4463" t="s">
        <v>2474</v>
      </c>
      <c r="B4463" t="s">
        <v>24231</v>
      </c>
      <c r="C4463" s="221">
        <v>42981.672835648147</v>
      </c>
      <c r="D4463" t="s">
        <v>24232</v>
      </c>
      <c r="E4463" s="249" t="str">
        <f>HYPERLINK("https://www.instagram.com/p/BYl3w5mhZj-/")</f>
        <v>https://www.instagram.com/p/BYl3w5mhZj-/</v>
      </c>
      <c r="F4463" t="s">
        <v>24233</v>
      </c>
      <c r="G4463" t="s">
        <v>2478</v>
      </c>
      <c r="H4463">
        <v>56</v>
      </c>
      <c r="I4463" t="s">
        <v>2479</v>
      </c>
      <c r="J4463">
        <v>0</v>
      </c>
      <c r="K4463">
        <v>7</v>
      </c>
      <c r="L4463">
        <v>7</v>
      </c>
      <c r="Q4463">
        <v>0</v>
      </c>
      <c r="R4463">
        <v>0</v>
      </c>
      <c r="S4463">
        <v>7</v>
      </c>
      <c r="Y4463" t="s">
        <v>2497</v>
      </c>
      <c r="Z4463" t="s">
        <v>24234</v>
      </c>
      <c r="AA4463" t="s">
        <v>24235</v>
      </c>
      <c r="AB4463" t="s">
        <v>20393</v>
      </c>
      <c r="AC4463" t="s">
        <v>24236</v>
      </c>
      <c r="AD4463" s="249" t="str">
        <f>HYPERLINK("https://scontent.cdninstagram.com/t51.2885-15/s320x320/e35/21372483_114497682559599_2531344700812558336_n.jpg")</f>
        <v>https://scontent.cdninstagram.com/t51.2885-15/s320x320/e35/21372483_114497682559599_2531344700812558336_n.jpg</v>
      </c>
      <c r="AE4463" s="249" t="str">
        <f>HYPERLINK("https://scontent.cdninstagram.com/t51.2885-19/s150x150/21149457_1253852848075003_1968229571538976768_a.jpg")</f>
        <v>https://scontent.cdninstagram.com/t51.2885-19/s150x150/21149457_1253852848075003_1968229571538976768_a.jpg</v>
      </c>
    </row>
    <row r="4464" spans="1:31" ht="15" x14ac:dyDescent="0.25">
      <c r="A4464" t="s">
        <v>2474</v>
      </c>
      <c r="B4464" t="s">
        <v>24237</v>
      </c>
      <c r="C4464" s="221">
        <v>42981.674907407411</v>
      </c>
      <c r="D4464" t="s">
        <v>24238</v>
      </c>
      <c r="E4464" s="249" t="str">
        <f>HYPERLINK("https://www.instagram.com/p/BYl4G2eBlKN/")</f>
        <v>https://www.instagram.com/p/BYl4G2eBlKN/</v>
      </c>
      <c r="F4464" t="s">
        <v>24239</v>
      </c>
      <c r="G4464" t="s">
        <v>2478</v>
      </c>
      <c r="H4464">
        <v>620</v>
      </c>
      <c r="I4464" t="s">
        <v>2748</v>
      </c>
      <c r="J4464">
        <v>7</v>
      </c>
      <c r="K4464">
        <v>113</v>
      </c>
      <c r="L4464">
        <v>120</v>
      </c>
      <c r="Q4464">
        <v>0</v>
      </c>
      <c r="R4464">
        <v>0</v>
      </c>
      <c r="S4464">
        <v>120</v>
      </c>
      <c r="T4464" t="s">
        <v>24240</v>
      </c>
      <c r="V4464" t="s">
        <v>2110</v>
      </c>
      <c r="W4464">
        <v>50.8</v>
      </c>
      <c r="X4464">
        <v>3.2166700000000001</v>
      </c>
      <c r="Y4464" t="s">
        <v>4464</v>
      </c>
      <c r="Z4464" t="s">
        <v>3137</v>
      </c>
      <c r="AA4464" t="s">
        <v>3277</v>
      </c>
      <c r="AB4464" t="s">
        <v>2497</v>
      </c>
      <c r="AC4464" t="s">
        <v>24241</v>
      </c>
      <c r="AD4464" s="249" t="str">
        <f>HYPERLINK("https://scontent.cdninstagram.com/t51.2885-15/s320x320/e35/21296587_340423083064860_323630205274947584_n.jpg")</f>
        <v>https://scontent.cdninstagram.com/t51.2885-15/s320x320/e35/21296587_340423083064860_323630205274947584_n.jpg</v>
      </c>
      <c r="AE4464" s="249" t="str">
        <f>HYPERLINK("https://scontent.cdninstagram.com/t51.2885-19/s150x150/14099470_1751762528427111_916179523_a.jpg")</f>
        <v>https://scontent.cdninstagram.com/t51.2885-19/s150x150/14099470_1751762528427111_916179523_a.jpg</v>
      </c>
    </row>
    <row r="4465" spans="1:31" ht="15" x14ac:dyDescent="0.25">
      <c r="A4465" t="s">
        <v>2474</v>
      </c>
      <c r="B4465" t="s">
        <v>24242</v>
      </c>
      <c r="C4465" s="221">
        <v>42981.681562500002</v>
      </c>
      <c r="D4465" t="s">
        <v>24243</v>
      </c>
      <c r="E4465" s="249" t="str">
        <f>HYPERLINK("https://www.instagram.com/p/BYl5M_blKYC/")</f>
        <v>https://www.instagram.com/p/BYl5M_blKYC/</v>
      </c>
      <c r="F4465" t="s">
        <v>24244</v>
      </c>
      <c r="G4465" t="s">
        <v>2478</v>
      </c>
      <c r="H4465">
        <v>292</v>
      </c>
      <c r="I4465" t="s">
        <v>2903</v>
      </c>
      <c r="J4465">
        <v>1</v>
      </c>
      <c r="K4465">
        <v>32</v>
      </c>
      <c r="L4465">
        <v>33</v>
      </c>
      <c r="Q4465">
        <v>0</v>
      </c>
      <c r="R4465">
        <v>0</v>
      </c>
      <c r="S4465">
        <v>33</v>
      </c>
      <c r="Y4465" t="s">
        <v>24245</v>
      </c>
      <c r="Z4465" t="s">
        <v>2497</v>
      </c>
      <c r="AA4465" t="s">
        <v>2562</v>
      </c>
      <c r="AB4465" t="s">
        <v>2667</v>
      </c>
      <c r="AC4465" t="s">
        <v>3760</v>
      </c>
      <c r="AD4465" s="249" t="str">
        <f>HYPERLINK("https://scontent.cdninstagram.com/t51.2885-15/s320x320/e35/21372171_1705524003076076_6273496538417201152_n.jpg")</f>
        <v>https://scontent.cdninstagram.com/t51.2885-15/s320x320/e35/21372171_1705524003076076_6273496538417201152_n.jpg</v>
      </c>
      <c r="AE4465" s="249" t="str">
        <f>HYPERLINK("https://scontent.cdninstagram.com/t51.2885-19/s150x150/20838379_252430125269557_4896889168484892672_a.jpg")</f>
        <v>https://scontent.cdninstagram.com/t51.2885-19/s150x150/20838379_252430125269557_4896889168484892672_a.jpg</v>
      </c>
    </row>
    <row r="4466" spans="1:31" ht="15" x14ac:dyDescent="0.25">
      <c r="A4466" t="s">
        <v>2474</v>
      </c>
      <c r="B4466" t="s">
        <v>24246</v>
      </c>
      <c r="C4466" s="221">
        <v>42981.682430555556</v>
      </c>
      <c r="D4466" t="s">
        <v>24247</v>
      </c>
      <c r="E4466" s="249" t="str">
        <f>HYPERLINK("https://www.instagram.com/p/BYl5WJXFuwo/")</f>
        <v>https://www.instagram.com/p/BYl5WJXFuwo/</v>
      </c>
      <c r="F4466" t="s">
        <v>24248</v>
      </c>
      <c r="G4466" t="s">
        <v>2478</v>
      </c>
      <c r="H4466">
        <v>228</v>
      </c>
      <c r="I4466" t="s">
        <v>2479</v>
      </c>
      <c r="J4466">
        <v>0</v>
      </c>
      <c r="K4466">
        <v>16</v>
      </c>
      <c r="L4466">
        <v>16</v>
      </c>
      <c r="Q4466">
        <v>0</v>
      </c>
      <c r="R4466">
        <v>0</v>
      </c>
      <c r="S4466">
        <v>16</v>
      </c>
      <c r="T4466" t="s">
        <v>24249</v>
      </c>
      <c r="U4466" t="s">
        <v>132</v>
      </c>
      <c r="V4466" t="s">
        <v>2299</v>
      </c>
      <c r="W4466">
        <v>39.510927787043997</v>
      </c>
      <c r="X4466">
        <v>-76.488811969756995</v>
      </c>
      <c r="Y4466" t="s">
        <v>2497</v>
      </c>
      <c r="Z4466" t="s">
        <v>24250</v>
      </c>
      <c r="AA4466" t="s">
        <v>3213</v>
      </c>
      <c r="AB4466" t="s">
        <v>11278</v>
      </c>
      <c r="AC4466" t="s">
        <v>5229</v>
      </c>
      <c r="AD4466" s="249" t="str">
        <f>HYPERLINK("https://scontent.cdninstagram.com/t51.2885-15/s320x320/e35/21294779_1420347508061566_1300023099407728640_n.jpg")</f>
        <v>https://scontent.cdninstagram.com/t51.2885-15/s320x320/e35/21294779_1420347508061566_1300023099407728640_n.jpg</v>
      </c>
      <c r="AE4466" s="249" t="str">
        <f>HYPERLINK("https://scontent.cdninstagram.com/t51.2885-19/s150x150/18809717_875838709225240_2951095247674802176_a.jpg")</f>
        <v>https://scontent.cdninstagram.com/t51.2885-19/s150x150/18809717_875838709225240_2951095247674802176_a.jpg</v>
      </c>
    </row>
    <row r="4467" spans="1:31" ht="15" x14ac:dyDescent="0.25">
      <c r="A4467" t="s">
        <v>2474</v>
      </c>
      <c r="B4467" t="s">
        <v>19343</v>
      </c>
      <c r="C4467" s="221">
        <v>42981.683912037035</v>
      </c>
      <c r="D4467" t="s">
        <v>24251</v>
      </c>
      <c r="E4467" s="249" t="str">
        <f>HYPERLINK("https://www.instagram.com/p/BYl5lzLgcy1/")</f>
        <v>https://www.instagram.com/p/BYl5lzLgcy1/</v>
      </c>
      <c r="F4467" t="s">
        <v>24252</v>
      </c>
      <c r="G4467" t="s">
        <v>2478</v>
      </c>
      <c r="H4467">
        <v>34</v>
      </c>
      <c r="I4467" t="s">
        <v>2479</v>
      </c>
      <c r="J4467">
        <v>0</v>
      </c>
      <c r="K4467">
        <v>157</v>
      </c>
      <c r="L4467">
        <v>157</v>
      </c>
      <c r="Q4467">
        <v>0</v>
      </c>
      <c r="R4467">
        <v>0</v>
      </c>
      <c r="S4467">
        <v>157</v>
      </c>
      <c r="Y4467" t="s">
        <v>8753</v>
      </c>
      <c r="Z4467" t="s">
        <v>2562</v>
      </c>
      <c r="AA4467" t="s">
        <v>2730</v>
      </c>
      <c r="AB4467" t="s">
        <v>24253</v>
      </c>
      <c r="AC4467" t="s">
        <v>2497</v>
      </c>
      <c r="AD4467" s="249" t="str">
        <f>HYPERLINK("https://scontent.cdninstagram.com/t51.2885-15/s320x320/e35/21296592_1643030892396055_4643358047865929728_n.jpg")</f>
        <v>https://scontent.cdninstagram.com/t51.2885-15/s320x320/e35/21296592_1643030892396055_4643358047865929728_n.jpg</v>
      </c>
      <c r="AE4467" s="249" t="str">
        <f>HYPERLINK("https://scontent.cdninstagram.com/t51.2885-19/s150x150/21436281_1677902842281115_8286840957534470144_a.jpg")</f>
        <v>https://scontent.cdninstagram.com/t51.2885-19/s150x150/21436281_1677902842281115_8286840957534470144_a.jpg</v>
      </c>
    </row>
    <row r="4468" spans="1:31" ht="15" x14ac:dyDescent="0.25">
      <c r="A4468" t="s">
        <v>2474</v>
      </c>
      <c r="B4468" t="s">
        <v>24254</v>
      </c>
      <c r="C4468" s="221">
        <v>42981.686180555553</v>
      </c>
      <c r="D4468" t="s">
        <v>24255</v>
      </c>
      <c r="E4468" s="249" t="str">
        <f>HYPERLINK("https://www.instagram.com/p/BYl59rwHwnk/")</f>
        <v>https://www.instagram.com/p/BYl59rwHwnk/</v>
      </c>
      <c r="F4468" t="s">
        <v>24256</v>
      </c>
      <c r="G4468" t="s">
        <v>2478</v>
      </c>
      <c r="H4468">
        <v>464</v>
      </c>
      <c r="I4468" t="s">
        <v>2542</v>
      </c>
      <c r="J4468">
        <v>0</v>
      </c>
      <c r="K4468">
        <v>29</v>
      </c>
      <c r="L4468">
        <v>29</v>
      </c>
      <c r="Q4468">
        <v>0</v>
      </c>
      <c r="R4468">
        <v>0</v>
      </c>
      <c r="S4468">
        <v>29</v>
      </c>
      <c r="T4468" t="s">
        <v>24257</v>
      </c>
      <c r="V4468" t="s">
        <v>2270</v>
      </c>
      <c r="W4468">
        <v>59.283299999999997</v>
      </c>
      <c r="X4468">
        <v>15.216699999999999</v>
      </c>
      <c r="Y4468" t="s">
        <v>24258</v>
      </c>
      <c r="Z4468" t="s">
        <v>24259</v>
      </c>
      <c r="AA4468" t="s">
        <v>2497</v>
      </c>
      <c r="AB4468" t="s">
        <v>24260</v>
      </c>
      <c r="AC4468" t="s">
        <v>24261</v>
      </c>
      <c r="AD4468" s="249" t="str">
        <f>HYPERLINK("https://scontent.cdninstagram.com/t51.2885-15/s320x320/e35/21296221_500764140274390_2891733250546335744_n.jpg")</f>
        <v>https://scontent.cdninstagram.com/t51.2885-15/s320x320/e35/21296221_500764140274390_2891733250546335744_n.jpg</v>
      </c>
      <c r="AE4468" s="249" t="str">
        <f>HYPERLINK("https://scontent.cdninstagram.com/t51.2885-19/s150x150/15875911_365001477203947_4423852439849926656_a.jpg")</f>
        <v>https://scontent.cdninstagram.com/t51.2885-19/s150x150/15875911_365001477203947_4423852439849926656_a.jpg</v>
      </c>
    </row>
    <row r="4469" spans="1:31" ht="15" x14ac:dyDescent="0.25">
      <c r="A4469" t="s">
        <v>2474</v>
      </c>
      <c r="B4469" t="s">
        <v>24262</v>
      </c>
      <c r="C4469" s="221">
        <v>42981.688217592593</v>
      </c>
      <c r="D4469" t="s">
        <v>24263</v>
      </c>
      <c r="E4469" s="249" t="str">
        <f>HYPERLINK("https://www.instagram.com/p/BYl6TItBEGC/")</f>
        <v>https://www.instagram.com/p/BYl6TItBEGC/</v>
      </c>
      <c r="F4469" t="s">
        <v>24264</v>
      </c>
      <c r="G4469" t="s">
        <v>2478</v>
      </c>
      <c r="H4469">
        <v>218</v>
      </c>
      <c r="I4469" t="s">
        <v>2479</v>
      </c>
      <c r="J4469">
        <v>0</v>
      </c>
      <c r="K4469">
        <v>14</v>
      </c>
      <c r="L4469">
        <v>14</v>
      </c>
      <c r="Q4469">
        <v>0</v>
      </c>
      <c r="R4469">
        <v>0</v>
      </c>
      <c r="S4469">
        <v>14</v>
      </c>
      <c r="Y4469" t="s">
        <v>2497</v>
      </c>
      <c r="Z4469" t="s">
        <v>24265</v>
      </c>
      <c r="AA4469" t="s">
        <v>13205</v>
      </c>
      <c r="AB4469" t="s">
        <v>3246</v>
      </c>
      <c r="AC4469" t="s">
        <v>24266</v>
      </c>
      <c r="AD4469" s="249" t="str">
        <f>HYPERLINK("https://scontent.cdninstagram.com/t51.2885-15/s320x320/e35/21296857_1115637945240146_367930155823267840_n.jpg")</f>
        <v>https://scontent.cdninstagram.com/t51.2885-15/s320x320/e35/21296857_1115637945240146_367930155823267840_n.jpg</v>
      </c>
      <c r="AE4469" s="249" t="str">
        <f>HYPERLINK("https://scontent.cdninstagram.com/t51.2885-19/s150x150/21434154_115541849132300_4392631523711385600_a.jpg")</f>
        <v>https://scontent.cdninstagram.com/t51.2885-19/s150x150/21434154_115541849132300_4392631523711385600_a.jpg</v>
      </c>
    </row>
    <row r="4470" spans="1:31" ht="15" x14ac:dyDescent="0.25">
      <c r="A4470" t="s">
        <v>2474</v>
      </c>
      <c r="B4470" t="s">
        <v>24267</v>
      </c>
      <c r="C4470" s="221">
        <v>42981.690023148149</v>
      </c>
      <c r="D4470" t="s">
        <v>24268</v>
      </c>
      <c r="E4470" s="249" t="str">
        <f>HYPERLINK("https://www.instagram.com/p/BYl6mN9ghgz/")</f>
        <v>https://www.instagram.com/p/BYl6mN9ghgz/</v>
      </c>
      <c r="F4470" t="s">
        <v>24269</v>
      </c>
      <c r="G4470" t="s">
        <v>2478</v>
      </c>
      <c r="H4470">
        <v>111</v>
      </c>
      <c r="I4470" t="s">
        <v>2479</v>
      </c>
      <c r="J4470">
        <v>0</v>
      </c>
      <c r="K4470">
        <v>4</v>
      </c>
      <c r="L4470">
        <v>4</v>
      </c>
      <c r="Q4470">
        <v>0</v>
      </c>
      <c r="R4470">
        <v>0</v>
      </c>
      <c r="S4470">
        <v>4</v>
      </c>
      <c r="Y4470" t="s">
        <v>13451</v>
      </c>
      <c r="Z4470" t="s">
        <v>2497</v>
      </c>
      <c r="AA4470" t="s">
        <v>3196</v>
      </c>
      <c r="AB4470" t="s">
        <v>24270</v>
      </c>
      <c r="AC4470" t="s">
        <v>4253</v>
      </c>
      <c r="AD4470" s="249" t="str">
        <f>HYPERLINK("https://scontent.cdninstagram.com/t51.2885-15/s320x320/e35/21296800_710102965865588_259885387294441472_n.jpg")</f>
        <v>https://scontent.cdninstagram.com/t51.2885-15/s320x320/e35/21296800_710102965865588_259885387294441472_n.jpg</v>
      </c>
      <c r="AE4470" s="249" t="str">
        <f>HYPERLINK("https://scontent.cdninstagram.com/t51.2885-19/s150x150/15538571_1627344247569884_3983566954265837568_a.jpg")</f>
        <v>https://scontent.cdninstagram.com/t51.2885-19/s150x150/15538571_1627344247569884_3983566954265837568_a.jpg</v>
      </c>
    </row>
    <row r="4471" spans="1:31" ht="15" x14ac:dyDescent="0.25">
      <c r="A4471" t="s">
        <v>2474</v>
      </c>
      <c r="B4471" t="s">
        <v>24271</v>
      </c>
      <c r="C4471" s="221">
        <v>42981.702546296299</v>
      </c>
      <c r="D4471" t="s">
        <v>24272</v>
      </c>
      <c r="E4471" s="249" t="str">
        <f>HYPERLINK("https://www.instagram.com/p/BYl8qPtl1AG/")</f>
        <v>https://www.instagram.com/p/BYl8qPtl1AG/</v>
      </c>
      <c r="F4471" t="s">
        <v>24273</v>
      </c>
      <c r="G4471" t="s">
        <v>2478</v>
      </c>
      <c r="H4471">
        <v>36</v>
      </c>
      <c r="I4471" t="s">
        <v>2479</v>
      </c>
      <c r="J4471">
        <v>1</v>
      </c>
      <c r="K4471">
        <v>31</v>
      </c>
      <c r="L4471">
        <v>32</v>
      </c>
      <c r="Q4471">
        <v>0</v>
      </c>
      <c r="R4471">
        <v>0</v>
      </c>
      <c r="S4471">
        <v>32</v>
      </c>
      <c r="T4471" t="s">
        <v>24274</v>
      </c>
      <c r="V4471" t="s">
        <v>2136</v>
      </c>
      <c r="W4471">
        <v>9.65</v>
      </c>
      <c r="X4471">
        <v>-85.066666666667004</v>
      </c>
      <c r="Y4471" t="s">
        <v>24275</v>
      </c>
      <c r="Z4471" t="s">
        <v>5765</v>
      </c>
      <c r="AA4471" t="s">
        <v>9353</v>
      </c>
      <c r="AB4471" t="s">
        <v>16915</v>
      </c>
      <c r="AC4471" t="s">
        <v>2497</v>
      </c>
      <c r="AD4471" s="249" t="str">
        <f>HYPERLINK("https://scontent.cdninstagram.com/t51.2885-15/s320x320/e35/21294720_134637970488063_3536344439368712192_n.jpg")</f>
        <v>https://scontent.cdninstagram.com/t51.2885-15/s320x320/e35/21294720_134637970488063_3536344439368712192_n.jpg</v>
      </c>
      <c r="AE4471" s="249" t="str">
        <f>HYPERLINK("https://scontent.cdninstagram.com/t51.2885-19/s150x150/21149518_267854643702209_1753646627404382208_a.jpg")</f>
        <v>https://scontent.cdninstagram.com/t51.2885-19/s150x150/21149518_267854643702209_1753646627404382208_a.jpg</v>
      </c>
    </row>
    <row r="4472" spans="1:31" ht="15" x14ac:dyDescent="0.25">
      <c r="A4472" t="s">
        <v>2474</v>
      </c>
      <c r="B4472" t="s">
        <v>24276</v>
      </c>
      <c r="C4472" s="221">
        <v>42981.706550925926</v>
      </c>
      <c r="D4472" t="s">
        <v>24277</v>
      </c>
      <c r="E4472" s="249" t="str">
        <f>HYPERLINK("https://www.instagram.com/p/BYl9Uf9jZ9m/")</f>
        <v>https://www.instagram.com/p/BYl9Uf9jZ9m/</v>
      </c>
      <c r="F4472" t="s">
        <v>24278</v>
      </c>
      <c r="G4472" t="s">
        <v>2478</v>
      </c>
      <c r="I4472" t="s">
        <v>2542</v>
      </c>
      <c r="J4472">
        <v>0</v>
      </c>
      <c r="K4472">
        <v>1</v>
      </c>
      <c r="L4472">
        <v>1</v>
      </c>
      <c r="Q4472">
        <v>0</v>
      </c>
      <c r="R4472">
        <v>0</v>
      </c>
      <c r="S4472">
        <v>1</v>
      </c>
      <c r="Y4472" t="s">
        <v>2492</v>
      </c>
      <c r="Z4472" t="s">
        <v>24279</v>
      </c>
      <c r="AA4472" t="s">
        <v>2497</v>
      </c>
      <c r="AB4472" t="s">
        <v>15957</v>
      </c>
      <c r="AD4472" s="249" t="str">
        <f>HYPERLINK("https://scontent.cdninstagram.com/t51.2885-15/s320x320/e35/21294393_1624401740965912_1234137772806111232_n.jpg")</f>
        <v>https://scontent.cdninstagram.com/t51.2885-15/s320x320/e35/21294393_1624401740965912_1234137772806111232_n.jpg</v>
      </c>
      <c r="AE4472" s="249" t="str">
        <f>HYPERLINK("https://scontent.cdninstagram.com/t51.2885-19/s150x150/21227403_1741386999223454_9117979187292930048_a.jpg")</f>
        <v>https://scontent.cdninstagram.com/t51.2885-19/s150x150/21227403_1741386999223454_9117979187292930048_a.jpg</v>
      </c>
    </row>
    <row r="4473" spans="1:31" ht="15" x14ac:dyDescent="0.25">
      <c r="A4473" t="s">
        <v>2474</v>
      </c>
      <c r="B4473" t="s">
        <v>24280</v>
      </c>
      <c r="C4473" s="221">
        <v>42981.708391203705</v>
      </c>
      <c r="D4473" t="s">
        <v>24281</v>
      </c>
      <c r="E4473" s="249" t="str">
        <f>HYPERLINK("https://www.instagram.com/p/BYl9n9IHOS4/")</f>
        <v>https://www.instagram.com/p/BYl9n9IHOS4/</v>
      </c>
      <c r="F4473" t="s">
        <v>24282</v>
      </c>
      <c r="G4473" t="s">
        <v>2478</v>
      </c>
      <c r="H4473">
        <v>1089</v>
      </c>
      <c r="I4473" t="s">
        <v>2479</v>
      </c>
      <c r="J4473">
        <v>2</v>
      </c>
      <c r="K4473">
        <v>90</v>
      </c>
      <c r="L4473">
        <v>92</v>
      </c>
      <c r="Q4473">
        <v>0</v>
      </c>
      <c r="R4473">
        <v>0</v>
      </c>
      <c r="S4473">
        <v>92</v>
      </c>
      <c r="Y4473" t="s">
        <v>3392</v>
      </c>
      <c r="Z4473" t="s">
        <v>24283</v>
      </c>
      <c r="AA4473" t="s">
        <v>5980</v>
      </c>
      <c r="AB4473" t="s">
        <v>24284</v>
      </c>
      <c r="AC4473" t="s">
        <v>2551</v>
      </c>
      <c r="AD4473" s="249" t="str">
        <f>HYPERLINK("https://scontent.cdninstagram.com/t51.2885-15/s320x320/e35/21371653_118797978781811_2802877914859700224_n.jpg")</f>
        <v>https://scontent.cdninstagram.com/t51.2885-15/s320x320/e35/21371653_118797978781811_2802877914859700224_n.jpg</v>
      </c>
      <c r="AE4473" s="249" t="str">
        <f>HYPERLINK("https://scontent.cdninstagram.com/t51.2885-19/s150x150/18443523_1578262172226018_3177513923381297152_a.jpg")</f>
        <v>https://scontent.cdninstagram.com/t51.2885-19/s150x150/18443523_1578262172226018_3177513923381297152_a.jpg</v>
      </c>
    </row>
    <row r="4474" spans="1:31" ht="15" x14ac:dyDescent="0.25">
      <c r="A4474" t="s">
        <v>2474</v>
      </c>
      <c r="B4474" t="s">
        <v>24285</v>
      </c>
      <c r="C4474" s="221">
        <v>42981.712754629632</v>
      </c>
      <c r="D4474" t="s">
        <v>24286</v>
      </c>
      <c r="E4474" s="249" t="str">
        <f>HYPERLINK("https://www.instagram.com/p/BYl-V-EBetT/")</f>
        <v>https://www.instagram.com/p/BYl-V-EBetT/</v>
      </c>
      <c r="F4474" t="s">
        <v>24287</v>
      </c>
      <c r="G4474" t="s">
        <v>2631</v>
      </c>
      <c r="H4474">
        <v>582</v>
      </c>
      <c r="I4474" t="s">
        <v>2786</v>
      </c>
      <c r="J4474">
        <v>0</v>
      </c>
      <c r="K4474">
        <v>65</v>
      </c>
      <c r="L4474">
        <v>65</v>
      </c>
      <c r="Q4474">
        <v>0</v>
      </c>
      <c r="R4474">
        <v>0</v>
      </c>
      <c r="S4474">
        <v>65</v>
      </c>
      <c r="T4474" t="s">
        <v>24288</v>
      </c>
      <c r="U4474" t="s">
        <v>1848</v>
      </c>
      <c r="V4474" t="s">
        <v>2299</v>
      </c>
      <c r="W4474">
        <v>38.757141548170999</v>
      </c>
      <c r="X4474">
        <v>-93.739924736358006</v>
      </c>
      <c r="Y4474" t="s">
        <v>2497</v>
      </c>
      <c r="Z4474" t="s">
        <v>24289</v>
      </c>
      <c r="AD4474" s="249" t="str">
        <f>HYPERLINK("https://scontent.cdninstagram.com/t51.2885-15/s320x320/e15/21372914_814348985386953_6445210799790096384_n.jpg")</f>
        <v>https://scontent.cdninstagram.com/t51.2885-15/s320x320/e15/21372914_814348985386953_6445210799790096384_n.jpg</v>
      </c>
      <c r="AE4474" s="249" t="str">
        <f>HYPERLINK("https://scontent.cdninstagram.com/t51.2885-19/s150x150/20759859_1653975477969321_3113607193723666432_a.jpg")</f>
        <v>https://scontent.cdninstagram.com/t51.2885-19/s150x150/20759859_1653975477969321_3113607193723666432_a.jpg</v>
      </c>
    </row>
    <row r="4475" spans="1:31" ht="15" x14ac:dyDescent="0.25">
      <c r="A4475" t="s">
        <v>2474</v>
      </c>
      <c r="B4475" t="s">
        <v>24290</v>
      </c>
      <c r="C4475" s="221">
        <v>42981.717870370368</v>
      </c>
      <c r="D4475" t="s">
        <v>24291</v>
      </c>
      <c r="E4475" s="249" t="str">
        <f>HYPERLINK("https://www.instagram.com/p/BYl_L95AExI/")</f>
        <v>https://www.instagram.com/p/BYl_L95AExI/</v>
      </c>
      <c r="F4475" t="s">
        <v>24292</v>
      </c>
      <c r="G4475" t="s">
        <v>2478</v>
      </c>
      <c r="H4475">
        <v>164</v>
      </c>
      <c r="I4475" t="s">
        <v>2479</v>
      </c>
      <c r="J4475">
        <v>1</v>
      </c>
      <c r="K4475">
        <v>15</v>
      </c>
      <c r="L4475">
        <v>16</v>
      </c>
      <c r="Q4475">
        <v>0</v>
      </c>
      <c r="R4475">
        <v>0</v>
      </c>
      <c r="S4475">
        <v>16</v>
      </c>
      <c r="Y4475" t="s">
        <v>2497</v>
      </c>
      <c r="Z4475" t="s">
        <v>24293</v>
      </c>
      <c r="AA4475" t="s">
        <v>16246</v>
      </c>
      <c r="AB4475" t="s">
        <v>24290</v>
      </c>
      <c r="AC4475" t="s">
        <v>24294</v>
      </c>
      <c r="AD4475" s="249" t="str">
        <f>HYPERLINK("https://scontent.cdninstagram.com/t51.2885-15/e35/p320x320/21371681_130304900928126_3767353636250714112_n.jpg")</f>
        <v>https://scontent.cdninstagram.com/t51.2885-15/e35/p320x320/21371681_130304900928126_3767353636250714112_n.jpg</v>
      </c>
      <c r="AE4475" s="249" t="str">
        <f>HYPERLINK("https://scontent.cdninstagram.com/t51.2885-19/s150x150/12568920_1660402280916300_903704543_a.jpg")</f>
        <v>https://scontent.cdninstagram.com/t51.2885-19/s150x150/12568920_1660402280916300_903704543_a.jpg</v>
      </c>
    </row>
    <row r="4476" spans="1:31" ht="15" x14ac:dyDescent="0.25">
      <c r="A4476" t="s">
        <v>2474</v>
      </c>
      <c r="B4476" t="s">
        <v>24295</v>
      </c>
      <c r="C4476" s="221">
        <v>42981.730555555558</v>
      </c>
      <c r="D4476" t="s">
        <v>24296</v>
      </c>
      <c r="E4476" s="249" t="str">
        <f>HYPERLINK("https://www.instagram.com/p/BYmBRrbHq2q/")</f>
        <v>https://www.instagram.com/p/BYmBRrbHq2q/</v>
      </c>
      <c r="F4476" t="s">
        <v>24297</v>
      </c>
      <c r="G4476" t="s">
        <v>2478</v>
      </c>
      <c r="H4476">
        <v>282</v>
      </c>
      <c r="I4476" t="s">
        <v>2479</v>
      </c>
      <c r="J4476">
        <v>2</v>
      </c>
      <c r="K4476">
        <v>60</v>
      </c>
      <c r="L4476">
        <v>62</v>
      </c>
      <c r="Q4476">
        <v>0</v>
      </c>
      <c r="R4476">
        <v>0</v>
      </c>
      <c r="S4476">
        <v>62</v>
      </c>
      <c r="Y4476" t="s">
        <v>24298</v>
      </c>
      <c r="Z4476" t="s">
        <v>2513</v>
      </c>
      <c r="AA4476" t="s">
        <v>3006</v>
      </c>
      <c r="AB4476" t="s">
        <v>2497</v>
      </c>
      <c r="AC4476" t="s">
        <v>5187</v>
      </c>
      <c r="AD4476" s="249" t="str">
        <f>HYPERLINK("https://scontent.cdninstagram.com/t51.2885-15/e35/p320x320/21373362_154169341843662_4680380339539935232_n.jpg")</f>
        <v>https://scontent.cdninstagram.com/t51.2885-15/e35/p320x320/21373362_154169341843662_4680380339539935232_n.jpg</v>
      </c>
      <c r="AE4476" s="249" t="str">
        <f>HYPERLINK("https://scontent.cdninstagram.com/t51.2885-19/s150x150/21435819_267566027089277_2187620624187260928_a.jpg")</f>
        <v>https://scontent.cdninstagram.com/t51.2885-19/s150x150/21435819_267566027089277_2187620624187260928_a.jpg</v>
      </c>
    </row>
    <row r="4477" spans="1:31" ht="15" x14ac:dyDescent="0.25">
      <c r="A4477" t="s">
        <v>2474</v>
      </c>
      <c r="B4477" t="s">
        <v>24299</v>
      </c>
      <c r="C4477" s="221">
        <v>42981.735451388886</v>
      </c>
      <c r="D4477" t="s">
        <v>24300</v>
      </c>
      <c r="E4477" s="249" t="str">
        <f>HYPERLINK("https://www.instagram.com/p/BYmCFWsg3XH/")</f>
        <v>https://www.instagram.com/p/BYmCFWsg3XH/</v>
      </c>
      <c r="F4477" t="s">
        <v>24301</v>
      </c>
      <c r="G4477" t="s">
        <v>2631</v>
      </c>
      <c r="H4477">
        <v>92</v>
      </c>
      <c r="I4477" t="s">
        <v>2927</v>
      </c>
      <c r="J4477">
        <v>3</v>
      </c>
      <c r="K4477">
        <v>34</v>
      </c>
      <c r="L4477">
        <v>37</v>
      </c>
      <c r="Q4477">
        <v>0</v>
      </c>
      <c r="R4477">
        <v>0</v>
      </c>
      <c r="S4477">
        <v>37</v>
      </c>
      <c r="Y4477" t="s">
        <v>21976</v>
      </c>
      <c r="Z4477" t="s">
        <v>2497</v>
      </c>
      <c r="AA4477" t="s">
        <v>24302</v>
      </c>
      <c r="AB4477" t="s">
        <v>8533</v>
      </c>
      <c r="AC4477" t="s">
        <v>24303</v>
      </c>
      <c r="AD4477" s="249" t="str">
        <f>HYPERLINK("https://scontent.cdninstagram.com/t51.2885-15/s320x320/e15/21294950_313492569122891_2237568087362633728_n.jpg")</f>
        <v>https://scontent.cdninstagram.com/t51.2885-15/s320x320/e15/21294950_313492569122891_2237568087362633728_n.jpg</v>
      </c>
      <c r="AE4477" s="249" t="str">
        <f>HYPERLINK("https://scontent.cdninstagram.com/t51.2885-19/s150x150/15802407_933734103428729_7438863007116951552_a.jpg")</f>
        <v>https://scontent.cdninstagram.com/t51.2885-19/s150x150/15802407_933734103428729_7438863007116951552_a.jpg</v>
      </c>
    </row>
    <row r="4478" spans="1:31" ht="15" x14ac:dyDescent="0.25">
      <c r="A4478" t="s">
        <v>2474</v>
      </c>
      <c r="B4478" t="s">
        <v>24304</v>
      </c>
      <c r="C4478" s="221">
        <v>42981.737581018519</v>
      </c>
      <c r="D4478" t="s">
        <v>24305</v>
      </c>
      <c r="E4478" s="249" t="str">
        <f>HYPERLINK("https://www.instagram.com/p/BYmCbxTDH9u/")</f>
        <v>https://www.instagram.com/p/BYmCbxTDH9u/</v>
      </c>
      <c r="F4478" t="s">
        <v>24306</v>
      </c>
      <c r="G4478" t="s">
        <v>2478</v>
      </c>
      <c r="H4478">
        <v>162</v>
      </c>
      <c r="I4478" t="s">
        <v>2786</v>
      </c>
      <c r="J4478">
        <v>2</v>
      </c>
      <c r="K4478">
        <v>6</v>
      </c>
      <c r="L4478">
        <v>8</v>
      </c>
      <c r="Q4478">
        <v>0</v>
      </c>
      <c r="R4478">
        <v>0</v>
      </c>
      <c r="S4478">
        <v>8</v>
      </c>
      <c r="Y4478" t="s">
        <v>2497</v>
      </c>
      <c r="Z4478" t="s">
        <v>3849</v>
      </c>
      <c r="AA4478" t="s">
        <v>6982</v>
      </c>
      <c r="AB4478" t="s">
        <v>24307</v>
      </c>
      <c r="AC4478" t="s">
        <v>24308</v>
      </c>
      <c r="AD4478" s="249" t="str">
        <f>HYPERLINK("https://scontent.cdninstagram.com/t51.2885-15/e35/21294521_236812796843346_4035426966378119168_n.jpg")</f>
        <v>https://scontent.cdninstagram.com/t51.2885-15/e35/21294521_236812796843346_4035426966378119168_n.jpg</v>
      </c>
      <c r="AE4478" s="249" t="str">
        <f>HYPERLINK("https://scontent.cdninstagram.com/t51.2885-19/s150x150/20582384_1366663426784261_5356515544637898752_a.jpg")</f>
        <v>https://scontent.cdninstagram.com/t51.2885-19/s150x150/20582384_1366663426784261_5356515544637898752_a.jpg</v>
      </c>
    </row>
    <row r="4479" spans="1:31" ht="15" x14ac:dyDescent="0.25">
      <c r="A4479" t="s">
        <v>2474</v>
      </c>
      <c r="B4479" t="s">
        <v>24309</v>
      </c>
      <c r="C4479" s="221">
        <v>42981.74015046296</v>
      </c>
      <c r="D4479" t="s">
        <v>24310</v>
      </c>
      <c r="E4479" s="249" t="str">
        <f>HYPERLINK("https://www.instagram.com/p/BYmC27qgkqc/")</f>
        <v>https://www.instagram.com/p/BYmC27qgkqc/</v>
      </c>
      <c r="F4479" t="s">
        <v>24311</v>
      </c>
      <c r="G4479" t="s">
        <v>2478</v>
      </c>
      <c r="H4479">
        <v>189</v>
      </c>
      <c r="I4479" t="s">
        <v>2479</v>
      </c>
      <c r="J4479">
        <v>3</v>
      </c>
      <c r="K4479">
        <v>91</v>
      </c>
      <c r="L4479">
        <v>94</v>
      </c>
      <c r="Q4479">
        <v>0</v>
      </c>
      <c r="R4479">
        <v>0</v>
      </c>
      <c r="S4479">
        <v>94</v>
      </c>
      <c r="T4479" t="s">
        <v>8942</v>
      </c>
      <c r="V4479" t="s">
        <v>2102</v>
      </c>
      <c r="W4479">
        <v>-33.86</v>
      </c>
      <c r="X4479">
        <v>151.21100000000001</v>
      </c>
      <c r="Y4479" t="s">
        <v>24312</v>
      </c>
      <c r="Z4479" t="s">
        <v>3952</v>
      </c>
      <c r="AA4479" t="s">
        <v>24309</v>
      </c>
      <c r="AB4479" t="s">
        <v>24313</v>
      </c>
      <c r="AC4479" t="s">
        <v>13664</v>
      </c>
      <c r="AD4479" s="249" t="str">
        <f>HYPERLINK("https://scontent.cdninstagram.com/t51.2885-15/s320x320/e35/21371819_163195567567649_705845319245496320_n.jpg")</f>
        <v>https://scontent.cdninstagram.com/t51.2885-15/s320x320/e35/21371819_163195567567649_705845319245496320_n.jpg</v>
      </c>
      <c r="AE4479" s="249" t="str">
        <f>HYPERLINK("https://scontent.cdninstagram.com/t51.2885-19/s150x150/19379964_1560313563981089_2863253056118587392_a.jpg")</f>
        <v>https://scontent.cdninstagram.com/t51.2885-19/s150x150/19379964_1560313563981089_2863253056118587392_a.jpg</v>
      </c>
    </row>
    <row r="4480" spans="1:31" ht="15" x14ac:dyDescent="0.25">
      <c r="A4480" t="s">
        <v>2474</v>
      </c>
      <c r="B4480" t="s">
        <v>24314</v>
      </c>
      <c r="C4480" s="221">
        <v>42981.754050925927</v>
      </c>
      <c r="D4480" t="s">
        <v>24315</v>
      </c>
      <c r="E4480" s="249" t="str">
        <f>HYPERLINK("https://www.instagram.com/p/BYmFJe9jfdz/")</f>
        <v>https://www.instagram.com/p/BYmFJe9jfdz/</v>
      </c>
      <c r="F4480" t="s">
        <v>24316</v>
      </c>
      <c r="G4480" t="s">
        <v>2478</v>
      </c>
      <c r="H4480">
        <v>8868</v>
      </c>
      <c r="I4480" t="s">
        <v>2479</v>
      </c>
      <c r="J4480">
        <v>1</v>
      </c>
      <c r="K4480">
        <v>40</v>
      </c>
      <c r="L4480">
        <v>41</v>
      </c>
      <c r="Q4480">
        <v>0</v>
      </c>
      <c r="R4480">
        <v>0</v>
      </c>
      <c r="S4480">
        <v>41</v>
      </c>
      <c r="Y4480" t="s">
        <v>24317</v>
      </c>
      <c r="Z4480" t="s">
        <v>24318</v>
      </c>
      <c r="AA4480" t="s">
        <v>24319</v>
      </c>
      <c r="AB4480" t="s">
        <v>2497</v>
      </c>
      <c r="AC4480" t="s">
        <v>5239</v>
      </c>
      <c r="AD4480" s="249" t="str">
        <f>HYPERLINK("https://scontent.cdninstagram.com/t51.2885-15/s320x320/e35/21297036_483857418657241_8962929472042958848_n.jpg")</f>
        <v>https://scontent.cdninstagram.com/t51.2885-15/s320x320/e35/21297036_483857418657241_8962929472042958848_n.jpg</v>
      </c>
      <c r="AE4480" s="249" t="str">
        <f>HYPERLINK("https://scontent.cdninstagram.com/t51.2885-19/11373990_871184169601608_437063971_a.jpg")</f>
        <v>https://scontent.cdninstagram.com/t51.2885-19/11373990_871184169601608_437063971_a.jpg</v>
      </c>
    </row>
    <row r="4481" spans="1:31" ht="15" x14ac:dyDescent="0.25">
      <c r="A4481" t="s">
        <v>2474</v>
      </c>
      <c r="B4481" t="s">
        <v>24320</v>
      </c>
      <c r="C4481" s="221">
        <v>42981.773344907408</v>
      </c>
      <c r="D4481" t="s">
        <v>24321</v>
      </c>
      <c r="E4481" s="249" t="str">
        <f>HYPERLINK("https://www.instagram.com/p/BYmIVBCHJFz/")</f>
        <v>https://www.instagram.com/p/BYmIVBCHJFz/</v>
      </c>
      <c r="F4481" t="s">
        <v>24322</v>
      </c>
      <c r="G4481" t="s">
        <v>2478</v>
      </c>
      <c r="H4481">
        <v>3002</v>
      </c>
      <c r="I4481" t="s">
        <v>2639</v>
      </c>
      <c r="J4481">
        <v>7</v>
      </c>
      <c r="K4481">
        <v>145</v>
      </c>
      <c r="L4481">
        <v>152</v>
      </c>
      <c r="Q4481">
        <v>0</v>
      </c>
      <c r="R4481">
        <v>0</v>
      </c>
      <c r="S4481">
        <v>152</v>
      </c>
      <c r="Y4481" t="s">
        <v>24323</v>
      </c>
      <c r="Z4481" t="s">
        <v>18495</v>
      </c>
      <c r="AD4481" s="249" t="str">
        <f>HYPERLINK("https://scontent.cdninstagram.com/t51.2885-15/e35/p320x320/21294390_115270292515069_8259701621831761920_n.jpg")</f>
        <v>https://scontent.cdninstagram.com/t51.2885-15/e35/p320x320/21294390_115270292515069_8259701621831761920_n.jpg</v>
      </c>
      <c r="AE4481" s="249" t="str">
        <f>HYPERLINK("https://scontent.cdninstagram.com/t51.2885-19/s150x150/10268953_824907374275007_1687160984_a.jpg")</f>
        <v>https://scontent.cdninstagram.com/t51.2885-19/s150x150/10268953_824907374275007_1687160984_a.jpg</v>
      </c>
    </row>
    <row r="4482" spans="1:31" ht="15" x14ac:dyDescent="0.25">
      <c r="A4482" t="s">
        <v>2474</v>
      </c>
      <c r="B4482" t="s">
        <v>18612</v>
      </c>
      <c r="C4482" s="221">
        <v>42981.777129629627</v>
      </c>
      <c r="D4482" t="s">
        <v>24324</v>
      </c>
      <c r="E4482" s="249" t="str">
        <f>HYPERLINK("https://www.instagram.com/p/BYmI87Whepz/")</f>
        <v>https://www.instagram.com/p/BYmI87Whepz/</v>
      </c>
      <c r="F4482" t="s">
        <v>24325</v>
      </c>
      <c r="G4482" t="s">
        <v>2478</v>
      </c>
      <c r="H4482">
        <v>360</v>
      </c>
      <c r="I4482" t="s">
        <v>3575</v>
      </c>
      <c r="J4482">
        <v>2</v>
      </c>
      <c r="K4482">
        <v>29</v>
      </c>
      <c r="L4482">
        <v>31</v>
      </c>
      <c r="Q4482">
        <v>0</v>
      </c>
      <c r="R4482">
        <v>0</v>
      </c>
      <c r="S4482">
        <v>31</v>
      </c>
      <c r="Y4482" t="s">
        <v>24326</v>
      </c>
      <c r="Z4482" t="s">
        <v>24327</v>
      </c>
      <c r="AA4482" t="s">
        <v>2497</v>
      </c>
      <c r="AB4482" t="s">
        <v>24328</v>
      </c>
      <c r="AC4482" t="s">
        <v>22804</v>
      </c>
      <c r="AD4482" s="249" t="str">
        <f>HYPERLINK("https://scontent.cdninstagram.com/t51.2885-15/s320x320/e35/21296852_1751116118264014_3999820416183959552_n.jpg")</f>
        <v>https://scontent.cdninstagram.com/t51.2885-15/s320x320/e35/21296852_1751116118264014_3999820416183959552_n.jpg</v>
      </c>
      <c r="AE4482" s="249" t="str">
        <f>HYPERLINK("https://scontent.cdninstagram.com/t51.2885-19/s150x150/19121149_1951444398424401_9065173139914227712_a.jpg")</f>
        <v>https://scontent.cdninstagram.com/t51.2885-19/s150x150/19121149_1951444398424401_9065173139914227712_a.jpg</v>
      </c>
    </row>
    <row r="4483" spans="1:31" ht="15" x14ac:dyDescent="0.25">
      <c r="A4483" t="s">
        <v>2474</v>
      </c>
      <c r="B4483" t="s">
        <v>24329</v>
      </c>
      <c r="C4483" s="221">
        <v>42981.78702546296</v>
      </c>
      <c r="D4483" t="s">
        <v>24330</v>
      </c>
      <c r="E4483" s="249" t="str">
        <f>HYPERLINK("https://www.instagram.com/p/BYmKlQYhHwg/")</f>
        <v>https://www.instagram.com/p/BYmKlQYhHwg/</v>
      </c>
      <c r="F4483" t="s">
        <v>24331</v>
      </c>
      <c r="G4483" t="s">
        <v>2478</v>
      </c>
      <c r="H4483">
        <v>192</v>
      </c>
      <c r="I4483" t="s">
        <v>2479</v>
      </c>
      <c r="J4483">
        <v>0</v>
      </c>
      <c r="K4483">
        <v>7</v>
      </c>
      <c r="L4483">
        <v>7</v>
      </c>
      <c r="Q4483">
        <v>0</v>
      </c>
      <c r="R4483">
        <v>0</v>
      </c>
      <c r="S4483">
        <v>7</v>
      </c>
      <c r="Y4483" t="s">
        <v>5118</v>
      </c>
      <c r="Z4483" t="s">
        <v>5170</v>
      </c>
      <c r="AA4483" t="s">
        <v>2497</v>
      </c>
      <c r="AB4483" t="s">
        <v>24332</v>
      </c>
      <c r="AD4483" s="249" t="str">
        <f>HYPERLINK("https://scontent.cdninstagram.com/t51.2885-15/s320x320/e35/21224649_123461748305762_8604714996099710976_n.jpg")</f>
        <v>https://scontent.cdninstagram.com/t51.2885-15/s320x320/e35/21224649_123461748305762_8604714996099710976_n.jpg</v>
      </c>
      <c r="AE4483" s="249" t="str">
        <f>HYPERLINK("https://scontent.cdninstagram.com/t51.2885-19/s150x150/19121870_1329550583825451_7368971949201948672_a.jpg")</f>
        <v>https://scontent.cdninstagram.com/t51.2885-19/s150x150/19121870_1329550583825451_7368971949201948672_a.jpg</v>
      </c>
    </row>
    <row r="4484" spans="1:31" ht="15" x14ac:dyDescent="0.25">
      <c r="A4484" t="s">
        <v>2474</v>
      </c>
      <c r="B4484" t="s">
        <v>24333</v>
      </c>
      <c r="C4484" s="221">
        <v>42981.79619212963</v>
      </c>
      <c r="D4484" t="s">
        <v>24334</v>
      </c>
      <c r="E4484" s="249" t="str">
        <f>HYPERLINK("https://www.instagram.com/p/BYmMF9qDOyS/")</f>
        <v>https://www.instagram.com/p/BYmMF9qDOyS/</v>
      </c>
      <c r="F4484" t="s">
        <v>24335</v>
      </c>
      <c r="G4484" t="s">
        <v>2631</v>
      </c>
      <c r="H4484">
        <v>671</v>
      </c>
      <c r="I4484" t="s">
        <v>2479</v>
      </c>
      <c r="J4484">
        <v>0</v>
      </c>
      <c r="K4484">
        <v>0</v>
      </c>
      <c r="L4484">
        <v>0</v>
      </c>
      <c r="Q4484">
        <v>0</v>
      </c>
      <c r="R4484">
        <v>0</v>
      </c>
      <c r="S4484">
        <v>0</v>
      </c>
      <c r="T4484" t="s">
        <v>24336</v>
      </c>
      <c r="V4484" t="s">
        <v>2125</v>
      </c>
      <c r="W4484">
        <v>48.398611111111002</v>
      </c>
      <c r="X4484">
        <v>-89.626666666667006</v>
      </c>
      <c r="Y4484" t="s">
        <v>12123</v>
      </c>
      <c r="Z4484" t="s">
        <v>24337</v>
      </c>
      <c r="AA4484" t="s">
        <v>24338</v>
      </c>
      <c r="AB4484" t="s">
        <v>24339</v>
      </c>
      <c r="AC4484" t="s">
        <v>2497</v>
      </c>
      <c r="AD4484" s="249" t="str">
        <f>HYPERLINK("https://scontent.cdninstagram.com/t51.2885-15/s320x320/e15/21296683_494052070945180_4307933050647347200_n.jpg")</f>
        <v>https://scontent.cdninstagram.com/t51.2885-15/s320x320/e15/21296683_494052070945180_4307933050647347200_n.jpg</v>
      </c>
      <c r="AE4484" s="249" t="str">
        <f>HYPERLINK("https://scontent.cdninstagram.com/t51.2885-19/11809645_592500100888549_1274043014_a.jpg")</f>
        <v>https://scontent.cdninstagram.com/t51.2885-19/11809645_592500100888549_1274043014_a.jpg</v>
      </c>
    </row>
    <row r="4485" spans="1:31" ht="15" x14ac:dyDescent="0.25">
      <c r="A4485" t="s">
        <v>2474</v>
      </c>
      <c r="B4485" t="s">
        <v>24340</v>
      </c>
      <c r="C4485" s="221">
        <v>42981.798148148147</v>
      </c>
      <c r="D4485" t="s">
        <v>24341</v>
      </c>
      <c r="E4485" s="249" t="str">
        <f>HYPERLINK("https://www.instagram.com/p/BYmManVFvwT/")</f>
        <v>https://www.instagram.com/p/BYmManVFvwT/</v>
      </c>
      <c r="F4485" t="s">
        <v>24342</v>
      </c>
      <c r="G4485" t="s">
        <v>2478</v>
      </c>
      <c r="H4485">
        <v>202</v>
      </c>
      <c r="I4485" t="s">
        <v>3025</v>
      </c>
      <c r="J4485">
        <v>0</v>
      </c>
      <c r="K4485">
        <v>23</v>
      </c>
      <c r="L4485">
        <v>23</v>
      </c>
      <c r="Q4485">
        <v>0</v>
      </c>
      <c r="R4485">
        <v>0</v>
      </c>
      <c r="S4485">
        <v>23</v>
      </c>
      <c r="T4485" t="s">
        <v>24343</v>
      </c>
      <c r="V4485" t="s">
        <v>2182</v>
      </c>
      <c r="W4485">
        <v>46.694722222221998</v>
      </c>
      <c r="X4485">
        <v>12.084444444443999</v>
      </c>
      <c r="Y4485" t="s">
        <v>18994</v>
      </c>
      <c r="Z4485" t="s">
        <v>2497</v>
      </c>
      <c r="AA4485" t="s">
        <v>24344</v>
      </c>
      <c r="AB4485" t="s">
        <v>22434</v>
      </c>
      <c r="AC4485" t="s">
        <v>24345</v>
      </c>
      <c r="AD4485" s="249" t="str">
        <f>HYPERLINK("https://scontent.cdninstagram.com/t51.2885-15/e35/p320x320/21372257_196731797533862_4380981300366934016_n.jpg")</f>
        <v>https://scontent.cdninstagram.com/t51.2885-15/e35/p320x320/21372257_196731797533862_4380981300366934016_n.jpg</v>
      </c>
      <c r="AE4485" s="249" t="str">
        <f>HYPERLINK("https://scontent.cdninstagram.com/t51.2885-19/11909274_1540072772880151_1046036999_a.jpg")</f>
        <v>https://scontent.cdninstagram.com/t51.2885-19/11909274_1540072772880151_1046036999_a.jpg</v>
      </c>
    </row>
    <row r="4486" spans="1:31" ht="15" x14ac:dyDescent="0.25">
      <c r="A4486" t="s">
        <v>2474</v>
      </c>
      <c r="B4486" t="s">
        <v>24346</v>
      </c>
      <c r="C4486" s="221">
        <v>42981.809930555559</v>
      </c>
      <c r="D4486" t="s">
        <v>24347</v>
      </c>
      <c r="E4486" s="249" t="str">
        <f>HYPERLINK("https://www.instagram.com/p/BYmOW3TnRmD/")</f>
        <v>https://www.instagram.com/p/BYmOW3TnRmD/</v>
      </c>
      <c r="F4486" t="s">
        <v>24348</v>
      </c>
      <c r="G4486" t="s">
        <v>2478</v>
      </c>
      <c r="H4486">
        <v>16</v>
      </c>
      <c r="I4486" t="s">
        <v>2748</v>
      </c>
      <c r="J4486">
        <v>0</v>
      </c>
      <c r="K4486">
        <v>11</v>
      </c>
      <c r="L4486">
        <v>11</v>
      </c>
      <c r="Q4486">
        <v>0</v>
      </c>
      <c r="R4486">
        <v>0</v>
      </c>
      <c r="S4486">
        <v>11</v>
      </c>
      <c r="Y4486" t="s">
        <v>2562</v>
      </c>
      <c r="Z4486" t="s">
        <v>2497</v>
      </c>
      <c r="AA4486" t="s">
        <v>24349</v>
      </c>
      <c r="AB4486" t="s">
        <v>6843</v>
      </c>
      <c r="AC4486" t="s">
        <v>21250</v>
      </c>
      <c r="AD4486" s="249" t="str">
        <f>HYPERLINK("https://scontent.cdninstagram.com/t51.2885-15/s320x320/e35/21294616_145426202721121_6981712013890158592_n.jpg")</f>
        <v>https://scontent.cdninstagram.com/t51.2885-15/s320x320/e35/21294616_145426202721121_6981712013890158592_n.jpg</v>
      </c>
      <c r="AE4486" s="249" t="str">
        <f>HYPERLINK("https://scontent.cdninstagram.com/t51.2885-19/s150x150/21107983_608971639491280_4612340378169769984_a.jpg")</f>
        <v>https://scontent.cdninstagram.com/t51.2885-19/s150x150/21107983_608971639491280_4612340378169769984_a.jpg</v>
      </c>
    </row>
    <row r="4487" spans="1:31" ht="15" x14ac:dyDescent="0.25">
      <c r="A4487" t="s">
        <v>2474</v>
      </c>
      <c r="B4487" t="s">
        <v>3015</v>
      </c>
      <c r="C4487" s="221">
        <v>42981.812511574077</v>
      </c>
      <c r="D4487" t="s">
        <v>24350</v>
      </c>
      <c r="E4487" s="249" t="str">
        <f>HYPERLINK("https://www.instagram.com/p/BYmOyJWgJ3j/")</f>
        <v>https://www.instagram.com/p/BYmOyJWgJ3j/</v>
      </c>
      <c r="F4487" t="s">
        <v>24351</v>
      </c>
      <c r="G4487" t="s">
        <v>2478</v>
      </c>
      <c r="H4487">
        <v>259</v>
      </c>
      <c r="I4487" t="s">
        <v>2479</v>
      </c>
      <c r="J4487">
        <v>6</v>
      </c>
      <c r="K4487">
        <v>51</v>
      </c>
      <c r="L4487">
        <v>57</v>
      </c>
      <c r="Q4487">
        <v>0</v>
      </c>
      <c r="R4487">
        <v>0</v>
      </c>
      <c r="S4487">
        <v>57</v>
      </c>
      <c r="Y4487" t="s">
        <v>3019</v>
      </c>
      <c r="Z4487" t="s">
        <v>3727</v>
      </c>
      <c r="AA4487" t="s">
        <v>2497</v>
      </c>
      <c r="AB4487" t="s">
        <v>4919</v>
      </c>
      <c r="AC4487" t="s">
        <v>10032</v>
      </c>
      <c r="AD4487" s="249" t="str">
        <f>HYPERLINK("https://scontent.cdninstagram.com/t51.2885-15/e35/p320x320/21296099_2028633837367122_6280796492466749440_n.jpg")</f>
        <v>https://scontent.cdninstagram.com/t51.2885-15/e35/p320x320/21296099_2028633837367122_6280796492466749440_n.jpg</v>
      </c>
      <c r="AE4487" s="249" t="str">
        <f>HYPERLINK("https://scontent.cdninstagram.com/t51.2885-19/s150x150/21373025_723410537866046_6184601968204316672_a.jpg")</f>
        <v>https://scontent.cdninstagram.com/t51.2885-19/s150x150/21373025_723410537866046_6184601968204316672_a.jpg</v>
      </c>
    </row>
    <row r="4488" spans="1:31" ht="15" x14ac:dyDescent="0.25">
      <c r="A4488" t="s">
        <v>2474</v>
      </c>
      <c r="B4488" t="s">
        <v>7232</v>
      </c>
      <c r="C4488" s="221">
        <v>42981.817430555559</v>
      </c>
      <c r="D4488" t="s">
        <v>24352</v>
      </c>
      <c r="E4488" s="249" t="str">
        <f>HYPERLINK("https://www.instagram.com/p/BYmPl8QHwVt/")</f>
        <v>https://www.instagram.com/p/BYmPl8QHwVt/</v>
      </c>
      <c r="F4488" t="s">
        <v>24353</v>
      </c>
      <c r="G4488" t="s">
        <v>2478</v>
      </c>
      <c r="H4488">
        <v>525</v>
      </c>
      <c r="I4488" t="s">
        <v>2910</v>
      </c>
      <c r="J4488">
        <v>0</v>
      </c>
      <c r="K4488">
        <v>34</v>
      </c>
      <c r="L4488">
        <v>34</v>
      </c>
      <c r="Q4488">
        <v>0</v>
      </c>
      <c r="R4488">
        <v>0</v>
      </c>
      <c r="S4488">
        <v>34</v>
      </c>
      <c r="Y4488" t="s">
        <v>22836</v>
      </c>
      <c r="Z4488" t="s">
        <v>3671</v>
      </c>
      <c r="AA4488" t="s">
        <v>2497</v>
      </c>
      <c r="AB4488" t="s">
        <v>3262</v>
      </c>
      <c r="AC4488" t="s">
        <v>12637</v>
      </c>
      <c r="AD4488" s="249" t="str">
        <f>HYPERLINK("https://scontent.cdninstagram.com/t51.2885-15/s320x320/e35/21372168_104920620248681_7637577717835104256_n.jpg")</f>
        <v>https://scontent.cdninstagram.com/t51.2885-15/s320x320/e35/21372168_104920620248681_7637577717835104256_n.jpg</v>
      </c>
      <c r="AE4488" s="249" t="str">
        <f>HYPERLINK("https://scontent.cdninstagram.com/t51.2885-19/s150x150/14482263_1660577494243200_2334360342223650816_a.jpg")</f>
        <v>https://scontent.cdninstagram.com/t51.2885-19/s150x150/14482263_1660577494243200_2334360342223650816_a.jpg</v>
      </c>
    </row>
    <row r="4489" spans="1:31" ht="15" x14ac:dyDescent="0.25">
      <c r="A4489" t="s">
        <v>2474</v>
      </c>
      <c r="B4489" t="s">
        <v>24354</v>
      </c>
      <c r="C4489" s="221">
        <v>42981.819930555554</v>
      </c>
      <c r="D4489" t="s">
        <v>24355</v>
      </c>
      <c r="E4489" s="249" t="str">
        <f>HYPERLINK("https://www.instagram.com/p/BYmQARxHdX-/")</f>
        <v>https://www.instagram.com/p/BYmQARxHdX-/</v>
      </c>
      <c r="F4489" t="s">
        <v>24356</v>
      </c>
      <c r="G4489" t="s">
        <v>2478</v>
      </c>
      <c r="H4489">
        <v>801</v>
      </c>
      <c r="I4489" t="s">
        <v>2479</v>
      </c>
      <c r="J4489">
        <v>1</v>
      </c>
      <c r="K4489">
        <v>45</v>
      </c>
      <c r="L4489">
        <v>46</v>
      </c>
      <c r="Q4489">
        <v>0</v>
      </c>
      <c r="R4489">
        <v>0</v>
      </c>
      <c r="S4489">
        <v>46</v>
      </c>
      <c r="Y4489" t="s">
        <v>6045</v>
      </c>
      <c r="Z4489" t="s">
        <v>2730</v>
      </c>
      <c r="AA4489" t="s">
        <v>2497</v>
      </c>
      <c r="AB4489" t="s">
        <v>24357</v>
      </c>
      <c r="AC4489" t="s">
        <v>24358</v>
      </c>
      <c r="AD4489" s="249" t="str">
        <f>HYPERLINK("https://scontent.cdninstagram.com/t51.2885-15/s320x320/e35/21296447_1418734188234644_5847062919363166208_n.jpg")</f>
        <v>https://scontent.cdninstagram.com/t51.2885-15/s320x320/e35/21296447_1418734188234644_5847062919363166208_n.jpg</v>
      </c>
      <c r="AE4489" s="249" t="str">
        <f>HYPERLINK("https://scontent.cdninstagram.com/t51.2885-19/s150x150/21371683_129984934305925_8593994753433927680_a.jpg")</f>
        <v>https://scontent.cdninstagram.com/t51.2885-19/s150x150/21371683_129984934305925_8593994753433927680_a.jpg</v>
      </c>
    </row>
    <row r="4490" spans="1:31" ht="15" x14ac:dyDescent="0.25">
      <c r="A4490" t="s">
        <v>2474</v>
      </c>
      <c r="B4490" t="s">
        <v>24359</v>
      </c>
      <c r="C4490" s="221">
        <v>42981.833541666667</v>
      </c>
      <c r="D4490" t="s">
        <v>24360</v>
      </c>
      <c r="E4490" s="249" t="str">
        <f>HYPERLINK("https://www.instagram.com/p/BYmSP1dlcfn/")</f>
        <v>https://www.instagram.com/p/BYmSP1dlcfn/</v>
      </c>
      <c r="F4490" t="s">
        <v>24361</v>
      </c>
      <c r="G4490" t="s">
        <v>2478</v>
      </c>
      <c r="H4490">
        <v>252</v>
      </c>
      <c r="I4490" t="s">
        <v>2479</v>
      </c>
      <c r="J4490">
        <v>12</v>
      </c>
      <c r="K4490">
        <v>23</v>
      </c>
      <c r="L4490">
        <v>35</v>
      </c>
      <c r="Q4490">
        <v>0</v>
      </c>
      <c r="R4490">
        <v>0</v>
      </c>
      <c r="S4490">
        <v>35</v>
      </c>
      <c r="Y4490" t="s">
        <v>3225</v>
      </c>
      <c r="Z4490" t="s">
        <v>3783</v>
      </c>
      <c r="AA4490" t="s">
        <v>2497</v>
      </c>
      <c r="AB4490" t="s">
        <v>3849</v>
      </c>
      <c r="AD4490" s="249" t="str">
        <f>HYPERLINK("https://scontent.cdninstagram.com/t51.2885-15/s320x320/e35/21296435_766631956862829_4176450250447257600_n.jpg")</f>
        <v>https://scontent.cdninstagram.com/t51.2885-15/s320x320/e35/21296435_766631956862829_4176450250447257600_n.jpg</v>
      </c>
      <c r="AE4490" s="249" t="str">
        <f>HYPERLINK("https://scontent.cdninstagram.com/t51.2885-19/s150x150/21569283_1885197381799683_8583184685822115840_a.jpg")</f>
        <v>https://scontent.cdninstagram.com/t51.2885-19/s150x150/21569283_1885197381799683_8583184685822115840_a.jpg</v>
      </c>
    </row>
    <row r="4491" spans="1:31" ht="15" x14ac:dyDescent="0.25">
      <c r="A4491" t="s">
        <v>2474</v>
      </c>
      <c r="B4491" t="s">
        <v>17158</v>
      </c>
      <c r="C4491" s="221">
        <v>42981.834409722222</v>
      </c>
      <c r="D4491" t="s">
        <v>24362</v>
      </c>
      <c r="E4491" s="249" t="str">
        <f>HYPERLINK("https://www.instagram.com/p/BYmSZEuhrcZ/")</f>
        <v>https://www.instagram.com/p/BYmSZEuhrcZ/</v>
      </c>
      <c r="F4491" t="s">
        <v>24363</v>
      </c>
      <c r="G4491" t="s">
        <v>2478</v>
      </c>
      <c r="H4491">
        <v>384</v>
      </c>
      <c r="I4491" t="s">
        <v>2479</v>
      </c>
      <c r="J4491">
        <v>4</v>
      </c>
      <c r="K4491">
        <v>59</v>
      </c>
      <c r="L4491">
        <v>63</v>
      </c>
      <c r="Q4491">
        <v>0</v>
      </c>
      <c r="R4491">
        <v>0</v>
      </c>
      <c r="S4491">
        <v>63</v>
      </c>
      <c r="Y4491" t="s">
        <v>18286</v>
      </c>
      <c r="Z4491" t="s">
        <v>2497</v>
      </c>
      <c r="AA4491" t="s">
        <v>15453</v>
      </c>
      <c r="AB4491" t="s">
        <v>18624</v>
      </c>
      <c r="AC4491" t="s">
        <v>18626</v>
      </c>
      <c r="AD4491" s="249" t="str">
        <f>HYPERLINK("https://scontent.cdninstagram.com/t51.2885-15/s320x320/e35/21296764_156057691641622_2306839420151529472_n.jpg")</f>
        <v>https://scontent.cdninstagram.com/t51.2885-15/s320x320/e35/21296764_156057691641622_2306839420151529472_n.jpg</v>
      </c>
      <c r="AE4491" s="249" t="str">
        <f>HYPERLINK("https://scontent.cdninstagram.com/t51.2885-19/s150x150/13658639_315931348749567_46952542_a.jpg")</f>
        <v>https://scontent.cdninstagram.com/t51.2885-19/s150x150/13658639_315931348749567_46952542_a.jpg</v>
      </c>
    </row>
    <row r="4492" spans="1:31" ht="15" x14ac:dyDescent="0.25">
      <c r="A4492" t="s">
        <v>2474</v>
      </c>
      <c r="B4492" t="s">
        <v>24364</v>
      </c>
      <c r="C4492" s="221">
        <v>42981.836736111109</v>
      </c>
      <c r="D4492" t="s">
        <v>24365</v>
      </c>
      <c r="E4492" s="249" t="str">
        <f>HYPERLINK("https://www.instagram.com/p/BYmSxk6nW2c/")</f>
        <v>https://www.instagram.com/p/BYmSxk6nW2c/</v>
      </c>
      <c r="F4492" t="s">
        <v>24366</v>
      </c>
      <c r="G4492" t="s">
        <v>2478</v>
      </c>
      <c r="H4492">
        <v>96</v>
      </c>
      <c r="I4492" t="s">
        <v>2479</v>
      </c>
      <c r="J4492">
        <v>1</v>
      </c>
      <c r="K4492">
        <v>21</v>
      </c>
      <c r="L4492">
        <v>22</v>
      </c>
      <c r="Q4492">
        <v>0</v>
      </c>
      <c r="R4492">
        <v>0</v>
      </c>
      <c r="S4492">
        <v>22</v>
      </c>
      <c r="T4492" t="s">
        <v>24367</v>
      </c>
      <c r="V4492" t="s">
        <v>2125</v>
      </c>
      <c r="W4492">
        <v>43.255299999999998</v>
      </c>
      <c r="X4492">
        <v>-79.873099999999994</v>
      </c>
      <c r="Y4492" t="s">
        <v>24368</v>
      </c>
      <c r="Z4492" t="s">
        <v>24369</v>
      </c>
      <c r="AA4492" t="s">
        <v>2813</v>
      </c>
      <c r="AB4492" t="s">
        <v>24370</v>
      </c>
      <c r="AC4492" t="s">
        <v>2497</v>
      </c>
      <c r="AD4492" s="249" t="str">
        <f>HYPERLINK("https://scontent.cdninstagram.com/t51.2885-15/s320x320/e35/21433606_168480737050298_4187968476561801216_n.jpg")</f>
        <v>https://scontent.cdninstagram.com/t51.2885-15/s320x320/e35/21433606_168480737050298_4187968476561801216_n.jpg</v>
      </c>
      <c r="AE4492" s="249" t="str">
        <f>HYPERLINK("https://scontent.cdninstagram.com/t51.2885-19/s150x150/17267791_1926990734197739_3888390294302883840_a.jpg")</f>
        <v>https://scontent.cdninstagram.com/t51.2885-19/s150x150/17267791_1926990734197739_3888390294302883840_a.jpg</v>
      </c>
    </row>
    <row r="4493" spans="1:31" ht="15" x14ac:dyDescent="0.25">
      <c r="A4493" t="s">
        <v>2474</v>
      </c>
      <c r="B4493" t="s">
        <v>24371</v>
      </c>
      <c r="C4493" s="221">
        <v>42981.838865740741</v>
      </c>
      <c r="D4493" t="s">
        <v>24372</v>
      </c>
      <c r="E4493" s="249" t="str">
        <f>HYPERLINK("https://www.instagram.com/p/BYmTIElBIZa/")</f>
        <v>https://www.instagram.com/p/BYmTIElBIZa/</v>
      </c>
      <c r="F4493" t="s">
        <v>24373</v>
      </c>
      <c r="G4493" t="s">
        <v>2478</v>
      </c>
      <c r="H4493">
        <v>654</v>
      </c>
      <c r="I4493" t="s">
        <v>3575</v>
      </c>
      <c r="J4493">
        <v>2</v>
      </c>
      <c r="K4493">
        <v>30</v>
      </c>
      <c r="L4493">
        <v>32</v>
      </c>
      <c r="Q4493">
        <v>0</v>
      </c>
      <c r="R4493">
        <v>0</v>
      </c>
      <c r="S4493">
        <v>32</v>
      </c>
      <c r="T4493" t="s">
        <v>24374</v>
      </c>
      <c r="U4493" t="s">
        <v>106</v>
      </c>
      <c r="V4493" t="s">
        <v>2299</v>
      </c>
      <c r="W4493">
        <v>26.152569700000001</v>
      </c>
      <c r="X4493">
        <v>-80.740184499999998</v>
      </c>
      <c r="Y4493" t="s">
        <v>7960</v>
      </c>
      <c r="Z4493" t="s">
        <v>2497</v>
      </c>
      <c r="AA4493" t="s">
        <v>10878</v>
      </c>
      <c r="AB4493" t="s">
        <v>10803</v>
      </c>
      <c r="AC4493" t="s">
        <v>8134</v>
      </c>
      <c r="AD4493" s="249" t="str">
        <f>HYPERLINK("https://scontent.cdninstagram.com/t51.2885-15/s320x320/e35/21372179_115118352508269_1431095558432358400_n.jpg")</f>
        <v>https://scontent.cdninstagram.com/t51.2885-15/s320x320/e35/21372179_115118352508269_1431095558432358400_n.jpg</v>
      </c>
      <c r="AE4493" s="249" t="str">
        <f>HYPERLINK("https://scontent.cdninstagram.com/t51.2885-19/s150x150/13743578_1081276658623701_742745041_a.jpg")</f>
        <v>https://scontent.cdninstagram.com/t51.2885-19/s150x150/13743578_1081276658623701_742745041_a.jpg</v>
      </c>
    </row>
    <row r="4494" spans="1:31" ht="15" x14ac:dyDescent="0.25">
      <c r="A4494" t="s">
        <v>2474</v>
      </c>
      <c r="B4494" t="s">
        <v>24375</v>
      </c>
      <c r="C4494" s="221">
        <v>42981.875127314815</v>
      </c>
      <c r="D4494" t="s">
        <v>24376</v>
      </c>
      <c r="E4494" s="249" t="str">
        <f>HYPERLINK("https://www.instagram.com/p/BYmZGjDA9ni/")</f>
        <v>https://www.instagram.com/p/BYmZGjDA9ni/</v>
      </c>
      <c r="F4494" t="s">
        <v>24377</v>
      </c>
      <c r="G4494" t="s">
        <v>2478</v>
      </c>
      <c r="H4494">
        <v>8</v>
      </c>
      <c r="I4494" t="s">
        <v>2479</v>
      </c>
      <c r="J4494">
        <v>0</v>
      </c>
      <c r="K4494">
        <v>6</v>
      </c>
      <c r="L4494">
        <v>6</v>
      </c>
      <c r="Q4494">
        <v>0</v>
      </c>
      <c r="R4494">
        <v>0</v>
      </c>
      <c r="S4494">
        <v>6</v>
      </c>
      <c r="Y4494" t="s">
        <v>24378</v>
      </c>
      <c r="Z4494" t="s">
        <v>2497</v>
      </c>
      <c r="AA4494" t="s">
        <v>2667</v>
      </c>
      <c r="AB4494" t="s">
        <v>13843</v>
      </c>
      <c r="AC4494" t="s">
        <v>5932</v>
      </c>
      <c r="AD4494" s="249" t="str">
        <f>HYPERLINK("https://scontent.cdninstagram.com/t51.2885-15/e35/p320x320/21296215_169940720242792_4148732996830101504_n.jpg")</f>
        <v>https://scontent.cdninstagram.com/t51.2885-15/e35/p320x320/21296215_169940720242792_4148732996830101504_n.jpg</v>
      </c>
      <c r="AE4494" s="249" t="str">
        <f>HYPERLINK("https://scontent.cdninstagram.com/t51.2885-19/s150x150/21294911_1876933449293687_1272437250314993664_a.jpg")</f>
        <v>https://scontent.cdninstagram.com/t51.2885-19/s150x150/21294911_1876933449293687_1272437250314993664_a.jpg</v>
      </c>
    </row>
    <row r="4495" spans="1:31" ht="15" x14ac:dyDescent="0.25">
      <c r="A4495" t="s">
        <v>2474</v>
      </c>
      <c r="B4495" t="s">
        <v>24379</v>
      </c>
      <c r="C4495" s="221">
        <v>42981.880671296298</v>
      </c>
      <c r="D4495" t="s">
        <v>24380</v>
      </c>
      <c r="E4495" s="249" t="str">
        <f>HYPERLINK("https://www.instagram.com/p/BYmaA-jhXyf/")</f>
        <v>https://www.instagram.com/p/BYmaA-jhXyf/</v>
      </c>
      <c r="F4495" t="s">
        <v>24381</v>
      </c>
      <c r="G4495" t="s">
        <v>2478</v>
      </c>
      <c r="H4495">
        <v>235</v>
      </c>
      <c r="I4495" t="s">
        <v>2479</v>
      </c>
      <c r="J4495">
        <v>0</v>
      </c>
      <c r="K4495">
        <v>19</v>
      </c>
      <c r="L4495">
        <v>19</v>
      </c>
      <c r="Q4495">
        <v>0</v>
      </c>
      <c r="R4495">
        <v>0</v>
      </c>
      <c r="S4495">
        <v>19</v>
      </c>
      <c r="Y4495" t="s">
        <v>2492</v>
      </c>
      <c r="Z4495" t="s">
        <v>24382</v>
      </c>
      <c r="AA4495" t="s">
        <v>2497</v>
      </c>
      <c r="AB4495" t="s">
        <v>2734</v>
      </c>
      <c r="AD4495" s="249" t="str">
        <f>HYPERLINK("https://scontent.cdninstagram.com/t51.2885-15/e35/p320x320/21294322_116021785730458_6957374238109990912_n.jpg")</f>
        <v>https://scontent.cdninstagram.com/t51.2885-15/e35/p320x320/21294322_116021785730458_6957374238109990912_n.jpg</v>
      </c>
      <c r="AE4495" s="249" t="str">
        <f>HYPERLINK("https://scontent.cdninstagram.com/t51.2885-19/s150x150/15875927_244016206026414_225894595207102464_n.jpg")</f>
        <v>https://scontent.cdninstagram.com/t51.2885-19/s150x150/15875927_244016206026414_225894595207102464_n.jpg</v>
      </c>
    </row>
    <row r="4496" spans="1:31" ht="15" x14ac:dyDescent="0.25">
      <c r="A4496" t="s">
        <v>2474</v>
      </c>
      <c r="B4496" t="s">
        <v>24383</v>
      </c>
      <c r="C4496" s="221">
        <v>42981.880902777775</v>
      </c>
      <c r="D4496" t="s">
        <v>24384</v>
      </c>
      <c r="E4496" s="249" t="str">
        <f>HYPERLINK("https://www.instagram.com/p/BYmaDZLgHR-/")</f>
        <v>https://www.instagram.com/p/BYmaDZLgHR-/</v>
      </c>
      <c r="F4496" t="s">
        <v>24385</v>
      </c>
      <c r="G4496" t="s">
        <v>2631</v>
      </c>
      <c r="H4496">
        <v>736</v>
      </c>
      <c r="I4496" t="s">
        <v>3273</v>
      </c>
      <c r="J4496">
        <v>0</v>
      </c>
      <c r="K4496">
        <v>43</v>
      </c>
      <c r="L4496">
        <v>43</v>
      </c>
      <c r="Q4496">
        <v>0</v>
      </c>
      <c r="R4496">
        <v>0</v>
      </c>
      <c r="S4496">
        <v>43</v>
      </c>
      <c r="Y4496" t="s">
        <v>24386</v>
      </c>
      <c r="Z4496" t="s">
        <v>2497</v>
      </c>
      <c r="AA4496" t="s">
        <v>3477</v>
      </c>
      <c r="AB4496" t="s">
        <v>24387</v>
      </c>
      <c r="AC4496" t="s">
        <v>24388</v>
      </c>
      <c r="AD4496" s="249" t="str">
        <f>HYPERLINK("https://scontent.cdninstagram.com/t51.2885-15/s320x320/e15/21296331_335275693588347_3722122201785171968_n.jpg")</f>
        <v>https://scontent.cdninstagram.com/t51.2885-15/s320x320/e15/21296331_335275693588347_3722122201785171968_n.jpg</v>
      </c>
      <c r="AE4496" s="249" t="str">
        <f>HYPERLINK("https://scontent.cdninstagram.com/t51.2885-19/s150x150/12139775_428376020679333_1937632854_a.jpg")</f>
        <v>https://scontent.cdninstagram.com/t51.2885-19/s150x150/12139775_428376020679333_1937632854_a.jpg</v>
      </c>
    </row>
    <row r="4497" spans="1:31" ht="15" x14ac:dyDescent="0.25">
      <c r="A4497" t="s">
        <v>2474</v>
      </c>
      <c r="B4497" t="s">
        <v>24389</v>
      </c>
      <c r="C4497" s="221">
        <v>42981.895451388889</v>
      </c>
      <c r="D4497" t="s">
        <v>24390</v>
      </c>
      <c r="E4497" s="249" t="str">
        <f>HYPERLINK("https://www.instagram.com/p/BYmcc3DhSZF/")</f>
        <v>https://www.instagram.com/p/BYmcc3DhSZF/</v>
      </c>
      <c r="F4497" t="s">
        <v>24391</v>
      </c>
      <c r="G4497" t="s">
        <v>2478</v>
      </c>
      <c r="H4497">
        <v>306</v>
      </c>
      <c r="I4497" t="s">
        <v>2582</v>
      </c>
      <c r="J4497">
        <v>0</v>
      </c>
      <c r="K4497">
        <v>52</v>
      </c>
      <c r="L4497">
        <v>52</v>
      </c>
      <c r="Q4497">
        <v>0</v>
      </c>
      <c r="R4497">
        <v>0</v>
      </c>
      <c r="S4497">
        <v>52</v>
      </c>
      <c r="Y4497" t="s">
        <v>24392</v>
      </c>
      <c r="Z4497" t="s">
        <v>5061</v>
      </c>
      <c r="AA4497" t="s">
        <v>24393</v>
      </c>
      <c r="AB4497" t="s">
        <v>2497</v>
      </c>
      <c r="AC4497" t="s">
        <v>13535</v>
      </c>
      <c r="AD4497" s="249" t="str">
        <f>HYPERLINK("https://scontent.cdninstagram.com/t51.2885-15/s320x320/e35/21373188_115405652491318_6626598242341617664_n.jpg")</f>
        <v>https://scontent.cdninstagram.com/t51.2885-15/s320x320/e35/21373188_115405652491318_6626598242341617664_n.jpg</v>
      </c>
      <c r="AE4497" s="249" t="str">
        <f>HYPERLINK("https://scontent.cdninstagram.com/t51.2885-19/s150x150/20838143_110798769591479_1786255045612797952_a.jpg")</f>
        <v>https://scontent.cdninstagram.com/t51.2885-19/s150x150/20838143_110798769591479_1786255045612797952_a.jpg</v>
      </c>
    </row>
    <row r="4498" spans="1:31" ht="15" x14ac:dyDescent="0.25">
      <c r="A4498" t="s">
        <v>2474</v>
      </c>
      <c r="B4498" t="s">
        <v>24394</v>
      </c>
      <c r="C4498" s="221">
        <v>42981.896898148145</v>
      </c>
      <c r="D4498" t="s">
        <v>24395</v>
      </c>
      <c r="E4498" s="249" t="str">
        <f>HYPERLINK("https://www.instagram.com/p/BYmcsFRh4sX/")</f>
        <v>https://www.instagram.com/p/BYmcsFRh4sX/</v>
      </c>
      <c r="F4498" t="s">
        <v>24396</v>
      </c>
      <c r="G4498" t="s">
        <v>2488</v>
      </c>
      <c r="H4498">
        <v>882</v>
      </c>
      <c r="I4498" t="s">
        <v>2479</v>
      </c>
      <c r="J4498">
        <v>1</v>
      </c>
      <c r="K4498">
        <v>166</v>
      </c>
      <c r="L4498">
        <v>167</v>
      </c>
      <c r="Q4498">
        <v>0</v>
      </c>
      <c r="R4498">
        <v>0</v>
      </c>
      <c r="S4498">
        <v>167</v>
      </c>
      <c r="Y4498" t="s">
        <v>24397</v>
      </c>
      <c r="Z4498" t="s">
        <v>5552</v>
      </c>
      <c r="AA4498" t="s">
        <v>24398</v>
      </c>
      <c r="AB4498" t="s">
        <v>2497</v>
      </c>
      <c r="AD4498" s="249" t="str">
        <f>HYPERLINK("https://scontent.cdninstagram.com/t51.2885-15/e35/p320x320/21294903_119790395347571_5510842919403126784_n.jpg")</f>
        <v>https://scontent.cdninstagram.com/t51.2885-15/e35/p320x320/21294903_119790395347571_5510842919403126784_n.jpg</v>
      </c>
      <c r="AE4498" s="249" t="str">
        <f>HYPERLINK("https://scontent.cdninstagram.com/t51.2885-19/s150x150/20968528_308138092992770_272543398945095680_a.jpg")</f>
        <v>https://scontent.cdninstagram.com/t51.2885-19/s150x150/20968528_308138092992770_272543398945095680_a.jpg</v>
      </c>
    </row>
    <row r="4499" spans="1:31" ht="15" x14ac:dyDescent="0.25">
      <c r="A4499" t="s">
        <v>2474</v>
      </c>
      <c r="B4499" t="s">
        <v>24399</v>
      </c>
      <c r="C4499" s="221">
        <v>42981.913738425923</v>
      </c>
      <c r="D4499" t="s">
        <v>24400</v>
      </c>
      <c r="E4499" s="249" t="str">
        <f>HYPERLINK("https://www.instagram.com/p/BYmfdrpgpqs/")</f>
        <v>https://www.instagram.com/p/BYmfdrpgpqs/</v>
      </c>
      <c r="F4499" t="s">
        <v>24401</v>
      </c>
      <c r="G4499" t="s">
        <v>2631</v>
      </c>
      <c r="H4499">
        <v>9676</v>
      </c>
      <c r="I4499" t="s">
        <v>2479</v>
      </c>
      <c r="J4499">
        <v>9</v>
      </c>
      <c r="K4499">
        <v>202</v>
      </c>
      <c r="L4499">
        <v>211</v>
      </c>
      <c r="Q4499">
        <v>0</v>
      </c>
      <c r="R4499">
        <v>0</v>
      </c>
      <c r="S4499">
        <v>211</v>
      </c>
      <c r="Y4499" t="s">
        <v>24402</v>
      </c>
      <c r="Z4499" t="s">
        <v>24403</v>
      </c>
      <c r="AA4499" t="s">
        <v>2497</v>
      </c>
      <c r="AB4499" t="s">
        <v>24404</v>
      </c>
      <c r="AC4499" t="s">
        <v>24405</v>
      </c>
      <c r="AD4499" s="249" t="str">
        <f>HYPERLINK("https://scontent.cdninstagram.com/t51.2885-15/s320x320/e15/21296503_114704659217908_6939066042362626048_n.jpg")</f>
        <v>https://scontent.cdninstagram.com/t51.2885-15/s320x320/e15/21296503_114704659217908_6939066042362626048_n.jpg</v>
      </c>
      <c r="AE4499" s="249" t="str">
        <f>HYPERLINK("https://scontent.cdninstagram.com/t51.2885-19/s150x150/20687802_338714749891967_3976311728005709824_a.jpg")</f>
        <v>https://scontent.cdninstagram.com/t51.2885-19/s150x150/20687802_338714749891967_3976311728005709824_a.jpg</v>
      </c>
    </row>
    <row r="4500" spans="1:31" ht="15" x14ac:dyDescent="0.25">
      <c r="A4500" t="s">
        <v>2474</v>
      </c>
      <c r="B4500" t="s">
        <v>24406</v>
      </c>
      <c r="C4500" s="221">
        <v>42981.927986111114</v>
      </c>
      <c r="D4500" t="s">
        <v>24407</v>
      </c>
      <c r="E4500" s="249" t="str">
        <f>HYPERLINK("https://www.instagram.com/p/BYmhz_nDg7K/")</f>
        <v>https://www.instagram.com/p/BYmhz_nDg7K/</v>
      </c>
      <c r="F4500" t="s">
        <v>24408</v>
      </c>
      <c r="G4500" t="s">
        <v>2478</v>
      </c>
      <c r="H4500">
        <v>1385</v>
      </c>
      <c r="I4500" t="s">
        <v>4062</v>
      </c>
      <c r="J4500">
        <v>0</v>
      </c>
      <c r="K4500">
        <v>26</v>
      </c>
      <c r="L4500">
        <v>26</v>
      </c>
      <c r="Q4500">
        <v>0</v>
      </c>
      <c r="R4500">
        <v>0</v>
      </c>
      <c r="S4500">
        <v>26</v>
      </c>
      <c r="Y4500" t="s">
        <v>3262</v>
      </c>
      <c r="Z4500" t="s">
        <v>2497</v>
      </c>
      <c r="AA4500" t="s">
        <v>24409</v>
      </c>
      <c r="AB4500" t="s">
        <v>24410</v>
      </c>
      <c r="AC4500" t="s">
        <v>4286</v>
      </c>
      <c r="AD4500" s="249" t="str">
        <f>HYPERLINK("https://scontent.cdninstagram.com/t51.2885-15/s320x320/e35/21371648_145636459363903_4461543457931919360_n.jpg")</f>
        <v>https://scontent.cdninstagram.com/t51.2885-15/s320x320/e35/21371648_145636459363903_4461543457931919360_n.jpg</v>
      </c>
      <c r="AE4500" s="249" t="str">
        <f>HYPERLINK("https://scontent.cdninstagram.com/t51.2885-19/s150x150/18580003_1362419330508414_1753346460729999360_a.jpg")</f>
        <v>https://scontent.cdninstagram.com/t51.2885-19/s150x150/18580003_1362419330508414_1753346460729999360_a.jpg</v>
      </c>
    </row>
    <row r="4501" spans="1:31" ht="15" x14ac:dyDescent="0.25">
      <c r="A4501" t="s">
        <v>2474</v>
      </c>
      <c r="B4501" t="s">
        <v>24411</v>
      </c>
      <c r="C4501" s="221">
        <v>42981.940486111111</v>
      </c>
      <c r="D4501" t="s">
        <v>24412</v>
      </c>
      <c r="E4501" s="249" t="str">
        <f>HYPERLINK("https://www.instagram.com/p/BYmj3xTgGt4/")</f>
        <v>https://www.instagram.com/p/BYmj3xTgGt4/</v>
      </c>
      <c r="F4501" t="s">
        <v>24413</v>
      </c>
      <c r="G4501" t="s">
        <v>2631</v>
      </c>
      <c r="H4501">
        <v>11</v>
      </c>
      <c r="I4501" t="s">
        <v>2479</v>
      </c>
      <c r="J4501">
        <v>2</v>
      </c>
      <c r="K4501">
        <v>6</v>
      </c>
      <c r="L4501">
        <v>8</v>
      </c>
      <c r="Q4501">
        <v>0</v>
      </c>
      <c r="R4501">
        <v>0</v>
      </c>
      <c r="S4501">
        <v>8</v>
      </c>
      <c r="Y4501" t="s">
        <v>24414</v>
      </c>
      <c r="Z4501" t="s">
        <v>24415</v>
      </c>
      <c r="AA4501" t="s">
        <v>24416</v>
      </c>
      <c r="AB4501" t="s">
        <v>2497</v>
      </c>
      <c r="AD4501" s="249" t="str">
        <f>HYPERLINK("https://scontent.cdninstagram.com/t51.2885-15/e15/p320x320/21373069_133180703983961_8877252296191246336_n.jpg")</f>
        <v>https://scontent.cdninstagram.com/t51.2885-15/e15/p320x320/21373069_133180703983961_8877252296191246336_n.jpg</v>
      </c>
      <c r="AE4501" s="249" t="str">
        <f>HYPERLINK("https://scontent.cdninstagram.com/t51.2885-19/s150x150/21042693_147187665870716_7858442309338136576_a.jpg")</f>
        <v>https://scontent.cdninstagram.com/t51.2885-19/s150x150/21042693_147187665870716_7858442309338136576_a.jpg</v>
      </c>
    </row>
    <row r="4502" spans="1:31" ht="15" x14ac:dyDescent="0.25">
      <c r="A4502" t="s">
        <v>2474</v>
      </c>
      <c r="B4502" t="s">
        <v>17738</v>
      </c>
      <c r="C4502" s="221">
        <v>42981.941145833334</v>
      </c>
      <c r="D4502" t="s">
        <v>24417</v>
      </c>
      <c r="E4502" s="249" t="str">
        <f>HYPERLINK("https://www.instagram.com/p/BYmj-vSh2H6/")</f>
        <v>https://www.instagram.com/p/BYmj-vSh2H6/</v>
      </c>
      <c r="F4502" t="s">
        <v>24418</v>
      </c>
      <c r="G4502" t="s">
        <v>2478</v>
      </c>
      <c r="H4502">
        <v>69128</v>
      </c>
      <c r="I4502" t="s">
        <v>2479</v>
      </c>
      <c r="J4502">
        <v>1</v>
      </c>
      <c r="K4502">
        <v>16</v>
      </c>
      <c r="L4502">
        <v>17</v>
      </c>
      <c r="Q4502">
        <v>0</v>
      </c>
      <c r="R4502">
        <v>0</v>
      </c>
      <c r="S4502">
        <v>17</v>
      </c>
      <c r="Y4502" t="s">
        <v>4564</v>
      </c>
      <c r="Z4502" t="s">
        <v>2497</v>
      </c>
      <c r="AA4502" t="s">
        <v>13341</v>
      </c>
      <c r="AB4502" t="s">
        <v>3757</v>
      </c>
      <c r="AC4502" t="s">
        <v>3754</v>
      </c>
      <c r="AD4502" s="249" t="str">
        <f>HYPERLINK("https://scontent.cdninstagram.com/t51.2885-15/s320x320/e35/21371841_358294651275044_3657679052187107328_n.jpg")</f>
        <v>https://scontent.cdninstagram.com/t51.2885-15/s320x320/e35/21371841_358294651275044_3657679052187107328_n.jpg</v>
      </c>
      <c r="AE4502" s="249" t="str">
        <f>HYPERLINK("https://scontent.cdninstagram.com/t51.2885-19/s150x150/14701076_1598337030462226_7312252327623131136_a.jpg")</f>
        <v>https://scontent.cdninstagram.com/t51.2885-19/s150x150/14701076_1598337030462226_7312252327623131136_a.jpg</v>
      </c>
    </row>
    <row r="4503" spans="1:31" ht="15" x14ac:dyDescent="0.25">
      <c r="A4503" t="s">
        <v>2474</v>
      </c>
      <c r="B4503" t="s">
        <v>18309</v>
      </c>
      <c r="C4503" s="221">
        <v>42981.945960648147</v>
      </c>
      <c r="D4503" t="s">
        <v>24419</v>
      </c>
      <c r="E4503" s="249" t="str">
        <f>HYPERLINK("https://www.instagram.com/p/BYmkxj2D2d6/")</f>
        <v>https://www.instagram.com/p/BYmkxj2D2d6/</v>
      </c>
      <c r="F4503" t="s">
        <v>24420</v>
      </c>
      <c r="G4503" t="s">
        <v>2478</v>
      </c>
      <c r="H4503">
        <v>21</v>
      </c>
      <c r="I4503" t="s">
        <v>2599</v>
      </c>
      <c r="J4503">
        <v>0</v>
      </c>
      <c r="K4503">
        <v>11</v>
      </c>
      <c r="L4503">
        <v>11</v>
      </c>
      <c r="Q4503">
        <v>0</v>
      </c>
      <c r="R4503">
        <v>0</v>
      </c>
      <c r="S4503">
        <v>11</v>
      </c>
      <c r="Y4503" t="s">
        <v>3269</v>
      </c>
      <c r="Z4503" t="s">
        <v>2906</v>
      </c>
      <c r="AA4503" t="s">
        <v>2497</v>
      </c>
      <c r="AB4503" t="s">
        <v>2968</v>
      </c>
      <c r="AC4503" t="s">
        <v>8753</v>
      </c>
      <c r="AD4503" s="249" t="str">
        <f>HYPERLINK("https://scontent.cdninstagram.com/t51.2885-15/s320x320/e35/21371715_1951911555090080_2203031765709225984_n.jpg")</f>
        <v>https://scontent.cdninstagram.com/t51.2885-15/s320x320/e35/21371715_1951911555090080_2203031765709225984_n.jpg</v>
      </c>
      <c r="AE4503" s="249" t="str">
        <f>HYPERLINK("https://scontent.cdninstagram.com/t51.2885-19/s150x150/21224635_116853155713206_6935607206414909440_a.jpg")</f>
        <v>https://scontent.cdninstagram.com/t51.2885-19/s150x150/21224635_116853155713206_6935607206414909440_a.jpg</v>
      </c>
    </row>
    <row r="4504" spans="1:31" ht="15" x14ac:dyDescent="0.25">
      <c r="A4504" t="s">
        <v>2474</v>
      </c>
      <c r="B4504" t="s">
        <v>3471</v>
      </c>
      <c r="C4504" s="221">
        <v>42981.955648148149</v>
      </c>
      <c r="D4504" t="s">
        <v>24421</v>
      </c>
      <c r="E4504" s="249" t="str">
        <f>HYPERLINK("https://www.instagram.com/p/BYmmXycnc56/")</f>
        <v>https://www.instagram.com/p/BYmmXycnc56/</v>
      </c>
      <c r="F4504" t="s">
        <v>24422</v>
      </c>
      <c r="G4504" t="s">
        <v>2478</v>
      </c>
      <c r="H4504">
        <v>189</v>
      </c>
      <c r="I4504" t="s">
        <v>2479</v>
      </c>
      <c r="J4504">
        <v>1</v>
      </c>
      <c r="K4504">
        <v>26</v>
      </c>
      <c r="L4504">
        <v>27</v>
      </c>
      <c r="Q4504">
        <v>0</v>
      </c>
      <c r="R4504">
        <v>0</v>
      </c>
      <c r="S4504">
        <v>27</v>
      </c>
      <c r="T4504" t="s">
        <v>3474</v>
      </c>
      <c r="V4504" t="s">
        <v>2258</v>
      </c>
      <c r="W4504">
        <v>1.2930600000000001</v>
      </c>
      <c r="X4504">
        <v>103.85599999999999</v>
      </c>
      <c r="Y4504" t="s">
        <v>9408</v>
      </c>
      <c r="Z4504" t="s">
        <v>16430</v>
      </c>
      <c r="AA4504" t="s">
        <v>6957</v>
      </c>
      <c r="AB4504" t="s">
        <v>2497</v>
      </c>
      <c r="AC4504" t="s">
        <v>5842</v>
      </c>
      <c r="AD4504" s="249" t="str">
        <f>HYPERLINK("https://scontent.cdninstagram.com/t51.2885-15/s320x320/e35/21373284_1943858382568543_5363174779761197056_n.jpg")</f>
        <v>https://scontent.cdninstagram.com/t51.2885-15/s320x320/e35/21373284_1943858382568543_5363174779761197056_n.jpg</v>
      </c>
      <c r="AE4504" s="249" t="str">
        <f>HYPERLINK("https://scontent.cdninstagram.com/t51.2885-19/s150x150/19986209_741127056067001_1270489010199855104_a.jpg")</f>
        <v>https://scontent.cdninstagram.com/t51.2885-19/s150x150/19986209_741127056067001_1270489010199855104_a.jpg</v>
      </c>
    </row>
    <row r="4505" spans="1:31" ht="15" x14ac:dyDescent="0.25">
      <c r="A4505" t="s">
        <v>2474</v>
      </c>
      <c r="B4505" t="s">
        <v>24423</v>
      </c>
      <c r="C4505" s="221">
        <v>42981.956504629627</v>
      </c>
      <c r="D4505" t="s">
        <v>24424</v>
      </c>
      <c r="E4505" s="249" t="str">
        <f>HYPERLINK("https://www.instagram.com/p/BYmmgzqBIY2/")</f>
        <v>https://www.instagram.com/p/BYmmgzqBIY2/</v>
      </c>
      <c r="F4505" t="s">
        <v>24425</v>
      </c>
      <c r="G4505" t="s">
        <v>2478</v>
      </c>
      <c r="H4505">
        <v>17</v>
      </c>
      <c r="I4505" t="s">
        <v>3170</v>
      </c>
      <c r="J4505">
        <v>0</v>
      </c>
      <c r="K4505">
        <v>9</v>
      </c>
      <c r="L4505">
        <v>9</v>
      </c>
      <c r="Q4505">
        <v>0</v>
      </c>
      <c r="R4505">
        <v>0</v>
      </c>
      <c r="S4505">
        <v>9</v>
      </c>
      <c r="Y4505" t="s">
        <v>24426</v>
      </c>
      <c r="Z4505" t="s">
        <v>24427</v>
      </c>
      <c r="AA4505" t="s">
        <v>2497</v>
      </c>
      <c r="AB4505" t="s">
        <v>24428</v>
      </c>
      <c r="AC4505" t="s">
        <v>24429</v>
      </c>
      <c r="AD4505" s="249" t="str">
        <f>HYPERLINK("https://scontent.cdninstagram.com/t51.2885-15/s320x320/e35/21372273_1135873186514349_178151360787644416_n.jpg")</f>
        <v>https://scontent.cdninstagram.com/t51.2885-15/s320x320/e35/21372273_1135873186514349_178151360787644416_n.jpg</v>
      </c>
      <c r="AE4505" s="249" t="str">
        <f>HYPERLINK("https://scontent.cdninstagram.com/t51.2885-19/s150x150/20902442_1101360606665238_1138052589821100032_a.jpg")</f>
        <v>https://scontent.cdninstagram.com/t51.2885-19/s150x150/20902442_1101360606665238_1138052589821100032_a.jpg</v>
      </c>
    </row>
    <row r="4506" spans="1:31" ht="15" x14ac:dyDescent="0.25">
      <c r="A4506" t="s">
        <v>2474</v>
      </c>
      <c r="B4506" t="s">
        <v>24430</v>
      </c>
      <c r="C4506" s="221">
        <v>42981.964224537034</v>
      </c>
      <c r="D4506" t="s">
        <v>24431</v>
      </c>
      <c r="E4506" s="249" t="str">
        <f>HYPERLINK("https://www.instagram.com/p/BYmnyIsnaxD/")</f>
        <v>https://www.instagram.com/p/BYmnyIsnaxD/</v>
      </c>
      <c r="F4506" t="s">
        <v>24432</v>
      </c>
      <c r="G4506" t="s">
        <v>2478</v>
      </c>
      <c r="H4506">
        <v>183</v>
      </c>
      <c r="I4506" t="s">
        <v>3170</v>
      </c>
      <c r="J4506">
        <v>0</v>
      </c>
      <c r="K4506">
        <v>53</v>
      </c>
      <c r="L4506">
        <v>53</v>
      </c>
      <c r="Q4506">
        <v>0</v>
      </c>
      <c r="R4506">
        <v>0</v>
      </c>
      <c r="S4506">
        <v>53</v>
      </c>
      <c r="T4506" t="s">
        <v>24433</v>
      </c>
      <c r="U4506" t="s">
        <v>182</v>
      </c>
      <c r="V4506" t="s">
        <v>2299</v>
      </c>
      <c r="W4506">
        <v>36.063119299999997</v>
      </c>
      <c r="X4506">
        <v>-86.809740199999993</v>
      </c>
      <c r="Y4506" t="s">
        <v>2497</v>
      </c>
      <c r="Z4506" t="s">
        <v>6698</v>
      </c>
      <c r="AA4506" t="s">
        <v>4388</v>
      </c>
      <c r="AB4506" t="s">
        <v>18694</v>
      </c>
      <c r="AC4506" t="s">
        <v>24434</v>
      </c>
      <c r="AD4506" s="249" t="str">
        <f>HYPERLINK("https://scontent.cdninstagram.com/t51.2885-15/e35/p320x320/21371828_708519689335736_1728362623084265472_n.jpg")</f>
        <v>https://scontent.cdninstagram.com/t51.2885-15/e35/p320x320/21371828_708519689335736_1728362623084265472_n.jpg</v>
      </c>
      <c r="AE4506" s="249" t="str">
        <f>HYPERLINK("https://scontent.cdninstagram.com/t51.2885-19/s150x150/20969043_1210647072368798_6222166254686306304_a.jpg")</f>
        <v>https://scontent.cdninstagram.com/t51.2885-19/s150x150/20969043_1210647072368798_6222166254686306304_a.jpg</v>
      </c>
    </row>
    <row r="4507" spans="1:31" ht="15" x14ac:dyDescent="0.25">
      <c r="A4507" t="s">
        <v>2474</v>
      </c>
      <c r="B4507" t="s">
        <v>24435</v>
      </c>
      <c r="C4507" s="221">
        <v>42981.970046296294</v>
      </c>
      <c r="D4507" t="s">
        <v>24436</v>
      </c>
      <c r="E4507" s="249" t="str">
        <f>HYPERLINK("https://www.instagram.com/p/BYmovmVDw5f/")</f>
        <v>https://www.instagram.com/p/BYmovmVDw5f/</v>
      </c>
      <c r="F4507" t="s">
        <v>24437</v>
      </c>
      <c r="G4507" t="s">
        <v>2478</v>
      </c>
      <c r="H4507">
        <v>28</v>
      </c>
      <c r="I4507" t="s">
        <v>2599</v>
      </c>
      <c r="J4507">
        <v>0</v>
      </c>
      <c r="K4507">
        <v>6</v>
      </c>
      <c r="L4507">
        <v>6</v>
      </c>
      <c r="Q4507">
        <v>0</v>
      </c>
      <c r="R4507">
        <v>0</v>
      </c>
      <c r="S4507">
        <v>6</v>
      </c>
      <c r="T4507" t="s">
        <v>20669</v>
      </c>
      <c r="U4507" t="s">
        <v>124</v>
      </c>
      <c r="V4507" t="s">
        <v>2299</v>
      </c>
      <c r="W4507">
        <v>44.98</v>
      </c>
      <c r="X4507">
        <v>-93.263599999999997</v>
      </c>
      <c r="Y4507" t="s">
        <v>24438</v>
      </c>
      <c r="Z4507" t="s">
        <v>24439</v>
      </c>
      <c r="AA4507" t="s">
        <v>2497</v>
      </c>
      <c r="AB4507" t="s">
        <v>7558</v>
      </c>
      <c r="AD4507" s="249" t="str">
        <f>HYPERLINK("https://scontent.cdninstagram.com/t51.2885-15/e35/p320x320/21295115_139974613273929_1064339419034550272_n.jpg")</f>
        <v>https://scontent.cdninstagram.com/t51.2885-15/e35/p320x320/21295115_139974613273929_1064339419034550272_n.jpg</v>
      </c>
      <c r="AE4507" s="249" t="str">
        <f>HYPERLINK("https://scontent.cdninstagram.com/t51.2885-19/s150x150/21373173_1832524033744557_3855995838480252928_a.jpg")</f>
        <v>https://scontent.cdninstagram.com/t51.2885-19/s150x150/21373173_1832524033744557_3855995838480252928_a.jpg</v>
      </c>
    </row>
    <row r="4508" spans="1:31" ht="15" x14ac:dyDescent="0.25">
      <c r="A4508" t="s">
        <v>2474</v>
      </c>
      <c r="B4508" t="s">
        <v>24440</v>
      </c>
      <c r="C4508" s="221">
        <v>42982.009467592594</v>
      </c>
      <c r="D4508" t="s">
        <v>24441</v>
      </c>
      <c r="E4508" s="249" t="str">
        <f>HYPERLINK("https://www.instagram.com/p/BYmvPS8lrZR/")</f>
        <v>https://www.instagram.com/p/BYmvPS8lrZR/</v>
      </c>
      <c r="F4508" t="s">
        <v>24442</v>
      </c>
      <c r="G4508" t="s">
        <v>2478</v>
      </c>
      <c r="H4508">
        <v>293</v>
      </c>
      <c r="I4508" t="s">
        <v>2479</v>
      </c>
      <c r="J4508">
        <v>0</v>
      </c>
      <c r="K4508">
        <v>58</v>
      </c>
      <c r="L4508">
        <v>58</v>
      </c>
      <c r="Q4508">
        <v>0</v>
      </c>
      <c r="R4508">
        <v>0</v>
      </c>
      <c r="S4508">
        <v>58</v>
      </c>
      <c r="Y4508" t="s">
        <v>24443</v>
      </c>
      <c r="Z4508" t="s">
        <v>2497</v>
      </c>
      <c r="AA4508" t="s">
        <v>24444</v>
      </c>
      <c r="AD4508" s="249" t="str">
        <f>HYPERLINK("https://scontent.cdninstagram.com/t51.2885-15/s320x320/e35/21296900_115234755827183_4027387294406148096_n.jpg")</f>
        <v>https://scontent.cdninstagram.com/t51.2885-15/s320x320/e35/21296900_115234755827183_4027387294406148096_n.jpg</v>
      </c>
      <c r="AE4508" s="249" t="str">
        <f>HYPERLINK("https://scontent.cdninstagram.com/t51.2885-19/s150x150/19623427_251585605340263_6705368440766464000_a.jpg")</f>
        <v>https://scontent.cdninstagram.com/t51.2885-19/s150x150/19623427_251585605340263_6705368440766464000_a.jpg</v>
      </c>
    </row>
    <row r="4509" spans="1:31" ht="15" x14ac:dyDescent="0.25">
      <c r="A4509" t="s">
        <v>2474</v>
      </c>
      <c r="B4509" t="s">
        <v>24445</v>
      </c>
      <c r="C4509" s="221">
        <v>42982.026539351849</v>
      </c>
      <c r="D4509" t="s">
        <v>24446</v>
      </c>
      <c r="E4509" s="249" t="str">
        <f>HYPERLINK("https://www.instagram.com/p/BYmyDXXHlPP/")</f>
        <v>https://www.instagram.com/p/BYmyDXXHlPP/</v>
      </c>
      <c r="F4509" t="s">
        <v>24447</v>
      </c>
      <c r="G4509" t="s">
        <v>2478</v>
      </c>
      <c r="I4509" t="s">
        <v>2479</v>
      </c>
      <c r="J4509">
        <v>1</v>
      </c>
      <c r="K4509">
        <v>51</v>
      </c>
      <c r="L4509">
        <v>52</v>
      </c>
      <c r="Q4509">
        <v>0</v>
      </c>
      <c r="R4509">
        <v>0</v>
      </c>
      <c r="S4509">
        <v>52</v>
      </c>
      <c r="Y4509" t="s">
        <v>3513</v>
      </c>
      <c r="Z4509" t="s">
        <v>24448</v>
      </c>
      <c r="AA4509" t="s">
        <v>24445</v>
      </c>
      <c r="AB4509" t="s">
        <v>24449</v>
      </c>
      <c r="AC4509" t="s">
        <v>24450</v>
      </c>
      <c r="AD4509" s="249" t="str">
        <f>HYPERLINK("https://scontent.cdninstagram.com/t51.2885-15/s320x320/e35/21294279_2116307378596617_4864249654713253888_n.jpg")</f>
        <v>https://scontent.cdninstagram.com/t51.2885-15/s320x320/e35/21294279_2116307378596617_4864249654713253888_n.jpg</v>
      </c>
      <c r="AE4509" s="249" t="str">
        <f>HYPERLINK("https://scontent.cdninstagram.com/t51.2885-19/11287912_832683886817621_21791721_a.jpg")</f>
        <v>https://scontent.cdninstagram.com/t51.2885-19/11287912_832683886817621_21791721_a.jpg</v>
      </c>
    </row>
    <row r="4510" spans="1:31" ht="15" x14ac:dyDescent="0.25">
      <c r="A4510" t="s">
        <v>2474</v>
      </c>
      <c r="B4510" t="s">
        <v>2738</v>
      </c>
      <c r="C4510" s="221">
        <v>42982.036180555559</v>
      </c>
      <c r="D4510" t="s">
        <v>24451</v>
      </c>
      <c r="E4510" s="249" t="str">
        <f>HYPERLINK("https://www.instagram.com/p/BYmzpEcAIsj/")</f>
        <v>https://www.instagram.com/p/BYmzpEcAIsj/</v>
      </c>
      <c r="F4510" t="s">
        <v>24452</v>
      </c>
      <c r="G4510" t="s">
        <v>2478</v>
      </c>
      <c r="H4510">
        <v>132</v>
      </c>
      <c r="I4510" t="s">
        <v>2479</v>
      </c>
      <c r="J4510">
        <v>0</v>
      </c>
      <c r="K4510">
        <v>30</v>
      </c>
      <c r="L4510">
        <v>30</v>
      </c>
      <c r="Q4510">
        <v>0</v>
      </c>
      <c r="R4510">
        <v>0</v>
      </c>
      <c r="S4510">
        <v>30</v>
      </c>
      <c r="Y4510" t="s">
        <v>2743</v>
      </c>
      <c r="Z4510" t="s">
        <v>6213</v>
      </c>
      <c r="AA4510" t="s">
        <v>2497</v>
      </c>
      <c r="AB4510" t="s">
        <v>2744</v>
      </c>
      <c r="AC4510" t="s">
        <v>19393</v>
      </c>
      <c r="AD4510" s="249" t="str">
        <f>HYPERLINK("https://scontent.cdninstagram.com/t51.2885-15/e35/p320x320/21294944_130223214276712_6858996964223090688_n.jpg")</f>
        <v>https://scontent.cdninstagram.com/t51.2885-15/e35/p320x320/21294944_130223214276712_6858996964223090688_n.jpg</v>
      </c>
      <c r="AE4510" s="249" t="str">
        <f>HYPERLINK("https://scontent.cdninstagram.com/t51.2885-19/s150x150/11899579_897822316961809_437222074_a.jpg")</f>
        <v>https://scontent.cdninstagram.com/t51.2885-19/s150x150/11899579_897822316961809_437222074_a.jpg</v>
      </c>
    </row>
    <row r="4511" spans="1:31" ht="15" x14ac:dyDescent="0.25">
      <c r="A4511" t="s">
        <v>2474</v>
      </c>
      <c r="B4511" t="s">
        <v>24453</v>
      </c>
      <c r="C4511" s="221">
        <v>42982.041377314818</v>
      </c>
      <c r="D4511" t="s">
        <v>24454</v>
      </c>
      <c r="E4511" s="249" t="str">
        <f>HYPERLINK("https://www.instagram.com/p/BYm0f4hA62h/")</f>
        <v>https://www.instagram.com/p/BYm0f4hA62h/</v>
      </c>
      <c r="F4511" t="s">
        <v>24455</v>
      </c>
      <c r="G4511" t="s">
        <v>2478</v>
      </c>
      <c r="H4511">
        <v>256</v>
      </c>
      <c r="I4511" t="s">
        <v>2510</v>
      </c>
      <c r="J4511">
        <v>1</v>
      </c>
      <c r="K4511">
        <v>74</v>
      </c>
      <c r="L4511">
        <v>75</v>
      </c>
      <c r="Q4511">
        <v>0</v>
      </c>
      <c r="R4511">
        <v>0</v>
      </c>
      <c r="S4511">
        <v>75</v>
      </c>
      <c r="T4511" t="s">
        <v>24456</v>
      </c>
      <c r="V4511" t="s">
        <v>2153</v>
      </c>
      <c r="W4511">
        <v>60.439335619851001</v>
      </c>
      <c r="X4511">
        <v>22.241361341261001</v>
      </c>
      <c r="Y4511" t="s">
        <v>24457</v>
      </c>
      <c r="Z4511" t="s">
        <v>2497</v>
      </c>
      <c r="AA4511" t="s">
        <v>24458</v>
      </c>
      <c r="AB4511" t="s">
        <v>24459</v>
      </c>
      <c r="AC4511" t="s">
        <v>24460</v>
      </c>
      <c r="AD4511" s="249" t="str">
        <f>HYPERLINK("https://scontent.cdninstagram.com/t51.2885-15/s320x320/e35/21372919_664077360455787_6461118534020759552_n.jpg")</f>
        <v>https://scontent.cdninstagram.com/t51.2885-15/s320x320/e35/21372919_664077360455787_6461118534020759552_n.jpg</v>
      </c>
      <c r="AE4511" s="249" t="str">
        <f>HYPERLINK("https://scontent.cdninstagram.com/t51.2885-19/s150x150/20688715_709625442571790_1193675856573104128_a.jpg")</f>
        <v>https://scontent.cdninstagram.com/t51.2885-19/s150x150/20688715_709625442571790_1193675856573104128_a.jpg</v>
      </c>
    </row>
    <row r="4512" spans="1:31" ht="15" x14ac:dyDescent="0.25">
      <c r="A4512" t="s">
        <v>2474</v>
      </c>
      <c r="B4512" t="s">
        <v>24461</v>
      </c>
      <c r="C4512" s="221">
        <v>42982.043275462966</v>
      </c>
      <c r="D4512" t="s">
        <v>24462</v>
      </c>
      <c r="E4512" s="249" t="str">
        <f>HYPERLINK("https://www.instagram.com/p/BYm0z9IDXeH/")</f>
        <v>https://www.instagram.com/p/BYm0z9IDXeH/</v>
      </c>
      <c r="F4512" t="s">
        <v>24463</v>
      </c>
      <c r="G4512" t="s">
        <v>2478</v>
      </c>
      <c r="H4512">
        <v>545</v>
      </c>
      <c r="I4512" t="s">
        <v>2479</v>
      </c>
      <c r="J4512">
        <v>3</v>
      </c>
      <c r="K4512">
        <v>72</v>
      </c>
      <c r="L4512">
        <v>75</v>
      </c>
      <c r="Q4512">
        <v>0</v>
      </c>
      <c r="R4512">
        <v>0</v>
      </c>
      <c r="S4512">
        <v>75</v>
      </c>
      <c r="T4512" t="s">
        <v>11619</v>
      </c>
      <c r="V4512" t="s">
        <v>2110</v>
      </c>
      <c r="W4512">
        <v>51.216700000000003</v>
      </c>
      <c r="X4512">
        <v>4.4000000000000004</v>
      </c>
      <c r="Y4512" t="s">
        <v>3982</v>
      </c>
      <c r="Z4512" t="s">
        <v>2497</v>
      </c>
      <c r="AA4512" t="s">
        <v>5229</v>
      </c>
      <c r="AB4512" t="s">
        <v>14607</v>
      </c>
      <c r="AC4512" t="s">
        <v>2913</v>
      </c>
      <c r="AD4512" s="249" t="str">
        <f>HYPERLINK("https://scontent.cdninstagram.com/t51.2885-15/e35/21294564_473570473014907_5011014575617736704_n.jpg")</f>
        <v>https://scontent.cdninstagram.com/t51.2885-15/e35/21294564_473570473014907_5011014575617736704_n.jpg</v>
      </c>
      <c r="AE4512" s="249" t="str">
        <f>HYPERLINK("https://scontent.cdninstagram.com/t51.2885-19/s150x150/14693873_350074015338449_8558633703570407424_a.jpg")</f>
        <v>https://scontent.cdninstagram.com/t51.2885-19/s150x150/14693873_350074015338449_8558633703570407424_a.jpg</v>
      </c>
    </row>
    <row r="4513" spans="1:31" ht="15" x14ac:dyDescent="0.25">
      <c r="A4513" t="s">
        <v>2474</v>
      </c>
      <c r="B4513" t="s">
        <v>24464</v>
      </c>
      <c r="C4513" s="221">
        <v>42982.046979166669</v>
      </c>
      <c r="D4513" t="s">
        <v>24465</v>
      </c>
      <c r="E4513" s="249" t="str">
        <f>HYPERLINK("https://www.instagram.com/p/BYm1bATAP05/")</f>
        <v>https://www.instagram.com/p/BYm1bATAP05/</v>
      </c>
      <c r="F4513" t="s">
        <v>24466</v>
      </c>
      <c r="G4513" t="s">
        <v>2478</v>
      </c>
      <c r="H4513">
        <v>139</v>
      </c>
      <c r="I4513" t="s">
        <v>2479</v>
      </c>
      <c r="J4513">
        <v>3</v>
      </c>
      <c r="K4513">
        <v>36</v>
      </c>
      <c r="L4513">
        <v>39</v>
      </c>
      <c r="Q4513">
        <v>0</v>
      </c>
      <c r="R4513">
        <v>0</v>
      </c>
      <c r="S4513">
        <v>39</v>
      </c>
      <c r="Y4513" t="s">
        <v>24467</v>
      </c>
      <c r="Z4513" t="s">
        <v>24468</v>
      </c>
      <c r="AA4513" t="s">
        <v>2497</v>
      </c>
      <c r="AB4513" t="s">
        <v>24469</v>
      </c>
      <c r="AC4513" t="s">
        <v>24470</v>
      </c>
      <c r="AD4513" s="249" t="str">
        <f>HYPERLINK("https://scontent.cdninstagram.com/t51.2885-15/e35/p320x320/21296379_386746271741187_2443850994312806400_n.jpg")</f>
        <v>https://scontent.cdninstagram.com/t51.2885-15/e35/p320x320/21296379_386746271741187_2443850994312806400_n.jpg</v>
      </c>
      <c r="AE4513" s="249" t="str">
        <f>HYPERLINK("https://scontent.cdninstagram.com/t51.2885-19/s150x150/14597299_1139313602825192_3635070808197431296_a.jpg")</f>
        <v>https://scontent.cdninstagram.com/t51.2885-19/s150x150/14597299_1139313602825192_3635070808197431296_a.jpg</v>
      </c>
    </row>
    <row r="4514" spans="1:31" ht="15" x14ac:dyDescent="0.25">
      <c r="A4514" t="s">
        <v>2474</v>
      </c>
      <c r="B4514" t="s">
        <v>4458</v>
      </c>
      <c r="C4514" s="221">
        <v>42982.051793981482</v>
      </c>
      <c r="D4514" t="s">
        <v>24471</v>
      </c>
      <c r="E4514" s="249" t="str">
        <f>HYPERLINK("https://www.instagram.com/p/BYm2N0LnJNl/")</f>
        <v>https://www.instagram.com/p/BYm2N0LnJNl/</v>
      </c>
      <c r="F4514" t="s">
        <v>24472</v>
      </c>
      <c r="G4514" t="s">
        <v>2478</v>
      </c>
      <c r="H4514">
        <v>292</v>
      </c>
      <c r="I4514" t="s">
        <v>2479</v>
      </c>
      <c r="J4514">
        <v>1</v>
      </c>
      <c r="K4514">
        <v>40</v>
      </c>
      <c r="L4514">
        <v>41</v>
      </c>
      <c r="Q4514">
        <v>0</v>
      </c>
      <c r="R4514">
        <v>0</v>
      </c>
      <c r="S4514">
        <v>41</v>
      </c>
      <c r="Y4514" t="s">
        <v>2497</v>
      </c>
      <c r="Z4514" t="s">
        <v>3590</v>
      </c>
      <c r="AA4514" t="s">
        <v>24473</v>
      </c>
      <c r="AB4514" t="s">
        <v>24474</v>
      </c>
      <c r="AC4514" t="s">
        <v>4464</v>
      </c>
      <c r="AD4514" s="249" t="str">
        <f>HYPERLINK("https://scontent.cdninstagram.com/t51.2885-15/s320x320/e15/21296438_1909645485941464_7454337422097121280_n.jpg")</f>
        <v>https://scontent.cdninstagram.com/t51.2885-15/s320x320/e15/21296438_1909645485941464_7454337422097121280_n.jpg</v>
      </c>
      <c r="AE4514" s="249" t="str">
        <f>HYPERLINK("https://scontent.cdninstagram.com/t51.2885-19/s150x150/20759354_454475268249302_8859091383462395904_a.jpg")</f>
        <v>https://scontent.cdninstagram.com/t51.2885-19/s150x150/20759354_454475268249302_8859091383462395904_a.jpg</v>
      </c>
    </row>
    <row r="4515" spans="1:31" ht="15" x14ac:dyDescent="0.25">
      <c r="A4515" t="s">
        <v>2474</v>
      </c>
      <c r="B4515" t="s">
        <v>8312</v>
      </c>
      <c r="C4515" s="221">
        <v>42982.054270833331</v>
      </c>
      <c r="D4515" t="s">
        <v>24475</v>
      </c>
      <c r="E4515" s="249" t="str">
        <f>HYPERLINK("https://www.instagram.com/p/BYm2n7qFIat/")</f>
        <v>https://www.instagram.com/p/BYm2n7qFIat/</v>
      </c>
      <c r="F4515" t="s">
        <v>24476</v>
      </c>
      <c r="G4515" t="s">
        <v>2478</v>
      </c>
      <c r="H4515">
        <v>27</v>
      </c>
      <c r="I4515" t="s">
        <v>2542</v>
      </c>
      <c r="J4515">
        <v>0</v>
      </c>
      <c r="K4515">
        <v>24</v>
      </c>
      <c r="L4515">
        <v>24</v>
      </c>
      <c r="Q4515">
        <v>0</v>
      </c>
      <c r="R4515">
        <v>0</v>
      </c>
      <c r="S4515">
        <v>24</v>
      </c>
      <c r="T4515" t="s">
        <v>10329</v>
      </c>
      <c r="V4515" t="s">
        <v>2264</v>
      </c>
      <c r="W4515">
        <v>42.764014243490003</v>
      </c>
      <c r="X4515">
        <v>-7.9069180053236003</v>
      </c>
      <c r="Y4515" t="s">
        <v>3945</v>
      </c>
      <c r="Z4515" t="s">
        <v>2497</v>
      </c>
      <c r="AA4515" t="s">
        <v>6164</v>
      </c>
      <c r="AB4515" t="s">
        <v>2832</v>
      </c>
      <c r="AC4515" t="s">
        <v>12910</v>
      </c>
      <c r="AD4515" s="249" t="str">
        <f>HYPERLINK("https://scontent.cdninstagram.com/t51.2885-15/s320x320/e35/21296692_396090877460332_3232649316208214016_n.jpg")</f>
        <v>https://scontent.cdninstagram.com/t51.2885-15/s320x320/e35/21296692_396090877460332_3232649316208214016_n.jpg</v>
      </c>
      <c r="AE4515" s="249" t="str">
        <f>HYPERLINK("https://scontent.cdninstagram.com/t51.2885-19/s150x150/20347739_515336592144896_3974966673097621504_a.jpg")</f>
        <v>https://scontent.cdninstagram.com/t51.2885-19/s150x150/20347739_515336592144896_3974966673097621504_a.jpg</v>
      </c>
    </row>
    <row r="4516" spans="1:31" ht="15" x14ac:dyDescent="0.25">
      <c r="A4516" t="s">
        <v>2474</v>
      </c>
      <c r="B4516" t="s">
        <v>2516</v>
      </c>
      <c r="C4516" s="221">
        <v>42982.05667824074</v>
      </c>
      <c r="D4516" t="s">
        <v>24477</v>
      </c>
      <c r="E4516" s="249" t="str">
        <f>HYPERLINK("https://www.instagram.com/p/BYm3BSYjDir/")</f>
        <v>https://www.instagram.com/p/BYm3BSYjDir/</v>
      </c>
      <c r="F4516" t="s">
        <v>24478</v>
      </c>
      <c r="G4516" t="s">
        <v>2478</v>
      </c>
      <c r="H4516">
        <v>690</v>
      </c>
      <c r="I4516" t="s">
        <v>2519</v>
      </c>
      <c r="J4516">
        <v>0</v>
      </c>
      <c r="K4516">
        <v>26</v>
      </c>
      <c r="L4516">
        <v>26</v>
      </c>
      <c r="Q4516">
        <v>0</v>
      </c>
      <c r="R4516">
        <v>0</v>
      </c>
      <c r="S4516">
        <v>26</v>
      </c>
      <c r="Y4516" t="s">
        <v>2524</v>
      </c>
      <c r="Z4516" t="s">
        <v>11247</v>
      </c>
      <c r="AA4516" t="s">
        <v>2753</v>
      </c>
      <c r="AB4516" t="s">
        <v>2497</v>
      </c>
      <c r="AC4516" t="s">
        <v>6719</v>
      </c>
      <c r="AD4516" s="249" t="str">
        <f>HYPERLINK("https://scontent.cdninstagram.com/t51.2885-15/s320x320/e35/21297034_1644335035577027_243274025751543808_n.jpg")</f>
        <v>https://scontent.cdninstagram.com/t51.2885-15/s320x320/e35/21297034_1644335035577027_243274025751543808_n.jpg</v>
      </c>
      <c r="AE4516" s="249" t="str">
        <f>HYPERLINK("https://scontent.cdninstagram.com/t51.2885-19/s150x150/21372563_140209839921980_5104164354614362112_a.jpg")</f>
        <v>https://scontent.cdninstagram.com/t51.2885-19/s150x150/21372563_140209839921980_5104164354614362112_a.jpg</v>
      </c>
    </row>
    <row r="4517" spans="1:31" ht="15" x14ac:dyDescent="0.25">
      <c r="A4517" t="s">
        <v>2474</v>
      </c>
      <c r="B4517" t="s">
        <v>14261</v>
      </c>
      <c r="C4517" s="221">
        <v>42982.065127314818</v>
      </c>
      <c r="D4517" t="s">
        <v>24479</v>
      </c>
      <c r="E4517" s="249" t="str">
        <f>HYPERLINK("https://www.instagram.com/p/BYm4aYAnoHm/")</f>
        <v>https://www.instagram.com/p/BYm4aYAnoHm/</v>
      </c>
      <c r="F4517" t="s">
        <v>24480</v>
      </c>
      <c r="G4517" t="s">
        <v>2478</v>
      </c>
      <c r="H4517">
        <v>290</v>
      </c>
      <c r="I4517" t="s">
        <v>2479</v>
      </c>
      <c r="J4517">
        <v>0</v>
      </c>
      <c r="K4517">
        <v>5</v>
      </c>
      <c r="L4517">
        <v>5</v>
      </c>
      <c r="Q4517">
        <v>0</v>
      </c>
      <c r="R4517">
        <v>0</v>
      </c>
      <c r="S4517">
        <v>5</v>
      </c>
      <c r="Y4517" t="s">
        <v>2492</v>
      </c>
      <c r="Z4517" t="s">
        <v>5989</v>
      </c>
      <c r="AA4517" t="s">
        <v>2497</v>
      </c>
      <c r="AD4517" s="249" t="str">
        <f>HYPERLINK("https://scontent.cdninstagram.com/t51.2885-15/e35/21296350_153049398612624_8820244276148436992_n.jpg")</f>
        <v>https://scontent.cdninstagram.com/t51.2885-15/e35/21296350_153049398612624_8820244276148436992_n.jpg</v>
      </c>
      <c r="AE4517" s="249" t="str">
        <f>HYPERLINK("https://scontent.cdninstagram.com/t51.2885-19/s150x150/19622798_445440812500533_2515259704691654656_a.jpg")</f>
        <v>https://scontent.cdninstagram.com/t51.2885-19/s150x150/19622798_445440812500533_2515259704691654656_a.jpg</v>
      </c>
    </row>
    <row r="4518" spans="1:31" ht="15" x14ac:dyDescent="0.25">
      <c r="A4518" t="s">
        <v>2474</v>
      </c>
      <c r="B4518" t="s">
        <v>24481</v>
      </c>
      <c r="C4518" s="221">
        <v>42982.067303240743</v>
      </c>
      <c r="D4518" t="s">
        <v>24482</v>
      </c>
      <c r="E4518" s="249" t="str">
        <f>HYPERLINK("https://www.instagram.com/p/BYm4xUeDln7/")</f>
        <v>https://www.instagram.com/p/BYm4xUeDln7/</v>
      </c>
      <c r="F4518" t="s">
        <v>24483</v>
      </c>
      <c r="G4518" t="s">
        <v>2478</v>
      </c>
      <c r="H4518">
        <v>474</v>
      </c>
      <c r="I4518" t="s">
        <v>2542</v>
      </c>
      <c r="J4518">
        <v>0</v>
      </c>
      <c r="K4518">
        <v>11</v>
      </c>
      <c r="L4518">
        <v>11</v>
      </c>
      <c r="Q4518">
        <v>0</v>
      </c>
      <c r="R4518">
        <v>0</v>
      </c>
      <c r="S4518">
        <v>11</v>
      </c>
      <c r="T4518" t="s">
        <v>24484</v>
      </c>
      <c r="V4518" t="s">
        <v>2238</v>
      </c>
      <c r="W4518">
        <v>14.65213</v>
      </c>
      <c r="X4518">
        <v>120.98820000000001</v>
      </c>
      <c r="Y4518" t="s">
        <v>2497</v>
      </c>
      <c r="Z4518" t="s">
        <v>24485</v>
      </c>
      <c r="AA4518" t="s">
        <v>24486</v>
      </c>
      <c r="AB4518" t="s">
        <v>24487</v>
      </c>
      <c r="AC4518" t="s">
        <v>24488</v>
      </c>
      <c r="AD4518" s="249" t="str">
        <f>HYPERLINK("https://scontent.cdninstagram.com/t51.2885-15/s320x320/e35/21295223_1425120264251475_5411773180823994368_n.jpg")</f>
        <v>https://scontent.cdninstagram.com/t51.2885-15/s320x320/e35/21295223_1425120264251475_5411773180823994368_n.jpg</v>
      </c>
      <c r="AE4518" s="249" t="str">
        <f>HYPERLINK("https://scontent.cdninstagram.com/t51.2885-19/s150x150/16583962_481148022276852_4632298386819645440_a.jpg")</f>
        <v>https://scontent.cdninstagram.com/t51.2885-19/s150x150/16583962_481148022276852_4632298386819645440_a.jpg</v>
      </c>
    </row>
    <row r="4519" spans="1:31" ht="15" x14ac:dyDescent="0.25">
      <c r="A4519" t="s">
        <v>2474</v>
      </c>
      <c r="B4519" t="s">
        <v>12642</v>
      </c>
      <c r="C4519" s="221">
        <v>42982.072743055556</v>
      </c>
      <c r="D4519" t="s">
        <v>24489</v>
      </c>
      <c r="E4519" s="249" t="str">
        <f>HYPERLINK("https://www.instagram.com/p/BYm5qrxHDHe/")</f>
        <v>https://www.instagram.com/p/BYm5qrxHDHe/</v>
      </c>
      <c r="F4519" t="s">
        <v>24490</v>
      </c>
      <c r="G4519" t="s">
        <v>2478</v>
      </c>
      <c r="H4519">
        <v>2485</v>
      </c>
      <c r="I4519" t="s">
        <v>2479</v>
      </c>
      <c r="J4519">
        <v>6</v>
      </c>
      <c r="K4519">
        <v>99</v>
      </c>
      <c r="L4519">
        <v>105</v>
      </c>
      <c r="Q4519">
        <v>0</v>
      </c>
      <c r="R4519">
        <v>0</v>
      </c>
      <c r="S4519">
        <v>105</v>
      </c>
      <c r="T4519" t="s">
        <v>24491</v>
      </c>
      <c r="V4519" t="s">
        <v>2204</v>
      </c>
      <c r="W4519">
        <v>3.1475350999999998</v>
      </c>
      <c r="X4519">
        <v>101.7370272</v>
      </c>
      <c r="Y4519" t="s">
        <v>24492</v>
      </c>
      <c r="Z4519" t="s">
        <v>22434</v>
      </c>
      <c r="AA4519" t="s">
        <v>2497</v>
      </c>
      <c r="AB4519" t="s">
        <v>24493</v>
      </c>
      <c r="AC4519" t="s">
        <v>4987</v>
      </c>
      <c r="AD4519" s="249" t="str">
        <f>HYPERLINK("https://scontent.cdninstagram.com/t51.2885-15/s320x320/e35/21373030_1079190395516655_5658216561727504384_n.jpg")</f>
        <v>https://scontent.cdninstagram.com/t51.2885-15/s320x320/e35/21373030_1079190395516655_5658216561727504384_n.jpg</v>
      </c>
      <c r="AE4519" s="249" t="str">
        <f>HYPERLINK("https://scontent.cdninstagram.com/t51.2885-19/s150x150/21107897_204688576732133_4385488460522192896_a.jpg")</f>
        <v>https://scontent.cdninstagram.com/t51.2885-19/s150x150/21107897_204688576732133_4385488460522192896_a.jpg</v>
      </c>
    </row>
    <row r="4520" spans="1:31" ht="15" x14ac:dyDescent="0.25">
      <c r="A4520" t="s">
        <v>2474</v>
      </c>
      <c r="B4520" t="s">
        <v>24494</v>
      </c>
      <c r="C4520" s="221">
        <v>42982.073078703703</v>
      </c>
      <c r="D4520" t="s">
        <v>24495</v>
      </c>
      <c r="E4520" s="249" t="str">
        <f>HYPERLINK("https://www.instagram.com/p/BYm5uO6lggF/")</f>
        <v>https://www.instagram.com/p/BYm5uO6lggF/</v>
      </c>
      <c r="F4520" t="s">
        <v>24496</v>
      </c>
      <c r="G4520" t="s">
        <v>2478</v>
      </c>
      <c r="H4520">
        <v>57</v>
      </c>
      <c r="I4520" t="s">
        <v>2599</v>
      </c>
      <c r="J4520">
        <v>0</v>
      </c>
      <c r="K4520">
        <v>9</v>
      </c>
      <c r="L4520">
        <v>9</v>
      </c>
      <c r="Q4520">
        <v>0</v>
      </c>
      <c r="R4520">
        <v>0</v>
      </c>
      <c r="S4520">
        <v>9</v>
      </c>
      <c r="Y4520" t="s">
        <v>2497</v>
      </c>
      <c r="Z4520" t="s">
        <v>24497</v>
      </c>
      <c r="AA4520" t="s">
        <v>24498</v>
      </c>
      <c r="AB4520" t="s">
        <v>6045</v>
      </c>
      <c r="AC4520" t="s">
        <v>22148</v>
      </c>
      <c r="AD4520" s="249" t="str">
        <f>HYPERLINK("https://scontent.cdninstagram.com/t51.2885-15/s320x320/e35/21296923_188814908327700_1601340438478848000_n.jpg")</f>
        <v>https://scontent.cdninstagram.com/t51.2885-15/s320x320/e35/21296923_188814908327700_1601340438478848000_n.jpg</v>
      </c>
      <c r="AE4520" s="249" t="str">
        <f>HYPERLINK("https://scontent.cdninstagram.com/t51.2885-19/s150x150/18949553_445084405850957_7910456424876998656_a.jpg")</f>
        <v>https://scontent.cdninstagram.com/t51.2885-19/s150x150/18949553_445084405850957_7910456424876998656_a.jpg</v>
      </c>
    </row>
    <row r="4521" spans="1:31" ht="15" x14ac:dyDescent="0.25">
      <c r="A4521" t="s">
        <v>2474</v>
      </c>
      <c r="B4521" t="s">
        <v>24499</v>
      </c>
      <c r="C4521" s="221">
        <v>42982.081226851849</v>
      </c>
      <c r="D4521" t="s">
        <v>24500</v>
      </c>
      <c r="E4521" s="249" t="str">
        <f>HYPERLINK("https://www.instagram.com/p/BYm7EPhj0HZ/")</f>
        <v>https://www.instagram.com/p/BYm7EPhj0HZ/</v>
      </c>
      <c r="F4521" t="s">
        <v>24501</v>
      </c>
      <c r="G4521" t="s">
        <v>2478</v>
      </c>
      <c r="H4521">
        <v>336</v>
      </c>
      <c r="I4521" t="s">
        <v>2599</v>
      </c>
      <c r="J4521">
        <v>0</v>
      </c>
      <c r="K4521">
        <v>17</v>
      </c>
      <c r="L4521">
        <v>17</v>
      </c>
      <c r="Q4521">
        <v>0</v>
      </c>
      <c r="R4521">
        <v>0</v>
      </c>
      <c r="S4521">
        <v>17</v>
      </c>
      <c r="Y4521" t="s">
        <v>2497</v>
      </c>
      <c r="Z4521" t="s">
        <v>6864</v>
      </c>
      <c r="AD4521" s="249" t="str">
        <f>HYPERLINK("https://scontent.cdninstagram.com/t51.2885-15/s320x320/e35/21296342_1765327203507916_8866391616684818432_n.jpg")</f>
        <v>https://scontent.cdninstagram.com/t51.2885-15/s320x320/e35/21296342_1765327203507916_8866391616684818432_n.jpg</v>
      </c>
      <c r="AE4521" s="249" t="str">
        <f>HYPERLINK("https://scontent.cdninstagram.com/t51.2885-19/s150x150/21295152_168717110359366_4162242773509996544_a.jpg")</f>
        <v>https://scontent.cdninstagram.com/t51.2885-19/s150x150/21295152_168717110359366_4162242773509996544_a.jpg</v>
      </c>
    </row>
    <row r="4522" spans="1:31" ht="15" x14ac:dyDescent="0.25">
      <c r="A4522" t="s">
        <v>2474</v>
      </c>
      <c r="B4522" t="s">
        <v>24502</v>
      </c>
      <c r="C4522" s="221">
        <v>42982.09306712963</v>
      </c>
      <c r="D4522" t="s">
        <v>24503</v>
      </c>
      <c r="E4522" s="249" t="str">
        <f>HYPERLINK("https://www.instagram.com/p/BYm9BFdgvjB/")</f>
        <v>https://www.instagram.com/p/BYm9BFdgvjB/</v>
      </c>
      <c r="F4522" t="s">
        <v>24504</v>
      </c>
      <c r="G4522" t="s">
        <v>2478</v>
      </c>
      <c r="H4522">
        <v>40</v>
      </c>
      <c r="I4522" t="s">
        <v>2479</v>
      </c>
      <c r="J4522">
        <v>4</v>
      </c>
      <c r="K4522">
        <v>8</v>
      </c>
      <c r="L4522">
        <v>12</v>
      </c>
      <c r="Q4522">
        <v>0</v>
      </c>
      <c r="R4522">
        <v>0</v>
      </c>
      <c r="S4522">
        <v>12</v>
      </c>
      <c r="Y4522" t="s">
        <v>24505</v>
      </c>
      <c r="Z4522" t="s">
        <v>2497</v>
      </c>
      <c r="AA4522" t="s">
        <v>24506</v>
      </c>
      <c r="AB4522" t="s">
        <v>7848</v>
      </c>
      <c r="AC4522" t="s">
        <v>13648</v>
      </c>
      <c r="AD4522" s="249" t="str">
        <f>HYPERLINK("https://scontent.cdninstagram.com/t51.2885-15/s320x320/e35/21372158_269989463518821_4646366358924165120_n.jpg")</f>
        <v>https://scontent.cdninstagram.com/t51.2885-15/s320x320/e35/21372158_269989463518821_4646366358924165120_n.jpg</v>
      </c>
      <c r="AE4522" s="249" t="str">
        <f>HYPERLINK("https://scontent.cdninstagram.com/t51.2885-19/s150x150/21227598_124065338175429_5713042901592702976_n.jpg")</f>
        <v>https://scontent.cdninstagram.com/t51.2885-19/s150x150/21227598_124065338175429_5713042901592702976_n.jpg</v>
      </c>
    </row>
    <row r="4523" spans="1:31" ht="15" x14ac:dyDescent="0.25">
      <c r="A4523" t="s">
        <v>2474</v>
      </c>
      <c r="B4523" t="s">
        <v>24507</v>
      </c>
      <c r="C4523" s="221">
        <v>42982.100914351853</v>
      </c>
      <c r="D4523" t="s">
        <v>24508</v>
      </c>
      <c r="E4523" s="249" t="str">
        <f>HYPERLINK("https://www.instagram.com/p/BYm-T3Yhohf/")</f>
        <v>https://www.instagram.com/p/BYm-T3Yhohf/</v>
      </c>
      <c r="F4523" t="s">
        <v>24509</v>
      </c>
      <c r="G4523" t="s">
        <v>2488</v>
      </c>
      <c r="H4523">
        <v>147</v>
      </c>
      <c r="I4523" t="s">
        <v>2479</v>
      </c>
      <c r="J4523">
        <v>5</v>
      </c>
      <c r="K4523">
        <v>60</v>
      </c>
      <c r="L4523">
        <v>65</v>
      </c>
      <c r="Q4523">
        <v>0</v>
      </c>
      <c r="R4523">
        <v>0</v>
      </c>
      <c r="S4523">
        <v>65</v>
      </c>
      <c r="T4523" t="s">
        <v>24510</v>
      </c>
      <c r="V4523" t="s">
        <v>2276</v>
      </c>
      <c r="W4523">
        <v>8.0479267309204001</v>
      </c>
      <c r="X4523">
        <v>98.351840972900007</v>
      </c>
      <c r="Y4523" t="s">
        <v>24511</v>
      </c>
      <c r="Z4523" t="s">
        <v>4158</v>
      </c>
      <c r="AA4523" t="s">
        <v>2497</v>
      </c>
      <c r="AB4523" t="s">
        <v>24512</v>
      </c>
      <c r="AC4523" t="s">
        <v>24513</v>
      </c>
      <c r="AD4523" s="249" t="str">
        <f>HYPERLINK("https://scontent.cdninstagram.com/t51.2885-15/s320x320/e35/21296984_120345398623026_7492285481086877696_n.jpg")</f>
        <v>https://scontent.cdninstagram.com/t51.2885-15/s320x320/e35/21296984_120345398623026_7492285481086877696_n.jpg</v>
      </c>
      <c r="AE4523" s="249" t="str">
        <f>HYPERLINK("https://scontent.cdninstagram.com/t51.2885-19/s150x150/14031581_1061357300638576_1211948941_a.jpg")</f>
        <v>https://scontent.cdninstagram.com/t51.2885-19/s150x150/14031581_1061357300638576_1211948941_a.jpg</v>
      </c>
    </row>
    <row r="4524" spans="1:31" ht="15" x14ac:dyDescent="0.25">
      <c r="A4524" t="s">
        <v>2474</v>
      </c>
      <c r="B4524" t="s">
        <v>24514</v>
      </c>
      <c r="C4524" s="221">
        <v>42982.106747685182</v>
      </c>
      <c r="D4524" t="s">
        <v>24515</v>
      </c>
      <c r="E4524" s="249" t="str">
        <f>HYPERLINK("https://www.instagram.com/p/BYm_RXJgpRP/")</f>
        <v>https://www.instagram.com/p/BYm_RXJgpRP/</v>
      </c>
      <c r="F4524" t="s">
        <v>24516</v>
      </c>
      <c r="G4524" t="s">
        <v>2478</v>
      </c>
      <c r="H4524">
        <v>241</v>
      </c>
      <c r="I4524" t="s">
        <v>2510</v>
      </c>
      <c r="J4524">
        <v>0</v>
      </c>
      <c r="K4524">
        <v>12</v>
      </c>
      <c r="L4524">
        <v>12</v>
      </c>
      <c r="Q4524">
        <v>0</v>
      </c>
      <c r="R4524">
        <v>0</v>
      </c>
      <c r="S4524">
        <v>12</v>
      </c>
      <c r="Y4524" t="s">
        <v>24517</v>
      </c>
      <c r="Z4524" t="s">
        <v>5162</v>
      </c>
      <c r="AA4524" t="s">
        <v>24518</v>
      </c>
      <c r="AB4524" t="s">
        <v>16594</v>
      </c>
      <c r="AC4524" t="s">
        <v>3956</v>
      </c>
      <c r="AD4524" s="249" t="str">
        <f>HYPERLINK("https://scontent.cdninstagram.com/t51.2885-15/s320x320/e35/21373399_1404660802987651_2944032904100970496_n.jpg")</f>
        <v>https://scontent.cdninstagram.com/t51.2885-15/s320x320/e35/21373399_1404660802987651_2944032904100970496_n.jpg</v>
      </c>
      <c r="AE4524" s="249" t="str">
        <f>HYPERLINK("https://scontent.cdninstagram.com/t51.2885-19/s150x150/20634597_301405753602529_662124965943836672_a.jpg")</f>
        <v>https://scontent.cdninstagram.com/t51.2885-19/s150x150/20634597_301405753602529_662124965943836672_a.jpg</v>
      </c>
    </row>
    <row r="4525" spans="1:31" ht="15" x14ac:dyDescent="0.25">
      <c r="A4525" t="s">
        <v>2474</v>
      </c>
      <c r="B4525" t="s">
        <v>24514</v>
      </c>
      <c r="C4525" s="221">
        <v>42982.107395833336</v>
      </c>
      <c r="D4525" t="s">
        <v>24519</v>
      </c>
      <c r="E4525" s="249" t="str">
        <f>HYPERLINK("https://www.instagram.com/p/BYm_YNnAj9X/")</f>
        <v>https://www.instagram.com/p/BYm_YNnAj9X/</v>
      </c>
      <c r="F4525" t="s">
        <v>24520</v>
      </c>
      <c r="G4525" t="s">
        <v>2478</v>
      </c>
      <c r="H4525">
        <v>241</v>
      </c>
      <c r="I4525" t="s">
        <v>2510</v>
      </c>
      <c r="J4525">
        <v>0</v>
      </c>
      <c r="K4525">
        <v>12</v>
      </c>
      <c r="L4525">
        <v>12</v>
      </c>
      <c r="Q4525">
        <v>0</v>
      </c>
      <c r="R4525">
        <v>0</v>
      </c>
      <c r="S4525">
        <v>12</v>
      </c>
      <c r="Y4525" t="s">
        <v>24517</v>
      </c>
      <c r="Z4525" t="s">
        <v>5162</v>
      </c>
      <c r="AA4525" t="s">
        <v>24518</v>
      </c>
      <c r="AB4525" t="s">
        <v>16594</v>
      </c>
      <c r="AC4525" t="s">
        <v>3956</v>
      </c>
      <c r="AD4525" s="249" t="str">
        <f>HYPERLINK("https://scontent.cdninstagram.com/t51.2885-15/s320x320/e35/21373692_1426293514152408_7199080922921041920_n.jpg")</f>
        <v>https://scontent.cdninstagram.com/t51.2885-15/s320x320/e35/21373692_1426293514152408_7199080922921041920_n.jpg</v>
      </c>
      <c r="AE4525" s="249" t="str">
        <f>HYPERLINK("https://scontent.cdninstagram.com/t51.2885-19/s150x150/20634597_301405753602529_662124965943836672_a.jpg")</f>
        <v>https://scontent.cdninstagram.com/t51.2885-19/s150x150/20634597_301405753602529_662124965943836672_a.jpg</v>
      </c>
    </row>
    <row r="4526" spans="1:31" ht="15" x14ac:dyDescent="0.25">
      <c r="A4526" t="s">
        <v>2474</v>
      </c>
      <c r="B4526" t="s">
        <v>24514</v>
      </c>
      <c r="C4526" s="221">
        <v>42982.111168981479</v>
      </c>
      <c r="D4526" t="s">
        <v>24521</v>
      </c>
      <c r="E4526" s="249" t="str">
        <f>HYPERLINK("https://www.instagram.com/p/BYm__-YAVbI/")</f>
        <v>https://www.instagram.com/p/BYm__-YAVbI/</v>
      </c>
      <c r="F4526" t="s">
        <v>24522</v>
      </c>
      <c r="G4526" t="s">
        <v>2478</v>
      </c>
      <c r="H4526">
        <v>241</v>
      </c>
      <c r="I4526" t="s">
        <v>2510</v>
      </c>
      <c r="J4526">
        <v>0</v>
      </c>
      <c r="K4526">
        <v>32</v>
      </c>
      <c r="L4526">
        <v>32</v>
      </c>
      <c r="Q4526">
        <v>0</v>
      </c>
      <c r="R4526">
        <v>0</v>
      </c>
      <c r="S4526">
        <v>32</v>
      </c>
      <c r="Y4526" t="s">
        <v>24517</v>
      </c>
      <c r="Z4526" t="s">
        <v>5162</v>
      </c>
      <c r="AA4526" t="s">
        <v>24518</v>
      </c>
      <c r="AB4526" t="s">
        <v>16594</v>
      </c>
      <c r="AC4526" t="s">
        <v>3956</v>
      </c>
      <c r="AD4526" s="249" t="str">
        <f>HYPERLINK("https://scontent.cdninstagram.com/t51.2885-15/s320x320/e35/21294317_276600319506324_1556017577044475904_n.jpg")</f>
        <v>https://scontent.cdninstagram.com/t51.2885-15/s320x320/e35/21294317_276600319506324_1556017577044475904_n.jpg</v>
      </c>
      <c r="AE4526" s="249" t="str">
        <f>HYPERLINK("https://scontent.cdninstagram.com/t51.2885-19/s150x150/20634597_301405753602529_662124965943836672_a.jpg")</f>
        <v>https://scontent.cdninstagram.com/t51.2885-19/s150x150/20634597_301405753602529_662124965943836672_a.jpg</v>
      </c>
    </row>
    <row r="4527" spans="1:31" ht="15" x14ac:dyDescent="0.25">
      <c r="A4527" t="s">
        <v>2474</v>
      </c>
      <c r="B4527" t="s">
        <v>24523</v>
      </c>
      <c r="C4527" s="221">
        <v>42982.111597222225</v>
      </c>
      <c r="D4527" t="s">
        <v>24524</v>
      </c>
      <c r="E4527" s="249" t="str">
        <f>HYPERLINK("https://www.instagram.com/p/BYnAEh1gH3_/")</f>
        <v>https://www.instagram.com/p/BYnAEh1gH3_/</v>
      </c>
      <c r="F4527" t="s">
        <v>24525</v>
      </c>
      <c r="G4527" t="s">
        <v>2478</v>
      </c>
      <c r="H4527">
        <v>266</v>
      </c>
      <c r="I4527" t="s">
        <v>3170</v>
      </c>
      <c r="J4527">
        <v>1</v>
      </c>
      <c r="K4527">
        <v>101</v>
      </c>
      <c r="L4527">
        <v>102</v>
      </c>
      <c r="Q4527">
        <v>0</v>
      </c>
      <c r="R4527">
        <v>0</v>
      </c>
      <c r="S4527">
        <v>102</v>
      </c>
      <c r="T4527" t="s">
        <v>24526</v>
      </c>
      <c r="V4527" t="s">
        <v>2264</v>
      </c>
      <c r="W4527">
        <v>41.383299999999998</v>
      </c>
      <c r="X4527">
        <v>2.1833300000000002</v>
      </c>
      <c r="Y4527" t="s">
        <v>24527</v>
      </c>
      <c r="Z4527" t="s">
        <v>2497</v>
      </c>
      <c r="AA4527" t="s">
        <v>24528</v>
      </c>
      <c r="AB4527" t="s">
        <v>5765</v>
      </c>
      <c r="AC4527" t="s">
        <v>24529</v>
      </c>
      <c r="AD4527" s="249" t="str">
        <f>HYPERLINK("https://scontent.cdninstagram.com/t51.2885-15/s320x320/e35/21371998_118736828847808_7119200939306647552_n.jpg")</f>
        <v>https://scontent.cdninstagram.com/t51.2885-15/s320x320/e35/21371998_118736828847808_7119200939306647552_n.jpg</v>
      </c>
      <c r="AE4527" s="249" t="str">
        <f>HYPERLINK("https://scontent.cdninstagram.com/t51.2885-19/s150x150/18382028_231783783976523_5331548319925665792_a.jpg")</f>
        <v>https://scontent.cdninstagram.com/t51.2885-19/s150x150/18382028_231783783976523_5331548319925665792_a.jpg</v>
      </c>
    </row>
    <row r="4528" spans="1:31" ht="15" x14ac:dyDescent="0.25">
      <c r="A4528" t="s">
        <v>2474</v>
      </c>
      <c r="B4528" t="s">
        <v>15263</v>
      </c>
      <c r="C4528" s="221">
        <v>42982.131724537037</v>
      </c>
      <c r="D4528" t="s">
        <v>24530</v>
      </c>
      <c r="E4528" s="249" t="str">
        <f>HYPERLINK("https://www.instagram.com/p/BYnDYvOh3-Z/")</f>
        <v>https://www.instagram.com/p/BYnDYvOh3-Z/</v>
      </c>
      <c r="F4528" t="s">
        <v>24531</v>
      </c>
      <c r="G4528" t="s">
        <v>2488</v>
      </c>
      <c r="H4528">
        <v>157</v>
      </c>
      <c r="I4528" t="s">
        <v>2479</v>
      </c>
      <c r="J4528">
        <v>0</v>
      </c>
      <c r="K4528">
        <v>22</v>
      </c>
      <c r="L4528">
        <v>22</v>
      </c>
      <c r="Q4528">
        <v>0</v>
      </c>
      <c r="R4528">
        <v>0</v>
      </c>
      <c r="S4528">
        <v>22</v>
      </c>
      <c r="Y4528" t="s">
        <v>11205</v>
      </c>
      <c r="Z4528" t="s">
        <v>5147</v>
      </c>
      <c r="AA4528" t="s">
        <v>2497</v>
      </c>
      <c r="AB4528" t="s">
        <v>24532</v>
      </c>
      <c r="AC4528" t="s">
        <v>24533</v>
      </c>
      <c r="AD4528" s="249" t="str">
        <f>HYPERLINK("https://scontent.cdninstagram.com/t51.2885-15/s320x320/e35/21372427_118744488848205_4945015501102252032_n.jpg")</f>
        <v>https://scontent.cdninstagram.com/t51.2885-15/s320x320/e35/21372427_118744488848205_4945015501102252032_n.jpg</v>
      </c>
      <c r="AE4528" s="249" t="str">
        <f>HYPERLINK("https://scontent.cdninstagram.com/t51.2885-19/s150x150/18095212_308298816256849_431690676204208128_a.jpg")</f>
        <v>https://scontent.cdninstagram.com/t51.2885-19/s150x150/18095212_308298816256849_431690676204208128_a.jpg</v>
      </c>
    </row>
    <row r="4529" spans="1:31" ht="15" x14ac:dyDescent="0.25">
      <c r="A4529" t="s">
        <v>2474</v>
      </c>
      <c r="B4529" t="s">
        <v>12550</v>
      </c>
      <c r="C4529" s="221">
        <v>42982.143796296295</v>
      </c>
      <c r="D4529" t="s">
        <v>24534</v>
      </c>
      <c r="E4529" s="249" t="str">
        <f>HYPERLINK("https://www.instagram.com/p/BYnFYDznITX/")</f>
        <v>https://www.instagram.com/p/BYnFYDznITX/</v>
      </c>
      <c r="F4529" t="s">
        <v>24535</v>
      </c>
      <c r="G4529" t="s">
        <v>2478</v>
      </c>
      <c r="H4529">
        <v>876</v>
      </c>
      <c r="I4529" t="s">
        <v>2599</v>
      </c>
      <c r="J4529">
        <v>3</v>
      </c>
      <c r="K4529">
        <v>63</v>
      </c>
      <c r="L4529">
        <v>66</v>
      </c>
      <c r="Q4529">
        <v>0</v>
      </c>
      <c r="R4529">
        <v>0</v>
      </c>
      <c r="S4529">
        <v>66</v>
      </c>
      <c r="T4529" t="s">
        <v>24536</v>
      </c>
      <c r="V4529" t="s">
        <v>2182</v>
      </c>
      <c r="W4529">
        <v>45.485529999999997</v>
      </c>
      <c r="X4529">
        <v>9.1602700000000006</v>
      </c>
      <c r="Y4529" t="s">
        <v>3446</v>
      </c>
      <c r="Z4529" t="s">
        <v>4761</v>
      </c>
      <c r="AA4529" t="s">
        <v>19087</v>
      </c>
      <c r="AB4529" t="s">
        <v>3655</v>
      </c>
      <c r="AC4529" t="s">
        <v>24537</v>
      </c>
      <c r="AD4529" s="249" t="str">
        <f>HYPERLINK("https://scontent.cdninstagram.com/t51.2885-15/s320x320/e35/21372114_1926335907579841_1224658483631095808_n.jpg")</f>
        <v>https://scontent.cdninstagram.com/t51.2885-15/s320x320/e35/21372114_1926335907579841_1224658483631095808_n.jpg</v>
      </c>
      <c r="AE4529" s="249" t="str">
        <f>HYPERLINK("https://scontent.cdninstagram.com/t51.2885-19/s150x150/19534736_1894547127467294_2028662634726817792_a.jpg")</f>
        <v>https://scontent.cdninstagram.com/t51.2885-19/s150x150/19534736_1894547127467294_2028662634726817792_a.jpg</v>
      </c>
    </row>
    <row r="4530" spans="1:31" ht="15" x14ac:dyDescent="0.25">
      <c r="A4530" t="s">
        <v>2474</v>
      </c>
      <c r="B4530" t="s">
        <v>3251</v>
      </c>
      <c r="C4530" s="221">
        <v>42982.150439814817</v>
      </c>
      <c r="D4530" t="s">
        <v>24538</v>
      </c>
      <c r="E4530" s="249" t="str">
        <f>HYPERLINK("https://www.instagram.com/p/BYnGeK3nNg-/")</f>
        <v>https://www.instagram.com/p/BYnGeK3nNg-/</v>
      </c>
      <c r="F4530" t="s">
        <v>24539</v>
      </c>
      <c r="G4530" t="s">
        <v>2478</v>
      </c>
      <c r="H4530">
        <v>318</v>
      </c>
      <c r="I4530" t="s">
        <v>3170</v>
      </c>
      <c r="J4530">
        <v>0</v>
      </c>
      <c r="K4530">
        <v>22</v>
      </c>
      <c r="L4530">
        <v>22</v>
      </c>
      <c r="Q4530">
        <v>0</v>
      </c>
      <c r="R4530">
        <v>0</v>
      </c>
      <c r="S4530">
        <v>22</v>
      </c>
      <c r="Y4530" t="s">
        <v>3257</v>
      </c>
      <c r="Z4530" t="s">
        <v>5943</v>
      </c>
      <c r="AA4530" t="s">
        <v>3970</v>
      </c>
      <c r="AB4530" t="s">
        <v>3256</v>
      </c>
      <c r="AC4530" t="s">
        <v>3968</v>
      </c>
      <c r="AD4530" s="249" t="str">
        <f>HYPERLINK("https://scontent.cdninstagram.com/t51.2885-15/s320x320/e35/21373473_1724104574565895_4047339942936838144_n.jpg")</f>
        <v>https://scontent.cdninstagram.com/t51.2885-15/s320x320/e35/21373473_1724104574565895_4047339942936838144_n.jpg</v>
      </c>
      <c r="AE4530" s="249" t="str">
        <f>HYPERLINK("https://scontent.cdninstagram.com/t51.2885-19/s150x150/20986614_891746094322067_1272495017625124864_a.jpg")</f>
        <v>https://scontent.cdninstagram.com/t51.2885-19/s150x150/20986614_891746094322067_1272495017625124864_a.jpg</v>
      </c>
    </row>
    <row r="4531" spans="1:31" ht="15" x14ac:dyDescent="0.25">
      <c r="A4531" t="s">
        <v>2474</v>
      </c>
      <c r="B4531" t="s">
        <v>24540</v>
      </c>
      <c r="C4531" s="221">
        <v>42982.150613425925</v>
      </c>
      <c r="D4531" t="s">
        <v>24541</v>
      </c>
      <c r="E4531" s="249" t="str">
        <f>HYPERLINK("https://www.instagram.com/p/BYnGf9mj5Ub/")</f>
        <v>https://www.instagram.com/p/BYnGf9mj5Ub/</v>
      </c>
      <c r="F4531" t="s">
        <v>24542</v>
      </c>
      <c r="G4531" t="s">
        <v>2478</v>
      </c>
      <c r="H4531">
        <v>59</v>
      </c>
      <c r="I4531" t="s">
        <v>3025</v>
      </c>
      <c r="J4531">
        <v>0</v>
      </c>
      <c r="K4531">
        <v>38</v>
      </c>
      <c r="L4531">
        <v>38</v>
      </c>
      <c r="Q4531">
        <v>0</v>
      </c>
      <c r="R4531">
        <v>0</v>
      </c>
      <c r="S4531">
        <v>38</v>
      </c>
      <c r="Y4531" t="s">
        <v>4376</v>
      </c>
      <c r="Z4531" t="s">
        <v>24543</v>
      </c>
      <c r="AA4531" t="s">
        <v>4778</v>
      </c>
      <c r="AB4531" t="s">
        <v>24544</v>
      </c>
      <c r="AC4531" t="s">
        <v>24545</v>
      </c>
      <c r="AD4531" s="249" t="str">
        <f>HYPERLINK("https://scontent.cdninstagram.com/t51.2885-15/s320x320/e35/21373074_115889909115312_1556442121676783616_n.jpg")</f>
        <v>https://scontent.cdninstagram.com/t51.2885-15/s320x320/e35/21373074_115889909115312_1556442121676783616_n.jpg</v>
      </c>
      <c r="AE4531" s="249" t="str">
        <f>HYPERLINK("https://scontent.cdninstagram.com/t51.2885-19/s150x150/17932463_1888485428058907_5858197424509550592_a.jpg")</f>
        <v>https://scontent.cdninstagram.com/t51.2885-19/s150x150/17932463_1888485428058907_5858197424509550592_a.jpg</v>
      </c>
    </row>
    <row r="4532" spans="1:31" ht="15" x14ac:dyDescent="0.25">
      <c r="A4532" t="s">
        <v>2474</v>
      </c>
      <c r="B4532" t="s">
        <v>4811</v>
      </c>
      <c r="C4532" s="221">
        <v>42982.151875000003</v>
      </c>
      <c r="D4532" t="s">
        <v>24546</v>
      </c>
      <c r="E4532" s="249" t="str">
        <f>HYPERLINK("https://www.instagram.com/p/BYnGtUbABIi/")</f>
        <v>https://www.instagram.com/p/BYnGtUbABIi/</v>
      </c>
      <c r="F4532" t="s">
        <v>24547</v>
      </c>
      <c r="G4532" t="s">
        <v>2478</v>
      </c>
      <c r="H4532">
        <v>1016</v>
      </c>
      <c r="I4532" t="s">
        <v>2479</v>
      </c>
      <c r="J4532">
        <v>6</v>
      </c>
      <c r="K4532">
        <v>112</v>
      </c>
      <c r="L4532">
        <v>118</v>
      </c>
      <c r="Q4532">
        <v>0</v>
      </c>
      <c r="R4532">
        <v>0</v>
      </c>
      <c r="S4532">
        <v>118</v>
      </c>
      <c r="Y4532" t="s">
        <v>2855</v>
      </c>
      <c r="Z4532" t="s">
        <v>8501</v>
      </c>
      <c r="AA4532" t="s">
        <v>24548</v>
      </c>
      <c r="AB4532" t="s">
        <v>12100</v>
      </c>
      <c r="AC4532" t="s">
        <v>4816</v>
      </c>
      <c r="AD4532" s="249" t="str">
        <f>HYPERLINK("https://scontent.cdninstagram.com/t51.2885-15/s320x320/e35/21371659_385020878581567_5255802873693863936_n.jpg")</f>
        <v>https://scontent.cdninstagram.com/t51.2885-15/s320x320/e35/21371659_385020878581567_5255802873693863936_n.jpg</v>
      </c>
      <c r="AE4532" s="249" t="str">
        <f>HYPERLINK("https://scontent.cdninstagram.com/t51.2885-19/s150x150/16124251_1913091765603634_8004330562992996352_a.jpg")</f>
        <v>https://scontent.cdninstagram.com/t51.2885-19/s150x150/16124251_1913091765603634_8004330562992996352_a.jpg</v>
      </c>
    </row>
    <row r="4533" spans="1:31" ht="15" x14ac:dyDescent="0.25">
      <c r="A4533" t="s">
        <v>2474</v>
      </c>
      <c r="B4533" t="s">
        <v>20536</v>
      </c>
      <c r="C4533" s="221">
        <v>42982.153310185182</v>
      </c>
      <c r="D4533" t="s">
        <v>24549</v>
      </c>
      <c r="E4533" s="249" t="str">
        <f>HYPERLINK("https://www.instagram.com/p/BYnG8fkF-jv/")</f>
        <v>https://www.instagram.com/p/BYnG8fkF-jv/</v>
      </c>
      <c r="F4533" t="s">
        <v>24550</v>
      </c>
      <c r="G4533" t="s">
        <v>2478</v>
      </c>
      <c r="H4533">
        <v>379</v>
      </c>
      <c r="I4533" t="s">
        <v>2479</v>
      </c>
      <c r="J4533">
        <v>1</v>
      </c>
      <c r="K4533">
        <v>29</v>
      </c>
      <c r="L4533">
        <v>30</v>
      </c>
      <c r="Q4533">
        <v>0</v>
      </c>
      <c r="R4533">
        <v>0</v>
      </c>
      <c r="S4533">
        <v>30</v>
      </c>
      <c r="Y4533" t="s">
        <v>24551</v>
      </c>
      <c r="Z4533" t="s">
        <v>2497</v>
      </c>
      <c r="AA4533" t="s">
        <v>24552</v>
      </c>
      <c r="AB4533" t="s">
        <v>2696</v>
      </c>
      <c r="AC4533" t="s">
        <v>24553</v>
      </c>
      <c r="AD4533" s="249" t="str">
        <f>HYPERLINK("https://scontent.cdninstagram.com/t51.2885-15/s320x320/e35/21373538_162827977606087_2724637788413624320_n.jpg")</f>
        <v>https://scontent.cdninstagram.com/t51.2885-15/s320x320/e35/21373538_162827977606087_2724637788413624320_n.jpg</v>
      </c>
      <c r="AE4533" s="249" t="str">
        <f>HYPERLINK("https://scontent.cdninstagram.com/t51.2885-19/s150x150/18646537_115676032282901_547466330031259648_a.jpg")</f>
        <v>https://scontent.cdninstagram.com/t51.2885-19/s150x150/18646537_115676032282901_547466330031259648_a.jpg</v>
      </c>
    </row>
    <row r="4534" spans="1:31" ht="15" x14ac:dyDescent="0.25">
      <c r="A4534" t="s">
        <v>2474</v>
      </c>
      <c r="B4534" t="s">
        <v>18004</v>
      </c>
      <c r="C4534" s="221">
        <v>42982.15761574074</v>
      </c>
      <c r="D4534" t="s">
        <v>24554</v>
      </c>
      <c r="E4534" s="249" t="str">
        <f>HYPERLINK("https://www.instagram.com/p/BYnHp5RHTC2/")</f>
        <v>https://www.instagram.com/p/BYnHp5RHTC2/</v>
      </c>
      <c r="F4534" t="s">
        <v>24555</v>
      </c>
      <c r="G4534" t="s">
        <v>2478</v>
      </c>
      <c r="H4534">
        <v>320</v>
      </c>
      <c r="I4534" t="s">
        <v>2479</v>
      </c>
      <c r="J4534">
        <v>3</v>
      </c>
      <c r="K4534">
        <v>46</v>
      </c>
      <c r="L4534">
        <v>49</v>
      </c>
      <c r="Q4534">
        <v>0</v>
      </c>
      <c r="R4534">
        <v>0</v>
      </c>
      <c r="S4534">
        <v>49</v>
      </c>
      <c r="Y4534" t="s">
        <v>8086</v>
      </c>
      <c r="Z4534" t="s">
        <v>24556</v>
      </c>
      <c r="AA4534" t="s">
        <v>18008</v>
      </c>
      <c r="AB4534" t="s">
        <v>10299</v>
      </c>
      <c r="AC4534" t="s">
        <v>14095</v>
      </c>
      <c r="AD4534" s="249" t="str">
        <f>HYPERLINK("https://scontent.cdninstagram.com/t51.2885-15/s320x320/e35/21373047_1842388642744258_4566091208253767680_n.jpg")</f>
        <v>https://scontent.cdninstagram.com/t51.2885-15/s320x320/e35/21373047_1842388642744258_4566091208253767680_n.jpg</v>
      </c>
      <c r="AE4534" s="249" t="str">
        <f>HYPERLINK("https://scontent.cdninstagram.com/t51.2885-19/s150x150/18299412_1967357356830411_2577725090569388032_a.jpg")</f>
        <v>https://scontent.cdninstagram.com/t51.2885-19/s150x150/18299412_1967357356830411_2577725090569388032_a.jpg</v>
      </c>
    </row>
    <row r="4535" spans="1:31" ht="15" x14ac:dyDescent="0.25">
      <c r="A4535" t="s">
        <v>2474</v>
      </c>
      <c r="B4535" t="s">
        <v>19717</v>
      </c>
      <c r="C4535" s="221">
        <v>42982.179525462961</v>
      </c>
      <c r="D4535" t="s">
        <v>24557</v>
      </c>
      <c r="E4535" s="249" t="str">
        <f>HYPERLINK("https://www.instagram.com/p/BYnLQ-ElJHj/")</f>
        <v>https://www.instagram.com/p/BYnLQ-ElJHj/</v>
      </c>
      <c r="F4535" t="s">
        <v>24558</v>
      </c>
      <c r="G4535" t="s">
        <v>2488</v>
      </c>
      <c r="H4535">
        <v>290</v>
      </c>
      <c r="I4535" t="s">
        <v>2479</v>
      </c>
      <c r="J4535">
        <v>2</v>
      </c>
      <c r="K4535">
        <v>81</v>
      </c>
      <c r="L4535">
        <v>83</v>
      </c>
      <c r="Q4535">
        <v>0</v>
      </c>
      <c r="R4535">
        <v>0</v>
      </c>
      <c r="S4535">
        <v>83</v>
      </c>
      <c r="Y4535" t="s">
        <v>24559</v>
      </c>
      <c r="Z4535" t="s">
        <v>8367</v>
      </c>
      <c r="AA4535" t="s">
        <v>2497</v>
      </c>
      <c r="AB4535" t="s">
        <v>13866</v>
      </c>
      <c r="AC4535" t="s">
        <v>2483</v>
      </c>
      <c r="AD4535" s="249" t="str">
        <f>HYPERLINK("https://scontent.cdninstagram.com/t51.2885-15/s320x320/e35/21373758_1956427954569279_8533067717467439104_n.jpg")</f>
        <v>https://scontent.cdninstagram.com/t51.2885-15/s320x320/e35/21373758_1956427954569279_8533067717467439104_n.jpg</v>
      </c>
      <c r="AE4535" s="249" t="str">
        <f>HYPERLINK("https://scontent.cdninstagram.com/t51.2885-19/s150x150/17493728_752204021624442_4508760176605528064_a.jpg")</f>
        <v>https://scontent.cdninstagram.com/t51.2885-19/s150x150/17493728_752204021624442_4508760176605528064_a.jpg</v>
      </c>
    </row>
    <row r="4536" spans="1:31" ht="15" x14ac:dyDescent="0.25">
      <c r="A4536" t="s">
        <v>2474</v>
      </c>
      <c r="B4536" t="s">
        <v>3846</v>
      </c>
      <c r="C4536" s="221">
        <v>42982.186921296299</v>
      </c>
      <c r="D4536" t="s">
        <v>24560</v>
      </c>
      <c r="E4536" s="249" t="str">
        <f>HYPERLINK("https://www.instagram.com/p/BYnMe-bAGkB/")</f>
        <v>https://www.instagram.com/p/BYnMe-bAGkB/</v>
      </c>
      <c r="F4536" t="s">
        <v>24561</v>
      </c>
      <c r="G4536" t="s">
        <v>2478</v>
      </c>
      <c r="H4536">
        <v>1042</v>
      </c>
      <c r="I4536" t="s">
        <v>2479</v>
      </c>
      <c r="J4536">
        <v>2</v>
      </c>
      <c r="K4536">
        <v>72</v>
      </c>
      <c r="L4536">
        <v>74</v>
      </c>
      <c r="Q4536">
        <v>0</v>
      </c>
      <c r="R4536">
        <v>0</v>
      </c>
      <c r="S4536">
        <v>74</v>
      </c>
      <c r="Y4536" t="s">
        <v>24562</v>
      </c>
      <c r="Z4536" t="s">
        <v>19366</v>
      </c>
      <c r="AA4536" t="s">
        <v>18115</v>
      </c>
      <c r="AB4536" t="s">
        <v>3174</v>
      </c>
      <c r="AC4536" t="s">
        <v>9688</v>
      </c>
      <c r="AD4536" s="249" t="str">
        <f>HYPERLINK("https://scontent.cdninstagram.com/t51.2885-15/s320x320/e35/21373402_367830440314800_799970030048509952_n.jpg")</f>
        <v>https://scontent.cdninstagram.com/t51.2885-15/s320x320/e35/21373402_367830440314800_799970030048509952_n.jpg</v>
      </c>
      <c r="AE4536" s="249" t="str">
        <f>HYPERLINK("https://scontent.cdninstagram.com/t51.2885-19/11313229_1459878014310621_82799200_a.jpg")</f>
        <v>https://scontent.cdninstagram.com/t51.2885-19/11313229_1459878014310621_82799200_a.jpg</v>
      </c>
    </row>
    <row r="4537" spans="1:31" ht="15" x14ac:dyDescent="0.25">
      <c r="A4537" t="s">
        <v>2474</v>
      </c>
      <c r="B4537" t="s">
        <v>3251</v>
      </c>
      <c r="C4537" s="221">
        <v>42982.188217592593</v>
      </c>
      <c r="D4537" t="s">
        <v>24563</v>
      </c>
      <c r="E4537" s="249" t="str">
        <f>HYPERLINK("https://www.instagram.com/p/BYnMspnHK4N/")</f>
        <v>https://www.instagram.com/p/BYnMspnHK4N/</v>
      </c>
      <c r="F4537" t="s">
        <v>24564</v>
      </c>
      <c r="G4537" t="s">
        <v>2478</v>
      </c>
      <c r="H4537">
        <v>319</v>
      </c>
      <c r="I4537" t="s">
        <v>2542</v>
      </c>
      <c r="J4537">
        <v>0</v>
      </c>
      <c r="K4537">
        <v>16</v>
      </c>
      <c r="L4537">
        <v>16</v>
      </c>
      <c r="Q4537">
        <v>0</v>
      </c>
      <c r="R4537">
        <v>0</v>
      </c>
      <c r="S4537">
        <v>16</v>
      </c>
      <c r="Y4537" t="s">
        <v>3257</v>
      </c>
      <c r="Z4537" t="s">
        <v>5943</v>
      </c>
      <c r="AA4537" t="s">
        <v>3970</v>
      </c>
      <c r="AB4537" t="s">
        <v>3256</v>
      </c>
      <c r="AC4537" t="s">
        <v>3968</v>
      </c>
      <c r="AD4537" s="249" t="str">
        <f>HYPERLINK("https://scontent.cdninstagram.com/t51.2885-15/s320x320/e35/21371828_136864443590515_5817598077913006080_n.jpg")</f>
        <v>https://scontent.cdninstagram.com/t51.2885-15/s320x320/e35/21371828_136864443590515_5817598077913006080_n.jpg</v>
      </c>
      <c r="AE4537" s="249" t="str">
        <f>HYPERLINK("https://scontent.cdninstagram.com/t51.2885-19/s150x150/20986614_891746094322067_1272495017625124864_a.jpg")</f>
        <v>https://scontent.cdninstagram.com/t51.2885-19/s150x150/20986614_891746094322067_1272495017625124864_a.jpg</v>
      </c>
    </row>
    <row r="4538" spans="1:31" ht="15" x14ac:dyDescent="0.25">
      <c r="A4538" t="s">
        <v>2474</v>
      </c>
      <c r="B4538" t="s">
        <v>8202</v>
      </c>
      <c r="C4538" s="221">
        <v>42982.189872685187</v>
      </c>
      <c r="D4538" t="s">
        <v>24565</v>
      </c>
      <c r="E4538" s="249" t="str">
        <f>HYPERLINK("https://www.instagram.com/p/BYnM-GZj-ow/")</f>
        <v>https://www.instagram.com/p/BYnM-GZj-ow/</v>
      </c>
      <c r="F4538" t="s">
        <v>24566</v>
      </c>
      <c r="G4538" t="s">
        <v>2478</v>
      </c>
      <c r="H4538">
        <v>44182</v>
      </c>
      <c r="I4538" t="s">
        <v>2479</v>
      </c>
      <c r="J4538">
        <v>15</v>
      </c>
      <c r="K4538">
        <v>1259</v>
      </c>
      <c r="L4538">
        <v>1274</v>
      </c>
      <c r="Q4538">
        <v>0</v>
      </c>
      <c r="R4538">
        <v>0</v>
      </c>
      <c r="S4538">
        <v>1274</v>
      </c>
      <c r="Y4538" t="s">
        <v>24567</v>
      </c>
      <c r="Z4538" t="s">
        <v>24568</v>
      </c>
      <c r="AA4538" t="s">
        <v>6027</v>
      </c>
      <c r="AB4538" t="s">
        <v>21087</v>
      </c>
      <c r="AC4538" t="s">
        <v>2497</v>
      </c>
      <c r="AD4538" s="249" t="str">
        <f>HYPERLINK("https://scontent.cdninstagram.com/t51.2885-15/e35/p320x320/21371886_315199945616370_5369962546075795456_n.jpg")</f>
        <v>https://scontent.cdninstagram.com/t51.2885-15/e35/p320x320/21371886_315199945616370_5369962546075795456_n.jpg</v>
      </c>
      <c r="AE4538" s="249" t="str">
        <f>HYPERLINK("https://scontent.cdninstagram.com/t51.2885-19/s150x150/20479365_288964168246039_8270596716911132672_a.jpg")</f>
        <v>https://scontent.cdninstagram.com/t51.2885-19/s150x150/20479365_288964168246039_8270596716911132672_a.jpg</v>
      </c>
    </row>
    <row r="4539" spans="1:31" ht="15" x14ac:dyDescent="0.25">
      <c r="A4539" t="s">
        <v>2474</v>
      </c>
      <c r="B4539" t="s">
        <v>24569</v>
      </c>
      <c r="C4539" s="221">
        <v>42982.192731481482</v>
      </c>
      <c r="D4539" t="s">
        <v>24570</v>
      </c>
      <c r="E4539" s="249" t="str">
        <f>HYPERLINK("https://www.instagram.com/p/BYnNcNqjWjk/")</f>
        <v>https://www.instagram.com/p/BYnNcNqjWjk/</v>
      </c>
      <c r="F4539" t="s">
        <v>24571</v>
      </c>
      <c r="G4539" t="s">
        <v>2488</v>
      </c>
      <c r="H4539">
        <v>223</v>
      </c>
      <c r="I4539" t="s">
        <v>2479</v>
      </c>
      <c r="J4539">
        <v>1</v>
      </c>
      <c r="K4539">
        <v>44</v>
      </c>
      <c r="L4539">
        <v>45</v>
      </c>
      <c r="Q4539">
        <v>0</v>
      </c>
      <c r="R4539">
        <v>0</v>
      </c>
      <c r="S4539">
        <v>45</v>
      </c>
      <c r="Y4539" t="s">
        <v>4376</v>
      </c>
      <c r="Z4539" t="s">
        <v>4778</v>
      </c>
      <c r="AA4539" t="s">
        <v>11893</v>
      </c>
      <c r="AB4539" t="s">
        <v>13835</v>
      </c>
      <c r="AC4539" t="s">
        <v>4879</v>
      </c>
      <c r="AD4539" s="249" t="str">
        <f>HYPERLINK("https://scontent.cdninstagram.com/t51.2885-15/s320x320/e35/21372043_133349337284636_906245993605890048_n.jpg")</f>
        <v>https://scontent.cdninstagram.com/t51.2885-15/s320x320/e35/21372043_133349337284636_906245993605890048_n.jpg</v>
      </c>
      <c r="AE4539" s="249" t="str">
        <f>HYPERLINK("https://scontent.cdninstagram.com/t51.2885-19/s150x150/18380388_1665390960140907_1778627849415032832_a.jpg")</f>
        <v>https://scontent.cdninstagram.com/t51.2885-19/s150x150/18380388_1665390960140907_1778627849415032832_a.jpg</v>
      </c>
    </row>
    <row r="4540" spans="1:31" ht="15" x14ac:dyDescent="0.25">
      <c r="A4540" t="s">
        <v>2474</v>
      </c>
      <c r="B4540" t="s">
        <v>24572</v>
      </c>
      <c r="C4540" s="221">
        <v>42982.197083333333</v>
      </c>
      <c r="D4540" t="s">
        <v>24573</v>
      </c>
      <c r="E4540" s="249" t="str">
        <f>HYPERLINK("https://www.instagram.com/p/BYnOKEwjtpu/")</f>
        <v>https://www.instagram.com/p/BYnOKEwjtpu/</v>
      </c>
      <c r="F4540" t="s">
        <v>24574</v>
      </c>
      <c r="G4540" t="s">
        <v>2478</v>
      </c>
      <c r="H4540">
        <v>436</v>
      </c>
      <c r="I4540" t="s">
        <v>2479</v>
      </c>
      <c r="J4540">
        <v>4</v>
      </c>
      <c r="K4540">
        <v>28</v>
      </c>
      <c r="L4540">
        <v>32</v>
      </c>
      <c r="Q4540">
        <v>0</v>
      </c>
      <c r="R4540">
        <v>0</v>
      </c>
      <c r="S4540">
        <v>32</v>
      </c>
      <c r="Y4540" t="s">
        <v>24575</v>
      </c>
      <c r="Z4540" t="s">
        <v>3349</v>
      </c>
      <c r="AA4540" t="s">
        <v>24576</v>
      </c>
      <c r="AB4540" t="s">
        <v>6367</v>
      </c>
      <c r="AC4540" t="s">
        <v>24577</v>
      </c>
      <c r="AD4540" s="249" t="str">
        <f>HYPERLINK("https://scontent.cdninstagram.com/t51.2885-15/s320x320/e35/21296663_1881620118756348_4859441717998256128_n.jpg")</f>
        <v>https://scontent.cdninstagram.com/t51.2885-15/s320x320/e35/21296663_1881620118756348_4859441717998256128_n.jpg</v>
      </c>
      <c r="AE4540" s="249" t="str">
        <f>HYPERLINK("https://scontent.cdninstagram.com/t51.2885-19/s150x150/17931902_225512904597178_9162705529309495296_a.jpg")</f>
        <v>https://scontent.cdninstagram.com/t51.2885-19/s150x150/17931902_225512904597178_9162705529309495296_a.jpg</v>
      </c>
    </row>
    <row r="4541" spans="1:31" ht="15" x14ac:dyDescent="0.25">
      <c r="A4541" t="s">
        <v>2474</v>
      </c>
      <c r="B4541" t="s">
        <v>24578</v>
      </c>
      <c r="C4541" s="221">
        <v>42982.197685185187</v>
      </c>
      <c r="D4541" t="s">
        <v>24579</v>
      </c>
      <c r="E4541" s="249" t="str">
        <f>HYPERLINK("https://www.instagram.com/p/BYnOQdHF6Fm/")</f>
        <v>https://www.instagram.com/p/BYnOQdHF6Fm/</v>
      </c>
      <c r="F4541" t="s">
        <v>24580</v>
      </c>
      <c r="G4541" t="s">
        <v>2478</v>
      </c>
      <c r="H4541">
        <v>906</v>
      </c>
      <c r="I4541" t="s">
        <v>4523</v>
      </c>
      <c r="J4541">
        <v>2</v>
      </c>
      <c r="K4541">
        <v>34</v>
      </c>
      <c r="L4541">
        <v>36</v>
      </c>
      <c r="Q4541">
        <v>0</v>
      </c>
      <c r="R4541">
        <v>0</v>
      </c>
      <c r="S4541">
        <v>36</v>
      </c>
      <c r="Y4541" t="s">
        <v>24581</v>
      </c>
      <c r="Z4541" t="s">
        <v>24582</v>
      </c>
      <c r="AA4541" t="s">
        <v>2826</v>
      </c>
      <c r="AB4541" t="s">
        <v>24583</v>
      </c>
      <c r="AC4541" t="s">
        <v>24584</v>
      </c>
      <c r="AD4541" s="249" t="str">
        <f>HYPERLINK("https://scontent.cdninstagram.com/t51.2885-15/s320x320/e35/21294423_460308231018313_4262630422803906560_n.jpg")</f>
        <v>https://scontent.cdninstagram.com/t51.2885-15/s320x320/e35/21294423_460308231018313_4262630422803906560_n.jpg</v>
      </c>
      <c r="AE4541" s="249" t="str">
        <f>HYPERLINK("https://scontent.cdninstagram.com/t51.2885-19/s150x150/21041979_1427664430656945_1412361886044782592_a.jpg")</f>
        <v>https://scontent.cdninstagram.com/t51.2885-19/s150x150/21041979_1427664430656945_1412361886044782592_a.jpg</v>
      </c>
    </row>
    <row r="4542" spans="1:31" ht="15" x14ac:dyDescent="0.25">
      <c r="A4542" t="s">
        <v>2474</v>
      </c>
      <c r="B4542" t="s">
        <v>24585</v>
      </c>
      <c r="C4542" s="221">
        <v>42982.202627314815</v>
      </c>
      <c r="D4542" t="s">
        <v>24586</v>
      </c>
      <c r="E4542" s="249" t="str">
        <f>HYPERLINK("https://www.instagram.com/p/BYnPEj7DQOH/")</f>
        <v>https://www.instagram.com/p/BYnPEj7DQOH/</v>
      </c>
      <c r="F4542" t="s">
        <v>24587</v>
      </c>
      <c r="G4542" t="s">
        <v>2478</v>
      </c>
      <c r="H4542">
        <v>374</v>
      </c>
      <c r="I4542" t="s">
        <v>2479</v>
      </c>
      <c r="J4542">
        <v>3</v>
      </c>
      <c r="K4542">
        <v>38</v>
      </c>
      <c r="L4542">
        <v>41</v>
      </c>
      <c r="Q4542">
        <v>0</v>
      </c>
      <c r="R4542">
        <v>0</v>
      </c>
      <c r="S4542">
        <v>41</v>
      </c>
      <c r="Y4542" t="s">
        <v>3446</v>
      </c>
      <c r="Z4542" t="s">
        <v>24588</v>
      </c>
      <c r="AA4542" t="s">
        <v>4761</v>
      </c>
      <c r="AB4542" t="s">
        <v>24589</v>
      </c>
      <c r="AC4542" t="s">
        <v>3174</v>
      </c>
      <c r="AD4542" s="249" t="str">
        <f>HYPERLINK("https://scontent.cdninstagram.com/t51.2885-15/s320x320/e35/21372396_485315521832209_8869066320453304320_n.jpg")</f>
        <v>https://scontent.cdninstagram.com/t51.2885-15/s320x320/e35/21372396_485315521832209_8869066320453304320_n.jpg</v>
      </c>
      <c r="AE4542" s="249" t="str">
        <f>HYPERLINK("https://scontent.cdninstagram.com/t51.2885-19/s150x150/21042772_167391170487097_5176385110164897792_a.jpg")</f>
        <v>https://scontent.cdninstagram.com/t51.2885-19/s150x150/21042772_167391170487097_5176385110164897792_a.jpg</v>
      </c>
    </row>
    <row r="4543" spans="1:31" ht="15" x14ac:dyDescent="0.25">
      <c r="A4543" t="s">
        <v>2474</v>
      </c>
      <c r="B4543" t="s">
        <v>24590</v>
      </c>
      <c r="C4543" s="221">
        <v>42982.203842592593</v>
      </c>
      <c r="D4543" t="s">
        <v>24591</v>
      </c>
      <c r="E4543" s="249" t="str">
        <f>HYPERLINK("https://www.instagram.com/p/BYnPRZVAWEQ/")</f>
        <v>https://www.instagram.com/p/BYnPRZVAWEQ/</v>
      </c>
      <c r="F4543" t="s">
        <v>24592</v>
      </c>
      <c r="G4543" t="s">
        <v>2478</v>
      </c>
      <c r="H4543">
        <v>382</v>
      </c>
      <c r="I4543" t="s">
        <v>2479</v>
      </c>
      <c r="J4543">
        <v>0</v>
      </c>
      <c r="K4543">
        <v>83</v>
      </c>
      <c r="L4543">
        <v>83</v>
      </c>
      <c r="Q4543">
        <v>0</v>
      </c>
      <c r="R4543">
        <v>0</v>
      </c>
      <c r="S4543">
        <v>83</v>
      </c>
      <c r="T4543" t="s">
        <v>24593</v>
      </c>
      <c r="V4543" t="s">
        <v>2161</v>
      </c>
      <c r="W4543">
        <v>48.430394114111003</v>
      </c>
      <c r="X4543">
        <v>9.2463729858642001</v>
      </c>
      <c r="Y4543" t="s">
        <v>13684</v>
      </c>
      <c r="Z4543" t="s">
        <v>2529</v>
      </c>
      <c r="AA4543" t="s">
        <v>24594</v>
      </c>
      <c r="AB4543" t="s">
        <v>24595</v>
      </c>
      <c r="AC4543" t="s">
        <v>24596</v>
      </c>
      <c r="AD4543" s="249" t="str">
        <f>HYPERLINK("https://scontent.cdninstagram.com/t51.2885-15/s320x320/e35/21296220_124288711558584_2978894307534045184_n.jpg")</f>
        <v>https://scontent.cdninstagram.com/t51.2885-15/s320x320/e35/21296220_124288711558584_2978894307534045184_n.jpg</v>
      </c>
      <c r="AE4543" s="249" t="str">
        <f>HYPERLINK("https://scontent.cdninstagram.com/t51.2885-19/s150x150/21436117_125845998061481_7051125681895243776_n.jpg")</f>
        <v>https://scontent.cdninstagram.com/t51.2885-19/s150x150/21436117_125845998061481_7051125681895243776_n.jpg</v>
      </c>
    </row>
    <row r="4544" spans="1:31" ht="15" x14ac:dyDescent="0.25">
      <c r="A4544" t="s">
        <v>2474</v>
      </c>
      <c r="B4544" t="s">
        <v>2636</v>
      </c>
      <c r="C4544" s="221">
        <v>42982.206574074073</v>
      </c>
      <c r="D4544" t="s">
        <v>24597</v>
      </c>
      <c r="E4544" s="249" t="str">
        <f>HYPERLINK("https://www.instagram.com/p/BYnPuKonT0s/")</f>
        <v>https://www.instagram.com/p/BYnPuKonT0s/</v>
      </c>
      <c r="F4544" t="s">
        <v>24598</v>
      </c>
      <c r="G4544" t="s">
        <v>2478</v>
      </c>
      <c r="H4544">
        <v>329</v>
      </c>
      <c r="I4544" t="s">
        <v>2479</v>
      </c>
      <c r="J4544">
        <v>1</v>
      </c>
      <c r="K4544">
        <v>29</v>
      </c>
      <c r="L4544">
        <v>30</v>
      </c>
      <c r="Q4544">
        <v>0</v>
      </c>
      <c r="R4544">
        <v>0</v>
      </c>
      <c r="S4544">
        <v>30</v>
      </c>
      <c r="Y4544" t="s">
        <v>3814</v>
      </c>
      <c r="Z4544" t="s">
        <v>2641</v>
      </c>
      <c r="AA4544" t="s">
        <v>3815</v>
      </c>
      <c r="AB4544" t="s">
        <v>24599</v>
      </c>
      <c r="AC4544" t="s">
        <v>4464</v>
      </c>
      <c r="AD4544" s="249" t="str">
        <f>HYPERLINK("https://scontent.cdninstagram.com/t51.2885-15/s320x320/e35/21435392_116528789051086_5365304005503221760_n.jpg")</f>
        <v>https://scontent.cdninstagram.com/t51.2885-15/s320x320/e35/21435392_116528789051086_5365304005503221760_n.jpg</v>
      </c>
      <c r="AE4544" s="249" t="str">
        <f>HYPERLINK("https://scontent.cdninstagram.com/t51.2885-19/s150x150/15802797_1331780626878656_4160680230047973376_a.jpg")</f>
        <v>https://scontent.cdninstagram.com/t51.2885-19/s150x150/15802797_1331780626878656_4160680230047973376_a.jpg</v>
      </c>
    </row>
    <row r="4545" spans="1:31" ht="15" x14ac:dyDescent="0.25">
      <c r="A4545" t="s">
        <v>2474</v>
      </c>
      <c r="B4545" t="s">
        <v>24600</v>
      </c>
      <c r="C4545" s="221">
        <v>42982.214085648149</v>
      </c>
      <c r="D4545" t="s">
        <v>24601</v>
      </c>
      <c r="E4545" s="249" t="str">
        <f>HYPERLINK("https://www.instagram.com/p/BYnQ9ZOFqra/")</f>
        <v>https://www.instagram.com/p/BYnQ9ZOFqra/</v>
      </c>
      <c r="F4545" t="s">
        <v>24602</v>
      </c>
      <c r="G4545" t="s">
        <v>2478</v>
      </c>
      <c r="H4545">
        <v>60</v>
      </c>
      <c r="I4545" t="s">
        <v>2479</v>
      </c>
      <c r="J4545">
        <v>0</v>
      </c>
      <c r="K4545">
        <v>20</v>
      </c>
      <c r="L4545">
        <v>20</v>
      </c>
      <c r="Q4545">
        <v>0</v>
      </c>
      <c r="R4545">
        <v>0</v>
      </c>
      <c r="S4545">
        <v>20</v>
      </c>
      <c r="Y4545" t="s">
        <v>3952</v>
      </c>
      <c r="Z4545" t="s">
        <v>3110</v>
      </c>
      <c r="AA4545" t="s">
        <v>3535</v>
      </c>
      <c r="AB4545" t="s">
        <v>4993</v>
      </c>
      <c r="AC4545" t="s">
        <v>24600</v>
      </c>
      <c r="AD4545" s="249" t="str">
        <f>HYPERLINK("https://scontent.cdninstagram.com/t51.2885-15/s320x320/e35/21372361_1926967434187194_1331982702676541440_n.jpg")</f>
        <v>https://scontent.cdninstagram.com/t51.2885-15/s320x320/e35/21372361_1926967434187194_1331982702676541440_n.jpg</v>
      </c>
      <c r="AE4545" s="249" t="str">
        <f>HYPERLINK("https://scontent.cdninstagram.com/t51.2885-19/s150x150/21294957_164877830729190_1825724639716835328_a.jpg")</f>
        <v>https://scontent.cdninstagram.com/t51.2885-19/s150x150/21294957_164877830729190_1825724639716835328_a.jpg</v>
      </c>
    </row>
    <row r="4546" spans="1:31" ht="15" x14ac:dyDescent="0.25">
      <c r="A4546" t="s">
        <v>2474</v>
      </c>
      <c r="B4546" t="s">
        <v>20536</v>
      </c>
      <c r="C4546" s="221">
        <v>42982.219004629631</v>
      </c>
      <c r="D4546" t="s">
        <v>24603</v>
      </c>
      <c r="E4546" s="249" t="str">
        <f>HYPERLINK("https://www.instagram.com/p/BYnRxVZlOAO/")</f>
        <v>https://www.instagram.com/p/BYnRxVZlOAO/</v>
      </c>
      <c r="F4546" t="s">
        <v>24604</v>
      </c>
      <c r="G4546" t="s">
        <v>2478</v>
      </c>
      <c r="H4546">
        <v>380</v>
      </c>
      <c r="I4546" t="s">
        <v>2479</v>
      </c>
      <c r="J4546">
        <v>4</v>
      </c>
      <c r="K4546">
        <v>29</v>
      </c>
      <c r="L4546">
        <v>33</v>
      </c>
      <c r="Q4546">
        <v>0</v>
      </c>
      <c r="R4546">
        <v>0</v>
      </c>
      <c r="S4546">
        <v>33</v>
      </c>
      <c r="Y4546" t="s">
        <v>24552</v>
      </c>
      <c r="Z4546" t="s">
        <v>2696</v>
      </c>
      <c r="AA4546" t="s">
        <v>2497</v>
      </c>
      <c r="AB4546" t="s">
        <v>10796</v>
      </c>
      <c r="AC4546" t="s">
        <v>20539</v>
      </c>
      <c r="AD4546" s="249" t="str">
        <f>HYPERLINK("https://scontent.cdninstagram.com/t51.2885-15/s320x320/e35/21371692_233525930506777_1169076006183501824_n.jpg")</f>
        <v>https://scontent.cdninstagram.com/t51.2885-15/s320x320/e35/21371692_233525930506777_1169076006183501824_n.jpg</v>
      </c>
      <c r="AE4546" s="249" t="str">
        <f>HYPERLINK("https://scontent.cdninstagram.com/t51.2885-19/s150x150/18646537_115676032282901_547466330031259648_a.jpg")</f>
        <v>https://scontent.cdninstagram.com/t51.2885-19/s150x150/18646537_115676032282901_547466330031259648_a.jpg</v>
      </c>
    </row>
    <row r="4547" spans="1:31" ht="15" x14ac:dyDescent="0.25">
      <c r="A4547" t="s">
        <v>2474</v>
      </c>
      <c r="B4547" t="s">
        <v>24605</v>
      </c>
      <c r="C4547" s="221">
        <v>42982.229687500003</v>
      </c>
      <c r="D4547" t="s">
        <v>24606</v>
      </c>
      <c r="E4547" s="249" t="str">
        <f>HYPERLINK("https://www.instagram.com/p/BYnTh9kn328/")</f>
        <v>https://www.instagram.com/p/BYnTh9kn328/</v>
      </c>
      <c r="F4547" t="s">
        <v>24607</v>
      </c>
      <c r="G4547" t="s">
        <v>2631</v>
      </c>
      <c r="H4547">
        <v>381</v>
      </c>
      <c r="I4547" t="s">
        <v>2542</v>
      </c>
      <c r="J4547">
        <v>8</v>
      </c>
      <c r="K4547">
        <v>52</v>
      </c>
      <c r="L4547">
        <v>60</v>
      </c>
      <c r="Q4547">
        <v>0</v>
      </c>
      <c r="R4547">
        <v>0</v>
      </c>
      <c r="S4547">
        <v>60</v>
      </c>
      <c r="T4547" t="s">
        <v>24608</v>
      </c>
      <c r="V4547" t="s">
        <v>2193</v>
      </c>
      <c r="W4547">
        <v>56.507800000000003</v>
      </c>
      <c r="X4547">
        <v>21.008859999999999</v>
      </c>
      <c r="Y4547" t="s">
        <v>24609</v>
      </c>
      <c r="Z4547" t="s">
        <v>13944</v>
      </c>
      <c r="AA4547" t="s">
        <v>2899</v>
      </c>
      <c r="AB4547" t="s">
        <v>2497</v>
      </c>
      <c r="AC4547" t="s">
        <v>24610</v>
      </c>
      <c r="AD4547" s="249" t="str">
        <f>HYPERLINK("https://scontent.cdninstagram.com/t51.2885-15/s320x320/e15/21371729_339676559807516_8763306113748697088_n.jpg")</f>
        <v>https://scontent.cdninstagram.com/t51.2885-15/s320x320/e15/21371729_339676559807516_8763306113748697088_n.jpg</v>
      </c>
      <c r="AE4547" s="249" t="str">
        <f>HYPERLINK("https://scontent.cdninstagram.com/t51.2885-19/s150x150/19624927_243741602807449_5637495736821088256_a.jpg")</f>
        <v>https://scontent.cdninstagram.com/t51.2885-19/s150x150/19624927_243741602807449_5637495736821088256_a.jpg</v>
      </c>
    </row>
    <row r="4548" spans="1:31" ht="15" x14ac:dyDescent="0.25">
      <c r="A4548" t="s">
        <v>2474</v>
      </c>
      <c r="B4548" t="s">
        <v>7415</v>
      </c>
      <c r="C4548" s="221">
        <v>42982.252430555556</v>
      </c>
      <c r="D4548" t="s">
        <v>24611</v>
      </c>
      <c r="E4548" s="249" t="str">
        <f>HYPERLINK("https://www.instagram.com/p/BYnXR0Kjx5T/")</f>
        <v>https://www.instagram.com/p/BYnXR0Kjx5T/</v>
      </c>
      <c r="F4548" t="s">
        <v>24612</v>
      </c>
      <c r="G4548" t="s">
        <v>2478</v>
      </c>
      <c r="H4548">
        <v>1218</v>
      </c>
      <c r="I4548" t="s">
        <v>2542</v>
      </c>
      <c r="J4548">
        <v>3</v>
      </c>
      <c r="K4548">
        <v>164</v>
      </c>
      <c r="L4548">
        <v>167</v>
      </c>
      <c r="Q4548">
        <v>0</v>
      </c>
      <c r="R4548">
        <v>0</v>
      </c>
      <c r="S4548">
        <v>167</v>
      </c>
      <c r="Y4548" t="s">
        <v>2574</v>
      </c>
      <c r="Z4548" t="s">
        <v>3138</v>
      </c>
      <c r="AA4548" t="s">
        <v>7418</v>
      </c>
      <c r="AB4548" t="s">
        <v>4750</v>
      </c>
      <c r="AC4548" t="s">
        <v>2497</v>
      </c>
      <c r="AD4548" s="249" t="str">
        <f>HYPERLINK("https://scontent.cdninstagram.com/t51.2885-15/s320x320/e35/21433667_167716513779159_7208353916226895872_n.jpg")</f>
        <v>https://scontent.cdninstagram.com/t51.2885-15/s320x320/e35/21433667_167716513779159_7208353916226895872_n.jpg</v>
      </c>
      <c r="AE4548" s="249" t="str">
        <f>HYPERLINK("https://scontent.cdninstagram.com/t51.2885-19/s150x150/12747833_1784420145115345_635625181_a.jpg")</f>
        <v>https://scontent.cdninstagram.com/t51.2885-19/s150x150/12747833_1784420145115345_635625181_a.jpg</v>
      </c>
    </row>
    <row r="4549" spans="1:31" ht="15" x14ac:dyDescent="0.25">
      <c r="A4549" t="s">
        <v>2474</v>
      </c>
      <c r="B4549" t="s">
        <v>24613</v>
      </c>
      <c r="C4549" s="221">
        <v>42982.259317129632</v>
      </c>
      <c r="D4549" t="s">
        <v>24614</v>
      </c>
      <c r="E4549" s="249" t="str">
        <f>HYPERLINK("https://www.instagram.com/p/BYnYaeWB7uP/")</f>
        <v>https://www.instagram.com/p/BYnYaeWB7uP/</v>
      </c>
      <c r="F4549" t="s">
        <v>24615</v>
      </c>
      <c r="G4549" t="s">
        <v>2478</v>
      </c>
      <c r="H4549">
        <v>216</v>
      </c>
      <c r="I4549" t="s">
        <v>2479</v>
      </c>
      <c r="J4549">
        <v>2</v>
      </c>
      <c r="K4549">
        <v>33</v>
      </c>
      <c r="L4549">
        <v>35</v>
      </c>
      <c r="Q4549">
        <v>0</v>
      </c>
      <c r="R4549">
        <v>0</v>
      </c>
      <c r="S4549">
        <v>35</v>
      </c>
      <c r="Y4549" t="s">
        <v>24616</v>
      </c>
      <c r="Z4549" t="s">
        <v>5808</v>
      </c>
      <c r="AA4549" t="s">
        <v>24398</v>
      </c>
      <c r="AB4549" t="s">
        <v>14183</v>
      </c>
      <c r="AC4549" t="s">
        <v>24617</v>
      </c>
      <c r="AD4549" s="249" t="str">
        <f>HYPERLINK("https://scontent.cdninstagram.com/t51.2885-15/s320x320/e35/21372092_1938068253072303_498926963293945856_n.jpg")</f>
        <v>https://scontent.cdninstagram.com/t51.2885-15/s320x320/e35/21372092_1938068253072303_498926963293945856_n.jpg</v>
      </c>
      <c r="AE4549" s="249" t="str">
        <f>HYPERLINK("https://scontent.cdninstagram.com/t51.2885-19/s150x150/14033514_1774040666214316_1045444953_a.jpg")</f>
        <v>https://scontent.cdninstagram.com/t51.2885-19/s150x150/14033514_1774040666214316_1045444953_a.jpg</v>
      </c>
    </row>
    <row r="4550" spans="1:31" ht="15" x14ac:dyDescent="0.25">
      <c r="A4550" t="s">
        <v>2474</v>
      </c>
      <c r="B4550" t="s">
        <v>18004</v>
      </c>
      <c r="C4550" s="221">
        <v>42982.279293981483</v>
      </c>
      <c r="D4550" t="s">
        <v>24618</v>
      </c>
      <c r="E4550" s="249" t="str">
        <f>HYPERLINK("https://www.instagram.com/p/BYnbtL3HkBA/")</f>
        <v>https://www.instagram.com/p/BYnbtL3HkBA/</v>
      </c>
      <c r="F4550" t="s">
        <v>24619</v>
      </c>
      <c r="G4550" t="s">
        <v>2478</v>
      </c>
      <c r="H4550">
        <v>324</v>
      </c>
      <c r="I4550" t="s">
        <v>2479</v>
      </c>
      <c r="J4550">
        <v>0</v>
      </c>
      <c r="K4550">
        <v>41</v>
      </c>
      <c r="L4550">
        <v>41</v>
      </c>
      <c r="Q4550">
        <v>0</v>
      </c>
      <c r="R4550">
        <v>0</v>
      </c>
      <c r="S4550">
        <v>41</v>
      </c>
      <c r="Y4550" t="s">
        <v>3477</v>
      </c>
      <c r="Z4550" t="s">
        <v>8086</v>
      </c>
      <c r="AA4550" t="s">
        <v>5884</v>
      </c>
      <c r="AB4550" t="s">
        <v>18008</v>
      </c>
      <c r="AC4550" t="s">
        <v>10299</v>
      </c>
      <c r="AD4550" s="249" t="str">
        <f>HYPERLINK("https://scontent.cdninstagram.com/t51.2885-15/s320x320/e35/21435475_1722336761143729_5796616320858456064_n.jpg")</f>
        <v>https://scontent.cdninstagram.com/t51.2885-15/s320x320/e35/21435475_1722336761143729_5796616320858456064_n.jpg</v>
      </c>
      <c r="AE4550" s="249" t="str">
        <f>HYPERLINK("https://scontent.cdninstagram.com/t51.2885-19/s150x150/18299412_1967357356830411_2577725090569388032_a.jpg")</f>
        <v>https://scontent.cdninstagram.com/t51.2885-19/s150x150/18299412_1967357356830411_2577725090569388032_a.jpg</v>
      </c>
    </row>
    <row r="4551" spans="1:31" ht="15" x14ac:dyDescent="0.25">
      <c r="A4551" t="s">
        <v>2474</v>
      </c>
      <c r="B4551" t="s">
        <v>24620</v>
      </c>
      <c r="C4551" s="221">
        <v>42982.284780092596</v>
      </c>
      <c r="D4551" t="s">
        <v>24621</v>
      </c>
      <c r="E4551" s="249" t="str">
        <f>HYPERLINK("https://www.instagram.com/p/BYncnGSBbqu/")</f>
        <v>https://www.instagram.com/p/BYncnGSBbqu/</v>
      </c>
      <c r="F4551" t="s">
        <v>24622</v>
      </c>
      <c r="G4551" t="s">
        <v>2478</v>
      </c>
      <c r="H4551">
        <v>966</v>
      </c>
      <c r="I4551" t="s">
        <v>4523</v>
      </c>
      <c r="J4551">
        <v>0</v>
      </c>
      <c r="K4551">
        <v>72</v>
      </c>
      <c r="L4551">
        <v>72</v>
      </c>
      <c r="Q4551">
        <v>0</v>
      </c>
      <c r="R4551">
        <v>0</v>
      </c>
      <c r="S4551">
        <v>72</v>
      </c>
      <c r="Y4551" t="s">
        <v>24623</v>
      </c>
      <c r="Z4551" t="s">
        <v>15307</v>
      </c>
      <c r="AA4551" t="s">
        <v>24624</v>
      </c>
      <c r="AB4551" t="s">
        <v>2497</v>
      </c>
      <c r="AC4551" t="s">
        <v>24625</v>
      </c>
      <c r="AD4551" s="249" t="str">
        <f>HYPERLINK("https://scontent.cdninstagram.com/t51.2885-15/s320x320/e35/21371724_1496277390411317_5075795777796702208_n.jpg")</f>
        <v>https://scontent.cdninstagram.com/t51.2885-15/s320x320/e35/21371724_1496277390411317_5075795777796702208_n.jpg</v>
      </c>
      <c r="AE4551" s="249" t="str">
        <f>HYPERLINK("https://scontent.cdninstagram.com/t51.2885-19/s150x150/21372908_841403132709068_1710172221109960704_a.jpg")</f>
        <v>https://scontent.cdninstagram.com/t51.2885-19/s150x150/21372908_841403132709068_1710172221109960704_a.jpg</v>
      </c>
    </row>
    <row r="4552" spans="1:31" ht="15" x14ac:dyDescent="0.25">
      <c r="A4552" t="s">
        <v>2474</v>
      </c>
      <c r="B4552" t="s">
        <v>2873</v>
      </c>
      <c r="C4552" s="221">
        <v>42982.285405092596</v>
      </c>
      <c r="D4552" t="s">
        <v>24626</v>
      </c>
      <c r="E4552" s="249" t="str">
        <f>HYPERLINK("https://www.instagram.com/p/BYnctoDnKNP/")</f>
        <v>https://www.instagram.com/p/BYnctoDnKNP/</v>
      </c>
      <c r="F4552" t="s">
        <v>24627</v>
      </c>
      <c r="G4552" t="s">
        <v>2478</v>
      </c>
      <c r="H4552">
        <v>2660</v>
      </c>
      <c r="I4552" t="s">
        <v>2542</v>
      </c>
      <c r="J4552">
        <v>2</v>
      </c>
      <c r="K4552">
        <v>97</v>
      </c>
      <c r="L4552">
        <v>99</v>
      </c>
      <c r="Q4552">
        <v>0</v>
      </c>
      <c r="R4552">
        <v>0</v>
      </c>
      <c r="S4552">
        <v>99</v>
      </c>
      <c r="Y4552" t="s">
        <v>24628</v>
      </c>
      <c r="Z4552" t="s">
        <v>7418</v>
      </c>
      <c r="AA4552" t="s">
        <v>24629</v>
      </c>
      <c r="AB4552" t="s">
        <v>4583</v>
      </c>
      <c r="AC4552" t="s">
        <v>24630</v>
      </c>
      <c r="AD4552" s="249" t="str">
        <f>HYPERLINK("https://scontent.cdninstagram.com/t51.2885-15/s320x320/e35/21372174_114510595893861_3979771513141198848_n.jpg")</f>
        <v>https://scontent.cdninstagram.com/t51.2885-15/s320x320/e35/21372174_114510595893861_3979771513141198848_n.jpg</v>
      </c>
      <c r="AE4552" s="249" t="str">
        <f>HYPERLINK("https://scontent.cdninstagram.com/t51.2885-19/s150x150/14723181_1238199739572953_5424221452041715712_n.jpg")</f>
        <v>https://scontent.cdninstagram.com/t51.2885-19/s150x150/14723181_1238199739572953_5424221452041715712_n.jpg</v>
      </c>
    </row>
    <row r="4553" spans="1:31" ht="15" x14ac:dyDescent="0.25">
      <c r="A4553" t="s">
        <v>2474</v>
      </c>
      <c r="B4553" t="s">
        <v>24631</v>
      </c>
      <c r="C4553" s="221">
        <v>42982.287604166668</v>
      </c>
      <c r="D4553" t="s">
        <v>24632</v>
      </c>
      <c r="E4553" s="249" t="str">
        <f>HYPERLINK("https://www.instagram.com/p/BYndE07jtCR/")</f>
        <v>https://www.instagram.com/p/BYndE07jtCR/</v>
      </c>
      <c r="F4553" t="s">
        <v>24633</v>
      </c>
      <c r="G4553" t="s">
        <v>2478</v>
      </c>
      <c r="H4553">
        <v>124</v>
      </c>
      <c r="I4553" t="s">
        <v>2903</v>
      </c>
      <c r="J4553">
        <v>1</v>
      </c>
      <c r="K4553">
        <v>23</v>
      </c>
      <c r="L4553">
        <v>24</v>
      </c>
      <c r="Q4553">
        <v>0</v>
      </c>
      <c r="R4553">
        <v>0</v>
      </c>
      <c r="S4553">
        <v>24</v>
      </c>
      <c r="Y4553" t="s">
        <v>5950</v>
      </c>
      <c r="Z4553" t="s">
        <v>5229</v>
      </c>
      <c r="AA4553" t="s">
        <v>6187</v>
      </c>
      <c r="AB4553" t="s">
        <v>2497</v>
      </c>
      <c r="AD4553" s="249" t="str">
        <f>HYPERLINK("https://scontent.cdninstagram.com/t51.2885-15/s320x320/e35/21296389_1811832599129722_2714694105899728896_n.jpg")</f>
        <v>https://scontent.cdninstagram.com/t51.2885-15/s320x320/e35/21296389_1811832599129722_2714694105899728896_n.jpg</v>
      </c>
      <c r="AE4553" s="249" t="str">
        <f>HYPERLINK("https://scontent.cdninstagram.com/t51.2885-19/s150x150/17439172_1133825090074358_4718100219802157056_a.jpg")</f>
        <v>https://scontent.cdninstagram.com/t51.2885-19/s150x150/17439172_1133825090074358_4718100219802157056_a.jpg</v>
      </c>
    </row>
    <row r="4554" spans="1:31" ht="15" x14ac:dyDescent="0.25">
      <c r="A4554" t="s">
        <v>2474</v>
      </c>
      <c r="B4554" t="s">
        <v>24634</v>
      </c>
      <c r="C4554" s="221">
        <v>42982.287928240738</v>
      </c>
      <c r="D4554" t="s">
        <v>24635</v>
      </c>
      <c r="E4554" s="249" t="str">
        <f>HYPERLINK("https://www.instagram.com/p/BYndIMeBu5I/")</f>
        <v>https://www.instagram.com/p/BYndIMeBu5I/</v>
      </c>
      <c r="F4554" t="s">
        <v>24636</v>
      </c>
      <c r="G4554" t="s">
        <v>2631</v>
      </c>
      <c r="H4554">
        <v>874</v>
      </c>
      <c r="I4554" t="s">
        <v>2479</v>
      </c>
      <c r="J4554">
        <v>2</v>
      </c>
      <c r="K4554">
        <v>68</v>
      </c>
      <c r="L4554">
        <v>70</v>
      </c>
      <c r="Q4554">
        <v>0</v>
      </c>
      <c r="R4554">
        <v>0</v>
      </c>
      <c r="S4554">
        <v>70</v>
      </c>
      <c r="T4554" t="s">
        <v>24637</v>
      </c>
      <c r="V4554" t="s">
        <v>2110</v>
      </c>
      <c r="W4554">
        <v>51</v>
      </c>
      <c r="X4554">
        <v>4.5</v>
      </c>
      <c r="Y4554" t="s">
        <v>24638</v>
      </c>
      <c r="Z4554" t="s">
        <v>13684</v>
      </c>
      <c r="AA4554" t="s">
        <v>24639</v>
      </c>
      <c r="AB4554" t="s">
        <v>13485</v>
      </c>
      <c r="AC4554" t="s">
        <v>24640</v>
      </c>
      <c r="AD4554" s="249" t="str">
        <f>HYPERLINK("https://scontent.cdninstagram.com/t51.2885-15/s320x320/e15/21373303_135864563696705_8958252703629180928_n.jpg")</f>
        <v>https://scontent.cdninstagram.com/t51.2885-15/s320x320/e15/21373303_135864563696705_8958252703629180928_n.jpg</v>
      </c>
      <c r="AE4554" s="249" t="str">
        <f>HYPERLINK("https://scontent.cdninstagram.com/t51.2885-19/s150x150/18096449_643542042500020_8870410636627017728_a.jpg")</f>
        <v>https://scontent.cdninstagram.com/t51.2885-19/s150x150/18096449_643542042500020_8870410636627017728_a.jpg</v>
      </c>
    </row>
    <row r="4555" spans="1:31" ht="15" x14ac:dyDescent="0.25">
      <c r="A4555" t="s">
        <v>2474</v>
      </c>
      <c r="B4555" t="s">
        <v>3251</v>
      </c>
      <c r="C4555" s="221">
        <v>42982.288703703707</v>
      </c>
      <c r="D4555" t="s">
        <v>24641</v>
      </c>
      <c r="E4555" s="249" t="str">
        <f>HYPERLINK("https://www.instagram.com/p/BYndQYFHlsg/")</f>
        <v>https://www.instagram.com/p/BYndQYFHlsg/</v>
      </c>
      <c r="F4555" t="s">
        <v>24642</v>
      </c>
      <c r="G4555" t="s">
        <v>2478</v>
      </c>
      <c r="H4555">
        <v>318</v>
      </c>
      <c r="I4555" t="s">
        <v>2599</v>
      </c>
      <c r="J4555">
        <v>0</v>
      </c>
      <c r="K4555">
        <v>18</v>
      </c>
      <c r="L4555">
        <v>18</v>
      </c>
      <c r="Q4555">
        <v>0</v>
      </c>
      <c r="R4555">
        <v>0</v>
      </c>
      <c r="S4555">
        <v>18</v>
      </c>
      <c r="Y4555" t="s">
        <v>3257</v>
      </c>
      <c r="Z4555" t="s">
        <v>5943</v>
      </c>
      <c r="AA4555" t="s">
        <v>3970</v>
      </c>
      <c r="AB4555" t="s">
        <v>3256</v>
      </c>
      <c r="AC4555" t="s">
        <v>3968</v>
      </c>
      <c r="AD4555" s="249" t="str">
        <f>HYPERLINK("https://scontent.cdninstagram.com/t51.2885-15/s320x320/e35/21297015_361712720915306_6384956587630395392_n.jpg")</f>
        <v>https://scontent.cdninstagram.com/t51.2885-15/s320x320/e35/21297015_361712720915306_6384956587630395392_n.jpg</v>
      </c>
      <c r="AE4555" s="249" t="str">
        <f>HYPERLINK("https://scontent.cdninstagram.com/t51.2885-19/s150x150/20986614_891746094322067_1272495017625124864_a.jpg")</f>
        <v>https://scontent.cdninstagram.com/t51.2885-19/s150x150/20986614_891746094322067_1272495017625124864_a.jpg</v>
      </c>
    </row>
    <row r="4556" spans="1:31" ht="15" x14ac:dyDescent="0.25">
      <c r="A4556" t="s">
        <v>2474</v>
      </c>
      <c r="B4556" t="s">
        <v>6513</v>
      </c>
      <c r="C4556" s="221">
        <v>42982.290393518517</v>
      </c>
      <c r="D4556" t="s">
        <v>24643</v>
      </c>
      <c r="E4556" s="249" t="str">
        <f>HYPERLINK("https://www.instagram.com/p/BYndiNpFfgv/")</f>
        <v>https://www.instagram.com/p/BYndiNpFfgv/</v>
      </c>
      <c r="F4556" t="s">
        <v>24644</v>
      </c>
      <c r="G4556" t="s">
        <v>2478</v>
      </c>
      <c r="H4556">
        <v>188</v>
      </c>
      <c r="I4556" t="s">
        <v>2599</v>
      </c>
      <c r="J4556">
        <v>0</v>
      </c>
      <c r="K4556">
        <v>17</v>
      </c>
      <c r="L4556">
        <v>17</v>
      </c>
      <c r="Q4556">
        <v>0</v>
      </c>
      <c r="R4556">
        <v>0</v>
      </c>
      <c r="S4556">
        <v>17</v>
      </c>
      <c r="Y4556" t="s">
        <v>24645</v>
      </c>
      <c r="Z4556" t="s">
        <v>7225</v>
      </c>
      <c r="AA4556" t="s">
        <v>2497</v>
      </c>
      <c r="AB4556" t="s">
        <v>24646</v>
      </c>
      <c r="AD4556" s="249" t="str">
        <f>HYPERLINK("https://scontent.cdninstagram.com/t51.2885-15/s320x320/e35/21296183_519457751734169_5301012034459009024_n.jpg")</f>
        <v>https://scontent.cdninstagram.com/t51.2885-15/s320x320/e35/21296183_519457751734169_5301012034459009024_n.jpg</v>
      </c>
      <c r="AE4556" s="249" t="str">
        <f>HYPERLINK("https://scontent.cdninstagram.com/t51.2885-19/s150x150/17437523_266652210460809_1166357377784479744_a.jpg")</f>
        <v>https://scontent.cdninstagram.com/t51.2885-19/s150x150/17437523_266652210460809_1166357377784479744_a.jpg</v>
      </c>
    </row>
    <row r="4557" spans="1:31" ht="15" x14ac:dyDescent="0.25">
      <c r="A4557" t="s">
        <v>2474</v>
      </c>
      <c r="B4557" t="s">
        <v>24647</v>
      </c>
      <c r="C4557" s="221">
        <v>42982.297199074077</v>
      </c>
      <c r="D4557" t="s">
        <v>24648</v>
      </c>
      <c r="E4557" s="249" t="str">
        <f>HYPERLINK("https://www.instagram.com/p/BYneqCQF929/")</f>
        <v>https://www.instagram.com/p/BYneqCQF929/</v>
      </c>
      <c r="F4557" t="s">
        <v>24649</v>
      </c>
      <c r="G4557" t="s">
        <v>2478</v>
      </c>
      <c r="H4557">
        <v>766</v>
      </c>
      <c r="I4557" t="s">
        <v>2582</v>
      </c>
      <c r="J4557">
        <v>4</v>
      </c>
      <c r="K4557">
        <v>92</v>
      </c>
      <c r="L4557">
        <v>96</v>
      </c>
      <c r="Q4557">
        <v>0</v>
      </c>
      <c r="R4557">
        <v>0</v>
      </c>
      <c r="S4557">
        <v>96</v>
      </c>
      <c r="T4557" t="s">
        <v>24650</v>
      </c>
      <c r="V4557" t="s">
        <v>2182</v>
      </c>
      <c r="W4557">
        <v>45</v>
      </c>
      <c r="X4557">
        <v>10</v>
      </c>
      <c r="Y4557" t="s">
        <v>3446</v>
      </c>
      <c r="Z4557" t="s">
        <v>3212</v>
      </c>
      <c r="AA4557" t="s">
        <v>24651</v>
      </c>
      <c r="AB4557" t="s">
        <v>4218</v>
      </c>
      <c r="AC4557" t="s">
        <v>24652</v>
      </c>
      <c r="AD4557" s="249" t="str">
        <f>HYPERLINK("https://scontent.cdninstagram.com/t51.2885-15/s320x320/e35/21296835_129630484337066_3789569994539401216_n.jpg")</f>
        <v>https://scontent.cdninstagram.com/t51.2885-15/s320x320/e35/21296835_129630484337066_3789569994539401216_n.jpg</v>
      </c>
      <c r="AE4557" s="249" t="str">
        <f>HYPERLINK("https://scontent.cdninstagram.com/t51.2885-19/s150x150/17125791_724925844352480_2027053954726100992_a.jpg")</f>
        <v>https://scontent.cdninstagram.com/t51.2885-19/s150x150/17125791_724925844352480_2027053954726100992_a.jpg</v>
      </c>
    </row>
    <row r="4558" spans="1:31" ht="15" x14ac:dyDescent="0.25">
      <c r="A4558" t="s">
        <v>2474</v>
      </c>
      <c r="B4558" t="s">
        <v>24653</v>
      </c>
      <c r="C4558" s="221">
        <v>42982.305115740739</v>
      </c>
      <c r="D4558" t="s">
        <v>24654</v>
      </c>
      <c r="E4558" s="249" t="str">
        <f>HYPERLINK("https://www.instagram.com/p/BYnf9itByHb/")</f>
        <v>https://www.instagram.com/p/BYnf9itByHb/</v>
      </c>
      <c r="F4558" t="s">
        <v>24655</v>
      </c>
      <c r="G4558" t="s">
        <v>2478</v>
      </c>
      <c r="H4558">
        <v>424</v>
      </c>
      <c r="I4558" t="s">
        <v>4523</v>
      </c>
      <c r="J4558">
        <v>3</v>
      </c>
      <c r="K4558">
        <v>26</v>
      </c>
      <c r="L4558">
        <v>29</v>
      </c>
      <c r="Q4558">
        <v>0</v>
      </c>
      <c r="R4558">
        <v>0</v>
      </c>
      <c r="S4558">
        <v>29</v>
      </c>
      <c r="Y4558" t="s">
        <v>2769</v>
      </c>
      <c r="Z4558" t="s">
        <v>24656</v>
      </c>
      <c r="AA4558" t="s">
        <v>20373</v>
      </c>
      <c r="AB4558" t="s">
        <v>6550</v>
      </c>
      <c r="AC4558" t="s">
        <v>2497</v>
      </c>
      <c r="AD4558" s="249" t="str">
        <f>HYPERLINK("https://scontent.cdninstagram.com/t51.2885-15/s320x320/e35/21296760_396885807380739_5214110535229898752_n.jpg")</f>
        <v>https://scontent.cdninstagram.com/t51.2885-15/s320x320/e35/21296760_396885807380739_5214110535229898752_n.jpg</v>
      </c>
      <c r="AE4558" s="249" t="str">
        <f>HYPERLINK("https://scontent.cdninstagram.com/t51.2885-19/s150x150/20986876_2002370123320250_967607328075415552_a.jpg")</f>
        <v>https://scontent.cdninstagram.com/t51.2885-19/s150x150/20986876_2002370123320250_967607328075415552_a.jpg</v>
      </c>
    </row>
    <row r="4559" spans="1:31" ht="15" x14ac:dyDescent="0.25">
      <c r="A4559" t="s">
        <v>2474</v>
      </c>
      <c r="B4559" t="s">
        <v>24657</v>
      </c>
      <c r="C4559" s="221">
        <v>42982.305208333331</v>
      </c>
      <c r="D4559" t="s">
        <v>24658</v>
      </c>
      <c r="E4559" s="249" t="str">
        <f>HYPERLINK("https://www.instagram.com/p/BYnf-finbIq/")</f>
        <v>https://www.instagram.com/p/BYnf-finbIq/</v>
      </c>
      <c r="F4559" t="s">
        <v>24659</v>
      </c>
      <c r="G4559" t="s">
        <v>2478</v>
      </c>
      <c r="H4559">
        <v>46</v>
      </c>
      <c r="I4559" t="s">
        <v>4567</v>
      </c>
      <c r="J4559">
        <v>1</v>
      </c>
      <c r="K4559">
        <v>2</v>
      </c>
      <c r="L4559">
        <v>3</v>
      </c>
      <c r="Q4559">
        <v>0</v>
      </c>
      <c r="R4559">
        <v>0</v>
      </c>
      <c r="S4559">
        <v>3</v>
      </c>
      <c r="Y4559" t="s">
        <v>24660</v>
      </c>
      <c r="Z4559" t="s">
        <v>24661</v>
      </c>
      <c r="AA4559" t="s">
        <v>24662</v>
      </c>
      <c r="AB4559" t="s">
        <v>7036</v>
      </c>
      <c r="AC4559" t="s">
        <v>24663</v>
      </c>
      <c r="AD4559" s="249" t="str">
        <f>HYPERLINK("https://scontent.cdninstagram.com/t51.2885-15/e35/p320x320/21296428_120267812033075_6241084417394081792_n.jpg")</f>
        <v>https://scontent.cdninstagram.com/t51.2885-15/e35/p320x320/21296428_120267812033075_6241084417394081792_n.jpg</v>
      </c>
      <c r="AE4559" s="249" t="str">
        <f>HYPERLINK("https://scontent.cdninstagram.com/t51.2885-19/s150x150/21371681_510090546002223_8710135496661008384_a.jpg")</f>
        <v>https://scontent.cdninstagram.com/t51.2885-19/s150x150/21371681_510090546002223_8710135496661008384_a.jpg</v>
      </c>
    </row>
    <row r="4560" spans="1:31" ht="15" x14ac:dyDescent="0.25">
      <c r="A4560" t="s">
        <v>2474</v>
      </c>
      <c r="B4560" t="s">
        <v>24664</v>
      </c>
      <c r="C4560" s="221">
        <v>42982.30909722222</v>
      </c>
      <c r="D4560" t="s">
        <v>24665</v>
      </c>
      <c r="E4560" s="249" t="str">
        <f>HYPERLINK("https://www.instagram.com/p/BYngnhZFhco/")</f>
        <v>https://www.instagram.com/p/BYngnhZFhco/</v>
      </c>
      <c r="F4560" t="s">
        <v>24666</v>
      </c>
      <c r="G4560" t="s">
        <v>2478</v>
      </c>
      <c r="H4560">
        <v>19</v>
      </c>
      <c r="I4560" t="s">
        <v>2479</v>
      </c>
      <c r="J4560">
        <v>0</v>
      </c>
      <c r="K4560">
        <v>3</v>
      </c>
      <c r="L4560">
        <v>3</v>
      </c>
      <c r="Q4560">
        <v>0</v>
      </c>
      <c r="R4560">
        <v>0</v>
      </c>
      <c r="S4560">
        <v>3</v>
      </c>
      <c r="Y4560" t="s">
        <v>2497</v>
      </c>
      <c r="Z4560" t="s">
        <v>24667</v>
      </c>
      <c r="AA4560" t="s">
        <v>24668</v>
      </c>
      <c r="AB4560" t="s">
        <v>24669</v>
      </c>
      <c r="AD4560" s="249" t="str">
        <f>HYPERLINK("https://scontent.cdninstagram.com/t51.2885-15/e35/p320x320/21435319_503623826652219_4738493093890752512_n.jpg")</f>
        <v>https://scontent.cdninstagram.com/t51.2885-15/e35/p320x320/21435319_503623826652219_4738493093890752512_n.jpg</v>
      </c>
      <c r="AE4560" s="249" t="str">
        <f>HYPERLINK("https://scontent.cdninstagram.com/t51.2885-19/s150x150/20226131_1265224783599660_1452454830227324928_a.jpg")</f>
        <v>https://scontent.cdninstagram.com/t51.2885-19/s150x150/20226131_1265224783599660_1452454830227324928_a.jpg</v>
      </c>
    </row>
    <row r="4561" spans="1:31" ht="15" x14ac:dyDescent="0.25">
      <c r="A4561" t="s">
        <v>2474</v>
      </c>
      <c r="B4561" t="s">
        <v>24670</v>
      </c>
      <c r="C4561" s="221">
        <v>42982.311828703707</v>
      </c>
      <c r="D4561" t="s">
        <v>24671</v>
      </c>
      <c r="E4561" s="249" t="str">
        <f>HYPERLINK("https://www.instagram.com/p/BYnhEXUjNLQ/")</f>
        <v>https://www.instagram.com/p/BYnhEXUjNLQ/</v>
      </c>
      <c r="F4561" t="s">
        <v>24672</v>
      </c>
      <c r="G4561" t="s">
        <v>2488</v>
      </c>
      <c r="H4561">
        <v>230</v>
      </c>
      <c r="I4561" t="s">
        <v>2479</v>
      </c>
      <c r="J4561">
        <v>1</v>
      </c>
      <c r="K4561">
        <v>24</v>
      </c>
      <c r="L4561">
        <v>25</v>
      </c>
      <c r="Q4561">
        <v>0</v>
      </c>
      <c r="R4561">
        <v>0</v>
      </c>
      <c r="S4561">
        <v>25</v>
      </c>
      <c r="Y4561" t="s">
        <v>24673</v>
      </c>
      <c r="Z4561" t="s">
        <v>5721</v>
      </c>
      <c r="AA4561" t="s">
        <v>24674</v>
      </c>
      <c r="AB4561" t="s">
        <v>24675</v>
      </c>
      <c r="AC4561" t="s">
        <v>24676</v>
      </c>
      <c r="AD4561" s="249" t="str">
        <f>HYPERLINK("https://scontent.cdninstagram.com/t51.2885-15/s320x320/e35/21373137_538409526491480_1850765003427151872_n.jpg")</f>
        <v>https://scontent.cdninstagram.com/t51.2885-15/s320x320/e35/21373137_538409526491480_1850765003427151872_n.jpg</v>
      </c>
      <c r="AE4561" s="249" t="str">
        <f>HYPERLINK("https://scontent.cdninstagram.com/t51.2885-19/s150x150/18444235_642976895898134_1978283853755711488_a.jpg")</f>
        <v>https://scontent.cdninstagram.com/t51.2885-19/s150x150/18444235_642976895898134_1978283853755711488_a.jpg</v>
      </c>
    </row>
    <row r="4562" spans="1:31" ht="15" x14ac:dyDescent="0.25">
      <c r="A4562" t="s">
        <v>2474</v>
      </c>
      <c r="B4562" t="s">
        <v>17375</v>
      </c>
      <c r="C4562" s="221">
        <v>42982.31653935185</v>
      </c>
      <c r="D4562" t="s">
        <v>24677</v>
      </c>
      <c r="E4562" s="249" t="str">
        <f>HYPERLINK("https://www.instagram.com/p/BYnh2BIAFJ6/")</f>
        <v>https://www.instagram.com/p/BYnh2BIAFJ6/</v>
      </c>
      <c r="F4562" t="s">
        <v>24678</v>
      </c>
      <c r="G4562" t="s">
        <v>2478</v>
      </c>
      <c r="H4562">
        <v>202</v>
      </c>
      <c r="I4562" t="s">
        <v>2599</v>
      </c>
      <c r="J4562">
        <v>1</v>
      </c>
      <c r="K4562">
        <v>26</v>
      </c>
      <c r="L4562">
        <v>27</v>
      </c>
      <c r="Q4562">
        <v>0</v>
      </c>
      <c r="R4562">
        <v>0</v>
      </c>
      <c r="S4562">
        <v>27</v>
      </c>
      <c r="T4562" t="s">
        <v>24679</v>
      </c>
      <c r="V4562" t="s">
        <v>2258</v>
      </c>
      <c r="W4562">
        <v>1.3436111111111</v>
      </c>
      <c r="X4562">
        <v>103.83111111111</v>
      </c>
      <c r="Y4562" t="s">
        <v>17382</v>
      </c>
      <c r="Z4562" t="s">
        <v>2730</v>
      </c>
      <c r="AA4562" t="s">
        <v>22251</v>
      </c>
      <c r="AB4562" t="s">
        <v>5314</v>
      </c>
      <c r="AC4562" t="s">
        <v>24680</v>
      </c>
      <c r="AD4562" s="249" t="str">
        <f>HYPERLINK("https://scontent.cdninstagram.com/t51.2885-15/s320x320/e35/21435324_718503104999714_5608173514054959104_n.jpg")</f>
        <v>https://scontent.cdninstagram.com/t51.2885-15/s320x320/e35/21435324_718503104999714_5608173514054959104_n.jpg</v>
      </c>
      <c r="AE4562" s="249" t="str">
        <f>HYPERLINK("https://scontent.cdninstagram.com/t51.2885-19/s150x150/12070648_1043727945657602_644684876_a.jpg")</f>
        <v>https://scontent.cdninstagram.com/t51.2885-19/s150x150/12070648_1043727945657602_644684876_a.jpg</v>
      </c>
    </row>
    <row r="4563" spans="1:31" ht="15" x14ac:dyDescent="0.25">
      <c r="A4563" t="s">
        <v>2474</v>
      </c>
      <c r="B4563" t="s">
        <v>11637</v>
      </c>
      <c r="C4563" s="221">
        <v>42982.317685185182</v>
      </c>
      <c r="D4563" t="s">
        <v>24681</v>
      </c>
      <c r="E4563" s="249" t="str">
        <f>HYPERLINK("https://www.instagram.com/p/BYniCFxny7d/")</f>
        <v>https://www.instagram.com/p/BYniCFxny7d/</v>
      </c>
      <c r="F4563" t="s">
        <v>24682</v>
      </c>
      <c r="G4563" t="s">
        <v>2478</v>
      </c>
      <c r="H4563">
        <v>596</v>
      </c>
      <c r="I4563" t="s">
        <v>10083</v>
      </c>
      <c r="J4563">
        <v>0</v>
      </c>
      <c r="K4563">
        <v>42</v>
      </c>
      <c r="L4563">
        <v>42</v>
      </c>
      <c r="Q4563">
        <v>0</v>
      </c>
      <c r="R4563">
        <v>0</v>
      </c>
      <c r="S4563">
        <v>42</v>
      </c>
      <c r="T4563" t="s">
        <v>24683</v>
      </c>
      <c r="V4563" t="s">
        <v>2204</v>
      </c>
      <c r="W4563">
        <v>5.2497910000000001</v>
      </c>
      <c r="X4563">
        <v>100.351353</v>
      </c>
      <c r="Y4563" t="s">
        <v>6429</v>
      </c>
      <c r="Z4563" t="s">
        <v>11641</v>
      </c>
      <c r="AA4563" t="s">
        <v>24684</v>
      </c>
      <c r="AB4563" t="s">
        <v>3849</v>
      </c>
      <c r="AC4563" t="s">
        <v>2497</v>
      </c>
      <c r="AD4563" s="249" t="str">
        <f>HYPERLINK("https://scontent.cdninstagram.com/t51.2885-15/s320x320/e35/21372902_1145131992254640_3748037510463225856_n.jpg")</f>
        <v>https://scontent.cdninstagram.com/t51.2885-15/s320x320/e35/21372902_1145131992254640_3748037510463225856_n.jpg</v>
      </c>
      <c r="AE4563" s="249" t="str">
        <f>HYPERLINK("https://scontent.cdninstagram.com/t51.2885-19/s150x150/20766072_1556596661027588_2496887604125892608_a.jpg")</f>
        <v>https://scontent.cdninstagram.com/t51.2885-19/s150x150/20766072_1556596661027588_2496887604125892608_a.jpg</v>
      </c>
    </row>
    <row r="4564" spans="1:31" ht="15" x14ac:dyDescent="0.25">
      <c r="A4564" t="s">
        <v>2474</v>
      </c>
      <c r="B4564" t="s">
        <v>24685</v>
      </c>
      <c r="C4564" s="221">
        <v>42982.319884259261</v>
      </c>
      <c r="D4564" t="s">
        <v>24686</v>
      </c>
      <c r="E4564" s="249" t="str">
        <f>HYPERLINK("https://www.instagram.com/p/BYniZOugm-6/")</f>
        <v>https://www.instagram.com/p/BYniZOugm-6/</v>
      </c>
      <c r="F4564" t="s">
        <v>24687</v>
      </c>
      <c r="G4564" t="s">
        <v>2478</v>
      </c>
      <c r="H4564">
        <v>430</v>
      </c>
      <c r="I4564" t="s">
        <v>2599</v>
      </c>
      <c r="J4564">
        <v>0</v>
      </c>
      <c r="K4564">
        <v>25</v>
      </c>
      <c r="L4564">
        <v>25</v>
      </c>
      <c r="Q4564">
        <v>0</v>
      </c>
      <c r="R4564">
        <v>0</v>
      </c>
      <c r="S4564">
        <v>25</v>
      </c>
      <c r="Y4564" t="s">
        <v>24688</v>
      </c>
      <c r="Z4564" t="s">
        <v>2497</v>
      </c>
      <c r="AA4564" t="s">
        <v>24689</v>
      </c>
      <c r="AD4564" s="249" t="str">
        <f>HYPERLINK("https://scontent.cdninstagram.com/t51.2885-15/e35/p320x320/21373697_341009766338698_4762699611175387136_n.jpg")</f>
        <v>https://scontent.cdninstagram.com/t51.2885-15/e35/p320x320/21373697_341009766338698_4762699611175387136_n.jpg</v>
      </c>
      <c r="AE4564" s="249" t="str">
        <f>HYPERLINK("https://scontent.cdninstagram.com/t51.2885-19/s150x150/19764443_564760057247240_5153546638748286976_a.jpg")</f>
        <v>https://scontent.cdninstagram.com/t51.2885-19/s150x150/19764443_564760057247240_5153546638748286976_a.jpg</v>
      </c>
    </row>
    <row r="4565" spans="1:31" ht="15" x14ac:dyDescent="0.25">
      <c r="A4565" t="s">
        <v>2474</v>
      </c>
      <c r="B4565" t="s">
        <v>24690</v>
      </c>
      <c r="C4565" s="221">
        <v>42982.320104166669</v>
      </c>
      <c r="D4565" t="s">
        <v>24691</v>
      </c>
      <c r="E4565" s="249" t="str">
        <f>HYPERLINK("https://www.instagram.com/p/BYniboOhjZF/")</f>
        <v>https://www.instagram.com/p/BYniboOhjZF/</v>
      </c>
      <c r="F4565" t="s">
        <v>24692</v>
      </c>
      <c r="G4565" t="s">
        <v>2478</v>
      </c>
      <c r="H4565">
        <v>439</v>
      </c>
      <c r="I4565" t="s">
        <v>5670</v>
      </c>
      <c r="J4565">
        <v>0</v>
      </c>
      <c r="K4565">
        <v>79</v>
      </c>
      <c r="L4565">
        <v>79</v>
      </c>
      <c r="Q4565">
        <v>0</v>
      </c>
      <c r="R4565">
        <v>0</v>
      </c>
      <c r="S4565">
        <v>79</v>
      </c>
      <c r="T4565" t="s">
        <v>24693</v>
      </c>
      <c r="V4565" t="s">
        <v>2281</v>
      </c>
      <c r="W4565">
        <v>36.959804476667003</v>
      </c>
      <c r="X4565">
        <v>28.68949632</v>
      </c>
      <c r="Y4565" t="s">
        <v>2730</v>
      </c>
      <c r="Z4565" t="s">
        <v>3982</v>
      </c>
      <c r="AA4565" t="s">
        <v>3070</v>
      </c>
      <c r="AB4565" t="s">
        <v>24694</v>
      </c>
      <c r="AC4565" t="s">
        <v>24695</v>
      </c>
      <c r="AD4565" s="249" t="str">
        <f>HYPERLINK("https://scontent.cdninstagram.com/t51.2885-15/s320x320/e35/21372279_518737901810789_526617412020207616_n.jpg")</f>
        <v>https://scontent.cdninstagram.com/t51.2885-15/s320x320/e35/21372279_518737901810789_526617412020207616_n.jpg</v>
      </c>
      <c r="AE4565" s="249" t="str">
        <f>HYPERLINK("https://scontent.cdninstagram.com/t51.2885-19/17818759_2018256918401447_8869904672299679744_n.jpg")</f>
        <v>https://scontent.cdninstagram.com/t51.2885-19/17818759_2018256918401447_8869904672299679744_n.jpg</v>
      </c>
    </row>
    <row r="4566" spans="1:31" ht="15" x14ac:dyDescent="0.25">
      <c r="A4566" t="s">
        <v>2474</v>
      </c>
      <c r="B4566" t="s">
        <v>24696</v>
      </c>
      <c r="C4566" s="221">
        <v>42982.328530092593</v>
      </c>
      <c r="D4566" t="s">
        <v>24697</v>
      </c>
      <c r="E4566" s="249" t="str">
        <f>HYPERLINK("https://www.instagram.com/p/BYnj0ctDatY/")</f>
        <v>https://www.instagram.com/p/BYnj0ctDatY/</v>
      </c>
      <c r="F4566" t="s">
        <v>24698</v>
      </c>
      <c r="G4566" t="s">
        <v>2478</v>
      </c>
      <c r="H4566">
        <v>108</v>
      </c>
      <c r="I4566" t="s">
        <v>3273</v>
      </c>
      <c r="J4566">
        <v>2</v>
      </c>
      <c r="K4566">
        <v>21</v>
      </c>
      <c r="L4566">
        <v>23</v>
      </c>
      <c r="Q4566">
        <v>0</v>
      </c>
      <c r="R4566">
        <v>0</v>
      </c>
      <c r="S4566">
        <v>23</v>
      </c>
      <c r="T4566" t="s">
        <v>24699</v>
      </c>
      <c r="V4566" t="s">
        <v>2288</v>
      </c>
      <c r="W4566">
        <v>53.517924221317998</v>
      </c>
      <c r="X4566">
        <v>-2.0471579868087</v>
      </c>
      <c r="Y4566" t="s">
        <v>10714</v>
      </c>
      <c r="Z4566" t="s">
        <v>2890</v>
      </c>
      <c r="AA4566" t="s">
        <v>7771</v>
      </c>
      <c r="AB4566" t="s">
        <v>12973</v>
      </c>
      <c r="AC4566" t="s">
        <v>3165</v>
      </c>
      <c r="AD4566" s="249" t="str">
        <f>HYPERLINK("https://scontent.cdninstagram.com/t51.2885-15/s320x320/e35/21371631_1371872812917418_6555716953946718208_n.jpg")</f>
        <v>https://scontent.cdninstagram.com/t51.2885-15/s320x320/e35/21371631_1371872812917418_6555716953946718208_n.jpg</v>
      </c>
      <c r="AE4566" s="249" t="str">
        <f>HYPERLINK("https://scontent.cdninstagram.com/t51.2885-19/s150x150/20347467_254662828363531_1405955426926723072_a.jpg")</f>
        <v>https://scontent.cdninstagram.com/t51.2885-19/s150x150/20347467_254662828363531_1405955426926723072_a.jpg</v>
      </c>
    </row>
    <row r="4567" spans="1:31" ht="15" x14ac:dyDescent="0.25">
      <c r="A4567" t="s">
        <v>2474</v>
      </c>
      <c r="B4567" t="s">
        <v>20287</v>
      </c>
      <c r="C4567" s="221">
        <v>42982.330462962964</v>
      </c>
      <c r="D4567" t="s">
        <v>24700</v>
      </c>
      <c r="E4567" s="249" t="str">
        <f>HYPERLINK("https://www.instagram.com/p/BYnkI20hTdX/")</f>
        <v>https://www.instagram.com/p/BYnkI20hTdX/</v>
      </c>
      <c r="F4567" t="s">
        <v>24701</v>
      </c>
      <c r="G4567" t="s">
        <v>2478</v>
      </c>
      <c r="H4567">
        <v>475</v>
      </c>
      <c r="I4567" t="s">
        <v>2542</v>
      </c>
      <c r="J4567">
        <v>0</v>
      </c>
      <c r="K4567">
        <v>41</v>
      </c>
      <c r="L4567">
        <v>41</v>
      </c>
      <c r="Q4567">
        <v>0</v>
      </c>
      <c r="R4567">
        <v>0</v>
      </c>
      <c r="S4567">
        <v>41</v>
      </c>
      <c r="T4567" t="s">
        <v>24702</v>
      </c>
      <c r="V4567" t="s">
        <v>2115</v>
      </c>
      <c r="W4567">
        <v>-17.056869611111001</v>
      </c>
      <c r="X4567">
        <v>-64.991228611110998</v>
      </c>
      <c r="Y4567" t="s">
        <v>24703</v>
      </c>
      <c r="Z4567" t="s">
        <v>17409</v>
      </c>
      <c r="AA4567" t="s">
        <v>11599</v>
      </c>
      <c r="AB4567" t="s">
        <v>24704</v>
      </c>
      <c r="AC4567" t="s">
        <v>24705</v>
      </c>
      <c r="AD4567" s="249" t="str">
        <f>HYPERLINK("https://scontent.cdninstagram.com/t51.2885-15/s320x320/e35/21373043_329279597537147_2181943974502072320_n.jpg")</f>
        <v>https://scontent.cdninstagram.com/t51.2885-15/s320x320/e35/21373043_329279597537147_2181943974502072320_n.jpg</v>
      </c>
      <c r="AE4567" s="249" t="str">
        <f>HYPERLINK("https://scontent.cdninstagram.com/t51.2885-19/s150x150/19955005_1123246351152456_1028698779684962304_a.jpg")</f>
        <v>https://scontent.cdninstagram.com/t51.2885-19/s150x150/19955005_1123246351152456_1028698779684962304_a.jpg</v>
      </c>
    </row>
    <row r="4568" spans="1:31" ht="15" x14ac:dyDescent="0.25">
      <c r="A4568" t="s">
        <v>2474</v>
      </c>
      <c r="B4568" t="s">
        <v>18309</v>
      </c>
      <c r="C4568" s="221">
        <v>42982.332719907405</v>
      </c>
      <c r="D4568" t="s">
        <v>24706</v>
      </c>
      <c r="E4568" s="249" t="str">
        <f>HYPERLINK("https://www.instagram.com/p/BYnkgrqDPlm/")</f>
        <v>https://www.instagram.com/p/BYnkgrqDPlm/</v>
      </c>
      <c r="F4568" t="s">
        <v>24707</v>
      </c>
      <c r="G4568" t="s">
        <v>2478</v>
      </c>
      <c r="H4568">
        <v>22</v>
      </c>
      <c r="I4568" t="s">
        <v>2510</v>
      </c>
      <c r="J4568">
        <v>1</v>
      </c>
      <c r="K4568">
        <v>24</v>
      </c>
      <c r="L4568">
        <v>25</v>
      </c>
      <c r="Q4568">
        <v>0</v>
      </c>
      <c r="R4568">
        <v>0</v>
      </c>
      <c r="S4568">
        <v>25</v>
      </c>
      <c r="Y4568" t="s">
        <v>2730</v>
      </c>
      <c r="Z4568" t="s">
        <v>6843</v>
      </c>
      <c r="AA4568" t="s">
        <v>4180</v>
      </c>
      <c r="AB4568" t="s">
        <v>11400</v>
      </c>
      <c r="AC4568" t="s">
        <v>12295</v>
      </c>
      <c r="AD4568" s="249" t="str">
        <f>HYPERLINK("https://scontent.cdninstagram.com/t51.2885-15/s320x320/e35/21434206_323667904762128_7297661245681827840_n.jpg")</f>
        <v>https://scontent.cdninstagram.com/t51.2885-15/s320x320/e35/21434206_323667904762128_7297661245681827840_n.jpg</v>
      </c>
      <c r="AE4568" s="249" t="str">
        <f>HYPERLINK("https://scontent.cdninstagram.com/t51.2885-19/s150x150/21224635_116853155713206_6935607206414909440_a.jpg")</f>
        <v>https://scontent.cdninstagram.com/t51.2885-19/s150x150/21224635_116853155713206_6935607206414909440_a.jpg</v>
      </c>
    </row>
    <row r="4569" spans="1:31" ht="15" x14ac:dyDescent="0.25">
      <c r="A4569" t="s">
        <v>2474</v>
      </c>
      <c r="B4569" t="s">
        <v>3015</v>
      </c>
      <c r="C4569" s="221">
        <v>42982.333437499998</v>
      </c>
      <c r="D4569" t="s">
        <v>24708</v>
      </c>
      <c r="E4569" s="249" t="str">
        <f>HYPERLINK("https://www.instagram.com/p/BYnkoRTAR5u/")</f>
        <v>https://www.instagram.com/p/BYnkoRTAR5u/</v>
      </c>
      <c r="F4569" t="s">
        <v>24709</v>
      </c>
      <c r="G4569" t="s">
        <v>2478</v>
      </c>
      <c r="H4569">
        <v>255</v>
      </c>
      <c r="I4569" t="s">
        <v>2479</v>
      </c>
      <c r="J4569">
        <v>1</v>
      </c>
      <c r="K4569">
        <v>38</v>
      </c>
      <c r="L4569">
        <v>39</v>
      </c>
      <c r="Q4569">
        <v>0</v>
      </c>
      <c r="R4569">
        <v>0</v>
      </c>
      <c r="S4569">
        <v>39</v>
      </c>
      <c r="Y4569" t="s">
        <v>2492</v>
      </c>
      <c r="Z4569" t="s">
        <v>10032</v>
      </c>
      <c r="AA4569" t="s">
        <v>3018</v>
      </c>
      <c r="AB4569" t="s">
        <v>4615</v>
      </c>
      <c r="AC4569" t="s">
        <v>3493</v>
      </c>
      <c r="AD4569" s="249" t="str">
        <f>HYPERLINK("https://scontent.cdninstagram.com/t51.2885-15/s320x320/e35/21371893_875007305989793_7804270496719044608_n.jpg")</f>
        <v>https://scontent.cdninstagram.com/t51.2885-15/s320x320/e35/21371893_875007305989793_7804270496719044608_n.jpg</v>
      </c>
      <c r="AE4569" s="249" t="str">
        <f>HYPERLINK("https://scontent.cdninstagram.com/t51.2885-19/s150x150/21373025_723410537866046_6184601968204316672_a.jpg")</f>
        <v>https://scontent.cdninstagram.com/t51.2885-19/s150x150/21373025_723410537866046_6184601968204316672_a.jpg</v>
      </c>
    </row>
    <row r="4570" spans="1:31" ht="15" x14ac:dyDescent="0.25">
      <c r="A4570" t="s">
        <v>2474</v>
      </c>
      <c r="B4570" t="s">
        <v>4811</v>
      </c>
      <c r="C4570" s="221">
        <v>42982.335173611114</v>
      </c>
      <c r="D4570" t="s">
        <v>24710</v>
      </c>
      <c r="E4570" s="249" t="str">
        <f>HYPERLINK("https://www.instagram.com/p/BYnk6k5Au8U/")</f>
        <v>https://www.instagram.com/p/BYnk6k5Au8U/</v>
      </c>
      <c r="F4570" t="s">
        <v>24711</v>
      </c>
      <c r="G4570" t="s">
        <v>2631</v>
      </c>
      <c r="H4570">
        <v>1019</v>
      </c>
      <c r="I4570" t="s">
        <v>2479</v>
      </c>
      <c r="J4570">
        <v>27</v>
      </c>
      <c r="K4570">
        <v>150</v>
      </c>
      <c r="L4570">
        <v>177</v>
      </c>
      <c r="Q4570">
        <v>0</v>
      </c>
      <c r="R4570">
        <v>0</v>
      </c>
      <c r="S4570">
        <v>177</v>
      </c>
      <c r="Y4570" t="s">
        <v>2730</v>
      </c>
      <c r="Z4570" t="s">
        <v>4073</v>
      </c>
      <c r="AA4570" t="s">
        <v>7340</v>
      </c>
      <c r="AB4570" t="s">
        <v>4816</v>
      </c>
      <c r="AC4570" t="s">
        <v>12100</v>
      </c>
      <c r="AD4570" s="249" t="str">
        <f>HYPERLINK("https://scontent.cdninstagram.com/t51.2885-15/s320x320/e15/21296808_343730072721385_2942030787916070912_n.jpg")</f>
        <v>https://scontent.cdninstagram.com/t51.2885-15/s320x320/e15/21296808_343730072721385_2942030787916070912_n.jpg</v>
      </c>
      <c r="AE4570" s="249" t="str">
        <f>HYPERLINK("https://scontent.cdninstagram.com/t51.2885-19/s150x150/16124251_1913091765603634_8004330562992996352_a.jpg")</f>
        <v>https://scontent.cdninstagram.com/t51.2885-19/s150x150/16124251_1913091765603634_8004330562992996352_a.jpg</v>
      </c>
    </row>
    <row r="4571" spans="1:31" ht="15" x14ac:dyDescent="0.25">
      <c r="A4571" t="s">
        <v>2474</v>
      </c>
      <c r="B4571" t="s">
        <v>24712</v>
      </c>
      <c r="C4571" s="221">
        <v>42982.34175925926</v>
      </c>
      <c r="D4571" t="s">
        <v>24713</v>
      </c>
      <c r="E4571" s="249" t="str">
        <f>HYPERLINK("https://www.instagram.com/p/BYnmADMH5Qh/")</f>
        <v>https://www.instagram.com/p/BYnmADMH5Qh/</v>
      </c>
      <c r="F4571" t="s">
        <v>24714</v>
      </c>
      <c r="G4571" t="s">
        <v>2478</v>
      </c>
      <c r="H4571">
        <v>1829</v>
      </c>
      <c r="I4571" t="s">
        <v>3170</v>
      </c>
      <c r="J4571">
        <v>3</v>
      </c>
      <c r="K4571">
        <v>85</v>
      </c>
      <c r="L4571">
        <v>88</v>
      </c>
      <c r="Q4571">
        <v>0</v>
      </c>
      <c r="R4571">
        <v>0</v>
      </c>
      <c r="S4571">
        <v>88</v>
      </c>
      <c r="Y4571" t="s">
        <v>24715</v>
      </c>
      <c r="Z4571" t="s">
        <v>2492</v>
      </c>
      <c r="AA4571" t="s">
        <v>24716</v>
      </c>
      <c r="AB4571" t="s">
        <v>2968</v>
      </c>
      <c r="AC4571" t="s">
        <v>24717</v>
      </c>
      <c r="AD4571" s="249" t="str">
        <f>HYPERLINK("https://scontent.cdninstagram.com/t51.2885-15/s320x320/e35/21296437_1641709909196987_4642287467137859584_n.jpg")</f>
        <v>https://scontent.cdninstagram.com/t51.2885-15/s320x320/e35/21296437_1641709909196987_4642287467137859584_n.jpg</v>
      </c>
      <c r="AE4571" s="249" t="str">
        <f>HYPERLINK("https://scontent.cdninstagram.com/t51.2885-19/s150x150/11821244_1605523026377721_1747232907_a.jpg")</f>
        <v>https://scontent.cdninstagram.com/t51.2885-19/s150x150/11821244_1605523026377721_1747232907_a.jpg</v>
      </c>
    </row>
    <row r="4572" spans="1:31" ht="15" x14ac:dyDescent="0.25">
      <c r="A4572" t="s">
        <v>2474</v>
      </c>
      <c r="B4572" t="s">
        <v>24718</v>
      </c>
      <c r="C4572" s="221">
        <v>42982.3437037037</v>
      </c>
      <c r="D4572" t="s">
        <v>24719</v>
      </c>
      <c r="E4572" s="249" t="str">
        <f>HYPERLINK("https://www.instagram.com/p/BYnmUenl1aL/")</f>
        <v>https://www.instagram.com/p/BYnmUenl1aL/</v>
      </c>
      <c r="F4572" t="s">
        <v>24720</v>
      </c>
      <c r="G4572" t="s">
        <v>2488</v>
      </c>
      <c r="H4572">
        <v>213</v>
      </c>
      <c r="I4572" t="s">
        <v>2479</v>
      </c>
      <c r="J4572">
        <v>0</v>
      </c>
      <c r="K4572">
        <v>59</v>
      </c>
      <c r="L4572">
        <v>59</v>
      </c>
      <c r="Q4572">
        <v>0</v>
      </c>
      <c r="R4572">
        <v>0</v>
      </c>
      <c r="S4572">
        <v>59</v>
      </c>
      <c r="Y4572" t="s">
        <v>21847</v>
      </c>
      <c r="Z4572" t="s">
        <v>24721</v>
      </c>
      <c r="AA4572" t="s">
        <v>24722</v>
      </c>
      <c r="AB4572" t="s">
        <v>2906</v>
      </c>
      <c r="AC4572" t="s">
        <v>24723</v>
      </c>
      <c r="AD4572" s="249" t="str">
        <f>HYPERLINK("https://scontent.cdninstagram.com/t51.2885-15/s320x320/e35/21372185_1990293104575035_8125492827363737600_n.jpg")</f>
        <v>https://scontent.cdninstagram.com/t51.2885-15/s320x320/e35/21372185_1990293104575035_8125492827363737600_n.jpg</v>
      </c>
      <c r="AE4572" s="249" t="str">
        <f>HYPERLINK("https://scontent.cdninstagram.com/t51.2885-19/s150x150/20633521_1440758639340796_2780641005152501760_a.jpg")</f>
        <v>https://scontent.cdninstagram.com/t51.2885-19/s150x150/20633521_1440758639340796_2780641005152501760_a.jpg</v>
      </c>
    </row>
    <row r="4573" spans="1:31" ht="15" x14ac:dyDescent="0.25">
      <c r="A4573" t="s">
        <v>2474</v>
      </c>
      <c r="B4573" t="s">
        <v>3251</v>
      </c>
      <c r="C4573" s="221">
        <v>42982.346493055556</v>
      </c>
      <c r="D4573" t="s">
        <v>24724</v>
      </c>
      <c r="E4573" s="249" t="str">
        <f>HYPERLINK("https://www.instagram.com/p/BYnmx47HEs8/")</f>
        <v>https://www.instagram.com/p/BYnmx47HEs8/</v>
      </c>
      <c r="F4573" t="s">
        <v>24725</v>
      </c>
      <c r="G4573" t="s">
        <v>2478</v>
      </c>
      <c r="H4573">
        <v>318</v>
      </c>
      <c r="I4573" t="s">
        <v>2542</v>
      </c>
      <c r="J4573">
        <v>0</v>
      </c>
      <c r="K4573">
        <v>28</v>
      </c>
      <c r="L4573">
        <v>28</v>
      </c>
      <c r="Q4573">
        <v>0</v>
      </c>
      <c r="R4573">
        <v>0</v>
      </c>
      <c r="S4573">
        <v>28</v>
      </c>
      <c r="Y4573" t="s">
        <v>2778</v>
      </c>
      <c r="Z4573" t="s">
        <v>4844</v>
      </c>
      <c r="AA4573" t="s">
        <v>3969</v>
      </c>
      <c r="AB4573" t="s">
        <v>3257</v>
      </c>
      <c r="AC4573" t="s">
        <v>3254</v>
      </c>
      <c r="AD4573" s="249" t="str">
        <f>HYPERLINK("https://scontent.cdninstagram.com/t51.2885-15/s320x320/e35/21434191_121164631948317_182883633063788544_n.jpg")</f>
        <v>https://scontent.cdninstagram.com/t51.2885-15/s320x320/e35/21434191_121164631948317_182883633063788544_n.jpg</v>
      </c>
      <c r="AE4573" s="249" t="str">
        <f>HYPERLINK("https://scontent.cdninstagram.com/t51.2885-19/s150x150/20986614_891746094322067_1272495017625124864_a.jpg")</f>
        <v>https://scontent.cdninstagram.com/t51.2885-19/s150x150/20986614_891746094322067_1272495017625124864_a.jpg</v>
      </c>
    </row>
    <row r="4574" spans="1:31" ht="15" x14ac:dyDescent="0.25">
      <c r="A4574" t="s">
        <v>2474</v>
      </c>
      <c r="B4574" t="s">
        <v>24726</v>
      </c>
      <c r="C4574" s="221">
        <v>42982.348043981481</v>
      </c>
      <c r="D4574" t="s">
        <v>24727</v>
      </c>
      <c r="E4574" s="249" t="str">
        <f>HYPERLINK("https://www.instagram.com/p/BYnnCSRHtHF/")</f>
        <v>https://www.instagram.com/p/BYnnCSRHtHF/</v>
      </c>
      <c r="F4574" t="s">
        <v>24728</v>
      </c>
      <c r="G4574" t="s">
        <v>2478</v>
      </c>
      <c r="H4574">
        <v>103</v>
      </c>
      <c r="I4574" t="s">
        <v>2910</v>
      </c>
      <c r="J4574">
        <v>1</v>
      </c>
      <c r="K4574">
        <v>48</v>
      </c>
      <c r="L4574">
        <v>49</v>
      </c>
      <c r="Q4574">
        <v>0</v>
      </c>
      <c r="R4574">
        <v>0</v>
      </c>
      <c r="S4574">
        <v>49</v>
      </c>
      <c r="Y4574" t="s">
        <v>2730</v>
      </c>
      <c r="Z4574" t="s">
        <v>24729</v>
      </c>
      <c r="AA4574" t="s">
        <v>15820</v>
      </c>
      <c r="AB4574" t="s">
        <v>24730</v>
      </c>
      <c r="AC4574" t="s">
        <v>24731</v>
      </c>
      <c r="AD4574" s="249" t="str">
        <f>HYPERLINK("https://scontent.cdninstagram.com/t51.2885-15/s320x320/e35/21433409_709928829201740_1465692795606925312_n.jpg")</f>
        <v>https://scontent.cdninstagram.com/t51.2885-15/s320x320/e35/21433409_709928829201740_1465692795606925312_n.jpg</v>
      </c>
      <c r="AE4574" s="249" t="str">
        <f>HYPERLINK("https://scontent.cdninstagram.com/t51.2885-19/s150x150/18096366_244163496058795_2499855014210568192_a.jpg")</f>
        <v>https://scontent.cdninstagram.com/t51.2885-19/s150x150/18096366_244163496058795_2499855014210568192_a.jpg</v>
      </c>
    </row>
    <row r="4575" spans="1:31" ht="15" x14ac:dyDescent="0.25">
      <c r="A4575" t="s">
        <v>2474</v>
      </c>
      <c r="B4575" t="s">
        <v>24732</v>
      </c>
      <c r="C4575" s="221">
        <v>42982.348923611113</v>
      </c>
      <c r="D4575" t="s">
        <v>24733</v>
      </c>
      <c r="E4575" s="249" t="str">
        <f>HYPERLINK("https://www.instagram.com/p/BYnnLlSgbPy/")</f>
        <v>https://www.instagram.com/p/BYnnLlSgbPy/</v>
      </c>
      <c r="F4575" t="s">
        <v>24734</v>
      </c>
      <c r="G4575" t="s">
        <v>2478</v>
      </c>
      <c r="H4575">
        <v>642</v>
      </c>
      <c r="I4575" t="s">
        <v>2542</v>
      </c>
      <c r="J4575">
        <v>0</v>
      </c>
      <c r="K4575">
        <v>43</v>
      </c>
      <c r="L4575">
        <v>43</v>
      </c>
      <c r="Q4575">
        <v>0</v>
      </c>
      <c r="R4575">
        <v>0</v>
      </c>
      <c r="S4575">
        <v>43</v>
      </c>
      <c r="T4575" t="s">
        <v>24735</v>
      </c>
      <c r="V4575" t="s">
        <v>2145</v>
      </c>
      <c r="W4575">
        <v>-0.14569897670311999</v>
      </c>
      <c r="X4575">
        <v>-78.487375527693004</v>
      </c>
      <c r="Y4575" t="s">
        <v>12295</v>
      </c>
      <c r="Z4575" t="s">
        <v>3349</v>
      </c>
      <c r="AA4575" t="s">
        <v>24736</v>
      </c>
      <c r="AB4575" t="s">
        <v>2497</v>
      </c>
      <c r="AC4575" t="s">
        <v>3901</v>
      </c>
      <c r="AD4575" s="249" t="str">
        <f>HYPERLINK("https://scontent.cdninstagram.com/t51.2885-15/e35/p320x320/21296328_224206914773066_78370032026910720_n.jpg")</f>
        <v>https://scontent.cdninstagram.com/t51.2885-15/e35/p320x320/21296328_224206914773066_78370032026910720_n.jpg</v>
      </c>
      <c r="AE4575" s="249" t="str">
        <f>HYPERLINK("https://scontent.cdninstagram.com/t51.2885-19/s150x150/20905226_340379679734470_7772176984959877120_a.jpg")</f>
        <v>https://scontent.cdninstagram.com/t51.2885-19/s150x150/20905226_340379679734470_7772176984959877120_a.jpg</v>
      </c>
    </row>
    <row r="4576" spans="1:31" ht="15" x14ac:dyDescent="0.25">
      <c r="A4576" t="s">
        <v>2474</v>
      </c>
      <c r="B4576" t="s">
        <v>2644</v>
      </c>
      <c r="C4576" s="221">
        <v>42982.353854166664</v>
      </c>
      <c r="D4576" t="s">
        <v>24737</v>
      </c>
      <c r="E4576" s="249" t="str">
        <f>HYPERLINK("https://www.instagram.com/p/BYnn_mEAlKT/")</f>
        <v>https://www.instagram.com/p/BYnn_mEAlKT/</v>
      </c>
      <c r="F4576" t="s">
        <v>24738</v>
      </c>
      <c r="G4576" t="s">
        <v>2478</v>
      </c>
      <c r="H4576">
        <v>1736</v>
      </c>
      <c r="I4576" t="s">
        <v>2479</v>
      </c>
      <c r="J4576">
        <v>2</v>
      </c>
      <c r="K4576">
        <v>86</v>
      </c>
      <c r="L4576">
        <v>88</v>
      </c>
      <c r="Q4576">
        <v>0</v>
      </c>
      <c r="R4576">
        <v>0</v>
      </c>
      <c r="S4576">
        <v>88</v>
      </c>
      <c r="T4576" t="s">
        <v>24739</v>
      </c>
      <c r="V4576" t="s">
        <v>2648</v>
      </c>
      <c r="W4576">
        <v>55.770532388325002</v>
      </c>
      <c r="X4576">
        <v>37.633119821548</v>
      </c>
      <c r="Y4576" t="s">
        <v>3915</v>
      </c>
      <c r="Z4576" t="s">
        <v>7195</v>
      </c>
      <c r="AA4576" t="s">
        <v>23315</v>
      </c>
      <c r="AB4576" t="s">
        <v>3912</v>
      </c>
      <c r="AC4576" t="s">
        <v>3075</v>
      </c>
      <c r="AD4576" s="249" t="str">
        <f>HYPERLINK("https://scontent.cdninstagram.com/t51.2885-15/e35/p320x320/21373412_1450296898399190_5590165399082631168_n.jpg")</f>
        <v>https://scontent.cdninstagram.com/t51.2885-15/e35/p320x320/21373412_1450296898399190_5590165399082631168_n.jpg</v>
      </c>
      <c r="AE4576" s="249" t="str">
        <f>HYPERLINK("https://scontent.cdninstagram.com/t51.2885-19/11372086_1598451257062069_1320225693_a.jpg")</f>
        <v>https://scontent.cdninstagram.com/t51.2885-19/11372086_1598451257062069_1320225693_a.jpg</v>
      </c>
    </row>
    <row r="4577" spans="1:31" ht="15" x14ac:dyDescent="0.25">
      <c r="A4577" t="s">
        <v>2474</v>
      </c>
      <c r="B4577" t="s">
        <v>24740</v>
      </c>
      <c r="C4577" s="221">
        <v>42982.356249999997</v>
      </c>
      <c r="D4577" t="s">
        <v>24741</v>
      </c>
      <c r="E4577" s="249" t="str">
        <f>HYPERLINK("https://www.instagram.com/p/BYnoY2TjxKK/")</f>
        <v>https://www.instagram.com/p/BYnoY2TjxKK/</v>
      </c>
      <c r="F4577" t="s">
        <v>24742</v>
      </c>
      <c r="G4577" t="s">
        <v>2478</v>
      </c>
      <c r="H4577">
        <v>231</v>
      </c>
      <c r="I4577" t="s">
        <v>2542</v>
      </c>
      <c r="J4577">
        <v>0</v>
      </c>
      <c r="K4577">
        <v>16</v>
      </c>
      <c r="L4577">
        <v>16</v>
      </c>
      <c r="Q4577">
        <v>0</v>
      </c>
      <c r="R4577">
        <v>0</v>
      </c>
      <c r="S4577">
        <v>16</v>
      </c>
      <c r="Y4577" t="s">
        <v>24743</v>
      </c>
      <c r="Z4577" t="s">
        <v>24744</v>
      </c>
      <c r="AA4577" t="s">
        <v>24745</v>
      </c>
      <c r="AB4577" t="s">
        <v>2497</v>
      </c>
      <c r="AC4577" t="s">
        <v>24746</v>
      </c>
      <c r="AD4577" s="249" t="str">
        <f>HYPERLINK("https://scontent.cdninstagram.com/t51.2885-15/s320x320/e35/21372030_1950057118606889_2327033802326540288_n.jpg")</f>
        <v>https://scontent.cdninstagram.com/t51.2885-15/s320x320/e35/21372030_1950057118606889_2327033802326540288_n.jpg</v>
      </c>
      <c r="AE4577" s="249" t="str">
        <f>HYPERLINK("https://scontent.cdninstagram.com/t51.2885-19/10004237_1568162633458937_757057644_a.jpg")</f>
        <v>https://scontent.cdninstagram.com/t51.2885-19/10004237_1568162633458937_757057644_a.jpg</v>
      </c>
    </row>
    <row r="4578" spans="1:31" ht="15" x14ac:dyDescent="0.25">
      <c r="A4578" t="s">
        <v>2474</v>
      </c>
      <c r="B4578" t="s">
        <v>24747</v>
      </c>
      <c r="C4578" s="221">
        <v>42982.356736111113</v>
      </c>
      <c r="D4578" t="s">
        <v>24748</v>
      </c>
      <c r="E4578" s="249" t="str">
        <f>HYPERLINK("https://www.instagram.com/p/BYnod6Zl7ab/")</f>
        <v>https://www.instagram.com/p/BYnod6Zl7ab/</v>
      </c>
      <c r="F4578" t="s">
        <v>24749</v>
      </c>
      <c r="G4578" t="s">
        <v>2478</v>
      </c>
      <c r="H4578">
        <v>721</v>
      </c>
      <c r="I4578" t="s">
        <v>2479</v>
      </c>
      <c r="J4578">
        <v>1</v>
      </c>
      <c r="K4578">
        <v>17</v>
      </c>
      <c r="L4578">
        <v>18</v>
      </c>
      <c r="Q4578">
        <v>0</v>
      </c>
      <c r="R4578">
        <v>0</v>
      </c>
      <c r="S4578">
        <v>18</v>
      </c>
      <c r="Y4578" t="s">
        <v>24750</v>
      </c>
      <c r="Z4578" t="s">
        <v>24751</v>
      </c>
      <c r="AA4578" t="s">
        <v>2497</v>
      </c>
      <c r="AB4578" t="s">
        <v>4827</v>
      </c>
      <c r="AD4578" s="249" t="str">
        <f>HYPERLINK("https://scontent.cdninstagram.com/t51.2885-15/s320x320/e35/21433584_470988813279463_8500512797371662336_n.jpg")</f>
        <v>https://scontent.cdninstagram.com/t51.2885-15/s320x320/e35/21433584_470988813279463_8500512797371662336_n.jpg</v>
      </c>
      <c r="AE4578" s="249" t="str">
        <f>HYPERLINK("https://scontent.cdninstagram.com/t51.2885-19/s150x150/18646250_1845361889118884_2655945644849496064_a.jpg")</f>
        <v>https://scontent.cdninstagram.com/t51.2885-19/s150x150/18646250_1845361889118884_2655945644849496064_a.jpg</v>
      </c>
    </row>
    <row r="4579" spans="1:31" ht="15" x14ac:dyDescent="0.25">
      <c r="A4579" t="s">
        <v>2474</v>
      </c>
      <c r="B4579" t="s">
        <v>3644</v>
      </c>
      <c r="C4579" s="221">
        <v>42982.366261574076</v>
      </c>
      <c r="D4579" t="s">
        <v>24752</v>
      </c>
      <c r="E4579" s="249" t="str">
        <f>HYPERLINK("https://www.instagram.com/p/BYnqCYFFU7q/")</f>
        <v>https://www.instagram.com/p/BYnqCYFFU7q/</v>
      </c>
      <c r="F4579" t="s">
        <v>24753</v>
      </c>
      <c r="G4579" t="s">
        <v>2478</v>
      </c>
      <c r="H4579">
        <v>581</v>
      </c>
      <c r="I4579" t="s">
        <v>2479</v>
      </c>
      <c r="J4579">
        <v>3</v>
      </c>
      <c r="K4579">
        <v>21</v>
      </c>
      <c r="L4579">
        <v>24</v>
      </c>
      <c r="Q4579">
        <v>0</v>
      </c>
      <c r="R4579">
        <v>0</v>
      </c>
      <c r="S4579">
        <v>24</v>
      </c>
      <c r="T4579" t="s">
        <v>9465</v>
      </c>
      <c r="V4579" t="s">
        <v>2141</v>
      </c>
      <c r="W4579">
        <v>55.4</v>
      </c>
      <c r="X4579">
        <v>10.3833</v>
      </c>
      <c r="Y4579" t="s">
        <v>6992</v>
      </c>
      <c r="Z4579" t="s">
        <v>10172</v>
      </c>
      <c r="AA4579" t="s">
        <v>8618</v>
      </c>
      <c r="AB4579" t="s">
        <v>9794</v>
      </c>
      <c r="AC4579" t="s">
        <v>3607</v>
      </c>
      <c r="AD4579" s="249" t="str">
        <f>HYPERLINK("https://scontent.cdninstagram.com/t51.2885-15/s320x320/e35/21296581_1801458959867608_6088968813347340288_n.jpg")</f>
        <v>https://scontent.cdninstagram.com/t51.2885-15/s320x320/e35/21296581_1801458959867608_6088968813347340288_n.jpg</v>
      </c>
      <c r="AE4579" s="249" t="str">
        <f>HYPERLINK("https://scontent.cdninstagram.com/t51.2885-19/s150x150/14714495_1790450111234953_7147855754219749376_a.jpg")</f>
        <v>https://scontent.cdninstagram.com/t51.2885-19/s150x150/14714495_1790450111234953_7147855754219749376_a.jpg</v>
      </c>
    </row>
    <row r="4580" spans="1:31" ht="15" x14ac:dyDescent="0.25">
      <c r="A4580" t="s">
        <v>2474</v>
      </c>
      <c r="B4580" t="s">
        <v>24754</v>
      </c>
      <c r="C4580" s="221">
        <v>42982.369953703703</v>
      </c>
      <c r="D4580" t="s">
        <v>24755</v>
      </c>
      <c r="E4580" s="249" t="str">
        <f>HYPERLINK("https://www.instagram.com/p/BYnqpUkHrGA/")</f>
        <v>https://www.instagram.com/p/BYnqpUkHrGA/</v>
      </c>
      <c r="F4580" t="s">
        <v>24756</v>
      </c>
      <c r="G4580" t="s">
        <v>2478</v>
      </c>
      <c r="H4580">
        <v>484</v>
      </c>
      <c r="I4580" t="s">
        <v>2479</v>
      </c>
      <c r="J4580">
        <v>3</v>
      </c>
      <c r="K4580">
        <v>42</v>
      </c>
      <c r="L4580">
        <v>45</v>
      </c>
      <c r="Q4580">
        <v>0</v>
      </c>
      <c r="R4580">
        <v>0</v>
      </c>
      <c r="S4580">
        <v>45</v>
      </c>
      <c r="T4580" t="s">
        <v>24757</v>
      </c>
      <c r="V4580" t="s">
        <v>2238</v>
      </c>
      <c r="W4580">
        <v>10.335523233636</v>
      </c>
      <c r="X4580">
        <v>123.9026595184</v>
      </c>
      <c r="Y4580" t="s">
        <v>11400</v>
      </c>
      <c r="Z4580" t="s">
        <v>24758</v>
      </c>
      <c r="AA4580" t="s">
        <v>24759</v>
      </c>
      <c r="AB4580" t="s">
        <v>24760</v>
      </c>
      <c r="AC4580" t="s">
        <v>24761</v>
      </c>
      <c r="AD4580" s="249" t="str">
        <f>HYPERLINK("https://scontent.cdninstagram.com/t51.2885-15/e35/p320x320/21434003_169403766961729_7094643471654322176_n.jpg")</f>
        <v>https://scontent.cdninstagram.com/t51.2885-15/e35/p320x320/21434003_169403766961729_7094643471654322176_n.jpg</v>
      </c>
      <c r="AE4580" s="249" t="str">
        <f>HYPERLINK("https://scontent.cdninstagram.com/t51.2885-19/s150x150/20902722_1700097423631703_2598947275598200832_a.jpg")</f>
        <v>https://scontent.cdninstagram.com/t51.2885-19/s150x150/20902722_1700097423631703_2598947275598200832_a.jpg</v>
      </c>
    </row>
    <row r="4581" spans="1:31" ht="15" x14ac:dyDescent="0.25">
      <c r="A4581" t="s">
        <v>2474</v>
      </c>
      <c r="B4581" t="s">
        <v>24762</v>
      </c>
      <c r="C4581" s="221">
        <v>42982.380243055559</v>
      </c>
      <c r="D4581" t="s">
        <v>24763</v>
      </c>
      <c r="E4581" s="249" t="str">
        <f>HYPERLINK("https://www.instagram.com/p/BYnsV6HBv2H/")</f>
        <v>https://www.instagram.com/p/BYnsV6HBv2H/</v>
      </c>
      <c r="F4581" t="s">
        <v>24764</v>
      </c>
      <c r="G4581" t="s">
        <v>2478</v>
      </c>
      <c r="H4581">
        <v>566</v>
      </c>
      <c r="I4581" t="s">
        <v>2479</v>
      </c>
      <c r="J4581">
        <v>4</v>
      </c>
      <c r="K4581">
        <v>70</v>
      </c>
      <c r="L4581">
        <v>74</v>
      </c>
      <c r="Q4581">
        <v>0</v>
      </c>
      <c r="R4581">
        <v>0</v>
      </c>
      <c r="S4581">
        <v>74</v>
      </c>
      <c r="T4581" t="s">
        <v>24765</v>
      </c>
      <c r="V4581" t="s">
        <v>2271</v>
      </c>
      <c r="W4581">
        <v>47.369320000000002</v>
      </c>
      <c r="X4581">
        <v>8.5414300000000001</v>
      </c>
      <c r="Y4581" t="s">
        <v>24766</v>
      </c>
      <c r="Z4581" t="s">
        <v>24767</v>
      </c>
      <c r="AA4581" t="s">
        <v>24768</v>
      </c>
      <c r="AB4581" t="s">
        <v>24769</v>
      </c>
      <c r="AC4581" t="s">
        <v>24770</v>
      </c>
      <c r="AD4581" s="249" t="str">
        <f>HYPERLINK("https://scontent.cdninstagram.com/t51.2885-15/e35/p320x320/21371784_594230264300196_7572204183831445504_n.jpg")</f>
        <v>https://scontent.cdninstagram.com/t51.2885-15/e35/p320x320/21371784_594230264300196_7572204183831445504_n.jpg</v>
      </c>
      <c r="AE4581" s="249" t="str">
        <f>HYPERLINK("https://scontent.cdninstagram.com/t51.2885-19/11385155_964077986946131_1396583304_a.jpg")</f>
        <v>https://scontent.cdninstagram.com/t51.2885-19/11385155_964077986946131_1396583304_a.jpg</v>
      </c>
    </row>
    <row r="4582" spans="1:31" ht="15" x14ac:dyDescent="0.25">
      <c r="A4582" t="s">
        <v>2474</v>
      </c>
      <c r="B4582" t="s">
        <v>24771</v>
      </c>
      <c r="C4582" s="221">
        <v>42982.382939814815</v>
      </c>
      <c r="D4582" t="s">
        <v>24772</v>
      </c>
      <c r="E4582" s="249" t="str">
        <f>HYPERLINK("https://www.instagram.com/p/BYnsyVfjM3J/")</f>
        <v>https://www.instagram.com/p/BYnsyVfjM3J/</v>
      </c>
      <c r="F4582" t="s">
        <v>24773</v>
      </c>
      <c r="G4582" t="s">
        <v>2478</v>
      </c>
      <c r="H4582">
        <v>276</v>
      </c>
      <c r="I4582" t="s">
        <v>5670</v>
      </c>
      <c r="J4582">
        <v>1</v>
      </c>
      <c r="K4582">
        <v>19</v>
      </c>
      <c r="L4582">
        <v>20</v>
      </c>
      <c r="Q4582">
        <v>0</v>
      </c>
      <c r="R4582">
        <v>0</v>
      </c>
      <c r="S4582">
        <v>20</v>
      </c>
      <c r="T4582" t="s">
        <v>24774</v>
      </c>
      <c r="V4582" t="s">
        <v>2102</v>
      </c>
      <c r="W4582">
        <v>-37.205419999999997</v>
      </c>
      <c r="X4582">
        <v>145.0043</v>
      </c>
      <c r="Y4582" t="s">
        <v>24775</v>
      </c>
      <c r="Z4582" t="s">
        <v>24776</v>
      </c>
      <c r="AA4582" t="s">
        <v>2696</v>
      </c>
      <c r="AB4582" t="s">
        <v>4547</v>
      </c>
      <c r="AC4582" t="s">
        <v>24777</v>
      </c>
      <c r="AD4582" s="249" t="str">
        <f>HYPERLINK("https://scontent.cdninstagram.com/t51.2885-15/s320x320/e35/21372544_1955000974743004_1313487242060103680_n.jpg")</f>
        <v>https://scontent.cdninstagram.com/t51.2885-15/s320x320/e35/21372544_1955000974743004_1313487242060103680_n.jpg</v>
      </c>
      <c r="AE4582" s="249" t="str">
        <f>HYPERLINK("https://scontent.cdninstagram.com/t51.2885-19/s150x150/16908265_634855640055326_7381575315983695872_a.jpg")</f>
        <v>https://scontent.cdninstagram.com/t51.2885-19/s150x150/16908265_634855640055326_7381575315983695872_a.jpg</v>
      </c>
    </row>
    <row r="4583" spans="1:31" ht="15" x14ac:dyDescent="0.25">
      <c r="A4583" t="s">
        <v>2474</v>
      </c>
      <c r="B4583" t="s">
        <v>24778</v>
      </c>
      <c r="C4583" s="221">
        <v>42982.385787037034</v>
      </c>
      <c r="D4583" t="s">
        <v>24779</v>
      </c>
      <c r="E4583" s="249" t="str">
        <f>HYPERLINK("https://www.instagram.com/p/BYntQaWAald/")</f>
        <v>https://www.instagram.com/p/BYntQaWAald/</v>
      </c>
      <c r="F4583" t="s">
        <v>24780</v>
      </c>
      <c r="G4583" t="s">
        <v>2478</v>
      </c>
      <c r="H4583">
        <v>391</v>
      </c>
      <c r="I4583" t="s">
        <v>2479</v>
      </c>
      <c r="J4583">
        <v>7</v>
      </c>
      <c r="K4583">
        <v>125</v>
      </c>
      <c r="L4583">
        <v>132</v>
      </c>
      <c r="Q4583">
        <v>0</v>
      </c>
      <c r="R4583">
        <v>0</v>
      </c>
      <c r="S4583">
        <v>132</v>
      </c>
      <c r="Y4583" t="s">
        <v>23933</v>
      </c>
      <c r="Z4583" t="s">
        <v>24781</v>
      </c>
      <c r="AA4583" t="s">
        <v>2497</v>
      </c>
      <c r="AB4583" t="s">
        <v>24782</v>
      </c>
      <c r="AC4583" t="s">
        <v>24783</v>
      </c>
      <c r="AD4583" s="249" t="str">
        <f>HYPERLINK("https://scontent.cdninstagram.com/t51.2885-15/s320x320/e35/21372577_1746225109015368_5198282326613688320_n.jpg")</f>
        <v>https://scontent.cdninstagram.com/t51.2885-15/s320x320/e35/21372577_1746225109015368_5198282326613688320_n.jpg</v>
      </c>
      <c r="AE4583" s="249" t="str">
        <f>HYPERLINK("https://scontent.cdninstagram.com/t51.2885-19/s150x150/21294564_439953076404929_6720342577955995648_a.jpg")</f>
        <v>https://scontent.cdninstagram.com/t51.2885-19/s150x150/21294564_439953076404929_6720342577955995648_a.jpg</v>
      </c>
    </row>
    <row r="4584" spans="1:31" ht="15" x14ac:dyDescent="0.25">
      <c r="A4584" t="s">
        <v>2474</v>
      </c>
      <c r="B4584" t="s">
        <v>24784</v>
      </c>
      <c r="C4584" s="221">
        <v>42982.390636574077</v>
      </c>
      <c r="D4584" t="s">
        <v>24785</v>
      </c>
      <c r="E4584" s="249" t="str">
        <f>HYPERLINK("https://www.instagram.com/p/BYnuDhCBsKN/")</f>
        <v>https://www.instagram.com/p/BYnuDhCBsKN/</v>
      </c>
      <c r="F4584" t="s">
        <v>24786</v>
      </c>
      <c r="G4584" t="s">
        <v>2478</v>
      </c>
      <c r="H4584">
        <v>2625</v>
      </c>
      <c r="I4584" t="s">
        <v>2542</v>
      </c>
      <c r="J4584">
        <v>1</v>
      </c>
      <c r="K4584">
        <v>19</v>
      </c>
      <c r="L4584">
        <v>20</v>
      </c>
      <c r="Q4584">
        <v>0</v>
      </c>
      <c r="R4584">
        <v>0</v>
      </c>
      <c r="S4584">
        <v>20</v>
      </c>
      <c r="Y4584" t="s">
        <v>24787</v>
      </c>
      <c r="Z4584" t="s">
        <v>2497</v>
      </c>
      <c r="AA4584" t="s">
        <v>8669</v>
      </c>
      <c r="AB4584" t="s">
        <v>6982</v>
      </c>
      <c r="AC4584" t="s">
        <v>24788</v>
      </c>
      <c r="AD4584" s="249" t="str">
        <f>HYPERLINK("https://scontent.cdninstagram.com/t51.2885-15/e35/p320x320/21373336_511472572533550_3173045082924253184_n.jpg")</f>
        <v>https://scontent.cdninstagram.com/t51.2885-15/e35/p320x320/21373336_511472572533550_3173045082924253184_n.jpg</v>
      </c>
      <c r="AE4584" s="249" t="str">
        <f>HYPERLINK("https://scontent.cdninstagram.com/t51.2885-19/s150x150/16465813_1758693107780462_8969252797774036992_a.jpg")</f>
        <v>https://scontent.cdninstagram.com/t51.2885-19/s150x150/16465813_1758693107780462_8969252797774036992_a.jpg</v>
      </c>
    </row>
    <row r="4585" spans="1:31" ht="15" x14ac:dyDescent="0.25">
      <c r="A4585" t="s">
        <v>2474</v>
      </c>
      <c r="B4585" t="s">
        <v>24789</v>
      </c>
      <c r="C4585" s="221">
        <v>42982.394479166665</v>
      </c>
      <c r="D4585" t="s">
        <v>24790</v>
      </c>
      <c r="E4585" s="249" t="str">
        <f>HYPERLINK("https://www.instagram.com/p/BYnusAuhmXn/")</f>
        <v>https://www.instagram.com/p/BYnusAuhmXn/</v>
      </c>
      <c r="F4585" t="s">
        <v>24791</v>
      </c>
      <c r="G4585" t="s">
        <v>2478</v>
      </c>
      <c r="H4585">
        <v>268</v>
      </c>
      <c r="I4585" t="s">
        <v>2542</v>
      </c>
      <c r="J4585">
        <v>0</v>
      </c>
      <c r="K4585">
        <v>37</v>
      </c>
      <c r="L4585">
        <v>37</v>
      </c>
      <c r="Q4585">
        <v>0</v>
      </c>
      <c r="R4585">
        <v>0</v>
      </c>
      <c r="S4585">
        <v>37</v>
      </c>
      <c r="Y4585" t="s">
        <v>24792</v>
      </c>
      <c r="Z4585" t="s">
        <v>9441</v>
      </c>
      <c r="AA4585" t="s">
        <v>2497</v>
      </c>
      <c r="AB4585" t="s">
        <v>24793</v>
      </c>
      <c r="AC4585" t="s">
        <v>5673</v>
      </c>
      <c r="AD4585" s="249" t="str">
        <f>HYPERLINK("https://scontent.cdninstagram.com/t51.2885-15/s320x320/e35/21296708_278781342604460_5703079088567091200_n.jpg")</f>
        <v>https://scontent.cdninstagram.com/t51.2885-15/s320x320/e35/21296708_278781342604460_5703079088567091200_n.jpg</v>
      </c>
      <c r="AE4585" s="249" t="str">
        <f>HYPERLINK("https://scontent.cdninstagram.com/t51.2885-19/s150x150/916363_1141216162564038_530251132_a.jpg")</f>
        <v>https://scontent.cdninstagram.com/t51.2885-19/s150x150/916363_1141216162564038_530251132_a.jpg</v>
      </c>
    </row>
    <row r="4586" spans="1:31" ht="15" x14ac:dyDescent="0.25">
      <c r="A4586" t="s">
        <v>2474</v>
      </c>
      <c r="B4586" t="s">
        <v>16296</v>
      </c>
      <c r="C4586" s="221">
        <v>42982.394953703704</v>
      </c>
      <c r="D4586" t="s">
        <v>24794</v>
      </c>
      <c r="E4586" s="249" t="str">
        <f>HYPERLINK("https://www.instagram.com/p/BYnuw_GlKEt/")</f>
        <v>https://www.instagram.com/p/BYnuw_GlKEt/</v>
      </c>
      <c r="F4586" t="s">
        <v>24795</v>
      </c>
      <c r="G4586" t="s">
        <v>2478</v>
      </c>
      <c r="H4586">
        <v>1788</v>
      </c>
      <c r="I4586" t="s">
        <v>2510</v>
      </c>
      <c r="J4586">
        <v>0</v>
      </c>
      <c r="K4586">
        <v>44</v>
      </c>
      <c r="L4586">
        <v>44</v>
      </c>
      <c r="Q4586">
        <v>0</v>
      </c>
      <c r="R4586">
        <v>0</v>
      </c>
      <c r="S4586">
        <v>44</v>
      </c>
      <c r="Y4586" t="s">
        <v>2666</v>
      </c>
      <c r="Z4586" t="s">
        <v>24796</v>
      </c>
      <c r="AA4586" t="s">
        <v>2497</v>
      </c>
      <c r="AB4586" t="s">
        <v>11141</v>
      </c>
      <c r="AC4586" t="s">
        <v>4438</v>
      </c>
      <c r="AD4586" s="249" t="str">
        <f>HYPERLINK("https://scontent.cdninstagram.com/t51.2885-15/s320x320/e35/21433776_344687272623430_3464447425568047104_n.jpg")</f>
        <v>https://scontent.cdninstagram.com/t51.2885-15/s320x320/e35/21433776_344687272623430_3464447425568047104_n.jpg</v>
      </c>
      <c r="AE4586" s="249" t="str">
        <f>HYPERLINK("https://scontent.cdninstagram.com/t51.2885-19/s150x150/18012007_1872551519634939_6019607707152023552_a.jpg")</f>
        <v>https://scontent.cdninstagram.com/t51.2885-19/s150x150/18012007_1872551519634939_6019607707152023552_a.jpg</v>
      </c>
    </row>
    <row r="4587" spans="1:31" ht="15" x14ac:dyDescent="0.25">
      <c r="A4587" t="s">
        <v>2474</v>
      </c>
      <c r="B4587" t="s">
        <v>24797</v>
      </c>
      <c r="C4587" s="221">
        <v>42982.397581018522</v>
      </c>
      <c r="D4587" t="s">
        <v>24798</v>
      </c>
      <c r="E4587" s="249" t="str">
        <f>HYPERLINK("https://www.instagram.com/p/BYnvMwQn20P/")</f>
        <v>https://www.instagram.com/p/BYnvMwQn20P/</v>
      </c>
      <c r="F4587" t="s">
        <v>24799</v>
      </c>
      <c r="G4587" t="s">
        <v>2478</v>
      </c>
      <c r="H4587">
        <v>230</v>
      </c>
      <c r="I4587" t="s">
        <v>2479</v>
      </c>
      <c r="J4587">
        <v>0</v>
      </c>
      <c r="K4587">
        <v>15</v>
      </c>
      <c r="L4587">
        <v>15</v>
      </c>
      <c r="Q4587">
        <v>0</v>
      </c>
      <c r="R4587">
        <v>0</v>
      </c>
      <c r="S4587">
        <v>15</v>
      </c>
      <c r="Y4587" t="s">
        <v>4987</v>
      </c>
      <c r="Z4587" t="s">
        <v>24800</v>
      </c>
      <c r="AA4587" t="s">
        <v>24801</v>
      </c>
      <c r="AB4587" t="s">
        <v>24802</v>
      </c>
      <c r="AC4587" t="s">
        <v>2497</v>
      </c>
      <c r="AD4587" s="249" t="str">
        <f>HYPERLINK("https://scontent.cdninstagram.com/t51.2885-15/s320x320/e35/21294411_487077728333660_8058441099313676288_n.jpg")</f>
        <v>https://scontent.cdninstagram.com/t51.2885-15/s320x320/e35/21294411_487077728333660_8058441099313676288_n.jpg</v>
      </c>
      <c r="AE4587" s="249" t="str">
        <f>HYPERLINK("https://scontent.cdninstagram.com/t51.2885-19/s150x150/14350862_109021359558782_1909881631_a.jpg")</f>
        <v>https://scontent.cdninstagram.com/t51.2885-19/s150x150/14350862_109021359558782_1909881631_a.jpg</v>
      </c>
    </row>
    <row r="4588" spans="1:31" ht="15" x14ac:dyDescent="0.25">
      <c r="A4588" t="s">
        <v>2474</v>
      </c>
      <c r="B4588" t="s">
        <v>24803</v>
      </c>
      <c r="C4588" s="221">
        <v>42982.398009259261</v>
      </c>
      <c r="D4588" t="s">
        <v>24804</v>
      </c>
      <c r="E4588" s="249" t="str">
        <f>HYPERLINK("https://www.instagram.com/p/BYnvRTihpPu/")</f>
        <v>https://www.instagram.com/p/BYnvRTihpPu/</v>
      </c>
      <c r="F4588" t="s">
        <v>24805</v>
      </c>
      <c r="G4588" t="s">
        <v>2478</v>
      </c>
      <c r="H4588">
        <v>532</v>
      </c>
      <c r="I4588" t="s">
        <v>2599</v>
      </c>
      <c r="J4588">
        <v>0</v>
      </c>
      <c r="K4588">
        <v>7</v>
      </c>
      <c r="L4588">
        <v>7</v>
      </c>
      <c r="Q4588">
        <v>0</v>
      </c>
      <c r="R4588">
        <v>0</v>
      </c>
      <c r="S4588">
        <v>7</v>
      </c>
      <c r="Y4588" t="s">
        <v>4555</v>
      </c>
      <c r="Z4588" t="s">
        <v>24806</v>
      </c>
      <c r="AA4588" t="s">
        <v>2497</v>
      </c>
      <c r="AB4588" t="s">
        <v>9453</v>
      </c>
      <c r="AC4588" t="s">
        <v>24807</v>
      </c>
      <c r="AD4588" s="249" t="str">
        <f>HYPERLINK("https://scontent.cdninstagram.com/t51.2885-15/s320x320/e35/21371953_114970422555615_4315095183491334144_n.jpg")</f>
        <v>https://scontent.cdninstagram.com/t51.2885-15/s320x320/e35/21371953_114970422555615_4315095183491334144_n.jpg</v>
      </c>
      <c r="AE4588" s="249" t="str">
        <f>HYPERLINK("https://scontent.cdninstagram.com/t51.2885-19/s150x150/20393914_483876181976960_3536775065674711040_a.jpg")</f>
        <v>https://scontent.cdninstagram.com/t51.2885-19/s150x150/20393914_483876181976960_3536775065674711040_a.jpg</v>
      </c>
    </row>
    <row r="4589" spans="1:31" ht="15" x14ac:dyDescent="0.25">
      <c r="A4589" t="s">
        <v>2474</v>
      </c>
      <c r="B4589" t="s">
        <v>24808</v>
      </c>
      <c r="C4589" s="221">
        <v>42982.406226851854</v>
      </c>
      <c r="D4589" t="s">
        <v>24809</v>
      </c>
      <c r="E4589" s="249" t="str">
        <f>HYPERLINK("https://www.instagram.com/p/BYnwn7BgdRJ/")</f>
        <v>https://www.instagram.com/p/BYnwn7BgdRJ/</v>
      </c>
      <c r="F4589" t="s">
        <v>24810</v>
      </c>
      <c r="G4589" t="s">
        <v>2478</v>
      </c>
      <c r="H4589">
        <v>72</v>
      </c>
      <c r="I4589" t="s">
        <v>2786</v>
      </c>
      <c r="J4589">
        <v>0</v>
      </c>
      <c r="K4589">
        <v>59</v>
      </c>
      <c r="L4589">
        <v>59</v>
      </c>
      <c r="Q4589">
        <v>0</v>
      </c>
      <c r="R4589">
        <v>0</v>
      </c>
      <c r="S4589">
        <v>59</v>
      </c>
      <c r="T4589" t="s">
        <v>24811</v>
      </c>
      <c r="V4589" t="s">
        <v>2263</v>
      </c>
      <c r="W4589">
        <v>-25.753299999999999</v>
      </c>
      <c r="X4589">
        <v>28.186900000000001</v>
      </c>
      <c r="Y4589" t="s">
        <v>5466</v>
      </c>
      <c r="Z4589" t="s">
        <v>7287</v>
      </c>
      <c r="AA4589" t="s">
        <v>2497</v>
      </c>
      <c r="AB4589" t="s">
        <v>24812</v>
      </c>
      <c r="AC4589" t="s">
        <v>5950</v>
      </c>
      <c r="AD4589" s="249" t="str">
        <f>HYPERLINK("https://scontent.cdninstagram.com/t51.2885-15/s320x320/e35/21433864_1477117192376164_4341033500309192704_n.jpg")</f>
        <v>https://scontent.cdninstagram.com/t51.2885-15/s320x320/e35/21433864_1477117192376164_4341033500309192704_n.jpg</v>
      </c>
      <c r="AE4589" s="249" t="str">
        <f>HYPERLINK("https://scontent.cdninstagram.com/t51.2885-19/s150x150/21042480_479145295783940_3141193893219926016_a.jpg")</f>
        <v>https://scontent.cdninstagram.com/t51.2885-19/s150x150/21042480_479145295783940_3141193893219926016_a.jpg</v>
      </c>
    </row>
    <row r="4590" spans="1:31" ht="15" x14ac:dyDescent="0.25">
      <c r="A4590" t="s">
        <v>2474</v>
      </c>
      <c r="B4590" t="s">
        <v>18287</v>
      </c>
      <c r="C4590" s="221">
        <v>42982.407337962963</v>
      </c>
      <c r="D4590" t="s">
        <v>24813</v>
      </c>
      <c r="E4590" s="249" t="str">
        <f>HYPERLINK("https://www.instagram.com/p/BYnwzsNgpbU/")</f>
        <v>https://www.instagram.com/p/BYnwzsNgpbU/</v>
      </c>
      <c r="F4590" t="s">
        <v>24814</v>
      </c>
      <c r="G4590" t="s">
        <v>2488</v>
      </c>
      <c r="H4590">
        <v>1198</v>
      </c>
      <c r="I4590" t="s">
        <v>2479</v>
      </c>
      <c r="J4590">
        <v>0</v>
      </c>
      <c r="K4590">
        <v>81</v>
      </c>
      <c r="L4590">
        <v>81</v>
      </c>
      <c r="Q4590">
        <v>0</v>
      </c>
      <c r="R4590">
        <v>0</v>
      </c>
      <c r="S4590">
        <v>81</v>
      </c>
      <c r="Y4590" t="s">
        <v>24815</v>
      </c>
      <c r="Z4590" t="s">
        <v>7287</v>
      </c>
      <c r="AA4590" t="s">
        <v>16323</v>
      </c>
      <c r="AB4590" t="s">
        <v>24816</v>
      </c>
      <c r="AC4590" t="s">
        <v>5383</v>
      </c>
      <c r="AD4590" s="249" t="str">
        <f>HYPERLINK("https://scontent.cdninstagram.com/t51.2885-15/s320x320/e15/21372389_780033922168375_4838411479352868864_n.jpg")</f>
        <v>https://scontent.cdninstagram.com/t51.2885-15/s320x320/e15/21372389_780033922168375_4838411479352868864_n.jpg</v>
      </c>
      <c r="AE4590" s="249" t="str">
        <f>HYPERLINK("https://scontent.cdninstagram.com/t51.2885-19/s150x150/20759556_528553680816023_7391302287332737024_a.jpg")</f>
        <v>https://scontent.cdninstagram.com/t51.2885-19/s150x150/20759556_528553680816023_7391302287332737024_a.jpg</v>
      </c>
    </row>
    <row r="4591" spans="1:31" ht="15" x14ac:dyDescent="0.25">
      <c r="A4591" t="s">
        <v>2474</v>
      </c>
      <c r="B4591" t="s">
        <v>5548</v>
      </c>
      <c r="C4591" s="221">
        <v>42982.412048611113</v>
      </c>
      <c r="D4591" t="s">
        <v>24817</v>
      </c>
      <c r="E4591" s="249" t="str">
        <f>HYPERLINK("https://www.instagram.com/p/BYnxlUAnrs9/")</f>
        <v>https://www.instagram.com/p/BYnxlUAnrs9/</v>
      </c>
      <c r="F4591" t="s">
        <v>24818</v>
      </c>
      <c r="G4591" t="s">
        <v>2478</v>
      </c>
      <c r="H4591">
        <v>854</v>
      </c>
      <c r="I4591" t="s">
        <v>2479</v>
      </c>
      <c r="J4591">
        <v>1</v>
      </c>
      <c r="K4591">
        <v>65</v>
      </c>
      <c r="L4591">
        <v>66</v>
      </c>
      <c r="Q4591">
        <v>0</v>
      </c>
      <c r="R4591">
        <v>0</v>
      </c>
      <c r="S4591">
        <v>66</v>
      </c>
      <c r="Y4591" t="s">
        <v>5553</v>
      </c>
      <c r="Z4591" t="s">
        <v>24819</v>
      </c>
      <c r="AA4591" t="s">
        <v>5950</v>
      </c>
      <c r="AB4591" t="s">
        <v>19451</v>
      </c>
      <c r="AC4591" t="s">
        <v>24820</v>
      </c>
      <c r="AD4591" s="249" t="str">
        <f>HYPERLINK("https://scontent.cdninstagram.com/t51.2885-15/s320x320/e35/21296345_1363465777085992_3171892854867886080_n.jpg")</f>
        <v>https://scontent.cdninstagram.com/t51.2885-15/s320x320/e35/21296345_1363465777085992_3171892854867886080_n.jpg</v>
      </c>
      <c r="AE4591" s="249" t="str">
        <f>HYPERLINK("https://scontent.cdninstagram.com/t51.2885-19/s150x150/13108909_1000696516646693_1898242059_a.jpg")</f>
        <v>https://scontent.cdninstagram.com/t51.2885-19/s150x150/13108909_1000696516646693_1898242059_a.jpg</v>
      </c>
    </row>
    <row r="4592" spans="1:31" ht="15" x14ac:dyDescent="0.25">
      <c r="A4592" t="s">
        <v>2474</v>
      </c>
      <c r="B4592" t="s">
        <v>24821</v>
      </c>
      <c r="C4592" s="221">
        <v>42982.414479166669</v>
      </c>
      <c r="D4592" t="s">
        <v>24822</v>
      </c>
      <c r="E4592" s="249" t="str">
        <f>HYPERLINK("https://www.instagram.com/p/BYnx-54AL1Y/")</f>
        <v>https://www.instagram.com/p/BYnx-54AL1Y/</v>
      </c>
      <c r="F4592" t="s">
        <v>24823</v>
      </c>
      <c r="G4592" t="s">
        <v>2478</v>
      </c>
      <c r="H4592">
        <v>108</v>
      </c>
      <c r="I4592" t="s">
        <v>2479</v>
      </c>
      <c r="J4592">
        <v>0</v>
      </c>
      <c r="K4592">
        <v>35</v>
      </c>
      <c r="L4592">
        <v>35</v>
      </c>
      <c r="Q4592">
        <v>0</v>
      </c>
      <c r="R4592">
        <v>0</v>
      </c>
      <c r="S4592">
        <v>35</v>
      </c>
      <c r="Y4592" t="s">
        <v>24824</v>
      </c>
      <c r="Z4592" t="s">
        <v>7960</v>
      </c>
      <c r="AA4592" t="s">
        <v>2497</v>
      </c>
      <c r="AB4592" t="s">
        <v>8013</v>
      </c>
      <c r="AC4592" t="s">
        <v>24825</v>
      </c>
      <c r="AD4592" s="249" t="str">
        <f>HYPERLINK("https://scontent.cdninstagram.com/t51.2885-15/s320x320/e35/21433290_115177335887023_984628962074296320_n.jpg")</f>
        <v>https://scontent.cdninstagram.com/t51.2885-15/s320x320/e35/21433290_115177335887023_984628962074296320_n.jpg</v>
      </c>
      <c r="AE4592" s="249" t="str">
        <f>HYPERLINK("https://scontent.cdninstagram.com/t51.2885-19/s150x150/21107298_167555080486224_5242470599422377984_a.jpg")</f>
        <v>https://scontent.cdninstagram.com/t51.2885-19/s150x150/21107298_167555080486224_5242470599422377984_a.jpg</v>
      </c>
    </row>
    <row r="4593" spans="1:31" ht="15" x14ac:dyDescent="0.25">
      <c r="A4593" t="s">
        <v>2474</v>
      </c>
      <c r="B4593" t="s">
        <v>24826</v>
      </c>
      <c r="C4593" s="221">
        <v>42982.424189814818</v>
      </c>
      <c r="D4593" t="s">
        <v>24827</v>
      </c>
      <c r="E4593" s="249" t="str">
        <f>HYPERLINK("https://www.instagram.com/p/BYnzlVBjoZU/")</f>
        <v>https://www.instagram.com/p/BYnzlVBjoZU/</v>
      </c>
      <c r="F4593" t="s">
        <v>24828</v>
      </c>
      <c r="G4593" t="s">
        <v>2478</v>
      </c>
      <c r="H4593">
        <v>485</v>
      </c>
      <c r="I4593" t="s">
        <v>2479</v>
      </c>
      <c r="J4593">
        <v>1</v>
      </c>
      <c r="K4593">
        <v>38</v>
      </c>
      <c r="L4593">
        <v>39</v>
      </c>
      <c r="Q4593">
        <v>0</v>
      </c>
      <c r="R4593">
        <v>0</v>
      </c>
      <c r="S4593">
        <v>39</v>
      </c>
      <c r="Y4593" t="s">
        <v>4761</v>
      </c>
      <c r="Z4593" t="s">
        <v>24829</v>
      </c>
      <c r="AA4593" t="s">
        <v>19577</v>
      </c>
      <c r="AB4593" t="s">
        <v>2666</v>
      </c>
      <c r="AC4593" t="s">
        <v>3849</v>
      </c>
      <c r="AD4593" s="249" t="str">
        <f>HYPERLINK("https://scontent.cdninstagram.com/t51.2885-15/e35/p320x320/21373632_487815711583987_741345783747444736_n.jpg")</f>
        <v>https://scontent.cdninstagram.com/t51.2885-15/e35/p320x320/21373632_487815711583987_741345783747444736_n.jpg</v>
      </c>
      <c r="AE4593" s="249" t="str">
        <f>HYPERLINK("https://scontent.cdninstagram.com/t51.2885-19/s150x150/14279154_1043294805778631_5316116906158063616_a.jpg")</f>
        <v>https://scontent.cdninstagram.com/t51.2885-19/s150x150/14279154_1043294805778631_5316116906158063616_a.jpg</v>
      </c>
    </row>
    <row r="4594" spans="1:31" ht="15" x14ac:dyDescent="0.25">
      <c r="A4594" t="s">
        <v>2474</v>
      </c>
      <c r="B4594" t="s">
        <v>24830</v>
      </c>
      <c r="C4594" s="221">
        <v>42982.424803240741</v>
      </c>
      <c r="D4594" t="s">
        <v>24831</v>
      </c>
      <c r="E4594" s="249" t="str">
        <f>HYPERLINK("https://www.instagram.com/p/BYnzrz2lDOh/")</f>
        <v>https://www.instagram.com/p/BYnzrz2lDOh/</v>
      </c>
      <c r="F4594" t="s">
        <v>24832</v>
      </c>
      <c r="G4594" t="s">
        <v>2478</v>
      </c>
      <c r="H4594">
        <v>194</v>
      </c>
      <c r="I4594" t="s">
        <v>2479</v>
      </c>
      <c r="J4594">
        <v>1</v>
      </c>
      <c r="K4594">
        <v>9</v>
      </c>
      <c r="L4594">
        <v>10</v>
      </c>
      <c r="Q4594">
        <v>0</v>
      </c>
      <c r="R4594">
        <v>0</v>
      </c>
      <c r="S4594">
        <v>10</v>
      </c>
      <c r="Y4594" t="s">
        <v>24833</v>
      </c>
      <c r="Z4594" t="s">
        <v>24834</v>
      </c>
      <c r="AA4594" t="s">
        <v>24835</v>
      </c>
      <c r="AB4594" t="s">
        <v>2753</v>
      </c>
      <c r="AC4594" t="s">
        <v>24836</v>
      </c>
      <c r="AD4594" s="249" t="str">
        <f>HYPERLINK("https://scontent.cdninstagram.com/t51.2885-15/s320x320/e35/21296516_117142695673858_4756730426972700672_n.jpg")</f>
        <v>https://scontent.cdninstagram.com/t51.2885-15/s320x320/e35/21296516_117142695673858_4756730426972700672_n.jpg</v>
      </c>
      <c r="AE4594" s="249" t="str">
        <f>HYPERLINK("https://scontent.cdninstagram.com/t51.2885-19/s150x150/20902313_104367830293173_6730716620487917568_a.jpg")</f>
        <v>https://scontent.cdninstagram.com/t51.2885-19/s150x150/20902313_104367830293173_6730716620487917568_a.jpg</v>
      </c>
    </row>
    <row r="4595" spans="1:31" ht="15" x14ac:dyDescent="0.25">
      <c r="A4595" t="s">
        <v>2474</v>
      </c>
      <c r="B4595" t="s">
        <v>17158</v>
      </c>
      <c r="C4595" s="221">
        <v>42982.428425925929</v>
      </c>
      <c r="D4595" t="s">
        <v>24837</v>
      </c>
      <c r="E4595" s="249" t="str">
        <f>HYPERLINK("https://www.instagram.com/p/BYn0SA9Bu3Q/")</f>
        <v>https://www.instagram.com/p/BYn0SA9Bu3Q/</v>
      </c>
      <c r="F4595" t="s">
        <v>24838</v>
      </c>
      <c r="G4595" t="s">
        <v>2478</v>
      </c>
      <c r="H4595">
        <v>383</v>
      </c>
      <c r="I4595" t="s">
        <v>2479</v>
      </c>
      <c r="J4595">
        <v>3</v>
      </c>
      <c r="K4595">
        <v>46</v>
      </c>
      <c r="L4595">
        <v>49</v>
      </c>
      <c r="Q4595">
        <v>0</v>
      </c>
      <c r="R4595">
        <v>0</v>
      </c>
      <c r="S4595">
        <v>49</v>
      </c>
      <c r="Y4595" t="s">
        <v>3962</v>
      </c>
      <c r="Z4595" t="s">
        <v>18449</v>
      </c>
      <c r="AA4595" t="s">
        <v>2641</v>
      </c>
      <c r="AB4595" t="s">
        <v>2837</v>
      </c>
      <c r="AC4595" t="s">
        <v>17559</v>
      </c>
      <c r="AD4595" s="249" t="str">
        <f>HYPERLINK("https://scontent.cdninstagram.com/t51.2885-15/s320x320/e35/21371695_358290654602007_6052106547859816448_n.jpg")</f>
        <v>https://scontent.cdninstagram.com/t51.2885-15/s320x320/e35/21371695_358290654602007_6052106547859816448_n.jpg</v>
      </c>
      <c r="AE4595" s="249" t="str">
        <f>HYPERLINK("https://scontent.cdninstagram.com/t51.2885-19/s150x150/13658639_315931348749567_46952542_a.jpg")</f>
        <v>https://scontent.cdninstagram.com/t51.2885-19/s150x150/13658639_315931348749567_46952542_a.jpg</v>
      </c>
    </row>
    <row r="4596" spans="1:31" ht="15" x14ac:dyDescent="0.25">
      <c r="A4596" t="s">
        <v>2474</v>
      </c>
      <c r="B4596" t="s">
        <v>14009</v>
      </c>
      <c r="C4596" s="221">
        <v>42982.437974537039</v>
      </c>
      <c r="D4596" t="s">
        <v>24839</v>
      </c>
      <c r="E4596" s="249" t="str">
        <f>HYPERLINK("https://www.instagram.com/p/BYn12yFlT3F/")</f>
        <v>https://www.instagram.com/p/BYn12yFlT3F/</v>
      </c>
      <c r="F4596" t="s">
        <v>24840</v>
      </c>
      <c r="G4596" t="s">
        <v>2478</v>
      </c>
      <c r="H4596">
        <v>27205</v>
      </c>
      <c r="I4596" t="s">
        <v>2479</v>
      </c>
      <c r="J4596">
        <v>13</v>
      </c>
      <c r="K4596">
        <v>239</v>
      </c>
      <c r="L4596">
        <v>252</v>
      </c>
      <c r="Q4596">
        <v>0</v>
      </c>
      <c r="R4596">
        <v>0</v>
      </c>
      <c r="S4596">
        <v>252</v>
      </c>
      <c r="Y4596" t="s">
        <v>6830</v>
      </c>
      <c r="Z4596" t="s">
        <v>19284</v>
      </c>
      <c r="AA4596" t="s">
        <v>6446</v>
      </c>
      <c r="AB4596" t="s">
        <v>12475</v>
      </c>
      <c r="AC4596" t="s">
        <v>24841</v>
      </c>
      <c r="AD4596" s="249" t="str">
        <f>HYPERLINK("https://scontent.cdninstagram.com/t51.2885-15/s320x320/e35/21433649_131636150790527_7322849545245687808_n.jpg")</f>
        <v>https://scontent.cdninstagram.com/t51.2885-15/s320x320/e35/21433649_131636150790527_7322849545245687808_n.jpg</v>
      </c>
      <c r="AE4596" s="249" t="str">
        <f>HYPERLINK("https://scontent.cdninstagram.com/t51.2885-19/s150x150/18252404_825448897609831_8199238536822521856_a.jpg")</f>
        <v>https://scontent.cdninstagram.com/t51.2885-19/s150x150/18252404_825448897609831_8199238536822521856_a.jpg</v>
      </c>
    </row>
    <row r="4597" spans="1:31" ht="15" x14ac:dyDescent="0.25">
      <c r="A4597" t="s">
        <v>2474</v>
      </c>
      <c r="B4597" t="s">
        <v>24842</v>
      </c>
      <c r="C4597" s="221">
        <v>42982.456099537034</v>
      </c>
      <c r="D4597" t="s">
        <v>24843</v>
      </c>
      <c r="E4597" s="249" t="str">
        <f>HYPERLINK("https://www.instagram.com/p/BYn414Wn9Rm/")</f>
        <v>https://www.instagram.com/p/BYn414Wn9Rm/</v>
      </c>
      <c r="F4597" t="s">
        <v>24844</v>
      </c>
      <c r="G4597" t="s">
        <v>2488</v>
      </c>
      <c r="H4597">
        <v>77</v>
      </c>
      <c r="I4597" t="s">
        <v>2479</v>
      </c>
      <c r="J4597">
        <v>0</v>
      </c>
      <c r="K4597">
        <v>12</v>
      </c>
      <c r="L4597">
        <v>12</v>
      </c>
      <c r="Q4597">
        <v>0</v>
      </c>
      <c r="R4597">
        <v>0</v>
      </c>
      <c r="S4597">
        <v>12</v>
      </c>
      <c r="Y4597" t="s">
        <v>14579</v>
      </c>
      <c r="Z4597" t="s">
        <v>2497</v>
      </c>
      <c r="AA4597" t="s">
        <v>17007</v>
      </c>
      <c r="AD4597" s="249" t="str">
        <f>HYPERLINK("https://scontent.cdninstagram.com/t51.2885-15/s320x320/e35/21372339_114613465943858_1362481505963606016_n.jpg")</f>
        <v>https://scontent.cdninstagram.com/t51.2885-15/s320x320/e35/21372339_114613465943858_1362481505963606016_n.jpg</v>
      </c>
      <c r="AE4597" s="249" t="str">
        <f>HYPERLINK("https://scontent.cdninstagram.com/t51.2885-19/s150x150/19623049_448954828800262_3230635826949914624_a.jpg")</f>
        <v>https://scontent.cdninstagram.com/t51.2885-19/s150x150/19623049_448954828800262_3230635826949914624_a.jpg</v>
      </c>
    </row>
    <row r="4598" spans="1:31" ht="15" x14ac:dyDescent="0.25">
      <c r="A4598" t="s">
        <v>2474</v>
      </c>
      <c r="B4598" t="s">
        <v>24845</v>
      </c>
      <c r="C4598" s="221">
        <v>42982.457777777781</v>
      </c>
      <c r="D4598" t="s">
        <v>24846</v>
      </c>
      <c r="E4598" s="249" t="str">
        <f>HYPERLINK("https://www.instagram.com/p/BYn5HrBn_Fi/")</f>
        <v>https://www.instagram.com/p/BYn5HrBn_Fi/</v>
      </c>
      <c r="F4598" t="s">
        <v>24847</v>
      </c>
      <c r="G4598" t="s">
        <v>2478</v>
      </c>
      <c r="H4598">
        <v>447</v>
      </c>
      <c r="I4598" t="s">
        <v>5670</v>
      </c>
      <c r="J4598">
        <v>0</v>
      </c>
      <c r="K4598">
        <v>12</v>
      </c>
      <c r="L4598">
        <v>12</v>
      </c>
      <c r="Q4598">
        <v>0</v>
      </c>
      <c r="R4598">
        <v>0</v>
      </c>
      <c r="S4598">
        <v>12</v>
      </c>
      <c r="Y4598" t="s">
        <v>24848</v>
      </c>
      <c r="Z4598" t="s">
        <v>3885</v>
      </c>
      <c r="AA4598" t="s">
        <v>24849</v>
      </c>
      <c r="AB4598" t="s">
        <v>2497</v>
      </c>
      <c r="AC4598" t="s">
        <v>24850</v>
      </c>
      <c r="AD4598" s="249" t="str">
        <f>HYPERLINK("https://scontent.cdninstagram.com/t51.2885-15/s320x320/e35/21371706_473294056385438_6624410398885937152_n.jpg")</f>
        <v>https://scontent.cdninstagram.com/t51.2885-15/s320x320/e35/21371706_473294056385438_6624410398885937152_n.jpg</v>
      </c>
      <c r="AE4598" s="249" t="str">
        <f>HYPERLINK("https://scontent.cdninstagram.com/t51.2885-19/s150x150/14550134_542317152634602_5596180737003880448_a.jpg")</f>
        <v>https://scontent.cdninstagram.com/t51.2885-19/s150x150/14550134_542317152634602_5596180737003880448_a.jpg</v>
      </c>
    </row>
    <row r="4599" spans="1:31" ht="15" x14ac:dyDescent="0.25">
      <c r="A4599" t="s">
        <v>2474</v>
      </c>
      <c r="B4599" t="s">
        <v>7647</v>
      </c>
      <c r="C4599" s="221">
        <v>42982.471724537034</v>
      </c>
      <c r="D4599" t="s">
        <v>24851</v>
      </c>
      <c r="E4599" s="249" t="str">
        <f>HYPERLINK("https://www.instagram.com/p/BYn7awAA-4q/")</f>
        <v>https://www.instagram.com/p/BYn7awAA-4q/</v>
      </c>
      <c r="F4599" t="s">
        <v>24852</v>
      </c>
      <c r="G4599" t="s">
        <v>2478</v>
      </c>
      <c r="H4599">
        <v>84</v>
      </c>
      <c r="I4599" t="s">
        <v>3186</v>
      </c>
      <c r="J4599">
        <v>0</v>
      </c>
      <c r="K4599">
        <v>14</v>
      </c>
      <c r="L4599">
        <v>14</v>
      </c>
      <c r="Q4599">
        <v>0</v>
      </c>
      <c r="R4599">
        <v>0</v>
      </c>
      <c r="S4599">
        <v>14</v>
      </c>
      <c r="T4599" t="s">
        <v>24853</v>
      </c>
      <c r="V4599" t="s">
        <v>2182</v>
      </c>
      <c r="W4599">
        <v>46.466666666667003</v>
      </c>
      <c r="X4599">
        <v>11.65</v>
      </c>
      <c r="Y4599" t="s">
        <v>24854</v>
      </c>
      <c r="Z4599" t="s">
        <v>24855</v>
      </c>
      <c r="AA4599" t="s">
        <v>2497</v>
      </c>
      <c r="AB4599" t="s">
        <v>24856</v>
      </c>
      <c r="AC4599" t="s">
        <v>15260</v>
      </c>
      <c r="AD4599" s="249" t="str">
        <f>HYPERLINK("https://scontent.cdninstagram.com/t51.2885-15/s320x320/e35/21373217_261879360997693_382998846717820928_n.jpg")</f>
        <v>https://scontent.cdninstagram.com/t51.2885-15/s320x320/e35/21373217_261879360997693_382998846717820928_n.jpg</v>
      </c>
      <c r="AE4599" s="249" t="str">
        <f>HYPERLINK("https://scontent.cdninstagram.com/t51.2885-19/s150x150/21689860_347057945706116_567828057017024512_n.jpg")</f>
        <v>https://scontent.cdninstagram.com/t51.2885-19/s150x150/21689860_347057945706116_567828057017024512_n.jpg</v>
      </c>
    </row>
    <row r="4600" spans="1:31" ht="15" x14ac:dyDescent="0.25">
      <c r="A4600" t="s">
        <v>2474</v>
      </c>
      <c r="B4600" t="s">
        <v>24585</v>
      </c>
      <c r="C4600" s="221">
        <v>42982.473993055559</v>
      </c>
      <c r="D4600" t="s">
        <v>24857</v>
      </c>
      <c r="E4600" s="249" t="str">
        <f>HYPERLINK("https://www.instagram.com/p/BYn7ym4j2XJ/")</f>
        <v>https://www.instagram.com/p/BYn7ym4j2XJ/</v>
      </c>
      <c r="F4600" t="s">
        <v>24858</v>
      </c>
      <c r="G4600" t="s">
        <v>2478</v>
      </c>
      <c r="H4600">
        <v>376</v>
      </c>
      <c r="I4600" t="s">
        <v>2910</v>
      </c>
      <c r="J4600">
        <v>1</v>
      </c>
      <c r="K4600">
        <v>50</v>
      </c>
      <c r="L4600">
        <v>51</v>
      </c>
      <c r="Q4600">
        <v>0</v>
      </c>
      <c r="R4600">
        <v>0</v>
      </c>
      <c r="S4600">
        <v>51</v>
      </c>
      <c r="Y4600" t="s">
        <v>24859</v>
      </c>
      <c r="Z4600" t="s">
        <v>24860</v>
      </c>
      <c r="AA4600" t="s">
        <v>2493</v>
      </c>
      <c r="AB4600" t="s">
        <v>24861</v>
      </c>
      <c r="AC4600" t="s">
        <v>24862</v>
      </c>
      <c r="AD4600" s="249" t="str">
        <f>HYPERLINK("https://scontent.cdninstagram.com/t51.2885-15/e35/p320x320/21294956_1650297094980426_4742682838782967808_n.jpg")</f>
        <v>https://scontent.cdninstagram.com/t51.2885-15/e35/p320x320/21294956_1650297094980426_4742682838782967808_n.jpg</v>
      </c>
      <c r="AE4600" s="249" t="str">
        <f>HYPERLINK("https://scontent.cdninstagram.com/t51.2885-19/s150x150/21042772_167391170487097_5176385110164897792_a.jpg")</f>
        <v>https://scontent.cdninstagram.com/t51.2885-19/s150x150/21042772_167391170487097_5176385110164897792_a.jpg</v>
      </c>
    </row>
    <row r="4601" spans="1:31" ht="15" x14ac:dyDescent="0.25">
      <c r="A4601" t="s">
        <v>2474</v>
      </c>
      <c r="B4601" t="s">
        <v>21597</v>
      </c>
      <c r="C4601" s="221">
        <v>42982.476319444446</v>
      </c>
      <c r="D4601" t="s">
        <v>24863</v>
      </c>
      <c r="E4601" s="249" t="str">
        <f>HYPERLINK("https://www.instagram.com/p/BYn8LPrl60R/")</f>
        <v>https://www.instagram.com/p/BYn8LPrl60R/</v>
      </c>
      <c r="F4601" t="s">
        <v>24864</v>
      </c>
      <c r="G4601" t="s">
        <v>2478</v>
      </c>
      <c r="H4601">
        <v>134</v>
      </c>
      <c r="I4601" t="s">
        <v>2479</v>
      </c>
      <c r="J4601">
        <v>1</v>
      </c>
      <c r="K4601">
        <v>37</v>
      </c>
      <c r="L4601">
        <v>38</v>
      </c>
      <c r="Q4601">
        <v>0</v>
      </c>
      <c r="R4601">
        <v>0</v>
      </c>
      <c r="S4601">
        <v>38</v>
      </c>
      <c r="Y4601" t="s">
        <v>4761</v>
      </c>
      <c r="Z4601" t="s">
        <v>8047</v>
      </c>
      <c r="AA4601" t="s">
        <v>4987</v>
      </c>
      <c r="AB4601" t="s">
        <v>3955</v>
      </c>
      <c r="AC4601" t="s">
        <v>24865</v>
      </c>
      <c r="AD4601" s="249" t="str">
        <f>HYPERLINK("https://scontent.cdninstagram.com/t51.2885-15/s320x320/e35/21294948_123341484986332_6890114500498817024_n.jpg")</f>
        <v>https://scontent.cdninstagram.com/t51.2885-15/s320x320/e35/21294948_123341484986332_6890114500498817024_n.jpg</v>
      </c>
      <c r="AE4601" s="249" t="str">
        <f>HYPERLINK("https://scontent.cdninstagram.com/t51.2885-19/s150x150/20688488_121551228483201_2693806434398765056_a.jpg")</f>
        <v>https://scontent.cdninstagram.com/t51.2885-19/s150x150/20688488_121551228483201_2693806434398765056_a.jpg</v>
      </c>
    </row>
    <row r="4602" spans="1:31" ht="15" x14ac:dyDescent="0.25">
      <c r="A4602" t="s">
        <v>2474</v>
      </c>
      <c r="B4602" t="s">
        <v>3846</v>
      </c>
      <c r="C4602" s="221">
        <v>42982.483611111114</v>
      </c>
      <c r="D4602" t="s">
        <v>24866</v>
      </c>
      <c r="E4602" s="249" t="str">
        <f>HYPERLINK("https://www.instagram.com/p/BYn9YGGAgcF/")</f>
        <v>https://www.instagram.com/p/BYn9YGGAgcF/</v>
      </c>
      <c r="F4602" t="s">
        <v>24867</v>
      </c>
      <c r="G4602" t="s">
        <v>2478</v>
      </c>
      <c r="H4602">
        <v>1047</v>
      </c>
      <c r="I4602" t="s">
        <v>2479</v>
      </c>
      <c r="J4602">
        <v>3</v>
      </c>
      <c r="K4602">
        <v>110</v>
      </c>
      <c r="L4602">
        <v>113</v>
      </c>
      <c r="Q4602">
        <v>0</v>
      </c>
      <c r="R4602">
        <v>0</v>
      </c>
      <c r="S4602">
        <v>113</v>
      </c>
      <c r="Y4602" t="s">
        <v>3850</v>
      </c>
      <c r="Z4602" t="s">
        <v>3849</v>
      </c>
      <c r="AA4602" t="s">
        <v>18115</v>
      </c>
      <c r="AB4602" t="s">
        <v>9308</v>
      </c>
      <c r="AC4602" t="s">
        <v>14744</v>
      </c>
      <c r="AD4602" s="249" t="str">
        <f>HYPERLINK("https://scontent.cdninstagram.com/t51.2885-15/s320x320/e35/21435579_196557074217948_1275072844111282176_n.jpg")</f>
        <v>https://scontent.cdninstagram.com/t51.2885-15/s320x320/e35/21435579_196557074217948_1275072844111282176_n.jpg</v>
      </c>
      <c r="AE4602" s="249" t="str">
        <f>HYPERLINK("https://scontent.cdninstagram.com/t51.2885-19/11313229_1459878014310621_82799200_a.jpg")</f>
        <v>https://scontent.cdninstagram.com/t51.2885-19/11313229_1459878014310621_82799200_a.jpg</v>
      </c>
    </row>
    <row r="4603" spans="1:31" ht="15" x14ac:dyDescent="0.25">
      <c r="A4603" t="s">
        <v>2474</v>
      </c>
      <c r="B4603" t="s">
        <v>24868</v>
      </c>
      <c r="C4603" s="221">
        <v>42982.4840625</v>
      </c>
      <c r="D4603" t="s">
        <v>24869</v>
      </c>
      <c r="E4603" s="249" t="str">
        <f>HYPERLINK("https://www.instagram.com/p/BYn9cyiFxoe/")</f>
        <v>https://www.instagram.com/p/BYn9cyiFxoe/</v>
      </c>
      <c r="F4603" t="s">
        <v>24870</v>
      </c>
      <c r="G4603" t="s">
        <v>2478</v>
      </c>
      <c r="H4603">
        <v>88</v>
      </c>
      <c r="I4603" t="s">
        <v>2542</v>
      </c>
      <c r="J4603">
        <v>1</v>
      </c>
      <c r="K4603">
        <v>6</v>
      </c>
      <c r="L4603">
        <v>7</v>
      </c>
      <c r="Q4603">
        <v>0</v>
      </c>
      <c r="R4603">
        <v>0</v>
      </c>
      <c r="S4603">
        <v>7</v>
      </c>
      <c r="Y4603" t="s">
        <v>24871</v>
      </c>
      <c r="Z4603" t="s">
        <v>6865</v>
      </c>
      <c r="AA4603" t="s">
        <v>2497</v>
      </c>
      <c r="AB4603" t="s">
        <v>3262</v>
      </c>
      <c r="AC4603" t="s">
        <v>2492</v>
      </c>
      <c r="AD4603" s="249" t="str">
        <f>HYPERLINK("https://scontent.cdninstagram.com/t51.2885-15/s320x320/e35/21373786_1457295934351040_6694243702375710720_n.jpg")</f>
        <v>https://scontent.cdninstagram.com/t51.2885-15/s320x320/e35/21373786_1457295934351040_6694243702375710720_n.jpg</v>
      </c>
      <c r="AE4603" s="249" t="str">
        <f>HYPERLINK("https://scontent.cdninstagram.com/t51.2885-19/s150x150/20065733_779956152196689_7117072993464877056_a.jpg")</f>
        <v>https://scontent.cdninstagram.com/t51.2885-19/s150x150/20065733_779956152196689_7117072993464877056_a.jpg</v>
      </c>
    </row>
    <row r="4604" spans="1:31" ht="15" x14ac:dyDescent="0.25">
      <c r="A4604" t="s">
        <v>2474</v>
      </c>
      <c r="B4604" t="s">
        <v>24872</v>
      </c>
      <c r="C4604" s="221">
        <v>42982.485150462962</v>
      </c>
      <c r="D4604" t="s">
        <v>24873</v>
      </c>
      <c r="E4604" s="249" t="str">
        <f>HYPERLINK("https://www.instagram.com/p/BYn9oRRFFeI/")</f>
        <v>https://www.instagram.com/p/BYn9oRRFFeI/</v>
      </c>
      <c r="F4604" t="s">
        <v>24874</v>
      </c>
      <c r="G4604" t="s">
        <v>2478</v>
      </c>
      <c r="H4604">
        <v>458</v>
      </c>
      <c r="I4604" t="s">
        <v>2479</v>
      </c>
      <c r="J4604">
        <v>2</v>
      </c>
      <c r="K4604">
        <v>57</v>
      </c>
      <c r="L4604">
        <v>59</v>
      </c>
      <c r="Q4604">
        <v>0</v>
      </c>
      <c r="R4604">
        <v>0</v>
      </c>
      <c r="S4604">
        <v>59</v>
      </c>
      <c r="Y4604" t="s">
        <v>24875</v>
      </c>
      <c r="Z4604" t="s">
        <v>2497</v>
      </c>
      <c r="AA4604" t="s">
        <v>2833</v>
      </c>
      <c r="AB4604" t="s">
        <v>24876</v>
      </c>
      <c r="AC4604" t="s">
        <v>6213</v>
      </c>
      <c r="AD4604" s="249" t="str">
        <f>HYPERLINK("https://scontent.cdninstagram.com/t51.2885-15/s320x320/e35/21294685_781479685355397_3421279916161761280_n.jpg")</f>
        <v>https://scontent.cdninstagram.com/t51.2885-15/s320x320/e35/21294685_781479685355397_3421279916161761280_n.jpg</v>
      </c>
      <c r="AE4604" s="249" t="str">
        <f>HYPERLINK("https://scontent.cdninstagram.com/t51.2885-19/1799843_716515638436583_894637592_a.jpg")</f>
        <v>https://scontent.cdninstagram.com/t51.2885-19/1799843_716515638436583_894637592_a.jpg</v>
      </c>
    </row>
    <row r="4605" spans="1:31" ht="15" x14ac:dyDescent="0.25">
      <c r="A4605" t="s">
        <v>2474</v>
      </c>
      <c r="B4605" t="s">
        <v>24877</v>
      </c>
      <c r="C4605" s="221">
        <v>42982.486030092594</v>
      </c>
      <c r="D4605" t="s">
        <v>24878</v>
      </c>
      <c r="E4605" s="249" t="str">
        <f>HYPERLINK("https://www.instagram.com/p/BYn9xmaB_QB/")</f>
        <v>https://www.instagram.com/p/BYn9xmaB_QB/</v>
      </c>
      <c r="F4605" t="s">
        <v>24879</v>
      </c>
      <c r="G4605" t="s">
        <v>2631</v>
      </c>
      <c r="H4605">
        <v>26241</v>
      </c>
      <c r="I4605" t="s">
        <v>2479</v>
      </c>
      <c r="J4605">
        <v>0</v>
      </c>
      <c r="K4605">
        <v>30</v>
      </c>
      <c r="L4605">
        <v>30</v>
      </c>
      <c r="Q4605">
        <v>0</v>
      </c>
      <c r="R4605">
        <v>0</v>
      </c>
      <c r="S4605">
        <v>30</v>
      </c>
      <c r="T4605" t="s">
        <v>24880</v>
      </c>
      <c r="U4605" t="s">
        <v>106</v>
      </c>
      <c r="V4605" t="s">
        <v>2299</v>
      </c>
      <c r="W4605">
        <v>25.785766511561</v>
      </c>
      <c r="X4605">
        <v>-80.174553531456993</v>
      </c>
      <c r="Y4605" t="s">
        <v>21059</v>
      </c>
      <c r="Z4605" t="s">
        <v>24438</v>
      </c>
      <c r="AA4605" t="s">
        <v>2497</v>
      </c>
      <c r="AD4605" s="249" t="str">
        <f>HYPERLINK("https://scontent.cdninstagram.com/t51.2885-15/s320x320/e15/21296827_266217003872467_932509443743023104_n.jpg")</f>
        <v>https://scontent.cdninstagram.com/t51.2885-15/s320x320/e15/21296827_266217003872467_932509443743023104_n.jpg</v>
      </c>
      <c r="AE4605" s="249" t="str">
        <f>HYPERLINK("https://scontent.cdninstagram.com/t51.2885-19/s150x150/13671719_1778070815805216_18661556_a.jpg")</f>
        <v>https://scontent.cdninstagram.com/t51.2885-19/s150x150/13671719_1778070815805216_18661556_a.jpg</v>
      </c>
    </row>
    <row r="4606" spans="1:31" ht="15" x14ac:dyDescent="0.25">
      <c r="A4606" t="s">
        <v>2474</v>
      </c>
      <c r="B4606" t="s">
        <v>24881</v>
      </c>
      <c r="C4606" s="221">
        <v>42982.489062499997</v>
      </c>
      <c r="D4606" t="s">
        <v>24882</v>
      </c>
      <c r="E4606" s="249" t="str">
        <f>HYPERLINK("https://www.instagram.com/p/BYn-RownJx8/")</f>
        <v>https://www.instagram.com/p/BYn-RownJx8/</v>
      </c>
      <c r="F4606" t="s">
        <v>24883</v>
      </c>
      <c r="G4606" t="s">
        <v>2478</v>
      </c>
      <c r="I4606" t="s">
        <v>2519</v>
      </c>
      <c r="J4606">
        <v>16</v>
      </c>
      <c r="K4606">
        <v>598</v>
      </c>
      <c r="L4606">
        <v>614</v>
      </c>
      <c r="Q4606">
        <v>0</v>
      </c>
      <c r="R4606">
        <v>0</v>
      </c>
      <c r="S4606">
        <v>614</v>
      </c>
      <c r="Y4606" t="s">
        <v>4993</v>
      </c>
      <c r="Z4606" t="s">
        <v>24884</v>
      </c>
      <c r="AA4606" t="s">
        <v>2497</v>
      </c>
      <c r="AB4606" t="s">
        <v>3196</v>
      </c>
      <c r="AC4606" t="s">
        <v>6843</v>
      </c>
      <c r="AD4606" s="249" t="str">
        <f>HYPERLINK("https://scontent.cdninstagram.com/t51.2885-15/s320x320/e35/21372911_485084111873261_7920900380886564864_n.jpg")</f>
        <v>https://scontent.cdninstagram.com/t51.2885-15/s320x320/e35/21372911_485084111873261_7920900380886564864_n.jpg</v>
      </c>
      <c r="AE4606" s="249" t="str">
        <f>HYPERLINK("https://scontent.cdninstagram.com/t51.2885-19/s150x150/13551606_1704613853094274_1221695850_a.jpg")</f>
        <v>https://scontent.cdninstagram.com/t51.2885-19/s150x150/13551606_1704613853094274_1221695850_a.jpg</v>
      </c>
    </row>
    <row r="4607" spans="1:31" ht="15" x14ac:dyDescent="0.25">
      <c r="A4607" t="s">
        <v>2474</v>
      </c>
      <c r="B4607" t="s">
        <v>7421</v>
      </c>
      <c r="C4607" s="221">
        <v>42982.491979166669</v>
      </c>
      <c r="D4607" t="s">
        <v>24885</v>
      </c>
      <c r="E4607" s="249" t="str">
        <f>HYPERLINK("https://www.instagram.com/p/BYn-wTKHSRS/")</f>
        <v>https://www.instagram.com/p/BYn-wTKHSRS/</v>
      </c>
      <c r="F4607" t="s">
        <v>24886</v>
      </c>
      <c r="G4607" t="s">
        <v>2478</v>
      </c>
      <c r="H4607">
        <v>512</v>
      </c>
      <c r="I4607" t="s">
        <v>2479</v>
      </c>
      <c r="J4607">
        <v>2</v>
      </c>
      <c r="K4607">
        <v>81</v>
      </c>
      <c r="L4607">
        <v>83</v>
      </c>
      <c r="Q4607">
        <v>0</v>
      </c>
      <c r="R4607">
        <v>0</v>
      </c>
      <c r="S4607">
        <v>83</v>
      </c>
      <c r="T4607" t="s">
        <v>24887</v>
      </c>
      <c r="V4607" t="s">
        <v>2270</v>
      </c>
      <c r="W4607">
        <v>59.916666666666998</v>
      </c>
      <c r="X4607">
        <v>16.600000000000001</v>
      </c>
      <c r="Y4607" t="s">
        <v>24888</v>
      </c>
      <c r="Z4607" t="s">
        <v>3349</v>
      </c>
      <c r="AA4607" t="s">
        <v>24889</v>
      </c>
      <c r="AB4607" t="s">
        <v>20367</v>
      </c>
      <c r="AC4607" t="s">
        <v>24890</v>
      </c>
      <c r="AD4607" s="249" t="str">
        <f>HYPERLINK("https://scontent.cdninstagram.com/t51.2885-15/s320x320/e35/21433490_914025652082972_6986341907030867968_n.jpg")</f>
        <v>https://scontent.cdninstagram.com/t51.2885-15/s320x320/e35/21433490_914025652082972_6986341907030867968_n.jpg</v>
      </c>
      <c r="AE4607" s="249" t="str">
        <f>HYPERLINK("https://scontent.cdninstagram.com/t51.2885-19/s150x150/21149381_111820502847444_8601511457303035904_a.jpg")</f>
        <v>https://scontent.cdninstagram.com/t51.2885-19/s150x150/21149381_111820502847444_8601511457303035904_a.jpg</v>
      </c>
    </row>
    <row r="4608" spans="1:31" ht="15" x14ac:dyDescent="0.25">
      <c r="A4608" t="s">
        <v>2474</v>
      </c>
      <c r="B4608" t="s">
        <v>24891</v>
      </c>
      <c r="C4608" s="221">
        <v>42982.498703703706</v>
      </c>
      <c r="D4608" t="s">
        <v>24892</v>
      </c>
      <c r="E4608" s="249" t="str">
        <f>HYPERLINK("https://www.instagram.com/p/BYn_3Nelm_z/")</f>
        <v>https://www.instagram.com/p/BYn_3Nelm_z/</v>
      </c>
      <c r="F4608" t="s">
        <v>24893</v>
      </c>
      <c r="G4608" t="s">
        <v>2478</v>
      </c>
      <c r="H4608">
        <v>97</v>
      </c>
      <c r="I4608" t="s">
        <v>2479</v>
      </c>
      <c r="J4608">
        <v>0</v>
      </c>
      <c r="K4608">
        <v>12</v>
      </c>
      <c r="L4608">
        <v>12</v>
      </c>
      <c r="Q4608">
        <v>0</v>
      </c>
      <c r="R4608">
        <v>0</v>
      </c>
      <c r="S4608">
        <v>12</v>
      </c>
      <c r="T4608" t="s">
        <v>4480</v>
      </c>
      <c r="U4608" t="s">
        <v>2020</v>
      </c>
      <c r="V4608" t="s">
        <v>2299</v>
      </c>
      <c r="W4608">
        <v>47</v>
      </c>
      <c r="X4608">
        <v>-110</v>
      </c>
      <c r="Y4608" t="s">
        <v>24894</v>
      </c>
      <c r="Z4608" t="s">
        <v>2497</v>
      </c>
      <c r="AA4608" t="s">
        <v>24895</v>
      </c>
      <c r="AB4608" t="s">
        <v>24896</v>
      </c>
      <c r="AC4608" t="s">
        <v>24897</v>
      </c>
      <c r="AD4608" s="249" t="str">
        <f>HYPERLINK("https://scontent.cdninstagram.com/t51.2885-15/e35/p320x320/21373733_2395113350713092_3192569506035662848_n.jpg")</f>
        <v>https://scontent.cdninstagram.com/t51.2885-15/e35/p320x320/21373733_2395113350713092_3192569506035662848_n.jpg</v>
      </c>
      <c r="AE4608" s="249" t="str">
        <f>HYPERLINK("https://scontent.cdninstagram.com/t51.2885-19/s150x150/21372085_102179160512308_2313378052593156096_a.jpg")</f>
        <v>https://scontent.cdninstagram.com/t51.2885-19/s150x150/21372085_102179160512308_2313378052593156096_a.jpg</v>
      </c>
    </row>
    <row r="4609" spans="1:31" ht="15" x14ac:dyDescent="0.25">
      <c r="A4609" t="s">
        <v>2474</v>
      </c>
      <c r="B4609" t="s">
        <v>2738</v>
      </c>
      <c r="C4609" s="221">
        <v>42982.499594907407</v>
      </c>
      <c r="D4609" t="s">
        <v>24898</v>
      </c>
      <c r="E4609" s="249" t="str">
        <f>HYPERLINK("https://www.instagram.com/p/BYoAAsyg-Wk/")</f>
        <v>https://www.instagram.com/p/BYoAAsyg-Wk/</v>
      </c>
      <c r="F4609" t="s">
        <v>24899</v>
      </c>
      <c r="G4609" t="s">
        <v>2478</v>
      </c>
      <c r="H4609">
        <v>135</v>
      </c>
      <c r="I4609" t="s">
        <v>2479</v>
      </c>
      <c r="J4609">
        <v>2</v>
      </c>
      <c r="K4609">
        <v>24</v>
      </c>
      <c r="L4609">
        <v>26</v>
      </c>
      <c r="Q4609">
        <v>0</v>
      </c>
      <c r="R4609">
        <v>0</v>
      </c>
      <c r="S4609">
        <v>26</v>
      </c>
      <c r="Y4609" t="s">
        <v>19393</v>
      </c>
      <c r="Z4609" t="s">
        <v>2743</v>
      </c>
      <c r="AA4609" t="s">
        <v>6806</v>
      </c>
      <c r="AB4609" t="s">
        <v>24900</v>
      </c>
      <c r="AC4609" t="s">
        <v>6213</v>
      </c>
      <c r="AD4609" s="249" t="str">
        <f>HYPERLINK("https://scontent.cdninstagram.com/t51.2885-15/s320x320/e35/21373711_1132057496939226_8150337984810450944_n.jpg")</f>
        <v>https://scontent.cdninstagram.com/t51.2885-15/s320x320/e35/21373711_1132057496939226_8150337984810450944_n.jpg</v>
      </c>
      <c r="AE4609" s="249" t="str">
        <f>HYPERLINK("https://scontent.cdninstagram.com/t51.2885-19/s150x150/11899579_897822316961809_437222074_a.jpg")</f>
        <v>https://scontent.cdninstagram.com/t51.2885-19/s150x150/11899579_897822316961809_437222074_a.jpg</v>
      </c>
    </row>
    <row r="4610" spans="1:31" ht="15" x14ac:dyDescent="0.25">
      <c r="A4610" t="s">
        <v>2474</v>
      </c>
      <c r="B4610" t="s">
        <v>5149</v>
      </c>
      <c r="C4610" s="221">
        <v>42982.499942129631</v>
      </c>
      <c r="D4610" t="s">
        <v>24901</v>
      </c>
      <c r="E4610" s="249" t="str">
        <f>HYPERLINK("https://www.instagram.com/p/BYoAEXQDdnY/")</f>
        <v>https://www.instagram.com/p/BYoAEXQDdnY/</v>
      </c>
      <c r="F4610" t="s">
        <v>24879</v>
      </c>
      <c r="G4610" t="s">
        <v>2631</v>
      </c>
      <c r="H4610">
        <v>64907</v>
      </c>
      <c r="I4610" t="s">
        <v>2479</v>
      </c>
      <c r="J4610">
        <v>0</v>
      </c>
      <c r="K4610">
        <v>44</v>
      </c>
      <c r="L4610">
        <v>44</v>
      </c>
      <c r="Q4610">
        <v>0</v>
      </c>
      <c r="R4610">
        <v>0</v>
      </c>
      <c r="S4610">
        <v>44</v>
      </c>
      <c r="Y4610" t="s">
        <v>2497</v>
      </c>
      <c r="Z4610" t="s">
        <v>24438</v>
      </c>
      <c r="AA4610" t="s">
        <v>21059</v>
      </c>
      <c r="AD4610" s="249" t="str">
        <f>HYPERLINK("https://scontent.cdninstagram.com/t51.2885-15/s320x320/e15/21372031_463119737404698_6769201507440001024_n.jpg")</f>
        <v>https://scontent.cdninstagram.com/t51.2885-15/s320x320/e15/21372031_463119737404698_6769201507440001024_n.jpg</v>
      </c>
      <c r="AE4610" s="249" t="str">
        <f>HYPERLINK("https://scontent.cdninstagram.com/t51.2885-19/s150x150/14128779_278010482584432_2056131760_a.jpg")</f>
        <v>https://scontent.cdninstagram.com/t51.2885-19/s150x150/14128779_278010482584432_2056131760_a.jpg</v>
      </c>
    </row>
    <row r="4611" spans="1:31" ht="15" x14ac:dyDescent="0.25">
      <c r="A4611" t="s">
        <v>2474</v>
      </c>
      <c r="B4611" t="s">
        <v>2539</v>
      </c>
      <c r="C4611" s="221">
        <v>42982.500879629632</v>
      </c>
      <c r="D4611" t="s">
        <v>24902</v>
      </c>
      <c r="E4611" s="249" t="str">
        <f>HYPERLINK("https://www.instagram.com/p/BYoAOO_gxuW/")</f>
        <v>https://www.instagram.com/p/BYoAOO_gxuW/</v>
      </c>
      <c r="F4611" t="s">
        <v>24903</v>
      </c>
      <c r="G4611" t="s">
        <v>2478</v>
      </c>
      <c r="H4611">
        <v>409</v>
      </c>
      <c r="I4611" t="s">
        <v>2542</v>
      </c>
      <c r="J4611">
        <v>1</v>
      </c>
      <c r="K4611">
        <v>29</v>
      </c>
      <c r="L4611">
        <v>30</v>
      </c>
      <c r="Q4611">
        <v>0</v>
      </c>
      <c r="R4611">
        <v>0</v>
      </c>
      <c r="S4611">
        <v>30</v>
      </c>
      <c r="Y4611" t="s">
        <v>2497</v>
      </c>
      <c r="Z4611" t="s">
        <v>3343</v>
      </c>
      <c r="AA4611" t="s">
        <v>4539</v>
      </c>
      <c r="AB4611" t="s">
        <v>2767</v>
      </c>
      <c r="AC4611" t="s">
        <v>24904</v>
      </c>
      <c r="AD4611" s="249" t="str">
        <f>HYPERLINK("https://scontent.cdninstagram.com/t51.2885-15/s320x320/e35/21297034_493246477676846_3673102344171552768_n.jpg")</f>
        <v>https://scontent.cdninstagram.com/t51.2885-15/s320x320/e35/21297034_493246477676846_3673102344171552768_n.jpg</v>
      </c>
      <c r="AE4611" s="249" t="str">
        <f>HYPERLINK("https://scontent.cdninstagram.com/t51.2885-19/s150x150/21689413_239377273253859_3579793445226545152_n.jpg")</f>
        <v>https://scontent.cdninstagram.com/t51.2885-19/s150x150/21689413_239377273253859_3579793445226545152_n.jpg</v>
      </c>
    </row>
    <row r="4612" spans="1:31" ht="15" x14ac:dyDescent="0.25">
      <c r="A4612" t="s">
        <v>2474</v>
      </c>
      <c r="B4612" t="s">
        <v>7232</v>
      </c>
      <c r="C4612" s="221">
        <v>42982.503912037035</v>
      </c>
      <c r="D4612" t="s">
        <v>24905</v>
      </c>
      <c r="E4612" s="249" t="str">
        <f>HYPERLINK("https://www.instagram.com/p/BYoAuNSHOMw/")</f>
        <v>https://www.instagram.com/p/BYoAuNSHOMw/</v>
      </c>
      <c r="F4612" t="s">
        <v>24906</v>
      </c>
      <c r="G4612" t="s">
        <v>2478</v>
      </c>
      <c r="H4612">
        <v>525</v>
      </c>
      <c r="I4612" t="s">
        <v>2786</v>
      </c>
      <c r="J4612">
        <v>2</v>
      </c>
      <c r="K4612">
        <v>29</v>
      </c>
      <c r="L4612">
        <v>31</v>
      </c>
      <c r="Q4612">
        <v>0</v>
      </c>
      <c r="R4612">
        <v>0</v>
      </c>
      <c r="S4612">
        <v>31</v>
      </c>
      <c r="Y4612" t="s">
        <v>4620</v>
      </c>
      <c r="Z4612" t="s">
        <v>4975</v>
      </c>
      <c r="AA4612" t="s">
        <v>9926</v>
      </c>
      <c r="AB4612" t="s">
        <v>12174</v>
      </c>
      <c r="AC4612" t="s">
        <v>2497</v>
      </c>
      <c r="AD4612" s="249" t="str">
        <f>HYPERLINK("https://scontent.cdninstagram.com/t51.2885-15/s320x320/e35/21296606_235101123682690_7245863716753768448_n.jpg")</f>
        <v>https://scontent.cdninstagram.com/t51.2885-15/s320x320/e35/21296606_235101123682690_7245863716753768448_n.jpg</v>
      </c>
      <c r="AE4612" s="249" t="str">
        <f>HYPERLINK("https://scontent.cdninstagram.com/t51.2885-19/s150x150/14482263_1660577494243200_2334360342223650816_a.jpg")</f>
        <v>https://scontent.cdninstagram.com/t51.2885-19/s150x150/14482263_1660577494243200_2334360342223650816_a.jpg</v>
      </c>
    </row>
    <row r="4613" spans="1:31" ht="15" x14ac:dyDescent="0.25">
      <c r="A4613" t="s">
        <v>2474</v>
      </c>
      <c r="B4613" t="s">
        <v>24907</v>
      </c>
      <c r="C4613" s="221">
        <v>42982.505347222221</v>
      </c>
      <c r="D4613" t="s">
        <v>24908</v>
      </c>
      <c r="E4613" s="249" t="str">
        <f>HYPERLINK("https://www.instagram.com/p/BYoA9X0jFQl/")</f>
        <v>https://www.instagram.com/p/BYoA9X0jFQl/</v>
      </c>
      <c r="F4613" t="s">
        <v>24909</v>
      </c>
      <c r="G4613" t="s">
        <v>2478</v>
      </c>
      <c r="H4613">
        <v>246</v>
      </c>
      <c r="I4613" t="s">
        <v>2479</v>
      </c>
      <c r="J4613">
        <v>0</v>
      </c>
      <c r="K4613">
        <v>22</v>
      </c>
      <c r="L4613">
        <v>22</v>
      </c>
      <c r="Q4613">
        <v>0</v>
      </c>
      <c r="R4613">
        <v>0</v>
      </c>
      <c r="S4613">
        <v>22</v>
      </c>
      <c r="Y4613" t="s">
        <v>8250</v>
      </c>
      <c r="Z4613" t="s">
        <v>2497</v>
      </c>
      <c r="AA4613" t="s">
        <v>2609</v>
      </c>
      <c r="AB4613" t="s">
        <v>24910</v>
      </c>
      <c r="AC4613" t="s">
        <v>2492</v>
      </c>
      <c r="AD4613" s="249" t="str">
        <f>HYPERLINK("https://scontent.cdninstagram.com/t51.2885-15/e35/p320x320/21433873_322003008264868_5842997414989922304_n.jpg")</f>
        <v>https://scontent.cdninstagram.com/t51.2885-15/e35/p320x320/21433873_322003008264868_5842997414989922304_n.jpg</v>
      </c>
      <c r="AE4613" s="249" t="str">
        <f>HYPERLINK("https://scontent.cdninstagram.com/t51.2885-19/s150x150/19424790_447047385665141_9038679801652576256_a.jpg")</f>
        <v>https://scontent.cdninstagram.com/t51.2885-19/s150x150/19424790_447047385665141_9038679801652576256_a.jpg</v>
      </c>
    </row>
    <row r="4614" spans="1:31" ht="15" x14ac:dyDescent="0.25">
      <c r="A4614" t="s">
        <v>2474</v>
      </c>
      <c r="B4614" t="s">
        <v>24877</v>
      </c>
      <c r="C4614" s="221">
        <v>42982.517256944448</v>
      </c>
      <c r="D4614" t="s">
        <v>24911</v>
      </c>
      <c r="E4614" s="249" t="str">
        <f>HYPERLINK("https://www.instagram.com/p/BYoC69NhghX/")</f>
        <v>https://www.instagram.com/p/BYoC69NhghX/</v>
      </c>
      <c r="F4614" t="s">
        <v>24912</v>
      </c>
      <c r="G4614" t="s">
        <v>2631</v>
      </c>
      <c r="H4614">
        <v>26242</v>
      </c>
      <c r="I4614" t="s">
        <v>2479</v>
      </c>
      <c r="J4614">
        <v>0</v>
      </c>
      <c r="K4614">
        <v>25</v>
      </c>
      <c r="L4614">
        <v>25</v>
      </c>
      <c r="Q4614">
        <v>0</v>
      </c>
      <c r="R4614">
        <v>0</v>
      </c>
      <c r="S4614">
        <v>25</v>
      </c>
      <c r="T4614" t="s">
        <v>24880</v>
      </c>
      <c r="U4614" t="s">
        <v>106</v>
      </c>
      <c r="V4614" t="s">
        <v>2299</v>
      </c>
      <c r="W4614">
        <v>25.785766511561</v>
      </c>
      <c r="X4614">
        <v>-80.174553531456993</v>
      </c>
      <c r="Y4614" t="s">
        <v>24913</v>
      </c>
      <c r="Z4614" t="s">
        <v>2497</v>
      </c>
      <c r="AA4614" t="s">
        <v>21059</v>
      </c>
      <c r="AD4614" s="249" t="str">
        <f>HYPERLINK("https://scontent.cdninstagram.com/t51.2885-15/s320x320/e15/21372588_1630305163687140_8999964502589964288_n.jpg")</f>
        <v>https://scontent.cdninstagram.com/t51.2885-15/s320x320/e15/21372588_1630305163687140_8999964502589964288_n.jpg</v>
      </c>
      <c r="AE4614" s="249" t="str">
        <f>HYPERLINK("https://scontent.cdninstagram.com/t51.2885-19/s150x150/13671719_1778070815805216_18661556_a.jpg")</f>
        <v>https://scontent.cdninstagram.com/t51.2885-19/s150x150/13671719_1778070815805216_18661556_a.jpg</v>
      </c>
    </row>
    <row r="4615" spans="1:31" ht="15" x14ac:dyDescent="0.25">
      <c r="A4615" t="s">
        <v>2474</v>
      </c>
      <c r="B4615" t="s">
        <v>24914</v>
      </c>
      <c r="C4615" s="221">
        <v>42982.517928240741</v>
      </c>
      <c r="D4615" t="s">
        <v>24915</v>
      </c>
      <c r="E4615" s="249" t="str">
        <f>HYPERLINK("https://www.instagram.com/p/BYoDCA0nyi2/")</f>
        <v>https://www.instagram.com/p/BYoDCA0nyi2/</v>
      </c>
      <c r="F4615" t="s">
        <v>24916</v>
      </c>
      <c r="G4615" t="s">
        <v>2478</v>
      </c>
      <c r="H4615">
        <v>448</v>
      </c>
      <c r="I4615" t="s">
        <v>2748</v>
      </c>
      <c r="J4615">
        <v>0</v>
      </c>
      <c r="K4615">
        <v>71</v>
      </c>
      <c r="L4615">
        <v>71</v>
      </c>
      <c r="Q4615">
        <v>0</v>
      </c>
      <c r="R4615">
        <v>0</v>
      </c>
      <c r="S4615">
        <v>71</v>
      </c>
      <c r="T4615" t="s">
        <v>24917</v>
      </c>
      <c r="V4615" t="s">
        <v>2288</v>
      </c>
      <c r="W4615">
        <v>51.067031</v>
      </c>
      <c r="X4615">
        <v>-1.7928485999999999</v>
      </c>
      <c r="Y4615" t="s">
        <v>2497</v>
      </c>
      <c r="Z4615" t="s">
        <v>5047</v>
      </c>
      <c r="AA4615" t="s">
        <v>24918</v>
      </c>
      <c r="AB4615" t="s">
        <v>11651</v>
      </c>
      <c r="AC4615" t="s">
        <v>3774</v>
      </c>
      <c r="AD4615" s="249" t="str">
        <f>HYPERLINK("https://scontent.cdninstagram.com/t51.2885-15/s320x320/e35/21433624_517109195348104_8300862780215394304_n.jpg")</f>
        <v>https://scontent.cdninstagram.com/t51.2885-15/s320x320/e35/21433624_517109195348104_8300862780215394304_n.jpg</v>
      </c>
      <c r="AE4615" s="249" t="str">
        <f>HYPERLINK("https://scontent.cdninstagram.com/t51.2885-19/s150x150/11364000_1449376882058775_771858719_a.jpg")</f>
        <v>https://scontent.cdninstagram.com/t51.2885-19/s150x150/11364000_1449376882058775_771858719_a.jpg</v>
      </c>
    </row>
    <row r="4616" spans="1:31" ht="15" x14ac:dyDescent="0.25">
      <c r="A4616" t="s">
        <v>2474</v>
      </c>
      <c r="B4616" t="s">
        <v>2628</v>
      </c>
      <c r="C4616" s="221">
        <v>42982.521435185183</v>
      </c>
      <c r="D4616" t="s">
        <v>24919</v>
      </c>
      <c r="E4616" s="249" t="str">
        <f>HYPERLINK("https://www.instagram.com/p/BYoDnAMgdRx/")</f>
        <v>https://www.instagram.com/p/BYoDnAMgdRx/</v>
      </c>
      <c r="F4616" t="s">
        <v>20494</v>
      </c>
      <c r="G4616" t="s">
        <v>2631</v>
      </c>
      <c r="H4616">
        <v>186</v>
      </c>
      <c r="I4616" t="s">
        <v>2479</v>
      </c>
      <c r="J4616">
        <v>0</v>
      </c>
      <c r="K4616">
        <v>21</v>
      </c>
      <c r="L4616">
        <v>21</v>
      </c>
      <c r="Q4616">
        <v>0</v>
      </c>
      <c r="R4616">
        <v>0</v>
      </c>
      <c r="S4616">
        <v>21</v>
      </c>
      <c r="Y4616" t="s">
        <v>2497</v>
      </c>
      <c r="Z4616" t="s">
        <v>7225</v>
      </c>
      <c r="AA4616" t="s">
        <v>2633</v>
      </c>
      <c r="AB4616" t="s">
        <v>3132</v>
      </c>
      <c r="AC4616" t="s">
        <v>5836</v>
      </c>
      <c r="AD4616" s="249" t="str">
        <f>HYPERLINK("https://scontent.cdninstagram.com/t51.2885-15/s320x320/e15/21373350_114133452630432_4052613406862082048_n.jpg")</f>
        <v>https://scontent.cdninstagram.com/t51.2885-15/s320x320/e15/21373350_114133452630432_4052613406862082048_n.jpg</v>
      </c>
      <c r="AE4616" s="249" t="str">
        <f>HYPERLINK("https://scontent.cdninstagram.com/t51.2885-19/11906329_960233084022564_1448528159_a.jpg")</f>
        <v>https://scontent.cdninstagram.com/t51.2885-19/11906329_960233084022564_1448528159_a.jpg</v>
      </c>
    </row>
    <row r="4617" spans="1:31" ht="15" x14ac:dyDescent="0.25">
      <c r="A4617" t="s">
        <v>2474</v>
      </c>
      <c r="B4617" t="s">
        <v>24920</v>
      </c>
      <c r="C4617" s="221">
        <v>42982.525925925926</v>
      </c>
      <c r="D4617" t="s">
        <v>24921</v>
      </c>
      <c r="E4617" s="249" t="str">
        <f>HYPERLINK("https://www.instagram.com/p/BYoEWWtHxy5/")</f>
        <v>https://www.instagram.com/p/BYoEWWtHxy5/</v>
      </c>
      <c r="F4617" t="s">
        <v>24922</v>
      </c>
      <c r="G4617" t="s">
        <v>2478</v>
      </c>
      <c r="H4617">
        <v>61552</v>
      </c>
      <c r="I4617" t="s">
        <v>2479</v>
      </c>
      <c r="J4617">
        <v>62</v>
      </c>
      <c r="K4617">
        <v>272</v>
      </c>
      <c r="L4617">
        <v>334</v>
      </c>
      <c r="Q4617">
        <v>0</v>
      </c>
      <c r="R4617">
        <v>0</v>
      </c>
      <c r="S4617">
        <v>334</v>
      </c>
      <c r="Y4617" t="s">
        <v>24923</v>
      </c>
      <c r="Z4617" t="s">
        <v>2497</v>
      </c>
      <c r="AA4617" t="s">
        <v>2789</v>
      </c>
      <c r="AB4617" t="s">
        <v>24924</v>
      </c>
      <c r="AC4617" t="s">
        <v>4438</v>
      </c>
      <c r="AD4617" s="249" t="str">
        <f>HYPERLINK("https://scontent.cdninstagram.com/t51.2885-15/s320x320/e35/21296468_105242666883337_6496770550738714624_n.jpg")</f>
        <v>https://scontent.cdninstagram.com/t51.2885-15/s320x320/e35/21296468_105242666883337_6496770550738714624_n.jpg</v>
      </c>
      <c r="AE4617" s="249" t="str">
        <f>HYPERLINK("https://scontent.cdninstagram.com/t51.2885-19/s150x150/21372195_280254782490755_6110154512628973568_n.jpg")</f>
        <v>https://scontent.cdninstagram.com/t51.2885-19/s150x150/21372195_280254782490755_6110154512628973568_n.jpg</v>
      </c>
    </row>
    <row r="4618" spans="1:31" ht="15" x14ac:dyDescent="0.25">
      <c r="A4618" t="s">
        <v>2474</v>
      </c>
      <c r="B4618" t="s">
        <v>24925</v>
      </c>
      <c r="C4618" s="221">
        <v>42982.528587962966</v>
      </c>
      <c r="D4618" t="s">
        <v>24926</v>
      </c>
      <c r="E4618" s="249" t="str">
        <f>HYPERLINK("https://www.instagram.com/p/BYoEyZoHHUt/")</f>
        <v>https://www.instagram.com/p/BYoEyZoHHUt/</v>
      </c>
      <c r="F4618" t="s">
        <v>24927</v>
      </c>
      <c r="G4618" t="s">
        <v>2478</v>
      </c>
      <c r="H4618">
        <v>463</v>
      </c>
      <c r="I4618" t="s">
        <v>2479</v>
      </c>
      <c r="J4618">
        <v>0</v>
      </c>
      <c r="K4618">
        <v>56</v>
      </c>
      <c r="L4618">
        <v>56</v>
      </c>
      <c r="Q4618">
        <v>0</v>
      </c>
      <c r="R4618">
        <v>0</v>
      </c>
      <c r="S4618">
        <v>56</v>
      </c>
      <c r="Y4618" t="s">
        <v>2497</v>
      </c>
      <c r="Z4618" t="s">
        <v>24928</v>
      </c>
      <c r="AA4618" t="s">
        <v>10385</v>
      </c>
      <c r="AB4618" t="s">
        <v>22434</v>
      </c>
      <c r="AC4618" t="s">
        <v>7560</v>
      </c>
      <c r="AD4618" s="249" t="str">
        <f>HYPERLINK("https://scontent.cdninstagram.com/t51.2885-15/s320x320/e35/21372548_368447503589336_2080902193099046912_n.jpg")</f>
        <v>https://scontent.cdninstagram.com/t51.2885-15/s320x320/e35/21372548_368447503589336_2080902193099046912_n.jpg</v>
      </c>
      <c r="AE4618" s="249" t="str">
        <f>HYPERLINK("https://scontent.cdninstagram.com/t51.2885-19/s150x150/21147856_1976459845971456_5504837060474699776_a.jpg")</f>
        <v>https://scontent.cdninstagram.com/t51.2885-19/s150x150/21147856_1976459845971456_5504837060474699776_a.jpg</v>
      </c>
    </row>
    <row r="4619" spans="1:31" ht="15" x14ac:dyDescent="0.25">
      <c r="A4619" t="s">
        <v>2474</v>
      </c>
      <c r="B4619" t="s">
        <v>24929</v>
      </c>
      <c r="C4619" s="221">
        <v>42982.528738425928</v>
      </c>
      <c r="D4619" t="s">
        <v>24930</v>
      </c>
      <c r="E4619" s="249" t="str">
        <f>HYPERLINK("https://www.instagram.com/p/BYoE0BYFSuM/")</f>
        <v>https://www.instagram.com/p/BYoE0BYFSuM/</v>
      </c>
      <c r="F4619" t="s">
        <v>24931</v>
      </c>
      <c r="G4619" t="s">
        <v>2478</v>
      </c>
      <c r="I4619" t="s">
        <v>2479</v>
      </c>
      <c r="J4619">
        <v>0</v>
      </c>
      <c r="K4619">
        <v>33</v>
      </c>
      <c r="L4619">
        <v>33</v>
      </c>
      <c r="Q4619">
        <v>0</v>
      </c>
      <c r="R4619">
        <v>0</v>
      </c>
      <c r="S4619">
        <v>33</v>
      </c>
      <c r="Y4619" t="s">
        <v>2497</v>
      </c>
      <c r="Z4619" t="s">
        <v>24932</v>
      </c>
      <c r="AA4619" t="s">
        <v>24933</v>
      </c>
      <c r="AB4619" t="s">
        <v>16766</v>
      </c>
      <c r="AC4619" t="s">
        <v>24934</v>
      </c>
      <c r="AD4619" s="249" t="str">
        <f>HYPERLINK("https://scontent.cdninstagram.com/t51.2885-15/e35/p320x320/21296895_1588606354494164_8353798488361795584_n.jpg")</f>
        <v>https://scontent.cdninstagram.com/t51.2885-15/e35/p320x320/21296895_1588606354494164_8353798488361795584_n.jpg</v>
      </c>
      <c r="AE4619" s="249" t="str">
        <f>HYPERLINK("https://scontent.cdninstagram.com/t51.2885-19/s150x150/19227318_901495316656232_4137996373159051264_a.jpg")</f>
        <v>https://scontent.cdninstagram.com/t51.2885-19/s150x150/19227318_901495316656232_4137996373159051264_a.jpg</v>
      </c>
    </row>
    <row r="4620" spans="1:31" ht="15" x14ac:dyDescent="0.25">
      <c r="A4620" t="s">
        <v>2474</v>
      </c>
      <c r="B4620" t="s">
        <v>24935</v>
      </c>
      <c r="C4620" s="221">
        <v>42982.53297453704</v>
      </c>
      <c r="D4620" t="s">
        <v>24936</v>
      </c>
      <c r="E4620" s="249" t="str">
        <f>HYPERLINK("https://www.instagram.com/p/BYoFgsBFasa/")</f>
        <v>https://www.instagram.com/p/BYoFgsBFasa/</v>
      </c>
      <c r="F4620" t="s">
        <v>24937</v>
      </c>
      <c r="G4620" t="s">
        <v>2631</v>
      </c>
      <c r="H4620">
        <v>157</v>
      </c>
      <c r="I4620" t="s">
        <v>2903</v>
      </c>
      <c r="J4620">
        <v>2</v>
      </c>
      <c r="K4620">
        <v>16</v>
      </c>
      <c r="L4620">
        <v>18</v>
      </c>
      <c r="Q4620">
        <v>0</v>
      </c>
      <c r="R4620">
        <v>0</v>
      </c>
      <c r="S4620">
        <v>18</v>
      </c>
      <c r="Y4620" t="s">
        <v>2497</v>
      </c>
      <c r="Z4620" t="s">
        <v>3268</v>
      </c>
      <c r="AA4620" t="s">
        <v>24938</v>
      </c>
      <c r="AB4620" t="s">
        <v>17043</v>
      </c>
      <c r="AC4620" t="s">
        <v>24939</v>
      </c>
      <c r="AD4620" s="249" t="str">
        <f>HYPERLINK("https://scontent.cdninstagram.com/t51.2885-15/s320x320/e15/21372989_351424401965170_2768616844775391232_n.jpg")</f>
        <v>https://scontent.cdninstagram.com/t51.2885-15/s320x320/e15/21372989_351424401965170_2768616844775391232_n.jpg</v>
      </c>
      <c r="AE4620" s="249" t="str">
        <f>HYPERLINK("https://scontent.cdninstagram.com/t51.2885-19/s150x150/14276384_338692703144477_696383302_a.jpg")</f>
        <v>https://scontent.cdninstagram.com/t51.2885-19/s150x150/14276384_338692703144477_696383302_a.jpg</v>
      </c>
    </row>
    <row r="4621" spans="1:31" ht="15" x14ac:dyDescent="0.25">
      <c r="A4621" t="s">
        <v>2474</v>
      </c>
      <c r="B4621" t="s">
        <v>24940</v>
      </c>
      <c r="C4621" s="221">
        <v>42982.533530092594</v>
      </c>
      <c r="D4621" t="s">
        <v>24941</v>
      </c>
      <c r="E4621" s="249" t="str">
        <f>HYPERLINK("https://www.instagram.com/p/BYoFmhxAiVo/")</f>
        <v>https://www.instagram.com/p/BYoFmhxAiVo/</v>
      </c>
      <c r="F4621" t="s">
        <v>24942</v>
      </c>
      <c r="G4621" t="s">
        <v>2478</v>
      </c>
      <c r="H4621">
        <v>3</v>
      </c>
      <c r="I4621" t="s">
        <v>2510</v>
      </c>
      <c r="J4621">
        <v>1</v>
      </c>
      <c r="K4621">
        <v>5</v>
      </c>
      <c r="L4621">
        <v>6</v>
      </c>
      <c r="Q4621">
        <v>0</v>
      </c>
      <c r="R4621">
        <v>0</v>
      </c>
      <c r="S4621">
        <v>6</v>
      </c>
      <c r="Y4621" t="s">
        <v>2497</v>
      </c>
      <c r="Z4621" t="s">
        <v>24943</v>
      </c>
      <c r="AA4621" t="s">
        <v>24944</v>
      </c>
      <c r="AB4621" t="s">
        <v>24829</v>
      </c>
      <c r="AC4621" t="s">
        <v>3568</v>
      </c>
      <c r="AD4621" s="249" t="str">
        <f>HYPERLINK("https://scontent.cdninstagram.com/t51.2885-15/s320x320/e35/21371812_1569025129828914_7439948478496636928_n.jpg")</f>
        <v>https://scontent.cdninstagram.com/t51.2885-15/s320x320/e35/21371812_1569025129828914_7439948478496636928_n.jpg</v>
      </c>
      <c r="AE4621" s="249" t="str">
        <f>HYPERLINK("https://scontent.cdninstagram.com/t51.2885-19/s150x150/21148101_1939215392959050_462196604842016768_a.jpg")</f>
        <v>https://scontent.cdninstagram.com/t51.2885-19/s150x150/21148101_1939215392959050_462196604842016768_a.jpg</v>
      </c>
    </row>
    <row r="4622" spans="1:31" ht="15" x14ac:dyDescent="0.25">
      <c r="A4622" t="s">
        <v>2474</v>
      </c>
      <c r="B4622" t="s">
        <v>24945</v>
      </c>
      <c r="C4622" s="221">
        <v>42982.533692129633</v>
      </c>
      <c r="D4622" t="s">
        <v>24946</v>
      </c>
      <c r="E4622" s="249" t="str">
        <f>HYPERLINK("https://www.instagram.com/p/BYoFoRHBN-W/")</f>
        <v>https://www.instagram.com/p/BYoFoRHBN-W/</v>
      </c>
      <c r="F4622" t="s">
        <v>24947</v>
      </c>
      <c r="G4622" t="s">
        <v>2478</v>
      </c>
      <c r="H4622">
        <v>61</v>
      </c>
      <c r="I4622" t="s">
        <v>2479</v>
      </c>
      <c r="J4622">
        <v>3</v>
      </c>
      <c r="K4622">
        <v>35</v>
      </c>
      <c r="L4622">
        <v>38</v>
      </c>
      <c r="Q4622">
        <v>0</v>
      </c>
      <c r="R4622">
        <v>0</v>
      </c>
      <c r="S4622">
        <v>38</v>
      </c>
      <c r="Y4622" t="s">
        <v>2497</v>
      </c>
      <c r="Z4622" t="s">
        <v>24948</v>
      </c>
      <c r="AA4622" t="s">
        <v>7908</v>
      </c>
      <c r="AB4622" t="s">
        <v>6760</v>
      </c>
      <c r="AC4622" t="s">
        <v>24945</v>
      </c>
      <c r="AD4622" s="249" t="str">
        <f>HYPERLINK("https://scontent.cdninstagram.com/t51.2885-15/s320x320/e35/21435425_267642543734141_8962024286210490368_n.jpg")</f>
        <v>https://scontent.cdninstagram.com/t51.2885-15/s320x320/e35/21435425_267642543734141_8962024286210490368_n.jpg</v>
      </c>
      <c r="AE4622" s="249" t="str">
        <f>HYPERLINK("https://scontent.cdninstagram.com/t51.2885-19/s150x150/20479105_183525588854708_3954985201041408000_a.jpg")</f>
        <v>https://scontent.cdninstagram.com/t51.2885-19/s150x150/20479105_183525588854708_3954985201041408000_a.jpg</v>
      </c>
    </row>
    <row r="4623" spans="1:31" ht="15" x14ac:dyDescent="0.25">
      <c r="A4623" t="s">
        <v>2474</v>
      </c>
      <c r="B4623" t="s">
        <v>20989</v>
      </c>
      <c r="C4623" s="221">
        <v>42982.537581018521</v>
      </c>
      <c r="D4623" t="s">
        <v>24949</v>
      </c>
      <c r="E4623" s="249" t="str">
        <f>HYPERLINK("https://www.instagram.com/p/BYoGRRsFpaO/")</f>
        <v>https://www.instagram.com/p/BYoGRRsFpaO/</v>
      </c>
      <c r="F4623" t="s">
        <v>24950</v>
      </c>
      <c r="G4623" t="s">
        <v>2478</v>
      </c>
      <c r="H4623">
        <v>1481</v>
      </c>
      <c r="I4623" t="s">
        <v>2479</v>
      </c>
      <c r="J4623">
        <v>3</v>
      </c>
      <c r="K4623">
        <v>127</v>
      </c>
      <c r="L4623">
        <v>130</v>
      </c>
      <c r="Q4623">
        <v>0</v>
      </c>
      <c r="R4623">
        <v>0</v>
      </c>
      <c r="S4623">
        <v>130</v>
      </c>
      <c r="T4623" t="s">
        <v>24951</v>
      </c>
      <c r="V4623" t="s">
        <v>2161</v>
      </c>
      <c r="W4623">
        <v>50.209410099999999</v>
      </c>
      <c r="X4623">
        <v>6.9785443999999996</v>
      </c>
      <c r="Y4623" t="s">
        <v>2497</v>
      </c>
      <c r="Z4623" t="s">
        <v>19202</v>
      </c>
      <c r="AA4623" t="s">
        <v>24952</v>
      </c>
      <c r="AB4623" t="s">
        <v>24953</v>
      </c>
      <c r="AC4623" t="s">
        <v>24954</v>
      </c>
      <c r="AD4623" s="249" t="str">
        <f>HYPERLINK("https://scontent.cdninstagram.com/t51.2885-15/s320x320/e35/21435606_114711299215932_5305639887490252800_n.jpg")</f>
        <v>https://scontent.cdninstagram.com/t51.2885-15/s320x320/e35/21435606_114711299215932_5305639887490252800_n.jpg</v>
      </c>
      <c r="AE4623" s="249" t="str">
        <f>HYPERLINK("https://scontent.cdninstagram.com/t51.2885-19/s150x150/19954977_248404352343347_1195826346698211328_a.jpg")</f>
        <v>https://scontent.cdninstagram.com/t51.2885-19/s150x150/19954977_248404352343347_1195826346698211328_a.jpg</v>
      </c>
    </row>
    <row r="4624" spans="1:31" ht="15" x14ac:dyDescent="0.25">
      <c r="A4624" t="s">
        <v>2474</v>
      </c>
      <c r="B4624" t="s">
        <v>3895</v>
      </c>
      <c r="C4624" s="221">
        <v>42982.540011574078</v>
      </c>
      <c r="D4624" t="s">
        <v>24955</v>
      </c>
      <c r="E4624" s="249" t="str">
        <f>HYPERLINK("https://www.instagram.com/p/BYoGq7hlJs2/")</f>
        <v>https://www.instagram.com/p/BYoGq7hlJs2/</v>
      </c>
      <c r="F4624" t="s">
        <v>24956</v>
      </c>
      <c r="G4624" t="s">
        <v>2478</v>
      </c>
      <c r="H4624">
        <v>424</v>
      </c>
      <c r="I4624" t="s">
        <v>2910</v>
      </c>
      <c r="J4624">
        <v>2</v>
      </c>
      <c r="K4624">
        <v>87</v>
      </c>
      <c r="L4624">
        <v>89</v>
      </c>
      <c r="Q4624">
        <v>0</v>
      </c>
      <c r="R4624">
        <v>0</v>
      </c>
      <c r="S4624">
        <v>89</v>
      </c>
      <c r="Y4624" t="s">
        <v>3815</v>
      </c>
      <c r="Z4624" t="s">
        <v>2497</v>
      </c>
      <c r="AA4624" t="s">
        <v>11748</v>
      </c>
      <c r="AB4624" t="s">
        <v>24957</v>
      </c>
      <c r="AC4624" t="s">
        <v>9108</v>
      </c>
      <c r="AD4624" s="249" t="str">
        <f>HYPERLINK("https://scontent.cdninstagram.com/t51.2885-15/s320x320/e35/21372542_717972561747036_1075829568947879936_n.jpg")</f>
        <v>https://scontent.cdninstagram.com/t51.2885-15/s320x320/e35/21372542_717972561747036_1075829568947879936_n.jpg</v>
      </c>
      <c r="AE4624" s="249" t="str">
        <f>HYPERLINK("https://scontent.cdninstagram.com/t51.2885-19/s150x150/20902130_1390331654386412_4188068892897181696_a.jpg")</f>
        <v>https://scontent.cdninstagram.com/t51.2885-19/s150x150/20902130_1390331654386412_4188068892897181696_a.jpg</v>
      </c>
    </row>
    <row r="4625" spans="1:31" ht="15" x14ac:dyDescent="0.25">
      <c r="A4625" t="s">
        <v>2474</v>
      </c>
      <c r="B4625" t="s">
        <v>24958</v>
      </c>
      <c r="C4625" s="221">
        <v>42982.549699074072</v>
      </c>
      <c r="D4625" t="s">
        <v>24959</v>
      </c>
      <c r="E4625" s="249" t="str">
        <f>HYPERLINK("https://www.instagram.com/p/BYoIRFnFwE8/")</f>
        <v>https://www.instagram.com/p/BYoIRFnFwE8/</v>
      </c>
      <c r="F4625" t="s">
        <v>24960</v>
      </c>
      <c r="G4625" t="s">
        <v>2478</v>
      </c>
      <c r="H4625">
        <v>425</v>
      </c>
      <c r="I4625" t="s">
        <v>2479</v>
      </c>
      <c r="J4625">
        <v>0</v>
      </c>
      <c r="K4625">
        <v>22</v>
      </c>
      <c r="L4625">
        <v>22</v>
      </c>
      <c r="Q4625">
        <v>0</v>
      </c>
      <c r="R4625">
        <v>0</v>
      </c>
      <c r="S4625">
        <v>22</v>
      </c>
      <c r="Y4625" t="s">
        <v>2497</v>
      </c>
      <c r="Z4625" t="s">
        <v>24961</v>
      </c>
      <c r="AA4625" t="s">
        <v>24962</v>
      </c>
      <c r="AB4625" t="s">
        <v>24963</v>
      </c>
      <c r="AC4625" t="s">
        <v>20154</v>
      </c>
      <c r="AD4625" s="249" t="str">
        <f>HYPERLINK("https://scontent.cdninstagram.com/t51.2885-15/s320x320/e35/21373720_1524060000988248_5023331047174045696_n.jpg")</f>
        <v>https://scontent.cdninstagram.com/t51.2885-15/s320x320/e35/21373720_1524060000988248_5023331047174045696_n.jpg</v>
      </c>
      <c r="AE4625" s="249" t="str">
        <f>HYPERLINK("https://scontent.cdninstagram.com/t51.2885-19/s150x150/21372498_515508972121158_8799069696537133056_a.jpg")</f>
        <v>https://scontent.cdninstagram.com/t51.2885-19/s150x150/21372498_515508972121158_8799069696537133056_a.jpg</v>
      </c>
    </row>
    <row r="4626" spans="1:31" ht="15" x14ac:dyDescent="0.25">
      <c r="A4626" t="s">
        <v>2474</v>
      </c>
      <c r="B4626" t="s">
        <v>24964</v>
      </c>
      <c r="C4626" s="221">
        <v>42982.554780092592</v>
      </c>
      <c r="D4626" t="s">
        <v>24965</v>
      </c>
      <c r="E4626" s="249" t="str">
        <f>HYPERLINK("https://www.instagram.com/p/BYoJGpTAF19/")</f>
        <v>https://www.instagram.com/p/BYoJGpTAF19/</v>
      </c>
      <c r="F4626" t="s">
        <v>24966</v>
      </c>
      <c r="G4626" t="s">
        <v>2478</v>
      </c>
      <c r="H4626">
        <v>62</v>
      </c>
      <c r="I4626" t="s">
        <v>2599</v>
      </c>
      <c r="J4626">
        <v>4</v>
      </c>
      <c r="K4626">
        <v>34</v>
      </c>
      <c r="L4626">
        <v>38</v>
      </c>
      <c r="Q4626">
        <v>0</v>
      </c>
      <c r="R4626">
        <v>0</v>
      </c>
      <c r="S4626">
        <v>38</v>
      </c>
      <c r="Y4626" t="s">
        <v>6882</v>
      </c>
      <c r="Z4626" t="s">
        <v>2497</v>
      </c>
      <c r="AA4626" t="s">
        <v>24967</v>
      </c>
      <c r="AB4626" t="s">
        <v>24968</v>
      </c>
      <c r="AC4626" t="s">
        <v>4761</v>
      </c>
      <c r="AD4626" s="249" t="str">
        <f>HYPERLINK("https://scontent.cdninstagram.com/t51.2885-15/s320x320/e35/21296344_137651083514004_996092100938301440_n.jpg")</f>
        <v>https://scontent.cdninstagram.com/t51.2885-15/s320x320/e35/21296344_137651083514004_996092100938301440_n.jpg</v>
      </c>
      <c r="AE4626" s="249" t="str">
        <f>HYPERLINK("https://scontent.cdninstagram.com/t51.2885-19/s150x150/19623461_503564723316787_8375624786310594560_a.jpg")</f>
        <v>https://scontent.cdninstagram.com/t51.2885-19/s150x150/19623461_503564723316787_8375624786310594560_a.jpg</v>
      </c>
    </row>
    <row r="4627" spans="1:31" ht="15" x14ac:dyDescent="0.25">
      <c r="A4627" t="s">
        <v>2474</v>
      </c>
      <c r="B4627" t="s">
        <v>24969</v>
      </c>
      <c r="C4627" s="221">
        <v>42982.55736111111</v>
      </c>
      <c r="D4627" t="s">
        <v>24970</v>
      </c>
      <c r="E4627" s="249" t="str">
        <f>HYPERLINK("https://www.instagram.com/p/BYoJh7nhoI5/")</f>
        <v>https://www.instagram.com/p/BYoJh7nhoI5/</v>
      </c>
      <c r="F4627" t="s">
        <v>24971</v>
      </c>
      <c r="G4627" t="s">
        <v>2478</v>
      </c>
      <c r="H4627">
        <v>117</v>
      </c>
      <c r="I4627" t="s">
        <v>2479</v>
      </c>
      <c r="J4627">
        <v>0</v>
      </c>
      <c r="K4627">
        <v>60</v>
      </c>
      <c r="L4627">
        <v>60</v>
      </c>
      <c r="Q4627">
        <v>0</v>
      </c>
      <c r="R4627">
        <v>0</v>
      </c>
      <c r="S4627">
        <v>60</v>
      </c>
      <c r="Y4627" t="s">
        <v>3815</v>
      </c>
      <c r="Z4627" t="s">
        <v>2497</v>
      </c>
      <c r="AA4627" t="s">
        <v>24972</v>
      </c>
      <c r="AB4627" t="s">
        <v>5466</v>
      </c>
      <c r="AC4627" t="s">
        <v>7990</v>
      </c>
      <c r="AD4627" s="249" t="str">
        <f>HYPERLINK("https://scontent.cdninstagram.com/t51.2885-15/s320x320/e35/21372376_1870621866587162_4365504153787564032_n.jpg")</f>
        <v>https://scontent.cdninstagram.com/t51.2885-15/s320x320/e35/21372376_1870621866587162_4365504153787564032_n.jpg</v>
      </c>
      <c r="AE4627" s="249" t="str">
        <f>HYPERLINK("https://scontent.cdninstagram.com/t51.2885-19/s150x150/18812365_752965204864860_5446683065847906304_a.jpg")</f>
        <v>https://scontent.cdninstagram.com/t51.2885-19/s150x150/18812365_752965204864860_5446683065847906304_a.jpg</v>
      </c>
    </row>
    <row r="4628" spans="1:31" ht="15" x14ac:dyDescent="0.25">
      <c r="A4628" t="s">
        <v>2474</v>
      </c>
      <c r="B4628" t="s">
        <v>3251</v>
      </c>
      <c r="C4628" s="221">
        <v>42982.559004629627</v>
      </c>
      <c r="D4628" t="s">
        <v>24973</v>
      </c>
      <c r="E4628" s="249" t="str">
        <f>HYPERLINK("https://www.instagram.com/p/BYoJzN8nEwK/")</f>
        <v>https://www.instagram.com/p/BYoJzN8nEwK/</v>
      </c>
      <c r="F4628" t="s">
        <v>24974</v>
      </c>
      <c r="G4628" t="s">
        <v>2488</v>
      </c>
      <c r="H4628">
        <v>319</v>
      </c>
      <c r="I4628" t="s">
        <v>2479</v>
      </c>
      <c r="J4628">
        <v>1</v>
      </c>
      <c r="K4628">
        <v>33</v>
      </c>
      <c r="L4628">
        <v>34</v>
      </c>
      <c r="Q4628">
        <v>0</v>
      </c>
      <c r="R4628">
        <v>0</v>
      </c>
      <c r="S4628">
        <v>34</v>
      </c>
      <c r="Y4628" t="s">
        <v>2497</v>
      </c>
      <c r="Z4628" t="s">
        <v>17512</v>
      </c>
      <c r="AA4628" t="s">
        <v>3256</v>
      </c>
      <c r="AB4628" t="s">
        <v>4844</v>
      </c>
      <c r="AC4628" t="s">
        <v>3970</v>
      </c>
      <c r="AD4628" s="249" t="str">
        <f>HYPERLINK("https://scontent.cdninstagram.com/t51.2885-15/s320x320/e35/21296779_170344700192951_378909247578046464_n.jpg")</f>
        <v>https://scontent.cdninstagram.com/t51.2885-15/s320x320/e35/21296779_170344700192951_378909247578046464_n.jpg</v>
      </c>
      <c r="AE4628" s="249" t="str">
        <f>HYPERLINK("https://scontent.cdninstagram.com/t51.2885-19/s150x150/20986614_891746094322067_1272495017625124864_a.jpg")</f>
        <v>https://scontent.cdninstagram.com/t51.2885-19/s150x150/20986614_891746094322067_1272495017625124864_a.jpg</v>
      </c>
    </row>
    <row r="4629" spans="1:31" ht="15" x14ac:dyDescent="0.25">
      <c r="A4629" t="s">
        <v>2474</v>
      </c>
      <c r="B4629" t="s">
        <v>24975</v>
      </c>
      <c r="C4629" s="221">
        <v>42982.563159722224</v>
      </c>
      <c r="D4629" t="s">
        <v>24976</v>
      </c>
      <c r="E4629" s="249" t="str">
        <f>HYPERLINK("https://www.instagram.com/p/BYoKfFAgOMk/")</f>
        <v>https://www.instagram.com/p/BYoKfFAgOMk/</v>
      </c>
      <c r="F4629" t="s">
        <v>24977</v>
      </c>
      <c r="G4629" t="s">
        <v>2478</v>
      </c>
      <c r="H4629">
        <v>269</v>
      </c>
      <c r="I4629" t="s">
        <v>3575</v>
      </c>
      <c r="J4629">
        <v>1</v>
      </c>
      <c r="K4629">
        <v>44</v>
      </c>
      <c r="L4629">
        <v>45</v>
      </c>
      <c r="Q4629">
        <v>0</v>
      </c>
      <c r="R4629">
        <v>0</v>
      </c>
      <c r="S4629">
        <v>45</v>
      </c>
      <c r="T4629" t="s">
        <v>24978</v>
      </c>
      <c r="U4629" t="s">
        <v>234</v>
      </c>
      <c r="V4629" t="s">
        <v>2299</v>
      </c>
      <c r="W4629">
        <v>34.278300000000002</v>
      </c>
      <c r="X4629">
        <v>-119.292</v>
      </c>
      <c r="Y4629" t="s">
        <v>9080</v>
      </c>
      <c r="Z4629" t="s">
        <v>2497</v>
      </c>
      <c r="AA4629" t="s">
        <v>24979</v>
      </c>
      <c r="AB4629" t="s">
        <v>24005</v>
      </c>
      <c r="AC4629" t="s">
        <v>24980</v>
      </c>
      <c r="AD4629" s="249" t="str">
        <f>HYPERLINK("https://scontent.cdninstagram.com/t51.2885-15/s320x320/e35/21435695_751317115072370_4460263111001112576_n.jpg")</f>
        <v>https://scontent.cdninstagram.com/t51.2885-15/s320x320/e35/21435695_751317115072370_4460263111001112576_n.jpg</v>
      </c>
      <c r="AE4629" s="249" t="str">
        <f>HYPERLINK("https://scontent.cdninstagram.com/t51.2885-19/s150x150/19379247_1735617530064217_3217668126682382336_a.jpg")</f>
        <v>https://scontent.cdninstagram.com/t51.2885-19/s150x150/19379247_1735617530064217_3217668126682382336_a.jpg</v>
      </c>
    </row>
    <row r="4630" spans="1:31" ht="15" x14ac:dyDescent="0.25">
      <c r="A4630" t="s">
        <v>2474</v>
      </c>
      <c r="B4630" t="s">
        <v>24981</v>
      </c>
      <c r="C4630" s="221">
        <v>42982.576493055552</v>
      </c>
      <c r="D4630" t="s">
        <v>24982</v>
      </c>
      <c r="E4630" s="249" t="str">
        <f>HYPERLINK("https://www.instagram.com/p/BYoMrsMlwF0/")</f>
        <v>https://www.instagram.com/p/BYoMrsMlwF0/</v>
      </c>
      <c r="F4630" t="s">
        <v>24983</v>
      </c>
      <c r="G4630" t="s">
        <v>2478</v>
      </c>
      <c r="H4630">
        <v>377</v>
      </c>
      <c r="I4630" t="s">
        <v>2479</v>
      </c>
      <c r="J4630">
        <v>1</v>
      </c>
      <c r="K4630">
        <v>24</v>
      </c>
      <c r="L4630">
        <v>25</v>
      </c>
      <c r="Q4630">
        <v>0</v>
      </c>
      <c r="R4630">
        <v>0</v>
      </c>
      <c r="S4630">
        <v>25</v>
      </c>
      <c r="T4630" t="s">
        <v>24984</v>
      </c>
      <c r="V4630" t="s">
        <v>2228</v>
      </c>
      <c r="W4630">
        <v>7.4082068599999999</v>
      </c>
      <c r="X4630">
        <v>3.9015432400000001</v>
      </c>
      <c r="Y4630" t="s">
        <v>2497</v>
      </c>
      <c r="Z4630" t="s">
        <v>2832</v>
      </c>
      <c r="AA4630" t="s">
        <v>19320</v>
      </c>
      <c r="AB4630" t="s">
        <v>24985</v>
      </c>
      <c r="AC4630" t="s">
        <v>5000</v>
      </c>
      <c r="AD4630" s="249" t="str">
        <f>HYPERLINK("https://scontent.cdninstagram.com/t51.2885-15/s320x320/e35/21373753_487007378321910_2072254929283579904_n.jpg")</f>
        <v>https://scontent.cdninstagram.com/t51.2885-15/s320x320/e35/21373753_487007378321910_2072254929283579904_n.jpg</v>
      </c>
      <c r="AE4630" s="249" t="str">
        <f>HYPERLINK("https://scontent.cdninstagram.com/t51.2885-19/s150x150/21147418_1961959124050779_8165871618799697920_a.jpg")</f>
        <v>https://scontent.cdninstagram.com/t51.2885-19/s150x150/21147418_1961959124050779_8165871618799697920_a.jpg</v>
      </c>
    </row>
    <row r="4631" spans="1:31" ht="15" x14ac:dyDescent="0.25">
      <c r="A4631" t="s">
        <v>2474</v>
      </c>
      <c r="B4631" t="s">
        <v>24986</v>
      </c>
      <c r="C4631" s="221">
        <v>42982.576504629629</v>
      </c>
      <c r="D4631" t="s">
        <v>24987</v>
      </c>
      <c r="E4631" s="249" t="str">
        <f>HYPERLINK("https://www.instagram.com/p/BYoMr0wBbLW/")</f>
        <v>https://www.instagram.com/p/BYoMr0wBbLW/</v>
      </c>
      <c r="F4631" t="s">
        <v>24988</v>
      </c>
      <c r="G4631" t="s">
        <v>2478</v>
      </c>
      <c r="H4631">
        <v>219</v>
      </c>
      <c r="I4631" t="s">
        <v>3170</v>
      </c>
      <c r="J4631">
        <v>2</v>
      </c>
      <c r="K4631">
        <v>19</v>
      </c>
      <c r="L4631">
        <v>21</v>
      </c>
      <c r="Q4631">
        <v>0</v>
      </c>
      <c r="R4631">
        <v>0</v>
      </c>
      <c r="S4631">
        <v>21</v>
      </c>
      <c r="T4631" t="s">
        <v>24989</v>
      </c>
      <c r="V4631" t="s">
        <v>2141</v>
      </c>
      <c r="W4631">
        <v>55.146413235833002</v>
      </c>
      <c r="X4631">
        <v>10.020839622917</v>
      </c>
      <c r="Y4631" t="s">
        <v>2497</v>
      </c>
      <c r="Z4631" t="s">
        <v>24990</v>
      </c>
      <c r="AA4631" t="s">
        <v>6922</v>
      </c>
      <c r="AB4631" t="s">
        <v>24991</v>
      </c>
      <c r="AC4631" t="s">
        <v>24992</v>
      </c>
      <c r="AD4631" s="249" t="str">
        <f>HYPERLINK("https://scontent.cdninstagram.com/t51.2885-15/s320x320/e35/21372843_159891614566033_5642533376977010688_n.jpg")</f>
        <v>https://scontent.cdninstagram.com/t51.2885-15/s320x320/e35/21372843_159891614566033_5642533376977010688_n.jpg</v>
      </c>
      <c r="AE4631" s="249" t="str">
        <f>HYPERLINK("https://scontent.cdninstagram.com/t51.2885-19/11363756_412686305583580_497801725_a.jpg")</f>
        <v>https://scontent.cdninstagram.com/t51.2885-19/11363756_412686305583580_497801725_a.jpg</v>
      </c>
    </row>
    <row r="4632" spans="1:31" ht="15" x14ac:dyDescent="0.25">
      <c r="A4632" t="s">
        <v>2474</v>
      </c>
      <c r="B4632" t="s">
        <v>24993</v>
      </c>
      <c r="C4632" s="221">
        <v>42982.579097222224</v>
      </c>
      <c r="D4632" t="s">
        <v>24994</v>
      </c>
      <c r="E4632" s="249" t="str">
        <f>HYPERLINK("https://www.instagram.com/p/BYoNHNahxLv/")</f>
        <v>https://www.instagram.com/p/BYoNHNahxLv/</v>
      </c>
      <c r="F4632" t="s">
        <v>24995</v>
      </c>
      <c r="G4632" t="s">
        <v>2478</v>
      </c>
      <c r="H4632">
        <v>122</v>
      </c>
      <c r="I4632" t="s">
        <v>2479</v>
      </c>
      <c r="J4632">
        <v>0</v>
      </c>
      <c r="K4632">
        <v>27</v>
      </c>
      <c r="L4632">
        <v>27</v>
      </c>
      <c r="Q4632">
        <v>0</v>
      </c>
      <c r="R4632">
        <v>0</v>
      </c>
      <c r="S4632">
        <v>27</v>
      </c>
      <c r="Y4632" t="s">
        <v>24993</v>
      </c>
      <c r="Z4632" t="s">
        <v>2497</v>
      </c>
      <c r="AA4632" t="s">
        <v>24996</v>
      </c>
      <c r="AB4632" t="s">
        <v>2861</v>
      </c>
      <c r="AC4632" t="s">
        <v>24997</v>
      </c>
      <c r="AD4632" s="249" t="str">
        <f>HYPERLINK("https://scontent.cdninstagram.com/t51.2885-15/s320x320/e35/21373600_347853695671616_5550594688563544064_n.jpg")</f>
        <v>https://scontent.cdninstagram.com/t51.2885-15/s320x320/e35/21373600_347853695671616_5550594688563544064_n.jpg</v>
      </c>
      <c r="AE4632" s="249" t="str">
        <f>HYPERLINK("https://scontent.cdninstagram.com/t51.2885-19/s150x150/18298998_417263201963587_1923480857037766656_a.jpg")</f>
        <v>https://scontent.cdninstagram.com/t51.2885-19/s150x150/18298998_417263201963587_1923480857037766656_a.jpg</v>
      </c>
    </row>
    <row r="4633" spans="1:31" ht="15" x14ac:dyDescent="0.25">
      <c r="A4633" t="s">
        <v>2474</v>
      </c>
      <c r="B4633" t="s">
        <v>24998</v>
      </c>
      <c r="C4633" s="221">
        <v>42982.586527777778</v>
      </c>
      <c r="D4633" t="s">
        <v>24999</v>
      </c>
      <c r="E4633" s="249" t="str">
        <f>HYPERLINK("https://www.instagram.com/p/BYoOVl5BU1K/")</f>
        <v>https://www.instagram.com/p/BYoOVl5BU1K/</v>
      </c>
      <c r="F4633" t="s">
        <v>25000</v>
      </c>
      <c r="G4633" t="s">
        <v>2488</v>
      </c>
      <c r="H4633">
        <v>306</v>
      </c>
      <c r="I4633" t="s">
        <v>2479</v>
      </c>
      <c r="J4633">
        <v>0</v>
      </c>
      <c r="K4633">
        <v>16</v>
      </c>
      <c r="L4633">
        <v>16</v>
      </c>
      <c r="Q4633">
        <v>0</v>
      </c>
      <c r="R4633">
        <v>0</v>
      </c>
      <c r="S4633">
        <v>16</v>
      </c>
      <c r="T4633" t="s">
        <v>25001</v>
      </c>
      <c r="V4633" t="s">
        <v>2140</v>
      </c>
      <c r="W4633">
        <v>50.095747807541997</v>
      </c>
      <c r="X4633">
        <v>14.440412260752</v>
      </c>
      <c r="Y4633" t="s">
        <v>2497</v>
      </c>
      <c r="Z4633" t="s">
        <v>25002</v>
      </c>
      <c r="AA4633" t="s">
        <v>25003</v>
      </c>
      <c r="AB4633" t="s">
        <v>25004</v>
      </c>
      <c r="AD4633" s="249" t="str">
        <f>HYPERLINK("https://scontent.cdninstagram.com/t51.2885-15/s320x320/e35/21372869_697755330413654_8875554680302731264_n.jpg")</f>
        <v>https://scontent.cdninstagram.com/t51.2885-15/s320x320/e35/21372869_697755330413654_8875554680302731264_n.jpg</v>
      </c>
      <c r="AE4633" s="249" t="str">
        <f>HYPERLINK("https://scontent.cdninstagram.com/t51.2885-19/s150x150/17125752_258306734628678_4239095350641557504_a.jpg")</f>
        <v>https://scontent.cdninstagram.com/t51.2885-19/s150x150/17125752_258306734628678_4239095350641557504_a.jpg</v>
      </c>
    </row>
    <row r="4634" spans="1:31" ht="15" x14ac:dyDescent="0.25">
      <c r="A4634" t="s">
        <v>2474</v>
      </c>
      <c r="B4634" t="s">
        <v>3784</v>
      </c>
      <c r="C4634" s="221">
        <v>42982.595752314817</v>
      </c>
      <c r="D4634" t="s">
        <v>25005</v>
      </c>
      <c r="E4634" s="249" t="str">
        <f>HYPERLINK("https://www.instagram.com/p/BYoP22Ml4yo/")</f>
        <v>https://www.instagram.com/p/BYoP22Ml4yo/</v>
      </c>
      <c r="F4634" t="s">
        <v>25006</v>
      </c>
      <c r="G4634" t="s">
        <v>2631</v>
      </c>
      <c r="H4634">
        <v>368</v>
      </c>
      <c r="I4634" t="s">
        <v>2479</v>
      </c>
      <c r="J4634">
        <v>0</v>
      </c>
      <c r="K4634">
        <v>29</v>
      </c>
      <c r="L4634">
        <v>29</v>
      </c>
      <c r="Q4634">
        <v>0</v>
      </c>
      <c r="R4634">
        <v>0</v>
      </c>
      <c r="S4634">
        <v>29</v>
      </c>
      <c r="Y4634" t="s">
        <v>2513</v>
      </c>
      <c r="Z4634" t="s">
        <v>2497</v>
      </c>
      <c r="AA4634" t="s">
        <v>2730</v>
      </c>
      <c r="AB4634" t="s">
        <v>2696</v>
      </c>
      <c r="AD4634" s="249" t="str">
        <f>HYPERLINK("https://scontent.cdninstagram.com/t51.2885-15/s320x320/e35/21373018_1243558842417101_1156924414126718976_n.jpg")</f>
        <v>https://scontent.cdninstagram.com/t51.2885-15/s320x320/e35/21373018_1243558842417101_1156924414126718976_n.jpg</v>
      </c>
      <c r="AE4634" s="249" t="str">
        <f>HYPERLINK("https://scontent.cdninstagram.com/t51.2885-19/s150x150/21041715_334484806997590_2930354635854053376_a.jpg")</f>
        <v>https://scontent.cdninstagram.com/t51.2885-19/s150x150/21041715_334484806997590_2930354635854053376_a.jpg</v>
      </c>
    </row>
    <row r="4635" spans="1:31" ht="15" x14ac:dyDescent="0.25">
      <c r="A4635" t="s">
        <v>2474</v>
      </c>
      <c r="B4635" t="s">
        <v>24877</v>
      </c>
      <c r="C4635" s="221">
        <v>42982.598726851851</v>
      </c>
      <c r="D4635" t="s">
        <v>25007</v>
      </c>
      <c r="E4635" s="249" t="str">
        <f>HYPERLINK("https://www.instagram.com/p/BYoQWJzBcO2/")</f>
        <v>https://www.instagram.com/p/BYoQWJzBcO2/</v>
      </c>
      <c r="F4635" t="s">
        <v>24912</v>
      </c>
      <c r="G4635" t="s">
        <v>2631</v>
      </c>
      <c r="H4635">
        <v>26244</v>
      </c>
      <c r="I4635" t="s">
        <v>2479</v>
      </c>
      <c r="J4635">
        <v>0</v>
      </c>
      <c r="K4635">
        <v>30</v>
      </c>
      <c r="L4635">
        <v>30</v>
      </c>
      <c r="Q4635">
        <v>0</v>
      </c>
      <c r="R4635">
        <v>0</v>
      </c>
      <c r="S4635">
        <v>30</v>
      </c>
      <c r="T4635" t="s">
        <v>24880</v>
      </c>
      <c r="U4635" t="s">
        <v>106</v>
      </c>
      <c r="V4635" t="s">
        <v>2299</v>
      </c>
      <c r="W4635">
        <v>25.785766511561</v>
      </c>
      <c r="X4635">
        <v>-80.174553531456993</v>
      </c>
      <c r="Y4635" t="s">
        <v>24913</v>
      </c>
      <c r="Z4635" t="s">
        <v>2497</v>
      </c>
      <c r="AA4635" t="s">
        <v>21059</v>
      </c>
      <c r="AD4635" s="249" t="str">
        <f>HYPERLINK("https://scontent.cdninstagram.com/t51.2885-15/s320x320/e15/21371912_1480084192037460_4687702812103016448_n.jpg")</f>
        <v>https://scontent.cdninstagram.com/t51.2885-15/s320x320/e15/21371912_1480084192037460_4687702812103016448_n.jpg</v>
      </c>
      <c r="AE4635" s="249" t="str">
        <f>HYPERLINK("https://scontent.cdninstagram.com/t51.2885-19/s150x150/13671719_1778070815805216_18661556_a.jpg")</f>
        <v>https://scontent.cdninstagram.com/t51.2885-19/s150x150/13671719_1778070815805216_18661556_a.jpg</v>
      </c>
    </row>
    <row r="4636" spans="1:31" ht="15" x14ac:dyDescent="0.25">
      <c r="A4636" t="s">
        <v>2474</v>
      </c>
      <c r="B4636" t="s">
        <v>25008</v>
      </c>
      <c r="C4636" s="221">
        <v>42982.599456018521</v>
      </c>
      <c r="D4636" t="s">
        <v>25009</v>
      </c>
      <c r="E4636" s="249" t="str">
        <f>HYPERLINK("https://www.instagram.com/p/BYoQd2hjUHr/")</f>
        <v>https://www.instagram.com/p/BYoQd2hjUHr/</v>
      </c>
      <c r="F4636" t="s">
        <v>25010</v>
      </c>
      <c r="G4636" t="s">
        <v>2631</v>
      </c>
      <c r="H4636">
        <v>186</v>
      </c>
      <c r="I4636" t="s">
        <v>2479</v>
      </c>
      <c r="J4636">
        <v>0</v>
      </c>
      <c r="K4636">
        <v>16</v>
      </c>
      <c r="L4636">
        <v>16</v>
      </c>
      <c r="Q4636">
        <v>0</v>
      </c>
      <c r="R4636">
        <v>0</v>
      </c>
      <c r="S4636">
        <v>16</v>
      </c>
      <c r="Y4636" t="s">
        <v>2497</v>
      </c>
      <c r="Z4636" t="s">
        <v>25011</v>
      </c>
      <c r="AD4636" s="249" t="str">
        <f>HYPERLINK("https://scontent.cdninstagram.com/t51.2885-15/e15/p320x320/21436162_1641082415963629_2324899521408008192_n.jpg")</f>
        <v>https://scontent.cdninstagram.com/t51.2885-15/e15/p320x320/21436162_1641082415963629_2324899521408008192_n.jpg</v>
      </c>
      <c r="AE4636" s="249" t="str">
        <f>HYPERLINK("https://scontent.cdninstagram.com/t51.2885-19/s150x150/16789859_1842761382632198_4989975867296841728_a.jpg")</f>
        <v>https://scontent.cdninstagram.com/t51.2885-19/s150x150/16789859_1842761382632198_4989975867296841728_a.jpg</v>
      </c>
    </row>
    <row r="4637" spans="1:31" ht="15" x14ac:dyDescent="0.25">
      <c r="A4637" t="s">
        <v>2474</v>
      </c>
      <c r="B4637" t="s">
        <v>25012</v>
      </c>
      <c r="C4637" s="221">
        <v>42982.599710648145</v>
      </c>
      <c r="D4637" t="s">
        <v>25013</v>
      </c>
      <c r="E4637" s="249" t="str">
        <f>HYPERLINK("https://www.instagram.com/p/BYoQgilh6z6/")</f>
        <v>https://www.instagram.com/p/BYoQgilh6z6/</v>
      </c>
      <c r="F4637" t="s">
        <v>25014</v>
      </c>
      <c r="G4637" t="s">
        <v>2631</v>
      </c>
      <c r="H4637">
        <v>371</v>
      </c>
      <c r="I4637" t="s">
        <v>2903</v>
      </c>
      <c r="J4637">
        <v>7</v>
      </c>
      <c r="K4637">
        <v>105</v>
      </c>
      <c r="L4637">
        <v>112</v>
      </c>
      <c r="Q4637">
        <v>0</v>
      </c>
      <c r="R4637">
        <v>0</v>
      </c>
      <c r="S4637">
        <v>112</v>
      </c>
      <c r="Y4637" t="s">
        <v>2497</v>
      </c>
      <c r="Z4637" t="s">
        <v>3446</v>
      </c>
      <c r="AA4637" t="s">
        <v>5996</v>
      </c>
      <c r="AB4637" t="s">
        <v>4761</v>
      </c>
      <c r="AC4637" t="s">
        <v>14881</v>
      </c>
      <c r="AD4637" s="249" t="str">
        <f>HYPERLINK("https://scontent.cdninstagram.com/t51.2885-15/s320x320/e15/21373063_1081778515258836_4173927055945105408_n.jpg")</f>
        <v>https://scontent.cdninstagram.com/t51.2885-15/s320x320/e15/21373063_1081778515258836_4173927055945105408_n.jpg</v>
      </c>
      <c r="AE4637" s="249" t="str">
        <f>HYPERLINK("https://scontent.cdninstagram.com/t51.2885-19/s150x150/21294491_350616412059173_2871789733116116992_a.jpg")</f>
        <v>https://scontent.cdninstagram.com/t51.2885-19/s150x150/21294491_350616412059173_2871789733116116992_a.jpg</v>
      </c>
    </row>
    <row r="4638" spans="1:31" ht="15" x14ac:dyDescent="0.25">
      <c r="A4638" t="s">
        <v>2474</v>
      </c>
      <c r="B4638" t="s">
        <v>3644</v>
      </c>
      <c r="C4638" s="221">
        <v>42982.600474537037</v>
      </c>
      <c r="D4638" t="s">
        <v>25015</v>
      </c>
      <c r="E4638" s="249" t="str">
        <f>HYPERLINK("https://www.instagram.com/p/BYoQok0F-cZ/")</f>
        <v>https://www.instagram.com/p/BYoQok0F-cZ/</v>
      </c>
      <c r="F4638" t="s">
        <v>25016</v>
      </c>
      <c r="G4638" t="s">
        <v>2631</v>
      </c>
      <c r="H4638">
        <v>583</v>
      </c>
      <c r="I4638" t="s">
        <v>2479</v>
      </c>
      <c r="J4638">
        <v>2</v>
      </c>
      <c r="K4638">
        <v>19</v>
      </c>
      <c r="L4638">
        <v>21</v>
      </c>
      <c r="Q4638">
        <v>0</v>
      </c>
      <c r="R4638">
        <v>0</v>
      </c>
      <c r="S4638">
        <v>21</v>
      </c>
      <c r="T4638" t="s">
        <v>3647</v>
      </c>
      <c r="V4638" t="s">
        <v>2141</v>
      </c>
      <c r="W4638">
        <v>55.426879900000003</v>
      </c>
      <c r="X4638">
        <v>10.3903303</v>
      </c>
      <c r="Y4638" t="s">
        <v>2497</v>
      </c>
      <c r="Z4638" t="s">
        <v>6487</v>
      </c>
      <c r="AA4638" t="s">
        <v>7119</v>
      </c>
      <c r="AB4638" t="s">
        <v>8618</v>
      </c>
      <c r="AC4638" t="s">
        <v>6993</v>
      </c>
      <c r="AD4638" s="249" t="str">
        <f>HYPERLINK("https://scontent.cdninstagram.com/t51.2885-15/s320x320/e15/21372953_1990252237923666_3963855171796074496_n.jpg")</f>
        <v>https://scontent.cdninstagram.com/t51.2885-15/s320x320/e15/21372953_1990252237923666_3963855171796074496_n.jpg</v>
      </c>
      <c r="AE4638" s="249" t="str">
        <f>HYPERLINK("https://scontent.cdninstagram.com/t51.2885-19/s150x150/14714495_1790450111234953_7147855754219749376_a.jpg")</f>
        <v>https://scontent.cdninstagram.com/t51.2885-19/s150x150/14714495_1790450111234953_7147855754219749376_a.jpg</v>
      </c>
    </row>
    <row r="4639" spans="1:31" ht="15" x14ac:dyDescent="0.25">
      <c r="A4639" t="s">
        <v>2474</v>
      </c>
      <c r="B4639" t="s">
        <v>25017</v>
      </c>
      <c r="C4639" s="221">
        <v>42982.602060185185</v>
      </c>
      <c r="D4639" t="s">
        <v>25018</v>
      </c>
      <c r="E4639" s="249" t="str">
        <f>HYPERLINK("https://www.instagram.com/p/BYoQ5WNggTA/")</f>
        <v>https://www.instagram.com/p/BYoQ5WNggTA/</v>
      </c>
      <c r="F4639" t="s">
        <v>25019</v>
      </c>
      <c r="G4639" t="s">
        <v>2478</v>
      </c>
      <c r="H4639">
        <v>750</v>
      </c>
      <c r="I4639" t="s">
        <v>2542</v>
      </c>
      <c r="J4639">
        <v>0</v>
      </c>
      <c r="K4639">
        <v>32</v>
      </c>
      <c r="L4639">
        <v>32</v>
      </c>
      <c r="Q4639">
        <v>0</v>
      </c>
      <c r="R4639">
        <v>0</v>
      </c>
      <c r="S4639">
        <v>32</v>
      </c>
      <c r="Y4639" t="s">
        <v>2497</v>
      </c>
      <c r="Z4639" t="s">
        <v>2577</v>
      </c>
      <c r="AA4639" t="s">
        <v>2492</v>
      </c>
      <c r="AB4639" t="s">
        <v>4354</v>
      </c>
      <c r="AC4639" t="s">
        <v>3316</v>
      </c>
      <c r="AD4639" s="249" t="str">
        <f>HYPERLINK("https://scontent.cdninstagram.com/t51.2885-15/s320x320/e35/21373100_162878470955783_4033723719787479040_n.jpg")</f>
        <v>https://scontent.cdninstagram.com/t51.2885-15/s320x320/e35/21373100_162878470955783_4033723719787479040_n.jpg</v>
      </c>
      <c r="AE4639" s="249" t="str">
        <f>HYPERLINK("https://scontent.cdninstagram.com/t51.2885-19/s150x150/18580262_475469122793729_2669263853103087616_a.jpg")</f>
        <v>https://scontent.cdninstagram.com/t51.2885-19/s150x150/18580262_475469122793729_2669263853103087616_a.jpg</v>
      </c>
    </row>
    <row r="4640" spans="1:31" ht="15" x14ac:dyDescent="0.25">
      <c r="A4640" t="s">
        <v>2474</v>
      </c>
      <c r="B4640" t="s">
        <v>3251</v>
      </c>
      <c r="C4640" s="221">
        <v>42982.60324074074</v>
      </c>
      <c r="D4640" t="s">
        <v>25020</v>
      </c>
      <c r="E4640" s="249" t="str">
        <f>HYPERLINK("https://www.instagram.com/p/BYoRFwKHSDN/")</f>
        <v>https://www.instagram.com/p/BYoRFwKHSDN/</v>
      </c>
      <c r="F4640" t="s">
        <v>25021</v>
      </c>
      <c r="G4640" t="s">
        <v>2478</v>
      </c>
      <c r="H4640">
        <v>319</v>
      </c>
      <c r="I4640" t="s">
        <v>2910</v>
      </c>
      <c r="J4640">
        <v>0</v>
      </c>
      <c r="K4640">
        <v>17</v>
      </c>
      <c r="L4640">
        <v>17</v>
      </c>
      <c r="Q4640">
        <v>0</v>
      </c>
      <c r="R4640">
        <v>0</v>
      </c>
      <c r="S4640">
        <v>17</v>
      </c>
      <c r="Y4640" t="s">
        <v>2497</v>
      </c>
      <c r="Z4640" t="s">
        <v>3256</v>
      </c>
      <c r="AA4640" t="s">
        <v>4844</v>
      </c>
      <c r="AB4640" t="s">
        <v>3970</v>
      </c>
      <c r="AC4640" t="s">
        <v>3254</v>
      </c>
      <c r="AD4640" s="249" t="str">
        <f>HYPERLINK("https://scontent.cdninstagram.com/t51.2885-15/s320x320/e35/21296746_481443042217371_3011617053476913152_n.jpg")</f>
        <v>https://scontent.cdninstagram.com/t51.2885-15/s320x320/e35/21296746_481443042217371_3011617053476913152_n.jpg</v>
      </c>
      <c r="AE4640" s="249" t="str">
        <f>HYPERLINK("https://scontent.cdninstagram.com/t51.2885-19/s150x150/20986614_891746094322067_1272495017625124864_a.jpg")</f>
        <v>https://scontent.cdninstagram.com/t51.2885-19/s150x150/20986614_891746094322067_1272495017625124864_a.jpg</v>
      </c>
    </row>
    <row r="4641" spans="1:31" ht="15" x14ac:dyDescent="0.25">
      <c r="A4641" t="s">
        <v>2474</v>
      </c>
      <c r="B4641" t="s">
        <v>15206</v>
      </c>
      <c r="C4641" s="221">
        <v>42982.606111111112</v>
      </c>
      <c r="D4641" t="s">
        <v>25022</v>
      </c>
      <c r="E4641" s="249" t="str">
        <f>HYPERLINK("https://www.instagram.com/p/BYoRkBjF4xw/")</f>
        <v>https://www.instagram.com/p/BYoRkBjF4xw/</v>
      </c>
      <c r="F4641" t="s">
        <v>25023</v>
      </c>
      <c r="G4641" t="s">
        <v>2478</v>
      </c>
      <c r="H4641">
        <v>61909</v>
      </c>
      <c r="I4641" t="s">
        <v>2479</v>
      </c>
      <c r="J4641">
        <v>13</v>
      </c>
      <c r="K4641">
        <v>1107</v>
      </c>
      <c r="L4641">
        <v>1120</v>
      </c>
      <c r="Q4641">
        <v>0</v>
      </c>
      <c r="R4641">
        <v>0</v>
      </c>
      <c r="S4641">
        <v>1120</v>
      </c>
      <c r="AD4641" s="249" t="str">
        <f>HYPERLINK("https://scontent.cdninstagram.com/t51.2885-15/s320x320/e35/21371636_486065491761021_5731996287327272960_n.jpg")</f>
        <v>https://scontent.cdninstagram.com/t51.2885-15/s320x320/e35/21371636_486065491761021_5731996287327272960_n.jpg</v>
      </c>
      <c r="AE4641" s="249" t="str">
        <f>HYPERLINK("https://scontent.cdninstagram.com/t51.2885-19/17663530_1657274724581959_2295744149531394048_n.jpg")</f>
        <v>https://scontent.cdninstagram.com/t51.2885-19/17663530_1657274724581959_2295744149531394048_n.jpg</v>
      </c>
    </row>
    <row r="4642" spans="1:31" ht="15" x14ac:dyDescent="0.25">
      <c r="A4642" t="s">
        <v>2474</v>
      </c>
      <c r="B4642" t="s">
        <v>25024</v>
      </c>
      <c r="C4642" s="221">
        <v>42982.606469907405</v>
      </c>
      <c r="D4642" t="s">
        <v>25025</v>
      </c>
      <c r="E4642" s="249" t="str">
        <f>HYPERLINK("https://www.instagram.com/p/BYoRn5_nnW6/")</f>
        <v>https://www.instagram.com/p/BYoRn5_nnW6/</v>
      </c>
      <c r="F4642" t="s">
        <v>25026</v>
      </c>
      <c r="G4642" t="s">
        <v>2478</v>
      </c>
      <c r="H4642">
        <v>328</v>
      </c>
      <c r="I4642" t="s">
        <v>4523</v>
      </c>
      <c r="J4642">
        <v>0</v>
      </c>
      <c r="K4642">
        <v>33</v>
      </c>
      <c r="L4642">
        <v>33</v>
      </c>
      <c r="Q4642">
        <v>0</v>
      </c>
      <c r="R4642">
        <v>0</v>
      </c>
      <c r="S4642">
        <v>33</v>
      </c>
      <c r="T4642" t="s">
        <v>20313</v>
      </c>
      <c r="U4642" t="s">
        <v>238</v>
      </c>
      <c r="V4642" t="s">
        <v>2299</v>
      </c>
      <c r="W4642">
        <v>36.488630235959</v>
      </c>
      <c r="X4642">
        <v>-119.72972050781</v>
      </c>
      <c r="Y4642" t="s">
        <v>25027</v>
      </c>
      <c r="Z4642" t="s">
        <v>2497</v>
      </c>
      <c r="AA4642" t="s">
        <v>25028</v>
      </c>
      <c r="AD4642" s="249" t="str">
        <f>HYPERLINK("https://scontent.cdninstagram.com/t51.2885-15/s320x320/e35/21296772_121666501822335_7229739666495242240_n.jpg")</f>
        <v>https://scontent.cdninstagram.com/t51.2885-15/s320x320/e35/21296772_121666501822335_7229739666495242240_n.jpg</v>
      </c>
      <c r="AE4642" s="249" t="str">
        <f>HYPERLINK("https://scontent.cdninstagram.com/t51.2885-19/s150x150/17883113_1833116960345874_5043916898438217728_a.jpg")</f>
        <v>https://scontent.cdninstagram.com/t51.2885-19/s150x150/17883113_1833116960345874_5043916898438217728_a.jpg</v>
      </c>
    </row>
    <row r="4643" spans="1:31" ht="15" x14ac:dyDescent="0.25">
      <c r="A4643" t="s">
        <v>2474</v>
      </c>
      <c r="B4643" t="s">
        <v>5409</v>
      </c>
      <c r="C4643" s="221">
        <v>42982.612164351849</v>
      </c>
      <c r="D4643" t="s">
        <v>25029</v>
      </c>
      <c r="E4643" s="249" t="str">
        <f>HYPERLINK("https://www.instagram.com/p/BYoSj5kH1pE/")</f>
        <v>https://www.instagram.com/p/BYoSj5kH1pE/</v>
      </c>
      <c r="F4643" t="s">
        <v>25030</v>
      </c>
      <c r="G4643" t="s">
        <v>2478</v>
      </c>
      <c r="H4643">
        <v>651</v>
      </c>
      <c r="I4643" t="s">
        <v>2479</v>
      </c>
      <c r="J4643">
        <v>0</v>
      </c>
      <c r="K4643">
        <v>30</v>
      </c>
      <c r="L4643">
        <v>30</v>
      </c>
      <c r="Q4643">
        <v>0</v>
      </c>
      <c r="R4643">
        <v>0</v>
      </c>
      <c r="S4643">
        <v>30</v>
      </c>
      <c r="Y4643" t="s">
        <v>2497</v>
      </c>
      <c r="Z4643" t="s">
        <v>25031</v>
      </c>
      <c r="AA4643" t="s">
        <v>25032</v>
      </c>
      <c r="AB4643" t="s">
        <v>9755</v>
      </c>
      <c r="AC4643" t="s">
        <v>6542</v>
      </c>
      <c r="AD4643" s="249" t="str">
        <f>HYPERLINK("https://scontent.cdninstagram.com/t51.2885-15/s320x320/e35/21296954_117800508883334_159038167909924864_n.jpg")</f>
        <v>https://scontent.cdninstagram.com/t51.2885-15/s320x320/e35/21296954_117800508883334_159038167909924864_n.jpg</v>
      </c>
      <c r="AE4643" s="249" t="str">
        <f>HYPERLINK("https://scontent.cdninstagram.com/t51.2885-19/s150x150/20482666_330708970704858_7693193017422774272_a.jpg")</f>
        <v>https://scontent.cdninstagram.com/t51.2885-19/s150x150/20482666_330708970704858_7693193017422774272_a.jpg</v>
      </c>
    </row>
    <row r="4644" spans="1:31" ht="15" x14ac:dyDescent="0.25">
      <c r="A4644" t="s">
        <v>2474</v>
      </c>
      <c r="B4644" t="s">
        <v>6443</v>
      </c>
      <c r="C4644" s="221">
        <v>42982.621030092596</v>
      </c>
      <c r="D4644" t="s">
        <v>25033</v>
      </c>
      <c r="E4644" s="249" t="str">
        <f>HYPERLINK("https://www.instagram.com/p/BYoUBdQAg5X/")</f>
        <v>https://www.instagram.com/p/BYoUBdQAg5X/</v>
      </c>
      <c r="F4644" t="s">
        <v>25034</v>
      </c>
      <c r="G4644" t="s">
        <v>2478</v>
      </c>
      <c r="H4644">
        <v>59082</v>
      </c>
      <c r="I4644" t="s">
        <v>2479</v>
      </c>
      <c r="J4644">
        <v>36</v>
      </c>
      <c r="K4644">
        <v>1612</v>
      </c>
      <c r="L4644">
        <v>1648</v>
      </c>
      <c r="Q4644">
        <v>0</v>
      </c>
      <c r="R4644">
        <v>0</v>
      </c>
      <c r="S4644">
        <v>1648</v>
      </c>
      <c r="Y4644" t="s">
        <v>24568</v>
      </c>
      <c r="Z4644" t="s">
        <v>14012</v>
      </c>
      <c r="AA4644" t="s">
        <v>4098</v>
      </c>
      <c r="AB4644" t="s">
        <v>25035</v>
      </c>
      <c r="AC4644" t="s">
        <v>20611</v>
      </c>
      <c r="AD4644" s="249" t="str">
        <f>HYPERLINK("https://scontent.cdninstagram.com/t51.2885-15/e35/p320x320/21373443_1922352691357475_8085990222141063168_n.jpg")</f>
        <v>https://scontent.cdninstagram.com/t51.2885-15/e35/p320x320/21373443_1922352691357475_8085990222141063168_n.jpg</v>
      </c>
      <c r="AE4644" s="249" t="str">
        <f>HYPERLINK("https://scontent.cdninstagram.com/t51.2885-19/s150x150/18011200_1823639797956189_2351181908055949312_a.jpg")</f>
        <v>https://scontent.cdninstagram.com/t51.2885-19/s150x150/18011200_1823639797956189_2351181908055949312_a.jpg</v>
      </c>
    </row>
    <row r="4645" spans="1:31" ht="15" x14ac:dyDescent="0.25">
      <c r="A4645" t="s">
        <v>2474</v>
      </c>
      <c r="B4645" t="s">
        <v>25036</v>
      </c>
      <c r="C4645" s="221">
        <v>42982.621562499997</v>
      </c>
      <c r="D4645" t="s">
        <v>25037</v>
      </c>
      <c r="E4645" s="249" t="str">
        <f>HYPERLINK("https://www.instagram.com/p/BYoUHBIFX_M/")</f>
        <v>https://www.instagram.com/p/BYoUHBIFX_M/</v>
      </c>
      <c r="F4645" t="s">
        <v>25038</v>
      </c>
      <c r="G4645" t="s">
        <v>2478</v>
      </c>
      <c r="H4645">
        <v>390</v>
      </c>
      <c r="I4645" t="s">
        <v>2479</v>
      </c>
      <c r="J4645">
        <v>0</v>
      </c>
      <c r="K4645">
        <v>23</v>
      </c>
      <c r="L4645">
        <v>23</v>
      </c>
      <c r="Q4645">
        <v>0</v>
      </c>
      <c r="R4645">
        <v>0</v>
      </c>
      <c r="S4645">
        <v>23</v>
      </c>
      <c r="Y4645" t="s">
        <v>25039</v>
      </c>
      <c r="Z4645" t="s">
        <v>8185</v>
      </c>
      <c r="AA4645" t="s">
        <v>9673</v>
      </c>
      <c r="AB4645" t="s">
        <v>6806</v>
      </c>
      <c r="AC4645" t="s">
        <v>4012</v>
      </c>
      <c r="AD4645" s="249" t="str">
        <f>HYPERLINK("https://scontent.cdninstagram.com/t51.2885-15/s320x320/e35/21296928_1977331589190151_7909164464354623488_n.jpg")</f>
        <v>https://scontent.cdninstagram.com/t51.2885-15/s320x320/e35/21296928_1977331589190151_7909164464354623488_n.jpg</v>
      </c>
      <c r="AE4645" s="249" t="str">
        <f>HYPERLINK("https://scontent.cdninstagram.com/t51.2885-19/s150x150/18095072_762936537203521_6942734756182228992_a.jpg")</f>
        <v>https://scontent.cdninstagram.com/t51.2885-19/s150x150/18095072_762936537203521_6942734756182228992_a.jpg</v>
      </c>
    </row>
    <row r="4646" spans="1:31" ht="15" x14ac:dyDescent="0.25">
      <c r="A4646" t="s">
        <v>2474</v>
      </c>
      <c r="B4646" t="s">
        <v>25040</v>
      </c>
      <c r="C4646" s="221">
        <v>42982.629502314812</v>
      </c>
      <c r="D4646" t="s">
        <v>25041</v>
      </c>
      <c r="E4646" s="249" t="str">
        <f>HYPERLINK("https://www.instagram.com/p/BYoVay6FcVS/")</f>
        <v>https://www.instagram.com/p/BYoVay6FcVS/</v>
      </c>
      <c r="F4646" t="s">
        <v>25042</v>
      </c>
      <c r="G4646" t="s">
        <v>2478</v>
      </c>
      <c r="H4646">
        <v>76</v>
      </c>
      <c r="I4646" t="s">
        <v>2479</v>
      </c>
      <c r="J4646">
        <v>0</v>
      </c>
      <c r="K4646">
        <v>5</v>
      </c>
      <c r="L4646">
        <v>5</v>
      </c>
      <c r="Q4646">
        <v>0</v>
      </c>
      <c r="R4646">
        <v>0</v>
      </c>
      <c r="S4646">
        <v>5</v>
      </c>
      <c r="Y4646" t="s">
        <v>2497</v>
      </c>
      <c r="AD4646" s="249" t="str">
        <f>HYPERLINK("https://scontent.cdninstagram.com/t51.2885-15/s320x320/e35/21371894_509531866063435_5262332065797373952_n.jpg")</f>
        <v>https://scontent.cdninstagram.com/t51.2885-15/s320x320/e35/21371894_509531866063435_5262332065797373952_n.jpg</v>
      </c>
      <c r="AE4646" s="249" t="str">
        <f>HYPERLINK("https://scontent.cdninstagram.com/t51.2885-19/s150x150/20478652_1856228584641266_342543437360267264_a.jpg")</f>
        <v>https://scontent.cdninstagram.com/t51.2885-19/s150x150/20478652_1856228584641266_342543437360267264_a.jpg</v>
      </c>
    </row>
    <row r="4647" spans="1:31" ht="15" x14ac:dyDescent="0.25">
      <c r="A4647" t="s">
        <v>2474</v>
      </c>
      <c r="B4647" t="s">
        <v>25043</v>
      </c>
      <c r="C4647" s="221">
        <v>42982.640243055554</v>
      </c>
      <c r="D4647" t="s">
        <v>25044</v>
      </c>
      <c r="E4647" s="249" t="str">
        <f>HYPERLINK("https://www.instagram.com/p/BYoXMBNHjS9/")</f>
        <v>https://www.instagram.com/p/BYoXMBNHjS9/</v>
      </c>
      <c r="F4647" t="s">
        <v>25045</v>
      </c>
      <c r="G4647" t="s">
        <v>2478</v>
      </c>
      <c r="H4647">
        <v>1310</v>
      </c>
      <c r="I4647" t="s">
        <v>2519</v>
      </c>
      <c r="J4647">
        <v>3</v>
      </c>
      <c r="K4647">
        <v>60</v>
      </c>
      <c r="L4647">
        <v>63</v>
      </c>
      <c r="Q4647">
        <v>0</v>
      </c>
      <c r="R4647">
        <v>0</v>
      </c>
      <c r="S4647">
        <v>63</v>
      </c>
      <c r="T4647" t="s">
        <v>25046</v>
      </c>
      <c r="V4647" t="s">
        <v>2118</v>
      </c>
      <c r="W4647">
        <v>-22.157499999999999</v>
      </c>
      <c r="X4647">
        <v>-43.290599999999998</v>
      </c>
      <c r="Y4647" t="s">
        <v>2497</v>
      </c>
      <c r="Z4647" t="s">
        <v>7345</v>
      </c>
      <c r="AA4647" t="s">
        <v>25047</v>
      </c>
      <c r="AB4647" t="s">
        <v>25048</v>
      </c>
      <c r="AC4647" t="s">
        <v>25049</v>
      </c>
      <c r="AD4647" s="249" t="str">
        <f>HYPERLINK("https://scontent.cdninstagram.com/t51.2885-15/e35/p320x320/21296773_165408724010182_3784506726313623552_n.jpg")</f>
        <v>https://scontent.cdninstagram.com/t51.2885-15/e35/p320x320/21296773_165408724010182_3784506726313623552_n.jpg</v>
      </c>
      <c r="AE4647" s="249" t="str">
        <f>HYPERLINK("https://scontent.cdninstagram.com/t51.2885-19/s150x150/18889113_1690266927944122_7617400416745029632_a.jpg")</f>
        <v>https://scontent.cdninstagram.com/t51.2885-19/s150x150/18889113_1690266927944122_7617400416745029632_a.jpg</v>
      </c>
    </row>
    <row r="4648" spans="1:31" ht="15" x14ac:dyDescent="0.25">
      <c r="A4648" t="s">
        <v>2474</v>
      </c>
      <c r="B4648" t="s">
        <v>3301</v>
      </c>
      <c r="C4648" s="221">
        <v>42982.644074074073</v>
      </c>
      <c r="D4648" t="s">
        <v>25050</v>
      </c>
      <c r="E4648" s="249" t="str">
        <f>HYPERLINK("https://www.instagram.com/p/BYoX0dnDXIN/")</f>
        <v>https://www.instagram.com/p/BYoX0dnDXIN/</v>
      </c>
      <c r="F4648" t="s">
        <v>25051</v>
      </c>
      <c r="G4648" t="s">
        <v>2478</v>
      </c>
      <c r="H4648">
        <v>609</v>
      </c>
      <c r="I4648" t="s">
        <v>2479</v>
      </c>
      <c r="J4648">
        <v>1</v>
      </c>
      <c r="K4648">
        <v>103</v>
      </c>
      <c r="L4648">
        <v>104</v>
      </c>
      <c r="Q4648">
        <v>0</v>
      </c>
      <c r="R4648">
        <v>0</v>
      </c>
      <c r="S4648">
        <v>104</v>
      </c>
      <c r="Y4648" t="s">
        <v>3305</v>
      </c>
      <c r="Z4648" t="s">
        <v>6528</v>
      </c>
      <c r="AA4648" t="s">
        <v>4161</v>
      </c>
      <c r="AB4648" t="s">
        <v>17505</v>
      </c>
      <c r="AC4648" t="s">
        <v>9280</v>
      </c>
      <c r="AD4648" s="249" t="str">
        <f>HYPERLINK("https://scontent.cdninstagram.com/t51.2885-15/s320x320/e35/21372324_456608714721792_2923484298793189376_n.jpg")</f>
        <v>https://scontent.cdninstagram.com/t51.2885-15/s320x320/e35/21372324_456608714721792_2923484298793189376_n.jpg</v>
      </c>
      <c r="AE4648" s="249" t="str">
        <f>HYPERLINK("https://scontent.cdninstagram.com/t51.2885-19/s150x150/19228478_370974479971900_5746578409966796800_a.jpg")</f>
        <v>https://scontent.cdninstagram.com/t51.2885-19/s150x150/19228478_370974479971900_5746578409966796800_a.jpg</v>
      </c>
    </row>
    <row r="4649" spans="1:31" ht="15" x14ac:dyDescent="0.25">
      <c r="A4649" t="s">
        <v>2474</v>
      </c>
      <c r="B4649" t="s">
        <v>6899</v>
      </c>
      <c r="C4649" s="221">
        <v>42982.662395833337</v>
      </c>
      <c r="D4649" t="s">
        <v>25052</v>
      </c>
      <c r="E4649" s="249" t="str">
        <f>HYPERLINK("https://www.instagram.com/p/BYoa1vWAN_Z/")</f>
        <v>https://www.instagram.com/p/BYoa1vWAN_Z/</v>
      </c>
      <c r="F4649" t="s">
        <v>25053</v>
      </c>
      <c r="G4649" t="s">
        <v>2478</v>
      </c>
      <c r="H4649">
        <v>36480</v>
      </c>
      <c r="I4649" t="s">
        <v>2479</v>
      </c>
      <c r="J4649">
        <v>3</v>
      </c>
      <c r="K4649">
        <v>716</v>
      </c>
      <c r="L4649">
        <v>719</v>
      </c>
      <c r="Q4649">
        <v>0</v>
      </c>
      <c r="R4649">
        <v>0</v>
      </c>
      <c r="S4649">
        <v>719</v>
      </c>
      <c r="Y4649" t="s">
        <v>25054</v>
      </c>
      <c r="Z4649" t="s">
        <v>25055</v>
      </c>
      <c r="AA4649" t="s">
        <v>25056</v>
      </c>
      <c r="AB4649" t="s">
        <v>25057</v>
      </c>
      <c r="AC4649" t="s">
        <v>25058</v>
      </c>
      <c r="AD4649" s="249" t="str">
        <f>HYPERLINK("https://scontent.cdninstagram.com/t51.2885-15/e35/p320x320/21372295_822678634580575_5788070224997646336_n.jpg")</f>
        <v>https://scontent.cdninstagram.com/t51.2885-15/e35/p320x320/21372295_822678634580575_5788070224997646336_n.jpg</v>
      </c>
      <c r="AE4649" s="249" t="str">
        <f>HYPERLINK("https://scontent.cdninstagram.com/t51.2885-19/s150x150/17493776_1474371442636277_6993911971573661696_n.jpg")</f>
        <v>https://scontent.cdninstagram.com/t51.2885-19/s150x150/17493776_1474371442636277_6993911971573661696_n.jpg</v>
      </c>
    </row>
    <row r="4650" spans="1:31" ht="15" x14ac:dyDescent="0.25">
      <c r="A4650" t="s">
        <v>2474</v>
      </c>
      <c r="B4650" t="s">
        <v>25059</v>
      </c>
      <c r="C4650" s="221">
        <v>42982.663622685184</v>
      </c>
      <c r="D4650" t="s">
        <v>25060</v>
      </c>
      <c r="E4650" s="249" t="str">
        <f>HYPERLINK("https://www.instagram.com/p/BYobCn4lR5Q/")</f>
        <v>https://www.instagram.com/p/BYobCn4lR5Q/</v>
      </c>
      <c r="F4650" t="s">
        <v>25061</v>
      </c>
      <c r="G4650" t="s">
        <v>2478</v>
      </c>
      <c r="H4650">
        <v>253</v>
      </c>
      <c r="I4650" t="s">
        <v>2479</v>
      </c>
      <c r="J4650">
        <v>0</v>
      </c>
      <c r="K4650">
        <v>12</v>
      </c>
      <c r="L4650">
        <v>12</v>
      </c>
      <c r="Q4650">
        <v>0</v>
      </c>
      <c r="R4650">
        <v>0</v>
      </c>
      <c r="S4650">
        <v>12</v>
      </c>
      <c r="Y4650" t="s">
        <v>25062</v>
      </c>
      <c r="Z4650" t="s">
        <v>3813</v>
      </c>
      <c r="AA4650" t="s">
        <v>9096</v>
      </c>
      <c r="AB4650" t="s">
        <v>25063</v>
      </c>
      <c r="AC4650" t="s">
        <v>2497</v>
      </c>
      <c r="AD4650" s="249" t="str">
        <f>HYPERLINK("https://scontent.cdninstagram.com/t51.2885-15/s320x320/e35/21433295_492923177738355_689493365137342464_n.jpg")</f>
        <v>https://scontent.cdninstagram.com/t51.2885-15/s320x320/e35/21433295_492923177738355_689493365137342464_n.jpg</v>
      </c>
      <c r="AE4650" s="249" t="str">
        <f>HYPERLINK("https://scontent.cdninstagram.com/t51.2885-19/s150x150/19428982_1918712678399247_953944371386908672_a.jpg")</f>
        <v>https://scontent.cdninstagram.com/t51.2885-19/s150x150/19428982_1918712678399247_953944371386908672_a.jpg</v>
      </c>
    </row>
    <row r="4651" spans="1:31" ht="15" x14ac:dyDescent="0.25">
      <c r="A4651" t="s">
        <v>2474</v>
      </c>
      <c r="B4651" t="s">
        <v>25064</v>
      </c>
      <c r="C4651" s="221">
        <v>42982.664918981478</v>
      </c>
      <c r="D4651" t="s">
        <v>25065</v>
      </c>
      <c r="E4651" s="249" t="str">
        <f>HYPERLINK("https://www.instagram.com/p/BYobQUpDHMg/")</f>
        <v>https://www.instagram.com/p/BYobQUpDHMg/</v>
      </c>
      <c r="F4651" t="s">
        <v>25066</v>
      </c>
      <c r="G4651" t="s">
        <v>2478</v>
      </c>
      <c r="H4651">
        <v>796</v>
      </c>
      <c r="I4651" t="s">
        <v>2599</v>
      </c>
      <c r="J4651">
        <v>1</v>
      </c>
      <c r="K4651">
        <v>94</v>
      </c>
      <c r="L4651">
        <v>95</v>
      </c>
      <c r="Q4651">
        <v>0</v>
      </c>
      <c r="R4651">
        <v>0</v>
      </c>
      <c r="S4651">
        <v>95</v>
      </c>
      <c r="Y4651" t="s">
        <v>25067</v>
      </c>
      <c r="Z4651" t="s">
        <v>15005</v>
      </c>
      <c r="AA4651" t="s">
        <v>25068</v>
      </c>
      <c r="AB4651" t="s">
        <v>4645</v>
      </c>
      <c r="AC4651" t="s">
        <v>2492</v>
      </c>
      <c r="AD4651" s="249" t="str">
        <f>HYPERLINK("https://scontent.cdninstagram.com/t51.2885-15/e35/p320x320/21296924_1446643692078639_8055285565366468608_n.jpg")</f>
        <v>https://scontent.cdninstagram.com/t51.2885-15/e35/p320x320/21296924_1446643692078639_8055285565366468608_n.jpg</v>
      </c>
      <c r="AE4651" s="249" t="str">
        <f>HYPERLINK("https://scontent.cdninstagram.com/t51.2885-19/s150x150/19624774_1416709095099229_2004301348295671808_a.jpg")</f>
        <v>https://scontent.cdninstagram.com/t51.2885-19/s150x150/19624774_1416709095099229_2004301348295671808_a.jpg</v>
      </c>
    </row>
    <row r="4652" spans="1:31" ht="15" x14ac:dyDescent="0.25">
      <c r="A4652" t="s">
        <v>2474</v>
      </c>
      <c r="B4652" t="s">
        <v>18332</v>
      </c>
      <c r="C4652" s="221">
        <v>42982.668182870373</v>
      </c>
      <c r="D4652" t="s">
        <v>25069</v>
      </c>
      <c r="E4652" s="249" t="str">
        <f>HYPERLINK("https://www.instagram.com/p/BYobyvEHMOG/")</f>
        <v>https://www.instagram.com/p/BYobyvEHMOG/</v>
      </c>
      <c r="F4652" t="s">
        <v>25070</v>
      </c>
      <c r="G4652" t="s">
        <v>2478</v>
      </c>
      <c r="H4652">
        <v>860</v>
      </c>
      <c r="I4652" t="s">
        <v>2479</v>
      </c>
      <c r="J4652">
        <v>0</v>
      </c>
      <c r="K4652">
        <v>32</v>
      </c>
      <c r="L4652">
        <v>32</v>
      </c>
      <c r="Q4652">
        <v>0</v>
      </c>
      <c r="R4652">
        <v>0</v>
      </c>
      <c r="S4652">
        <v>32</v>
      </c>
      <c r="Y4652" t="s">
        <v>2497</v>
      </c>
      <c r="Z4652" t="s">
        <v>9163</v>
      </c>
      <c r="AA4652" t="s">
        <v>25071</v>
      </c>
      <c r="AB4652" t="s">
        <v>18335</v>
      </c>
      <c r="AC4652" t="s">
        <v>25072</v>
      </c>
      <c r="AD4652" s="249" t="str">
        <f>HYPERLINK("https://scontent.cdninstagram.com/t51.2885-15/s320x320/e35/21296850_266506567191510_6422337229900742656_n.jpg")</f>
        <v>https://scontent.cdninstagram.com/t51.2885-15/s320x320/e35/21296850_266506567191510_6422337229900742656_n.jpg</v>
      </c>
      <c r="AE4652" s="249" t="str">
        <f>HYPERLINK("https://scontent.cdninstagram.com/t51.2885-19/s150x150/12479181_527869070714180_92940582_a.jpg")</f>
        <v>https://scontent.cdninstagram.com/t51.2885-19/s150x150/12479181_527869070714180_92940582_a.jpg</v>
      </c>
    </row>
    <row r="4653" spans="1:31" ht="15" x14ac:dyDescent="0.25">
      <c r="A4653" t="s">
        <v>2474</v>
      </c>
      <c r="B4653" t="s">
        <v>17158</v>
      </c>
      <c r="C4653" s="221">
        <v>42982.670046296298</v>
      </c>
      <c r="D4653" t="s">
        <v>25073</v>
      </c>
      <c r="E4653" s="249" t="str">
        <f>HYPERLINK("https://www.instagram.com/p/BYocGYuhTCQ/")</f>
        <v>https://www.instagram.com/p/BYocGYuhTCQ/</v>
      </c>
      <c r="F4653" t="s">
        <v>25074</v>
      </c>
      <c r="G4653" t="s">
        <v>2478</v>
      </c>
      <c r="H4653">
        <v>384</v>
      </c>
      <c r="I4653" t="s">
        <v>2479</v>
      </c>
      <c r="J4653">
        <v>1</v>
      </c>
      <c r="K4653">
        <v>52</v>
      </c>
      <c r="L4653">
        <v>53</v>
      </c>
      <c r="Q4653">
        <v>0</v>
      </c>
      <c r="R4653">
        <v>0</v>
      </c>
      <c r="S4653">
        <v>53</v>
      </c>
      <c r="Y4653" t="s">
        <v>22808</v>
      </c>
      <c r="Z4653" t="s">
        <v>18450</v>
      </c>
      <c r="AA4653" t="s">
        <v>20138</v>
      </c>
      <c r="AB4653" t="s">
        <v>18449</v>
      </c>
      <c r="AC4653" t="s">
        <v>3534</v>
      </c>
      <c r="AD4653" s="249" t="str">
        <f>HYPERLINK("https://scontent.cdninstagram.com/t51.2885-15/s320x320/e35/21434110_662791397265515_6236889278022942720_n.jpg")</f>
        <v>https://scontent.cdninstagram.com/t51.2885-15/s320x320/e35/21434110_662791397265515_6236889278022942720_n.jpg</v>
      </c>
      <c r="AE4653" s="249" t="str">
        <f>HYPERLINK("https://scontent.cdninstagram.com/t51.2885-19/s150x150/13658639_315931348749567_46952542_a.jpg")</f>
        <v>https://scontent.cdninstagram.com/t51.2885-19/s150x150/13658639_315931348749567_46952542_a.jpg</v>
      </c>
    </row>
    <row r="4654" spans="1:31" ht="15" x14ac:dyDescent="0.25">
      <c r="A4654" t="s">
        <v>2474</v>
      </c>
      <c r="B4654" t="s">
        <v>25075</v>
      </c>
      <c r="C4654" s="221">
        <v>42982.67428240741</v>
      </c>
      <c r="D4654" t="s">
        <v>25076</v>
      </c>
      <c r="E4654" s="249" t="str">
        <f>HYPERLINK("https://www.instagram.com/p/BYoczCFDnlk/")</f>
        <v>https://www.instagram.com/p/BYoczCFDnlk/</v>
      </c>
      <c r="F4654" t="s">
        <v>25077</v>
      </c>
      <c r="G4654" t="s">
        <v>2478</v>
      </c>
      <c r="H4654">
        <v>43</v>
      </c>
      <c r="I4654" t="s">
        <v>2479</v>
      </c>
      <c r="J4654">
        <v>1</v>
      </c>
      <c r="K4654">
        <v>16</v>
      </c>
      <c r="L4654">
        <v>17</v>
      </c>
      <c r="Q4654">
        <v>0</v>
      </c>
      <c r="R4654">
        <v>0</v>
      </c>
      <c r="S4654">
        <v>17</v>
      </c>
      <c r="Y4654" t="s">
        <v>8516</v>
      </c>
      <c r="Z4654" t="s">
        <v>25078</v>
      </c>
      <c r="AA4654" t="s">
        <v>3349</v>
      </c>
      <c r="AB4654" t="s">
        <v>5168</v>
      </c>
      <c r="AC4654" t="s">
        <v>8753</v>
      </c>
      <c r="AD4654" s="249" t="str">
        <f>HYPERLINK("https://scontent.cdninstagram.com/t51.2885-15/e35/p320x320/21435490_1235618743208730_5110685910266019840_n.jpg")</f>
        <v>https://scontent.cdninstagram.com/t51.2885-15/e35/p320x320/21435490_1235618743208730_5110685910266019840_n.jpg</v>
      </c>
      <c r="AE4654" s="249" t="str">
        <f>HYPERLINK("https://scontent.cdninstagram.com/t51.2885-19/s150x150/13687420_1574275902876228_1718315491_a.jpg")</f>
        <v>https://scontent.cdninstagram.com/t51.2885-19/s150x150/13687420_1574275902876228_1718315491_a.jpg</v>
      </c>
    </row>
    <row r="4655" spans="1:31" ht="15" x14ac:dyDescent="0.25">
      <c r="A4655" t="s">
        <v>2474</v>
      </c>
      <c r="B4655" t="s">
        <v>25079</v>
      </c>
      <c r="C4655" s="221">
        <v>42982.67664351852</v>
      </c>
      <c r="D4655" t="s">
        <v>25080</v>
      </c>
      <c r="E4655" s="249" t="str">
        <f>HYPERLINK("https://www.instagram.com/p/BYodL_MjKcK/")</f>
        <v>https://www.instagram.com/p/BYodL_MjKcK/</v>
      </c>
      <c r="F4655" t="s">
        <v>25081</v>
      </c>
      <c r="G4655" t="s">
        <v>2478</v>
      </c>
      <c r="H4655">
        <v>914</v>
      </c>
      <c r="I4655" t="s">
        <v>2479</v>
      </c>
      <c r="J4655">
        <v>15</v>
      </c>
      <c r="K4655">
        <v>104</v>
      </c>
      <c r="L4655">
        <v>119</v>
      </c>
      <c r="Q4655">
        <v>0</v>
      </c>
      <c r="R4655">
        <v>0</v>
      </c>
      <c r="S4655">
        <v>119</v>
      </c>
      <c r="T4655" t="s">
        <v>25082</v>
      </c>
      <c r="V4655" t="s">
        <v>2648</v>
      </c>
      <c r="W4655">
        <v>55.783299999999997</v>
      </c>
      <c r="X4655">
        <v>49.166699999999999</v>
      </c>
      <c r="Y4655" t="s">
        <v>25083</v>
      </c>
      <c r="Z4655" t="s">
        <v>5491</v>
      </c>
      <c r="AA4655" t="s">
        <v>3165</v>
      </c>
      <c r="AB4655" t="s">
        <v>25084</v>
      </c>
      <c r="AC4655" t="s">
        <v>25085</v>
      </c>
      <c r="AD4655" s="249" t="str">
        <f>HYPERLINK("https://scontent.cdninstagram.com/t51.2885-15/s320x320/e35/21372563_1386660598119747_2198048907861164032_n.jpg")</f>
        <v>https://scontent.cdninstagram.com/t51.2885-15/s320x320/e35/21372563_1386660598119747_2198048907861164032_n.jpg</v>
      </c>
      <c r="AE4655" s="249" t="str">
        <f>HYPERLINK("https://scontent.cdninstagram.com/t51.2885-19/s150x150/21042685_853451724830919_8347174162732679168_a.jpg")</f>
        <v>https://scontent.cdninstagram.com/t51.2885-19/s150x150/21042685_853451724830919_8347174162732679168_a.jpg</v>
      </c>
    </row>
    <row r="4656" spans="1:31" ht="15" x14ac:dyDescent="0.25">
      <c r="A4656" t="s">
        <v>2474</v>
      </c>
      <c r="B4656" t="s">
        <v>17177</v>
      </c>
      <c r="C4656" s="221">
        <v>42982.682430555556</v>
      </c>
      <c r="D4656" t="s">
        <v>25086</v>
      </c>
      <c r="E4656" s="249" t="str">
        <f>HYPERLINK("https://www.instagram.com/p/BYoeJEJlamN/")</f>
        <v>https://www.instagram.com/p/BYoeJEJlamN/</v>
      </c>
      <c r="F4656" t="s">
        <v>25087</v>
      </c>
      <c r="G4656" t="s">
        <v>2478</v>
      </c>
      <c r="H4656">
        <v>197</v>
      </c>
      <c r="I4656" t="s">
        <v>2479</v>
      </c>
      <c r="J4656">
        <v>5</v>
      </c>
      <c r="K4656">
        <v>40</v>
      </c>
      <c r="L4656">
        <v>45</v>
      </c>
      <c r="Q4656">
        <v>0</v>
      </c>
      <c r="R4656">
        <v>0</v>
      </c>
      <c r="S4656">
        <v>45</v>
      </c>
      <c r="AD4656" s="249" t="str">
        <f>HYPERLINK("https://scontent.cdninstagram.com/t51.2885-15/s320x320/e35/21373125_1877701029146331_7234551520220413952_n.jpg")</f>
        <v>https://scontent.cdninstagram.com/t51.2885-15/s320x320/e35/21373125_1877701029146331_7234551520220413952_n.jpg</v>
      </c>
      <c r="AE4656" s="249" t="str">
        <f>HYPERLINK("https://scontent.cdninstagram.com/t51.2885-19/s150x150/20905166_1280234472105463_6296656561150361600_a.jpg")</f>
        <v>https://scontent.cdninstagram.com/t51.2885-19/s150x150/20905166_1280234472105463_6296656561150361600_a.jpg</v>
      </c>
    </row>
    <row r="4657" spans="1:31" ht="15" x14ac:dyDescent="0.25">
      <c r="A4657" t="s">
        <v>2474</v>
      </c>
      <c r="B4657" t="s">
        <v>25088</v>
      </c>
      <c r="C4657" s="221">
        <v>42982.684050925927</v>
      </c>
      <c r="D4657" t="s">
        <v>25089</v>
      </c>
      <c r="E4657" s="249" t="str">
        <f>HYPERLINK("https://www.instagram.com/p/BYoeaJ6FUt6/")</f>
        <v>https://www.instagram.com/p/BYoeaJ6FUt6/</v>
      </c>
      <c r="F4657" t="s">
        <v>25090</v>
      </c>
      <c r="G4657" t="s">
        <v>2478</v>
      </c>
      <c r="H4657">
        <v>564</v>
      </c>
      <c r="I4657" t="s">
        <v>2479</v>
      </c>
      <c r="J4657">
        <v>0</v>
      </c>
      <c r="K4657">
        <v>18</v>
      </c>
      <c r="L4657">
        <v>18</v>
      </c>
      <c r="Q4657">
        <v>0</v>
      </c>
      <c r="R4657">
        <v>0</v>
      </c>
      <c r="S4657">
        <v>18</v>
      </c>
      <c r="Y4657" t="s">
        <v>7033</v>
      </c>
      <c r="Z4657" t="s">
        <v>2730</v>
      </c>
      <c r="AA4657" t="s">
        <v>2497</v>
      </c>
      <c r="AB4657" t="s">
        <v>2492</v>
      </c>
      <c r="AC4657" t="s">
        <v>18700</v>
      </c>
      <c r="AD4657" s="249" t="str">
        <f>HYPERLINK("https://scontent.cdninstagram.com/t51.2885-15/e35/p320x320/21294557_1381595395281126_6249301334076424192_n.jpg")</f>
        <v>https://scontent.cdninstagram.com/t51.2885-15/e35/p320x320/21294557_1381595395281126_6249301334076424192_n.jpg</v>
      </c>
      <c r="AE4657" s="249" t="str">
        <f>HYPERLINK("https://scontent.cdninstagram.com/t51.2885-19/s150x150/20633731_1651374508228822_5922826713695256576_a.jpg")</f>
        <v>https://scontent.cdninstagram.com/t51.2885-19/s150x150/20633731_1651374508228822_5922826713695256576_a.jpg</v>
      </c>
    </row>
    <row r="4658" spans="1:31" ht="15" x14ac:dyDescent="0.25">
      <c r="A4658" t="s">
        <v>2474</v>
      </c>
      <c r="B4658" t="s">
        <v>2516</v>
      </c>
      <c r="C4658" s="221">
        <v>42982.687060185184</v>
      </c>
      <c r="D4658" t="s">
        <v>25091</v>
      </c>
      <c r="E4658" s="249" t="str">
        <f>HYPERLINK("https://www.instagram.com/p/BYoe52pDEJf/")</f>
        <v>https://www.instagram.com/p/BYoe52pDEJf/</v>
      </c>
      <c r="F4658" t="s">
        <v>25092</v>
      </c>
      <c r="G4658" t="s">
        <v>2478</v>
      </c>
      <c r="H4658">
        <v>687</v>
      </c>
      <c r="I4658" t="s">
        <v>2479</v>
      </c>
      <c r="J4658">
        <v>4</v>
      </c>
      <c r="K4658">
        <v>38</v>
      </c>
      <c r="L4658">
        <v>42</v>
      </c>
      <c r="Q4658">
        <v>0</v>
      </c>
      <c r="R4658">
        <v>0</v>
      </c>
      <c r="S4658">
        <v>42</v>
      </c>
      <c r="Y4658" t="s">
        <v>2753</v>
      </c>
      <c r="Z4658" t="s">
        <v>2906</v>
      </c>
      <c r="AA4658" t="s">
        <v>4388</v>
      </c>
      <c r="AB4658" t="s">
        <v>25093</v>
      </c>
      <c r="AC4658" t="s">
        <v>6719</v>
      </c>
      <c r="AD4658" s="249" t="str">
        <f>HYPERLINK("https://scontent.cdninstagram.com/t51.2885-15/s320x320/e35/21372551_2047939245427206_2647681479231930368_n.jpg")</f>
        <v>https://scontent.cdninstagram.com/t51.2885-15/s320x320/e35/21372551_2047939245427206_2647681479231930368_n.jpg</v>
      </c>
      <c r="AE4658" s="249" t="str">
        <f>HYPERLINK("https://scontent.cdninstagram.com/t51.2885-19/s150x150/21372563_140209839921980_5104164354614362112_a.jpg")</f>
        <v>https://scontent.cdninstagram.com/t51.2885-19/s150x150/21372563_140209839921980_5104164354614362112_a.jpg</v>
      </c>
    </row>
    <row r="4659" spans="1:31" ht="15" x14ac:dyDescent="0.25">
      <c r="A4659" t="s">
        <v>2474</v>
      </c>
      <c r="B4659" t="s">
        <v>25094</v>
      </c>
      <c r="C4659" s="221">
        <v>42982.688761574071</v>
      </c>
      <c r="D4659" t="s">
        <v>25095</v>
      </c>
      <c r="E4659" s="249" t="str">
        <f>HYPERLINK("https://www.instagram.com/p/BYofLyinbtN/")</f>
        <v>https://www.instagram.com/p/BYofLyinbtN/</v>
      </c>
      <c r="F4659" t="s">
        <v>25096</v>
      </c>
      <c r="G4659" t="s">
        <v>2478</v>
      </c>
      <c r="H4659">
        <v>497</v>
      </c>
      <c r="I4659" t="s">
        <v>3273</v>
      </c>
      <c r="J4659">
        <v>0</v>
      </c>
      <c r="K4659">
        <v>30</v>
      </c>
      <c r="L4659">
        <v>30</v>
      </c>
      <c r="Q4659">
        <v>0</v>
      </c>
      <c r="R4659">
        <v>0</v>
      </c>
      <c r="S4659">
        <v>30</v>
      </c>
      <c r="Y4659" t="s">
        <v>3117</v>
      </c>
      <c r="Z4659" t="s">
        <v>25097</v>
      </c>
      <c r="AA4659" t="s">
        <v>25098</v>
      </c>
      <c r="AB4659" t="s">
        <v>25099</v>
      </c>
      <c r="AC4659" t="s">
        <v>25100</v>
      </c>
      <c r="AD4659" s="249" t="str">
        <f>HYPERLINK("https://scontent.cdninstagram.com/t51.2885-15/s320x320/e35/21434182_129724267665020_3619742623968788480_n.jpg")</f>
        <v>https://scontent.cdninstagram.com/t51.2885-15/s320x320/e35/21434182_129724267665020_3619742623968788480_n.jpg</v>
      </c>
      <c r="AE4659" s="249" t="str">
        <f>HYPERLINK("https://scontent.cdninstagram.com/t51.2885-19/10950599_1374271629551835_2109162023_a.jpg")</f>
        <v>https://scontent.cdninstagram.com/t51.2885-19/10950599_1374271629551835_2109162023_a.jpg</v>
      </c>
    </row>
    <row r="4660" spans="1:31" ht="15" x14ac:dyDescent="0.25">
      <c r="A4660" t="s">
        <v>2474</v>
      </c>
      <c r="B4660" t="s">
        <v>23132</v>
      </c>
      <c r="C4660" s="221">
        <v>42982.695300925923</v>
      </c>
      <c r="D4660" t="s">
        <v>25101</v>
      </c>
      <c r="E4660" s="249" t="str">
        <f>HYPERLINK("https://www.instagram.com/p/BYogQyYnlyE/")</f>
        <v>https://www.instagram.com/p/BYogQyYnlyE/</v>
      </c>
      <c r="F4660" t="s">
        <v>25102</v>
      </c>
      <c r="G4660" t="s">
        <v>2478</v>
      </c>
      <c r="H4660">
        <v>291</v>
      </c>
      <c r="I4660" t="s">
        <v>2639</v>
      </c>
      <c r="J4660">
        <v>4</v>
      </c>
      <c r="K4660">
        <v>70</v>
      </c>
      <c r="L4660">
        <v>74</v>
      </c>
      <c r="Q4660">
        <v>0</v>
      </c>
      <c r="R4660">
        <v>0</v>
      </c>
      <c r="S4660">
        <v>74</v>
      </c>
      <c r="T4660" t="s">
        <v>23135</v>
      </c>
      <c r="V4660" t="s">
        <v>2103</v>
      </c>
      <c r="W4660">
        <v>47.025670222830001</v>
      </c>
      <c r="X4660">
        <v>15.435410161691999</v>
      </c>
      <c r="Y4660" t="s">
        <v>2911</v>
      </c>
      <c r="Z4660" t="s">
        <v>4318</v>
      </c>
      <c r="AA4660" t="s">
        <v>17659</v>
      </c>
      <c r="AB4660" t="s">
        <v>25103</v>
      </c>
      <c r="AC4660" t="s">
        <v>4993</v>
      </c>
      <c r="AD4660" s="249" t="str">
        <f>HYPERLINK("https://scontent.cdninstagram.com/t51.2885-15/e35/p320x320/21434128_151198348801253_5017165445526978560_n.jpg")</f>
        <v>https://scontent.cdninstagram.com/t51.2885-15/e35/p320x320/21434128_151198348801253_5017165445526978560_n.jpg</v>
      </c>
      <c r="AE4660" s="249" t="str">
        <f>HYPERLINK("https://scontent.cdninstagram.com/t51.2885-19/s150x150/20633494_1613929798652003_6059241377596702720_a.jpg")</f>
        <v>https://scontent.cdninstagram.com/t51.2885-19/s150x150/20633494_1613929798652003_6059241377596702720_a.jpg</v>
      </c>
    </row>
    <row r="4661" spans="1:31" ht="15" x14ac:dyDescent="0.25">
      <c r="A4661" t="s">
        <v>2474</v>
      </c>
      <c r="B4661" t="s">
        <v>25104</v>
      </c>
      <c r="C4661" s="221">
        <v>42982.701203703706</v>
      </c>
      <c r="D4661" t="s">
        <v>25105</v>
      </c>
      <c r="E4661" s="249" t="str">
        <f>HYPERLINK("https://www.instagram.com/p/BYohO-BHmHn/")</f>
        <v>https://www.instagram.com/p/BYohO-BHmHn/</v>
      </c>
      <c r="F4661" t="s">
        <v>25106</v>
      </c>
      <c r="G4661" t="s">
        <v>2478</v>
      </c>
      <c r="H4661">
        <v>969</v>
      </c>
      <c r="I4661" t="s">
        <v>2479</v>
      </c>
      <c r="J4661">
        <v>1</v>
      </c>
      <c r="K4661">
        <v>74</v>
      </c>
      <c r="L4661">
        <v>75</v>
      </c>
      <c r="Q4661">
        <v>0</v>
      </c>
      <c r="R4661">
        <v>0</v>
      </c>
      <c r="S4661">
        <v>75</v>
      </c>
      <c r="T4661" t="s">
        <v>25107</v>
      </c>
      <c r="V4661" t="s">
        <v>2093</v>
      </c>
      <c r="W4661">
        <v>41.316699999999997</v>
      </c>
      <c r="X4661">
        <v>19.45</v>
      </c>
      <c r="Y4661" t="s">
        <v>21749</v>
      </c>
      <c r="Z4661" t="s">
        <v>25108</v>
      </c>
      <c r="AA4661" t="s">
        <v>5164</v>
      </c>
      <c r="AB4661" t="s">
        <v>6367</v>
      </c>
      <c r="AC4661" t="s">
        <v>25109</v>
      </c>
      <c r="AD4661" s="249" t="str">
        <f>HYPERLINK("https://scontent.cdninstagram.com/t51.2885-15/s320x320/e35/21371917_188518398357462_2450853685085863936_n.jpg")</f>
        <v>https://scontent.cdninstagram.com/t51.2885-15/s320x320/e35/21371917_188518398357462_2450853685085863936_n.jpg</v>
      </c>
      <c r="AE4661" s="249" t="str">
        <f>HYPERLINK("https://scontent.cdninstagram.com/t51.2885-19/s150x150/20589954_322831411512058_5119186290494930944_a.jpg")</f>
        <v>https://scontent.cdninstagram.com/t51.2885-19/s150x150/20589954_322831411512058_5119186290494930944_a.jpg</v>
      </c>
    </row>
    <row r="4662" spans="1:31" ht="15" x14ac:dyDescent="0.25">
      <c r="A4662" t="s">
        <v>2474</v>
      </c>
      <c r="B4662" t="s">
        <v>25110</v>
      </c>
      <c r="C4662" s="221">
        <v>42982.707384259258</v>
      </c>
      <c r="D4662" t="s">
        <v>25111</v>
      </c>
      <c r="E4662" s="249" t="str">
        <f>HYPERLINK("https://www.instagram.com/p/BYoiQMGDr4y/")</f>
        <v>https://www.instagram.com/p/BYoiQMGDr4y/</v>
      </c>
      <c r="F4662" t="s">
        <v>2872</v>
      </c>
      <c r="G4662" t="s">
        <v>2478</v>
      </c>
      <c r="H4662">
        <v>689</v>
      </c>
      <c r="I4662" t="s">
        <v>2479</v>
      </c>
      <c r="J4662">
        <v>1</v>
      </c>
      <c r="K4662">
        <v>84</v>
      </c>
      <c r="L4662">
        <v>85</v>
      </c>
      <c r="Q4662">
        <v>0</v>
      </c>
      <c r="R4662">
        <v>0</v>
      </c>
      <c r="S4662">
        <v>85</v>
      </c>
      <c r="Y4662" t="s">
        <v>2497</v>
      </c>
      <c r="AD4662" s="249" t="str">
        <f>HYPERLINK("https://scontent.cdninstagram.com/t51.2885-15/s320x320/e35/21371761_2106926119540105_360837013038956544_n.jpg")</f>
        <v>https://scontent.cdninstagram.com/t51.2885-15/s320x320/e35/21371761_2106926119540105_360837013038956544_n.jpg</v>
      </c>
      <c r="AE4662" s="249" t="str">
        <f>HYPERLINK("https://scontent.cdninstagram.com/t51.2885-19/s150x150/20634827_461016417609494_9109472102620069888_a.jpg")</f>
        <v>https://scontent.cdninstagram.com/t51.2885-19/s150x150/20634827_461016417609494_9109472102620069888_a.jpg</v>
      </c>
    </row>
    <row r="4663" spans="1:31" ht="15" x14ac:dyDescent="0.25">
      <c r="A4663" t="s">
        <v>2474</v>
      </c>
      <c r="B4663" t="s">
        <v>25112</v>
      </c>
      <c r="C4663" s="221">
        <v>42982.722581018519</v>
      </c>
      <c r="D4663" t="s">
        <v>25113</v>
      </c>
      <c r="E4663" s="249" t="str">
        <f>HYPERLINK("https://www.instagram.com/p/BYokwhIDj8D/")</f>
        <v>https://www.instagram.com/p/BYokwhIDj8D/</v>
      </c>
      <c r="F4663" t="s">
        <v>25114</v>
      </c>
      <c r="G4663" t="s">
        <v>2478</v>
      </c>
      <c r="H4663">
        <v>271</v>
      </c>
      <c r="I4663" t="s">
        <v>2479</v>
      </c>
      <c r="J4663">
        <v>1</v>
      </c>
      <c r="K4663">
        <v>9</v>
      </c>
      <c r="L4663">
        <v>10</v>
      </c>
      <c r="Q4663">
        <v>0</v>
      </c>
      <c r="R4663">
        <v>0</v>
      </c>
      <c r="S4663">
        <v>10</v>
      </c>
      <c r="Y4663" t="s">
        <v>25115</v>
      </c>
      <c r="Z4663" t="s">
        <v>6835</v>
      </c>
      <c r="AA4663" t="s">
        <v>25116</v>
      </c>
      <c r="AB4663" t="s">
        <v>14816</v>
      </c>
      <c r="AC4663" t="s">
        <v>23075</v>
      </c>
      <c r="AD4663" s="249" t="str">
        <f>HYPERLINK("https://scontent.cdninstagram.com/t51.2885-15/s320x320/e35/21373027_126516677995751_7494181417090285568_n.jpg")</f>
        <v>https://scontent.cdninstagram.com/t51.2885-15/s320x320/e35/21373027_126516677995751_7494181417090285568_n.jpg</v>
      </c>
      <c r="AE4663" s="249" t="str">
        <f>HYPERLINK("https://scontent.cdninstagram.com/t51.2885-19/s150x150/16788460_1221620741239759_4711592704398589952_a.jpg")</f>
        <v>https://scontent.cdninstagram.com/t51.2885-19/s150x150/16788460_1221620741239759_4711592704398589952_a.jpg</v>
      </c>
    </row>
    <row r="4664" spans="1:31" ht="15" x14ac:dyDescent="0.25">
      <c r="A4664" t="s">
        <v>2474</v>
      </c>
      <c r="B4664" t="s">
        <v>24940</v>
      </c>
      <c r="C4664" s="221">
        <v>42982.722604166665</v>
      </c>
      <c r="D4664" t="s">
        <v>25117</v>
      </c>
      <c r="E4664" s="249" t="str">
        <f>HYPERLINK("https://www.instagram.com/p/BYokwxDgtgr/")</f>
        <v>https://www.instagram.com/p/BYokwxDgtgr/</v>
      </c>
      <c r="F4664" t="s">
        <v>25118</v>
      </c>
      <c r="G4664" t="s">
        <v>2478</v>
      </c>
      <c r="H4664">
        <v>3</v>
      </c>
      <c r="I4664" t="s">
        <v>2542</v>
      </c>
      <c r="J4664">
        <v>0</v>
      </c>
      <c r="K4664">
        <v>6</v>
      </c>
      <c r="L4664">
        <v>6</v>
      </c>
      <c r="Q4664">
        <v>0</v>
      </c>
      <c r="R4664">
        <v>0</v>
      </c>
      <c r="S4664">
        <v>6</v>
      </c>
      <c r="T4664" t="s">
        <v>25119</v>
      </c>
      <c r="V4664" t="s">
        <v>2182</v>
      </c>
      <c r="W4664">
        <v>45.698900000000002</v>
      </c>
      <c r="X4664">
        <v>12.2256</v>
      </c>
      <c r="Y4664" t="s">
        <v>25120</v>
      </c>
      <c r="Z4664" t="s">
        <v>9593</v>
      </c>
      <c r="AA4664" t="s">
        <v>25121</v>
      </c>
      <c r="AB4664" t="s">
        <v>25122</v>
      </c>
      <c r="AC4664" t="s">
        <v>3568</v>
      </c>
      <c r="AD4664" s="249" t="str">
        <f>HYPERLINK("https://scontent.cdninstagram.com/t51.2885-15/s320x320/e35/21372367_871845032984364_3032175210791960576_n.jpg")</f>
        <v>https://scontent.cdninstagram.com/t51.2885-15/s320x320/e35/21372367_871845032984364_3032175210791960576_n.jpg</v>
      </c>
      <c r="AE4664" s="249" t="str">
        <f>HYPERLINK("https://scontent.cdninstagram.com/t51.2885-19/s150x150/21148101_1939215392959050_462196604842016768_a.jpg")</f>
        <v>https://scontent.cdninstagram.com/t51.2885-19/s150x150/21148101_1939215392959050_462196604842016768_a.jpg</v>
      </c>
    </row>
    <row r="4665" spans="1:31" ht="15" x14ac:dyDescent="0.25">
      <c r="A4665" t="s">
        <v>2474</v>
      </c>
      <c r="B4665" t="s">
        <v>25123</v>
      </c>
      <c r="C4665" s="221">
        <v>42982.72315972222</v>
      </c>
      <c r="D4665" t="s">
        <v>25124</v>
      </c>
      <c r="E4665" s="249" t="str">
        <f>HYPERLINK("https://www.instagram.com/p/BYok2hshlz4/")</f>
        <v>https://www.instagram.com/p/BYok2hshlz4/</v>
      </c>
      <c r="F4665" t="s">
        <v>25125</v>
      </c>
      <c r="G4665" t="s">
        <v>2478</v>
      </c>
      <c r="H4665">
        <v>1684</v>
      </c>
      <c r="I4665" t="s">
        <v>2479</v>
      </c>
      <c r="J4665">
        <v>24</v>
      </c>
      <c r="K4665">
        <v>98</v>
      </c>
      <c r="L4665">
        <v>122</v>
      </c>
      <c r="Q4665">
        <v>0</v>
      </c>
      <c r="R4665">
        <v>0</v>
      </c>
      <c r="S4665">
        <v>122</v>
      </c>
      <c r="Y4665" t="s">
        <v>25126</v>
      </c>
      <c r="Z4665" t="s">
        <v>25127</v>
      </c>
      <c r="AA4665" t="s">
        <v>25128</v>
      </c>
      <c r="AB4665" t="s">
        <v>25129</v>
      </c>
      <c r="AC4665" t="s">
        <v>3213</v>
      </c>
      <c r="AD4665" s="249" t="str">
        <f>HYPERLINK("https://scontent.cdninstagram.com/t51.2885-15/s320x320/e35/21371766_1969790419963478_4277763924754956288_n.jpg")</f>
        <v>https://scontent.cdninstagram.com/t51.2885-15/s320x320/e35/21371766_1969790419963478_4277763924754956288_n.jpg</v>
      </c>
      <c r="AE4665" s="249" t="str">
        <f>HYPERLINK("https://scontent.cdninstagram.com/t51.2885-19/s150x150/18161479_1185890344850147_5602181927302856704_a.jpg")</f>
        <v>https://scontent.cdninstagram.com/t51.2885-19/s150x150/18161479_1185890344850147_5602181927302856704_a.jpg</v>
      </c>
    </row>
    <row r="4666" spans="1:31" ht="15" x14ac:dyDescent="0.25">
      <c r="A4666" t="s">
        <v>2474</v>
      </c>
      <c r="B4666" t="s">
        <v>25130</v>
      </c>
      <c r="C4666" s="221">
        <v>42982.723344907405</v>
      </c>
      <c r="D4666" t="s">
        <v>25131</v>
      </c>
      <c r="E4666" s="249" t="str">
        <f>HYPERLINK("https://www.instagram.com/p/BYok4jWFJWc/")</f>
        <v>https://www.instagram.com/p/BYok4jWFJWc/</v>
      </c>
      <c r="F4666" t="s">
        <v>25132</v>
      </c>
      <c r="G4666" t="s">
        <v>2478</v>
      </c>
      <c r="H4666">
        <v>505</v>
      </c>
      <c r="I4666" t="s">
        <v>2479</v>
      </c>
      <c r="J4666">
        <v>5</v>
      </c>
      <c r="K4666">
        <v>87</v>
      </c>
      <c r="L4666">
        <v>92</v>
      </c>
      <c r="Q4666">
        <v>0</v>
      </c>
      <c r="R4666">
        <v>0</v>
      </c>
      <c r="S4666">
        <v>92</v>
      </c>
      <c r="Y4666" t="s">
        <v>25133</v>
      </c>
      <c r="Z4666" t="s">
        <v>3621</v>
      </c>
      <c r="AA4666" t="s">
        <v>25134</v>
      </c>
      <c r="AB4666" t="s">
        <v>2735</v>
      </c>
      <c r="AC4666" t="s">
        <v>25135</v>
      </c>
      <c r="AD4666" s="249" t="str">
        <f>HYPERLINK("https://scontent.cdninstagram.com/t51.2885-15/s320x320/e35/21373251_1720848964623360_7809508329595600896_n.jpg")</f>
        <v>https://scontent.cdninstagram.com/t51.2885-15/s320x320/e35/21373251_1720848964623360_7809508329595600896_n.jpg</v>
      </c>
      <c r="AE4666" s="249" t="str">
        <f>HYPERLINK("https://scontent.cdninstagram.com/t51.2885-19/s150x150/18382598_1496951923711271_6229511164158541824_a.jpg")</f>
        <v>https://scontent.cdninstagram.com/t51.2885-19/s150x150/18382598_1496951923711271_6229511164158541824_a.jpg</v>
      </c>
    </row>
    <row r="4667" spans="1:31" ht="15" x14ac:dyDescent="0.25">
      <c r="A4667" t="s">
        <v>2474</v>
      </c>
      <c r="B4667" t="s">
        <v>15182</v>
      </c>
      <c r="C4667" s="221">
        <v>42982.725115740737</v>
      </c>
      <c r="D4667" t="s">
        <v>25136</v>
      </c>
      <c r="E4667" s="249" t="str">
        <f>HYPERLINK("https://www.instagram.com/p/BYolLNwgWHW/")</f>
        <v>https://www.instagram.com/p/BYolLNwgWHW/</v>
      </c>
      <c r="F4667" t="s">
        <v>25137</v>
      </c>
      <c r="G4667" t="s">
        <v>2478</v>
      </c>
      <c r="H4667">
        <v>744</v>
      </c>
      <c r="I4667" t="s">
        <v>2479</v>
      </c>
      <c r="J4667">
        <v>1</v>
      </c>
      <c r="K4667">
        <v>64</v>
      </c>
      <c r="L4667">
        <v>65</v>
      </c>
      <c r="Q4667">
        <v>0</v>
      </c>
      <c r="R4667">
        <v>0</v>
      </c>
      <c r="S4667">
        <v>65</v>
      </c>
      <c r="Y4667" t="s">
        <v>25138</v>
      </c>
      <c r="Z4667" t="s">
        <v>25139</v>
      </c>
      <c r="AA4667" t="s">
        <v>25140</v>
      </c>
      <c r="AB4667" t="s">
        <v>25141</v>
      </c>
      <c r="AC4667" t="s">
        <v>9183</v>
      </c>
      <c r="AD4667" s="249" t="str">
        <f>HYPERLINK("https://scontent.cdninstagram.com/t51.2885-15/s320x320/e15/21433987_212310229303521_8286910012018655232_n.jpg")</f>
        <v>https://scontent.cdninstagram.com/t51.2885-15/s320x320/e15/21433987_212310229303521_8286910012018655232_n.jpg</v>
      </c>
      <c r="AE4667" s="249" t="str">
        <f>HYPERLINK("https://scontent.cdninstagram.com/t51.2885-19/s150x150/18513619_1254348571345625_691913201251516416_a.jpg")</f>
        <v>https://scontent.cdninstagram.com/t51.2885-19/s150x150/18513619_1254348571345625_691913201251516416_a.jpg</v>
      </c>
    </row>
    <row r="4668" spans="1:31" ht="15" x14ac:dyDescent="0.25">
      <c r="A4668" t="s">
        <v>2474</v>
      </c>
      <c r="B4668" t="s">
        <v>25142</v>
      </c>
      <c r="C4668" s="221">
        <v>42982.726643518516</v>
      </c>
      <c r="D4668" t="s">
        <v>25143</v>
      </c>
      <c r="E4668" s="249" t="str">
        <f>HYPERLINK("https://www.instagram.com/p/BYolbReDlZ0/")</f>
        <v>https://www.instagram.com/p/BYolbReDlZ0/</v>
      </c>
      <c r="F4668" t="s">
        <v>25144</v>
      </c>
      <c r="G4668" t="s">
        <v>2478</v>
      </c>
      <c r="H4668">
        <v>109</v>
      </c>
      <c r="I4668" t="s">
        <v>2910</v>
      </c>
      <c r="J4668">
        <v>0</v>
      </c>
      <c r="K4668">
        <v>7</v>
      </c>
      <c r="L4668">
        <v>7</v>
      </c>
      <c r="Q4668">
        <v>0</v>
      </c>
      <c r="R4668">
        <v>0</v>
      </c>
      <c r="S4668">
        <v>7</v>
      </c>
      <c r="Y4668" t="s">
        <v>25145</v>
      </c>
      <c r="Z4668" t="s">
        <v>25146</v>
      </c>
      <c r="AA4668" t="s">
        <v>2730</v>
      </c>
      <c r="AB4668" t="s">
        <v>2497</v>
      </c>
      <c r="AC4668" t="s">
        <v>25147</v>
      </c>
      <c r="AD4668" s="249" t="str">
        <f>HYPERLINK("https://scontent.cdninstagram.com/t51.2885-15/s320x320/e35/21371800_163285400894091_3712429766268157952_n.jpg")</f>
        <v>https://scontent.cdninstagram.com/t51.2885-15/s320x320/e35/21371800_163285400894091_3712429766268157952_n.jpg</v>
      </c>
      <c r="AE4668" s="249" t="str">
        <f>HYPERLINK("https://scontent.cdninstagram.com/t51.2885-19/s150x150/19761505_2003927646501873_9055841279786614784_a.jpg")</f>
        <v>https://scontent.cdninstagram.com/t51.2885-19/s150x150/19761505_2003927646501873_9055841279786614784_a.jpg</v>
      </c>
    </row>
    <row r="4669" spans="1:31" ht="15" x14ac:dyDescent="0.25">
      <c r="A4669" t="s">
        <v>2474</v>
      </c>
      <c r="B4669" t="s">
        <v>25148</v>
      </c>
      <c r="C4669" s="221">
        <v>42982.728877314818</v>
      </c>
      <c r="D4669" t="s">
        <v>25149</v>
      </c>
      <c r="E4669" s="249" t="str">
        <f>HYPERLINK("https://www.instagram.com/p/BYoly1_D2E8/")</f>
        <v>https://www.instagram.com/p/BYoly1_D2E8/</v>
      </c>
      <c r="F4669" t="s">
        <v>25150</v>
      </c>
      <c r="G4669" t="s">
        <v>2488</v>
      </c>
      <c r="H4669">
        <v>822</v>
      </c>
      <c r="I4669" t="s">
        <v>2479</v>
      </c>
      <c r="J4669">
        <v>6</v>
      </c>
      <c r="K4669">
        <v>76</v>
      </c>
      <c r="L4669">
        <v>82</v>
      </c>
      <c r="Q4669">
        <v>0</v>
      </c>
      <c r="R4669">
        <v>0</v>
      </c>
      <c r="S4669">
        <v>82</v>
      </c>
      <c r="T4669" t="s">
        <v>25151</v>
      </c>
      <c r="V4669" t="s">
        <v>2161</v>
      </c>
      <c r="W4669">
        <v>52.206325870987001</v>
      </c>
      <c r="X4669">
        <v>8.7053919956169992</v>
      </c>
      <c r="Y4669" t="s">
        <v>4852</v>
      </c>
      <c r="Z4669" t="s">
        <v>5328</v>
      </c>
      <c r="AA4669" t="s">
        <v>2741</v>
      </c>
      <c r="AB4669" t="s">
        <v>25152</v>
      </c>
      <c r="AC4669" t="s">
        <v>2492</v>
      </c>
      <c r="AD4669" s="249" t="str">
        <f>HYPERLINK("https://scontent.cdninstagram.com/t51.2885-15/s320x320/e35/21371755_207358986468256_5402782564437983232_n.jpg")</f>
        <v>https://scontent.cdninstagram.com/t51.2885-15/s320x320/e35/21371755_207358986468256_5402782564437983232_n.jpg</v>
      </c>
      <c r="AE4669" s="249" t="str">
        <f>HYPERLINK("https://scontent.cdninstagram.com/t51.2885-19/s150x150/21433316_118023825585631_9156377938675892224_a.jpg")</f>
        <v>https://scontent.cdninstagram.com/t51.2885-19/s150x150/21433316_118023825585631_9156377938675892224_a.jpg</v>
      </c>
    </row>
    <row r="4670" spans="1:31" ht="15" x14ac:dyDescent="0.25">
      <c r="A4670" t="s">
        <v>2474</v>
      </c>
      <c r="B4670" t="s">
        <v>25153</v>
      </c>
      <c r="C4670" s="221">
        <v>42982.742800925924</v>
      </c>
      <c r="D4670" t="s">
        <v>25154</v>
      </c>
      <c r="E4670" s="249" t="str">
        <f>HYPERLINK("https://www.instagram.com/p/BYooFtohHKV/")</f>
        <v>https://www.instagram.com/p/BYooFtohHKV/</v>
      </c>
      <c r="F4670" t="s">
        <v>25155</v>
      </c>
      <c r="G4670" t="s">
        <v>2478</v>
      </c>
      <c r="H4670">
        <v>417</v>
      </c>
      <c r="I4670" t="s">
        <v>2479</v>
      </c>
      <c r="J4670">
        <v>3</v>
      </c>
      <c r="K4670">
        <v>26</v>
      </c>
      <c r="L4670">
        <v>29</v>
      </c>
      <c r="Q4670">
        <v>0</v>
      </c>
      <c r="R4670">
        <v>0</v>
      </c>
      <c r="S4670">
        <v>29</v>
      </c>
      <c r="T4670" t="s">
        <v>25156</v>
      </c>
      <c r="V4670" t="s">
        <v>2222</v>
      </c>
      <c r="W4670">
        <v>50.895119999999999</v>
      </c>
      <c r="X4670">
        <v>5.9555400000000001</v>
      </c>
      <c r="Y4670" t="s">
        <v>25157</v>
      </c>
      <c r="Z4670" t="s">
        <v>7590</v>
      </c>
      <c r="AA4670" t="s">
        <v>4272</v>
      </c>
      <c r="AB4670" t="s">
        <v>7552</v>
      </c>
      <c r="AC4670" t="s">
        <v>18526</v>
      </c>
      <c r="AD4670" s="249" t="str">
        <f>HYPERLINK("https://scontent.cdninstagram.com/t51.2885-15/s320x320/e35/21433994_1455739597880351_3244233860912775168_n.jpg")</f>
        <v>https://scontent.cdninstagram.com/t51.2885-15/s320x320/e35/21433994_1455739597880351_3244233860912775168_n.jpg</v>
      </c>
      <c r="AE4670" s="249" t="str">
        <f>HYPERLINK("https://scontent.cdninstagram.com/t51.2885-19/s150x150/19535516_801664463329707_1244739886691385344_a.jpg")</f>
        <v>https://scontent.cdninstagram.com/t51.2885-19/s150x150/19535516_801664463329707_1244739886691385344_a.jpg</v>
      </c>
    </row>
    <row r="4671" spans="1:31" ht="15" x14ac:dyDescent="0.25">
      <c r="A4671" t="s">
        <v>2474</v>
      </c>
      <c r="B4671" t="s">
        <v>25158</v>
      </c>
      <c r="C4671" s="221">
        <v>42982.764270833337</v>
      </c>
      <c r="D4671" t="s">
        <v>25159</v>
      </c>
      <c r="E4671" s="249" t="str">
        <f>HYPERLINK("https://www.instagram.com/p/BYoroKgjduS/")</f>
        <v>https://www.instagram.com/p/BYoroKgjduS/</v>
      </c>
      <c r="F4671" t="s">
        <v>25160</v>
      </c>
      <c r="G4671" t="s">
        <v>2478</v>
      </c>
      <c r="H4671">
        <v>352</v>
      </c>
      <c r="I4671" t="s">
        <v>2479</v>
      </c>
      <c r="J4671">
        <v>0</v>
      </c>
      <c r="K4671">
        <v>33</v>
      </c>
      <c r="L4671">
        <v>33</v>
      </c>
      <c r="Q4671">
        <v>0</v>
      </c>
      <c r="R4671">
        <v>0</v>
      </c>
      <c r="S4671">
        <v>33</v>
      </c>
      <c r="Y4671" t="s">
        <v>25161</v>
      </c>
      <c r="Z4671" t="s">
        <v>25162</v>
      </c>
      <c r="AA4671" t="s">
        <v>2665</v>
      </c>
      <c r="AB4671" t="s">
        <v>25163</v>
      </c>
      <c r="AC4671" t="s">
        <v>11254</v>
      </c>
      <c r="AD4671" s="249" t="str">
        <f>HYPERLINK("https://scontent.cdninstagram.com/t51.2885-15/e35/p320x320/21436163_344586825999142_4340045662126080000_n.jpg")</f>
        <v>https://scontent.cdninstagram.com/t51.2885-15/e35/p320x320/21436163_344586825999142_4340045662126080000_n.jpg</v>
      </c>
      <c r="AE4671" s="249" t="str">
        <f>HYPERLINK("https://scontent.cdninstagram.com/t51.2885-19/s150x150/18380894_133927993819181_6645114383225585664_a.jpg")</f>
        <v>https://scontent.cdninstagram.com/t51.2885-19/s150x150/18380894_133927993819181_6645114383225585664_a.jpg</v>
      </c>
    </row>
    <row r="4672" spans="1:31" ht="15" x14ac:dyDescent="0.25">
      <c r="A4672" t="s">
        <v>2474</v>
      </c>
      <c r="B4672" t="s">
        <v>17738</v>
      </c>
      <c r="C4672" s="221">
        <v>42982.764722222222</v>
      </c>
      <c r="D4672" t="s">
        <v>25164</v>
      </c>
      <c r="E4672" s="249" t="str">
        <f>HYPERLINK("https://www.instagram.com/p/BYors-ghFgu/")</f>
        <v>https://www.instagram.com/p/BYors-ghFgu/</v>
      </c>
      <c r="F4672" t="s">
        <v>24418</v>
      </c>
      <c r="G4672" t="s">
        <v>2478</v>
      </c>
      <c r="H4672">
        <v>69097</v>
      </c>
      <c r="I4672" t="s">
        <v>2479</v>
      </c>
      <c r="J4672">
        <v>0</v>
      </c>
      <c r="K4672">
        <v>20</v>
      </c>
      <c r="L4672">
        <v>20</v>
      </c>
      <c r="Q4672">
        <v>0</v>
      </c>
      <c r="R4672">
        <v>0</v>
      </c>
      <c r="S4672">
        <v>20</v>
      </c>
      <c r="Y4672" t="s">
        <v>4231</v>
      </c>
      <c r="Z4672" t="s">
        <v>3757</v>
      </c>
      <c r="AA4672" t="s">
        <v>8783</v>
      </c>
      <c r="AB4672" t="s">
        <v>16557</v>
      </c>
      <c r="AC4672" t="s">
        <v>4232</v>
      </c>
      <c r="AD4672" s="249" t="str">
        <f>HYPERLINK("https://scontent.cdninstagram.com/t51.2885-15/e35/p320x320/21297036_344089656027597_3052558777686425600_n.jpg")</f>
        <v>https://scontent.cdninstagram.com/t51.2885-15/e35/p320x320/21297036_344089656027597_3052558777686425600_n.jpg</v>
      </c>
      <c r="AE4672" s="249" t="str">
        <f>HYPERLINK("https://scontent.cdninstagram.com/t51.2885-19/s150x150/14701076_1598337030462226_7312252327623131136_a.jpg")</f>
        <v>https://scontent.cdninstagram.com/t51.2885-19/s150x150/14701076_1598337030462226_7312252327623131136_a.jpg</v>
      </c>
    </row>
    <row r="4673" spans="1:31" ht="15" x14ac:dyDescent="0.25">
      <c r="A4673" t="s">
        <v>2474</v>
      </c>
      <c r="B4673" t="s">
        <v>17738</v>
      </c>
      <c r="C4673" s="221">
        <v>42982.765185185184</v>
      </c>
      <c r="D4673" t="s">
        <v>25165</v>
      </c>
      <c r="E4673" s="249" t="str">
        <f>HYPERLINK("https://www.instagram.com/p/BYorx1Ohd1n/")</f>
        <v>https://www.instagram.com/p/BYorx1Ohd1n/</v>
      </c>
      <c r="F4673" t="s">
        <v>25166</v>
      </c>
      <c r="G4673" t="s">
        <v>2478</v>
      </c>
      <c r="H4673">
        <v>69097</v>
      </c>
      <c r="I4673" t="s">
        <v>2479</v>
      </c>
      <c r="J4673">
        <v>0</v>
      </c>
      <c r="K4673">
        <v>13</v>
      </c>
      <c r="L4673">
        <v>13</v>
      </c>
      <c r="Q4673">
        <v>0</v>
      </c>
      <c r="R4673">
        <v>0</v>
      </c>
      <c r="S4673">
        <v>13</v>
      </c>
      <c r="Y4673" t="s">
        <v>4231</v>
      </c>
      <c r="Z4673" t="s">
        <v>3757</v>
      </c>
      <c r="AA4673" t="s">
        <v>8783</v>
      </c>
      <c r="AB4673" t="s">
        <v>16557</v>
      </c>
      <c r="AC4673" t="s">
        <v>4232</v>
      </c>
      <c r="AD4673" s="249" t="str">
        <f>HYPERLINK("https://scontent.cdninstagram.com/t51.2885-15/s320x320/e35/21371965_372863216462382_3866269301468037120_n.jpg")</f>
        <v>https://scontent.cdninstagram.com/t51.2885-15/s320x320/e35/21371965_372863216462382_3866269301468037120_n.jpg</v>
      </c>
      <c r="AE4673" s="249" t="str">
        <f>HYPERLINK("https://scontent.cdninstagram.com/t51.2885-19/s150x150/14701076_1598337030462226_7312252327623131136_a.jpg")</f>
        <v>https://scontent.cdninstagram.com/t51.2885-19/s150x150/14701076_1598337030462226_7312252327623131136_a.jpg</v>
      </c>
    </row>
    <row r="4674" spans="1:31" ht="15" x14ac:dyDescent="0.25">
      <c r="A4674" t="s">
        <v>2474</v>
      </c>
      <c r="B4674" t="s">
        <v>25167</v>
      </c>
      <c r="C4674" s="221">
        <v>42982.769930555558</v>
      </c>
      <c r="D4674" t="s">
        <v>25168</v>
      </c>
      <c r="E4674" s="249" t="str">
        <f>HYPERLINK("https://www.instagram.com/p/BYosj2rhrIk/")</f>
        <v>https://www.instagram.com/p/BYosj2rhrIk/</v>
      </c>
      <c r="F4674" t="s">
        <v>25169</v>
      </c>
      <c r="G4674" t="s">
        <v>2478</v>
      </c>
      <c r="H4674">
        <v>5939</v>
      </c>
      <c r="I4674" t="s">
        <v>2542</v>
      </c>
      <c r="J4674">
        <v>2</v>
      </c>
      <c r="K4674">
        <v>110</v>
      </c>
      <c r="L4674">
        <v>112</v>
      </c>
      <c r="Q4674">
        <v>0</v>
      </c>
      <c r="R4674">
        <v>0</v>
      </c>
      <c r="S4674">
        <v>112</v>
      </c>
      <c r="Y4674" t="s">
        <v>3991</v>
      </c>
      <c r="Z4674" t="s">
        <v>25170</v>
      </c>
      <c r="AA4674" t="s">
        <v>4582</v>
      </c>
      <c r="AB4674" t="s">
        <v>20056</v>
      </c>
      <c r="AC4674" t="s">
        <v>25171</v>
      </c>
      <c r="AD4674" s="249" t="str">
        <f>HYPERLINK("https://scontent.cdninstagram.com/t51.2885-15/s320x320/e35/21373432_1946112299047685_944947922435309568_n.jpg")</f>
        <v>https://scontent.cdninstagram.com/t51.2885-15/s320x320/e35/21373432_1946112299047685_944947922435309568_n.jpg</v>
      </c>
      <c r="AE4674" s="249" t="str">
        <f>HYPERLINK("https://scontent.cdninstagram.com/t51.2885-19/11849249_402055063313717_1984233387_a.jpg")</f>
        <v>https://scontent.cdninstagram.com/t51.2885-19/11849249_402055063313717_1984233387_a.jpg</v>
      </c>
    </row>
    <row r="4675" spans="1:31" ht="15" x14ac:dyDescent="0.25">
      <c r="A4675" t="s">
        <v>2474</v>
      </c>
      <c r="B4675" t="s">
        <v>7850</v>
      </c>
      <c r="C4675" s="221">
        <v>42982.780486111114</v>
      </c>
      <c r="D4675" t="s">
        <v>25172</v>
      </c>
      <c r="E4675" s="249" t="str">
        <f>HYPERLINK("https://www.instagram.com/p/BYouTLkFsfl/")</f>
        <v>https://www.instagram.com/p/BYouTLkFsfl/</v>
      </c>
      <c r="F4675" t="s">
        <v>25173</v>
      </c>
      <c r="G4675" t="s">
        <v>2478</v>
      </c>
      <c r="H4675">
        <v>85</v>
      </c>
      <c r="I4675" t="s">
        <v>2479</v>
      </c>
      <c r="J4675">
        <v>0</v>
      </c>
      <c r="K4675">
        <v>11</v>
      </c>
      <c r="L4675">
        <v>11</v>
      </c>
      <c r="Q4675">
        <v>0</v>
      </c>
      <c r="R4675">
        <v>0</v>
      </c>
      <c r="S4675">
        <v>11</v>
      </c>
      <c r="Y4675" t="s">
        <v>13448</v>
      </c>
      <c r="Z4675" t="s">
        <v>25174</v>
      </c>
      <c r="AA4675" t="s">
        <v>2730</v>
      </c>
      <c r="AB4675" t="s">
        <v>2497</v>
      </c>
      <c r="AC4675" t="s">
        <v>2032</v>
      </c>
      <c r="AD4675" s="249" t="str">
        <f>HYPERLINK("https://scontent.cdninstagram.com/t51.2885-15/s320x320/e35/21373444_271265390038392_1879094650661240832_n.jpg")</f>
        <v>https://scontent.cdninstagram.com/t51.2885-15/s320x320/e35/21373444_271265390038392_1879094650661240832_n.jpg</v>
      </c>
      <c r="AE4675" s="249" t="str">
        <f>HYPERLINK("https://scontent.cdninstagram.com/t51.2885-19/s150x150/20635283_352535161842085_3147742146388295680_a.jpg")</f>
        <v>https://scontent.cdninstagram.com/t51.2885-19/s150x150/20635283_352535161842085_3147742146388295680_a.jpg</v>
      </c>
    </row>
    <row r="4676" spans="1:31" ht="15" x14ac:dyDescent="0.25">
      <c r="A4676" t="s">
        <v>2474</v>
      </c>
      <c r="B4676" t="s">
        <v>4535</v>
      </c>
      <c r="C4676" s="221">
        <v>42982.796956018516</v>
      </c>
      <c r="D4676" t="s">
        <v>25175</v>
      </c>
      <c r="E4676" s="249" t="str">
        <f>HYPERLINK("https://www.instagram.com/p/BYoxA6glTy6/")</f>
        <v>https://www.instagram.com/p/BYoxA6glTy6/</v>
      </c>
      <c r="F4676" t="s">
        <v>25176</v>
      </c>
      <c r="G4676" t="s">
        <v>2478</v>
      </c>
      <c r="H4676">
        <v>179</v>
      </c>
      <c r="I4676" t="s">
        <v>2479</v>
      </c>
      <c r="J4676">
        <v>0</v>
      </c>
      <c r="K4676">
        <v>18</v>
      </c>
      <c r="L4676">
        <v>18</v>
      </c>
      <c r="Q4676">
        <v>0</v>
      </c>
      <c r="R4676">
        <v>0</v>
      </c>
      <c r="S4676">
        <v>18</v>
      </c>
      <c r="Y4676" t="s">
        <v>4541</v>
      </c>
      <c r="Z4676" t="s">
        <v>4538</v>
      </c>
      <c r="AA4676" t="s">
        <v>4542</v>
      </c>
      <c r="AB4676" t="s">
        <v>5604</v>
      </c>
      <c r="AC4676" t="s">
        <v>5606</v>
      </c>
      <c r="AD4676" s="249" t="str">
        <f>HYPERLINK("https://scontent.cdninstagram.com/t51.2885-15/s320x320/e35/21296850_1431530423629761_6465071342747123712_n.jpg")</f>
        <v>https://scontent.cdninstagram.com/t51.2885-15/s320x320/e35/21296850_1431530423629761_6465071342747123712_n.jpg</v>
      </c>
      <c r="AE4676" s="249" t="str">
        <f>HYPERLINK("https://scontent.cdninstagram.com/t51.2885-19/s150x150/20399028_1624608414236560_533007696291430400_a.jpg")</f>
        <v>https://scontent.cdninstagram.com/t51.2885-19/s150x150/20399028_1624608414236560_533007696291430400_a.jpg</v>
      </c>
    </row>
    <row r="4677" spans="1:31" ht="15" x14ac:dyDescent="0.25">
      <c r="A4677" t="s">
        <v>2474</v>
      </c>
      <c r="B4677" t="s">
        <v>25177</v>
      </c>
      <c r="C4677" s="221">
        <v>42982.800775462965</v>
      </c>
      <c r="D4677" t="s">
        <v>25178</v>
      </c>
      <c r="E4677" s="249" t="str">
        <f>HYPERLINK("https://www.instagram.com/p/BYoxpOkHGHi/")</f>
        <v>https://www.instagram.com/p/BYoxpOkHGHi/</v>
      </c>
      <c r="F4677" t="s">
        <v>25179</v>
      </c>
      <c r="G4677" t="s">
        <v>2478</v>
      </c>
      <c r="H4677">
        <v>11</v>
      </c>
      <c r="I4677" t="s">
        <v>2479</v>
      </c>
      <c r="J4677">
        <v>1</v>
      </c>
      <c r="K4677">
        <v>6</v>
      </c>
      <c r="L4677">
        <v>7</v>
      </c>
      <c r="Q4677">
        <v>0</v>
      </c>
      <c r="R4677">
        <v>0</v>
      </c>
      <c r="S4677">
        <v>7</v>
      </c>
      <c r="Y4677" t="s">
        <v>25180</v>
      </c>
      <c r="Z4677" t="s">
        <v>25181</v>
      </c>
      <c r="AA4677" t="s">
        <v>9053</v>
      </c>
      <c r="AB4677" t="s">
        <v>25182</v>
      </c>
      <c r="AC4677" t="s">
        <v>25183</v>
      </c>
      <c r="AD4677" s="249" t="str">
        <f>HYPERLINK("https://scontent.cdninstagram.com/t51.2885-15/s320x320/e35/21433874_114571645948117_7640492471620730880_n.jpg")</f>
        <v>https://scontent.cdninstagram.com/t51.2885-15/s320x320/e35/21433874_114571645948117_7640492471620730880_n.jpg</v>
      </c>
      <c r="AE4677" s="249" t="str">
        <f>HYPERLINK("https://scontent.cdninstagram.com/t51.2885-19/s150x150/21373399_692808997591146_2129363374251704320_a.jpg")</f>
        <v>https://scontent.cdninstagram.com/t51.2885-19/s150x150/21373399_692808997591146_2129363374251704320_a.jpg</v>
      </c>
    </row>
    <row r="4678" spans="1:31" ht="15" x14ac:dyDescent="0.25">
      <c r="A4678" t="s">
        <v>2474</v>
      </c>
      <c r="B4678" t="s">
        <v>25184</v>
      </c>
      <c r="C4678" s="221">
        <v>42982.81659722222</v>
      </c>
      <c r="D4678" t="s">
        <v>25185</v>
      </c>
      <c r="E4678" s="249" t="str">
        <f>HYPERLINK("https://www.instagram.com/p/BYo0QDChR_I/")</f>
        <v>https://www.instagram.com/p/BYo0QDChR_I/</v>
      </c>
      <c r="F4678" t="s">
        <v>25186</v>
      </c>
      <c r="G4678" t="s">
        <v>2478</v>
      </c>
      <c r="H4678">
        <v>485</v>
      </c>
      <c r="I4678" t="s">
        <v>2479</v>
      </c>
      <c r="J4678">
        <v>0</v>
      </c>
      <c r="K4678">
        <v>14</v>
      </c>
      <c r="L4678">
        <v>14</v>
      </c>
      <c r="Q4678">
        <v>0</v>
      </c>
      <c r="R4678">
        <v>0</v>
      </c>
      <c r="S4678">
        <v>14</v>
      </c>
      <c r="T4678" t="s">
        <v>2936</v>
      </c>
      <c r="V4678" t="s">
        <v>2288</v>
      </c>
      <c r="W4678">
        <v>51.507114863623997</v>
      </c>
      <c r="X4678">
        <v>-0.12731805236353</v>
      </c>
      <c r="Y4678" t="s">
        <v>25187</v>
      </c>
      <c r="Z4678" t="s">
        <v>4839</v>
      </c>
      <c r="AA4678" t="s">
        <v>2497</v>
      </c>
      <c r="AB4678" t="s">
        <v>2906</v>
      </c>
      <c r="AC4678" t="s">
        <v>2492</v>
      </c>
      <c r="AD4678" s="249" t="str">
        <f>HYPERLINK("https://scontent.cdninstagram.com/t51.2885-15/s320x320/e35/21373578_1933365896905402_6063738281370058752_n.jpg")</f>
        <v>https://scontent.cdninstagram.com/t51.2885-15/s320x320/e35/21373578_1933365896905402_6063738281370058752_n.jpg</v>
      </c>
      <c r="AE4678" s="249" t="str">
        <f>HYPERLINK("https://scontent.cdninstagram.com/t51.2885-19/s150x150/21294507_163257130917373_7022748605337305088_n.jpg")</f>
        <v>https://scontent.cdninstagram.com/t51.2885-19/s150x150/21294507_163257130917373_7022748605337305088_n.jpg</v>
      </c>
    </row>
    <row r="4679" spans="1:31" ht="15" x14ac:dyDescent="0.25">
      <c r="A4679" t="s">
        <v>2474</v>
      </c>
      <c r="B4679" t="s">
        <v>4616</v>
      </c>
      <c r="C4679" s="221">
        <v>42982.8278125</v>
      </c>
      <c r="D4679" t="s">
        <v>25188</v>
      </c>
      <c r="E4679" s="249" t="str">
        <f>HYPERLINK("https://www.instagram.com/p/BYo2GW5Bpzs/")</f>
        <v>https://www.instagram.com/p/BYo2GW5Bpzs/</v>
      </c>
      <c r="F4679" t="s">
        <v>25189</v>
      </c>
      <c r="G4679" t="s">
        <v>2478</v>
      </c>
      <c r="H4679">
        <v>112</v>
      </c>
      <c r="I4679" t="s">
        <v>2479</v>
      </c>
      <c r="J4679">
        <v>1</v>
      </c>
      <c r="K4679">
        <v>29</v>
      </c>
      <c r="L4679">
        <v>30</v>
      </c>
      <c r="Q4679">
        <v>0</v>
      </c>
      <c r="R4679">
        <v>0</v>
      </c>
      <c r="S4679">
        <v>30</v>
      </c>
      <c r="T4679" t="s">
        <v>25190</v>
      </c>
      <c r="V4679" t="s">
        <v>2125</v>
      </c>
      <c r="W4679">
        <v>43.733899999999998</v>
      </c>
      <c r="X4679">
        <v>-79.359399999999994</v>
      </c>
      <c r="Y4679" t="s">
        <v>2575</v>
      </c>
      <c r="Z4679" t="s">
        <v>3569</v>
      </c>
      <c r="AA4679" t="s">
        <v>5005</v>
      </c>
      <c r="AB4679" t="s">
        <v>2866</v>
      </c>
      <c r="AC4679" t="s">
        <v>4808</v>
      </c>
      <c r="AD4679" s="249" t="str">
        <f>HYPERLINK("https://scontent.cdninstagram.com/t51.2885-15/e35/p320x320/21373438_690428671140227_3331083756109824000_n.jpg")</f>
        <v>https://scontent.cdninstagram.com/t51.2885-15/e35/p320x320/21373438_690428671140227_3331083756109824000_n.jpg</v>
      </c>
      <c r="AE4679" s="249" t="str">
        <f>HYPERLINK("https://scontent.cdninstagram.com/t51.2885-19/s150x150/17494353_1347957098574282_2527511313651859456_a.jpg")</f>
        <v>https://scontent.cdninstagram.com/t51.2885-19/s150x150/17494353_1347957098574282_2527511313651859456_a.jpg</v>
      </c>
    </row>
    <row r="4680" spans="1:31" ht="15" x14ac:dyDescent="0.25">
      <c r="A4680" t="s">
        <v>2474</v>
      </c>
      <c r="B4680" t="s">
        <v>5486</v>
      </c>
      <c r="C4680" s="221">
        <v>42982.828148148146</v>
      </c>
      <c r="D4680" t="s">
        <v>25191</v>
      </c>
      <c r="E4680" s="249" t="str">
        <f>HYPERLINK("https://www.instagram.com/p/BYo2J75jrOn/")</f>
        <v>https://www.instagram.com/p/BYo2J75jrOn/</v>
      </c>
      <c r="G4680" t="s">
        <v>2478</v>
      </c>
      <c r="H4680">
        <v>34082</v>
      </c>
      <c r="I4680" t="s">
        <v>2479</v>
      </c>
      <c r="J4680">
        <v>2</v>
      </c>
      <c r="K4680">
        <v>620</v>
      </c>
      <c r="L4680">
        <v>622</v>
      </c>
      <c r="Q4680">
        <v>0</v>
      </c>
      <c r="R4680">
        <v>0</v>
      </c>
      <c r="S4680">
        <v>622</v>
      </c>
      <c r="Y4680" t="s">
        <v>22761</v>
      </c>
      <c r="Z4680" t="s">
        <v>25192</v>
      </c>
      <c r="AA4680" t="s">
        <v>25193</v>
      </c>
      <c r="AB4680" t="s">
        <v>8604</v>
      </c>
      <c r="AC4680" t="s">
        <v>25194</v>
      </c>
      <c r="AD4680" s="249" t="str">
        <f>HYPERLINK("https://scontent.cdninstagram.com/t51.2885-15/s320x320/e35/21372379_1869617900022375_6379807630512095232_n.jpg")</f>
        <v>https://scontent.cdninstagram.com/t51.2885-15/s320x320/e35/21372379_1869617900022375_6379807630512095232_n.jpg</v>
      </c>
      <c r="AE4680" s="249" t="str">
        <f>HYPERLINK("https://scontent.cdninstagram.com/t51.2885-19/18096331_1858853611040874_8999714561263140864_n.jpg")</f>
        <v>https://scontent.cdninstagram.com/t51.2885-19/18096331_1858853611040874_8999714561263140864_n.jpg</v>
      </c>
    </row>
    <row r="4681" spans="1:31" ht="15" x14ac:dyDescent="0.25">
      <c r="A4681" t="s">
        <v>2474</v>
      </c>
      <c r="B4681" t="s">
        <v>7232</v>
      </c>
      <c r="C4681" s="221">
        <v>42982.828981481478</v>
      </c>
      <c r="D4681" t="s">
        <v>25195</v>
      </c>
      <c r="E4681" s="249" t="str">
        <f>HYPERLINK("https://www.instagram.com/p/BYo2SugnyRa/")</f>
        <v>https://www.instagram.com/p/BYo2SugnyRa/</v>
      </c>
      <c r="F4681" t="s">
        <v>25196</v>
      </c>
      <c r="G4681" t="s">
        <v>2478</v>
      </c>
      <c r="H4681">
        <v>531</v>
      </c>
      <c r="I4681" t="s">
        <v>2479</v>
      </c>
      <c r="J4681">
        <v>3</v>
      </c>
      <c r="K4681">
        <v>29</v>
      </c>
      <c r="L4681">
        <v>32</v>
      </c>
      <c r="Q4681">
        <v>0</v>
      </c>
      <c r="R4681">
        <v>0</v>
      </c>
      <c r="S4681">
        <v>32</v>
      </c>
      <c r="Y4681" t="s">
        <v>12174</v>
      </c>
      <c r="Z4681" t="s">
        <v>3262</v>
      </c>
      <c r="AA4681" t="s">
        <v>25197</v>
      </c>
      <c r="AB4681" t="s">
        <v>2543</v>
      </c>
      <c r="AC4681" t="s">
        <v>3209</v>
      </c>
      <c r="AD4681" s="249" t="str">
        <f>HYPERLINK("https://scontent.cdninstagram.com/t51.2885-15/s320x320/e35/21372053_123531414964662_1098930626075033600_n.jpg")</f>
        <v>https://scontent.cdninstagram.com/t51.2885-15/s320x320/e35/21372053_123531414964662_1098930626075033600_n.jpg</v>
      </c>
      <c r="AE4681" s="249" t="str">
        <f>HYPERLINK("https://scontent.cdninstagram.com/t51.2885-19/s150x150/14482263_1660577494243200_2334360342223650816_a.jpg")</f>
        <v>https://scontent.cdninstagram.com/t51.2885-19/s150x150/14482263_1660577494243200_2334360342223650816_a.jpg</v>
      </c>
    </row>
    <row r="4682" spans="1:31" ht="15" x14ac:dyDescent="0.25">
      <c r="A4682" t="s">
        <v>2474</v>
      </c>
      <c r="B4682" t="s">
        <v>7232</v>
      </c>
      <c r="C4682" s="221">
        <v>42982.830185185187</v>
      </c>
      <c r="D4682" t="s">
        <v>25198</v>
      </c>
      <c r="E4682" s="249" t="str">
        <f>HYPERLINK("https://www.instagram.com/p/BYo2fVYnMbM/")</f>
        <v>https://www.instagram.com/p/BYo2fVYnMbM/</v>
      </c>
      <c r="F4682" t="s">
        <v>25199</v>
      </c>
      <c r="G4682" t="s">
        <v>2478</v>
      </c>
      <c r="H4682">
        <v>531</v>
      </c>
      <c r="I4682" t="s">
        <v>2479</v>
      </c>
      <c r="J4682">
        <v>0</v>
      </c>
      <c r="K4682">
        <v>22</v>
      </c>
      <c r="L4682">
        <v>22</v>
      </c>
      <c r="Q4682">
        <v>0</v>
      </c>
      <c r="R4682">
        <v>0</v>
      </c>
      <c r="S4682">
        <v>22</v>
      </c>
      <c r="Y4682" t="s">
        <v>12174</v>
      </c>
      <c r="Z4682" t="s">
        <v>3262</v>
      </c>
      <c r="AA4682" t="s">
        <v>25197</v>
      </c>
      <c r="AB4682" t="s">
        <v>2543</v>
      </c>
      <c r="AC4682" t="s">
        <v>3209</v>
      </c>
      <c r="AD4682" s="249" t="str">
        <f>HYPERLINK("https://scontent.cdninstagram.com/t51.2885-15/s320x320/e35/21296984_1546044448786808_7038689363571507200_n.jpg")</f>
        <v>https://scontent.cdninstagram.com/t51.2885-15/s320x320/e35/21296984_1546044448786808_7038689363571507200_n.jpg</v>
      </c>
      <c r="AE4682" s="249" t="str">
        <f>HYPERLINK("https://scontent.cdninstagram.com/t51.2885-19/s150x150/14482263_1660577494243200_2334360342223650816_a.jpg")</f>
        <v>https://scontent.cdninstagram.com/t51.2885-19/s150x150/14482263_1660577494243200_2334360342223650816_a.jpg</v>
      </c>
    </row>
    <row r="4683" spans="1:31" ht="15" x14ac:dyDescent="0.25">
      <c r="A4683" t="s">
        <v>2474</v>
      </c>
      <c r="B4683" t="s">
        <v>7232</v>
      </c>
      <c r="C4683" s="221">
        <v>42982.832314814812</v>
      </c>
      <c r="D4683" t="s">
        <v>25200</v>
      </c>
      <c r="E4683" s="249" t="str">
        <f>HYPERLINK("https://www.instagram.com/p/BYo21xenDGV/")</f>
        <v>https://www.instagram.com/p/BYo21xenDGV/</v>
      </c>
      <c r="F4683" t="s">
        <v>25201</v>
      </c>
      <c r="G4683" t="s">
        <v>2478</v>
      </c>
      <c r="H4683">
        <v>531</v>
      </c>
      <c r="I4683" t="s">
        <v>2479</v>
      </c>
      <c r="J4683">
        <v>0</v>
      </c>
      <c r="K4683">
        <v>24</v>
      </c>
      <c r="L4683">
        <v>24</v>
      </c>
      <c r="Q4683">
        <v>0</v>
      </c>
      <c r="R4683">
        <v>0</v>
      </c>
      <c r="S4683">
        <v>24</v>
      </c>
      <c r="Y4683" t="s">
        <v>12174</v>
      </c>
      <c r="Z4683" t="s">
        <v>3262</v>
      </c>
      <c r="AA4683" t="s">
        <v>25197</v>
      </c>
      <c r="AB4683" t="s">
        <v>2543</v>
      </c>
      <c r="AC4683" t="s">
        <v>3209</v>
      </c>
      <c r="AD4683" s="249" t="str">
        <f>HYPERLINK("https://scontent.cdninstagram.com/t51.2885-15/s320x320/e35/21371750_115309015822006_8489505225688743936_n.jpg")</f>
        <v>https://scontent.cdninstagram.com/t51.2885-15/s320x320/e35/21371750_115309015822006_8489505225688743936_n.jpg</v>
      </c>
      <c r="AE4683" s="249" t="str">
        <f>HYPERLINK("https://scontent.cdninstagram.com/t51.2885-19/s150x150/14482263_1660577494243200_2334360342223650816_a.jpg")</f>
        <v>https://scontent.cdninstagram.com/t51.2885-19/s150x150/14482263_1660577494243200_2334360342223650816_a.jpg</v>
      </c>
    </row>
    <row r="4684" spans="1:31" ht="15" x14ac:dyDescent="0.25">
      <c r="A4684" t="s">
        <v>2474</v>
      </c>
      <c r="B4684" t="s">
        <v>7232</v>
      </c>
      <c r="C4684" s="221">
        <v>42982.833171296297</v>
      </c>
      <c r="D4684" t="s">
        <v>25202</v>
      </c>
      <c r="E4684" s="249" t="str">
        <f>HYPERLINK("https://www.instagram.com/p/BYo2-2rHGuL/")</f>
        <v>https://www.instagram.com/p/BYo2-2rHGuL/</v>
      </c>
      <c r="F4684" t="s">
        <v>25203</v>
      </c>
      <c r="G4684" t="s">
        <v>2631</v>
      </c>
      <c r="H4684">
        <v>531</v>
      </c>
      <c r="I4684" t="s">
        <v>2479</v>
      </c>
      <c r="J4684">
        <v>0</v>
      </c>
      <c r="K4684">
        <v>22</v>
      </c>
      <c r="L4684">
        <v>22</v>
      </c>
      <c r="Q4684">
        <v>0</v>
      </c>
      <c r="R4684">
        <v>0</v>
      </c>
      <c r="S4684">
        <v>22</v>
      </c>
      <c r="Y4684" t="s">
        <v>12174</v>
      </c>
      <c r="Z4684" t="s">
        <v>3262</v>
      </c>
      <c r="AA4684" t="s">
        <v>25197</v>
      </c>
      <c r="AB4684" t="s">
        <v>2543</v>
      </c>
      <c r="AC4684" t="s">
        <v>3209</v>
      </c>
      <c r="AD4684" s="249" t="str">
        <f>HYPERLINK("https://scontent.cdninstagram.com/t51.2885-15/s320x320/e15/21433829_1632954190090065_8633341812121010176_n.jpg")</f>
        <v>https://scontent.cdninstagram.com/t51.2885-15/s320x320/e15/21433829_1632954190090065_8633341812121010176_n.jpg</v>
      </c>
      <c r="AE4684" s="249" t="str">
        <f>HYPERLINK("https://scontent.cdninstagram.com/t51.2885-19/s150x150/14482263_1660577494243200_2334360342223650816_a.jpg")</f>
        <v>https://scontent.cdninstagram.com/t51.2885-19/s150x150/14482263_1660577494243200_2334360342223650816_a.jpg</v>
      </c>
    </row>
    <row r="4685" spans="1:31" ht="15" x14ac:dyDescent="0.25">
      <c r="A4685" t="s">
        <v>2474</v>
      </c>
      <c r="B4685" t="s">
        <v>3015</v>
      </c>
      <c r="C4685" s="221">
        <v>42982.844131944446</v>
      </c>
      <c r="D4685" t="s">
        <v>25204</v>
      </c>
      <c r="E4685" s="249" t="str">
        <f>HYPERLINK("https://www.instagram.com/p/BYo4yeggvO8/")</f>
        <v>https://www.instagram.com/p/BYo4yeggvO8/</v>
      </c>
      <c r="F4685" t="s">
        <v>25205</v>
      </c>
      <c r="G4685" t="s">
        <v>2478</v>
      </c>
      <c r="H4685">
        <v>254</v>
      </c>
      <c r="I4685" t="s">
        <v>2479</v>
      </c>
      <c r="J4685">
        <v>1</v>
      </c>
      <c r="K4685">
        <v>44</v>
      </c>
      <c r="L4685">
        <v>45</v>
      </c>
      <c r="Q4685">
        <v>0</v>
      </c>
      <c r="R4685">
        <v>0</v>
      </c>
      <c r="S4685">
        <v>45</v>
      </c>
      <c r="Y4685" t="s">
        <v>4129</v>
      </c>
      <c r="Z4685" t="s">
        <v>3727</v>
      </c>
      <c r="AA4685" t="s">
        <v>4127</v>
      </c>
      <c r="AB4685" t="s">
        <v>3856</v>
      </c>
      <c r="AC4685" t="s">
        <v>3165</v>
      </c>
      <c r="AD4685" s="249" t="str">
        <f>HYPERLINK("https://scontent.cdninstagram.com/t51.2885-15/s320x320/e35/21433824_114978665840443_1810871161043550208_n.jpg")</f>
        <v>https://scontent.cdninstagram.com/t51.2885-15/s320x320/e35/21433824_114978665840443_1810871161043550208_n.jpg</v>
      </c>
      <c r="AE4685" s="249" t="str">
        <f>HYPERLINK("https://scontent.cdninstagram.com/t51.2885-19/s150x150/21373025_723410537866046_6184601968204316672_a.jpg")</f>
        <v>https://scontent.cdninstagram.com/t51.2885-19/s150x150/21373025_723410537866046_6184601968204316672_a.jpg</v>
      </c>
    </row>
    <row r="4686" spans="1:31" ht="15" x14ac:dyDescent="0.25">
      <c r="A4686" t="s">
        <v>2474</v>
      </c>
      <c r="B4686" t="s">
        <v>25206</v>
      </c>
      <c r="C4686" s="221">
        <v>42982.848553240743</v>
      </c>
      <c r="D4686" t="s">
        <v>25207</v>
      </c>
      <c r="E4686" s="249" t="str">
        <f>HYPERLINK("https://www.instagram.com/p/BYo5hHglWuO/")</f>
        <v>https://www.instagram.com/p/BYo5hHglWuO/</v>
      </c>
      <c r="F4686" t="s">
        <v>25208</v>
      </c>
      <c r="G4686" t="s">
        <v>2478</v>
      </c>
      <c r="H4686">
        <v>161</v>
      </c>
      <c r="I4686" t="s">
        <v>2479</v>
      </c>
      <c r="J4686">
        <v>6</v>
      </c>
      <c r="K4686">
        <v>32</v>
      </c>
      <c r="L4686">
        <v>38</v>
      </c>
      <c r="Q4686">
        <v>0</v>
      </c>
      <c r="R4686">
        <v>0</v>
      </c>
      <c r="S4686">
        <v>38</v>
      </c>
      <c r="Y4686" t="s">
        <v>25209</v>
      </c>
      <c r="Z4686" t="s">
        <v>16476</v>
      </c>
      <c r="AA4686" t="s">
        <v>5706</v>
      </c>
      <c r="AB4686" t="s">
        <v>25210</v>
      </c>
      <c r="AC4686" t="s">
        <v>25211</v>
      </c>
      <c r="AD4686" s="249" t="str">
        <f>HYPERLINK("https://scontent.cdninstagram.com/t51.2885-15/s320x320/e35/21372358_1625128527562467_5028990843407564800_n.jpg")</f>
        <v>https://scontent.cdninstagram.com/t51.2885-15/s320x320/e35/21372358_1625128527562467_5028990843407564800_n.jpg</v>
      </c>
      <c r="AE4686" s="249" t="str">
        <f>HYPERLINK("https://scontent.cdninstagram.com/t51.2885-19/s150x150/21041947_212641062603839_4521517041223467008_a.jpg")</f>
        <v>https://scontent.cdninstagram.com/t51.2885-19/s150x150/21041947_212641062603839_4521517041223467008_a.jpg</v>
      </c>
    </row>
    <row r="4687" spans="1:31" ht="15" x14ac:dyDescent="0.25">
      <c r="A4687" t="s">
        <v>2474</v>
      </c>
      <c r="B4687" t="s">
        <v>3015</v>
      </c>
      <c r="C4687" s="221">
        <v>42982.849502314813</v>
      </c>
      <c r="D4687" t="s">
        <v>25212</v>
      </c>
      <c r="E4687" s="249" t="str">
        <f>HYPERLINK("https://www.instagram.com/p/BYo5rD7AIbT/")</f>
        <v>https://www.instagram.com/p/BYo5rD7AIbT/</v>
      </c>
      <c r="F4687" t="s">
        <v>25213</v>
      </c>
      <c r="G4687" t="s">
        <v>2478</v>
      </c>
      <c r="H4687">
        <v>254</v>
      </c>
      <c r="I4687" t="s">
        <v>2479</v>
      </c>
      <c r="J4687">
        <v>0</v>
      </c>
      <c r="K4687">
        <v>71</v>
      </c>
      <c r="L4687">
        <v>71</v>
      </c>
      <c r="Q4687">
        <v>0</v>
      </c>
      <c r="R4687">
        <v>0</v>
      </c>
      <c r="S4687">
        <v>71</v>
      </c>
      <c r="Y4687" t="s">
        <v>4129</v>
      </c>
      <c r="Z4687" t="s">
        <v>3727</v>
      </c>
      <c r="AA4687" t="s">
        <v>4127</v>
      </c>
      <c r="AB4687" t="s">
        <v>3856</v>
      </c>
      <c r="AC4687" t="s">
        <v>3165</v>
      </c>
      <c r="AD4687" s="249" t="str">
        <f>HYPERLINK("https://scontent.cdninstagram.com/t51.2885-15/s320x320/e35/21371987_139251036679530_6137158531092054016_n.jpg")</f>
        <v>https://scontent.cdninstagram.com/t51.2885-15/s320x320/e35/21371987_139251036679530_6137158531092054016_n.jpg</v>
      </c>
      <c r="AE4687" s="249" t="str">
        <f>HYPERLINK("https://scontent.cdninstagram.com/t51.2885-19/s150x150/21373025_723410537866046_6184601968204316672_a.jpg")</f>
        <v>https://scontent.cdninstagram.com/t51.2885-19/s150x150/21373025_723410537866046_6184601968204316672_a.jpg</v>
      </c>
    </row>
    <row r="4688" spans="1:31" ht="15" x14ac:dyDescent="0.25">
      <c r="A4688" t="s">
        <v>2474</v>
      </c>
      <c r="B4688" t="s">
        <v>7232</v>
      </c>
      <c r="C4688" s="221">
        <v>42982.86078703704</v>
      </c>
      <c r="D4688" t="s">
        <v>25214</v>
      </c>
      <c r="E4688" s="249" t="str">
        <f>HYPERLINK("https://www.instagram.com/p/BYo7iJyHU-F/")</f>
        <v>https://www.instagram.com/p/BYo7iJyHU-F/</v>
      </c>
      <c r="F4688" t="s">
        <v>25215</v>
      </c>
      <c r="G4688" t="s">
        <v>2478</v>
      </c>
      <c r="H4688">
        <v>531</v>
      </c>
      <c r="I4688" t="s">
        <v>2479</v>
      </c>
      <c r="J4688">
        <v>0</v>
      </c>
      <c r="K4688">
        <v>36</v>
      </c>
      <c r="L4688">
        <v>36</v>
      </c>
      <c r="Q4688">
        <v>0</v>
      </c>
      <c r="R4688">
        <v>0</v>
      </c>
      <c r="S4688">
        <v>36</v>
      </c>
      <c r="Y4688" t="s">
        <v>12174</v>
      </c>
      <c r="Z4688" t="s">
        <v>3262</v>
      </c>
      <c r="AA4688" t="s">
        <v>25197</v>
      </c>
      <c r="AB4688" t="s">
        <v>2543</v>
      </c>
      <c r="AC4688" t="s">
        <v>3209</v>
      </c>
      <c r="AD4688" s="249" t="str">
        <f>HYPERLINK("https://scontent.cdninstagram.com/t51.2885-15/e35/p320x320/21371638_799659336878044_96937222892158976_n.jpg")</f>
        <v>https://scontent.cdninstagram.com/t51.2885-15/e35/p320x320/21371638_799659336878044_96937222892158976_n.jpg</v>
      </c>
      <c r="AE4688" s="249" t="str">
        <f>HYPERLINK("https://scontent.cdninstagram.com/t51.2885-19/s150x150/14482263_1660577494243200_2334360342223650816_a.jpg")</f>
        <v>https://scontent.cdninstagram.com/t51.2885-19/s150x150/14482263_1660577494243200_2334360342223650816_a.jpg</v>
      </c>
    </row>
    <row r="4689" spans="1:31" ht="15" x14ac:dyDescent="0.25">
      <c r="A4689" t="s">
        <v>2474</v>
      </c>
      <c r="B4689" t="s">
        <v>7232</v>
      </c>
      <c r="C4689" s="221">
        <v>42982.861770833333</v>
      </c>
      <c r="D4689" t="s">
        <v>25216</v>
      </c>
      <c r="E4689" s="249" t="str">
        <f>HYPERLINK("https://www.instagram.com/p/BYo7sgAn8UN/")</f>
        <v>https://www.instagram.com/p/BYo7sgAn8UN/</v>
      </c>
      <c r="F4689" t="s">
        <v>25217</v>
      </c>
      <c r="G4689" t="s">
        <v>2631</v>
      </c>
      <c r="H4689">
        <v>531</v>
      </c>
      <c r="I4689" t="s">
        <v>2479</v>
      </c>
      <c r="J4689">
        <v>0</v>
      </c>
      <c r="K4689">
        <v>26</v>
      </c>
      <c r="L4689">
        <v>26</v>
      </c>
      <c r="Q4689">
        <v>0</v>
      </c>
      <c r="R4689">
        <v>0</v>
      </c>
      <c r="S4689">
        <v>26</v>
      </c>
      <c r="Y4689" t="s">
        <v>12174</v>
      </c>
      <c r="Z4689" t="s">
        <v>3262</v>
      </c>
      <c r="AA4689" t="s">
        <v>25197</v>
      </c>
      <c r="AB4689" t="s">
        <v>2543</v>
      </c>
      <c r="AC4689" t="s">
        <v>3209</v>
      </c>
      <c r="AD4689" s="249" t="str">
        <f>HYPERLINK("https://scontent.cdninstagram.com/t51.2885-15/e15/p320x320/21435375_490629124624874_4748890926246526976_n.jpg")</f>
        <v>https://scontent.cdninstagram.com/t51.2885-15/e15/p320x320/21435375_490629124624874_4748890926246526976_n.jpg</v>
      </c>
      <c r="AE4689" s="249" t="str">
        <f>HYPERLINK("https://scontent.cdninstagram.com/t51.2885-19/s150x150/14482263_1660577494243200_2334360342223650816_a.jpg")</f>
        <v>https://scontent.cdninstagram.com/t51.2885-19/s150x150/14482263_1660577494243200_2334360342223650816_a.jpg</v>
      </c>
    </row>
    <row r="4690" spans="1:31" ht="15" x14ac:dyDescent="0.25">
      <c r="A4690" t="s">
        <v>2474</v>
      </c>
      <c r="B4690" t="s">
        <v>7232</v>
      </c>
      <c r="C4690" s="221">
        <v>42982.862870370373</v>
      </c>
      <c r="D4690" t="s">
        <v>25218</v>
      </c>
      <c r="E4690" s="249" t="str">
        <f>HYPERLINK("https://www.instagram.com/p/BYo74CxHnz7/")</f>
        <v>https://www.instagram.com/p/BYo74CxHnz7/</v>
      </c>
      <c r="F4690" t="s">
        <v>25219</v>
      </c>
      <c r="G4690" t="s">
        <v>2631</v>
      </c>
      <c r="H4690">
        <v>531</v>
      </c>
      <c r="I4690" t="s">
        <v>2479</v>
      </c>
      <c r="J4690">
        <v>0</v>
      </c>
      <c r="K4690">
        <v>30</v>
      </c>
      <c r="L4690">
        <v>30</v>
      </c>
      <c r="Q4690">
        <v>0</v>
      </c>
      <c r="R4690">
        <v>0</v>
      </c>
      <c r="S4690">
        <v>30</v>
      </c>
      <c r="Y4690" t="s">
        <v>12174</v>
      </c>
      <c r="Z4690" t="s">
        <v>3262</v>
      </c>
      <c r="AA4690" t="s">
        <v>25197</v>
      </c>
      <c r="AB4690" t="s">
        <v>2543</v>
      </c>
      <c r="AC4690" t="s">
        <v>3209</v>
      </c>
      <c r="AD4690" s="249" t="str">
        <f>HYPERLINK("https://scontent.cdninstagram.com/t51.2885-15/e15/p320x320/21372931_1712056802423982_7897662284237897728_n.jpg")</f>
        <v>https://scontent.cdninstagram.com/t51.2885-15/e15/p320x320/21372931_1712056802423982_7897662284237897728_n.jpg</v>
      </c>
      <c r="AE4690" s="249" t="str">
        <f>HYPERLINK("https://scontent.cdninstagram.com/t51.2885-19/s150x150/14482263_1660577494243200_2334360342223650816_a.jpg")</f>
        <v>https://scontent.cdninstagram.com/t51.2885-19/s150x150/14482263_1660577494243200_2334360342223650816_a.jpg</v>
      </c>
    </row>
    <row r="4691" spans="1:31" ht="15" x14ac:dyDescent="0.25">
      <c r="A4691" t="s">
        <v>2474</v>
      </c>
      <c r="B4691" t="s">
        <v>25220</v>
      </c>
      <c r="C4691" s="221">
        <v>42982.868842592594</v>
      </c>
      <c r="D4691" t="s">
        <v>25221</v>
      </c>
      <c r="E4691" s="249" t="str">
        <f>HYPERLINK("https://www.instagram.com/p/BYo83GgDm0t/")</f>
        <v>https://www.instagram.com/p/BYo83GgDm0t/</v>
      </c>
      <c r="F4691" t="s">
        <v>25222</v>
      </c>
      <c r="G4691" t="s">
        <v>2488</v>
      </c>
      <c r="H4691">
        <v>323</v>
      </c>
      <c r="I4691" t="s">
        <v>2479</v>
      </c>
      <c r="J4691">
        <v>3</v>
      </c>
      <c r="K4691">
        <v>78</v>
      </c>
      <c r="L4691">
        <v>81</v>
      </c>
      <c r="Q4691">
        <v>0</v>
      </c>
      <c r="R4691">
        <v>0</v>
      </c>
      <c r="S4691">
        <v>81</v>
      </c>
      <c r="Y4691" t="s">
        <v>8400</v>
      </c>
      <c r="Z4691" t="s">
        <v>25223</v>
      </c>
      <c r="AA4691" t="s">
        <v>25224</v>
      </c>
      <c r="AB4691" t="s">
        <v>25225</v>
      </c>
      <c r="AC4691" t="s">
        <v>6790</v>
      </c>
      <c r="AD4691" s="249" t="str">
        <f>HYPERLINK("https://scontent.cdninstagram.com/t51.2885-15/e35/p320x320/21372324_165163457392735_2331295492215930880_n.jpg")</f>
        <v>https://scontent.cdninstagram.com/t51.2885-15/e35/p320x320/21372324_165163457392735_2331295492215930880_n.jpg</v>
      </c>
      <c r="AE4691" s="249" t="str">
        <f>HYPERLINK("https://scontent.cdninstagram.com/t51.2885-19/s150x150/21479928_198783730661130_4612927440069591040_a.jpg")</f>
        <v>https://scontent.cdninstagram.com/t51.2885-19/s150x150/21479928_198783730661130_4612927440069591040_a.jpg</v>
      </c>
    </row>
    <row r="4692" spans="1:31" ht="15" x14ac:dyDescent="0.25">
      <c r="A4692" t="s">
        <v>2474</v>
      </c>
      <c r="B4692" t="s">
        <v>17738</v>
      </c>
      <c r="C4692" s="221">
        <v>42982.870659722219</v>
      </c>
      <c r="D4692" t="s">
        <v>25226</v>
      </c>
      <c r="E4692" s="249" t="str">
        <f>HYPERLINK("https://www.instagram.com/p/BYo9KSOhzns/")</f>
        <v>https://www.instagram.com/p/BYo9KSOhzns/</v>
      </c>
      <c r="F4692" t="s">
        <v>24418</v>
      </c>
      <c r="G4692" t="s">
        <v>2478</v>
      </c>
      <c r="H4692">
        <v>69102</v>
      </c>
      <c r="I4692" t="s">
        <v>2479</v>
      </c>
      <c r="J4692">
        <v>0</v>
      </c>
      <c r="K4692">
        <v>14</v>
      </c>
      <c r="L4692">
        <v>14</v>
      </c>
      <c r="Q4692">
        <v>0</v>
      </c>
      <c r="R4692">
        <v>0</v>
      </c>
      <c r="S4692">
        <v>14</v>
      </c>
      <c r="Y4692" t="s">
        <v>2575</v>
      </c>
      <c r="Z4692" t="s">
        <v>3764</v>
      </c>
      <c r="AA4692" t="s">
        <v>4561</v>
      </c>
      <c r="AB4692" t="s">
        <v>3760</v>
      </c>
      <c r="AC4692" t="s">
        <v>11395</v>
      </c>
      <c r="AD4692" s="249" t="str">
        <f>HYPERLINK("https://scontent.cdninstagram.com/t51.2885-15/s320x320/e35/21433599_1508342389286121_4358868815862300672_n.jpg")</f>
        <v>https://scontent.cdninstagram.com/t51.2885-15/s320x320/e35/21433599_1508342389286121_4358868815862300672_n.jpg</v>
      </c>
      <c r="AE4692" s="249" t="str">
        <f>HYPERLINK("https://scontent.cdninstagram.com/t51.2885-19/s150x150/14701076_1598337030462226_7312252327623131136_a.jpg")</f>
        <v>https://scontent.cdninstagram.com/t51.2885-19/s150x150/14701076_1598337030462226_7312252327623131136_a.jpg</v>
      </c>
    </row>
    <row r="4693" spans="1:31" ht="15" x14ac:dyDescent="0.25">
      <c r="A4693" t="s">
        <v>2474</v>
      </c>
      <c r="B4693" t="s">
        <v>25227</v>
      </c>
      <c r="C4693" s="221">
        <v>42982.874236111114</v>
      </c>
      <c r="D4693" t="s">
        <v>25228</v>
      </c>
      <c r="E4693" s="249" t="str">
        <f>HYPERLINK("https://www.instagram.com/p/BYo9v8IHpkN/")</f>
        <v>https://www.instagram.com/p/BYo9v8IHpkN/</v>
      </c>
      <c r="F4693" t="s">
        <v>25229</v>
      </c>
      <c r="G4693" t="s">
        <v>2478</v>
      </c>
      <c r="H4693">
        <v>3580</v>
      </c>
      <c r="I4693" t="s">
        <v>2479</v>
      </c>
      <c r="J4693">
        <v>2</v>
      </c>
      <c r="K4693">
        <v>120</v>
      </c>
      <c r="L4693">
        <v>122</v>
      </c>
      <c r="Q4693">
        <v>0</v>
      </c>
      <c r="R4693">
        <v>0</v>
      </c>
      <c r="S4693">
        <v>122</v>
      </c>
      <c r="Y4693" t="s">
        <v>16507</v>
      </c>
      <c r="Z4693" t="s">
        <v>25230</v>
      </c>
      <c r="AA4693" t="s">
        <v>25231</v>
      </c>
      <c r="AB4693" t="s">
        <v>21916</v>
      </c>
      <c r="AC4693" t="s">
        <v>6811</v>
      </c>
      <c r="AD4693" s="249" t="str">
        <f>HYPERLINK("https://scontent.cdninstagram.com/t51.2885-15/e35/p320x320/21372168_514564775571475_8781728933583257600_n.jpg")</f>
        <v>https://scontent.cdninstagram.com/t51.2885-15/e35/p320x320/21372168_514564775571475_8781728933583257600_n.jpg</v>
      </c>
      <c r="AE4693" s="249" t="str">
        <f>HYPERLINK("https://scontent.cdninstagram.com/t51.2885-19/s150x150/20479008_1909621269292870_1861366262613934080_a.jpg")</f>
        <v>https://scontent.cdninstagram.com/t51.2885-19/s150x150/20479008_1909621269292870_1861366262613934080_a.jpg</v>
      </c>
    </row>
    <row r="4694" spans="1:31" ht="15" x14ac:dyDescent="0.25">
      <c r="A4694" t="s">
        <v>2474</v>
      </c>
      <c r="B4694" t="s">
        <v>25232</v>
      </c>
      <c r="C4694" s="221">
        <v>42982.874351851853</v>
      </c>
      <c r="D4694" t="s">
        <v>25233</v>
      </c>
      <c r="E4694" s="249" t="str">
        <f>HYPERLINK("https://www.instagram.com/p/BYo9xOOnyrx/")</f>
        <v>https://www.instagram.com/p/BYo9xOOnyrx/</v>
      </c>
      <c r="F4694" t="s">
        <v>25229</v>
      </c>
      <c r="G4694" t="s">
        <v>2478</v>
      </c>
      <c r="H4694">
        <v>1622</v>
      </c>
      <c r="I4694" t="s">
        <v>2479</v>
      </c>
      <c r="J4694">
        <v>48</v>
      </c>
      <c r="K4694">
        <v>4976</v>
      </c>
      <c r="L4694">
        <v>5024</v>
      </c>
      <c r="Q4694">
        <v>0</v>
      </c>
      <c r="R4694">
        <v>0</v>
      </c>
      <c r="S4694">
        <v>5024</v>
      </c>
      <c r="Y4694" t="s">
        <v>16507</v>
      </c>
      <c r="Z4694" t="s">
        <v>25230</v>
      </c>
      <c r="AA4694" t="s">
        <v>25231</v>
      </c>
      <c r="AB4694" t="s">
        <v>21916</v>
      </c>
      <c r="AC4694" t="s">
        <v>6811</v>
      </c>
      <c r="AD4694" s="249" t="str">
        <f>HYPERLINK("https://scontent.cdninstagram.com/t51.2885-15/e35/p320x320/21371995_472132196489809_4939476801471643648_n.jpg")</f>
        <v>https://scontent.cdninstagram.com/t51.2885-15/e35/p320x320/21371995_472132196489809_4939476801471643648_n.jpg</v>
      </c>
      <c r="AE4694" s="249" t="str">
        <f>HYPERLINK("https://scontent.cdninstagram.com/t51.2885-19/s150x150/20393543_1934212136849681_3649587423995756544_a.jpg")</f>
        <v>https://scontent.cdninstagram.com/t51.2885-19/s150x150/20393543_1934212136849681_3649587423995756544_a.jpg</v>
      </c>
    </row>
    <row r="4695" spans="1:31" ht="15" x14ac:dyDescent="0.25">
      <c r="A4695" t="s">
        <v>2474</v>
      </c>
      <c r="B4695" t="s">
        <v>25234</v>
      </c>
      <c r="C4695" s="221">
        <v>42982.877789351849</v>
      </c>
      <c r="D4695" t="s">
        <v>25235</v>
      </c>
      <c r="E4695" s="249" t="str">
        <f>HYPERLINK("https://www.instagram.com/p/BYo-VYeAEEx/")</f>
        <v>https://www.instagram.com/p/BYo-VYeAEEx/</v>
      </c>
      <c r="F4695" t="s">
        <v>25236</v>
      </c>
      <c r="G4695" t="s">
        <v>2631</v>
      </c>
      <c r="H4695">
        <v>657</v>
      </c>
      <c r="I4695" t="s">
        <v>2510</v>
      </c>
      <c r="J4695">
        <v>2</v>
      </c>
      <c r="K4695">
        <v>25</v>
      </c>
      <c r="L4695">
        <v>27</v>
      </c>
      <c r="Q4695">
        <v>0</v>
      </c>
      <c r="R4695">
        <v>0</v>
      </c>
      <c r="S4695">
        <v>27</v>
      </c>
      <c r="Y4695" t="s">
        <v>25237</v>
      </c>
      <c r="Z4695" t="s">
        <v>25238</v>
      </c>
      <c r="AA4695" t="s">
        <v>25239</v>
      </c>
      <c r="AB4695" t="s">
        <v>2615</v>
      </c>
      <c r="AC4695" t="s">
        <v>25240</v>
      </c>
      <c r="AD4695" s="249" t="str">
        <f>HYPERLINK("https://scontent.cdninstagram.com/t51.2885-15/e15/p320x320/21372406_1600013886739168_6439000268490145792_n.jpg")</f>
        <v>https://scontent.cdninstagram.com/t51.2885-15/e15/p320x320/21372406_1600013886739168_6439000268490145792_n.jpg</v>
      </c>
      <c r="AE4695" s="249" t="str">
        <f>HYPERLINK("https://scontent.cdninstagram.com/t51.2885-19/s150x150/21435784_1569696846420480_5971705056431439872_a.jpg")</f>
        <v>https://scontent.cdninstagram.com/t51.2885-19/s150x150/21435784_1569696846420480_5971705056431439872_a.jpg</v>
      </c>
    </row>
    <row r="4696" spans="1:31" ht="15" x14ac:dyDescent="0.25">
      <c r="A4696" t="s">
        <v>2474</v>
      </c>
      <c r="B4696" t="s">
        <v>25241</v>
      </c>
      <c r="C4696" s="221">
        <v>42982.877997685187</v>
      </c>
      <c r="D4696" t="s">
        <v>25242</v>
      </c>
      <c r="E4696" s="249" t="str">
        <f>HYPERLINK("https://www.instagram.com/p/BYo-XnDB5am/")</f>
        <v>https://www.instagram.com/p/BYo-XnDB5am/</v>
      </c>
      <c r="F4696" t="s">
        <v>25243</v>
      </c>
      <c r="G4696" t="s">
        <v>2478</v>
      </c>
      <c r="H4696">
        <v>4389</v>
      </c>
      <c r="I4696" t="s">
        <v>2786</v>
      </c>
      <c r="J4696">
        <v>1</v>
      </c>
      <c r="K4696">
        <v>41</v>
      </c>
      <c r="L4696">
        <v>42</v>
      </c>
      <c r="Q4696">
        <v>0</v>
      </c>
      <c r="R4696">
        <v>0</v>
      </c>
      <c r="S4696">
        <v>42</v>
      </c>
      <c r="Y4696" t="s">
        <v>6761</v>
      </c>
      <c r="Z4696" t="s">
        <v>25244</v>
      </c>
      <c r="AA4696" t="s">
        <v>11249</v>
      </c>
      <c r="AB4696" t="s">
        <v>14744</v>
      </c>
      <c r="AC4696" t="s">
        <v>25245</v>
      </c>
      <c r="AD4696" s="249" t="str">
        <f>HYPERLINK("https://scontent.cdninstagram.com/t51.2885-15/e35/p320x320/21373608_1435963439792715_257994029726171136_n.jpg")</f>
        <v>https://scontent.cdninstagram.com/t51.2885-15/e35/p320x320/21373608_1435963439792715_257994029726171136_n.jpg</v>
      </c>
      <c r="AE4696" s="249" t="str">
        <f>HYPERLINK("https://scontent.cdninstagram.com/t51.2885-19/s150x150/12628049_763409330459484_1846783210_a.jpg")</f>
        <v>https://scontent.cdninstagram.com/t51.2885-19/s150x150/12628049_763409330459484_1846783210_a.jpg</v>
      </c>
    </row>
    <row r="4697" spans="1:31" ht="15" x14ac:dyDescent="0.25">
      <c r="A4697" t="s">
        <v>2474</v>
      </c>
      <c r="B4697" t="s">
        <v>25246</v>
      </c>
      <c r="C4697" s="221">
        <v>42982.878935185188</v>
      </c>
      <c r="D4697" t="s">
        <v>25247</v>
      </c>
      <c r="E4697" s="249" t="str">
        <f>HYPERLINK("https://www.instagram.com/p/BYo-hdzHEyg/")</f>
        <v>https://www.instagram.com/p/BYo-hdzHEyg/</v>
      </c>
      <c r="F4697" t="s">
        <v>25248</v>
      </c>
      <c r="G4697" t="s">
        <v>2478</v>
      </c>
      <c r="H4697">
        <v>2196</v>
      </c>
      <c r="I4697" t="s">
        <v>2479</v>
      </c>
      <c r="J4697">
        <v>3</v>
      </c>
      <c r="K4697">
        <v>38</v>
      </c>
      <c r="L4697">
        <v>41</v>
      </c>
      <c r="Q4697">
        <v>0</v>
      </c>
      <c r="R4697">
        <v>0</v>
      </c>
      <c r="S4697">
        <v>41</v>
      </c>
      <c r="Y4697" t="s">
        <v>3764</v>
      </c>
      <c r="Z4697" t="s">
        <v>4561</v>
      </c>
      <c r="AA4697" t="s">
        <v>25249</v>
      </c>
      <c r="AB4697" t="s">
        <v>17668</v>
      </c>
      <c r="AC4697" t="s">
        <v>25250</v>
      </c>
      <c r="AD4697" s="249" t="str">
        <f>HYPERLINK("https://scontent.cdninstagram.com/t51.2885-15/s320x320/e35/21372369_621363531584439_8367205847251550208_n.jpg")</f>
        <v>https://scontent.cdninstagram.com/t51.2885-15/s320x320/e35/21372369_621363531584439_8367205847251550208_n.jpg</v>
      </c>
      <c r="AE4697" s="249" t="str">
        <f>HYPERLINK("https://scontent.cdninstagram.com/t51.2885-19/s150x150/17495173_266849997105800_1828998521487884288_a.jpg")</f>
        <v>https://scontent.cdninstagram.com/t51.2885-19/s150x150/17495173_266849997105800_1828998521487884288_a.jpg</v>
      </c>
    </row>
    <row r="4698" spans="1:31" ht="15" x14ac:dyDescent="0.25">
      <c r="A4698" t="s">
        <v>2474</v>
      </c>
      <c r="B4698" t="s">
        <v>3761</v>
      </c>
      <c r="C4698" s="221">
        <v>42982.879143518519</v>
      </c>
      <c r="D4698" t="s">
        <v>25251</v>
      </c>
      <c r="E4698" s="249" t="str">
        <f>HYPERLINK("https://www.instagram.com/p/BYo-jqbnU5W/")</f>
        <v>https://www.instagram.com/p/BYo-jqbnU5W/</v>
      </c>
      <c r="F4698" t="s">
        <v>25248</v>
      </c>
      <c r="G4698" t="s">
        <v>2478</v>
      </c>
      <c r="H4698">
        <v>35460</v>
      </c>
      <c r="I4698" t="s">
        <v>2479</v>
      </c>
      <c r="J4698">
        <v>0</v>
      </c>
      <c r="K4698">
        <v>12</v>
      </c>
      <c r="L4698">
        <v>12</v>
      </c>
      <c r="Q4698">
        <v>0</v>
      </c>
      <c r="R4698">
        <v>0</v>
      </c>
      <c r="S4698">
        <v>12</v>
      </c>
      <c r="Y4698" t="s">
        <v>3764</v>
      </c>
      <c r="Z4698" t="s">
        <v>4561</v>
      </c>
      <c r="AA4698" t="s">
        <v>25249</v>
      </c>
      <c r="AB4698" t="s">
        <v>17668</v>
      </c>
      <c r="AC4698" t="s">
        <v>25250</v>
      </c>
      <c r="AD4698" s="249" t="str">
        <f>HYPERLINK("https://scontent.cdninstagram.com/t51.2885-15/s320x320/e35/21296877_1994186684146352_3027631844062396416_n.jpg")</f>
        <v>https://scontent.cdninstagram.com/t51.2885-15/s320x320/e35/21296877_1994186684146352_3027631844062396416_n.jpg</v>
      </c>
      <c r="AE4698" s="249" t="str">
        <f>HYPERLINK("https://scontent.cdninstagram.com/t51.2885-19/s150x150/19985865_1705783593058831_5928851088227696640_n.jpg")</f>
        <v>https://scontent.cdninstagram.com/t51.2885-19/s150x150/19985865_1705783593058831_5928851088227696640_n.jpg</v>
      </c>
    </row>
    <row r="4699" spans="1:31" ht="15" x14ac:dyDescent="0.25">
      <c r="A4699" t="s">
        <v>2474</v>
      </c>
      <c r="B4699" t="s">
        <v>17738</v>
      </c>
      <c r="C4699" s="221">
        <v>42982.879305555558</v>
      </c>
      <c r="D4699" t="s">
        <v>25252</v>
      </c>
      <c r="E4699" s="249" t="str">
        <f>HYPERLINK("https://www.instagram.com/p/BYo-lbXhnbY/")</f>
        <v>https://www.instagram.com/p/BYo-lbXhnbY/</v>
      </c>
      <c r="F4699" t="s">
        <v>25248</v>
      </c>
      <c r="G4699" t="s">
        <v>2478</v>
      </c>
      <c r="H4699">
        <v>69102</v>
      </c>
      <c r="I4699" t="s">
        <v>2479</v>
      </c>
      <c r="J4699">
        <v>1</v>
      </c>
      <c r="K4699">
        <v>17</v>
      </c>
      <c r="L4699">
        <v>18</v>
      </c>
      <c r="Q4699">
        <v>0</v>
      </c>
      <c r="R4699">
        <v>0</v>
      </c>
      <c r="S4699">
        <v>18</v>
      </c>
      <c r="Y4699" t="s">
        <v>3764</v>
      </c>
      <c r="Z4699" t="s">
        <v>4561</v>
      </c>
      <c r="AA4699" t="s">
        <v>25249</v>
      </c>
      <c r="AB4699" t="s">
        <v>17668</v>
      </c>
      <c r="AC4699" t="s">
        <v>25250</v>
      </c>
      <c r="AD4699" s="249" t="str">
        <f>HYPERLINK("https://scontent.cdninstagram.com/t51.2885-15/s320x320/e35/21371839_113260956035963_7181390648413519872_n.jpg")</f>
        <v>https://scontent.cdninstagram.com/t51.2885-15/s320x320/e35/21371839_113260956035963_7181390648413519872_n.jpg</v>
      </c>
      <c r="AE4699" s="249" t="str">
        <f>HYPERLINK("https://scontent.cdninstagram.com/t51.2885-19/s150x150/14701076_1598337030462226_7312252327623131136_a.jpg")</f>
        <v>https://scontent.cdninstagram.com/t51.2885-19/s150x150/14701076_1598337030462226_7312252327623131136_a.jpg</v>
      </c>
    </row>
    <row r="4700" spans="1:31" ht="15" x14ac:dyDescent="0.25">
      <c r="A4700" t="s">
        <v>2474</v>
      </c>
      <c r="B4700" t="s">
        <v>23384</v>
      </c>
      <c r="C4700" s="221">
        <v>42982.879490740743</v>
      </c>
      <c r="D4700" t="s">
        <v>25253</v>
      </c>
      <c r="E4700" s="249" t="str">
        <f>HYPERLINK("https://www.instagram.com/p/BYo-nVclVqp/")</f>
        <v>https://www.instagram.com/p/BYo-nVclVqp/</v>
      </c>
      <c r="F4700" t="s">
        <v>25248</v>
      </c>
      <c r="G4700" t="s">
        <v>2478</v>
      </c>
      <c r="H4700">
        <v>1814</v>
      </c>
      <c r="I4700" t="s">
        <v>2479</v>
      </c>
      <c r="J4700">
        <v>0</v>
      </c>
      <c r="K4700">
        <v>10</v>
      </c>
      <c r="L4700">
        <v>10</v>
      </c>
      <c r="Q4700">
        <v>0</v>
      </c>
      <c r="R4700">
        <v>0</v>
      </c>
      <c r="S4700">
        <v>10</v>
      </c>
      <c r="Y4700" t="s">
        <v>3764</v>
      </c>
      <c r="Z4700" t="s">
        <v>4561</v>
      </c>
      <c r="AA4700" t="s">
        <v>25249</v>
      </c>
      <c r="AB4700" t="s">
        <v>17668</v>
      </c>
      <c r="AC4700" t="s">
        <v>25250</v>
      </c>
      <c r="AD4700" s="249" t="str">
        <f>HYPERLINK("https://scontent.cdninstagram.com/t51.2885-15/s320x320/e35/21296914_168830003678757_8296690799307915264_n.jpg")</f>
        <v>https://scontent.cdninstagram.com/t51.2885-15/s320x320/e35/21296914_168830003678757_8296690799307915264_n.jpg</v>
      </c>
      <c r="AE4700" s="249" t="str">
        <f>HYPERLINK("https://scontent.cdninstagram.com/t51.2885-19/s150x150/12819049_233677940312363_1367950752_a.jpg")</f>
        <v>https://scontent.cdninstagram.com/t51.2885-19/s150x150/12819049_233677940312363_1367950752_a.jpg</v>
      </c>
    </row>
    <row r="4701" spans="1:31" ht="15" x14ac:dyDescent="0.25">
      <c r="A4701" t="s">
        <v>2474</v>
      </c>
      <c r="B4701" t="s">
        <v>7793</v>
      </c>
      <c r="C4701" s="221">
        <v>42982.880462962959</v>
      </c>
      <c r="D4701" t="s">
        <v>25254</v>
      </c>
      <c r="E4701" s="249" t="str">
        <f>HYPERLINK("https://www.instagram.com/p/BYo-xogHVE0/")</f>
        <v>https://www.instagram.com/p/BYo-xogHVE0/</v>
      </c>
      <c r="F4701" t="s">
        <v>25255</v>
      </c>
      <c r="G4701" t="s">
        <v>2478</v>
      </c>
      <c r="H4701">
        <v>5804</v>
      </c>
      <c r="I4701" t="s">
        <v>2479</v>
      </c>
      <c r="J4701">
        <v>1</v>
      </c>
      <c r="K4701">
        <v>155</v>
      </c>
      <c r="L4701">
        <v>156</v>
      </c>
      <c r="Q4701">
        <v>0</v>
      </c>
      <c r="R4701">
        <v>0</v>
      </c>
      <c r="S4701">
        <v>156</v>
      </c>
      <c r="T4701" t="s">
        <v>25256</v>
      </c>
      <c r="V4701" t="s">
        <v>2102</v>
      </c>
      <c r="W4701">
        <v>-33.856784986765</v>
      </c>
      <c r="X4701">
        <v>151.21528387070001</v>
      </c>
      <c r="Y4701" t="s">
        <v>2696</v>
      </c>
      <c r="Z4701" t="s">
        <v>4174</v>
      </c>
      <c r="AA4701" t="s">
        <v>2497</v>
      </c>
      <c r="AB4701" t="s">
        <v>6806</v>
      </c>
      <c r="AC4701" t="s">
        <v>7950</v>
      </c>
      <c r="AD4701" s="249" t="str">
        <f>HYPERLINK("https://scontent.cdninstagram.com/t51.2885-15/s320x320/e35/21435901_745890518941835_631870013719969792_n.jpg")</f>
        <v>https://scontent.cdninstagram.com/t51.2885-15/s320x320/e35/21435901_745890518941835_631870013719969792_n.jpg</v>
      </c>
      <c r="AE4701" s="249" t="str">
        <f>HYPERLINK("https://scontent.cdninstagram.com/t51.2885-19/s150x150/14295311_507350922808081_1928455761_a.jpg")</f>
        <v>https://scontent.cdninstagram.com/t51.2885-19/s150x150/14295311_507350922808081_1928455761_a.jpg</v>
      </c>
    </row>
    <row r="4702" spans="1:31" ht="15" x14ac:dyDescent="0.25">
      <c r="A4702" t="s">
        <v>2474</v>
      </c>
      <c r="B4702" t="s">
        <v>17158</v>
      </c>
      <c r="C4702" s="221">
        <v>42982.884212962963</v>
      </c>
      <c r="D4702" t="s">
        <v>25257</v>
      </c>
      <c r="E4702" s="249" t="str">
        <f>HYPERLINK("https://www.instagram.com/p/BYo_ZP1hqvr/")</f>
        <v>https://www.instagram.com/p/BYo_ZP1hqvr/</v>
      </c>
      <c r="F4702" t="s">
        <v>25258</v>
      </c>
      <c r="G4702" t="s">
        <v>2488</v>
      </c>
      <c r="H4702">
        <v>384</v>
      </c>
      <c r="I4702" t="s">
        <v>2479</v>
      </c>
      <c r="J4702">
        <v>5</v>
      </c>
      <c r="K4702">
        <v>81</v>
      </c>
      <c r="L4702">
        <v>86</v>
      </c>
      <c r="Q4702">
        <v>0</v>
      </c>
      <c r="R4702">
        <v>0</v>
      </c>
      <c r="S4702">
        <v>86</v>
      </c>
      <c r="AD4702" s="249" t="str">
        <f>HYPERLINK("https://scontent.cdninstagram.com/t51.2885-15/s320x320/e35/21373797_160342487877336_5654830899137609728_n.jpg")</f>
        <v>https://scontent.cdninstagram.com/t51.2885-15/s320x320/e35/21373797_160342487877336_5654830899137609728_n.jpg</v>
      </c>
      <c r="AE4702" s="249" t="str">
        <f>HYPERLINK("https://scontent.cdninstagram.com/t51.2885-19/s150x150/13658639_315931348749567_46952542_a.jpg")</f>
        <v>https://scontent.cdninstagram.com/t51.2885-19/s150x150/13658639_315931348749567_46952542_a.jpg</v>
      </c>
    </row>
    <row r="4703" spans="1:31" ht="15" x14ac:dyDescent="0.25">
      <c r="A4703" t="s">
        <v>2474</v>
      </c>
      <c r="B4703" t="s">
        <v>13095</v>
      </c>
      <c r="C4703" s="221">
        <v>42982.898356481484</v>
      </c>
      <c r="D4703" t="s">
        <v>25259</v>
      </c>
      <c r="E4703" s="249" t="str">
        <f>HYPERLINK("https://www.instagram.com/p/BYpBuUHnamp/")</f>
        <v>https://www.instagram.com/p/BYpBuUHnamp/</v>
      </c>
      <c r="F4703" t="s">
        <v>25260</v>
      </c>
      <c r="G4703" t="s">
        <v>2478</v>
      </c>
      <c r="H4703">
        <v>15063</v>
      </c>
      <c r="I4703" t="s">
        <v>2479</v>
      </c>
      <c r="J4703">
        <v>4</v>
      </c>
      <c r="K4703">
        <v>141</v>
      </c>
      <c r="L4703">
        <v>145</v>
      </c>
      <c r="Q4703">
        <v>0</v>
      </c>
      <c r="R4703">
        <v>0</v>
      </c>
      <c r="S4703">
        <v>145</v>
      </c>
      <c r="T4703" t="s">
        <v>25261</v>
      </c>
      <c r="U4703" t="s">
        <v>148</v>
      </c>
      <c r="V4703" t="s">
        <v>2299</v>
      </c>
      <c r="W4703">
        <v>45.633699999999997</v>
      </c>
      <c r="X4703">
        <v>-122.60299999999999</v>
      </c>
      <c r="Y4703" t="s">
        <v>13095</v>
      </c>
      <c r="Z4703" t="s">
        <v>25262</v>
      </c>
      <c r="AA4703" t="s">
        <v>25263</v>
      </c>
      <c r="AB4703" t="s">
        <v>25264</v>
      </c>
      <c r="AC4703" t="s">
        <v>13099</v>
      </c>
      <c r="AD4703" s="249" t="str">
        <f>HYPERLINK("https://scontent.cdninstagram.com/t51.2885-15/s320x320/e35/21372470_1458745140887410_3748070384142909440_n.jpg")</f>
        <v>https://scontent.cdninstagram.com/t51.2885-15/s320x320/e35/21372470_1458745140887410_3748070384142909440_n.jpg</v>
      </c>
      <c r="AE4703" s="249" t="str">
        <f>HYPERLINK("https://scontent.cdninstagram.com/t51.2885-19/s150x150/14716515_309893436056588_1435804801093861376_a.jpg")</f>
        <v>https://scontent.cdninstagram.com/t51.2885-19/s150x150/14716515_309893436056588_1435804801093861376_a.jpg</v>
      </c>
    </row>
    <row r="4704" spans="1:31" ht="15" x14ac:dyDescent="0.25">
      <c r="A4704" t="s">
        <v>2474</v>
      </c>
      <c r="B4704" t="s">
        <v>25265</v>
      </c>
      <c r="C4704" s="221">
        <v>42982.901331018518</v>
      </c>
      <c r="D4704" t="s">
        <v>25266</v>
      </c>
      <c r="E4704" s="249" t="str">
        <f>HYPERLINK("https://www.instagram.com/p/BYpCNshArXt/")</f>
        <v>https://www.instagram.com/p/BYpCNshArXt/</v>
      </c>
      <c r="F4704" t="s">
        <v>25267</v>
      </c>
      <c r="G4704" t="s">
        <v>2478</v>
      </c>
      <c r="H4704">
        <v>810</v>
      </c>
      <c r="I4704" t="s">
        <v>2479</v>
      </c>
      <c r="J4704">
        <v>4</v>
      </c>
      <c r="K4704">
        <v>67</v>
      </c>
      <c r="L4704">
        <v>71</v>
      </c>
      <c r="Q4704">
        <v>0</v>
      </c>
      <c r="R4704">
        <v>0</v>
      </c>
      <c r="S4704">
        <v>71</v>
      </c>
      <c r="T4704" t="s">
        <v>25268</v>
      </c>
      <c r="V4704" t="s">
        <v>2118</v>
      </c>
      <c r="W4704">
        <v>-19.95065</v>
      </c>
      <c r="X4704">
        <v>-43.9221</v>
      </c>
      <c r="Y4704" t="s">
        <v>13149</v>
      </c>
      <c r="Z4704" t="s">
        <v>3535</v>
      </c>
      <c r="AA4704" t="s">
        <v>25269</v>
      </c>
      <c r="AB4704" t="s">
        <v>25270</v>
      </c>
      <c r="AC4704" t="s">
        <v>3269</v>
      </c>
      <c r="AD4704" s="249" t="str">
        <f>HYPERLINK("https://scontent.cdninstagram.com/t51.2885-15/s320x320/e35/21296725_502762526756347_5487460786731220992_n.jpg")</f>
        <v>https://scontent.cdninstagram.com/t51.2885-15/s320x320/e35/21296725_502762526756347_5487460786731220992_n.jpg</v>
      </c>
      <c r="AE4704" s="249" t="str">
        <f>HYPERLINK("https://scontent.cdninstagram.com/t51.2885-19/s150x150/20583188_1597841986913684_8871254056534802432_a.jpg")</f>
        <v>https://scontent.cdninstagram.com/t51.2885-19/s150x150/20583188_1597841986913684_8871254056534802432_a.jpg</v>
      </c>
    </row>
    <row r="4705" spans="1:31" ht="15" x14ac:dyDescent="0.25">
      <c r="A4705" t="s">
        <v>2474</v>
      </c>
      <c r="B4705" t="s">
        <v>25271</v>
      </c>
      <c r="C4705" s="221">
        <v>42982.90152777778</v>
      </c>
      <c r="D4705" t="s">
        <v>25272</v>
      </c>
      <c r="E4705" s="249" t="str">
        <f>HYPERLINK("https://www.instagram.com/p/BYpCP2hHxgT/")</f>
        <v>https://www.instagram.com/p/BYpCP2hHxgT/</v>
      </c>
      <c r="F4705" t="s">
        <v>25273</v>
      </c>
      <c r="G4705" t="s">
        <v>2478</v>
      </c>
      <c r="H4705">
        <v>1437</v>
      </c>
      <c r="I4705" t="s">
        <v>2479</v>
      </c>
      <c r="J4705">
        <v>0</v>
      </c>
      <c r="K4705">
        <v>6</v>
      </c>
      <c r="L4705">
        <v>6</v>
      </c>
      <c r="Q4705">
        <v>0</v>
      </c>
      <c r="R4705">
        <v>0</v>
      </c>
      <c r="S4705">
        <v>6</v>
      </c>
      <c r="Y4705" t="s">
        <v>2497</v>
      </c>
      <c r="Z4705" t="s">
        <v>12307</v>
      </c>
      <c r="AD4705" s="249" t="str">
        <f>HYPERLINK("https://scontent.cdninstagram.com/t51.2885-15/s320x320/e35/21296734_338539156571618_1787616958267523072_n.jpg")</f>
        <v>https://scontent.cdninstagram.com/t51.2885-15/s320x320/e35/21296734_338539156571618_1787616958267523072_n.jpg</v>
      </c>
      <c r="AE4705" s="249" t="str">
        <f>HYPERLINK("https://scontent.cdninstagram.com/t51.2885-19/s150x150/20987358_1377034682411050_3519090408984412160_a.jpg")</f>
        <v>https://scontent.cdninstagram.com/t51.2885-19/s150x150/20987358_1377034682411050_3519090408984412160_a.jpg</v>
      </c>
    </row>
    <row r="4706" spans="1:31" ht="15" x14ac:dyDescent="0.25">
      <c r="A4706" t="s">
        <v>2474</v>
      </c>
      <c r="B4706" t="s">
        <v>25274</v>
      </c>
      <c r="C4706" s="221">
        <v>42982.906898148147</v>
      </c>
      <c r="D4706" t="s">
        <v>25275</v>
      </c>
      <c r="E4706" s="249" t="str">
        <f>HYPERLINK("https://www.instagram.com/p/BYpDIZQDuN0/")</f>
        <v>https://www.instagram.com/p/BYpDIZQDuN0/</v>
      </c>
      <c r="F4706" t="s">
        <v>25276</v>
      </c>
      <c r="G4706" t="s">
        <v>2478</v>
      </c>
      <c r="H4706">
        <v>901</v>
      </c>
      <c r="I4706" t="s">
        <v>2903</v>
      </c>
      <c r="J4706">
        <v>0</v>
      </c>
      <c r="K4706">
        <v>65</v>
      </c>
      <c r="L4706">
        <v>65</v>
      </c>
      <c r="Q4706">
        <v>0</v>
      </c>
      <c r="R4706">
        <v>0</v>
      </c>
      <c r="S4706">
        <v>65</v>
      </c>
      <c r="Y4706" t="s">
        <v>25277</v>
      </c>
      <c r="Z4706" t="s">
        <v>13626</v>
      </c>
      <c r="AA4706" t="s">
        <v>25278</v>
      </c>
      <c r="AB4706" t="s">
        <v>2497</v>
      </c>
      <c r="AD4706" s="249" t="str">
        <f>HYPERLINK("https://scontent.cdninstagram.com/t51.2885-15/e35/p320x320/21296866_1930779903912956_3103941928169766912_n.jpg")</f>
        <v>https://scontent.cdninstagram.com/t51.2885-15/e35/p320x320/21296866_1930779903912956_3103941928169766912_n.jpg</v>
      </c>
      <c r="AE4706" s="249" t="str">
        <f>HYPERLINK("https://scontent.cdninstagram.com/t51.2885-19/s150x150/21372830_1484462931622262_2860525670281248768_a.jpg")</f>
        <v>https://scontent.cdninstagram.com/t51.2885-19/s150x150/21372830_1484462931622262_2860525670281248768_a.jpg</v>
      </c>
    </row>
    <row r="4707" spans="1:31" ht="15" x14ac:dyDescent="0.25">
      <c r="A4707" t="s">
        <v>2474</v>
      </c>
      <c r="B4707" t="s">
        <v>4535</v>
      </c>
      <c r="C4707" s="221">
        <v>42982.921446759261</v>
      </c>
      <c r="D4707" t="s">
        <v>25279</v>
      </c>
      <c r="E4707" s="249" t="str">
        <f>HYPERLINK("https://www.instagram.com/p/BYpFh2RFtLo/")</f>
        <v>https://www.instagram.com/p/BYpFh2RFtLo/</v>
      </c>
      <c r="F4707" t="s">
        <v>25280</v>
      </c>
      <c r="G4707" t="s">
        <v>2478</v>
      </c>
      <c r="H4707">
        <v>185</v>
      </c>
      <c r="I4707" t="s">
        <v>2479</v>
      </c>
      <c r="J4707">
        <v>1</v>
      </c>
      <c r="K4707">
        <v>27</v>
      </c>
      <c r="L4707">
        <v>28</v>
      </c>
      <c r="Q4707">
        <v>0</v>
      </c>
      <c r="R4707">
        <v>0</v>
      </c>
      <c r="S4707">
        <v>28</v>
      </c>
      <c r="Y4707" t="s">
        <v>8844</v>
      </c>
      <c r="Z4707" t="s">
        <v>5605</v>
      </c>
      <c r="AA4707" t="s">
        <v>5608</v>
      </c>
      <c r="AB4707" t="s">
        <v>5606</v>
      </c>
      <c r="AC4707" t="s">
        <v>5607</v>
      </c>
      <c r="AD4707" s="249" t="str">
        <f>HYPERLINK("https://scontent.cdninstagram.com/t51.2885-15/s320x320/e35/21372913_367240743681261_8035730991584641024_n.jpg")</f>
        <v>https://scontent.cdninstagram.com/t51.2885-15/s320x320/e35/21372913_367240743681261_8035730991584641024_n.jpg</v>
      </c>
      <c r="AE4707" s="249" t="str">
        <f>HYPERLINK("https://scontent.cdninstagram.com/t51.2885-19/s150x150/20399028_1624608414236560_533007696291430400_a.jpg")</f>
        <v>https://scontent.cdninstagram.com/t51.2885-19/s150x150/20399028_1624608414236560_533007696291430400_a.jpg</v>
      </c>
    </row>
    <row r="4708" spans="1:31" ht="15" x14ac:dyDescent="0.25">
      <c r="A4708" t="s">
        <v>2474</v>
      </c>
      <c r="B4708" t="s">
        <v>4535</v>
      </c>
      <c r="C4708" s="221">
        <v>42982.922569444447</v>
      </c>
      <c r="D4708" t="s">
        <v>25281</v>
      </c>
      <c r="E4708" s="249" t="str">
        <f>HYPERLINK("https://www.instagram.com/p/BYpFtxNFQO3/")</f>
        <v>https://www.instagram.com/p/BYpFtxNFQO3/</v>
      </c>
      <c r="F4708" t="s">
        <v>25282</v>
      </c>
      <c r="G4708" t="s">
        <v>2488</v>
      </c>
      <c r="H4708">
        <v>185</v>
      </c>
      <c r="I4708" t="s">
        <v>2479</v>
      </c>
      <c r="J4708">
        <v>0</v>
      </c>
      <c r="K4708">
        <v>41</v>
      </c>
      <c r="L4708">
        <v>41</v>
      </c>
      <c r="Q4708">
        <v>0</v>
      </c>
      <c r="R4708">
        <v>0</v>
      </c>
      <c r="S4708">
        <v>41</v>
      </c>
      <c r="Y4708" t="s">
        <v>8844</v>
      </c>
      <c r="Z4708" t="s">
        <v>5605</v>
      </c>
      <c r="AA4708" t="s">
        <v>5608</v>
      </c>
      <c r="AB4708" t="s">
        <v>5606</v>
      </c>
      <c r="AC4708" t="s">
        <v>5607</v>
      </c>
      <c r="AD4708" s="249" t="str">
        <f>HYPERLINK("https://scontent.cdninstagram.com/t51.2885-15/s320x320/e35/21371735_271006890058056_1892853136012345344_n.jpg")</f>
        <v>https://scontent.cdninstagram.com/t51.2885-15/s320x320/e35/21371735_271006890058056_1892853136012345344_n.jpg</v>
      </c>
      <c r="AE4708" s="249" t="str">
        <f>HYPERLINK("https://scontent.cdninstagram.com/t51.2885-19/s150x150/20399028_1624608414236560_533007696291430400_a.jpg")</f>
        <v>https://scontent.cdninstagram.com/t51.2885-19/s150x150/20399028_1624608414236560_533007696291430400_a.jpg</v>
      </c>
    </row>
    <row r="4709" spans="1:31" ht="15" x14ac:dyDescent="0.25">
      <c r="A4709" t="s">
        <v>2474</v>
      </c>
      <c r="B4709" t="s">
        <v>4535</v>
      </c>
      <c r="C4709" s="221">
        <v>42982.923425925925</v>
      </c>
      <c r="D4709" t="s">
        <v>25283</v>
      </c>
      <c r="E4709" s="249" t="str">
        <f>HYPERLINK("https://www.instagram.com/p/BYpF2tulwVW/")</f>
        <v>https://www.instagram.com/p/BYpF2tulwVW/</v>
      </c>
      <c r="F4709" t="s">
        <v>25284</v>
      </c>
      <c r="G4709" t="s">
        <v>2478</v>
      </c>
      <c r="H4709">
        <v>185</v>
      </c>
      <c r="I4709" t="s">
        <v>2479</v>
      </c>
      <c r="J4709">
        <v>0</v>
      </c>
      <c r="K4709">
        <v>30</v>
      </c>
      <c r="L4709">
        <v>30</v>
      </c>
      <c r="Q4709">
        <v>0</v>
      </c>
      <c r="R4709">
        <v>0</v>
      </c>
      <c r="S4709">
        <v>30</v>
      </c>
      <c r="Y4709" t="s">
        <v>8844</v>
      </c>
      <c r="Z4709" t="s">
        <v>5605</v>
      </c>
      <c r="AA4709" t="s">
        <v>5608</v>
      </c>
      <c r="AB4709" t="s">
        <v>5606</v>
      </c>
      <c r="AC4709" t="s">
        <v>5607</v>
      </c>
      <c r="AD4709" s="249" t="str">
        <f>HYPERLINK("https://scontent.cdninstagram.com/t51.2885-15/s320x320/e35/21433681_113220579375439_6280173425856086016_n.jpg")</f>
        <v>https://scontent.cdninstagram.com/t51.2885-15/s320x320/e35/21433681_113220579375439_6280173425856086016_n.jpg</v>
      </c>
      <c r="AE4709" s="249" t="str">
        <f>HYPERLINK("https://scontent.cdninstagram.com/t51.2885-19/s150x150/20399028_1624608414236560_533007696291430400_a.jpg")</f>
        <v>https://scontent.cdninstagram.com/t51.2885-19/s150x150/20399028_1624608414236560_533007696291430400_a.jpg</v>
      </c>
    </row>
    <row r="4710" spans="1:31" ht="15" x14ac:dyDescent="0.25">
      <c r="A4710" t="s">
        <v>2474</v>
      </c>
      <c r="B4710" t="s">
        <v>25285</v>
      </c>
      <c r="C4710" s="221">
        <v>42982.930486111109</v>
      </c>
      <c r="D4710" t="s">
        <v>25286</v>
      </c>
      <c r="E4710" s="249" t="str">
        <f>HYPERLINK("https://www.instagram.com/p/BYpHBRwjAKb/")</f>
        <v>https://www.instagram.com/p/BYpHBRwjAKb/</v>
      </c>
      <c r="F4710" t="s">
        <v>25287</v>
      </c>
      <c r="G4710" t="s">
        <v>2478</v>
      </c>
      <c r="H4710">
        <v>228</v>
      </c>
      <c r="I4710" t="s">
        <v>2479</v>
      </c>
      <c r="J4710">
        <v>1</v>
      </c>
      <c r="K4710">
        <v>18</v>
      </c>
      <c r="L4710">
        <v>19</v>
      </c>
      <c r="Q4710">
        <v>0</v>
      </c>
      <c r="R4710">
        <v>0</v>
      </c>
      <c r="S4710">
        <v>19</v>
      </c>
      <c r="T4710" t="s">
        <v>25288</v>
      </c>
      <c r="V4710" t="s">
        <v>2125</v>
      </c>
      <c r="W4710">
        <v>55</v>
      </c>
      <c r="X4710">
        <v>-115</v>
      </c>
      <c r="Y4710" t="s">
        <v>25289</v>
      </c>
      <c r="Z4710" t="s">
        <v>25290</v>
      </c>
      <c r="AA4710" t="s">
        <v>8145</v>
      </c>
      <c r="AB4710" t="s">
        <v>25291</v>
      </c>
      <c r="AC4710" t="s">
        <v>25292</v>
      </c>
      <c r="AD4710" s="249" t="str">
        <f>HYPERLINK("https://scontent.cdninstagram.com/t51.2885-15/s320x320/e35/21296708_115394902504622_8968610498299822080_n.jpg")</f>
        <v>https://scontent.cdninstagram.com/t51.2885-15/s320x320/e35/21296708_115394902504622_8968610498299822080_n.jpg</v>
      </c>
      <c r="AE4710" s="249" t="str">
        <f>HYPERLINK("https://scontent.cdninstagram.com/t51.2885-19/s150x150/12784077_195773487447120_1422847128_a.jpg")</f>
        <v>https://scontent.cdninstagram.com/t51.2885-19/s150x150/12784077_195773487447120_1422847128_a.jpg</v>
      </c>
    </row>
    <row r="4711" spans="1:31" ht="15" x14ac:dyDescent="0.25">
      <c r="A4711" t="s">
        <v>2474</v>
      </c>
      <c r="B4711" t="s">
        <v>25293</v>
      </c>
      <c r="C4711" s="221">
        <v>42982.931307870371</v>
      </c>
      <c r="D4711" t="s">
        <v>25294</v>
      </c>
      <c r="E4711" s="249" t="str">
        <f>HYPERLINK("https://www.instagram.com/p/BYpHJ8hAETI/")</f>
        <v>https://www.instagram.com/p/BYpHJ8hAETI/</v>
      </c>
      <c r="F4711" t="s">
        <v>25295</v>
      </c>
      <c r="G4711" t="s">
        <v>2478</v>
      </c>
      <c r="H4711">
        <v>994</v>
      </c>
      <c r="I4711" t="s">
        <v>4052</v>
      </c>
      <c r="J4711">
        <v>1</v>
      </c>
      <c r="K4711">
        <v>35</v>
      </c>
      <c r="L4711">
        <v>36</v>
      </c>
      <c r="Q4711">
        <v>0</v>
      </c>
      <c r="R4711">
        <v>0</v>
      </c>
      <c r="S4711">
        <v>36</v>
      </c>
      <c r="Y4711" t="s">
        <v>21067</v>
      </c>
      <c r="Z4711" t="s">
        <v>8786</v>
      </c>
      <c r="AA4711" t="s">
        <v>25296</v>
      </c>
      <c r="AB4711" t="s">
        <v>5902</v>
      </c>
      <c r="AC4711" t="s">
        <v>2497</v>
      </c>
      <c r="AD4711" s="249" t="str">
        <f>HYPERLINK("https://scontent.cdninstagram.com/t51.2885-15/e35/p320x320/21373147_291125161369053_43028618753867776_n.jpg")</f>
        <v>https://scontent.cdninstagram.com/t51.2885-15/e35/p320x320/21373147_291125161369053_43028618753867776_n.jpg</v>
      </c>
      <c r="AE4711" s="249" t="str">
        <f>HYPERLINK("https://scontent.cdninstagram.com/t51.2885-19/s150x150/18514178_128962654325100_2952844244257079296_a.jpg")</f>
        <v>https://scontent.cdninstagram.com/t51.2885-19/s150x150/18514178_128962654325100_2952844244257079296_a.jpg</v>
      </c>
    </row>
    <row r="4712" spans="1:31" ht="15" x14ac:dyDescent="0.25">
      <c r="A4712" t="s">
        <v>2474</v>
      </c>
      <c r="B4712" t="s">
        <v>25297</v>
      </c>
      <c r="C4712" s="221">
        <v>42982.932118055556</v>
      </c>
      <c r="D4712" t="s">
        <v>25298</v>
      </c>
      <c r="E4712" s="249" t="str">
        <f>HYPERLINK("https://www.instagram.com/p/BYpHSbJlP-9/")</f>
        <v>https://www.instagram.com/p/BYpHSbJlP-9/</v>
      </c>
      <c r="F4712" t="s">
        <v>25299</v>
      </c>
      <c r="G4712" t="s">
        <v>2478</v>
      </c>
      <c r="H4712">
        <v>153</v>
      </c>
      <c r="I4712" t="s">
        <v>2479</v>
      </c>
      <c r="J4712">
        <v>0</v>
      </c>
      <c r="K4712">
        <v>5</v>
      </c>
      <c r="L4712">
        <v>5</v>
      </c>
      <c r="Q4712">
        <v>0</v>
      </c>
      <c r="R4712">
        <v>0</v>
      </c>
      <c r="S4712">
        <v>5</v>
      </c>
      <c r="Y4712" t="s">
        <v>3446</v>
      </c>
      <c r="Z4712" t="s">
        <v>2968</v>
      </c>
      <c r="AA4712" t="s">
        <v>6877</v>
      </c>
      <c r="AB4712" t="s">
        <v>25300</v>
      </c>
      <c r="AC4712" t="s">
        <v>2497</v>
      </c>
      <c r="AD4712" s="249" t="str">
        <f>HYPERLINK("https://scontent.cdninstagram.com/t51.2885-15/s320x320/e35/21433975_149073239018114_2414069132736593920_n.jpg")</f>
        <v>https://scontent.cdninstagram.com/t51.2885-15/s320x320/e35/21433975_149073239018114_2414069132736593920_n.jpg</v>
      </c>
      <c r="AE4712" s="249" t="str">
        <f>HYPERLINK("https://scontent.cdninstagram.com/t51.2885-19/s150x150/20398262_182451102295146_2134957599219515392_a.jpg")</f>
        <v>https://scontent.cdninstagram.com/t51.2885-19/s150x150/20398262_182451102295146_2134957599219515392_a.jpg</v>
      </c>
    </row>
    <row r="4713" spans="1:31" ht="15" x14ac:dyDescent="0.25">
      <c r="A4713" t="s">
        <v>2474</v>
      </c>
      <c r="B4713" t="s">
        <v>4535</v>
      </c>
      <c r="C4713" s="221">
        <v>42982.934259259258</v>
      </c>
      <c r="D4713" t="s">
        <v>25301</v>
      </c>
      <c r="E4713" s="249" t="str">
        <f>HYPERLINK("https://www.instagram.com/p/BYpHpDbFBXW/")</f>
        <v>https://www.instagram.com/p/BYpHpDbFBXW/</v>
      </c>
      <c r="F4713" t="s">
        <v>25302</v>
      </c>
      <c r="G4713" t="s">
        <v>2488</v>
      </c>
      <c r="H4713">
        <v>185</v>
      </c>
      <c r="I4713" t="s">
        <v>2479</v>
      </c>
      <c r="J4713">
        <v>1</v>
      </c>
      <c r="K4713">
        <v>9</v>
      </c>
      <c r="L4713">
        <v>10</v>
      </c>
      <c r="Q4713">
        <v>0</v>
      </c>
      <c r="R4713">
        <v>0</v>
      </c>
      <c r="S4713">
        <v>10</v>
      </c>
      <c r="Y4713" t="s">
        <v>4539</v>
      </c>
      <c r="Z4713" t="s">
        <v>10673</v>
      </c>
      <c r="AA4713" t="s">
        <v>10684</v>
      </c>
      <c r="AB4713" t="s">
        <v>4538</v>
      </c>
      <c r="AC4713" t="s">
        <v>13436</v>
      </c>
      <c r="AD4713" s="249" t="str">
        <f>HYPERLINK("https://scontent.cdninstagram.com/t51.2885-15/s320x320/e35/21373533_204221390114376_9053063166090543104_n.jpg")</f>
        <v>https://scontent.cdninstagram.com/t51.2885-15/s320x320/e35/21373533_204221390114376_9053063166090543104_n.jpg</v>
      </c>
      <c r="AE4713" s="249" t="str">
        <f>HYPERLINK("https://scontent.cdninstagram.com/t51.2885-19/s150x150/20399028_1624608414236560_533007696291430400_a.jpg")</f>
        <v>https://scontent.cdninstagram.com/t51.2885-19/s150x150/20399028_1624608414236560_533007696291430400_a.jpg</v>
      </c>
    </row>
    <row r="4714" spans="1:31" ht="15" x14ac:dyDescent="0.25">
      <c r="A4714" t="s">
        <v>2474</v>
      </c>
      <c r="B4714" t="s">
        <v>25303</v>
      </c>
      <c r="C4714" s="221">
        <v>42982.936412037037</v>
      </c>
      <c r="D4714" t="s">
        <v>25304</v>
      </c>
      <c r="E4714" s="249" t="str">
        <f>HYPERLINK("https://www.instagram.com/p/BYpH_uvBaYe/")</f>
        <v>https://www.instagram.com/p/BYpH_uvBaYe/</v>
      </c>
      <c r="F4714" t="s">
        <v>25305</v>
      </c>
      <c r="G4714" t="s">
        <v>2478</v>
      </c>
      <c r="H4714">
        <v>456</v>
      </c>
      <c r="I4714" t="s">
        <v>2479</v>
      </c>
      <c r="J4714">
        <v>4</v>
      </c>
      <c r="K4714">
        <v>35</v>
      </c>
      <c r="L4714">
        <v>39</v>
      </c>
      <c r="Q4714">
        <v>0</v>
      </c>
      <c r="R4714">
        <v>0</v>
      </c>
      <c r="S4714">
        <v>39</v>
      </c>
      <c r="Y4714" t="s">
        <v>7517</v>
      </c>
      <c r="Z4714" t="s">
        <v>4993</v>
      </c>
      <c r="AA4714" t="s">
        <v>25306</v>
      </c>
      <c r="AB4714" t="s">
        <v>16881</v>
      </c>
      <c r="AC4714" t="s">
        <v>25307</v>
      </c>
      <c r="AD4714" s="249" t="str">
        <f>HYPERLINK("https://scontent.cdninstagram.com/t51.2885-15/e35/p320x320/21372075_527960750990517_2975471540721680384_n.jpg")</f>
        <v>https://scontent.cdninstagram.com/t51.2885-15/e35/p320x320/21372075_527960750990517_2975471540721680384_n.jpg</v>
      </c>
      <c r="AE4714" s="249" t="str">
        <f>HYPERLINK("https://scontent.cdninstagram.com/t51.2885-19/s150x150/19955135_150444038848881_3983394558573543424_a.jpg")</f>
        <v>https://scontent.cdninstagram.com/t51.2885-19/s150x150/19955135_150444038848881_3983394558573543424_a.jpg</v>
      </c>
    </row>
    <row r="4715" spans="1:31" ht="15" x14ac:dyDescent="0.25">
      <c r="A4715" t="s">
        <v>2474</v>
      </c>
      <c r="B4715" t="s">
        <v>25308</v>
      </c>
      <c r="C4715" s="221">
        <v>42982.941018518519</v>
      </c>
      <c r="D4715" t="s">
        <v>25309</v>
      </c>
      <c r="E4715" s="249" t="str">
        <f>HYPERLINK("https://www.instagram.com/p/BYpIwQxFy2x/")</f>
        <v>https://www.instagram.com/p/BYpIwQxFy2x/</v>
      </c>
      <c r="F4715" t="s">
        <v>25310</v>
      </c>
      <c r="G4715" t="s">
        <v>2478</v>
      </c>
      <c r="I4715" t="s">
        <v>2582</v>
      </c>
      <c r="J4715">
        <v>0</v>
      </c>
      <c r="K4715">
        <v>12</v>
      </c>
      <c r="L4715">
        <v>12</v>
      </c>
      <c r="Q4715">
        <v>0</v>
      </c>
      <c r="R4715">
        <v>0</v>
      </c>
      <c r="S4715">
        <v>12</v>
      </c>
      <c r="Y4715" t="s">
        <v>2730</v>
      </c>
      <c r="Z4715" t="s">
        <v>25311</v>
      </c>
      <c r="AA4715" t="s">
        <v>25312</v>
      </c>
      <c r="AB4715" t="s">
        <v>25313</v>
      </c>
      <c r="AC4715" t="s">
        <v>2497</v>
      </c>
      <c r="AD4715" s="249" t="str">
        <f>HYPERLINK("https://scontent.cdninstagram.com/t51.2885-15/s320x320/e35/21434021_167671147129954_2360046918123388928_n.jpg")</f>
        <v>https://scontent.cdninstagram.com/t51.2885-15/s320x320/e35/21434021_167671147129954_2360046918123388928_n.jpg</v>
      </c>
      <c r="AE4715" s="249" t="str">
        <f>HYPERLINK("https://scontent.cdninstagram.com/t51.2885-19/s150x150/21435398_771285483080305_7221071602153160704_a.jpg")</f>
        <v>https://scontent.cdninstagram.com/t51.2885-19/s150x150/21435398_771285483080305_7221071602153160704_a.jpg</v>
      </c>
    </row>
    <row r="4716" spans="1:31" ht="15" x14ac:dyDescent="0.25">
      <c r="A4716" t="s">
        <v>2474</v>
      </c>
      <c r="B4716" t="s">
        <v>25314</v>
      </c>
      <c r="C4716" s="221">
        <v>42982.945115740738</v>
      </c>
      <c r="D4716" t="s">
        <v>25315</v>
      </c>
      <c r="E4716" s="249" t="str">
        <f>HYPERLINK("https://www.instagram.com/p/BYpJbfQgXOM/")</f>
        <v>https://www.instagram.com/p/BYpJbfQgXOM/</v>
      </c>
      <c r="F4716" t="s">
        <v>25316</v>
      </c>
      <c r="G4716" t="s">
        <v>2478</v>
      </c>
      <c r="H4716">
        <v>263</v>
      </c>
      <c r="I4716" t="s">
        <v>2599</v>
      </c>
      <c r="J4716">
        <v>1</v>
      </c>
      <c r="K4716">
        <v>41</v>
      </c>
      <c r="L4716">
        <v>42</v>
      </c>
      <c r="Q4716">
        <v>0</v>
      </c>
      <c r="R4716">
        <v>0</v>
      </c>
      <c r="S4716">
        <v>42</v>
      </c>
      <c r="T4716" t="s">
        <v>25317</v>
      </c>
      <c r="U4716" t="s">
        <v>206</v>
      </c>
      <c r="V4716" t="s">
        <v>2299</v>
      </c>
      <c r="W4716">
        <v>32.221666666666998</v>
      </c>
      <c r="X4716">
        <v>-110.92638888889</v>
      </c>
      <c r="Y4716" t="s">
        <v>5836</v>
      </c>
      <c r="Z4716" t="s">
        <v>25318</v>
      </c>
      <c r="AA4716" t="s">
        <v>2497</v>
      </c>
      <c r="AB4716" t="s">
        <v>25319</v>
      </c>
      <c r="AC4716" t="s">
        <v>6925</v>
      </c>
      <c r="AD4716" s="249" t="str">
        <f>HYPERLINK("https://scontent.cdninstagram.com/t51.2885-15/s320x320/e35/21435819_1656842637673663_7641624642179825664_n.jpg")</f>
        <v>https://scontent.cdninstagram.com/t51.2885-15/s320x320/e35/21435819_1656842637673663_7641624642179825664_n.jpg</v>
      </c>
      <c r="AE4716" s="249" t="str">
        <f>HYPERLINK("https://scontent.cdninstagram.com/t51.2885-19/s150x150/20837389_109284576449302_5485093533901651968_a.jpg")</f>
        <v>https://scontent.cdninstagram.com/t51.2885-19/s150x150/20837389_109284576449302_5485093533901651968_a.jpg</v>
      </c>
    </row>
    <row r="4717" spans="1:31" ht="15" x14ac:dyDescent="0.25">
      <c r="A4717" t="s">
        <v>2474</v>
      </c>
      <c r="B4717" t="s">
        <v>3393</v>
      </c>
      <c r="C4717" s="221">
        <v>42982.954826388886</v>
      </c>
      <c r="D4717" t="s">
        <v>25320</v>
      </c>
      <c r="E4717" s="249" t="str">
        <f>HYPERLINK("https://www.instagram.com/p/BYpLB90HGk-/")</f>
        <v>https://www.instagram.com/p/BYpLB90HGk-/</v>
      </c>
      <c r="F4717" t="s">
        <v>25321</v>
      </c>
      <c r="G4717" t="s">
        <v>2478</v>
      </c>
      <c r="H4717">
        <v>19337</v>
      </c>
      <c r="I4717" t="s">
        <v>2479</v>
      </c>
      <c r="J4717">
        <v>6</v>
      </c>
      <c r="K4717">
        <v>442</v>
      </c>
      <c r="L4717">
        <v>448</v>
      </c>
      <c r="Q4717">
        <v>0</v>
      </c>
      <c r="R4717">
        <v>0</v>
      </c>
      <c r="S4717">
        <v>448</v>
      </c>
      <c r="AD4717" s="249" t="str">
        <f>HYPERLINK("https://scontent.cdninstagram.com/t51.2885-15/s320x320/e35/21373635_178448819366163_8231025009959632896_n.jpg")</f>
        <v>https://scontent.cdninstagram.com/t51.2885-15/s320x320/e35/21373635_178448819366163_8231025009959632896_n.jpg</v>
      </c>
      <c r="AE4717" s="249" t="str">
        <f>HYPERLINK("https://scontent.cdninstagram.com/t51.2885-19/s150x150/20969318_163506604224066_8451668608215416832_n.jpg")</f>
        <v>https://scontent.cdninstagram.com/t51.2885-19/s150x150/20969318_163506604224066_8451668608215416832_n.jpg</v>
      </c>
    </row>
    <row r="4718" spans="1:31" ht="15" x14ac:dyDescent="0.25">
      <c r="A4718" t="s">
        <v>2474</v>
      </c>
      <c r="B4718" t="s">
        <v>15206</v>
      </c>
      <c r="C4718" s="221">
        <v>42982.956331018519</v>
      </c>
      <c r="D4718" t="s">
        <v>25322</v>
      </c>
      <c r="E4718" s="249" t="str">
        <f>HYPERLINK("https://www.instagram.com/p/BYpLRwAl34o/")</f>
        <v>https://www.instagram.com/p/BYpLRwAl34o/</v>
      </c>
      <c r="F4718" t="s">
        <v>25323</v>
      </c>
      <c r="G4718" t="s">
        <v>2478</v>
      </c>
      <c r="H4718">
        <v>61907</v>
      </c>
      <c r="I4718" t="s">
        <v>2479</v>
      </c>
      <c r="J4718">
        <v>10</v>
      </c>
      <c r="K4718">
        <v>1265</v>
      </c>
      <c r="L4718">
        <v>1275</v>
      </c>
      <c r="Q4718">
        <v>0</v>
      </c>
      <c r="R4718">
        <v>0</v>
      </c>
      <c r="S4718">
        <v>1275</v>
      </c>
      <c r="AD4718" s="249" t="str">
        <f>HYPERLINK("https://scontent.cdninstagram.com/t51.2885-15/e35/p320x320/21296706_1278734195587025_3364990512867049472_n.jpg")</f>
        <v>https://scontent.cdninstagram.com/t51.2885-15/e35/p320x320/21296706_1278734195587025_3364990512867049472_n.jpg</v>
      </c>
      <c r="AE4718" s="249" t="str">
        <f>HYPERLINK("https://scontent.cdninstagram.com/t51.2885-19/17663530_1657274724581959_2295744149531394048_n.jpg")</f>
        <v>https://scontent.cdninstagram.com/t51.2885-19/17663530_1657274724581959_2295744149531394048_n.jpg</v>
      </c>
    </row>
    <row r="4719" spans="1:31" ht="15" x14ac:dyDescent="0.25">
      <c r="A4719" t="s">
        <v>2474</v>
      </c>
      <c r="B4719" t="s">
        <v>18287</v>
      </c>
      <c r="C4719" s="221">
        <v>42982.957708333335</v>
      </c>
      <c r="D4719" t="s">
        <v>25324</v>
      </c>
      <c r="E4719" s="249" t="str">
        <f>HYPERLINK("https://www.instagram.com/p/BYpLgSMArB1/")</f>
        <v>https://www.instagram.com/p/BYpLgSMArB1/</v>
      </c>
      <c r="F4719" t="s">
        <v>25325</v>
      </c>
      <c r="G4719" t="s">
        <v>2488</v>
      </c>
      <c r="H4719">
        <v>1195</v>
      </c>
      <c r="I4719" t="s">
        <v>2479</v>
      </c>
      <c r="J4719">
        <v>6</v>
      </c>
      <c r="K4719">
        <v>133</v>
      </c>
      <c r="L4719">
        <v>139</v>
      </c>
      <c r="Q4719">
        <v>0</v>
      </c>
      <c r="R4719">
        <v>0</v>
      </c>
      <c r="S4719">
        <v>139</v>
      </c>
      <c r="Y4719" t="s">
        <v>25326</v>
      </c>
      <c r="Z4719" t="s">
        <v>3157</v>
      </c>
      <c r="AA4719" t="s">
        <v>25327</v>
      </c>
      <c r="AB4719" t="s">
        <v>3982</v>
      </c>
      <c r="AC4719" t="s">
        <v>13156</v>
      </c>
      <c r="AD4719" s="249" t="str">
        <f>HYPERLINK("https://scontent.cdninstagram.com/t51.2885-15/s320x320/e35/21372920_332138743897440_782426789451399168_n.jpg")</f>
        <v>https://scontent.cdninstagram.com/t51.2885-15/s320x320/e35/21372920_332138743897440_782426789451399168_n.jpg</v>
      </c>
      <c r="AE4719" s="249" t="str">
        <f>HYPERLINK("https://scontent.cdninstagram.com/t51.2885-19/s150x150/20759556_528553680816023_7391302287332737024_a.jpg")</f>
        <v>https://scontent.cdninstagram.com/t51.2885-19/s150x150/20759556_528553680816023_7391302287332737024_a.jpg</v>
      </c>
    </row>
    <row r="4720" spans="1:31" ht="15" x14ac:dyDescent="0.25">
      <c r="A4720" t="s">
        <v>2474</v>
      </c>
      <c r="B4720" t="s">
        <v>4535</v>
      </c>
      <c r="C4720" s="221">
        <v>42982.9608912037</v>
      </c>
      <c r="D4720" t="s">
        <v>25328</v>
      </c>
      <c r="E4720" s="249" t="str">
        <f>HYPERLINK("https://www.instagram.com/p/BYpMB7dlYyC/")</f>
        <v>https://www.instagram.com/p/BYpMB7dlYyC/</v>
      </c>
      <c r="F4720" t="s">
        <v>25329</v>
      </c>
      <c r="G4720" t="s">
        <v>2478</v>
      </c>
      <c r="H4720">
        <v>187</v>
      </c>
      <c r="I4720" t="s">
        <v>2479</v>
      </c>
      <c r="J4720">
        <v>0</v>
      </c>
      <c r="K4720">
        <v>35</v>
      </c>
      <c r="L4720">
        <v>35</v>
      </c>
      <c r="Q4720">
        <v>0</v>
      </c>
      <c r="R4720">
        <v>0</v>
      </c>
      <c r="S4720">
        <v>35</v>
      </c>
      <c r="Y4720" t="s">
        <v>8845</v>
      </c>
      <c r="Z4720" t="s">
        <v>8844</v>
      </c>
      <c r="AA4720" t="s">
        <v>4538</v>
      </c>
      <c r="AB4720" t="s">
        <v>5607</v>
      </c>
      <c r="AC4720" t="s">
        <v>5605</v>
      </c>
      <c r="AD4720" s="249" t="str">
        <f>HYPERLINK("https://scontent.cdninstagram.com/t51.2885-15/e35/p320x320/21372097_171517753405561_3738152647526449152_n.jpg")</f>
        <v>https://scontent.cdninstagram.com/t51.2885-15/e35/p320x320/21372097_171517753405561_3738152647526449152_n.jpg</v>
      </c>
      <c r="AE4720" s="249" t="str">
        <f>HYPERLINK("https://scontent.cdninstagram.com/t51.2885-19/s150x150/20399028_1624608414236560_533007696291430400_a.jpg")</f>
        <v>https://scontent.cdninstagram.com/t51.2885-19/s150x150/20399028_1624608414236560_533007696291430400_a.jpg</v>
      </c>
    </row>
    <row r="4721" spans="1:31" ht="15" x14ac:dyDescent="0.25">
      <c r="A4721" t="s">
        <v>2474</v>
      </c>
      <c r="B4721" t="s">
        <v>4535</v>
      </c>
      <c r="C4721" s="221">
        <v>42982.961157407408</v>
      </c>
      <c r="D4721" t="s">
        <v>25330</v>
      </c>
      <c r="E4721" s="249" t="str">
        <f>HYPERLINK("https://www.instagram.com/p/BYpMEuKlF5q/")</f>
        <v>https://www.instagram.com/p/BYpMEuKlF5q/</v>
      </c>
      <c r="F4721" t="s">
        <v>25331</v>
      </c>
      <c r="G4721" t="s">
        <v>2478</v>
      </c>
      <c r="H4721">
        <v>187</v>
      </c>
      <c r="I4721" t="s">
        <v>2479</v>
      </c>
      <c r="J4721">
        <v>0</v>
      </c>
      <c r="K4721">
        <v>32</v>
      </c>
      <c r="L4721">
        <v>32</v>
      </c>
      <c r="Q4721">
        <v>0</v>
      </c>
      <c r="R4721">
        <v>0</v>
      </c>
      <c r="S4721">
        <v>32</v>
      </c>
      <c r="Y4721" t="s">
        <v>8845</v>
      </c>
      <c r="Z4721" t="s">
        <v>8844</v>
      </c>
      <c r="AA4721" t="s">
        <v>4538</v>
      </c>
      <c r="AB4721" t="s">
        <v>5607</v>
      </c>
      <c r="AC4721" t="s">
        <v>5605</v>
      </c>
      <c r="AD4721" s="249" t="str">
        <f>HYPERLINK("https://scontent.cdninstagram.com/t51.2885-15/s320x320/e35/21372989_2011397552477645_1722994111532761088_n.jpg")</f>
        <v>https://scontent.cdninstagram.com/t51.2885-15/s320x320/e35/21372989_2011397552477645_1722994111532761088_n.jpg</v>
      </c>
      <c r="AE4721" s="249" t="str">
        <f>HYPERLINK("https://scontent.cdninstagram.com/t51.2885-19/s150x150/20399028_1624608414236560_533007696291430400_a.jpg")</f>
        <v>https://scontent.cdninstagram.com/t51.2885-19/s150x150/20399028_1624608414236560_533007696291430400_a.jpg</v>
      </c>
    </row>
    <row r="4722" spans="1:31" ht="15" x14ac:dyDescent="0.25">
      <c r="A4722" t="s">
        <v>2474</v>
      </c>
      <c r="B4722" t="s">
        <v>25332</v>
      </c>
      <c r="C4722" s="221">
        <v>42982.966469907406</v>
      </c>
      <c r="D4722" t="s">
        <v>25333</v>
      </c>
      <c r="E4722" s="249" t="str">
        <f>HYPERLINK("https://www.instagram.com/p/BYpM8uHHFq9/")</f>
        <v>https://www.instagram.com/p/BYpM8uHHFq9/</v>
      </c>
      <c r="F4722" t="s">
        <v>25334</v>
      </c>
      <c r="G4722" t="s">
        <v>2488</v>
      </c>
      <c r="H4722">
        <v>370</v>
      </c>
      <c r="I4722" t="s">
        <v>2479</v>
      </c>
      <c r="J4722">
        <v>6</v>
      </c>
      <c r="K4722">
        <v>99</v>
      </c>
      <c r="L4722">
        <v>105</v>
      </c>
      <c r="Q4722">
        <v>0</v>
      </c>
      <c r="R4722">
        <v>0</v>
      </c>
      <c r="S4722">
        <v>105</v>
      </c>
      <c r="Y4722" t="s">
        <v>2513</v>
      </c>
      <c r="Z4722" t="s">
        <v>3982</v>
      </c>
      <c r="AA4722" t="s">
        <v>25335</v>
      </c>
      <c r="AB4722" t="s">
        <v>5808</v>
      </c>
      <c r="AC4722" t="s">
        <v>5113</v>
      </c>
      <c r="AD4722" s="249" t="str">
        <f>HYPERLINK("https://scontent.cdninstagram.com/t51.2885-15/s320x320/e35/21373589_587106431679862_228790979417604096_n.jpg")</f>
        <v>https://scontent.cdninstagram.com/t51.2885-15/s320x320/e35/21373589_587106431679862_228790979417604096_n.jpg</v>
      </c>
      <c r="AE4722" s="249" t="str">
        <f>HYPERLINK("https://scontent.cdninstagram.com/t51.2885-19/s150x150/13561515_1099604366753346_789354189_a.jpg")</f>
        <v>https://scontent.cdninstagram.com/t51.2885-19/s150x150/13561515_1099604366753346_789354189_a.jpg</v>
      </c>
    </row>
    <row r="4723" spans="1:31" ht="15" x14ac:dyDescent="0.25">
      <c r="A4723" t="s">
        <v>2474</v>
      </c>
      <c r="B4723" t="s">
        <v>17738</v>
      </c>
      <c r="C4723" s="221">
        <v>42982.974780092591</v>
      </c>
      <c r="D4723" t="s">
        <v>25336</v>
      </c>
      <c r="E4723" s="249" t="str">
        <f>HYPERLINK("https://www.instagram.com/p/BYpOUWjBbLp/")</f>
        <v>https://www.instagram.com/p/BYpOUWjBbLp/</v>
      </c>
      <c r="F4723" t="s">
        <v>25337</v>
      </c>
      <c r="G4723" t="s">
        <v>2478</v>
      </c>
      <c r="H4723">
        <v>69097</v>
      </c>
      <c r="I4723" t="s">
        <v>2479</v>
      </c>
      <c r="J4723">
        <v>0</v>
      </c>
      <c r="K4723">
        <v>7</v>
      </c>
      <c r="L4723">
        <v>7</v>
      </c>
      <c r="Q4723">
        <v>0</v>
      </c>
      <c r="R4723">
        <v>0</v>
      </c>
      <c r="S4723">
        <v>7</v>
      </c>
      <c r="Y4723" t="s">
        <v>13341</v>
      </c>
      <c r="Z4723" t="s">
        <v>4561</v>
      </c>
      <c r="AA4723" t="s">
        <v>25338</v>
      </c>
      <c r="AB4723" t="s">
        <v>4802</v>
      </c>
      <c r="AC4723" t="s">
        <v>3764</v>
      </c>
      <c r="AD4723" s="249" t="str">
        <f>HYPERLINK("https://scontent.cdninstagram.com/t51.2885-15/s320x320/e35/21372227_263921464114752_3038195002594295808_n.jpg")</f>
        <v>https://scontent.cdninstagram.com/t51.2885-15/s320x320/e35/21372227_263921464114752_3038195002594295808_n.jpg</v>
      </c>
      <c r="AE4723" s="249" t="str">
        <f>HYPERLINK("https://scontent.cdninstagram.com/t51.2885-19/s150x150/14701076_1598337030462226_7312252327623131136_a.jpg")</f>
        <v>https://scontent.cdninstagram.com/t51.2885-19/s150x150/14701076_1598337030462226_7312252327623131136_a.jpg</v>
      </c>
    </row>
    <row r="4724" spans="1:31" ht="15" x14ac:dyDescent="0.25">
      <c r="A4724" t="s">
        <v>2474</v>
      </c>
      <c r="B4724" t="s">
        <v>3761</v>
      </c>
      <c r="C4724" s="221">
        <v>42982.975856481484</v>
      </c>
      <c r="D4724" t="s">
        <v>25339</v>
      </c>
      <c r="E4724" s="249" t="str">
        <f>HYPERLINK("https://www.instagram.com/p/BYpOfu2H5Bo/")</f>
        <v>https://www.instagram.com/p/BYpOfu2H5Bo/</v>
      </c>
      <c r="F4724" t="s">
        <v>25340</v>
      </c>
      <c r="G4724" t="s">
        <v>2478</v>
      </c>
      <c r="H4724">
        <v>35460</v>
      </c>
      <c r="I4724" t="s">
        <v>2479</v>
      </c>
      <c r="J4724">
        <v>0</v>
      </c>
      <c r="K4724">
        <v>23</v>
      </c>
      <c r="L4724">
        <v>23</v>
      </c>
      <c r="Q4724">
        <v>0</v>
      </c>
      <c r="R4724">
        <v>0</v>
      </c>
      <c r="S4724">
        <v>23</v>
      </c>
      <c r="Y4724" t="s">
        <v>13341</v>
      </c>
      <c r="Z4724" t="s">
        <v>4561</v>
      </c>
      <c r="AA4724" t="s">
        <v>25338</v>
      </c>
      <c r="AB4724" t="s">
        <v>4802</v>
      </c>
      <c r="AC4724" t="s">
        <v>3764</v>
      </c>
      <c r="AD4724" s="249" t="str">
        <f>HYPERLINK("https://scontent.cdninstagram.com/t51.2885-15/s320x320/e35/21435495_1422624594519347_2635893168393945088_n.jpg")</f>
        <v>https://scontent.cdninstagram.com/t51.2885-15/s320x320/e35/21435495_1422624594519347_2635893168393945088_n.jpg</v>
      </c>
      <c r="AE4724" s="249" t="str">
        <f>HYPERLINK("https://scontent.cdninstagram.com/t51.2885-19/s150x150/19985865_1705783593058831_5928851088227696640_n.jpg")</f>
        <v>https://scontent.cdninstagram.com/t51.2885-19/s150x150/19985865_1705783593058831_5928851088227696640_n.jpg</v>
      </c>
    </row>
    <row r="4725" spans="1:31" ht="15" x14ac:dyDescent="0.25">
      <c r="A4725" t="s">
        <v>2474</v>
      </c>
      <c r="B4725" t="s">
        <v>17977</v>
      </c>
      <c r="C4725" s="221">
        <v>42982.986909722225</v>
      </c>
      <c r="D4725" t="s">
        <v>25341</v>
      </c>
      <c r="E4725" s="249" t="str">
        <f>HYPERLINK("https://www.instagram.com/p/BYpQUXolvIh/")</f>
        <v>https://www.instagram.com/p/BYpQUXolvIh/</v>
      </c>
      <c r="F4725" t="s">
        <v>25342</v>
      </c>
      <c r="G4725" t="s">
        <v>2478</v>
      </c>
      <c r="H4725">
        <v>417</v>
      </c>
      <c r="I4725" t="s">
        <v>2479</v>
      </c>
      <c r="J4725">
        <v>5</v>
      </c>
      <c r="K4725">
        <v>80</v>
      </c>
      <c r="L4725">
        <v>85</v>
      </c>
      <c r="Q4725">
        <v>0</v>
      </c>
      <c r="R4725">
        <v>0</v>
      </c>
      <c r="S4725">
        <v>85</v>
      </c>
      <c r="Y4725" t="s">
        <v>7256</v>
      </c>
      <c r="Z4725" t="s">
        <v>4760</v>
      </c>
      <c r="AA4725" t="s">
        <v>25343</v>
      </c>
      <c r="AB4725" t="s">
        <v>3982</v>
      </c>
      <c r="AC4725" t="s">
        <v>9108</v>
      </c>
      <c r="AD4725" s="249" t="str">
        <f>HYPERLINK("https://scontent.cdninstagram.com/t51.2885-15/s320x320/e35/21372594_1290240057771497_5762525498982793216_n.jpg")</f>
        <v>https://scontent.cdninstagram.com/t51.2885-15/s320x320/e35/21372594_1290240057771497_5762525498982793216_n.jpg</v>
      </c>
      <c r="AE4725" s="249" t="str">
        <f>HYPERLINK("https://scontent.cdninstagram.com/t51.2885-19/s150x150/21149723_520036691675589_2264774450324963328_a.jpg")</f>
        <v>https://scontent.cdninstagram.com/t51.2885-19/s150x150/21149723_520036691675589_2264774450324963328_a.jpg</v>
      </c>
    </row>
    <row r="4726" spans="1:31" ht="15" x14ac:dyDescent="0.25">
      <c r="A4726" t="s">
        <v>2474</v>
      </c>
      <c r="B4726" t="s">
        <v>2548</v>
      </c>
      <c r="C4726" s="221">
        <v>42983.004560185182</v>
      </c>
      <c r="D4726" t="s">
        <v>25344</v>
      </c>
      <c r="E4726" s="249" t="str">
        <f>HYPERLINK("https://www.instagram.com/p/BYpTOdmnIfV/")</f>
        <v>https://www.instagram.com/p/BYpTOdmnIfV/</v>
      </c>
      <c r="F4726" t="s">
        <v>25345</v>
      </c>
      <c r="G4726" t="s">
        <v>2478</v>
      </c>
      <c r="H4726">
        <v>525</v>
      </c>
      <c r="I4726" t="s">
        <v>13274</v>
      </c>
      <c r="J4726">
        <v>2</v>
      </c>
      <c r="K4726">
        <v>85</v>
      </c>
      <c r="L4726">
        <v>87</v>
      </c>
      <c r="Q4726">
        <v>0</v>
      </c>
      <c r="R4726">
        <v>0</v>
      </c>
      <c r="S4726">
        <v>87</v>
      </c>
      <c r="T4726" t="s">
        <v>25346</v>
      </c>
      <c r="V4726" t="s">
        <v>2222</v>
      </c>
      <c r="W4726">
        <v>52.383069900000002</v>
      </c>
      <c r="X4726">
        <v>4.9215</v>
      </c>
      <c r="Y4726" t="s">
        <v>4760</v>
      </c>
      <c r="Z4726" t="s">
        <v>3804</v>
      </c>
      <c r="AA4726" t="s">
        <v>5772</v>
      </c>
      <c r="AB4726" t="s">
        <v>7907</v>
      </c>
      <c r="AC4726" t="s">
        <v>14040</v>
      </c>
      <c r="AD4726" s="249" t="str">
        <f>HYPERLINK("https://scontent.cdninstagram.com/t51.2885-15/s320x320/e35/21371807_1678007742243415_5007204291086123008_n.jpg")</f>
        <v>https://scontent.cdninstagram.com/t51.2885-15/s320x320/e35/21371807_1678007742243415_5007204291086123008_n.jpg</v>
      </c>
      <c r="AE4726" s="249" t="str">
        <f>HYPERLINK("https://scontent.cdninstagram.com/t51.2885-19/s150x150/20902268_463519954020811_6603510379353997312_a.jpg")</f>
        <v>https://scontent.cdninstagram.com/t51.2885-19/s150x150/20902268_463519954020811_6603510379353997312_a.jpg</v>
      </c>
    </row>
    <row r="4727" spans="1:31" ht="15" x14ac:dyDescent="0.25">
      <c r="A4727" t="s">
        <v>2474</v>
      </c>
      <c r="B4727" t="s">
        <v>25347</v>
      </c>
      <c r="C4727" s="221">
        <v>42983.007268518515</v>
      </c>
      <c r="D4727" t="s">
        <v>25348</v>
      </c>
      <c r="E4727" s="249" t="str">
        <f>HYPERLINK("https://www.instagram.com/p/BYpTrDpg3Ie/")</f>
        <v>https://www.instagram.com/p/BYpTrDpg3Ie/</v>
      </c>
      <c r="F4727" t="s">
        <v>25349</v>
      </c>
      <c r="G4727" t="s">
        <v>2478</v>
      </c>
      <c r="H4727">
        <v>343</v>
      </c>
      <c r="I4727" t="s">
        <v>2479</v>
      </c>
      <c r="J4727">
        <v>0</v>
      </c>
      <c r="K4727">
        <v>94</v>
      </c>
      <c r="L4727">
        <v>94</v>
      </c>
      <c r="Q4727">
        <v>0</v>
      </c>
      <c r="R4727">
        <v>0</v>
      </c>
      <c r="S4727">
        <v>94</v>
      </c>
      <c r="T4727" t="s">
        <v>25350</v>
      </c>
      <c r="U4727" t="s">
        <v>97</v>
      </c>
      <c r="V4727" t="s">
        <v>2299</v>
      </c>
      <c r="W4727">
        <v>34.602295106051002</v>
      </c>
      <c r="X4727">
        <v>-118.15499362420999</v>
      </c>
      <c r="Y4727" t="s">
        <v>8862</v>
      </c>
      <c r="Z4727" t="s">
        <v>25351</v>
      </c>
      <c r="AA4727" t="s">
        <v>3351</v>
      </c>
      <c r="AB4727" t="s">
        <v>25352</v>
      </c>
      <c r="AC4727" t="s">
        <v>23823</v>
      </c>
      <c r="AD4727" s="249" t="str">
        <f>HYPERLINK("https://scontent.cdninstagram.com/t51.2885-15/s320x320/e35/21434145_1941354849440498_8692818484876279808_n.jpg")</f>
        <v>https://scontent.cdninstagram.com/t51.2885-15/s320x320/e35/21434145_1941354849440498_8692818484876279808_n.jpg</v>
      </c>
      <c r="AE4727" s="249" t="str">
        <f>HYPERLINK("https://scontent.cdninstagram.com/t51.2885-19/s150x150/21372884_273425949815760_212644161537441792_a.jpg")</f>
        <v>https://scontent.cdninstagram.com/t51.2885-19/s150x150/21372884_273425949815760_212644161537441792_a.jpg</v>
      </c>
    </row>
    <row r="4728" spans="1:31" ht="15" x14ac:dyDescent="0.25">
      <c r="A4728" t="s">
        <v>2474</v>
      </c>
      <c r="B4728" t="s">
        <v>25353</v>
      </c>
      <c r="C4728" s="221">
        <v>42983.019861111112</v>
      </c>
      <c r="D4728" t="s">
        <v>25354</v>
      </c>
      <c r="E4728" s="249" t="str">
        <f>HYPERLINK("https://www.instagram.com/p/BYpVv3mAYXo/")</f>
        <v>https://www.instagram.com/p/BYpVv3mAYXo/</v>
      </c>
      <c r="F4728" t="s">
        <v>25355</v>
      </c>
      <c r="G4728" t="s">
        <v>2478</v>
      </c>
      <c r="H4728">
        <v>404</v>
      </c>
      <c r="I4728" t="s">
        <v>2479</v>
      </c>
      <c r="J4728">
        <v>1</v>
      </c>
      <c r="K4728">
        <v>62</v>
      </c>
      <c r="L4728">
        <v>63</v>
      </c>
      <c r="Q4728">
        <v>0</v>
      </c>
      <c r="R4728">
        <v>0</v>
      </c>
      <c r="S4728">
        <v>63</v>
      </c>
      <c r="Y4728" t="s">
        <v>7256</v>
      </c>
      <c r="Z4728" t="s">
        <v>4760</v>
      </c>
      <c r="AA4728" t="s">
        <v>25343</v>
      </c>
      <c r="AB4728" t="s">
        <v>3982</v>
      </c>
      <c r="AC4728" t="s">
        <v>9108</v>
      </c>
      <c r="AD4728" s="249" t="str">
        <f>HYPERLINK("https://scontent.cdninstagram.com/t51.2885-15/s320x320/e35/21373786_125211738129475_7764917274753892352_n.jpg")</f>
        <v>https://scontent.cdninstagram.com/t51.2885-15/s320x320/e35/21373786_125211738129475_7764917274753892352_n.jpg</v>
      </c>
      <c r="AE4728" s="249" t="str">
        <f>HYPERLINK("https://scontent.cdninstagram.com/t51.2885-19/s150x150/19623634_468741033480382_4063594495776653312_a.jpg")</f>
        <v>https://scontent.cdninstagram.com/t51.2885-19/s150x150/19623634_468741033480382_4063594495776653312_a.jpg</v>
      </c>
    </row>
    <row r="4729" spans="1:31" ht="15" x14ac:dyDescent="0.25">
      <c r="A4729" t="s">
        <v>2474</v>
      </c>
      <c r="B4729" t="s">
        <v>25356</v>
      </c>
      <c r="C4729" s="221">
        <v>42983.021192129629</v>
      </c>
      <c r="D4729" t="s">
        <v>25357</v>
      </c>
      <c r="E4729" s="249" t="str">
        <f>HYPERLINK("https://www.instagram.com/p/BYpV94Ll-SM/")</f>
        <v>https://www.instagram.com/p/BYpV94Ll-SM/</v>
      </c>
      <c r="F4729" t="s">
        <v>25358</v>
      </c>
      <c r="G4729" t="s">
        <v>2478</v>
      </c>
      <c r="H4729">
        <v>211</v>
      </c>
      <c r="I4729" t="s">
        <v>2479</v>
      </c>
      <c r="J4729">
        <v>0</v>
      </c>
      <c r="K4729">
        <v>0</v>
      </c>
      <c r="L4729">
        <v>0</v>
      </c>
      <c r="Q4729">
        <v>0</v>
      </c>
      <c r="R4729">
        <v>0</v>
      </c>
      <c r="S4729">
        <v>0</v>
      </c>
      <c r="Y4729" t="s">
        <v>25359</v>
      </c>
      <c r="Z4729" t="s">
        <v>25360</v>
      </c>
      <c r="AA4729" t="s">
        <v>2497</v>
      </c>
      <c r="AD4729" s="249" t="str">
        <f>HYPERLINK("https://scontent.cdninstagram.com/t51.2885-15/s320x320/e35/21373355_1959982644278314_795787268773117952_n.jpg")</f>
        <v>https://scontent.cdninstagram.com/t51.2885-15/s320x320/e35/21373355_1959982644278314_795787268773117952_n.jpg</v>
      </c>
      <c r="AE4729" s="249" t="str">
        <f>HYPERLINK("https://scontent.cdninstagram.com/t51.2885-19/s150x150/13557185_1784163291819345_1144120934_a.jpg")</f>
        <v>https://scontent.cdninstagram.com/t51.2885-19/s150x150/13557185_1784163291819345_1144120934_a.jpg</v>
      </c>
    </row>
    <row r="4730" spans="1:31" ht="15" x14ac:dyDescent="0.25">
      <c r="A4730" t="s">
        <v>2474</v>
      </c>
      <c r="B4730" t="s">
        <v>20025</v>
      </c>
      <c r="C4730" s="221">
        <v>42983.021979166668</v>
      </c>
      <c r="D4730" t="s">
        <v>25361</v>
      </c>
      <c r="E4730" s="249" t="str">
        <f>HYPERLINK("https://www.instagram.com/p/BYpWGOGF8f3/")</f>
        <v>https://www.instagram.com/p/BYpWGOGF8f3/</v>
      </c>
      <c r="F4730" t="s">
        <v>25362</v>
      </c>
      <c r="G4730" t="s">
        <v>2488</v>
      </c>
      <c r="H4730">
        <v>164</v>
      </c>
      <c r="I4730" t="s">
        <v>2479</v>
      </c>
      <c r="J4730">
        <v>1</v>
      </c>
      <c r="K4730">
        <v>27</v>
      </c>
      <c r="L4730">
        <v>28</v>
      </c>
      <c r="Q4730">
        <v>0</v>
      </c>
      <c r="R4730">
        <v>0</v>
      </c>
      <c r="S4730">
        <v>28</v>
      </c>
      <c r="Y4730" t="s">
        <v>25363</v>
      </c>
      <c r="Z4730" t="s">
        <v>20503</v>
      </c>
      <c r="AA4730" t="s">
        <v>25364</v>
      </c>
      <c r="AB4730" t="s">
        <v>7960</v>
      </c>
      <c r="AC4730" t="s">
        <v>25365</v>
      </c>
      <c r="AD4730" s="249" t="str">
        <f>HYPERLINK("https://scontent.cdninstagram.com/t51.2885-15/s320x320/e35/21371648_165128064042026_5196414054494633984_n.jpg")</f>
        <v>https://scontent.cdninstagram.com/t51.2885-15/s320x320/e35/21371648_165128064042026_5196414054494633984_n.jpg</v>
      </c>
      <c r="AE4730" s="249" t="str">
        <f>HYPERLINK("https://scontent.cdninstagram.com/t51.2885-19/s150x150/20347229_1517153248347957_1550576240027500544_a.jpg")</f>
        <v>https://scontent.cdninstagram.com/t51.2885-19/s150x150/20347229_1517153248347957_1550576240027500544_a.jpg</v>
      </c>
    </row>
    <row r="4731" spans="1:31" ht="15" x14ac:dyDescent="0.25">
      <c r="A4731" t="s">
        <v>2474</v>
      </c>
      <c r="B4731" t="s">
        <v>25366</v>
      </c>
      <c r="C4731" s="221">
        <v>42983.024189814816</v>
      </c>
      <c r="D4731" t="s">
        <v>25367</v>
      </c>
      <c r="E4731" s="249" t="str">
        <f>HYPERLINK("https://www.instagram.com/p/BYpWdeyl6D1/")</f>
        <v>https://www.instagram.com/p/BYpWdeyl6D1/</v>
      </c>
      <c r="F4731" t="s">
        <v>25368</v>
      </c>
      <c r="G4731" t="s">
        <v>2478</v>
      </c>
      <c r="H4731">
        <v>10416</v>
      </c>
      <c r="I4731" t="s">
        <v>3170</v>
      </c>
      <c r="J4731">
        <v>18</v>
      </c>
      <c r="K4731">
        <v>245</v>
      </c>
      <c r="L4731">
        <v>263</v>
      </c>
      <c r="Q4731">
        <v>0</v>
      </c>
      <c r="R4731">
        <v>0</v>
      </c>
      <c r="S4731">
        <v>263</v>
      </c>
      <c r="Y4731" t="s">
        <v>25369</v>
      </c>
      <c r="Z4731" t="s">
        <v>5328</v>
      </c>
      <c r="AA4731" t="s">
        <v>25370</v>
      </c>
      <c r="AB4731" t="s">
        <v>10299</v>
      </c>
      <c r="AC4731" t="s">
        <v>4620</v>
      </c>
      <c r="AD4731" s="249" t="str">
        <f>HYPERLINK("https://scontent.cdninstagram.com/t51.2885-15/s320x320/e35/21296325_1523605551059656_8083393669597495296_n.jpg")</f>
        <v>https://scontent.cdninstagram.com/t51.2885-15/s320x320/e35/21296325_1523605551059656_8083393669597495296_n.jpg</v>
      </c>
      <c r="AE4731" s="249" t="str">
        <f>HYPERLINK("https://scontent.cdninstagram.com/t51.2885-19/s150x150/20902293_174088289803330_3978944100576526336_a.jpg")</f>
        <v>https://scontent.cdninstagram.com/t51.2885-19/s150x150/20902293_174088289803330_3978944100576526336_a.jpg</v>
      </c>
    </row>
    <row r="4732" spans="1:31" ht="15" x14ac:dyDescent="0.25">
      <c r="A4732" t="s">
        <v>2474</v>
      </c>
      <c r="B4732" t="s">
        <v>25371</v>
      </c>
      <c r="C4732" s="221">
        <v>42983.02921296296</v>
      </c>
      <c r="D4732" t="s">
        <v>25372</v>
      </c>
      <c r="E4732" s="249" t="str">
        <f>HYPERLINK("https://www.instagram.com/p/BYpXSeBhuQZ/")</f>
        <v>https://www.instagram.com/p/BYpXSeBhuQZ/</v>
      </c>
      <c r="F4732" t="s">
        <v>25373</v>
      </c>
      <c r="G4732" t="s">
        <v>2478</v>
      </c>
      <c r="H4732">
        <v>860</v>
      </c>
      <c r="I4732" t="s">
        <v>2479</v>
      </c>
      <c r="J4732">
        <v>0</v>
      </c>
      <c r="K4732">
        <v>22</v>
      </c>
      <c r="L4732">
        <v>22</v>
      </c>
      <c r="Q4732">
        <v>0</v>
      </c>
      <c r="R4732">
        <v>0</v>
      </c>
      <c r="S4732">
        <v>22</v>
      </c>
      <c r="Y4732" t="s">
        <v>3014</v>
      </c>
      <c r="Z4732" t="s">
        <v>12810</v>
      </c>
      <c r="AA4732" t="s">
        <v>2696</v>
      </c>
      <c r="AB4732" t="s">
        <v>5311</v>
      </c>
      <c r="AC4732" t="s">
        <v>2735</v>
      </c>
      <c r="AD4732" s="249" t="str">
        <f>HYPERLINK("https://scontent.cdninstagram.com/t51.2885-15/s320x320/e35/21371925_606261983096791_8959540467968507904_n.jpg")</f>
        <v>https://scontent.cdninstagram.com/t51.2885-15/s320x320/e35/21371925_606261983096791_8959540467968507904_n.jpg</v>
      </c>
      <c r="AE4732" s="249" t="str">
        <f>HYPERLINK("https://scontent.cdninstagram.com/t51.2885-19/s150x150/21433552_509426959418423_8747607162173259776_a.jpg")</f>
        <v>https://scontent.cdninstagram.com/t51.2885-19/s150x150/21433552_509426959418423_8747607162173259776_a.jpg</v>
      </c>
    </row>
    <row r="4733" spans="1:31" ht="15" x14ac:dyDescent="0.25">
      <c r="A4733" t="s">
        <v>2474</v>
      </c>
      <c r="B4733" t="s">
        <v>8312</v>
      </c>
      <c r="C4733" s="221">
        <v>42983.03597222222</v>
      </c>
      <c r="D4733" t="s">
        <v>25374</v>
      </c>
      <c r="E4733" s="249" t="str">
        <f>HYPERLINK("https://www.instagram.com/p/BYpYZ0XlD28/")</f>
        <v>https://www.instagram.com/p/BYpYZ0XlD28/</v>
      </c>
      <c r="F4733" t="s">
        <v>25375</v>
      </c>
      <c r="G4733" t="s">
        <v>2478</v>
      </c>
      <c r="H4733">
        <v>26</v>
      </c>
      <c r="I4733" t="s">
        <v>2599</v>
      </c>
      <c r="J4733">
        <v>0</v>
      </c>
      <c r="K4733">
        <v>28</v>
      </c>
      <c r="L4733">
        <v>28</v>
      </c>
      <c r="Q4733">
        <v>0</v>
      </c>
      <c r="R4733">
        <v>0</v>
      </c>
      <c r="S4733">
        <v>28</v>
      </c>
      <c r="T4733" t="s">
        <v>10329</v>
      </c>
      <c r="V4733" t="s">
        <v>2264</v>
      </c>
      <c r="W4733">
        <v>42.764014243490003</v>
      </c>
      <c r="X4733">
        <v>-7.9069180053236003</v>
      </c>
      <c r="Y4733" t="s">
        <v>7131</v>
      </c>
      <c r="Z4733" t="s">
        <v>6466</v>
      </c>
      <c r="AA4733" t="s">
        <v>9073</v>
      </c>
      <c r="AB4733" t="s">
        <v>9075</v>
      </c>
      <c r="AC4733" t="s">
        <v>12910</v>
      </c>
      <c r="AD4733" s="249" t="str">
        <f>HYPERLINK("https://scontent.cdninstagram.com/t51.2885-15/s320x320/e35/21372521_116196715720452_8881691982410285056_n.jpg")</f>
        <v>https://scontent.cdninstagram.com/t51.2885-15/s320x320/e35/21372521_116196715720452_8881691982410285056_n.jpg</v>
      </c>
      <c r="AE4733" s="249" t="str">
        <f>HYPERLINK("https://scontent.cdninstagram.com/t51.2885-19/s150x150/20347739_515336592144896_3974966673097621504_a.jpg")</f>
        <v>https://scontent.cdninstagram.com/t51.2885-19/s150x150/20347739_515336592144896_3974966673097621504_a.jpg</v>
      </c>
    </row>
    <row r="4734" spans="1:31" ht="15" x14ac:dyDescent="0.25">
      <c r="A4734" t="s">
        <v>2474</v>
      </c>
      <c r="B4734" t="s">
        <v>4535</v>
      </c>
      <c r="C4734" s="221">
        <v>42983.040590277778</v>
      </c>
      <c r="D4734" t="s">
        <v>25376</v>
      </c>
      <c r="E4734" s="249" t="str">
        <f>HYPERLINK("https://www.instagram.com/p/BYpZKgAlDmi/")</f>
        <v>https://www.instagram.com/p/BYpZKgAlDmi/</v>
      </c>
      <c r="F4734" t="s">
        <v>25377</v>
      </c>
      <c r="G4734" t="s">
        <v>2478</v>
      </c>
      <c r="H4734">
        <v>187</v>
      </c>
      <c r="I4734" t="s">
        <v>2479</v>
      </c>
      <c r="J4734">
        <v>0</v>
      </c>
      <c r="K4734">
        <v>23</v>
      </c>
      <c r="L4734">
        <v>23</v>
      </c>
      <c r="Q4734">
        <v>0</v>
      </c>
      <c r="R4734">
        <v>0</v>
      </c>
      <c r="S4734">
        <v>23</v>
      </c>
      <c r="Y4734" t="s">
        <v>8845</v>
      </c>
      <c r="Z4734" t="s">
        <v>8844</v>
      </c>
      <c r="AA4734" t="s">
        <v>4538</v>
      </c>
      <c r="AB4734" t="s">
        <v>5607</v>
      </c>
      <c r="AC4734" t="s">
        <v>5605</v>
      </c>
      <c r="AD4734" s="249" t="str">
        <f>HYPERLINK("https://scontent.cdninstagram.com/t51.2885-15/s320x320/e35/21372005_1964874807134545_1214155738109181952_n.jpg")</f>
        <v>https://scontent.cdninstagram.com/t51.2885-15/s320x320/e35/21372005_1964874807134545_1214155738109181952_n.jpg</v>
      </c>
      <c r="AE4734" s="249" t="str">
        <f>HYPERLINK("https://scontent.cdninstagram.com/t51.2885-19/s150x150/20399028_1624608414236560_533007696291430400_a.jpg")</f>
        <v>https://scontent.cdninstagram.com/t51.2885-19/s150x150/20399028_1624608414236560_533007696291430400_a.jpg</v>
      </c>
    </row>
    <row r="4735" spans="1:31" ht="15" x14ac:dyDescent="0.25">
      <c r="A4735" t="s">
        <v>2474</v>
      </c>
      <c r="B4735" t="s">
        <v>23595</v>
      </c>
      <c r="C4735" s="221">
        <v>42983.043078703704</v>
      </c>
      <c r="D4735" t="s">
        <v>25378</v>
      </c>
      <c r="E4735" s="249" t="str">
        <f>HYPERLINK("https://www.instagram.com/p/BYpZkuQB9hX/")</f>
        <v>https://www.instagram.com/p/BYpZkuQB9hX/</v>
      </c>
      <c r="F4735" t="s">
        <v>25379</v>
      </c>
      <c r="G4735" t="s">
        <v>2478</v>
      </c>
      <c r="H4735">
        <v>261</v>
      </c>
      <c r="I4735" t="s">
        <v>2479</v>
      </c>
      <c r="J4735">
        <v>2</v>
      </c>
      <c r="K4735">
        <v>36</v>
      </c>
      <c r="L4735">
        <v>38</v>
      </c>
      <c r="Q4735">
        <v>0</v>
      </c>
      <c r="R4735">
        <v>0</v>
      </c>
      <c r="S4735">
        <v>38</v>
      </c>
      <c r="Y4735" t="s">
        <v>7830</v>
      </c>
      <c r="Z4735" t="s">
        <v>3077</v>
      </c>
      <c r="AA4735" t="s">
        <v>18018</v>
      </c>
      <c r="AB4735" t="s">
        <v>25380</v>
      </c>
      <c r="AC4735" t="s">
        <v>2529</v>
      </c>
      <c r="AD4735" s="249" t="str">
        <f>HYPERLINK("https://scontent.cdninstagram.com/t51.2885-15/e35/p320x320/21373803_821685638020298_4601564704656064512_n.jpg")</f>
        <v>https://scontent.cdninstagram.com/t51.2885-15/e35/p320x320/21373803_821685638020298_4601564704656064512_n.jpg</v>
      </c>
      <c r="AE4735" s="249" t="str">
        <f>HYPERLINK("https://scontent.cdninstagram.com/t51.2885-19/s150x150/20589748_2005992789669119_5002771240591556608_a.jpg")</f>
        <v>https://scontent.cdninstagram.com/t51.2885-19/s150x150/20589748_2005992789669119_5002771240591556608_a.jpg</v>
      </c>
    </row>
    <row r="4736" spans="1:31" ht="15" x14ac:dyDescent="0.25">
      <c r="A4736" t="s">
        <v>2474</v>
      </c>
      <c r="B4736" t="s">
        <v>2516</v>
      </c>
      <c r="C4736" s="221">
        <v>42983.046701388892</v>
      </c>
      <c r="D4736" t="s">
        <v>25381</v>
      </c>
      <c r="E4736" s="249" t="str">
        <f>HYPERLINK("https://www.instagram.com/p/BYpaK7SjC8Q/")</f>
        <v>https://www.instagram.com/p/BYpaK7SjC8Q/</v>
      </c>
      <c r="F4736" t="s">
        <v>25382</v>
      </c>
      <c r="G4736" t="s">
        <v>2478</v>
      </c>
      <c r="H4736">
        <v>686</v>
      </c>
      <c r="I4736" t="s">
        <v>2479</v>
      </c>
      <c r="J4736">
        <v>1</v>
      </c>
      <c r="K4736">
        <v>23</v>
      </c>
      <c r="L4736">
        <v>24</v>
      </c>
      <c r="Q4736">
        <v>0</v>
      </c>
      <c r="R4736">
        <v>0</v>
      </c>
      <c r="S4736">
        <v>24</v>
      </c>
      <c r="Y4736" t="s">
        <v>5787</v>
      </c>
      <c r="Z4736" t="s">
        <v>5788</v>
      </c>
      <c r="AA4736" t="s">
        <v>2524</v>
      </c>
      <c r="AB4736" t="s">
        <v>25093</v>
      </c>
      <c r="AC4736" t="s">
        <v>6978</v>
      </c>
      <c r="AD4736" s="249" t="str">
        <f>HYPERLINK("https://scontent.cdninstagram.com/t51.2885-15/s320x320/e35/21372454_1900834700168746_582103115264688128_n.jpg")</f>
        <v>https://scontent.cdninstagram.com/t51.2885-15/s320x320/e35/21372454_1900834700168746_582103115264688128_n.jpg</v>
      </c>
      <c r="AE4736" s="249" t="str">
        <f>HYPERLINK("https://scontent.cdninstagram.com/t51.2885-19/s150x150/21372563_140209839921980_5104164354614362112_a.jpg")</f>
        <v>https://scontent.cdninstagram.com/t51.2885-19/s150x150/21372563_140209839921980_5104164354614362112_a.jpg</v>
      </c>
    </row>
    <row r="4737" spans="1:31" ht="15" x14ac:dyDescent="0.25">
      <c r="A4737" t="s">
        <v>2474</v>
      </c>
      <c r="B4737" t="s">
        <v>24461</v>
      </c>
      <c r="C4737" s="221">
        <v>42983.054502314815</v>
      </c>
      <c r="D4737" t="s">
        <v>25383</v>
      </c>
      <c r="E4737" s="249" t="str">
        <f>HYPERLINK("https://www.instagram.com/p/BYpbdNGjque/")</f>
        <v>https://www.instagram.com/p/BYpbdNGjque/</v>
      </c>
      <c r="F4737" t="s">
        <v>25384</v>
      </c>
      <c r="G4737" t="s">
        <v>2478</v>
      </c>
      <c r="H4737">
        <v>547</v>
      </c>
      <c r="I4737" t="s">
        <v>2510</v>
      </c>
      <c r="J4737">
        <v>1</v>
      </c>
      <c r="K4737">
        <v>86</v>
      </c>
      <c r="L4737">
        <v>87</v>
      </c>
      <c r="Q4737">
        <v>0</v>
      </c>
      <c r="R4737">
        <v>0</v>
      </c>
      <c r="S4737">
        <v>87</v>
      </c>
      <c r="T4737" t="s">
        <v>25385</v>
      </c>
      <c r="V4737" t="s">
        <v>2110</v>
      </c>
      <c r="W4737">
        <v>51.208091916043003</v>
      </c>
      <c r="X4737">
        <v>4.3870838297211003</v>
      </c>
      <c r="Y4737" t="s">
        <v>3804</v>
      </c>
      <c r="Z4737" t="s">
        <v>3157</v>
      </c>
      <c r="AA4737" t="s">
        <v>4105</v>
      </c>
      <c r="AB4737" t="s">
        <v>2609</v>
      </c>
      <c r="AC4737" t="s">
        <v>4779</v>
      </c>
      <c r="AD4737" s="249" t="str">
        <f>HYPERLINK("https://scontent.cdninstagram.com/t51.2885-15/s320x320/e35/21296840_112876592737805_5255703986366840832_n.jpg")</f>
        <v>https://scontent.cdninstagram.com/t51.2885-15/s320x320/e35/21296840_112876592737805_5255703986366840832_n.jpg</v>
      </c>
      <c r="AE4737" s="249" t="str">
        <f>HYPERLINK("https://scontent.cdninstagram.com/t51.2885-19/s150x150/14693873_350074015338449_8558633703570407424_a.jpg")</f>
        <v>https://scontent.cdninstagram.com/t51.2885-19/s150x150/14693873_350074015338449_8558633703570407424_a.jpg</v>
      </c>
    </row>
    <row r="4738" spans="1:31" ht="15" x14ac:dyDescent="0.25">
      <c r="A4738" t="s">
        <v>2474</v>
      </c>
      <c r="B4738" t="s">
        <v>25386</v>
      </c>
      <c r="C4738" s="221">
        <v>42983.061898148146</v>
      </c>
      <c r="D4738" t="s">
        <v>25387</v>
      </c>
      <c r="E4738" s="249" t="str">
        <f>HYPERLINK("https://www.instagram.com/p/BYpcrPoFsRL/")</f>
        <v>https://www.instagram.com/p/BYpcrPoFsRL/</v>
      </c>
      <c r="F4738" t="s">
        <v>25388</v>
      </c>
      <c r="G4738" t="s">
        <v>2478</v>
      </c>
      <c r="H4738">
        <v>532</v>
      </c>
      <c r="I4738" t="s">
        <v>2542</v>
      </c>
      <c r="J4738">
        <v>1</v>
      </c>
      <c r="K4738">
        <v>47</v>
      </c>
      <c r="L4738">
        <v>48</v>
      </c>
      <c r="Q4738">
        <v>0</v>
      </c>
      <c r="R4738">
        <v>0</v>
      </c>
      <c r="S4738">
        <v>48</v>
      </c>
      <c r="Y4738" t="s">
        <v>25389</v>
      </c>
      <c r="Z4738" t="s">
        <v>25390</v>
      </c>
      <c r="AA4738" t="s">
        <v>25391</v>
      </c>
      <c r="AB4738" t="s">
        <v>16782</v>
      </c>
      <c r="AC4738" t="s">
        <v>2728</v>
      </c>
      <c r="AD4738" s="249" t="str">
        <f>HYPERLINK("https://scontent.cdninstagram.com/t51.2885-15/e35/p320x320/21435613_308818172920831_6381530625362362368_n.jpg")</f>
        <v>https://scontent.cdninstagram.com/t51.2885-15/e35/p320x320/21435613_308818172920831_6381530625362362368_n.jpg</v>
      </c>
      <c r="AE4738" s="249" t="str">
        <f>HYPERLINK("https://scontent.cdninstagram.com/t51.2885-19/s150x150/20065466_1383044841779071_8376338957767540736_a.jpg")</f>
        <v>https://scontent.cdninstagram.com/t51.2885-19/s150x150/20065466_1383044841779071_8376338957767540736_a.jpg</v>
      </c>
    </row>
    <row r="4739" spans="1:31" ht="15" x14ac:dyDescent="0.25">
      <c r="A4739" t="s">
        <v>2474</v>
      </c>
      <c r="B4739" t="s">
        <v>13563</v>
      </c>
      <c r="C4739" s="221">
        <v>42983.067766203705</v>
      </c>
      <c r="D4739" t="s">
        <v>25392</v>
      </c>
      <c r="E4739" s="249" t="str">
        <f>HYPERLINK("https://www.instagram.com/p/BYpdpDtF3Dj/")</f>
        <v>https://www.instagram.com/p/BYpdpDtF3Dj/</v>
      </c>
      <c r="F4739" t="s">
        <v>25393</v>
      </c>
      <c r="G4739" t="s">
        <v>2478</v>
      </c>
      <c r="H4739">
        <v>409</v>
      </c>
      <c r="I4739" t="s">
        <v>2479</v>
      </c>
      <c r="J4739">
        <v>3</v>
      </c>
      <c r="K4739">
        <v>79</v>
      </c>
      <c r="L4739">
        <v>82</v>
      </c>
      <c r="Q4739">
        <v>0</v>
      </c>
      <c r="R4739">
        <v>0</v>
      </c>
      <c r="S4739">
        <v>82</v>
      </c>
      <c r="Y4739" t="s">
        <v>5449</v>
      </c>
      <c r="Z4739" t="s">
        <v>4090</v>
      </c>
      <c r="AA4739" t="s">
        <v>25394</v>
      </c>
      <c r="AB4739" t="s">
        <v>25395</v>
      </c>
      <c r="AC4739" t="s">
        <v>3662</v>
      </c>
      <c r="AD4739" s="249" t="str">
        <f>HYPERLINK("https://scontent.cdninstagram.com/t51.2885-15/s320x320/e35/21372171_864356950380319_1052856308572618752_n.jpg")</f>
        <v>https://scontent.cdninstagram.com/t51.2885-15/s320x320/e35/21372171_864356950380319_1052856308572618752_n.jpg</v>
      </c>
      <c r="AE4739" s="249" t="str">
        <f>HYPERLINK("https://scontent.cdninstagram.com/t51.2885-19/s150x150/19428976_263809690768037_6352315300037263360_a.jpg")</f>
        <v>https://scontent.cdninstagram.com/t51.2885-19/s150x150/19428976_263809690768037_6352315300037263360_a.jpg</v>
      </c>
    </row>
    <row r="4740" spans="1:31" ht="15" x14ac:dyDescent="0.25">
      <c r="A4740" t="s">
        <v>2474</v>
      </c>
      <c r="B4740" t="s">
        <v>4685</v>
      </c>
      <c r="C4740" s="221">
        <v>42983.073391203703</v>
      </c>
      <c r="D4740" t="s">
        <v>25396</v>
      </c>
      <c r="E4740" s="249" t="str">
        <f>HYPERLINK("https://www.instagram.com/p/BYpekZcDdBH/")</f>
        <v>https://www.instagram.com/p/BYpekZcDdBH/</v>
      </c>
      <c r="F4740" t="s">
        <v>25397</v>
      </c>
      <c r="G4740" t="s">
        <v>2478</v>
      </c>
      <c r="H4740">
        <v>354</v>
      </c>
      <c r="I4740" t="s">
        <v>3170</v>
      </c>
      <c r="J4740">
        <v>0</v>
      </c>
      <c r="K4740">
        <v>28</v>
      </c>
      <c r="L4740">
        <v>28</v>
      </c>
      <c r="Q4740">
        <v>0</v>
      </c>
      <c r="R4740">
        <v>0</v>
      </c>
      <c r="S4740">
        <v>28</v>
      </c>
      <c r="Y4740" t="s">
        <v>5811</v>
      </c>
      <c r="Z4740" t="s">
        <v>25398</v>
      </c>
      <c r="AA4740" t="s">
        <v>10087</v>
      </c>
      <c r="AB4740" t="s">
        <v>4778</v>
      </c>
      <c r="AC4740" t="s">
        <v>4691</v>
      </c>
      <c r="AD4740" s="249" t="str">
        <f>HYPERLINK("https://scontent.cdninstagram.com/t51.2885-15/e35/p320x320/21433961_363147930772161_5979306680393924608_n.jpg")</f>
        <v>https://scontent.cdninstagram.com/t51.2885-15/e35/p320x320/21433961_363147930772161_5979306680393924608_n.jpg</v>
      </c>
      <c r="AE4740" s="249" t="str">
        <f>HYPERLINK("https://scontent.cdninstagram.com/t51.2885-19/s150x150/14498866_1223064704423042_5122473061462835200_a.jpg")</f>
        <v>https://scontent.cdninstagram.com/t51.2885-19/s150x150/14498866_1223064704423042_5122473061462835200_a.jpg</v>
      </c>
    </row>
    <row r="4741" spans="1:31" ht="15" x14ac:dyDescent="0.25">
      <c r="A4741" t="s">
        <v>2474</v>
      </c>
      <c r="B4741" t="s">
        <v>25399</v>
      </c>
      <c r="C4741" s="221">
        <v>42983.080266203702</v>
      </c>
      <c r="D4741" t="s">
        <v>25400</v>
      </c>
      <c r="E4741" s="249" t="str">
        <f>HYPERLINK("https://www.instagram.com/p/BYpfs6wF2wm/")</f>
        <v>https://www.instagram.com/p/BYpfs6wF2wm/</v>
      </c>
      <c r="F4741" t="s">
        <v>25401</v>
      </c>
      <c r="G4741" t="s">
        <v>2478</v>
      </c>
      <c r="H4741">
        <v>755</v>
      </c>
      <c r="I4741" t="s">
        <v>2748</v>
      </c>
      <c r="J4741">
        <v>0</v>
      </c>
      <c r="K4741">
        <v>47</v>
      </c>
      <c r="L4741">
        <v>47</v>
      </c>
      <c r="Q4741">
        <v>0</v>
      </c>
      <c r="R4741">
        <v>0</v>
      </c>
      <c r="S4741">
        <v>47</v>
      </c>
      <c r="Y4741" t="s">
        <v>25402</v>
      </c>
      <c r="Z4741" t="s">
        <v>4993</v>
      </c>
      <c r="AA4741" t="s">
        <v>25403</v>
      </c>
      <c r="AB4741" t="s">
        <v>25404</v>
      </c>
      <c r="AC4741" t="s">
        <v>3698</v>
      </c>
      <c r="AD4741" s="249" t="str">
        <f>HYPERLINK("https://scontent.cdninstagram.com/t51.2885-15/e35/p320x320/21296844_944875715651798_4089625575298170880_n.jpg")</f>
        <v>https://scontent.cdninstagram.com/t51.2885-15/e35/p320x320/21296844_944875715651798_4089625575298170880_n.jpg</v>
      </c>
      <c r="AE4741" s="249" t="str">
        <f>HYPERLINK("https://scontent.cdninstagram.com/t51.2885-19/s150x150/17126523_221001134971343_9009440750928134144_a.jpg")</f>
        <v>https://scontent.cdninstagram.com/t51.2885-19/s150x150/17126523_221001134971343_9009440750928134144_a.jpg</v>
      </c>
    </row>
    <row r="4742" spans="1:31" ht="15" x14ac:dyDescent="0.25">
      <c r="A4742" t="s">
        <v>2474</v>
      </c>
      <c r="B4742" t="s">
        <v>24082</v>
      </c>
      <c r="C4742" s="221">
        <v>42983.081192129626</v>
      </c>
      <c r="D4742" t="s">
        <v>25405</v>
      </c>
      <c r="E4742" s="249" t="str">
        <f>HYPERLINK("https://www.instagram.com/p/BYpf2tOAWR2/")</f>
        <v>https://www.instagram.com/p/BYpf2tOAWR2/</v>
      </c>
      <c r="F4742" t="s">
        <v>25406</v>
      </c>
      <c r="G4742" t="s">
        <v>2478</v>
      </c>
      <c r="H4742">
        <v>143</v>
      </c>
      <c r="I4742" t="s">
        <v>2479</v>
      </c>
      <c r="J4742">
        <v>0</v>
      </c>
      <c r="K4742">
        <v>30</v>
      </c>
      <c r="L4742">
        <v>30</v>
      </c>
      <c r="Q4742">
        <v>0</v>
      </c>
      <c r="R4742">
        <v>0</v>
      </c>
      <c r="S4742">
        <v>30</v>
      </c>
      <c r="Y4742" t="s">
        <v>5307</v>
      </c>
      <c r="Z4742" t="s">
        <v>25407</v>
      </c>
      <c r="AA4742" t="s">
        <v>2696</v>
      </c>
      <c r="AB4742" t="s">
        <v>5644</v>
      </c>
      <c r="AC4742" t="s">
        <v>2497</v>
      </c>
      <c r="AD4742" s="249" t="str">
        <f>HYPERLINK("https://scontent.cdninstagram.com/t51.2885-15/s320x320/e35/21433449_348119118972521_30121584899391488_n.jpg")</f>
        <v>https://scontent.cdninstagram.com/t51.2885-15/s320x320/e35/21433449_348119118972521_30121584899391488_n.jpg</v>
      </c>
      <c r="AE4742" s="249" t="str">
        <f>HYPERLINK("https://scontent.cdninstagram.com/t51.2885-19/s150x150/19624588_1938016089809943_8453224258254929920_a.jpg")</f>
        <v>https://scontent.cdninstagram.com/t51.2885-19/s150x150/19624588_1938016089809943_8453224258254929920_a.jpg</v>
      </c>
    </row>
    <row r="4743" spans="1:31" ht="15" x14ac:dyDescent="0.25">
      <c r="A4743" t="s">
        <v>2474</v>
      </c>
      <c r="B4743" t="s">
        <v>4535</v>
      </c>
      <c r="C4743" s="221">
        <v>42983.086793981478</v>
      </c>
      <c r="D4743" t="s">
        <v>25408</v>
      </c>
      <c r="E4743" s="249" t="str">
        <f>HYPERLINK("https://www.instagram.com/p/BYpgxxElWKz/")</f>
        <v>https://www.instagram.com/p/BYpgxxElWKz/</v>
      </c>
      <c r="F4743" t="s">
        <v>25409</v>
      </c>
      <c r="G4743" t="s">
        <v>2478</v>
      </c>
      <c r="H4743">
        <v>189</v>
      </c>
      <c r="I4743" t="s">
        <v>2479</v>
      </c>
      <c r="J4743">
        <v>0</v>
      </c>
      <c r="K4743">
        <v>31</v>
      </c>
      <c r="L4743">
        <v>31</v>
      </c>
      <c r="Q4743">
        <v>0</v>
      </c>
      <c r="R4743">
        <v>0</v>
      </c>
      <c r="S4743">
        <v>31</v>
      </c>
      <c r="Y4743" t="s">
        <v>8845</v>
      </c>
      <c r="Z4743" t="s">
        <v>8844</v>
      </c>
      <c r="AA4743" t="s">
        <v>4538</v>
      </c>
      <c r="AB4743" t="s">
        <v>5607</v>
      </c>
      <c r="AC4743" t="s">
        <v>5605</v>
      </c>
      <c r="AD4743" s="249" t="str">
        <f>HYPERLINK("https://scontent.cdninstagram.com/t51.2885-15/e35/p320x320/21433450_342904172816609_396528096779436032_n.jpg")</f>
        <v>https://scontent.cdninstagram.com/t51.2885-15/e35/p320x320/21433450_342904172816609_396528096779436032_n.jpg</v>
      </c>
      <c r="AE4743" s="249" t="str">
        <f>HYPERLINK("https://scontent.cdninstagram.com/t51.2885-19/s150x150/20399028_1624608414236560_533007696291430400_a.jpg")</f>
        <v>https://scontent.cdninstagram.com/t51.2885-19/s150x150/20399028_1624608414236560_533007696291430400_a.jpg</v>
      </c>
    </row>
    <row r="4744" spans="1:31" ht="15" x14ac:dyDescent="0.25">
      <c r="A4744" t="s">
        <v>2474</v>
      </c>
      <c r="B4744" t="s">
        <v>4535</v>
      </c>
      <c r="C4744" s="221">
        <v>42983.087442129632</v>
      </c>
      <c r="D4744" t="s">
        <v>25410</v>
      </c>
      <c r="E4744" s="249" t="str">
        <f>HYPERLINK("https://www.instagram.com/p/BYpg4qTllUN/")</f>
        <v>https://www.instagram.com/p/BYpg4qTllUN/</v>
      </c>
      <c r="F4744" t="s">
        <v>25411</v>
      </c>
      <c r="G4744" t="s">
        <v>2478</v>
      </c>
      <c r="H4744">
        <v>189</v>
      </c>
      <c r="I4744" t="s">
        <v>2479</v>
      </c>
      <c r="J4744">
        <v>2</v>
      </c>
      <c r="K4744">
        <v>35</v>
      </c>
      <c r="L4744">
        <v>37</v>
      </c>
      <c r="Q4744">
        <v>0</v>
      </c>
      <c r="R4744">
        <v>0</v>
      </c>
      <c r="S4744">
        <v>37</v>
      </c>
      <c r="Y4744" t="s">
        <v>8845</v>
      </c>
      <c r="Z4744" t="s">
        <v>8844</v>
      </c>
      <c r="AA4744" t="s">
        <v>4538</v>
      </c>
      <c r="AB4744" t="s">
        <v>5607</v>
      </c>
      <c r="AC4744" t="s">
        <v>5605</v>
      </c>
      <c r="AD4744" s="249" t="str">
        <f>HYPERLINK("https://scontent.cdninstagram.com/t51.2885-15/e35/p320x320/21372904_1446553062096685_8000894687940444160_n.jpg")</f>
        <v>https://scontent.cdninstagram.com/t51.2885-15/e35/p320x320/21372904_1446553062096685_8000894687940444160_n.jpg</v>
      </c>
      <c r="AE4744" s="249" t="str">
        <f>HYPERLINK("https://scontent.cdninstagram.com/t51.2885-19/s150x150/20399028_1624608414236560_533007696291430400_a.jpg")</f>
        <v>https://scontent.cdninstagram.com/t51.2885-19/s150x150/20399028_1624608414236560_533007696291430400_a.jpg</v>
      </c>
    </row>
    <row r="4745" spans="1:31" ht="15" x14ac:dyDescent="0.25">
      <c r="A4745" t="s">
        <v>2474</v>
      </c>
      <c r="B4745" t="s">
        <v>4535</v>
      </c>
      <c r="C4745" s="221">
        <v>42983.08871527778</v>
      </c>
      <c r="D4745" t="s">
        <v>25412</v>
      </c>
      <c r="E4745" s="249" t="str">
        <f>HYPERLINK("https://www.instagram.com/p/BYphGEmlF31/")</f>
        <v>https://www.instagram.com/p/BYphGEmlF31/</v>
      </c>
      <c r="F4745" t="s">
        <v>25413</v>
      </c>
      <c r="G4745" t="s">
        <v>2478</v>
      </c>
      <c r="H4745">
        <v>189</v>
      </c>
      <c r="I4745" t="s">
        <v>2479</v>
      </c>
      <c r="J4745">
        <v>0</v>
      </c>
      <c r="K4745">
        <v>6</v>
      </c>
      <c r="L4745">
        <v>6</v>
      </c>
      <c r="Q4745">
        <v>0</v>
      </c>
      <c r="R4745">
        <v>0</v>
      </c>
      <c r="S4745">
        <v>6</v>
      </c>
      <c r="Y4745" t="s">
        <v>10673</v>
      </c>
      <c r="Z4745" t="s">
        <v>5607</v>
      </c>
      <c r="AA4745" t="s">
        <v>5604</v>
      </c>
      <c r="AB4745" t="s">
        <v>5608</v>
      </c>
      <c r="AC4745" t="s">
        <v>4539</v>
      </c>
      <c r="AD4745" s="249" t="str">
        <f>HYPERLINK("https://scontent.cdninstagram.com/t51.2885-15/s320x320/e35/21372964_114338549283352_256405359978086400_n.jpg")</f>
        <v>https://scontent.cdninstagram.com/t51.2885-15/s320x320/e35/21372964_114338549283352_256405359978086400_n.jpg</v>
      </c>
      <c r="AE4745" s="249" t="str">
        <f>HYPERLINK("https://scontent.cdninstagram.com/t51.2885-19/s150x150/20399028_1624608414236560_533007696291430400_a.jpg")</f>
        <v>https://scontent.cdninstagram.com/t51.2885-19/s150x150/20399028_1624608414236560_533007696291430400_a.jpg</v>
      </c>
    </row>
    <row r="4746" spans="1:31" ht="15" x14ac:dyDescent="0.25">
      <c r="A4746" t="s">
        <v>2474</v>
      </c>
      <c r="B4746" t="s">
        <v>25414</v>
      </c>
      <c r="C4746" s="221">
        <v>42983.093333333331</v>
      </c>
      <c r="D4746" t="s">
        <v>25415</v>
      </c>
      <c r="E4746" s="249" t="str">
        <f>HYPERLINK("https://www.instagram.com/p/BYph2ybg1P5/")</f>
        <v>https://www.instagram.com/p/BYph2ybg1P5/</v>
      </c>
      <c r="F4746" t="s">
        <v>25416</v>
      </c>
      <c r="G4746" t="s">
        <v>2478</v>
      </c>
      <c r="H4746">
        <v>538</v>
      </c>
      <c r="I4746" t="s">
        <v>3575</v>
      </c>
      <c r="J4746">
        <v>1</v>
      </c>
      <c r="K4746">
        <v>96</v>
      </c>
      <c r="L4746">
        <v>97</v>
      </c>
      <c r="Q4746">
        <v>0</v>
      </c>
      <c r="R4746">
        <v>0</v>
      </c>
      <c r="S4746">
        <v>97</v>
      </c>
      <c r="Y4746" t="s">
        <v>25417</v>
      </c>
      <c r="Z4746" t="s">
        <v>25418</v>
      </c>
      <c r="AA4746" t="s">
        <v>25419</v>
      </c>
      <c r="AB4746" t="s">
        <v>3717</v>
      </c>
      <c r="AC4746" t="s">
        <v>25420</v>
      </c>
      <c r="AD4746" s="249" t="str">
        <f>HYPERLINK("https://scontent.cdninstagram.com/t51.2885-15/s320x320/e35/21434211_160216061225823_2212381308217196544_n.jpg")</f>
        <v>https://scontent.cdninstagram.com/t51.2885-15/s320x320/e35/21434211_160216061225823_2212381308217196544_n.jpg</v>
      </c>
      <c r="AE4746" s="249" t="str">
        <f>HYPERLINK("https://scontent.cdninstagram.com/t51.2885-19/s150x150/17265361_1749250668661707_7340243454124883968_a.jpg")</f>
        <v>https://scontent.cdninstagram.com/t51.2885-19/s150x150/17265361_1749250668661707_7340243454124883968_a.jpg</v>
      </c>
    </row>
    <row r="4747" spans="1:31" ht="15" x14ac:dyDescent="0.25">
      <c r="A4747" t="s">
        <v>2474</v>
      </c>
      <c r="B4747" t="s">
        <v>25421</v>
      </c>
      <c r="C4747" s="221">
        <v>42983.098009259258</v>
      </c>
      <c r="D4747" t="s">
        <v>25422</v>
      </c>
      <c r="E4747" s="249" t="str">
        <f>HYPERLINK("https://www.instagram.com/p/BYpioDBFfe1/")</f>
        <v>https://www.instagram.com/p/BYpioDBFfe1/</v>
      </c>
      <c r="F4747" t="s">
        <v>25423</v>
      </c>
      <c r="G4747" t="s">
        <v>2478</v>
      </c>
      <c r="H4747">
        <v>530</v>
      </c>
      <c r="I4747" t="s">
        <v>2542</v>
      </c>
      <c r="J4747">
        <v>0</v>
      </c>
      <c r="K4747">
        <v>7</v>
      </c>
      <c r="L4747">
        <v>7</v>
      </c>
      <c r="Q4747">
        <v>0</v>
      </c>
      <c r="R4747">
        <v>0</v>
      </c>
      <c r="S4747">
        <v>7</v>
      </c>
      <c r="Y4747" t="s">
        <v>25424</v>
      </c>
      <c r="Z4747" t="s">
        <v>25425</v>
      </c>
      <c r="AA4747" t="s">
        <v>25426</v>
      </c>
      <c r="AB4747" t="s">
        <v>2551</v>
      </c>
      <c r="AC4747" t="s">
        <v>4180</v>
      </c>
      <c r="AD4747" s="249" t="str">
        <f>HYPERLINK("https://scontent.cdninstagram.com/t51.2885-15/s320x320/e35/21371655_345965455843532_4685093220038737920_n.jpg")</f>
        <v>https://scontent.cdninstagram.com/t51.2885-15/s320x320/e35/21371655_345965455843532_4685093220038737920_n.jpg</v>
      </c>
      <c r="AE4747" s="249" t="str">
        <f>HYPERLINK("https://scontent.cdninstagram.com/t51.2885-19/s150x150/21147412_116932732367521_1171960493334593536_a.jpg")</f>
        <v>https://scontent.cdninstagram.com/t51.2885-19/s150x150/21147412_116932732367521_1171960493334593536_a.jpg</v>
      </c>
    </row>
    <row r="4748" spans="1:31" ht="15" x14ac:dyDescent="0.25">
      <c r="A4748" t="s">
        <v>2474</v>
      </c>
      <c r="B4748" t="s">
        <v>4811</v>
      </c>
      <c r="C4748" s="221">
        <v>42983.099143518521</v>
      </c>
      <c r="D4748" t="s">
        <v>25427</v>
      </c>
      <c r="E4748" s="249" t="str">
        <f>HYPERLINK("https://www.instagram.com/p/BYpi0F6AHwE/")</f>
        <v>https://www.instagram.com/p/BYpi0F6AHwE/</v>
      </c>
      <c r="F4748" t="s">
        <v>25428</v>
      </c>
      <c r="G4748" t="s">
        <v>2478</v>
      </c>
      <c r="H4748">
        <v>1022</v>
      </c>
      <c r="I4748" t="s">
        <v>2479</v>
      </c>
      <c r="J4748">
        <v>6</v>
      </c>
      <c r="K4748">
        <v>68</v>
      </c>
      <c r="L4748">
        <v>74</v>
      </c>
      <c r="Q4748">
        <v>0</v>
      </c>
      <c r="R4748">
        <v>0</v>
      </c>
      <c r="S4748">
        <v>74</v>
      </c>
      <c r="Y4748" t="s">
        <v>2497</v>
      </c>
      <c r="Z4748" t="s">
        <v>3814</v>
      </c>
      <c r="AA4748" t="s">
        <v>7339</v>
      </c>
      <c r="AB4748" t="s">
        <v>3006</v>
      </c>
      <c r="AC4748" t="s">
        <v>12100</v>
      </c>
      <c r="AD4748" s="249" t="str">
        <f>HYPERLINK("https://scontent.cdninstagram.com/t51.2885-15/e35/p320x320/21373145_832416133584422_7960470077793370112_n.jpg")</f>
        <v>https://scontent.cdninstagram.com/t51.2885-15/e35/p320x320/21373145_832416133584422_7960470077793370112_n.jpg</v>
      </c>
      <c r="AE4748" s="249" t="str">
        <f>HYPERLINK("https://scontent.cdninstagram.com/t51.2885-19/s150x150/16124251_1913091765603634_8004330562992996352_a.jpg")</f>
        <v>https://scontent.cdninstagram.com/t51.2885-19/s150x150/16124251_1913091765603634_8004330562992996352_a.jpg</v>
      </c>
    </row>
    <row r="4749" spans="1:31" ht="15" x14ac:dyDescent="0.25">
      <c r="A4749" t="s">
        <v>2474</v>
      </c>
      <c r="B4749" t="s">
        <v>25429</v>
      </c>
      <c r="C4749" s="221">
        <v>42983.105578703704</v>
      </c>
      <c r="D4749" t="s">
        <v>25430</v>
      </c>
      <c r="E4749" s="249" t="str">
        <f>HYPERLINK("https://www.instagram.com/p/BYpj36dg1Eq/")</f>
        <v>https://www.instagram.com/p/BYpj36dg1Eq/</v>
      </c>
      <c r="F4749" t="s">
        <v>25431</v>
      </c>
      <c r="G4749" t="s">
        <v>2478</v>
      </c>
      <c r="I4749" t="s">
        <v>2479</v>
      </c>
      <c r="J4749">
        <v>4</v>
      </c>
      <c r="K4749">
        <v>372</v>
      </c>
      <c r="L4749">
        <v>376</v>
      </c>
      <c r="Q4749">
        <v>0</v>
      </c>
      <c r="R4749">
        <v>0</v>
      </c>
      <c r="S4749">
        <v>376</v>
      </c>
      <c r="Y4749" t="s">
        <v>2492</v>
      </c>
      <c r="Z4749" t="s">
        <v>2497</v>
      </c>
      <c r="AA4749" t="s">
        <v>25432</v>
      </c>
      <c r="AD4749" s="249" t="str">
        <f>HYPERLINK("https://scontent.cdninstagram.com/t51.2885-15/s320x320/e35/21373589_1956458171309831_2780765997290749952_n.jpg")</f>
        <v>https://scontent.cdninstagram.com/t51.2885-15/s320x320/e35/21373589_1956458171309831_2780765997290749952_n.jpg</v>
      </c>
      <c r="AE4749" s="249" t="str">
        <f>HYPERLINK("https://scontent.cdninstagram.com/t51.2885-19/s150x150/20759502_688417204687600_7284536401150869504_a.jpg")</f>
        <v>https://scontent.cdninstagram.com/t51.2885-19/s150x150/20759502_688417204687600_7284536401150869504_a.jpg</v>
      </c>
    </row>
    <row r="4750" spans="1:31" ht="15" x14ac:dyDescent="0.25">
      <c r="A4750" t="s">
        <v>2474</v>
      </c>
      <c r="B4750" t="s">
        <v>25433</v>
      </c>
      <c r="C4750" s="221">
        <v>42983.107488425929</v>
      </c>
      <c r="D4750" t="s">
        <v>25434</v>
      </c>
      <c r="E4750" s="249" t="str">
        <f>HYPERLINK("https://www.instagram.com/p/BYpkMEMj_kU/")</f>
        <v>https://www.instagram.com/p/BYpkMEMj_kU/</v>
      </c>
      <c r="F4750" t="s">
        <v>25435</v>
      </c>
      <c r="G4750" t="s">
        <v>2478</v>
      </c>
      <c r="H4750">
        <v>275</v>
      </c>
      <c r="I4750" t="s">
        <v>2479</v>
      </c>
      <c r="J4750">
        <v>2</v>
      </c>
      <c r="K4750">
        <v>8</v>
      </c>
      <c r="L4750">
        <v>10</v>
      </c>
      <c r="Q4750">
        <v>0</v>
      </c>
      <c r="R4750">
        <v>0</v>
      </c>
      <c r="S4750">
        <v>10</v>
      </c>
      <c r="Y4750" t="s">
        <v>25436</v>
      </c>
      <c r="Z4750" t="s">
        <v>25437</v>
      </c>
      <c r="AA4750" t="s">
        <v>2497</v>
      </c>
      <c r="AB4750" t="s">
        <v>7418</v>
      </c>
      <c r="AC4750" t="s">
        <v>10286</v>
      </c>
      <c r="AD4750" s="249" t="str">
        <f>HYPERLINK("https://scontent.cdninstagram.com/t51.2885-15/s320x320/e35/21373379_116687865670387_6033075071029870592_n.jpg")</f>
        <v>https://scontent.cdninstagram.com/t51.2885-15/s320x320/e35/21373379_116687865670387_6033075071029870592_n.jpg</v>
      </c>
      <c r="AE4750" s="249" t="str">
        <f>HYPERLINK("https://scontent.cdninstagram.com/t51.2885-19/s150x150/20633378_1896528267337338_1642510517509554176_a.jpg")</f>
        <v>https://scontent.cdninstagram.com/t51.2885-19/s150x150/20633378_1896528267337338_1642510517509554176_a.jpg</v>
      </c>
    </row>
    <row r="4751" spans="1:31" ht="15" x14ac:dyDescent="0.25">
      <c r="A4751" t="s">
        <v>2474</v>
      </c>
      <c r="B4751" t="s">
        <v>12271</v>
      </c>
      <c r="C4751" s="221">
        <v>42983.1091087963</v>
      </c>
      <c r="D4751" t="s">
        <v>25438</v>
      </c>
      <c r="E4751" s="249" t="str">
        <f>HYPERLINK("https://www.instagram.com/p/BYpkdIrhjCX/")</f>
        <v>https://www.instagram.com/p/BYpkdIrhjCX/</v>
      </c>
      <c r="F4751" t="s">
        <v>25439</v>
      </c>
      <c r="G4751" t="s">
        <v>2478</v>
      </c>
      <c r="H4751">
        <v>264</v>
      </c>
      <c r="I4751" t="s">
        <v>2479</v>
      </c>
      <c r="J4751">
        <v>1</v>
      </c>
      <c r="K4751">
        <v>49</v>
      </c>
      <c r="L4751">
        <v>50</v>
      </c>
      <c r="Q4751">
        <v>0</v>
      </c>
      <c r="R4751">
        <v>0</v>
      </c>
      <c r="S4751">
        <v>50</v>
      </c>
      <c r="Y4751" t="s">
        <v>25440</v>
      </c>
      <c r="Z4751" t="s">
        <v>2497</v>
      </c>
      <c r="AA4751" t="s">
        <v>15598</v>
      </c>
      <c r="AB4751" t="s">
        <v>4180</v>
      </c>
      <c r="AC4751" t="s">
        <v>25441</v>
      </c>
      <c r="AD4751" s="249" t="str">
        <f>HYPERLINK("https://scontent.cdninstagram.com/t51.2885-15/e35/p320x320/21371870_802618683280057_4160194134239346688_n.jpg")</f>
        <v>https://scontent.cdninstagram.com/t51.2885-15/e35/p320x320/21371870_802618683280057_4160194134239346688_n.jpg</v>
      </c>
      <c r="AE4751" s="249" t="str">
        <f>HYPERLINK("https://scontent.cdninstagram.com/t51.2885-19/s150x150/21149648_1457478427640501_36118415806562304_a.jpg")</f>
        <v>https://scontent.cdninstagram.com/t51.2885-19/s150x150/21149648_1457478427640501_36118415806562304_a.jpg</v>
      </c>
    </row>
    <row r="4752" spans="1:31" ht="15" x14ac:dyDescent="0.25">
      <c r="A4752" t="s">
        <v>2474</v>
      </c>
      <c r="B4752" t="s">
        <v>17695</v>
      </c>
      <c r="C4752" s="221">
        <v>42983.11440972222</v>
      </c>
      <c r="D4752" t="s">
        <v>25442</v>
      </c>
      <c r="E4752" s="249" t="str">
        <f>HYPERLINK("https://www.instagram.com/p/BYplVGFhFX3/")</f>
        <v>https://www.instagram.com/p/BYplVGFhFX3/</v>
      </c>
      <c r="F4752" t="s">
        <v>25443</v>
      </c>
      <c r="G4752" t="s">
        <v>2478</v>
      </c>
      <c r="H4752">
        <v>253</v>
      </c>
      <c r="I4752" t="s">
        <v>2479</v>
      </c>
      <c r="J4752">
        <v>0</v>
      </c>
      <c r="K4752">
        <v>16</v>
      </c>
      <c r="L4752">
        <v>16</v>
      </c>
      <c r="Q4752">
        <v>0</v>
      </c>
      <c r="R4752">
        <v>0</v>
      </c>
      <c r="S4752">
        <v>16</v>
      </c>
      <c r="Y4752" t="s">
        <v>6294</v>
      </c>
      <c r="Z4752" t="s">
        <v>2497</v>
      </c>
      <c r="AA4752" t="s">
        <v>25444</v>
      </c>
      <c r="AB4752" t="s">
        <v>6122</v>
      </c>
      <c r="AC4752" t="s">
        <v>3849</v>
      </c>
      <c r="AD4752" s="249" t="str">
        <f>HYPERLINK("https://scontent.cdninstagram.com/t51.2885-15/s320x320/e35/21372012_166578910584309_6899845895664173056_n.jpg")</f>
        <v>https://scontent.cdninstagram.com/t51.2885-15/s320x320/e35/21372012_166578910584309_6899845895664173056_n.jpg</v>
      </c>
      <c r="AE4752" s="249" t="str">
        <f>HYPERLINK("https://scontent.cdninstagram.com/t51.2885-19/11261389_607437399399062_1299848550_a.jpg")</f>
        <v>https://scontent.cdninstagram.com/t51.2885-19/11261389_607437399399062_1299848550_a.jpg</v>
      </c>
    </row>
    <row r="4753" spans="1:31" ht="15" x14ac:dyDescent="0.25">
      <c r="A4753" t="s">
        <v>2474</v>
      </c>
      <c r="B4753" t="s">
        <v>25445</v>
      </c>
      <c r="C4753" s="221">
        <v>42983.141724537039</v>
      </c>
      <c r="D4753" t="s">
        <v>25446</v>
      </c>
      <c r="E4753" s="249" t="str">
        <f>HYPERLINK("https://www.instagram.com/p/BYpp1HSB9oT/")</f>
        <v>https://www.instagram.com/p/BYpp1HSB9oT/</v>
      </c>
      <c r="F4753" t="s">
        <v>25447</v>
      </c>
      <c r="G4753" t="s">
        <v>2478</v>
      </c>
      <c r="H4753">
        <v>102</v>
      </c>
      <c r="I4753" t="s">
        <v>2599</v>
      </c>
      <c r="J4753">
        <v>0</v>
      </c>
      <c r="K4753">
        <v>8</v>
      </c>
      <c r="L4753">
        <v>8</v>
      </c>
      <c r="Q4753">
        <v>0</v>
      </c>
      <c r="R4753">
        <v>0</v>
      </c>
      <c r="S4753">
        <v>8</v>
      </c>
      <c r="T4753" t="s">
        <v>25448</v>
      </c>
      <c r="V4753" t="s">
        <v>2140</v>
      </c>
      <c r="W4753">
        <v>49.2</v>
      </c>
      <c r="X4753">
        <v>16.616700000000002</v>
      </c>
      <c r="Y4753" t="s">
        <v>5006</v>
      </c>
      <c r="Z4753" t="s">
        <v>25449</v>
      </c>
      <c r="AA4753" t="s">
        <v>25450</v>
      </c>
      <c r="AB4753" t="s">
        <v>2497</v>
      </c>
      <c r="AD4753" s="249" t="str">
        <f>HYPERLINK("https://scontent.cdninstagram.com/t51.2885-15/s320x320/e35/21434036_493811260998685_5786469855758647296_n.jpg")</f>
        <v>https://scontent.cdninstagram.com/t51.2885-15/s320x320/e35/21434036_493811260998685_5786469855758647296_n.jpg</v>
      </c>
      <c r="AE4753" s="249" t="str">
        <f>HYPERLINK("https://scontent.cdninstagram.com/t51.2885-19/s150x150/18443403_1903394056605228_5170886718802362368_a.jpg")</f>
        <v>https://scontent.cdninstagram.com/t51.2885-19/s150x150/18443403_1903394056605228_5170886718802362368_a.jpg</v>
      </c>
    </row>
    <row r="4754" spans="1:31" ht="15" x14ac:dyDescent="0.25">
      <c r="A4754" t="s">
        <v>2474</v>
      </c>
      <c r="B4754" t="s">
        <v>7793</v>
      </c>
      <c r="C4754" s="221">
        <v>42983.142453703702</v>
      </c>
      <c r="D4754" t="s">
        <v>25451</v>
      </c>
      <c r="E4754" s="249" t="str">
        <f>HYPERLINK("https://www.instagram.com/p/BYpp82AF9Nx/")</f>
        <v>https://www.instagram.com/p/BYpp82AF9Nx/</v>
      </c>
      <c r="F4754" t="s">
        <v>25452</v>
      </c>
      <c r="G4754" t="s">
        <v>2478</v>
      </c>
      <c r="H4754">
        <v>5806</v>
      </c>
      <c r="I4754" t="s">
        <v>2479</v>
      </c>
      <c r="J4754">
        <v>1</v>
      </c>
      <c r="K4754">
        <v>82</v>
      </c>
      <c r="L4754">
        <v>83</v>
      </c>
      <c r="Q4754">
        <v>0</v>
      </c>
      <c r="R4754">
        <v>0</v>
      </c>
      <c r="S4754">
        <v>83</v>
      </c>
      <c r="T4754" t="s">
        <v>25256</v>
      </c>
      <c r="V4754" t="s">
        <v>2102</v>
      </c>
      <c r="W4754">
        <v>-33.856784986765</v>
      </c>
      <c r="X4754">
        <v>151.21528387070001</v>
      </c>
      <c r="Y4754" t="s">
        <v>3075</v>
      </c>
      <c r="Z4754" t="s">
        <v>7950</v>
      </c>
      <c r="AA4754" t="s">
        <v>10896</v>
      </c>
      <c r="AB4754" t="s">
        <v>6746</v>
      </c>
      <c r="AC4754" t="s">
        <v>6578</v>
      </c>
      <c r="AD4754" s="249" t="str">
        <f>HYPERLINK("https://scontent.cdninstagram.com/t51.2885-15/s320x320/e35/21371947_510338325976928_7129227780977328128_n.jpg")</f>
        <v>https://scontent.cdninstagram.com/t51.2885-15/s320x320/e35/21371947_510338325976928_7129227780977328128_n.jpg</v>
      </c>
      <c r="AE4754" s="249" t="str">
        <f>HYPERLINK("https://scontent.cdninstagram.com/t51.2885-19/s150x150/14295311_507350922808081_1928455761_a.jpg")</f>
        <v>https://scontent.cdninstagram.com/t51.2885-19/s150x150/14295311_507350922808081_1928455761_a.jpg</v>
      </c>
    </row>
    <row r="4755" spans="1:31" ht="15" x14ac:dyDescent="0.25">
      <c r="A4755" t="s">
        <v>2474</v>
      </c>
      <c r="B4755" t="s">
        <v>8307</v>
      </c>
      <c r="C4755" s="221">
        <v>42983.142766203702</v>
      </c>
      <c r="D4755" t="s">
        <v>25453</v>
      </c>
      <c r="E4755" s="249" t="str">
        <f>HYPERLINK("https://www.instagram.com/p/BYpqAGTDLZK/")</f>
        <v>https://www.instagram.com/p/BYpqAGTDLZK/</v>
      </c>
      <c r="F4755" t="s">
        <v>25454</v>
      </c>
      <c r="G4755" t="s">
        <v>2488</v>
      </c>
      <c r="H4755">
        <v>283</v>
      </c>
      <c r="I4755" t="s">
        <v>2479</v>
      </c>
      <c r="J4755">
        <v>3</v>
      </c>
      <c r="K4755">
        <v>26</v>
      </c>
      <c r="L4755">
        <v>29</v>
      </c>
      <c r="Q4755">
        <v>0</v>
      </c>
      <c r="R4755">
        <v>0</v>
      </c>
      <c r="S4755">
        <v>29</v>
      </c>
      <c r="Y4755" t="s">
        <v>2497</v>
      </c>
      <c r="Z4755" t="s">
        <v>25455</v>
      </c>
      <c r="AA4755" t="s">
        <v>2861</v>
      </c>
      <c r="AB4755" t="s">
        <v>4121</v>
      </c>
      <c r="AC4755" t="s">
        <v>2730</v>
      </c>
      <c r="AD4755" s="249" t="str">
        <f>HYPERLINK("https://scontent.cdninstagram.com/t51.2885-15/e35/p320x320/21372472_2001302813424357_5632273786733592576_n.jpg")</f>
        <v>https://scontent.cdninstagram.com/t51.2885-15/e35/p320x320/21372472_2001302813424357_5632273786733592576_n.jpg</v>
      </c>
      <c r="AE4755" s="249" t="str">
        <f>HYPERLINK("https://scontent.cdninstagram.com/t51.2885-19/s150x150/21149699_111553206208578_8873987816103608320_a.jpg")</f>
        <v>https://scontent.cdninstagram.com/t51.2885-19/s150x150/21149699_111553206208578_8873987816103608320_a.jpg</v>
      </c>
    </row>
    <row r="4756" spans="1:31" ht="15" x14ac:dyDescent="0.25">
      <c r="A4756" t="s">
        <v>2474</v>
      </c>
      <c r="B4756" t="s">
        <v>2619</v>
      </c>
      <c r="C4756" s="221">
        <v>42983.146956018521</v>
      </c>
      <c r="D4756" t="s">
        <v>25456</v>
      </c>
      <c r="E4756" s="249" t="str">
        <f>HYPERLINK("https://www.instagram.com/p/BYpqsUSDFpP/")</f>
        <v>https://www.instagram.com/p/BYpqsUSDFpP/</v>
      </c>
      <c r="F4756" t="s">
        <v>25457</v>
      </c>
      <c r="G4756" t="s">
        <v>2478</v>
      </c>
      <c r="H4756">
        <v>820</v>
      </c>
      <c r="I4756" t="s">
        <v>2510</v>
      </c>
      <c r="J4756">
        <v>0</v>
      </c>
      <c r="K4756">
        <v>29</v>
      </c>
      <c r="L4756">
        <v>29</v>
      </c>
      <c r="Q4756">
        <v>0</v>
      </c>
      <c r="R4756">
        <v>0</v>
      </c>
      <c r="S4756">
        <v>29</v>
      </c>
      <c r="Y4756" t="s">
        <v>25458</v>
      </c>
      <c r="Z4756" t="s">
        <v>2497</v>
      </c>
      <c r="AA4756" t="s">
        <v>3006</v>
      </c>
      <c r="AB4756" t="s">
        <v>25459</v>
      </c>
      <c r="AC4756" t="s">
        <v>25460</v>
      </c>
      <c r="AD4756" s="249" t="str">
        <f>HYPERLINK("https://scontent.cdninstagram.com/t51.2885-15/e35/p320x320/21296592_2005006729719311_4478912451705831424_n.jpg")</f>
        <v>https://scontent.cdninstagram.com/t51.2885-15/e35/p320x320/21296592_2005006729719311_4478912451705831424_n.jpg</v>
      </c>
      <c r="AE4756" s="249" t="str">
        <f>HYPERLINK("https://scontent.cdninstagram.com/t51.2885-19/s150x150/14719583_1073368536093824_6781485298590154752_a.jpg")</f>
        <v>https://scontent.cdninstagram.com/t51.2885-19/s150x150/14719583_1073368536093824_6781485298590154752_a.jpg</v>
      </c>
    </row>
    <row r="4757" spans="1:31" ht="15" x14ac:dyDescent="0.25">
      <c r="A4757" t="s">
        <v>2474</v>
      </c>
      <c r="B4757" t="s">
        <v>18309</v>
      </c>
      <c r="C4757" s="221">
        <v>42983.1641087963</v>
      </c>
      <c r="D4757" t="s">
        <v>25461</v>
      </c>
      <c r="E4757" s="249" t="str">
        <f>HYPERLINK("https://www.instagram.com/p/BYpthLBDEs0/")</f>
        <v>https://www.instagram.com/p/BYpthLBDEs0/</v>
      </c>
      <c r="F4757" t="s">
        <v>25462</v>
      </c>
      <c r="G4757" t="s">
        <v>2478</v>
      </c>
      <c r="H4757">
        <v>22</v>
      </c>
      <c r="I4757" t="s">
        <v>2479</v>
      </c>
      <c r="J4757">
        <v>0</v>
      </c>
      <c r="K4757">
        <v>16</v>
      </c>
      <c r="L4757">
        <v>16</v>
      </c>
      <c r="Q4757">
        <v>0</v>
      </c>
      <c r="R4757">
        <v>0</v>
      </c>
      <c r="S4757">
        <v>16</v>
      </c>
      <c r="Y4757" t="s">
        <v>8753</v>
      </c>
      <c r="Z4757" t="s">
        <v>5706</v>
      </c>
      <c r="AA4757" t="s">
        <v>2497</v>
      </c>
      <c r="AB4757" t="s">
        <v>2667</v>
      </c>
      <c r="AC4757" t="s">
        <v>6843</v>
      </c>
      <c r="AD4757" s="249" t="str">
        <f>HYPERLINK("https://scontent.cdninstagram.com/t51.2885-15/s320x320/e35/21371974_1746119815690191_3901954737326522368_n.jpg")</f>
        <v>https://scontent.cdninstagram.com/t51.2885-15/s320x320/e35/21371974_1746119815690191_3901954737326522368_n.jpg</v>
      </c>
      <c r="AE4757" s="249" t="str">
        <f>HYPERLINK("https://scontent.cdninstagram.com/t51.2885-19/s150x150/21224635_116853155713206_6935607206414909440_a.jpg")</f>
        <v>https://scontent.cdninstagram.com/t51.2885-19/s150x150/21224635_116853155713206_6935607206414909440_a.jpg</v>
      </c>
    </row>
    <row r="4758" spans="1:31" ht="15" x14ac:dyDescent="0.25">
      <c r="A4758" t="s">
        <v>2474</v>
      </c>
      <c r="B4758" t="s">
        <v>3644</v>
      </c>
      <c r="C4758" s="221">
        <v>42983.166076388887</v>
      </c>
      <c r="D4758" t="s">
        <v>25463</v>
      </c>
      <c r="E4758" s="249" t="str">
        <f>HYPERLINK("https://www.instagram.com/p/BYpt17UFb24/")</f>
        <v>https://www.instagram.com/p/BYpt17UFb24/</v>
      </c>
      <c r="F4758" t="s">
        <v>25464</v>
      </c>
      <c r="G4758" t="s">
        <v>2631</v>
      </c>
      <c r="H4758">
        <v>580</v>
      </c>
      <c r="I4758" t="s">
        <v>2479</v>
      </c>
      <c r="J4758">
        <v>0</v>
      </c>
      <c r="K4758">
        <v>32</v>
      </c>
      <c r="L4758">
        <v>32</v>
      </c>
      <c r="Q4758">
        <v>0</v>
      </c>
      <c r="R4758">
        <v>0</v>
      </c>
      <c r="S4758">
        <v>32</v>
      </c>
      <c r="T4758" t="s">
        <v>3647</v>
      </c>
      <c r="V4758" t="s">
        <v>2141</v>
      </c>
      <c r="W4758">
        <v>55.426879900000003</v>
      </c>
      <c r="X4758">
        <v>10.3903303</v>
      </c>
      <c r="Y4758" t="s">
        <v>2497</v>
      </c>
      <c r="Z4758" t="s">
        <v>14695</v>
      </c>
      <c r="AA4758" t="s">
        <v>7119</v>
      </c>
      <c r="AB4758" t="s">
        <v>6993</v>
      </c>
      <c r="AC4758" t="s">
        <v>2911</v>
      </c>
      <c r="AD4758" s="249" t="str">
        <f>HYPERLINK("https://scontent.cdninstagram.com/t51.2885-15/s320x320/e15/21371974_469048156809346_467788974383955968_n.jpg")</f>
        <v>https://scontent.cdninstagram.com/t51.2885-15/s320x320/e15/21371974_469048156809346_467788974383955968_n.jpg</v>
      </c>
      <c r="AE4758" s="249" t="str">
        <f>HYPERLINK("https://scontent.cdninstagram.com/t51.2885-19/s150x150/14714495_1790450111234953_7147855754219749376_a.jpg")</f>
        <v>https://scontent.cdninstagram.com/t51.2885-19/s150x150/14714495_1790450111234953_7147855754219749376_a.jpg</v>
      </c>
    </row>
    <row r="4759" spans="1:31" ht="15" x14ac:dyDescent="0.25">
      <c r="A4759" t="s">
        <v>2474</v>
      </c>
      <c r="B4759" t="s">
        <v>20898</v>
      </c>
      <c r="C4759" s="221">
        <v>42983.179872685185</v>
      </c>
      <c r="D4759" t="s">
        <v>25465</v>
      </c>
      <c r="E4759" s="249" t="str">
        <f>HYPERLINK("https://www.instagram.com/p/BYpwHg6H9P_/")</f>
        <v>https://www.instagram.com/p/BYpwHg6H9P_/</v>
      </c>
      <c r="F4759" t="s">
        <v>25466</v>
      </c>
      <c r="G4759" t="s">
        <v>2478</v>
      </c>
      <c r="H4759">
        <v>437</v>
      </c>
      <c r="I4759" t="s">
        <v>2479</v>
      </c>
      <c r="J4759">
        <v>2</v>
      </c>
      <c r="K4759">
        <v>71</v>
      </c>
      <c r="L4759">
        <v>73</v>
      </c>
      <c r="Q4759">
        <v>0</v>
      </c>
      <c r="R4759">
        <v>0</v>
      </c>
      <c r="S4759">
        <v>73</v>
      </c>
      <c r="Y4759" t="s">
        <v>2497</v>
      </c>
      <c r="Z4759" t="s">
        <v>8161</v>
      </c>
      <c r="AA4759" t="s">
        <v>3768</v>
      </c>
      <c r="AB4759" t="s">
        <v>3446</v>
      </c>
      <c r="AC4759" t="s">
        <v>5996</v>
      </c>
      <c r="AD4759" s="249" t="str">
        <f>HYPERLINK("https://scontent.cdninstagram.com/t51.2885-15/s320x320/e35/21433497_151176068805382_5307876543249252352_n.jpg")</f>
        <v>https://scontent.cdninstagram.com/t51.2885-15/s320x320/e35/21433497_151176068805382_5307876543249252352_n.jpg</v>
      </c>
      <c r="AE4759" s="249" t="str">
        <f>HYPERLINK("https://scontent.cdninstagram.com/t51.2885-19/s150x150/20065453_105073393504038_5300822068055506944_a.jpg")</f>
        <v>https://scontent.cdninstagram.com/t51.2885-19/s150x150/20065453_105073393504038_5300822068055506944_a.jpg</v>
      </c>
    </row>
    <row r="4760" spans="1:31" ht="15" x14ac:dyDescent="0.25">
      <c r="A4760" t="s">
        <v>2474</v>
      </c>
      <c r="B4760" t="s">
        <v>7152</v>
      </c>
      <c r="C4760" s="221">
        <v>42983.181620370371</v>
      </c>
      <c r="D4760" t="s">
        <v>25467</v>
      </c>
      <c r="E4760" s="249" t="str">
        <f>HYPERLINK("https://www.instagram.com/p/BYpwZ6Hj2s6/")</f>
        <v>https://www.instagram.com/p/BYpwZ6Hj2s6/</v>
      </c>
      <c r="F4760" t="s">
        <v>25468</v>
      </c>
      <c r="G4760" t="s">
        <v>2478</v>
      </c>
      <c r="H4760">
        <v>122</v>
      </c>
      <c r="I4760" t="s">
        <v>2542</v>
      </c>
      <c r="J4760">
        <v>2</v>
      </c>
      <c r="K4760">
        <v>17</v>
      </c>
      <c r="L4760">
        <v>19</v>
      </c>
      <c r="Q4760">
        <v>0</v>
      </c>
      <c r="R4760">
        <v>0</v>
      </c>
      <c r="S4760">
        <v>19</v>
      </c>
      <c r="Y4760" t="s">
        <v>7898</v>
      </c>
      <c r="Z4760" t="s">
        <v>2497</v>
      </c>
      <c r="AA4760" t="s">
        <v>6747</v>
      </c>
      <c r="AB4760" t="s">
        <v>12669</v>
      </c>
      <c r="AC4760" t="s">
        <v>5981</v>
      </c>
      <c r="AD4760" s="249" t="str">
        <f>HYPERLINK("https://scontent.cdninstagram.com/t51.2885-15/s320x320/e35/21435326_1358548857577285_547524642802237440_n.jpg")</f>
        <v>https://scontent.cdninstagram.com/t51.2885-15/s320x320/e35/21435326_1358548857577285_547524642802237440_n.jpg</v>
      </c>
      <c r="AE4760" s="249" t="str">
        <f>HYPERLINK("https://scontent.cdninstagram.com/t51.2885-19/s150x150/20181062_1791856511105718_4709893984703479808_a.jpg")</f>
        <v>https://scontent.cdninstagram.com/t51.2885-19/s150x150/20181062_1791856511105718_4709893984703479808_a.jpg</v>
      </c>
    </row>
    <row r="4761" spans="1:31" ht="15" x14ac:dyDescent="0.25">
      <c r="A4761" t="s">
        <v>2474</v>
      </c>
      <c r="B4761" t="s">
        <v>25469</v>
      </c>
      <c r="C4761" s="221">
        <v>42983.186180555553</v>
      </c>
      <c r="D4761" t="s">
        <v>25470</v>
      </c>
      <c r="E4761" s="249" t="str">
        <f>HYPERLINK("https://www.instagram.com/p/BYpxJ-CgZpq/")</f>
        <v>https://www.instagram.com/p/BYpxJ-CgZpq/</v>
      </c>
      <c r="F4761" t="s">
        <v>25471</v>
      </c>
      <c r="G4761" t="s">
        <v>2478</v>
      </c>
      <c r="H4761">
        <v>335</v>
      </c>
      <c r="I4761" t="s">
        <v>3575</v>
      </c>
      <c r="J4761">
        <v>1</v>
      </c>
      <c r="K4761">
        <v>26</v>
      </c>
      <c r="L4761">
        <v>27</v>
      </c>
      <c r="Q4761">
        <v>0</v>
      </c>
      <c r="R4761">
        <v>0</v>
      </c>
      <c r="S4761">
        <v>27</v>
      </c>
      <c r="Y4761" t="s">
        <v>2497</v>
      </c>
      <c r="Z4761" t="s">
        <v>25472</v>
      </c>
      <c r="AA4761" t="s">
        <v>3006</v>
      </c>
      <c r="AB4761" t="s">
        <v>3053</v>
      </c>
      <c r="AC4761" t="s">
        <v>2493</v>
      </c>
      <c r="AD4761" s="249" t="str">
        <f>HYPERLINK("https://scontent.cdninstagram.com/t51.2885-15/s320x320/e35/21297000_1532913793414631_8378568990686969856_n.jpg")</f>
        <v>https://scontent.cdninstagram.com/t51.2885-15/s320x320/e35/21297000_1532913793414631_8378568990686969856_n.jpg</v>
      </c>
      <c r="AE4761" s="249" t="str">
        <f>HYPERLINK("https://scontent.cdninstagram.com/t51.2885-19/s150x150/20766070_496337254040059_353249781511880704_a.jpg")</f>
        <v>https://scontent.cdninstagram.com/t51.2885-19/s150x150/20766070_496337254040059_353249781511880704_a.jpg</v>
      </c>
    </row>
    <row r="4762" spans="1:31" ht="15" x14ac:dyDescent="0.25">
      <c r="A4762" t="s">
        <v>2474</v>
      </c>
      <c r="B4762" t="s">
        <v>19717</v>
      </c>
      <c r="C4762" s="221">
        <v>42983.187222222223</v>
      </c>
      <c r="D4762" t="s">
        <v>25473</v>
      </c>
      <c r="E4762" s="249" t="str">
        <f>HYPERLINK("https://www.instagram.com/p/BYpxU-hF42f/")</f>
        <v>https://www.instagram.com/p/BYpxU-hF42f/</v>
      </c>
      <c r="F4762" t="s">
        <v>25474</v>
      </c>
      <c r="G4762" t="s">
        <v>2488</v>
      </c>
      <c r="I4762" t="s">
        <v>2479</v>
      </c>
      <c r="J4762">
        <v>1</v>
      </c>
      <c r="K4762">
        <v>33</v>
      </c>
      <c r="L4762">
        <v>34</v>
      </c>
      <c r="Q4762">
        <v>0</v>
      </c>
      <c r="R4762">
        <v>0</v>
      </c>
      <c r="S4762">
        <v>34</v>
      </c>
      <c r="Y4762" t="s">
        <v>25475</v>
      </c>
      <c r="Z4762" t="s">
        <v>13866</v>
      </c>
      <c r="AA4762" t="s">
        <v>7591</v>
      </c>
      <c r="AB4762" t="s">
        <v>2497</v>
      </c>
      <c r="AC4762" t="s">
        <v>25476</v>
      </c>
      <c r="AD4762" s="249" t="str">
        <f>HYPERLINK("https://scontent.cdninstagram.com/t51.2885-15/s320x320/e35/21372926_702927553238711_2315254137257721856_n.jpg")</f>
        <v>https://scontent.cdninstagram.com/t51.2885-15/s320x320/e35/21372926_702927553238711_2315254137257721856_n.jpg</v>
      </c>
      <c r="AE4762" s="249" t="str">
        <f>HYPERLINK("https://scontent.cdninstagram.com/t51.2885-19/s150x150/17493728_752204021624442_4508760176605528064_a.jpg")</f>
        <v>https://scontent.cdninstagram.com/t51.2885-19/s150x150/17493728_752204021624442_4508760176605528064_a.jpg</v>
      </c>
    </row>
    <row r="4763" spans="1:31" ht="15" x14ac:dyDescent="0.25">
      <c r="A4763" t="s">
        <v>2474</v>
      </c>
      <c r="B4763" t="s">
        <v>25477</v>
      </c>
      <c r="C4763" s="221">
        <v>42983.192696759259</v>
      </c>
      <c r="D4763" t="s">
        <v>25478</v>
      </c>
      <c r="E4763" s="249" t="str">
        <f>HYPERLINK("https://www.instagram.com/p/BYpyOruh-SS/")</f>
        <v>https://www.instagram.com/p/BYpyOruh-SS/</v>
      </c>
      <c r="F4763" t="s">
        <v>25479</v>
      </c>
      <c r="G4763" t="s">
        <v>2478</v>
      </c>
      <c r="H4763">
        <v>752</v>
      </c>
      <c r="I4763" t="s">
        <v>2479</v>
      </c>
      <c r="J4763">
        <v>2</v>
      </c>
      <c r="K4763">
        <v>47</v>
      </c>
      <c r="L4763">
        <v>49</v>
      </c>
      <c r="Q4763">
        <v>0</v>
      </c>
      <c r="R4763">
        <v>0</v>
      </c>
      <c r="S4763">
        <v>49</v>
      </c>
      <c r="Y4763" t="s">
        <v>5901</v>
      </c>
      <c r="Z4763" t="s">
        <v>25480</v>
      </c>
      <c r="AA4763" t="s">
        <v>4863</v>
      </c>
      <c r="AB4763" t="s">
        <v>3936</v>
      </c>
      <c r="AC4763" t="s">
        <v>2673</v>
      </c>
      <c r="AD4763" s="249" t="str">
        <f>HYPERLINK("https://scontent.cdninstagram.com/t51.2885-15/s320x320/e35/21371936_139724309880199_1288883762423136256_n.jpg")</f>
        <v>https://scontent.cdninstagram.com/t51.2885-15/s320x320/e35/21371936_139724309880199_1288883762423136256_n.jpg</v>
      </c>
      <c r="AE4763" s="249" t="str">
        <f>HYPERLINK("https://scontent.cdninstagram.com/t51.2885-19/s150x150/19985185_1375086412608655_770243504830939136_a.jpg")</f>
        <v>https://scontent.cdninstagram.com/t51.2885-19/s150x150/19985185_1375086412608655_770243504830939136_a.jpg</v>
      </c>
    </row>
    <row r="4764" spans="1:31" ht="15" x14ac:dyDescent="0.25">
      <c r="A4764" t="s">
        <v>2474</v>
      </c>
      <c r="B4764" t="s">
        <v>2644</v>
      </c>
      <c r="C4764" s="221">
        <v>42983.209513888891</v>
      </c>
      <c r="D4764" t="s">
        <v>25481</v>
      </c>
      <c r="E4764" s="249" t="str">
        <f>HYPERLINK("https://www.instagram.com/p/BYp1AHZAypv/")</f>
        <v>https://www.instagram.com/p/BYp1AHZAypv/</v>
      </c>
      <c r="F4764" t="s">
        <v>25482</v>
      </c>
      <c r="G4764" t="s">
        <v>2478</v>
      </c>
      <c r="H4764">
        <v>1730</v>
      </c>
      <c r="I4764" t="s">
        <v>2479</v>
      </c>
      <c r="J4764">
        <v>2</v>
      </c>
      <c r="K4764">
        <v>106</v>
      </c>
      <c r="L4764">
        <v>108</v>
      </c>
      <c r="Q4764">
        <v>0</v>
      </c>
      <c r="R4764">
        <v>0</v>
      </c>
      <c r="S4764">
        <v>108</v>
      </c>
      <c r="T4764" t="s">
        <v>20497</v>
      </c>
      <c r="V4764" t="s">
        <v>2648</v>
      </c>
      <c r="W4764">
        <v>55.763888888888999</v>
      </c>
      <c r="X4764">
        <v>37.591944444444003</v>
      </c>
      <c r="Y4764" t="s">
        <v>5492</v>
      </c>
      <c r="Z4764" t="s">
        <v>4863</v>
      </c>
      <c r="AA4764" t="s">
        <v>25483</v>
      </c>
      <c r="AB4764" t="s">
        <v>2652</v>
      </c>
      <c r="AC4764" t="s">
        <v>3636</v>
      </c>
      <c r="AD4764" s="249" t="str">
        <f>HYPERLINK("https://scontent.cdninstagram.com/t51.2885-15/e35/p320x320/21373087_1850460888601689_6254918575773974528_n.jpg")</f>
        <v>https://scontent.cdninstagram.com/t51.2885-15/e35/p320x320/21373087_1850460888601689_6254918575773974528_n.jpg</v>
      </c>
      <c r="AE4764" s="249" t="str">
        <f>HYPERLINK("https://scontent.cdninstagram.com/t51.2885-19/11372086_1598451257062069_1320225693_a.jpg")</f>
        <v>https://scontent.cdninstagram.com/t51.2885-19/11372086_1598451257062069_1320225693_a.jpg</v>
      </c>
    </row>
    <row r="4765" spans="1:31" ht="15" x14ac:dyDescent="0.25">
      <c r="A4765" t="s">
        <v>2474</v>
      </c>
      <c r="B4765" t="s">
        <v>3824</v>
      </c>
      <c r="C4765" s="221">
        <v>42983.216620370367</v>
      </c>
      <c r="D4765" t="s">
        <v>25484</v>
      </c>
      <c r="E4765" s="249" t="str">
        <f>HYPERLINK("https://www.instagram.com/p/BYp2LD3lNLH/")</f>
        <v>https://www.instagram.com/p/BYp2LD3lNLH/</v>
      </c>
      <c r="F4765" t="s">
        <v>25485</v>
      </c>
      <c r="G4765" t="s">
        <v>2631</v>
      </c>
      <c r="H4765">
        <v>1074</v>
      </c>
      <c r="I4765" t="s">
        <v>2479</v>
      </c>
      <c r="J4765">
        <v>2</v>
      </c>
      <c r="K4765">
        <v>77</v>
      </c>
      <c r="L4765">
        <v>79</v>
      </c>
      <c r="Q4765">
        <v>0</v>
      </c>
      <c r="R4765">
        <v>0</v>
      </c>
      <c r="S4765">
        <v>79</v>
      </c>
      <c r="T4765" t="s">
        <v>25486</v>
      </c>
      <c r="U4765" t="s">
        <v>106</v>
      </c>
      <c r="V4765" t="s">
        <v>2299</v>
      </c>
      <c r="W4765">
        <v>25.813030000000001</v>
      </c>
      <c r="X4765">
        <v>-80.354579999999999</v>
      </c>
      <c r="Y4765" t="s">
        <v>4761</v>
      </c>
      <c r="Z4765" t="s">
        <v>6186</v>
      </c>
      <c r="AA4765" t="s">
        <v>2497</v>
      </c>
      <c r="AB4765" t="s">
        <v>5229</v>
      </c>
      <c r="AC4765" t="s">
        <v>6779</v>
      </c>
      <c r="AD4765" s="249" t="str">
        <f>HYPERLINK("https://scontent.cdninstagram.com/t51.2885-15/e15/p320x320/21373475_351057638718325_8635470178869575680_n.jpg")</f>
        <v>https://scontent.cdninstagram.com/t51.2885-15/e15/p320x320/21373475_351057638718325_8635470178869575680_n.jpg</v>
      </c>
      <c r="AE4765" s="249" t="str">
        <f>HYPERLINK("https://scontent.cdninstagram.com/t51.2885-19/s150x150/19228675_316947935407228_6855499933131210752_a.jpg")</f>
        <v>https://scontent.cdninstagram.com/t51.2885-19/s150x150/19228675_316947935407228_6855499933131210752_a.jpg</v>
      </c>
    </row>
    <row r="4766" spans="1:31" ht="15" x14ac:dyDescent="0.25">
      <c r="A4766" t="s">
        <v>2474</v>
      </c>
      <c r="B4766" t="s">
        <v>3846</v>
      </c>
      <c r="C4766" s="221">
        <v>42983.221863425926</v>
      </c>
      <c r="D4766" t="s">
        <v>25487</v>
      </c>
      <c r="E4766" s="249" t="str">
        <f>HYPERLINK("https://www.instagram.com/p/BYp3CV5g5eO/")</f>
        <v>https://www.instagram.com/p/BYp3CV5g5eO/</v>
      </c>
      <c r="F4766" t="s">
        <v>25488</v>
      </c>
      <c r="G4766" t="s">
        <v>2631</v>
      </c>
      <c r="H4766">
        <v>1044</v>
      </c>
      <c r="I4766" t="s">
        <v>2479</v>
      </c>
      <c r="J4766">
        <v>1</v>
      </c>
      <c r="K4766">
        <v>77</v>
      </c>
      <c r="L4766">
        <v>78</v>
      </c>
      <c r="Q4766">
        <v>0</v>
      </c>
      <c r="R4766">
        <v>0</v>
      </c>
      <c r="S4766">
        <v>78</v>
      </c>
      <c r="Y4766" t="s">
        <v>4924</v>
      </c>
      <c r="Z4766" t="s">
        <v>2497</v>
      </c>
      <c r="AA4766" t="s">
        <v>3851</v>
      </c>
      <c r="AB4766" t="s">
        <v>18115</v>
      </c>
      <c r="AC4766" t="s">
        <v>3849</v>
      </c>
      <c r="AD4766" s="249" t="str">
        <f>HYPERLINK("https://scontent.cdninstagram.com/t51.2885-15/s320x320/e15/21373258_2059550427659565_590190418423971840_n.jpg")</f>
        <v>https://scontent.cdninstagram.com/t51.2885-15/s320x320/e15/21373258_2059550427659565_590190418423971840_n.jpg</v>
      </c>
      <c r="AE4766" s="249" t="str">
        <f>HYPERLINK("https://scontent.cdninstagram.com/t51.2885-19/11313229_1459878014310621_82799200_a.jpg")</f>
        <v>https://scontent.cdninstagram.com/t51.2885-19/11313229_1459878014310621_82799200_a.jpg</v>
      </c>
    </row>
    <row r="4767" spans="1:31" ht="15" x14ac:dyDescent="0.25">
      <c r="A4767" t="s">
        <v>2474</v>
      </c>
      <c r="B4767" t="s">
        <v>17738</v>
      </c>
      <c r="C4767" s="221">
        <v>42983.224768518521</v>
      </c>
      <c r="D4767" t="s">
        <v>25489</v>
      </c>
      <c r="E4767" s="249" t="str">
        <f>HYPERLINK("https://www.instagram.com/p/BYp3hA_BPud/")</f>
        <v>https://www.instagram.com/p/BYp3hA_BPud/</v>
      </c>
      <c r="F4767" t="s">
        <v>24418</v>
      </c>
      <c r="G4767" t="s">
        <v>2478</v>
      </c>
      <c r="H4767">
        <v>69091</v>
      </c>
      <c r="I4767" t="s">
        <v>2479</v>
      </c>
      <c r="J4767">
        <v>0</v>
      </c>
      <c r="K4767">
        <v>19</v>
      </c>
      <c r="L4767">
        <v>19</v>
      </c>
      <c r="Q4767">
        <v>0</v>
      </c>
      <c r="R4767">
        <v>0</v>
      </c>
      <c r="S4767">
        <v>19</v>
      </c>
      <c r="Y4767" t="s">
        <v>16557</v>
      </c>
      <c r="Z4767" t="s">
        <v>2497</v>
      </c>
      <c r="AA4767" t="s">
        <v>4231</v>
      </c>
      <c r="AB4767" t="s">
        <v>13341</v>
      </c>
      <c r="AC4767" t="s">
        <v>4561</v>
      </c>
      <c r="AD4767" s="249" t="str">
        <f>HYPERLINK("https://scontent.cdninstagram.com/t51.2885-15/s320x320/e35/21371839_1987791608165211_4331306382931263488_n.jpg")</f>
        <v>https://scontent.cdninstagram.com/t51.2885-15/s320x320/e35/21371839_1987791608165211_4331306382931263488_n.jpg</v>
      </c>
      <c r="AE4767" s="249" t="str">
        <f>HYPERLINK("https://scontent.cdninstagram.com/t51.2885-19/s150x150/14701076_1598337030462226_7312252327623131136_a.jpg")</f>
        <v>https://scontent.cdninstagram.com/t51.2885-19/s150x150/14701076_1598337030462226_7312252327623131136_a.jpg</v>
      </c>
    </row>
    <row r="4768" spans="1:31" ht="15" x14ac:dyDescent="0.25">
      <c r="A4768" t="s">
        <v>2474</v>
      </c>
      <c r="B4768" t="s">
        <v>2685</v>
      </c>
      <c r="C4768" s="221">
        <v>42983.23</v>
      </c>
      <c r="D4768" t="s">
        <v>25490</v>
      </c>
      <c r="E4768" s="249" t="str">
        <f>HYPERLINK("https://www.instagram.com/p/BYp4YH2jh4T/")</f>
        <v>https://www.instagram.com/p/BYp4YH2jh4T/</v>
      </c>
      <c r="F4768" t="s">
        <v>25491</v>
      </c>
      <c r="G4768" t="s">
        <v>2478</v>
      </c>
      <c r="H4768">
        <v>230</v>
      </c>
      <c r="I4768" t="s">
        <v>2479</v>
      </c>
      <c r="J4768">
        <v>0</v>
      </c>
      <c r="K4768">
        <v>17</v>
      </c>
      <c r="L4768">
        <v>17</v>
      </c>
      <c r="Q4768">
        <v>0</v>
      </c>
      <c r="R4768">
        <v>0</v>
      </c>
      <c r="S4768">
        <v>17</v>
      </c>
      <c r="Y4768" t="s">
        <v>13615</v>
      </c>
      <c r="Z4768" t="s">
        <v>2520</v>
      </c>
      <c r="AA4768" t="s">
        <v>25492</v>
      </c>
      <c r="AB4768" t="s">
        <v>6050</v>
      </c>
      <c r="AC4768" t="s">
        <v>2497</v>
      </c>
      <c r="AD4768" s="249" t="str">
        <f>HYPERLINK("https://scontent.cdninstagram.com/t51.2885-15/s320x320/e35/21373116_2038801473097549_3008841997797556224_n.jpg")</f>
        <v>https://scontent.cdninstagram.com/t51.2885-15/s320x320/e35/21373116_2038801473097549_3008841997797556224_n.jpg</v>
      </c>
      <c r="AE4768" s="249" t="str">
        <f>HYPERLINK("https://scontent.cdninstagram.com/t51.2885-19/s150x150/12339026_997056470351354_891418646_a.jpg")</f>
        <v>https://scontent.cdninstagram.com/t51.2885-19/s150x150/12339026_997056470351354_891418646_a.jpg</v>
      </c>
    </row>
    <row r="4769" spans="1:31" ht="15" x14ac:dyDescent="0.25">
      <c r="A4769" t="s">
        <v>2474</v>
      </c>
      <c r="B4769" t="s">
        <v>3754</v>
      </c>
      <c r="C4769" s="221">
        <v>42983.257314814815</v>
      </c>
      <c r="D4769" t="s">
        <v>25493</v>
      </c>
      <c r="E4769" s="249" t="str">
        <f>HYPERLINK("https://www.instagram.com/p/BYp84NCj_dS/")</f>
        <v>https://www.instagram.com/p/BYp84NCj_dS/</v>
      </c>
      <c r="F4769" t="s">
        <v>25494</v>
      </c>
      <c r="G4769" t="s">
        <v>2478</v>
      </c>
      <c r="H4769">
        <v>201026</v>
      </c>
      <c r="I4769" t="s">
        <v>2479</v>
      </c>
      <c r="J4769">
        <v>0</v>
      </c>
      <c r="K4769">
        <v>169</v>
      </c>
      <c r="L4769">
        <v>169</v>
      </c>
      <c r="Q4769">
        <v>0</v>
      </c>
      <c r="R4769">
        <v>0</v>
      </c>
      <c r="S4769">
        <v>169</v>
      </c>
      <c r="Y4769" t="s">
        <v>16557</v>
      </c>
      <c r="Z4769" t="s">
        <v>2497</v>
      </c>
      <c r="AA4769" t="s">
        <v>4231</v>
      </c>
      <c r="AB4769" t="s">
        <v>13341</v>
      </c>
      <c r="AC4769" t="s">
        <v>4561</v>
      </c>
      <c r="AD4769" s="249" t="str">
        <f>HYPERLINK("https://scontent.cdninstagram.com/t51.2885-15/s320x320/e35/21371822_129115531051219_4172624044471877632_n.jpg")</f>
        <v>https://scontent.cdninstagram.com/t51.2885-15/s320x320/e35/21371822_129115531051219_4172624044471877632_n.jpg</v>
      </c>
      <c r="AE4769" s="249" t="str">
        <f>HYPERLINK("https://scontent.cdninstagram.com/t51.2885-19/s150x150/12905002_1681254462136092_1137392787_a.jpg")</f>
        <v>https://scontent.cdninstagram.com/t51.2885-19/s150x150/12905002_1681254462136092_1137392787_a.jpg</v>
      </c>
    </row>
    <row r="4770" spans="1:31" ht="15" x14ac:dyDescent="0.25">
      <c r="A4770" t="s">
        <v>2474</v>
      </c>
      <c r="B4770" t="s">
        <v>25495</v>
      </c>
      <c r="C4770" s="221">
        <v>42983.257604166669</v>
      </c>
      <c r="D4770" t="s">
        <v>25496</v>
      </c>
      <c r="E4770" s="249" t="str">
        <f>HYPERLINK("https://www.instagram.com/p/BYp87WPAFP_/")</f>
        <v>https://www.instagram.com/p/BYp87WPAFP_/</v>
      </c>
      <c r="F4770" t="s">
        <v>25497</v>
      </c>
      <c r="G4770" t="s">
        <v>2478</v>
      </c>
      <c r="H4770">
        <v>1125</v>
      </c>
      <c r="I4770" t="s">
        <v>2479</v>
      </c>
      <c r="J4770">
        <v>0</v>
      </c>
      <c r="K4770">
        <v>13</v>
      </c>
      <c r="L4770">
        <v>13</v>
      </c>
      <c r="Q4770">
        <v>0</v>
      </c>
      <c r="R4770">
        <v>0</v>
      </c>
      <c r="S4770">
        <v>13</v>
      </c>
      <c r="Y4770" t="s">
        <v>25498</v>
      </c>
      <c r="Z4770" t="s">
        <v>25499</v>
      </c>
      <c r="AA4770" t="s">
        <v>25500</v>
      </c>
      <c r="AB4770" t="s">
        <v>4419</v>
      </c>
      <c r="AC4770" t="s">
        <v>2497</v>
      </c>
      <c r="AD4770" s="249" t="str">
        <f>HYPERLINK("https://scontent.cdninstagram.com/t51.2885-15/s320x320/e35/21433505_1382933251756217_2597486445551681536_n.jpg")</f>
        <v>https://scontent.cdninstagram.com/t51.2885-15/s320x320/e35/21433505_1382933251756217_2597486445551681536_n.jpg</v>
      </c>
      <c r="AE4770" s="249" t="str">
        <f>HYPERLINK("https://scontent.cdninstagram.com/t51.2885-19/11356030_1481121382200088_1752660356_a.jpg")</f>
        <v>https://scontent.cdninstagram.com/t51.2885-19/11356030_1481121382200088_1752660356_a.jpg</v>
      </c>
    </row>
    <row r="4771" spans="1:31" ht="15" x14ac:dyDescent="0.25">
      <c r="A4771" t="s">
        <v>2474</v>
      </c>
      <c r="B4771" t="s">
        <v>25501</v>
      </c>
      <c r="C4771" s="221">
        <v>42983.263460648152</v>
      </c>
      <c r="D4771" t="s">
        <v>25502</v>
      </c>
      <c r="E4771" s="249" t="str">
        <f>HYPERLINK("https://www.instagram.com/p/BYp95FklVJi/")</f>
        <v>https://www.instagram.com/p/BYp95FklVJi/</v>
      </c>
      <c r="F4771" t="s">
        <v>25503</v>
      </c>
      <c r="G4771" t="s">
        <v>2478</v>
      </c>
      <c r="H4771">
        <v>45</v>
      </c>
      <c r="I4771" t="s">
        <v>2479</v>
      </c>
      <c r="J4771">
        <v>2</v>
      </c>
      <c r="K4771">
        <v>32</v>
      </c>
      <c r="L4771">
        <v>34</v>
      </c>
      <c r="Q4771">
        <v>0</v>
      </c>
      <c r="R4771">
        <v>0</v>
      </c>
      <c r="S4771">
        <v>34</v>
      </c>
      <c r="Y4771" t="s">
        <v>25504</v>
      </c>
      <c r="Z4771" t="s">
        <v>2497</v>
      </c>
      <c r="AA4771" t="s">
        <v>25505</v>
      </c>
      <c r="AB4771" t="s">
        <v>6187</v>
      </c>
      <c r="AC4771" t="s">
        <v>25506</v>
      </c>
      <c r="AD4771" s="249" t="str">
        <f>HYPERLINK("https://scontent.cdninstagram.com/t51.2885-15/s320x320/e35/21373272_2057009211194422_4613810163223101440_n.jpg")</f>
        <v>https://scontent.cdninstagram.com/t51.2885-15/s320x320/e35/21373272_2057009211194422_4613810163223101440_n.jpg</v>
      </c>
      <c r="AE4771" s="249" t="str">
        <f>HYPERLINK("https://scontent.cdninstagram.com/t51.2885-19/s150x150/21372469_273158426532024_7412319666846040064_a.jpg")</f>
        <v>https://scontent.cdninstagram.com/t51.2885-19/s150x150/21372469_273158426532024_7412319666846040064_a.jpg</v>
      </c>
    </row>
    <row r="4772" spans="1:31" ht="15" x14ac:dyDescent="0.25">
      <c r="A4772" t="s">
        <v>2474</v>
      </c>
      <c r="B4772" t="s">
        <v>25507</v>
      </c>
      <c r="C4772" s="221">
        <v>42983.263715277775</v>
      </c>
      <c r="D4772" t="s">
        <v>25508</v>
      </c>
      <c r="E4772" s="249" t="str">
        <f>HYPERLINK("https://www.instagram.com/p/BYp97xqF88A/")</f>
        <v>https://www.instagram.com/p/BYp97xqF88A/</v>
      </c>
      <c r="F4772" t="s">
        <v>25509</v>
      </c>
      <c r="G4772" t="s">
        <v>2478</v>
      </c>
      <c r="H4772">
        <v>227</v>
      </c>
      <c r="I4772" t="s">
        <v>3273</v>
      </c>
      <c r="J4772">
        <v>14</v>
      </c>
      <c r="K4772">
        <v>91</v>
      </c>
      <c r="L4772">
        <v>105</v>
      </c>
      <c r="Q4772">
        <v>0</v>
      </c>
      <c r="R4772">
        <v>0</v>
      </c>
      <c r="S4772">
        <v>105</v>
      </c>
      <c r="Y4772" t="s">
        <v>21682</v>
      </c>
      <c r="Z4772" t="s">
        <v>2497</v>
      </c>
      <c r="AA4772" t="s">
        <v>2492</v>
      </c>
      <c r="AD4772" s="249" t="str">
        <f>HYPERLINK("https://scontent.cdninstagram.com/t51.2885-15/s320x320/e35/21372892_355825558181824_1937751646087938048_n.jpg")</f>
        <v>https://scontent.cdninstagram.com/t51.2885-15/s320x320/e35/21372892_355825558181824_1937751646087938048_n.jpg</v>
      </c>
      <c r="AE4772" s="249" t="str">
        <f>HYPERLINK("https://scontent.cdninstagram.com/t51.2885-19/s150x150/19379754_269542706854338_1272057588090929152_a.jpg")</f>
        <v>https://scontent.cdninstagram.com/t51.2885-19/s150x150/19379754_269542706854338_1272057588090929152_a.jpg</v>
      </c>
    </row>
    <row r="4773" spans="1:31" ht="15" x14ac:dyDescent="0.25">
      <c r="A4773" t="s">
        <v>2474</v>
      </c>
      <c r="B4773" t="s">
        <v>25510</v>
      </c>
      <c r="C4773" s="221">
        <v>42983.267731481479</v>
      </c>
      <c r="D4773" t="s">
        <v>25511</v>
      </c>
      <c r="E4773" s="249" t="str">
        <f>HYPERLINK("https://www.instagram.com/p/BYp-mD8l_50/")</f>
        <v>https://www.instagram.com/p/BYp-mD8l_50/</v>
      </c>
      <c r="F4773" t="s">
        <v>25512</v>
      </c>
      <c r="G4773" t="s">
        <v>2478</v>
      </c>
      <c r="H4773">
        <v>802</v>
      </c>
      <c r="I4773" t="s">
        <v>2927</v>
      </c>
      <c r="J4773">
        <v>4</v>
      </c>
      <c r="K4773">
        <v>104</v>
      </c>
      <c r="L4773">
        <v>108</v>
      </c>
      <c r="Q4773">
        <v>0</v>
      </c>
      <c r="R4773">
        <v>0</v>
      </c>
      <c r="S4773">
        <v>108</v>
      </c>
      <c r="Y4773" t="s">
        <v>2497</v>
      </c>
      <c r="Z4773" t="s">
        <v>2861</v>
      </c>
      <c r="AA4773" t="s">
        <v>4370</v>
      </c>
      <c r="AB4773" t="s">
        <v>10311</v>
      </c>
      <c r="AC4773" t="s">
        <v>25513</v>
      </c>
      <c r="AD4773" s="249" t="str">
        <f>HYPERLINK("https://scontent.cdninstagram.com/t51.2885-15/s320x320/e35/21371864_311141366026000_1548188762196934656_n.jpg")</f>
        <v>https://scontent.cdninstagram.com/t51.2885-15/s320x320/e35/21371864_311141366026000_1548188762196934656_n.jpg</v>
      </c>
      <c r="AE4773" s="249" t="str">
        <f>HYPERLINK("https://scontent.cdninstagram.com/t51.2885-19/s150x150/15259080_342173786157931_6928799137789902848_a.jpg")</f>
        <v>https://scontent.cdninstagram.com/t51.2885-19/s150x150/15259080_342173786157931_6928799137789902848_a.jpg</v>
      </c>
    </row>
    <row r="4774" spans="1:31" ht="15" x14ac:dyDescent="0.25">
      <c r="A4774" t="s">
        <v>2474</v>
      </c>
      <c r="B4774" t="s">
        <v>25514</v>
      </c>
      <c r="C4774" s="221">
        <v>42983.271597222221</v>
      </c>
      <c r="D4774" t="s">
        <v>25515</v>
      </c>
      <c r="E4774" s="249" t="str">
        <f>HYPERLINK("https://www.instagram.com/p/BYp_O4jAALJ/")</f>
        <v>https://www.instagram.com/p/BYp_O4jAALJ/</v>
      </c>
      <c r="F4774" t="s">
        <v>25516</v>
      </c>
      <c r="G4774" t="s">
        <v>2478</v>
      </c>
      <c r="I4774" t="s">
        <v>2479</v>
      </c>
      <c r="J4774">
        <v>11</v>
      </c>
      <c r="K4774">
        <v>135</v>
      </c>
      <c r="L4774">
        <v>146</v>
      </c>
      <c r="Q4774">
        <v>0</v>
      </c>
      <c r="R4774">
        <v>0</v>
      </c>
      <c r="S4774">
        <v>146</v>
      </c>
      <c r="Y4774" t="s">
        <v>25517</v>
      </c>
      <c r="Z4774" t="s">
        <v>25518</v>
      </c>
      <c r="AA4774" t="s">
        <v>2615</v>
      </c>
      <c r="AB4774" t="s">
        <v>11588</v>
      </c>
      <c r="AC4774" t="s">
        <v>2497</v>
      </c>
      <c r="AD4774" s="249" t="str">
        <f>HYPERLINK("https://scontent.cdninstagram.com/t51.2885-15/e35/p320x320/21373614_1364229550361772_6696397705784066048_n.jpg")</f>
        <v>https://scontent.cdninstagram.com/t51.2885-15/e35/p320x320/21373614_1364229550361772_6696397705784066048_n.jpg</v>
      </c>
      <c r="AE4774" s="249" t="str">
        <f>HYPERLINK("https://scontent.cdninstagram.com/t51.2885-19/s150x150/20479394_1462222593857291_7967432859730313216_a.jpg")</f>
        <v>https://scontent.cdninstagram.com/t51.2885-19/s150x150/20479394_1462222593857291_7967432859730313216_a.jpg</v>
      </c>
    </row>
    <row r="4775" spans="1:31" ht="15" x14ac:dyDescent="0.25">
      <c r="A4775" t="s">
        <v>2474</v>
      </c>
      <c r="B4775" t="s">
        <v>25519</v>
      </c>
      <c r="C4775" s="221">
        <v>42983.279722222222</v>
      </c>
      <c r="D4775" t="s">
        <v>25520</v>
      </c>
      <c r="E4775" s="249" t="str">
        <f>HYPERLINK("https://www.instagram.com/p/BYqAkkanHYq/")</f>
        <v>https://www.instagram.com/p/BYqAkkanHYq/</v>
      </c>
      <c r="F4775" t="s">
        <v>25521</v>
      </c>
      <c r="G4775" t="s">
        <v>2488</v>
      </c>
      <c r="H4775">
        <v>753</v>
      </c>
      <c r="I4775" t="s">
        <v>2479</v>
      </c>
      <c r="J4775">
        <v>2</v>
      </c>
      <c r="K4775">
        <v>58</v>
      </c>
      <c r="L4775">
        <v>60</v>
      </c>
      <c r="Q4775">
        <v>0</v>
      </c>
      <c r="R4775">
        <v>0</v>
      </c>
      <c r="S4775">
        <v>60</v>
      </c>
      <c r="Y4775" t="s">
        <v>25522</v>
      </c>
      <c r="Z4775" t="s">
        <v>25523</v>
      </c>
      <c r="AA4775" t="s">
        <v>2497</v>
      </c>
      <c r="AB4775" t="s">
        <v>2492</v>
      </c>
      <c r="AC4775" t="s">
        <v>25524</v>
      </c>
      <c r="AD4775" s="249" t="str">
        <f>HYPERLINK("https://scontent.cdninstagram.com/t51.2885-15/s320x320/e35/21373785_2029663603932000_3902017448144011264_n.jpg")</f>
        <v>https://scontent.cdninstagram.com/t51.2885-15/s320x320/e35/21373785_2029663603932000_3902017448144011264_n.jpg</v>
      </c>
      <c r="AE4775" s="249" t="str">
        <f>HYPERLINK("https://scontent.cdninstagram.com/t51.2885-19/s150x150/21433372_148778549051485_8322857861788991488_a.jpg")</f>
        <v>https://scontent.cdninstagram.com/t51.2885-19/s150x150/21433372_148778549051485_8322857861788991488_a.jpg</v>
      </c>
    </row>
    <row r="4776" spans="1:31" ht="15" x14ac:dyDescent="0.25">
      <c r="A4776" t="s">
        <v>2474</v>
      </c>
      <c r="B4776" t="s">
        <v>24023</v>
      </c>
      <c r="C4776" s="221">
        <v>42983.288182870368</v>
      </c>
      <c r="D4776" t="s">
        <v>25525</v>
      </c>
      <c r="E4776" s="249" t="str">
        <f>HYPERLINK("https://www.instagram.com/p/BYqB9wqFX1e/")</f>
        <v>https://www.instagram.com/p/BYqB9wqFX1e/</v>
      </c>
      <c r="F4776" t="s">
        <v>25526</v>
      </c>
      <c r="G4776" t="s">
        <v>2631</v>
      </c>
      <c r="H4776">
        <v>460</v>
      </c>
      <c r="I4776" t="s">
        <v>2510</v>
      </c>
      <c r="J4776">
        <v>9</v>
      </c>
      <c r="K4776">
        <v>61</v>
      </c>
      <c r="L4776">
        <v>70</v>
      </c>
      <c r="Q4776">
        <v>0</v>
      </c>
      <c r="R4776">
        <v>0</v>
      </c>
      <c r="S4776">
        <v>70</v>
      </c>
      <c r="Y4776" t="s">
        <v>6186</v>
      </c>
      <c r="Z4776" t="s">
        <v>2497</v>
      </c>
      <c r="AA4776" t="s">
        <v>25527</v>
      </c>
      <c r="AB4776" t="s">
        <v>24730</v>
      </c>
      <c r="AC4776" t="s">
        <v>2657</v>
      </c>
      <c r="AD4776" s="249" t="str">
        <f>HYPERLINK("https://scontent.cdninstagram.com/t51.2885-15/e15/p320x320/21373474_1446953532056898_3509247898720141312_n.jpg")</f>
        <v>https://scontent.cdninstagram.com/t51.2885-15/e15/p320x320/21373474_1446953532056898_3509247898720141312_n.jpg</v>
      </c>
      <c r="AE4776" s="249" t="str">
        <f>HYPERLINK("https://scontent.cdninstagram.com/t51.2885-19/s150x150/21434165_1953668864847850_2480376611673735168_a.jpg")</f>
        <v>https://scontent.cdninstagram.com/t51.2885-19/s150x150/21434165_1953668864847850_2480376611673735168_a.jpg</v>
      </c>
    </row>
    <row r="4777" spans="1:31" ht="15" x14ac:dyDescent="0.25">
      <c r="A4777" t="s">
        <v>2474</v>
      </c>
      <c r="B4777" t="s">
        <v>3754</v>
      </c>
      <c r="C4777" s="221">
        <v>42983.293217592596</v>
      </c>
      <c r="D4777" t="s">
        <v>25528</v>
      </c>
      <c r="E4777" s="249" t="str">
        <f>HYPERLINK("https://www.instagram.com/p/BYqCy7lD0Dk/")</f>
        <v>https://www.instagram.com/p/BYqCy7lD0Dk/</v>
      </c>
      <c r="F4777" t="s">
        <v>25529</v>
      </c>
      <c r="G4777" t="s">
        <v>2478</v>
      </c>
      <c r="H4777">
        <v>201027</v>
      </c>
      <c r="I4777" t="s">
        <v>2479</v>
      </c>
      <c r="J4777">
        <v>0</v>
      </c>
      <c r="K4777">
        <v>122</v>
      </c>
      <c r="L4777">
        <v>122</v>
      </c>
      <c r="Q4777">
        <v>0</v>
      </c>
      <c r="R4777">
        <v>0</v>
      </c>
      <c r="S4777">
        <v>122</v>
      </c>
      <c r="Y4777" t="s">
        <v>16557</v>
      </c>
      <c r="Z4777" t="s">
        <v>2497</v>
      </c>
      <c r="AA4777" t="s">
        <v>4231</v>
      </c>
      <c r="AB4777" t="s">
        <v>13341</v>
      </c>
      <c r="AC4777" t="s">
        <v>4561</v>
      </c>
      <c r="AD4777" s="249" t="str">
        <f>HYPERLINK("https://scontent.cdninstagram.com/t51.2885-15/e35/p320x320/21372364_1426563884124599_5618073267643351040_n.jpg")</f>
        <v>https://scontent.cdninstagram.com/t51.2885-15/e35/p320x320/21372364_1426563884124599_5618073267643351040_n.jpg</v>
      </c>
      <c r="AE4777" s="249" t="str">
        <f>HYPERLINK("https://scontent.cdninstagram.com/t51.2885-19/s150x150/12905002_1681254462136092_1137392787_a.jpg")</f>
        <v>https://scontent.cdninstagram.com/t51.2885-19/s150x150/12905002_1681254462136092_1137392787_a.jpg</v>
      </c>
    </row>
    <row r="4778" spans="1:31" ht="15" x14ac:dyDescent="0.25">
      <c r="A4778" t="s">
        <v>2474</v>
      </c>
      <c r="B4778" t="s">
        <v>2715</v>
      </c>
      <c r="C4778" s="221">
        <v>42983.294317129628</v>
      </c>
      <c r="D4778" t="s">
        <v>25530</v>
      </c>
      <c r="E4778" s="249" t="str">
        <f>HYPERLINK("https://www.instagram.com/p/BYqC-hrg-_n/")</f>
        <v>https://www.instagram.com/p/BYqC-hrg-_n/</v>
      </c>
      <c r="F4778" t="s">
        <v>25531</v>
      </c>
      <c r="G4778" t="s">
        <v>2478</v>
      </c>
      <c r="H4778">
        <v>126</v>
      </c>
      <c r="I4778" t="s">
        <v>2479</v>
      </c>
      <c r="J4778">
        <v>0</v>
      </c>
      <c r="K4778">
        <v>14</v>
      </c>
      <c r="L4778">
        <v>14</v>
      </c>
      <c r="Q4778">
        <v>0</v>
      </c>
      <c r="R4778">
        <v>0</v>
      </c>
      <c r="S4778">
        <v>14</v>
      </c>
      <c r="Y4778" t="s">
        <v>6628</v>
      </c>
      <c r="Z4778" t="s">
        <v>2497</v>
      </c>
      <c r="AA4778" t="s">
        <v>25532</v>
      </c>
      <c r="AB4778" t="s">
        <v>2673</v>
      </c>
      <c r="AC4778" t="s">
        <v>25533</v>
      </c>
      <c r="AD4778" s="249" t="str">
        <f>HYPERLINK("https://scontent.cdninstagram.com/t51.2885-15/e35/p320x320/21373631_676255925901087_1272059649675231232_n.jpg")</f>
        <v>https://scontent.cdninstagram.com/t51.2885-15/e35/p320x320/21373631_676255925901087_1272059649675231232_n.jpg</v>
      </c>
      <c r="AE4778" s="249" t="str">
        <f>HYPERLINK("https://scontent.cdninstagram.com/t51.2885-19/s150x150/20766825_338148956634903_8556968033648640000_a.jpg")</f>
        <v>https://scontent.cdninstagram.com/t51.2885-19/s150x150/20766825_338148956634903_8556968033648640000_a.jpg</v>
      </c>
    </row>
    <row r="4779" spans="1:31" ht="15" x14ac:dyDescent="0.25">
      <c r="A4779" t="s">
        <v>2474</v>
      </c>
      <c r="B4779" t="s">
        <v>25534</v>
      </c>
      <c r="C4779" s="221">
        <v>42983.301238425927</v>
      </c>
      <c r="D4779" t="s">
        <v>25535</v>
      </c>
      <c r="E4779" s="249" t="str">
        <f>HYPERLINK("https://www.instagram.com/p/BYqEHfIjuQF/")</f>
        <v>https://www.instagram.com/p/BYqEHfIjuQF/</v>
      </c>
      <c r="F4779" t="s">
        <v>25536</v>
      </c>
      <c r="G4779" t="s">
        <v>2478</v>
      </c>
      <c r="H4779">
        <v>217</v>
      </c>
      <c r="I4779" t="s">
        <v>2479</v>
      </c>
      <c r="J4779">
        <v>1</v>
      </c>
      <c r="K4779">
        <v>28</v>
      </c>
      <c r="L4779">
        <v>29</v>
      </c>
      <c r="Q4779">
        <v>0</v>
      </c>
      <c r="R4779">
        <v>0</v>
      </c>
      <c r="S4779">
        <v>29</v>
      </c>
      <c r="Y4779" t="s">
        <v>25537</v>
      </c>
      <c r="Z4779" t="s">
        <v>2497</v>
      </c>
      <c r="AA4779" t="s">
        <v>25538</v>
      </c>
      <c r="AB4779" t="s">
        <v>25539</v>
      </c>
      <c r="AC4779" t="s">
        <v>25540</v>
      </c>
      <c r="AD4779" s="249" t="str">
        <f>HYPERLINK("https://scontent.cdninstagram.com/t51.2885-15/s320x320/e35/21372373_145868792677820_5890922382360576000_n.jpg")</f>
        <v>https://scontent.cdninstagram.com/t51.2885-15/s320x320/e35/21372373_145868792677820_5890922382360576000_n.jpg</v>
      </c>
      <c r="AE4779" s="249" t="str">
        <f>HYPERLINK("https://scontent.cdninstagram.com/t51.2885-19/s150x150/16585381_674811929358432_8944246158146928640_a.jpg")</f>
        <v>https://scontent.cdninstagram.com/t51.2885-19/s150x150/16585381_674811929358432_8944246158146928640_a.jpg</v>
      </c>
    </row>
    <row r="4780" spans="1:31" ht="15" x14ac:dyDescent="0.25">
      <c r="A4780" t="s">
        <v>2474</v>
      </c>
      <c r="B4780" t="s">
        <v>25541</v>
      </c>
      <c r="C4780" s="221">
        <v>42983.301620370374</v>
      </c>
      <c r="D4780" t="s">
        <v>25542</v>
      </c>
      <c r="E4780" s="249" t="str">
        <f>HYPERLINK("https://www.instagram.com/p/BYqELk7j9nd/")</f>
        <v>https://www.instagram.com/p/BYqELk7j9nd/</v>
      </c>
      <c r="F4780" t="s">
        <v>25543</v>
      </c>
      <c r="G4780" t="s">
        <v>2478</v>
      </c>
      <c r="H4780">
        <v>921</v>
      </c>
      <c r="I4780" t="s">
        <v>2479</v>
      </c>
      <c r="J4780">
        <v>0</v>
      </c>
      <c r="K4780">
        <v>16</v>
      </c>
      <c r="L4780">
        <v>16</v>
      </c>
      <c r="Q4780">
        <v>0</v>
      </c>
      <c r="R4780">
        <v>0</v>
      </c>
      <c r="S4780">
        <v>16</v>
      </c>
      <c r="Y4780" t="s">
        <v>2497</v>
      </c>
      <c r="Z4780" t="s">
        <v>4733</v>
      </c>
      <c r="AA4780" t="s">
        <v>25544</v>
      </c>
      <c r="AB4780" t="s">
        <v>3783</v>
      </c>
      <c r="AC4780" t="s">
        <v>2766</v>
      </c>
      <c r="AD4780" s="249" t="str">
        <f>HYPERLINK("https://scontent.cdninstagram.com/t51.2885-15/e35/p320x320/21296972_688204854710323_5036328558809579520_n.jpg")</f>
        <v>https://scontent.cdninstagram.com/t51.2885-15/e35/p320x320/21296972_688204854710323_5036328558809579520_n.jpg</v>
      </c>
      <c r="AE4780" s="249" t="str">
        <f>HYPERLINK("https://scontent.cdninstagram.com/t51.2885-19/s150x150/21224787_267732847058927_7376895584042483712_a.jpg")</f>
        <v>https://scontent.cdninstagram.com/t51.2885-19/s150x150/21224787_267732847058927_7376895584042483712_a.jpg</v>
      </c>
    </row>
    <row r="4781" spans="1:31" ht="15" x14ac:dyDescent="0.25">
      <c r="A4781" t="s">
        <v>2474</v>
      </c>
      <c r="B4781" t="s">
        <v>17738</v>
      </c>
      <c r="C4781" s="221">
        <v>42983.303622685184</v>
      </c>
      <c r="D4781" t="s">
        <v>25545</v>
      </c>
      <c r="E4781" s="249" t="str">
        <f>HYPERLINK("https://www.instagram.com/p/BYqEgr5BOAL/")</f>
        <v>https://www.instagram.com/p/BYqEgr5BOAL/</v>
      </c>
      <c r="F4781" t="s">
        <v>20883</v>
      </c>
      <c r="G4781" t="s">
        <v>2478</v>
      </c>
      <c r="H4781">
        <v>69085</v>
      </c>
      <c r="I4781" t="s">
        <v>2479</v>
      </c>
      <c r="J4781">
        <v>0</v>
      </c>
      <c r="K4781">
        <v>12</v>
      </c>
      <c r="L4781">
        <v>12</v>
      </c>
      <c r="Q4781">
        <v>0</v>
      </c>
      <c r="R4781">
        <v>0</v>
      </c>
      <c r="S4781">
        <v>12</v>
      </c>
      <c r="Y4781" t="s">
        <v>2497</v>
      </c>
      <c r="Z4781" t="s">
        <v>4231</v>
      </c>
      <c r="AA4781" t="s">
        <v>13341</v>
      </c>
      <c r="AB4781" t="s">
        <v>4561</v>
      </c>
      <c r="AC4781" t="s">
        <v>10199</v>
      </c>
      <c r="AD4781" s="249" t="str">
        <f>HYPERLINK("https://scontent.cdninstagram.com/t51.2885-15/s320x320/e35/21435920_114828055896373_1474915494845743104_n.jpg")</f>
        <v>https://scontent.cdninstagram.com/t51.2885-15/s320x320/e35/21435920_114828055896373_1474915494845743104_n.jpg</v>
      </c>
      <c r="AE4781" s="249" t="str">
        <f>HYPERLINK("https://scontent.cdninstagram.com/t51.2885-19/s150x150/14701076_1598337030462226_7312252327623131136_a.jpg")</f>
        <v>https://scontent.cdninstagram.com/t51.2885-19/s150x150/14701076_1598337030462226_7312252327623131136_a.jpg</v>
      </c>
    </row>
    <row r="4782" spans="1:31" ht="15" x14ac:dyDescent="0.25">
      <c r="A4782" t="s">
        <v>2474</v>
      </c>
      <c r="B4782" t="s">
        <v>23014</v>
      </c>
      <c r="C4782" s="221">
        <v>42983.304918981485</v>
      </c>
      <c r="D4782" t="s">
        <v>25546</v>
      </c>
      <c r="E4782" s="249" t="str">
        <f>HYPERLINK("https://www.instagram.com/p/BYqEuUDHu8b/")</f>
        <v>https://www.instagram.com/p/BYqEuUDHu8b/</v>
      </c>
      <c r="F4782" t="s">
        <v>25547</v>
      </c>
      <c r="G4782" t="s">
        <v>2478</v>
      </c>
      <c r="H4782">
        <v>62</v>
      </c>
      <c r="I4782" t="s">
        <v>3170</v>
      </c>
      <c r="J4782">
        <v>0</v>
      </c>
      <c r="K4782">
        <v>21</v>
      </c>
      <c r="L4782">
        <v>21</v>
      </c>
      <c r="Q4782">
        <v>0</v>
      </c>
      <c r="R4782">
        <v>0</v>
      </c>
      <c r="S4782">
        <v>21</v>
      </c>
      <c r="Y4782" t="s">
        <v>25548</v>
      </c>
      <c r="Z4782" t="s">
        <v>2497</v>
      </c>
      <c r="AA4782" t="s">
        <v>3936</v>
      </c>
      <c r="AB4782" t="s">
        <v>25549</v>
      </c>
      <c r="AC4782" t="s">
        <v>5721</v>
      </c>
      <c r="AD4782" s="249" t="str">
        <f>HYPERLINK("https://scontent.cdninstagram.com/t51.2885-15/s320x320/e35/21433599_338928126556281_6264802545357553664_n.jpg")</f>
        <v>https://scontent.cdninstagram.com/t51.2885-15/s320x320/e35/21433599_338928126556281_6264802545357553664_n.jpg</v>
      </c>
      <c r="AE4782" s="249" t="str">
        <f>HYPERLINK("https://scontent.cdninstagram.com/t51.2885-19/s150x150/14488189_1061217303977667_1295591599396356096_a.jpg")</f>
        <v>https://scontent.cdninstagram.com/t51.2885-19/s150x150/14488189_1061217303977667_1295591599396356096_a.jpg</v>
      </c>
    </row>
    <row r="4783" spans="1:31" ht="15" x14ac:dyDescent="0.25">
      <c r="A4783" t="s">
        <v>2474</v>
      </c>
      <c r="B4783" t="s">
        <v>5920</v>
      </c>
      <c r="C4783" s="221">
        <v>42983.305</v>
      </c>
      <c r="D4783" t="s">
        <v>25550</v>
      </c>
      <c r="E4783" s="249" t="str">
        <f>HYPERLINK("https://www.instagram.com/p/BYqEvLSD_Ek/")</f>
        <v>https://www.instagram.com/p/BYqEvLSD_Ek/</v>
      </c>
      <c r="F4783" t="s">
        <v>25551</v>
      </c>
      <c r="G4783" t="s">
        <v>2478</v>
      </c>
      <c r="H4783">
        <v>26</v>
      </c>
      <c r="I4783" t="s">
        <v>2479</v>
      </c>
      <c r="J4783">
        <v>2</v>
      </c>
      <c r="K4783">
        <v>34</v>
      </c>
      <c r="L4783">
        <v>36</v>
      </c>
      <c r="Q4783">
        <v>0</v>
      </c>
      <c r="R4783">
        <v>0</v>
      </c>
      <c r="S4783">
        <v>36</v>
      </c>
      <c r="Y4783" t="s">
        <v>2718</v>
      </c>
      <c r="Z4783" t="s">
        <v>2497</v>
      </c>
      <c r="AA4783" t="s">
        <v>25552</v>
      </c>
      <c r="AB4783" t="s">
        <v>2673</v>
      </c>
      <c r="AC4783" t="s">
        <v>3952</v>
      </c>
      <c r="AD4783" s="249" t="str">
        <f>HYPERLINK("https://scontent.cdninstagram.com/t51.2885-15/s320x320/e35/21433705_114302722578875_3387340925674979328_n.jpg")</f>
        <v>https://scontent.cdninstagram.com/t51.2885-15/s320x320/e35/21433705_114302722578875_3387340925674979328_n.jpg</v>
      </c>
      <c r="AE4783" s="249" t="str">
        <f>HYPERLINK("https://scontent.cdninstagram.com/t51.2885-19/s150x150/20065313_312266842554112_1367471824169861120_a.jpg")</f>
        <v>https://scontent.cdninstagram.com/t51.2885-19/s150x150/20065313_312266842554112_1367471824169861120_a.jpg</v>
      </c>
    </row>
    <row r="4784" spans="1:31" ht="15" x14ac:dyDescent="0.25">
      <c r="A4784" t="s">
        <v>2474</v>
      </c>
      <c r="B4784" t="s">
        <v>25553</v>
      </c>
      <c r="C4784" s="221">
        <v>42983.306944444441</v>
      </c>
      <c r="D4784" t="s">
        <v>25554</v>
      </c>
      <c r="E4784" s="249" t="str">
        <f>HYPERLINK("https://www.instagram.com/p/BYqFDoMhJOQ/")</f>
        <v>https://www.instagram.com/p/BYqFDoMhJOQ/</v>
      </c>
      <c r="F4784" t="s">
        <v>25555</v>
      </c>
      <c r="G4784" t="s">
        <v>2478</v>
      </c>
      <c r="H4784">
        <v>70</v>
      </c>
      <c r="I4784" t="s">
        <v>2582</v>
      </c>
      <c r="J4784">
        <v>0</v>
      </c>
      <c r="K4784">
        <v>16</v>
      </c>
      <c r="L4784">
        <v>16</v>
      </c>
      <c r="Q4784">
        <v>0</v>
      </c>
      <c r="R4784">
        <v>0</v>
      </c>
      <c r="S4784">
        <v>16</v>
      </c>
      <c r="Y4784" t="s">
        <v>25553</v>
      </c>
      <c r="Z4784" t="s">
        <v>25556</v>
      </c>
      <c r="AA4784" t="s">
        <v>25557</v>
      </c>
      <c r="AB4784" t="s">
        <v>17404</v>
      </c>
      <c r="AC4784" t="s">
        <v>25558</v>
      </c>
      <c r="AD4784" s="249" t="str">
        <f>HYPERLINK("https://scontent.cdninstagram.com/t51.2885-15/s320x320/e35/21434092_114732222540552_884531068454043648_n.jpg")</f>
        <v>https://scontent.cdninstagram.com/t51.2885-15/s320x320/e35/21434092_114732222540552_884531068454043648_n.jpg</v>
      </c>
      <c r="AE4784" s="249" t="str">
        <f>HYPERLINK("https://scontent.cdninstagram.com/t51.2885-19/s150x150/20905292_126032188024346_4523850028803948544_a.jpg")</f>
        <v>https://scontent.cdninstagram.com/t51.2885-19/s150x150/20905292_126032188024346_4523850028803948544_a.jpg</v>
      </c>
    </row>
    <row r="4785" spans="1:31" ht="15" x14ac:dyDescent="0.25">
      <c r="A4785" t="s">
        <v>2474</v>
      </c>
      <c r="B4785" t="s">
        <v>25559</v>
      </c>
      <c r="C4785" s="221">
        <v>42983.307546296295</v>
      </c>
      <c r="D4785" t="s">
        <v>25560</v>
      </c>
      <c r="E4785" s="249" t="str">
        <f>HYPERLINK("https://www.instagram.com/p/BYqFKA8DnfS/")</f>
        <v>https://www.instagram.com/p/BYqFKA8DnfS/</v>
      </c>
      <c r="F4785" t="s">
        <v>25561</v>
      </c>
      <c r="G4785" t="s">
        <v>2478</v>
      </c>
      <c r="H4785">
        <v>503</v>
      </c>
      <c r="I4785" t="s">
        <v>3186</v>
      </c>
      <c r="J4785">
        <v>5</v>
      </c>
      <c r="K4785">
        <v>27</v>
      </c>
      <c r="L4785">
        <v>32</v>
      </c>
      <c r="Q4785">
        <v>0</v>
      </c>
      <c r="R4785">
        <v>0</v>
      </c>
      <c r="S4785">
        <v>32</v>
      </c>
      <c r="T4785" t="s">
        <v>25562</v>
      </c>
      <c r="V4785" t="s">
        <v>2180</v>
      </c>
      <c r="W4785">
        <v>53.257985096200002</v>
      </c>
      <c r="X4785">
        <v>-8.8064378958499994</v>
      </c>
      <c r="Y4785" t="s">
        <v>25563</v>
      </c>
      <c r="Z4785" t="s">
        <v>5006</v>
      </c>
      <c r="AA4785" t="s">
        <v>25564</v>
      </c>
      <c r="AB4785" t="s">
        <v>25565</v>
      </c>
      <c r="AC4785" t="s">
        <v>25566</v>
      </c>
      <c r="AD4785" s="249" t="str">
        <f>HYPERLINK("https://scontent.cdninstagram.com/t51.2885-15/s320x320/e35/21433803_1915360655453650_2924428693382103040_n.jpg")</f>
        <v>https://scontent.cdninstagram.com/t51.2885-15/s320x320/e35/21433803_1915360655453650_2924428693382103040_n.jpg</v>
      </c>
      <c r="AE4785" s="249" t="str">
        <f>HYPERLINK("https://scontent.cdninstagram.com/t51.2885-19/s150x150/16788465_375730129460636_8175452913447993344_a.jpg")</f>
        <v>https://scontent.cdninstagram.com/t51.2885-19/s150x150/16788465_375730129460636_8175452913447993344_a.jpg</v>
      </c>
    </row>
    <row r="4786" spans="1:31" ht="15" x14ac:dyDescent="0.25">
      <c r="A4786" t="s">
        <v>2474</v>
      </c>
      <c r="B4786" t="s">
        <v>6787</v>
      </c>
      <c r="C4786" s="221">
        <v>42983.320902777778</v>
      </c>
      <c r="D4786" t="s">
        <v>25567</v>
      </c>
      <c r="E4786" s="249" t="str">
        <f>HYPERLINK("https://www.instagram.com/p/BYqHW4_j76B/")</f>
        <v>https://www.instagram.com/p/BYqHW4_j76B/</v>
      </c>
      <c r="F4786" t="s">
        <v>25568</v>
      </c>
      <c r="G4786" t="s">
        <v>2478</v>
      </c>
      <c r="H4786">
        <v>34090</v>
      </c>
      <c r="I4786" t="s">
        <v>2479</v>
      </c>
      <c r="J4786">
        <v>0</v>
      </c>
      <c r="K4786">
        <v>64</v>
      </c>
      <c r="L4786">
        <v>64</v>
      </c>
      <c r="Q4786">
        <v>0</v>
      </c>
      <c r="R4786">
        <v>0</v>
      </c>
      <c r="S4786">
        <v>64</v>
      </c>
      <c r="Y4786" t="s">
        <v>5196</v>
      </c>
      <c r="Z4786" t="s">
        <v>6789</v>
      </c>
      <c r="AA4786" t="s">
        <v>10199</v>
      </c>
      <c r="AB4786" t="s">
        <v>2575</v>
      </c>
      <c r="AC4786" t="s">
        <v>25338</v>
      </c>
      <c r="AD4786" s="249" t="str">
        <f>HYPERLINK("https://scontent.cdninstagram.com/t51.2885-15/s320x320/e35/21433458_144227259514349_690587907487956992_n.jpg")</f>
        <v>https://scontent.cdninstagram.com/t51.2885-15/s320x320/e35/21433458_144227259514349_690587907487956992_n.jpg</v>
      </c>
      <c r="AE4786" s="249" t="str">
        <f>HYPERLINK("https://scontent.cdninstagram.com/t51.2885-19/s150x150/21041699_664700420390838_1827127633733746688_a.jpg")</f>
        <v>https://scontent.cdninstagram.com/t51.2885-19/s150x150/21041699_664700420390838_1827127633733746688_a.jpg</v>
      </c>
    </row>
    <row r="4787" spans="1:31" ht="15" x14ac:dyDescent="0.25">
      <c r="A4787" t="s">
        <v>2474</v>
      </c>
      <c r="B4787" t="s">
        <v>10744</v>
      </c>
      <c r="C4787" s="221">
        <v>42983.324895833335</v>
      </c>
      <c r="D4787" t="s">
        <v>25569</v>
      </c>
      <c r="E4787" s="249" t="str">
        <f>HYPERLINK("https://www.instagram.com/p/BYqIBA8F9G9/")</f>
        <v>https://www.instagram.com/p/BYqIBA8F9G9/</v>
      </c>
      <c r="F4787" t="s">
        <v>25570</v>
      </c>
      <c r="G4787" t="s">
        <v>2478</v>
      </c>
      <c r="H4787">
        <v>274</v>
      </c>
      <c r="I4787" t="s">
        <v>2542</v>
      </c>
      <c r="J4787">
        <v>1</v>
      </c>
      <c r="K4787">
        <v>39</v>
      </c>
      <c r="L4787">
        <v>40</v>
      </c>
      <c r="Q4787">
        <v>0</v>
      </c>
      <c r="R4787">
        <v>0</v>
      </c>
      <c r="S4787">
        <v>40</v>
      </c>
      <c r="T4787" t="s">
        <v>25571</v>
      </c>
      <c r="V4787" t="s">
        <v>2204</v>
      </c>
      <c r="W4787">
        <v>2.1976200000000001</v>
      </c>
      <c r="X4787">
        <v>102.23993</v>
      </c>
      <c r="Y4787" t="s">
        <v>25572</v>
      </c>
      <c r="Z4787" t="s">
        <v>2513</v>
      </c>
      <c r="AA4787" t="s">
        <v>4354</v>
      </c>
      <c r="AB4787" t="s">
        <v>2609</v>
      </c>
      <c r="AC4787" t="s">
        <v>10557</v>
      </c>
      <c r="AD4787" s="249" t="str">
        <f>HYPERLINK("https://scontent.cdninstagram.com/t51.2885-15/e35/p320x320/21433568_338583539933329_3457080074891689984_n.jpg")</f>
        <v>https://scontent.cdninstagram.com/t51.2885-15/e35/p320x320/21433568_338583539933329_3457080074891689984_n.jpg</v>
      </c>
      <c r="AE4787" s="249" t="str">
        <f>HYPERLINK("https://scontent.cdninstagram.com/t51.2885-19/s150x150/20213813_344846052612243_1171122777143377920_a.jpg")</f>
        <v>https://scontent.cdninstagram.com/t51.2885-19/s150x150/20213813_344846052612243_1171122777143377920_a.jpg</v>
      </c>
    </row>
    <row r="4788" spans="1:31" ht="15" x14ac:dyDescent="0.25">
      <c r="A4788" t="s">
        <v>2474</v>
      </c>
      <c r="B4788" t="s">
        <v>25573</v>
      </c>
      <c r="C4788" s="221">
        <v>42983.332465277781</v>
      </c>
      <c r="D4788" t="s">
        <v>25574</v>
      </c>
      <c r="E4788" s="249" t="str">
        <f>HYPERLINK("https://www.instagram.com/p/BYqJQ34gUQa/")</f>
        <v>https://www.instagram.com/p/BYqJQ34gUQa/</v>
      </c>
      <c r="F4788" t="s">
        <v>25575</v>
      </c>
      <c r="G4788" t="s">
        <v>2478</v>
      </c>
      <c r="H4788">
        <v>81</v>
      </c>
      <c r="I4788" t="s">
        <v>4052</v>
      </c>
      <c r="J4788">
        <v>0</v>
      </c>
      <c r="K4788">
        <v>3</v>
      </c>
      <c r="L4788">
        <v>3</v>
      </c>
      <c r="Q4788">
        <v>0</v>
      </c>
      <c r="R4788">
        <v>0</v>
      </c>
      <c r="S4788">
        <v>3</v>
      </c>
      <c r="Y4788" t="s">
        <v>25576</v>
      </c>
      <c r="Z4788" t="s">
        <v>25577</v>
      </c>
      <c r="AA4788" t="s">
        <v>5924</v>
      </c>
      <c r="AB4788" t="s">
        <v>2497</v>
      </c>
      <c r="AC4788" t="s">
        <v>25578</v>
      </c>
      <c r="AD4788" s="249" t="str">
        <f>HYPERLINK("https://scontent.cdninstagram.com/t51.2885-15/s320x320/e35/21372431_367014287051178_6136366418863587328_n.jpg")</f>
        <v>https://scontent.cdninstagram.com/t51.2885-15/s320x320/e35/21372431_367014287051178_6136366418863587328_n.jpg</v>
      </c>
      <c r="AE4788" s="249" t="str">
        <f>HYPERLINK("https://scontent.cdninstagram.com/t51.2885-19/s150x150/17265729_390941271292615_2619411798331228160_a.jpg")</f>
        <v>https://scontent.cdninstagram.com/t51.2885-19/s150x150/17265729_390941271292615_2619411798331228160_a.jpg</v>
      </c>
    </row>
    <row r="4789" spans="1:31" ht="15" x14ac:dyDescent="0.25">
      <c r="A4789" t="s">
        <v>2474</v>
      </c>
      <c r="B4789" t="s">
        <v>6721</v>
      </c>
      <c r="C4789" s="221">
        <v>42983.33289351852</v>
      </c>
      <c r="D4789" t="s">
        <v>25579</v>
      </c>
      <c r="E4789" s="249" t="str">
        <f>HYPERLINK("https://www.instagram.com/p/BYqJVZTAvcv/")</f>
        <v>https://www.instagram.com/p/BYqJVZTAvcv/</v>
      </c>
      <c r="F4789" t="s">
        <v>25580</v>
      </c>
      <c r="G4789" t="s">
        <v>2478</v>
      </c>
      <c r="H4789">
        <v>109</v>
      </c>
      <c r="I4789" t="s">
        <v>2479</v>
      </c>
      <c r="J4789">
        <v>0</v>
      </c>
      <c r="K4789">
        <v>37</v>
      </c>
      <c r="L4789">
        <v>37</v>
      </c>
      <c r="Q4789">
        <v>0</v>
      </c>
      <c r="R4789">
        <v>0</v>
      </c>
      <c r="S4789">
        <v>37</v>
      </c>
      <c r="Y4789" t="s">
        <v>4582</v>
      </c>
      <c r="Z4789" t="s">
        <v>25581</v>
      </c>
      <c r="AA4789" t="s">
        <v>9911</v>
      </c>
      <c r="AB4789" t="s">
        <v>4121</v>
      </c>
      <c r="AC4789" t="s">
        <v>7763</v>
      </c>
      <c r="AD4789" s="249" t="str">
        <f>HYPERLINK("https://scontent.cdninstagram.com/t51.2885-15/s320x320/e35/21435348_139073516701582_8306290935977738240_n.jpg")</f>
        <v>https://scontent.cdninstagram.com/t51.2885-15/s320x320/e35/21435348_139073516701582_8306290935977738240_n.jpg</v>
      </c>
      <c r="AE4789" s="249" t="str">
        <f>HYPERLINK("https://scontent.cdninstagram.com/t51.2885-19/s150x150/21576639_122929418433190_6676992493784924160_a.jpg")</f>
        <v>https://scontent.cdninstagram.com/t51.2885-19/s150x150/21576639_122929418433190_6676992493784924160_a.jpg</v>
      </c>
    </row>
    <row r="4790" spans="1:31" ht="15" x14ac:dyDescent="0.25">
      <c r="A4790" t="s">
        <v>2474</v>
      </c>
      <c r="B4790" t="s">
        <v>24784</v>
      </c>
      <c r="C4790" s="221">
        <v>42983.341238425928</v>
      </c>
      <c r="D4790" t="s">
        <v>25582</v>
      </c>
      <c r="E4790" s="249" t="str">
        <f>HYPERLINK("https://www.instagram.com/p/BYqKtWDhk68/")</f>
        <v>https://www.instagram.com/p/BYqKtWDhk68/</v>
      </c>
      <c r="F4790" t="s">
        <v>25583</v>
      </c>
      <c r="G4790" t="s">
        <v>2478</v>
      </c>
      <c r="H4790">
        <v>2632</v>
      </c>
      <c r="I4790" t="s">
        <v>2542</v>
      </c>
      <c r="J4790">
        <v>0</v>
      </c>
      <c r="K4790">
        <v>31</v>
      </c>
      <c r="L4790">
        <v>31</v>
      </c>
      <c r="Q4790">
        <v>0</v>
      </c>
      <c r="R4790">
        <v>0</v>
      </c>
      <c r="S4790">
        <v>31</v>
      </c>
      <c r="Y4790" t="s">
        <v>25584</v>
      </c>
      <c r="Z4790" t="s">
        <v>3053</v>
      </c>
      <c r="AA4790" t="s">
        <v>25585</v>
      </c>
      <c r="AB4790" t="s">
        <v>11779</v>
      </c>
      <c r="AC4790" t="s">
        <v>25586</v>
      </c>
      <c r="AD4790" s="249" t="str">
        <f>HYPERLINK("https://scontent.cdninstagram.com/t51.2885-15/s320x320/e35/21372139_1833038577007153_2075500992551452672_n.jpg")</f>
        <v>https://scontent.cdninstagram.com/t51.2885-15/s320x320/e35/21372139_1833038577007153_2075500992551452672_n.jpg</v>
      </c>
      <c r="AE4790" s="249" t="str">
        <f>HYPERLINK("https://scontent.cdninstagram.com/t51.2885-19/s150x150/16465813_1758693107780462_8969252797774036992_a.jpg")</f>
        <v>https://scontent.cdninstagram.com/t51.2885-19/s150x150/16465813_1758693107780462_8969252797774036992_a.jpg</v>
      </c>
    </row>
    <row r="4791" spans="1:31" ht="15" x14ac:dyDescent="0.25">
      <c r="A4791" t="s">
        <v>2474</v>
      </c>
      <c r="B4791" t="s">
        <v>25587</v>
      </c>
      <c r="C4791" s="221">
        <v>42983.342835648145</v>
      </c>
      <c r="D4791" t="s">
        <v>25588</v>
      </c>
      <c r="E4791" s="249" t="str">
        <f>HYPERLINK("https://www.instagram.com/p/BYqK-LaF-Vi/")</f>
        <v>https://www.instagram.com/p/BYqK-LaF-Vi/</v>
      </c>
      <c r="F4791" t="s">
        <v>25589</v>
      </c>
      <c r="G4791" t="s">
        <v>2478</v>
      </c>
      <c r="H4791">
        <v>189</v>
      </c>
      <c r="I4791" t="s">
        <v>2479</v>
      </c>
      <c r="J4791">
        <v>0</v>
      </c>
      <c r="K4791">
        <v>22</v>
      </c>
      <c r="L4791">
        <v>22</v>
      </c>
      <c r="Q4791">
        <v>0</v>
      </c>
      <c r="R4791">
        <v>0</v>
      </c>
      <c r="S4791">
        <v>22</v>
      </c>
      <c r="T4791" t="s">
        <v>25590</v>
      </c>
      <c r="V4791" t="s">
        <v>2137</v>
      </c>
      <c r="W4791">
        <v>45.316323199999999</v>
      </c>
      <c r="X4791">
        <v>13.5662377</v>
      </c>
      <c r="Y4791" t="s">
        <v>2899</v>
      </c>
      <c r="Z4791" t="s">
        <v>25591</v>
      </c>
      <c r="AA4791" t="s">
        <v>3813</v>
      </c>
      <c r="AB4791" t="s">
        <v>25592</v>
      </c>
      <c r="AC4791" t="s">
        <v>25593</v>
      </c>
      <c r="AD4791" s="249" t="str">
        <f>HYPERLINK("https://scontent.cdninstagram.com/t51.2885-15/s320x320/e35/21372279_797993627027007_4177425392707043328_n.jpg")</f>
        <v>https://scontent.cdninstagram.com/t51.2885-15/s320x320/e35/21372279_797993627027007_4177425392707043328_n.jpg</v>
      </c>
      <c r="AE4791" s="249" t="str">
        <f>HYPERLINK("https://scontent.cdninstagram.com/t51.2885-19/s150x150/21149697_120105862050796_3278181235175718912_a.jpg")</f>
        <v>https://scontent.cdninstagram.com/t51.2885-19/s150x150/21149697_120105862050796_3278181235175718912_a.jpg</v>
      </c>
    </row>
    <row r="4792" spans="1:31" ht="15" x14ac:dyDescent="0.25">
      <c r="A4792" t="s">
        <v>2474</v>
      </c>
      <c r="B4792" t="s">
        <v>25594</v>
      </c>
      <c r="C4792" s="221">
        <v>42983.347118055557</v>
      </c>
      <c r="D4792" t="s">
        <v>25595</v>
      </c>
      <c r="E4792" s="249" t="str">
        <f>HYPERLINK("https://www.instagram.com/p/BYqLraTlna8/")</f>
        <v>https://www.instagram.com/p/BYqLraTlna8/</v>
      </c>
      <c r="F4792" t="s">
        <v>25596</v>
      </c>
      <c r="G4792" t="s">
        <v>2478</v>
      </c>
      <c r="H4792">
        <v>294</v>
      </c>
      <c r="I4792" t="s">
        <v>3170</v>
      </c>
      <c r="J4792">
        <v>3</v>
      </c>
      <c r="K4792">
        <v>99</v>
      </c>
      <c r="L4792">
        <v>102</v>
      </c>
      <c r="Q4792">
        <v>0</v>
      </c>
      <c r="R4792">
        <v>0</v>
      </c>
      <c r="S4792">
        <v>102</v>
      </c>
      <c r="T4792" t="s">
        <v>25597</v>
      </c>
      <c r="V4792" t="s">
        <v>2240</v>
      </c>
      <c r="W4792">
        <v>38.683300000000003</v>
      </c>
      <c r="X4792">
        <v>-9.3166700000000002</v>
      </c>
      <c r="Y4792" t="s">
        <v>25598</v>
      </c>
      <c r="Z4792" t="s">
        <v>25599</v>
      </c>
      <c r="AA4792" t="s">
        <v>9044</v>
      </c>
      <c r="AB4792" t="s">
        <v>4158</v>
      </c>
      <c r="AC4792" t="s">
        <v>25600</v>
      </c>
      <c r="AD4792" s="249" t="str">
        <f>HYPERLINK("https://scontent.cdninstagram.com/t51.2885-15/s320x320/e35/21227885_471731506537985_1686261313539407872_n.jpg")</f>
        <v>https://scontent.cdninstagram.com/t51.2885-15/s320x320/e35/21227885_471731506537985_1686261313539407872_n.jpg</v>
      </c>
      <c r="AE4792" s="249" t="str">
        <f>HYPERLINK("https://scontent.cdninstagram.com/t51.2885-19/s150x150/15099471_957879004345213_805307772454305792_a.jpg")</f>
        <v>https://scontent.cdninstagram.com/t51.2885-19/s150x150/15099471_957879004345213_805307772454305792_a.jpg</v>
      </c>
    </row>
    <row r="4793" spans="1:31" ht="15" x14ac:dyDescent="0.25">
      <c r="A4793" t="s">
        <v>2474</v>
      </c>
      <c r="B4793" t="s">
        <v>25601</v>
      </c>
      <c r="C4793" s="221">
        <v>42983.350937499999</v>
      </c>
      <c r="D4793" t="s">
        <v>25602</v>
      </c>
      <c r="E4793" s="249" t="str">
        <f>HYPERLINK("https://www.instagram.com/p/BYqMTtbFNyB/")</f>
        <v>https://www.instagram.com/p/BYqMTtbFNyB/</v>
      </c>
      <c r="F4793" t="s">
        <v>25603</v>
      </c>
      <c r="G4793" t="s">
        <v>2478</v>
      </c>
      <c r="H4793">
        <v>36</v>
      </c>
      <c r="I4793" t="s">
        <v>2479</v>
      </c>
      <c r="J4793">
        <v>0</v>
      </c>
      <c r="K4793">
        <v>15</v>
      </c>
      <c r="L4793">
        <v>15</v>
      </c>
      <c r="Q4793">
        <v>0</v>
      </c>
      <c r="R4793">
        <v>0</v>
      </c>
      <c r="S4793">
        <v>15</v>
      </c>
      <c r="Y4793" t="s">
        <v>25604</v>
      </c>
      <c r="Z4793" t="s">
        <v>7369</v>
      </c>
      <c r="AA4793" t="s">
        <v>6706</v>
      </c>
      <c r="AB4793" t="s">
        <v>25605</v>
      </c>
      <c r="AC4793" t="s">
        <v>25606</v>
      </c>
      <c r="AD4793" s="249" t="str">
        <f>HYPERLINK("https://scontent.cdninstagram.com/t51.2885-15/s320x320/e35/21435496_346729415772325_288006264758206464_n.jpg")</f>
        <v>https://scontent.cdninstagram.com/t51.2885-15/s320x320/e35/21435496_346729415772325_288006264758206464_n.jpg</v>
      </c>
      <c r="AE4793" s="249" t="str">
        <f>HYPERLINK("https://scontent.cdninstagram.com/t51.2885-19/s150x150/20904995_330851464023963_8811988275263700992_a.jpg")</f>
        <v>https://scontent.cdninstagram.com/t51.2885-19/s150x150/20904995_330851464023963_8811988275263700992_a.jpg</v>
      </c>
    </row>
    <row r="4794" spans="1:31" ht="15" x14ac:dyDescent="0.25">
      <c r="A4794" t="s">
        <v>2474</v>
      </c>
      <c r="B4794" t="s">
        <v>25607</v>
      </c>
      <c r="C4794" s="221">
        <v>42983.352962962963</v>
      </c>
      <c r="D4794" t="s">
        <v>25608</v>
      </c>
      <c r="E4794" s="249" t="str">
        <f>HYPERLINK("https://www.instagram.com/p/BYqMpGBAquN/")</f>
        <v>https://www.instagram.com/p/BYqMpGBAquN/</v>
      </c>
      <c r="F4794" t="s">
        <v>25609</v>
      </c>
      <c r="G4794" t="s">
        <v>2478</v>
      </c>
      <c r="H4794">
        <v>52</v>
      </c>
      <c r="I4794" t="s">
        <v>2479</v>
      </c>
      <c r="J4794">
        <v>0</v>
      </c>
      <c r="K4794">
        <v>9</v>
      </c>
      <c r="L4794">
        <v>9</v>
      </c>
      <c r="Q4794">
        <v>0</v>
      </c>
      <c r="R4794">
        <v>0</v>
      </c>
      <c r="S4794">
        <v>9</v>
      </c>
      <c r="Y4794" t="s">
        <v>2603</v>
      </c>
      <c r="Z4794" t="s">
        <v>3197</v>
      </c>
      <c r="AA4794" t="s">
        <v>6752</v>
      </c>
      <c r="AB4794" t="s">
        <v>7250</v>
      </c>
      <c r="AC4794" t="s">
        <v>25610</v>
      </c>
      <c r="AD4794" s="249" t="str">
        <f>HYPERLINK("https://scontent.cdninstagram.com/t51.2885-15/s320x320/e35/21372024_1648705768497128_4162675117802913792_n.jpg")</f>
        <v>https://scontent.cdninstagram.com/t51.2885-15/s320x320/e35/21372024_1648705768497128_4162675117802913792_n.jpg</v>
      </c>
      <c r="AE4794" s="249" t="str">
        <f>HYPERLINK("https://scontent.cdninstagram.com/t51.2885-19/s150x150/21296950_2348216488737477_2840550816769638400_n.jpg")</f>
        <v>https://scontent.cdninstagram.com/t51.2885-19/s150x150/21296950_2348216488737477_2840550816769638400_n.jpg</v>
      </c>
    </row>
    <row r="4795" spans="1:31" ht="15" x14ac:dyDescent="0.25">
      <c r="A4795" t="s">
        <v>2474</v>
      </c>
      <c r="B4795" t="s">
        <v>25611</v>
      </c>
      <c r="C4795" s="221">
        <v>42983.360254629632</v>
      </c>
      <c r="D4795" t="s">
        <v>25612</v>
      </c>
      <c r="E4795" s="249" t="str">
        <f>HYPERLINK("https://www.instagram.com/p/BYqN18YAW74/")</f>
        <v>https://www.instagram.com/p/BYqN18YAW74/</v>
      </c>
      <c r="F4795" t="s">
        <v>25613</v>
      </c>
      <c r="G4795" t="s">
        <v>2478</v>
      </c>
      <c r="H4795">
        <v>111</v>
      </c>
      <c r="I4795" t="s">
        <v>2599</v>
      </c>
      <c r="J4795">
        <v>0</v>
      </c>
      <c r="K4795">
        <v>18</v>
      </c>
      <c r="L4795">
        <v>18</v>
      </c>
      <c r="Q4795">
        <v>0</v>
      </c>
      <c r="R4795">
        <v>0</v>
      </c>
      <c r="S4795">
        <v>18</v>
      </c>
      <c r="Y4795" t="s">
        <v>25614</v>
      </c>
      <c r="Z4795" t="s">
        <v>2497</v>
      </c>
      <c r="AA4795" t="s">
        <v>4513</v>
      </c>
      <c r="AD4795" s="249" t="str">
        <f>HYPERLINK("https://scontent.cdninstagram.com/t51.2885-15/e35/p320x320/21435524_1452141714863306_8219751455247040512_n.jpg")</f>
        <v>https://scontent.cdninstagram.com/t51.2885-15/e35/p320x320/21435524_1452141714863306_8219751455247040512_n.jpg</v>
      </c>
      <c r="AE4795" s="249" t="str">
        <f>HYPERLINK("https://scontent.cdninstagram.com/t51.2885-19/s150x150/21042517_125356214778981_5075686926145552384_a.jpg")</f>
        <v>https://scontent.cdninstagram.com/t51.2885-19/s150x150/21042517_125356214778981_5075686926145552384_a.jpg</v>
      </c>
    </row>
    <row r="4796" spans="1:31" ht="15" x14ac:dyDescent="0.25">
      <c r="A4796" t="s">
        <v>2474</v>
      </c>
      <c r="B4796" t="s">
        <v>25615</v>
      </c>
      <c r="C4796" s="221">
        <v>42983.363391203704</v>
      </c>
      <c r="D4796" t="s">
        <v>25616</v>
      </c>
      <c r="E4796" s="249" t="str">
        <f>HYPERLINK("https://www.instagram.com/p/BYqOW-RBxyJ/")</f>
        <v>https://www.instagram.com/p/BYqOW-RBxyJ/</v>
      </c>
      <c r="F4796" t="s">
        <v>25617</v>
      </c>
      <c r="G4796" t="s">
        <v>2478</v>
      </c>
      <c r="H4796">
        <v>79</v>
      </c>
      <c r="I4796" t="s">
        <v>2479</v>
      </c>
      <c r="J4796">
        <v>0</v>
      </c>
      <c r="K4796">
        <v>6</v>
      </c>
      <c r="L4796">
        <v>6</v>
      </c>
      <c r="Q4796">
        <v>0</v>
      </c>
      <c r="R4796">
        <v>0</v>
      </c>
      <c r="S4796">
        <v>6</v>
      </c>
      <c r="Y4796" t="s">
        <v>25618</v>
      </c>
      <c r="Z4796" t="s">
        <v>2492</v>
      </c>
      <c r="AA4796" t="s">
        <v>3774</v>
      </c>
      <c r="AB4796" t="s">
        <v>25619</v>
      </c>
      <c r="AC4796" t="s">
        <v>20463</v>
      </c>
      <c r="AD4796" s="249" t="str">
        <f>HYPERLINK("https://scontent.cdninstagram.com/t51.2885-15/s320x320/e35/21371655_165772330665716_4147750995507544064_n.jpg")</f>
        <v>https://scontent.cdninstagram.com/t51.2885-15/s320x320/e35/21371655_165772330665716_4147750995507544064_n.jpg</v>
      </c>
      <c r="AE4796" s="249" t="str">
        <f>HYPERLINK("https://scontent.cdninstagram.com/t51.2885-19/s150x150/20582988_116311632356092_2036077092604477440_a.jpg")</f>
        <v>https://scontent.cdninstagram.com/t51.2885-19/s150x150/20582988_116311632356092_2036077092604477440_a.jpg</v>
      </c>
    </row>
    <row r="4797" spans="1:31" ht="15" x14ac:dyDescent="0.25">
      <c r="A4797" t="s">
        <v>2474</v>
      </c>
      <c r="B4797" t="s">
        <v>24940</v>
      </c>
      <c r="C4797" s="221">
        <v>42983.368391203701</v>
      </c>
      <c r="D4797" t="s">
        <v>25620</v>
      </c>
      <c r="E4797" s="249" t="str">
        <f>HYPERLINK("https://www.instagram.com/p/BYqPLyjgOW9/")</f>
        <v>https://www.instagram.com/p/BYqPLyjgOW9/</v>
      </c>
      <c r="F4797" t="s">
        <v>25621</v>
      </c>
      <c r="G4797" t="s">
        <v>2478</v>
      </c>
      <c r="H4797">
        <v>4</v>
      </c>
      <c r="I4797" t="s">
        <v>2542</v>
      </c>
      <c r="J4797">
        <v>0</v>
      </c>
      <c r="K4797">
        <v>3</v>
      </c>
      <c r="L4797">
        <v>3</v>
      </c>
      <c r="Q4797">
        <v>0</v>
      </c>
      <c r="R4797">
        <v>0</v>
      </c>
      <c r="S4797">
        <v>3</v>
      </c>
      <c r="T4797" t="s">
        <v>25622</v>
      </c>
      <c r="V4797" t="s">
        <v>2182</v>
      </c>
      <c r="W4797">
        <v>45.598870131298</v>
      </c>
      <c r="X4797">
        <v>12.886316443450999</v>
      </c>
      <c r="Y4797" t="s">
        <v>25623</v>
      </c>
      <c r="Z4797" t="s">
        <v>25624</v>
      </c>
      <c r="AA4797" t="s">
        <v>25625</v>
      </c>
      <c r="AB4797" t="s">
        <v>25626</v>
      </c>
      <c r="AC4797" t="s">
        <v>25627</v>
      </c>
      <c r="AD4797" s="249" t="str">
        <f>HYPERLINK("https://scontent.cdninstagram.com/t51.2885-15/s320x320/e35/21434041_1858066174510238_5320599301531893760_n.jpg")</f>
        <v>https://scontent.cdninstagram.com/t51.2885-15/s320x320/e35/21434041_1858066174510238_5320599301531893760_n.jpg</v>
      </c>
      <c r="AE4797" s="249" t="str">
        <f>HYPERLINK("https://scontent.cdninstagram.com/t51.2885-19/s150x150/21148101_1939215392959050_462196604842016768_a.jpg")</f>
        <v>https://scontent.cdninstagram.com/t51.2885-19/s150x150/21148101_1939215392959050_462196604842016768_a.jpg</v>
      </c>
    </row>
    <row r="4798" spans="1:31" ht="15" x14ac:dyDescent="0.25">
      <c r="A4798" t="s">
        <v>2474</v>
      </c>
      <c r="B4798" t="s">
        <v>25628</v>
      </c>
      <c r="C4798" s="221">
        <v>42983.368449074071</v>
      </c>
      <c r="D4798" t="s">
        <v>25629</v>
      </c>
      <c r="E4798" s="249" t="str">
        <f>HYPERLINK("https://www.instagram.com/p/BYqPMZHn4ea/")</f>
        <v>https://www.instagram.com/p/BYqPMZHn4ea/</v>
      </c>
      <c r="F4798" t="s">
        <v>25630</v>
      </c>
      <c r="G4798" t="s">
        <v>2478</v>
      </c>
      <c r="H4798">
        <v>471</v>
      </c>
      <c r="I4798" t="s">
        <v>2479</v>
      </c>
      <c r="J4798">
        <v>2</v>
      </c>
      <c r="K4798">
        <v>69</v>
      </c>
      <c r="L4798">
        <v>71</v>
      </c>
      <c r="Q4798">
        <v>0</v>
      </c>
      <c r="R4798">
        <v>0</v>
      </c>
      <c r="S4798">
        <v>71</v>
      </c>
      <c r="T4798" t="s">
        <v>25631</v>
      </c>
      <c r="V4798" t="s">
        <v>2222</v>
      </c>
      <c r="W4798">
        <v>52.368705555555998</v>
      </c>
      <c r="X4798">
        <v>4.9270611111111</v>
      </c>
      <c r="Y4798" t="s">
        <v>2497</v>
      </c>
      <c r="Z4798" t="s">
        <v>25632</v>
      </c>
      <c r="AA4798" t="s">
        <v>25633</v>
      </c>
      <c r="AB4798" t="s">
        <v>15823</v>
      </c>
      <c r="AC4798" t="s">
        <v>5890</v>
      </c>
      <c r="AD4798" s="249" t="str">
        <f>HYPERLINK("https://scontent.cdninstagram.com/t51.2885-15/s320x320/e35/21372409_860252227473684_2199962573489569792_n.jpg")</f>
        <v>https://scontent.cdninstagram.com/t51.2885-15/s320x320/e35/21372409_860252227473684_2199962573489569792_n.jpg</v>
      </c>
      <c r="AE4798" s="249" t="str">
        <f>HYPERLINK("https://scontent.cdninstagram.com/t51.2885-19/s150x150/14504696_1753350904916575_4263019735819485184_a.jpg")</f>
        <v>https://scontent.cdninstagram.com/t51.2885-19/s150x150/14504696_1753350904916575_4263019735819485184_a.jpg</v>
      </c>
    </row>
    <row r="4799" spans="1:31" ht="15" x14ac:dyDescent="0.25">
      <c r="A4799" t="s">
        <v>2474</v>
      </c>
      <c r="B4799" t="s">
        <v>25634</v>
      </c>
      <c r="C4799" s="221">
        <v>42983.373252314814</v>
      </c>
      <c r="D4799" t="s">
        <v>25635</v>
      </c>
      <c r="E4799" s="249" t="str">
        <f>HYPERLINK("https://www.instagram.com/p/BYqP_BhBFyh/")</f>
        <v>https://www.instagram.com/p/BYqP_BhBFyh/</v>
      </c>
      <c r="F4799" t="s">
        <v>25636</v>
      </c>
      <c r="G4799" t="s">
        <v>2478</v>
      </c>
      <c r="H4799">
        <v>116</v>
      </c>
      <c r="I4799" t="s">
        <v>3273</v>
      </c>
      <c r="J4799">
        <v>0</v>
      </c>
      <c r="K4799">
        <v>8</v>
      </c>
      <c r="L4799">
        <v>8</v>
      </c>
      <c r="Q4799">
        <v>0</v>
      </c>
      <c r="R4799">
        <v>0</v>
      </c>
      <c r="S4799">
        <v>8</v>
      </c>
      <c r="Y4799" t="s">
        <v>25637</v>
      </c>
      <c r="Z4799" t="s">
        <v>2497</v>
      </c>
      <c r="AA4799" t="s">
        <v>25638</v>
      </c>
      <c r="AB4799" t="s">
        <v>2906</v>
      </c>
      <c r="AC4799" t="s">
        <v>3117</v>
      </c>
      <c r="AD4799" s="249" t="str">
        <f>HYPERLINK("https://scontent.cdninstagram.com/t51.2885-15/e35/p320x320/21433644_529729664037202_6297959843206529024_n.jpg")</f>
        <v>https://scontent.cdninstagram.com/t51.2885-15/e35/p320x320/21433644_529729664037202_6297959843206529024_n.jpg</v>
      </c>
      <c r="AE4799" s="249" t="str">
        <f>HYPERLINK("https://scontent.cdninstagram.com/t51.2885-19/s150x150/20589437_1706434332985435_4707255225516294144_a.jpg")</f>
        <v>https://scontent.cdninstagram.com/t51.2885-19/s150x150/20589437_1706434332985435_4707255225516294144_a.jpg</v>
      </c>
    </row>
    <row r="4800" spans="1:31" ht="15" x14ac:dyDescent="0.25">
      <c r="A4800" t="s">
        <v>2474</v>
      </c>
      <c r="B4800" t="s">
        <v>3015</v>
      </c>
      <c r="C4800" s="221">
        <v>42983.384479166663</v>
      </c>
      <c r="D4800" t="s">
        <v>25639</v>
      </c>
      <c r="E4800" s="249" t="str">
        <f>HYPERLINK("https://www.instagram.com/p/BYqR1ciAWj6/")</f>
        <v>https://www.instagram.com/p/BYqR1ciAWj6/</v>
      </c>
      <c r="F4800" t="s">
        <v>25640</v>
      </c>
      <c r="G4800" t="s">
        <v>2478</v>
      </c>
      <c r="H4800">
        <v>256</v>
      </c>
      <c r="I4800" t="s">
        <v>2479</v>
      </c>
      <c r="J4800">
        <v>0</v>
      </c>
      <c r="K4800">
        <v>41</v>
      </c>
      <c r="L4800">
        <v>41</v>
      </c>
      <c r="Q4800">
        <v>0</v>
      </c>
      <c r="R4800">
        <v>0</v>
      </c>
      <c r="S4800">
        <v>41</v>
      </c>
      <c r="Y4800" t="s">
        <v>3019</v>
      </c>
      <c r="Z4800" t="s">
        <v>3725</v>
      </c>
      <c r="AA4800" t="s">
        <v>6259</v>
      </c>
      <c r="AB4800" t="s">
        <v>4128</v>
      </c>
      <c r="AC4800" t="s">
        <v>7275</v>
      </c>
      <c r="AD4800" s="249" t="str">
        <f>HYPERLINK("https://scontent.cdninstagram.com/t51.2885-15/e35/p320x320/21372308_123572928235617_8865569018778484736_n.jpg")</f>
        <v>https://scontent.cdninstagram.com/t51.2885-15/e35/p320x320/21372308_123572928235617_8865569018778484736_n.jpg</v>
      </c>
      <c r="AE4800" s="249" t="str">
        <f>HYPERLINK("https://scontent.cdninstagram.com/t51.2885-19/s150x150/21373025_723410537866046_6184601968204316672_a.jpg")</f>
        <v>https://scontent.cdninstagram.com/t51.2885-19/s150x150/21373025_723410537866046_6184601968204316672_a.jpg</v>
      </c>
    </row>
    <row r="4801" spans="1:31" ht="15" x14ac:dyDescent="0.25">
      <c r="A4801" t="s">
        <v>2474</v>
      </c>
      <c r="B4801" t="s">
        <v>3015</v>
      </c>
      <c r="C4801" s="221">
        <v>42983.385057870371</v>
      </c>
      <c r="D4801" t="s">
        <v>25641</v>
      </c>
      <c r="E4801" s="249" t="str">
        <f>HYPERLINK("https://www.instagram.com/p/BYqR7iaAyMA/")</f>
        <v>https://www.instagram.com/p/BYqR7iaAyMA/</v>
      </c>
      <c r="F4801" t="s">
        <v>25642</v>
      </c>
      <c r="G4801" t="s">
        <v>2478</v>
      </c>
      <c r="H4801">
        <v>256</v>
      </c>
      <c r="I4801" t="s">
        <v>2479</v>
      </c>
      <c r="J4801">
        <v>0</v>
      </c>
      <c r="K4801">
        <v>107</v>
      </c>
      <c r="L4801">
        <v>107</v>
      </c>
      <c r="Q4801">
        <v>0</v>
      </c>
      <c r="R4801">
        <v>0</v>
      </c>
      <c r="S4801">
        <v>107</v>
      </c>
      <c r="Y4801" t="s">
        <v>3019</v>
      </c>
      <c r="Z4801" t="s">
        <v>3725</v>
      </c>
      <c r="AA4801" t="s">
        <v>6259</v>
      </c>
      <c r="AB4801" t="s">
        <v>4128</v>
      </c>
      <c r="AC4801" t="s">
        <v>7275</v>
      </c>
      <c r="AD4801" s="249" t="str">
        <f>HYPERLINK("https://scontent.cdninstagram.com/t51.2885-15/s320x320/e35/21373016_274313266393273_1897271716762091520_n.jpg")</f>
        <v>https://scontent.cdninstagram.com/t51.2885-15/s320x320/e35/21373016_274313266393273_1897271716762091520_n.jpg</v>
      </c>
      <c r="AE4801" s="249" t="str">
        <f>HYPERLINK("https://scontent.cdninstagram.com/t51.2885-19/s150x150/21373025_723410537866046_6184601968204316672_a.jpg")</f>
        <v>https://scontent.cdninstagram.com/t51.2885-19/s150x150/21373025_723410537866046_6184601968204316672_a.jpg</v>
      </c>
    </row>
    <row r="4802" spans="1:31" ht="15" x14ac:dyDescent="0.25">
      <c r="A4802" t="s">
        <v>2474</v>
      </c>
      <c r="B4802" t="s">
        <v>25643</v>
      </c>
      <c r="C4802" s="221">
        <v>42983.385231481479</v>
      </c>
      <c r="D4802" t="s">
        <v>25644</v>
      </c>
      <c r="E4802" s="249" t="str">
        <f>HYPERLINK("https://www.instagram.com/p/BYqR9Xfl4Lc/")</f>
        <v>https://www.instagram.com/p/BYqR9Xfl4Lc/</v>
      </c>
      <c r="F4802" t="s">
        <v>25645</v>
      </c>
      <c r="G4802" t="s">
        <v>2478</v>
      </c>
      <c r="H4802">
        <v>155</v>
      </c>
      <c r="I4802" t="s">
        <v>2479</v>
      </c>
      <c r="J4802">
        <v>3</v>
      </c>
      <c r="K4802">
        <v>45</v>
      </c>
      <c r="L4802">
        <v>48</v>
      </c>
      <c r="Q4802">
        <v>0</v>
      </c>
      <c r="R4802">
        <v>0</v>
      </c>
      <c r="S4802">
        <v>48</v>
      </c>
      <c r="Y4802" t="s">
        <v>25646</v>
      </c>
      <c r="Z4802" t="s">
        <v>2769</v>
      </c>
      <c r="AA4802" t="s">
        <v>3006</v>
      </c>
      <c r="AB4802" t="s">
        <v>25647</v>
      </c>
      <c r="AC4802" t="s">
        <v>2493</v>
      </c>
      <c r="AD4802" s="249" t="str">
        <f>HYPERLINK("https://scontent.cdninstagram.com/t51.2885-15/s320x320/e35/21371786_115951292476392_3476988322050473984_n.jpg")</f>
        <v>https://scontent.cdninstagram.com/t51.2885-15/s320x320/e35/21371786_115951292476392_3476988322050473984_n.jpg</v>
      </c>
      <c r="AE4802" s="249" t="str">
        <f>HYPERLINK("https://scontent.cdninstagram.com/t51.2885-19/s150x150/21294830_1692641584093094_5594304102583500800_a.jpg")</f>
        <v>https://scontent.cdninstagram.com/t51.2885-19/s150x150/21294830_1692641584093094_5594304102583500800_a.jpg</v>
      </c>
    </row>
    <row r="4803" spans="1:31" ht="15" x14ac:dyDescent="0.25">
      <c r="A4803" t="s">
        <v>2474</v>
      </c>
      <c r="B4803" t="s">
        <v>25648</v>
      </c>
      <c r="C4803" s="221">
        <v>42983.386412037034</v>
      </c>
      <c r="D4803" t="s">
        <v>25649</v>
      </c>
      <c r="E4803" s="249" t="str">
        <f>HYPERLINK("https://www.instagram.com/p/BYqSJyugOe4/")</f>
        <v>https://www.instagram.com/p/BYqSJyugOe4/</v>
      </c>
      <c r="F4803" t="s">
        <v>25650</v>
      </c>
      <c r="G4803" t="s">
        <v>2478</v>
      </c>
      <c r="H4803">
        <v>660</v>
      </c>
      <c r="I4803" t="s">
        <v>2910</v>
      </c>
      <c r="J4803">
        <v>12</v>
      </c>
      <c r="K4803">
        <v>83</v>
      </c>
      <c r="L4803">
        <v>95</v>
      </c>
      <c r="Q4803">
        <v>0</v>
      </c>
      <c r="R4803">
        <v>0</v>
      </c>
      <c r="S4803">
        <v>95</v>
      </c>
      <c r="Y4803" t="s">
        <v>9391</v>
      </c>
      <c r="Z4803" t="s">
        <v>4826</v>
      </c>
      <c r="AA4803" t="s">
        <v>24577</v>
      </c>
      <c r="AB4803" t="s">
        <v>25651</v>
      </c>
      <c r="AC4803" t="s">
        <v>25652</v>
      </c>
      <c r="AD4803" s="249" t="str">
        <f>HYPERLINK("https://scontent.cdninstagram.com/t51.2885-15/s320x320/e35/21372272_948744008597791_876469350414942208_n.jpg")</f>
        <v>https://scontent.cdninstagram.com/t51.2885-15/s320x320/e35/21372272_948744008597791_876469350414942208_n.jpg</v>
      </c>
      <c r="AE4803" s="249" t="str">
        <f>HYPERLINK("https://scontent.cdninstagram.com/t51.2885-19/s150x150/17663537_199651913869088_6055993055176032256_a.jpg")</f>
        <v>https://scontent.cdninstagram.com/t51.2885-19/s150x150/17663537_199651913869088_6055993055176032256_a.jpg</v>
      </c>
    </row>
    <row r="4804" spans="1:31" ht="15" x14ac:dyDescent="0.25">
      <c r="A4804" t="s">
        <v>2474</v>
      </c>
      <c r="B4804" t="s">
        <v>25653</v>
      </c>
      <c r="C4804" s="221">
        <v>42983.390497685185</v>
      </c>
      <c r="D4804" t="s">
        <v>25654</v>
      </c>
      <c r="E4804" s="249" t="str">
        <f>HYPERLINK("https://www.instagram.com/p/BYqS05UhrE5/")</f>
        <v>https://www.instagram.com/p/BYqS05UhrE5/</v>
      </c>
      <c r="F4804" t="s">
        <v>25655</v>
      </c>
      <c r="G4804" t="s">
        <v>2478</v>
      </c>
      <c r="H4804">
        <v>591</v>
      </c>
      <c r="I4804" t="s">
        <v>2542</v>
      </c>
      <c r="J4804">
        <v>4</v>
      </c>
      <c r="K4804">
        <v>153</v>
      </c>
      <c r="L4804">
        <v>157</v>
      </c>
      <c r="Q4804">
        <v>0</v>
      </c>
      <c r="R4804">
        <v>0</v>
      </c>
      <c r="S4804">
        <v>157</v>
      </c>
      <c r="T4804" t="s">
        <v>15929</v>
      </c>
      <c r="V4804" t="s">
        <v>2648</v>
      </c>
      <c r="W4804">
        <v>55.752200000000002</v>
      </c>
      <c r="X4804">
        <v>37.615600000000001</v>
      </c>
      <c r="Y4804" t="s">
        <v>8565</v>
      </c>
      <c r="Z4804" t="s">
        <v>25656</v>
      </c>
      <c r="AA4804" t="s">
        <v>18064</v>
      </c>
      <c r="AB4804" t="s">
        <v>2497</v>
      </c>
      <c r="AD4804" s="249" t="str">
        <f>HYPERLINK("https://scontent.cdninstagram.com/t51.2885-15/e35/p320x320/21372273_230570900805106_8158045269263384576_n.jpg")</f>
        <v>https://scontent.cdninstagram.com/t51.2885-15/e35/p320x320/21372273_230570900805106_8158045269263384576_n.jpg</v>
      </c>
      <c r="AE4804" s="249" t="str">
        <f>HYPERLINK("https://scontent.cdninstagram.com/t51.2885-19/s150x150/14033642_1665502957110663_1190927744_a.jpg")</f>
        <v>https://scontent.cdninstagram.com/t51.2885-19/s150x150/14033642_1665502957110663_1190927744_a.jpg</v>
      </c>
    </row>
    <row r="4805" spans="1:31" ht="15" x14ac:dyDescent="0.25">
      <c r="A4805" t="s">
        <v>2474</v>
      </c>
      <c r="B4805" t="s">
        <v>25657</v>
      </c>
      <c r="C4805" s="221">
        <v>42983.394837962966</v>
      </c>
      <c r="D4805" t="s">
        <v>25658</v>
      </c>
      <c r="E4805" s="249" t="str">
        <f>HYPERLINK("https://www.instagram.com/p/BYqTitoFus9/")</f>
        <v>https://www.instagram.com/p/BYqTitoFus9/</v>
      </c>
      <c r="F4805" t="s">
        <v>25659</v>
      </c>
      <c r="G4805" t="s">
        <v>2478</v>
      </c>
      <c r="H4805">
        <v>443</v>
      </c>
      <c r="I4805" t="s">
        <v>2599</v>
      </c>
      <c r="J4805">
        <v>0</v>
      </c>
      <c r="K4805">
        <v>25</v>
      </c>
      <c r="L4805">
        <v>25</v>
      </c>
      <c r="Q4805">
        <v>0</v>
      </c>
      <c r="R4805">
        <v>0</v>
      </c>
      <c r="S4805">
        <v>25</v>
      </c>
      <c r="Y4805" t="s">
        <v>14517</v>
      </c>
      <c r="Z4805" t="s">
        <v>13540</v>
      </c>
      <c r="AA4805" t="s">
        <v>8753</v>
      </c>
      <c r="AB4805" t="s">
        <v>2562</v>
      </c>
      <c r="AC4805" t="s">
        <v>2497</v>
      </c>
      <c r="AD4805" s="249" t="str">
        <f>HYPERLINK("https://scontent.cdninstagram.com/t51.2885-15/e35/p320x320/21372944_173570169882527_469343894279028736_n.jpg")</f>
        <v>https://scontent.cdninstagram.com/t51.2885-15/e35/p320x320/21372944_173570169882527_469343894279028736_n.jpg</v>
      </c>
      <c r="AE4805" s="249" t="str">
        <f>HYPERLINK("https://scontent.cdninstagram.com/t51.2885-19/s150x150/16906356_1793910377599577_6985263028425981952_a.jpg")</f>
        <v>https://scontent.cdninstagram.com/t51.2885-19/s150x150/16906356_1793910377599577_6985263028425981952_a.jpg</v>
      </c>
    </row>
    <row r="4806" spans="1:31" ht="15" x14ac:dyDescent="0.25">
      <c r="A4806" t="s">
        <v>2474</v>
      </c>
      <c r="B4806" t="s">
        <v>4535</v>
      </c>
      <c r="C4806" s="221">
        <v>42983.397129629629</v>
      </c>
      <c r="D4806" t="s">
        <v>25660</v>
      </c>
      <c r="E4806" s="249" t="str">
        <f>HYPERLINK("https://www.instagram.com/p/BYqT63_lASd/")</f>
        <v>https://www.instagram.com/p/BYqT63_lASd/</v>
      </c>
      <c r="F4806" t="s">
        <v>25661</v>
      </c>
      <c r="G4806" t="s">
        <v>2488</v>
      </c>
      <c r="H4806">
        <v>190</v>
      </c>
      <c r="I4806" t="s">
        <v>2479</v>
      </c>
      <c r="J4806">
        <v>0</v>
      </c>
      <c r="K4806">
        <v>1</v>
      </c>
      <c r="L4806">
        <v>1</v>
      </c>
      <c r="Q4806">
        <v>0</v>
      </c>
      <c r="R4806">
        <v>0</v>
      </c>
      <c r="S4806">
        <v>1</v>
      </c>
      <c r="Y4806" t="s">
        <v>12421</v>
      </c>
      <c r="Z4806" t="s">
        <v>4542</v>
      </c>
      <c r="AA4806" t="s">
        <v>5604</v>
      </c>
      <c r="AB4806" t="s">
        <v>10684</v>
      </c>
      <c r="AC4806" t="s">
        <v>8844</v>
      </c>
      <c r="AD4806" s="249" t="str">
        <f>HYPERLINK("https://scontent.cdninstagram.com/t51.2885-15/s320x320/e35/21372246_1958363264431576_2634924906671767552_n.jpg")</f>
        <v>https://scontent.cdninstagram.com/t51.2885-15/s320x320/e35/21372246_1958363264431576_2634924906671767552_n.jpg</v>
      </c>
      <c r="AE4806" s="249" t="str">
        <f>HYPERLINK("https://scontent.cdninstagram.com/t51.2885-19/s150x150/20399028_1624608414236560_533007696291430400_a.jpg")</f>
        <v>https://scontent.cdninstagram.com/t51.2885-19/s150x150/20399028_1624608414236560_533007696291430400_a.jpg</v>
      </c>
    </row>
    <row r="4807" spans="1:31" ht="15" x14ac:dyDescent="0.25">
      <c r="A4807" t="s">
        <v>2474</v>
      </c>
      <c r="B4807" t="s">
        <v>4535</v>
      </c>
      <c r="C4807" s="221">
        <v>42983.398587962962</v>
      </c>
      <c r="D4807" t="s">
        <v>25662</v>
      </c>
      <c r="E4807" s="249" t="str">
        <f>HYPERLINK("https://www.instagram.com/p/BYqUKSKlhbP/")</f>
        <v>https://www.instagram.com/p/BYqUKSKlhbP/</v>
      </c>
      <c r="F4807" t="s">
        <v>25663</v>
      </c>
      <c r="G4807" t="s">
        <v>2478</v>
      </c>
      <c r="H4807">
        <v>190</v>
      </c>
      <c r="I4807" t="s">
        <v>2479</v>
      </c>
      <c r="J4807">
        <v>0</v>
      </c>
      <c r="K4807">
        <v>4</v>
      </c>
      <c r="L4807">
        <v>4</v>
      </c>
      <c r="Q4807">
        <v>0</v>
      </c>
      <c r="R4807">
        <v>0</v>
      </c>
      <c r="S4807">
        <v>4</v>
      </c>
      <c r="Y4807" t="s">
        <v>12421</v>
      </c>
      <c r="Z4807" t="s">
        <v>4542</v>
      </c>
      <c r="AA4807" t="s">
        <v>5604</v>
      </c>
      <c r="AB4807" t="s">
        <v>10684</v>
      </c>
      <c r="AC4807" t="s">
        <v>8844</v>
      </c>
      <c r="AD4807" s="249" t="str">
        <f>HYPERLINK("https://scontent.cdninstagram.com/t51.2885-15/s320x320/e35/21373171_114599732556214_8501300502963683328_n.jpg")</f>
        <v>https://scontent.cdninstagram.com/t51.2885-15/s320x320/e35/21373171_114599732556214_8501300502963683328_n.jpg</v>
      </c>
      <c r="AE4807" s="249" t="str">
        <f>HYPERLINK("https://scontent.cdninstagram.com/t51.2885-19/s150x150/20399028_1624608414236560_533007696291430400_a.jpg")</f>
        <v>https://scontent.cdninstagram.com/t51.2885-19/s150x150/20399028_1624608414236560_533007696291430400_a.jpg</v>
      </c>
    </row>
    <row r="4808" spans="1:31" ht="15" x14ac:dyDescent="0.25">
      <c r="A4808" t="s">
        <v>2474</v>
      </c>
      <c r="B4808" t="s">
        <v>25664</v>
      </c>
      <c r="C4808" s="221">
        <v>42983.40047453704</v>
      </c>
      <c r="D4808" t="s">
        <v>25665</v>
      </c>
      <c r="E4808" s="249" t="str">
        <f>HYPERLINK("https://www.instagram.com/p/BYqUeGfgbIn/")</f>
        <v>https://www.instagram.com/p/BYqUeGfgbIn/</v>
      </c>
      <c r="F4808" t="s">
        <v>25666</v>
      </c>
      <c r="G4808" t="s">
        <v>2478</v>
      </c>
      <c r="H4808">
        <v>8</v>
      </c>
      <c r="I4808" t="s">
        <v>2479</v>
      </c>
      <c r="J4808">
        <v>0</v>
      </c>
      <c r="K4808">
        <v>11</v>
      </c>
      <c r="L4808">
        <v>11</v>
      </c>
      <c r="Q4808">
        <v>0</v>
      </c>
      <c r="R4808">
        <v>0</v>
      </c>
      <c r="S4808">
        <v>11</v>
      </c>
      <c r="Y4808" t="s">
        <v>25667</v>
      </c>
      <c r="Z4808" t="s">
        <v>25668</v>
      </c>
      <c r="AA4808" t="s">
        <v>19518</v>
      </c>
      <c r="AB4808" t="s">
        <v>6429</v>
      </c>
      <c r="AC4808" t="s">
        <v>6165</v>
      </c>
      <c r="AD4808" s="249" t="str">
        <f>HYPERLINK("https://scontent.cdninstagram.com/t51.2885-15/s320x320/e35/21372976_115871455740250_4474985550222196736_n.jpg")</f>
        <v>https://scontent.cdninstagram.com/t51.2885-15/s320x320/e35/21372976_115871455740250_4474985550222196736_n.jpg</v>
      </c>
      <c r="AE4808" s="249" t="str">
        <f>HYPERLINK("https://scontent.cdninstagram.com/t51.2885-19/s150x150/20837474_338850883235358_4636169754376142848_a.jpg")</f>
        <v>https://scontent.cdninstagram.com/t51.2885-19/s150x150/20837474_338850883235358_4636169754376142848_a.jpg</v>
      </c>
    </row>
    <row r="4809" spans="1:31" ht="15" x14ac:dyDescent="0.25">
      <c r="A4809" t="s">
        <v>2474</v>
      </c>
      <c r="B4809" t="s">
        <v>4535</v>
      </c>
      <c r="C4809" s="221">
        <v>42983.406400462962</v>
      </c>
      <c r="D4809" t="s">
        <v>25669</v>
      </c>
      <c r="E4809" s="249" t="str">
        <f>HYPERLINK("https://www.instagram.com/p/BYqVcoOlLkf/")</f>
        <v>https://www.instagram.com/p/BYqVcoOlLkf/</v>
      </c>
      <c r="F4809" t="s">
        <v>25670</v>
      </c>
      <c r="G4809" t="s">
        <v>2478</v>
      </c>
      <c r="H4809">
        <v>190</v>
      </c>
      <c r="I4809" t="s">
        <v>2479</v>
      </c>
      <c r="J4809">
        <v>0</v>
      </c>
      <c r="K4809">
        <v>8</v>
      </c>
      <c r="L4809">
        <v>8</v>
      </c>
      <c r="Q4809">
        <v>0</v>
      </c>
      <c r="R4809">
        <v>0</v>
      </c>
      <c r="S4809">
        <v>8</v>
      </c>
      <c r="Y4809" t="s">
        <v>5608</v>
      </c>
      <c r="Z4809" t="s">
        <v>2497</v>
      </c>
      <c r="AA4809" t="s">
        <v>4538</v>
      </c>
      <c r="AB4809" t="s">
        <v>8844</v>
      </c>
      <c r="AC4809" t="s">
        <v>10684</v>
      </c>
      <c r="AD4809" s="249" t="str">
        <f>HYPERLINK("https://scontent.cdninstagram.com/t51.2885-15/e35/p320x320/21372060_291110728031879_5581466024428961792_n.jpg")</f>
        <v>https://scontent.cdninstagram.com/t51.2885-15/e35/p320x320/21372060_291110728031879_5581466024428961792_n.jpg</v>
      </c>
      <c r="AE4809" s="249" t="str">
        <f>HYPERLINK("https://scontent.cdninstagram.com/t51.2885-19/s150x150/20399028_1624608414236560_533007696291430400_a.jpg")</f>
        <v>https://scontent.cdninstagram.com/t51.2885-19/s150x150/20399028_1624608414236560_533007696291430400_a.jpg</v>
      </c>
    </row>
    <row r="4810" spans="1:31" ht="15" x14ac:dyDescent="0.25">
      <c r="A4810" t="s">
        <v>2474</v>
      </c>
      <c r="B4810" t="s">
        <v>25671</v>
      </c>
      <c r="C4810" s="221">
        <v>42983.407118055555</v>
      </c>
      <c r="D4810" t="s">
        <v>25672</v>
      </c>
      <c r="E4810" s="249" t="str">
        <f>HYPERLINK("https://www.instagram.com/p/BYqVkLDjl1x/")</f>
        <v>https://www.instagram.com/p/BYqVkLDjl1x/</v>
      </c>
      <c r="F4810" t="s">
        <v>25673</v>
      </c>
      <c r="G4810" t="s">
        <v>2478</v>
      </c>
      <c r="H4810">
        <v>2346</v>
      </c>
      <c r="I4810" t="s">
        <v>2479</v>
      </c>
      <c r="J4810">
        <v>8</v>
      </c>
      <c r="K4810">
        <v>127</v>
      </c>
      <c r="L4810">
        <v>135</v>
      </c>
      <c r="Q4810">
        <v>0</v>
      </c>
      <c r="R4810">
        <v>0</v>
      </c>
      <c r="S4810">
        <v>135</v>
      </c>
      <c r="Y4810" t="s">
        <v>25674</v>
      </c>
      <c r="Z4810" t="s">
        <v>20952</v>
      </c>
      <c r="AA4810" t="s">
        <v>25675</v>
      </c>
      <c r="AB4810" t="s">
        <v>3246</v>
      </c>
      <c r="AC4810" t="s">
        <v>2497</v>
      </c>
      <c r="AD4810" s="249" t="str">
        <f>HYPERLINK("https://scontent.cdninstagram.com/t51.2885-15/s320x320/e35/21371782_871303416352653_6670182982050906112_n.jpg")</f>
        <v>https://scontent.cdninstagram.com/t51.2885-15/s320x320/e35/21371782_871303416352653_6670182982050906112_n.jpg</v>
      </c>
      <c r="AE4810" s="249" t="str">
        <f>HYPERLINK("https://scontent.cdninstagram.com/t51.2885-19/s150x150/18298617_272729236521916_5650091759208759296_a.jpg")</f>
        <v>https://scontent.cdninstagram.com/t51.2885-19/s150x150/18298617_272729236521916_5650091759208759296_a.jpg</v>
      </c>
    </row>
    <row r="4811" spans="1:31" ht="15" x14ac:dyDescent="0.25">
      <c r="A4811" t="s">
        <v>2474</v>
      </c>
      <c r="B4811" t="s">
        <v>25676</v>
      </c>
      <c r="C4811" s="221">
        <v>42983.407789351855</v>
      </c>
      <c r="D4811" t="s">
        <v>25677</v>
      </c>
      <c r="E4811" s="249" t="str">
        <f>HYPERLINK("https://www.instagram.com/p/BYqVrVdApzP/")</f>
        <v>https://www.instagram.com/p/BYqVrVdApzP/</v>
      </c>
      <c r="F4811" t="s">
        <v>25678</v>
      </c>
      <c r="G4811" t="s">
        <v>2478</v>
      </c>
      <c r="H4811">
        <v>211</v>
      </c>
      <c r="I4811" t="s">
        <v>2479</v>
      </c>
      <c r="J4811">
        <v>2</v>
      </c>
      <c r="K4811">
        <v>52</v>
      </c>
      <c r="L4811">
        <v>54</v>
      </c>
      <c r="Q4811">
        <v>0</v>
      </c>
      <c r="R4811">
        <v>0</v>
      </c>
      <c r="S4811">
        <v>54</v>
      </c>
      <c r="T4811" t="s">
        <v>25679</v>
      </c>
      <c r="V4811" t="s">
        <v>2204</v>
      </c>
      <c r="W4811">
        <v>3.1586327222500001</v>
      </c>
      <c r="X4811">
        <v>101.72704630699999</v>
      </c>
      <c r="Y4811" t="s">
        <v>25680</v>
      </c>
      <c r="Z4811" t="s">
        <v>13489</v>
      </c>
      <c r="AA4811" t="s">
        <v>25681</v>
      </c>
      <c r="AB4811" t="s">
        <v>25682</v>
      </c>
      <c r="AC4811" t="s">
        <v>25683</v>
      </c>
      <c r="AD4811" s="249" t="str">
        <f>HYPERLINK("https://scontent.cdninstagram.com/t51.2885-15/s320x320/e35/21433816_1944319115810740_3064419853860339712_n.jpg")</f>
        <v>https://scontent.cdninstagram.com/t51.2885-15/s320x320/e35/21433816_1944319115810740_3064419853860339712_n.jpg</v>
      </c>
      <c r="AE4811" s="249" t="str">
        <f>HYPERLINK("https://scontent.cdninstagram.com/t51.2885-19/s150x150/21568459_1433355563449010_8785113857438777344_n.jpg")</f>
        <v>https://scontent.cdninstagram.com/t51.2885-19/s150x150/21568459_1433355563449010_8785113857438777344_n.jpg</v>
      </c>
    </row>
    <row r="4812" spans="1:31" ht="15" x14ac:dyDescent="0.25">
      <c r="A4812" t="s">
        <v>2474</v>
      </c>
      <c r="B4812" t="s">
        <v>25684</v>
      </c>
      <c r="C4812" s="221">
        <v>42983.408356481479</v>
      </c>
      <c r="D4812" t="s">
        <v>25685</v>
      </c>
      <c r="E4812" s="249" t="str">
        <f>HYPERLINK("https://www.instagram.com/p/BYqVxR0Hexx/")</f>
        <v>https://www.instagram.com/p/BYqVxR0Hexx/</v>
      </c>
      <c r="F4812" t="s">
        <v>25686</v>
      </c>
      <c r="G4812" t="s">
        <v>2478</v>
      </c>
      <c r="H4812">
        <v>207</v>
      </c>
      <c r="I4812" t="s">
        <v>2479</v>
      </c>
      <c r="J4812">
        <v>3</v>
      </c>
      <c r="K4812">
        <v>37</v>
      </c>
      <c r="L4812">
        <v>40</v>
      </c>
      <c r="Q4812">
        <v>0</v>
      </c>
      <c r="R4812">
        <v>0</v>
      </c>
      <c r="S4812">
        <v>40</v>
      </c>
      <c r="Y4812" t="s">
        <v>9313</v>
      </c>
      <c r="Z4812" t="s">
        <v>25687</v>
      </c>
      <c r="AA4812" t="s">
        <v>2616</v>
      </c>
      <c r="AB4812" t="s">
        <v>23866</v>
      </c>
      <c r="AC4812" t="s">
        <v>25688</v>
      </c>
      <c r="AD4812" s="249" t="str">
        <f>HYPERLINK("https://scontent.cdninstagram.com/t51.2885-15/s320x320/e35/21372261_1549453178446175_4625473142620422144_n.jpg")</f>
        <v>https://scontent.cdninstagram.com/t51.2885-15/s320x320/e35/21372261_1549453178446175_4625473142620422144_n.jpg</v>
      </c>
      <c r="AE4812" s="249" t="str">
        <f>HYPERLINK("https://scontent.cdninstagram.com/t51.2885-19/s150x150/21688887_515862108764099_6971537021617569792_a.jpg")</f>
        <v>https://scontent.cdninstagram.com/t51.2885-19/s150x150/21688887_515862108764099_6971537021617569792_a.jpg</v>
      </c>
    </row>
    <row r="4813" spans="1:31" ht="15" x14ac:dyDescent="0.25">
      <c r="A4813" t="s">
        <v>2474</v>
      </c>
      <c r="B4813" t="s">
        <v>4535</v>
      </c>
      <c r="C4813" s="221">
        <v>42983.408564814818</v>
      </c>
      <c r="D4813" t="s">
        <v>25689</v>
      </c>
      <c r="E4813" s="249" t="str">
        <f>HYPERLINK("https://www.instagram.com/p/BYqVzcRlpxb/")</f>
        <v>https://www.instagram.com/p/BYqVzcRlpxb/</v>
      </c>
      <c r="F4813" t="s">
        <v>25690</v>
      </c>
      <c r="G4813" t="s">
        <v>2478</v>
      </c>
      <c r="H4813">
        <v>190</v>
      </c>
      <c r="I4813" t="s">
        <v>2479</v>
      </c>
      <c r="J4813">
        <v>1</v>
      </c>
      <c r="K4813">
        <v>27</v>
      </c>
      <c r="L4813">
        <v>28</v>
      </c>
      <c r="Q4813">
        <v>0</v>
      </c>
      <c r="R4813">
        <v>0</v>
      </c>
      <c r="S4813">
        <v>28</v>
      </c>
      <c r="Y4813" t="s">
        <v>3174</v>
      </c>
      <c r="Z4813" t="s">
        <v>10673</v>
      </c>
      <c r="AA4813" t="s">
        <v>5605</v>
      </c>
      <c r="AB4813" t="s">
        <v>4539</v>
      </c>
      <c r="AC4813" t="s">
        <v>12353</v>
      </c>
      <c r="AD4813" s="249" t="str">
        <f>HYPERLINK("https://scontent.cdninstagram.com/t51.2885-15/e35/p320x320/21436144_1804948653150162_1990468637319757824_n.jpg")</f>
        <v>https://scontent.cdninstagram.com/t51.2885-15/e35/p320x320/21436144_1804948653150162_1990468637319757824_n.jpg</v>
      </c>
      <c r="AE4813" s="249" t="str">
        <f>HYPERLINK("https://scontent.cdninstagram.com/t51.2885-19/s150x150/20399028_1624608414236560_533007696291430400_a.jpg")</f>
        <v>https://scontent.cdninstagram.com/t51.2885-19/s150x150/20399028_1624608414236560_533007696291430400_a.jpg</v>
      </c>
    </row>
    <row r="4814" spans="1:31" ht="15" x14ac:dyDescent="0.25">
      <c r="A4814" t="s">
        <v>2474</v>
      </c>
      <c r="B4814" t="s">
        <v>3754</v>
      </c>
      <c r="C4814" s="221">
        <v>42983.409444444442</v>
      </c>
      <c r="D4814" t="s">
        <v>25691</v>
      </c>
      <c r="E4814" s="249" t="str">
        <f>HYPERLINK("https://www.instagram.com/p/BYqV8s3Dt50/")</f>
        <v>https://www.instagram.com/p/BYqV8s3Dt50/</v>
      </c>
      <c r="F4814" t="s">
        <v>25692</v>
      </c>
      <c r="G4814" t="s">
        <v>2478</v>
      </c>
      <c r="H4814">
        <v>201020</v>
      </c>
      <c r="I4814" t="s">
        <v>2479</v>
      </c>
      <c r="J4814">
        <v>1</v>
      </c>
      <c r="K4814">
        <v>151</v>
      </c>
      <c r="L4814">
        <v>152</v>
      </c>
      <c r="Q4814">
        <v>0</v>
      </c>
      <c r="R4814">
        <v>0</v>
      </c>
      <c r="S4814">
        <v>152</v>
      </c>
      <c r="Y4814" t="s">
        <v>6242</v>
      </c>
      <c r="Z4814" t="s">
        <v>5196</v>
      </c>
      <c r="AA4814" t="s">
        <v>4561</v>
      </c>
      <c r="AB4814" t="s">
        <v>4233</v>
      </c>
      <c r="AC4814" t="s">
        <v>3759</v>
      </c>
      <c r="AD4814" s="249" t="str">
        <f>HYPERLINK("https://scontent.cdninstagram.com/t51.2885-15/s320x320/e35/21434057_137799223499700_5234504641974108160_n.jpg")</f>
        <v>https://scontent.cdninstagram.com/t51.2885-15/s320x320/e35/21434057_137799223499700_5234504641974108160_n.jpg</v>
      </c>
      <c r="AE4814" s="249" t="str">
        <f>HYPERLINK("https://scontent.cdninstagram.com/t51.2885-19/s150x150/12905002_1681254462136092_1137392787_a.jpg")</f>
        <v>https://scontent.cdninstagram.com/t51.2885-19/s150x150/12905002_1681254462136092_1137392787_a.jpg</v>
      </c>
    </row>
    <row r="4815" spans="1:31" ht="15" x14ac:dyDescent="0.25">
      <c r="A4815" t="s">
        <v>2474</v>
      </c>
      <c r="B4815" t="s">
        <v>4535</v>
      </c>
      <c r="C4815" s="221">
        <v>42983.414178240739</v>
      </c>
      <c r="D4815" t="s">
        <v>25693</v>
      </c>
      <c r="E4815" s="249" t="str">
        <f>HYPERLINK("https://www.instagram.com/p/BYqWuuWF9yg/")</f>
        <v>https://www.instagram.com/p/BYqWuuWF9yg/</v>
      </c>
      <c r="F4815" t="s">
        <v>25694</v>
      </c>
      <c r="G4815" t="s">
        <v>2478</v>
      </c>
      <c r="H4815">
        <v>190</v>
      </c>
      <c r="I4815" t="s">
        <v>2479</v>
      </c>
      <c r="J4815">
        <v>0</v>
      </c>
      <c r="K4815">
        <v>6</v>
      </c>
      <c r="L4815">
        <v>6</v>
      </c>
      <c r="Q4815">
        <v>0</v>
      </c>
      <c r="R4815">
        <v>0</v>
      </c>
      <c r="S4815">
        <v>6</v>
      </c>
      <c r="Y4815" t="s">
        <v>5608</v>
      </c>
      <c r="Z4815" t="s">
        <v>2497</v>
      </c>
      <c r="AA4815" t="s">
        <v>4538</v>
      </c>
      <c r="AB4815" t="s">
        <v>8844</v>
      </c>
      <c r="AC4815" t="s">
        <v>10684</v>
      </c>
      <c r="AD4815" s="249" t="str">
        <f>HYPERLINK("https://scontent.cdninstagram.com/t51.2885-15/s320x320/e35/21436160_1345860852178896_4224354786658484224_n.jpg")</f>
        <v>https://scontent.cdninstagram.com/t51.2885-15/s320x320/e35/21436160_1345860852178896_4224354786658484224_n.jpg</v>
      </c>
      <c r="AE4815" s="249" t="str">
        <f>HYPERLINK("https://scontent.cdninstagram.com/t51.2885-19/s150x150/20399028_1624608414236560_533007696291430400_a.jpg")</f>
        <v>https://scontent.cdninstagram.com/t51.2885-19/s150x150/20399028_1624608414236560_533007696291430400_a.jpg</v>
      </c>
    </row>
    <row r="4816" spans="1:31" ht="15" x14ac:dyDescent="0.25">
      <c r="A4816" t="s">
        <v>2474</v>
      </c>
      <c r="B4816" t="s">
        <v>4535</v>
      </c>
      <c r="C4816" s="221">
        <v>42983.414629629631</v>
      </c>
      <c r="D4816" t="s">
        <v>25695</v>
      </c>
      <c r="E4816" s="249" t="str">
        <f>HYPERLINK("https://www.instagram.com/p/BYqWzePF88J/")</f>
        <v>https://www.instagram.com/p/BYqWzePF88J/</v>
      </c>
      <c r="F4816" t="s">
        <v>25696</v>
      </c>
      <c r="G4816" t="s">
        <v>2478</v>
      </c>
      <c r="H4816">
        <v>190</v>
      </c>
      <c r="I4816" t="s">
        <v>2479</v>
      </c>
      <c r="J4816">
        <v>0</v>
      </c>
      <c r="K4816">
        <v>4</v>
      </c>
      <c r="L4816">
        <v>4</v>
      </c>
      <c r="Q4816">
        <v>0</v>
      </c>
      <c r="R4816">
        <v>0</v>
      </c>
      <c r="S4816">
        <v>4</v>
      </c>
      <c r="Y4816" t="s">
        <v>5608</v>
      </c>
      <c r="Z4816" t="s">
        <v>2497</v>
      </c>
      <c r="AA4816" t="s">
        <v>4538</v>
      </c>
      <c r="AB4816" t="s">
        <v>8844</v>
      </c>
      <c r="AC4816" t="s">
        <v>10684</v>
      </c>
      <c r="AD4816" s="249" t="str">
        <f>HYPERLINK("https://scontent.cdninstagram.com/t51.2885-15/e35/p320x320/21434199_190915974782731_9003394441997713408_n.jpg")</f>
        <v>https://scontent.cdninstagram.com/t51.2885-15/e35/p320x320/21434199_190915974782731_9003394441997713408_n.jpg</v>
      </c>
      <c r="AE4816" s="249" t="str">
        <f>HYPERLINK("https://scontent.cdninstagram.com/t51.2885-19/s150x150/20399028_1624608414236560_533007696291430400_a.jpg")</f>
        <v>https://scontent.cdninstagram.com/t51.2885-19/s150x150/20399028_1624608414236560_533007696291430400_a.jpg</v>
      </c>
    </row>
    <row r="4817" spans="1:31" ht="15" x14ac:dyDescent="0.25">
      <c r="A4817" t="s">
        <v>2474</v>
      </c>
      <c r="B4817" t="s">
        <v>19064</v>
      </c>
      <c r="C4817" s="221">
        <v>42983.418634259258</v>
      </c>
      <c r="D4817" t="s">
        <v>25697</v>
      </c>
      <c r="E4817" s="249" t="str">
        <f>HYPERLINK("https://www.instagram.com/p/BYqXdq7nZok/")</f>
        <v>https://www.instagram.com/p/BYqXdq7nZok/</v>
      </c>
      <c r="F4817" t="s">
        <v>25698</v>
      </c>
      <c r="G4817" t="s">
        <v>2478</v>
      </c>
      <c r="H4817">
        <v>188</v>
      </c>
      <c r="I4817" t="s">
        <v>2479</v>
      </c>
      <c r="J4817">
        <v>3</v>
      </c>
      <c r="K4817">
        <v>45</v>
      </c>
      <c r="L4817">
        <v>48</v>
      </c>
      <c r="Q4817">
        <v>0</v>
      </c>
      <c r="R4817">
        <v>0</v>
      </c>
      <c r="S4817">
        <v>48</v>
      </c>
      <c r="T4817" t="s">
        <v>5994</v>
      </c>
      <c r="V4817" t="s">
        <v>2264</v>
      </c>
      <c r="W4817">
        <v>41.383299999999998</v>
      </c>
      <c r="X4817">
        <v>2.1833300000000002</v>
      </c>
      <c r="Y4817" t="s">
        <v>18445</v>
      </c>
      <c r="Z4817" t="s">
        <v>12413</v>
      </c>
      <c r="AA4817" t="s">
        <v>6706</v>
      </c>
      <c r="AB4817" t="s">
        <v>25699</v>
      </c>
      <c r="AC4817" t="s">
        <v>25700</v>
      </c>
      <c r="AD4817" s="249" t="str">
        <f>HYPERLINK("https://scontent.cdninstagram.com/t51.2885-15/s320x320/e35/21434276_170372430187950_594798244022714368_n.jpg")</f>
        <v>https://scontent.cdninstagram.com/t51.2885-15/s320x320/e35/21434276_170372430187950_594798244022714368_n.jpg</v>
      </c>
      <c r="AE4817" s="249" t="str">
        <f>HYPERLINK("https://scontent.cdninstagram.com/t51.2885-19/s150x150/12446316_1773455699540523_1284308066_a.jpg")</f>
        <v>https://scontent.cdninstagram.com/t51.2885-19/s150x150/12446316_1773455699540523_1284308066_a.jpg</v>
      </c>
    </row>
    <row r="4818" spans="1:31" ht="15" x14ac:dyDescent="0.25">
      <c r="A4818" t="s">
        <v>2474</v>
      </c>
      <c r="B4818" t="s">
        <v>25701</v>
      </c>
      <c r="C4818" s="221">
        <v>42983.424618055556</v>
      </c>
      <c r="D4818" t="s">
        <v>25702</v>
      </c>
      <c r="E4818" s="249" t="str">
        <f>HYPERLINK("https://www.instagram.com/p/BYqYcvbl-ru/")</f>
        <v>https://www.instagram.com/p/BYqYcvbl-ru/</v>
      </c>
      <c r="F4818" t="s">
        <v>25703</v>
      </c>
      <c r="G4818" t="s">
        <v>2631</v>
      </c>
      <c r="H4818">
        <v>947</v>
      </c>
      <c r="I4818" t="s">
        <v>2910</v>
      </c>
      <c r="J4818">
        <v>6</v>
      </c>
      <c r="K4818">
        <v>60</v>
      </c>
      <c r="L4818">
        <v>66</v>
      </c>
      <c r="Q4818">
        <v>0</v>
      </c>
      <c r="R4818">
        <v>0</v>
      </c>
      <c r="S4818">
        <v>66</v>
      </c>
      <c r="T4818" t="s">
        <v>25704</v>
      </c>
      <c r="V4818" t="s">
        <v>2222</v>
      </c>
      <c r="W4818">
        <v>52.106340000000003</v>
      </c>
      <c r="X4818">
        <v>4.27928</v>
      </c>
      <c r="Y4818" t="s">
        <v>4513</v>
      </c>
      <c r="Z4818" t="s">
        <v>25705</v>
      </c>
      <c r="AA4818" t="s">
        <v>25706</v>
      </c>
      <c r="AB4818" t="s">
        <v>25707</v>
      </c>
      <c r="AC4818" t="s">
        <v>2513</v>
      </c>
      <c r="AD4818" s="249" t="str">
        <f>HYPERLINK("https://scontent.cdninstagram.com/t51.2885-15/e15/p320x320/21433377_689551111252818_3427989844784054272_n.jpg")</f>
        <v>https://scontent.cdninstagram.com/t51.2885-15/e15/p320x320/21433377_689551111252818_3427989844784054272_n.jpg</v>
      </c>
      <c r="AE4818" s="249" t="str">
        <f>HYPERLINK("https://scontent.cdninstagram.com/t51.2885-19/s150x150/21480476_1505792346153373_1517473217680244736_a.jpg")</f>
        <v>https://scontent.cdninstagram.com/t51.2885-19/s150x150/21480476_1505792346153373_1517473217680244736_a.jpg</v>
      </c>
    </row>
    <row r="4819" spans="1:31" ht="15" x14ac:dyDescent="0.25">
      <c r="A4819" t="s">
        <v>2474</v>
      </c>
      <c r="B4819" t="s">
        <v>25708</v>
      </c>
      <c r="C4819" s="221">
        <v>42983.451412037037</v>
      </c>
      <c r="D4819" t="s">
        <v>25709</v>
      </c>
      <c r="E4819" s="249" t="str">
        <f>HYPERLINK("https://www.instagram.com/p/BYqc3XIFCK6/")</f>
        <v>https://www.instagram.com/p/BYqc3XIFCK6/</v>
      </c>
      <c r="F4819" t="s">
        <v>25710</v>
      </c>
      <c r="G4819" t="s">
        <v>2631</v>
      </c>
      <c r="H4819">
        <v>1031</v>
      </c>
      <c r="I4819" t="s">
        <v>2479</v>
      </c>
      <c r="J4819">
        <v>0</v>
      </c>
      <c r="K4819">
        <v>17</v>
      </c>
      <c r="L4819">
        <v>17</v>
      </c>
      <c r="Q4819">
        <v>0</v>
      </c>
      <c r="R4819">
        <v>0</v>
      </c>
      <c r="S4819">
        <v>17</v>
      </c>
      <c r="Y4819" t="s">
        <v>5802</v>
      </c>
      <c r="Z4819" t="s">
        <v>25711</v>
      </c>
      <c r="AA4819" t="s">
        <v>25712</v>
      </c>
      <c r="AB4819" t="s">
        <v>3349</v>
      </c>
      <c r="AC4819" t="s">
        <v>2497</v>
      </c>
      <c r="AD4819" s="249" t="str">
        <f>HYPERLINK("https://scontent.cdninstagram.com/t51.2885-15/s320x320/e35/21373169_116391915733571_8101818164469301248_n.jpg")</f>
        <v>https://scontent.cdninstagram.com/t51.2885-15/s320x320/e35/21373169_116391915733571_8101818164469301248_n.jpg</v>
      </c>
      <c r="AE4819" s="249" t="str">
        <f>HYPERLINK("https://scontent.cdninstagram.com/t51.2885-19/10995130_847728635284911_1840607510_a.jpg")</f>
        <v>https://scontent.cdninstagram.com/t51.2885-19/10995130_847728635284911_1840607510_a.jpg</v>
      </c>
    </row>
    <row r="4820" spans="1:31" ht="15" x14ac:dyDescent="0.25">
      <c r="A4820" t="s">
        <v>2474</v>
      </c>
      <c r="B4820" t="s">
        <v>20151</v>
      </c>
      <c r="C4820" s="221">
        <v>42983.452569444446</v>
      </c>
      <c r="D4820" t="s">
        <v>25713</v>
      </c>
      <c r="E4820" s="249" t="str">
        <f>HYPERLINK("https://www.instagram.com/p/BYqdDhzF9x0/")</f>
        <v>https://www.instagram.com/p/BYqdDhzF9x0/</v>
      </c>
      <c r="F4820" t="s">
        <v>25714</v>
      </c>
      <c r="G4820" t="s">
        <v>2478</v>
      </c>
      <c r="H4820">
        <v>55</v>
      </c>
      <c r="I4820" t="s">
        <v>2479</v>
      </c>
      <c r="J4820">
        <v>1</v>
      </c>
      <c r="K4820">
        <v>31</v>
      </c>
      <c r="L4820">
        <v>32</v>
      </c>
      <c r="Q4820">
        <v>0</v>
      </c>
      <c r="R4820">
        <v>0</v>
      </c>
      <c r="S4820">
        <v>32</v>
      </c>
      <c r="Y4820" t="s">
        <v>21822</v>
      </c>
      <c r="Z4820" t="s">
        <v>3174</v>
      </c>
      <c r="AA4820" t="s">
        <v>2032</v>
      </c>
      <c r="AB4820" t="s">
        <v>13173</v>
      </c>
      <c r="AC4820" t="s">
        <v>25715</v>
      </c>
      <c r="AD4820" s="249" t="str">
        <f>HYPERLINK("https://scontent.cdninstagram.com/t51.2885-15/s320x320/e35/21373566_122121801854110_3252345215888916480_n.jpg")</f>
        <v>https://scontent.cdninstagram.com/t51.2885-15/s320x320/e35/21373566_122121801854110_3252345215888916480_n.jpg</v>
      </c>
      <c r="AE4820" s="249" t="str">
        <f>HYPERLINK("https://scontent.cdninstagram.com/t51.2885-19/s150x150/21294696_294874230994630_4097685682724536320_a.jpg")</f>
        <v>https://scontent.cdninstagram.com/t51.2885-19/s150x150/21294696_294874230994630_4097685682724536320_a.jpg</v>
      </c>
    </row>
    <row r="4821" spans="1:31" ht="15" x14ac:dyDescent="0.25">
      <c r="A4821" t="s">
        <v>2474</v>
      </c>
      <c r="B4821" t="s">
        <v>18309</v>
      </c>
      <c r="C4821" s="221">
        <v>42983.455601851849</v>
      </c>
      <c r="D4821" t="s">
        <v>25716</v>
      </c>
      <c r="E4821" s="249" t="str">
        <f>HYPERLINK("https://www.instagram.com/p/BYqdjlOjWAM/")</f>
        <v>https://www.instagram.com/p/BYqdjlOjWAM/</v>
      </c>
      <c r="F4821" t="s">
        <v>25717</v>
      </c>
      <c r="G4821" t="s">
        <v>2478</v>
      </c>
      <c r="H4821">
        <v>36</v>
      </c>
      <c r="I4821" t="s">
        <v>2479</v>
      </c>
      <c r="J4821">
        <v>1</v>
      </c>
      <c r="K4821">
        <v>32</v>
      </c>
      <c r="L4821">
        <v>33</v>
      </c>
      <c r="Q4821">
        <v>0</v>
      </c>
      <c r="R4821">
        <v>0</v>
      </c>
      <c r="S4821">
        <v>33</v>
      </c>
      <c r="Y4821" t="s">
        <v>25718</v>
      </c>
      <c r="Z4821" t="s">
        <v>25719</v>
      </c>
      <c r="AA4821" t="s">
        <v>8753</v>
      </c>
      <c r="AB4821" t="s">
        <v>5706</v>
      </c>
      <c r="AC4821" t="s">
        <v>3269</v>
      </c>
      <c r="AD4821" s="249" t="str">
        <f>HYPERLINK("https://scontent.cdninstagram.com/t51.2885-15/s320x320/e35/21371998_1919214708327120_1524120517089427456_n.jpg")</f>
        <v>https://scontent.cdninstagram.com/t51.2885-15/s320x320/e35/21371998_1919214708327120_1524120517089427456_n.jpg</v>
      </c>
      <c r="AE4821" s="249" t="str">
        <f>HYPERLINK("https://scontent.cdninstagram.com/t51.2885-19/s150x150/21224635_116853155713206_6935607206414909440_a.jpg")</f>
        <v>https://scontent.cdninstagram.com/t51.2885-19/s150x150/21224635_116853155713206_6935607206414909440_a.jpg</v>
      </c>
    </row>
    <row r="4822" spans="1:31" ht="15" x14ac:dyDescent="0.25">
      <c r="A4822" t="s">
        <v>2474</v>
      </c>
      <c r="B4822" t="s">
        <v>25720</v>
      </c>
      <c r="C4822" s="221">
        <v>42983.456759259258</v>
      </c>
      <c r="D4822" t="s">
        <v>25721</v>
      </c>
      <c r="E4822" s="249" t="str">
        <f>HYPERLINK("https://www.instagram.com/p/BYqdv0UHIbJ/")</f>
        <v>https://www.instagram.com/p/BYqdv0UHIbJ/</v>
      </c>
      <c r="F4822" t="s">
        <v>25722</v>
      </c>
      <c r="G4822" t="s">
        <v>2488</v>
      </c>
      <c r="H4822">
        <v>331</v>
      </c>
      <c r="I4822" t="s">
        <v>2479</v>
      </c>
      <c r="J4822">
        <v>3</v>
      </c>
      <c r="K4822">
        <v>53</v>
      </c>
      <c r="L4822">
        <v>56</v>
      </c>
      <c r="Q4822">
        <v>0</v>
      </c>
      <c r="R4822">
        <v>0</v>
      </c>
      <c r="S4822">
        <v>56</v>
      </c>
      <c r="Y4822" t="s">
        <v>3392</v>
      </c>
      <c r="Z4822" t="s">
        <v>22307</v>
      </c>
      <c r="AA4822" t="s">
        <v>25723</v>
      </c>
      <c r="AB4822" t="s">
        <v>25724</v>
      </c>
      <c r="AC4822" t="s">
        <v>25725</v>
      </c>
      <c r="AD4822" s="249" t="str">
        <f>HYPERLINK("https://scontent.cdninstagram.com/t51.2885-15/s320x320/e35/21373607_114646232536543_7299104479247335424_n.jpg")</f>
        <v>https://scontent.cdninstagram.com/t51.2885-15/s320x320/e35/21373607_114646232536543_7299104479247335424_n.jpg</v>
      </c>
      <c r="AE4822" s="249" t="str">
        <f>HYPERLINK("https://scontent.cdninstagram.com/t51.2885-19/10932333_1378380882469766_252232677_a.jpg")</f>
        <v>https://scontent.cdninstagram.com/t51.2885-19/10932333_1378380882469766_252232677_a.jpg</v>
      </c>
    </row>
    <row r="4823" spans="1:31" ht="15" x14ac:dyDescent="0.25">
      <c r="A4823" t="s">
        <v>2474</v>
      </c>
      <c r="B4823" t="s">
        <v>22563</v>
      </c>
      <c r="C4823" s="221">
        <v>42983.458819444444</v>
      </c>
      <c r="D4823" t="s">
        <v>25726</v>
      </c>
      <c r="E4823" s="249" t="str">
        <f>HYPERLINK("https://www.instagram.com/p/BYqeFiljs9V/")</f>
        <v>https://www.instagram.com/p/BYqeFiljs9V/</v>
      </c>
      <c r="F4823" t="s">
        <v>25727</v>
      </c>
      <c r="G4823" t="s">
        <v>2631</v>
      </c>
      <c r="H4823">
        <v>6167</v>
      </c>
      <c r="I4823" t="s">
        <v>2786</v>
      </c>
      <c r="J4823">
        <v>8</v>
      </c>
      <c r="K4823">
        <v>288</v>
      </c>
      <c r="L4823">
        <v>296</v>
      </c>
      <c r="Q4823">
        <v>0</v>
      </c>
      <c r="R4823">
        <v>0</v>
      </c>
      <c r="S4823">
        <v>296</v>
      </c>
      <c r="T4823" t="s">
        <v>20457</v>
      </c>
      <c r="V4823" t="s">
        <v>2176</v>
      </c>
      <c r="W4823">
        <v>18.975000000000001</v>
      </c>
      <c r="X4823">
        <v>72.825800000000001</v>
      </c>
      <c r="Y4823" t="s">
        <v>3335</v>
      </c>
      <c r="Z4823" t="s">
        <v>2497</v>
      </c>
      <c r="AA4823" t="s">
        <v>25728</v>
      </c>
      <c r="AB4823" t="s">
        <v>25729</v>
      </c>
      <c r="AC4823" t="s">
        <v>25730</v>
      </c>
      <c r="AD4823" s="249" t="str">
        <f>HYPERLINK("https://scontent.cdninstagram.com/t51.2885-15/s320x320/e15/21373198_1549533798450820_2972068161391689728_n.jpg")</f>
        <v>https://scontent.cdninstagram.com/t51.2885-15/s320x320/e15/21373198_1549533798450820_2972068161391689728_n.jpg</v>
      </c>
      <c r="AE4823" s="249" t="str">
        <f>HYPERLINK("https://scontent.cdninstagram.com/t51.2885-19/s150x150/19429328_1425059524208473_4793936534657040384_a.jpg")</f>
        <v>https://scontent.cdninstagram.com/t51.2885-19/s150x150/19429328_1425059524208473_4793936534657040384_a.jpg</v>
      </c>
    </row>
    <row r="4824" spans="1:31" ht="15" x14ac:dyDescent="0.25">
      <c r="A4824" t="s">
        <v>2474</v>
      </c>
      <c r="B4824" t="s">
        <v>25731</v>
      </c>
      <c r="C4824" s="221">
        <v>42983.459039351852</v>
      </c>
      <c r="D4824" t="s">
        <v>25732</v>
      </c>
      <c r="E4824" s="249" t="str">
        <f>HYPERLINK("https://www.instagram.com/p/BYqeH0khmhC/")</f>
        <v>https://www.instagram.com/p/BYqeH0khmhC/</v>
      </c>
      <c r="F4824" t="s">
        <v>25733</v>
      </c>
      <c r="G4824" t="s">
        <v>2478</v>
      </c>
      <c r="H4824">
        <v>69</v>
      </c>
      <c r="I4824" t="s">
        <v>2786</v>
      </c>
      <c r="J4824">
        <v>1</v>
      </c>
      <c r="K4824">
        <v>1</v>
      </c>
      <c r="L4824">
        <v>2</v>
      </c>
      <c r="Q4824">
        <v>0</v>
      </c>
      <c r="R4824">
        <v>0</v>
      </c>
      <c r="S4824">
        <v>2</v>
      </c>
      <c r="Y4824" t="s">
        <v>25734</v>
      </c>
      <c r="Z4824" t="s">
        <v>25735</v>
      </c>
      <c r="AA4824" t="s">
        <v>25736</v>
      </c>
      <c r="AB4824" t="s">
        <v>25737</v>
      </c>
      <c r="AC4824" t="s">
        <v>25738</v>
      </c>
      <c r="AD4824" s="249" t="str">
        <f>HYPERLINK("https://scontent.cdninstagram.com/t51.2885-15/s320x320/e35/21372216_2021447648091380_6188858456888311808_n.jpg")</f>
        <v>https://scontent.cdninstagram.com/t51.2885-15/s320x320/e35/21372216_2021447648091380_6188858456888311808_n.jpg</v>
      </c>
      <c r="AE4824" s="249" t="str">
        <f>HYPERLINK("https://scontent.cdninstagram.com/t51.2885-19/s150x150/21147748_114262195942580_567644816532307968_a.jpg")</f>
        <v>https://scontent.cdninstagram.com/t51.2885-19/s150x150/21147748_114262195942580_567644816532307968_a.jpg</v>
      </c>
    </row>
    <row r="4825" spans="1:31" ht="15" x14ac:dyDescent="0.25">
      <c r="A4825" t="s">
        <v>2474</v>
      </c>
      <c r="B4825" t="s">
        <v>6224</v>
      </c>
      <c r="C4825" s="221">
        <v>42983.46402777778</v>
      </c>
      <c r="D4825" t="s">
        <v>25739</v>
      </c>
      <c r="E4825" s="249" t="str">
        <f>HYPERLINK("https://www.instagram.com/p/BYqe8Y7AX1R/")</f>
        <v>https://www.instagram.com/p/BYqe8Y7AX1R/</v>
      </c>
      <c r="F4825" t="s">
        <v>25740</v>
      </c>
      <c r="G4825" t="s">
        <v>2478</v>
      </c>
      <c r="H4825">
        <v>152</v>
      </c>
      <c r="I4825" t="s">
        <v>2542</v>
      </c>
      <c r="J4825">
        <v>2</v>
      </c>
      <c r="K4825">
        <v>38</v>
      </c>
      <c r="L4825">
        <v>40</v>
      </c>
      <c r="Q4825">
        <v>0</v>
      </c>
      <c r="R4825">
        <v>0</v>
      </c>
      <c r="S4825">
        <v>40</v>
      </c>
      <c r="Y4825" t="s">
        <v>8578</v>
      </c>
      <c r="Z4825" t="s">
        <v>3069</v>
      </c>
      <c r="AA4825" t="s">
        <v>25741</v>
      </c>
      <c r="AB4825" t="s">
        <v>3804</v>
      </c>
      <c r="AC4825" t="s">
        <v>19989</v>
      </c>
      <c r="AD4825" s="249" t="str">
        <f>HYPERLINK("https://scontent.cdninstagram.com/t51.2885-15/s320x320/e35/21435574_259822901194198_9088209197006323712_n.jpg")</f>
        <v>https://scontent.cdninstagram.com/t51.2885-15/s320x320/e35/21435574_259822901194198_9088209197006323712_n.jpg</v>
      </c>
      <c r="AE4825" s="249" t="str">
        <f>HYPERLINK("https://scontent.cdninstagram.com/t51.2885-19/s150x150/18722175_301366250309630_4574136626891980800_a.jpg")</f>
        <v>https://scontent.cdninstagram.com/t51.2885-19/s150x150/18722175_301366250309630_4574136626891980800_a.jpg</v>
      </c>
    </row>
    <row r="4826" spans="1:31" ht="15" x14ac:dyDescent="0.25">
      <c r="A4826" t="s">
        <v>2474</v>
      </c>
      <c r="B4826" t="s">
        <v>15206</v>
      </c>
      <c r="C4826" s="221">
        <v>42983.468784722223</v>
      </c>
      <c r="D4826" t="s">
        <v>25742</v>
      </c>
      <c r="E4826" s="249" t="str">
        <f>HYPERLINK("https://www.instagram.com/p/BYqfukhF5FI/")</f>
        <v>https://www.instagram.com/p/BYqfukhF5FI/</v>
      </c>
      <c r="F4826" t="s">
        <v>25743</v>
      </c>
      <c r="G4826" t="s">
        <v>2478</v>
      </c>
      <c r="H4826">
        <v>61903</v>
      </c>
      <c r="I4826" t="s">
        <v>2479</v>
      </c>
      <c r="J4826">
        <v>14</v>
      </c>
      <c r="K4826">
        <v>1377</v>
      </c>
      <c r="L4826">
        <v>1391</v>
      </c>
      <c r="Q4826">
        <v>0</v>
      </c>
      <c r="R4826">
        <v>0</v>
      </c>
      <c r="S4826">
        <v>1391</v>
      </c>
      <c r="AD4826" s="249" t="str">
        <f>HYPERLINK("https://scontent.cdninstagram.com/t51.2885-15/s320x320/e35/21371713_130331120938072_5336649937914429440_n.jpg")</f>
        <v>https://scontent.cdninstagram.com/t51.2885-15/s320x320/e35/21371713_130331120938072_5336649937914429440_n.jpg</v>
      </c>
      <c r="AE4826" s="249" t="str">
        <f>HYPERLINK("https://scontent.cdninstagram.com/t51.2885-19/17663530_1657274724581959_2295744149531394048_n.jpg")</f>
        <v>https://scontent.cdninstagram.com/t51.2885-19/17663530_1657274724581959_2295744149531394048_n.jpg</v>
      </c>
    </row>
    <row r="4827" spans="1:31" ht="15" x14ac:dyDescent="0.25">
      <c r="A4827" t="s">
        <v>2474</v>
      </c>
      <c r="B4827" t="s">
        <v>25744</v>
      </c>
      <c r="C4827" s="221">
        <v>42983.470069444447</v>
      </c>
      <c r="D4827" t="s">
        <v>25745</v>
      </c>
      <c r="E4827" s="249" t="str">
        <f>HYPERLINK("https://www.instagram.com/p/BYqf8HaAOOX/")</f>
        <v>https://www.instagram.com/p/BYqf8HaAOOX/</v>
      </c>
      <c r="F4827" t="s">
        <v>25746</v>
      </c>
      <c r="G4827" t="s">
        <v>2478</v>
      </c>
      <c r="H4827">
        <v>186</v>
      </c>
      <c r="I4827" t="s">
        <v>2479</v>
      </c>
      <c r="J4827">
        <v>0</v>
      </c>
      <c r="K4827">
        <v>7</v>
      </c>
      <c r="L4827">
        <v>7</v>
      </c>
      <c r="Q4827">
        <v>0</v>
      </c>
      <c r="R4827">
        <v>0</v>
      </c>
      <c r="S4827">
        <v>7</v>
      </c>
      <c r="Y4827" t="s">
        <v>2497</v>
      </c>
      <c r="Z4827" t="s">
        <v>25747</v>
      </c>
      <c r="AD4827" s="249" t="str">
        <f>HYPERLINK("https://scontent.cdninstagram.com/t51.2885-15/s320x320/e35/21433776_1788843634477028_1397582950823886848_n.jpg")</f>
        <v>https://scontent.cdninstagram.com/t51.2885-15/s320x320/e35/21433776_1788843634477028_1397582950823886848_n.jpg</v>
      </c>
      <c r="AE4827" s="249" t="str">
        <f>HYPERLINK("https://scontent.cdninstagram.com/t51.2885-19/s150x150/21434020_1957599364511101_2525134543174762496_a.jpg")</f>
        <v>https://scontent.cdninstagram.com/t51.2885-19/s150x150/21434020_1957599364511101_2525134543174762496_a.jpg</v>
      </c>
    </row>
    <row r="4828" spans="1:31" ht="15" x14ac:dyDescent="0.25">
      <c r="A4828" t="s">
        <v>2474</v>
      </c>
      <c r="B4828" t="s">
        <v>2873</v>
      </c>
      <c r="C4828" s="221">
        <v>42983.471620370372</v>
      </c>
      <c r="D4828" t="s">
        <v>25748</v>
      </c>
      <c r="E4828" s="249" t="str">
        <f>HYPERLINK("https://www.instagram.com/p/BYqgMf7FtpZ/")</f>
        <v>https://www.instagram.com/p/BYqgMf7FtpZ/</v>
      </c>
      <c r="F4828" t="s">
        <v>25749</v>
      </c>
      <c r="G4828" t="s">
        <v>2478</v>
      </c>
      <c r="H4828">
        <v>2665</v>
      </c>
      <c r="I4828" t="s">
        <v>2479</v>
      </c>
      <c r="J4828">
        <v>0</v>
      </c>
      <c r="K4828">
        <v>128</v>
      </c>
      <c r="L4828">
        <v>128</v>
      </c>
      <c r="Q4828">
        <v>0</v>
      </c>
      <c r="R4828">
        <v>0</v>
      </c>
      <c r="S4828">
        <v>128</v>
      </c>
      <c r="Y4828" t="s">
        <v>25750</v>
      </c>
      <c r="Z4828" t="s">
        <v>7418</v>
      </c>
      <c r="AA4828" t="s">
        <v>24630</v>
      </c>
      <c r="AB4828" t="s">
        <v>7766</v>
      </c>
      <c r="AC4828" t="s">
        <v>25751</v>
      </c>
      <c r="AD4828" s="249" t="str">
        <f>HYPERLINK("https://scontent.cdninstagram.com/t51.2885-15/e35/p320x320/21372400_115695532467628_5118460741669617664_n.jpg")</f>
        <v>https://scontent.cdninstagram.com/t51.2885-15/e35/p320x320/21372400_115695532467628_5118460741669617664_n.jpg</v>
      </c>
      <c r="AE4828" s="249" t="str">
        <f>HYPERLINK("https://scontent.cdninstagram.com/t51.2885-19/s150x150/14723181_1238199739572953_5424221452041715712_n.jpg")</f>
        <v>https://scontent.cdninstagram.com/t51.2885-19/s150x150/14723181_1238199739572953_5424221452041715712_n.jpg</v>
      </c>
    </row>
    <row r="4829" spans="1:31" ht="15" x14ac:dyDescent="0.25">
      <c r="A4829" t="s">
        <v>2474</v>
      </c>
      <c r="B4829" t="s">
        <v>25752</v>
      </c>
      <c r="C4829" s="221">
        <v>42983.472500000003</v>
      </c>
      <c r="D4829" t="s">
        <v>25753</v>
      </c>
      <c r="E4829" s="249" t="str">
        <f>HYPERLINK("https://www.instagram.com/p/BYqgVvxF6Ni/")</f>
        <v>https://www.instagram.com/p/BYqgVvxF6Ni/</v>
      </c>
      <c r="F4829" t="s">
        <v>25754</v>
      </c>
      <c r="G4829" t="s">
        <v>2488</v>
      </c>
      <c r="H4829">
        <v>131</v>
      </c>
      <c r="I4829" t="s">
        <v>2479</v>
      </c>
      <c r="J4829">
        <v>2</v>
      </c>
      <c r="K4829">
        <v>41</v>
      </c>
      <c r="L4829">
        <v>43</v>
      </c>
      <c r="Q4829">
        <v>0</v>
      </c>
      <c r="R4829">
        <v>0</v>
      </c>
      <c r="S4829">
        <v>43</v>
      </c>
      <c r="T4829" t="s">
        <v>25755</v>
      </c>
      <c r="V4829" t="s">
        <v>2264</v>
      </c>
      <c r="W4829">
        <v>38.885331689860003</v>
      </c>
      <c r="X4829">
        <v>1.4054547856721999</v>
      </c>
      <c r="Y4829" t="s">
        <v>4987</v>
      </c>
      <c r="Z4829" t="s">
        <v>25756</v>
      </c>
      <c r="AA4829" t="s">
        <v>4709</v>
      </c>
      <c r="AB4829" t="s">
        <v>14517</v>
      </c>
      <c r="AC4829" t="s">
        <v>25757</v>
      </c>
      <c r="AD4829" s="249" t="str">
        <f>HYPERLINK("https://scontent.cdninstagram.com/t51.2885-15/s320x320/e35/21372612_338088429952776_2034795890975178752_n.jpg")</f>
        <v>https://scontent.cdninstagram.com/t51.2885-15/s320x320/e35/21372612_338088429952776_2034795890975178752_n.jpg</v>
      </c>
      <c r="AE4829" s="249" t="str">
        <f>HYPERLINK("https://scontent.cdninstagram.com/t51.2885-19/s150x150/11386454_1452243625079815_300806625_a.jpg")</f>
        <v>https://scontent.cdninstagram.com/t51.2885-19/s150x150/11386454_1452243625079815_300806625_a.jpg</v>
      </c>
    </row>
    <row r="4830" spans="1:31" ht="15" x14ac:dyDescent="0.25">
      <c r="A4830" t="s">
        <v>2474</v>
      </c>
      <c r="B4830" t="s">
        <v>9202</v>
      </c>
      <c r="C4830" s="221">
        <v>42983.47278935185</v>
      </c>
      <c r="D4830" t="s">
        <v>25758</v>
      </c>
      <c r="E4830" s="249" t="str">
        <f>HYPERLINK("https://www.instagram.com/p/BYqgYxnHiG5/")</f>
        <v>https://www.instagram.com/p/BYqgYxnHiG5/</v>
      </c>
      <c r="F4830" t="s">
        <v>25759</v>
      </c>
      <c r="G4830" t="s">
        <v>2631</v>
      </c>
      <c r="H4830">
        <v>1307</v>
      </c>
      <c r="I4830" t="s">
        <v>2479</v>
      </c>
      <c r="J4830">
        <v>1</v>
      </c>
      <c r="K4830">
        <v>14</v>
      </c>
      <c r="L4830">
        <v>15</v>
      </c>
      <c r="Q4830">
        <v>0</v>
      </c>
      <c r="R4830">
        <v>0</v>
      </c>
      <c r="S4830">
        <v>15</v>
      </c>
      <c r="T4830" t="s">
        <v>20518</v>
      </c>
      <c r="V4830" t="s">
        <v>2182</v>
      </c>
      <c r="W4830">
        <v>45.514211494500998</v>
      </c>
      <c r="X4830">
        <v>12.224600767057</v>
      </c>
      <c r="Y4830" t="s">
        <v>20521</v>
      </c>
      <c r="Z4830" t="s">
        <v>8592</v>
      </c>
      <c r="AA4830" t="s">
        <v>17442</v>
      </c>
      <c r="AB4830" t="s">
        <v>17440</v>
      </c>
      <c r="AC4830" t="s">
        <v>25760</v>
      </c>
      <c r="AD4830" s="249" t="str">
        <f>HYPERLINK("https://scontent.cdninstagram.com/t51.2885-15/s320x320/e15/21372564_782749645229882_4575203642797195264_n.jpg")</f>
        <v>https://scontent.cdninstagram.com/t51.2885-15/s320x320/e15/21372564_782749645229882_4575203642797195264_n.jpg</v>
      </c>
      <c r="AE4830" s="249" t="str">
        <f>HYPERLINK("https://scontent.cdninstagram.com/t51.2885-19/s150x150/21107631_113930275955600_738991162416693248_a.jpg")</f>
        <v>https://scontent.cdninstagram.com/t51.2885-19/s150x150/21107631_113930275955600_738991162416693248_a.jpg</v>
      </c>
    </row>
    <row r="4831" spans="1:31" ht="15" x14ac:dyDescent="0.25">
      <c r="A4831" t="s">
        <v>2474</v>
      </c>
      <c r="B4831" t="s">
        <v>4811</v>
      </c>
      <c r="C4831" s="221">
        <v>42983.47552083333</v>
      </c>
      <c r="D4831" t="s">
        <v>25761</v>
      </c>
      <c r="E4831" s="249" t="str">
        <f>HYPERLINK("https://www.instagram.com/p/BYqg1qqAtVB/")</f>
        <v>https://www.instagram.com/p/BYqg1qqAtVB/</v>
      </c>
      <c r="F4831" t="s">
        <v>25762</v>
      </c>
      <c r="G4831" t="s">
        <v>2478</v>
      </c>
      <c r="H4831">
        <v>1028</v>
      </c>
      <c r="I4831" t="s">
        <v>2479</v>
      </c>
      <c r="J4831">
        <v>3</v>
      </c>
      <c r="K4831">
        <v>102</v>
      </c>
      <c r="L4831">
        <v>105</v>
      </c>
      <c r="Q4831">
        <v>0</v>
      </c>
      <c r="R4831">
        <v>0</v>
      </c>
      <c r="S4831">
        <v>105</v>
      </c>
      <c r="Y4831" t="s">
        <v>7340</v>
      </c>
      <c r="Z4831" t="s">
        <v>7341</v>
      </c>
      <c r="AA4831" t="s">
        <v>22206</v>
      </c>
      <c r="AB4831" t="s">
        <v>5168</v>
      </c>
      <c r="AC4831" t="s">
        <v>21100</v>
      </c>
      <c r="AD4831" s="249" t="str">
        <f>HYPERLINK("https://scontent.cdninstagram.com/t51.2885-15/s320x320/e35/21435439_2039272539642562_8086755340500074496_n.jpg")</f>
        <v>https://scontent.cdninstagram.com/t51.2885-15/s320x320/e35/21435439_2039272539642562_8086755340500074496_n.jpg</v>
      </c>
      <c r="AE4831" s="249" t="str">
        <f>HYPERLINK("https://scontent.cdninstagram.com/t51.2885-19/s150x150/16124251_1913091765603634_8004330562992996352_a.jpg")</f>
        <v>https://scontent.cdninstagram.com/t51.2885-19/s150x150/16124251_1913091765603634_8004330562992996352_a.jpg</v>
      </c>
    </row>
    <row r="4832" spans="1:31" ht="15" x14ac:dyDescent="0.25">
      <c r="A4832" t="s">
        <v>2474</v>
      </c>
      <c r="B4832" t="s">
        <v>21271</v>
      </c>
      <c r="C4832" s="221">
        <v>42983.478680555556</v>
      </c>
      <c r="D4832" t="s">
        <v>25763</v>
      </c>
      <c r="E4832" s="249" t="str">
        <f>HYPERLINK("https://www.instagram.com/p/BYqhW-LhcPo/")</f>
        <v>https://www.instagram.com/p/BYqhW-LhcPo/</v>
      </c>
      <c r="F4832" t="s">
        <v>25764</v>
      </c>
      <c r="G4832" t="s">
        <v>2478</v>
      </c>
      <c r="H4832">
        <v>1209</v>
      </c>
      <c r="I4832" t="s">
        <v>2479</v>
      </c>
      <c r="J4832">
        <v>3</v>
      </c>
      <c r="K4832">
        <v>98</v>
      </c>
      <c r="L4832">
        <v>101</v>
      </c>
      <c r="Q4832">
        <v>0</v>
      </c>
      <c r="R4832">
        <v>0</v>
      </c>
      <c r="S4832">
        <v>101</v>
      </c>
      <c r="Y4832" t="s">
        <v>25765</v>
      </c>
      <c r="Z4832" t="s">
        <v>4760</v>
      </c>
      <c r="AA4832" t="s">
        <v>3446</v>
      </c>
      <c r="AB4832" t="s">
        <v>3598</v>
      </c>
      <c r="AC4832" t="s">
        <v>2767</v>
      </c>
      <c r="AD4832" s="249" t="str">
        <f>HYPERLINK("https://scontent.cdninstagram.com/t51.2885-15/e35/p320x320/21372968_1423196401132568_999853409957838848_n.jpg")</f>
        <v>https://scontent.cdninstagram.com/t51.2885-15/e35/p320x320/21372968_1423196401132568_999853409957838848_n.jpg</v>
      </c>
      <c r="AE4832" s="249" t="str">
        <f>HYPERLINK("https://scontent.cdninstagram.com/t51.2885-19/s150x150/21372825_1571102609620089_2516145567466258432_a.jpg")</f>
        <v>https://scontent.cdninstagram.com/t51.2885-19/s150x150/21372825_1571102609620089_2516145567466258432_a.jpg</v>
      </c>
    </row>
    <row r="4833" spans="1:31" ht="15" x14ac:dyDescent="0.25">
      <c r="A4833" t="s">
        <v>2474</v>
      </c>
      <c r="B4833" t="s">
        <v>23716</v>
      </c>
      <c r="C4833" s="221">
        <v>42983.481539351851</v>
      </c>
      <c r="D4833" t="s">
        <v>25766</v>
      </c>
      <c r="E4833" s="249" t="str">
        <f>HYPERLINK("https://www.instagram.com/p/BYqh1HaDL6S/")</f>
        <v>https://www.instagram.com/p/BYqh1HaDL6S/</v>
      </c>
      <c r="F4833" t="s">
        <v>25767</v>
      </c>
      <c r="G4833" t="s">
        <v>2478</v>
      </c>
      <c r="H4833">
        <v>58</v>
      </c>
      <c r="I4833" t="s">
        <v>2479</v>
      </c>
      <c r="J4833">
        <v>0</v>
      </c>
      <c r="K4833">
        <v>2</v>
      </c>
      <c r="L4833">
        <v>2</v>
      </c>
      <c r="Q4833">
        <v>0</v>
      </c>
      <c r="R4833">
        <v>0</v>
      </c>
      <c r="S4833">
        <v>2</v>
      </c>
      <c r="Y4833" t="s">
        <v>5168</v>
      </c>
      <c r="Z4833" t="s">
        <v>9108</v>
      </c>
      <c r="AA4833" t="s">
        <v>3982</v>
      </c>
      <c r="AB4833" t="s">
        <v>23723</v>
      </c>
      <c r="AC4833" t="s">
        <v>6761</v>
      </c>
      <c r="AD4833" s="249" t="str">
        <f>HYPERLINK("https://scontent.cdninstagram.com/t51.2885-15/s320x320/e35/21371849_151434588781727_2423351179833507840_n.jpg")</f>
        <v>https://scontent.cdninstagram.com/t51.2885-15/s320x320/e35/21371849_151434588781727_2423351179833507840_n.jpg</v>
      </c>
      <c r="AE4833" s="249" t="str">
        <f>HYPERLINK("https://scontent.cdninstagram.com/t51.2885-19/10983591_1596646570571642_1988364061_a.jpg")</f>
        <v>https://scontent.cdninstagram.com/t51.2885-19/10983591_1596646570571642_1988364061_a.jpg</v>
      </c>
    </row>
    <row r="4834" spans="1:31" ht="15" x14ac:dyDescent="0.25">
      <c r="A4834" t="s">
        <v>2474</v>
      </c>
      <c r="B4834" t="s">
        <v>25768</v>
      </c>
      <c r="C4834" s="221">
        <v>42983.483946759261</v>
      </c>
      <c r="D4834" t="s">
        <v>25769</v>
      </c>
      <c r="E4834" s="249" t="str">
        <f>HYPERLINK("https://www.instagram.com/p/BYqiOd0gCpW/")</f>
        <v>https://www.instagram.com/p/BYqiOd0gCpW/</v>
      </c>
      <c r="F4834" t="s">
        <v>25770</v>
      </c>
      <c r="G4834" t="s">
        <v>2631</v>
      </c>
      <c r="H4834">
        <v>137</v>
      </c>
      <c r="I4834" t="s">
        <v>2479</v>
      </c>
      <c r="J4834">
        <v>0</v>
      </c>
      <c r="K4834">
        <v>7</v>
      </c>
      <c r="L4834">
        <v>7</v>
      </c>
      <c r="Q4834">
        <v>0</v>
      </c>
      <c r="R4834">
        <v>0</v>
      </c>
      <c r="S4834">
        <v>7</v>
      </c>
      <c r="Y4834" t="s">
        <v>25771</v>
      </c>
      <c r="Z4834" t="s">
        <v>9240</v>
      </c>
      <c r="AA4834" t="s">
        <v>25772</v>
      </c>
      <c r="AB4834" t="s">
        <v>3012</v>
      </c>
      <c r="AC4834" t="s">
        <v>9803</v>
      </c>
      <c r="AD4834" s="249" t="str">
        <f>HYPERLINK("https://scontent.cdninstagram.com/t51.2885-15/s320x320/e15/21373054_1988727221368277_8967858445231325184_n.jpg")</f>
        <v>https://scontent.cdninstagram.com/t51.2885-15/s320x320/e15/21373054_1988727221368277_8967858445231325184_n.jpg</v>
      </c>
      <c r="AE4834" s="249" t="str">
        <f>HYPERLINK("https://scontent.cdninstagram.com/t51.2885-19/s150x150/15056662_150478412088568_8679463803760410624_a.jpg")</f>
        <v>https://scontent.cdninstagram.com/t51.2885-19/s150x150/15056662_150478412088568_8679463803760410624_a.jpg</v>
      </c>
    </row>
    <row r="4835" spans="1:31" ht="15" x14ac:dyDescent="0.25">
      <c r="A4835" t="s">
        <v>2474</v>
      </c>
      <c r="B4835" t="s">
        <v>25773</v>
      </c>
      <c r="C4835" s="221">
        <v>42983.484131944446</v>
      </c>
      <c r="D4835" t="s">
        <v>25774</v>
      </c>
      <c r="E4835" s="249" t="str">
        <f>HYPERLINK("https://www.instagram.com/p/BYqiQajAM2z/")</f>
        <v>https://www.instagram.com/p/BYqiQajAM2z/</v>
      </c>
      <c r="F4835" t="s">
        <v>25775</v>
      </c>
      <c r="G4835" t="s">
        <v>2478</v>
      </c>
      <c r="H4835">
        <v>305</v>
      </c>
      <c r="I4835" t="s">
        <v>2479</v>
      </c>
      <c r="J4835">
        <v>1</v>
      </c>
      <c r="K4835">
        <v>25</v>
      </c>
      <c r="L4835">
        <v>26</v>
      </c>
      <c r="Q4835">
        <v>0</v>
      </c>
      <c r="R4835">
        <v>0</v>
      </c>
      <c r="S4835">
        <v>26</v>
      </c>
      <c r="Y4835" t="s">
        <v>25776</v>
      </c>
      <c r="Z4835" t="s">
        <v>25777</v>
      </c>
      <c r="AA4835" t="s">
        <v>25778</v>
      </c>
      <c r="AB4835" t="s">
        <v>25779</v>
      </c>
      <c r="AC4835" t="s">
        <v>25780</v>
      </c>
      <c r="AD4835" s="249" t="str">
        <f>HYPERLINK("https://scontent.cdninstagram.com/t51.2885-15/s320x320/e35/21371904_1577742838954622_1356675466093658112_n.jpg")</f>
        <v>https://scontent.cdninstagram.com/t51.2885-15/s320x320/e35/21371904_1577742838954622_1356675466093658112_n.jpg</v>
      </c>
      <c r="AE4835" s="249" t="str">
        <f>HYPERLINK("https://scontent.cdninstagram.com/t51.2885-19/11352429_754225331366057_911378045_a.jpg")</f>
        <v>https://scontent.cdninstagram.com/t51.2885-19/11352429_754225331366057_911378045_a.jpg</v>
      </c>
    </row>
    <row r="4836" spans="1:31" ht="15" x14ac:dyDescent="0.25">
      <c r="A4836" t="s">
        <v>2474</v>
      </c>
      <c r="B4836" t="s">
        <v>3248</v>
      </c>
      <c r="C4836" s="221">
        <v>42983.484155092592</v>
      </c>
      <c r="D4836" t="s">
        <v>25781</v>
      </c>
      <c r="E4836" s="249" t="str">
        <f>HYPERLINK("https://www.instagram.com/p/BYqiQrBHfH_/")</f>
        <v>https://www.instagram.com/p/BYqiQrBHfH_/</v>
      </c>
      <c r="F4836" t="s">
        <v>25782</v>
      </c>
      <c r="G4836" t="s">
        <v>2478</v>
      </c>
      <c r="H4836">
        <v>33494</v>
      </c>
      <c r="I4836" t="s">
        <v>2479</v>
      </c>
      <c r="J4836">
        <v>4</v>
      </c>
      <c r="K4836">
        <v>469</v>
      </c>
      <c r="L4836">
        <v>473</v>
      </c>
      <c r="Q4836">
        <v>0</v>
      </c>
      <c r="R4836">
        <v>0</v>
      </c>
      <c r="S4836">
        <v>473</v>
      </c>
      <c r="Y4836" t="s">
        <v>25783</v>
      </c>
      <c r="Z4836" t="s">
        <v>25784</v>
      </c>
      <c r="AA4836" t="s">
        <v>25785</v>
      </c>
      <c r="AB4836" t="s">
        <v>6509</v>
      </c>
      <c r="AC4836" t="s">
        <v>3293</v>
      </c>
      <c r="AD4836" s="249" t="str">
        <f>HYPERLINK("https://scontent.cdninstagram.com/t51.2885-15/e35/p320x320/21373098_114448099234460_531566477065584640_n.jpg")</f>
        <v>https://scontent.cdninstagram.com/t51.2885-15/e35/p320x320/21373098_114448099234460_531566477065584640_n.jpg</v>
      </c>
      <c r="AE4836" s="249" t="str">
        <f>HYPERLINK("https://scontent.cdninstagram.com/t51.2885-19/s150x150/16229301_1876915245885793_5124596849776263168_n.jpg")</f>
        <v>https://scontent.cdninstagram.com/t51.2885-19/s150x150/16229301_1876915245885793_5124596849776263168_n.jpg</v>
      </c>
    </row>
    <row r="4837" spans="1:31" ht="15" x14ac:dyDescent="0.25">
      <c r="A4837" t="s">
        <v>2474</v>
      </c>
      <c r="B4837" t="s">
        <v>25768</v>
      </c>
      <c r="C4837" s="221">
        <v>42983.492777777778</v>
      </c>
      <c r="D4837" t="s">
        <v>25786</v>
      </c>
      <c r="E4837" s="249" t="str">
        <f>HYPERLINK("https://www.instagram.com/p/BYqjrnOAE1r/")</f>
        <v>https://www.instagram.com/p/BYqjrnOAE1r/</v>
      </c>
      <c r="F4837" t="s">
        <v>25770</v>
      </c>
      <c r="G4837" t="s">
        <v>2631</v>
      </c>
      <c r="H4837">
        <v>137</v>
      </c>
      <c r="I4837" t="s">
        <v>2479</v>
      </c>
      <c r="J4837">
        <v>4</v>
      </c>
      <c r="K4837">
        <v>14</v>
      </c>
      <c r="L4837">
        <v>18</v>
      </c>
      <c r="Q4837">
        <v>0</v>
      </c>
      <c r="R4837">
        <v>0</v>
      </c>
      <c r="S4837">
        <v>18</v>
      </c>
      <c r="Y4837" t="s">
        <v>2721</v>
      </c>
      <c r="Z4837" t="s">
        <v>9240</v>
      </c>
      <c r="AA4837" t="s">
        <v>25787</v>
      </c>
      <c r="AB4837" t="s">
        <v>2766</v>
      </c>
      <c r="AC4837" t="s">
        <v>25768</v>
      </c>
      <c r="AD4837" s="249" t="str">
        <f>HYPERLINK("https://scontent.cdninstagram.com/t51.2885-15/s320x320/e15/21372134_705920889618544_8537275406733017088_n.jpg")</f>
        <v>https://scontent.cdninstagram.com/t51.2885-15/s320x320/e15/21372134_705920889618544_8537275406733017088_n.jpg</v>
      </c>
      <c r="AE4837" s="249" t="str">
        <f>HYPERLINK("https://scontent.cdninstagram.com/t51.2885-19/s150x150/15056662_150478412088568_8679463803760410624_a.jpg")</f>
        <v>https://scontent.cdninstagram.com/t51.2885-19/s150x150/15056662_150478412088568_8679463803760410624_a.jpg</v>
      </c>
    </row>
    <row r="4838" spans="1:31" ht="15" x14ac:dyDescent="0.25">
      <c r="A4838" t="s">
        <v>2474</v>
      </c>
      <c r="B4838" t="s">
        <v>25788</v>
      </c>
      <c r="C4838" s="221">
        <v>42983.49324074074</v>
      </c>
      <c r="D4838" t="s">
        <v>25789</v>
      </c>
      <c r="E4838" s="249" t="str">
        <f>HYPERLINK("https://www.instagram.com/p/BYqjwetBywa/")</f>
        <v>https://www.instagram.com/p/BYqjwetBywa/</v>
      </c>
      <c r="F4838" t="s">
        <v>25790</v>
      </c>
      <c r="G4838" t="s">
        <v>2478</v>
      </c>
      <c r="H4838">
        <v>706</v>
      </c>
      <c r="I4838" t="s">
        <v>2479</v>
      </c>
      <c r="J4838">
        <v>0</v>
      </c>
      <c r="K4838">
        <v>36</v>
      </c>
      <c r="L4838">
        <v>36</v>
      </c>
      <c r="Q4838">
        <v>0</v>
      </c>
      <c r="R4838">
        <v>0</v>
      </c>
      <c r="S4838">
        <v>36</v>
      </c>
      <c r="Y4838" t="s">
        <v>2497</v>
      </c>
      <c r="Z4838" t="s">
        <v>25791</v>
      </c>
      <c r="AD4838" s="249" t="str">
        <f>HYPERLINK("https://scontent.cdninstagram.com/t51.2885-15/s320x320/e35/21372282_532866500393921_27064573206986752_n.jpg")</f>
        <v>https://scontent.cdninstagram.com/t51.2885-15/s320x320/e35/21372282_532866500393921_27064573206986752_n.jpg</v>
      </c>
      <c r="AE4838" s="249" t="str">
        <f>HYPERLINK("https://scontent.cdninstagram.com/t51.2885-19/s150x150/20184673_127300571212600_8963711684371808256_a.jpg")</f>
        <v>https://scontent.cdninstagram.com/t51.2885-19/s150x150/20184673_127300571212600_8963711684371808256_a.jpg</v>
      </c>
    </row>
    <row r="4839" spans="1:31" ht="15" x14ac:dyDescent="0.25">
      <c r="A4839" t="s">
        <v>2474</v>
      </c>
      <c r="B4839" t="s">
        <v>25792</v>
      </c>
      <c r="C4839" s="221">
        <v>42983.493923611109</v>
      </c>
      <c r="D4839" t="s">
        <v>25793</v>
      </c>
      <c r="E4839" s="249" t="str">
        <f>HYPERLINK("https://www.instagram.com/p/BYqj3raDXx-/")</f>
        <v>https://www.instagram.com/p/BYqj3raDXx-/</v>
      </c>
      <c r="F4839" t="s">
        <v>25794</v>
      </c>
      <c r="G4839" t="s">
        <v>2478</v>
      </c>
      <c r="H4839">
        <v>364</v>
      </c>
      <c r="I4839" t="s">
        <v>2479</v>
      </c>
      <c r="J4839">
        <v>0</v>
      </c>
      <c r="K4839">
        <v>12</v>
      </c>
      <c r="L4839">
        <v>12</v>
      </c>
      <c r="Q4839">
        <v>0</v>
      </c>
      <c r="R4839">
        <v>0</v>
      </c>
      <c r="S4839">
        <v>12</v>
      </c>
      <c r="T4839" t="s">
        <v>25795</v>
      </c>
      <c r="V4839" t="s">
        <v>2176</v>
      </c>
      <c r="W4839">
        <v>19.105027010981001</v>
      </c>
      <c r="X4839">
        <v>72.882050871849003</v>
      </c>
      <c r="Y4839" t="s">
        <v>5202</v>
      </c>
      <c r="Z4839" t="s">
        <v>3446</v>
      </c>
      <c r="AA4839" t="s">
        <v>5901</v>
      </c>
      <c r="AB4839" t="s">
        <v>3549</v>
      </c>
      <c r="AC4839" t="s">
        <v>25796</v>
      </c>
      <c r="AD4839" s="249" t="str">
        <f>HYPERLINK("https://scontent.cdninstagram.com/t51.2885-15/s320x320/e35/21372869_851019955059197_3911376714457939968_n.jpg")</f>
        <v>https://scontent.cdninstagram.com/t51.2885-15/s320x320/e35/21372869_851019955059197_3911376714457939968_n.jpg</v>
      </c>
      <c r="AE4839" s="249" t="str">
        <f>HYPERLINK("https://scontent.cdninstagram.com/t51.2885-19/s150x150/19424631_287656108365837_4864014788721639424_a.jpg")</f>
        <v>https://scontent.cdninstagram.com/t51.2885-19/s150x150/19424631_287656108365837_4864014788721639424_a.jpg</v>
      </c>
    </row>
    <row r="4840" spans="1:31" ht="15" x14ac:dyDescent="0.25">
      <c r="A4840" t="s">
        <v>2474</v>
      </c>
      <c r="B4840" t="s">
        <v>3393</v>
      </c>
      <c r="C4840" s="221">
        <v>42983.49423611111</v>
      </c>
      <c r="D4840" t="s">
        <v>25797</v>
      </c>
      <c r="E4840" s="249" t="str">
        <f>HYPERLINK("https://www.instagram.com/p/BYqj7C0Hj_7/")</f>
        <v>https://www.instagram.com/p/BYqj7C0Hj_7/</v>
      </c>
      <c r="F4840" t="s">
        <v>25798</v>
      </c>
      <c r="G4840" t="s">
        <v>2478</v>
      </c>
      <c r="H4840">
        <v>19362</v>
      </c>
      <c r="I4840" t="s">
        <v>2479</v>
      </c>
      <c r="J4840">
        <v>6</v>
      </c>
      <c r="K4840">
        <v>315</v>
      </c>
      <c r="L4840">
        <v>321</v>
      </c>
      <c r="Q4840">
        <v>0</v>
      </c>
      <c r="R4840">
        <v>0</v>
      </c>
      <c r="S4840">
        <v>321</v>
      </c>
      <c r="AD4840" s="249" t="str">
        <f>HYPERLINK("https://scontent.cdninstagram.com/t51.2885-15/s320x320/e35/21373733_687218911481449_4564315149082558464_n.jpg")</f>
        <v>https://scontent.cdninstagram.com/t51.2885-15/s320x320/e35/21373733_687218911481449_4564315149082558464_n.jpg</v>
      </c>
      <c r="AE4840" s="249" t="str">
        <f>HYPERLINK("https://scontent.cdninstagram.com/t51.2885-19/s150x150/20969318_163506604224066_8451668608215416832_n.jpg")</f>
        <v>https://scontent.cdninstagram.com/t51.2885-19/s150x150/20969318_163506604224066_8451668608215416832_n.jpg</v>
      </c>
    </row>
    <row r="4841" spans="1:31" ht="15" x14ac:dyDescent="0.25">
      <c r="A4841" t="s">
        <v>2474</v>
      </c>
      <c r="B4841" t="s">
        <v>25799</v>
      </c>
      <c r="C4841" s="221">
        <v>42983.499768518515</v>
      </c>
      <c r="D4841" t="s">
        <v>25800</v>
      </c>
      <c r="E4841" s="249" t="str">
        <f>HYPERLINK("https://www.instagram.com/p/BYqk1a9FC0C/")</f>
        <v>https://www.instagram.com/p/BYqk1a9FC0C/</v>
      </c>
      <c r="F4841" t="s">
        <v>25801</v>
      </c>
      <c r="G4841" t="s">
        <v>2488</v>
      </c>
      <c r="H4841">
        <v>767</v>
      </c>
      <c r="I4841" t="s">
        <v>2479</v>
      </c>
      <c r="J4841">
        <v>2</v>
      </c>
      <c r="K4841">
        <v>41</v>
      </c>
      <c r="L4841">
        <v>43</v>
      </c>
      <c r="Q4841">
        <v>0</v>
      </c>
      <c r="R4841">
        <v>0</v>
      </c>
      <c r="S4841">
        <v>43</v>
      </c>
      <c r="Y4841" t="s">
        <v>4514</v>
      </c>
      <c r="Z4841" t="s">
        <v>25802</v>
      </c>
      <c r="AA4841" t="s">
        <v>25803</v>
      </c>
      <c r="AB4841" t="s">
        <v>2769</v>
      </c>
      <c r="AC4841" t="s">
        <v>25804</v>
      </c>
      <c r="AD4841" s="249" t="str">
        <f>HYPERLINK("https://scontent.cdninstagram.com/t51.2885-15/s320x320/e35/21371642_274009763094482_6892023295634309120_n.jpg")</f>
        <v>https://scontent.cdninstagram.com/t51.2885-15/s320x320/e35/21371642_274009763094482_6892023295634309120_n.jpg</v>
      </c>
      <c r="AE4841" s="249" t="str">
        <f>HYPERLINK("https://scontent.cdninstagram.com/t51.2885-19/s150x150/20590106_446011239110967_2039091356487385088_a.jpg")</f>
        <v>https://scontent.cdninstagram.com/t51.2885-19/s150x150/20590106_446011239110967_2039091356487385088_a.jpg</v>
      </c>
    </row>
    <row r="4842" spans="1:31" ht="15" x14ac:dyDescent="0.25">
      <c r="A4842" t="s">
        <v>2474</v>
      </c>
      <c r="B4842" t="s">
        <v>6327</v>
      </c>
      <c r="C4842" s="221">
        <v>42983.505057870374</v>
      </c>
      <c r="D4842" t="s">
        <v>25805</v>
      </c>
      <c r="E4842" s="249" t="str">
        <f>HYPERLINK("https://www.instagram.com/p/BYqltIMBykq/")</f>
        <v>https://www.instagram.com/p/BYqltIMBykq/</v>
      </c>
      <c r="F4842" t="s">
        <v>25806</v>
      </c>
      <c r="G4842" t="s">
        <v>2478</v>
      </c>
      <c r="H4842">
        <v>853</v>
      </c>
      <c r="I4842" t="s">
        <v>2479</v>
      </c>
      <c r="J4842">
        <v>0</v>
      </c>
      <c r="K4842">
        <v>15</v>
      </c>
      <c r="L4842">
        <v>15</v>
      </c>
      <c r="Q4842">
        <v>0</v>
      </c>
      <c r="R4842">
        <v>0</v>
      </c>
      <c r="S4842">
        <v>15</v>
      </c>
      <c r="Y4842" t="s">
        <v>25807</v>
      </c>
      <c r="Z4842" t="s">
        <v>11254</v>
      </c>
      <c r="AA4842" t="s">
        <v>4174</v>
      </c>
      <c r="AB4842" t="s">
        <v>25808</v>
      </c>
      <c r="AC4842" t="s">
        <v>11745</v>
      </c>
      <c r="AD4842" s="249" t="str">
        <f>HYPERLINK("https://scontent.cdninstagram.com/t51.2885-15/e35/p320x320/21372273_488741124820395_7207615538334269440_n.jpg")</f>
        <v>https://scontent.cdninstagram.com/t51.2885-15/e35/p320x320/21372273_488741124820395_7207615538334269440_n.jpg</v>
      </c>
      <c r="AE4842" s="249" t="str">
        <f>HYPERLINK("https://scontent.cdninstagram.com/t51.2885-19/s150x150/20969047_1590756160998815_6715613509725454336_a.jpg")</f>
        <v>https://scontent.cdninstagram.com/t51.2885-19/s150x150/20969047_1590756160998815_6715613509725454336_a.jpg</v>
      </c>
    </row>
    <row r="4843" spans="1:31" ht="15" x14ac:dyDescent="0.25">
      <c r="A4843" t="s">
        <v>2474</v>
      </c>
      <c r="B4843" t="s">
        <v>25809</v>
      </c>
      <c r="C4843" s="221">
        <v>42983.5080787037</v>
      </c>
      <c r="D4843" t="s">
        <v>25810</v>
      </c>
      <c r="E4843" s="249" t="str">
        <f>HYPERLINK("https://www.instagram.com/p/BYqmNC1F7Ii/")</f>
        <v>https://www.instagram.com/p/BYqmNC1F7Ii/</v>
      </c>
      <c r="F4843" t="s">
        <v>25811</v>
      </c>
      <c r="G4843" t="s">
        <v>2478</v>
      </c>
      <c r="H4843">
        <v>512</v>
      </c>
      <c r="I4843" t="s">
        <v>2479</v>
      </c>
      <c r="J4843">
        <v>8</v>
      </c>
      <c r="K4843">
        <v>81</v>
      </c>
      <c r="L4843">
        <v>89</v>
      </c>
      <c r="Q4843">
        <v>0</v>
      </c>
      <c r="R4843">
        <v>0</v>
      </c>
      <c r="S4843">
        <v>89</v>
      </c>
      <c r="Y4843" t="s">
        <v>10763</v>
      </c>
      <c r="Z4843" t="s">
        <v>25812</v>
      </c>
      <c r="AA4843" t="s">
        <v>5084</v>
      </c>
      <c r="AB4843" t="s">
        <v>25813</v>
      </c>
      <c r="AC4843" t="s">
        <v>2492</v>
      </c>
      <c r="AD4843" s="249" t="str">
        <f>HYPERLINK("https://scontent.cdninstagram.com/t51.2885-15/s320x320/e35/20986622_1998796310355953_4554113158645547008_n.jpg")</f>
        <v>https://scontent.cdninstagram.com/t51.2885-15/s320x320/e35/20986622_1998796310355953_4554113158645547008_n.jpg</v>
      </c>
      <c r="AE4843" s="249" t="str">
        <f>HYPERLINK("https://scontent.cdninstagram.com/t51.2885-19/s150x150/20987358_1935376223341658_321827654745456640_a.jpg")</f>
        <v>https://scontent.cdninstagram.com/t51.2885-19/s150x150/20987358_1935376223341658_321827654745456640_a.jpg</v>
      </c>
    </row>
    <row r="4844" spans="1:31" ht="15" x14ac:dyDescent="0.25">
      <c r="A4844" t="s">
        <v>2474</v>
      </c>
      <c r="B4844" t="s">
        <v>2644</v>
      </c>
      <c r="C4844" s="221">
        <v>42983.5153125</v>
      </c>
      <c r="D4844" t="s">
        <v>25814</v>
      </c>
      <c r="E4844" s="249" t="str">
        <f>HYPERLINK("https://www.instagram.com/p/BYqnZQrg2VX/")</f>
        <v>https://www.instagram.com/p/BYqnZQrg2VX/</v>
      </c>
      <c r="F4844" t="s">
        <v>25815</v>
      </c>
      <c r="G4844" t="s">
        <v>2478</v>
      </c>
      <c r="H4844">
        <v>1730</v>
      </c>
      <c r="I4844" t="s">
        <v>2479</v>
      </c>
      <c r="J4844">
        <v>0</v>
      </c>
      <c r="K4844">
        <v>76</v>
      </c>
      <c r="L4844">
        <v>76</v>
      </c>
      <c r="Q4844">
        <v>0</v>
      </c>
      <c r="R4844">
        <v>0</v>
      </c>
      <c r="S4844">
        <v>76</v>
      </c>
      <c r="T4844" t="s">
        <v>25816</v>
      </c>
      <c r="V4844" t="s">
        <v>2648</v>
      </c>
      <c r="W4844">
        <v>55.728175557116003</v>
      </c>
      <c r="X4844">
        <v>37.555873656415002</v>
      </c>
      <c r="Y4844" t="s">
        <v>3633</v>
      </c>
      <c r="Z4844" t="s">
        <v>23883</v>
      </c>
      <c r="AA4844" t="s">
        <v>2651</v>
      </c>
      <c r="AB4844" t="s">
        <v>3635</v>
      </c>
      <c r="AC4844" t="s">
        <v>5493</v>
      </c>
      <c r="AD4844" s="249" t="str">
        <f>HYPERLINK("https://scontent.cdninstagram.com/t51.2885-15/e35/p320x320/21373430_120749425195596_2918684419436838912_n.jpg")</f>
        <v>https://scontent.cdninstagram.com/t51.2885-15/e35/p320x320/21373430_120749425195596_2918684419436838912_n.jpg</v>
      </c>
      <c r="AE4844" s="249" t="str">
        <f>HYPERLINK("https://scontent.cdninstagram.com/t51.2885-19/11372086_1598451257062069_1320225693_a.jpg")</f>
        <v>https://scontent.cdninstagram.com/t51.2885-19/11372086_1598451257062069_1320225693_a.jpg</v>
      </c>
    </row>
    <row r="4845" spans="1:31" ht="15" x14ac:dyDescent="0.25">
      <c r="A4845" t="s">
        <v>2474</v>
      </c>
      <c r="B4845" t="s">
        <v>25817</v>
      </c>
      <c r="C4845" s="221">
        <v>42983.516712962963</v>
      </c>
      <c r="D4845" t="s">
        <v>25818</v>
      </c>
      <c r="E4845" s="249" t="str">
        <f>HYPERLINK("https://www.instagram.com/p/BYqnoHGgkm7/")</f>
        <v>https://www.instagram.com/p/BYqnoHGgkm7/</v>
      </c>
      <c r="F4845" t="s">
        <v>25819</v>
      </c>
      <c r="G4845" t="s">
        <v>2478</v>
      </c>
      <c r="H4845">
        <v>678</v>
      </c>
      <c r="I4845" t="s">
        <v>2479</v>
      </c>
      <c r="J4845">
        <v>9</v>
      </c>
      <c r="K4845">
        <v>87</v>
      </c>
      <c r="L4845">
        <v>96</v>
      </c>
      <c r="Q4845">
        <v>0</v>
      </c>
      <c r="R4845">
        <v>0</v>
      </c>
      <c r="S4845">
        <v>96</v>
      </c>
      <c r="Y4845" t="s">
        <v>6164</v>
      </c>
      <c r="Z4845" t="s">
        <v>25820</v>
      </c>
      <c r="AA4845" t="s">
        <v>25821</v>
      </c>
      <c r="AB4845" t="s">
        <v>10901</v>
      </c>
      <c r="AC4845" t="s">
        <v>5884</v>
      </c>
      <c r="AD4845" s="249" t="str">
        <f>HYPERLINK("https://scontent.cdninstagram.com/t51.2885-15/e35/p320x320/21372826_174684459746045_2715044631065657344_n.jpg")</f>
        <v>https://scontent.cdninstagram.com/t51.2885-15/e35/p320x320/21372826_174684459746045_2715044631065657344_n.jpg</v>
      </c>
      <c r="AE4845" s="249" t="str">
        <f>HYPERLINK("https://scontent.cdninstagram.com/t51.2885-19/s150x150/17881219_367132550347387_7118005675677974528_a.jpg")</f>
        <v>https://scontent.cdninstagram.com/t51.2885-19/s150x150/17881219_367132550347387_7118005675677974528_a.jpg</v>
      </c>
    </row>
    <row r="4846" spans="1:31" ht="15" x14ac:dyDescent="0.25">
      <c r="A4846" t="s">
        <v>2474</v>
      </c>
      <c r="B4846" t="s">
        <v>2644</v>
      </c>
      <c r="C4846" s="221">
        <v>42983.521979166668</v>
      </c>
      <c r="D4846" t="s">
        <v>25822</v>
      </c>
      <c r="E4846" s="249" t="str">
        <f>HYPERLINK("https://www.instagram.com/p/BYqofnwAs1g/")</f>
        <v>https://www.instagram.com/p/BYqofnwAs1g/</v>
      </c>
      <c r="F4846" t="s">
        <v>25823</v>
      </c>
      <c r="G4846" t="s">
        <v>2478</v>
      </c>
      <c r="H4846">
        <v>1730</v>
      </c>
      <c r="I4846" t="s">
        <v>2479</v>
      </c>
      <c r="J4846">
        <v>0</v>
      </c>
      <c r="K4846">
        <v>25</v>
      </c>
      <c r="L4846">
        <v>25</v>
      </c>
      <c r="Q4846">
        <v>0</v>
      </c>
      <c r="R4846">
        <v>0</v>
      </c>
      <c r="S4846">
        <v>25</v>
      </c>
      <c r="T4846" t="s">
        <v>25816</v>
      </c>
      <c r="V4846" t="s">
        <v>2648</v>
      </c>
      <c r="W4846">
        <v>55.728175557116003</v>
      </c>
      <c r="X4846">
        <v>37.555873656415002</v>
      </c>
      <c r="Y4846" t="s">
        <v>5902</v>
      </c>
      <c r="Z4846" t="s">
        <v>3635</v>
      </c>
      <c r="AA4846" t="s">
        <v>2032</v>
      </c>
      <c r="AB4846" t="s">
        <v>5796</v>
      </c>
      <c r="AC4846" t="s">
        <v>4863</v>
      </c>
      <c r="AD4846" s="249" t="str">
        <f>HYPERLINK("https://scontent.cdninstagram.com/t51.2885-15/s320x320/e35/21373800_293455184395176_7480166354687885312_n.jpg")</f>
        <v>https://scontent.cdninstagram.com/t51.2885-15/s320x320/e35/21373800_293455184395176_7480166354687885312_n.jpg</v>
      </c>
      <c r="AE4846" s="249" t="str">
        <f>HYPERLINK("https://scontent.cdninstagram.com/t51.2885-19/11372086_1598451257062069_1320225693_a.jpg")</f>
        <v>https://scontent.cdninstagram.com/t51.2885-19/11372086_1598451257062069_1320225693_a.jpg</v>
      </c>
    </row>
    <row r="4847" spans="1:31" ht="15" x14ac:dyDescent="0.25">
      <c r="A4847" t="s">
        <v>2474</v>
      </c>
      <c r="B4847" t="s">
        <v>25824</v>
      </c>
      <c r="C4847" s="221">
        <v>42983.523784722223</v>
      </c>
      <c r="D4847" t="s">
        <v>25825</v>
      </c>
      <c r="E4847" s="249" t="str">
        <f>HYPERLINK("https://www.instagram.com/p/BYqoynKFzHJ/")</f>
        <v>https://www.instagram.com/p/BYqoynKFzHJ/</v>
      </c>
      <c r="F4847" t="s">
        <v>25826</v>
      </c>
      <c r="G4847" t="s">
        <v>2631</v>
      </c>
      <c r="H4847">
        <v>297</v>
      </c>
      <c r="I4847" t="s">
        <v>2479</v>
      </c>
      <c r="J4847">
        <v>0</v>
      </c>
      <c r="K4847">
        <v>17</v>
      </c>
      <c r="L4847">
        <v>17</v>
      </c>
      <c r="Q4847">
        <v>0</v>
      </c>
      <c r="R4847">
        <v>0</v>
      </c>
      <c r="S4847">
        <v>17</v>
      </c>
      <c r="Y4847" t="s">
        <v>25827</v>
      </c>
      <c r="Z4847" t="s">
        <v>25828</v>
      </c>
      <c r="AA4847" t="s">
        <v>2497</v>
      </c>
      <c r="AB4847" t="s">
        <v>25829</v>
      </c>
      <c r="AC4847" t="s">
        <v>14122</v>
      </c>
      <c r="AD4847" s="249" t="str">
        <f>HYPERLINK("https://scontent.cdninstagram.com/t51.2885-15/s320x320/e15/21372596_121915378540150_6645382822976552960_n.jpg")</f>
        <v>https://scontent.cdninstagram.com/t51.2885-15/s320x320/e15/21372596_121915378540150_6645382822976552960_n.jpg</v>
      </c>
      <c r="AE4847" s="249" t="str">
        <f>HYPERLINK("https://scontent.cdninstagram.com/t51.2885-19/11809939_409123519295328_425735750_a.jpg")</f>
        <v>https://scontent.cdninstagram.com/t51.2885-19/11809939_409123519295328_425735750_a.jpg</v>
      </c>
    </row>
    <row r="4848" spans="1:31" ht="15" x14ac:dyDescent="0.25">
      <c r="A4848" t="s">
        <v>2474</v>
      </c>
      <c r="B4848" t="s">
        <v>25830</v>
      </c>
      <c r="C4848" s="221">
        <v>42983.525960648149</v>
      </c>
      <c r="D4848" t="s">
        <v>25831</v>
      </c>
      <c r="E4848" s="249" t="str">
        <f>HYPERLINK("https://www.instagram.com/p/BYqpJneAjAA/")</f>
        <v>https://www.instagram.com/p/BYqpJneAjAA/</v>
      </c>
      <c r="F4848" t="s">
        <v>25832</v>
      </c>
      <c r="G4848" t="s">
        <v>2478</v>
      </c>
      <c r="I4848" t="s">
        <v>2479</v>
      </c>
      <c r="J4848">
        <v>0</v>
      </c>
      <c r="K4848">
        <v>14</v>
      </c>
      <c r="L4848">
        <v>14</v>
      </c>
      <c r="Q4848">
        <v>0</v>
      </c>
      <c r="R4848">
        <v>0</v>
      </c>
      <c r="S4848">
        <v>14</v>
      </c>
      <c r="Y4848" t="s">
        <v>2497</v>
      </c>
      <c r="Z4848" t="s">
        <v>2492</v>
      </c>
      <c r="AA4848" t="s">
        <v>25833</v>
      </c>
      <c r="AD4848" s="249" t="str">
        <f>HYPERLINK("https://scontent.cdninstagram.com/t51.2885-15/s320x320/e35/21372288_351653051932817_2721268468174290944_n.jpg")</f>
        <v>https://scontent.cdninstagram.com/t51.2885-15/s320x320/e35/21372288_351653051932817_2721268468174290944_n.jpg</v>
      </c>
      <c r="AE4848" s="249" t="str">
        <f>HYPERLINK("https://scontent.cdninstagram.com/t51.2885-19/s150x150/21372089_115639482419500_5713859001213517824_a.jpg")</f>
        <v>https://scontent.cdninstagram.com/t51.2885-19/s150x150/21372089_115639482419500_5713859001213517824_a.jpg</v>
      </c>
    </row>
    <row r="4849" spans="1:31" ht="15" x14ac:dyDescent="0.25">
      <c r="A4849" t="s">
        <v>2474</v>
      </c>
      <c r="B4849" t="s">
        <v>25834</v>
      </c>
      <c r="C4849" s="221">
        <v>42983.527557870373</v>
      </c>
      <c r="D4849" t="s">
        <v>25835</v>
      </c>
      <c r="E4849" s="249" t="str">
        <f>HYPERLINK("https://www.instagram.com/p/BYqpafDFL5g/")</f>
        <v>https://www.instagram.com/p/BYqpafDFL5g/</v>
      </c>
      <c r="F4849" t="s">
        <v>25836</v>
      </c>
      <c r="G4849" t="s">
        <v>2478</v>
      </c>
      <c r="H4849">
        <v>266</v>
      </c>
      <c r="I4849" t="s">
        <v>2479</v>
      </c>
      <c r="J4849">
        <v>26</v>
      </c>
      <c r="K4849">
        <v>111</v>
      </c>
      <c r="L4849">
        <v>137</v>
      </c>
      <c r="Q4849">
        <v>0</v>
      </c>
      <c r="R4849">
        <v>0</v>
      </c>
      <c r="S4849">
        <v>137</v>
      </c>
      <c r="Y4849" t="s">
        <v>2491</v>
      </c>
      <c r="Z4849" t="s">
        <v>2492</v>
      </c>
      <c r="AA4849" t="s">
        <v>25837</v>
      </c>
      <c r="AB4849" t="s">
        <v>7287</v>
      </c>
      <c r="AC4849" t="s">
        <v>13887</v>
      </c>
      <c r="AD4849" s="249" t="str">
        <f>HYPERLINK("https://scontent.cdninstagram.com/t51.2885-15/s320x320/e35/21434126_115207895817218_7830561438941839360_n.jpg")</f>
        <v>https://scontent.cdninstagram.com/t51.2885-15/s320x320/e35/21434126_115207895817218_7830561438941839360_n.jpg</v>
      </c>
      <c r="AE4849" s="249" t="str">
        <f>HYPERLINK("https://scontent.cdninstagram.com/t51.2885-19/s150x150/21435746_1716793535020163_4382124539056750592_a.jpg")</f>
        <v>https://scontent.cdninstagram.com/t51.2885-19/s150x150/21435746_1716793535020163_4382124539056750592_a.jpg</v>
      </c>
    </row>
    <row r="4850" spans="1:31" ht="15" x14ac:dyDescent="0.25">
      <c r="A4850" t="s">
        <v>2474</v>
      </c>
      <c r="B4850" t="s">
        <v>7844</v>
      </c>
      <c r="C4850" s="221">
        <v>42983.527789351851</v>
      </c>
      <c r="D4850" t="s">
        <v>25838</v>
      </c>
      <c r="E4850" s="249" t="str">
        <f>HYPERLINK("https://www.instagram.com/p/BYqpc9RDpxW/")</f>
        <v>https://www.instagram.com/p/BYqpc9RDpxW/</v>
      </c>
      <c r="F4850" t="s">
        <v>25839</v>
      </c>
      <c r="G4850" t="s">
        <v>2478</v>
      </c>
      <c r="H4850">
        <v>429</v>
      </c>
      <c r="I4850" t="s">
        <v>2479</v>
      </c>
      <c r="J4850">
        <v>3</v>
      </c>
      <c r="K4850">
        <v>34</v>
      </c>
      <c r="L4850">
        <v>37</v>
      </c>
      <c r="Q4850">
        <v>0</v>
      </c>
      <c r="R4850">
        <v>0</v>
      </c>
      <c r="S4850">
        <v>37</v>
      </c>
      <c r="Y4850" t="s">
        <v>2899</v>
      </c>
      <c r="Z4850" t="s">
        <v>10639</v>
      </c>
      <c r="AA4850" t="s">
        <v>4388</v>
      </c>
      <c r="AB4850" t="s">
        <v>9836</v>
      </c>
      <c r="AC4850" t="s">
        <v>2735</v>
      </c>
      <c r="AD4850" s="249" t="str">
        <f>HYPERLINK("https://scontent.cdninstagram.com/t51.2885-15/e35/p320x320/21372116_496312194055971_7530317188859691008_n.jpg")</f>
        <v>https://scontent.cdninstagram.com/t51.2885-15/e35/p320x320/21372116_496312194055971_7530317188859691008_n.jpg</v>
      </c>
      <c r="AE4850" s="249" t="str">
        <f>HYPERLINK("https://scontent.cdninstagram.com/t51.2885-19/s150x150/14659433_124185214720398_460441517996113920_a.jpg")</f>
        <v>https://scontent.cdninstagram.com/t51.2885-19/s150x150/14659433_124185214720398_460441517996113920_a.jpg</v>
      </c>
    </row>
    <row r="4851" spans="1:31" ht="15" x14ac:dyDescent="0.25">
      <c r="A4851" t="s">
        <v>2474</v>
      </c>
      <c r="B4851" t="s">
        <v>3065</v>
      </c>
      <c r="C4851" s="221">
        <v>42983.529317129629</v>
      </c>
      <c r="D4851" t="s">
        <v>25840</v>
      </c>
      <c r="E4851" s="249" t="str">
        <f>HYPERLINK("https://www.instagram.com/p/BYqps9hjNJX/")</f>
        <v>https://www.instagram.com/p/BYqps9hjNJX/</v>
      </c>
      <c r="F4851" t="s">
        <v>25841</v>
      </c>
      <c r="G4851" t="s">
        <v>2478</v>
      </c>
      <c r="H4851">
        <v>161</v>
      </c>
      <c r="I4851" t="s">
        <v>2479</v>
      </c>
      <c r="J4851">
        <v>2</v>
      </c>
      <c r="K4851">
        <v>38</v>
      </c>
      <c r="L4851">
        <v>40</v>
      </c>
      <c r="Q4851">
        <v>0</v>
      </c>
      <c r="R4851">
        <v>0</v>
      </c>
      <c r="S4851">
        <v>40</v>
      </c>
      <c r="Y4851" t="s">
        <v>2737</v>
      </c>
      <c r="Z4851" t="s">
        <v>3069</v>
      </c>
      <c r="AA4851" t="s">
        <v>3392</v>
      </c>
      <c r="AB4851" t="s">
        <v>25842</v>
      </c>
      <c r="AC4851" t="s">
        <v>5229</v>
      </c>
      <c r="AD4851" s="249" t="str">
        <f>HYPERLINK("https://scontent.cdninstagram.com/t51.2885-15/s320x320/e35/21373146_1311595005618118_9086050344579891200_n.jpg")</f>
        <v>https://scontent.cdninstagram.com/t51.2885-15/s320x320/e35/21373146_1311595005618118_9086050344579891200_n.jpg</v>
      </c>
      <c r="AE4851" s="249" t="str">
        <f>HYPERLINK("https://scontent.cdninstagram.com/t51.2885-19/s150x150/19765279_1608513482524058_1389848805645484032_a.jpg")</f>
        <v>https://scontent.cdninstagram.com/t51.2885-19/s150x150/19765279_1608513482524058_1389848805645484032_a.jpg</v>
      </c>
    </row>
    <row r="4852" spans="1:31" ht="15" x14ac:dyDescent="0.25">
      <c r="A4852" t="s">
        <v>2474</v>
      </c>
      <c r="B4852" t="s">
        <v>25843</v>
      </c>
      <c r="C4852" s="221">
        <v>42983.529594907406</v>
      </c>
      <c r="D4852" t="s">
        <v>25844</v>
      </c>
      <c r="E4852" s="249" t="str">
        <f>HYPERLINK("https://www.instagram.com/p/BYqpv-jnhsd/")</f>
        <v>https://www.instagram.com/p/BYqpv-jnhsd/</v>
      </c>
      <c r="F4852" t="s">
        <v>25845</v>
      </c>
      <c r="G4852" t="s">
        <v>2478</v>
      </c>
      <c r="H4852">
        <v>346</v>
      </c>
      <c r="I4852" t="s">
        <v>2850</v>
      </c>
      <c r="J4852">
        <v>6</v>
      </c>
      <c r="K4852">
        <v>37</v>
      </c>
      <c r="L4852">
        <v>43</v>
      </c>
      <c r="Q4852">
        <v>0</v>
      </c>
      <c r="R4852">
        <v>0</v>
      </c>
      <c r="S4852">
        <v>43</v>
      </c>
      <c r="Y4852" t="s">
        <v>25846</v>
      </c>
      <c r="Z4852" t="s">
        <v>25847</v>
      </c>
      <c r="AA4852" t="s">
        <v>25848</v>
      </c>
      <c r="AB4852" t="s">
        <v>2497</v>
      </c>
      <c r="AC4852" t="s">
        <v>25849</v>
      </c>
      <c r="AD4852" s="249" t="str">
        <f>HYPERLINK("https://scontent.cdninstagram.com/t51.2885-15/s320x320/e35/21371647_756542811191851_1713691092110540800_n.jpg")</f>
        <v>https://scontent.cdninstagram.com/t51.2885-15/s320x320/e35/21371647_756542811191851_1713691092110540800_n.jpg</v>
      </c>
      <c r="AE4852" s="249" t="str">
        <f>HYPERLINK("https://scontent.cdninstagram.com/t51.2885-19/s150x150/15534662_255026514910403_7627635340991266816_a.jpg")</f>
        <v>https://scontent.cdninstagram.com/t51.2885-19/s150x150/15534662_255026514910403_7627635340991266816_a.jpg</v>
      </c>
    </row>
    <row r="4853" spans="1:31" ht="15" x14ac:dyDescent="0.25">
      <c r="A4853" t="s">
        <v>2474</v>
      </c>
      <c r="B4853" t="s">
        <v>25850</v>
      </c>
      <c r="C4853" s="221">
        <v>42983.530381944445</v>
      </c>
      <c r="D4853" t="s">
        <v>25851</v>
      </c>
      <c r="E4853" s="249" t="str">
        <f>HYPERLINK("https://www.instagram.com/p/BYqp4Rqn0u0/")</f>
        <v>https://www.instagram.com/p/BYqp4Rqn0u0/</v>
      </c>
      <c r="F4853" t="s">
        <v>25852</v>
      </c>
      <c r="G4853" t="s">
        <v>2478</v>
      </c>
      <c r="H4853">
        <v>433</v>
      </c>
      <c r="I4853" t="s">
        <v>2479</v>
      </c>
      <c r="J4853">
        <v>6</v>
      </c>
      <c r="K4853">
        <v>24</v>
      </c>
      <c r="L4853">
        <v>30</v>
      </c>
      <c r="Q4853">
        <v>0</v>
      </c>
      <c r="R4853">
        <v>0</v>
      </c>
      <c r="S4853">
        <v>30</v>
      </c>
      <c r="Y4853" t="s">
        <v>2497</v>
      </c>
      <c r="Z4853" t="s">
        <v>25853</v>
      </c>
      <c r="AD4853" s="249" t="str">
        <f>HYPERLINK("https://scontent.cdninstagram.com/t51.2885-15/s320x320/e35/21372202_1942536566020807_5929809561719406592_n.jpg")</f>
        <v>https://scontent.cdninstagram.com/t51.2885-15/s320x320/e35/21372202_1942536566020807_5929809561719406592_n.jpg</v>
      </c>
      <c r="AE4853" s="249" t="str">
        <f>HYPERLINK("https://scontent.cdninstagram.com/t51.2885-19/s150x150/17127256_410366669324872_8908056841020243968_a.jpg")</f>
        <v>https://scontent.cdninstagram.com/t51.2885-19/s150x150/17127256_410366669324872_8908056841020243968_a.jpg</v>
      </c>
    </row>
    <row r="4854" spans="1:31" ht="15" x14ac:dyDescent="0.25">
      <c r="A4854" t="s">
        <v>2474</v>
      </c>
      <c r="B4854" t="s">
        <v>8538</v>
      </c>
      <c r="C4854" s="221">
        <v>42983.533310185187</v>
      </c>
      <c r="D4854" t="s">
        <v>25854</v>
      </c>
      <c r="E4854" s="249" t="str">
        <f>HYPERLINK("https://www.instagram.com/p/BYqqXIeA3K6/")</f>
        <v>https://www.instagram.com/p/BYqqXIeA3K6/</v>
      </c>
      <c r="F4854" t="s">
        <v>25855</v>
      </c>
      <c r="G4854" t="s">
        <v>2478</v>
      </c>
      <c r="H4854">
        <v>5468</v>
      </c>
      <c r="I4854" t="s">
        <v>2479</v>
      </c>
      <c r="J4854">
        <v>3</v>
      </c>
      <c r="K4854">
        <v>390</v>
      </c>
      <c r="L4854">
        <v>393</v>
      </c>
      <c r="Q4854">
        <v>0</v>
      </c>
      <c r="R4854">
        <v>0</v>
      </c>
      <c r="S4854">
        <v>393</v>
      </c>
      <c r="Y4854" t="s">
        <v>12705</v>
      </c>
      <c r="Z4854" t="s">
        <v>12706</v>
      </c>
      <c r="AA4854" t="s">
        <v>2497</v>
      </c>
      <c r="AB4854" t="s">
        <v>25856</v>
      </c>
      <c r="AC4854" t="s">
        <v>11090</v>
      </c>
      <c r="AD4854" s="249" t="str">
        <f>HYPERLINK("https://scontent.cdninstagram.com/t51.2885-15/s320x320/e35/21436239_155060785076587_8505744750437990400_n.jpg")</f>
        <v>https://scontent.cdninstagram.com/t51.2885-15/s320x320/e35/21436239_155060785076587_8505744750437990400_n.jpg</v>
      </c>
      <c r="AE4854" s="249" t="str">
        <f>HYPERLINK("https://scontent.cdninstagram.com/t51.2885-19/s150x150/18950246_1127968397303807_6772371073045364736_a.jpg")</f>
        <v>https://scontent.cdninstagram.com/t51.2885-19/s150x150/18950246_1127968397303807_6772371073045364736_a.jpg</v>
      </c>
    </row>
    <row r="4855" spans="1:31" ht="15" x14ac:dyDescent="0.25">
      <c r="A4855" t="s">
        <v>2474</v>
      </c>
      <c r="B4855" t="s">
        <v>25857</v>
      </c>
      <c r="C4855" s="221">
        <v>42983.533576388887</v>
      </c>
      <c r="D4855" t="s">
        <v>25858</v>
      </c>
      <c r="E4855" s="249" t="str">
        <f>HYPERLINK("https://www.instagram.com/p/BYqqZ_FF567/")</f>
        <v>https://www.instagram.com/p/BYqqZ_FF567/</v>
      </c>
      <c r="F4855" t="s">
        <v>25859</v>
      </c>
      <c r="G4855" t="s">
        <v>2478</v>
      </c>
      <c r="H4855">
        <v>409</v>
      </c>
      <c r="I4855" t="s">
        <v>2479</v>
      </c>
      <c r="J4855">
        <v>0</v>
      </c>
      <c r="K4855">
        <v>13</v>
      </c>
      <c r="L4855">
        <v>13</v>
      </c>
      <c r="Q4855">
        <v>0</v>
      </c>
      <c r="R4855">
        <v>0</v>
      </c>
      <c r="S4855">
        <v>13</v>
      </c>
      <c r="Y4855" t="s">
        <v>2497</v>
      </c>
      <c r="Z4855" t="s">
        <v>4988</v>
      </c>
      <c r="AD4855" s="249" t="str">
        <f>HYPERLINK("https://scontent.cdninstagram.com/t51.2885-15/s320x320/e35/21433678_172864919950084_8564632222399725568_n.jpg")</f>
        <v>https://scontent.cdninstagram.com/t51.2885-15/s320x320/e35/21433678_172864919950084_8564632222399725568_n.jpg</v>
      </c>
      <c r="AE4855" s="249" t="str">
        <f>HYPERLINK("https://scontent.cdninstagram.com/t51.2885-19/s150x150/17267630_1887620794812744_5620797775852601344_a.jpg")</f>
        <v>https://scontent.cdninstagram.com/t51.2885-19/s150x150/17267630_1887620794812744_5620797775852601344_a.jpg</v>
      </c>
    </row>
    <row r="4856" spans="1:31" ht="15" x14ac:dyDescent="0.25">
      <c r="A4856" t="s">
        <v>2474</v>
      </c>
      <c r="B4856" t="s">
        <v>24969</v>
      </c>
      <c r="C4856" s="221">
        <v>42983.534189814818</v>
      </c>
      <c r="D4856" t="s">
        <v>25860</v>
      </c>
      <c r="E4856" s="249" t="str">
        <f>HYPERLINK("https://www.instagram.com/p/BYqqgXcBgbB/")</f>
        <v>https://www.instagram.com/p/BYqqgXcBgbB/</v>
      </c>
      <c r="F4856" t="s">
        <v>25861</v>
      </c>
      <c r="G4856" t="s">
        <v>2478</v>
      </c>
      <c r="H4856">
        <v>122</v>
      </c>
      <c r="I4856" t="s">
        <v>2479</v>
      </c>
      <c r="J4856">
        <v>4</v>
      </c>
      <c r="K4856">
        <v>58</v>
      </c>
      <c r="L4856">
        <v>62</v>
      </c>
      <c r="Q4856">
        <v>0</v>
      </c>
      <c r="R4856">
        <v>0</v>
      </c>
      <c r="S4856">
        <v>62</v>
      </c>
      <c r="Y4856" t="s">
        <v>11208</v>
      </c>
      <c r="Z4856" t="s">
        <v>6678</v>
      </c>
      <c r="AA4856" t="s">
        <v>7990</v>
      </c>
      <c r="AB4856" t="s">
        <v>2617</v>
      </c>
      <c r="AC4856" t="s">
        <v>25862</v>
      </c>
      <c r="AD4856" s="249" t="str">
        <f>HYPERLINK("https://scontent.cdninstagram.com/t51.2885-15/s320x320/e35/21372085_356644281438548_9082103802210811904_n.jpg")</f>
        <v>https://scontent.cdninstagram.com/t51.2885-15/s320x320/e35/21372085_356644281438548_9082103802210811904_n.jpg</v>
      </c>
      <c r="AE4856" s="249" t="str">
        <f>HYPERLINK("https://scontent.cdninstagram.com/t51.2885-19/s150x150/18812365_752965204864860_5446683065847906304_a.jpg")</f>
        <v>https://scontent.cdninstagram.com/t51.2885-19/s150x150/18812365_752965204864860_5446683065847906304_a.jpg</v>
      </c>
    </row>
    <row r="4857" spans="1:31" ht="15" x14ac:dyDescent="0.25">
      <c r="A4857" t="s">
        <v>2474</v>
      </c>
      <c r="B4857" t="s">
        <v>7647</v>
      </c>
      <c r="C4857" s="221">
        <v>42983.536944444444</v>
      </c>
      <c r="D4857" t="s">
        <v>25863</v>
      </c>
      <c r="E4857" s="249" t="str">
        <f>HYPERLINK("https://www.instagram.com/p/BYqq9hUA-ne/")</f>
        <v>https://www.instagram.com/p/BYqq9hUA-ne/</v>
      </c>
      <c r="F4857" t="s">
        <v>25864</v>
      </c>
      <c r="G4857" t="s">
        <v>2478</v>
      </c>
      <c r="H4857">
        <v>85</v>
      </c>
      <c r="I4857" t="s">
        <v>2479</v>
      </c>
      <c r="J4857">
        <v>0</v>
      </c>
      <c r="K4857">
        <v>14</v>
      </c>
      <c r="L4857">
        <v>14</v>
      </c>
      <c r="Q4857">
        <v>0</v>
      </c>
      <c r="R4857">
        <v>0</v>
      </c>
      <c r="S4857">
        <v>14</v>
      </c>
      <c r="T4857" t="s">
        <v>25865</v>
      </c>
      <c r="V4857" t="s">
        <v>2182</v>
      </c>
      <c r="W4857">
        <v>46.366667</v>
      </c>
      <c r="X4857">
        <v>11.566667000000001</v>
      </c>
      <c r="Y4857" t="s">
        <v>25866</v>
      </c>
      <c r="Z4857" t="s">
        <v>2497</v>
      </c>
      <c r="AA4857" t="s">
        <v>3187</v>
      </c>
      <c r="AB4857" t="s">
        <v>15260</v>
      </c>
      <c r="AC4857" t="s">
        <v>23167</v>
      </c>
      <c r="AD4857" s="249" t="str">
        <f>HYPERLINK("https://scontent.cdninstagram.com/t51.2885-15/s320x320/e35/21433876_1764370580317483_1309420054059679744_n.jpg")</f>
        <v>https://scontent.cdninstagram.com/t51.2885-15/s320x320/e35/21433876_1764370580317483_1309420054059679744_n.jpg</v>
      </c>
      <c r="AE4857" s="249" t="str">
        <f>HYPERLINK("https://scontent.cdninstagram.com/t51.2885-19/s150x150/21689860_347057945706116_567828057017024512_n.jpg")</f>
        <v>https://scontent.cdninstagram.com/t51.2885-19/s150x150/21689860_347057945706116_567828057017024512_n.jpg</v>
      </c>
    </row>
    <row r="4858" spans="1:31" ht="15" x14ac:dyDescent="0.25">
      <c r="A4858" t="s">
        <v>2474</v>
      </c>
      <c r="B4858" t="s">
        <v>25867</v>
      </c>
      <c r="C4858" s="221">
        <v>42983.541296296295</v>
      </c>
      <c r="D4858" t="s">
        <v>25868</v>
      </c>
      <c r="E4858" s="249" t="str">
        <f>HYPERLINK("https://www.instagram.com/p/BYqrrYAjvYk/")</f>
        <v>https://www.instagram.com/p/BYqrrYAjvYk/</v>
      </c>
      <c r="F4858" t="s">
        <v>25869</v>
      </c>
      <c r="G4858" t="s">
        <v>2478</v>
      </c>
      <c r="H4858">
        <v>4458</v>
      </c>
      <c r="I4858" t="s">
        <v>2748</v>
      </c>
      <c r="J4858">
        <v>2</v>
      </c>
      <c r="K4858">
        <v>132</v>
      </c>
      <c r="L4858">
        <v>134</v>
      </c>
      <c r="Q4858">
        <v>0</v>
      </c>
      <c r="R4858">
        <v>0</v>
      </c>
      <c r="S4858">
        <v>134</v>
      </c>
      <c r="Y4858" t="s">
        <v>2497</v>
      </c>
      <c r="Z4858" t="s">
        <v>25870</v>
      </c>
      <c r="AA4858" t="s">
        <v>25871</v>
      </c>
      <c r="AB4858" t="s">
        <v>10392</v>
      </c>
      <c r="AD4858" s="249" t="str">
        <f>HYPERLINK("https://scontent.cdninstagram.com/t51.2885-15/e35/p320x320/21436268_896134587209158_3157297516613992448_n.jpg")</f>
        <v>https://scontent.cdninstagram.com/t51.2885-15/e35/p320x320/21436268_896134587209158_3157297516613992448_n.jpg</v>
      </c>
      <c r="AE4858" s="249" t="str">
        <f>HYPERLINK("https://scontent.cdninstagram.com/t51.2885-19/s150x150/21147253_1204492516328969_3912593186635120640_a.jpg")</f>
        <v>https://scontent.cdninstagram.com/t51.2885-19/s150x150/21147253_1204492516328969_3912593186635120640_a.jpg</v>
      </c>
    </row>
    <row r="4859" spans="1:31" ht="15" x14ac:dyDescent="0.25">
      <c r="A4859" t="s">
        <v>2474</v>
      </c>
      <c r="B4859" t="s">
        <v>25872</v>
      </c>
      <c r="C4859" s="221">
        <v>42983.54483796296</v>
      </c>
      <c r="D4859" t="s">
        <v>25873</v>
      </c>
      <c r="E4859" s="249" t="str">
        <f>HYPERLINK("https://www.instagram.com/p/BYqsQxbFq7R/")</f>
        <v>https://www.instagram.com/p/BYqsQxbFq7R/</v>
      </c>
      <c r="F4859" t="s">
        <v>25874</v>
      </c>
      <c r="G4859" t="s">
        <v>2478</v>
      </c>
      <c r="H4859">
        <v>671</v>
      </c>
      <c r="I4859" t="s">
        <v>2479</v>
      </c>
      <c r="J4859">
        <v>6</v>
      </c>
      <c r="K4859">
        <v>28</v>
      </c>
      <c r="L4859">
        <v>34</v>
      </c>
      <c r="Q4859">
        <v>0</v>
      </c>
      <c r="R4859">
        <v>0</v>
      </c>
      <c r="S4859">
        <v>34</v>
      </c>
      <c r="Y4859" t="s">
        <v>25875</v>
      </c>
      <c r="Z4859" t="s">
        <v>25872</v>
      </c>
      <c r="AA4859" t="s">
        <v>25876</v>
      </c>
      <c r="AB4859" t="s">
        <v>25877</v>
      </c>
      <c r="AC4859" t="s">
        <v>2497</v>
      </c>
      <c r="AD4859" s="249" t="str">
        <f>HYPERLINK("https://scontent.cdninstagram.com/t51.2885-15/s320x320/e35/21372359_1733974810229985_3951385064964620288_n.jpg")</f>
        <v>https://scontent.cdninstagram.com/t51.2885-15/s320x320/e35/21372359_1733974810229985_3951385064964620288_n.jpg</v>
      </c>
      <c r="AE4859" s="249" t="str">
        <f>HYPERLINK("https://scontent.cdninstagram.com/t51.2885-19/s150x150/15338390_348569235517265_5913700097169817600_a.jpg")</f>
        <v>https://scontent.cdninstagram.com/t51.2885-19/s150x150/15338390_348569235517265_5913700097169817600_a.jpg</v>
      </c>
    </row>
    <row r="4860" spans="1:31" ht="15" x14ac:dyDescent="0.25">
      <c r="A4860" t="s">
        <v>2474</v>
      </c>
      <c r="B4860" t="s">
        <v>25878</v>
      </c>
      <c r="C4860" s="221">
        <v>42983.546296296299</v>
      </c>
      <c r="D4860" t="s">
        <v>25879</v>
      </c>
      <c r="E4860" s="249" t="str">
        <f>HYPERLINK("https://www.instagram.com/p/BYqsgJqFUQO/")</f>
        <v>https://www.instagram.com/p/BYqsgJqFUQO/</v>
      </c>
      <c r="F4860" t="s">
        <v>25880</v>
      </c>
      <c r="G4860" t="s">
        <v>2478</v>
      </c>
      <c r="H4860">
        <v>32</v>
      </c>
      <c r="I4860" t="s">
        <v>2479</v>
      </c>
      <c r="J4860">
        <v>0</v>
      </c>
      <c r="K4860">
        <v>43</v>
      </c>
      <c r="L4860">
        <v>43</v>
      </c>
      <c r="Q4860">
        <v>0</v>
      </c>
      <c r="R4860">
        <v>0</v>
      </c>
      <c r="S4860">
        <v>43</v>
      </c>
      <c r="Y4860" t="s">
        <v>3952</v>
      </c>
      <c r="Z4860" t="s">
        <v>13665</v>
      </c>
      <c r="AA4860" t="s">
        <v>25881</v>
      </c>
      <c r="AB4860" t="s">
        <v>25882</v>
      </c>
      <c r="AC4860" t="s">
        <v>25883</v>
      </c>
      <c r="AD4860" s="249" t="str">
        <f>HYPERLINK("https://scontent.cdninstagram.com/t51.2885-15/s320x320/e35/21373704_141537799784689_6448648221030875136_n.jpg")</f>
        <v>https://scontent.cdninstagram.com/t51.2885-15/s320x320/e35/21373704_141537799784689_6448648221030875136_n.jpg</v>
      </c>
      <c r="AE4860" s="249" t="str">
        <f>HYPERLINK("https://scontent.cdninstagram.com/t51.2885-19/s150x150/20986740_505520656452042_9066701113184485376_a.jpg")</f>
        <v>https://scontent.cdninstagram.com/t51.2885-19/s150x150/20986740_505520656452042_9066701113184485376_a.jpg</v>
      </c>
    </row>
    <row r="4861" spans="1:31" ht="15" x14ac:dyDescent="0.25">
      <c r="A4861" t="s">
        <v>2474</v>
      </c>
      <c r="B4861" t="s">
        <v>25884</v>
      </c>
      <c r="C4861" s="221">
        <v>42983.548391203702</v>
      </c>
      <c r="D4861" t="s">
        <v>25885</v>
      </c>
      <c r="E4861" s="249" t="str">
        <f>HYPERLINK("https://www.instagram.com/p/BYqs2JvBZ_W/")</f>
        <v>https://www.instagram.com/p/BYqs2JvBZ_W/</v>
      </c>
      <c r="F4861" t="s">
        <v>25886</v>
      </c>
      <c r="G4861" t="s">
        <v>2478</v>
      </c>
      <c r="H4861">
        <v>369</v>
      </c>
      <c r="I4861" t="s">
        <v>2479</v>
      </c>
      <c r="J4861">
        <v>2</v>
      </c>
      <c r="K4861">
        <v>71</v>
      </c>
      <c r="L4861">
        <v>73</v>
      </c>
      <c r="Q4861">
        <v>0</v>
      </c>
      <c r="R4861">
        <v>0</v>
      </c>
      <c r="S4861">
        <v>73</v>
      </c>
      <c r="Y4861" t="s">
        <v>2497</v>
      </c>
      <c r="Z4861" t="s">
        <v>25887</v>
      </c>
      <c r="AA4861" t="s">
        <v>25888</v>
      </c>
      <c r="AB4861" t="s">
        <v>11796</v>
      </c>
      <c r="AD4861" s="249" t="str">
        <f>HYPERLINK("https://scontent.cdninstagram.com/t51.2885-15/s320x320/e35/21372045_2018639088274569_1481871765612265472_n.jpg")</f>
        <v>https://scontent.cdninstagram.com/t51.2885-15/s320x320/e35/21372045_2018639088274569_1481871765612265472_n.jpg</v>
      </c>
      <c r="AE4861" s="249" t="str">
        <f>HYPERLINK("https://scontent.cdninstagram.com/t51.2885-19/s150x150/18160392_1201419826623855_2758311895382360064_a.jpg")</f>
        <v>https://scontent.cdninstagram.com/t51.2885-19/s150x150/18160392_1201419826623855_2758311895382360064_a.jpg</v>
      </c>
    </row>
    <row r="4862" spans="1:31" ht="15" x14ac:dyDescent="0.25">
      <c r="A4862" t="s">
        <v>2474</v>
      </c>
      <c r="B4862" t="s">
        <v>25889</v>
      </c>
      <c r="C4862" s="221">
        <v>42983.553194444445</v>
      </c>
      <c r="D4862" t="s">
        <v>25890</v>
      </c>
      <c r="E4862" s="249" t="str">
        <f>HYPERLINK("https://www.instagram.com/p/BYqtoypFf62/")</f>
        <v>https://www.instagram.com/p/BYqtoypFf62/</v>
      </c>
      <c r="F4862" t="s">
        <v>25891</v>
      </c>
      <c r="G4862" t="s">
        <v>2478</v>
      </c>
      <c r="H4862">
        <v>273</v>
      </c>
      <c r="I4862" t="s">
        <v>2622</v>
      </c>
      <c r="J4862">
        <v>0</v>
      </c>
      <c r="K4862">
        <v>49</v>
      </c>
      <c r="L4862">
        <v>49</v>
      </c>
      <c r="Q4862">
        <v>0</v>
      </c>
      <c r="R4862">
        <v>0</v>
      </c>
      <c r="S4862">
        <v>49</v>
      </c>
      <c r="T4862" t="s">
        <v>25892</v>
      </c>
      <c r="V4862" t="s">
        <v>2174</v>
      </c>
      <c r="W4862">
        <v>46.24259</v>
      </c>
      <c r="X4862">
        <v>20.142810000000001</v>
      </c>
      <c r="Y4862" t="s">
        <v>16575</v>
      </c>
      <c r="Z4862" t="s">
        <v>25893</v>
      </c>
      <c r="AA4862" t="s">
        <v>7143</v>
      </c>
      <c r="AB4862" t="s">
        <v>3535</v>
      </c>
      <c r="AC4862" t="s">
        <v>2497</v>
      </c>
      <c r="AD4862" s="249" t="str">
        <f>HYPERLINK("https://scontent.cdninstagram.com/t51.2885-15/s320x320/e35/21433412_1870651606586082_4616836371410059264_n.jpg")</f>
        <v>https://scontent.cdninstagram.com/t51.2885-15/s320x320/e35/21433412_1870651606586082_4616836371410059264_n.jpg</v>
      </c>
      <c r="AE4862" s="249" t="str">
        <f>HYPERLINK("https://scontent.cdninstagram.com/t51.2885-19/s150x150/16583513_1730168870630576_2989901758957879296_a.jpg")</f>
        <v>https://scontent.cdninstagram.com/t51.2885-19/s150x150/16583513_1730168870630576_2989901758957879296_a.jpg</v>
      </c>
    </row>
    <row r="4863" spans="1:31" ht="15" x14ac:dyDescent="0.25">
      <c r="A4863" t="s">
        <v>2474</v>
      </c>
      <c r="B4863" t="s">
        <v>25894</v>
      </c>
      <c r="C4863" s="221">
        <v>42983.55332175926</v>
      </c>
      <c r="D4863" t="s">
        <v>25895</v>
      </c>
      <c r="E4863" s="249" t="str">
        <f>HYPERLINK("https://www.instagram.com/p/BYqtqKzB68L/")</f>
        <v>https://www.instagram.com/p/BYqtqKzB68L/</v>
      </c>
      <c r="F4863" t="s">
        <v>25896</v>
      </c>
      <c r="G4863" t="s">
        <v>2478</v>
      </c>
      <c r="H4863">
        <v>386</v>
      </c>
      <c r="I4863" t="s">
        <v>2519</v>
      </c>
      <c r="J4863">
        <v>0</v>
      </c>
      <c r="K4863">
        <v>33</v>
      </c>
      <c r="L4863">
        <v>33</v>
      </c>
      <c r="Q4863">
        <v>0</v>
      </c>
      <c r="R4863">
        <v>0</v>
      </c>
      <c r="S4863">
        <v>33</v>
      </c>
      <c r="Y4863" t="s">
        <v>25897</v>
      </c>
      <c r="Z4863" t="s">
        <v>6294</v>
      </c>
      <c r="AA4863" t="s">
        <v>25898</v>
      </c>
      <c r="AB4863" t="s">
        <v>25899</v>
      </c>
      <c r="AC4863" t="s">
        <v>25900</v>
      </c>
      <c r="AD4863" s="249" t="str">
        <f>HYPERLINK("https://scontent.cdninstagram.com/t51.2885-15/s320x320/e35/21373299_839432506221479_344839651430760448_n.jpg")</f>
        <v>https://scontent.cdninstagram.com/t51.2885-15/s320x320/e35/21373299_839432506221479_344839651430760448_n.jpg</v>
      </c>
      <c r="AE4863" s="249" t="str">
        <f>HYPERLINK("https://scontent.cdninstagram.com/t51.2885-19/11005071_768439573224591_595039151_a.jpg")</f>
        <v>https://scontent.cdninstagram.com/t51.2885-19/11005071_768439573224591_595039151_a.jpg</v>
      </c>
    </row>
    <row r="4864" spans="1:31" ht="15" x14ac:dyDescent="0.25">
      <c r="A4864" t="s">
        <v>2474</v>
      </c>
      <c r="B4864" t="s">
        <v>25901</v>
      </c>
      <c r="C4864" s="221">
        <v>42983.554618055554</v>
      </c>
      <c r="D4864" t="s">
        <v>25902</v>
      </c>
      <c r="E4864" s="249" t="str">
        <f>HYPERLINK("https://www.instagram.com/p/BYqt36rFrNu/")</f>
        <v>https://www.instagram.com/p/BYqt36rFrNu/</v>
      </c>
      <c r="F4864" t="s">
        <v>25903</v>
      </c>
      <c r="G4864" t="s">
        <v>2478</v>
      </c>
      <c r="H4864">
        <v>439</v>
      </c>
      <c r="I4864" t="s">
        <v>2479</v>
      </c>
      <c r="J4864">
        <v>0</v>
      </c>
      <c r="K4864">
        <v>51</v>
      </c>
      <c r="L4864">
        <v>51</v>
      </c>
      <c r="Q4864">
        <v>0</v>
      </c>
      <c r="R4864">
        <v>0</v>
      </c>
      <c r="S4864">
        <v>51</v>
      </c>
      <c r="Y4864" t="s">
        <v>25904</v>
      </c>
      <c r="Z4864" t="s">
        <v>25905</v>
      </c>
      <c r="AA4864" t="s">
        <v>2616</v>
      </c>
      <c r="AB4864" t="s">
        <v>7524</v>
      </c>
      <c r="AC4864" t="s">
        <v>25906</v>
      </c>
      <c r="AD4864" s="249" t="str">
        <f>HYPERLINK("https://scontent.cdninstagram.com/t51.2885-15/s320x320/e35/21372557_122134088521978_8607051355229519872_n.jpg")</f>
        <v>https://scontent.cdninstagram.com/t51.2885-15/s320x320/e35/21372557_122134088521978_8607051355229519872_n.jpg</v>
      </c>
      <c r="AE4864" s="249" t="str">
        <f>HYPERLINK("https://scontent.cdninstagram.com/t51.2885-19/s150x150/19120264_433924860306759_6004906278910951424_n.jpg")</f>
        <v>https://scontent.cdninstagram.com/t51.2885-19/s150x150/19120264_433924860306759_6004906278910951424_n.jpg</v>
      </c>
    </row>
    <row r="4865" spans="1:31" ht="15" x14ac:dyDescent="0.25">
      <c r="A4865" t="s">
        <v>2474</v>
      </c>
      <c r="B4865" t="s">
        <v>25907</v>
      </c>
      <c r="C4865" s="221">
        <v>42983.558078703703</v>
      </c>
      <c r="D4865" t="s">
        <v>25908</v>
      </c>
      <c r="E4865" s="249" t="str">
        <f>HYPERLINK("https://www.instagram.com/p/BYqucT8n2Vq/")</f>
        <v>https://www.instagram.com/p/BYqucT8n2Vq/</v>
      </c>
      <c r="F4865" t="s">
        <v>25909</v>
      </c>
      <c r="G4865" t="s">
        <v>2478</v>
      </c>
      <c r="I4865" t="s">
        <v>2479</v>
      </c>
      <c r="J4865">
        <v>0</v>
      </c>
      <c r="K4865">
        <v>22</v>
      </c>
      <c r="L4865">
        <v>22</v>
      </c>
      <c r="Q4865">
        <v>0</v>
      </c>
      <c r="R4865">
        <v>0</v>
      </c>
      <c r="S4865">
        <v>22</v>
      </c>
      <c r="Y4865" t="s">
        <v>11414</v>
      </c>
      <c r="Z4865" t="s">
        <v>2497</v>
      </c>
      <c r="AA4865" t="s">
        <v>25910</v>
      </c>
      <c r="AB4865" t="s">
        <v>25911</v>
      </c>
      <c r="AC4865" t="s">
        <v>2513</v>
      </c>
      <c r="AD4865" s="249" t="str">
        <f>HYPERLINK("https://scontent.cdninstagram.com/t51.2885-15/s320x320/e35/21372592_115598585794036_9098853457405673472_n.jpg")</f>
        <v>https://scontent.cdninstagram.com/t51.2885-15/s320x320/e35/21372592_115598585794036_9098853457405673472_n.jpg</v>
      </c>
      <c r="AE4865" s="249" t="str">
        <f>HYPERLINK("https://scontent.cdninstagram.com/t51.2885-19/s150x150/16789763_137858283400044_4481463791128674304_a.jpg")</f>
        <v>https://scontent.cdninstagram.com/t51.2885-19/s150x150/16789763_137858283400044_4481463791128674304_a.jpg</v>
      </c>
    </row>
    <row r="4866" spans="1:31" ht="15" x14ac:dyDescent="0.25">
      <c r="A4866" t="s">
        <v>2474</v>
      </c>
      <c r="B4866" t="s">
        <v>25901</v>
      </c>
      <c r="C4866" s="221">
        <v>42983.560069444444</v>
      </c>
      <c r="D4866" t="s">
        <v>25912</v>
      </c>
      <c r="E4866" s="249" t="str">
        <f>HYPERLINK("https://www.instagram.com/p/BYquxUjlYTL/")</f>
        <v>https://www.instagram.com/p/BYquxUjlYTL/</v>
      </c>
      <c r="F4866" t="s">
        <v>25913</v>
      </c>
      <c r="G4866" t="s">
        <v>2478</v>
      </c>
      <c r="H4866">
        <v>439</v>
      </c>
      <c r="I4866" t="s">
        <v>2582</v>
      </c>
      <c r="J4866">
        <v>2</v>
      </c>
      <c r="K4866">
        <v>44</v>
      </c>
      <c r="L4866">
        <v>46</v>
      </c>
      <c r="Q4866">
        <v>0</v>
      </c>
      <c r="R4866">
        <v>0</v>
      </c>
      <c r="S4866">
        <v>46</v>
      </c>
      <c r="Y4866" t="s">
        <v>25904</v>
      </c>
      <c r="Z4866" t="s">
        <v>25905</v>
      </c>
      <c r="AA4866" t="s">
        <v>2616</v>
      </c>
      <c r="AB4866" t="s">
        <v>7524</v>
      </c>
      <c r="AC4866" t="s">
        <v>25906</v>
      </c>
      <c r="AD4866" s="249" t="str">
        <f>HYPERLINK("https://scontent.cdninstagram.com/t51.2885-15/s320x320/e35/21373239_128850964411944_6281137053308551168_n.jpg")</f>
        <v>https://scontent.cdninstagram.com/t51.2885-15/s320x320/e35/21373239_128850964411944_6281137053308551168_n.jpg</v>
      </c>
      <c r="AE4866" s="249" t="str">
        <f>HYPERLINK("https://scontent.cdninstagram.com/t51.2885-19/s150x150/19120264_433924860306759_6004906278910951424_n.jpg")</f>
        <v>https://scontent.cdninstagram.com/t51.2885-19/s150x150/19120264_433924860306759_6004906278910951424_n.jpg</v>
      </c>
    </row>
    <row r="4867" spans="1:31" ht="15" x14ac:dyDescent="0.25">
      <c r="A4867" t="s">
        <v>2474</v>
      </c>
      <c r="B4867" t="s">
        <v>25914</v>
      </c>
      <c r="C4867" s="221">
        <v>42983.562442129631</v>
      </c>
      <c r="D4867" t="s">
        <v>25915</v>
      </c>
      <c r="E4867" s="249" t="str">
        <f>HYPERLINK("https://www.instagram.com/p/BYqvKW4lRUY/")</f>
        <v>https://www.instagram.com/p/BYqvKW4lRUY/</v>
      </c>
      <c r="F4867" t="s">
        <v>25916</v>
      </c>
      <c r="G4867" t="s">
        <v>2478</v>
      </c>
      <c r="H4867">
        <v>105</v>
      </c>
      <c r="I4867" t="s">
        <v>2519</v>
      </c>
      <c r="J4867">
        <v>0</v>
      </c>
      <c r="K4867">
        <v>4</v>
      </c>
      <c r="L4867">
        <v>4</v>
      </c>
      <c r="Q4867">
        <v>0</v>
      </c>
      <c r="R4867">
        <v>0</v>
      </c>
      <c r="S4867">
        <v>4</v>
      </c>
      <c r="Y4867" t="s">
        <v>6865</v>
      </c>
      <c r="Z4867" t="s">
        <v>2730</v>
      </c>
      <c r="AA4867" t="s">
        <v>3349</v>
      </c>
      <c r="AB4867" t="s">
        <v>2497</v>
      </c>
      <c r="AC4867" t="s">
        <v>2577</v>
      </c>
      <c r="AD4867" s="249" t="str">
        <f>HYPERLINK("https://scontent.cdninstagram.com/t51.2885-15/s320x320/e35/21435541_354301621665268_1559072325289115648_n.jpg")</f>
        <v>https://scontent.cdninstagram.com/t51.2885-15/s320x320/e35/21435541_354301621665268_1559072325289115648_n.jpg</v>
      </c>
      <c r="AE4867" s="249" t="str">
        <f>HYPERLINK("https://scontent.cdninstagram.com/t51.2885-19/s150x150/14561823_195037587592530_1422423229187751936_a.jpg")</f>
        <v>https://scontent.cdninstagram.com/t51.2885-19/s150x150/14561823_195037587592530_1422423229187751936_a.jpg</v>
      </c>
    </row>
    <row r="4868" spans="1:31" ht="15" x14ac:dyDescent="0.25">
      <c r="A4868" t="s">
        <v>2474</v>
      </c>
      <c r="B4868" t="s">
        <v>25917</v>
      </c>
      <c r="C4868" s="221">
        <v>42983.563449074078</v>
      </c>
      <c r="D4868" t="s">
        <v>25918</v>
      </c>
      <c r="E4868" s="249" t="str">
        <f>HYPERLINK("https://www.instagram.com/p/BYqvVAWj0Tb/")</f>
        <v>https://www.instagram.com/p/BYqvVAWj0Tb/</v>
      </c>
      <c r="F4868" t="s">
        <v>25919</v>
      </c>
      <c r="G4868" t="s">
        <v>2478</v>
      </c>
      <c r="H4868">
        <v>317</v>
      </c>
      <c r="I4868" t="s">
        <v>2786</v>
      </c>
      <c r="J4868">
        <v>2</v>
      </c>
      <c r="K4868">
        <v>51</v>
      </c>
      <c r="L4868">
        <v>53</v>
      </c>
      <c r="Q4868">
        <v>0</v>
      </c>
      <c r="R4868">
        <v>0</v>
      </c>
      <c r="S4868">
        <v>53</v>
      </c>
      <c r="Y4868" t="s">
        <v>25920</v>
      </c>
      <c r="Z4868" t="s">
        <v>25921</v>
      </c>
      <c r="AA4868" t="s">
        <v>9313</v>
      </c>
      <c r="AB4868" t="s">
        <v>5453</v>
      </c>
      <c r="AC4868" t="s">
        <v>15336</v>
      </c>
      <c r="AD4868" s="249" t="str">
        <f>HYPERLINK("https://scontent.cdninstagram.com/t51.2885-15/s320x320/e35/21434009_1954937051441905_8611491857492344832_n.jpg")</f>
        <v>https://scontent.cdninstagram.com/t51.2885-15/s320x320/e35/21434009_1954937051441905_8611491857492344832_n.jpg</v>
      </c>
      <c r="AE4868" s="249" t="str">
        <f>HYPERLINK("https://scontent.cdninstagram.com/t51.2885-19/s150x150/19984906_109626599690395_6968037048473092096_a.jpg")</f>
        <v>https://scontent.cdninstagram.com/t51.2885-19/s150x150/19984906_109626599690395_6968037048473092096_a.jpg</v>
      </c>
    </row>
    <row r="4869" spans="1:31" ht="15" x14ac:dyDescent="0.25">
      <c r="A4869" t="s">
        <v>2474</v>
      </c>
      <c r="B4869" t="s">
        <v>25922</v>
      </c>
      <c r="C4869" s="221">
        <v>42983.570243055554</v>
      </c>
      <c r="D4869" t="s">
        <v>25923</v>
      </c>
      <c r="E4869" s="249" t="str">
        <f>HYPERLINK("https://www.instagram.com/p/BYqwctljmgg/")</f>
        <v>https://www.instagram.com/p/BYqwctljmgg/</v>
      </c>
      <c r="F4869" t="s">
        <v>25924</v>
      </c>
      <c r="G4869" t="s">
        <v>2478</v>
      </c>
      <c r="H4869">
        <v>2028</v>
      </c>
      <c r="I4869" t="s">
        <v>2542</v>
      </c>
      <c r="J4869">
        <v>0</v>
      </c>
      <c r="K4869">
        <v>18</v>
      </c>
      <c r="L4869">
        <v>18</v>
      </c>
      <c r="Q4869">
        <v>0</v>
      </c>
      <c r="R4869">
        <v>0</v>
      </c>
      <c r="S4869">
        <v>18</v>
      </c>
      <c r="T4869" t="s">
        <v>25925</v>
      </c>
      <c r="V4869" t="s">
        <v>2264</v>
      </c>
      <c r="W4869">
        <v>38.900574203486997</v>
      </c>
      <c r="X4869">
        <v>1.3231575720227999</v>
      </c>
      <c r="Y4869" t="s">
        <v>4620</v>
      </c>
      <c r="Z4869" t="s">
        <v>25926</v>
      </c>
      <c r="AA4869" t="s">
        <v>4248</v>
      </c>
      <c r="AB4869" t="s">
        <v>2696</v>
      </c>
      <c r="AC4869" t="s">
        <v>2777</v>
      </c>
      <c r="AD4869" s="249" t="str">
        <f>HYPERLINK("https://scontent.cdninstagram.com/t51.2885-15/s320x320/e35/21435612_1452548178116312_4984372919250452480_n.jpg")</f>
        <v>https://scontent.cdninstagram.com/t51.2885-15/s320x320/e35/21435612_1452548178116312_4984372919250452480_n.jpg</v>
      </c>
      <c r="AE4869" s="249" t="str">
        <f>HYPERLINK("https://scontent.cdninstagram.com/t51.2885-19/s150x150/12552425_442536952612627_74313114_a.jpg")</f>
        <v>https://scontent.cdninstagram.com/t51.2885-19/s150x150/12552425_442536952612627_74313114_a.jpg</v>
      </c>
    </row>
    <row r="4870" spans="1:31" ht="15" x14ac:dyDescent="0.25">
      <c r="A4870" t="s">
        <v>2474</v>
      </c>
      <c r="B4870" t="s">
        <v>7987</v>
      </c>
      <c r="C4870" s="221">
        <v>42983.573449074072</v>
      </c>
      <c r="D4870" t="s">
        <v>25927</v>
      </c>
      <c r="E4870" s="249" t="str">
        <f>HYPERLINK("https://www.instagram.com/p/BYqw-ejh8rG/")</f>
        <v>https://www.instagram.com/p/BYqw-ejh8rG/</v>
      </c>
      <c r="F4870" t="s">
        <v>25928</v>
      </c>
      <c r="G4870" t="s">
        <v>2478</v>
      </c>
      <c r="H4870">
        <v>464</v>
      </c>
      <c r="I4870" t="s">
        <v>2479</v>
      </c>
      <c r="J4870">
        <v>0</v>
      </c>
      <c r="K4870">
        <v>57</v>
      </c>
      <c r="L4870">
        <v>57</v>
      </c>
      <c r="Q4870">
        <v>0</v>
      </c>
      <c r="R4870">
        <v>0</v>
      </c>
      <c r="S4870">
        <v>57</v>
      </c>
      <c r="T4870" t="s">
        <v>25929</v>
      </c>
      <c r="V4870" t="s">
        <v>2161</v>
      </c>
      <c r="W4870">
        <v>53.838340000000002</v>
      </c>
      <c r="X4870">
        <v>9.9449299999999994</v>
      </c>
      <c r="Y4870" t="s">
        <v>17110</v>
      </c>
      <c r="Z4870" t="s">
        <v>21323</v>
      </c>
      <c r="AA4870" t="s">
        <v>5802</v>
      </c>
      <c r="AB4870" t="s">
        <v>2861</v>
      </c>
      <c r="AC4870" t="s">
        <v>3902</v>
      </c>
      <c r="AD4870" s="249" t="str">
        <f>HYPERLINK("https://scontent.cdninstagram.com/t51.2885-15/s320x320/e35/21372333_123513471635839_525678708262961152_n.jpg")</f>
        <v>https://scontent.cdninstagram.com/t51.2885-15/s320x320/e35/21372333_123513471635839_525678708262961152_n.jpg</v>
      </c>
      <c r="AE4870" s="249" t="str">
        <f>HYPERLINK("https://scontent.cdninstagram.com/t51.2885-19/s150x150/18513681_139423189934717_6442695353408946176_a.jpg")</f>
        <v>https://scontent.cdninstagram.com/t51.2885-19/s150x150/18513681_139423189934717_6442695353408946176_a.jpg</v>
      </c>
    </row>
    <row r="4871" spans="1:31" ht="15" x14ac:dyDescent="0.25">
      <c r="A4871" t="s">
        <v>2474</v>
      </c>
      <c r="B4871" t="s">
        <v>24690</v>
      </c>
      <c r="C4871" s="221">
        <v>42983.582511574074</v>
      </c>
      <c r="D4871" t="s">
        <v>25930</v>
      </c>
      <c r="E4871" s="249" t="str">
        <f>HYPERLINK("https://www.instagram.com/p/BYqyeHABlw6/")</f>
        <v>https://www.instagram.com/p/BYqyeHABlw6/</v>
      </c>
      <c r="F4871" t="s">
        <v>25931</v>
      </c>
      <c r="G4871" t="s">
        <v>2478</v>
      </c>
      <c r="H4871">
        <v>438</v>
      </c>
      <c r="I4871" t="s">
        <v>5670</v>
      </c>
      <c r="J4871">
        <v>5</v>
      </c>
      <c r="K4871">
        <v>64</v>
      </c>
      <c r="L4871">
        <v>69</v>
      </c>
      <c r="Q4871">
        <v>0</v>
      </c>
      <c r="R4871">
        <v>0</v>
      </c>
      <c r="S4871">
        <v>69</v>
      </c>
      <c r="Y4871" t="s">
        <v>3069</v>
      </c>
      <c r="Z4871" t="s">
        <v>3070</v>
      </c>
      <c r="AA4871" t="s">
        <v>11651</v>
      </c>
      <c r="AB4871" t="s">
        <v>5802</v>
      </c>
      <c r="AC4871" t="s">
        <v>3982</v>
      </c>
      <c r="AD4871" s="249" t="str">
        <f>HYPERLINK("https://scontent.cdninstagram.com/t51.2885-15/e35/p320x320/21434056_831966040311511_120692987654045696_n.jpg")</f>
        <v>https://scontent.cdninstagram.com/t51.2885-15/e35/p320x320/21434056_831966040311511_120692987654045696_n.jpg</v>
      </c>
      <c r="AE4871" s="249" t="str">
        <f>HYPERLINK("https://scontent.cdninstagram.com/t51.2885-19/17818759_2018256918401447_8869904672299679744_n.jpg")</f>
        <v>https://scontent.cdninstagram.com/t51.2885-19/17818759_2018256918401447_8869904672299679744_n.jpg</v>
      </c>
    </row>
    <row r="4872" spans="1:31" ht="15" x14ac:dyDescent="0.25">
      <c r="A4872" t="s">
        <v>2474</v>
      </c>
      <c r="B4872" t="s">
        <v>3644</v>
      </c>
      <c r="C4872" s="221">
        <v>42983.582546296297</v>
      </c>
      <c r="D4872" t="s">
        <v>25932</v>
      </c>
      <c r="E4872" s="249" t="str">
        <f>HYPERLINK("https://www.instagram.com/p/BYqyeaClZ2b/")</f>
        <v>https://www.instagram.com/p/BYqyeaClZ2b/</v>
      </c>
      <c r="F4872" t="s">
        <v>25933</v>
      </c>
      <c r="G4872" t="s">
        <v>2478</v>
      </c>
      <c r="H4872">
        <v>583</v>
      </c>
      <c r="I4872" t="s">
        <v>2479</v>
      </c>
      <c r="J4872">
        <v>6</v>
      </c>
      <c r="K4872">
        <v>41</v>
      </c>
      <c r="L4872">
        <v>47</v>
      </c>
      <c r="Q4872">
        <v>0</v>
      </c>
      <c r="R4872">
        <v>0</v>
      </c>
      <c r="S4872">
        <v>47</v>
      </c>
      <c r="T4872" t="s">
        <v>9465</v>
      </c>
      <c r="V4872" t="s">
        <v>2141</v>
      </c>
      <c r="W4872">
        <v>55.4</v>
      </c>
      <c r="X4872">
        <v>10.3833</v>
      </c>
      <c r="Y4872" t="s">
        <v>3650</v>
      </c>
      <c r="Z4872" t="s">
        <v>3607</v>
      </c>
      <c r="AA4872" t="s">
        <v>6993</v>
      </c>
      <c r="AB4872" t="s">
        <v>3651</v>
      </c>
      <c r="AC4872" t="s">
        <v>5866</v>
      </c>
      <c r="AD4872" s="249" t="str">
        <f>HYPERLINK("https://scontent.cdninstagram.com/t51.2885-15/s320x320/e35/21371771_143303252942420_2887838063101214720_n.jpg")</f>
        <v>https://scontent.cdninstagram.com/t51.2885-15/s320x320/e35/21371771_143303252942420_2887838063101214720_n.jpg</v>
      </c>
      <c r="AE4872" s="249" t="str">
        <f>HYPERLINK("https://scontent.cdninstagram.com/t51.2885-19/s150x150/14714495_1790450111234953_7147855754219749376_a.jpg")</f>
        <v>https://scontent.cdninstagram.com/t51.2885-19/s150x150/14714495_1790450111234953_7147855754219749376_a.jpg</v>
      </c>
    </row>
    <row r="4873" spans="1:31" ht="15" x14ac:dyDescent="0.25">
      <c r="A4873" t="s">
        <v>2474</v>
      </c>
      <c r="B4873" t="s">
        <v>25934</v>
      </c>
      <c r="C4873" s="221">
        <v>42983.590995370374</v>
      </c>
      <c r="D4873" t="s">
        <v>25935</v>
      </c>
      <c r="E4873" s="249" t="str">
        <f>HYPERLINK("https://www.instagram.com/p/BYqz3f4FNCn/")</f>
        <v>https://www.instagram.com/p/BYqz3f4FNCn/</v>
      </c>
      <c r="F4873" t="s">
        <v>25936</v>
      </c>
      <c r="G4873" t="s">
        <v>2478</v>
      </c>
      <c r="H4873">
        <v>159</v>
      </c>
      <c r="I4873" t="s">
        <v>4523</v>
      </c>
      <c r="J4873">
        <v>1</v>
      </c>
      <c r="K4873">
        <v>25</v>
      </c>
      <c r="L4873">
        <v>26</v>
      </c>
      <c r="Q4873">
        <v>0</v>
      </c>
      <c r="R4873">
        <v>0</v>
      </c>
      <c r="S4873">
        <v>26</v>
      </c>
      <c r="Y4873" t="s">
        <v>25937</v>
      </c>
      <c r="Z4873" t="s">
        <v>6122</v>
      </c>
      <c r="AA4873" t="s">
        <v>16743</v>
      </c>
      <c r="AB4873" t="s">
        <v>25938</v>
      </c>
      <c r="AC4873" t="s">
        <v>19236</v>
      </c>
      <c r="AD4873" s="249" t="str">
        <f>HYPERLINK("https://scontent.cdninstagram.com/t51.2885-15/s320x320/e35/21373383_488722161461434_2452669154876981248_n.jpg")</f>
        <v>https://scontent.cdninstagram.com/t51.2885-15/s320x320/e35/21373383_488722161461434_2452669154876981248_n.jpg</v>
      </c>
      <c r="AE4873" s="249" t="str">
        <f>HYPERLINK("https://scontent.cdninstagram.com/t51.2885-19/s150x150/21224687_113471092723369_6041177767351943168_a.jpg")</f>
        <v>https://scontent.cdninstagram.com/t51.2885-19/s150x150/21224687_113471092723369_6041177767351943168_a.jpg</v>
      </c>
    </row>
    <row r="4874" spans="1:31" ht="15" x14ac:dyDescent="0.25">
      <c r="A4874" t="s">
        <v>2474</v>
      </c>
      <c r="B4874" t="s">
        <v>25939</v>
      </c>
      <c r="C4874" s="221">
        <v>42983.594224537039</v>
      </c>
      <c r="D4874" t="s">
        <v>25940</v>
      </c>
      <c r="E4874" s="249" t="str">
        <f>HYPERLINK("https://www.instagram.com/p/BYq0ZiDHx35/")</f>
        <v>https://www.instagram.com/p/BYq0ZiDHx35/</v>
      </c>
      <c r="F4874" t="s">
        <v>25941</v>
      </c>
      <c r="G4874" t="s">
        <v>2488</v>
      </c>
      <c r="H4874">
        <v>195404</v>
      </c>
      <c r="I4874" t="s">
        <v>2479</v>
      </c>
      <c r="J4874">
        <v>99</v>
      </c>
      <c r="K4874">
        <v>3475</v>
      </c>
      <c r="L4874">
        <v>3574</v>
      </c>
      <c r="Q4874">
        <v>0</v>
      </c>
      <c r="R4874">
        <v>0</v>
      </c>
      <c r="S4874">
        <v>3574</v>
      </c>
      <c r="Y4874" t="s">
        <v>25942</v>
      </c>
      <c r="Z4874" t="s">
        <v>25943</v>
      </c>
      <c r="AA4874" t="s">
        <v>2497</v>
      </c>
      <c r="AB4874" t="s">
        <v>25944</v>
      </c>
      <c r="AC4874" t="s">
        <v>11174</v>
      </c>
      <c r="AD4874" s="249" t="str">
        <f>HYPERLINK("https://scontent.cdninstagram.com/t51.2885-15/s320x320/e35/21371882_168234340417598_5593761364746174464_n.jpg")</f>
        <v>https://scontent.cdninstagram.com/t51.2885-15/s320x320/e35/21371882_168234340417598_5593761364746174464_n.jpg</v>
      </c>
      <c r="AE4874" s="249" t="str">
        <f>HYPERLINK("https://scontent.cdninstagram.com/t51.2885-19/s150x150/21227198_1939039436349921_5915277690197245952_n.jpg")</f>
        <v>https://scontent.cdninstagram.com/t51.2885-19/s150x150/21227198_1939039436349921_5915277690197245952_n.jpg</v>
      </c>
    </row>
    <row r="4875" spans="1:31" ht="15" x14ac:dyDescent="0.25">
      <c r="A4875" t="s">
        <v>2474</v>
      </c>
      <c r="B4875" t="s">
        <v>25945</v>
      </c>
      <c r="C4875" s="221">
        <v>42983.597129629627</v>
      </c>
      <c r="D4875" t="s">
        <v>25946</v>
      </c>
      <c r="E4875" s="249" t="str">
        <f>HYPERLINK("https://www.instagram.com/p/BYq04McgCnP/")</f>
        <v>https://www.instagram.com/p/BYq04McgCnP/</v>
      </c>
      <c r="F4875" t="s">
        <v>25947</v>
      </c>
      <c r="G4875" t="s">
        <v>2478</v>
      </c>
      <c r="H4875">
        <v>1950</v>
      </c>
      <c r="I4875" t="s">
        <v>2786</v>
      </c>
      <c r="J4875">
        <v>0</v>
      </c>
      <c r="K4875">
        <v>76</v>
      </c>
      <c r="L4875">
        <v>76</v>
      </c>
      <c r="Q4875">
        <v>0</v>
      </c>
      <c r="R4875">
        <v>0</v>
      </c>
      <c r="S4875">
        <v>76</v>
      </c>
      <c r="T4875" t="s">
        <v>25948</v>
      </c>
      <c r="V4875" t="s">
        <v>2212</v>
      </c>
      <c r="W4875">
        <v>19.344363197873999</v>
      </c>
      <c r="X4875">
        <v>-99.132266229601996</v>
      </c>
      <c r="Y4875" t="s">
        <v>2696</v>
      </c>
      <c r="Z4875" t="s">
        <v>3165</v>
      </c>
      <c r="AA4875" t="s">
        <v>25949</v>
      </c>
      <c r="AB4875" t="s">
        <v>3571</v>
      </c>
      <c r="AC4875" t="s">
        <v>3446</v>
      </c>
      <c r="AD4875" s="249" t="str">
        <f>HYPERLINK("https://scontent.cdninstagram.com/t51.2885-15/s320x320/e35/21433987_118738998849043_184638054189760512_n.jpg")</f>
        <v>https://scontent.cdninstagram.com/t51.2885-15/s320x320/e35/21433987_118738998849043_184638054189760512_n.jpg</v>
      </c>
      <c r="AE4875" s="249" t="str">
        <f>HYPERLINK("https://scontent.cdninstagram.com/t51.2885-19/s150x150/19436233_455740031454154_6606342854451134464_a.jpg")</f>
        <v>https://scontent.cdninstagram.com/t51.2885-19/s150x150/19436233_455740031454154_6606342854451134464_a.jpg</v>
      </c>
    </row>
    <row r="4876" spans="1:31" ht="15" x14ac:dyDescent="0.25">
      <c r="A4876" t="s">
        <v>2474</v>
      </c>
      <c r="B4876" t="s">
        <v>25950</v>
      </c>
      <c r="C4876" s="221">
        <v>42983.597962962966</v>
      </c>
      <c r="D4876" t="s">
        <v>25951</v>
      </c>
      <c r="E4876" s="249" t="str">
        <f>HYPERLINK("https://www.instagram.com/p/BYq1BEggGo3/")</f>
        <v>https://www.instagram.com/p/BYq1BEggGo3/</v>
      </c>
      <c r="F4876" t="s">
        <v>25952</v>
      </c>
      <c r="G4876" t="s">
        <v>2478</v>
      </c>
      <c r="H4876">
        <v>154</v>
      </c>
      <c r="I4876" t="s">
        <v>4052</v>
      </c>
      <c r="J4876">
        <v>3</v>
      </c>
      <c r="K4876">
        <v>25</v>
      </c>
      <c r="L4876">
        <v>28</v>
      </c>
      <c r="Q4876">
        <v>0</v>
      </c>
      <c r="R4876">
        <v>0</v>
      </c>
      <c r="S4876">
        <v>28</v>
      </c>
      <c r="Y4876" t="s">
        <v>25953</v>
      </c>
      <c r="Z4876" t="s">
        <v>2497</v>
      </c>
      <c r="AA4876" t="s">
        <v>17110</v>
      </c>
      <c r="AB4876" t="s">
        <v>11871</v>
      </c>
      <c r="AC4876" t="s">
        <v>25954</v>
      </c>
      <c r="AD4876" s="249" t="str">
        <f>HYPERLINK("https://scontent.cdninstagram.com/t51.2885-15/e35/p320x320/21372429_511713455841219_2108553587687686144_n.jpg")</f>
        <v>https://scontent.cdninstagram.com/t51.2885-15/e35/p320x320/21372429_511713455841219_2108553587687686144_n.jpg</v>
      </c>
      <c r="AE4876" s="249" t="str">
        <f>HYPERLINK("https://scontent.cdninstagram.com/t51.2885-19/s150x150/21041551_1288952277916577_7427398133086158848_a.jpg")</f>
        <v>https://scontent.cdninstagram.com/t51.2885-19/s150x150/21041551_1288952277916577_7427398133086158848_a.jpg</v>
      </c>
    </row>
    <row r="4877" spans="1:31" ht="15" x14ac:dyDescent="0.25">
      <c r="A4877" t="s">
        <v>2474</v>
      </c>
      <c r="B4877" t="s">
        <v>25955</v>
      </c>
      <c r="C4877" s="221">
        <v>42983.602719907409</v>
      </c>
      <c r="D4877" t="s">
        <v>25956</v>
      </c>
      <c r="E4877" s="249" t="str">
        <f>HYPERLINK("https://www.instagram.com/p/BYq1zNOBEfr/")</f>
        <v>https://www.instagram.com/p/BYq1zNOBEfr/</v>
      </c>
      <c r="F4877" t="s">
        <v>25957</v>
      </c>
      <c r="G4877" t="s">
        <v>2478</v>
      </c>
      <c r="H4877">
        <v>203</v>
      </c>
      <c r="I4877" t="s">
        <v>2479</v>
      </c>
      <c r="J4877">
        <v>0</v>
      </c>
      <c r="K4877">
        <v>3</v>
      </c>
      <c r="L4877">
        <v>3</v>
      </c>
      <c r="Q4877">
        <v>0</v>
      </c>
      <c r="R4877">
        <v>0</v>
      </c>
      <c r="S4877">
        <v>3</v>
      </c>
      <c r="Y4877" t="s">
        <v>25958</v>
      </c>
      <c r="Z4877" t="s">
        <v>25959</v>
      </c>
      <c r="AA4877" t="s">
        <v>25960</v>
      </c>
      <c r="AB4877" t="s">
        <v>25961</v>
      </c>
      <c r="AC4877" t="s">
        <v>25962</v>
      </c>
      <c r="AD4877" s="249" t="str">
        <f>HYPERLINK("https://scontent.cdninstagram.com/t51.2885-15/s320x320/e35/21433512_116841152307016_7436137322086662144_n.jpg")</f>
        <v>https://scontent.cdninstagram.com/t51.2885-15/s320x320/e35/21433512_116841152307016_7436137322086662144_n.jpg</v>
      </c>
      <c r="AE4877" s="249" t="str">
        <f>HYPERLINK("https://scontent.cdninstagram.com/t51.2885-19/s150x150/14723446_601975906650588_10724730906607616_a.jpg")</f>
        <v>https://scontent.cdninstagram.com/t51.2885-19/s150x150/14723446_601975906650588_10724730906607616_a.jpg</v>
      </c>
    </row>
    <row r="4878" spans="1:31" ht="15" x14ac:dyDescent="0.25">
      <c r="A4878" t="s">
        <v>2474</v>
      </c>
      <c r="B4878" t="s">
        <v>3248</v>
      </c>
      <c r="C4878" s="221">
        <v>42983.605150462965</v>
      </c>
      <c r="D4878" t="s">
        <v>25963</v>
      </c>
      <c r="E4878" s="249" t="str">
        <f>HYPERLINK("https://www.instagram.com/p/BYq2M3NnDO0/")</f>
        <v>https://www.instagram.com/p/BYq2M3NnDO0/</v>
      </c>
      <c r="F4878" t="s">
        <v>25964</v>
      </c>
      <c r="G4878" t="s">
        <v>2478</v>
      </c>
      <c r="H4878">
        <v>33507</v>
      </c>
      <c r="I4878" t="s">
        <v>2479</v>
      </c>
      <c r="J4878">
        <v>5</v>
      </c>
      <c r="K4878">
        <v>496</v>
      </c>
      <c r="L4878">
        <v>501</v>
      </c>
      <c r="Q4878">
        <v>0</v>
      </c>
      <c r="R4878">
        <v>0</v>
      </c>
      <c r="S4878">
        <v>501</v>
      </c>
      <c r="AD4878" s="249" t="str">
        <f>HYPERLINK("https://scontent.cdninstagram.com/t51.2885-15/s320x320/e35/21371993_154626801787973_3661621729085620224_n.jpg")</f>
        <v>https://scontent.cdninstagram.com/t51.2885-15/s320x320/e35/21371993_154626801787973_3661621729085620224_n.jpg</v>
      </c>
      <c r="AE4878" s="249" t="str">
        <f>HYPERLINK("https://scontent.cdninstagram.com/t51.2885-19/s150x150/16229301_1876915245885793_5124596849776263168_n.jpg")</f>
        <v>https://scontent.cdninstagram.com/t51.2885-19/s150x150/16229301_1876915245885793_5124596849776263168_n.jpg</v>
      </c>
    </row>
    <row r="4879" spans="1:31" ht="15" x14ac:dyDescent="0.25">
      <c r="A4879" t="s">
        <v>2474</v>
      </c>
      <c r="B4879" t="s">
        <v>25965</v>
      </c>
      <c r="C4879" s="221">
        <v>42983.607094907406</v>
      </c>
      <c r="D4879" t="s">
        <v>25966</v>
      </c>
      <c r="E4879" s="249" t="str">
        <f>HYPERLINK("https://www.instagram.com/p/BYq2hWLjrfd/")</f>
        <v>https://www.instagram.com/p/BYq2hWLjrfd/</v>
      </c>
      <c r="F4879" t="s">
        <v>25967</v>
      </c>
      <c r="G4879" t="s">
        <v>2478</v>
      </c>
      <c r="H4879">
        <v>272</v>
      </c>
      <c r="I4879" t="s">
        <v>2479</v>
      </c>
      <c r="J4879">
        <v>0</v>
      </c>
      <c r="K4879">
        <v>94</v>
      </c>
      <c r="L4879">
        <v>94</v>
      </c>
      <c r="Q4879">
        <v>0</v>
      </c>
      <c r="R4879">
        <v>0</v>
      </c>
      <c r="S4879">
        <v>94</v>
      </c>
      <c r="T4879" t="s">
        <v>25968</v>
      </c>
      <c r="V4879" t="s">
        <v>2264</v>
      </c>
      <c r="W4879">
        <v>36.519532569901997</v>
      </c>
      <c r="X4879">
        <v>-4.8923571741982004</v>
      </c>
      <c r="Y4879" t="s">
        <v>2632</v>
      </c>
      <c r="Z4879" t="s">
        <v>25969</v>
      </c>
      <c r="AA4879" t="s">
        <v>3165</v>
      </c>
      <c r="AB4879" t="s">
        <v>3446</v>
      </c>
      <c r="AC4879" t="s">
        <v>25970</v>
      </c>
      <c r="AD4879" s="249" t="str">
        <f>HYPERLINK("https://scontent.cdninstagram.com/t51.2885-15/s320x320/e35/21435321_849340521890747_5879917026880782336_n.jpg")</f>
        <v>https://scontent.cdninstagram.com/t51.2885-15/s320x320/e35/21435321_849340521890747_5879917026880782336_n.jpg</v>
      </c>
      <c r="AE4879" s="249" t="str">
        <f>HYPERLINK("https://scontent.cdninstagram.com/t51.2885-19/s150x150/14026732_635864183247708_1556394412_a.jpg")</f>
        <v>https://scontent.cdninstagram.com/t51.2885-19/s150x150/14026732_635864183247708_1556394412_a.jpg</v>
      </c>
    </row>
    <row r="4880" spans="1:31" ht="15" x14ac:dyDescent="0.25">
      <c r="A4880" t="s">
        <v>2474</v>
      </c>
      <c r="B4880" t="s">
        <v>25971</v>
      </c>
      <c r="C4880" s="221">
        <v>42983.608854166669</v>
      </c>
      <c r="D4880" t="s">
        <v>25972</v>
      </c>
      <c r="E4880" s="249" t="str">
        <f>HYPERLINK("https://www.instagram.com/p/BYq2z59gfVY/")</f>
        <v>https://www.instagram.com/p/BYq2z59gfVY/</v>
      </c>
      <c r="F4880" t="s">
        <v>25973</v>
      </c>
      <c r="G4880" t="s">
        <v>2488</v>
      </c>
      <c r="H4880">
        <v>58</v>
      </c>
      <c r="I4880" t="s">
        <v>2479</v>
      </c>
      <c r="J4880">
        <v>0</v>
      </c>
      <c r="K4880">
        <v>16</v>
      </c>
      <c r="L4880">
        <v>16</v>
      </c>
      <c r="Q4880">
        <v>0</v>
      </c>
      <c r="R4880">
        <v>0</v>
      </c>
      <c r="S4880">
        <v>16</v>
      </c>
      <c r="T4880" t="s">
        <v>25974</v>
      </c>
      <c r="V4880" t="s">
        <v>2154</v>
      </c>
      <c r="W4880">
        <v>47.533299999999997</v>
      </c>
      <c r="X4880">
        <v>-0.53333299999999995</v>
      </c>
      <c r="Y4880" t="s">
        <v>11319</v>
      </c>
      <c r="Z4880" t="s">
        <v>2861</v>
      </c>
      <c r="AA4880" t="s">
        <v>5229</v>
      </c>
      <c r="AB4880" t="s">
        <v>18419</v>
      </c>
      <c r="AC4880" t="s">
        <v>14171</v>
      </c>
      <c r="AD4880" s="249" t="str">
        <f>HYPERLINK("https://scontent.cdninstagram.com/t51.2885-15/e35/p320x320/21371688_309200782879235_6009078616300716032_n.jpg")</f>
        <v>https://scontent.cdninstagram.com/t51.2885-15/e35/p320x320/21371688_309200782879235_6009078616300716032_n.jpg</v>
      </c>
      <c r="AE4880" s="249" t="str">
        <f>HYPERLINK("https://scontent.cdninstagram.com/t51.2885-19/s150x150/18949503_1122155304550657_4049188449616396288_a.jpg")</f>
        <v>https://scontent.cdninstagram.com/t51.2885-19/s150x150/18949503_1122155304550657_4049188449616396288_a.jpg</v>
      </c>
    </row>
    <row r="4881" spans="1:31" ht="15" x14ac:dyDescent="0.25">
      <c r="A4881" t="s">
        <v>2474</v>
      </c>
      <c r="B4881" t="s">
        <v>14900</v>
      </c>
      <c r="C4881" s="221">
        <v>42983.612326388888</v>
      </c>
      <c r="D4881" t="s">
        <v>25975</v>
      </c>
      <c r="E4881" s="249" t="str">
        <f>HYPERLINK("https://www.instagram.com/p/BYq3YiTn-Tq/")</f>
        <v>https://www.instagram.com/p/BYq3YiTn-Tq/</v>
      </c>
      <c r="F4881" t="s">
        <v>25976</v>
      </c>
      <c r="G4881" t="s">
        <v>2478</v>
      </c>
      <c r="H4881">
        <v>46703</v>
      </c>
      <c r="I4881" t="s">
        <v>2479</v>
      </c>
      <c r="J4881">
        <v>30</v>
      </c>
      <c r="K4881">
        <v>427</v>
      </c>
      <c r="L4881">
        <v>457</v>
      </c>
      <c r="Q4881">
        <v>0</v>
      </c>
      <c r="R4881">
        <v>0</v>
      </c>
      <c r="S4881">
        <v>457</v>
      </c>
      <c r="Y4881" t="s">
        <v>4887</v>
      </c>
      <c r="Z4881" t="s">
        <v>14154</v>
      </c>
      <c r="AA4881" t="s">
        <v>6027</v>
      </c>
      <c r="AB4881" t="s">
        <v>7192</v>
      </c>
      <c r="AC4881" t="s">
        <v>16498</v>
      </c>
      <c r="AD4881" s="249" t="str">
        <f>HYPERLINK("https://scontent.cdninstagram.com/t51.2885-15/e35/p320x320/21372198_276208789543401_6186893986091761664_n.jpg")</f>
        <v>https://scontent.cdninstagram.com/t51.2885-15/e35/p320x320/21372198_276208789543401_6186893986091761664_n.jpg</v>
      </c>
      <c r="AE4881" s="249" t="str">
        <f>HYPERLINK("https://scontent.cdninstagram.com/t51.2885-19/s150x150/18298609_1355354691167876_5683572652778717184_a.jpg")</f>
        <v>https://scontent.cdninstagram.com/t51.2885-19/s150x150/18298609_1355354691167876_5683572652778717184_a.jpg</v>
      </c>
    </row>
    <row r="4882" spans="1:31" ht="15" x14ac:dyDescent="0.25">
      <c r="A4882" t="s">
        <v>2474</v>
      </c>
      <c r="B4882" t="s">
        <v>25977</v>
      </c>
      <c r="C4882" s="221">
        <v>42983.614756944444</v>
      </c>
      <c r="D4882" t="s">
        <v>25978</v>
      </c>
      <c r="E4882" s="249" t="str">
        <f>HYPERLINK("https://www.instagram.com/p/BYq3yF0gRqb/")</f>
        <v>https://www.instagram.com/p/BYq3yF0gRqb/</v>
      </c>
      <c r="F4882" t="s">
        <v>25979</v>
      </c>
      <c r="G4882" t="s">
        <v>2478</v>
      </c>
      <c r="H4882">
        <v>391</v>
      </c>
      <c r="I4882" t="s">
        <v>2479</v>
      </c>
      <c r="J4882">
        <v>1</v>
      </c>
      <c r="K4882">
        <v>20</v>
      </c>
      <c r="L4882">
        <v>21</v>
      </c>
      <c r="Q4882">
        <v>0</v>
      </c>
      <c r="R4882">
        <v>0</v>
      </c>
      <c r="S4882">
        <v>21</v>
      </c>
      <c r="Y4882" t="s">
        <v>19533</v>
      </c>
      <c r="Z4882" t="s">
        <v>25980</v>
      </c>
      <c r="AA4882" t="s">
        <v>2497</v>
      </c>
      <c r="AB4882" t="s">
        <v>25981</v>
      </c>
      <c r="AC4882" t="s">
        <v>25982</v>
      </c>
      <c r="AD4882" s="249" t="str">
        <f>HYPERLINK("https://scontent.cdninstagram.com/t51.2885-15/s320x320/e35/21371974_1290124224447498_2947659071974539264_n.jpg")</f>
        <v>https://scontent.cdninstagram.com/t51.2885-15/s320x320/e35/21371974_1290124224447498_2947659071974539264_n.jpg</v>
      </c>
      <c r="AE4882" s="249" t="str">
        <f>HYPERLINK("https://scontent.cdninstagram.com/t51.2885-19/11376206_1654039068145294_365333410_a.jpg")</f>
        <v>https://scontent.cdninstagram.com/t51.2885-19/11376206_1654039068145294_365333410_a.jpg</v>
      </c>
    </row>
    <row r="4883" spans="1:31" ht="15" x14ac:dyDescent="0.25">
      <c r="A4883" t="s">
        <v>2474</v>
      </c>
      <c r="B4883" t="s">
        <v>25983</v>
      </c>
      <c r="C4883" s="221">
        <v>42983.61515046296</v>
      </c>
      <c r="D4883" t="s">
        <v>25984</v>
      </c>
      <c r="E4883" s="249" t="str">
        <f>HYPERLINK("https://www.instagram.com/p/BYq32Q5lwuL/")</f>
        <v>https://www.instagram.com/p/BYq32Q5lwuL/</v>
      </c>
      <c r="F4883" t="s">
        <v>25985</v>
      </c>
      <c r="G4883" t="s">
        <v>2478</v>
      </c>
      <c r="H4883">
        <v>294</v>
      </c>
      <c r="I4883" t="s">
        <v>2599</v>
      </c>
      <c r="J4883">
        <v>0</v>
      </c>
      <c r="K4883">
        <v>22</v>
      </c>
      <c r="L4883">
        <v>22</v>
      </c>
      <c r="Q4883">
        <v>0</v>
      </c>
      <c r="R4883">
        <v>0</v>
      </c>
      <c r="S4883">
        <v>22</v>
      </c>
      <c r="Y4883" t="s">
        <v>2734</v>
      </c>
      <c r="Z4883" t="s">
        <v>2696</v>
      </c>
      <c r="AA4883" t="s">
        <v>25986</v>
      </c>
      <c r="AB4883" t="s">
        <v>25987</v>
      </c>
      <c r="AC4883" t="s">
        <v>25988</v>
      </c>
      <c r="AD4883" s="249" t="str">
        <f>HYPERLINK("https://scontent.cdninstagram.com/t51.2885-15/e35/p320x320/21371929_1285132164930715_8663222569614180352_n.jpg")</f>
        <v>https://scontent.cdninstagram.com/t51.2885-15/e35/p320x320/21371929_1285132164930715_8663222569614180352_n.jpg</v>
      </c>
      <c r="AE4883" s="249" t="str">
        <f>HYPERLINK("https://scontent.cdninstagram.com/t51.2885-19/s150x150/16229307_1016625525147699_6062919269761417216_n.jpg")</f>
        <v>https://scontent.cdninstagram.com/t51.2885-19/s150x150/16229307_1016625525147699_6062919269761417216_n.jpg</v>
      </c>
    </row>
    <row r="4884" spans="1:31" ht="15" x14ac:dyDescent="0.25">
      <c r="A4884" t="s">
        <v>2474</v>
      </c>
      <c r="B4884" t="s">
        <v>16155</v>
      </c>
      <c r="C4884" s="221">
        <v>42983.620474537034</v>
      </c>
      <c r="D4884" t="s">
        <v>25989</v>
      </c>
      <c r="E4884" s="249" t="str">
        <f>HYPERLINK("https://www.instagram.com/p/BYq4ueKAlEK/")</f>
        <v>https://www.instagram.com/p/BYq4ueKAlEK/</v>
      </c>
      <c r="F4884" t="s">
        <v>25990</v>
      </c>
      <c r="G4884" t="s">
        <v>2478</v>
      </c>
      <c r="H4884">
        <v>1230</v>
      </c>
      <c r="I4884" t="s">
        <v>2542</v>
      </c>
      <c r="J4884">
        <v>21</v>
      </c>
      <c r="K4884">
        <v>146</v>
      </c>
      <c r="L4884">
        <v>167</v>
      </c>
      <c r="Q4884">
        <v>0</v>
      </c>
      <c r="R4884">
        <v>0</v>
      </c>
      <c r="S4884">
        <v>167</v>
      </c>
      <c r="T4884" t="s">
        <v>25991</v>
      </c>
      <c r="U4884" t="s">
        <v>472</v>
      </c>
      <c r="V4884" t="s">
        <v>2299</v>
      </c>
      <c r="W4884">
        <v>47.058133115060997</v>
      </c>
      <c r="X4884">
        <v>-122.76032698341</v>
      </c>
      <c r="Y4884" t="s">
        <v>9070</v>
      </c>
      <c r="Z4884" t="s">
        <v>3337</v>
      </c>
      <c r="AA4884" t="s">
        <v>17901</v>
      </c>
      <c r="AB4884" t="s">
        <v>3075</v>
      </c>
      <c r="AC4884" t="s">
        <v>25992</v>
      </c>
      <c r="AD4884" s="249" t="str">
        <f>HYPERLINK("https://scontent.cdninstagram.com/t51.2885-15/s320x320/e35/21434052_1470882512991029_4586333530853736448_n.jpg")</f>
        <v>https://scontent.cdninstagram.com/t51.2885-15/s320x320/e35/21434052_1470882512991029_4586333530853736448_n.jpg</v>
      </c>
      <c r="AE4884" s="249" t="str">
        <f>HYPERLINK("https://scontent.cdninstagram.com/t51.2885-19/s150x150/21149329_480261879018827_5657034483648430080_a.jpg")</f>
        <v>https://scontent.cdninstagram.com/t51.2885-19/s150x150/21149329_480261879018827_5657034483648430080_a.jpg</v>
      </c>
    </row>
    <row r="4885" spans="1:31" ht="15" x14ac:dyDescent="0.25">
      <c r="A4885" t="s">
        <v>2474</v>
      </c>
      <c r="B4885" t="s">
        <v>4889</v>
      </c>
      <c r="C4885" s="221">
        <v>42983.621689814812</v>
      </c>
      <c r="D4885" t="s">
        <v>25993</v>
      </c>
      <c r="E4885" s="249" t="str">
        <f>HYPERLINK("https://www.instagram.com/p/BYq47RCgF1g/")</f>
        <v>https://www.instagram.com/p/BYq47RCgF1g/</v>
      </c>
      <c r="F4885" t="s">
        <v>25994</v>
      </c>
      <c r="G4885" t="s">
        <v>2478</v>
      </c>
      <c r="H4885">
        <v>61983</v>
      </c>
      <c r="I4885" t="s">
        <v>2479</v>
      </c>
      <c r="J4885">
        <v>50</v>
      </c>
      <c r="K4885">
        <v>1908</v>
      </c>
      <c r="L4885">
        <v>1958</v>
      </c>
      <c r="Q4885">
        <v>0</v>
      </c>
      <c r="R4885">
        <v>0</v>
      </c>
      <c r="S4885">
        <v>1958</v>
      </c>
      <c r="Y4885" t="s">
        <v>7216</v>
      </c>
      <c r="Z4885" t="s">
        <v>19628</v>
      </c>
      <c r="AA4885" t="s">
        <v>17896</v>
      </c>
      <c r="AB4885" t="s">
        <v>7169</v>
      </c>
      <c r="AC4885" t="s">
        <v>7529</v>
      </c>
      <c r="AD4885" s="249" t="str">
        <f>HYPERLINK("https://scontent.cdninstagram.com/t51.2885-15/e35/p320x320/21371821_254852805024033_7902499602824167424_n.jpg")</f>
        <v>https://scontent.cdninstagram.com/t51.2885-15/e35/p320x320/21371821_254852805024033_7902499602824167424_n.jpg</v>
      </c>
      <c r="AE4885" s="249" t="str">
        <f>HYPERLINK("https://scontent.cdninstagram.com/t51.2885-19/s150x150/18161358_1440804125941868_3504733114997932032_a.jpg")</f>
        <v>https://scontent.cdninstagram.com/t51.2885-19/s150x150/18161358_1440804125941868_3504733114997932032_a.jpg</v>
      </c>
    </row>
    <row r="4886" spans="1:31" ht="15" x14ac:dyDescent="0.25">
      <c r="A4886" t="s">
        <v>2474</v>
      </c>
      <c r="B4886" t="s">
        <v>3895</v>
      </c>
      <c r="C4886" s="221">
        <v>42983.624224537038</v>
      </c>
      <c r="D4886" t="s">
        <v>25995</v>
      </c>
      <c r="E4886" s="249" t="str">
        <f>HYPERLINK("https://www.instagram.com/p/BYq5V8Vl9f0/")</f>
        <v>https://www.instagram.com/p/BYq5V8Vl9f0/</v>
      </c>
      <c r="F4886" t="s">
        <v>25996</v>
      </c>
      <c r="G4886" t="s">
        <v>2478</v>
      </c>
      <c r="H4886">
        <v>428</v>
      </c>
      <c r="I4886" t="s">
        <v>2479</v>
      </c>
      <c r="J4886">
        <v>6</v>
      </c>
      <c r="K4886">
        <v>75</v>
      </c>
      <c r="L4886">
        <v>81</v>
      </c>
      <c r="Q4886">
        <v>0</v>
      </c>
      <c r="R4886">
        <v>0</v>
      </c>
      <c r="S4886">
        <v>81</v>
      </c>
      <c r="Y4886" t="s">
        <v>2547</v>
      </c>
      <c r="Z4886" t="s">
        <v>5383</v>
      </c>
      <c r="AA4886" t="s">
        <v>3899</v>
      </c>
      <c r="AB4886" t="s">
        <v>23188</v>
      </c>
      <c r="AC4886" t="s">
        <v>3901</v>
      </c>
      <c r="AD4886" s="249" t="str">
        <f>HYPERLINK("https://scontent.cdninstagram.com/t51.2885-15/s320x320/e35/21373673_1548747098517484_572008683693670400_n.jpg")</f>
        <v>https://scontent.cdninstagram.com/t51.2885-15/s320x320/e35/21373673_1548747098517484_572008683693670400_n.jpg</v>
      </c>
      <c r="AE4886" s="249" t="str">
        <f>HYPERLINK("https://scontent.cdninstagram.com/t51.2885-19/s150x150/20902130_1390331654386412_4188068892897181696_a.jpg")</f>
        <v>https://scontent.cdninstagram.com/t51.2885-19/s150x150/20902130_1390331654386412_4188068892897181696_a.jpg</v>
      </c>
    </row>
    <row r="4887" spans="1:31" ht="15" x14ac:dyDescent="0.25">
      <c r="A4887" t="s">
        <v>2474</v>
      </c>
      <c r="B4887" t="s">
        <v>6479</v>
      </c>
      <c r="C4887" s="221">
        <v>42983.625104166669</v>
      </c>
      <c r="D4887" t="s">
        <v>25997</v>
      </c>
      <c r="E4887" s="249" t="str">
        <f>HYPERLINK("https://www.instagram.com/p/BYq5fPxlM1V/")</f>
        <v>https://www.instagram.com/p/BYq5fPxlM1V/</v>
      </c>
      <c r="F4887" t="s">
        <v>25998</v>
      </c>
      <c r="G4887" t="s">
        <v>2478</v>
      </c>
      <c r="H4887">
        <v>80922</v>
      </c>
      <c r="I4887" t="s">
        <v>2479</v>
      </c>
      <c r="J4887">
        <v>30</v>
      </c>
      <c r="K4887">
        <v>2895</v>
      </c>
      <c r="L4887">
        <v>2925</v>
      </c>
      <c r="Q4887">
        <v>0</v>
      </c>
      <c r="R4887">
        <v>0</v>
      </c>
      <c r="S4887">
        <v>2925</v>
      </c>
      <c r="T4887" t="s">
        <v>15222</v>
      </c>
      <c r="V4887" t="s">
        <v>2222</v>
      </c>
      <c r="W4887">
        <v>53.223239900000003</v>
      </c>
      <c r="X4887">
        <v>6.5666099999999998</v>
      </c>
      <c r="AD4887" s="249" t="str">
        <f>HYPERLINK("https://scontent.cdninstagram.com/t51.2885-15/s320x320/e35/21373086_706634669535005_4161376697649725440_n.jpg")</f>
        <v>https://scontent.cdninstagram.com/t51.2885-15/s320x320/e35/21373086_706634669535005_4161376697649725440_n.jpg</v>
      </c>
      <c r="AE4887" s="249" t="str">
        <f>HYPERLINK("https://scontent.cdninstagram.com/t51.2885-19/s150x150/17439144_1895752470643302_743998926780104704_n.jpg")</f>
        <v>https://scontent.cdninstagram.com/t51.2885-19/s150x150/17439144_1895752470643302_743998926780104704_n.jpg</v>
      </c>
    </row>
    <row r="4888" spans="1:31" ht="15" x14ac:dyDescent="0.25">
      <c r="A4888" t="s">
        <v>2474</v>
      </c>
      <c r="B4888" t="s">
        <v>25999</v>
      </c>
      <c r="C4888" s="221">
        <v>42983.626712962963</v>
      </c>
      <c r="D4888" t="s">
        <v>26000</v>
      </c>
      <c r="E4888" s="249" t="str">
        <f>HYPERLINK("https://www.instagram.com/p/BYq5wO3Bj1D/")</f>
        <v>https://www.instagram.com/p/BYq5wO3Bj1D/</v>
      </c>
      <c r="F4888" t="s">
        <v>26001</v>
      </c>
      <c r="G4888" t="s">
        <v>2478</v>
      </c>
      <c r="H4888">
        <v>500</v>
      </c>
      <c r="I4888" t="s">
        <v>2479</v>
      </c>
      <c r="J4888">
        <v>0</v>
      </c>
      <c r="K4888">
        <v>100</v>
      </c>
      <c r="L4888">
        <v>100</v>
      </c>
      <c r="Q4888">
        <v>0</v>
      </c>
      <c r="R4888">
        <v>0</v>
      </c>
      <c r="S4888">
        <v>100</v>
      </c>
      <c r="T4888" t="s">
        <v>26002</v>
      </c>
      <c r="U4888" t="s">
        <v>328</v>
      </c>
      <c r="V4888" t="s">
        <v>2299</v>
      </c>
      <c r="W4888">
        <v>40.778718765392</v>
      </c>
      <c r="X4888">
        <v>-119.21564286508</v>
      </c>
      <c r="Y4888" t="s">
        <v>26003</v>
      </c>
      <c r="Z4888" t="s">
        <v>12621</v>
      </c>
      <c r="AA4888" t="s">
        <v>26004</v>
      </c>
      <c r="AB4888" t="s">
        <v>2497</v>
      </c>
      <c r="AC4888" t="s">
        <v>2697</v>
      </c>
      <c r="AD4888" s="249" t="str">
        <f>HYPERLINK("https://scontent.cdninstagram.com/t51.2885-15/s320x320/e35/21372491_817875565052975_1950662579772719104_n.jpg")</f>
        <v>https://scontent.cdninstagram.com/t51.2885-15/s320x320/e35/21372491_817875565052975_1950662579772719104_n.jpg</v>
      </c>
      <c r="AE4888" s="249" t="str">
        <f>HYPERLINK("https://scontent.cdninstagram.com/t51.2885-19/s150x150/11374425_1647944728755604_1207940907_a.jpg")</f>
        <v>https://scontent.cdninstagram.com/t51.2885-19/s150x150/11374425_1647944728755604_1207940907_a.jpg</v>
      </c>
    </row>
    <row r="4889" spans="1:31" ht="15" x14ac:dyDescent="0.25">
      <c r="A4889" t="s">
        <v>2474</v>
      </c>
      <c r="B4889" t="s">
        <v>26005</v>
      </c>
      <c r="C4889" s="221">
        <v>42983.636053240742</v>
      </c>
      <c r="D4889" t="s">
        <v>26006</v>
      </c>
      <c r="E4889" s="249" t="str">
        <f>HYPERLINK("https://www.instagram.com/p/BYq7SuGHqbr/")</f>
        <v>https://www.instagram.com/p/BYq7SuGHqbr/</v>
      </c>
      <c r="F4889" t="s">
        <v>26007</v>
      </c>
      <c r="G4889" t="s">
        <v>2478</v>
      </c>
      <c r="H4889">
        <v>777</v>
      </c>
      <c r="I4889" t="s">
        <v>2479</v>
      </c>
      <c r="J4889">
        <v>1</v>
      </c>
      <c r="K4889">
        <v>61</v>
      </c>
      <c r="L4889">
        <v>62</v>
      </c>
      <c r="Q4889">
        <v>0</v>
      </c>
      <c r="R4889">
        <v>0</v>
      </c>
      <c r="S4889">
        <v>62</v>
      </c>
      <c r="T4889" t="s">
        <v>26008</v>
      </c>
      <c r="V4889" t="s">
        <v>2271</v>
      </c>
      <c r="W4889">
        <v>46.953099999999999</v>
      </c>
      <c r="X4889">
        <v>7.4493799999999997</v>
      </c>
      <c r="Y4889" t="s">
        <v>26009</v>
      </c>
      <c r="Z4889" t="s">
        <v>26010</v>
      </c>
      <c r="AA4889" t="s">
        <v>8679</v>
      </c>
      <c r="AB4889" t="s">
        <v>2497</v>
      </c>
      <c r="AC4889" t="s">
        <v>26011</v>
      </c>
      <c r="AD4889" s="249" t="str">
        <f>HYPERLINK("https://scontent.cdninstagram.com/t51.2885-15/s320x320/e35/21371988_113928315966227_2465025522384502784_n.jpg")</f>
        <v>https://scontent.cdninstagram.com/t51.2885-15/s320x320/e35/21371988_113928315966227_2465025522384502784_n.jpg</v>
      </c>
      <c r="AE4889" s="249" t="str">
        <f>HYPERLINK("https://scontent.cdninstagram.com/t51.2885-19/s150x150/15534935_145470772605695_7406116235127029760_a.jpg")</f>
        <v>https://scontent.cdninstagram.com/t51.2885-19/s150x150/15534935_145470772605695_7406116235127029760_a.jpg</v>
      </c>
    </row>
    <row r="4890" spans="1:31" ht="15" x14ac:dyDescent="0.25">
      <c r="A4890" t="s">
        <v>2474</v>
      </c>
      <c r="B4890" t="s">
        <v>26012</v>
      </c>
      <c r="C4890" s="221">
        <v>42983.641909722224</v>
      </c>
      <c r="D4890" t="s">
        <v>26013</v>
      </c>
      <c r="E4890" s="249" t="str">
        <f>HYPERLINK("https://www.instagram.com/p/BYq8Qe7jQEg/")</f>
        <v>https://www.instagram.com/p/BYq8Qe7jQEg/</v>
      </c>
      <c r="F4890" t="s">
        <v>26014</v>
      </c>
      <c r="G4890" t="s">
        <v>2631</v>
      </c>
      <c r="H4890">
        <v>95</v>
      </c>
      <c r="I4890" t="s">
        <v>2910</v>
      </c>
      <c r="J4890">
        <v>5</v>
      </c>
      <c r="K4890">
        <v>16</v>
      </c>
      <c r="L4890">
        <v>21</v>
      </c>
      <c r="Q4890">
        <v>0</v>
      </c>
      <c r="R4890">
        <v>0</v>
      </c>
      <c r="S4890">
        <v>21</v>
      </c>
      <c r="Y4890" t="s">
        <v>7256</v>
      </c>
      <c r="Z4890" t="s">
        <v>26015</v>
      </c>
      <c r="AA4890" t="s">
        <v>26016</v>
      </c>
      <c r="AB4890" t="s">
        <v>26017</v>
      </c>
      <c r="AC4890" t="s">
        <v>2497</v>
      </c>
      <c r="AD4890" s="249" t="str">
        <f>HYPERLINK("https://scontent.cdninstagram.com/t51.2885-15/s320x320/e15/21373009_2016929275202919_3661999660437864448_n.jpg")</f>
        <v>https://scontent.cdninstagram.com/t51.2885-15/s320x320/e15/21373009_2016929275202919_3661999660437864448_n.jpg</v>
      </c>
      <c r="AE4890" s="249" t="str">
        <f>HYPERLINK("https://scontent.cdninstagram.com/t51.2885-19/s150x150/21042439_158763898034993_7973378949893849088_a.jpg")</f>
        <v>https://scontent.cdninstagram.com/t51.2885-19/s150x150/21042439_158763898034993_7973378949893849088_a.jpg</v>
      </c>
    </row>
    <row r="4891" spans="1:31" ht="15" x14ac:dyDescent="0.25">
      <c r="A4891" t="s">
        <v>2474</v>
      </c>
      <c r="B4891" t="s">
        <v>19308</v>
      </c>
      <c r="C4891" s="221">
        <v>42983.646099537036</v>
      </c>
      <c r="D4891" t="s">
        <v>26018</v>
      </c>
      <c r="E4891" s="249" t="str">
        <f>HYPERLINK("https://www.instagram.com/p/BYq88t0HjLN/")</f>
        <v>https://www.instagram.com/p/BYq88t0HjLN/</v>
      </c>
      <c r="F4891" t="s">
        <v>26019</v>
      </c>
      <c r="G4891" t="s">
        <v>2631</v>
      </c>
      <c r="H4891">
        <v>346</v>
      </c>
      <c r="I4891" t="s">
        <v>2786</v>
      </c>
      <c r="J4891">
        <v>2</v>
      </c>
      <c r="K4891">
        <v>34</v>
      </c>
      <c r="L4891">
        <v>36</v>
      </c>
      <c r="Q4891">
        <v>0</v>
      </c>
      <c r="R4891">
        <v>0</v>
      </c>
      <c r="S4891">
        <v>36</v>
      </c>
      <c r="Y4891" t="s">
        <v>5405</v>
      </c>
      <c r="Z4891" t="s">
        <v>26020</v>
      </c>
      <c r="AA4891" t="s">
        <v>19913</v>
      </c>
      <c r="AB4891" t="s">
        <v>7036</v>
      </c>
      <c r="AC4891" t="s">
        <v>2574</v>
      </c>
      <c r="AD4891" s="249" t="str">
        <f>HYPERLINK("https://scontent.cdninstagram.com/t51.2885-15/s320x320/e35/21372130_2064717873751865_9050781086757421056_n.jpg")</f>
        <v>https://scontent.cdninstagram.com/t51.2885-15/s320x320/e35/21372130_2064717873751865_9050781086757421056_n.jpg</v>
      </c>
      <c r="AE4891" s="249" t="str">
        <f>HYPERLINK("https://scontent.cdninstagram.com/t51.2885-19/s150x150/20226147_112026909397366_6293439329997946880_a.jpg")</f>
        <v>https://scontent.cdninstagram.com/t51.2885-19/s150x150/20226147_112026909397366_6293439329997946880_a.jpg</v>
      </c>
    </row>
    <row r="4892" spans="1:31" ht="15" x14ac:dyDescent="0.25">
      <c r="A4892" t="s">
        <v>2474</v>
      </c>
      <c r="B4892" t="s">
        <v>20522</v>
      </c>
      <c r="C4892" s="221">
        <v>42983.65452546296</v>
      </c>
      <c r="D4892" t="s">
        <v>26021</v>
      </c>
      <c r="E4892" s="249" t="str">
        <f>HYPERLINK("https://www.instagram.com/p/BYq-VmFlWCD/")</f>
        <v>https://www.instagram.com/p/BYq-VmFlWCD/</v>
      </c>
      <c r="F4892" t="s">
        <v>26022</v>
      </c>
      <c r="G4892" t="s">
        <v>2478</v>
      </c>
      <c r="H4892">
        <v>324</v>
      </c>
      <c r="I4892" t="s">
        <v>2479</v>
      </c>
      <c r="J4892">
        <v>0</v>
      </c>
      <c r="K4892">
        <v>46</v>
      </c>
      <c r="L4892">
        <v>46</v>
      </c>
      <c r="Q4892">
        <v>0</v>
      </c>
      <c r="R4892">
        <v>0</v>
      </c>
      <c r="S4892">
        <v>46</v>
      </c>
      <c r="Y4892" t="s">
        <v>26023</v>
      </c>
      <c r="Z4892" t="s">
        <v>26024</v>
      </c>
      <c r="AA4892" t="s">
        <v>26025</v>
      </c>
      <c r="AB4892" t="s">
        <v>20525</v>
      </c>
      <c r="AC4892" t="s">
        <v>5307</v>
      </c>
      <c r="AD4892" s="249" t="str">
        <f>HYPERLINK("https://scontent.cdninstagram.com/t51.2885-15/s320x320/e35/21371736_115524942494826_5426973899013226496_n.jpg")</f>
        <v>https://scontent.cdninstagram.com/t51.2885-15/s320x320/e35/21371736_115524942494826_5426973899013226496_n.jpg</v>
      </c>
      <c r="AE4892" s="249" t="str">
        <f>HYPERLINK("https://scontent.cdninstagram.com/t51.2885-19/s150x150/20986902_269506990203786_5716462730647437312_a.jpg")</f>
        <v>https://scontent.cdninstagram.com/t51.2885-19/s150x150/20986902_269506990203786_5716462730647437312_a.jpg</v>
      </c>
    </row>
    <row r="4893" spans="1:31" ht="15" x14ac:dyDescent="0.25">
      <c r="A4893" t="s">
        <v>2474</v>
      </c>
      <c r="B4893" t="s">
        <v>26026</v>
      </c>
      <c r="C4893" s="221">
        <v>42983.657500000001</v>
      </c>
      <c r="D4893" t="s">
        <v>26027</v>
      </c>
      <c r="E4893" s="249" t="str">
        <f>HYPERLINK("https://www.instagram.com/p/BYq-06HAJWk/")</f>
        <v>https://www.instagram.com/p/BYq-06HAJWk/</v>
      </c>
      <c r="F4893" t="s">
        <v>26028</v>
      </c>
      <c r="G4893" t="s">
        <v>2478</v>
      </c>
      <c r="H4893">
        <v>271</v>
      </c>
      <c r="I4893" t="s">
        <v>2479</v>
      </c>
      <c r="J4893">
        <v>1</v>
      </c>
      <c r="K4893">
        <v>24</v>
      </c>
      <c r="L4893">
        <v>25</v>
      </c>
      <c r="Q4893">
        <v>0</v>
      </c>
      <c r="R4893">
        <v>0</v>
      </c>
      <c r="S4893">
        <v>25</v>
      </c>
      <c r="T4893" t="s">
        <v>26029</v>
      </c>
      <c r="V4893" t="s">
        <v>2125</v>
      </c>
      <c r="W4893">
        <v>49.278715099999999</v>
      </c>
      <c r="X4893">
        <v>-122.85105369999999</v>
      </c>
      <c r="Y4893" t="s">
        <v>2497</v>
      </c>
      <c r="Z4893" t="s">
        <v>26030</v>
      </c>
      <c r="AD4893" s="249" t="str">
        <f>HYPERLINK("https://scontent.cdninstagram.com/t51.2885-15/s320x320/e35/21373289_1710785225896560_2723831511383015424_n.jpg")</f>
        <v>https://scontent.cdninstagram.com/t51.2885-15/s320x320/e35/21373289_1710785225896560_2723831511383015424_n.jpg</v>
      </c>
      <c r="AE4893" s="249" t="str">
        <f>HYPERLINK("https://scontent.cdninstagram.com/t51.2885-19/s150x150/12917870_1606117416374188_728843229_a.jpg")</f>
        <v>https://scontent.cdninstagram.com/t51.2885-19/s150x150/12917870_1606117416374188_728843229_a.jpg</v>
      </c>
    </row>
    <row r="4894" spans="1:31" ht="15" x14ac:dyDescent="0.25">
      <c r="A4894" t="s">
        <v>2474</v>
      </c>
      <c r="B4894" t="s">
        <v>19717</v>
      </c>
      <c r="C4894" s="221">
        <v>42983.659861111111</v>
      </c>
      <c r="D4894" t="s">
        <v>26031</v>
      </c>
      <c r="E4894" s="249" t="str">
        <f>HYPERLINK("https://www.instagram.com/p/BYq_N4OlXUK/")</f>
        <v>https://www.instagram.com/p/BYq_N4OlXUK/</v>
      </c>
      <c r="F4894" t="s">
        <v>26032</v>
      </c>
      <c r="G4894" t="s">
        <v>2488</v>
      </c>
      <c r="H4894">
        <v>293</v>
      </c>
      <c r="I4894" t="s">
        <v>2479</v>
      </c>
      <c r="J4894">
        <v>2</v>
      </c>
      <c r="K4894">
        <v>33</v>
      </c>
      <c r="L4894">
        <v>35</v>
      </c>
      <c r="Q4894">
        <v>0</v>
      </c>
      <c r="R4894">
        <v>0</v>
      </c>
      <c r="S4894">
        <v>35</v>
      </c>
      <c r="Y4894" t="s">
        <v>15201</v>
      </c>
      <c r="Z4894" t="s">
        <v>14761</v>
      </c>
      <c r="AA4894" t="s">
        <v>26033</v>
      </c>
      <c r="AB4894" t="s">
        <v>15560</v>
      </c>
      <c r="AC4894" t="s">
        <v>7589</v>
      </c>
      <c r="AD4894" s="249" t="str">
        <f>HYPERLINK("https://scontent.cdninstagram.com/t51.2885-15/s320x320/e35/21373651_122227605179395_7634453958055952384_n.jpg")</f>
        <v>https://scontent.cdninstagram.com/t51.2885-15/s320x320/e35/21373651_122227605179395_7634453958055952384_n.jpg</v>
      </c>
      <c r="AE4894" s="249" t="str">
        <f>HYPERLINK("https://scontent.cdninstagram.com/t51.2885-19/s150x150/17493728_752204021624442_4508760176605528064_a.jpg")</f>
        <v>https://scontent.cdninstagram.com/t51.2885-19/s150x150/17493728_752204021624442_4508760176605528064_a.jpg</v>
      </c>
    </row>
    <row r="4895" spans="1:31" ht="15" x14ac:dyDescent="0.25">
      <c r="A4895" t="s">
        <v>2474</v>
      </c>
      <c r="B4895" t="s">
        <v>4616</v>
      </c>
      <c r="C4895" s="221">
        <v>42983.660451388889</v>
      </c>
      <c r="D4895" t="s">
        <v>26034</v>
      </c>
      <c r="E4895" s="249" t="str">
        <f>HYPERLINK("https://www.instagram.com/p/BYq_UCIB2ve/")</f>
        <v>https://www.instagram.com/p/BYq_UCIB2ve/</v>
      </c>
      <c r="F4895" t="s">
        <v>6292</v>
      </c>
      <c r="G4895" t="s">
        <v>2478</v>
      </c>
      <c r="H4895">
        <v>115</v>
      </c>
      <c r="I4895" t="s">
        <v>2479</v>
      </c>
      <c r="J4895">
        <v>0</v>
      </c>
      <c r="K4895">
        <v>44</v>
      </c>
      <c r="L4895">
        <v>44</v>
      </c>
      <c r="Q4895">
        <v>0</v>
      </c>
      <c r="R4895">
        <v>0</v>
      </c>
      <c r="S4895">
        <v>44</v>
      </c>
      <c r="T4895" t="s">
        <v>5004</v>
      </c>
      <c r="W4895">
        <v>56</v>
      </c>
      <c r="X4895">
        <v>-109</v>
      </c>
      <c r="Y4895" t="s">
        <v>3569</v>
      </c>
      <c r="Z4895" t="s">
        <v>5586</v>
      </c>
      <c r="AA4895" t="s">
        <v>4621</v>
      </c>
      <c r="AB4895" t="s">
        <v>2944</v>
      </c>
      <c r="AC4895" t="s">
        <v>4620</v>
      </c>
      <c r="AD4895" s="249" t="str">
        <f>HYPERLINK("https://scontent.cdninstagram.com/t51.2885-15/s320x320/e35/21372017_349250725499189_6843185531749138432_n.jpg")</f>
        <v>https://scontent.cdninstagram.com/t51.2885-15/s320x320/e35/21372017_349250725499189_6843185531749138432_n.jpg</v>
      </c>
      <c r="AE4895" s="249" t="str">
        <f>HYPERLINK("https://scontent.cdninstagram.com/t51.2885-19/s150x150/17494353_1347957098574282_2527511313651859456_a.jpg")</f>
        <v>https://scontent.cdninstagram.com/t51.2885-19/s150x150/17494353_1347957098574282_2527511313651859456_a.jpg</v>
      </c>
    </row>
    <row r="4896" spans="1:31" ht="15" x14ac:dyDescent="0.25">
      <c r="A4896" t="s">
        <v>2474</v>
      </c>
      <c r="B4896" t="s">
        <v>26035</v>
      </c>
      <c r="C4896" s="221">
        <v>42983.660497685189</v>
      </c>
      <c r="D4896" t="s">
        <v>26036</v>
      </c>
      <c r="E4896" s="249" t="str">
        <f>HYPERLINK("https://www.instagram.com/p/BYq_UhwhHjf/")</f>
        <v>https://www.instagram.com/p/BYq_UhwhHjf/</v>
      </c>
      <c r="F4896" t="s">
        <v>26037</v>
      </c>
      <c r="G4896" t="s">
        <v>2631</v>
      </c>
      <c r="H4896">
        <v>655</v>
      </c>
      <c r="I4896" t="s">
        <v>2582</v>
      </c>
      <c r="J4896">
        <v>0</v>
      </c>
      <c r="K4896">
        <v>31</v>
      </c>
      <c r="L4896">
        <v>31</v>
      </c>
      <c r="Q4896">
        <v>0</v>
      </c>
      <c r="R4896">
        <v>0</v>
      </c>
      <c r="S4896">
        <v>31</v>
      </c>
      <c r="Y4896" t="s">
        <v>26038</v>
      </c>
      <c r="Z4896" t="s">
        <v>2497</v>
      </c>
      <c r="AA4896" t="s">
        <v>26039</v>
      </c>
      <c r="AD4896" s="249" t="str">
        <f>HYPERLINK("https://scontent.cdninstagram.com/t51.2885-15/s320x320/e15/21371744_1731870240440437_262116429531185152_n.jpg")</f>
        <v>https://scontent.cdninstagram.com/t51.2885-15/s320x320/e15/21371744_1731870240440437_262116429531185152_n.jpg</v>
      </c>
      <c r="AE4896" s="249" t="str">
        <f>HYPERLINK("https://scontent.cdninstagram.com/t51.2885-19/s150x150/20986810_491994317832930_7727958892193251328_a.jpg")</f>
        <v>https://scontent.cdninstagram.com/t51.2885-19/s150x150/20986810_491994317832930_7727958892193251328_a.jpg</v>
      </c>
    </row>
    <row r="4897" spans="1:31" ht="15" x14ac:dyDescent="0.25">
      <c r="A4897" t="s">
        <v>2474</v>
      </c>
      <c r="B4897" t="s">
        <v>26040</v>
      </c>
      <c r="C4897" s="221">
        <v>42983.660543981481</v>
      </c>
      <c r="D4897" t="s">
        <v>26041</v>
      </c>
      <c r="E4897" s="249" t="str">
        <f>HYPERLINK("https://www.instagram.com/p/BYq_VCWAHnY/")</f>
        <v>https://www.instagram.com/p/BYq_VCWAHnY/</v>
      </c>
      <c r="F4897" t="s">
        <v>26042</v>
      </c>
      <c r="G4897" t="s">
        <v>2478</v>
      </c>
      <c r="H4897">
        <v>163</v>
      </c>
      <c r="I4897" t="s">
        <v>2479</v>
      </c>
      <c r="J4897">
        <v>2</v>
      </c>
      <c r="K4897">
        <v>17</v>
      </c>
      <c r="L4897">
        <v>19</v>
      </c>
      <c r="Q4897">
        <v>0</v>
      </c>
      <c r="R4897">
        <v>0</v>
      </c>
      <c r="S4897">
        <v>19</v>
      </c>
      <c r="Y4897" t="s">
        <v>26043</v>
      </c>
      <c r="Z4897" t="s">
        <v>26044</v>
      </c>
      <c r="AA4897" t="s">
        <v>4036</v>
      </c>
      <c r="AB4897" t="s">
        <v>26045</v>
      </c>
      <c r="AC4897" t="s">
        <v>26046</v>
      </c>
      <c r="AD4897" s="249" t="str">
        <f>HYPERLINK("https://scontent.cdninstagram.com/t51.2885-15/s320x320/e35/21372542_277162622782961_1036718179411296256_n.jpg")</f>
        <v>https://scontent.cdninstagram.com/t51.2885-15/s320x320/e35/21372542_277162622782961_1036718179411296256_n.jpg</v>
      </c>
      <c r="AE4897" s="249" t="str">
        <f>HYPERLINK("https://scontent.cdninstagram.com/t51.2885-19/s150x150/20687985_1431816843570838_8939452304629694464_a.jpg")</f>
        <v>https://scontent.cdninstagram.com/t51.2885-19/s150x150/20687985_1431816843570838_8939452304629694464_a.jpg</v>
      </c>
    </row>
    <row r="4898" spans="1:31" ht="15" x14ac:dyDescent="0.25">
      <c r="A4898" t="s">
        <v>2474</v>
      </c>
      <c r="B4898" t="s">
        <v>26047</v>
      </c>
      <c r="C4898" s="221">
        <v>42983.664259259262</v>
      </c>
      <c r="D4898" t="s">
        <v>26048</v>
      </c>
      <c r="E4898" s="249" t="str">
        <f>HYPERLINK("https://www.instagram.com/p/BYq_8M6Bj_G/")</f>
        <v>https://www.instagram.com/p/BYq_8M6Bj_G/</v>
      </c>
      <c r="F4898" t="s">
        <v>26049</v>
      </c>
      <c r="G4898" t="s">
        <v>2478</v>
      </c>
      <c r="H4898">
        <v>1102</v>
      </c>
      <c r="I4898" t="s">
        <v>2479</v>
      </c>
      <c r="J4898">
        <v>1</v>
      </c>
      <c r="K4898">
        <v>19</v>
      </c>
      <c r="L4898">
        <v>20</v>
      </c>
      <c r="Q4898">
        <v>0</v>
      </c>
      <c r="R4898">
        <v>0</v>
      </c>
      <c r="S4898">
        <v>20</v>
      </c>
      <c r="Y4898" t="s">
        <v>2497</v>
      </c>
      <c r="Z4898" t="s">
        <v>26050</v>
      </c>
      <c r="AA4898" t="s">
        <v>26051</v>
      </c>
      <c r="AB4898" t="s">
        <v>26052</v>
      </c>
      <c r="AD4898" s="249" t="str">
        <f>HYPERLINK("https://scontent.cdninstagram.com/t51.2885-15/s320x320/e35/21371756_1976941215919397_2415801550745108480_n.jpg")</f>
        <v>https://scontent.cdninstagram.com/t51.2885-15/s320x320/e35/21371756_1976941215919397_2415801550745108480_n.jpg</v>
      </c>
      <c r="AE4898" s="249" t="str">
        <f>HYPERLINK("https://scontent.cdninstagram.com/t51.2885-19/s150x150/14515822_1239308696127575_5356021013513502720_a.jpg")</f>
        <v>https://scontent.cdninstagram.com/t51.2885-19/s150x150/14515822_1239308696127575_5356021013513502720_a.jpg</v>
      </c>
    </row>
    <row r="4899" spans="1:31" ht="15" x14ac:dyDescent="0.25">
      <c r="A4899" t="s">
        <v>2474</v>
      </c>
      <c r="B4899" t="s">
        <v>5766</v>
      </c>
      <c r="C4899" s="221">
        <v>42983.673472222225</v>
      </c>
      <c r="D4899" t="s">
        <v>26053</v>
      </c>
      <c r="E4899" s="249" t="str">
        <f>HYPERLINK("https://www.instagram.com/p/BYrBdZJAmIR/")</f>
        <v>https://www.instagram.com/p/BYrBdZJAmIR/</v>
      </c>
      <c r="F4899" t="s">
        <v>26054</v>
      </c>
      <c r="G4899" t="s">
        <v>2478</v>
      </c>
      <c r="H4899">
        <v>139</v>
      </c>
      <c r="I4899" t="s">
        <v>3170</v>
      </c>
      <c r="J4899">
        <v>1</v>
      </c>
      <c r="K4899">
        <v>34</v>
      </c>
      <c r="L4899">
        <v>35</v>
      </c>
      <c r="Q4899">
        <v>0</v>
      </c>
      <c r="R4899">
        <v>0</v>
      </c>
      <c r="S4899">
        <v>35</v>
      </c>
      <c r="Y4899" t="s">
        <v>20360</v>
      </c>
      <c r="Z4899" t="s">
        <v>2513</v>
      </c>
      <c r="AA4899" t="s">
        <v>5769</v>
      </c>
      <c r="AB4899" t="s">
        <v>2492</v>
      </c>
      <c r="AC4899" t="s">
        <v>26055</v>
      </c>
      <c r="AD4899" s="249" t="str">
        <f>HYPERLINK("https://scontent.cdninstagram.com/t51.2885-15/e35/p320x320/21435485_149802482278012_152550868917420032_n.jpg")</f>
        <v>https://scontent.cdninstagram.com/t51.2885-15/e35/p320x320/21435485_149802482278012_152550868917420032_n.jpg</v>
      </c>
      <c r="AE4899" s="249" t="str">
        <f>HYPERLINK("https://scontent.cdninstagram.com/t51.2885-19/s150x150/21479949_1983874931831646_977444800343048192_a.jpg")</f>
        <v>https://scontent.cdninstagram.com/t51.2885-19/s150x150/21479949_1983874931831646_977444800343048192_a.jpg</v>
      </c>
    </row>
    <row r="4900" spans="1:31" ht="15" x14ac:dyDescent="0.25">
      <c r="A4900" t="s">
        <v>2474</v>
      </c>
      <c r="B4900" t="s">
        <v>26056</v>
      </c>
      <c r="C4900" s="221">
        <v>42983.677939814814</v>
      </c>
      <c r="D4900" t="s">
        <v>26057</v>
      </c>
      <c r="E4900" s="249" t="str">
        <f>HYPERLINK("https://www.instagram.com/p/BYrCMhzBnjx/")</f>
        <v>https://www.instagram.com/p/BYrCMhzBnjx/</v>
      </c>
      <c r="F4900" t="s">
        <v>26058</v>
      </c>
      <c r="G4900" t="s">
        <v>2478</v>
      </c>
      <c r="H4900">
        <v>62</v>
      </c>
      <c r="I4900" t="s">
        <v>2542</v>
      </c>
      <c r="J4900">
        <v>0</v>
      </c>
      <c r="K4900">
        <v>11</v>
      </c>
      <c r="L4900">
        <v>11</v>
      </c>
      <c r="Q4900">
        <v>0</v>
      </c>
      <c r="R4900">
        <v>0</v>
      </c>
      <c r="S4900">
        <v>11</v>
      </c>
      <c r="Y4900" t="s">
        <v>10759</v>
      </c>
      <c r="Z4900" t="s">
        <v>8753</v>
      </c>
      <c r="AA4900" t="s">
        <v>26059</v>
      </c>
      <c r="AB4900" t="s">
        <v>2497</v>
      </c>
      <c r="AC4900" t="s">
        <v>26060</v>
      </c>
      <c r="AD4900" s="249" t="str">
        <f>HYPERLINK("https://scontent.cdninstagram.com/t51.2885-15/e35/p320x320/21372016_286931748456195_3393454596872470528_n.jpg")</f>
        <v>https://scontent.cdninstagram.com/t51.2885-15/e35/p320x320/21372016_286931748456195_3393454596872470528_n.jpg</v>
      </c>
      <c r="AE4900" s="249" t="str">
        <f>HYPERLINK("https://scontent.cdninstagram.com/t51.2885-19/s150x150/14288112_1926840710876477_29433136001581056_a.jpg")</f>
        <v>https://scontent.cdninstagram.com/t51.2885-19/s150x150/14288112_1926840710876477_29433136001581056_a.jpg</v>
      </c>
    </row>
    <row r="4901" spans="1:31" ht="15" x14ac:dyDescent="0.25">
      <c r="A4901" t="s">
        <v>2474</v>
      </c>
      <c r="B4901" t="s">
        <v>19308</v>
      </c>
      <c r="C4901" s="221">
        <v>42983.679652777777</v>
      </c>
      <c r="D4901" t="s">
        <v>26061</v>
      </c>
      <c r="E4901" s="249" t="str">
        <f>HYPERLINK("https://www.instagram.com/p/BYrCej0HcqB/")</f>
        <v>https://www.instagram.com/p/BYrCej0HcqB/</v>
      </c>
      <c r="F4901" t="s">
        <v>26019</v>
      </c>
      <c r="G4901" t="s">
        <v>2631</v>
      </c>
      <c r="H4901">
        <v>350</v>
      </c>
      <c r="I4901" t="s">
        <v>2479</v>
      </c>
      <c r="J4901">
        <v>3</v>
      </c>
      <c r="K4901">
        <v>84</v>
      </c>
      <c r="L4901">
        <v>87</v>
      </c>
      <c r="Q4901">
        <v>0</v>
      </c>
      <c r="R4901">
        <v>0</v>
      </c>
      <c r="S4901">
        <v>87</v>
      </c>
      <c r="Y4901" t="s">
        <v>5405</v>
      </c>
      <c r="Z4901" t="s">
        <v>3982</v>
      </c>
      <c r="AA4901" t="s">
        <v>7036</v>
      </c>
      <c r="AB4901" t="s">
        <v>5229</v>
      </c>
      <c r="AC4901" t="s">
        <v>7589</v>
      </c>
      <c r="AD4901" s="249" t="str">
        <f>HYPERLINK("https://scontent.cdninstagram.com/t51.2885-15/s320x320/e35/21372189_116903402381280_1310701603581329408_n.jpg")</f>
        <v>https://scontent.cdninstagram.com/t51.2885-15/s320x320/e35/21372189_116903402381280_1310701603581329408_n.jpg</v>
      </c>
      <c r="AE4901" s="249" t="str">
        <f>HYPERLINK("https://scontent.cdninstagram.com/t51.2885-19/s150x150/20226147_112026909397366_6293439329997946880_a.jpg")</f>
        <v>https://scontent.cdninstagram.com/t51.2885-19/s150x150/20226147_112026909397366_6293439329997946880_a.jpg</v>
      </c>
    </row>
    <row r="4902" spans="1:31" ht="15" x14ac:dyDescent="0.25">
      <c r="A4902" t="s">
        <v>2474</v>
      </c>
      <c r="B4902" t="s">
        <v>23132</v>
      </c>
      <c r="C4902" s="221">
        <v>42983.681967592594</v>
      </c>
      <c r="D4902" t="s">
        <v>26062</v>
      </c>
      <c r="E4902" s="249" t="str">
        <f>HYPERLINK("https://www.instagram.com/p/BYrC3D5nz3q/")</f>
        <v>https://www.instagram.com/p/BYrC3D5nz3q/</v>
      </c>
      <c r="F4902" t="s">
        <v>26063</v>
      </c>
      <c r="G4902" t="s">
        <v>2478</v>
      </c>
      <c r="H4902">
        <v>296</v>
      </c>
      <c r="I4902" t="s">
        <v>2542</v>
      </c>
      <c r="J4902">
        <v>4</v>
      </c>
      <c r="K4902">
        <v>60</v>
      </c>
      <c r="L4902">
        <v>64</v>
      </c>
      <c r="Q4902">
        <v>0</v>
      </c>
      <c r="R4902">
        <v>0</v>
      </c>
      <c r="S4902">
        <v>64</v>
      </c>
      <c r="T4902" t="s">
        <v>23135</v>
      </c>
      <c r="V4902" t="s">
        <v>2103</v>
      </c>
      <c r="W4902">
        <v>47.025670222830001</v>
      </c>
      <c r="X4902">
        <v>15.435410161691999</v>
      </c>
      <c r="Y4902" t="s">
        <v>2861</v>
      </c>
      <c r="Z4902" t="s">
        <v>7589</v>
      </c>
      <c r="AA4902" t="s">
        <v>17958</v>
      </c>
      <c r="AB4902" t="s">
        <v>26064</v>
      </c>
      <c r="AC4902" t="s">
        <v>4325</v>
      </c>
      <c r="AD4902" s="249" t="str">
        <f>HYPERLINK("https://scontent.cdninstagram.com/t51.2885-15/s320x320/e35/21372373_714416335410916_5865976456391163904_n.jpg")</f>
        <v>https://scontent.cdninstagram.com/t51.2885-15/s320x320/e35/21372373_714416335410916_5865976456391163904_n.jpg</v>
      </c>
      <c r="AE4902" s="249" t="str">
        <f>HYPERLINK("https://scontent.cdninstagram.com/t51.2885-19/s150x150/20633494_1613929798652003_6059241377596702720_a.jpg")</f>
        <v>https://scontent.cdninstagram.com/t51.2885-19/s150x150/20633494_1613929798652003_6059241377596702720_a.jpg</v>
      </c>
    </row>
    <row r="4903" spans="1:31" ht="15" x14ac:dyDescent="0.25">
      <c r="A4903" t="s">
        <v>2474</v>
      </c>
      <c r="B4903" t="s">
        <v>26065</v>
      </c>
      <c r="C4903" s="221">
        <v>42983.684606481482</v>
      </c>
      <c r="D4903" t="s">
        <v>26066</v>
      </c>
      <c r="E4903" s="249" t="str">
        <f>HYPERLINK("https://www.instagram.com/p/BYrDS2njBNe/")</f>
        <v>https://www.instagram.com/p/BYrDS2njBNe/</v>
      </c>
      <c r="F4903" t="s">
        <v>26067</v>
      </c>
      <c r="G4903" t="s">
        <v>2478</v>
      </c>
      <c r="H4903">
        <v>175</v>
      </c>
      <c r="I4903" t="s">
        <v>2479</v>
      </c>
      <c r="J4903">
        <v>4</v>
      </c>
      <c r="K4903">
        <v>24</v>
      </c>
      <c r="L4903">
        <v>28</v>
      </c>
      <c r="Q4903">
        <v>0</v>
      </c>
      <c r="R4903">
        <v>0</v>
      </c>
      <c r="S4903">
        <v>28</v>
      </c>
      <c r="T4903" t="s">
        <v>26068</v>
      </c>
      <c r="V4903" t="s">
        <v>2154</v>
      </c>
      <c r="W4903">
        <v>43.6</v>
      </c>
      <c r="X4903">
        <v>1.43333</v>
      </c>
      <c r="Y4903" t="s">
        <v>26069</v>
      </c>
      <c r="Z4903" t="s">
        <v>26070</v>
      </c>
      <c r="AA4903" t="s">
        <v>26071</v>
      </c>
      <c r="AB4903" t="s">
        <v>26072</v>
      </c>
      <c r="AC4903" t="s">
        <v>26073</v>
      </c>
      <c r="AD4903" s="249" t="str">
        <f>HYPERLINK("https://scontent.cdninstagram.com/t51.2885-15/s320x320/e35/21435736_127814434517866_5493033691481374720_n.jpg")</f>
        <v>https://scontent.cdninstagram.com/t51.2885-15/s320x320/e35/21435736_127814434517866_5493033691481374720_n.jpg</v>
      </c>
      <c r="AE4903" s="249" t="str">
        <f>HYPERLINK("https://scontent.cdninstagram.com/t51.2885-19/s150x150/15035550_814496388653035_5735705086076649472_a.jpg")</f>
        <v>https://scontent.cdninstagram.com/t51.2885-19/s150x150/15035550_814496388653035_5735705086076649472_a.jpg</v>
      </c>
    </row>
    <row r="4904" spans="1:31" ht="15" x14ac:dyDescent="0.25">
      <c r="A4904" t="s">
        <v>2474</v>
      </c>
      <c r="B4904" t="s">
        <v>9115</v>
      </c>
      <c r="C4904" s="221">
        <v>42983.684814814813</v>
      </c>
      <c r="D4904" t="s">
        <v>26074</v>
      </c>
      <c r="E4904" s="249" t="str">
        <f>HYPERLINK("https://www.instagram.com/p/BYrDVCUF9rd/")</f>
        <v>https://www.instagram.com/p/BYrDVCUF9rd/</v>
      </c>
      <c r="F4904" t="s">
        <v>26075</v>
      </c>
      <c r="G4904" t="s">
        <v>2478</v>
      </c>
      <c r="H4904">
        <v>366</v>
      </c>
      <c r="I4904" t="s">
        <v>3273</v>
      </c>
      <c r="J4904">
        <v>0</v>
      </c>
      <c r="K4904">
        <v>51</v>
      </c>
      <c r="L4904">
        <v>51</v>
      </c>
      <c r="Q4904">
        <v>0</v>
      </c>
      <c r="R4904">
        <v>0</v>
      </c>
      <c r="S4904">
        <v>51</v>
      </c>
      <c r="Y4904" t="s">
        <v>2497</v>
      </c>
      <c r="Z4904" t="s">
        <v>2513</v>
      </c>
      <c r="AA4904" t="s">
        <v>11189</v>
      </c>
      <c r="AB4904" t="s">
        <v>2826</v>
      </c>
      <c r="AC4904" t="s">
        <v>26076</v>
      </c>
      <c r="AD4904" s="249" t="str">
        <f>HYPERLINK("https://scontent.cdninstagram.com/t51.2885-15/s320x320/e35/21371950_152116925372742_5392030650683359232_n.jpg")</f>
        <v>https://scontent.cdninstagram.com/t51.2885-15/s320x320/e35/21371950_152116925372742_5392030650683359232_n.jpg</v>
      </c>
      <c r="AE4904" s="249" t="str">
        <f>HYPERLINK("https://scontent.cdninstagram.com/t51.2885-19/s150x150/19932051_831666580331723_3355139275229233152_a.jpg")</f>
        <v>https://scontent.cdninstagram.com/t51.2885-19/s150x150/19932051_831666580331723_3355139275229233152_a.jpg</v>
      </c>
    </row>
    <row r="4905" spans="1:31" ht="15" x14ac:dyDescent="0.25">
      <c r="A4905" t="s">
        <v>2474</v>
      </c>
      <c r="B4905" t="s">
        <v>14974</v>
      </c>
      <c r="C4905" s="221">
        <v>42983.685393518521</v>
      </c>
      <c r="D4905" t="s">
        <v>26077</v>
      </c>
      <c r="E4905" s="249" t="str">
        <f>HYPERLINK("https://www.instagram.com/p/BYrDbG7HqJw/")</f>
        <v>https://www.instagram.com/p/BYrDbG7HqJw/</v>
      </c>
      <c r="F4905" t="s">
        <v>26078</v>
      </c>
      <c r="G4905" t="s">
        <v>2478</v>
      </c>
      <c r="H4905">
        <v>57</v>
      </c>
      <c r="I4905" t="s">
        <v>2479</v>
      </c>
      <c r="J4905">
        <v>0</v>
      </c>
      <c r="K4905">
        <v>54</v>
      </c>
      <c r="L4905">
        <v>54</v>
      </c>
      <c r="Q4905">
        <v>0</v>
      </c>
      <c r="R4905">
        <v>0</v>
      </c>
      <c r="S4905">
        <v>54</v>
      </c>
      <c r="Y4905" t="s">
        <v>5229</v>
      </c>
      <c r="Z4905" t="s">
        <v>2513</v>
      </c>
      <c r="AA4905" t="s">
        <v>10311</v>
      </c>
      <c r="AB4905" t="s">
        <v>26079</v>
      </c>
      <c r="AC4905" t="s">
        <v>20504</v>
      </c>
      <c r="AD4905" s="249" t="str">
        <f>HYPERLINK("https://scontent.cdninstagram.com/t51.2885-15/s320x320/e35/21371971_116800262351118_4133815746482405376_n.jpg")</f>
        <v>https://scontent.cdninstagram.com/t51.2885-15/s320x320/e35/21371971_116800262351118_4133815746482405376_n.jpg</v>
      </c>
      <c r="AE4905" s="249" t="str">
        <f>HYPERLINK("https://scontent.cdninstagram.com/t51.2885-19/s150x150/20759277_111122262890748_5224940020388855808_a.jpg")</f>
        <v>https://scontent.cdninstagram.com/t51.2885-19/s150x150/20759277_111122262890748_5224940020388855808_a.jpg</v>
      </c>
    </row>
    <row r="4906" spans="1:31" ht="15" x14ac:dyDescent="0.25">
      <c r="A4906" t="s">
        <v>2474</v>
      </c>
      <c r="B4906" t="s">
        <v>26080</v>
      </c>
      <c r="C4906" s="221">
        <v>42983.686342592591</v>
      </c>
      <c r="D4906" t="s">
        <v>26081</v>
      </c>
      <c r="E4906" s="249" t="str">
        <f>HYPERLINK("https://www.instagram.com/p/BYrDlJTg49e/")</f>
        <v>https://www.instagram.com/p/BYrDlJTg49e/</v>
      </c>
      <c r="F4906" t="s">
        <v>26082</v>
      </c>
      <c r="G4906" t="s">
        <v>2488</v>
      </c>
      <c r="H4906">
        <v>412</v>
      </c>
      <c r="I4906" t="s">
        <v>2479</v>
      </c>
      <c r="J4906">
        <v>3</v>
      </c>
      <c r="K4906">
        <v>57</v>
      </c>
      <c r="L4906">
        <v>60</v>
      </c>
      <c r="Q4906">
        <v>0</v>
      </c>
      <c r="R4906">
        <v>0</v>
      </c>
      <c r="S4906">
        <v>60</v>
      </c>
      <c r="Y4906" t="s">
        <v>26083</v>
      </c>
      <c r="Z4906" t="s">
        <v>26084</v>
      </c>
      <c r="AA4906" t="s">
        <v>26085</v>
      </c>
      <c r="AB4906" t="s">
        <v>2497</v>
      </c>
      <c r="AC4906" t="s">
        <v>26086</v>
      </c>
      <c r="AD4906" s="249" t="str">
        <f>HYPERLINK("https://scontent.cdninstagram.com/t51.2885-15/s320x320/e35/21372358_337046393385157_435050942652481536_n.jpg")</f>
        <v>https://scontent.cdninstagram.com/t51.2885-15/s320x320/e35/21372358_337046393385157_435050942652481536_n.jpg</v>
      </c>
      <c r="AE4906" s="249" t="str">
        <f>HYPERLINK("https://scontent.cdninstagram.com/t51.2885-19/s150x150/20987093_346853942417965_5264179949706674176_a.jpg")</f>
        <v>https://scontent.cdninstagram.com/t51.2885-19/s150x150/20987093_346853942417965_5264179949706674176_a.jpg</v>
      </c>
    </row>
    <row r="4907" spans="1:31" ht="15" x14ac:dyDescent="0.25">
      <c r="A4907" t="s">
        <v>2474</v>
      </c>
      <c r="B4907" t="s">
        <v>26087</v>
      </c>
      <c r="C4907" s="221">
        <v>42983.696516203701</v>
      </c>
      <c r="D4907" t="s">
        <v>26088</v>
      </c>
      <c r="E4907" s="249" t="str">
        <f>HYPERLINK("https://www.instagram.com/p/BYrFQfhnnJZ/")</f>
        <v>https://www.instagram.com/p/BYrFQfhnnJZ/</v>
      </c>
      <c r="F4907" t="s">
        <v>26089</v>
      </c>
      <c r="G4907" t="s">
        <v>2488</v>
      </c>
      <c r="H4907">
        <v>1158</v>
      </c>
      <c r="I4907" t="s">
        <v>2479</v>
      </c>
      <c r="J4907">
        <v>3</v>
      </c>
      <c r="K4907">
        <v>101</v>
      </c>
      <c r="L4907">
        <v>104</v>
      </c>
      <c r="Q4907">
        <v>0</v>
      </c>
      <c r="R4907">
        <v>0</v>
      </c>
      <c r="S4907">
        <v>104</v>
      </c>
      <c r="Y4907" t="s">
        <v>22881</v>
      </c>
      <c r="Z4907" t="s">
        <v>26090</v>
      </c>
      <c r="AA4907" t="s">
        <v>2827</v>
      </c>
      <c r="AB4907" t="s">
        <v>7552</v>
      </c>
      <c r="AC4907" t="s">
        <v>2497</v>
      </c>
      <c r="AD4907" s="249" t="str">
        <f>HYPERLINK("https://scontent.cdninstagram.com/t51.2885-15/s320x320/e35/21435888_467393296992957_575135767777509376_n.jpg")</f>
        <v>https://scontent.cdninstagram.com/t51.2885-15/s320x320/e35/21435888_467393296992957_575135767777509376_n.jpg</v>
      </c>
      <c r="AE4907" s="249" t="str">
        <f>HYPERLINK("https://scontent.cdninstagram.com/t51.2885-19/s150x150/13398750_1745671642336642_565462905_a.jpg")</f>
        <v>https://scontent.cdninstagram.com/t51.2885-19/s150x150/13398750_1745671642336642_565462905_a.jpg</v>
      </c>
    </row>
    <row r="4908" spans="1:31" ht="15" x14ac:dyDescent="0.25">
      <c r="A4908" t="s">
        <v>2474</v>
      </c>
      <c r="B4908" t="s">
        <v>26091</v>
      </c>
      <c r="C4908" s="221">
        <v>42983.700462962966</v>
      </c>
      <c r="D4908" t="s">
        <v>26092</v>
      </c>
      <c r="E4908" s="249" t="str">
        <f>HYPERLINK("https://www.instagram.com/p/BYrF6F2DVCn/")</f>
        <v>https://www.instagram.com/p/BYrF6F2DVCn/</v>
      </c>
      <c r="F4908" t="s">
        <v>26093</v>
      </c>
      <c r="G4908" t="s">
        <v>2478</v>
      </c>
      <c r="H4908">
        <v>202</v>
      </c>
      <c r="I4908" t="s">
        <v>2542</v>
      </c>
      <c r="J4908">
        <v>0</v>
      </c>
      <c r="K4908">
        <v>9</v>
      </c>
      <c r="L4908">
        <v>9</v>
      </c>
      <c r="Q4908">
        <v>0</v>
      </c>
      <c r="R4908">
        <v>0</v>
      </c>
      <c r="S4908">
        <v>9</v>
      </c>
      <c r="T4908" t="s">
        <v>26094</v>
      </c>
      <c r="V4908" t="s">
        <v>2288</v>
      </c>
      <c r="W4908">
        <v>51.2667</v>
      </c>
      <c r="X4908">
        <v>-0.73333300000000001</v>
      </c>
      <c r="Y4908" t="s">
        <v>26095</v>
      </c>
      <c r="Z4908" t="s">
        <v>26096</v>
      </c>
      <c r="AA4908" t="s">
        <v>26097</v>
      </c>
      <c r="AB4908" t="s">
        <v>26098</v>
      </c>
      <c r="AC4908" t="s">
        <v>26099</v>
      </c>
      <c r="AD4908" s="249" t="str">
        <f>HYPERLINK("https://scontent.cdninstagram.com/t51.2885-15/s320x320/e35/21435451_1431444380305970_7687674345224667136_n.jpg")</f>
        <v>https://scontent.cdninstagram.com/t51.2885-15/s320x320/e35/21435451_1431444380305970_7687674345224667136_n.jpg</v>
      </c>
      <c r="AE4908" s="249" t="str">
        <f>HYPERLINK("https://scontent.cdninstagram.com/t51.2885-19/s150x150/14566533_860817317387115_7368094422958866432_a.jpg")</f>
        <v>https://scontent.cdninstagram.com/t51.2885-19/s150x150/14566533_860817317387115_7368094422958866432_a.jpg</v>
      </c>
    </row>
    <row r="4909" spans="1:31" ht="15" x14ac:dyDescent="0.25">
      <c r="A4909" t="s">
        <v>2474</v>
      </c>
      <c r="B4909" t="s">
        <v>17086</v>
      </c>
      <c r="C4909" s="221">
        <v>42983.701111111113</v>
      </c>
      <c r="D4909" t="s">
        <v>26100</v>
      </c>
      <c r="E4909" s="249" t="str">
        <f>HYPERLINK("https://www.instagram.com/p/BYrGA6-ju1j/")</f>
        <v>https://www.instagram.com/p/BYrGA6-ju1j/</v>
      </c>
      <c r="F4909" t="s">
        <v>26101</v>
      </c>
      <c r="G4909" t="s">
        <v>2478</v>
      </c>
      <c r="H4909">
        <v>61</v>
      </c>
      <c r="I4909" t="s">
        <v>2479</v>
      </c>
      <c r="J4909">
        <v>2</v>
      </c>
      <c r="K4909">
        <v>18</v>
      </c>
      <c r="L4909">
        <v>20</v>
      </c>
      <c r="Q4909">
        <v>0</v>
      </c>
      <c r="R4909">
        <v>0</v>
      </c>
      <c r="S4909">
        <v>20</v>
      </c>
      <c r="Y4909" t="s">
        <v>26102</v>
      </c>
      <c r="Z4909" t="s">
        <v>26103</v>
      </c>
      <c r="AA4909" t="s">
        <v>17806</v>
      </c>
      <c r="AB4909" t="s">
        <v>2696</v>
      </c>
      <c r="AC4909" t="s">
        <v>4987</v>
      </c>
      <c r="AD4909" s="249" t="str">
        <f>HYPERLINK("https://scontent.cdninstagram.com/t51.2885-15/s320x320/e35/21373088_117285072270039_6729763288072060928_n.jpg")</f>
        <v>https://scontent.cdninstagram.com/t51.2885-15/s320x320/e35/21373088_117285072270039_6729763288072060928_n.jpg</v>
      </c>
      <c r="AE4909" s="249" t="str">
        <f>HYPERLINK("https://scontent.cdninstagram.com/t51.2885-19/s150x150/20213819_1623489541008643_6054573310786666496_a.jpg")</f>
        <v>https://scontent.cdninstagram.com/t51.2885-19/s150x150/20213819_1623489541008643_6054573310786666496_a.jpg</v>
      </c>
    </row>
    <row r="4910" spans="1:31" ht="15" x14ac:dyDescent="0.25">
      <c r="A4910" t="s">
        <v>2474</v>
      </c>
      <c r="B4910" t="s">
        <v>15206</v>
      </c>
      <c r="C4910" s="221">
        <v>42983.702777777777</v>
      </c>
      <c r="D4910" t="s">
        <v>26104</v>
      </c>
      <c r="E4910" s="249" t="str">
        <f>HYPERLINK("https://www.instagram.com/p/BYrGSh_lZZl/")</f>
        <v>https://www.instagram.com/p/BYrGSh_lZZl/</v>
      </c>
      <c r="F4910" t="s">
        <v>26105</v>
      </c>
      <c r="G4910" t="s">
        <v>2478</v>
      </c>
      <c r="H4910">
        <v>61937</v>
      </c>
      <c r="I4910" t="s">
        <v>2479</v>
      </c>
      <c r="J4910">
        <v>12</v>
      </c>
      <c r="K4910">
        <v>1205</v>
      </c>
      <c r="L4910">
        <v>1217</v>
      </c>
      <c r="Q4910">
        <v>0</v>
      </c>
      <c r="R4910">
        <v>0</v>
      </c>
      <c r="S4910">
        <v>1217</v>
      </c>
      <c r="AD4910" s="249" t="str">
        <f>HYPERLINK("https://scontent.cdninstagram.com/t51.2885-15/e35/p320x320/21373036_116835682355424_8978684541661085696_n.jpg")</f>
        <v>https://scontent.cdninstagram.com/t51.2885-15/e35/p320x320/21373036_116835682355424_8978684541661085696_n.jpg</v>
      </c>
      <c r="AE4910" s="249" t="str">
        <f>HYPERLINK("https://scontent.cdninstagram.com/t51.2885-19/17663530_1657274724581959_2295744149531394048_n.jpg")</f>
        <v>https://scontent.cdninstagram.com/t51.2885-19/17663530_1657274724581959_2295744149531394048_n.jpg</v>
      </c>
    </row>
    <row r="4911" spans="1:31" ht="15" x14ac:dyDescent="0.25">
      <c r="A4911" t="s">
        <v>2474</v>
      </c>
      <c r="B4911" t="s">
        <v>26106</v>
      </c>
      <c r="C4911" s="221">
        <v>42983.708287037036</v>
      </c>
      <c r="D4911" t="s">
        <v>26107</v>
      </c>
      <c r="E4911" s="249" t="str">
        <f>HYPERLINK("https://www.instagram.com/p/BYrHMjcgYhk/")</f>
        <v>https://www.instagram.com/p/BYrHMjcgYhk/</v>
      </c>
      <c r="F4911" t="s">
        <v>26108</v>
      </c>
      <c r="G4911" t="s">
        <v>2478</v>
      </c>
      <c r="H4911">
        <v>43</v>
      </c>
      <c r="I4911" t="s">
        <v>2479</v>
      </c>
      <c r="J4911">
        <v>0</v>
      </c>
      <c r="K4911">
        <v>8</v>
      </c>
      <c r="L4911">
        <v>8</v>
      </c>
      <c r="Q4911">
        <v>0</v>
      </c>
      <c r="R4911">
        <v>0</v>
      </c>
      <c r="S4911">
        <v>8</v>
      </c>
      <c r="Y4911" t="s">
        <v>2704</v>
      </c>
      <c r="Z4911" t="s">
        <v>26109</v>
      </c>
      <c r="AA4911" t="s">
        <v>3399</v>
      </c>
      <c r="AB4911" t="s">
        <v>2497</v>
      </c>
      <c r="AC4911" t="s">
        <v>26110</v>
      </c>
      <c r="AD4911" s="249" t="str">
        <f>HYPERLINK("https://scontent.cdninstagram.com/t51.2885-15/e35/p320x320/21373182_1668792503166009_3400591501078560768_n.jpg")</f>
        <v>https://scontent.cdninstagram.com/t51.2885-15/e35/p320x320/21373182_1668792503166009_3400591501078560768_n.jpg</v>
      </c>
      <c r="AE4911" s="249" t="str">
        <f>HYPERLINK("https://scontent.cdninstagram.com/t51.2885-19/s150x150/19985267_1254419121350794_2826867995857387520_a.jpg")</f>
        <v>https://scontent.cdninstagram.com/t51.2885-19/s150x150/19985267_1254419121350794_2826867995857387520_a.jpg</v>
      </c>
    </row>
    <row r="4912" spans="1:31" ht="15" x14ac:dyDescent="0.25">
      <c r="A4912" t="s">
        <v>2474</v>
      </c>
      <c r="B4912" t="s">
        <v>26111</v>
      </c>
      <c r="C4912" s="221">
        <v>42983.712696759256</v>
      </c>
      <c r="D4912" t="s">
        <v>26112</v>
      </c>
      <c r="E4912" s="249" t="str">
        <f>HYPERLINK("https://www.instagram.com/p/BYrH7Ilgj0d/")</f>
        <v>https://www.instagram.com/p/BYrH7Ilgj0d/</v>
      </c>
      <c r="F4912" t="s">
        <v>26113</v>
      </c>
      <c r="G4912" t="s">
        <v>2478</v>
      </c>
      <c r="H4912">
        <v>79</v>
      </c>
      <c r="I4912" t="s">
        <v>3273</v>
      </c>
      <c r="J4912">
        <v>0</v>
      </c>
      <c r="K4912">
        <v>13</v>
      </c>
      <c r="L4912">
        <v>13</v>
      </c>
      <c r="Q4912">
        <v>0</v>
      </c>
      <c r="R4912">
        <v>0</v>
      </c>
      <c r="S4912">
        <v>13</v>
      </c>
      <c r="Y4912" t="s">
        <v>4993</v>
      </c>
      <c r="Z4912" t="s">
        <v>2497</v>
      </c>
      <c r="AA4912" t="s">
        <v>15693</v>
      </c>
      <c r="AB4912" t="s">
        <v>21910</v>
      </c>
      <c r="AC4912" t="s">
        <v>26114</v>
      </c>
      <c r="AD4912" s="249" t="str">
        <f>HYPERLINK("https://scontent.cdninstagram.com/t51.2885-15/s320x320/e35/21371984_1381995385255017_8214137662408228864_n.jpg")</f>
        <v>https://scontent.cdninstagram.com/t51.2885-15/s320x320/e35/21371984_1381995385255017_8214137662408228864_n.jpg</v>
      </c>
      <c r="AE4912" s="249" t="str">
        <f>HYPERLINK("https://scontent.cdninstagram.com/t51.2885-19/s150x150/14549890_188031084989114_3511216368131244032_a.jpg")</f>
        <v>https://scontent.cdninstagram.com/t51.2885-19/s150x150/14549890_188031084989114_3511216368131244032_a.jpg</v>
      </c>
    </row>
    <row r="4913" spans="1:31" ht="15" x14ac:dyDescent="0.25">
      <c r="A4913" t="s">
        <v>2474</v>
      </c>
      <c r="B4913" t="s">
        <v>26115</v>
      </c>
      <c r="C4913" s="221">
        <v>42983.720173611109</v>
      </c>
      <c r="D4913" t="s">
        <v>26116</v>
      </c>
      <c r="E4913" s="249" t="str">
        <f>HYPERLINK("https://www.instagram.com/p/BYrJJ8dAyge/")</f>
        <v>https://www.instagram.com/p/BYrJJ8dAyge/</v>
      </c>
      <c r="F4913" t="s">
        <v>26117</v>
      </c>
      <c r="G4913" t="s">
        <v>2478</v>
      </c>
      <c r="H4913">
        <v>55</v>
      </c>
      <c r="I4913" t="s">
        <v>3273</v>
      </c>
      <c r="J4913">
        <v>1</v>
      </c>
      <c r="K4913">
        <v>46</v>
      </c>
      <c r="L4913">
        <v>47</v>
      </c>
      <c r="Q4913">
        <v>0</v>
      </c>
      <c r="R4913">
        <v>0</v>
      </c>
      <c r="S4913">
        <v>47</v>
      </c>
      <c r="Y4913" t="s">
        <v>12252</v>
      </c>
      <c r="Z4913" t="s">
        <v>4988</v>
      </c>
      <c r="AA4913" t="s">
        <v>4987</v>
      </c>
      <c r="AB4913" t="s">
        <v>14648</v>
      </c>
      <c r="AC4913" t="s">
        <v>2492</v>
      </c>
      <c r="AD4913" s="249" t="str">
        <f>HYPERLINK("https://scontent.cdninstagram.com/t51.2885-15/e35/p320x320/21373183_345543199216920_5853039980535873536_n.jpg")</f>
        <v>https://scontent.cdninstagram.com/t51.2885-15/e35/p320x320/21373183_345543199216920_5853039980535873536_n.jpg</v>
      </c>
      <c r="AE4913" s="249" t="str">
        <f>HYPERLINK("https://scontent.cdninstagram.com/t51.2885-19/s150x150/21107547_113156142722229_2595110130341117952_a.jpg")</f>
        <v>https://scontent.cdninstagram.com/t51.2885-19/s150x150/21107547_113156142722229_2595110130341117952_a.jpg</v>
      </c>
    </row>
    <row r="4914" spans="1:31" ht="15" x14ac:dyDescent="0.25">
      <c r="A4914" t="s">
        <v>2474</v>
      </c>
      <c r="B4914" t="s">
        <v>4535</v>
      </c>
      <c r="C4914" s="221">
        <v>42983.723402777781</v>
      </c>
      <c r="D4914" t="s">
        <v>26118</v>
      </c>
      <c r="E4914" s="249" t="str">
        <f>HYPERLINK("https://www.instagram.com/p/BYrJr_kFsUh/")</f>
        <v>https://www.instagram.com/p/BYrJr_kFsUh/</v>
      </c>
      <c r="F4914" t="s">
        <v>26119</v>
      </c>
      <c r="G4914" t="s">
        <v>2478</v>
      </c>
      <c r="H4914">
        <v>188</v>
      </c>
      <c r="I4914" t="s">
        <v>2479</v>
      </c>
      <c r="J4914">
        <v>0</v>
      </c>
      <c r="K4914">
        <v>28</v>
      </c>
      <c r="L4914">
        <v>28</v>
      </c>
      <c r="Q4914">
        <v>0</v>
      </c>
      <c r="R4914">
        <v>0</v>
      </c>
      <c r="S4914">
        <v>28</v>
      </c>
      <c r="Y4914" t="s">
        <v>5605</v>
      </c>
      <c r="Z4914" t="s">
        <v>4540</v>
      </c>
      <c r="AA4914" t="s">
        <v>5608</v>
      </c>
      <c r="AB4914" t="s">
        <v>13436</v>
      </c>
      <c r="AC4914" t="s">
        <v>4538</v>
      </c>
      <c r="AD4914" s="249" t="str">
        <f>HYPERLINK("https://scontent.cdninstagram.com/t51.2885-15/s320x320/e35/21372978_843185495858577_4979531387301265408_n.jpg")</f>
        <v>https://scontent.cdninstagram.com/t51.2885-15/s320x320/e35/21372978_843185495858577_4979531387301265408_n.jpg</v>
      </c>
      <c r="AE4914" s="249" t="str">
        <f>HYPERLINK("https://scontent.cdninstagram.com/t51.2885-19/s150x150/20399028_1624608414236560_533007696291430400_a.jpg")</f>
        <v>https://scontent.cdninstagram.com/t51.2885-19/s150x150/20399028_1624608414236560_533007696291430400_a.jpg</v>
      </c>
    </row>
    <row r="4915" spans="1:31" ht="15" x14ac:dyDescent="0.25">
      <c r="A4915" t="s">
        <v>2474</v>
      </c>
      <c r="B4915" t="s">
        <v>26120</v>
      </c>
      <c r="C4915" s="221">
        <v>42983.724803240744</v>
      </c>
      <c r="D4915" t="s">
        <v>26121</v>
      </c>
      <c r="E4915" s="249" t="str">
        <f>HYPERLINK("https://www.instagram.com/p/BYrJ6vRByQW/")</f>
        <v>https://www.instagram.com/p/BYrJ6vRByQW/</v>
      </c>
      <c r="F4915" t="s">
        <v>26122</v>
      </c>
      <c r="G4915" t="s">
        <v>2478</v>
      </c>
      <c r="H4915">
        <v>152</v>
      </c>
      <c r="I4915" t="s">
        <v>2479</v>
      </c>
      <c r="J4915">
        <v>1</v>
      </c>
      <c r="K4915">
        <v>24</v>
      </c>
      <c r="L4915">
        <v>25</v>
      </c>
      <c r="Q4915">
        <v>0</v>
      </c>
      <c r="R4915">
        <v>0</v>
      </c>
      <c r="S4915">
        <v>25</v>
      </c>
      <c r="Y4915" t="s">
        <v>3110</v>
      </c>
      <c r="Z4915" t="s">
        <v>3768</v>
      </c>
      <c r="AA4915" t="s">
        <v>26123</v>
      </c>
      <c r="AB4915" t="s">
        <v>2497</v>
      </c>
      <c r="AC4915" t="s">
        <v>13088</v>
      </c>
      <c r="AD4915" s="249" t="str">
        <f>HYPERLINK("https://scontent.cdninstagram.com/t51.2885-15/s320x320/e35/21373318_137649170177356_292033183145263104_n.jpg")</f>
        <v>https://scontent.cdninstagram.com/t51.2885-15/s320x320/e35/21373318_137649170177356_292033183145263104_n.jpg</v>
      </c>
      <c r="AE4915" s="249" t="str">
        <f>HYPERLINK("https://scontent.cdninstagram.com/t51.2885-19/s150x150/14033595_155943034847735_1610280249_a.jpg")</f>
        <v>https://scontent.cdninstagram.com/t51.2885-19/s150x150/14033595_155943034847735_1610280249_a.jpg</v>
      </c>
    </row>
    <row r="4916" spans="1:31" ht="15" x14ac:dyDescent="0.25">
      <c r="A4916" t="s">
        <v>2474</v>
      </c>
      <c r="B4916" t="s">
        <v>26124</v>
      </c>
      <c r="C4916" s="221">
        <v>42983.730995370373</v>
      </c>
      <c r="D4916" t="s">
        <v>26125</v>
      </c>
      <c r="E4916" s="249" t="str">
        <f>HYPERLINK("https://www.instagram.com/p/BYrK8DxhNv1/")</f>
        <v>https://www.instagram.com/p/BYrK8DxhNv1/</v>
      </c>
      <c r="F4916" t="s">
        <v>26126</v>
      </c>
      <c r="G4916" t="s">
        <v>2478</v>
      </c>
      <c r="H4916">
        <v>764</v>
      </c>
      <c r="I4916" t="s">
        <v>2542</v>
      </c>
      <c r="J4916">
        <v>11</v>
      </c>
      <c r="K4916">
        <v>31</v>
      </c>
      <c r="L4916">
        <v>42</v>
      </c>
      <c r="Q4916">
        <v>0</v>
      </c>
      <c r="R4916">
        <v>0</v>
      </c>
      <c r="S4916">
        <v>42</v>
      </c>
      <c r="Y4916" t="s">
        <v>26127</v>
      </c>
      <c r="Z4916" t="s">
        <v>12307</v>
      </c>
      <c r="AA4916" t="s">
        <v>26128</v>
      </c>
      <c r="AB4916" t="s">
        <v>2497</v>
      </c>
      <c r="AC4916" t="s">
        <v>26129</v>
      </c>
      <c r="AD4916" s="249" t="str">
        <f>HYPERLINK("https://scontent.cdninstagram.com/t51.2885-15/s320x320/e35/21371790_1951113294922717_9156159045667651584_n.jpg")</f>
        <v>https://scontent.cdninstagram.com/t51.2885-15/s320x320/e35/21371790_1951113294922717_9156159045667651584_n.jpg</v>
      </c>
      <c r="AE4916" s="249" t="str">
        <f>HYPERLINK("https://scontent.cdninstagram.com/t51.2885-19/s150x150/20478983_459787241068843_976780691024904192_a.jpg")</f>
        <v>https://scontent.cdninstagram.com/t51.2885-19/s150x150/20478983_459787241068843_976780691024904192_a.jpg</v>
      </c>
    </row>
    <row r="4917" spans="1:31" ht="15" x14ac:dyDescent="0.25">
      <c r="A4917" t="s">
        <v>2474</v>
      </c>
      <c r="B4917" t="s">
        <v>26130</v>
      </c>
      <c r="C4917" s="221">
        <v>42983.736493055556</v>
      </c>
      <c r="D4917" t="s">
        <v>26131</v>
      </c>
      <c r="E4917" s="249" t="str">
        <f>HYPERLINK("https://www.instagram.com/p/BYrL2B9gmS_/")</f>
        <v>https://www.instagram.com/p/BYrL2B9gmS_/</v>
      </c>
      <c r="F4917" t="s">
        <v>26132</v>
      </c>
      <c r="G4917" t="s">
        <v>2478</v>
      </c>
      <c r="H4917">
        <v>269</v>
      </c>
      <c r="I4917" t="s">
        <v>3186</v>
      </c>
      <c r="J4917">
        <v>0</v>
      </c>
      <c r="K4917">
        <v>20</v>
      </c>
      <c r="L4917">
        <v>20</v>
      </c>
      <c r="Q4917">
        <v>0</v>
      </c>
      <c r="R4917">
        <v>0</v>
      </c>
      <c r="S4917">
        <v>20</v>
      </c>
      <c r="Y4917" t="s">
        <v>26133</v>
      </c>
      <c r="Z4917" t="s">
        <v>26134</v>
      </c>
      <c r="AA4917" t="s">
        <v>2497</v>
      </c>
      <c r="AB4917" t="s">
        <v>26135</v>
      </c>
      <c r="AC4917" t="s">
        <v>2666</v>
      </c>
      <c r="AD4917" s="249" t="str">
        <f>HYPERLINK("https://scontent.cdninstagram.com/t51.2885-15/s320x320/e35/21373306_1451300561629446_1813678261473902592_n.jpg")</f>
        <v>https://scontent.cdninstagram.com/t51.2885-15/s320x320/e35/21373306_1451300561629446_1813678261473902592_n.jpg</v>
      </c>
      <c r="AE4917" s="249" t="str">
        <f>HYPERLINK("https://scontent.cdninstagram.com/t51.2885-19/s150x150/17494294_123877414815235_6307292802845769728_a.jpg")</f>
        <v>https://scontent.cdninstagram.com/t51.2885-19/s150x150/17494294_123877414815235_6307292802845769728_a.jpg</v>
      </c>
    </row>
    <row r="4918" spans="1:31" ht="15" x14ac:dyDescent="0.25">
      <c r="A4918" t="s">
        <v>2474</v>
      </c>
      <c r="B4918" t="s">
        <v>26136</v>
      </c>
      <c r="C4918" s="221">
        <v>42983.741296296299</v>
      </c>
      <c r="D4918" t="s">
        <v>26137</v>
      </c>
      <c r="E4918" s="249" t="str">
        <f>HYPERLINK("https://www.instagram.com/p/BYrMox8nErW/")</f>
        <v>https://www.instagram.com/p/BYrMox8nErW/</v>
      </c>
      <c r="F4918" t="s">
        <v>26138</v>
      </c>
      <c r="G4918" t="s">
        <v>2488</v>
      </c>
      <c r="H4918">
        <v>419</v>
      </c>
      <c r="I4918" t="s">
        <v>2479</v>
      </c>
      <c r="J4918">
        <v>0</v>
      </c>
      <c r="K4918">
        <v>101</v>
      </c>
      <c r="L4918">
        <v>101</v>
      </c>
      <c r="Q4918">
        <v>0</v>
      </c>
      <c r="R4918">
        <v>0</v>
      </c>
      <c r="S4918">
        <v>101</v>
      </c>
      <c r="T4918" t="s">
        <v>26139</v>
      </c>
      <c r="V4918" t="s">
        <v>2288</v>
      </c>
      <c r="W4918">
        <v>53.431716724966002</v>
      </c>
      <c r="X4918">
        <v>-2.9912527256960999</v>
      </c>
      <c r="Y4918" t="s">
        <v>26140</v>
      </c>
      <c r="Z4918" t="s">
        <v>6211</v>
      </c>
      <c r="AA4918" t="s">
        <v>8407</v>
      </c>
      <c r="AB4918" t="s">
        <v>26141</v>
      </c>
      <c r="AC4918" t="s">
        <v>2491</v>
      </c>
      <c r="AD4918" s="249" t="str">
        <f>HYPERLINK("https://scontent.cdninstagram.com/t51.2885-15/s320x320/e35/21371726_326669647798135_682724092951920640_n.jpg")</f>
        <v>https://scontent.cdninstagram.com/t51.2885-15/s320x320/e35/21371726_326669647798135_682724092951920640_n.jpg</v>
      </c>
      <c r="AE4918" s="249" t="str">
        <f>HYPERLINK("https://scontent.cdninstagram.com/t51.2885-19/s150x150/19428749_463730977322530_5142678997099872256_a.jpg")</f>
        <v>https://scontent.cdninstagram.com/t51.2885-19/s150x150/19428749_463730977322530_5142678997099872256_a.jpg</v>
      </c>
    </row>
    <row r="4919" spans="1:31" ht="15" x14ac:dyDescent="0.25">
      <c r="A4919" t="s">
        <v>2474</v>
      </c>
      <c r="B4919" t="s">
        <v>26142</v>
      </c>
      <c r="C4919" s="221">
        <v>42983.758310185185</v>
      </c>
      <c r="D4919" t="s">
        <v>26143</v>
      </c>
      <c r="E4919" s="249" t="str">
        <f>HYPERLINK("https://www.instagram.com/p/BYrPcMDFBTK/")</f>
        <v>https://www.instagram.com/p/BYrPcMDFBTK/</v>
      </c>
      <c r="F4919" t="s">
        <v>26144</v>
      </c>
      <c r="G4919" t="s">
        <v>2478</v>
      </c>
      <c r="H4919">
        <v>105</v>
      </c>
      <c r="I4919" t="s">
        <v>2479</v>
      </c>
      <c r="J4919">
        <v>0</v>
      </c>
      <c r="K4919">
        <v>31</v>
      </c>
      <c r="L4919">
        <v>31</v>
      </c>
      <c r="Q4919">
        <v>0</v>
      </c>
      <c r="R4919">
        <v>0</v>
      </c>
      <c r="S4919">
        <v>31</v>
      </c>
      <c r="Y4919" t="s">
        <v>22276</v>
      </c>
      <c r="Z4919" t="s">
        <v>26145</v>
      </c>
      <c r="AA4919" t="s">
        <v>26146</v>
      </c>
      <c r="AB4919" t="s">
        <v>2497</v>
      </c>
      <c r="AC4919" t="s">
        <v>4622</v>
      </c>
      <c r="AD4919" s="249" t="str">
        <f>HYPERLINK("https://scontent.cdninstagram.com/t51.2885-15/s320x320/e35/21436250_114330442590915_5151495224928763904_n.jpg")</f>
        <v>https://scontent.cdninstagram.com/t51.2885-15/s320x320/e35/21436250_114330442590915_5151495224928763904_n.jpg</v>
      </c>
      <c r="AE4919" s="249" t="str">
        <f>HYPERLINK("https://scontent.cdninstagram.com/t51.2885-19/s150x150/17662201_1904738603143877_108426526696931328_n.jpg")</f>
        <v>https://scontent.cdninstagram.com/t51.2885-19/s150x150/17662201_1904738603143877_108426526696931328_n.jpg</v>
      </c>
    </row>
    <row r="4920" spans="1:31" ht="15" x14ac:dyDescent="0.25">
      <c r="A4920" t="s">
        <v>2474</v>
      </c>
      <c r="B4920" t="s">
        <v>26147</v>
      </c>
      <c r="C4920" s="221">
        <v>42983.764340277776</v>
      </c>
      <c r="D4920" t="s">
        <v>26148</v>
      </c>
      <c r="E4920" s="249" t="str">
        <f>HYPERLINK("https://www.instagram.com/p/BYrQb1QlqYg/")</f>
        <v>https://www.instagram.com/p/BYrQb1QlqYg/</v>
      </c>
      <c r="F4920" t="s">
        <v>26149</v>
      </c>
      <c r="G4920" t="s">
        <v>2478</v>
      </c>
      <c r="H4920">
        <v>1355</v>
      </c>
      <c r="I4920" t="s">
        <v>3575</v>
      </c>
      <c r="J4920">
        <v>2</v>
      </c>
      <c r="K4920">
        <v>73</v>
      </c>
      <c r="L4920">
        <v>75</v>
      </c>
      <c r="Q4920">
        <v>0</v>
      </c>
      <c r="R4920">
        <v>0</v>
      </c>
      <c r="S4920">
        <v>75</v>
      </c>
      <c r="Y4920" t="s">
        <v>2497</v>
      </c>
      <c r="Z4920" t="s">
        <v>26150</v>
      </c>
      <c r="AA4920" t="s">
        <v>2696</v>
      </c>
      <c r="AB4920" t="s">
        <v>6760</v>
      </c>
      <c r="AC4920" t="s">
        <v>26151</v>
      </c>
      <c r="AD4920" s="249" t="str">
        <f>HYPERLINK("https://scontent.cdninstagram.com/t51.2885-15/s320x320/e35/21372200_1453559748065192_6903392052591984640_n.jpg")</f>
        <v>https://scontent.cdninstagram.com/t51.2885-15/s320x320/e35/21372200_1453559748065192_6903392052591984640_n.jpg</v>
      </c>
      <c r="AE4920" s="249" t="str">
        <f>HYPERLINK("https://scontent.cdninstagram.com/t51.2885-19/11359085_992234600828699_2084036528_a.jpg")</f>
        <v>https://scontent.cdninstagram.com/t51.2885-19/11359085_992234600828699_2084036528_a.jpg</v>
      </c>
    </row>
    <row r="4921" spans="1:31" ht="15" x14ac:dyDescent="0.25">
      <c r="A4921" t="s">
        <v>2474</v>
      </c>
      <c r="B4921" t="s">
        <v>7647</v>
      </c>
      <c r="C4921" s="221">
        <v>42983.764953703707</v>
      </c>
      <c r="D4921" t="s">
        <v>26152</v>
      </c>
      <c r="E4921" s="249" t="str">
        <f>HYPERLINK("https://www.instagram.com/p/BYrQiMwALCl/")</f>
        <v>https://www.instagram.com/p/BYrQiMwALCl/</v>
      </c>
      <c r="F4921" t="s">
        <v>26153</v>
      </c>
      <c r="G4921" t="s">
        <v>2478</v>
      </c>
      <c r="H4921">
        <v>86</v>
      </c>
      <c r="I4921" t="s">
        <v>3575</v>
      </c>
      <c r="J4921">
        <v>0</v>
      </c>
      <c r="K4921">
        <v>27</v>
      </c>
      <c r="L4921">
        <v>27</v>
      </c>
      <c r="Q4921">
        <v>0</v>
      </c>
      <c r="R4921">
        <v>0</v>
      </c>
      <c r="S4921">
        <v>27</v>
      </c>
      <c r="T4921" t="s">
        <v>26154</v>
      </c>
      <c r="V4921" t="s">
        <v>2182</v>
      </c>
      <c r="W4921">
        <v>46.360635449999997</v>
      </c>
      <c r="X4921">
        <v>11.559763366666999</v>
      </c>
      <c r="Y4921" t="s">
        <v>18078</v>
      </c>
      <c r="Z4921" t="s">
        <v>26155</v>
      </c>
      <c r="AA4921" t="s">
        <v>2497</v>
      </c>
      <c r="AB4921" t="s">
        <v>26156</v>
      </c>
      <c r="AC4921" t="s">
        <v>26157</v>
      </c>
      <c r="AD4921" s="249" t="str">
        <f>HYPERLINK("https://scontent.cdninstagram.com/t51.2885-15/s320x320/e35/21371845_114498842596302_1037026416329228288_n.jpg")</f>
        <v>https://scontent.cdninstagram.com/t51.2885-15/s320x320/e35/21371845_114498842596302_1037026416329228288_n.jpg</v>
      </c>
      <c r="AE4921" s="249" t="str">
        <f>HYPERLINK("https://scontent.cdninstagram.com/t51.2885-19/s150x150/21689860_347057945706116_567828057017024512_n.jpg")</f>
        <v>https://scontent.cdninstagram.com/t51.2885-19/s150x150/21689860_347057945706116_567828057017024512_n.jpg</v>
      </c>
    </row>
    <row r="4922" spans="1:31" ht="15" x14ac:dyDescent="0.25">
      <c r="A4922" t="s">
        <v>2474</v>
      </c>
      <c r="B4922" t="s">
        <v>26158</v>
      </c>
      <c r="C4922" s="221">
        <v>42983.768796296295</v>
      </c>
      <c r="D4922" t="s">
        <v>26159</v>
      </c>
      <c r="E4922" s="249" t="str">
        <f>HYPERLINK("https://www.instagram.com/p/BYrRKxYl3cM/")</f>
        <v>https://www.instagram.com/p/BYrRKxYl3cM/</v>
      </c>
      <c r="F4922" t="s">
        <v>26160</v>
      </c>
      <c r="G4922" t="s">
        <v>2478</v>
      </c>
      <c r="H4922">
        <v>230</v>
      </c>
      <c r="I4922" t="s">
        <v>2479</v>
      </c>
      <c r="J4922">
        <v>0</v>
      </c>
      <c r="K4922">
        <v>11</v>
      </c>
      <c r="L4922">
        <v>11</v>
      </c>
      <c r="Q4922">
        <v>0</v>
      </c>
      <c r="R4922">
        <v>0</v>
      </c>
      <c r="S4922">
        <v>11</v>
      </c>
      <c r="Y4922" t="s">
        <v>6185</v>
      </c>
      <c r="Z4922" t="s">
        <v>26158</v>
      </c>
      <c r="AA4922" t="s">
        <v>2497</v>
      </c>
      <c r="AB4922" t="s">
        <v>18446</v>
      </c>
      <c r="AC4922" t="s">
        <v>5192</v>
      </c>
      <c r="AD4922" s="249" t="str">
        <f>HYPERLINK("https://scontent.cdninstagram.com/t51.2885-15/s320x320/e35/21434190_122727945049594_8871937926997475328_n.jpg")</f>
        <v>https://scontent.cdninstagram.com/t51.2885-15/s320x320/e35/21434190_122727945049594_8871937926997475328_n.jpg</v>
      </c>
      <c r="AE4922" s="249" t="str">
        <f>HYPERLINK("https://scontent.cdninstagram.com/t51.2885-19/s150x150/12930894_567085320119309_829953670_a.jpg")</f>
        <v>https://scontent.cdninstagram.com/t51.2885-19/s150x150/12930894_567085320119309_829953670_a.jpg</v>
      </c>
    </row>
    <row r="4923" spans="1:31" ht="15" x14ac:dyDescent="0.25">
      <c r="A4923" t="s">
        <v>2474</v>
      </c>
      <c r="B4923" t="s">
        <v>26161</v>
      </c>
      <c r="C4923" s="221">
        <v>42983.792326388888</v>
      </c>
      <c r="D4923" t="s">
        <v>26162</v>
      </c>
      <c r="E4923" s="249" t="str">
        <f>HYPERLINK("https://www.instagram.com/p/BYrVC_plzJT/")</f>
        <v>https://www.instagram.com/p/BYrVC_plzJT/</v>
      </c>
      <c r="F4923" t="s">
        <v>26163</v>
      </c>
      <c r="G4923" t="s">
        <v>2478</v>
      </c>
      <c r="H4923">
        <v>115</v>
      </c>
      <c r="I4923" t="s">
        <v>2903</v>
      </c>
      <c r="J4923">
        <v>2</v>
      </c>
      <c r="K4923">
        <v>22</v>
      </c>
      <c r="L4923">
        <v>24</v>
      </c>
      <c r="Q4923">
        <v>0</v>
      </c>
      <c r="R4923">
        <v>0</v>
      </c>
      <c r="S4923">
        <v>24</v>
      </c>
      <c r="Y4923" t="s">
        <v>6442</v>
      </c>
      <c r="Z4923" t="s">
        <v>8516</v>
      </c>
      <c r="AA4923" t="s">
        <v>26164</v>
      </c>
      <c r="AB4923" t="s">
        <v>21910</v>
      </c>
      <c r="AC4923" t="s">
        <v>2492</v>
      </c>
      <c r="AD4923" s="249" t="str">
        <f>HYPERLINK("https://scontent.cdninstagram.com/t51.2885-15/s320x320/e35/21373241_1181825865294150_6074527926412378112_n.jpg")</f>
        <v>https://scontent.cdninstagram.com/t51.2885-15/s320x320/e35/21373241_1181825865294150_6074527926412378112_n.jpg</v>
      </c>
      <c r="AE4923" s="249" t="str">
        <f>HYPERLINK("https://scontent.cdninstagram.com/t51.2885-19/s150x150/19436986_311092516006552_8888997004521242624_a.jpg")</f>
        <v>https://scontent.cdninstagram.com/t51.2885-19/s150x150/19436986_311092516006552_8888997004521242624_a.jpg</v>
      </c>
    </row>
    <row r="4924" spans="1:31" ht="15" x14ac:dyDescent="0.25">
      <c r="A4924" t="s">
        <v>2474</v>
      </c>
      <c r="B4924" t="s">
        <v>26165</v>
      </c>
      <c r="C4924" s="221">
        <v>42983.794583333336</v>
      </c>
      <c r="D4924" t="s">
        <v>26166</v>
      </c>
      <c r="E4924" s="249" t="str">
        <f>HYPERLINK("https://www.instagram.com/p/BYrVayZhpPZ/")</f>
        <v>https://www.instagram.com/p/BYrVayZhpPZ/</v>
      </c>
      <c r="F4924" t="s">
        <v>26167</v>
      </c>
      <c r="G4924" t="s">
        <v>2478</v>
      </c>
      <c r="H4924">
        <v>313</v>
      </c>
      <c r="I4924" t="s">
        <v>2903</v>
      </c>
      <c r="J4924">
        <v>1</v>
      </c>
      <c r="K4924">
        <v>18</v>
      </c>
      <c r="L4924">
        <v>19</v>
      </c>
      <c r="Q4924">
        <v>0</v>
      </c>
      <c r="R4924">
        <v>0</v>
      </c>
      <c r="S4924">
        <v>19</v>
      </c>
      <c r="Y4924" t="s">
        <v>2497</v>
      </c>
      <c r="Z4924" t="s">
        <v>26168</v>
      </c>
      <c r="AA4924" t="s">
        <v>6698</v>
      </c>
      <c r="AB4924" t="s">
        <v>26169</v>
      </c>
      <c r="AC4924" t="s">
        <v>9794</v>
      </c>
      <c r="AD4924" s="249" t="str">
        <f>HYPERLINK("https://scontent.cdninstagram.com/t51.2885-15/e35/21373610_1931556813537992_6488442471712817152_n.jpg")</f>
        <v>https://scontent.cdninstagram.com/t51.2885-15/e35/21373610_1931556813537992_6488442471712817152_n.jpg</v>
      </c>
      <c r="AE4924" s="249" t="str">
        <f>HYPERLINK("https://scontent.cdninstagram.com/t51.2885-19/s150x150/21294685_1655470917816535_6470213011305922560_a.jpg")</f>
        <v>https://scontent.cdninstagram.com/t51.2885-19/s150x150/21294685_1655470917816535_6470213011305922560_a.jpg</v>
      </c>
    </row>
    <row r="4925" spans="1:31" ht="15" x14ac:dyDescent="0.25">
      <c r="A4925" t="s">
        <v>2474</v>
      </c>
      <c r="B4925" t="s">
        <v>25768</v>
      </c>
      <c r="C4925" s="221">
        <v>42983.805844907409</v>
      </c>
      <c r="D4925" t="s">
        <v>26170</v>
      </c>
      <c r="E4925" s="249" t="str">
        <f>HYPERLINK("https://www.instagram.com/p/BYrXRi7AswC/")</f>
        <v>https://www.instagram.com/p/BYrXRi7AswC/</v>
      </c>
      <c r="F4925" t="s">
        <v>26171</v>
      </c>
      <c r="G4925" t="s">
        <v>2478</v>
      </c>
      <c r="H4925">
        <v>137</v>
      </c>
      <c r="I4925" t="s">
        <v>3575</v>
      </c>
      <c r="J4925">
        <v>1</v>
      </c>
      <c r="K4925">
        <v>16</v>
      </c>
      <c r="L4925">
        <v>17</v>
      </c>
      <c r="Q4925">
        <v>0</v>
      </c>
      <c r="R4925">
        <v>0</v>
      </c>
      <c r="S4925">
        <v>17</v>
      </c>
      <c r="Y4925" t="s">
        <v>26172</v>
      </c>
      <c r="Z4925" t="s">
        <v>4388</v>
      </c>
      <c r="AA4925" t="s">
        <v>4271</v>
      </c>
      <c r="AB4925" t="s">
        <v>9803</v>
      </c>
      <c r="AC4925" t="s">
        <v>25768</v>
      </c>
      <c r="AD4925" s="249" t="str">
        <f>HYPERLINK("https://scontent.cdninstagram.com/t51.2885-15/s320x320/e35/21372543_356170064816131_4695163896145641472_n.jpg")</f>
        <v>https://scontent.cdninstagram.com/t51.2885-15/s320x320/e35/21372543_356170064816131_4695163896145641472_n.jpg</v>
      </c>
      <c r="AE4925" s="249" t="str">
        <f>HYPERLINK("https://scontent.cdninstagram.com/t51.2885-19/s150x150/15056662_150478412088568_8679463803760410624_a.jpg")</f>
        <v>https://scontent.cdninstagram.com/t51.2885-19/s150x150/15056662_150478412088568_8679463803760410624_a.jpg</v>
      </c>
    </row>
    <row r="4926" spans="1:31" ht="15" x14ac:dyDescent="0.25">
      <c r="A4926" t="s">
        <v>2474</v>
      </c>
      <c r="B4926" t="s">
        <v>26173</v>
      </c>
      <c r="C4926" s="221">
        <v>42983.811967592592</v>
      </c>
      <c r="D4926" t="s">
        <v>26174</v>
      </c>
      <c r="E4926" s="249" t="str">
        <f>HYPERLINK("https://www.instagram.com/p/BYrYSErA8A0/")</f>
        <v>https://www.instagram.com/p/BYrYSErA8A0/</v>
      </c>
      <c r="F4926" t="s">
        <v>26175</v>
      </c>
      <c r="G4926" t="s">
        <v>2478</v>
      </c>
      <c r="H4926">
        <v>74</v>
      </c>
      <c r="I4926" t="s">
        <v>2479</v>
      </c>
      <c r="J4926">
        <v>1</v>
      </c>
      <c r="K4926">
        <v>16</v>
      </c>
      <c r="L4926">
        <v>17</v>
      </c>
      <c r="Q4926">
        <v>0</v>
      </c>
      <c r="R4926">
        <v>0</v>
      </c>
      <c r="S4926">
        <v>17</v>
      </c>
      <c r="T4926" t="s">
        <v>26176</v>
      </c>
      <c r="V4926" t="s">
        <v>2184</v>
      </c>
      <c r="W4926">
        <v>34.394074426000003</v>
      </c>
      <c r="X4926">
        <v>132.444309132</v>
      </c>
      <c r="Y4926" t="s">
        <v>2736</v>
      </c>
      <c r="Z4926" t="s">
        <v>3091</v>
      </c>
      <c r="AA4926" t="s">
        <v>4074</v>
      </c>
      <c r="AB4926" t="s">
        <v>5644</v>
      </c>
      <c r="AC4926" t="s">
        <v>2497</v>
      </c>
      <c r="AD4926" s="249" t="str">
        <f>HYPERLINK("https://scontent.cdninstagram.com/t51.2885-15/s320x320/e35/21434173_491424921213729_7642026762787880960_n.jpg")</f>
        <v>https://scontent.cdninstagram.com/t51.2885-15/s320x320/e35/21434173_491424921213729_7642026762787880960_n.jpg</v>
      </c>
      <c r="AE4926" s="249" t="str">
        <f>HYPERLINK("https://scontent.cdninstagram.com/t51.2885-19/s150x150/21371964_352480131859423_6604359515863252992_a.jpg")</f>
        <v>https://scontent.cdninstagram.com/t51.2885-19/s150x150/21371964_352480131859423_6604359515863252992_a.jpg</v>
      </c>
    </row>
    <row r="4927" spans="1:31" ht="15" x14ac:dyDescent="0.25">
      <c r="A4927" t="s">
        <v>2474</v>
      </c>
      <c r="B4927" t="s">
        <v>26177</v>
      </c>
      <c r="C4927" s="221">
        <v>42983.825219907405</v>
      </c>
      <c r="D4927" t="s">
        <v>26178</v>
      </c>
      <c r="E4927" s="249" t="str">
        <f>HYPERLINK("https://www.instagram.com/p/BYrad0NBhY6/")</f>
        <v>https://www.instagram.com/p/BYrad0NBhY6/</v>
      </c>
      <c r="F4927" t="s">
        <v>26179</v>
      </c>
      <c r="G4927" t="s">
        <v>2478</v>
      </c>
      <c r="H4927">
        <v>79</v>
      </c>
      <c r="I4927" t="s">
        <v>2479</v>
      </c>
      <c r="J4927">
        <v>1</v>
      </c>
      <c r="K4927">
        <v>8</v>
      </c>
      <c r="L4927">
        <v>9</v>
      </c>
      <c r="Q4927">
        <v>0</v>
      </c>
      <c r="R4927">
        <v>0</v>
      </c>
      <c r="S4927">
        <v>9</v>
      </c>
      <c r="Y4927" t="s">
        <v>4231</v>
      </c>
      <c r="Z4927" t="s">
        <v>2497</v>
      </c>
      <c r="AA4927" t="s">
        <v>26180</v>
      </c>
      <c r="AB4927" t="s">
        <v>10160</v>
      </c>
      <c r="AC4927" t="s">
        <v>26181</v>
      </c>
      <c r="AD4927" s="249" t="str">
        <f>HYPERLINK("https://scontent.cdninstagram.com/t51.2885-15/s320x320/e35/21373113_344136919360144_3968529002452221952_n.jpg")</f>
        <v>https://scontent.cdninstagram.com/t51.2885-15/s320x320/e35/21373113_344136919360144_3968529002452221952_n.jpg</v>
      </c>
      <c r="AE4927" s="249" t="str">
        <f>HYPERLINK("https://scontent.cdninstagram.com/t51.2885-19/s150x150/20766809_1401209976601545_8671449854347575296_a.jpg")</f>
        <v>https://scontent.cdninstagram.com/t51.2885-19/s150x150/20766809_1401209976601545_8671449854347575296_a.jpg</v>
      </c>
    </row>
    <row r="4928" spans="1:31" ht="15" x14ac:dyDescent="0.25">
      <c r="A4928" t="s">
        <v>2474</v>
      </c>
      <c r="B4928" t="s">
        <v>7793</v>
      </c>
      <c r="C4928" s="221">
        <v>42983.826956018522</v>
      </c>
      <c r="D4928" t="s">
        <v>26182</v>
      </c>
      <c r="E4928" s="249" t="str">
        <f>HYPERLINK("https://www.instagram.com/p/BYrawIcFuE0/")</f>
        <v>https://www.instagram.com/p/BYrawIcFuE0/</v>
      </c>
      <c r="F4928" t="s">
        <v>26183</v>
      </c>
      <c r="G4928" t="s">
        <v>2488</v>
      </c>
      <c r="H4928">
        <v>5804</v>
      </c>
      <c r="I4928" t="s">
        <v>2479</v>
      </c>
      <c r="J4928">
        <v>2</v>
      </c>
      <c r="K4928">
        <v>247</v>
      </c>
      <c r="L4928">
        <v>249</v>
      </c>
      <c r="Q4928">
        <v>0</v>
      </c>
      <c r="R4928">
        <v>0</v>
      </c>
      <c r="S4928">
        <v>249</v>
      </c>
      <c r="T4928" t="s">
        <v>25256</v>
      </c>
      <c r="V4928" t="s">
        <v>2102</v>
      </c>
      <c r="W4928">
        <v>-33.856784986765</v>
      </c>
      <c r="X4928">
        <v>151.21528387070001</v>
      </c>
      <c r="Y4928" t="s">
        <v>12270</v>
      </c>
      <c r="Z4928" t="s">
        <v>2696</v>
      </c>
      <c r="AA4928" t="s">
        <v>6578</v>
      </c>
      <c r="AB4928" t="s">
        <v>4174</v>
      </c>
      <c r="AC4928" t="s">
        <v>3075</v>
      </c>
      <c r="AD4928" s="249" t="str">
        <f>HYPERLINK("https://scontent.cdninstagram.com/t51.2885-15/s320x320/e35/21373022_2022688591346979_3009685894446710784_n.jpg")</f>
        <v>https://scontent.cdninstagram.com/t51.2885-15/s320x320/e35/21373022_2022688591346979_3009685894446710784_n.jpg</v>
      </c>
      <c r="AE4928" s="249" t="str">
        <f>HYPERLINK("https://scontent.cdninstagram.com/t51.2885-19/s150x150/14295311_507350922808081_1928455761_a.jpg")</f>
        <v>https://scontent.cdninstagram.com/t51.2885-19/s150x150/14295311_507350922808081_1928455761_a.jpg</v>
      </c>
    </row>
    <row r="4929" spans="1:31" ht="15" x14ac:dyDescent="0.25">
      <c r="A4929" t="s">
        <v>2474</v>
      </c>
      <c r="B4929" t="s">
        <v>14409</v>
      </c>
      <c r="C4929" s="221">
        <v>42983.827939814815</v>
      </c>
      <c r="D4929" t="s">
        <v>26184</v>
      </c>
      <c r="E4929" s="249" t="str">
        <f>HYPERLINK("https://www.instagram.com/p/BYra6k5FN7M/")</f>
        <v>https://www.instagram.com/p/BYra6k5FN7M/</v>
      </c>
      <c r="F4929" t="s">
        <v>26185</v>
      </c>
      <c r="G4929" t="s">
        <v>2478</v>
      </c>
      <c r="H4929">
        <v>211</v>
      </c>
      <c r="I4929" t="s">
        <v>2542</v>
      </c>
      <c r="J4929">
        <v>0</v>
      </c>
      <c r="K4929">
        <v>11</v>
      </c>
      <c r="L4929">
        <v>11</v>
      </c>
      <c r="Q4929">
        <v>0</v>
      </c>
      <c r="R4929">
        <v>0</v>
      </c>
      <c r="S4929">
        <v>11</v>
      </c>
      <c r="Y4929" t="s">
        <v>3768</v>
      </c>
      <c r="Z4929" t="s">
        <v>16907</v>
      </c>
      <c r="AA4929" t="s">
        <v>10224</v>
      </c>
      <c r="AB4929" t="s">
        <v>26186</v>
      </c>
      <c r="AC4929" t="s">
        <v>2497</v>
      </c>
      <c r="AD4929" s="249" t="str">
        <f>HYPERLINK("https://scontent.cdninstagram.com/t51.2885-15/s320x320/e35/21371957_168928480323201_7997880638805901312_n.jpg")</f>
        <v>https://scontent.cdninstagram.com/t51.2885-15/s320x320/e35/21371957_168928480323201_7997880638805901312_n.jpg</v>
      </c>
      <c r="AE4929" s="249" t="str">
        <f>HYPERLINK("https://scontent.cdninstagram.com/t51.2885-19/s150x150/18723347_1753882351295840_2938203937695596544_a.jpg")</f>
        <v>https://scontent.cdninstagram.com/t51.2885-19/s150x150/18723347_1753882351295840_2938203937695596544_a.jpg</v>
      </c>
    </row>
    <row r="4930" spans="1:31" ht="15" x14ac:dyDescent="0.25">
      <c r="A4930" t="s">
        <v>2474</v>
      </c>
      <c r="B4930" t="s">
        <v>26187</v>
      </c>
      <c r="C4930" s="221">
        <v>42983.834872685184</v>
      </c>
      <c r="D4930" t="s">
        <v>26188</v>
      </c>
      <c r="E4930" s="249" t="str">
        <f>HYPERLINK("https://www.instagram.com/p/BYrcDoQBwUO/")</f>
        <v>https://www.instagram.com/p/BYrcDoQBwUO/</v>
      </c>
      <c r="F4930" t="s">
        <v>26189</v>
      </c>
      <c r="G4930" t="s">
        <v>2478</v>
      </c>
      <c r="H4930">
        <v>507</v>
      </c>
      <c r="I4930" t="s">
        <v>2479</v>
      </c>
      <c r="J4930">
        <v>4</v>
      </c>
      <c r="K4930">
        <v>96</v>
      </c>
      <c r="L4930">
        <v>100</v>
      </c>
      <c r="Q4930">
        <v>0</v>
      </c>
      <c r="R4930">
        <v>0</v>
      </c>
      <c r="S4930">
        <v>100</v>
      </c>
      <c r="Y4930" t="s">
        <v>26190</v>
      </c>
      <c r="Z4930" t="s">
        <v>8606</v>
      </c>
      <c r="AA4930" t="s">
        <v>2497</v>
      </c>
      <c r="AB4930" t="s">
        <v>26191</v>
      </c>
      <c r="AD4930" s="249" t="str">
        <f>HYPERLINK("https://scontent.cdninstagram.com/t51.2885-15/e35/p320x320/21372325_1977522442483383_2424731015386759168_n.jpg")</f>
        <v>https://scontent.cdninstagram.com/t51.2885-15/e35/p320x320/21372325_1977522442483383_2424731015386759168_n.jpg</v>
      </c>
      <c r="AE4930" s="249" t="str">
        <f>HYPERLINK("https://scontent.cdninstagram.com/t51.2885-19/s150x150/18809387_132145537340739_3921918982268911616_a.jpg")</f>
        <v>https://scontent.cdninstagram.com/t51.2885-19/s150x150/18809387_132145537340739_3921918982268911616_a.jpg</v>
      </c>
    </row>
    <row r="4931" spans="1:31" ht="15" x14ac:dyDescent="0.25">
      <c r="A4931" t="s">
        <v>2474</v>
      </c>
      <c r="B4931" t="s">
        <v>26192</v>
      </c>
      <c r="C4931" s="221">
        <v>42983.836354166669</v>
      </c>
      <c r="D4931" t="s">
        <v>26193</v>
      </c>
      <c r="E4931" s="249" t="str">
        <f>HYPERLINK("https://www.instagram.com/p/BYrcTSGHWqn/")</f>
        <v>https://www.instagram.com/p/BYrcTSGHWqn/</v>
      </c>
      <c r="F4931" t="s">
        <v>26194</v>
      </c>
      <c r="G4931" t="s">
        <v>2488</v>
      </c>
      <c r="H4931">
        <v>1289</v>
      </c>
      <c r="I4931" t="s">
        <v>2479</v>
      </c>
      <c r="J4931">
        <v>1</v>
      </c>
      <c r="K4931">
        <v>89</v>
      </c>
      <c r="L4931">
        <v>90</v>
      </c>
      <c r="Q4931">
        <v>0</v>
      </c>
      <c r="R4931">
        <v>0</v>
      </c>
      <c r="S4931">
        <v>90</v>
      </c>
      <c r="Y4931" t="s">
        <v>9313</v>
      </c>
      <c r="Z4931" t="s">
        <v>15697</v>
      </c>
      <c r="AA4931" t="s">
        <v>8111</v>
      </c>
      <c r="AB4931" t="s">
        <v>3034</v>
      </c>
      <c r="AC4931" t="s">
        <v>17061</v>
      </c>
      <c r="AD4931" s="249" t="str">
        <f>HYPERLINK("https://scontent.cdninstagram.com/t51.2885-15/e35/p320x320/21371702_308460859622560_7126043294655578112_n.jpg")</f>
        <v>https://scontent.cdninstagram.com/t51.2885-15/e35/p320x320/21371702_308460859622560_7126043294655578112_n.jpg</v>
      </c>
      <c r="AE4931" s="249" t="str">
        <f>HYPERLINK("https://scontent.cdninstagram.com/t51.2885-19/s150x150/21042804_491520047867580_2359289101208780800_a.jpg")</f>
        <v>https://scontent.cdninstagram.com/t51.2885-19/s150x150/21042804_491520047867580_2359289101208780800_a.jpg</v>
      </c>
    </row>
    <row r="4932" spans="1:31" ht="15" x14ac:dyDescent="0.25">
      <c r="A4932" t="s">
        <v>2474</v>
      </c>
      <c r="B4932" t="s">
        <v>25901</v>
      </c>
      <c r="C4932" s="221">
        <v>42983.842951388891</v>
      </c>
      <c r="D4932" t="s">
        <v>26195</v>
      </c>
      <c r="E4932" s="249" t="str">
        <f>HYPERLINK("https://www.instagram.com/p/BYrdY66l5CN/")</f>
        <v>https://www.instagram.com/p/BYrdY66l5CN/</v>
      </c>
      <c r="F4932" t="s">
        <v>26196</v>
      </c>
      <c r="G4932" t="s">
        <v>2478</v>
      </c>
      <c r="H4932">
        <v>450</v>
      </c>
      <c r="I4932" t="s">
        <v>2479</v>
      </c>
      <c r="J4932">
        <v>0</v>
      </c>
      <c r="K4932">
        <v>43</v>
      </c>
      <c r="L4932">
        <v>43</v>
      </c>
      <c r="Q4932">
        <v>0</v>
      </c>
      <c r="R4932">
        <v>0</v>
      </c>
      <c r="S4932">
        <v>43</v>
      </c>
      <c r="Y4932" t="s">
        <v>7524</v>
      </c>
      <c r="Z4932" t="s">
        <v>26197</v>
      </c>
      <c r="AA4932" t="s">
        <v>26198</v>
      </c>
      <c r="AB4932" t="s">
        <v>25905</v>
      </c>
      <c r="AC4932" t="s">
        <v>26199</v>
      </c>
      <c r="AD4932" s="249" t="str">
        <f>HYPERLINK("https://scontent.cdninstagram.com/t51.2885-15/s320x320/e35/21372044_475887689450719_2622333462719234048_n.jpg")</f>
        <v>https://scontent.cdninstagram.com/t51.2885-15/s320x320/e35/21372044_475887689450719_2622333462719234048_n.jpg</v>
      </c>
      <c r="AE4932" s="249" t="str">
        <f>HYPERLINK("https://scontent.cdninstagram.com/t51.2885-19/s150x150/19120264_433924860306759_6004906278910951424_n.jpg")</f>
        <v>https://scontent.cdninstagram.com/t51.2885-19/s150x150/19120264_433924860306759_6004906278910951424_n.jpg</v>
      </c>
    </row>
    <row r="4933" spans="1:31" ht="15" x14ac:dyDescent="0.25">
      <c r="A4933" t="s">
        <v>2474</v>
      </c>
      <c r="B4933" t="s">
        <v>26200</v>
      </c>
      <c r="C4933" s="221">
        <v>42983.850219907406</v>
      </c>
      <c r="D4933" t="s">
        <v>26201</v>
      </c>
      <c r="E4933" s="249" t="str">
        <f>HYPERLINK("https://www.instagram.com/p/BYrelfWhkUy/")</f>
        <v>https://www.instagram.com/p/BYrelfWhkUy/</v>
      </c>
      <c r="F4933" t="s">
        <v>26202</v>
      </c>
      <c r="G4933" t="s">
        <v>2478</v>
      </c>
      <c r="H4933">
        <v>259</v>
      </c>
      <c r="I4933" t="s">
        <v>2542</v>
      </c>
      <c r="J4933">
        <v>0</v>
      </c>
      <c r="K4933">
        <v>41</v>
      </c>
      <c r="L4933">
        <v>41</v>
      </c>
      <c r="Q4933">
        <v>0</v>
      </c>
      <c r="R4933">
        <v>0</v>
      </c>
      <c r="S4933">
        <v>41</v>
      </c>
      <c r="T4933" t="s">
        <v>3510</v>
      </c>
      <c r="U4933" t="s">
        <v>170</v>
      </c>
      <c r="V4933" t="s">
        <v>2299</v>
      </c>
      <c r="W4933">
        <v>30.267199999999999</v>
      </c>
      <c r="X4933">
        <v>-97.763900000000007</v>
      </c>
      <c r="Y4933" t="s">
        <v>26203</v>
      </c>
      <c r="Z4933" t="s">
        <v>2777</v>
      </c>
      <c r="AA4933" t="s">
        <v>2497</v>
      </c>
      <c r="AB4933" t="s">
        <v>26204</v>
      </c>
      <c r="AC4933" t="s">
        <v>26205</v>
      </c>
      <c r="AD4933" s="249" t="str">
        <f>HYPERLINK("https://scontent.cdninstagram.com/t51.2885-15/s320x320/e35/21372288_115135155861124_7716322167931011072_n.jpg")</f>
        <v>https://scontent.cdninstagram.com/t51.2885-15/s320x320/e35/21372288_115135155861124_7716322167931011072_n.jpg</v>
      </c>
      <c r="AE4933" s="249" t="str">
        <f>HYPERLINK("https://scontent.cdninstagram.com/t51.2885-19/s150x150/20481971_251430845368555_8478890630628507648_a.jpg")</f>
        <v>https://scontent.cdninstagram.com/t51.2885-19/s150x150/20481971_251430845368555_8478890630628507648_a.jpg</v>
      </c>
    </row>
    <row r="4934" spans="1:31" ht="15" x14ac:dyDescent="0.25">
      <c r="A4934" t="s">
        <v>2474</v>
      </c>
      <c r="B4934" t="s">
        <v>26206</v>
      </c>
      <c r="C4934" s="221">
        <v>42983.850428240738</v>
      </c>
      <c r="D4934" t="s">
        <v>26207</v>
      </c>
      <c r="E4934" s="249" t="str">
        <f>HYPERLINK("https://www.instagram.com/p/BYrenr2g_WB/")</f>
        <v>https://www.instagram.com/p/BYrenr2g_WB/</v>
      </c>
      <c r="F4934" t="s">
        <v>26208</v>
      </c>
      <c r="G4934" t="s">
        <v>2478</v>
      </c>
      <c r="H4934">
        <v>209</v>
      </c>
      <c r="I4934" t="s">
        <v>2510</v>
      </c>
      <c r="J4934">
        <v>6</v>
      </c>
      <c r="K4934">
        <v>17</v>
      </c>
      <c r="L4934">
        <v>23</v>
      </c>
      <c r="Q4934">
        <v>0</v>
      </c>
      <c r="R4934">
        <v>0</v>
      </c>
      <c r="S4934">
        <v>23</v>
      </c>
      <c r="Y4934" t="s">
        <v>26209</v>
      </c>
      <c r="Z4934" t="s">
        <v>26210</v>
      </c>
      <c r="AA4934" t="s">
        <v>26211</v>
      </c>
      <c r="AB4934" t="s">
        <v>2497</v>
      </c>
      <c r="AD4934" s="249" t="str">
        <f>HYPERLINK("https://scontent.cdninstagram.com/t51.2885-15/s320x320/e35/21372933_1653718991313316_7704335652942249984_n.jpg")</f>
        <v>https://scontent.cdninstagram.com/t51.2885-15/s320x320/e35/21372933_1653718991313316_7704335652942249984_n.jpg</v>
      </c>
      <c r="AE4934" s="249" t="str">
        <f>HYPERLINK("https://scontent.cdninstagram.com/t51.2885-19/s150x150/19379524_1770680726596132_2519116980460453888_a.jpg")</f>
        <v>https://scontent.cdninstagram.com/t51.2885-19/s150x150/19379524_1770680726596132_2519116980460453888_a.jpg</v>
      </c>
    </row>
    <row r="4935" spans="1:31" ht="15" x14ac:dyDescent="0.25">
      <c r="A4935" t="s">
        <v>2474</v>
      </c>
      <c r="B4935" t="s">
        <v>26212</v>
      </c>
      <c r="C4935" s="221">
        <v>42983.859479166669</v>
      </c>
      <c r="D4935" t="s">
        <v>26213</v>
      </c>
      <c r="E4935" s="249" t="str">
        <f>HYPERLINK("https://www.instagram.com/p/BYrgHL5j-4H/")</f>
        <v>https://www.instagram.com/p/BYrgHL5j-4H/</v>
      </c>
      <c r="F4935" t="s">
        <v>26214</v>
      </c>
      <c r="G4935" t="s">
        <v>2478</v>
      </c>
      <c r="H4935">
        <v>206</v>
      </c>
      <c r="I4935" t="s">
        <v>2786</v>
      </c>
      <c r="J4935">
        <v>0</v>
      </c>
      <c r="K4935">
        <v>9</v>
      </c>
      <c r="L4935">
        <v>9</v>
      </c>
      <c r="Q4935">
        <v>0</v>
      </c>
      <c r="R4935">
        <v>0</v>
      </c>
      <c r="S4935">
        <v>9</v>
      </c>
      <c r="Y4935" t="s">
        <v>26215</v>
      </c>
      <c r="Z4935" t="s">
        <v>26216</v>
      </c>
      <c r="AA4935" t="s">
        <v>5884</v>
      </c>
      <c r="AB4935" t="s">
        <v>2497</v>
      </c>
      <c r="AD4935" s="249" t="str">
        <f>HYPERLINK("https://scontent.cdninstagram.com/t51.2885-15/e35/p320x320/21373639_272784989876636_8366430828992921600_n.jpg")</f>
        <v>https://scontent.cdninstagram.com/t51.2885-15/e35/p320x320/21373639_272784989876636_8366430828992921600_n.jpg</v>
      </c>
      <c r="AE4935" s="249" t="str">
        <f>HYPERLINK("https://scontent.cdninstagram.com/t51.2885-19/s150x150/11925522_920147658022821_670578847_a.jpg")</f>
        <v>https://scontent.cdninstagram.com/t51.2885-19/s150x150/11925522_920147658022821_670578847_a.jpg</v>
      </c>
    </row>
    <row r="4936" spans="1:31" ht="15" x14ac:dyDescent="0.25">
      <c r="A4936" t="s">
        <v>2474</v>
      </c>
      <c r="B4936" t="s">
        <v>26217</v>
      </c>
      <c r="C4936" s="221">
        <v>42983.861863425926</v>
      </c>
      <c r="D4936" t="s">
        <v>26218</v>
      </c>
      <c r="E4936" s="249" t="str">
        <f>HYPERLINK("https://www.instagram.com/p/BYrggX4nqqm/")</f>
        <v>https://www.instagram.com/p/BYrggX4nqqm/</v>
      </c>
      <c r="F4936" t="s">
        <v>26219</v>
      </c>
      <c r="G4936" t="s">
        <v>2478</v>
      </c>
      <c r="H4936">
        <v>247</v>
      </c>
      <c r="I4936" t="s">
        <v>2479</v>
      </c>
      <c r="J4936">
        <v>1</v>
      </c>
      <c r="K4936">
        <v>43</v>
      </c>
      <c r="L4936">
        <v>44</v>
      </c>
      <c r="Q4936">
        <v>0</v>
      </c>
      <c r="R4936">
        <v>0</v>
      </c>
      <c r="S4936">
        <v>44</v>
      </c>
      <c r="T4936" t="s">
        <v>26220</v>
      </c>
      <c r="U4936" t="s">
        <v>176</v>
      </c>
      <c r="V4936" t="s">
        <v>2299</v>
      </c>
      <c r="W4936">
        <v>40.593611111100003</v>
      </c>
      <c r="X4936">
        <v>-111.723333333</v>
      </c>
      <c r="Y4936" t="s">
        <v>7757</v>
      </c>
      <c r="Z4936" t="s">
        <v>7742</v>
      </c>
      <c r="AA4936" t="s">
        <v>26221</v>
      </c>
      <c r="AB4936" t="s">
        <v>10509</v>
      </c>
      <c r="AC4936" t="s">
        <v>2778</v>
      </c>
      <c r="AD4936" s="249" t="str">
        <f>HYPERLINK("https://scontent.cdninstagram.com/t51.2885-15/s320x320/e35/21434247_114737489242984_8278625067349311488_n.jpg")</f>
        <v>https://scontent.cdninstagram.com/t51.2885-15/s320x320/e35/21434247_114737489242984_8278625067349311488_n.jpg</v>
      </c>
      <c r="AE4936" s="249" t="str">
        <f>HYPERLINK("https://scontent.cdninstagram.com/t51.2885-19/s150x150/20398169_1688674817840230_8648300972759580672_a.jpg")</f>
        <v>https://scontent.cdninstagram.com/t51.2885-19/s150x150/20398169_1688674817840230_8648300972759580672_a.jpg</v>
      </c>
    </row>
    <row r="4937" spans="1:31" ht="15" x14ac:dyDescent="0.25">
      <c r="A4937" t="s">
        <v>2474</v>
      </c>
      <c r="B4937" t="s">
        <v>5683</v>
      </c>
      <c r="C4937" s="221">
        <v>42983.872349537036</v>
      </c>
      <c r="D4937" t="s">
        <v>26222</v>
      </c>
      <c r="E4937" s="249" t="str">
        <f>HYPERLINK("https://www.instagram.com/p/BYriO-YDyuy/")</f>
        <v>https://www.instagram.com/p/BYriO-YDyuy/</v>
      </c>
      <c r="F4937" t="s">
        <v>26223</v>
      </c>
      <c r="G4937" t="s">
        <v>2478</v>
      </c>
      <c r="H4937">
        <v>374</v>
      </c>
      <c r="I4937" t="s">
        <v>2479</v>
      </c>
      <c r="J4937">
        <v>2</v>
      </c>
      <c r="K4937">
        <v>20</v>
      </c>
      <c r="L4937">
        <v>22</v>
      </c>
      <c r="Q4937">
        <v>0</v>
      </c>
      <c r="R4937">
        <v>0</v>
      </c>
      <c r="S4937">
        <v>22</v>
      </c>
      <c r="Y4937" t="s">
        <v>26224</v>
      </c>
      <c r="Z4937" t="s">
        <v>4582</v>
      </c>
      <c r="AA4937" t="s">
        <v>26225</v>
      </c>
      <c r="AB4937" t="s">
        <v>26226</v>
      </c>
      <c r="AC4937" t="s">
        <v>26227</v>
      </c>
      <c r="AD4937" s="249" t="str">
        <f>HYPERLINK("https://scontent.cdninstagram.com/t51.2885-15/s320x320/e35/21372556_1373067676123879_1683106337937948672_n.jpg")</f>
        <v>https://scontent.cdninstagram.com/t51.2885-15/s320x320/e35/21372556_1373067676123879_1683106337937948672_n.jpg</v>
      </c>
      <c r="AE4937" s="249" t="str">
        <f>HYPERLINK("https://scontent.cdninstagram.com/t51.2885-19/s150x150/21373231_652044934994631_8811612701848502272_a.jpg")</f>
        <v>https://scontent.cdninstagram.com/t51.2885-19/s150x150/21373231_652044934994631_8811612701848502272_a.jpg</v>
      </c>
    </row>
    <row r="4938" spans="1:31" ht="15" x14ac:dyDescent="0.25">
      <c r="A4938" t="s">
        <v>2474</v>
      </c>
      <c r="B4938" t="s">
        <v>4535</v>
      </c>
      <c r="C4938" s="221">
        <v>42983.883518518516</v>
      </c>
      <c r="D4938" t="s">
        <v>26228</v>
      </c>
      <c r="E4938" s="249" t="str">
        <f>HYPERLINK("https://www.instagram.com/p/BYrkEvFFkax/")</f>
        <v>https://www.instagram.com/p/BYrkEvFFkax/</v>
      </c>
      <c r="F4938" t="s">
        <v>26229</v>
      </c>
      <c r="G4938" t="s">
        <v>2631</v>
      </c>
      <c r="H4938">
        <v>187</v>
      </c>
      <c r="I4938" t="s">
        <v>2479</v>
      </c>
      <c r="J4938">
        <v>0</v>
      </c>
      <c r="K4938">
        <v>28</v>
      </c>
      <c r="L4938">
        <v>28</v>
      </c>
      <c r="Q4938">
        <v>0</v>
      </c>
      <c r="R4938">
        <v>0</v>
      </c>
      <c r="S4938">
        <v>28</v>
      </c>
      <c r="Y4938" t="s">
        <v>5605</v>
      </c>
      <c r="Z4938" t="s">
        <v>4540</v>
      </c>
      <c r="AA4938" t="s">
        <v>5608</v>
      </c>
      <c r="AB4938" t="s">
        <v>13436</v>
      </c>
      <c r="AC4938" t="s">
        <v>4538</v>
      </c>
      <c r="AD4938" s="249" t="str">
        <f>HYPERLINK("https://scontent.cdninstagram.com/t51.2885-15/s320x320/e35/21433595_335918136834510_9057173428317978624_n.jpg")</f>
        <v>https://scontent.cdninstagram.com/t51.2885-15/s320x320/e35/21433595_335918136834510_9057173428317978624_n.jpg</v>
      </c>
      <c r="AE4938" s="249" t="str">
        <f>HYPERLINK("https://scontent.cdninstagram.com/t51.2885-19/s150x150/20399028_1624608414236560_533007696291430400_a.jpg")</f>
        <v>https://scontent.cdninstagram.com/t51.2885-19/s150x150/20399028_1624608414236560_533007696291430400_a.jpg</v>
      </c>
    </row>
    <row r="4939" spans="1:31" ht="15" x14ac:dyDescent="0.25">
      <c r="A4939" t="s">
        <v>2474</v>
      </c>
      <c r="B4939" t="s">
        <v>26230</v>
      </c>
      <c r="C4939" s="221">
        <v>42983.895196759258</v>
      </c>
      <c r="D4939" t="s">
        <v>26231</v>
      </c>
      <c r="E4939" s="249" t="str">
        <f>HYPERLINK("https://www.instagram.com/p/BYrl_9UBAwK/")</f>
        <v>https://www.instagram.com/p/BYrl_9UBAwK/</v>
      </c>
      <c r="F4939" t="s">
        <v>26232</v>
      </c>
      <c r="G4939" t="s">
        <v>2478</v>
      </c>
      <c r="H4939">
        <v>279</v>
      </c>
      <c r="I4939" t="s">
        <v>2479</v>
      </c>
      <c r="J4939">
        <v>4</v>
      </c>
      <c r="K4939">
        <v>48</v>
      </c>
      <c r="L4939">
        <v>52</v>
      </c>
      <c r="Q4939">
        <v>0</v>
      </c>
      <c r="R4939">
        <v>0</v>
      </c>
      <c r="S4939">
        <v>52</v>
      </c>
      <c r="Y4939" t="s">
        <v>26233</v>
      </c>
      <c r="Z4939" t="s">
        <v>26234</v>
      </c>
      <c r="AA4939" t="s">
        <v>14968</v>
      </c>
      <c r="AB4939" t="s">
        <v>6747</v>
      </c>
      <c r="AC4939" t="s">
        <v>26235</v>
      </c>
      <c r="AD4939" s="249" t="str">
        <f>HYPERLINK("https://scontent.cdninstagram.com/t51.2885-15/s320x320/e35/21433873_126936937951710_4697320815836790784_n.jpg")</f>
        <v>https://scontent.cdninstagram.com/t51.2885-15/s320x320/e35/21433873_126936937951710_4697320815836790784_n.jpg</v>
      </c>
      <c r="AE4939" s="249" t="str">
        <f>HYPERLINK("https://scontent.cdninstagram.com/t51.2885-19/s150x150/17125748_185556115279473_4200288925257826304_a.jpg")</f>
        <v>https://scontent.cdninstagram.com/t51.2885-19/s150x150/17125748_185556115279473_4200288925257826304_a.jpg</v>
      </c>
    </row>
    <row r="4940" spans="1:31" ht="15" x14ac:dyDescent="0.25">
      <c r="A4940" t="s">
        <v>2474</v>
      </c>
      <c r="B4940" t="s">
        <v>26236</v>
      </c>
      <c r="C4940" s="221">
        <v>42983.909224537034</v>
      </c>
      <c r="D4940" t="s">
        <v>26237</v>
      </c>
      <c r="E4940" s="249" t="str">
        <f>HYPERLINK("https://www.instagram.com/p/BYroT4gB77R/")</f>
        <v>https://www.instagram.com/p/BYroT4gB77R/</v>
      </c>
      <c r="F4940" t="s">
        <v>26238</v>
      </c>
      <c r="G4940" t="s">
        <v>2631</v>
      </c>
      <c r="H4940">
        <v>1503</v>
      </c>
      <c r="I4940" t="s">
        <v>2927</v>
      </c>
      <c r="J4940">
        <v>5</v>
      </c>
      <c r="K4940">
        <v>36</v>
      </c>
      <c r="L4940">
        <v>41</v>
      </c>
      <c r="Q4940">
        <v>0</v>
      </c>
      <c r="R4940">
        <v>0</v>
      </c>
      <c r="S4940">
        <v>41</v>
      </c>
      <c r="Y4940" t="s">
        <v>21818</v>
      </c>
      <c r="Z4940" t="s">
        <v>15145</v>
      </c>
      <c r="AA4940" t="s">
        <v>7064</v>
      </c>
      <c r="AB4940" t="s">
        <v>2753</v>
      </c>
      <c r="AC4940" t="s">
        <v>2497</v>
      </c>
      <c r="AD4940" s="249" t="str">
        <f>HYPERLINK("https://scontent.cdninstagram.com/t51.2885-15/e15/p320x320/21371908_464847057225413_4627648539260878848_n.jpg")</f>
        <v>https://scontent.cdninstagram.com/t51.2885-15/e15/p320x320/21371908_464847057225413_4627648539260878848_n.jpg</v>
      </c>
      <c r="AE4940" s="249" t="str">
        <f>HYPERLINK("https://scontent.cdninstagram.com/t51.2885-19/s150x150/18298851_1956550437908027_1711037098674356224_a.jpg")</f>
        <v>https://scontent.cdninstagram.com/t51.2885-19/s150x150/18298851_1956550437908027_1711037098674356224_a.jpg</v>
      </c>
    </row>
    <row r="4941" spans="1:31" ht="15" x14ac:dyDescent="0.25">
      <c r="A4941" t="s">
        <v>2474</v>
      </c>
      <c r="B4941" t="s">
        <v>4535</v>
      </c>
      <c r="C4941" s="221">
        <v>42983.915937500002</v>
      </c>
      <c r="D4941" t="s">
        <v>26239</v>
      </c>
      <c r="E4941" s="249" t="str">
        <f>HYPERLINK("https://www.instagram.com/p/BYrpaqNlPnE/")</f>
        <v>https://www.instagram.com/p/BYrpaqNlPnE/</v>
      </c>
      <c r="F4941" t="s">
        <v>26240</v>
      </c>
      <c r="G4941" t="s">
        <v>2478</v>
      </c>
      <c r="H4941">
        <v>186</v>
      </c>
      <c r="I4941" t="s">
        <v>2479</v>
      </c>
      <c r="J4941">
        <v>0</v>
      </c>
      <c r="K4941">
        <v>30</v>
      </c>
      <c r="L4941">
        <v>30</v>
      </c>
      <c r="Q4941">
        <v>0</v>
      </c>
      <c r="R4941">
        <v>0</v>
      </c>
      <c r="S4941">
        <v>30</v>
      </c>
      <c r="Y4941" t="s">
        <v>4538</v>
      </c>
      <c r="Z4941" t="s">
        <v>2497</v>
      </c>
      <c r="AA4941" t="s">
        <v>5605</v>
      </c>
      <c r="AB4941" t="s">
        <v>4540</v>
      </c>
      <c r="AC4941" t="s">
        <v>13436</v>
      </c>
      <c r="AD4941" s="249" t="str">
        <f>HYPERLINK("https://scontent.cdninstagram.com/t51.2885-15/s320x320/e35/21372142_115645585786501_1528697272894750720_n.jpg")</f>
        <v>https://scontent.cdninstagram.com/t51.2885-15/s320x320/e35/21372142_115645585786501_1528697272894750720_n.jpg</v>
      </c>
      <c r="AE4941" s="249" t="str">
        <f>HYPERLINK("https://scontent.cdninstagram.com/t51.2885-19/s150x150/20399028_1624608414236560_533007696291430400_a.jpg")</f>
        <v>https://scontent.cdninstagram.com/t51.2885-19/s150x150/20399028_1624608414236560_533007696291430400_a.jpg</v>
      </c>
    </row>
    <row r="4942" spans="1:31" ht="15" x14ac:dyDescent="0.25">
      <c r="A4942" t="s">
        <v>2474</v>
      </c>
      <c r="B4942" t="s">
        <v>7331</v>
      </c>
      <c r="C4942" s="221">
        <v>42983.918437499997</v>
      </c>
      <c r="D4942" t="s">
        <v>26241</v>
      </c>
      <c r="E4942" s="249" t="str">
        <f>HYPERLINK("https://www.instagram.com/p/BYrp1AxhmQD/")</f>
        <v>https://www.instagram.com/p/BYrp1AxhmQD/</v>
      </c>
      <c r="F4942" t="s">
        <v>26242</v>
      </c>
      <c r="G4942" t="s">
        <v>2478</v>
      </c>
      <c r="H4942">
        <v>172</v>
      </c>
      <c r="I4942" t="s">
        <v>2479</v>
      </c>
      <c r="J4942">
        <v>1</v>
      </c>
      <c r="K4942">
        <v>14</v>
      </c>
      <c r="L4942">
        <v>15</v>
      </c>
      <c r="Q4942">
        <v>0</v>
      </c>
      <c r="R4942">
        <v>0</v>
      </c>
      <c r="S4942">
        <v>15</v>
      </c>
      <c r="Y4942" t="s">
        <v>7336</v>
      </c>
      <c r="Z4942" t="s">
        <v>8760</v>
      </c>
      <c r="AA4942" t="s">
        <v>2497</v>
      </c>
      <c r="AB4942" t="s">
        <v>5787</v>
      </c>
      <c r="AC4942" t="s">
        <v>26243</v>
      </c>
      <c r="AD4942" s="249" t="str">
        <f>HYPERLINK("https://scontent.cdninstagram.com/t51.2885-15/e35/p320x320/21372322_231301904064329_5315718358962798592_n.jpg")</f>
        <v>https://scontent.cdninstagram.com/t51.2885-15/e35/p320x320/21372322_231301904064329_5315718358962798592_n.jpg</v>
      </c>
      <c r="AE4942" s="249" t="str">
        <f>HYPERLINK("https://scontent.cdninstagram.com/t51.2885-19/s150x150/14072933_996885903742757_479973575_a.jpg")</f>
        <v>https://scontent.cdninstagram.com/t51.2885-19/s150x150/14072933_996885903742757_479973575_a.jpg</v>
      </c>
    </row>
    <row r="4943" spans="1:31" ht="15" x14ac:dyDescent="0.25">
      <c r="A4943" t="s">
        <v>2474</v>
      </c>
      <c r="B4943" t="s">
        <v>26244</v>
      </c>
      <c r="C4943" s="221">
        <v>42983.931944444441</v>
      </c>
      <c r="D4943" t="s">
        <v>26245</v>
      </c>
      <c r="E4943" s="249" t="str">
        <f>HYPERLINK("https://www.instagram.com/p/BYrsDgIjWHA/")</f>
        <v>https://www.instagram.com/p/BYrsDgIjWHA/</v>
      </c>
      <c r="F4943" t="s">
        <v>26246</v>
      </c>
      <c r="G4943" t="s">
        <v>2478</v>
      </c>
      <c r="H4943">
        <v>55</v>
      </c>
      <c r="I4943" t="s">
        <v>2479</v>
      </c>
      <c r="J4943">
        <v>0</v>
      </c>
      <c r="K4943">
        <v>5</v>
      </c>
      <c r="L4943">
        <v>5</v>
      </c>
      <c r="Q4943">
        <v>0</v>
      </c>
      <c r="R4943">
        <v>0</v>
      </c>
      <c r="S4943">
        <v>5</v>
      </c>
      <c r="Y4943" t="s">
        <v>2497</v>
      </c>
      <c r="Z4943" t="s">
        <v>26247</v>
      </c>
      <c r="AA4943" t="s">
        <v>26248</v>
      </c>
      <c r="AB4943" t="s">
        <v>26249</v>
      </c>
      <c r="AD4943" s="249" t="str">
        <f>HYPERLINK("https://scontent.cdninstagram.com/t51.2885-15/s320x320/e35/21434194_1470075346407895_5981355955319734272_n.jpg")</f>
        <v>https://scontent.cdninstagram.com/t51.2885-15/s320x320/e35/21434194_1470075346407895_5981355955319734272_n.jpg</v>
      </c>
      <c r="AE4943" s="249" t="str">
        <f>HYPERLINK("https://scontent.cdninstagram.com/t51.2885-19/s150x150/18299356_617198345152528_3068480320236945408_a.jpg")</f>
        <v>https://scontent.cdninstagram.com/t51.2885-19/s150x150/18299356_617198345152528_3068480320236945408_a.jpg</v>
      </c>
    </row>
    <row r="4944" spans="1:31" ht="15" x14ac:dyDescent="0.25">
      <c r="A4944" t="s">
        <v>2474</v>
      </c>
      <c r="B4944" t="s">
        <v>26250</v>
      </c>
      <c r="C4944" s="221">
        <v>42983.934293981481</v>
      </c>
      <c r="D4944" t="s">
        <v>26251</v>
      </c>
      <c r="E4944" s="249" t="str">
        <f>HYPERLINK("https://www.instagram.com/p/BYrscRongVA/")</f>
        <v>https://www.instagram.com/p/BYrscRongVA/</v>
      </c>
      <c r="F4944" t="s">
        <v>26252</v>
      </c>
      <c r="G4944" t="s">
        <v>2478</v>
      </c>
      <c r="H4944">
        <v>218</v>
      </c>
      <c r="I4944" t="s">
        <v>2542</v>
      </c>
      <c r="J4944">
        <v>0</v>
      </c>
      <c r="K4944">
        <v>33</v>
      </c>
      <c r="L4944">
        <v>33</v>
      </c>
      <c r="Q4944">
        <v>0</v>
      </c>
      <c r="R4944">
        <v>0</v>
      </c>
      <c r="S4944">
        <v>33</v>
      </c>
      <c r="Y4944" t="s">
        <v>2497</v>
      </c>
      <c r="Z4944" t="s">
        <v>26253</v>
      </c>
      <c r="AA4944" t="s">
        <v>26254</v>
      </c>
      <c r="AB4944" t="s">
        <v>17653</v>
      </c>
      <c r="AC4944" t="s">
        <v>26255</v>
      </c>
      <c r="AD4944" s="249" t="str">
        <f>HYPERLINK("https://scontent.cdninstagram.com/t51.2885-15/e35/p320x320/21433493_260258667816861_1525504329782394880_n.jpg")</f>
        <v>https://scontent.cdninstagram.com/t51.2885-15/e35/p320x320/21433493_260258667816861_1525504329782394880_n.jpg</v>
      </c>
      <c r="AE4944" s="249" t="str">
        <f>HYPERLINK("https://scontent.cdninstagram.com/t51.2885-19/s150x150/13745111_238666913228032_7342606197238792192_a.jpg")</f>
        <v>https://scontent.cdninstagram.com/t51.2885-19/s150x150/13745111_238666913228032_7342606197238792192_a.jpg</v>
      </c>
    </row>
    <row r="4945" spans="1:31" ht="15" x14ac:dyDescent="0.25">
      <c r="A4945" t="s">
        <v>2474</v>
      </c>
      <c r="B4945" t="s">
        <v>26256</v>
      </c>
      <c r="C4945" s="221">
        <v>42983.943657407406</v>
      </c>
      <c r="D4945" t="s">
        <v>26257</v>
      </c>
      <c r="E4945" s="249" t="str">
        <f>HYPERLINK("https://www.instagram.com/p/BYrt_A4lcqu/")</f>
        <v>https://www.instagram.com/p/BYrt_A4lcqu/</v>
      </c>
      <c r="F4945" t="s">
        <v>26258</v>
      </c>
      <c r="G4945" t="s">
        <v>2478</v>
      </c>
      <c r="H4945">
        <v>353</v>
      </c>
      <c r="I4945" t="s">
        <v>2479</v>
      </c>
      <c r="J4945">
        <v>0</v>
      </c>
      <c r="K4945">
        <v>16</v>
      </c>
      <c r="L4945">
        <v>16</v>
      </c>
      <c r="Q4945">
        <v>0</v>
      </c>
      <c r="R4945">
        <v>0</v>
      </c>
      <c r="S4945">
        <v>16</v>
      </c>
      <c r="Y4945" t="s">
        <v>7830</v>
      </c>
      <c r="Z4945" t="s">
        <v>26259</v>
      </c>
      <c r="AA4945" t="s">
        <v>6760</v>
      </c>
      <c r="AB4945" t="s">
        <v>2497</v>
      </c>
      <c r="AC4945" t="s">
        <v>8786</v>
      </c>
      <c r="AD4945" s="249" t="str">
        <f>HYPERLINK("https://scontent.cdninstagram.com/t51.2885-15/s320x320/e35/21373465_498471457173646_5367071599293890560_n.jpg")</f>
        <v>https://scontent.cdninstagram.com/t51.2885-15/s320x320/e35/21373465_498471457173646_5367071599293890560_n.jpg</v>
      </c>
      <c r="AE4945" s="249" t="str">
        <f>HYPERLINK("https://scontent.cdninstagram.com/t51.2885-19/s150x150/21041137_112808602736803_5946636887102849024_a.jpg")</f>
        <v>https://scontent.cdninstagram.com/t51.2885-19/s150x150/21041137_112808602736803_5946636887102849024_a.jpg</v>
      </c>
    </row>
    <row r="4946" spans="1:31" ht="15" x14ac:dyDescent="0.25">
      <c r="A4946" t="s">
        <v>2474</v>
      </c>
      <c r="B4946" t="s">
        <v>4616</v>
      </c>
      <c r="C4946" s="221">
        <v>42983.945717592593</v>
      </c>
      <c r="D4946" t="s">
        <v>26260</v>
      </c>
      <c r="E4946" s="249" t="str">
        <f>HYPERLINK("https://www.instagram.com/p/BYruUyeh7Jx/")</f>
        <v>https://www.instagram.com/p/BYruUyeh7Jx/</v>
      </c>
      <c r="F4946" t="s">
        <v>26261</v>
      </c>
      <c r="G4946" t="s">
        <v>2478</v>
      </c>
      <c r="H4946">
        <v>115</v>
      </c>
      <c r="I4946" t="s">
        <v>2479</v>
      </c>
      <c r="J4946">
        <v>2</v>
      </c>
      <c r="K4946">
        <v>54</v>
      </c>
      <c r="L4946">
        <v>56</v>
      </c>
      <c r="Q4946">
        <v>0</v>
      </c>
      <c r="R4946">
        <v>0</v>
      </c>
      <c r="S4946">
        <v>56</v>
      </c>
      <c r="T4946" t="s">
        <v>5004</v>
      </c>
      <c r="W4946">
        <v>56</v>
      </c>
      <c r="X4946">
        <v>-109</v>
      </c>
      <c r="Y4946" t="s">
        <v>2866</v>
      </c>
      <c r="Z4946" t="s">
        <v>5005</v>
      </c>
      <c r="AA4946" t="s">
        <v>9938</v>
      </c>
      <c r="AB4946" t="s">
        <v>2673</v>
      </c>
      <c r="AC4946" t="s">
        <v>2497</v>
      </c>
      <c r="AD4946" s="249" t="str">
        <f>HYPERLINK("https://scontent.cdninstagram.com/t51.2885-15/e35/p320x320/21435639_260472784460848_6440789311347490816_n.jpg")</f>
        <v>https://scontent.cdninstagram.com/t51.2885-15/e35/p320x320/21435639_260472784460848_6440789311347490816_n.jpg</v>
      </c>
      <c r="AE4946" s="249" t="str">
        <f>HYPERLINK("https://scontent.cdninstagram.com/t51.2885-19/s150x150/17494353_1347957098574282_2527511313651859456_a.jpg")</f>
        <v>https://scontent.cdninstagram.com/t51.2885-19/s150x150/17494353_1347957098574282_2527511313651859456_a.jpg</v>
      </c>
    </row>
    <row r="4947" spans="1:31" ht="15" x14ac:dyDescent="0.25">
      <c r="A4947" t="s">
        <v>2474</v>
      </c>
      <c r="B4947" t="s">
        <v>26262</v>
      </c>
      <c r="C4947" s="221">
        <v>42983.951539351852</v>
      </c>
      <c r="D4947" t="s">
        <v>26263</v>
      </c>
      <c r="E4947" s="249" t="str">
        <f>HYPERLINK("https://www.instagram.com/p/BYrvSKuAgWc/")</f>
        <v>https://www.instagram.com/p/BYrvSKuAgWc/</v>
      </c>
      <c r="F4947" t="s">
        <v>26264</v>
      </c>
      <c r="G4947" t="s">
        <v>2478</v>
      </c>
      <c r="H4947">
        <v>3360</v>
      </c>
      <c r="I4947" t="s">
        <v>2479</v>
      </c>
      <c r="J4947">
        <v>1</v>
      </c>
      <c r="K4947">
        <v>72</v>
      </c>
      <c r="L4947">
        <v>73</v>
      </c>
      <c r="Q4947">
        <v>0</v>
      </c>
      <c r="R4947">
        <v>0</v>
      </c>
      <c r="S4947">
        <v>73</v>
      </c>
      <c r="Y4947" t="s">
        <v>8552</v>
      </c>
      <c r="Z4947" t="s">
        <v>2497</v>
      </c>
      <c r="AA4947" t="s">
        <v>11056</v>
      </c>
      <c r="AB4947" t="s">
        <v>16250</v>
      </c>
      <c r="AC4947" t="s">
        <v>26265</v>
      </c>
      <c r="AD4947" s="249" t="str">
        <f>HYPERLINK("https://scontent.cdninstagram.com/t51.2885-15/e35/p320x320/21372541_513635328986679_6036396742902022144_n.jpg")</f>
        <v>https://scontent.cdninstagram.com/t51.2885-15/e35/p320x320/21372541_513635328986679_6036396742902022144_n.jpg</v>
      </c>
      <c r="AE4947" s="249" t="str">
        <f>HYPERLINK("https://scontent.cdninstagram.com/t51.2885-19/s150x150/20478964_128761381072932_829723849783246848_a.jpg")</f>
        <v>https://scontent.cdninstagram.com/t51.2885-19/s150x150/20478964_128761381072932_829723849783246848_a.jpg</v>
      </c>
    </row>
    <row r="4948" spans="1:31" ht="15" x14ac:dyDescent="0.25">
      <c r="A4948" t="s">
        <v>2474</v>
      </c>
      <c r="B4948" t="s">
        <v>26266</v>
      </c>
      <c r="C4948" s="221">
        <v>42983.967210648145</v>
      </c>
      <c r="D4948" t="s">
        <v>26267</v>
      </c>
      <c r="E4948" s="249" t="str">
        <f>HYPERLINK("https://www.instagram.com/p/BYrx3YDABEQ/")</f>
        <v>https://www.instagram.com/p/BYrx3YDABEQ/</v>
      </c>
      <c r="F4948" t="s">
        <v>26268</v>
      </c>
      <c r="G4948" t="s">
        <v>2478</v>
      </c>
      <c r="H4948">
        <v>352</v>
      </c>
      <c r="I4948" t="s">
        <v>2510</v>
      </c>
      <c r="J4948">
        <v>2</v>
      </c>
      <c r="K4948">
        <v>39</v>
      </c>
      <c r="L4948">
        <v>41</v>
      </c>
      <c r="Q4948">
        <v>0</v>
      </c>
      <c r="R4948">
        <v>0</v>
      </c>
      <c r="S4948">
        <v>41</v>
      </c>
      <c r="Y4948" t="s">
        <v>26269</v>
      </c>
      <c r="Z4948" t="s">
        <v>5229</v>
      </c>
      <c r="AA4948" t="s">
        <v>2911</v>
      </c>
      <c r="AB4948" t="s">
        <v>2497</v>
      </c>
      <c r="AC4948" t="s">
        <v>5466</v>
      </c>
      <c r="AD4948" s="249" t="str">
        <f>HYPERLINK("https://scontent.cdninstagram.com/t51.2885-15/e35/p320x320/21433334_115344132485997_1826432158269440000_n.jpg")</f>
        <v>https://scontent.cdninstagram.com/t51.2885-15/e35/p320x320/21433334_115344132485997_1826432158269440000_n.jpg</v>
      </c>
      <c r="AE4948" s="249" t="str">
        <f>HYPERLINK("https://scontent.cdninstagram.com/t51.2885-19/s150x150/20398204_824998957659012_4425665208106614784_a.jpg")</f>
        <v>https://scontent.cdninstagram.com/t51.2885-19/s150x150/20398204_824998957659012_4425665208106614784_a.jpg</v>
      </c>
    </row>
    <row r="4949" spans="1:31" ht="15" x14ac:dyDescent="0.25">
      <c r="A4949" t="s">
        <v>2474</v>
      </c>
      <c r="B4949" t="s">
        <v>26270</v>
      </c>
      <c r="C4949" s="221">
        <v>42983.971597222226</v>
      </c>
      <c r="D4949" t="s">
        <v>26271</v>
      </c>
      <c r="E4949" s="249" t="str">
        <f>HYPERLINK("https://www.instagram.com/p/BYrylqGjmFj/")</f>
        <v>https://www.instagram.com/p/BYrylqGjmFj/</v>
      </c>
      <c r="F4949" t="s">
        <v>26272</v>
      </c>
      <c r="G4949" t="s">
        <v>2488</v>
      </c>
      <c r="H4949">
        <v>258</v>
      </c>
      <c r="I4949" t="s">
        <v>2479</v>
      </c>
      <c r="J4949">
        <v>6</v>
      </c>
      <c r="K4949">
        <v>19</v>
      </c>
      <c r="L4949">
        <v>25</v>
      </c>
      <c r="Q4949">
        <v>0</v>
      </c>
      <c r="R4949">
        <v>0</v>
      </c>
      <c r="S4949">
        <v>25</v>
      </c>
      <c r="Y4949" t="s">
        <v>14470</v>
      </c>
      <c r="Z4949" t="s">
        <v>3392</v>
      </c>
      <c r="AA4949" t="s">
        <v>3256</v>
      </c>
      <c r="AB4949" t="s">
        <v>26273</v>
      </c>
      <c r="AC4949" t="s">
        <v>11278</v>
      </c>
      <c r="AD4949" s="249" t="str">
        <f>HYPERLINK("https://scontent.cdninstagram.com/t51.2885-15/s320x320/e15/21371739_675891939268930_3838769901477036032_n.jpg")</f>
        <v>https://scontent.cdninstagram.com/t51.2885-15/s320x320/e15/21371739_675891939268930_3838769901477036032_n.jpg</v>
      </c>
      <c r="AE4949" s="249" t="str">
        <f>HYPERLINK("https://scontent.cdninstagram.com/t51.2885-19/s150x150/11374221_155804291434737_349904776_a.jpg")</f>
        <v>https://scontent.cdninstagram.com/t51.2885-19/s150x150/11374221_155804291434737_349904776_a.jpg</v>
      </c>
    </row>
    <row r="4950" spans="1:31" ht="15" x14ac:dyDescent="0.25">
      <c r="A4950" t="s">
        <v>2474</v>
      </c>
      <c r="B4950" t="s">
        <v>26274</v>
      </c>
      <c r="C4950" s="221">
        <v>42983.972384259258</v>
      </c>
      <c r="D4950" t="s">
        <v>26275</v>
      </c>
      <c r="E4950" s="249" t="str">
        <f>HYPERLINK("https://www.instagram.com/p/BYryuBbgVEG/")</f>
        <v>https://www.instagram.com/p/BYryuBbgVEG/</v>
      </c>
      <c r="F4950" t="s">
        <v>26276</v>
      </c>
      <c r="G4950" t="s">
        <v>2478</v>
      </c>
      <c r="H4950">
        <v>145</v>
      </c>
      <c r="I4950" t="s">
        <v>2542</v>
      </c>
      <c r="J4950">
        <v>0</v>
      </c>
      <c r="K4950">
        <v>10</v>
      </c>
      <c r="L4950">
        <v>10</v>
      </c>
      <c r="Q4950">
        <v>0</v>
      </c>
      <c r="R4950">
        <v>0</v>
      </c>
      <c r="S4950">
        <v>10</v>
      </c>
      <c r="Y4950" t="s">
        <v>2497</v>
      </c>
      <c r="Z4950" t="s">
        <v>26277</v>
      </c>
      <c r="AA4950" t="s">
        <v>8753</v>
      </c>
      <c r="AD4950" s="249" t="str">
        <f>HYPERLINK("https://scontent.cdninstagram.com/t51.2885-15/s320x320/e35/21373672_270825573423201_1195451099700527104_n.jpg")</f>
        <v>https://scontent.cdninstagram.com/t51.2885-15/s320x320/e35/21373672_270825573423201_1195451099700527104_n.jpg</v>
      </c>
      <c r="AE4950" s="249" t="str">
        <f>HYPERLINK("https://scontent.cdninstagram.com/t51.2885-19/s150x150/19425066_176396616231372_6912509224484339712_a.jpg")</f>
        <v>https://scontent.cdninstagram.com/t51.2885-19/s150x150/19425066_176396616231372_6912509224484339712_a.jpg</v>
      </c>
    </row>
    <row r="4951" spans="1:31" ht="15" x14ac:dyDescent="0.25">
      <c r="A4951" t="s">
        <v>2474</v>
      </c>
      <c r="B4951" t="s">
        <v>26278</v>
      </c>
      <c r="C4951" s="221">
        <v>42983.978356481479</v>
      </c>
      <c r="D4951" t="s">
        <v>26279</v>
      </c>
      <c r="E4951" s="249" t="str">
        <f>HYPERLINK("https://www.instagram.com/p/BYrztBajPg1/")</f>
        <v>https://www.instagram.com/p/BYrztBajPg1/</v>
      </c>
      <c r="F4951" t="s">
        <v>26280</v>
      </c>
      <c r="G4951" t="s">
        <v>2478</v>
      </c>
      <c r="H4951">
        <v>56</v>
      </c>
      <c r="I4951" t="s">
        <v>2479</v>
      </c>
      <c r="J4951">
        <v>1</v>
      </c>
      <c r="K4951">
        <v>14</v>
      </c>
      <c r="L4951">
        <v>15</v>
      </c>
      <c r="Q4951">
        <v>0</v>
      </c>
      <c r="R4951">
        <v>0</v>
      </c>
      <c r="S4951">
        <v>15</v>
      </c>
      <c r="Y4951" t="s">
        <v>26281</v>
      </c>
      <c r="Z4951" t="s">
        <v>26282</v>
      </c>
      <c r="AA4951" t="s">
        <v>26283</v>
      </c>
      <c r="AB4951" t="s">
        <v>2497</v>
      </c>
      <c r="AC4951" t="s">
        <v>9904</v>
      </c>
      <c r="AD4951" s="249" t="str">
        <f>HYPERLINK("https://scontent.cdninstagram.com/t51.2885-15/e35/p320x320/21373034_272191283283530_3548236666940424192_n.jpg")</f>
        <v>https://scontent.cdninstagram.com/t51.2885-15/e35/p320x320/21373034_272191283283530_3548236666940424192_n.jpg</v>
      </c>
      <c r="AE4951" s="249" t="str">
        <f>HYPERLINK("https://scontent.cdninstagram.com/t51.2885-19/s150x150/13737020_311764152489681_2139877733_a.jpg")</f>
        <v>https://scontent.cdninstagram.com/t51.2885-19/s150x150/13737020_311764152489681_2139877733_a.jpg</v>
      </c>
    </row>
    <row r="4952" spans="1:31" ht="15" x14ac:dyDescent="0.25">
      <c r="A4952" t="s">
        <v>2474</v>
      </c>
      <c r="B4952" t="s">
        <v>26284</v>
      </c>
      <c r="C4952" s="221">
        <v>42983.982152777775</v>
      </c>
      <c r="D4952" t="s">
        <v>26285</v>
      </c>
      <c r="E4952" s="249" t="str">
        <f>HYPERLINK("https://www.instagram.com/p/BYr0VBJD9UE/")</f>
        <v>https://www.instagram.com/p/BYr0VBJD9UE/</v>
      </c>
      <c r="F4952" t="s">
        <v>26286</v>
      </c>
      <c r="G4952" t="s">
        <v>2478</v>
      </c>
      <c r="H4952">
        <v>293</v>
      </c>
      <c r="I4952" t="s">
        <v>2479</v>
      </c>
      <c r="J4952">
        <v>22</v>
      </c>
      <c r="K4952">
        <v>115</v>
      </c>
      <c r="L4952">
        <v>137</v>
      </c>
      <c r="Q4952">
        <v>0</v>
      </c>
      <c r="R4952">
        <v>0</v>
      </c>
      <c r="S4952">
        <v>137</v>
      </c>
      <c r="Y4952" t="s">
        <v>3549</v>
      </c>
      <c r="Z4952" t="s">
        <v>10712</v>
      </c>
      <c r="AA4952" t="s">
        <v>2497</v>
      </c>
      <c r="AB4952" t="s">
        <v>3197</v>
      </c>
      <c r="AC4952" t="s">
        <v>12973</v>
      </c>
      <c r="AD4952" s="249" t="str">
        <f>HYPERLINK("https://scontent.cdninstagram.com/t51.2885-15/e35/p320x320/21372418_250527818803573_6859935457526939648_n.jpg")</f>
        <v>https://scontent.cdninstagram.com/t51.2885-15/e35/p320x320/21372418_250527818803573_6859935457526939648_n.jpg</v>
      </c>
      <c r="AE4952" s="249" t="str">
        <f>HYPERLINK("https://scontent.cdninstagram.com/t51.2885-19/s150x150/21149626_340293969731435_3276464081480974336_a.jpg")</f>
        <v>https://scontent.cdninstagram.com/t51.2885-19/s150x150/21149626_340293969731435_3276464081480974336_a.jpg</v>
      </c>
    </row>
    <row r="4953" spans="1:31" ht="15" x14ac:dyDescent="0.25">
      <c r="A4953" t="s">
        <v>2474</v>
      </c>
      <c r="B4953" t="s">
        <v>26287</v>
      </c>
      <c r="C4953" s="221">
        <v>42983.99695601852</v>
      </c>
      <c r="D4953" t="s">
        <v>26288</v>
      </c>
      <c r="E4953" s="249" t="str">
        <f>HYPERLINK("https://www.instagram.com/p/BYr2xI6hcR9/")</f>
        <v>https://www.instagram.com/p/BYr2xI6hcR9/</v>
      </c>
      <c r="F4953" t="s">
        <v>26289</v>
      </c>
      <c r="G4953" t="s">
        <v>2478</v>
      </c>
      <c r="H4953">
        <v>95</v>
      </c>
      <c r="I4953" t="s">
        <v>2479</v>
      </c>
      <c r="J4953">
        <v>2</v>
      </c>
      <c r="K4953">
        <v>27</v>
      </c>
      <c r="L4953">
        <v>29</v>
      </c>
      <c r="Q4953">
        <v>0</v>
      </c>
      <c r="R4953">
        <v>0</v>
      </c>
      <c r="S4953">
        <v>29</v>
      </c>
      <c r="T4953" t="s">
        <v>26290</v>
      </c>
      <c r="V4953" t="s">
        <v>2103</v>
      </c>
      <c r="W4953">
        <v>48.033299999999997</v>
      </c>
      <c r="X4953">
        <v>16.3</v>
      </c>
      <c r="Y4953" t="s">
        <v>26291</v>
      </c>
      <c r="Z4953" t="s">
        <v>2660</v>
      </c>
      <c r="AA4953" t="s">
        <v>26292</v>
      </c>
      <c r="AB4953" t="s">
        <v>26293</v>
      </c>
      <c r="AC4953" t="s">
        <v>2497</v>
      </c>
      <c r="AD4953" s="249" t="str">
        <f>HYPERLINK("https://scontent.cdninstagram.com/t51.2885-15/s320x320/e35/21434134_514070902265358_2053854125451378688_n.jpg")</f>
        <v>https://scontent.cdninstagram.com/t51.2885-15/s320x320/e35/21434134_514070902265358_2053854125451378688_n.jpg</v>
      </c>
      <c r="AE4953" s="249" t="str">
        <f>HYPERLINK("https://scontent.cdninstagram.com/t51.2885-19/s150x150/21372562_461236790928906_8346001138444664832_a.jpg")</f>
        <v>https://scontent.cdninstagram.com/t51.2885-19/s150x150/21372562_461236790928906_8346001138444664832_a.jpg</v>
      </c>
    </row>
    <row r="4954" spans="1:31" ht="15" x14ac:dyDescent="0.25">
      <c r="A4954" t="s">
        <v>2474</v>
      </c>
      <c r="B4954" t="s">
        <v>26294</v>
      </c>
      <c r="C4954" s="221">
        <v>42983.998819444445</v>
      </c>
      <c r="D4954" t="s">
        <v>26295</v>
      </c>
      <c r="E4954" s="249" t="str">
        <f>HYPERLINK("https://www.instagram.com/p/BYr3E0Kj6ka/")</f>
        <v>https://www.instagram.com/p/BYr3E0Kj6ka/</v>
      </c>
      <c r="F4954" t="s">
        <v>26296</v>
      </c>
      <c r="G4954" t="s">
        <v>2478</v>
      </c>
      <c r="H4954">
        <v>306</v>
      </c>
      <c r="I4954" t="s">
        <v>2479</v>
      </c>
      <c r="J4954">
        <v>0</v>
      </c>
      <c r="K4954">
        <v>43</v>
      </c>
      <c r="L4954">
        <v>43</v>
      </c>
      <c r="Q4954">
        <v>0</v>
      </c>
      <c r="R4954">
        <v>0</v>
      </c>
      <c r="S4954">
        <v>43</v>
      </c>
      <c r="Y4954" t="s">
        <v>26297</v>
      </c>
      <c r="Z4954" t="s">
        <v>2651</v>
      </c>
      <c r="AA4954" t="s">
        <v>2497</v>
      </c>
      <c r="AB4954" t="s">
        <v>26298</v>
      </c>
      <c r="AC4954" t="s">
        <v>4295</v>
      </c>
      <c r="AD4954" s="249" t="str">
        <f>HYPERLINK("https://scontent.cdninstagram.com/t51.2885-15/s320x320/e35/21373036_122199225176892_3152266306024112128_n.jpg")</f>
        <v>https://scontent.cdninstagram.com/t51.2885-15/s320x320/e35/21373036_122199225176892_3152266306024112128_n.jpg</v>
      </c>
      <c r="AE4954" s="249" t="str">
        <f>HYPERLINK("https://scontent.cdninstagram.com/t51.2885-19/s150x150/15875874_1222465561207856_7667612368301457408_a.jpg")</f>
        <v>https://scontent.cdninstagram.com/t51.2885-19/s150x150/15875874_1222465561207856_7667612368301457408_a.jpg</v>
      </c>
    </row>
    <row r="4955" spans="1:31" ht="15" x14ac:dyDescent="0.25">
      <c r="A4955" t="s">
        <v>2474</v>
      </c>
      <c r="B4955" t="s">
        <v>26299</v>
      </c>
      <c r="C4955" s="221">
        <v>42984.00304398148</v>
      </c>
      <c r="D4955" t="s">
        <v>26300</v>
      </c>
      <c r="E4955" s="249" t="str">
        <f>HYPERLINK("https://www.instagram.com/p/BYr3xXDl_54/")</f>
        <v>https://www.instagram.com/p/BYr3xXDl_54/</v>
      </c>
      <c r="F4955" t="s">
        <v>26301</v>
      </c>
      <c r="G4955" t="s">
        <v>2631</v>
      </c>
      <c r="H4955">
        <v>161</v>
      </c>
      <c r="I4955" t="s">
        <v>3575</v>
      </c>
      <c r="J4955">
        <v>0</v>
      </c>
      <c r="K4955">
        <v>46</v>
      </c>
      <c r="L4955">
        <v>46</v>
      </c>
      <c r="Q4955">
        <v>0</v>
      </c>
      <c r="R4955">
        <v>0</v>
      </c>
      <c r="S4955">
        <v>46</v>
      </c>
      <c r="T4955" t="s">
        <v>26302</v>
      </c>
      <c r="U4955" t="s">
        <v>156</v>
      </c>
      <c r="V4955" t="s">
        <v>2299</v>
      </c>
      <c r="W4955">
        <v>38.555599999999998</v>
      </c>
      <c r="X4955">
        <v>-121.46899999999999</v>
      </c>
      <c r="Y4955" t="s">
        <v>26303</v>
      </c>
      <c r="Z4955" t="s">
        <v>25011</v>
      </c>
      <c r="AA4955" t="s">
        <v>3849</v>
      </c>
      <c r="AB4955" t="s">
        <v>2497</v>
      </c>
      <c r="AC4955" t="s">
        <v>3225</v>
      </c>
      <c r="AD4955" s="249" t="str">
        <f>HYPERLINK("https://scontent.cdninstagram.com/t51.2885-15/s320x320/e15/21433716_115154192494515_6691481441403928576_n.jpg")</f>
        <v>https://scontent.cdninstagram.com/t51.2885-15/s320x320/e15/21433716_115154192494515_6691481441403928576_n.jpg</v>
      </c>
      <c r="AE4955" s="249" t="str">
        <f>HYPERLINK("https://scontent.cdninstagram.com/t51.2885-19/s150x150/18162219_170886773437926_313969097249390592_a.jpg")</f>
        <v>https://scontent.cdninstagram.com/t51.2885-19/s150x150/18162219_170886773437926_313969097249390592_a.jpg</v>
      </c>
    </row>
    <row r="4956" spans="1:31" ht="15" x14ac:dyDescent="0.25">
      <c r="A4956" t="s">
        <v>2474</v>
      </c>
      <c r="B4956" t="s">
        <v>26304</v>
      </c>
      <c r="C4956" s="221">
        <v>42984.009189814817</v>
      </c>
      <c r="D4956" t="s">
        <v>26305</v>
      </c>
      <c r="E4956" s="249" t="str">
        <f>HYPERLINK("https://www.instagram.com/p/BYr4yJmlaao/")</f>
        <v>https://www.instagram.com/p/BYr4yJmlaao/</v>
      </c>
      <c r="F4956" t="s">
        <v>26306</v>
      </c>
      <c r="G4956" t="s">
        <v>2478</v>
      </c>
      <c r="H4956">
        <v>369</v>
      </c>
      <c r="I4956" t="s">
        <v>2479</v>
      </c>
      <c r="J4956">
        <v>3</v>
      </c>
      <c r="K4956">
        <v>36</v>
      </c>
      <c r="L4956">
        <v>39</v>
      </c>
      <c r="Q4956">
        <v>0</v>
      </c>
      <c r="R4956">
        <v>0</v>
      </c>
      <c r="S4956">
        <v>39</v>
      </c>
      <c r="Y4956" t="s">
        <v>4325</v>
      </c>
      <c r="Z4956" t="s">
        <v>26307</v>
      </c>
      <c r="AA4956" t="s">
        <v>26308</v>
      </c>
      <c r="AB4956" t="s">
        <v>2911</v>
      </c>
      <c r="AC4956" t="s">
        <v>2497</v>
      </c>
      <c r="AD4956" s="249" t="str">
        <f>HYPERLINK("https://scontent.cdninstagram.com/t51.2885-15/s320x320/e35/21434121_161827274371360_3107000043668766720_n.jpg")</f>
        <v>https://scontent.cdninstagram.com/t51.2885-15/s320x320/e35/21434121_161827274371360_3107000043668766720_n.jpg</v>
      </c>
      <c r="AE4956" s="249" t="str">
        <f>HYPERLINK("https://scontent.cdninstagram.com/t51.2885-19/s150x150/13355393_1695551017371908_842104264_a.jpg")</f>
        <v>https://scontent.cdninstagram.com/t51.2885-19/s150x150/13355393_1695551017371908_842104264_a.jpg</v>
      </c>
    </row>
    <row r="4957" spans="1:31" ht="15" x14ac:dyDescent="0.25">
      <c r="A4957" t="s">
        <v>2474</v>
      </c>
      <c r="B4957" t="s">
        <v>15159</v>
      </c>
      <c r="C4957" s="221">
        <v>42984.010567129626</v>
      </c>
      <c r="D4957" t="s">
        <v>26309</v>
      </c>
      <c r="E4957" s="249" t="str">
        <f>HYPERLINK("https://www.instagram.com/p/BYr5AtcBN2r/")</f>
        <v>https://www.instagram.com/p/BYr5AtcBN2r/</v>
      </c>
      <c r="F4957" t="s">
        <v>26310</v>
      </c>
      <c r="G4957" t="s">
        <v>2478</v>
      </c>
      <c r="H4957">
        <v>1970</v>
      </c>
      <c r="I4957" t="s">
        <v>2479</v>
      </c>
      <c r="J4957">
        <v>0</v>
      </c>
      <c r="K4957">
        <v>8</v>
      </c>
      <c r="L4957">
        <v>8</v>
      </c>
      <c r="Q4957">
        <v>0</v>
      </c>
      <c r="R4957">
        <v>0</v>
      </c>
      <c r="S4957">
        <v>8</v>
      </c>
      <c r="Y4957" t="s">
        <v>2696</v>
      </c>
      <c r="Z4957" t="s">
        <v>9740</v>
      </c>
      <c r="AA4957" t="s">
        <v>3849</v>
      </c>
      <c r="AB4957" t="s">
        <v>6550</v>
      </c>
      <c r="AC4957" t="s">
        <v>2734</v>
      </c>
      <c r="AD4957" s="249" t="str">
        <f>HYPERLINK("https://scontent.cdninstagram.com/t51.2885-15/s320x320/e35/21479763_2388236274733980_7305705934175600640_n.jpg")</f>
        <v>https://scontent.cdninstagram.com/t51.2885-15/s320x320/e35/21479763_2388236274733980_7305705934175600640_n.jpg</v>
      </c>
      <c r="AE4957" s="249" t="str">
        <f>HYPERLINK("https://scontent.cdninstagram.com/t51.2885-19/s150x150/19533785_1741677726126780_8398988759860772864_a.jpg")</f>
        <v>https://scontent.cdninstagram.com/t51.2885-19/s150x150/19533785_1741677726126780_8398988759860772864_a.jpg</v>
      </c>
    </row>
    <row r="4958" spans="1:31" ht="15" x14ac:dyDescent="0.25">
      <c r="A4958" t="s">
        <v>2474</v>
      </c>
      <c r="B4958" t="s">
        <v>26311</v>
      </c>
      <c r="C4958" s="221">
        <v>42984.018043981479</v>
      </c>
      <c r="D4958" t="s">
        <v>26312</v>
      </c>
      <c r="E4958" s="249" t="str">
        <f>HYPERLINK("https://www.instagram.com/p/BYr6PgoAhpt/")</f>
        <v>https://www.instagram.com/p/BYr6PgoAhpt/</v>
      </c>
      <c r="F4958" t="s">
        <v>26313</v>
      </c>
      <c r="G4958" t="s">
        <v>2478</v>
      </c>
      <c r="H4958">
        <v>615</v>
      </c>
      <c r="I4958" t="s">
        <v>2479</v>
      </c>
      <c r="J4958">
        <v>0</v>
      </c>
      <c r="K4958">
        <v>53</v>
      </c>
      <c r="L4958">
        <v>53</v>
      </c>
      <c r="Q4958">
        <v>0</v>
      </c>
      <c r="R4958">
        <v>0</v>
      </c>
      <c r="S4958">
        <v>53</v>
      </c>
      <c r="Y4958" t="s">
        <v>11893</v>
      </c>
      <c r="Z4958" t="s">
        <v>2497</v>
      </c>
      <c r="AA4958" t="s">
        <v>2734</v>
      </c>
      <c r="AB4958" t="s">
        <v>26314</v>
      </c>
      <c r="AC4958" t="s">
        <v>26315</v>
      </c>
      <c r="AD4958" s="249" t="str">
        <f>HYPERLINK("https://scontent.cdninstagram.com/t51.2885-15/s320x320/e35/21372536_490985364596681_7402932083812728832_n.jpg")</f>
        <v>https://scontent.cdninstagram.com/t51.2885-15/s320x320/e35/21372536_490985364596681_7402932083812728832_n.jpg</v>
      </c>
      <c r="AE4958" s="249" t="str">
        <f>HYPERLINK("https://scontent.cdninstagram.com/t51.2885-19/s150x150/17126091_778686615619252_5352013542738362368_a.jpg")</f>
        <v>https://scontent.cdninstagram.com/t51.2885-19/s150x150/17126091_778686615619252_5352013542738362368_a.jpg</v>
      </c>
    </row>
    <row r="4959" spans="1:31" ht="15" x14ac:dyDescent="0.25">
      <c r="A4959" t="s">
        <v>2474</v>
      </c>
      <c r="B4959" t="s">
        <v>26316</v>
      </c>
      <c r="C4959" s="221">
        <v>42984.03565972222</v>
      </c>
      <c r="D4959" t="s">
        <v>26317</v>
      </c>
      <c r="E4959" s="249" t="str">
        <f>HYPERLINK("https://www.instagram.com/p/BYr9JVsFa_S/")</f>
        <v>https://www.instagram.com/p/BYr9JVsFa_S/</v>
      </c>
      <c r="F4959" t="s">
        <v>26318</v>
      </c>
      <c r="G4959" t="s">
        <v>2478</v>
      </c>
      <c r="H4959">
        <v>464</v>
      </c>
      <c r="I4959" t="s">
        <v>2479</v>
      </c>
      <c r="J4959">
        <v>1</v>
      </c>
      <c r="K4959">
        <v>35</v>
      </c>
      <c r="L4959">
        <v>36</v>
      </c>
      <c r="Q4959">
        <v>0</v>
      </c>
      <c r="R4959">
        <v>0</v>
      </c>
      <c r="S4959">
        <v>36</v>
      </c>
      <c r="Y4959" t="s">
        <v>2615</v>
      </c>
      <c r="Z4959" t="s">
        <v>26319</v>
      </c>
      <c r="AA4959" t="s">
        <v>4733</v>
      </c>
      <c r="AB4959" t="s">
        <v>26320</v>
      </c>
      <c r="AC4959" t="s">
        <v>2497</v>
      </c>
      <c r="AD4959" s="249" t="str">
        <f>HYPERLINK("https://scontent.cdninstagram.com/t51.2885-15/s320x320/e35/21373683_2065035770394491_2573888228780146688_n.jpg")</f>
        <v>https://scontent.cdninstagram.com/t51.2885-15/s320x320/e35/21373683_2065035770394491_2573888228780146688_n.jpg</v>
      </c>
      <c r="AE4959" s="249" t="str">
        <f>HYPERLINK("https://scontent.cdninstagram.com/t51.2885-19/s150x150/15276543_270298466718149_6787440356645404672_a.jpg")</f>
        <v>https://scontent.cdninstagram.com/t51.2885-19/s150x150/15276543_270298466718149_6787440356645404672_a.jpg</v>
      </c>
    </row>
    <row r="4960" spans="1:31" ht="15" x14ac:dyDescent="0.25">
      <c r="A4960" t="s">
        <v>2474</v>
      </c>
      <c r="B4960" t="s">
        <v>26321</v>
      </c>
      <c r="C4960" s="221">
        <v>42984.047083333331</v>
      </c>
      <c r="D4960" t="s">
        <v>26322</v>
      </c>
      <c r="E4960" s="249" t="str">
        <f>HYPERLINK("https://www.instagram.com/p/BYr_B3XFYba/")</f>
        <v>https://www.instagram.com/p/BYr_B3XFYba/</v>
      </c>
      <c r="F4960" t="s">
        <v>26323</v>
      </c>
      <c r="G4960" t="s">
        <v>2478</v>
      </c>
      <c r="H4960">
        <v>446</v>
      </c>
      <c r="I4960" t="s">
        <v>2479</v>
      </c>
      <c r="J4960">
        <v>0</v>
      </c>
      <c r="K4960">
        <v>19</v>
      </c>
      <c r="L4960">
        <v>19</v>
      </c>
      <c r="Q4960">
        <v>0</v>
      </c>
      <c r="R4960">
        <v>0</v>
      </c>
      <c r="S4960">
        <v>19</v>
      </c>
      <c r="T4960" t="s">
        <v>26324</v>
      </c>
      <c r="V4960" t="s">
        <v>2125</v>
      </c>
      <c r="W4960">
        <v>51.238160000423001</v>
      </c>
      <c r="X4960">
        <v>-115.85332649544</v>
      </c>
      <c r="Y4960" t="s">
        <v>2497</v>
      </c>
      <c r="Z4960" t="s">
        <v>3803</v>
      </c>
      <c r="AA4960" t="s">
        <v>26325</v>
      </c>
      <c r="AD4960" s="249" t="str">
        <f>HYPERLINK("https://scontent.cdninstagram.com/t51.2885-15/s320x320/e35/21372295_171250830090545_5193447417504071680_n.jpg")</f>
        <v>https://scontent.cdninstagram.com/t51.2885-15/s320x320/e35/21372295_171250830090545_5193447417504071680_n.jpg</v>
      </c>
      <c r="AE4960" s="249" t="str">
        <f>HYPERLINK("https://scontent.cdninstagram.com/t51.2885-19/s150x150/14474337_1261862163872648_252154978737586176_a.jpg")</f>
        <v>https://scontent.cdninstagram.com/t51.2885-19/s150x150/14474337_1261862163872648_252154978737586176_a.jpg</v>
      </c>
    </row>
    <row r="4961" spans="1:31" ht="15" x14ac:dyDescent="0.25">
      <c r="A4961" t="s">
        <v>2474</v>
      </c>
      <c r="B4961" t="s">
        <v>2516</v>
      </c>
      <c r="C4961" s="221">
        <v>42984.050416666665</v>
      </c>
      <c r="D4961" t="s">
        <v>26326</v>
      </c>
      <c r="E4961" s="249" t="str">
        <f>HYPERLINK("https://www.instagram.com/p/BYr_k_ODHY9/")</f>
        <v>https://www.instagram.com/p/BYr_k_ODHY9/</v>
      </c>
      <c r="F4961" t="s">
        <v>26327</v>
      </c>
      <c r="G4961" t="s">
        <v>2478</v>
      </c>
      <c r="H4961">
        <v>692</v>
      </c>
      <c r="I4961" t="s">
        <v>2542</v>
      </c>
      <c r="J4961">
        <v>0</v>
      </c>
      <c r="K4961">
        <v>33</v>
      </c>
      <c r="L4961">
        <v>33</v>
      </c>
      <c r="Q4961">
        <v>0</v>
      </c>
      <c r="R4961">
        <v>0</v>
      </c>
      <c r="S4961">
        <v>33</v>
      </c>
      <c r="Y4961" t="s">
        <v>5838</v>
      </c>
      <c r="Z4961" t="s">
        <v>7456</v>
      </c>
      <c r="AA4961" t="s">
        <v>2689</v>
      </c>
      <c r="AB4961" t="s">
        <v>6719</v>
      </c>
      <c r="AC4961" t="s">
        <v>10712</v>
      </c>
      <c r="AD4961" s="249" t="str">
        <f>HYPERLINK("https://scontent.cdninstagram.com/t51.2885-15/e35/p320x320/21372502_346668345773731_6251807919940042752_n.jpg")</f>
        <v>https://scontent.cdninstagram.com/t51.2885-15/e35/p320x320/21372502_346668345773731_6251807919940042752_n.jpg</v>
      </c>
      <c r="AE4961" s="249" t="str">
        <f>HYPERLINK("https://scontent.cdninstagram.com/t51.2885-19/s150x150/21372563_140209839921980_5104164354614362112_a.jpg")</f>
        <v>https://scontent.cdninstagram.com/t51.2885-19/s150x150/21372563_140209839921980_5104164354614362112_a.jpg</v>
      </c>
    </row>
    <row r="4962" spans="1:31" ht="15" x14ac:dyDescent="0.25">
      <c r="A4962" t="s">
        <v>2474</v>
      </c>
      <c r="B4962" t="s">
        <v>3471</v>
      </c>
      <c r="C4962" s="221">
        <v>42984.056840277779</v>
      </c>
      <c r="D4962" t="s">
        <v>26328</v>
      </c>
      <c r="E4962" s="249" t="str">
        <f>HYPERLINK("https://www.instagram.com/p/BYsAosqnlXe/")</f>
        <v>https://www.instagram.com/p/BYsAosqnlXe/</v>
      </c>
      <c r="F4962" t="s">
        <v>26329</v>
      </c>
      <c r="G4962" t="s">
        <v>2478</v>
      </c>
      <c r="H4962">
        <v>190</v>
      </c>
      <c r="I4962" t="s">
        <v>2479</v>
      </c>
      <c r="J4962">
        <v>1</v>
      </c>
      <c r="K4962">
        <v>10</v>
      </c>
      <c r="L4962">
        <v>11</v>
      </c>
      <c r="Q4962">
        <v>0</v>
      </c>
      <c r="R4962">
        <v>0</v>
      </c>
      <c r="S4962">
        <v>11</v>
      </c>
      <c r="T4962" t="s">
        <v>3474</v>
      </c>
      <c r="V4962" t="s">
        <v>2258</v>
      </c>
      <c r="W4962">
        <v>1.2930600000000001</v>
      </c>
      <c r="X4962">
        <v>103.85599999999999</v>
      </c>
      <c r="Y4962" t="s">
        <v>5843</v>
      </c>
      <c r="Z4962" t="s">
        <v>9907</v>
      </c>
      <c r="AA4962" t="s">
        <v>3475</v>
      </c>
      <c r="AB4962" t="s">
        <v>6774</v>
      </c>
      <c r="AC4962" t="s">
        <v>2497</v>
      </c>
      <c r="AD4962" s="249" t="str">
        <f>HYPERLINK("https://scontent.cdninstagram.com/t51.2885-15/s320x320/e35/21373327_367524790331280_6695927205001691136_n.jpg")</f>
        <v>https://scontent.cdninstagram.com/t51.2885-15/s320x320/e35/21373327_367524790331280_6695927205001691136_n.jpg</v>
      </c>
      <c r="AE4962" s="249" t="str">
        <f>HYPERLINK("https://scontent.cdninstagram.com/t51.2885-19/s150x150/19986209_741127056067001_1270489010199855104_a.jpg")</f>
        <v>https://scontent.cdninstagram.com/t51.2885-19/s150x150/19986209_741127056067001_1270489010199855104_a.jpg</v>
      </c>
    </row>
    <row r="4963" spans="1:31" ht="15" x14ac:dyDescent="0.25">
      <c r="A4963" t="s">
        <v>2474</v>
      </c>
      <c r="B4963" t="s">
        <v>24115</v>
      </c>
      <c r="C4963" s="221">
        <v>42984.064247685186</v>
      </c>
      <c r="D4963" t="s">
        <v>26330</v>
      </c>
      <c r="E4963" s="249" t="str">
        <f>HYPERLINK("https://www.instagram.com/p/BYsB22Al-JQ/")</f>
        <v>https://www.instagram.com/p/BYsB22Al-JQ/</v>
      </c>
      <c r="F4963" t="s">
        <v>26331</v>
      </c>
      <c r="G4963" t="s">
        <v>2478</v>
      </c>
      <c r="H4963">
        <v>29</v>
      </c>
      <c r="I4963" t="s">
        <v>2479</v>
      </c>
      <c r="J4963">
        <v>0</v>
      </c>
      <c r="K4963">
        <v>22</v>
      </c>
      <c r="L4963">
        <v>22</v>
      </c>
      <c r="Q4963">
        <v>0</v>
      </c>
      <c r="R4963">
        <v>0</v>
      </c>
      <c r="S4963">
        <v>22</v>
      </c>
      <c r="Y4963" t="s">
        <v>3445</v>
      </c>
      <c r="Z4963" t="s">
        <v>2497</v>
      </c>
      <c r="AA4963" t="s">
        <v>26332</v>
      </c>
      <c r="AB4963" t="s">
        <v>4808</v>
      </c>
      <c r="AC4963" t="s">
        <v>26333</v>
      </c>
      <c r="AD4963" s="249" t="str">
        <f>HYPERLINK("https://scontent.cdninstagram.com/t51.2885-15/s320x320/e35/21372862_1393002550747113_3817402907330871296_n.jpg")</f>
        <v>https://scontent.cdninstagram.com/t51.2885-15/s320x320/e35/21372862_1393002550747113_3817402907330871296_n.jpg</v>
      </c>
      <c r="AE4963" s="249" t="str">
        <f>HYPERLINK("https://scontent.cdninstagram.com/t51.2885-19/s150x150/21294493_290607668083257_5212774340839342080_a.jpg")</f>
        <v>https://scontent.cdninstagram.com/t51.2885-19/s150x150/21294493_290607668083257_5212774340839342080_a.jpg</v>
      </c>
    </row>
    <row r="4964" spans="1:31" ht="15" x14ac:dyDescent="0.25">
      <c r="A4964" t="s">
        <v>2474</v>
      </c>
      <c r="B4964" t="s">
        <v>21261</v>
      </c>
      <c r="C4964" s="221">
        <v>42984.078715277778</v>
      </c>
      <c r="D4964" t="s">
        <v>26334</v>
      </c>
      <c r="E4964" s="249" t="str">
        <f>HYPERLINK("https://www.instagram.com/p/BYsEPekhp3S/")</f>
        <v>https://www.instagram.com/p/BYsEPekhp3S/</v>
      </c>
      <c r="F4964" t="s">
        <v>26335</v>
      </c>
      <c r="G4964" t="s">
        <v>2478</v>
      </c>
      <c r="H4964">
        <v>190</v>
      </c>
      <c r="I4964" t="s">
        <v>2479</v>
      </c>
      <c r="J4964">
        <v>0</v>
      </c>
      <c r="K4964">
        <v>9</v>
      </c>
      <c r="L4964">
        <v>9</v>
      </c>
      <c r="Q4964">
        <v>0</v>
      </c>
      <c r="R4964">
        <v>0</v>
      </c>
      <c r="S4964">
        <v>9</v>
      </c>
      <c r="Y4964" t="s">
        <v>18526</v>
      </c>
      <c r="Z4964" t="s">
        <v>3849</v>
      </c>
      <c r="AA4964" t="s">
        <v>2497</v>
      </c>
      <c r="AB4964" t="s">
        <v>26336</v>
      </c>
      <c r="AC4964" t="s">
        <v>2511</v>
      </c>
      <c r="AD4964" s="249" t="str">
        <f>HYPERLINK("https://scontent.cdninstagram.com/t51.2885-15/s320x320/e35/21435343_135422433740787_4250113539483631616_n.jpg")</f>
        <v>https://scontent.cdninstagram.com/t51.2885-15/s320x320/e35/21435343_135422433740787_4250113539483631616_n.jpg</v>
      </c>
      <c r="AE4964" s="249" t="str">
        <f>HYPERLINK("https://scontent.cdninstagram.com/t51.2885-19/s150x150/12677273_187654811593127_1018140563_a.jpg")</f>
        <v>https://scontent.cdninstagram.com/t51.2885-19/s150x150/12677273_187654811593127_1018140563_a.jpg</v>
      </c>
    </row>
    <row r="4965" spans="1:31" ht="15" x14ac:dyDescent="0.25">
      <c r="A4965" t="s">
        <v>2474</v>
      </c>
      <c r="B4965" t="s">
        <v>26337</v>
      </c>
      <c r="C4965" s="221">
        <v>42984.079583333332</v>
      </c>
      <c r="D4965" t="s">
        <v>26338</v>
      </c>
      <c r="E4965" s="249" t="str">
        <f>HYPERLINK("https://www.instagram.com/p/BYsEYlAgkdy/")</f>
        <v>https://www.instagram.com/p/BYsEYlAgkdy/</v>
      </c>
      <c r="F4965" t="s">
        <v>26339</v>
      </c>
      <c r="G4965" t="s">
        <v>2488</v>
      </c>
      <c r="H4965">
        <v>306</v>
      </c>
      <c r="I4965" t="s">
        <v>2479</v>
      </c>
      <c r="J4965">
        <v>0</v>
      </c>
      <c r="K4965">
        <v>16</v>
      </c>
      <c r="L4965">
        <v>16</v>
      </c>
      <c r="Q4965">
        <v>0</v>
      </c>
      <c r="R4965">
        <v>0</v>
      </c>
      <c r="S4965">
        <v>16</v>
      </c>
      <c r="Y4965" t="s">
        <v>26340</v>
      </c>
      <c r="Z4965" t="s">
        <v>15029</v>
      </c>
      <c r="AA4965" t="s">
        <v>2497</v>
      </c>
      <c r="AB4965" t="s">
        <v>26341</v>
      </c>
      <c r="AC4965" t="s">
        <v>26342</v>
      </c>
      <c r="AD4965" s="249" t="str">
        <f>HYPERLINK("https://scontent.cdninstagram.com/t51.2885-15/s320x320/e35/21373367_116183755702651_1998741070749368320_n.jpg")</f>
        <v>https://scontent.cdninstagram.com/t51.2885-15/s320x320/e35/21373367_116183755702651_1998741070749368320_n.jpg</v>
      </c>
      <c r="AE4965" s="249" t="str">
        <f>HYPERLINK("https://scontent.cdninstagram.com/t51.2885-19/s150x150/18299435_1688812777800543_6287802013623255040_a.jpg")</f>
        <v>https://scontent.cdninstagram.com/t51.2885-19/s150x150/18299435_1688812777800543_6287802013623255040_a.jpg</v>
      </c>
    </row>
    <row r="4966" spans="1:31" ht="15" x14ac:dyDescent="0.25">
      <c r="A4966" t="s">
        <v>2474</v>
      </c>
      <c r="B4966" t="s">
        <v>26343</v>
      </c>
      <c r="C4966" s="221">
        <v>42984.081145833334</v>
      </c>
      <c r="D4966" t="s">
        <v>26344</v>
      </c>
      <c r="E4966" s="249" t="str">
        <f>HYPERLINK("https://www.instagram.com/p/BYsEpG6jJg0/")</f>
        <v>https://www.instagram.com/p/BYsEpG6jJg0/</v>
      </c>
      <c r="F4966" t="s">
        <v>26345</v>
      </c>
      <c r="G4966" t="s">
        <v>2631</v>
      </c>
      <c r="H4966">
        <v>476</v>
      </c>
      <c r="I4966" t="s">
        <v>2479</v>
      </c>
      <c r="J4966">
        <v>1</v>
      </c>
      <c r="K4966">
        <v>22</v>
      </c>
      <c r="L4966">
        <v>23</v>
      </c>
      <c r="Q4966">
        <v>0</v>
      </c>
      <c r="R4966">
        <v>0</v>
      </c>
      <c r="S4966">
        <v>23</v>
      </c>
      <c r="Y4966" t="s">
        <v>26346</v>
      </c>
      <c r="Z4966" t="s">
        <v>26347</v>
      </c>
      <c r="AA4966" t="s">
        <v>26348</v>
      </c>
      <c r="AB4966" t="s">
        <v>26349</v>
      </c>
      <c r="AC4966" t="s">
        <v>2497</v>
      </c>
      <c r="AD4966" s="249" t="str">
        <f>HYPERLINK("https://scontent.cdninstagram.com/t51.2885-15/s320x320/e15/21434280_486400315067026_627504832298614784_n.jpg")</f>
        <v>https://scontent.cdninstagram.com/t51.2885-15/s320x320/e15/21434280_486400315067026_627504832298614784_n.jpg</v>
      </c>
      <c r="AE4966" s="249" t="str">
        <f>HYPERLINK("https://scontent.cdninstagram.com/t51.2885-19/s150x150/18014030_445616552449166_4625100635811872768_a.jpg")</f>
        <v>https://scontent.cdninstagram.com/t51.2885-19/s150x150/18014030_445616552449166_4625100635811872768_a.jpg</v>
      </c>
    </row>
    <row r="4967" spans="1:31" ht="15" x14ac:dyDescent="0.25">
      <c r="A4967" t="s">
        <v>2474</v>
      </c>
      <c r="B4967" t="s">
        <v>26350</v>
      </c>
      <c r="C4967" s="221">
        <v>42984.082974537036</v>
      </c>
      <c r="D4967" t="s">
        <v>26351</v>
      </c>
      <c r="E4967" s="249" t="str">
        <f>HYPERLINK("https://www.instagram.com/p/BYsE8U8F0an/")</f>
        <v>https://www.instagram.com/p/BYsE8U8F0an/</v>
      </c>
      <c r="F4967" t="s">
        <v>26352</v>
      </c>
      <c r="G4967" t="s">
        <v>2478</v>
      </c>
      <c r="H4967">
        <v>66</v>
      </c>
      <c r="I4967" t="s">
        <v>2479</v>
      </c>
      <c r="J4967">
        <v>2</v>
      </c>
      <c r="K4967">
        <v>18</v>
      </c>
      <c r="L4967">
        <v>20</v>
      </c>
      <c r="Q4967">
        <v>0</v>
      </c>
      <c r="R4967">
        <v>0</v>
      </c>
      <c r="S4967">
        <v>20</v>
      </c>
      <c r="T4967" t="s">
        <v>17786</v>
      </c>
      <c r="V4967" t="s">
        <v>2161</v>
      </c>
      <c r="W4967">
        <v>53.55</v>
      </c>
      <c r="X4967">
        <v>10.0014</v>
      </c>
      <c r="Y4967" t="s">
        <v>2547</v>
      </c>
      <c r="Z4967" t="s">
        <v>26353</v>
      </c>
      <c r="AA4967" t="s">
        <v>26354</v>
      </c>
      <c r="AB4967" t="s">
        <v>2497</v>
      </c>
      <c r="AC4967" t="s">
        <v>26355</v>
      </c>
      <c r="AD4967" s="249" t="str">
        <f>HYPERLINK("https://scontent.cdninstagram.com/t51.2885-15/s320x320/e35/21372976_1509916872408006_1010595174704742400_n.jpg")</f>
        <v>https://scontent.cdninstagram.com/t51.2885-15/s320x320/e35/21372976_1509916872408006_1010595174704742400_n.jpg</v>
      </c>
      <c r="AE4967" s="249" t="str">
        <f>HYPERLINK("https://scontent.cdninstagram.com/t51.2885-19/s150x150/20184628_1895882234012375_8761831818979704832_a.jpg")</f>
        <v>https://scontent.cdninstagram.com/t51.2885-19/s150x150/20184628_1895882234012375_8761831818979704832_a.jpg</v>
      </c>
    </row>
    <row r="4968" spans="1:31" ht="15" x14ac:dyDescent="0.25">
      <c r="A4968" t="s">
        <v>2474</v>
      </c>
      <c r="B4968" t="s">
        <v>26356</v>
      </c>
      <c r="C4968" s="221">
        <v>42984.084594907406</v>
      </c>
      <c r="D4968" t="s">
        <v>26357</v>
      </c>
      <c r="E4968" s="249" t="str">
        <f>HYPERLINK("https://www.instagram.com/p/BYsFNZ9glzJ/")</f>
        <v>https://www.instagram.com/p/BYsFNZ9glzJ/</v>
      </c>
      <c r="F4968" t="s">
        <v>26358</v>
      </c>
      <c r="G4968" t="s">
        <v>2478</v>
      </c>
      <c r="H4968">
        <v>385</v>
      </c>
      <c r="I4968" t="s">
        <v>2479</v>
      </c>
      <c r="J4968">
        <v>6</v>
      </c>
      <c r="K4968">
        <v>84</v>
      </c>
      <c r="L4968">
        <v>90</v>
      </c>
      <c r="Q4968">
        <v>0</v>
      </c>
      <c r="R4968">
        <v>0</v>
      </c>
      <c r="S4968">
        <v>90</v>
      </c>
      <c r="Y4968" t="s">
        <v>2497</v>
      </c>
      <c r="AD4968" s="249" t="str">
        <f>HYPERLINK("https://scontent.cdninstagram.com/t51.2885-15/s320x320/e35/21433857_377392886012774_7244955056292757504_n.jpg")</f>
        <v>https://scontent.cdninstagram.com/t51.2885-15/s320x320/e35/21433857_377392886012774_7244955056292757504_n.jpg</v>
      </c>
      <c r="AE4968" s="249" t="str">
        <f>HYPERLINK("https://scontent.cdninstagram.com/t51.2885-19/s150x150/19120783_745296092318195_558768214348136448_a.jpg")</f>
        <v>https://scontent.cdninstagram.com/t51.2885-19/s150x150/19120783_745296092318195_558768214348136448_a.jpg</v>
      </c>
    </row>
    <row r="4969" spans="1:31" ht="15" x14ac:dyDescent="0.25">
      <c r="A4969" t="s">
        <v>2474</v>
      </c>
      <c r="B4969" t="s">
        <v>19639</v>
      </c>
      <c r="C4969" s="221">
        <v>42984.085428240738</v>
      </c>
      <c r="D4969" t="s">
        <v>26359</v>
      </c>
      <c r="E4969" s="249" t="str">
        <f>HYPERLINK("https://www.instagram.com/p/BYsFWSTn9SR/")</f>
        <v>https://www.instagram.com/p/BYsFWSTn9SR/</v>
      </c>
      <c r="F4969" t="s">
        <v>26360</v>
      </c>
      <c r="G4969" t="s">
        <v>2478</v>
      </c>
      <c r="H4969">
        <v>10</v>
      </c>
      <c r="I4969" t="s">
        <v>2479</v>
      </c>
      <c r="J4969">
        <v>2</v>
      </c>
      <c r="K4969">
        <v>10</v>
      </c>
      <c r="L4969">
        <v>12</v>
      </c>
      <c r="Q4969">
        <v>0</v>
      </c>
      <c r="R4969">
        <v>0</v>
      </c>
      <c r="S4969">
        <v>12</v>
      </c>
      <c r="Y4969" t="s">
        <v>19643</v>
      </c>
      <c r="Z4969" t="s">
        <v>18679</v>
      </c>
      <c r="AA4969" t="s">
        <v>3117</v>
      </c>
      <c r="AB4969" t="s">
        <v>2544</v>
      </c>
      <c r="AC4969" t="s">
        <v>2497</v>
      </c>
      <c r="AD4969" s="249" t="str">
        <f>HYPERLINK("https://scontent.cdninstagram.com/t51.2885-15/s320x320/e35/21373135_459714351080197_8959767603018989568_n.jpg")</f>
        <v>https://scontent.cdninstagram.com/t51.2885-15/s320x320/e35/21373135_459714351080197_8959767603018989568_n.jpg</v>
      </c>
      <c r="AE4969" s="249" t="str">
        <f>HYPERLINK("https://scontent.cdninstagram.com/t51.2885-19/s150x150/20686926_510088886001218_5946672659885457408_a.jpg")</f>
        <v>https://scontent.cdninstagram.com/t51.2885-19/s150x150/20686926_510088886001218_5946672659885457408_a.jpg</v>
      </c>
    </row>
    <row r="4970" spans="1:31" ht="15" x14ac:dyDescent="0.25">
      <c r="A4970" t="s">
        <v>2474</v>
      </c>
      <c r="B4970" t="s">
        <v>26361</v>
      </c>
      <c r="C4970" s="221">
        <v>42984.085729166669</v>
      </c>
      <c r="D4970" t="s">
        <v>26362</v>
      </c>
      <c r="E4970" s="249" t="str">
        <f>HYPERLINK("https://www.instagram.com/p/BYsFZcRnm3S/")</f>
        <v>https://www.instagram.com/p/BYsFZcRnm3S/</v>
      </c>
      <c r="F4970" t="s">
        <v>26363</v>
      </c>
      <c r="G4970" t="s">
        <v>2478</v>
      </c>
      <c r="H4970">
        <v>5887</v>
      </c>
      <c r="I4970" t="s">
        <v>3025</v>
      </c>
      <c r="J4970">
        <v>80</v>
      </c>
      <c r="K4970">
        <v>392</v>
      </c>
      <c r="L4970">
        <v>472</v>
      </c>
      <c r="Q4970">
        <v>0</v>
      </c>
      <c r="R4970">
        <v>0</v>
      </c>
      <c r="S4970">
        <v>472</v>
      </c>
      <c r="T4970" t="s">
        <v>26364</v>
      </c>
      <c r="V4970" t="s">
        <v>2161</v>
      </c>
      <c r="W4970">
        <v>50.129829399999998</v>
      </c>
      <c r="X4970">
        <v>8.9235095999999992</v>
      </c>
      <c r="Y4970" t="s">
        <v>26365</v>
      </c>
      <c r="Z4970" t="s">
        <v>4589</v>
      </c>
      <c r="AA4970" t="s">
        <v>5229</v>
      </c>
      <c r="AB4970" t="s">
        <v>26366</v>
      </c>
      <c r="AC4970" t="s">
        <v>2497</v>
      </c>
      <c r="AD4970" s="249" t="str">
        <f>HYPERLINK("https://scontent.cdninstagram.com/t51.2885-15/s320x320/e35/21436171_1449814795055920_3011563722867998720_n.jpg")</f>
        <v>https://scontent.cdninstagram.com/t51.2885-15/s320x320/e35/21436171_1449814795055920_3011563722867998720_n.jpg</v>
      </c>
      <c r="AE4970" s="249" t="str">
        <f>HYPERLINK("https://scontent.cdninstagram.com/t51.2885-19/s150x150/15056653_596032563926932_81668141708476416_a.jpg")</f>
        <v>https://scontent.cdninstagram.com/t51.2885-19/s150x150/15056653_596032563926932_81668141708476416_a.jpg</v>
      </c>
    </row>
    <row r="4971" spans="1:31" ht="15" x14ac:dyDescent="0.25">
      <c r="A4971" t="s">
        <v>2474</v>
      </c>
      <c r="B4971" t="s">
        <v>26367</v>
      </c>
      <c r="C4971" s="221">
        <v>42984.10800925926</v>
      </c>
      <c r="D4971" t="s">
        <v>26368</v>
      </c>
      <c r="E4971" s="249" t="str">
        <f>HYPERLINK("https://www.instagram.com/p/BYsJEcWDKuT/")</f>
        <v>https://www.instagram.com/p/BYsJEcWDKuT/</v>
      </c>
      <c r="F4971" t="s">
        <v>26369</v>
      </c>
      <c r="G4971" t="s">
        <v>2478</v>
      </c>
      <c r="H4971">
        <v>219</v>
      </c>
      <c r="I4971" t="s">
        <v>13274</v>
      </c>
      <c r="J4971">
        <v>1</v>
      </c>
      <c r="K4971">
        <v>43</v>
      </c>
      <c r="L4971">
        <v>44</v>
      </c>
      <c r="Q4971">
        <v>0</v>
      </c>
      <c r="R4971">
        <v>0</v>
      </c>
      <c r="S4971">
        <v>44</v>
      </c>
      <c r="T4971" t="s">
        <v>26370</v>
      </c>
      <c r="U4971" t="s">
        <v>122</v>
      </c>
      <c r="V4971" t="s">
        <v>2299</v>
      </c>
      <c r="W4971">
        <v>37.751586000000003</v>
      </c>
      <c r="X4971">
        <v>-122.447722</v>
      </c>
      <c r="Y4971" t="s">
        <v>4645</v>
      </c>
      <c r="Z4971" t="s">
        <v>3445</v>
      </c>
      <c r="AA4971" t="s">
        <v>3446</v>
      </c>
      <c r="AB4971" t="s">
        <v>2497</v>
      </c>
      <c r="AC4971" t="s">
        <v>26371</v>
      </c>
      <c r="AD4971" s="249" t="str">
        <f>HYPERLINK("https://scontent.cdninstagram.com/t51.2885-15/s320x320/e35/21371922_1925958581056120_4915603221461860352_n.jpg")</f>
        <v>https://scontent.cdninstagram.com/t51.2885-15/s320x320/e35/21371922_1925958581056120_4915603221461860352_n.jpg</v>
      </c>
      <c r="AE4971" s="249" t="str">
        <f>HYPERLINK("https://scontent.cdninstagram.com/t51.2885-19/s150x150/21435434_116483199058864_1126878223083241472_a.jpg")</f>
        <v>https://scontent.cdninstagram.com/t51.2885-19/s150x150/21435434_116483199058864_1126878223083241472_a.jpg</v>
      </c>
    </row>
    <row r="4972" spans="1:31" ht="15" x14ac:dyDescent="0.25">
      <c r="A4972" t="s">
        <v>2474</v>
      </c>
      <c r="B4972" t="s">
        <v>26372</v>
      </c>
      <c r="C4972" s="221">
        <v>42984.112893518519</v>
      </c>
      <c r="D4972" t="s">
        <v>26373</v>
      </c>
      <c r="E4972" s="249" t="str">
        <f>HYPERLINK("https://www.instagram.com/p/BYsJ3-llMVI/")</f>
        <v>https://www.instagram.com/p/BYsJ3-llMVI/</v>
      </c>
      <c r="F4972" t="s">
        <v>26374</v>
      </c>
      <c r="G4972" t="s">
        <v>2478</v>
      </c>
      <c r="H4972">
        <v>552</v>
      </c>
      <c r="I4972" t="s">
        <v>2479</v>
      </c>
      <c r="J4972">
        <v>1</v>
      </c>
      <c r="K4972">
        <v>32</v>
      </c>
      <c r="L4972">
        <v>33</v>
      </c>
      <c r="Q4972">
        <v>0</v>
      </c>
      <c r="R4972">
        <v>0</v>
      </c>
      <c r="S4972">
        <v>33</v>
      </c>
      <c r="Y4972" t="s">
        <v>6550</v>
      </c>
      <c r="Z4972" t="s">
        <v>2810</v>
      </c>
      <c r="AA4972" t="s">
        <v>3849</v>
      </c>
      <c r="AB4972" t="s">
        <v>2497</v>
      </c>
      <c r="AC4972" t="s">
        <v>2730</v>
      </c>
      <c r="AD4972" s="249" t="str">
        <f>HYPERLINK("https://scontent.cdninstagram.com/t51.2885-15/s320x320/e35/21373824_306497433150416_6578515735570546688_n.jpg")</f>
        <v>https://scontent.cdninstagram.com/t51.2885-15/s320x320/e35/21373824_306497433150416_6578515735570546688_n.jpg</v>
      </c>
      <c r="AE4972" s="249" t="str">
        <f>HYPERLINK("https://scontent.cdninstagram.com/t51.2885-19/s150x150/13437211_294713024200373_1023711243_a.jpg")</f>
        <v>https://scontent.cdninstagram.com/t51.2885-19/s150x150/13437211_294713024200373_1023711243_a.jpg</v>
      </c>
    </row>
    <row r="4973" spans="1:31" ht="15" x14ac:dyDescent="0.25">
      <c r="A4973" t="s">
        <v>2474</v>
      </c>
      <c r="B4973" t="s">
        <v>7647</v>
      </c>
      <c r="C4973" s="221">
        <v>42984.121331018519</v>
      </c>
      <c r="D4973" t="s">
        <v>26375</v>
      </c>
      <c r="E4973" s="249" t="str">
        <f>HYPERLINK("https://www.instagram.com/p/BYsLQ8oAZYN/")</f>
        <v>https://www.instagram.com/p/BYsLQ8oAZYN/</v>
      </c>
      <c r="F4973" t="s">
        <v>26376</v>
      </c>
      <c r="G4973" t="s">
        <v>2478</v>
      </c>
      <c r="H4973">
        <v>86</v>
      </c>
      <c r="I4973" t="s">
        <v>2599</v>
      </c>
      <c r="J4973">
        <v>0</v>
      </c>
      <c r="K4973">
        <v>20</v>
      </c>
      <c r="L4973">
        <v>20</v>
      </c>
      <c r="Q4973">
        <v>0</v>
      </c>
      <c r="R4973">
        <v>0</v>
      </c>
      <c r="S4973">
        <v>20</v>
      </c>
      <c r="T4973" t="s">
        <v>25865</v>
      </c>
      <c r="V4973" t="s">
        <v>2182</v>
      </c>
      <c r="W4973">
        <v>46.366667</v>
      </c>
      <c r="X4973">
        <v>11.566667000000001</v>
      </c>
      <c r="Y4973" t="s">
        <v>26377</v>
      </c>
      <c r="Z4973" t="s">
        <v>2497</v>
      </c>
      <c r="AA4973" t="s">
        <v>15260</v>
      </c>
      <c r="AB4973" t="s">
        <v>26378</v>
      </c>
      <c r="AC4973" t="s">
        <v>26379</v>
      </c>
      <c r="AD4973" s="249" t="str">
        <f>HYPERLINK("https://scontent.cdninstagram.com/t51.2885-15/s320x320/e35/21372081_355591914879290_7074850432698286080_n.jpg")</f>
        <v>https://scontent.cdninstagram.com/t51.2885-15/s320x320/e35/21372081_355591914879290_7074850432698286080_n.jpg</v>
      </c>
      <c r="AE4973" s="249" t="str">
        <f>HYPERLINK("https://scontent.cdninstagram.com/t51.2885-19/s150x150/21689860_347057945706116_567828057017024512_n.jpg")</f>
        <v>https://scontent.cdninstagram.com/t51.2885-19/s150x150/21689860_347057945706116_567828057017024512_n.jpg</v>
      </c>
    </row>
    <row r="4974" spans="1:31" ht="15" x14ac:dyDescent="0.25">
      <c r="A4974" t="s">
        <v>2474</v>
      </c>
      <c r="B4974" t="s">
        <v>3301</v>
      </c>
      <c r="C4974" s="221">
        <v>42984.127592592595</v>
      </c>
      <c r="D4974" t="s">
        <v>26380</v>
      </c>
      <c r="E4974" s="249" t="str">
        <f>HYPERLINK("https://www.instagram.com/p/BYsMS8BDJq9/")</f>
        <v>https://www.instagram.com/p/BYsMS8BDJq9/</v>
      </c>
      <c r="F4974" t="s">
        <v>26381</v>
      </c>
      <c r="G4974" t="s">
        <v>2478</v>
      </c>
      <c r="H4974">
        <v>615</v>
      </c>
      <c r="I4974" t="s">
        <v>2479</v>
      </c>
      <c r="J4974">
        <v>1</v>
      </c>
      <c r="K4974">
        <v>95</v>
      </c>
      <c r="L4974">
        <v>96</v>
      </c>
      <c r="Q4974">
        <v>0</v>
      </c>
      <c r="R4974">
        <v>0</v>
      </c>
      <c r="S4974">
        <v>96</v>
      </c>
      <c r="Y4974" t="s">
        <v>5235</v>
      </c>
      <c r="Z4974" t="s">
        <v>9279</v>
      </c>
      <c r="AA4974" t="s">
        <v>10878</v>
      </c>
      <c r="AB4974" t="s">
        <v>2497</v>
      </c>
      <c r="AC4974" t="s">
        <v>4160</v>
      </c>
      <c r="AD4974" s="249" t="str">
        <f>HYPERLINK("https://scontent.cdninstagram.com/t51.2885-15/s320x320/e35/21372026_339673803146279_8820580881325359104_n.jpg")</f>
        <v>https://scontent.cdninstagram.com/t51.2885-15/s320x320/e35/21372026_339673803146279_8820580881325359104_n.jpg</v>
      </c>
      <c r="AE4974" s="249" t="str">
        <f>HYPERLINK("https://scontent.cdninstagram.com/t51.2885-19/s150x150/19228478_370974479971900_5746578409966796800_a.jpg")</f>
        <v>https://scontent.cdninstagram.com/t51.2885-19/s150x150/19228478_370974479971900_5746578409966796800_a.jpg</v>
      </c>
    </row>
    <row r="4975" spans="1:31" ht="15" x14ac:dyDescent="0.25">
      <c r="A4975" t="s">
        <v>2474</v>
      </c>
      <c r="B4975" t="s">
        <v>3895</v>
      </c>
      <c r="C4975" s="221">
        <v>42984.131273148145</v>
      </c>
      <c r="D4975" t="s">
        <v>26382</v>
      </c>
      <c r="E4975" s="249" t="str">
        <f>HYPERLINK("https://www.instagram.com/p/BYsM5t8l13k/")</f>
        <v>https://www.instagram.com/p/BYsM5t8l13k/</v>
      </c>
      <c r="F4975" t="s">
        <v>26383</v>
      </c>
      <c r="G4975" t="s">
        <v>2478</v>
      </c>
      <c r="H4975">
        <v>432</v>
      </c>
      <c r="I4975" t="s">
        <v>2910</v>
      </c>
      <c r="J4975">
        <v>6</v>
      </c>
      <c r="K4975">
        <v>102</v>
      </c>
      <c r="L4975">
        <v>108</v>
      </c>
      <c r="Q4975">
        <v>0</v>
      </c>
      <c r="R4975">
        <v>0</v>
      </c>
      <c r="S4975">
        <v>108</v>
      </c>
      <c r="Y4975" t="s">
        <v>2554</v>
      </c>
      <c r="Z4975" t="s">
        <v>2513</v>
      </c>
      <c r="AA4975" t="s">
        <v>3901</v>
      </c>
      <c r="AB4975" t="s">
        <v>3157</v>
      </c>
      <c r="AC4975" t="s">
        <v>2911</v>
      </c>
      <c r="AD4975" s="249" t="str">
        <f>HYPERLINK("https://scontent.cdninstagram.com/t51.2885-15/s320x320/e35/21373165_2025166391049210_7500123109207310336_n.jpg")</f>
        <v>https://scontent.cdninstagram.com/t51.2885-15/s320x320/e35/21373165_2025166391049210_7500123109207310336_n.jpg</v>
      </c>
      <c r="AE4975" s="249" t="str">
        <f>HYPERLINK("https://scontent.cdninstagram.com/t51.2885-19/s150x150/20902130_1390331654386412_4188068892897181696_a.jpg")</f>
        <v>https://scontent.cdninstagram.com/t51.2885-19/s150x150/20902130_1390331654386412_4188068892897181696_a.jpg</v>
      </c>
    </row>
    <row r="4976" spans="1:31" ht="15" x14ac:dyDescent="0.25">
      <c r="A4976" t="s">
        <v>2474</v>
      </c>
      <c r="B4976" t="s">
        <v>2644</v>
      </c>
      <c r="C4976" s="221">
        <v>42984.136238425926</v>
      </c>
      <c r="D4976" t="s">
        <v>26384</v>
      </c>
      <c r="E4976" s="249" t="str">
        <f>HYPERLINK("https://www.instagram.com/p/BYsNuKdAAQj/")</f>
        <v>https://www.instagram.com/p/BYsNuKdAAQj/</v>
      </c>
      <c r="F4976" t="s">
        <v>26385</v>
      </c>
      <c r="G4976" t="s">
        <v>2478</v>
      </c>
      <c r="H4976">
        <v>1725</v>
      </c>
      <c r="I4976" t="s">
        <v>2479</v>
      </c>
      <c r="J4976">
        <v>2</v>
      </c>
      <c r="K4976">
        <v>82</v>
      </c>
      <c r="L4976">
        <v>84</v>
      </c>
      <c r="Q4976">
        <v>0</v>
      </c>
      <c r="R4976">
        <v>0</v>
      </c>
      <c r="S4976">
        <v>84</v>
      </c>
      <c r="T4976" t="s">
        <v>25816</v>
      </c>
      <c r="V4976" t="s">
        <v>2648</v>
      </c>
      <c r="W4976">
        <v>55.728175557116003</v>
      </c>
      <c r="X4976">
        <v>37.555873656415002</v>
      </c>
      <c r="Y4976" t="s">
        <v>2650</v>
      </c>
      <c r="Z4976" t="s">
        <v>15976</v>
      </c>
      <c r="AA4976" t="s">
        <v>3075</v>
      </c>
      <c r="AB4976" t="s">
        <v>3076</v>
      </c>
      <c r="AC4976" t="s">
        <v>5494</v>
      </c>
      <c r="AD4976" s="249" t="str">
        <f>HYPERLINK("https://scontent.cdninstagram.com/t51.2885-15/e35/p320x320/21372237_874053209425202_2283288907581751296_n.jpg")</f>
        <v>https://scontent.cdninstagram.com/t51.2885-15/e35/p320x320/21372237_874053209425202_2283288907581751296_n.jpg</v>
      </c>
      <c r="AE4976" s="249" t="str">
        <f>HYPERLINK("https://scontent.cdninstagram.com/t51.2885-19/11372086_1598451257062069_1320225693_a.jpg")</f>
        <v>https://scontent.cdninstagram.com/t51.2885-19/11372086_1598451257062069_1320225693_a.jpg</v>
      </c>
    </row>
    <row r="4977" spans="1:31" ht="15" x14ac:dyDescent="0.25">
      <c r="A4977" t="s">
        <v>2474</v>
      </c>
      <c r="B4977" t="s">
        <v>3846</v>
      </c>
      <c r="C4977" s="221">
        <v>42984.141412037039</v>
      </c>
      <c r="D4977" t="s">
        <v>26386</v>
      </c>
      <c r="E4977" s="249" t="str">
        <f>HYPERLINK("https://www.instagram.com/p/BYsOkq8g6DS/")</f>
        <v>https://www.instagram.com/p/BYsOkq8g6DS/</v>
      </c>
      <c r="F4977" t="s">
        <v>26387</v>
      </c>
      <c r="G4977" t="s">
        <v>2478</v>
      </c>
      <c r="H4977">
        <v>1046</v>
      </c>
      <c r="I4977" t="s">
        <v>2479</v>
      </c>
      <c r="J4977">
        <v>9</v>
      </c>
      <c r="K4977">
        <v>135</v>
      </c>
      <c r="L4977">
        <v>144</v>
      </c>
      <c r="Q4977">
        <v>0</v>
      </c>
      <c r="R4977">
        <v>0</v>
      </c>
      <c r="S4977">
        <v>144</v>
      </c>
      <c r="Y4977" t="s">
        <v>26388</v>
      </c>
      <c r="Z4977" t="s">
        <v>3535</v>
      </c>
      <c r="AA4977" t="s">
        <v>14744</v>
      </c>
      <c r="AB4977" t="s">
        <v>26389</v>
      </c>
      <c r="AC4977" t="s">
        <v>3851</v>
      </c>
      <c r="AD4977" s="249" t="str">
        <f>HYPERLINK("https://scontent.cdninstagram.com/t51.2885-15/s320x320/e35/21373548_1941794959402088_8275591287135010816_n.jpg")</f>
        <v>https://scontent.cdninstagram.com/t51.2885-15/s320x320/e35/21373548_1941794959402088_8275591287135010816_n.jpg</v>
      </c>
      <c r="AE4977" s="249" t="str">
        <f>HYPERLINK("https://scontent.cdninstagram.com/t51.2885-19/11313229_1459878014310621_82799200_a.jpg")</f>
        <v>https://scontent.cdninstagram.com/t51.2885-19/11313229_1459878014310621_82799200_a.jpg</v>
      </c>
    </row>
    <row r="4978" spans="1:31" ht="15" x14ac:dyDescent="0.25">
      <c r="A4978" t="s">
        <v>2474</v>
      </c>
      <c r="B4978" t="s">
        <v>26390</v>
      </c>
      <c r="C4978" s="221">
        <v>42984.153217592589</v>
      </c>
      <c r="D4978" t="s">
        <v>26391</v>
      </c>
      <c r="E4978" s="249" t="str">
        <f>HYPERLINK("https://www.instagram.com/p/BYsQhP4FFOJ/")</f>
        <v>https://www.instagram.com/p/BYsQhP4FFOJ/</v>
      </c>
      <c r="F4978" t="s">
        <v>26392</v>
      </c>
      <c r="G4978" t="s">
        <v>2478</v>
      </c>
      <c r="H4978">
        <v>84</v>
      </c>
      <c r="I4978" t="s">
        <v>2542</v>
      </c>
      <c r="J4978">
        <v>0</v>
      </c>
      <c r="K4978">
        <v>13</v>
      </c>
      <c r="L4978">
        <v>13</v>
      </c>
      <c r="Q4978">
        <v>0</v>
      </c>
      <c r="R4978">
        <v>0</v>
      </c>
      <c r="S4978">
        <v>13</v>
      </c>
      <c r="Y4978" t="s">
        <v>26393</v>
      </c>
      <c r="Z4978" t="s">
        <v>26394</v>
      </c>
      <c r="AA4978" t="s">
        <v>2497</v>
      </c>
      <c r="AB4978" t="s">
        <v>26395</v>
      </c>
      <c r="AC4978" t="s">
        <v>26396</v>
      </c>
      <c r="AD4978" s="249" t="str">
        <f>HYPERLINK("https://scontent.cdninstagram.com/t51.2885-15/e35/p320x320/21371886_101442583932139_9021235611591245824_n.jpg")</f>
        <v>https://scontent.cdninstagram.com/t51.2885-15/e35/p320x320/21371886_101442583932139_9021235611591245824_n.jpg</v>
      </c>
      <c r="AE4978" s="249" t="str">
        <f>HYPERLINK("https://scontent.cdninstagram.com/t51.2885-19/s150x150/20346912_896901983794711_1635575300672716800_a.jpg")</f>
        <v>https://scontent.cdninstagram.com/t51.2885-19/s150x150/20346912_896901983794711_1635575300672716800_a.jpg</v>
      </c>
    </row>
    <row r="4979" spans="1:31" ht="15" x14ac:dyDescent="0.25">
      <c r="A4979" t="s">
        <v>2474</v>
      </c>
      <c r="B4979" t="s">
        <v>24940</v>
      </c>
      <c r="C4979" s="221">
        <v>42984.172256944446</v>
      </c>
      <c r="D4979" t="s">
        <v>26397</v>
      </c>
      <c r="E4979" s="249" t="str">
        <f>HYPERLINK("https://www.instagram.com/p/BYsTqAdgaUd/")</f>
        <v>https://www.instagram.com/p/BYsTqAdgaUd/</v>
      </c>
      <c r="F4979" t="s">
        <v>26398</v>
      </c>
      <c r="G4979" t="s">
        <v>2478</v>
      </c>
      <c r="H4979">
        <v>11</v>
      </c>
      <c r="I4979" t="s">
        <v>2479</v>
      </c>
      <c r="J4979">
        <v>0</v>
      </c>
      <c r="K4979">
        <v>25</v>
      </c>
      <c r="L4979">
        <v>25</v>
      </c>
      <c r="Q4979">
        <v>0</v>
      </c>
      <c r="R4979">
        <v>0</v>
      </c>
      <c r="S4979">
        <v>25</v>
      </c>
      <c r="T4979" t="s">
        <v>26399</v>
      </c>
      <c r="V4979" t="s">
        <v>2182</v>
      </c>
      <c r="W4979">
        <v>45.655052619518003</v>
      </c>
      <c r="X4979">
        <v>12.797445509338999</v>
      </c>
      <c r="Y4979" t="s">
        <v>25623</v>
      </c>
      <c r="Z4979" t="s">
        <v>26400</v>
      </c>
      <c r="AA4979" t="s">
        <v>26401</v>
      </c>
      <c r="AB4979" t="s">
        <v>26402</v>
      </c>
      <c r="AC4979" t="s">
        <v>26403</v>
      </c>
      <c r="AD4979" s="249" t="str">
        <f>HYPERLINK("https://scontent.cdninstagram.com/t51.2885-15/s320x320/e35/21434230_123978965002720_1833778815793364992_n.jpg")</f>
        <v>https://scontent.cdninstagram.com/t51.2885-15/s320x320/e35/21434230_123978965002720_1833778815793364992_n.jpg</v>
      </c>
      <c r="AE4979" s="249" t="str">
        <f>HYPERLINK("https://scontent.cdninstagram.com/t51.2885-19/s150x150/21148101_1939215392959050_462196604842016768_a.jpg")</f>
        <v>https://scontent.cdninstagram.com/t51.2885-19/s150x150/21148101_1939215392959050_462196604842016768_a.jpg</v>
      </c>
    </row>
    <row r="4980" spans="1:31" ht="15" x14ac:dyDescent="0.25">
      <c r="A4980" t="s">
        <v>2474</v>
      </c>
      <c r="B4980" t="s">
        <v>3644</v>
      </c>
      <c r="C4980" s="221">
        <v>42984.183865740742</v>
      </c>
      <c r="D4980" t="s">
        <v>26404</v>
      </c>
      <c r="E4980" s="249" t="str">
        <f>HYPERLINK("https://www.instagram.com/p/BYsVkflluZR/")</f>
        <v>https://www.instagram.com/p/BYsVkflluZR/</v>
      </c>
      <c r="F4980" t="s">
        <v>26405</v>
      </c>
      <c r="G4980" t="s">
        <v>2478</v>
      </c>
      <c r="H4980">
        <v>581</v>
      </c>
      <c r="I4980" t="s">
        <v>2479</v>
      </c>
      <c r="J4980">
        <v>3</v>
      </c>
      <c r="K4980">
        <v>47</v>
      </c>
      <c r="L4980">
        <v>50</v>
      </c>
      <c r="Q4980">
        <v>0</v>
      </c>
      <c r="R4980">
        <v>0</v>
      </c>
      <c r="S4980">
        <v>50</v>
      </c>
      <c r="T4980" t="s">
        <v>26406</v>
      </c>
      <c r="V4980" t="s">
        <v>2141</v>
      </c>
      <c r="W4980">
        <v>55.397226388333003</v>
      </c>
      <c r="X4980">
        <v>10.391425467501</v>
      </c>
      <c r="Y4980" t="s">
        <v>6994</v>
      </c>
      <c r="Z4980" t="s">
        <v>6486</v>
      </c>
      <c r="AA4980" t="s">
        <v>9794</v>
      </c>
      <c r="AB4980" t="s">
        <v>3607</v>
      </c>
      <c r="AC4980" t="s">
        <v>10172</v>
      </c>
      <c r="AD4980" s="249" t="str">
        <f>HYPERLINK("https://scontent.cdninstagram.com/t51.2885-15/e35/p320x320/21433479_2385854104973464_4398739890624266240_n.jpg")</f>
        <v>https://scontent.cdninstagram.com/t51.2885-15/e35/p320x320/21433479_2385854104973464_4398739890624266240_n.jpg</v>
      </c>
      <c r="AE4980" s="249" t="str">
        <f>HYPERLINK("https://scontent.cdninstagram.com/t51.2885-19/s150x150/14714495_1790450111234953_7147855754219749376_a.jpg")</f>
        <v>https://scontent.cdninstagram.com/t51.2885-19/s150x150/14714495_1790450111234953_7147855754219749376_a.jpg</v>
      </c>
    </row>
    <row r="4981" spans="1:31" ht="15" x14ac:dyDescent="0.25">
      <c r="A4981" t="s">
        <v>2474</v>
      </c>
      <c r="B4981" t="s">
        <v>26407</v>
      </c>
      <c r="C4981" s="221">
        <v>42984.188587962963</v>
      </c>
      <c r="D4981" t="s">
        <v>26408</v>
      </c>
      <c r="E4981" s="249" t="str">
        <f>HYPERLINK("https://www.instagram.com/p/BYsWWSdgsCY/")</f>
        <v>https://www.instagram.com/p/BYsWWSdgsCY/</v>
      </c>
      <c r="F4981" t="s">
        <v>26409</v>
      </c>
      <c r="G4981" t="s">
        <v>2631</v>
      </c>
      <c r="H4981">
        <v>984</v>
      </c>
      <c r="I4981" t="s">
        <v>2599</v>
      </c>
      <c r="J4981">
        <v>2</v>
      </c>
      <c r="K4981">
        <v>83</v>
      </c>
      <c r="L4981">
        <v>85</v>
      </c>
      <c r="Q4981">
        <v>0</v>
      </c>
      <c r="R4981">
        <v>0</v>
      </c>
      <c r="S4981">
        <v>85</v>
      </c>
      <c r="Y4981" t="s">
        <v>26410</v>
      </c>
      <c r="Z4981" t="s">
        <v>26407</v>
      </c>
      <c r="AA4981" t="s">
        <v>26411</v>
      </c>
      <c r="AB4981" t="s">
        <v>2879</v>
      </c>
      <c r="AC4981" t="s">
        <v>26412</v>
      </c>
      <c r="AD4981" s="249" t="str">
        <f>HYPERLINK("https://scontent.cdninstagram.com/t51.2885-15/s320x320/e15/21435739_663151063893617_3648651408888037376_n.jpg")</f>
        <v>https://scontent.cdninstagram.com/t51.2885-15/s320x320/e15/21435739_663151063893617_3648651408888037376_n.jpg</v>
      </c>
      <c r="AE4981" s="249" t="str">
        <f>HYPERLINK("https://scontent.cdninstagram.com/t51.2885-19/s150x150/13696407_196227837458433_2038046513_a.jpg")</f>
        <v>https://scontent.cdninstagram.com/t51.2885-19/s150x150/13696407_196227837458433_2038046513_a.jpg</v>
      </c>
    </row>
    <row r="4982" spans="1:31" ht="15" x14ac:dyDescent="0.25">
      <c r="A4982" t="s">
        <v>2474</v>
      </c>
      <c r="B4982" t="s">
        <v>26413</v>
      </c>
      <c r="C4982" s="221">
        <v>42984.193842592591</v>
      </c>
      <c r="D4982" t="s">
        <v>26414</v>
      </c>
      <c r="E4982" s="249" t="str">
        <f>HYPERLINK("https://www.instagram.com/p/BYsXNuMFR47/")</f>
        <v>https://www.instagram.com/p/BYsXNuMFR47/</v>
      </c>
      <c r="F4982" t="s">
        <v>25081</v>
      </c>
      <c r="G4982" t="s">
        <v>2478</v>
      </c>
      <c r="H4982">
        <v>304</v>
      </c>
      <c r="I4982" t="s">
        <v>2479</v>
      </c>
      <c r="J4982">
        <v>5</v>
      </c>
      <c r="K4982">
        <v>16</v>
      </c>
      <c r="L4982">
        <v>21</v>
      </c>
      <c r="Q4982">
        <v>0</v>
      </c>
      <c r="R4982">
        <v>0</v>
      </c>
      <c r="S4982">
        <v>21</v>
      </c>
      <c r="Y4982" t="s">
        <v>26415</v>
      </c>
      <c r="Z4982" t="s">
        <v>26416</v>
      </c>
      <c r="AA4982" t="s">
        <v>26417</v>
      </c>
      <c r="AB4982" t="s">
        <v>26418</v>
      </c>
      <c r="AC4982" t="s">
        <v>26419</v>
      </c>
      <c r="AD4982" s="249" t="str">
        <f>HYPERLINK("https://scontent.cdninstagram.com/t51.2885-15/s320x320/e35/21479951_484990575210782_7535140450018000896_n.jpg")</f>
        <v>https://scontent.cdninstagram.com/t51.2885-15/s320x320/e35/21479951_484990575210782_7535140450018000896_n.jpg</v>
      </c>
      <c r="AE4982" s="249" t="str">
        <f>HYPERLINK("https://scontent.cdninstagram.com/t51.2885-19/s150x150/18094667_1359151197500576_6669590310923796480_a.jpg")</f>
        <v>https://scontent.cdninstagram.com/t51.2885-19/s150x150/18094667_1359151197500576_6669590310923796480_a.jpg</v>
      </c>
    </row>
    <row r="4983" spans="1:31" ht="15" x14ac:dyDescent="0.25">
      <c r="A4983" t="s">
        <v>2474</v>
      </c>
      <c r="B4983" t="s">
        <v>26420</v>
      </c>
      <c r="C4983" s="221">
        <v>42984.195972222224</v>
      </c>
      <c r="D4983" t="s">
        <v>26421</v>
      </c>
      <c r="E4983" s="249" t="str">
        <f>HYPERLINK("https://www.instagram.com/p/BYsXkHUnHWo/")</f>
        <v>https://www.instagram.com/p/BYsXkHUnHWo/</v>
      </c>
      <c r="F4983" t="s">
        <v>26422</v>
      </c>
      <c r="G4983" t="s">
        <v>2478</v>
      </c>
      <c r="H4983">
        <v>10</v>
      </c>
      <c r="I4983" t="s">
        <v>2479</v>
      </c>
      <c r="J4983">
        <v>1</v>
      </c>
      <c r="K4983">
        <v>46</v>
      </c>
      <c r="L4983">
        <v>47</v>
      </c>
      <c r="Q4983">
        <v>0</v>
      </c>
      <c r="R4983">
        <v>0</v>
      </c>
      <c r="S4983">
        <v>47</v>
      </c>
      <c r="Y4983" t="s">
        <v>2735</v>
      </c>
      <c r="Z4983" t="s">
        <v>3006</v>
      </c>
      <c r="AA4983" t="s">
        <v>26423</v>
      </c>
      <c r="AB4983" t="s">
        <v>5466</v>
      </c>
      <c r="AC4983" t="s">
        <v>2513</v>
      </c>
      <c r="AD4983" s="249" t="str">
        <f>HYPERLINK("https://scontent.cdninstagram.com/t51.2885-15/s320x320/e35/21436271_125762981405846_6916174077128343552_n.jpg")</f>
        <v>https://scontent.cdninstagram.com/t51.2885-15/s320x320/e35/21436271_125762981405846_6916174077128343552_n.jpg</v>
      </c>
      <c r="AE4983" s="249" t="str">
        <f>HYPERLINK("https://scontent.cdninstagram.com/t51.2885-19/s150x150/21372602_170168536866275_1591779463320829952_a.jpg")</f>
        <v>https://scontent.cdninstagram.com/t51.2885-19/s150x150/21372602_170168536866275_1591779463320829952_a.jpg</v>
      </c>
    </row>
    <row r="4984" spans="1:31" ht="15" x14ac:dyDescent="0.25">
      <c r="A4984" t="s">
        <v>2474</v>
      </c>
      <c r="B4984" t="s">
        <v>26424</v>
      </c>
      <c r="C4984" s="221">
        <v>42984.197453703702</v>
      </c>
      <c r="D4984" t="s">
        <v>26425</v>
      </c>
      <c r="E4984" s="249" t="str">
        <f>HYPERLINK("https://www.instagram.com/p/BYsXzuDhnB2/")</f>
        <v>https://www.instagram.com/p/BYsXzuDhnB2/</v>
      </c>
      <c r="F4984" t="s">
        <v>26426</v>
      </c>
      <c r="G4984" t="s">
        <v>2478</v>
      </c>
      <c r="H4984">
        <v>985</v>
      </c>
      <c r="I4984" t="s">
        <v>2479</v>
      </c>
      <c r="J4984">
        <v>5</v>
      </c>
      <c r="K4984">
        <v>66</v>
      </c>
      <c r="L4984">
        <v>71</v>
      </c>
      <c r="Q4984">
        <v>0</v>
      </c>
      <c r="R4984">
        <v>0</v>
      </c>
      <c r="S4984">
        <v>71</v>
      </c>
      <c r="Y4984" t="s">
        <v>12307</v>
      </c>
      <c r="Z4984" t="s">
        <v>13171</v>
      </c>
      <c r="AA4984" t="s">
        <v>6835</v>
      </c>
      <c r="AB4984" t="s">
        <v>13281</v>
      </c>
      <c r="AC4984" t="s">
        <v>26427</v>
      </c>
      <c r="AD4984" s="249" t="str">
        <f>HYPERLINK("https://scontent.cdninstagram.com/t51.2885-15/s320x320/e35/21433582_1716903045283451_6386702865498374144_n.jpg")</f>
        <v>https://scontent.cdninstagram.com/t51.2885-15/s320x320/e35/21433582_1716903045283451_6386702865498374144_n.jpg</v>
      </c>
      <c r="AE4984" s="249" t="str">
        <f>HYPERLINK("https://scontent.cdninstagram.com/t51.2885-19/s150x150/14309735_158478387930648_1575134698_a.jpg")</f>
        <v>https://scontent.cdninstagram.com/t51.2885-19/s150x150/14309735_158478387930648_1575134698_a.jpg</v>
      </c>
    </row>
    <row r="4985" spans="1:31" ht="15" x14ac:dyDescent="0.25">
      <c r="A4985" t="s">
        <v>2474</v>
      </c>
      <c r="B4985" t="s">
        <v>26420</v>
      </c>
      <c r="C4985" s="221">
        <v>42984.198298611111</v>
      </c>
      <c r="D4985" t="s">
        <v>26428</v>
      </c>
      <c r="E4985" s="249" t="str">
        <f>HYPERLINK("https://www.instagram.com/p/BYsX8vEHssT/")</f>
        <v>https://www.instagram.com/p/BYsX8vEHssT/</v>
      </c>
      <c r="F4985" t="s">
        <v>26429</v>
      </c>
      <c r="G4985" t="s">
        <v>2478</v>
      </c>
      <c r="H4985">
        <v>10</v>
      </c>
      <c r="I4985" t="s">
        <v>2479</v>
      </c>
      <c r="J4985">
        <v>1</v>
      </c>
      <c r="K4985">
        <v>31</v>
      </c>
      <c r="L4985">
        <v>32</v>
      </c>
      <c r="Q4985">
        <v>0</v>
      </c>
      <c r="R4985">
        <v>0</v>
      </c>
      <c r="S4985">
        <v>32</v>
      </c>
      <c r="Y4985" t="s">
        <v>2735</v>
      </c>
      <c r="Z4985" t="s">
        <v>26430</v>
      </c>
      <c r="AA4985" t="s">
        <v>3006</v>
      </c>
      <c r="AB4985" t="s">
        <v>26423</v>
      </c>
      <c r="AC4985" t="s">
        <v>5466</v>
      </c>
      <c r="AD4985" s="249" t="str">
        <f>HYPERLINK("https://scontent.cdninstagram.com/t51.2885-15/s320x320/e35/21371805_761246377381572_1700786055415857152_n.jpg")</f>
        <v>https://scontent.cdninstagram.com/t51.2885-15/s320x320/e35/21371805_761246377381572_1700786055415857152_n.jpg</v>
      </c>
      <c r="AE4985" s="249" t="str">
        <f>HYPERLINK("https://scontent.cdninstagram.com/t51.2885-19/s150x150/21372602_170168536866275_1591779463320829952_a.jpg")</f>
        <v>https://scontent.cdninstagram.com/t51.2885-19/s150x150/21372602_170168536866275_1591779463320829952_a.jpg</v>
      </c>
    </row>
    <row r="4986" spans="1:31" ht="15" x14ac:dyDescent="0.25">
      <c r="A4986" t="s">
        <v>2474</v>
      </c>
      <c r="B4986" t="s">
        <v>26431</v>
      </c>
      <c r="C4986" s="221">
        <v>42984.19835648148</v>
      </c>
      <c r="D4986" t="s">
        <v>26432</v>
      </c>
      <c r="E4986" s="249" t="str">
        <f>HYPERLINK("https://www.instagram.com/p/BYsX9TsHSeC/")</f>
        <v>https://www.instagram.com/p/BYsX9TsHSeC/</v>
      </c>
      <c r="F4986" t="s">
        <v>26433</v>
      </c>
      <c r="G4986" t="s">
        <v>2478</v>
      </c>
      <c r="H4986">
        <v>2961</v>
      </c>
      <c r="I4986" t="s">
        <v>2479</v>
      </c>
      <c r="J4986">
        <v>0</v>
      </c>
      <c r="K4986">
        <v>111</v>
      </c>
      <c r="L4986">
        <v>111</v>
      </c>
      <c r="Q4986">
        <v>0</v>
      </c>
      <c r="R4986">
        <v>0</v>
      </c>
      <c r="S4986">
        <v>111</v>
      </c>
      <c r="Y4986" t="s">
        <v>2497</v>
      </c>
      <c r="Z4986" t="s">
        <v>3262</v>
      </c>
      <c r="AA4986" t="s">
        <v>9804</v>
      </c>
      <c r="AB4986" t="s">
        <v>2554</v>
      </c>
      <c r="AC4986" t="s">
        <v>2513</v>
      </c>
      <c r="AD4986" s="249" t="str">
        <f>HYPERLINK("https://scontent.cdninstagram.com/t51.2885-15/e35/p320x320/21372870_146959935897992_886780153848397824_n.jpg")</f>
        <v>https://scontent.cdninstagram.com/t51.2885-15/e35/p320x320/21372870_146959935897992_886780153848397824_n.jpg</v>
      </c>
      <c r="AE4986" s="249" t="str">
        <f>HYPERLINK("https://scontent.cdninstagram.com/t51.2885-19/s150x150/18950431_1864307157119288_3874777545782067200_a.jpg")</f>
        <v>https://scontent.cdninstagram.com/t51.2885-19/s150x150/18950431_1864307157119288_3874777545782067200_a.jpg</v>
      </c>
    </row>
    <row r="4987" spans="1:31" ht="15" x14ac:dyDescent="0.25">
      <c r="A4987" t="s">
        <v>2474</v>
      </c>
      <c r="B4987" t="s">
        <v>26434</v>
      </c>
      <c r="C4987" s="221">
        <v>42984.199224537035</v>
      </c>
      <c r="D4987" t="s">
        <v>26435</v>
      </c>
      <c r="E4987" s="249" t="str">
        <f>HYPERLINK("https://www.instagram.com/p/BYsYGeUB12e/")</f>
        <v>https://www.instagram.com/p/BYsYGeUB12e/</v>
      </c>
      <c r="F4987" t="s">
        <v>26436</v>
      </c>
      <c r="G4987" t="s">
        <v>2478</v>
      </c>
      <c r="H4987">
        <v>144</v>
      </c>
      <c r="I4987" t="s">
        <v>2639</v>
      </c>
      <c r="J4987">
        <v>0</v>
      </c>
      <c r="K4987">
        <v>36</v>
      </c>
      <c r="L4987">
        <v>36</v>
      </c>
      <c r="Q4987">
        <v>0</v>
      </c>
      <c r="R4987">
        <v>0</v>
      </c>
      <c r="S4987">
        <v>36</v>
      </c>
      <c r="Y4987" t="s">
        <v>2497</v>
      </c>
      <c r="Z4987" t="s">
        <v>26437</v>
      </c>
      <c r="AA4987" t="s">
        <v>26438</v>
      </c>
      <c r="AB4987" t="s">
        <v>26439</v>
      </c>
      <c r="AC4987" t="s">
        <v>3091</v>
      </c>
      <c r="AD4987" s="249" t="str">
        <f>HYPERLINK("https://scontent.cdninstagram.com/t51.2885-15/s320x320/e35/21433813_1888313531495409_878352276962410496_n.jpg")</f>
        <v>https://scontent.cdninstagram.com/t51.2885-15/s320x320/e35/21433813_1888313531495409_878352276962410496_n.jpg</v>
      </c>
      <c r="AE4987" s="249" t="str">
        <f>HYPERLINK("https://scontent.cdninstagram.com/t51.2885-19/s150x150/14488348_1449847601709755_7184398972356657152_a.jpg")</f>
        <v>https://scontent.cdninstagram.com/t51.2885-19/s150x150/14488348_1449847601709755_7184398972356657152_a.jpg</v>
      </c>
    </row>
    <row r="4988" spans="1:31" ht="15" x14ac:dyDescent="0.25">
      <c r="A4988" t="s">
        <v>2474</v>
      </c>
      <c r="B4988" t="s">
        <v>26440</v>
      </c>
      <c r="C4988" s="221">
        <v>42984.202604166669</v>
      </c>
      <c r="D4988" t="s">
        <v>26441</v>
      </c>
      <c r="E4988" s="249" t="str">
        <f>HYPERLINK("https://www.instagram.com/p/BYsYqHTAXXg/")</f>
        <v>https://www.instagram.com/p/BYsYqHTAXXg/</v>
      </c>
      <c r="F4988" t="s">
        <v>26442</v>
      </c>
      <c r="G4988" t="s">
        <v>2631</v>
      </c>
      <c r="H4988">
        <v>706</v>
      </c>
      <c r="I4988" t="s">
        <v>2479</v>
      </c>
      <c r="J4988">
        <v>0</v>
      </c>
      <c r="K4988">
        <v>24</v>
      </c>
      <c r="L4988">
        <v>24</v>
      </c>
      <c r="Q4988">
        <v>0</v>
      </c>
      <c r="R4988">
        <v>0</v>
      </c>
      <c r="S4988">
        <v>24</v>
      </c>
      <c r="Y4988" t="s">
        <v>26443</v>
      </c>
      <c r="Z4988" t="s">
        <v>2497</v>
      </c>
      <c r="AA4988" t="s">
        <v>26440</v>
      </c>
      <c r="AB4988" t="s">
        <v>26444</v>
      </c>
      <c r="AC4988" t="s">
        <v>6864</v>
      </c>
      <c r="AD4988" s="249" t="str">
        <f>HYPERLINK("https://scontent.cdninstagram.com/t51.2885-15/s320x320/e15/21373643_492027957829654_468151997904715776_n.jpg")</f>
        <v>https://scontent.cdninstagram.com/t51.2885-15/s320x320/e15/21373643_492027957829654_468151997904715776_n.jpg</v>
      </c>
      <c r="AE4988" s="249" t="str">
        <f>HYPERLINK("https://scontent.cdninstagram.com/t51.2885-19/s150x150/14606954_366374897048700_5698076529704042496_a.jpg")</f>
        <v>https://scontent.cdninstagram.com/t51.2885-19/s150x150/14606954_366374897048700_5698076529704042496_a.jpg</v>
      </c>
    </row>
    <row r="4989" spans="1:31" ht="15" x14ac:dyDescent="0.25">
      <c r="A4989" t="s">
        <v>2474</v>
      </c>
      <c r="B4989" t="s">
        <v>26445</v>
      </c>
      <c r="C4989" s="221">
        <v>42984.203321759262</v>
      </c>
      <c r="D4989" t="s">
        <v>26446</v>
      </c>
      <c r="E4989" s="249" t="str">
        <f>HYPERLINK("https://www.instagram.com/p/BYsYxolH85d/")</f>
        <v>https://www.instagram.com/p/BYsYxolH85d/</v>
      </c>
      <c r="F4989" t="s">
        <v>26447</v>
      </c>
      <c r="G4989" t="s">
        <v>2478</v>
      </c>
      <c r="H4989">
        <v>283</v>
      </c>
      <c r="I4989" t="s">
        <v>2479</v>
      </c>
      <c r="J4989">
        <v>1</v>
      </c>
      <c r="K4989">
        <v>44</v>
      </c>
      <c r="L4989">
        <v>45</v>
      </c>
      <c r="Q4989">
        <v>0</v>
      </c>
      <c r="R4989">
        <v>0</v>
      </c>
      <c r="S4989">
        <v>45</v>
      </c>
      <c r="T4989" t="s">
        <v>26448</v>
      </c>
      <c r="V4989" t="s">
        <v>2102</v>
      </c>
      <c r="W4989">
        <v>-37.815800000000003</v>
      </c>
      <c r="X4989">
        <v>144.99799999999999</v>
      </c>
      <c r="Y4989" t="s">
        <v>26449</v>
      </c>
      <c r="Z4989" t="s">
        <v>8119</v>
      </c>
      <c r="AA4989" t="s">
        <v>26450</v>
      </c>
      <c r="AB4989" t="s">
        <v>2734</v>
      </c>
      <c r="AC4989" t="s">
        <v>6760</v>
      </c>
      <c r="AD4989" s="249" t="str">
        <f>HYPERLINK("https://scontent.cdninstagram.com/t51.2885-15/s320x320/e35/21435561_137101106899907_5867681584177479680_n.jpg")</f>
        <v>https://scontent.cdninstagram.com/t51.2885-15/s320x320/e35/21435561_137101106899907_5867681584177479680_n.jpg</v>
      </c>
      <c r="AE4989" s="249" t="str">
        <f>HYPERLINK("https://scontent.cdninstagram.com/t51.2885-19/s150x150/12081092_993715404004262_2066340140_a.jpg")</f>
        <v>https://scontent.cdninstagram.com/t51.2885-19/s150x150/12081092_993715404004262_2066340140_a.jpg</v>
      </c>
    </row>
    <row r="4990" spans="1:31" ht="15" x14ac:dyDescent="0.25">
      <c r="A4990" t="s">
        <v>2474</v>
      </c>
      <c r="B4990" t="s">
        <v>5699</v>
      </c>
      <c r="C4990" s="221">
        <v>42984.207870370374</v>
      </c>
      <c r="D4990" t="s">
        <v>26451</v>
      </c>
      <c r="E4990" s="249" t="str">
        <f>HYPERLINK("https://www.instagram.com/p/BYsZhquBZAU/")</f>
        <v>https://www.instagram.com/p/BYsZhquBZAU/</v>
      </c>
      <c r="F4990" t="s">
        <v>26452</v>
      </c>
      <c r="G4990" t="s">
        <v>2478</v>
      </c>
      <c r="H4990">
        <v>96</v>
      </c>
      <c r="I4990" t="s">
        <v>2542</v>
      </c>
      <c r="J4990">
        <v>0</v>
      </c>
      <c r="K4990">
        <v>21</v>
      </c>
      <c r="L4990">
        <v>21</v>
      </c>
      <c r="Q4990">
        <v>0</v>
      </c>
      <c r="R4990">
        <v>0</v>
      </c>
      <c r="S4990">
        <v>21</v>
      </c>
      <c r="T4990" t="s">
        <v>3474</v>
      </c>
      <c r="V4990" t="s">
        <v>2258</v>
      </c>
      <c r="W4990">
        <v>1.2930600000000001</v>
      </c>
      <c r="X4990">
        <v>103.85599999999999</v>
      </c>
      <c r="Y4990" t="s">
        <v>3476</v>
      </c>
      <c r="Z4990" t="s">
        <v>5706</v>
      </c>
      <c r="AA4990" t="s">
        <v>5702</v>
      </c>
      <c r="AB4990" t="s">
        <v>2832</v>
      </c>
      <c r="AC4990" t="s">
        <v>16467</v>
      </c>
      <c r="AD4990" s="249" t="str">
        <f>HYPERLINK("https://scontent.cdninstagram.com/t51.2885-15/s320x320/e35/21433675_379250259159144_2164523458300477440_n.jpg")</f>
        <v>https://scontent.cdninstagram.com/t51.2885-15/s320x320/e35/21433675_379250259159144_2164523458300477440_n.jpg</v>
      </c>
      <c r="AE4990" s="249" t="str">
        <f>HYPERLINK("https://scontent.cdninstagram.com/t51.2885-19/s150x150/18252635_446319085720165_2717160400675143680_a.jpg")</f>
        <v>https://scontent.cdninstagram.com/t51.2885-19/s150x150/18252635_446319085720165_2717160400675143680_a.jpg</v>
      </c>
    </row>
    <row r="4991" spans="1:31" ht="15" x14ac:dyDescent="0.25">
      <c r="A4991" t="s">
        <v>2474</v>
      </c>
      <c r="B4991" t="s">
        <v>25901</v>
      </c>
      <c r="C4991" s="221">
        <v>42984.208981481483</v>
      </c>
      <c r="D4991" t="s">
        <v>26453</v>
      </c>
      <c r="E4991" s="249" t="str">
        <f>HYPERLINK("https://www.instagram.com/p/BYsZtVVF1Yf/")</f>
        <v>https://www.instagram.com/p/BYsZtVVF1Yf/</v>
      </c>
      <c r="F4991" t="s">
        <v>26454</v>
      </c>
      <c r="G4991" t="s">
        <v>2478</v>
      </c>
      <c r="H4991">
        <v>455</v>
      </c>
      <c r="I4991" t="s">
        <v>2479</v>
      </c>
      <c r="J4991">
        <v>0</v>
      </c>
      <c r="K4991">
        <v>48</v>
      </c>
      <c r="L4991">
        <v>48</v>
      </c>
      <c r="Q4991">
        <v>0</v>
      </c>
      <c r="R4991">
        <v>0</v>
      </c>
      <c r="S4991">
        <v>48</v>
      </c>
      <c r="Y4991" t="s">
        <v>26455</v>
      </c>
      <c r="Z4991" t="s">
        <v>26199</v>
      </c>
      <c r="AA4991" t="s">
        <v>26456</v>
      </c>
      <c r="AB4991" t="s">
        <v>25906</v>
      </c>
      <c r="AC4991" t="s">
        <v>5884</v>
      </c>
      <c r="AD4991" s="249" t="str">
        <f>HYPERLINK("https://scontent.cdninstagram.com/t51.2885-15/e35/p320x320/21373464_1916757468566185_194291534353399808_n.jpg")</f>
        <v>https://scontent.cdninstagram.com/t51.2885-15/e35/p320x320/21373464_1916757468566185_194291534353399808_n.jpg</v>
      </c>
      <c r="AE4991" s="249" t="str">
        <f>HYPERLINK("https://scontent.cdninstagram.com/t51.2885-19/s150x150/19120264_433924860306759_6004906278910951424_n.jpg")</f>
        <v>https://scontent.cdninstagram.com/t51.2885-19/s150x150/19120264_433924860306759_6004906278910951424_n.jpg</v>
      </c>
    </row>
    <row r="4992" spans="1:31" ht="15" x14ac:dyDescent="0.25">
      <c r="A4992" t="s">
        <v>2474</v>
      </c>
      <c r="B4992" t="s">
        <v>3015</v>
      </c>
      <c r="C4992" s="221">
        <v>42984.209085648145</v>
      </c>
      <c r="D4992" t="s">
        <v>26457</v>
      </c>
      <c r="E4992" s="249" t="str">
        <f>HYPERLINK("https://www.instagram.com/p/BYsZugiARbF/")</f>
        <v>https://www.instagram.com/p/BYsZugiARbF/</v>
      </c>
      <c r="F4992" t="s">
        <v>26458</v>
      </c>
      <c r="G4992" t="s">
        <v>2478</v>
      </c>
      <c r="H4992">
        <v>271</v>
      </c>
      <c r="I4992" t="s">
        <v>2479</v>
      </c>
      <c r="J4992">
        <v>0</v>
      </c>
      <c r="K4992">
        <v>92</v>
      </c>
      <c r="L4992">
        <v>92</v>
      </c>
      <c r="Q4992">
        <v>0</v>
      </c>
      <c r="R4992">
        <v>0</v>
      </c>
      <c r="S4992">
        <v>92</v>
      </c>
      <c r="Y4992" t="s">
        <v>10032</v>
      </c>
      <c r="Z4992" t="s">
        <v>4129</v>
      </c>
      <c r="AA4992" t="s">
        <v>3571</v>
      </c>
      <c r="AB4992" t="s">
        <v>3492</v>
      </c>
      <c r="AC4992" t="s">
        <v>3018</v>
      </c>
      <c r="AD4992" s="249" t="str">
        <f>HYPERLINK("https://scontent.cdninstagram.com/t51.2885-15/e35/p320x320/21479853_2126970270863584_7850420345516326912_n.jpg")</f>
        <v>https://scontent.cdninstagram.com/t51.2885-15/e35/p320x320/21479853_2126970270863584_7850420345516326912_n.jpg</v>
      </c>
      <c r="AE4992" s="249" t="str">
        <f>HYPERLINK("https://scontent.cdninstagram.com/t51.2885-19/s150x150/21373025_723410537866046_6184601968204316672_a.jpg")</f>
        <v>https://scontent.cdninstagram.com/t51.2885-19/s150x150/21373025_723410537866046_6184601968204316672_a.jpg</v>
      </c>
    </row>
    <row r="4993" spans="1:31" ht="15" x14ac:dyDescent="0.25">
      <c r="A4993" t="s">
        <v>2474</v>
      </c>
      <c r="B4993" t="s">
        <v>26459</v>
      </c>
      <c r="C4993" s="221">
        <v>42984.210925925923</v>
      </c>
      <c r="D4993" t="s">
        <v>26460</v>
      </c>
      <c r="E4993" s="249" t="str">
        <f>HYPERLINK("https://www.instagram.com/p/BYsaB5XHeQ6/")</f>
        <v>https://www.instagram.com/p/BYsaB5XHeQ6/</v>
      </c>
      <c r="F4993" t="s">
        <v>26461</v>
      </c>
      <c r="G4993" t="s">
        <v>2478</v>
      </c>
      <c r="H4993">
        <v>155</v>
      </c>
      <c r="I4993" t="s">
        <v>2479</v>
      </c>
      <c r="J4993">
        <v>0</v>
      </c>
      <c r="K4993">
        <v>48</v>
      </c>
      <c r="L4993">
        <v>48</v>
      </c>
      <c r="Q4993">
        <v>0</v>
      </c>
      <c r="R4993">
        <v>0</v>
      </c>
      <c r="S4993">
        <v>48</v>
      </c>
      <c r="Y4993" t="s">
        <v>3535</v>
      </c>
      <c r="Z4993" t="s">
        <v>3349</v>
      </c>
      <c r="AA4993" t="s">
        <v>11943</v>
      </c>
      <c r="AB4993" t="s">
        <v>6835</v>
      </c>
      <c r="AC4993" t="s">
        <v>5168</v>
      </c>
      <c r="AD4993" s="249" t="str">
        <f>HYPERLINK("https://scontent.cdninstagram.com/t51.2885-15/s320x320/e35/21372873_730385187164019_7809458443550457856_n.jpg")</f>
        <v>https://scontent.cdninstagram.com/t51.2885-15/s320x320/e35/21372873_730385187164019_7809458443550457856_n.jpg</v>
      </c>
      <c r="AE4993" s="249" t="str">
        <f>HYPERLINK("https://scontent.cdninstagram.com/t51.2885-19/s150x150/17334198_1245563168891595_7843168984726765568_a.jpg")</f>
        <v>https://scontent.cdninstagram.com/t51.2885-19/s150x150/17334198_1245563168891595_7843168984726765568_a.jpg</v>
      </c>
    </row>
    <row r="4994" spans="1:31" ht="15" x14ac:dyDescent="0.25">
      <c r="A4994" t="s">
        <v>2474</v>
      </c>
      <c r="B4994" t="s">
        <v>26462</v>
      </c>
      <c r="C4994" s="221">
        <v>42984.212048611109</v>
      </c>
      <c r="D4994" t="s">
        <v>26463</v>
      </c>
      <c r="E4994" s="249" t="str">
        <f>HYPERLINK("https://www.instagram.com/p/BYsaNvGDc82/")</f>
        <v>https://www.instagram.com/p/BYsaNvGDc82/</v>
      </c>
      <c r="F4994" t="s">
        <v>26464</v>
      </c>
      <c r="G4994" t="s">
        <v>2478</v>
      </c>
      <c r="H4994">
        <v>258</v>
      </c>
      <c r="I4994" t="s">
        <v>2479</v>
      </c>
      <c r="J4994">
        <v>2</v>
      </c>
      <c r="K4994">
        <v>25</v>
      </c>
      <c r="L4994">
        <v>27</v>
      </c>
      <c r="Q4994">
        <v>0</v>
      </c>
      <c r="R4994">
        <v>0</v>
      </c>
      <c r="S4994">
        <v>27</v>
      </c>
      <c r="Y4994" t="s">
        <v>7692</v>
      </c>
      <c r="Z4994" t="s">
        <v>9529</v>
      </c>
      <c r="AA4994" t="s">
        <v>2497</v>
      </c>
      <c r="AB4994" t="s">
        <v>26465</v>
      </c>
      <c r="AC4994" t="s">
        <v>5267</v>
      </c>
      <c r="AD4994" s="249" t="str">
        <f>HYPERLINK("https://scontent.cdninstagram.com/t51.2885-15/s320x320/e35/21435843_1953824541527662_2267968840841297920_n.jpg")</f>
        <v>https://scontent.cdninstagram.com/t51.2885-15/s320x320/e35/21435843_1953824541527662_2267968840841297920_n.jpg</v>
      </c>
      <c r="AE4994" s="249" t="str">
        <f>HYPERLINK("https://scontent.cdninstagram.com/t51.2885-19/s150x150/21372244_147039642562650_5137978374437732352_a.jpg")</f>
        <v>https://scontent.cdninstagram.com/t51.2885-19/s150x150/21372244_147039642562650_5137978374437732352_a.jpg</v>
      </c>
    </row>
    <row r="4995" spans="1:31" ht="15" x14ac:dyDescent="0.25">
      <c r="A4995" t="s">
        <v>2474</v>
      </c>
      <c r="B4995" t="s">
        <v>26466</v>
      </c>
      <c r="C4995" s="221">
        <v>42984.21429398148</v>
      </c>
      <c r="D4995" t="s">
        <v>26467</v>
      </c>
      <c r="E4995" s="249" t="str">
        <f>HYPERLINK("https://www.instagram.com/p/BYsalcGAQg9/")</f>
        <v>https://www.instagram.com/p/BYsalcGAQg9/</v>
      </c>
      <c r="F4995" t="s">
        <v>26468</v>
      </c>
      <c r="G4995" t="s">
        <v>2478</v>
      </c>
      <c r="H4995">
        <v>194</v>
      </c>
      <c r="I4995" t="s">
        <v>2479</v>
      </c>
      <c r="J4995">
        <v>1</v>
      </c>
      <c r="K4995">
        <v>13</v>
      </c>
      <c r="L4995">
        <v>14</v>
      </c>
      <c r="Q4995">
        <v>0</v>
      </c>
      <c r="R4995">
        <v>0</v>
      </c>
      <c r="S4995">
        <v>14</v>
      </c>
      <c r="Y4995" t="s">
        <v>2497</v>
      </c>
      <c r="Z4995" t="s">
        <v>13496</v>
      </c>
      <c r="AA4995" t="s">
        <v>7644</v>
      </c>
      <c r="AB4995" t="s">
        <v>26469</v>
      </c>
      <c r="AC4995" t="s">
        <v>11777</v>
      </c>
      <c r="AD4995" s="249" t="str">
        <f>HYPERLINK("https://scontent.cdninstagram.com/t51.2885-15/e35/p320x320/21371994_113767212648900_3004585272890359808_n.jpg")</f>
        <v>https://scontent.cdninstagram.com/t51.2885-15/e35/p320x320/21371994_113767212648900_3004585272890359808_n.jpg</v>
      </c>
      <c r="AE4995" s="249" t="str">
        <f>HYPERLINK("https://scontent.cdninstagram.com/t51.2885-19/s150x150/20902384_110646542958474_3701261506973794304_a.jpg")</f>
        <v>https://scontent.cdninstagram.com/t51.2885-19/s150x150/20902384_110646542958474_3701261506973794304_a.jpg</v>
      </c>
    </row>
    <row r="4996" spans="1:31" ht="15" x14ac:dyDescent="0.25">
      <c r="A4996" t="s">
        <v>2474</v>
      </c>
      <c r="B4996" t="s">
        <v>26470</v>
      </c>
      <c r="C4996" s="221">
        <v>42984.216180555559</v>
      </c>
      <c r="D4996" t="s">
        <v>26471</v>
      </c>
      <c r="E4996" s="249" t="str">
        <f>HYPERLINK("https://www.instagram.com/p/BYsa5SGjbms/")</f>
        <v>https://www.instagram.com/p/BYsa5SGjbms/</v>
      </c>
      <c r="F4996" t="s">
        <v>26472</v>
      </c>
      <c r="G4996" t="s">
        <v>2478</v>
      </c>
      <c r="H4996">
        <v>436</v>
      </c>
      <c r="I4996" t="s">
        <v>2510</v>
      </c>
      <c r="J4996">
        <v>2</v>
      </c>
      <c r="K4996">
        <v>48</v>
      </c>
      <c r="L4996">
        <v>50</v>
      </c>
      <c r="Q4996">
        <v>0</v>
      </c>
      <c r="R4996">
        <v>0</v>
      </c>
      <c r="S4996">
        <v>50</v>
      </c>
      <c r="T4996" t="s">
        <v>26473</v>
      </c>
      <c r="V4996" t="s">
        <v>2110</v>
      </c>
      <c r="W4996">
        <v>51.178563032589999</v>
      </c>
      <c r="X4996">
        <v>4.7320516563238</v>
      </c>
      <c r="Y4996" t="s">
        <v>26394</v>
      </c>
      <c r="Z4996" t="s">
        <v>2497</v>
      </c>
      <c r="AA4996" t="s">
        <v>8144</v>
      </c>
      <c r="AB4996" t="s">
        <v>9154</v>
      </c>
      <c r="AC4996" t="s">
        <v>26474</v>
      </c>
      <c r="AD4996" s="249" t="str">
        <f>HYPERLINK("https://scontent.cdninstagram.com/t51.2885-15/e35/p320x320/21435904_960740274065059_5708548677878939648_n.jpg")</f>
        <v>https://scontent.cdninstagram.com/t51.2885-15/e35/p320x320/21435904_960740274065059_5708548677878939648_n.jpg</v>
      </c>
      <c r="AE4996" s="249" t="str">
        <f>HYPERLINK("https://scontent.cdninstagram.com/t51.2885-19/s150x150/18948276_439759683064993_6571886496498843648_a.jpg")</f>
        <v>https://scontent.cdninstagram.com/t51.2885-19/s150x150/18948276_439759683064993_6571886496498843648_a.jpg</v>
      </c>
    </row>
    <row r="4997" spans="1:31" ht="15" x14ac:dyDescent="0.25">
      <c r="A4997" t="s">
        <v>2474</v>
      </c>
      <c r="B4997" t="s">
        <v>26475</v>
      </c>
      <c r="C4997" s="221">
        <v>42984.226724537039</v>
      </c>
      <c r="D4997" t="s">
        <v>26476</v>
      </c>
      <c r="E4997" s="249" t="str">
        <f>HYPERLINK("https://www.instagram.com/p/BYscohDgdhY/")</f>
        <v>https://www.instagram.com/p/BYscohDgdhY/</v>
      </c>
      <c r="F4997" t="s">
        <v>26477</v>
      </c>
      <c r="G4997" t="s">
        <v>2478</v>
      </c>
      <c r="H4997">
        <v>136</v>
      </c>
      <c r="I4997" t="s">
        <v>2542</v>
      </c>
      <c r="J4997">
        <v>0</v>
      </c>
      <c r="K4997">
        <v>9</v>
      </c>
      <c r="L4997">
        <v>9</v>
      </c>
      <c r="Q4997">
        <v>0</v>
      </c>
      <c r="R4997">
        <v>0</v>
      </c>
      <c r="S4997">
        <v>9</v>
      </c>
      <c r="Y4997" t="s">
        <v>19363</v>
      </c>
      <c r="Z4997" t="s">
        <v>2497</v>
      </c>
      <c r="AA4997" t="s">
        <v>9897</v>
      </c>
      <c r="AB4997" t="s">
        <v>26478</v>
      </c>
      <c r="AC4997" t="s">
        <v>26479</v>
      </c>
      <c r="AD4997" s="249" t="str">
        <f>HYPERLINK("https://scontent.cdninstagram.com/t51.2885-15/s320x320/e35/21433499_477861165911741_3515712524580290560_n.jpg")</f>
        <v>https://scontent.cdninstagram.com/t51.2885-15/s320x320/e35/21433499_477861165911741_3515712524580290560_n.jpg</v>
      </c>
      <c r="AE4997" s="249" t="str">
        <f>HYPERLINK("https://scontent.cdninstagram.com/t51.2885-19/s150x150/14565092_1701687103484180_7074557722087129088_a.jpg")</f>
        <v>https://scontent.cdninstagram.com/t51.2885-19/s150x150/14565092_1701687103484180_7074557722087129088_a.jpg</v>
      </c>
    </row>
    <row r="4998" spans="1:31" ht="15" x14ac:dyDescent="0.25">
      <c r="A4998" t="s">
        <v>2474</v>
      </c>
      <c r="B4998" t="s">
        <v>26480</v>
      </c>
      <c r="C4998" s="221">
        <v>42984.237164351849</v>
      </c>
      <c r="D4998" t="s">
        <v>26481</v>
      </c>
      <c r="E4998" s="249" t="str">
        <f>HYPERLINK("https://www.instagram.com/p/BYseWp1h6Gk/")</f>
        <v>https://www.instagram.com/p/BYseWp1h6Gk/</v>
      </c>
      <c r="F4998" t="s">
        <v>26482</v>
      </c>
      <c r="G4998" t="s">
        <v>2478</v>
      </c>
      <c r="H4998">
        <v>89</v>
      </c>
      <c r="I4998" t="s">
        <v>3170</v>
      </c>
      <c r="J4998">
        <v>0</v>
      </c>
      <c r="K4998">
        <v>15</v>
      </c>
      <c r="L4998">
        <v>15</v>
      </c>
      <c r="Q4998">
        <v>0</v>
      </c>
      <c r="R4998">
        <v>0</v>
      </c>
      <c r="S4998">
        <v>15</v>
      </c>
      <c r="Y4998" t="s">
        <v>2492</v>
      </c>
      <c r="Z4998" t="s">
        <v>2497</v>
      </c>
      <c r="AA4998" t="s">
        <v>26483</v>
      </c>
      <c r="AD4998" s="249" t="str">
        <f>HYPERLINK("https://scontent.cdninstagram.com/t51.2885-15/s320x320/e35/21371626_367464090344779_572919641962184704_n.jpg")</f>
        <v>https://scontent.cdninstagram.com/t51.2885-15/s320x320/e35/21371626_367464090344779_572919641962184704_n.jpg</v>
      </c>
      <c r="AE4998" s="249" t="str">
        <f>HYPERLINK("https://scontent.cdninstagram.com/t51.2885-19/s150x150/20394413_1756750861009320_2826730058687709184_a.jpg")</f>
        <v>https://scontent.cdninstagram.com/t51.2885-19/s150x150/20394413_1756750861009320_2826730058687709184_a.jpg</v>
      </c>
    </row>
    <row r="4999" spans="1:31" ht="15" x14ac:dyDescent="0.25">
      <c r="A4999" t="s">
        <v>2474</v>
      </c>
      <c r="B4999" t="s">
        <v>26484</v>
      </c>
      <c r="C4999" s="221">
        <v>42984.237881944442</v>
      </c>
      <c r="D4999" t="s">
        <v>26485</v>
      </c>
      <c r="E4999" s="249" t="str">
        <f>HYPERLINK("https://www.instagram.com/p/BYseeLIgXuv/")</f>
        <v>https://www.instagram.com/p/BYseeLIgXuv/</v>
      </c>
      <c r="F4999" t="s">
        <v>26486</v>
      </c>
      <c r="G4999" t="s">
        <v>2478</v>
      </c>
      <c r="H4999">
        <v>505</v>
      </c>
      <c r="I4999" t="s">
        <v>2479</v>
      </c>
      <c r="J4999">
        <v>5</v>
      </c>
      <c r="K4999">
        <v>53</v>
      </c>
      <c r="L4999">
        <v>58</v>
      </c>
      <c r="Q4999">
        <v>0</v>
      </c>
      <c r="R4999">
        <v>0</v>
      </c>
      <c r="S4999">
        <v>58</v>
      </c>
      <c r="Y4999" t="s">
        <v>3349</v>
      </c>
      <c r="Z4999" t="s">
        <v>26487</v>
      </c>
      <c r="AA4999" t="s">
        <v>4839</v>
      </c>
      <c r="AB4999" t="s">
        <v>2983</v>
      </c>
      <c r="AC4999" t="s">
        <v>26488</v>
      </c>
      <c r="AD4999" s="249" t="str">
        <f>HYPERLINK("https://scontent.cdninstagram.com/t51.2885-15/s320x320/e35/21373434_820855764752424_6406704377871990784_n.jpg")</f>
        <v>https://scontent.cdninstagram.com/t51.2885-15/s320x320/e35/21373434_820855764752424_6406704377871990784_n.jpg</v>
      </c>
      <c r="AE4999" s="249" t="str">
        <f>HYPERLINK("https://scontent.cdninstagram.com/t51.2885-19/11821167_696293420501489_532326832_a.jpg")</f>
        <v>https://scontent.cdninstagram.com/t51.2885-19/11821167_696293420501489_532326832_a.jpg</v>
      </c>
    </row>
    <row r="5000" spans="1:31" ht="15" x14ac:dyDescent="0.25">
      <c r="A5000" t="s">
        <v>2474</v>
      </c>
      <c r="B5000" t="s">
        <v>26489</v>
      </c>
      <c r="C5000" s="221">
        <v>42984.242094907408</v>
      </c>
      <c r="D5000" t="s">
        <v>26490</v>
      </c>
      <c r="E5000" s="249" t="str">
        <f>HYPERLINK("https://www.instagram.com/p/BYsfKkAhifP/")</f>
        <v>https://www.instagram.com/p/BYsfKkAhifP/</v>
      </c>
      <c r="F5000" t="s">
        <v>26491</v>
      </c>
      <c r="G5000" t="s">
        <v>2478</v>
      </c>
      <c r="H5000">
        <v>253</v>
      </c>
      <c r="I5000" t="s">
        <v>2542</v>
      </c>
      <c r="J5000">
        <v>1</v>
      </c>
      <c r="K5000">
        <v>18</v>
      </c>
      <c r="L5000">
        <v>19</v>
      </c>
      <c r="Q5000">
        <v>0</v>
      </c>
      <c r="R5000">
        <v>0</v>
      </c>
      <c r="S5000">
        <v>19</v>
      </c>
      <c r="Y5000" t="s">
        <v>26492</v>
      </c>
      <c r="Z5000" t="s">
        <v>2497</v>
      </c>
      <c r="AA5000" t="s">
        <v>3775</v>
      </c>
      <c r="AB5000" t="s">
        <v>8753</v>
      </c>
      <c r="AC5000" t="s">
        <v>26493</v>
      </c>
      <c r="AD5000" s="249" t="str">
        <f>HYPERLINK("https://scontent.cdninstagram.com/t51.2885-15/s320x320/e35/21480347_358363987917532_6967487202464890880_n.jpg")</f>
        <v>https://scontent.cdninstagram.com/t51.2885-15/s320x320/e35/21480347_358363987917532_6967487202464890880_n.jpg</v>
      </c>
      <c r="AE5000" s="249" t="str">
        <f>HYPERLINK("https://scontent.cdninstagram.com/t51.2885-19/s150x150/20065431_1408482529245691_8501164867896475648_a.jpg")</f>
        <v>https://scontent.cdninstagram.com/t51.2885-19/s150x150/20065431_1408482529245691_8501164867896475648_a.jpg</v>
      </c>
    </row>
    <row r="5001" spans="1:31" ht="15" x14ac:dyDescent="0.25">
      <c r="A5001" t="s">
        <v>2474</v>
      </c>
      <c r="B5001" t="s">
        <v>26494</v>
      </c>
      <c r="C5001" s="221">
        <v>42984.245381944442</v>
      </c>
      <c r="D5001" t="s">
        <v>26495</v>
      </c>
      <c r="E5001" s="249" t="str">
        <f>HYPERLINK("https://www.instagram.com/p/BYsftUWlo_v/")</f>
        <v>https://www.instagram.com/p/BYsftUWlo_v/</v>
      </c>
      <c r="F5001" t="s">
        <v>26496</v>
      </c>
      <c r="G5001" t="s">
        <v>2631</v>
      </c>
      <c r="H5001">
        <v>192</v>
      </c>
      <c r="I5001" t="s">
        <v>2479</v>
      </c>
      <c r="J5001">
        <v>8</v>
      </c>
      <c r="K5001">
        <v>14</v>
      </c>
      <c r="L5001">
        <v>22</v>
      </c>
      <c r="Q5001">
        <v>0</v>
      </c>
      <c r="R5001">
        <v>0</v>
      </c>
      <c r="S5001">
        <v>22</v>
      </c>
      <c r="T5001" t="s">
        <v>26497</v>
      </c>
      <c r="V5001" t="s">
        <v>2263</v>
      </c>
      <c r="W5001">
        <v>-33.908498318409997</v>
      </c>
      <c r="X5001">
        <v>18.422892093658</v>
      </c>
      <c r="Y5001" t="s">
        <v>26498</v>
      </c>
      <c r="Z5001" t="s">
        <v>2497</v>
      </c>
      <c r="AA5001" t="s">
        <v>26499</v>
      </c>
      <c r="AB5001" t="s">
        <v>26500</v>
      </c>
      <c r="AC5001" t="s">
        <v>6368</v>
      </c>
      <c r="AD5001" s="249" t="str">
        <f>HYPERLINK("https://scontent.cdninstagram.com/t51.2885-15/s320x320/e15/21372270_148166345780229_1280371171602202624_n.jpg")</f>
        <v>https://scontent.cdninstagram.com/t51.2885-15/s320x320/e15/21372270_148166345780229_1280371171602202624_n.jpg</v>
      </c>
      <c r="AE5001" s="249" t="str">
        <f>HYPERLINK("https://scontent.cdninstagram.com/t51.2885-19/s150x150/20478756_462425680796170_6470590332772810752_a.jpg")</f>
        <v>https://scontent.cdninstagram.com/t51.2885-19/s150x150/20478756_462425680796170_6470590332772810752_a.jpg</v>
      </c>
    </row>
    <row r="5002" spans="1:31" ht="15" x14ac:dyDescent="0.25">
      <c r="A5002" t="s">
        <v>2474</v>
      </c>
      <c r="B5002" t="s">
        <v>26501</v>
      </c>
      <c r="C5002" s="221">
        <v>42984.251400462963</v>
      </c>
      <c r="D5002" t="s">
        <v>26502</v>
      </c>
      <c r="E5002" s="249" t="str">
        <f>HYPERLINK("https://www.instagram.com/p/BYsgsvjAK27/")</f>
        <v>https://www.instagram.com/p/BYsgsvjAK27/</v>
      </c>
      <c r="F5002" t="s">
        <v>26503</v>
      </c>
      <c r="G5002" t="s">
        <v>2478</v>
      </c>
      <c r="H5002">
        <v>2044</v>
      </c>
      <c r="I5002" t="s">
        <v>2479</v>
      </c>
      <c r="J5002">
        <v>0</v>
      </c>
      <c r="K5002">
        <v>20</v>
      </c>
      <c r="L5002">
        <v>20</v>
      </c>
      <c r="Q5002">
        <v>0</v>
      </c>
      <c r="R5002">
        <v>0</v>
      </c>
      <c r="S5002">
        <v>20</v>
      </c>
      <c r="T5002" t="s">
        <v>26504</v>
      </c>
      <c r="U5002" t="s">
        <v>122</v>
      </c>
      <c r="V5002" t="s">
        <v>2299</v>
      </c>
      <c r="W5002">
        <v>37.757620000000003</v>
      </c>
      <c r="X5002">
        <v>-122.38992</v>
      </c>
      <c r="Y5002" t="s">
        <v>26505</v>
      </c>
      <c r="Z5002" t="s">
        <v>2497</v>
      </c>
      <c r="AA5002" t="s">
        <v>7195</v>
      </c>
      <c r="AD5002" s="249" t="str">
        <f>HYPERLINK("https://scontent.cdninstagram.com/t51.2885-15/s320x320/e35/21373209_1934379233446540_69377036229017600_n.jpg")</f>
        <v>https://scontent.cdninstagram.com/t51.2885-15/s320x320/e35/21373209_1934379233446540_69377036229017600_n.jpg</v>
      </c>
      <c r="AE5002" s="249" t="str">
        <f>HYPERLINK("https://scontent.cdninstagram.com/t51.2885-19/11312280_396840330501691_852527332_a.jpg")</f>
        <v>https://scontent.cdninstagram.com/t51.2885-19/11312280_396840330501691_852527332_a.jpg</v>
      </c>
    </row>
    <row r="5003" spans="1:31" ht="15" x14ac:dyDescent="0.25">
      <c r="A5003" t="s">
        <v>2474</v>
      </c>
      <c r="B5003" t="s">
        <v>26506</v>
      </c>
      <c r="C5003" s="221">
        <v>42984.273229166669</v>
      </c>
      <c r="D5003" t="s">
        <v>26507</v>
      </c>
      <c r="E5003" s="249" t="str">
        <f>HYPERLINK("https://www.instagram.com/p/BYskS9FD2zu/")</f>
        <v>https://www.instagram.com/p/BYskS9FD2zu/</v>
      </c>
      <c r="F5003" t="s">
        <v>26508</v>
      </c>
      <c r="G5003" t="s">
        <v>2478</v>
      </c>
      <c r="H5003">
        <v>306</v>
      </c>
      <c r="I5003" t="s">
        <v>2479</v>
      </c>
      <c r="J5003">
        <v>7</v>
      </c>
      <c r="K5003">
        <v>89</v>
      </c>
      <c r="L5003">
        <v>96</v>
      </c>
      <c r="Q5003">
        <v>0</v>
      </c>
      <c r="R5003">
        <v>0</v>
      </c>
      <c r="S5003">
        <v>96</v>
      </c>
      <c r="Y5003" t="s">
        <v>5162</v>
      </c>
      <c r="Z5003" t="s">
        <v>26509</v>
      </c>
      <c r="AA5003" t="s">
        <v>5950</v>
      </c>
      <c r="AB5003" t="s">
        <v>26510</v>
      </c>
      <c r="AC5003" t="s">
        <v>4993</v>
      </c>
      <c r="AD5003" s="249" t="str">
        <f>HYPERLINK("https://scontent.cdninstagram.com/t51.2885-15/s320x320/e35/21436300_703906706476469_6726345219953917952_n.jpg")</f>
        <v>https://scontent.cdninstagram.com/t51.2885-15/s320x320/e35/21436300_703906706476469_6726345219953917952_n.jpg</v>
      </c>
      <c r="AE5003" s="249" t="str">
        <f>HYPERLINK("https://scontent.cdninstagram.com/t51.2885-19/s150x150/17125798_386739551704847_5349758440094826496_a.jpg")</f>
        <v>https://scontent.cdninstagram.com/t51.2885-19/s150x150/17125798_386739551704847_5349758440094826496_a.jpg</v>
      </c>
    </row>
    <row r="5004" spans="1:31" ht="15" x14ac:dyDescent="0.25">
      <c r="A5004" t="s">
        <v>2474</v>
      </c>
      <c r="B5004" t="s">
        <v>26511</v>
      </c>
      <c r="C5004" s="221">
        <v>42984.278148148151</v>
      </c>
      <c r="D5004" t="s">
        <v>26512</v>
      </c>
      <c r="E5004" s="249" t="str">
        <f>HYPERLINK("https://www.instagram.com/p/BYslG5vArpK/")</f>
        <v>https://www.instagram.com/p/BYslG5vArpK/</v>
      </c>
      <c r="F5004" t="s">
        <v>26513</v>
      </c>
      <c r="G5004" t="s">
        <v>2478</v>
      </c>
      <c r="H5004">
        <v>90</v>
      </c>
      <c r="I5004" t="s">
        <v>2479</v>
      </c>
      <c r="J5004">
        <v>0</v>
      </c>
      <c r="K5004">
        <v>8</v>
      </c>
      <c r="L5004">
        <v>8</v>
      </c>
      <c r="Q5004">
        <v>0</v>
      </c>
      <c r="R5004">
        <v>0</v>
      </c>
      <c r="S5004">
        <v>8</v>
      </c>
      <c r="Y5004" t="s">
        <v>2497</v>
      </c>
      <c r="Z5004" t="s">
        <v>26514</v>
      </c>
      <c r="AA5004" t="s">
        <v>26515</v>
      </c>
      <c r="AB5004" t="s">
        <v>26516</v>
      </c>
      <c r="AC5004" t="s">
        <v>26517</v>
      </c>
      <c r="AD5004" s="249" t="str">
        <f>HYPERLINK("https://scontent.cdninstagram.com/t51.2885-15/e35/21435945_1286002481523301_195335782636978176_n.jpg")</f>
        <v>https://scontent.cdninstagram.com/t51.2885-15/e35/21435945_1286002481523301_195335782636978176_n.jpg</v>
      </c>
      <c r="AE5004" s="249" t="str">
        <f>HYPERLINK("https://scontent.cdninstagram.com/t51.2885-19/s150x150/14718562_1788557638094092_3531666648752717824_a.jpg")</f>
        <v>https://scontent.cdninstagram.com/t51.2885-19/s150x150/14718562_1788557638094092_3531666648752717824_a.jpg</v>
      </c>
    </row>
    <row r="5005" spans="1:31" ht="15" x14ac:dyDescent="0.25">
      <c r="A5005" t="s">
        <v>2474</v>
      </c>
      <c r="B5005" t="s">
        <v>26518</v>
      </c>
      <c r="C5005" s="221">
        <v>42984.281388888892</v>
      </c>
      <c r="D5005" t="s">
        <v>26519</v>
      </c>
      <c r="E5005" s="249" t="str">
        <f>HYPERLINK("https://www.instagram.com/p/BYslo-8jsOc/")</f>
        <v>https://www.instagram.com/p/BYslo-8jsOc/</v>
      </c>
      <c r="F5005" t="s">
        <v>26520</v>
      </c>
      <c r="G5005" t="s">
        <v>2478</v>
      </c>
      <c r="H5005">
        <v>473</v>
      </c>
      <c r="I5005" t="s">
        <v>2599</v>
      </c>
      <c r="J5005">
        <v>13</v>
      </c>
      <c r="K5005">
        <v>157</v>
      </c>
      <c r="L5005">
        <v>170</v>
      </c>
      <c r="Q5005">
        <v>0</v>
      </c>
      <c r="R5005">
        <v>0</v>
      </c>
      <c r="S5005">
        <v>170</v>
      </c>
      <c r="Y5005" t="s">
        <v>12412</v>
      </c>
      <c r="Z5005" t="s">
        <v>15957</v>
      </c>
      <c r="AA5005" t="s">
        <v>26521</v>
      </c>
      <c r="AB5005" t="s">
        <v>26522</v>
      </c>
      <c r="AC5005" t="s">
        <v>26523</v>
      </c>
      <c r="AD5005" s="249" t="str">
        <f>HYPERLINK("https://scontent.cdninstagram.com/t51.2885-15/e35/p320x320/21373633_1957485011198405_8711826768882827264_n.jpg")</f>
        <v>https://scontent.cdninstagram.com/t51.2885-15/e35/p320x320/21373633_1957485011198405_8711826768882827264_n.jpg</v>
      </c>
      <c r="AE5005" s="249" t="str">
        <f>HYPERLINK("https://scontent.cdninstagram.com/t51.2885-19/s150x150/19985836_1481989035191018_6604656968118304768_a.jpg")</f>
        <v>https://scontent.cdninstagram.com/t51.2885-19/s150x150/19985836_1481989035191018_6604656968118304768_a.jpg</v>
      </c>
    </row>
    <row r="5006" spans="1:31" ht="15" x14ac:dyDescent="0.25">
      <c r="A5006" t="s">
        <v>2474</v>
      </c>
      <c r="B5006" t="s">
        <v>5548</v>
      </c>
      <c r="C5006" s="221">
        <v>42984.285578703704</v>
      </c>
      <c r="D5006" t="s">
        <v>26524</v>
      </c>
      <c r="E5006" s="249" t="str">
        <f>HYPERLINK("https://www.instagram.com/p/BYsmVMOnqDr/")</f>
        <v>https://www.instagram.com/p/BYsmVMOnqDr/</v>
      </c>
      <c r="F5006" t="s">
        <v>26525</v>
      </c>
      <c r="G5006" t="s">
        <v>2478</v>
      </c>
      <c r="H5006">
        <v>856</v>
      </c>
      <c r="I5006" t="s">
        <v>2479</v>
      </c>
      <c r="J5006">
        <v>0</v>
      </c>
      <c r="K5006">
        <v>112</v>
      </c>
      <c r="L5006">
        <v>112</v>
      </c>
      <c r="Q5006">
        <v>0</v>
      </c>
      <c r="R5006">
        <v>0</v>
      </c>
      <c r="S5006">
        <v>112</v>
      </c>
      <c r="Y5006" t="s">
        <v>13887</v>
      </c>
      <c r="Z5006" t="s">
        <v>19449</v>
      </c>
      <c r="AA5006" t="s">
        <v>5950</v>
      </c>
      <c r="AB5006" t="s">
        <v>11745</v>
      </c>
      <c r="AC5006" t="s">
        <v>26526</v>
      </c>
      <c r="AD5006" s="249" t="str">
        <f>HYPERLINK("https://scontent.cdninstagram.com/t51.2885-15/s320x320/e35/21372119_1564303023626367_822362868543389696_n.jpg")</f>
        <v>https://scontent.cdninstagram.com/t51.2885-15/s320x320/e35/21372119_1564303023626367_822362868543389696_n.jpg</v>
      </c>
      <c r="AE5006" s="249" t="str">
        <f>HYPERLINK("https://scontent.cdninstagram.com/t51.2885-19/s150x150/13108909_1000696516646693_1898242059_a.jpg")</f>
        <v>https://scontent.cdninstagram.com/t51.2885-19/s150x150/13108909_1000696516646693_1898242059_a.jpg</v>
      </c>
    </row>
    <row r="5007" spans="1:31" ht="15" x14ac:dyDescent="0.25">
      <c r="A5007" t="s">
        <v>2474</v>
      </c>
      <c r="B5007" t="s">
        <v>11637</v>
      </c>
      <c r="C5007" s="221">
        <v>42984.287731481483</v>
      </c>
      <c r="D5007" t="s">
        <v>26527</v>
      </c>
      <c r="E5007" s="249" t="str">
        <f>HYPERLINK("https://www.instagram.com/p/BYsmr5mntd5/")</f>
        <v>https://www.instagram.com/p/BYsmr5mntd5/</v>
      </c>
      <c r="F5007" t="s">
        <v>26528</v>
      </c>
      <c r="G5007" t="s">
        <v>2478</v>
      </c>
      <c r="H5007">
        <v>604</v>
      </c>
      <c r="I5007" t="s">
        <v>2927</v>
      </c>
      <c r="J5007">
        <v>2</v>
      </c>
      <c r="K5007">
        <v>55</v>
      </c>
      <c r="L5007">
        <v>57</v>
      </c>
      <c r="Q5007">
        <v>0</v>
      </c>
      <c r="R5007">
        <v>0</v>
      </c>
      <c r="S5007">
        <v>57</v>
      </c>
      <c r="Y5007" t="s">
        <v>2492</v>
      </c>
      <c r="Z5007" t="s">
        <v>2497</v>
      </c>
      <c r="AA5007" t="s">
        <v>11640</v>
      </c>
      <c r="AB5007" t="s">
        <v>11641</v>
      </c>
      <c r="AC5007" t="s">
        <v>4253</v>
      </c>
      <c r="AD5007" s="249" t="str">
        <f>HYPERLINK("https://scontent.cdninstagram.com/t51.2885-15/e35/p320x320/21435381_128959441071435_8216072562354946048_n.jpg")</f>
        <v>https://scontent.cdninstagram.com/t51.2885-15/e35/p320x320/21435381_128959441071435_8216072562354946048_n.jpg</v>
      </c>
      <c r="AE5007" s="249" t="str">
        <f>HYPERLINK("https://scontent.cdninstagram.com/t51.2885-19/s150x150/20766072_1556596661027588_2496887604125892608_a.jpg")</f>
        <v>https://scontent.cdninstagram.com/t51.2885-19/s150x150/20766072_1556596661027588_2496887604125892608_a.jpg</v>
      </c>
    </row>
    <row r="5008" spans="1:31" ht="15" x14ac:dyDescent="0.25">
      <c r="A5008" t="s">
        <v>2474</v>
      </c>
      <c r="B5008" t="s">
        <v>26529</v>
      </c>
      <c r="C5008" s="221">
        <v>42984.291678240741</v>
      </c>
      <c r="D5008" t="s">
        <v>26530</v>
      </c>
      <c r="E5008" s="249" t="str">
        <f>HYPERLINK("https://www.instagram.com/p/BYsnVmEAd56/")</f>
        <v>https://www.instagram.com/p/BYsnVmEAd56/</v>
      </c>
      <c r="F5008" t="s">
        <v>26531</v>
      </c>
      <c r="G5008" t="s">
        <v>2478</v>
      </c>
      <c r="H5008">
        <v>190</v>
      </c>
      <c r="I5008" t="s">
        <v>26532</v>
      </c>
      <c r="J5008">
        <v>0</v>
      </c>
      <c r="K5008">
        <v>9</v>
      </c>
      <c r="L5008">
        <v>9</v>
      </c>
      <c r="Q5008">
        <v>0</v>
      </c>
      <c r="R5008">
        <v>0</v>
      </c>
      <c r="S5008">
        <v>9</v>
      </c>
      <c r="Y5008" t="s">
        <v>26533</v>
      </c>
      <c r="Z5008" t="s">
        <v>2497</v>
      </c>
      <c r="AA5008" t="s">
        <v>3349</v>
      </c>
      <c r="AB5008" t="s">
        <v>26534</v>
      </c>
      <c r="AC5008" t="s">
        <v>26535</v>
      </c>
      <c r="AD5008" s="249" t="str">
        <f>HYPERLINK("https://scontent.cdninstagram.com/t51.2885-15/e35/p320x320/21435463_2188899594468979_4581900643567927296_n.jpg")</f>
        <v>https://scontent.cdninstagram.com/t51.2885-15/e35/p320x320/21435463_2188899594468979_4581900643567927296_n.jpg</v>
      </c>
      <c r="AE5008" s="249" t="str">
        <f>HYPERLINK("https://scontent.cdninstagram.com/t51.2885-19/s150x150/20347252_102423193774400_3773946913561247744_a.jpg")</f>
        <v>https://scontent.cdninstagram.com/t51.2885-19/s150x150/20347252_102423193774400_3773946913561247744_a.jpg</v>
      </c>
    </row>
    <row r="5009" spans="1:31" ht="15" x14ac:dyDescent="0.25">
      <c r="A5009" t="s">
        <v>2474</v>
      </c>
      <c r="B5009" t="s">
        <v>26536</v>
      </c>
      <c r="C5009" s="221">
        <v>42984.295659722222</v>
      </c>
      <c r="D5009" t="s">
        <v>26537</v>
      </c>
      <c r="E5009" s="249" t="str">
        <f>HYPERLINK("https://www.instagram.com/p/BYsn_ltg2FQ/")</f>
        <v>https://www.instagram.com/p/BYsn_ltg2FQ/</v>
      </c>
      <c r="F5009" t="s">
        <v>26538</v>
      </c>
      <c r="G5009" t="s">
        <v>2478</v>
      </c>
      <c r="H5009">
        <v>477</v>
      </c>
      <c r="I5009" t="s">
        <v>2850</v>
      </c>
      <c r="J5009">
        <v>5</v>
      </c>
      <c r="K5009">
        <v>64</v>
      </c>
      <c r="L5009">
        <v>69</v>
      </c>
      <c r="Q5009">
        <v>0</v>
      </c>
      <c r="R5009">
        <v>0</v>
      </c>
      <c r="S5009">
        <v>69</v>
      </c>
      <c r="T5009" t="s">
        <v>26539</v>
      </c>
      <c r="V5009" t="s">
        <v>2182</v>
      </c>
      <c r="W5009">
        <v>44.385955563304002</v>
      </c>
      <c r="X5009">
        <v>9.0179807055100003</v>
      </c>
      <c r="Y5009" t="s">
        <v>18608</v>
      </c>
      <c r="Z5009" t="s">
        <v>2766</v>
      </c>
      <c r="AA5009" t="s">
        <v>26540</v>
      </c>
      <c r="AB5009" t="s">
        <v>4761</v>
      </c>
      <c r="AC5009" t="s">
        <v>25122</v>
      </c>
      <c r="AD5009" s="249" t="str">
        <f>HYPERLINK("https://scontent.cdninstagram.com/t51.2885-15/s320x320/e35/21433479_166696380547364_2544713001269723136_n.jpg")</f>
        <v>https://scontent.cdninstagram.com/t51.2885-15/s320x320/e35/21433479_166696380547364_2544713001269723136_n.jpg</v>
      </c>
      <c r="AE5009" s="249" t="str">
        <f>HYPERLINK("https://scontent.cdninstagram.com/t51.2885-19/s150x150/21576628_482992878738241_8546547150203387904_a.jpg")</f>
        <v>https://scontent.cdninstagram.com/t51.2885-19/s150x150/21576628_482992878738241_8546547150203387904_a.jpg</v>
      </c>
    </row>
    <row r="5010" spans="1:31" ht="15" x14ac:dyDescent="0.25">
      <c r="A5010" t="s">
        <v>2474</v>
      </c>
      <c r="B5010" t="s">
        <v>24940</v>
      </c>
      <c r="C5010" s="221">
        <v>42984.302534722221</v>
      </c>
      <c r="D5010" t="s">
        <v>26541</v>
      </c>
      <c r="E5010" s="249" t="str">
        <f>HYPERLINK("https://www.instagram.com/p/BYspIAAA6UQ/")</f>
        <v>https://www.instagram.com/p/BYspIAAA6UQ/</v>
      </c>
      <c r="F5010" t="s">
        <v>26542</v>
      </c>
      <c r="G5010" t="s">
        <v>2478</v>
      </c>
      <c r="H5010">
        <v>14</v>
      </c>
      <c r="I5010" t="s">
        <v>2542</v>
      </c>
      <c r="J5010">
        <v>0</v>
      </c>
      <c r="K5010">
        <v>5</v>
      </c>
      <c r="L5010">
        <v>5</v>
      </c>
      <c r="Q5010">
        <v>0</v>
      </c>
      <c r="R5010">
        <v>0</v>
      </c>
      <c r="S5010">
        <v>5</v>
      </c>
      <c r="T5010" t="s">
        <v>26543</v>
      </c>
      <c r="V5010" t="s">
        <v>2182</v>
      </c>
      <c r="W5010">
        <v>45.635843692493999</v>
      </c>
      <c r="X5010">
        <v>13.05423508004</v>
      </c>
      <c r="Y5010" t="s">
        <v>26544</v>
      </c>
      <c r="Z5010" t="s">
        <v>26545</v>
      </c>
      <c r="AA5010" t="s">
        <v>26546</v>
      </c>
      <c r="AB5010" t="s">
        <v>26547</v>
      </c>
      <c r="AC5010" t="s">
        <v>26548</v>
      </c>
      <c r="AD5010" s="249" t="str">
        <f>HYPERLINK("https://scontent.cdninstagram.com/t51.2885-15/s320x320/e35/21373488_271187063376914_4534423422242914304_n.jpg")</f>
        <v>https://scontent.cdninstagram.com/t51.2885-15/s320x320/e35/21373488_271187063376914_4534423422242914304_n.jpg</v>
      </c>
      <c r="AE5010" s="249" t="str">
        <f>HYPERLINK("https://scontent.cdninstagram.com/t51.2885-19/s150x150/21148101_1939215392959050_462196604842016768_a.jpg")</f>
        <v>https://scontent.cdninstagram.com/t51.2885-19/s150x150/21148101_1939215392959050_462196604842016768_a.jpg</v>
      </c>
    </row>
    <row r="5011" spans="1:31" ht="15" x14ac:dyDescent="0.25">
      <c r="A5011" t="s">
        <v>2474</v>
      </c>
      <c r="B5011" t="s">
        <v>20025</v>
      </c>
      <c r="C5011" s="221">
        <v>42984.307569444441</v>
      </c>
      <c r="D5011" t="s">
        <v>26549</v>
      </c>
      <c r="E5011" s="249" t="str">
        <f>HYPERLINK("https://www.instagram.com/p/BYsp9Ggl3QJ/")</f>
        <v>https://www.instagram.com/p/BYsp9Ggl3QJ/</v>
      </c>
      <c r="F5011" t="s">
        <v>26550</v>
      </c>
      <c r="G5011" t="s">
        <v>2488</v>
      </c>
      <c r="H5011">
        <v>164</v>
      </c>
      <c r="I5011" t="s">
        <v>2479</v>
      </c>
      <c r="J5011">
        <v>0</v>
      </c>
      <c r="K5011">
        <v>30</v>
      </c>
      <c r="L5011">
        <v>30</v>
      </c>
      <c r="Q5011">
        <v>0</v>
      </c>
      <c r="R5011">
        <v>0</v>
      </c>
      <c r="S5011">
        <v>30</v>
      </c>
      <c r="Y5011" t="s">
        <v>2492</v>
      </c>
      <c r="Z5011" t="s">
        <v>3968</v>
      </c>
      <c r="AA5011" t="s">
        <v>24532</v>
      </c>
      <c r="AB5011" t="s">
        <v>20030</v>
      </c>
      <c r="AC5011" t="s">
        <v>7960</v>
      </c>
      <c r="AD5011" s="249" t="str">
        <f>HYPERLINK("https://scontent.cdninstagram.com/t51.2885-15/s320x320/e35/21373450_305370006595328_5925081172093698048_n.jpg")</f>
        <v>https://scontent.cdninstagram.com/t51.2885-15/s320x320/e35/21373450_305370006595328_5925081172093698048_n.jpg</v>
      </c>
      <c r="AE5011" s="249" t="str">
        <f>HYPERLINK("https://scontent.cdninstagram.com/t51.2885-19/s150x150/20347229_1517153248347957_1550576240027500544_a.jpg")</f>
        <v>https://scontent.cdninstagram.com/t51.2885-19/s150x150/20347229_1517153248347957_1550576240027500544_a.jpg</v>
      </c>
    </row>
    <row r="5012" spans="1:31" ht="15" x14ac:dyDescent="0.25">
      <c r="A5012" t="s">
        <v>2474</v>
      </c>
      <c r="B5012" t="s">
        <v>24690</v>
      </c>
      <c r="C5012" s="221">
        <v>42984.309756944444</v>
      </c>
      <c r="D5012" t="s">
        <v>26551</v>
      </c>
      <c r="E5012" s="249" t="str">
        <f>HYPERLINK("https://www.instagram.com/p/BYsqUM0Brnd/")</f>
        <v>https://www.instagram.com/p/BYsqUM0Brnd/</v>
      </c>
      <c r="F5012" t="s">
        <v>25931</v>
      </c>
      <c r="G5012" t="s">
        <v>2478</v>
      </c>
      <c r="H5012">
        <v>441</v>
      </c>
      <c r="I5012" t="s">
        <v>3898</v>
      </c>
      <c r="J5012">
        <v>0</v>
      </c>
      <c r="K5012">
        <v>78</v>
      </c>
      <c r="L5012">
        <v>78</v>
      </c>
      <c r="Q5012">
        <v>0</v>
      </c>
      <c r="R5012">
        <v>0</v>
      </c>
      <c r="S5012">
        <v>78</v>
      </c>
      <c r="Y5012" t="s">
        <v>26552</v>
      </c>
      <c r="Z5012" t="s">
        <v>24694</v>
      </c>
      <c r="AA5012" t="s">
        <v>3070</v>
      </c>
      <c r="AB5012" t="s">
        <v>3982</v>
      </c>
      <c r="AC5012" t="s">
        <v>24695</v>
      </c>
      <c r="AD5012" s="249" t="str">
        <f>HYPERLINK("https://scontent.cdninstagram.com/t51.2885-15/s320x320/e35/21372411_348345722275812_244678613201321984_n.jpg")</f>
        <v>https://scontent.cdninstagram.com/t51.2885-15/s320x320/e35/21372411_348345722275812_244678613201321984_n.jpg</v>
      </c>
      <c r="AE5012" s="249" t="str">
        <f>HYPERLINK("https://scontent.cdninstagram.com/t51.2885-19/17818759_2018256918401447_8869904672299679744_n.jpg")</f>
        <v>https://scontent.cdninstagram.com/t51.2885-19/17818759_2018256918401447_8869904672299679744_n.jpg</v>
      </c>
    </row>
    <row r="5013" spans="1:31" ht="15" x14ac:dyDescent="0.25">
      <c r="A5013" t="s">
        <v>2474</v>
      </c>
      <c r="B5013" t="s">
        <v>26553</v>
      </c>
      <c r="C5013" s="221">
        <v>42984.310023148151</v>
      </c>
      <c r="D5013" t="s">
        <v>26554</v>
      </c>
      <c r="E5013" s="249" t="str">
        <f>HYPERLINK("https://www.instagram.com/p/BYsqXAJh6Hm/")</f>
        <v>https://www.instagram.com/p/BYsqXAJh6Hm/</v>
      </c>
      <c r="F5013" t="s">
        <v>26555</v>
      </c>
      <c r="G5013" t="s">
        <v>2478</v>
      </c>
      <c r="H5013">
        <v>1824</v>
      </c>
      <c r="I5013" t="s">
        <v>2479</v>
      </c>
      <c r="J5013">
        <v>12</v>
      </c>
      <c r="K5013">
        <v>585</v>
      </c>
      <c r="L5013">
        <v>597</v>
      </c>
      <c r="Q5013">
        <v>0</v>
      </c>
      <c r="R5013">
        <v>0</v>
      </c>
      <c r="S5013">
        <v>597</v>
      </c>
      <c r="Y5013" t="s">
        <v>26556</v>
      </c>
      <c r="Z5013" t="s">
        <v>26557</v>
      </c>
      <c r="AA5013" t="s">
        <v>26558</v>
      </c>
      <c r="AB5013" t="s">
        <v>26559</v>
      </c>
      <c r="AC5013" t="s">
        <v>9112</v>
      </c>
      <c r="AD5013" s="249" t="str">
        <f>HYPERLINK("https://scontent.cdninstagram.com/t51.2885-15/e35/p320x320/21373567_1953912721558575_1691993071949971456_n.jpg")</f>
        <v>https://scontent.cdninstagram.com/t51.2885-15/e35/p320x320/21373567_1953912721558575_1691993071949971456_n.jpg</v>
      </c>
      <c r="AE5013" s="249" t="str">
        <f>HYPERLINK("https://scontent.cdninstagram.com/t51.2885-19/s150x150/18162168_642686195924589_1948197698041544704_a.jpg")</f>
        <v>https://scontent.cdninstagram.com/t51.2885-19/s150x150/18162168_642686195924589_1948197698041544704_a.jpg</v>
      </c>
    </row>
    <row r="5014" spans="1:31" ht="15" x14ac:dyDescent="0.25">
      <c r="A5014" t="s">
        <v>2474</v>
      </c>
      <c r="B5014" t="s">
        <v>26560</v>
      </c>
      <c r="C5014" s="221">
        <v>42984.323634259257</v>
      </c>
      <c r="D5014" t="s">
        <v>26561</v>
      </c>
      <c r="E5014" s="249" t="str">
        <f>HYPERLINK("https://www.instagram.com/p/BYssmoLj5R6/")</f>
        <v>https://www.instagram.com/p/BYssmoLj5R6/</v>
      </c>
      <c r="F5014" t="s">
        <v>26562</v>
      </c>
      <c r="G5014" t="s">
        <v>2478</v>
      </c>
      <c r="H5014">
        <v>312</v>
      </c>
      <c r="I5014" t="s">
        <v>3170</v>
      </c>
      <c r="J5014">
        <v>1</v>
      </c>
      <c r="K5014">
        <v>2</v>
      </c>
      <c r="L5014">
        <v>3</v>
      </c>
      <c r="Q5014">
        <v>0</v>
      </c>
      <c r="R5014">
        <v>0</v>
      </c>
      <c r="S5014">
        <v>3</v>
      </c>
      <c r="Y5014" t="s">
        <v>26563</v>
      </c>
      <c r="Z5014" t="s">
        <v>26564</v>
      </c>
      <c r="AA5014" t="s">
        <v>2497</v>
      </c>
      <c r="AB5014" t="s">
        <v>26565</v>
      </c>
      <c r="AD5014" s="249" t="str">
        <f>HYPERLINK("https://scontent.cdninstagram.com/t51.2885-15/s320x320/e35/21372995_122850051782241_3961330989451444224_n.jpg")</f>
        <v>https://scontent.cdninstagram.com/t51.2885-15/s320x320/e35/21372995_122850051782241_3961330989451444224_n.jpg</v>
      </c>
      <c r="AE5014" s="249" t="str">
        <f>HYPERLINK("https://scontent.cdninstagram.com/t51.2885-19/s150x150/17933832_290285831384900_2356336233883369472_a.jpg")</f>
        <v>https://scontent.cdninstagram.com/t51.2885-19/s150x150/17933832_290285831384900_2356336233883369472_a.jpg</v>
      </c>
    </row>
    <row r="5015" spans="1:31" ht="15" x14ac:dyDescent="0.25">
      <c r="A5015" t="s">
        <v>2474</v>
      </c>
      <c r="B5015" t="s">
        <v>18309</v>
      </c>
      <c r="C5015" s="221">
        <v>42984.328009259261</v>
      </c>
      <c r="D5015" t="s">
        <v>26566</v>
      </c>
      <c r="E5015" s="249" t="str">
        <f>HYPERLINK("https://www.instagram.com/p/BYstUtHDaO2/")</f>
        <v>https://www.instagram.com/p/BYstUtHDaO2/</v>
      </c>
      <c r="F5015" t="s">
        <v>26567</v>
      </c>
      <c r="G5015" t="s">
        <v>2478</v>
      </c>
      <c r="H5015">
        <v>41</v>
      </c>
      <c r="I5015" t="s">
        <v>2599</v>
      </c>
      <c r="J5015">
        <v>0</v>
      </c>
      <c r="K5015">
        <v>14</v>
      </c>
      <c r="L5015">
        <v>14</v>
      </c>
      <c r="Q5015">
        <v>0</v>
      </c>
      <c r="R5015">
        <v>0</v>
      </c>
      <c r="S5015">
        <v>14</v>
      </c>
      <c r="Y5015" t="s">
        <v>8753</v>
      </c>
      <c r="Z5015" t="s">
        <v>10374</v>
      </c>
      <c r="AA5015" t="s">
        <v>3269</v>
      </c>
      <c r="AB5015" t="s">
        <v>4180</v>
      </c>
      <c r="AC5015" t="s">
        <v>12295</v>
      </c>
      <c r="AD5015" s="249" t="str">
        <f>HYPERLINK("https://scontent.cdninstagram.com/t51.2885-15/s320x320/e35/21433451_131139570854453_2563311742964727808_n.jpg")</f>
        <v>https://scontent.cdninstagram.com/t51.2885-15/s320x320/e35/21433451_131139570854453_2563311742964727808_n.jpg</v>
      </c>
      <c r="AE5015" s="249" t="str">
        <f>HYPERLINK("https://scontent.cdninstagram.com/t51.2885-19/s150x150/21224635_116853155713206_6935607206414909440_a.jpg")</f>
        <v>https://scontent.cdninstagram.com/t51.2885-19/s150x150/21224635_116853155713206_6935607206414909440_a.jpg</v>
      </c>
    </row>
    <row r="5016" spans="1:31" ht="15" x14ac:dyDescent="0.25">
      <c r="A5016" t="s">
        <v>2474</v>
      </c>
      <c r="B5016" t="s">
        <v>26568</v>
      </c>
      <c r="C5016" s="221">
        <v>42984.329780092594</v>
      </c>
      <c r="D5016" t="s">
        <v>26569</v>
      </c>
      <c r="E5016" s="249" t="str">
        <f>HYPERLINK("https://www.instagram.com/p/BYstnYel0Tv/")</f>
        <v>https://www.instagram.com/p/BYstnYel0Tv/</v>
      </c>
      <c r="F5016" t="s">
        <v>26570</v>
      </c>
      <c r="G5016" t="s">
        <v>2478</v>
      </c>
      <c r="H5016">
        <v>1669</v>
      </c>
      <c r="I5016" t="s">
        <v>2479</v>
      </c>
      <c r="J5016">
        <v>4</v>
      </c>
      <c r="K5016">
        <v>133</v>
      </c>
      <c r="L5016">
        <v>137</v>
      </c>
      <c r="Q5016">
        <v>0</v>
      </c>
      <c r="R5016">
        <v>0</v>
      </c>
      <c r="S5016">
        <v>137</v>
      </c>
      <c r="Y5016" t="s">
        <v>6186</v>
      </c>
      <c r="Z5016" t="s">
        <v>26571</v>
      </c>
      <c r="AA5016" t="s">
        <v>12593</v>
      </c>
      <c r="AB5016" t="s">
        <v>26572</v>
      </c>
      <c r="AC5016" t="s">
        <v>20691</v>
      </c>
      <c r="AD5016" s="249" t="str">
        <f>HYPERLINK("https://scontent.cdninstagram.com/t51.2885-15/s320x320/e35/21372369_475262619519547_5342637775160082432_n.jpg")</f>
        <v>https://scontent.cdninstagram.com/t51.2885-15/s320x320/e35/21372369_475262619519547_5342637775160082432_n.jpg</v>
      </c>
      <c r="AE5016" s="249" t="str">
        <f>HYPERLINK("https://scontent.cdninstagram.com/t51.2885-19/s150x150/13102422_480287725499798_1251561052_a.jpg")</f>
        <v>https://scontent.cdninstagram.com/t51.2885-19/s150x150/13102422_480287725499798_1251561052_a.jpg</v>
      </c>
    </row>
    <row r="5017" spans="1:31" ht="15" x14ac:dyDescent="0.25">
      <c r="A5017" t="s">
        <v>2474</v>
      </c>
      <c r="B5017" t="s">
        <v>26573</v>
      </c>
      <c r="C5017" s="221">
        <v>42984.334652777776</v>
      </c>
      <c r="D5017" t="s">
        <v>26574</v>
      </c>
      <c r="E5017" s="249" t="str">
        <f>HYPERLINK("https://www.instagram.com/p/BYsuayYFcfE/")</f>
        <v>https://www.instagram.com/p/BYsuayYFcfE/</v>
      </c>
      <c r="F5017" t="s">
        <v>26575</v>
      </c>
      <c r="G5017" t="s">
        <v>2478</v>
      </c>
      <c r="H5017">
        <v>649</v>
      </c>
      <c r="I5017" t="s">
        <v>2479</v>
      </c>
      <c r="J5017">
        <v>2</v>
      </c>
      <c r="K5017">
        <v>31</v>
      </c>
      <c r="L5017">
        <v>33</v>
      </c>
      <c r="Q5017">
        <v>0</v>
      </c>
      <c r="R5017">
        <v>0</v>
      </c>
      <c r="S5017">
        <v>33</v>
      </c>
      <c r="Y5017" t="s">
        <v>26576</v>
      </c>
      <c r="Z5017" t="s">
        <v>20607</v>
      </c>
      <c r="AA5017" t="s">
        <v>26577</v>
      </c>
      <c r="AB5017" t="s">
        <v>26578</v>
      </c>
      <c r="AC5017" t="s">
        <v>2734</v>
      </c>
      <c r="AD5017" s="249" t="str">
        <f>HYPERLINK("https://scontent.cdninstagram.com/t51.2885-15/s320x320/e35/21435855_1875629229367573_1209739480936742912_n.jpg")</f>
        <v>https://scontent.cdninstagram.com/t51.2885-15/s320x320/e35/21435855_1875629229367573_1209739480936742912_n.jpg</v>
      </c>
      <c r="AE5017" s="249" t="str">
        <f>HYPERLINK("https://scontent.cdninstagram.com/t51.2885-19/s150x150/21372883_335136190246565_631469907451576320_a.jpg")</f>
        <v>https://scontent.cdninstagram.com/t51.2885-19/s150x150/21372883_335136190246565_631469907451576320_a.jpg</v>
      </c>
    </row>
    <row r="5018" spans="1:31" ht="15" x14ac:dyDescent="0.25">
      <c r="A5018" t="s">
        <v>2474</v>
      </c>
      <c r="B5018" t="s">
        <v>12550</v>
      </c>
      <c r="C5018" s="221">
        <v>42984.33803240741</v>
      </c>
      <c r="D5018" t="s">
        <v>26579</v>
      </c>
      <c r="E5018" s="249" t="str">
        <f>HYPERLINK("https://www.instagram.com/p/BYsu-eRnEDr/")</f>
        <v>https://www.instagram.com/p/BYsu-eRnEDr/</v>
      </c>
      <c r="F5018" t="s">
        <v>26580</v>
      </c>
      <c r="G5018" t="s">
        <v>2478</v>
      </c>
      <c r="H5018">
        <v>905</v>
      </c>
      <c r="I5018" t="s">
        <v>2599</v>
      </c>
      <c r="J5018">
        <v>0</v>
      </c>
      <c r="K5018">
        <v>65</v>
      </c>
      <c r="L5018">
        <v>65</v>
      </c>
      <c r="Q5018">
        <v>0</v>
      </c>
      <c r="R5018">
        <v>0</v>
      </c>
      <c r="S5018">
        <v>65</v>
      </c>
      <c r="T5018" t="s">
        <v>26581</v>
      </c>
      <c r="V5018" t="s">
        <v>2207</v>
      </c>
      <c r="W5018">
        <v>35.899700000000003</v>
      </c>
      <c r="X5018">
        <v>14.514699999999999</v>
      </c>
      <c r="Y5018" t="s">
        <v>7451</v>
      </c>
      <c r="Z5018" t="s">
        <v>9032</v>
      </c>
      <c r="AA5018" t="s">
        <v>3369</v>
      </c>
      <c r="AB5018" t="s">
        <v>3165</v>
      </c>
      <c r="AC5018" t="s">
        <v>4761</v>
      </c>
      <c r="AD5018" s="249" t="str">
        <f>HYPERLINK("https://scontent.cdninstagram.com/t51.2885-15/s320x320/e35/21433979_266422013864795_1008321603701833728_n.jpg")</f>
        <v>https://scontent.cdninstagram.com/t51.2885-15/s320x320/e35/21433979_266422013864795_1008321603701833728_n.jpg</v>
      </c>
      <c r="AE5018" s="249" t="str">
        <f>HYPERLINK("https://scontent.cdninstagram.com/t51.2885-19/s150x150/19534736_1894547127467294_2028662634726817792_a.jpg")</f>
        <v>https://scontent.cdninstagram.com/t51.2885-19/s150x150/19534736_1894547127467294_2028662634726817792_a.jpg</v>
      </c>
    </row>
    <row r="5019" spans="1:31" ht="15" x14ac:dyDescent="0.25">
      <c r="A5019" t="s">
        <v>2474</v>
      </c>
      <c r="B5019" t="s">
        <v>26582</v>
      </c>
      <c r="C5019" s="221">
        <v>42984.339849537035</v>
      </c>
      <c r="D5019" t="s">
        <v>26583</v>
      </c>
      <c r="E5019" s="249" t="str">
        <f>HYPERLINK("https://www.instagram.com/p/BYsvRngD-K4/")</f>
        <v>https://www.instagram.com/p/BYsvRngD-K4/</v>
      </c>
      <c r="F5019" t="s">
        <v>26584</v>
      </c>
      <c r="G5019" t="s">
        <v>2488</v>
      </c>
      <c r="H5019">
        <v>280</v>
      </c>
      <c r="I5019" t="s">
        <v>2479</v>
      </c>
      <c r="J5019">
        <v>2</v>
      </c>
      <c r="K5019">
        <v>32</v>
      </c>
      <c r="L5019">
        <v>34</v>
      </c>
      <c r="Q5019">
        <v>0</v>
      </c>
      <c r="R5019">
        <v>0</v>
      </c>
      <c r="S5019">
        <v>34</v>
      </c>
      <c r="Y5019" t="s">
        <v>6219</v>
      </c>
      <c r="Z5019" t="s">
        <v>26585</v>
      </c>
      <c r="AA5019" t="s">
        <v>9941</v>
      </c>
      <c r="AB5019" t="s">
        <v>26586</v>
      </c>
      <c r="AC5019" t="s">
        <v>5307</v>
      </c>
      <c r="AD5019" s="249" t="str">
        <f>HYPERLINK("https://scontent.cdninstagram.com/t51.2885-15/s320x320/e35/21434191_166425523914229_8918415202626568192_n.jpg")</f>
        <v>https://scontent.cdninstagram.com/t51.2885-15/s320x320/e35/21434191_166425523914229_8918415202626568192_n.jpg</v>
      </c>
      <c r="AE5019" s="249" t="str">
        <f>HYPERLINK("https://scontent.cdninstagram.com/t51.2885-19/s150x150/21149467_114339682572118_975310476474843136_a.jpg")</f>
        <v>https://scontent.cdninstagram.com/t51.2885-19/s150x150/21149467_114339682572118_975310476474843136_a.jpg</v>
      </c>
    </row>
    <row r="5020" spans="1:31" ht="15" x14ac:dyDescent="0.25">
      <c r="A5020" t="s">
        <v>2474</v>
      </c>
      <c r="B5020" t="s">
        <v>24940</v>
      </c>
      <c r="C5020" s="221">
        <v>42984.341863425929</v>
      </c>
      <c r="D5020" t="s">
        <v>26587</v>
      </c>
      <c r="E5020" s="249" t="str">
        <f>HYPERLINK("https://www.instagram.com/p/BYsvm1uACNl/")</f>
        <v>https://www.instagram.com/p/BYsvm1uACNl/</v>
      </c>
      <c r="F5020" t="s">
        <v>26588</v>
      </c>
      <c r="G5020" t="s">
        <v>2478</v>
      </c>
      <c r="H5020">
        <v>14</v>
      </c>
      <c r="I5020" t="s">
        <v>2542</v>
      </c>
      <c r="J5020">
        <v>0</v>
      </c>
      <c r="K5020">
        <v>18</v>
      </c>
      <c r="L5020">
        <v>18</v>
      </c>
      <c r="Q5020">
        <v>0</v>
      </c>
      <c r="R5020">
        <v>0</v>
      </c>
      <c r="S5020">
        <v>18</v>
      </c>
      <c r="T5020" t="s">
        <v>26543</v>
      </c>
      <c r="V5020" t="s">
        <v>2182</v>
      </c>
      <c r="W5020">
        <v>45.635843692493999</v>
      </c>
      <c r="X5020">
        <v>13.05423508004</v>
      </c>
      <c r="Y5020" t="s">
        <v>26589</v>
      </c>
      <c r="Z5020" t="s">
        <v>26590</v>
      </c>
      <c r="AA5020" t="s">
        <v>7419</v>
      </c>
      <c r="AB5020" t="s">
        <v>2515</v>
      </c>
      <c r="AC5020" t="s">
        <v>7418</v>
      </c>
      <c r="AD5020" s="249" t="str">
        <f>HYPERLINK("https://scontent.cdninstagram.com/t51.2885-15/s320x320/e35/21372252_112969276065733_6164609634175811584_n.jpg")</f>
        <v>https://scontent.cdninstagram.com/t51.2885-15/s320x320/e35/21372252_112969276065733_6164609634175811584_n.jpg</v>
      </c>
      <c r="AE5020" s="249" t="str">
        <f>HYPERLINK("https://scontent.cdninstagram.com/t51.2885-19/s150x150/21148101_1939215392959050_462196604842016768_a.jpg")</f>
        <v>https://scontent.cdninstagram.com/t51.2885-19/s150x150/21148101_1939215392959050_462196604842016768_a.jpg</v>
      </c>
    </row>
    <row r="5021" spans="1:31" ht="15" x14ac:dyDescent="0.25">
      <c r="A5021" t="s">
        <v>2474</v>
      </c>
      <c r="B5021" t="s">
        <v>25541</v>
      </c>
      <c r="C5021" s="221">
        <v>42984.34578703704</v>
      </c>
      <c r="D5021" t="s">
        <v>26591</v>
      </c>
      <c r="E5021" s="249" t="str">
        <f>HYPERLINK("https://www.instagram.com/p/BYswQLhj0Po/")</f>
        <v>https://www.instagram.com/p/BYswQLhj0Po/</v>
      </c>
      <c r="F5021" t="s">
        <v>26592</v>
      </c>
      <c r="G5021" t="s">
        <v>2478</v>
      </c>
      <c r="I5021" t="s">
        <v>2510</v>
      </c>
      <c r="J5021">
        <v>0</v>
      </c>
      <c r="K5021">
        <v>59</v>
      </c>
      <c r="L5021">
        <v>59</v>
      </c>
      <c r="Q5021">
        <v>0</v>
      </c>
      <c r="R5021">
        <v>0</v>
      </c>
      <c r="S5021">
        <v>59</v>
      </c>
      <c r="Y5021" t="s">
        <v>20959</v>
      </c>
      <c r="Z5021" t="s">
        <v>26593</v>
      </c>
      <c r="AA5021" t="s">
        <v>26594</v>
      </c>
      <c r="AB5021" t="s">
        <v>26595</v>
      </c>
      <c r="AC5021" t="s">
        <v>26596</v>
      </c>
      <c r="AD5021" s="249" t="str">
        <f>HYPERLINK("https://scontent.cdninstagram.com/t51.2885-15/s320x320/e35/21436140_1962899193968624_2363250770452676608_n.jpg")</f>
        <v>https://scontent.cdninstagram.com/t51.2885-15/s320x320/e35/21436140_1962899193968624_2363250770452676608_n.jpg</v>
      </c>
      <c r="AE5021" s="249" t="str">
        <f>HYPERLINK("https://scontent.cdninstagram.com/t51.2885-19/s150x150/21224787_267732847058927_7376895584042483712_a.jpg")</f>
        <v>https://scontent.cdninstagram.com/t51.2885-19/s150x150/21224787_267732847058927_7376895584042483712_a.jpg</v>
      </c>
    </row>
    <row r="5022" spans="1:31" ht="15" x14ac:dyDescent="0.25">
      <c r="A5022" t="s">
        <v>2474</v>
      </c>
      <c r="B5022" t="s">
        <v>6078</v>
      </c>
      <c r="C5022" s="221">
        <v>42984.347372685188</v>
      </c>
      <c r="D5022" t="s">
        <v>26597</v>
      </c>
      <c r="E5022" s="249" t="str">
        <f>HYPERLINK("https://www.instagram.com/p/BYswg6zlnfj/")</f>
        <v>https://www.instagram.com/p/BYswg6zlnfj/</v>
      </c>
      <c r="F5022" t="s">
        <v>26598</v>
      </c>
      <c r="G5022" t="s">
        <v>2478</v>
      </c>
      <c r="H5022">
        <v>210</v>
      </c>
      <c r="I5022" t="s">
        <v>2479</v>
      </c>
      <c r="J5022">
        <v>1</v>
      </c>
      <c r="K5022">
        <v>20</v>
      </c>
      <c r="L5022">
        <v>21</v>
      </c>
      <c r="Q5022">
        <v>0</v>
      </c>
      <c r="R5022">
        <v>0</v>
      </c>
      <c r="S5022">
        <v>21</v>
      </c>
      <c r="Y5022" t="s">
        <v>3349</v>
      </c>
      <c r="Z5022" t="s">
        <v>26599</v>
      </c>
      <c r="AA5022" t="s">
        <v>5168</v>
      </c>
      <c r="AB5022" t="s">
        <v>26600</v>
      </c>
      <c r="AC5022" t="s">
        <v>3277</v>
      </c>
      <c r="AD5022" s="249" t="str">
        <f>HYPERLINK("https://scontent.cdninstagram.com/t51.2885-15/s320x320/e35/21372054_1940368239510665_6611168714064658432_n.jpg")</f>
        <v>https://scontent.cdninstagram.com/t51.2885-15/s320x320/e35/21372054_1940368239510665_6611168714064658432_n.jpg</v>
      </c>
      <c r="AE5022" s="249" t="str">
        <f>HYPERLINK("https://scontent.cdninstagram.com/t51.2885-19/s150x150/14280379_679546568875374_542410728_a.jpg")</f>
        <v>https://scontent.cdninstagram.com/t51.2885-19/s150x150/14280379_679546568875374_542410728_a.jpg</v>
      </c>
    </row>
    <row r="5023" spans="1:31" ht="15" x14ac:dyDescent="0.25">
      <c r="A5023" t="s">
        <v>2474</v>
      </c>
      <c r="B5023" t="s">
        <v>21597</v>
      </c>
      <c r="C5023" s="221">
        <v>42984.352488425924</v>
      </c>
      <c r="D5023" t="s">
        <v>26601</v>
      </c>
      <c r="E5023" s="249" t="str">
        <f>HYPERLINK("https://www.instagram.com/p/BYsxW3IlFKZ/")</f>
        <v>https://www.instagram.com/p/BYsxW3IlFKZ/</v>
      </c>
      <c r="F5023" t="s">
        <v>26602</v>
      </c>
      <c r="G5023" t="s">
        <v>2478</v>
      </c>
      <c r="H5023">
        <v>146</v>
      </c>
      <c r="I5023" t="s">
        <v>2479</v>
      </c>
      <c r="J5023">
        <v>0</v>
      </c>
      <c r="K5023">
        <v>69</v>
      </c>
      <c r="L5023">
        <v>69</v>
      </c>
      <c r="Q5023">
        <v>0</v>
      </c>
      <c r="R5023">
        <v>0</v>
      </c>
      <c r="S5023">
        <v>69</v>
      </c>
      <c r="Y5023" t="s">
        <v>8862</v>
      </c>
      <c r="Z5023" t="s">
        <v>21546</v>
      </c>
      <c r="AA5023" t="s">
        <v>4761</v>
      </c>
      <c r="AB5023" t="s">
        <v>2673</v>
      </c>
      <c r="AC5023" t="s">
        <v>11768</v>
      </c>
      <c r="AD5023" s="249" t="str">
        <f>HYPERLINK("https://scontent.cdninstagram.com/t51.2885-15/s320x320/e35/21435865_147013462556776_4101989437523623936_n.jpg")</f>
        <v>https://scontent.cdninstagram.com/t51.2885-15/s320x320/e35/21435865_147013462556776_4101989437523623936_n.jpg</v>
      </c>
      <c r="AE5023" s="249" t="str">
        <f>HYPERLINK("https://scontent.cdninstagram.com/t51.2885-19/s150x150/20688488_121551228483201_2693806434398765056_a.jpg")</f>
        <v>https://scontent.cdninstagram.com/t51.2885-19/s150x150/20688488_121551228483201_2693806434398765056_a.jpg</v>
      </c>
    </row>
    <row r="5024" spans="1:31" ht="15" x14ac:dyDescent="0.25">
      <c r="A5024" t="s">
        <v>2474</v>
      </c>
      <c r="B5024" t="s">
        <v>2539</v>
      </c>
      <c r="C5024" s="221">
        <v>42984.363854166666</v>
      </c>
      <c r="D5024" t="s">
        <v>26603</v>
      </c>
      <c r="E5024" s="249" t="str">
        <f>HYPERLINK("https://www.instagram.com/p/BYszOualgDY/")</f>
        <v>https://www.instagram.com/p/BYszOualgDY/</v>
      </c>
      <c r="F5024" t="s">
        <v>26604</v>
      </c>
      <c r="G5024" t="s">
        <v>2478</v>
      </c>
      <c r="H5024">
        <v>410</v>
      </c>
      <c r="I5024" t="s">
        <v>2910</v>
      </c>
      <c r="J5024">
        <v>2</v>
      </c>
      <c r="K5024">
        <v>31</v>
      </c>
      <c r="L5024">
        <v>33</v>
      </c>
      <c r="Q5024">
        <v>0</v>
      </c>
      <c r="R5024">
        <v>0</v>
      </c>
      <c r="S5024">
        <v>33</v>
      </c>
      <c r="Y5024" t="s">
        <v>8178</v>
      </c>
      <c r="Z5024" t="s">
        <v>4988</v>
      </c>
      <c r="AA5024" t="s">
        <v>2544</v>
      </c>
      <c r="AB5024" t="s">
        <v>4646</v>
      </c>
      <c r="AC5024" t="s">
        <v>2696</v>
      </c>
      <c r="AD5024" s="249" t="str">
        <f>HYPERLINK("https://scontent.cdninstagram.com/t51.2885-15/e35/p320x320/21434209_1837792976532367_2630234037880356864_n.jpg")</f>
        <v>https://scontent.cdninstagram.com/t51.2885-15/e35/p320x320/21434209_1837792976532367_2630234037880356864_n.jpg</v>
      </c>
      <c r="AE5024" s="249" t="str">
        <f>HYPERLINK("https://scontent.cdninstagram.com/t51.2885-19/s150x150/21689413_239377273253859_3579793445226545152_n.jpg")</f>
        <v>https://scontent.cdninstagram.com/t51.2885-19/s150x150/21689413_239377273253859_3579793445226545152_n.jpg</v>
      </c>
    </row>
    <row r="5025" spans="1:31" ht="15" x14ac:dyDescent="0.25">
      <c r="A5025" t="s">
        <v>2474</v>
      </c>
      <c r="B5025" t="s">
        <v>26605</v>
      </c>
      <c r="C5025" s="221">
        <v>42984.369780092595</v>
      </c>
      <c r="D5025" t="s">
        <v>26606</v>
      </c>
      <c r="E5025" s="249" t="str">
        <f>HYPERLINK("https://www.instagram.com/p/BYs0NTfBDjs/")</f>
        <v>https://www.instagram.com/p/BYs0NTfBDjs/</v>
      </c>
      <c r="F5025" t="s">
        <v>26607</v>
      </c>
      <c r="G5025" t="s">
        <v>2478</v>
      </c>
      <c r="H5025">
        <v>7846</v>
      </c>
      <c r="I5025" t="s">
        <v>2479</v>
      </c>
      <c r="J5025">
        <v>2</v>
      </c>
      <c r="K5025">
        <v>124</v>
      </c>
      <c r="L5025">
        <v>126</v>
      </c>
      <c r="Q5025">
        <v>0</v>
      </c>
      <c r="R5025">
        <v>0</v>
      </c>
      <c r="S5025">
        <v>126</v>
      </c>
      <c r="T5025" t="s">
        <v>26608</v>
      </c>
      <c r="V5025" t="s">
        <v>2185</v>
      </c>
      <c r="W5025">
        <v>31.95</v>
      </c>
      <c r="X5025">
        <v>35.933300000000003</v>
      </c>
      <c r="Y5025" t="s">
        <v>18449</v>
      </c>
      <c r="Z5025" t="s">
        <v>4123</v>
      </c>
      <c r="AA5025" t="s">
        <v>2833</v>
      </c>
      <c r="AB5025" t="s">
        <v>8753</v>
      </c>
      <c r="AC5025" t="s">
        <v>26609</v>
      </c>
      <c r="AD5025" s="249" t="str">
        <f>HYPERLINK("https://scontent.cdninstagram.com/t51.2885-15/s320x320/e35/21480052_1915804445353003_920742500367335424_n.jpg")</f>
        <v>https://scontent.cdninstagram.com/t51.2885-15/s320x320/e35/21480052_1915804445353003_920742500367335424_n.jpg</v>
      </c>
      <c r="AE5025" s="249" t="str">
        <f>HYPERLINK("https://scontent.cdninstagram.com/t51.2885-19/s150x150/20686439_1713655268943046_587537408535298048_a.jpg")</f>
        <v>https://scontent.cdninstagram.com/t51.2885-19/s150x150/20686439_1713655268943046_587537408535298048_a.jpg</v>
      </c>
    </row>
    <row r="5026" spans="1:31" ht="15" x14ac:dyDescent="0.25">
      <c r="A5026" t="s">
        <v>2474</v>
      </c>
      <c r="B5026" t="s">
        <v>26610</v>
      </c>
      <c r="C5026" s="221">
        <v>42984.372361111113</v>
      </c>
      <c r="D5026" t="s">
        <v>26611</v>
      </c>
      <c r="E5026" s="249" t="str">
        <f>HYPERLINK("https://www.instagram.com/p/BYs0oeRA5d8/")</f>
        <v>https://www.instagram.com/p/BYs0oeRA5d8/</v>
      </c>
      <c r="F5026" t="s">
        <v>26612</v>
      </c>
      <c r="G5026" t="s">
        <v>2478</v>
      </c>
      <c r="H5026">
        <v>175</v>
      </c>
      <c r="I5026" t="s">
        <v>3575</v>
      </c>
      <c r="J5026">
        <v>1</v>
      </c>
      <c r="K5026">
        <v>10</v>
      </c>
      <c r="L5026">
        <v>11</v>
      </c>
      <c r="Q5026">
        <v>0</v>
      </c>
      <c r="R5026">
        <v>0</v>
      </c>
      <c r="S5026">
        <v>11</v>
      </c>
      <c r="T5026" t="s">
        <v>17626</v>
      </c>
      <c r="U5026" t="s">
        <v>144</v>
      </c>
      <c r="V5026" t="s">
        <v>2299</v>
      </c>
      <c r="W5026">
        <v>39</v>
      </c>
      <c r="X5026">
        <v>-105.5</v>
      </c>
      <c r="Y5026" t="s">
        <v>26613</v>
      </c>
      <c r="Z5026" t="s">
        <v>26614</v>
      </c>
      <c r="AA5026" t="s">
        <v>9011</v>
      </c>
      <c r="AB5026" t="s">
        <v>26615</v>
      </c>
      <c r="AC5026" t="s">
        <v>26616</v>
      </c>
      <c r="AD5026" s="249" t="str">
        <f>HYPERLINK("https://scontent.cdninstagram.com/t51.2885-15/s320x320/e35/21372937_1198362806932220_4215412497244487680_n.jpg")</f>
        <v>https://scontent.cdninstagram.com/t51.2885-15/s320x320/e35/21372937_1198362806932220_4215412497244487680_n.jpg</v>
      </c>
      <c r="AE5026" s="249" t="str">
        <f>HYPERLINK("https://scontent.cdninstagram.com/t51.2885-19/s150x150/21373097_355250184914398_4763270085911511040_a.jpg")</f>
        <v>https://scontent.cdninstagram.com/t51.2885-19/s150x150/21373097_355250184914398_4763270085911511040_a.jpg</v>
      </c>
    </row>
    <row r="5027" spans="1:31" ht="15" x14ac:dyDescent="0.25">
      <c r="A5027" t="s">
        <v>2474</v>
      </c>
      <c r="B5027" t="s">
        <v>26617</v>
      </c>
      <c r="C5027" s="221">
        <v>42984.373148148145</v>
      </c>
      <c r="D5027" t="s">
        <v>26618</v>
      </c>
      <c r="E5027" s="249" t="str">
        <f>HYPERLINK("https://www.instagram.com/p/BYs0wzyDn3R/")</f>
        <v>https://www.instagram.com/p/BYs0wzyDn3R/</v>
      </c>
      <c r="F5027" t="s">
        <v>26619</v>
      </c>
      <c r="G5027" t="s">
        <v>2478</v>
      </c>
      <c r="H5027">
        <v>1458</v>
      </c>
      <c r="I5027" t="s">
        <v>2479</v>
      </c>
      <c r="J5027">
        <v>3</v>
      </c>
      <c r="K5027">
        <v>63</v>
      </c>
      <c r="L5027">
        <v>66</v>
      </c>
      <c r="Q5027">
        <v>0</v>
      </c>
      <c r="R5027">
        <v>0</v>
      </c>
      <c r="S5027">
        <v>66</v>
      </c>
      <c r="Y5027" t="s">
        <v>26620</v>
      </c>
      <c r="Z5027" t="s">
        <v>26621</v>
      </c>
      <c r="AA5027" t="s">
        <v>26622</v>
      </c>
      <c r="AB5027" t="s">
        <v>26623</v>
      </c>
      <c r="AC5027" t="s">
        <v>26624</v>
      </c>
      <c r="AD5027" s="249" t="str">
        <f>HYPERLINK("https://scontent.cdninstagram.com/t51.2885-15/s320x320/e35/21372560_448065805593209_8561791269037146112_n.jpg")</f>
        <v>https://scontent.cdninstagram.com/t51.2885-15/s320x320/e35/21372560_448065805593209_8561791269037146112_n.jpg</v>
      </c>
      <c r="AE5027" s="249" t="str">
        <f>HYPERLINK("https://scontent.cdninstagram.com/t51.2885-19/s150x150/15624888_1206702079410874_1376885494834528256_a.jpg")</f>
        <v>https://scontent.cdninstagram.com/t51.2885-19/s150x150/15624888_1206702079410874_1376885494834528256_a.jpg</v>
      </c>
    </row>
    <row r="5028" spans="1:31" ht="15" x14ac:dyDescent="0.25">
      <c r="A5028" t="s">
        <v>2474</v>
      </c>
      <c r="B5028" t="s">
        <v>26625</v>
      </c>
      <c r="C5028" s="221">
        <v>42984.374363425923</v>
      </c>
      <c r="D5028" t="s">
        <v>26626</v>
      </c>
      <c r="E5028" s="249" t="str">
        <f>HYPERLINK("https://www.instagram.com/p/BYs09o7hD4F/")</f>
        <v>https://www.instagram.com/p/BYs09o7hD4F/</v>
      </c>
      <c r="F5028" t="s">
        <v>26627</v>
      </c>
      <c r="G5028" t="s">
        <v>2478</v>
      </c>
      <c r="H5028">
        <v>150</v>
      </c>
      <c r="I5028" t="s">
        <v>2479</v>
      </c>
      <c r="J5028">
        <v>1</v>
      </c>
      <c r="K5028">
        <v>39</v>
      </c>
      <c r="L5028">
        <v>40</v>
      </c>
      <c r="Q5028">
        <v>0</v>
      </c>
      <c r="R5028">
        <v>0</v>
      </c>
      <c r="S5028">
        <v>40</v>
      </c>
      <c r="Y5028" t="s">
        <v>26628</v>
      </c>
      <c r="Z5028" t="s">
        <v>26629</v>
      </c>
      <c r="AA5028" t="s">
        <v>26630</v>
      </c>
      <c r="AB5028" t="s">
        <v>26631</v>
      </c>
      <c r="AC5028" t="s">
        <v>26632</v>
      </c>
      <c r="AD5028" s="249" t="str">
        <f>HYPERLINK("https://scontent.cdninstagram.com/t51.2885-15/s320x320/e35/21433374_181651209045372_1487373000243150848_n.jpg")</f>
        <v>https://scontent.cdninstagram.com/t51.2885-15/s320x320/e35/21433374_181651209045372_1487373000243150848_n.jpg</v>
      </c>
      <c r="AE5028" s="249" t="str">
        <f>HYPERLINK("https://scontent.cdninstagram.com/t51.2885-19/s150x150/20582503_140039876585619_7946606468822728704_a.jpg")</f>
        <v>https://scontent.cdninstagram.com/t51.2885-19/s150x150/20582503_140039876585619_7946606468822728704_a.jpg</v>
      </c>
    </row>
    <row r="5029" spans="1:31" ht="15" x14ac:dyDescent="0.25">
      <c r="A5029" t="s">
        <v>2474</v>
      </c>
      <c r="B5029" t="s">
        <v>15215</v>
      </c>
      <c r="C5029" s="221">
        <v>42984.374849537038</v>
      </c>
      <c r="D5029" t="s">
        <v>26633</v>
      </c>
      <c r="E5029" s="249" t="str">
        <f>HYPERLINK("https://www.instagram.com/p/BYs1CzcB77i/")</f>
        <v>https://www.instagram.com/p/BYs1CzcB77i/</v>
      </c>
      <c r="F5029" t="s">
        <v>26634</v>
      </c>
      <c r="G5029" t="s">
        <v>2478</v>
      </c>
      <c r="H5029">
        <v>57835</v>
      </c>
      <c r="I5029" t="s">
        <v>2479</v>
      </c>
      <c r="J5029">
        <v>43</v>
      </c>
      <c r="K5029">
        <v>1640</v>
      </c>
      <c r="L5029">
        <v>1683</v>
      </c>
      <c r="Q5029">
        <v>0</v>
      </c>
      <c r="R5029">
        <v>0</v>
      </c>
      <c r="S5029">
        <v>1683</v>
      </c>
      <c r="Y5029" t="s">
        <v>9337</v>
      </c>
      <c r="Z5029" t="s">
        <v>26635</v>
      </c>
      <c r="AA5029" t="s">
        <v>11146</v>
      </c>
      <c r="AB5029" t="s">
        <v>26636</v>
      </c>
      <c r="AC5029" t="s">
        <v>20712</v>
      </c>
      <c r="AD5029" s="249" t="str">
        <f>HYPERLINK("https://scontent.cdninstagram.com/t51.2885-15/s320x320/e35/21433848_267800963714604_7669179077881757696_n.jpg")</f>
        <v>https://scontent.cdninstagram.com/t51.2885-15/s320x320/e35/21433848_267800963714604_7669179077881757696_n.jpg</v>
      </c>
      <c r="AE5029" s="249" t="str">
        <f>HYPERLINK("https://scontent.cdninstagram.com/t51.2885-19/s150x150/19932865_641502086046126_7825033261981106176_n.jpg")</f>
        <v>https://scontent.cdninstagram.com/t51.2885-19/s150x150/19932865_641502086046126_7825033261981106176_n.jpg</v>
      </c>
    </row>
    <row r="5030" spans="1:31" ht="15" x14ac:dyDescent="0.25">
      <c r="A5030" t="s">
        <v>2474</v>
      </c>
      <c r="B5030" t="s">
        <v>14322</v>
      </c>
      <c r="C5030" s="221">
        <v>42984.375115740739</v>
      </c>
      <c r="D5030" t="s">
        <v>26637</v>
      </c>
      <c r="E5030" s="249" t="str">
        <f>HYPERLINK("https://www.instagram.com/p/BYs1Fk3gNTd/")</f>
        <v>https://www.instagram.com/p/BYs1Fk3gNTd/</v>
      </c>
      <c r="F5030" t="s">
        <v>26638</v>
      </c>
      <c r="G5030" t="s">
        <v>2478</v>
      </c>
      <c r="H5030">
        <v>3213</v>
      </c>
      <c r="I5030" t="s">
        <v>2479</v>
      </c>
      <c r="J5030">
        <v>0</v>
      </c>
      <c r="K5030">
        <v>43</v>
      </c>
      <c r="L5030">
        <v>43</v>
      </c>
      <c r="Q5030">
        <v>0</v>
      </c>
      <c r="R5030">
        <v>0</v>
      </c>
      <c r="S5030">
        <v>43</v>
      </c>
      <c r="Y5030" t="s">
        <v>4232</v>
      </c>
      <c r="Z5030" t="s">
        <v>3754</v>
      </c>
      <c r="AA5030" t="s">
        <v>8654</v>
      </c>
      <c r="AB5030" t="s">
        <v>3757</v>
      </c>
      <c r="AC5030" t="s">
        <v>4803</v>
      </c>
      <c r="AD5030" s="249" t="str">
        <f>HYPERLINK("https://scontent.cdninstagram.com/t51.2885-15/s320x320/e35/21433748_1798603407066931_4170994405030756352_n.jpg")</f>
        <v>https://scontent.cdninstagram.com/t51.2885-15/s320x320/e35/21433748_1798603407066931_4170994405030756352_n.jpg</v>
      </c>
      <c r="AE5030" s="249" t="str">
        <f>HYPERLINK("https://scontent.cdninstagram.com/t51.2885-19/s150x150/14722983_620984121413610_3612595600819748864_a.jpg")</f>
        <v>https://scontent.cdninstagram.com/t51.2885-19/s150x150/14722983_620984121413610_3612595600819748864_a.jpg</v>
      </c>
    </row>
    <row r="5031" spans="1:31" ht="15" x14ac:dyDescent="0.25">
      <c r="A5031" t="s">
        <v>2474</v>
      </c>
      <c r="B5031" t="s">
        <v>3761</v>
      </c>
      <c r="C5031" s="221">
        <v>42984.378194444442</v>
      </c>
      <c r="D5031" t="s">
        <v>26639</v>
      </c>
      <c r="E5031" s="249" t="str">
        <f>HYPERLINK("https://www.instagram.com/p/BYs1mDqnElo/")</f>
        <v>https://www.instagram.com/p/BYs1mDqnElo/</v>
      </c>
      <c r="F5031" t="s">
        <v>26640</v>
      </c>
      <c r="G5031" t="s">
        <v>2478</v>
      </c>
      <c r="H5031">
        <v>35458</v>
      </c>
      <c r="I5031" t="s">
        <v>2479</v>
      </c>
      <c r="J5031">
        <v>0</v>
      </c>
      <c r="K5031">
        <v>9</v>
      </c>
      <c r="L5031">
        <v>9</v>
      </c>
      <c r="Q5031">
        <v>0</v>
      </c>
      <c r="R5031">
        <v>0</v>
      </c>
      <c r="S5031">
        <v>9</v>
      </c>
      <c r="Y5031" t="s">
        <v>25338</v>
      </c>
      <c r="Z5031" t="s">
        <v>4232</v>
      </c>
      <c r="AA5031" t="s">
        <v>3754</v>
      </c>
      <c r="AB5031" t="s">
        <v>26641</v>
      </c>
      <c r="AC5031" t="s">
        <v>3757</v>
      </c>
      <c r="AD5031" s="249" t="str">
        <f>HYPERLINK("https://scontent.cdninstagram.com/t51.2885-15/s320x320/e35/21371666_1919471621703049_6033893730451193856_n.jpg")</f>
        <v>https://scontent.cdninstagram.com/t51.2885-15/s320x320/e35/21371666_1919471621703049_6033893730451193856_n.jpg</v>
      </c>
      <c r="AE5031" s="249" t="str">
        <f>HYPERLINK("https://scontent.cdninstagram.com/t51.2885-19/s150x150/19985865_1705783593058831_5928851088227696640_n.jpg")</f>
        <v>https://scontent.cdninstagram.com/t51.2885-19/s150x150/19985865_1705783593058831_5928851088227696640_n.jpg</v>
      </c>
    </row>
    <row r="5032" spans="1:31" ht="15" x14ac:dyDescent="0.25">
      <c r="A5032" t="s">
        <v>2474</v>
      </c>
      <c r="B5032" t="s">
        <v>2628</v>
      </c>
      <c r="C5032" s="221">
        <v>42984.378634259258</v>
      </c>
      <c r="D5032" t="s">
        <v>26642</v>
      </c>
      <c r="E5032" s="249" t="str">
        <f>HYPERLINK("https://www.instagram.com/p/BYs1qsfghVu/")</f>
        <v>https://www.instagram.com/p/BYs1qsfghVu/</v>
      </c>
      <c r="F5032" t="s">
        <v>20494</v>
      </c>
      <c r="G5032" t="s">
        <v>2631</v>
      </c>
      <c r="H5032">
        <v>186</v>
      </c>
      <c r="I5032" t="s">
        <v>2479</v>
      </c>
      <c r="J5032">
        <v>0</v>
      </c>
      <c r="K5032">
        <v>29</v>
      </c>
      <c r="L5032">
        <v>29</v>
      </c>
      <c r="Q5032">
        <v>0</v>
      </c>
      <c r="R5032">
        <v>0</v>
      </c>
      <c r="S5032">
        <v>29</v>
      </c>
      <c r="Y5032" t="s">
        <v>8753</v>
      </c>
      <c r="Z5032" t="s">
        <v>2632</v>
      </c>
      <c r="AA5032" t="s">
        <v>8048</v>
      </c>
      <c r="AB5032" t="s">
        <v>4180</v>
      </c>
      <c r="AC5032" t="s">
        <v>12681</v>
      </c>
      <c r="AD5032" s="249" t="str">
        <f>HYPERLINK("https://scontent.cdninstagram.com/t51.2885-15/s320x320/e15/21371642_760706270784154_688660167251722240_n.jpg")</f>
        <v>https://scontent.cdninstagram.com/t51.2885-15/s320x320/e15/21371642_760706270784154_688660167251722240_n.jpg</v>
      </c>
      <c r="AE5032" s="249" t="str">
        <f>HYPERLINK("https://instagram.fdub3-1.fna.fbcdn.net/t51.2885-19/11906329_960233084022564_1448528159_a.jpg")</f>
        <v>https://instagram.fdub3-1.fna.fbcdn.net/t51.2885-19/11906329_960233084022564_1448528159_a.jpg</v>
      </c>
    </row>
    <row r="5033" spans="1:31" ht="15" x14ac:dyDescent="0.25">
      <c r="A5033" t="s">
        <v>2474</v>
      </c>
      <c r="B5033" t="s">
        <v>26643</v>
      </c>
      <c r="C5033" s="221">
        <v>42984.382384259261</v>
      </c>
      <c r="D5033" t="s">
        <v>26644</v>
      </c>
      <c r="E5033" s="249" t="str">
        <f>HYPERLINK("https://www.instagram.com/p/BYs2SQ_HdnW/")</f>
        <v>https://www.instagram.com/p/BYs2SQ_HdnW/</v>
      </c>
      <c r="F5033" t="s">
        <v>26645</v>
      </c>
      <c r="G5033" t="s">
        <v>2478</v>
      </c>
      <c r="H5033">
        <v>412</v>
      </c>
      <c r="I5033" t="s">
        <v>2479</v>
      </c>
      <c r="J5033">
        <v>0</v>
      </c>
      <c r="K5033">
        <v>29</v>
      </c>
      <c r="L5033">
        <v>29</v>
      </c>
      <c r="Q5033">
        <v>0</v>
      </c>
      <c r="R5033">
        <v>0</v>
      </c>
      <c r="S5033">
        <v>29</v>
      </c>
      <c r="Y5033" t="s">
        <v>26646</v>
      </c>
      <c r="Z5033" t="s">
        <v>26647</v>
      </c>
      <c r="AA5033" t="s">
        <v>26648</v>
      </c>
      <c r="AB5033" t="s">
        <v>2734</v>
      </c>
      <c r="AC5033" t="s">
        <v>6706</v>
      </c>
      <c r="AD5033" s="249" t="str">
        <f>HYPERLINK("https://scontent.cdninstagram.com/t51.2885-15/s320x320/e35/21436307_266376847189117_4295546171692154880_n.jpg")</f>
        <v>https://scontent.cdninstagram.com/t51.2885-15/s320x320/e35/21436307_266376847189117_4295546171692154880_n.jpg</v>
      </c>
      <c r="AE5033" s="249" t="str">
        <f>HYPERLINK("https://scontent.cdninstagram.com/t51.2885-19/s150x150/21107571_164120394164976_6351464690354225152_a.jpg")</f>
        <v>https://scontent.cdninstagram.com/t51.2885-19/s150x150/21107571_164120394164976_6351464690354225152_a.jpg</v>
      </c>
    </row>
    <row r="5034" spans="1:31" ht="15" x14ac:dyDescent="0.25">
      <c r="A5034" t="s">
        <v>2474</v>
      </c>
      <c r="B5034" t="s">
        <v>26649</v>
      </c>
      <c r="C5034" s="221">
        <v>42984.382974537039</v>
      </c>
      <c r="D5034" t="s">
        <v>26650</v>
      </c>
      <c r="E5034" s="249" t="str">
        <f>HYPERLINK("https://www.instagram.com/p/BYs2YZHj2QA/")</f>
        <v>https://www.instagram.com/p/BYs2YZHj2QA/</v>
      </c>
      <c r="F5034" t="s">
        <v>26651</v>
      </c>
      <c r="G5034" t="s">
        <v>2478</v>
      </c>
      <c r="H5034">
        <v>373</v>
      </c>
      <c r="I5034" t="s">
        <v>2479</v>
      </c>
      <c r="J5034">
        <v>1</v>
      </c>
      <c r="K5034">
        <v>13</v>
      </c>
      <c r="L5034">
        <v>14</v>
      </c>
      <c r="Q5034">
        <v>0</v>
      </c>
      <c r="R5034">
        <v>0</v>
      </c>
      <c r="S5034">
        <v>14</v>
      </c>
      <c r="T5034" t="s">
        <v>26652</v>
      </c>
      <c r="V5034" t="s">
        <v>2204</v>
      </c>
      <c r="W5034">
        <v>2.9166699999999999</v>
      </c>
      <c r="X5034">
        <v>101.667</v>
      </c>
      <c r="Y5034" t="s">
        <v>2497</v>
      </c>
      <c r="Z5034" t="s">
        <v>26653</v>
      </c>
      <c r="AA5034" t="s">
        <v>26654</v>
      </c>
      <c r="AB5034" t="s">
        <v>26655</v>
      </c>
      <c r="AC5034" t="s">
        <v>26656</v>
      </c>
      <c r="AD5034" s="249" t="str">
        <f>HYPERLINK("https://scontent.cdninstagram.com/t51.2885-15/s320x320/e35/21372932_627465354259109_1733151030582968320_n.jpg")</f>
        <v>https://scontent.cdninstagram.com/t51.2885-15/s320x320/e35/21372932_627465354259109_1733151030582968320_n.jpg</v>
      </c>
      <c r="AE5034" s="249" t="str">
        <f>HYPERLINK("https://scontent.cdninstagram.com/t51.2885-19/s150x150/20986647_112573956085225_7779667377859330048_a.jpg")</f>
        <v>https://scontent.cdninstagram.com/t51.2885-19/s150x150/20986647_112573956085225_7779667377859330048_a.jpg</v>
      </c>
    </row>
    <row r="5035" spans="1:31" ht="15" x14ac:dyDescent="0.25">
      <c r="A5035" t="s">
        <v>2474</v>
      </c>
      <c r="B5035" t="s">
        <v>26657</v>
      </c>
      <c r="C5035" s="221">
        <v>42984.387754629628</v>
      </c>
      <c r="D5035" t="s">
        <v>26658</v>
      </c>
      <c r="E5035" s="249" t="str">
        <f>HYPERLINK("https://www.instagram.com/p/BYs3K5uB8gK/")</f>
        <v>https://www.instagram.com/p/BYs3K5uB8gK/</v>
      </c>
      <c r="F5035" t="s">
        <v>26659</v>
      </c>
      <c r="G5035" t="s">
        <v>2478</v>
      </c>
      <c r="H5035">
        <v>97</v>
      </c>
      <c r="I5035" t="s">
        <v>2479</v>
      </c>
      <c r="J5035">
        <v>0</v>
      </c>
      <c r="K5035">
        <v>9</v>
      </c>
      <c r="L5035">
        <v>9</v>
      </c>
      <c r="Q5035">
        <v>0</v>
      </c>
      <c r="R5035">
        <v>0</v>
      </c>
      <c r="S5035">
        <v>9</v>
      </c>
      <c r="Y5035" t="s">
        <v>26660</v>
      </c>
      <c r="Z5035" t="s">
        <v>26661</v>
      </c>
      <c r="AA5035" t="s">
        <v>26662</v>
      </c>
      <c r="AB5035" t="s">
        <v>26663</v>
      </c>
      <c r="AC5035" t="s">
        <v>26664</v>
      </c>
      <c r="AD5035" s="249" t="str">
        <f>HYPERLINK("https://scontent.cdninstagram.com/t51.2885-15/s320x320/e35/21434095_798312513663819_485602797920714752_n.jpg")</f>
        <v>https://scontent.cdninstagram.com/t51.2885-15/s320x320/e35/21434095_798312513663819_485602797920714752_n.jpg</v>
      </c>
      <c r="AE5035" s="249" t="str">
        <f>HYPERLINK("https://scontent.cdninstagram.com/t51.2885-19/s150x150/15056781_1813133062289332_4047005850315784192_a.jpg")</f>
        <v>https://scontent.cdninstagram.com/t51.2885-19/s150x150/15056781_1813133062289332_4047005850315784192_a.jpg</v>
      </c>
    </row>
    <row r="5036" spans="1:31" ht="15" x14ac:dyDescent="0.25">
      <c r="A5036" t="s">
        <v>2474</v>
      </c>
      <c r="B5036" t="s">
        <v>2644</v>
      </c>
      <c r="C5036" s="221">
        <v>42984.390960648147</v>
      </c>
      <c r="D5036" t="s">
        <v>26665</v>
      </c>
      <c r="E5036" s="249" t="str">
        <f>HYPERLINK("https://www.instagram.com/p/BYs3snJgtj_/")</f>
        <v>https://www.instagram.com/p/BYs3snJgtj_/</v>
      </c>
      <c r="F5036" t="s">
        <v>26666</v>
      </c>
      <c r="G5036" t="s">
        <v>2478</v>
      </c>
      <c r="H5036">
        <v>1723</v>
      </c>
      <c r="I5036" t="s">
        <v>2479</v>
      </c>
      <c r="J5036">
        <v>0</v>
      </c>
      <c r="K5036">
        <v>86</v>
      </c>
      <c r="L5036">
        <v>86</v>
      </c>
      <c r="Q5036">
        <v>0</v>
      </c>
      <c r="R5036">
        <v>0</v>
      </c>
      <c r="S5036">
        <v>86</v>
      </c>
      <c r="T5036" t="s">
        <v>26667</v>
      </c>
      <c r="V5036" t="s">
        <v>2648</v>
      </c>
      <c r="W5036">
        <v>55.770800000000001</v>
      </c>
      <c r="X5036">
        <v>37.609229900000003</v>
      </c>
      <c r="Y5036" t="s">
        <v>3635</v>
      </c>
      <c r="Z5036" t="s">
        <v>3915</v>
      </c>
      <c r="AA5036" t="s">
        <v>2497</v>
      </c>
      <c r="AB5036" t="s">
        <v>2649</v>
      </c>
      <c r="AC5036" t="s">
        <v>3621</v>
      </c>
      <c r="AD5036" s="249" t="str">
        <f>HYPERLINK("https://scontent.cdninstagram.com/t51.2885-15/s320x320/e35/21436144_1390653701062590_7327681550957412352_n.jpg")</f>
        <v>https://scontent.cdninstagram.com/t51.2885-15/s320x320/e35/21436144_1390653701062590_7327681550957412352_n.jpg</v>
      </c>
      <c r="AE5036" s="249" t="str">
        <f>HYPERLINK("https://scontent.cdninstagram.com/t51.2885-19/11372086_1598451257062069_1320225693_a.jpg")</f>
        <v>https://scontent.cdninstagram.com/t51.2885-19/11372086_1598451257062069_1320225693_a.jpg</v>
      </c>
    </row>
    <row r="5037" spans="1:31" ht="15" x14ac:dyDescent="0.25">
      <c r="A5037" t="s">
        <v>2474</v>
      </c>
      <c r="B5037" t="s">
        <v>26610</v>
      </c>
      <c r="C5037" s="221">
        <v>42984.395486111112</v>
      </c>
      <c r="D5037" t="s">
        <v>26668</v>
      </c>
      <c r="E5037" s="249" t="str">
        <f>HYPERLINK("https://www.instagram.com/p/BYs4cbdgjUp/")</f>
        <v>https://www.instagram.com/p/BYs4cbdgjUp/</v>
      </c>
      <c r="F5037" t="s">
        <v>26669</v>
      </c>
      <c r="G5037" t="s">
        <v>2478</v>
      </c>
      <c r="H5037">
        <v>175</v>
      </c>
      <c r="I5037" t="s">
        <v>2542</v>
      </c>
      <c r="J5037">
        <v>2</v>
      </c>
      <c r="K5037">
        <v>13</v>
      </c>
      <c r="L5037">
        <v>15</v>
      </c>
      <c r="Q5037">
        <v>0</v>
      </c>
      <c r="R5037">
        <v>0</v>
      </c>
      <c r="S5037">
        <v>15</v>
      </c>
      <c r="T5037" t="s">
        <v>17626</v>
      </c>
      <c r="U5037" t="s">
        <v>144</v>
      </c>
      <c r="V5037" t="s">
        <v>2299</v>
      </c>
      <c r="W5037">
        <v>39</v>
      </c>
      <c r="X5037">
        <v>-105.5</v>
      </c>
      <c r="Y5037" t="s">
        <v>26670</v>
      </c>
      <c r="Z5037" t="s">
        <v>26671</v>
      </c>
      <c r="AA5037" t="s">
        <v>13664</v>
      </c>
      <c r="AB5037" t="s">
        <v>6672</v>
      </c>
      <c r="AC5037" t="s">
        <v>26672</v>
      </c>
      <c r="AD5037" s="249" t="str">
        <f>HYPERLINK("https://scontent.cdninstagram.com/t51.2885-15/s320x320/e35/21433568_1948372528735038_7485687427772710912_n.jpg")</f>
        <v>https://scontent.cdninstagram.com/t51.2885-15/s320x320/e35/21433568_1948372528735038_7485687427772710912_n.jpg</v>
      </c>
      <c r="AE5037" s="249" t="str">
        <f>HYPERLINK("https://scontent.cdninstagram.com/t51.2885-19/s150x150/21373097_355250184914398_4763270085911511040_a.jpg")</f>
        <v>https://scontent.cdninstagram.com/t51.2885-19/s150x150/21373097_355250184914398_4763270085911511040_a.jpg</v>
      </c>
    </row>
    <row r="5038" spans="1:31" ht="15" x14ac:dyDescent="0.25">
      <c r="A5038" t="s">
        <v>2474</v>
      </c>
      <c r="B5038" t="s">
        <v>26673</v>
      </c>
      <c r="C5038" s="221">
        <v>42984.396053240744</v>
      </c>
      <c r="D5038" t="s">
        <v>26674</v>
      </c>
      <c r="E5038" s="249" t="str">
        <f>HYPERLINK("https://www.instagram.com/p/BYs4iaSnACO/")</f>
        <v>https://www.instagram.com/p/BYs4iaSnACO/</v>
      </c>
      <c r="F5038" t="s">
        <v>26675</v>
      </c>
      <c r="G5038" t="s">
        <v>2478</v>
      </c>
      <c r="H5038">
        <v>1200</v>
      </c>
      <c r="I5038" t="s">
        <v>2479</v>
      </c>
      <c r="J5038">
        <v>4</v>
      </c>
      <c r="K5038">
        <v>37</v>
      </c>
      <c r="L5038">
        <v>41</v>
      </c>
      <c r="Q5038">
        <v>0</v>
      </c>
      <c r="R5038">
        <v>0</v>
      </c>
      <c r="S5038">
        <v>41</v>
      </c>
      <c r="Y5038" t="s">
        <v>26676</v>
      </c>
      <c r="Z5038" t="s">
        <v>26677</v>
      </c>
      <c r="AA5038" t="s">
        <v>2497</v>
      </c>
      <c r="AD5038" s="249" t="str">
        <f>HYPERLINK("https://scontent.cdninstagram.com/t51.2885-15/e35/p320x320/21436289_465197303866894_7636681074692587520_n.jpg")</f>
        <v>https://scontent.cdninstagram.com/t51.2885-15/e35/p320x320/21436289_465197303866894_7636681074692587520_n.jpg</v>
      </c>
      <c r="AE5038" s="249" t="str">
        <f>HYPERLINK("https://scontent.cdninstagram.com/t51.2885-19/s150x150/12751148_1550087735304417_1061410147_a.jpg")</f>
        <v>https://scontent.cdninstagram.com/t51.2885-19/s150x150/12751148_1550087735304417_1061410147_a.jpg</v>
      </c>
    </row>
    <row r="5039" spans="1:31" ht="15" x14ac:dyDescent="0.25">
      <c r="A5039" t="s">
        <v>2474</v>
      </c>
      <c r="B5039" t="s">
        <v>26678</v>
      </c>
      <c r="C5039" s="221">
        <v>42984.397592592592</v>
      </c>
      <c r="D5039" t="s">
        <v>26679</v>
      </c>
      <c r="E5039" s="249" t="str">
        <f>HYPERLINK("https://www.instagram.com/p/BYs4ymhlZiH/")</f>
        <v>https://www.instagram.com/p/BYs4ymhlZiH/</v>
      </c>
      <c r="F5039" t="s">
        <v>26680</v>
      </c>
      <c r="G5039" t="s">
        <v>2488</v>
      </c>
      <c r="H5039">
        <v>3111</v>
      </c>
      <c r="I5039" t="s">
        <v>2479</v>
      </c>
      <c r="J5039">
        <v>2</v>
      </c>
      <c r="K5039">
        <v>285</v>
      </c>
      <c r="L5039">
        <v>287</v>
      </c>
      <c r="Q5039">
        <v>0</v>
      </c>
      <c r="R5039">
        <v>0</v>
      </c>
      <c r="S5039">
        <v>287</v>
      </c>
      <c r="Y5039" t="s">
        <v>2497</v>
      </c>
      <c r="Z5039" t="s">
        <v>3225</v>
      </c>
      <c r="AD5039" s="249" t="str">
        <f>HYPERLINK("https://scontent.cdninstagram.com/t51.2885-15/s320x320/e35/21371899_684397931730681_7847657414529646592_n.jpg")</f>
        <v>https://scontent.cdninstagram.com/t51.2885-15/s320x320/e35/21371899_684397931730681_7847657414529646592_n.jpg</v>
      </c>
      <c r="AE5039" s="249" t="str">
        <f>HYPERLINK("https://scontent.cdninstagram.com/t51.2885-19/s150x150/21296365_101668240573584_5590335041700888576_a.jpg")</f>
        <v>https://scontent.cdninstagram.com/t51.2885-19/s150x150/21296365_101668240573584_5590335041700888576_a.jpg</v>
      </c>
    </row>
    <row r="5040" spans="1:31" ht="15" x14ac:dyDescent="0.25">
      <c r="A5040" t="s">
        <v>2474</v>
      </c>
      <c r="B5040" t="s">
        <v>3015</v>
      </c>
      <c r="C5040" s="221">
        <v>42984.398425925923</v>
      </c>
      <c r="D5040" t="s">
        <v>26681</v>
      </c>
      <c r="E5040" s="249" t="str">
        <f>HYPERLINK("https://www.instagram.com/p/BYs47ZrAZ_A/")</f>
        <v>https://www.instagram.com/p/BYs47ZrAZ_A/</v>
      </c>
      <c r="F5040" t="s">
        <v>26682</v>
      </c>
      <c r="G5040" t="s">
        <v>2478</v>
      </c>
      <c r="H5040">
        <v>272</v>
      </c>
      <c r="I5040" t="s">
        <v>2479</v>
      </c>
      <c r="J5040">
        <v>3</v>
      </c>
      <c r="K5040">
        <v>53</v>
      </c>
      <c r="L5040">
        <v>56</v>
      </c>
      <c r="Q5040">
        <v>0</v>
      </c>
      <c r="R5040">
        <v>0</v>
      </c>
      <c r="S5040">
        <v>56</v>
      </c>
      <c r="Y5040" t="s">
        <v>3165</v>
      </c>
      <c r="Z5040" t="s">
        <v>4128</v>
      </c>
      <c r="AA5040" t="s">
        <v>3020</v>
      </c>
      <c r="AB5040" t="s">
        <v>3021</v>
      </c>
      <c r="AC5040" t="s">
        <v>3856</v>
      </c>
      <c r="AD5040" s="249" t="str">
        <f>HYPERLINK("https://scontent.cdninstagram.com/t51.2885-15/s320x320/e35/21373236_697669697099502_7938419393573158912_n.jpg")</f>
        <v>https://scontent.cdninstagram.com/t51.2885-15/s320x320/e35/21373236_697669697099502_7938419393573158912_n.jpg</v>
      </c>
      <c r="AE5040" s="249" t="str">
        <f>HYPERLINK("https://scontent.cdninstagram.com/t51.2885-19/s150x150/21373025_723410537866046_6184601968204316672_a.jpg")</f>
        <v>https://scontent.cdninstagram.com/t51.2885-19/s150x150/21373025_723410537866046_6184601968204316672_a.jpg</v>
      </c>
    </row>
    <row r="5041" spans="1:31" ht="15" x14ac:dyDescent="0.25">
      <c r="A5041" t="s">
        <v>2474</v>
      </c>
      <c r="B5041" t="s">
        <v>26683</v>
      </c>
      <c r="C5041" s="221">
        <v>42984.407453703701</v>
      </c>
      <c r="D5041" t="s">
        <v>26684</v>
      </c>
      <c r="E5041" s="249" t="str">
        <f>HYPERLINK("https://www.instagram.com/p/BYs6aqel_yX/")</f>
        <v>https://www.instagram.com/p/BYs6aqel_yX/</v>
      </c>
      <c r="F5041" t="s">
        <v>26685</v>
      </c>
      <c r="G5041" t="s">
        <v>2478</v>
      </c>
      <c r="H5041">
        <v>2425</v>
      </c>
      <c r="I5041" t="s">
        <v>2903</v>
      </c>
      <c r="J5041">
        <v>2</v>
      </c>
      <c r="K5041">
        <v>91</v>
      </c>
      <c r="L5041">
        <v>93</v>
      </c>
      <c r="Q5041">
        <v>0</v>
      </c>
      <c r="R5041">
        <v>0</v>
      </c>
      <c r="S5041">
        <v>93</v>
      </c>
      <c r="Y5041" t="s">
        <v>26683</v>
      </c>
      <c r="Z5041" t="s">
        <v>13664</v>
      </c>
      <c r="AA5041" t="s">
        <v>4026</v>
      </c>
      <c r="AB5041" t="s">
        <v>26686</v>
      </c>
      <c r="AC5041" t="s">
        <v>2497</v>
      </c>
      <c r="AD5041" s="249" t="str">
        <f>HYPERLINK("https://scontent.cdninstagram.com/t51.2885-15/s320x320/e35/21373357_159164384663970_4674090463014158336_n.jpg")</f>
        <v>https://scontent.cdninstagram.com/t51.2885-15/s320x320/e35/21373357_159164384663970_4674090463014158336_n.jpg</v>
      </c>
      <c r="AE5041" s="249" t="str">
        <f>HYPERLINK("https://scontent.cdninstagram.com/t51.2885-19/s150x150/12424802_870148099750198_756837748_a.jpg")</f>
        <v>https://scontent.cdninstagram.com/t51.2885-19/s150x150/12424802_870148099750198_756837748_a.jpg</v>
      </c>
    </row>
    <row r="5042" spans="1:31" ht="15" x14ac:dyDescent="0.25">
      <c r="A5042" t="s">
        <v>2474</v>
      </c>
      <c r="B5042" t="s">
        <v>26687</v>
      </c>
      <c r="C5042" s="221">
        <v>42984.413611111115</v>
      </c>
      <c r="D5042" t="s">
        <v>26688</v>
      </c>
      <c r="E5042" s="249" t="str">
        <f>HYPERLINK("https://www.instagram.com/p/BYs7bnVAqC7/")</f>
        <v>https://www.instagram.com/p/BYs7bnVAqC7/</v>
      </c>
      <c r="F5042" t="s">
        <v>26689</v>
      </c>
      <c r="G5042" t="s">
        <v>2488</v>
      </c>
      <c r="H5042">
        <v>29</v>
      </c>
      <c r="I5042" t="s">
        <v>2479</v>
      </c>
      <c r="J5042">
        <v>1</v>
      </c>
      <c r="K5042">
        <v>9</v>
      </c>
      <c r="L5042">
        <v>10</v>
      </c>
      <c r="Q5042">
        <v>0</v>
      </c>
      <c r="R5042">
        <v>0</v>
      </c>
      <c r="S5042">
        <v>10</v>
      </c>
      <c r="Y5042" t="s">
        <v>9445</v>
      </c>
      <c r="Z5042" t="s">
        <v>25181</v>
      </c>
      <c r="AA5042" t="s">
        <v>2492</v>
      </c>
      <c r="AB5042" t="s">
        <v>26690</v>
      </c>
      <c r="AC5042" t="s">
        <v>26691</v>
      </c>
      <c r="AD5042" s="249" t="str">
        <f>HYPERLINK("https://scontent.cdninstagram.com/t51.2885-15/s320x320/e35/21372610_338987743218408_6482078326612557824_n.jpg")</f>
        <v>https://scontent.cdninstagram.com/t51.2885-15/s320x320/e35/21372610_338987743218408_6482078326612557824_n.jpg</v>
      </c>
      <c r="AE5042" s="249" t="str">
        <f>HYPERLINK("https://scontent.cdninstagram.com/t51.2885-19/s150x150/21373150_357137328032602_2356709226023223296_a.jpg")</f>
        <v>https://scontent.cdninstagram.com/t51.2885-19/s150x150/21373150_357137328032602_2356709226023223296_a.jpg</v>
      </c>
    </row>
    <row r="5043" spans="1:31" ht="15" x14ac:dyDescent="0.25">
      <c r="A5043" t="s">
        <v>2474</v>
      </c>
      <c r="B5043" t="s">
        <v>26692</v>
      </c>
      <c r="C5043" s="221">
        <v>42984.415439814817</v>
      </c>
      <c r="D5043" t="s">
        <v>26693</v>
      </c>
      <c r="E5043" s="249" t="str">
        <f>HYPERLINK("https://www.instagram.com/p/BYs7u4uBB5S/")</f>
        <v>https://www.instagram.com/p/BYs7u4uBB5S/</v>
      </c>
      <c r="F5043" t="s">
        <v>26694</v>
      </c>
      <c r="G5043" t="s">
        <v>2478</v>
      </c>
      <c r="H5043">
        <v>617</v>
      </c>
      <c r="I5043" t="s">
        <v>2479</v>
      </c>
      <c r="J5043">
        <v>0</v>
      </c>
      <c r="K5043">
        <v>45</v>
      </c>
      <c r="L5043">
        <v>45</v>
      </c>
      <c r="Q5043">
        <v>0</v>
      </c>
      <c r="R5043">
        <v>0</v>
      </c>
      <c r="S5043">
        <v>45</v>
      </c>
      <c r="Y5043" t="s">
        <v>26695</v>
      </c>
      <c r="Z5043" t="s">
        <v>2497</v>
      </c>
      <c r="AD5043" s="249" t="str">
        <f>HYPERLINK("https://scontent.cdninstagram.com/t51.2885-15/e35/p320x320/21372024_347962352320333_3742526066695077888_n.jpg")</f>
        <v>https://scontent.cdninstagram.com/t51.2885-15/e35/p320x320/21372024_347962352320333_3742526066695077888_n.jpg</v>
      </c>
      <c r="AE5043" s="249" t="str">
        <f>HYPERLINK("https://scontent.cdninstagram.com/t51.2885-19/s150x150/21373516_518832358463116_3538653306412859392_a.jpg")</f>
        <v>https://scontent.cdninstagram.com/t51.2885-19/s150x150/21373516_518832358463116_3538653306412859392_a.jpg</v>
      </c>
    </row>
    <row r="5044" spans="1:31" ht="15" x14ac:dyDescent="0.25">
      <c r="A5044" t="s">
        <v>2474</v>
      </c>
      <c r="B5044" t="s">
        <v>26696</v>
      </c>
      <c r="C5044" s="221">
        <v>42984.423020833332</v>
      </c>
      <c r="D5044" t="s">
        <v>26697</v>
      </c>
      <c r="E5044" s="249" t="str">
        <f>HYPERLINK("https://www.instagram.com/p/BYs8-yxA-eE/")</f>
        <v>https://www.instagram.com/p/BYs8-yxA-eE/</v>
      </c>
      <c r="F5044" t="s">
        <v>26698</v>
      </c>
      <c r="G5044" t="s">
        <v>2478</v>
      </c>
      <c r="H5044">
        <v>5595</v>
      </c>
      <c r="I5044" t="s">
        <v>2542</v>
      </c>
      <c r="J5044">
        <v>1</v>
      </c>
      <c r="K5044">
        <v>47</v>
      </c>
      <c r="L5044">
        <v>48</v>
      </c>
      <c r="Q5044">
        <v>0</v>
      </c>
      <c r="R5044">
        <v>0</v>
      </c>
      <c r="S5044">
        <v>48</v>
      </c>
      <c r="Y5044" t="s">
        <v>26699</v>
      </c>
      <c r="Z5044" t="s">
        <v>2492</v>
      </c>
      <c r="AA5044" t="s">
        <v>26700</v>
      </c>
      <c r="AB5044" t="s">
        <v>25877</v>
      </c>
      <c r="AC5044" t="s">
        <v>26701</v>
      </c>
      <c r="AD5044" s="249" t="str">
        <f>HYPERLINK("https://scontent.cdninstagram.com/t51.2885-15/s320x320/e35/21372906_712056378993649_3144397230153138176_n.jpg")</f>
        <v>https://scontent.cdninstagram.com/t51.2885-15/s320x320/e35/21372906_712056378993649_3144397230153138176_n.jpg</v>
      </c>
      <c r="AE5044" s="249" t="str">
        <f>HYPERLINK("https://scontent.cdninstagram.com/t51.2885-19/s150x150/18722946_1728693823813909_679743656231436288_a.jpg")</f>
        <v>https://scontent.cdninstagram.com/t51.2885-19/s150x150/18722946_1728693823813909_679743656231436288_a.jpg</v>
      </c>
    </row>
    <row r="5045" spans="1:31" ht="15" x14ac:dyDescent="0.25">
      <c r="A5045" t="s">
        <v>2474</v>
      </c>
      <c r="B5045" t="s">
        <v>26702</v>
      </c>
      <c r="C5045" s="221">
        <v>42984.424328703702</v>
      </c>
      <c r="D5045" t="s">
        <v>26703</v>
      </c>
      <c r="E5045" s="249" t="str">
        <f>HYPERLINK("https://www.instagram.com/p/BYs9MlJlmZn/")</f>
        <v>https://www.instagram.com/p/BYs9MlJlmZn/</v>
      </c>
      <c r="F5045" t="s">
        <v>26704</v>
      </c>
      <c r="G5045" t="s">
        <v>2478</v>
      </c>
      <c r="H5045">
        <v>1609</v>
      </c>
      <c r="I5045" t="s">
        <v>2542</v>
      </c>
      <c r="J5045">
        <v>17</v>
      </c>
      <c r="K5045">
        <v>187</v>
      </c>
      <c r="L5045">
        <v>204</v>
      </c>
      <c r="Q5045">
        <v>0</v>
      </c>
      <c r="R5045">
        <v>0</v>
      </c>
      <c r="S5045">
        <v>204</v>
      </c>
      <c r="T5045" t="s">
        <v>18490</v>
      </c>
      <c r="V5045" t="s">
        <v>2222</v>
      </c>
      <c r="W5045">
        <v>52.373100000000001</v>
      </c>
      <c r="X5045">
        <v>4.8921999999999999</v>
      </c>
      <c r="Y5045" t="s">
        <v>19462</v>
      </c>
      <c r="Z5045" t="s">
        <v>26705</v>
      </c>
      <c r="AA5045" t="s">
        <v>11893</v>
      </c>
      <c r="AB5045" t="s">
        <v>26706</v>
      </c>
      <c r="AC5045" t="s">
        <v>7895</v>
      </c>
      <c r="AD5045" s="249" t="str">
        <f>HYPERLINK("https://scontent.cdninstagram.com/t51.2885-15/e35/p320x320/21373641_115856652401750_8559723783450001408_n.jpg")</f>
        <v>https://scontent.cdninstagram.com/t51.2885-15/e35/p320x320/21373641_115856652401750_8559723783450001408_n.jpg</v>
      </c>
      <c r="AE5045" s="249" t="str">
        <f>HYPERLINK("https://scontent.cdninstagram.com/t51.2885-19/s150x150/20634968_259721071199159_3323607012616437760_a.jpg")</f>
        <v>https://scontent.cdninstagram.com/t51.2885-19/s150x150/20634968_259721071199159_3323607012616437760_a.jpg</v>
      </c>
    </row>
    <row r="5046" spans="1:31" ht="15" x14ac:dyDescent="0.25">
      <c r="A5046" t="s">
        <v>2474</v>
      </c>
      <c r="B5046" t="s">
        <v>3206</v>
      </c>
      <c r="C5046" s="221">
        <v>42984.427199074074</v>
      </c>
      <c r="D5046" t="s">
        <v>26707</v>
      </c>
      <c r="E5046" s="249" t="str">
        <f>HYPERLINK("https://www.instagram.com/p/BYs9q7WlO3C/")</f>
        <v>https://www.instagram.com/p/BYs9q7WlO3C/</v>
      </c>
      <c r="F5046" t="s">
        <v>26708</v>
      </c>
      <c r="G5046" t="s">
        <v>2478</v>
      </c>
      <c r="H5046">
        <v>237</v>
      </c>
      <c r="I5046" t="s">
        <v>2582</v>
      </c>
      <c r="J5046">
        <v>0</v>
      </c>
      <c r="K5046">
        <v>31</v>
      </c>
      <c r="L5046">
        <v>31</v>
      </c>
      <c r="Q5046">
        <v>0</v>
      </c>
      <c r="R5046">
        <v>0</v>
      </c>
      <c r="S5046">
        <v>31</v>
      </c>
      <c r="Y5046" t="s">
        <v>26709</v>
      </c>
      <c r="Z5046" t="s">
        <v>26710</v>
      </c>
      <c r="AA5046" t="s">
        <v>13779</v>
      </c>
      <c r="AB5046" t="s">
        <v>26711</v>
      </c>
      <c r="AC5046" t="s">
        <v>26712</v>
      </c>
      <c r="AD5046" s="249" t="str">
        <f>HYPERLINK("https://scontent.cdninstagram.com/t51.2885-15/e35/p320x320/21372342_131401110816561_7605092629612593152_n.jpg")</f>
        <v>https://scontent.cdninstagram.com/t51.2885-15/e35/p320x320/21372342_131401110816561_7605092629612593152_n.jpg</v>
      </c>
      <c r="AE5046" s="249" t="str">
        <f>HYPERLINK("https://scontent.cdninstagram.com/t51.2885-19/s150x150/20214010_123762504909314_3215645463373938688_a.jpg")</f>
        <v>https://scontent.cdninstagram.com/t51.2885-19/s150x150/20214010_123762504909314_3215645463373938688_a.jpg</v>
      </c>
    </row>
    <row r="5047" spans="1:31" ht="15" x14ac:dyDescent="0.25">
      <c r="A5047" t="s">
        <v>2474</v>
      </c>
      <c r="B5047" t="s">
        <v>26713</v>
      </c>
      <c r="C5047" s="221">
        <v>42984.427291666667</v>
      </c>
      <c r="D5047" t="s">
        <v>26714</v>
      </c>
      <c r="E5047" s="249" t="str">
        <f>HYPERLINK("https://www.instagram.com/p/BYs9r3Sh996/")</f>
        <v>https://www.instagram.com/p/BYs9r3Sh996/</v>
      </c>
      <c r="F5047" t="s">
        <v>26715</v>
      </c>
      <c r="G5047" t="s">
        <v>2478</v>
      </c>
      <c r="H5047">
        <v>393</v>
      </c>
      <c r="I5047" t="s">
        <v>2927</v>
      </c>
      <c r="J5047">
        <v>1</v>
      </c>
      <c r="K5047">
        <v>19</v>
      </c>
      <c r="L5047">
        <v>20</v>
      </c>
      <c r="Q5047">
        <v>0</v>
      </c>
      <c r="R5047">
        <v>0</v>
      </c>
      <c r="S5047">
        <v>20</v>
      </c>
      <c r="Y5047" t="s">
        <v>26716</v>
      </c>
      <c r="Z5047" t="s">
        <v>26717</v>
      </c>
      <c r="AA5047" t="s">
        <v>26718</v>
      </c>
      <c r="AB5047" t="s">
        <v>2777</v>
      </c>
      <c r="AC5047" t="s">
        <v>26719</v>
      </c>
      <c r="AD5047" s="249" t="str">
        <f>HYPERLINK("https://scontent.cdninstagram.com/t51.2885-15/e35/p320x320/21435591_996539770488634_6738958151627833344_n.jpg")</f>
        <v>https://scontent.cdninstagram.com/t51.2885-15/e35/p320x320/21435591_996539770488634_6738958151627833344_n.jpg</v>
      </c>
      <c r="AE5047" s="249" t="str">
        <f>HYPERLINK("https://scontent.cdninstagram.com/t51.2885-19/s150x150/21373589_1538748686187953_7742717228750995456_a.jpg")</f>
        <v>https://scontent.cdninstagram.com/t51.2885-19/s150x150/21373589_1538748686187953_7742717228750995456_a.jpg</v>
      </c>
    </row>
    <row r="5048" spans="1:31" ht="15" x14ac:dyDescent="0.25">
      <c r="A5048" t="s">
        <v>2474</v>
      </c>
      <c r="B5048" t="s">
        <v>26720</v>
      </c>
      <c r="C5048" s="221">
        <v>42984.431747685187</v>
      </c>
      <c r="D5048" t="s">
        <v>26721</v>
      </c>
      <c r="E5048" s="249" t="str">
        <f>HYPERLINK("https://www.instagram.com/p/BYs-a0FDMyC/")</f>
        <v>https://www.instagram.com/p/BYs-a0FDMyC/</v>
      </c>
      <c r="F5048" t="s">
        <v>26722</v>
      </c>
      <c r="G5048" t="s">
        <v>2478</v>
      </c>
      <c r="H5048">
        <v>9817</v>
      </c>
      <c r="I5048" t="s">
        <v>2479</v>
      </c>
      <c r="J5048">
        <v>1</v>
      </c>
      <c r="K5048">
        <v>75</v>
      </c>
      <c r="L5048">
        <v>76</v>
      </c>
      <c r="Q5048">
        <v>0</v>
      </c>
      <c r="R5048">
        <v>0</v>
      </c>
      <c r="S5048">
        <v>76</v>
      </c>
      <c r="Y5048" t="s">
        <v>26723</v>
      </c>
      <c r="Z5048" t="s">
        <v>26724</v>
      </c>
      <c r="AA5048" t="s">
        <v>26725</v>
      </c>
      <c r="AB5048" t="s">
        <v>26726</v>
      </c>
      <c r="AC5048" t="s">
        <v>2497</v>
      </c>
      <c r="AD5048" s="249" t="str">
        <f>HYPERLINK("https://scontent.cdninstagram.com/t51.2885-15/s320x320/e35/21372253_1665246170152877_5697126478643200000_n.jpg")</f>
        <v>https://scontent.cdninstagram.com/t51.2885-15/s320x320/e35/21372253_1665246170152877_5697126478643200000_n.jpg</v>
      </c>
      <c r="AE5048" s="249" t="str">
        <f>HYPERLINK("https://scontent.cdninstagram.com/t51.2885-19/s150x150/20838703_605169463013915_7692545207505518592_a.jpg")</f>
        <v>https://scontent.cdninstagram.com/t51.2885-19/s150x150/20838703_605169463013915_7692545207505518592_a.jpg</v>
      </c>
    </row>
    <row r="5049" spans="1:31" ht="15" x14ac:dyDescent="0.25">
      <c r="A5049" t="s">
        <v>2474</v>
      </c>
      <c r="B5049" t="s">
        <v>26727</v>
      </c>
      <c r="C5049" s="221">
        <v>42984.444675925923</v>
      </c>
      <c r="D5049" t="s">
        <v>26728</v>
      </c>
      <c r="E5049" s="249" t="str">
        <f>HYPERLINK("https://www.instagram.com/p/BYtAjKnFPIJ/")</f>
        <v>https://www.instagram.com/p/BYtAjKnFPIJ/</v>
      </c>
      <c r="F5049" t="s">
        <v>26729</v>
      </c>
      <c r="G5049" t="s">
        <v>2478</v>
      </c>
      <c r="H5049">
        <v>655</v>
      </c>
      <c r="I5049" t="s">
        <v>2542</v>
      </c>
      <c r="J5049">
        <v>3</v>
      </c>
      <c r="K5049">
        <v>40</v>
      </c>
      <c r="L5049">
        <v>43</v>
      </c>
      <c r="Q5049">
        <v>0</v>
      </c>
      <c r="R5049">
        <v>0</v>
      </c>
      <c r="S5049">
        <v>43</v>
      </c>
      <c r="Y5049" t="s">
        <v>5118</v>
      </c>
      <c r="Z5049" t="s">
        <v>12938</v>
      </c>
      <c r="AA5049" t="s">
        <v>21056</v>
      </c>
      <c r="AB5049" t="s">
        <v>8638</v>
      </c>
      <c r="AC5049" t="s">
        <v>2497</v>
      </c>
      <c r="AD5049" s="249" t="str">
        <f>HYPERLINK("https://scontent.cdninstagram.com/t51.2885-15/e35/p320x320/21433715_1445696145511939_5785960790464921600_n.jpg")</f>
        <v>https://scontent.cdninstagram.com/t51.2885-15/e35/p320x320/21433715_1445696145511939_5785960790464921600_n.jpg</v>
      </c>
      <c r="AE5049" s="249" t="str">
        <f>HYPERLINK("https://scontent.cdninstagram.com/t51.2885-19/s150x150/16583843_354011828331308_6449341055090294784_a.jpg")</f>
        <v>https://scontent.cdninstagram.com/t51.2885-19/s150x150/16583843_354011828331308_6449341055090294784_a.jpg</v>
      </c>
    </row>
    <row r="5050" spans="1:31" ht="15" x14ac:dyDescent="0.25">
      <c r="A5050" t="s">
        <v>2474</v>
      </c>
      <c r="B5050" t="s">
        <v>26730</v>
      </c>
      <c r="C5050" s="221">
        <v>42984.448344907411</v>
      </c>
      <c r="D5050" t="s">
        <v>26731</v>
      </c>
      <c r="E5050" s="249" t="str">
        <f>HYPERLINK("https://www.instagram.com/p/BYtBJ1bjkPq/")</f>
        <v>https://www.instagram.com/p/BYtBJ1bjkPq/</v>
      </c>
      <c r="F5050" t="s">
        <v>26732</v>
      </c>
      <c r="G5050" t="s">
        <v>2478</v>
      </c>
      <c r="H5050">
        <v>572</v>
      </c>
      <c r="I5050" t="s">
        <v>2479</v>
      </c>
      <c r="J5050">
        <v>5</v>
      </c>
      <c r="K5050">
        <v>30</v>
      </c>
      <c r="L5050">
        <v>35</v>
      </c>
      <c r="Q5050">
        <v>0</v>
      </c>
      <c r="R5050">
        <v>0</v>
      </c>
      <c r="S5050">
        <v>35</v>
      </c>
      <c r="Y5050" t="s">
        <v>26733</v>
      </c>
      <c r="Z5050" t="s">
        <v>7102</v>
      </c>
      <c r="AA5050" t="s">
        <v>21014</v>
      </c>
      <c r="AB5050" t="s">
        <v>11373</v>
      </c>
      <c r="AC5050" t="s">
        <v>26734</v>
      </c>
      <c r="AD5050" s="249" t="str">
        <f>HYPERLINK("https://scontent.cdninstagram.com/t51.2885-15/s320x320/e35/21435398_363358394098979_6953487610534690816_n.jpg")</f>
        <v>https://scontent.cdninstagram.com/t51.2885-15/s320x320/e35/21435398_363358394098979_6953487610534690816_n.jpg</v>
      </c>
      <c r="AE5050" s="249" t="str">
        <f>HYPERLINK("https://scontent.cdninstagram.com/t51.2885-19/s150x150/16110843_1295256970512689_5666224674279784448_n.jpg")</f>
        <v>https://scontent.cdninstagram.com/t51.2885-19/s150x150/16110843_1295256970512689_5666224674279784448_n.jpg</v>
      </c>
    </row>
    <row r="5051" spans="1:31" ht="15" x14ac:dyDescent="0.25">
      <c r="A5051" t="s">
        <v>2474</v>
      </c>
      <c r="B5051" t="s">
        <v>26735</v>
      </c>
      <c r="C5051" s="221">
        <v>42984.448854166665</v>
      </c>
      <c r="D5051" t="s">
        <v>26736</v>
      </c>
      <c r="E5051" s="249" t="str">
        <f>HYPERLINK("https://www.instagram.com/p/BYtBPNPHyUT/")</f>
        <v>https://www.instagram.com/p/BYtBPNPHyUT/</v>
      </c>
      <c r="F5051" t="s">
        <v>26737</v>
      </c>
      <c r="G5051" t="s">
        <v>2478</v>
      </c>
      <c r="H5051">
        <v>856</v>
      </c>
      <c r="I5051" t="s">
        <v>4062</v>
      </c>
      <c r="J5051">
        <v>3</v>
      </c>
      <c r="K5051">
        <v>11</v>
      </c>
      <c r="L5051">
        <v>14</v>
      </c>
      <c r="Q5051">
        <v>0</v>
      </c>
      <c r="R5051">
        <v>0</v>
      </c>
      <c r="S5051">
        <v>14</v>
      </c>
      <c r="Y5051" t="s">
        <v>4646</v>
      </c>
      <c r="Z5051" t="s">
        <v>2728</v>
      </c>
      <c r="AA5051" t="s">
        <v>4121</v>
      </c>
      <c r="AB5051" t="s">
        <v>2497</v>
      </c>
      <c r="AD5051" s="249" t="str">
        <f>HYPERLINK("https://scontent.cdninstagram.com/t51.2885-15/s320x320/e35/21373433_1197670297042043_7090213273018040320_n.jpg")</f>
        <v>https://scontent.cdninstagram.com/t51.2885-15/s320x320/e35/21373433_1197670297042043_7090213273018040320_n.jpg</v>
      </c>
      <c r="AE5051" s="249" t="str">
        <f>HYPERLINK("https://scontent.cdninstagram.com/t51.2885-19/s150x150/21480534_1418906688223683_8118073490403229696_n.jpg")</f>
        <v>https://scontent.cdninstagram.com/t51.2885-19/s150x150/21480534_1418906688223683_8118073490403229696_n.jpg</v>
      </c>
    </row>
    <row r="5052" spans="1:31" ht="15" x14ac:dyDescent="0.25">
      <c r="A5052" t="s">
        <v>2474</v>
      </c>
      <c r="B5052" t="s">
        <v>26738</v>
      </c>
      <c r="C5052" s="221">
        <v>42984.45380787037</v>
      </c>
      <c r="D5052" t="s">
        <v>26739</v>
      </c>
      <c r="E5052" s="249" t="str">
        <f>HYPERLINK("https://www.instagram.com/p/BYtCDd7lNpg/")</f>
        <v>https://www.instagram.com/p/BYtCDd7lNpg/</v>
      </c>
      <c r="F5052" t="s">
        <v>26740</v>
      </c>
      <c r="G5052" t="s">
        <v>2478</v>
      </c>
      <c r="H5052">
        <v>27</v>
      </c>
      <c r="I5052" t="s">
        <v>3170</v>
      </c>
      <c r="J5052">
        <v>1</v>
      </c>
      <c r="K5052">
        <v>17</v>
      </c>
      <c r="L5052">
        <v>18</v>
      </c>
      <c r="Q5052">
        <v>0</v>
      </c>
      <c r="R5052">
        <v>0</v>
      </c>
      <c r="S5052">
        <v>18</v>
      </c>
      <c r="Y5052" t="s">
        <v>26741</v>
      </c>
      <c r="Z5052" t="s">
        <v>5229</v>
      </c>
      <c r="AA5052" t="s">
        <v>4582</v>
      </c>
      <c r="AB5052" t="s">
        <v>26742</v>
      </c>
      <c r="AC5052" t="s">
        <v>5639</v>
      </c>
      <c r="AD5052" s="249" t="str">
        <f>HYPERLINK("https://scontent.cdninstagram.com/t51.2885-15/s320x320/e35/21433633_129509817682317_1905759207794147328_n.jpg")</f>
        <v>https://scontent.cdninstagram.com/t51.2885-15/s320x320/e35/21433633_129509817682317_1905759207794147328_n.jpg</v>
      </c>
      <c r="AE5052" s="249" t="str">
        <f>HYPERLINK("https://scontent.cdninstagram.com/t51.2885-19/s150x150/21296840_420420071693090_3974507051467407360_a.jpg")</f>
        <v>https://scontent.cdninstagram.com/t51.2885-19/s150x150/21296840_420420071693090_3974507051467407360_a.jpg</v>
      </c>
    </row>
    <row r="5053" spans="1:31" ht="15" x14ac:dyDescent="0.25">
      <c r="A5053" t="s">
        <v>2474</v>
      </c>
      <c r="B5053" t="s">
        <v>26743</v>
      </c>
      <c r="C5053" s="221">
        <v>42984.455949074072</v>
      </c>
      <c r="D5053" t="s">
        <v>26744</v>
      </c>
      <c r="E5053" s="249" t="str">
        <f>HYPERLINK("https://www.instagram.com/p/BYtCaHJg8X2/")</f>
        <v>https://www.instagram.com/p/BYtCaHJg8X2/</v>
      </c>
      <c r="F5053" t="s">
        <v>26745</v>
      </c>
      <c r="G5053" t="s">
        <v>2478</v>
      </c>
      <c r="H5053">
        <v>905</v>
      </c>
      <c r="I5053" t="s">
        <v>2896</v>
      </c>
      <c r="J5053">
        <v>10</v>
      </c>
      <c r="K5053">
        <v>151</v>
      </c>
      <c r="L5053">
        <v>161</v>
      </c>
      <c r="Q5053">
        <v>0</v>
      </c>
      <c r="R5053">
        <v>0</v>
      </c>
      <c r="S5053">
        <v>161</v>
      </c>
      <c r="Y5053" t="s">
        <v>26746</v>
      </c>
      <c r="Z5053" t="s">
        <v>2497</v>
      </c>
      <c r="AA5053" t="s">
        <v>3706</v>
      </c>
      <c r="AB5053" t="s">
        <v>26747</v>
      </c>
      <c r="AC5053" t="s">
        <v>26748</v>
      </c>
      <c r="AD5053" s="249" t="str">
        <f>HYPERLINK("https://scontent.cdninstagram.com/t51.2885-15/e35/p320x320/21373262_536809713355623_7200685423918579712_n.jpg")</f>
        <v>https://scontent.cdninstagram.com/t51.2885-15/e35/p320x320/21373262_536809713355623_7200685423918579712_n.jpg</v>
      </c>
      <c r="AE5053" s="249" t="str">
        <f>HYPERLINK("https://scontent.cdninstagram.com/t51.2885-19/s150x150/20759142_124058278221090_126357658675445760_a.jpg")</f>
        <v>https://scontent.cdninstagram.com/t51.2885-19/s150x150/20759142_124058278221090_126357658675445760_a.jpg</v>
      </c>
    </row>
    <row r="5054" spans="1:31" ht="15" x14ac:dyDescent="0.25">
      <c r="A5054" t="s">
        <v>2474</v>
      </c>
      <c r="B5054" t="s">
        <v>26749</v>
      </c>
      <c r="C5054" s="221">
        <v>42984.460057870368</v>
      </c>
      <c r="D5054" t="s">
        <v>26750</v>
      </c>
      <c r="E5054" s="249" t="str">
        <f>HYPERLINK("https://www.instagram.com/p/BYtDFdajx3N/")</f>
        <v>https://www.instagram.com/p/BYtDFdajx3N/</v>
      </c>
      <c r="F5054" t="s">
        <v>26751</v>
      </c>
      <c r="G5054" t="s">
        <v>2478</v>
      </c>
      <c r="H5054">
        <v>128</v>
      </c>
      <c r="I5054" t="s">
        <v>2479</v>
      </c>
      <c r="J5054">
        <v>1</v>
      </c>
      <c r="K5054">
        <v>8</v>
      </c>
      <c r="L5054">
        <v>9</v>
      </c>
      <c r="Q5054">
        <v>0</v>
      </c>
      <c r="R5054">
        <v>0</v>
      </c>
      <c r="S5054">
        <v>9</v>
      </c>
      <c r="Y5054" t="s">
        <v>11651</v>
      </c>
      <c r="Z5054" t="s">
        <v>2497</v>
      </c>
      <c r="AA5054" t="s">
        <v>8882</v>
      </c>
      <c r="AD5054" s="249" t="str">
        <f>HYPERLINK("https://scontent.cdninstagram.com/t51.2885-15/s320x320/e35/21373385_207199599816916_2370823652494016512_n.jpg")</f>
        <v>https://scontent.cdninstagram.com/t51.2885-15/s320x320/e35/21373385_207199599816916_2370823652494016512_n.jpg</v>
      </c>
      <c r="AE5054" s="249" t="str">
        <f>HYPERLINK("https://scontent.cdninstagram.com/t51.2885-19/s150x150/19984396_646616525536147_1332292790725378048_a.jpg")</f>
        <v>https://scontent.cdninstagram.com/t51.2885-19/s150x150/19984396_646616525536147_1332292790725378048_a.jpg</v>
      </c>
    </row>
    <row r="5055" spans="1:31" ht="15" x14ac:dyDescent="0.25">
      <c r="A5055" t="s">
        <v>2474</v>
      </c>
      <c r="B5055" t="s">
        <v>26752</v>
      </c>
      <c r="C5055" s="221">
        <v>42984.460810185185</v>
      </c>
      <c r="D5055" t="s">
        <v>26753</v>
      </c>
      <c r="E5055" s="249" t="str">
        <f>HYPERLINK("https://www.instagram.com/p/BYtDNZRFowC/")</f>
        <v>https://www.instagram.com/p/BYtDNZRFowC/</v>
      </c>
      <c r="F5055" t="s">
        <v>26754</v>
      </c>
      <c r="G5055" t="s">
        <v>2478</v>
      </c>
      <c r="H5055">
        <v>143</v>
      </c>
      <c r="I5055" t="s">
        <v>2479</v>
      </c>
      <c r="J5055">
        <v>3</v>
      </c>
      <c r="K5055">
        <v>39</v>
      </c>
      <c r="L5055">
        <v>42</v>
      </c>
      <c r="Q5055">
        <v>0</v>
      </c>
      <c r="R5055">
        <v>0</v>
      </c>
      <c r="S5055">
        <v>42</v>
      </c>
      <c r="T5055" t="s">
        <v>26755</v>
      </c>
      <c r="V5055" t="s">
        <v>2222</v>
      </c>
      <c r="W5055">
        <v>52.103333333332998</v>
      </c>
      <c r="X5055">
        <v>5.1791666666667</v>
      </c>
      <c r="Y5055" t="s">
        <v>8861</v>
      </c>
      <c r="Z5055" t="s">
        <v>26756</v>
      </c>
      <c r="AA5055" t="s">
        <v>9470</v>
      </c>
      <c r="AB5055" t="s">
        <v>2949</v>
      </c>
      <c r="AC5055" t="s">
        <v>21633</v>
      </c>
      <c r="AD5055" s="249" t="str">
        <f>HYPERLINK("https://scontent.cdninstagram.com/t51.2885-15/s320x320/e35/21372063_869127153245942_9070510512952836096_n.jpg")</f>
        <v>https://scontent.cdninstagram.com/t51.2885-15/s320x320/e35/21372063_869127153245942_9070510512952836096_n.jpg</v>
      </c>
      <c r="AE5055" s="249" t="str">
        <f>HYPERLINK("https://scontent.cdninstagram.com/t51.2885-19/s150x150/21373302_678950905649044_7766731859781746688_a.jpg")</f>
        <v>https://scontent.cdninstagram.com/t51.2885-19/s150x150/21373302_678950905649044_7766731859781746688_a.jpg</v>
      </c>
    </row>
    <row r="5056" spans="1:31" ht="15" x14ac:dyDescent="0.25">
      <c r="A5056" t="s">
        <v>2474</v>
      </c>
      <c r="B5056" t="s">
        <v>24295</v>
      </c>
      <c r="C5056" s="221">
        <v>42984.461053240739</v>
      </c>
      <c r="D5056" t="s">
        <v>26757</v>
      </c>
      <c r="E5056" s="249" t="str">
        <f>HYPERLINK("https://www.instagram.com/p/BYtDP3zhVfi/")</f>
        <v>https://www.instagram.com/p/BYtDP3zhVfi/</v>
      </c>
      <c r="F5056" t="s">
        <v>26758</v>
      </c>
      <c r="G5056" t="s">
        <v>2478</v>
      </c>
      <c r="H5056">
        <v>292</v>
      </c>
      <c r="I5056" t="s">
        <v>2479</v>
      </c>
      <c r="J5056">
        <v>5</v>
      </c>
      <c r="K5056">
        <v>55</v>
      </c>
      <c r="L5056">
        <v>60</v>
      </c>
      <c r="Q5056">
        <v>0</v>
      </c>
      <c r="R5056">
        <v>0</v>
      </c>
      <c r="S5056">
        <v>60</v>
      </c>
      <c r="Y5056" t="s">
        <v>26759</v>
      </c>
      <c r="Z5056" t="s">
        <v>4702</v>
      </c>
      <c r="AA5056" t="s">
        <v>4620</v>
      </c>
      <c r="AB5056" t="s">
        <v>26760</v>
      </c>
      <c r="AC5056" t="s">
        <v>26761</v>
      </c>
      <c r="AD5056" s="249" t="str">
        <f>HYPERLINK("https://scontent.cdninstagram.com/t51.2885-15/s320x320/e35/21373551_115511075790420_3282932044530712576_n.jpg")</f>
        <v>https://scontent.cdninstagram.com/t51.2885-15/s320x320/e35/21373551_115511075790420_3282932044530712576_n.jpg</v>
      </c>
      <c r="AE5056" s="249" t="str">
        <f>HYPERLINK("https://scontent.cdninstagram.com/t51.2885-19/s150x150/21435819_267566027089277_2187620624187260928_a.jpg")</f>
        <v>https://scontent.cdninstagram.com/t51.2885-19/s150x150/21435819_267566027089277_2187620624187260928_a.jpg</v>
      </c>
    </row>
    <row r="5057" spans="1:31" ht="15" x14ac:dyDescent="0.25">
      <c r="A5057" t="s">
        <v>2474</v>
      </c>
      <c r="B5057" t="s">
        <v>26762</v>
      </c>
      <c r="C5057" s="221">
        <v>42984.462013888886</v>
      </c>
      <c r="D5057" t="s">
        <v>26763</v>
      </c>
      <c r="E5057" s="249" t="str">
        <f>HYPERLINK("https://www.instagram.com/p/BYtDaGshfLR/")</f>
        <v>https://www.instagram.com/p/BYtDaGshfLR/</v>
      </c>
      <c r="F5057" t="s">
        <v>26764</v>
      </c>
      <c r="G5057" t="s">
        <v>2478</v>
      </c>
      <c r="H5057">
        <v>260</v>
      </c>
      <c r="I5057" t="s">
        <v>4062</v>
      </c>
      <c r="J5057">
        <v>10</v>
      </c>
      <c r="K5057">
        <v>51</v>
      </c>
      <c r="L5057">
        <v>61</v>
      </c>
      <c r="Q5057">
        <v>0</v>
      </c>
      <c r="R5057">
        <v>0</v>
      </c>
      <c r="S5057">
        <v>61</v>
      </c>
      <c r="T5057" t="s">
        <v>26765</v>
      </c>
      <c r="V5057" t="s">
        <v>2154</v>
      </c>
      <c r="W5057">
        <v>43.296399999999998</v>
      </c>
      <c r="X5057">
        <v>5.37</v>
      </c>
      <c r="Y5057" t="s">
        <v>26766</v>
      </c>
      <c r="Z5057" t="s">
        <v>26767</v>
      </c>
      <c r="AA5057" t="s">
        <v>11121</v>
      </c>
      <c r="AB5057" t="s">
        <v>2968</v>
      </c>
      <c r="AC5057" t="s">
        <v>26768</v>
      </c>
      <c r="AD5057" s="249" t="str">
        <f>HYPERLINK("https://scontent.cdninstagram.com/t51.2885-15/s320x320/e35/21435480_115150175862037_3224367807512707072_n.jpg")</f>
        <v>https://scontent.cdninstagram.com/t51.2885-15/s320x320/e35/21435480_115150175862037_3224367807512707072_n.jpg</v>
      </c>
      <c r="AE5057" s="249" t="str">
        <f>HYPERLINK("https://scontent.cdninstagram.com/t51.2885-19/11934788_1626439307645336_1902400002_a.jpg")</f>
        <v>https://scontent.cdninstagram.com/t51.2885-19/11934788_1626439307645336_1902400002_a.jpg</v>
      </c>
    </row>
    <row r="5058" spans="1:31" ht="15" x14ac:dyDescent="0.25">
      <c r="A5058" t="s">
        <v>2474</v>
      </c>
      <c r="B5058" t="s">
        <v>3015</v>
      </c>
      <c r="C5058" s="221">
        <v>42984.462916666664</v>
      </c>
      <c r="D5058" t="s">
        <v>26769</v>
      </c>
      <c r="E5058" s="249" t="str">
        <f>HYPERLINK("https://www.instagram.com/p/BYtDjlBgFVH/")</f>
        <v>https://www.instagram.com/p/BYtDjlBgFVH/</v>
      </c>
      <c r="F5058" t="s">
        <v>26770</v>
      </c>
      <c r="G5058" t="s">
        <v>2478</v>
      </c>
      <c r="H5058">
        <v>275</v>
      </c>
      <c r="I5058" t="s">
        <v>2479</v>
      </c>
      <c r="J5058">
        <v>2</v>
      </c>
      <c r="K5058">
        <v>49</v>
      </c>
      <c r="L5058">
        <v>51</v>
      </c>
      <c r="Q5058">
        <v>0</v>
      </c>
      <c r="R5058">
        <v>0</v>
      </c>
      <c r="S5058">
        <v>51</v>
      </c>
      <c r="Y5058" t="s">
        <v>3854</v>
      </c>
      <c r="Z5058" t="s">
        <v>7275</v>
      </c>
      <c r="AA5058" t="s">
        <v>3492</v>
      </c>
      <c r="AB5058" t="s">
        <v>3727</v>
      </c>
      <c r="AC5058" t="s">
        <v>4128</v>
      </c>
      <c r="AD5058" s="249" t="str">
        <f>HYPERLINK("https://scontent.cdninstagram.com/t51.2885-15/s320x320/e35/21373146_270687680088841_7432697431239688192_n.jpg")</f>
        <v>https://scontent.cdninstagram.com/t51.2885-15/s320x320/e35/21373146_270687680088841_7432697431239688192_n.jpg</v>
      </c>
      <c r="AE5058" s="249" t="str">
        <f>HYPERLINK("https://scontent.cdninstagram.com/t51.2885-19/s150x150/21373025_723410537866046_6184601968204316672_a.jpg")</f>
        <v>https://scontent.cdninstagram.com/t51.2885-19/s150x150/21373025_723410537866046_6184601968204316672_a.jpg</v>
      </c>
    </row>
    <row r="5059" spans="1:31" ht="15" x14ac:dyDescent="0.25">
      <c r="A5059" t="s">
        <v>2474</v>
      </c>
      <c r="B5059" t="s">
        <v>3301</v>
      </c>
      <c r="C5059" s="221">
        <v>42984.466539351852</v>
      </c>
      <c r="D5059" t="s">
        <v>26771</v>
      </c>
      <c r="E5059" s="249" t="str">
        <f>HYPERLINK("https://www.instagram.com/p/BYtEJxPDJnV/")</f>
        <v>https://www.instagram.com/p/BYtEJxPDJnV/</v>
      </c>
      <c r="F5059" t="s">
        <v>26772</v>
      </c>
      <c r="G5059" t="s">
        <v>2478</v>
      </c>
      <c r="H5059">
        <v>620</v>
      </c>
      <c r="I5059" t="s">
        <v>2542</v>
      </c>
      <c r="J5059">
        <v>0</v>
      </c>
      <c r="K5059">
        <v>112</v>
      </c>
      <c r="L5059">
        <v>112</v>
      </c>
      <c r="Q5059">
        <v>0</v>
      </c>
      <c r="R5059">
        <v>0</v>
      </c>
      <c r="S5059">
        <v>112</v>
      </c>
      <c r="Y5059" t="s">
        <v>26773</v>
      </c>
      <c r="Z5059" t="s">
        <v>5236</v>
      </c>
      <c r="AA5059" t="s">
        <v>3305</v>
      </c>
      <c r="AB5059" t="s">
        <v>4158</v>
      </c>
      <c r="AC5059" t="s">
        <v>10878</v>
      </c>
      <c r="AD5059" s="249" t="str">
        <f>HYPERLINK("https://scontent.cdninstagram.com/t51.2885-15/s320x320/e35/21372532_514271295587806_928420411538931712_n.jpg")</f>
        <v>https://scontent.cdninstagram.com/t51.2885-15/s320x320/e35/21372532_514271295587806_928420411538931712_n.jpg</v>
      </c>
      <c r="AE5059" s="249" t="str">
        <f>HYPERLINK("https://scontent.cdninstagram.com/t51.2885-19/s150x150/19228478_370974479971900_5746578409966796800_a.jpg")</f>
        <v>https://scontent.cdninstagram.com/t51.2885-19/s150x150/19228478_370974479971900_5746578409966796800_a.jpg</v>
      </c>
    </row>
    <row r="5060" spans="1:31" ht="15" x14ac:dyDescent="0.25">
      <c r="A5060" t="s">
        <v>2474</v>
      </c>
      <c r="B5060" t="s">
        <v>26774</v>
      </c>
      <c r="C5060" s="221">
        <v>42984.476030092592</v>
      </c>
      <c r="D5060" t="s">
        <v>26775</v>
      </c>
      <c r="E5060" s="249" t="str">
        <f>HYPERLINK("https://www.instagram.com/p/BYtFt79A9qW/")</f>
        <v>https://www.instagram.com/p/BYtFt79A9qW/</v>
      </c>
      <c r="F5060" t="s">
        <v>26776</v>
      </c>
      <c r="G5060" t="s">
        <v>2478</v>
      </c>
      <c r="H5060">
        <v>315</v>
      </c>
      <c r="I5060" t="s">
        <v>2479</v>
      </c>
      <c r="J5060">
        <v>2</v>
      </c>
      <c r="K5060">
        <v>16</v>
      </c>
      <c r="L5060">
        <v>18</v>
      </c>
      <c r="Q5060">
        <v>0</v>
      </c>
      <c r="R5060">
        <v>0</v>
      </c>
      <c r="S5060">
        <v>18</v>
      </c>
      <c r="Y5060" t="s">
        <v>26777</v>
      </c>
      <c r="Z5060" t="s">
        <v>26778</v>
      </c>
      <c r="AA5060" t="s">
        <v>7236</v>
      </c>
      <c r="AB5060" t="s">
        <v>26779</v>
      </c>
      <c r="AC5060" t="s">
        <v>2575</v>
      </c>
      <c r="AD5060" s="249" t="str">
        <f>HYPERLINK("https://scontent.cdninstagram.com/t51.2885-15/s320x320/e35/21435929_286294788518271_4982808739405889536_n.jpg")</f>
        <v>https://scontent.cdninstagram.com/t51.2885-15/s320x320/e35/21435929_286294788518271_4982808739405889536_n.jpg</v>
      </c>
      <c r="AE5060" s="249" t="str">
        <f>HYPERLINK("https://scontent.cdninstagram.com/t51.2885-19/s150x150/21436151_1945632528991207_4929590791778598912_a.jpg")</f>
        <v>https://scontent.cdninstagram.com/t51.2885-19/s150x150/21436151_1945632528991207_4929590791778598912_a.jpg</v>
      </c>
    </row>
    <row r="5061" spans="1:31" ht="15" x14ac:dyDescent="0.25">
      <c r="A5061" t="s">
        <v>2474</v>
      </c>
      <c r="B5061" t="s">
        <v>26780</v>
      </c>
      <c r="C5061" s="221">
        <v>42984.476886574077</v>
      </c>
      <c r="D5061" t="s">
        <v>26781</v>
      </c>
      <c r="E5061" s="249" t="str">
        <f>HYPERLINK("https://www.instagram.com/p/BYtF29tB2Fc/")</f>
        <v>https://www.instagram.com/p/BYtF29tB2Fc/</v>
      </c>
      <c r="F5061" t="s">
        <v>26782</v>
      </c>
      <c r="G5061" t="s">
        <v>2478</v>
      </c>
      <c r="H5061">
        <v>323</v>
      </c>
      <c r="I5061" t="s">
        <v>2582</v>
      </c>
      <c r="J5061">
        <v>1</v>
      </c>
      <c r="K5061">
        <v>35</v>
      </c>
      <c r="L5061">
        <v>36</v>
      </c>
      <c r="Q5061">
        <v>0</v>
      </c>
      <c r="R5061">
        <v>0</v>
      </c>
      <c r="S5061">
        <v>36</v>
      </c>
      <c r="Y5061" t="s">
        <v>20374</v>
      </c>
      <c r="Z5061" t="s">
        <v>26783</v>
      </c>
      <c r="AA5061" t="s">
        <v>26784</v>
      </c>
      <c r="AB5061" t="s">
        <v>5702</v>
      </c>
      <c r="AC5061" t="s">
        <v>26785</v>
      </c>
      <c r="AD5061" s="249" t="str">
        <f>HYPERLINK("https://scontent.cdninstagram.com/t51.2885-15/s320x320/e35/21435336_122458568478209_200144483856154624_n.jpg")</f>
        <v>https://scontent.cdninstagram.com/t51.2885-15/s320x320/e35/21435336_122458568478209_200144483856154624_n.jpg</v>
      </c>
      <c r="AE5061" s="249" t="str">
        <f>HYPERLINK("https://scontent.cdninstagram.com/t51.2885-19/11376076_391226784407323_654223349_a.jpg")</f>
        <v>https://scontent.cdninstagram.com/t51.2885-19/11376076_391226784407323_654223349_a.jpg</v>
      </c>
    </row>
    <row r="5062" spans="1:31" ht="15" x14ac:dyDescent="0.25">
      <c r="A5062" t="s">
        <v>2474</v>
      </c>
      <c r="B5062" t="s">
        <v>26786</v>
      </c>
      <c r="C5062" s="221">
        <v>42984.478946759256</v>
      </c>
      <c r="D5062" t="s">
        <v>26787</v>
      </c>
      <c r="E5062" s="249" t="str">
        <f>HYPERLINK("https://www.instagram.com/p/BYtGMm9B0lF/")</f>
        <v>https://www.instagram.com/p/BYtGMm9B0lF/</v>
      </c>
      <c r="F5062" t="s">
        <v>26788</v>
      </c>
      <c r="G5062" t="s">
        <v>2478</v>
      </c>
      <c r="H5062">
        <v>494</v>
      </c>
      <c r="I5062" t="s">
        <v>2479</v>
      </c>
      <c r="J5062">
        <v>2</v>
      </c>
      <c r="K5062">
        <v>26</v>
      </c>
      <c r="L5062">
        <v>28</v>
      </c>
      <c r="Q5062">
        <v>0</v>
      </c>
      <c r="R5062">
        <v>0</v>
      </c>
      <c r="S5062">
        <v>28</v>
      </c>
      <c r="Y5062" t="s">
        <v>5229</v>
      </c>
      <c r="Z5062" t="s">
        <v>3157</v>
      </c>
      <c r="AA5062" t="s">
        <v>2705</v>
      </c>
      <c r="AB5062" t="s">
        <v>4702</v>
      </c>
      <c r="AC5062" t="s">
        <v>4760</v>
      </c>
      <c r="AD5062" s="249" t="str">
        <f>HYPERLINK("https://scontent.cdninstagram.com/t51.2885-15/s320x320/e35/21435367_516980235305072_5281515945246851072_n.jpg")</f>
        <v>https://scontent.cdninstagram.com/t51.2885-15/s320x320/e35/21435367_516980235305072_5281515945246851072_n.jpg</v>
      </c>
      <c r="AE5062" s="249" t="str">
        <f>HYPERLINK("https://scontent.cdninstagram.com/t51.2885-19/s150x150/21433647_349284372166672_2734374947425091584_a.jpg")</f>
        <v>https://scontent.cdninstagram.com/t51.2885-19/s150x150/21433647_349284372166672_2734374947425091584_a.jpg</v>
      </c>
    </row>
    <row r="5063" spans="1:31" ht="15" x14ac:dyDescent="0.25">
      <c r="A5063" t="s">
        <v>2474</v>
      </c>
      <c r="B5063" t="s">
        <v>20720</v>
      </c>
      <c r="C5063" s="221">
        <v>42984.482939814814</v>
      </c>
      <c r="D5063" t="s">
        <v>26789</v>
      </c>
      <c r="E5063" s="249" t="str">
        <f>HYPERLINK("https://www.instagram.com/p/BYtG2t8BxQ6/")</f>
        <v>https://www.instagram.com/p/BYtG2t8BxQ6/</v>
      </c>
      <c r="F5063" t="s">
        <v>26790</v>
      </c>
      <c r="G5063" t="s">
        <v>2478</v>
      </c>
      <c r="H5063">
        <v>1674</v>
      </c>
      <c r="I5063" t="s">
        <v>2479</v>
      </c>
      <c r="J5063">
        <v>5</v>
      </c>
      <c r="K5063">
        <v>156</v>
      </c>
      <c r="L5063">
        <v>161</v>
      </c>
      <c r="Q5063">
        <v>0</v>
      </c>
      <c r="R5063">
        <v>0</v>
      </c>
      <c r="S5063">
        <v>161</v>
      </c>
      <c r="T5063" t="s">
        <v>26791</v>
      </c>
      <c r="U5063" t="s">
        <v>148</v>
      </c>
      <c r="V5063" t="s">
        <v>2299</v>
      </c>
      <c r="W5063">
        <v>45.529600000000002</v>
      </c>
      <c r="X5063">
        <v>-122.392</v>
      </c>
      <c r="AD5063" s="249" t="str">
        <f>HYPERLINK("https://scontent.cdninstagram.com/t51.2885-15/e35/p320x320/21372507_1732293747065324_6235201136832282624_n.jpg")</f>
        <v>https://scontent.cdninstagram.com/t51.2885-15/e35/p320x320/21372507_1732293747065324_6235201136832282624_n.jpg</v>
      </c>
      <c r="AE5063" s="249" t="str">
        <f>HYPERLINK("https://scontent.cdninstagram.com/t51.2885-19/s150x150/21690347_116640325695510_2250263465228763136_n.jpg")</f>
        <v>https://scontent.cdninstagram.com/t51.2885-19/s150x150/21690347_116640325695510_2250263465228763136_n.jpg</v>
      </c>
    </row>
    <row r="5064" spans="1:31" ht="15" x14ac:dyDescent="0.25">
      <c r="A5064" t="s">
        <v>2474</v>
      </c>
      <c r="B5064" t="s">
        <v>26792</v>
      </c>
      <c r="C5064" s="221">
        <v>42984.484803240739</v>
      </c>
      <c r="D5064" t="s">
        <v>26793</v>
      </c>
      <c r="E5064" s="249" t="str">
        <f>HYPERLINK("https://www.instagram.com/p/BYtHKYZh03N/")</f>
        <v>https://www.instagram.com/p/BYtHKYZh03N/</v>
      </c>
      <c r="F5064" t="s">
        <v>26794</v>
      </c>
      <c r="G5064" t="s">
        <v>2478</v>
      </c>
      <c r="H5064">
        <v>660</v>
      </c>
      <c r="I5064" t="s">
        <v>2786</v>
      </c>
      <c r="J5064">
        <v>0</v>
      </c>
      <c r="K5064">
        <v>31</v>
      </c>
      <c r="L5064">
        <v>31</v>
      </c>
      <c r="Q5064">
        <v>0</v>
      </c>
      <c r="R5064">
        <v>0</v>
      </c>
      <c r="S5064">
        <v>31</v>
      </c>
      <c r="Y5064" t="s">
        <v>6198</v>
      </c>
      <c r="Z5064" t="s">
        <v>4939</v>
      </c>
      <c r="AA5064" t="s">
        <v>26795</v>
      </c>
      <c r="AB5064" t="s">
        <v>10509</v>
      </c>
      <c r="AC5064" t="s">
        <v>2497</v>
      </c>
      <c r="AD5064" s="249" t="str">
        <f>HYPERLINK("https://scontent.cdninstagram.com/t51.2885-15/e35/p320x320/21480500_121070361932572_7170604276136280064_n.jpg")</f>
        <v>https://scontent.cdninstagram.com/t51.2885-15/e35/p320x320/21480500_121070361932572_7170604276136280064_n.jpg</v>
      </c>
      <c r="AE5064" s="249" t="str">
        <f>HYPERLINK("https://scontent.cdninstagram.com/t51.2885-19/s150x150/19955256_131126784148085_2360853143614390272_a.jpg")</f>
        <v>https://scontent.cdninstagram.com/t51.2885-19/s150x150/19955256_131126784148085_2360853143614390272_a.jpg</v>
      </c>
    </row>
    <row r="5065" spans="1:31" ht="15" x14ac:dyDescent="0.25">
      <c r="A5065" t="s">
        <v>2474</v>
      </c>
      <c r="B5065" t="s">
        <v>2548</v>
      </c>
      <c r="C5065" s="221">
        <v>42984.484918981485</v>
      </c>
      <c r="D5065" t="s">
        <v>26796</v>
      </c>
      <c r="E5065" s="249" t="str">
        <f>HYPERLINK("https://www.instagram.com/p/BYtHLrZnU5u/")</f>
        <v>https://www.instagram.com/p/BYtHLrZnU5u/</v>
      </c>
      <c r="F5065" t="s">
        <v>26797</v>
      </c>
      <c r="G5065" t="s">
        <v>2478</v>
      </c>
      <c r="H5065">
        <v>531</v>
      </c>
      <c r="I5065" t="s">
        <v>2479</v>
      </c>
      <c r="J5065">
        <v>1</v>
      </c>
      <c r="K5065">
        <v>26</v>
      </c>
      <c r="L5065">
        <v>27</v>
      </c>
      <c r="Q5065">
        <v>0</v>
      </c>
      <c r="R5065">
        <v>0</v>
      </c>
      <c r="S5065">
        <v>27</v>
      </c>
      <c r="T5065" t="s">
        <v>5737</v>
      </c>
      <c r="V5065" t="s">
        <v>2222</v>
      </c>
      <c r="W5065">
        <v>52.26305</v>
      </c>
      <c r="X5065">
        <v>6.1649200000000004</v>
      </c>
      <c r="Y5065" t="s">
        <v>6187</v>
      </c>
      <c r="Z5065" t="s">
        <v>7907</v>
      </c>
      <c r="AA5065" t="s">
        <v>11779</v>
      </c>
      <c r="AB5065" t="s">
        <v>3262</v>
      </c>
      <c r="AC5065" t="s">
        <v>2906</v>
      </c>
      <c r="AD5065" s="249" t="str">
        <f>HYPERLINK("https://scontent.cdninstagram.com/t51.2885-15/s320x320/e35/21433287_1701013563282572_7481289248117620736_n.jpg")</f>
        <v>https://scontent.cdninstagram.com/t51.2885-15/s320x320/e35/21433287_1701013563282572_7481289248117620736_n.jpg</v>
      </c>
      <c r="AE5065" s="249" t="str">
        <f>HYPERLINK("https://scontent.cdninstagram.com/t51.2885-19/s150x150/20902268_463519954020811_6603510379353997312_a.jpg")</f>
        <v>https://scontent.cdninstagram.com/t51.2885-19/s150x150/20902268_463519954020811_6603510379353997312_a.jpg</v>
      </c>
    </row>
    <row r="5066" spans="1:31" ht="15" x14ac:dyDescent="0.25">
      <c r="A5066" t="s">
        <v>2474</v>
      </c>
      <c r="B5066" t="s">
        <v>26798</v>
      </c>
      <c r="C5066" s="221">
        <v>42984.48542824074</v>
      </c>
      <c r="D5066" t="s">
        <v>26799</v>
      </c>
      <c r="E5066" s="249" t="str">
        <f>HYPERLINK("https://www.instagram.com/p/BYtHQ9xh7tP/")</f>
        <v>https://www.instagram.com/p/BYtHQ9xh7tP/</v>
      </c>
      <c r="F5066" t="s">
        <v>26800</v>
      </c>
      <c r="G5066" t="s">
        <v>2478</v>
      </c>
      <c r="H5066">
        <v>622</v>
      </c>
      <c r="I5066" t="s">
        <v>2479</v>
      </c>
      <c r="J5066">
        <v>3</v>
      </c>
      <c r="K5066">
        <v>74</v>
      </c>
      <c r="L5066">
        <v>77</v>
      </c>
      <c r="Q5066">
        <v>0</v>
      </c>
      <c r="R5066">
        <v>0</v>
      </c>
      <c r="S5066">
        <v>77</v>
      </c>
      <c r="T5066" t="s">
        <v>26801</v>
      </c>
      <c r="V5066" t="s">
        <v>2222</v>
      </c>
      <c r="W5066">
        <v>52.083300000000001</v>
      </c>
      <c r="X5066">
        <v>4.3167</v>
      </c>
      <c r="Y5066" t="s">
        <v>3570</v>
      </c>
      <c r="Z5066" t="s">
        <v>26802</v>
      </c>
      <c r="AA5066" t="s">
        <v>2892</v>
      </c>
      <c r="AB5066" t="s">
        <v>3262</v>
      </c>
      <c r="AC5066" t="s">
        <v>2968</v>
      </c>
      <c r="AD5066" s="249" t="str">
        <f>HYPERLINK("https://scontent.cdninstagram.com/t51.2885-15/s320x320/e35/21372911_130954680872509_2783302484716683264_n.jpg")</f>
        <v>https://scontent.cdninstagram.com/t51.2885-15/s320x320/e35/21372911_130954680872509_2783302484716683264_n.jpg</v>
      </c>
      <c r="AE5066" s="249" t="str">
        <f>HYPERLINK("https://scontent.cdninstagram.com/t51.2885-19/s150x150/17663461_318788041857680_7998481710889041920_n.jpg")</f>
        <v>https://scontent.cdninstagram.com/t51.2885-19/s150x150/17663461_318788041857680_7998481710889041920_n.jpg</v>
      </c>
    </row>
    <row r="5067" spans="1:31" ht="15" x14ac:dyDescent="0.25">
      <c r="A5067" t="s">
        <v>2474</v>
      </c>
      <c r="B5067" t="s">
        <v>12019</v>
      </c>
      <c r="C5067" s="221">
        <v>42984.491157407407</v>
      </c>
      <c r="D5067" t="s">
        <v>26803</v>
      </c>
      <c r="E5067" s="249" t="str">
        <f>HYPERLINK("https://www.instagram.com/p/BYtINX6A8zM/")</f>
        <v>https://www.instagram.com/p/BYtINX6A8zM/</v>
      </c>
      <c r="F5067" t="s">
        <v>26804</v>
      </c>
      <c r="G5067" t="s">
        <v>2478</v>
      </c>
      <c r="H5067">
        <v>291</v>
      </c>
      <c r="I5067" t="s">
        <v>3273</v>
      </c>
      <c r="J5067">
        <v>1</v>
      </c>
      <c r="K5067">
        <v>20</v>
      </c>
      <c r="L5067">
        <v>21</v>
      </c>
      <c r="Q5067">
        <v>0</v>
      </c>
      <c r="R5067">
        <v>0</v>
      </c>
      <c r="S5067">
        <v>21</v>
      </c>
      <c r="Y5067" t="s">
        <v>26805</v>
      </c>
      <c r="Z5067" t="s">
        <v>12023</v>
      </c>
      <c r="AA5067" t="s">
        <v>26806</v>
      </c>
      <c r="AB5067" t="s">
        <v>26807</v>
      </c>
      <c r="AC5067" t="s">
        <v>26808</v>
      </c>
      <c r="AD5067" s="249" t="str">
        <f>HYPERLINK("https://scontent.cdninstagram.com/t51.2885-15/s320x320/e35/21434238_509718602699290_3715235221726035968_n.jpg")</f>
        <v>https://scontent.cdninstagram.com/t51.2885-15/s320x320/e35/21434238_509718602699290_3715235221726035968_n.jpg</v>
      </c>
      <c r="AE5067" s="249" t="str">
        <f>HYPERLINK("https://scontent.cdninstagram.com/t51.2885-19/s150x150/20766601_1915262188736215_1065425036443123712_a.jpg")</f>
        <v>https://scontent.cdninstagram.com/t51.2885-19/s150x150/20766601_1915262188736215_1065425036443123712_a.jpg</v>
      </c>
    </row>
    <row r="5068" spans="1:31" ht="15" x14ac:dyDescent="0.25">
      <c r="A5068" t="s">
        <v>2474</v>
      </c>
      <c r="B5068" t="s">
        <v>2924</v>
      </c>
      <c r="C5068" s="221">
        <v>42984.498842592591</v>
      </c>
      <c r="D5068" t="s">
        <v>26809</v>
      </c>
      <c r="E5068" s="249" t="str">
        <f>HYPERLINK("https://www.instagram.com/p/BYtJeb1F3or/")</f>
        <v>https://www.instagram.com/p/BYtJeb1F3or/</v>
      </c>
      <c r="F5068" t="s">
        <v>26810</v>
      </c>
      <c r="G5068" t="s">
        <v>2478</v>
      </c>
      <c r="H5068">
        <v>254</v>
      </c>
      <c r="I5068" t="s">
        <v>2622</v>
      </c>
      <c r="J5068">
        <v>1</v>
      </c>
      <c r="K5068">
        <v>37</v>
      </c>
      <c r="L5068">
        <v>38</v>
      </c>
      <c r="Q5068">
        <v>0</v>
      </c>
      <c r="R5068">
        <v>0</v>
      </c>
      <c r="S5068">
        <v>38</v>
      </c>
      <c r="T5068" t="s">
        <v>2928</v>
      </c>
      <c r="V5068" t="s">
        <v>2110</v>
      </c>
      <c r="W5068">
        <v>51.033333333332997</v>
      </c>
      <c r="X5068">
        <v>2.8666666666667</v>
      </c>
      <c r="Y5068" t="s">
        <v>22173</v>
      </c>
      <c r="Z5068" t="s">
        <v>17958</v>
      </c>
      <c r="AA5068" t="s">
        <v>26811</v>
      </c>
      <c r="AB5068" t="s">
        <v>22174</v>
      </c>
      <c r="AC5068" t="s">
        <v>26812</v>
      </c>
      <c r="AD5068" s="249" t="str">
        <f>HYPERLINK("https://scontent.cdninstagram.com/t51.2885-15/s320x320/e35/21373233_114048695976912_3533310551780229120_n.jpg")</f>
        <v>https://scontent.cdninstagram.com/t51.2885-15/s320x320/e35/21373233_114048695976912_3533310551780229120_n.jpg</v>
      </c>
      <c r="AE5068" s="249" t="str">
        <f>HYPERLINK("https://scontent.cdninstagram.com/t51.2885-19/s150x150/21576759_1966990456846876_6175629687033692160_a.jpg")</f>
        <v>https://scontent.cdninstagram.com/t51.2885-19/s150x150/21576759_1966990456846876_6175629687033692160_a.jpg</v>
      </c>
    </row>
    <row r="5069" spans="1:31" ht="15" x14ac:dyDescent="0.25">
      <c r="A5069" t="s">
        <v>2474</v>
      </c>
      <c r="B5069" t="s">
        <v>26813</v>
      </c>
      <c r="C5069" s="221">
        <v>42984.50508101852</v>
      </c>
      <c r="D5069" t="s">
        <v>26814</v>
      </c>
      <c r="E5069" s="249" t="str">
        <f>HYPERLINK("https://www.instagram.com/p/BYtKgONDO-7/")</f>
        <v>https://www.instagram.com/p/BYtKgONDO-7/</v>
      </c>
      <c r="F5069" t="s">
        <v>26815</v>
      </c>
      <c r="G5069" t="s">
        <v>2478</v>
      </c>
      <c r="H5069">
        <v>4100</v>
      </c>
      <c r="I5069" t="s">
        <v>2479</v>
      </c>
      <c r="J5069">
        <v>1</v>
      </c>
      <c r="K5069">
        <v>90</v>
      </c>
      <c r="L5069">
        <v>91</v>
      </c>
      <c r="Q5069">
        <v>0</v>
      </c>
      <c r="R5069">
        <v>0</v>
      </c>
      <c r="S5069">
        <v>91</v>
      </c>
      <c r="T5069" t="s">
        <v>26816</v>
      </c>
      <c r="V5069" t="s">
        <v>2125</v>
      </c>
      <c r="W5069">
        <v>49.269419900000003</v>
      </c>
      <c r="X5069">
        <v>-123.13984000000001</v>
      </c>
      <c r="Y5069" t="s">
        <v>26817</v>
      </c>
      <c r="Z5069" t="s">
        <v>26818</v>
      </c>
      <c r="AA5069" t="s">
        <v>4779</v>
      </c>
      <c r="AB5069" t="s">
        <v>26819</v>
      </c>
      <c r="AC5069" t="s">
        <v>3213</v>
      </c>
      <c r="AD5069" s="249" t="str">
        <f>HYPERLINK("https://scontent.cdninstagram.com/t51.2885-15/s320x320/e35/21480011_1736116790016149_4776280722967101440_n.jpg")</f>
        <v>https://scontent.cdninstagram.com/t51.2885-15/s320x320/e35/21480011_1736116790016149_4776280722967101440_n.jpg</v>
      </c>
      <c r="AE5069" s="249" t="str">
        <f>HYPERLINK("https://scontent.cdninstagram.com/t51.2885-19/s150x150/21372619_1941951952735033_1912174707818364928_a.jpg")</f>
        <v>https://scontent.cdninstagram.com/t51.2885-19/s150x150/21372619_1941951952735033_1912174707818364928_a.jpg</v>
      </c>
    </row>
    <row r="5070" spans="1:31" ht="15" x14ac:dyDescent="0.25">
      <c r="A5070" t="s">
        <v>2474</v>
      </c>
      <c r="B5070" t="s">
        <v>26820</v>
      </c>
      <c r="C5070" s="221">
        <v>42984.505439814813</v>
      </c>
      <c r="D5070" t="s">
        <v>26821</v>
      </c>
      <c r="E5070" s="249" t="str">
        <f>HYPERLINK("https://www.instagram.com/p/BYtKkCjB2pL/")</f>
        <v>https://www.instagram.com/p/BYtKkCjB2pL/</v>
      </c>
      <c r="F5070" t="s">
        <v>26822</v>
      </c>
      <c r="G5070" t="s">
        <v>2478</v>
      </c>
      <c r="H5070">
        <v>333</v>
      </c>
      <c r="I5070" t="s">
        <v>2542</v>
      </c>
      <c r="J5070">
        <v>0</v>
      </c>
      <c r="K5070">
        <v>32</v>
      </c>
      <c r="L5070">
        <v>32</v>
      </c>
      <c r="Q5070">
        <v>0</v>
      </c>
      <c r="R5070">
        <v>0</v>
      </c>
      <c r="S5070">
        <v>32</v>
      </c>
      <c r="T5070" t="s">
        <v>26823</v>
      </c>
      <c r="V5070" t="s">
        <v>2263</v>
      </c>
      <c r="W5070">
        <v>-25.854486456098002</v>
      </c>
      <c r="X5070">
        <v>28.169268608109999</v>
      </c>
      <c r="Y5070" t="s">
        <v>3157</v>
      </c>
      <c r="Z5070" t="s">
        <v>26824</v>
      </c>
      <c r="AA5070" t="s">
        <v>8007</v>
      </c>
      <c r="AB5070" t="s">
        <v>26825</v>
      </c>
      <c r="AC5070" t="s">
        <v>3256</v>
      </c>
      <c r="AD5070" s="249" t="str">
        <f>HYPERLINK("https://scontent.cdninstagram.com/t51.2885-15/s320x320/e35/21373814_161130114440809_5943270264102977536_n.jpg")</f>
        <v>https://scontent.cdninstagram.com/t51.2885-15/s320x320/e35/21373814_161130114440809_5943270264102977536_n.jpg</v>
      </c>
      <c r="AE5070" s="249" t="str">
        <f>HYPERLINK("https://scontent.cdninstagram.com/t51.2885-19/s150x150/17818264_122896758252042_9065905449018064896_a.jpg")</f>
        <v>https://scontent.cdninstagram.com/t51.2885-19/s150x150/17818264_122896758252042_9065905449018064896_a.jpg</v>
      </c>
    </row>
    <row r="5071" spans="1:31" ht="15" x14ac:dyDescent="0.25">
      <c r="A5071" t="s">
        <v>2474</v>
      </c>
      <c r="B5071" t="s">
        <v>26826</v>
      </c>
      <c r="C5071" s="221">
        <v>42984.510625000003</v>
      </c>
      <c r="D5071" t="s">
        <v>26827</v>
      </c>
      <c r="E5071" s="249" t="str">
        <f>HYPERLINK("https://www.instagram.com/p/BYtLavpDB9P/")</f>
        <v>https://www.instagram.com/p/BYtLavpDB9P/</v>
      </c>
      <c r="F5071" t="s">
        <v>26828</v>
      </c>
      <c r="G5071" t="s">
        <v>2478</v>
      </c>
      <c r="H5071">
        <v>1700</v>
      </c>
      <c r="I5071" t="s">
        <v>2542</v>
      </c>
      <c r="J5071">
        <v>3</v>
      </c>
      <c r="K5071">
        <v>67</v>
      </c>
      <c r="L5071">
        <v>70</v>
      </c>
      <c r="Q5071">
        <v>0</v>
      </c>
      <c r="R5071">
        <v>0</v>
      </c>
      <c r="S5071">
        <v>70</v>
      </c>
      <c r="Y5071" t="s">
        <v>26829</v>
      </c>
      <c r="Z5071" t="s">
        <v>2497</v>
      </c>
      <c r="AA5071" t="s">
        <v>26830</v>
      </c>
      <c r="AB5071" t="s">
        <v>26826</v>
      </c>
      <c r="AC5071" t="s">
        <v>26831</v>
      </c>
      <c r="AD5071" s="249" t="str">
        <f>HYPERLINK("https://scontent.cdninstagram.com/t51.2885-15/s320x320/e35/21435447_944714352347802_5705147463212466176_n.jpg")</f>
        <v>https://scontent.cdninstagram.com/t51.2885-15/s320x320/e35/21435447_944714352347802_5705147463212466176_n.jpg</v>
      </c>
      <c r="AE5071" s="249" t="str">
        <f>HYPERLINK("https://scontent.cdninstagram.com/t51.2885-19/s150x150/19984333_456950981341730_781683957677686784_a.jpg")</f>
        <v>https://scontent.cdninstagram.com/t51.2885-19/s150x150/19984333_456950981341730_781683957677686784_a.jpg</v>
      </c>
    </row>
    <row r="5072" spans="1:31" ht="15" x14ac:dyDescent="0.25">
      <c r="A5072" t="s">
        <v>2474</v>
      </c>
      <c r="B5072" t="s">
        <v>26832</v>
      </c>
      <c r="C5072" s="221">
        <v>42984.51289351852</v>
      </c>
      <c r="D5072" t="s">
        <v>26833</v>
      </c>
      <c r="E5072" s="249" t="str">
        <f>HYPERLINK("https://www.instagram.com/p/BYtLyrOjfNv/")</f>
        <v>https://www.instagram.com/p/BYtLyrOjfNv/</v>
      </c>
      <c r="F5072" t="s">
        <v>26834</v>
      </c>
      <c r="G5072" t="s">
        <v>2478</v>
      </c>
      <c r="H5072">
        <v>145</v>
      </c>
      <c r="I5072" t="s">
        <v>4052</v>
      </c>
      <c r="J5072">
        <v>4</v>
      </c>
      <c r="K5072">
        <v>17</v>
      </c>
      <c r="L5072">
        <v>21</v>
      </c>
      <c r="Q5072">
        <v>0</v>
      </c>
      <c r="R5072">
        <v>0</v>
      </c>
      <c r="S5072">
        <v>21</v>
      </c>
      <c r="Y5072" t="s">
        <v>26835</v>
      </c>
      <c r="Z5072" t="s">
        <v>4319</v>
      </c>
      <c r="AA5072" t="s">
        <v>26836</v>
      </c>
      <c r="AB5072" t="s">
        <v>26837</v>
      </c>
      <c r="AC5072" t="s">
        <v>26838</v>
      </c>
      <c r="AD5072" s="249" t="str">
        <f>HYPERLINK("https://scontent.cdninstagram.com/t51.2885-15/e35/p320x320/21373592_335695536856982_3333005826989228032_n.jpg")</f>
        <v>https://scontent.cdninstagram.com/t51.2885-15/e35/p320x320/21373592_335695536856982_3333005826989228032_n.jpg</v>
      </c>
      <c r="AE5072" s="249" t="str">
        <f>HYPERLINK("https://scontent.cdninstagram.com/t51.2885-19/s150x150/20905746_744711389045304_1894520029999792128_a.jpg")</f>
        <v>https://scontent.cdninstagram.com/t51.2885-19/s150x150/20905746_744711389045304_1894520029999792128_a.jpg</v>
      </c>
    </row>
    <row r="5073" spans="1:31" ht="15" x14ac:dyDescent="0.25">
      <c r="A5073" t="s">
        <v>2474</v>
      </c>
      <c r="B5073" t="s">
        <v>26839</v>
      </c>
      <c r="C5073" s="221">
        <v>42984.514444444445</v>
      </c>
      <c r="D5073" t="s">
        <v>26840</v>
      </c>
      <c r="E5073" s="249" t="str">
        <f>HYPERLINK("https://www.instagram.com/p/BYtMDEDDFl1/")</f>
        <v>https://www.instagram.com/p/BYtMDEDDFl1/</v>
      </c>
      <c r="F5073" t="s">
        <v>26841</v>
      </c>
      <c r="G5073" t="s">
        <v>2478</v>
      </c>
      <c r="H5073">
        <v>485</v>
      </c>
      <c r="I5073" t="s">
        <v>2479</v>
      </c>
      <c r="J5073">
        <v>15</v>
      </c>
      <c r="K5073">
        <v>34</v>
      </c>
      <c r="L5073">
        <v>49</v>
      </c>
      <c r="Q5073">
        <v>0</v>
      </c>
      <c r="R5073">
        <v>0</v>
      </c>
      <c r="S5073">
        <v>49</v>
      </c>
      <c r="Y5073" t="s">
        <v>2832</v>
      </c>
      <c r="Z5073" t="s">
        <v>26842</v>
      </c>
      <c r="AA5073" t="s">
        <v>8009</v>
      </c>
      <c r="AB5073" t="s">
        <v>26843</v>
      </c>
      <c r="AC5073" t="s">
        <v>2497</v>
      </c>
      <c r="AD5073" s="249" t="str">
        <f>HYPERLINK("https://scontent.cdninstagram.com/t51.2885-15/e35/p320x320/21433547_1468138196604175_8758140603826438144_n.jpg")</f>
        <v>https://scontent.cdninstagram.com/t51.2885-15/e35/p320x320/21433547_1468138196604175_8758140603826438144_n.jpg</v>
      </c>
      <c r="AE5073" s="249" t="str">
        <f>HYPERLINK("https://scontent.cdninstagram.com/t51.2885-19/s150x150/20398477_731357587031009_3625526179684941824_a.jpg")</f>
        <v>https://scontent.cdninstagram.com/t51.2885-19/s150x150/20398477_731357587031009_3625526179684941824_a.jpg</v>
      </c>
    </row>
    <row r="5074" spans="1:31" ht="15" x14ac:dyDescent="0.25">
      <c r="A5074" t="s">
        <v>2474</v>
      </c>
      <c r="B5074" t="s">
        <v>7844</v>
      </c>
      <c r="C5074" s="221">
        <v>42984.514652777776</v>
      </c>
      <c r="D5074" t="s">
        <v>26844</v>
      </c>
      <c r="E5074" s="249" t="str">
        <f>HYPERLINK("https://www.instagram.com/p/BYtMFPLDM3_/")</f>
        <v>https://www.instagram.com/p/BYtMFPLDM3_/</v>
      </c>
      <c r="F5074" t="s">
        <v>26845</v>
      </c>
      <c r="G5074" t="s">
        <v>2478</v>
      </c>
      <c r="H5074">
        <v>437</v>
      </c>
      <c r="I5074" t="s">
        <v>2479</v>
      </c>
      <c r="J5074">
        <v>3</v>
      </c>
      <c r="K5074">
        <v>56</v>
      </c>
      <c r="L5074">
        <v>59</v>
      </c>
      <c r="Q5074">
        <v>0</v>
      </c>
      <c r="R5074">
        <v>0</v>
      </c>
      <c r="S5074">
        <v>59</v>
      </c>
      <c r="Y5074" t="s">
        <v>4388</v>
      </c>
      <c r="Z5074" t="s">
        <v>13359</v>
      </c>
      <c r="AA5074" t="s">
        <v>2968</v>
      </c>
      <c r="AB5074" t="s">
        <v>10638</v>
      </c>
      <c r="AC5074" t="s">
        <v>3549</v>
      </c>
      <c r="AD5074" s="249" t="str">
        <f>HYPERLINK("https://scontent.cdninstagram.com/t51.2885-15/s320x320/e35/21373215_175476649689476_4218613179887910912_n.jpg")</f>
        <v>https://scontent.cdninstagram.com/t51.2885-15/s320x320/e35/21373215_175476649689476_4218613179887910912_n.jpg</v>
      </c>
      <c r="AE5074" s="249" t="str">
        <f>HYPERLINK("https://scontent.cdninstagram.com/t51.2885-19/s150x150/14659433_124185214720398_460441517996113920_a.jpg")</f>
        <v>https://scontent.cdninstagram.com/t51.2885-19/s150x150/14659433_124185214720398_460441517996113920_a.jpg</v>
      </c>
    </row>
    <row r="5075" spans="1:31" ht="15" x14ac:dyDescent="0.25">
      <c r="A5075" t="s">
        <v>2474</v>
      </c>
      <c r="B5075" t="s">
        <v>26846</v>
      </c>
      <c r="C5075" s="221">
        <v>42984.515370370369</v>
      </c>
      <c r="D5075" t="s">
        <v>26847</v>
      </c>
      <c r="E5075" s="249" t="str">
        <f>HYPERLINK("https://www.instagram.com/p/BYtMM0njujP/")</f>
        <v>https://www.instagram.com/p/BYtMM0njujP/</v>
      </c>
      <c r="F5075" t="s">
        <v>26848</v>
      </c>
      <c r="G5075" t="s">
        <v>2478</v>
      </c>
      <c r="H5075">
        <v>396</v>
      </c>
      <c r="I5075" t="s">
        <v>2479</v>
      </c>
      <c r="J5075">
        <v>0</v>
      </c>
      <c r="K5075">
        <v>11</v>
      </c>
      <c r="L5075">
        <v>11</v>
      </c>
      <c r="Q5075">
        <v>0</v>
      </c>
      <c r="R5075">
        <v>0</v>
      </c>
      <c r="S5075">
        <v>11</v>
      </c>
      <c r="Y5075" t="s">
        <v>26849</v>
      </c>
      <c r="Z5075" t="s">
        <v>2497</v>
      </c>
      <c r="AD5075" s="249" t="str">
        <f>HYPERLINK("https://scontent.cdninstagram.com/t51.2885-15/s320x320/e35/21480267_312878692510235_8032601016987811840_n.jpg")</f>
        <v>https://scontent.cdninstagram.com/t51.2885-15/s320x320/e35/21480267_312878692510235_8032601016987811840_n.jpg</v>
      </c>
      <c r="AE5075" s="249" t="str">
        <f>HYPERLINK("https://scontent.cdninstagram.com/t51.2885-19/s150x150/21224964_223178258211378_657066112944439296_a.jpg")</f>
        <v>https://scontent.cdninstagram.com/t51.2885-19/s150x150/21224964_223178258211378_657066112944439296_a.jpg</v>
      </c>
    </row>
    <row r="5076" spans="1:31" ht="15" x14ac:dyDescent="0.25">
      <c r="A5076" t="s">
        <v>2474</v>
      </c>
      <c r="B5076" t="s">
        <v>26850</v>
      </c>
      <c r="C5076" s="221">
        <v>42984.516770833332</v>
      </c>
      <c r="D5076" t="s">
        <v>26851</v>
      </c>
      <c r="E5076" s="249" t="str">
        <f>HYPERLINK("https://www.instagram.com/p/BYtMbi_BVjm/")</f>
        <v>https://www.instagram.com/p/BYtMbi_BVjm/</v>
      </c>
      <c r="F5076" t="s">
        <v>26852</v>
      </c>
      <c r="G5076" t="s">
        <v>2478</v>
      </c>
      <c r="H5076">
        <v>99</v>
      </c>
      <c r="I5076" t="s">
        <v>2639</v>
      </c>
      <c r="J5076">
        <v>1</v>
      </c>
      <c r="K5076">
        <v>31</v>
      </c>
      <c r="L5076">
        <v>32</v>
      </c>
      <c r="Q5076">
        <v>0</v>
      </c>
      <c r="R5076">
        <v>0</v>
      </c>
      <c r="S5076">
        <v>32</v>
      </c>
      <c r="Y5076" t="s">
        <v>26853</v>
      </c>
      <c r="Z5076" t="s">
        <v>17280</v>
      </c>
      <c r="AA5076" t="s">
        <v>26854</v>
      </c>
      <c r="AB5076" t="s">
        <v>26855</v>
      </c>
      <c r="AC5076" t="s">
        <v>26856</v>
      </c>
      <c r="AD5076" s="249" t="str">
        <f>HYPERLINK("https://scontent.cdninstagram.com/t51.2885-15/e35/p320x320/21372354_146625569267047_2001025821552148480_n.jpg")</f>
        <v>https://scontent.cdninstagram.com/t51.2885-15/e35/p320x320/21372354_146625569267047_2001025821552148480_n.jpg</v>
      </c>
      <c r="AE5076" s="249" t="str">
        <f>HYPERLINK("https://scontent.cdninstagram.com/t51.2885-19/s150x150/21576480_226941391167787_3984787437942472704_a.jpg")</f>
        <v>https://scontent.cdninstagram.com/t51.2885-19/s150x150/21576480_226941391167787_3984787437942472704_a.jpg</v>
      </c>
    </row>
    <row r="5077" spans="1:31" ht="15" x14ac:dyDescent="0.25">
      <c r="A5077" t="s">
        <v>2474</v>
      </c>
      <c r="B5077" t="s">
        <v>4811</v>
      </c>
      <c r="C5077" s="221">
        <v>42984.519212962965</v>
      </c>
      <c r="D5077" t="s">
        <v>26857</v>
      </c>
      <c r="E5077" s="249" t="str">
        <f>HYPERLINK("https://www.instagram.com/p/BYtM1UCgYtv/")</f>
        <v>https://www.instagram.com/p/BYtM1UCgYtv/</v>
      </c>
      <c r="F5077" t="s">
        <v>26858</v>
      </c>
      <c r="G5077" t="s">
        <v>2478</v>
      </c>
      <c r="H5077">
        <v>1033</v>
      </c>
      <c r="I5077" t="s">
        <v>2479</v>
      </c>
      <c r="J5077">
        <v>5</v>
      </c>
      <c r="K5077">
        <v>109</v>
      </c>
      <c r="L5077">
        <v>114</v>
      </c>
      <c r="Q5077">
        <v>0</v>
      </c>
      <c r="R5077">
        <v>0</v>
      </c>
      <c r="S5077">
        <v>114</v>
      </c>
      <c r="Y5077" t="s">
        <v>3262</v>
      </c>
      <c r="Z5077" t="s">
        <v>2906</v>
      </c>
      <c r="AA5077" t="s">
        <v>4816</v>
      </c>
      <c r="AB5077" t="s">
        <v>12100</v>
      </c>
      <c r="AC5077" t="s">
        <v>7130</v>
      </c>
      <c r="AD5077" s="249" t="str">
        <f>HYPERLINK("https://scontent.cdninstagram.com/t51.2885-15/s320x320/e35/21433820_1413182028751236_7735555237640929280_n.jpg")</f>
        <v>https://scontent.cdninstagram.com/t51.2885-15/s320x320/e35/21433820_1413182028751236_7735555237640929280_n.jpg</v>
      </c>
      <c r="AE5077" s="249" t="str">
        <f>HYPERLINK("https://scontent.cdninstagram.com/t51.2885-19/s150x150/16124251_1913091765603634_8004330562992996352_a.jpg")</f>
        <v>https://scontent.cdninstagram.com/t51.2885-19/s150x150/16124251_1913091765603634_8004330562992996352_a.jpg</v>
      </c>
    </row>
    <row r="5078" spans="1:31" ht="15" x14ac:dyDescent="0.25">
      <c r="A5078" t="s">
        <v>2474</v>
      </c>
      <c r="B5078" t="s">
        <v>26859</v>
      </c>
      <c r="C5078" s="221">
        <v>42984.520613425928</v>
      </c>
      <c r="D5078" t="s">
        <v>26860</v>
      </c>
      <c r="E5078" s="249" t="str">
        <f>HYPERLINK("https://www.instagram.com/p/BYtNEGuFDEe/")</f>
        <v>https://www.instagram.com/p/BYtNEGuFDEe/</v>
      </c>
      <c r="F5078" t="s">
        <v>26861</v>
      </c>
      <c r="G5078" t="s">
        <v>2478</v>
      </c>
      <c r="H5078">
        <v>129</v>
      </c>
      <c r="I5078" t="s">
        <v>2542</v>
      </c>
      <c r="J5078">
        <v>1</v>
      </c>
      <c r="K5078">
        <v>52</v>
      </c>
      <c r="L5078">
        <v>53</v>
      </c>
      <c r="Q5078">
        <v>0</v>
      </c>
      <c r="R5078">
        <v>0</v>
      </c>
      <c r="S5078">
        <v>53</v>
      </c>
      <c r="T5078" t="s">
        <v>26862</v>
      </c>
      <c r="V5078" t="s">
        <v>2161</v>
      </c>
      <c r="W5078">
        <v>48.15</v>
      </c>
      <c r="X5078">
        <v>11.583299999999999</v>
      </c>
      <c r="Y5078" t="s">
        <v>9144</v>
      </c>
      <c r="Z5078" t="s">
        <v>2949</v>
      </c>
      <c r="AA5078" t="s">
        <v>2906</v>
      </c>
      <c r="AB5078" t="s">
        <v>2673</v>
      </c>
      <c r="AC5078" t="s">
        <v>26863</v>
      </c>
      <c r="AD5078" s="249" t="str">
        <f>HYPERLINK("https://scontent.cdninstagram.com/t51.2885-15/s320x320/e35/21433333_510828872584563_7949167879943880704_n.jpg")</f>
        <v>https://scontent.cdninstagram.com/t51.2885-15/s320x320/e35/21433333_510828872584563_7949167879943880704_n.jpg</v>
      </c>
      <c r="AE5078" s="249" t="str">
        <f>HYPERLINK("https://scontent.cdninstagram.com/t51.2885-19/s150x150/12940897_506543939553024_415000629_a.jpg")</f>
        <v>https://scontent.cdninstagram.com/t51.2885-19/s150x150/12940897_506543939553024_415000629_a.jpg</v>
      </c>
    </row>
    <row r="5079" spans="1:31" ht="15" x14ac:dyDescent="0.25">
      <c r="A5079" t="s">
        <v>2474</v>
      </c>
      <c r="B5079" t="s">
        <v>26864</v>
      </c>
      <c r="C5079" s="221">
        <v>42984.532569444447</v>
      </c>
      <c r="D5079" t="s">
        <v>26865</v>
      </c>
      <c r="E5079" s="249" t="str">
        <f>HYPERLINK("https://www.instagram.com/p/BYtPCKZgWmH/")</f>
        <v>https://www.instagram.com/p/BYtPCKZgWmH/</v>
      </c>
      <c r="F5079" t="s">
        <v>26866</v>
      </c>
      <c r="G5079" t="s">
        <v>2478</v>
      </c>
      <c r="H5079">
        <v>52</v>
      </c>
      <c r="I5079" t="s">
        <v>2479</v>
      </c>
      <c r="J5079">
        <v>3</v>
      </c>
      <c r="K5079">
        <v>14</v>
      </c>
      <c r="L5079">
        <v>17</v>
      </c>
      <c r="Q5079">
        <v>0</v>
      </c>
      <c r="R5079">
        <v>0</v>
      </c>
      <c r="S5079">
        <v>17</v>
      </c>
      <c r="Y5079" t="s">
        <v>5901</v>
      </c>
      <c r="Z5079" t="s">
        <v>2513</v>
      </c>
      <c r="AA5079" t="s">
        <v>26867</v>
      </c>
      <c r="AB5079" t="s">
        <v>2696</v>
      </c>
      <c r="AC5079" t="s">
        <v>15965</v>
      </c>
      <c r="AD5079" s="249" t="str">
        <f>HYPERLINK("https://scontent.cdninstagram.com/t51.2885-15/s320x320/e35/21373516_513770812301465_5054463903598116864_n.jpg")</f>
        <v>https://scontent.cdninstagram.com/t51.2885-15/s320x320/e35/21373516_513770812301465_5054463903598116864_n.jpg</v>
      </c>
      <c r="AE5079" s="249" t="str">
        <f>HYPERLINK("https://scontent.cdninstagram.com/t51.2885-19/s150x150/20479388_123949118225940_7835796110722465792_a.jpg")</f>
        <v>https://scontent.cdninstagram.com/t51.2885-19/s150x150/20479388_123949118225940_7835796110722465792_a.jpg</v>
      </c>
    </row>
    <row r="5080" spans="1:31" ht="15" x14ac:dyDescent="0.25">
      <c r="A5080" t="s">
        <v>2474</v>
      </c>
      <c r="B5080" t="s">
        <v>23051</v>
      </c>
      <c r="C5080" s="221">
        <v>42984.534247685187</v>
      </c>
      <c r="D5080" t="s">
        <v>26868</v>
      </c>
      <c r="E5080" s="249" t="str">
        <f>HYPERLINK("https://www.instagram.com/p/BYtPT7QFUWA/")</f>
        <v>https://www.instagram.com/p/BYtPT7QFUWA/</v>
      </c>
      <c r="F5080" t="s">
        <v>26869</v>
      </c>
      <c r="G5080" t="s">
        <v>2478</v>
      </c>
      <c r="H5080">
        <v>746</v>
      </c>
      <c r="I5080" t="s">
        <v>3273</v>
      </c>
      <c r="J5080">
        <v>0</v>
      </c>
      <c r="K5080">
        <v>42</v>
      </c>
      <c r="L5080">
        <v>42</v>
      </c>
      <c r="Q5080">
        <v>0</v>
      </c>
      <c r="R5080">
        <v>0</v>
      </c>
      <c r="S5080">
        <v>42</v>
      </c>
      <c r="Y5080" t="s">
        <v>26870</v>
      </c>
      <c r="Z5080" t="s">
        <v>23056</v>
      </c>
      <c r="AA5080" t="s">
        <v>9224</v>
      </c>
      <c r="AB5080" t="s">
        <v>26871</v>
      </c>
      <c r="AC5080" t="s">
        <v>26872</v>
      </c>
      <c r="AD5080" s="249" t="str">
        <f>HYPERLINK("https://scontent.cdninstagram.com/t51.2885-15/e35/p320x320/21435955_481486765562839_2156222244295016448_n.jpg")</f>
        <v>https://scontent.cdninstagram.com/t51.2885-15/e35/p320x320/21435955_481486765562839_2156222244295016448_n.jpg</v>
      </c>
      <c r="AE5080" s="249" t="str">
        <f>HYPERLINK("https://scontent.cdninstagram.com/t51.2885-19/s150x150/17663526_508150266241457_2244915097073876992_a.jpg")</f>
        <v>https://scontent.cdninstagram.com/t51.2885-19/s150x150/17663526_508150266241457_2244915097073876992_a.jpg</v>
      </c>
    </row>
    <row r="5081" spans="1:31" ht="15" x14ac:dyDescent="0.25">
      <c r="A5081" t="s">
        <v>2474</v>
      </c>
      <c r="B5081" t="s">
        <v>26873</v>
      </c>
      <c r="C5081" s="221">
        <v>42984.53502314815</v>
      </c>
      <c r="D5081" t="s">
        <v>26874</v>
      </c>
      <c r="E5081" s="249" t="str">
        <f>HYPERLINK("https://www.instagram.com/p/BYtPcFdlBWA/")</f>
        <v>https://www.instagram.com/p/BYtPcFdlBWA/</v>
      </c>
      <c r="F5081" t="s">
        <v>26875</v>
      </c>
      <c r="G5081" t="s">
        <v>2631</v>
      </c>
      <c r="H5081">
        <v>5</v>
      </c>
      <c r="I5081" t="s">
        <v>2479</v>
      </c>
      <c r="J5081">
        <v>0</v>
      </c>
      <c r="K5081">
        <v>6</v>
      </c>
      <c r="L5081">
        <v>6</v>
      </c>
      <c r="Q5081">
        <v>0</v>
      </c>
      <c r="R5081">
        <v>0</v>
      </c>
      <c r="S5081">
        <v>6</v>
      </c>
      <c r="Y5081" t="s">
        <v>26876</v>
      </c>
      <c r="Z5081" t="s">
        <v>4427</v>
      </c>
      <c r="AA5081" t="s">
        <v>3117</v>
      </c>
      <c r="AB5081" t="s">
        <v>26877</v>
      </c>
      <c r="AC5081" t="s">
        <v>2696</v>
      </c>
      <c r="AD5081" s="249" t="str">
        <f>HYPERLINK("https://scontent.cdninstagram.com/t51.2885-15/s320x320/e15/21373812_706284269561105_7915351828600979456_n.jpg")</f>
        <v>https://scontent.cdninstagram.com/t51.2885-15/s320x320/e15/21373812_706284269561105_7915351828600979456_n.jpg</v>
      </c>
      <c r="AE5081" s="249" t="str">
        <f>HYPERLINK("https://scontent.cdninstagram.com/t51.2885-19/s150x150/21433379_207247006478485_361371470179336192_a.jpg")</f>
        <v>https://scontent.cdninstagram.com/t51.2885-19/s150x150/21433379_207247006478485_361371470179336192_a.jpg</v>
      </c>
    </row>
    <row r="5082" spans="1:31" ht="15" x14ac:dyDescent="0.25">
      <c r="A5082" t="s">
        <v>2474</v>
      </c>
      <c r="B5082" t="s">
        <v>26878</v>
      </c>
      <c r="C5082" s="221">
        <v>42984.535300925927</v>
      </c>
      <c r="D5082" t="s">
        <v>26879</v>
      </c>
      <c r="E5082" s="249" t="str">
        <f>HYPERLINK("https://www.instagram.com/p/BYtPfAbhWZ-/")</f>
        <v>https://www.instagram.com/p/BYtPfAbhWZ-/</v>
      </c>
      <c r="F5082" t="s">
        <v>26880</v>
      </c>
      <c r="G5082" t="s">
        <v>2478</v>
      </c>
      <c r="H5082">
        <v>6751</v>
      </c>
      <c r="I5082" t="s">
        <v>2479</v>
      </c>
      <c r="J5082">
        <v>1</v>
      </c>
      <c r="K5082">
        <v>99</v>
      </c>
      <c r="L5082">
        <v>100</v>
      </c>
      <c r="Q5082">
        <v>0</v>
      </c>
      <c r="R5082">
        <v>0</v>
      </c>
      <c r="S5082">
        <v>100</v>
      </c>
      <c r="Y5082" t="s">
        <v>26881</v>
      </c>
      <c r="Z5082" t="s">
        <v>26882</v>
      </c>
      <c r="AA5082" t="s">
        <v>7735</v>
      </c>
      <c r="AB5082" t="s">
        <v>26883</v>
      </c>
      <c r="AC5082" t="s">
        <v>26878</v>
      </c>
      <c r="AD5082" s="249" t="str">
        <f>HYPERLINK("https://scontent.cdninstagram.com/t51.2885-15/s320x320/e35/21372583_606407006415909_6582512335783460864_n.jpg")</f>
        <v>https://scontent.cdninstagram.com/t51.2885-15/s320x320/e35/21372583_606407006415909_6582512335783460864_n.jpg</v>
      </c>
      <c r="AE5082" s="249" t="str">
        <f>HYPERLINK("https://scontent.cdninstagram.com/t51.2885-19/s150x150/12479211_209150942766981_1706019886_a.jpg")</f>
        <v>https://scontent.cdninstagram.com/t51.2885-19/s150x150/12479211_209150942766981_1706019886_a.jpg</v>
      </c>
    </row>
    <row r="5083" spans="1:31" ht="15" x14ac:dyDescent="0.25">
      <c r="A5083" t="s">
        <v>2474</v>
      </c>
      <c r="B5083" t="s">
        <v>6721</v>
      </c>
      <c r="C5083" s="221">
        <v>42984.535428240742</v>
      </c>
      <c r="D5083" t="s">
        <v>26884</v>
      </c>
      <c r="E5083" s="249" t="str">
        <f>HYPERLINK("https://www.instagram.com/p/BYtPgYBgN3P/")</f>
        <v>https://www.instagram.com/p/BYtPgYBgN3P/</v>
      </c>
      <c r="F5083" t="s">
        <v>26885</v>
      </c>
      <c r="G5083" t="s">
        <v>2478</v>
      </c>
      <c r="H5083">
        <v>114</v>
      </c>
      <c r="I5083" t="s">
        <v>2479</v>
      </c>
      <c r="J5083">
        <v>1</v>
      </c>
      <c r="K5083">
        <v>27</v>
      </c>
      <c r="L5083">
        <v>28</v>
      </c>
      <c r="Q5083">
        <v>0</v>
      </c>
      <c r="R5083">
        <v>0</v>
      </c>
      <c r="S5083">
        <v>28</v>
      </c>
      <c r="Y5083" t="s">
        <v>2906</v>
      </c>
      <c r="Z5083" t="s">
        <v>9817</v>
      </c>
      <c r="AA5083" t="s">
        <v>4582</v>
      </c>
      <c r="AB5083" t="s">
        <v>7763</v>
      </c>
      <c r="AC5083" t="s">
        <v>4105</v>
      </c>
      <c r="AD5083" s="249" t="str">
        <f>HYPERLINK("https://scontent.cdninstagram.com/t51.2885-15/s320x320/e35/21373490_353705221727683_7365038940274819072_n.jpg")</f>
        <v>https://scontent.cdninstagram.com/t51.2885-15/s320x320/e35/21373490_353705221727683_7365038940274819072_n.jpg</v>
      </c>
      <c r="AE5083" s="249" t="str">
        <f>HYPERLINK("https://scontent.cdninstagram.com/t51.2885-19/s150x150/21576639_122929418433190_6676992493784924160_a.jpg")</f>
        <v>https://scontent.cdninstagram.com/t51.2885-19/s150x150/21576639_122929418433190_6676992493784924160_a.jpg</v>
      </c>
    </row>
    <row r="5084" spans="1:31" ht="15" x14ac:dyDescent="0.25">
      <c r="A5084" t="s">
        <v>2474</v>
      </c>
      <c r="B5084" t="s">
        <v>26886</v>
      </c>
      <c r="C5084" s="221">
        <v>42984.539930555555</v>
      </c>
      <c r="D5084" t="s">
        <v>26887</v>
      </c>
      <c r="E5084" s="249" t="str">
        <f>HYPERLINK("https://www.instagram.com/p/BYtQPz6F2Ju/")</f>
        <v>https://www.instagram.com/p/BYtQPz6F2Ju/</v>
      </c>
      <c r="F5084" t="s">
        <v>26888</v>
      </c>
      <c r="G5084" t="s">
        <v>2478</v>
      </c>
      <c r="H5084">
        <v>54</v>
      </c>
      <c r="I5084" t="s">
        <v>2479</v>
      </c>
      <c r="J5084">
        <v>0</v>
      </c>
      <c r="K5084">
        <v>43</v>
      </c>
      <c r="L5084">
        <v>43</v>
      </c>
      <c r="Q5084">
        <v>0</v>
      </c>
      <c r="R5084">
        <v>0</v>
      </c>
      <c r="S5084">
        <v>43</v>
      </c>
      <c r="Y5084" t="s">
        <v>26889</v>
      </c>
      <c r="Z5084" t="s">
        <v>9657</v>
      </c>
      <c r="AA5084" t="s">
        <v>2513</v>
      </c>
      <c r="AB5084" t="s">
        <v>26890</v>
      </c>
      <c r="AC5084" t="s">
        <v>11400</v>
      </c>
      <c r="AD5084" s="249" t="str">
        <f>HYPERLINK("https://scontent.cdninstagram.com/t51.2885-15/s320x320/e35/21373362_866654826830865_7870529743173451776_n.jpg")</f>
        <v>https://scontent.cdninstagram.com/t51.2885-15/s320x320/e35/21373362_866654826830865_7870529743173451776_n.jpg</v>
      </c>
      <c r="AE5084" s="249" t="str">
        <f>HYPERLINK("https://scontent.cdninstagram.com/t51.2885-19/s150x150/14693915_656039121241851_3330047990386655232_a.jpg")</f>
        <v>https://scontent.cdninstagram.com/t51.2885-19/s150x150/14693915_656039121241851_3330047990386655232_a.jpg</v>
      </c>
    </row>
    <row r="5085" spans="1:31" ht="15" x14ac:dyDescent="0.25">
      <c r="A5085" t="s">
        <v>2474</v>
      </c>
      <c r="B5085" t="s">
        <v>5876</v>
      </c>
      <c r="C5085" s="221">
        <v>42984.540243055555</v>
      </c>
      <c r="D5085" t="s">
        <v>26891</v>
      </c>
      <c r="E5085" s="249" t="str">
        <f>HYPERLINK("https://www.instagram.com/p/BYtQTI2DOVt/")</f>
        <v>https://www.instagram.com/p/BYtQTI2DOVt/</v>
      </c>
      <c r="F5085" t="s">
        <v>26892</v>
      </c>
      <c r="G5085" t="s">
        <v>2478</v>
      </c>
      <c r="H5085">
        <v>898</v>
      </c>
      <c r="I5085" t="s">
        <v>2479</v>
      </c>
      <c r="J5085">
        <v>0</v>
      </c>
      <c r="K5085">
        <v>68</v>
      </c>
      <c r="L5085">
        <v>68</v>
      </c>
      <c r="Q5085">
        <v>0</v>
      </c>
      <c r="R5085">
        <v>0</v>
      </c>
      <c r="S5085">
        <v>68</v>
      </c>
      <c r="T5085" t="s">
        <v>26893</v>
      </c>
      <c r="V5085" t="s">
        <v>2180</v>
      </c>
      <c r="W5085">
        <v>53.338055555555997</v>
      </c>
      <c r="X5085">
        <v>-6.2591666666667001</v>
      </c>
      <c r="Y5085" t="s">
        <v>7393</v>
      </c>
      <c r="Z5085" t="s">
        <v>26894</v>
      </c>
      <c r="AA5085" t="s">
        <v>26895</v>
      </c>
      <c r="AB5085" t="s">
        <v>5702</v>
      </c>
      <c r="AC5085" t="s">
        <v>26896</v>
      </c>
      <c r="AD5085" s="249" t="str">
        <f>HYPERLINK("https://scontent.cdninstagram.com/t51.2885-15/e35/p320x320/21433748_155008601753117_4540888825492144128_n.jpg")</f>
        <v>https://scontent.cdninstagram.com/t51.2885-15/e35/p320x320/21433748_155008601753117_4540888825492144128_n.jpg</v>
      </c>
      <c r="AE5085" s="249" t="str">
        <f>HYPERLINK("https://scontent.cdninstagram.com/t51.2885-19/s150x150/21688550_346541965771489_81781099348361216_n.jpg")</f>
        <v>https://scontent.cdninstagram.com/t51.2885-19/s150x150/21688550_346541965771489_81781099348361216_n.jpg</v>
      </c>
    </row>
    <row r="5086" spans="1:31" ht="15" x14ac:dyDescent="0.25">
      <c r="A5086" t="s">
        <v>2474</v>
      </c>
      <c r="B5086" t="s">
        <v>26897</v>
      </c>
      <c r="C5086" s="221">
        <v>42984.542164351849</v>
      </c>
      <c r="D5086" t="s">
        <v>26898</v>
      </c>
      <c r="E5086" s="249" t="str">
        <f>HYPERLINK("https://www.instagram.com/p/BYtQnb-jRlb/")</f>
        <v>https://www.instagram.com/p/BYtQnb-jRlb/</v>
      </c>
      <c r="F5086" t="s">
        <v>26899</v>
      </c>
      <c r="G5086" t="s">
        <v>2478</v>
      </c>
      <c r="H5086">
        <v>652</v>
      </c>
      <c r="I5086" t="s">
        <v>2479</v>
      </c>
      <c r="J5086">
        <v>2</v>
      </c>
      <c r="K5086">
        <v>56</v>
      </c>
      <c r="L5086">
        <v>58</v>
      </c>
      <c r="Q5086">
        <v>0</v>
      </c>
      <c r="R5086">
        <v>0</v>
      </c>
      <c r="S5086">
        <v>58</v>
      </c>
      <c r="Y5086" t="s">
        <v>19236</v>
      </c>
      <c r="Z5086" t="s">
        <v>9046</v>
      </c>
      <c r="AA5086" t="s">
        <v>9897</v>
      </c>
      <c r="AB5086" t="s">
        <v>26900</v>
      </c>
      <c r="AC5086" t="s">
        <v>12224</v>
      </c>
      <c r="AD5086" s="249" t="str">
        <f>HYPERLINK("https://scontent.cdninstagram.com/t51.2885-15/e35/p320x320/21373398_286766458472479_1057083269356453888_n.jpg")</f>
        <v>https://scontent.cdninstagram.com/t51.2885-15/e35/p320x320/21373398_286766458472479_1057083269356453888_n.jpg</v>
      </c>
      <c r="AE5086" s="249" t="str">
        <f>HYPERLINK("https://scontent.cdninstagram.com/t51.2885-19/s150x150/18013191_1484029751667750_8171251378870550528_a.jpg")</f>
        <v>https://scontent.cdninstagram.com/t51.2885-19/s150x150/18013191_1484029751667750_8171251378870550528_a.jpg</v>
      </c>
    </row>
    <row r="5087" spans="1:31" ht="15" x14ac:dyDescent="0.25">
      <c r="A5087" t="s">
        <v>2474</v>
      </c>
      <c r="B5087" t="s">
        <v>26901</v>
      </c>
      <c r="C5087" s="221">
        <v>42984.556701388887</v>
      </c>
      <c r="D5087" t="s">
        <v>26902</v>
      </c>
      <c r="E5087" s="249" t="str">
        <f>HYPERLINK("https://www.instagram.com/p/BYtTAvNBEl_/")</f>
        <v>https://www.instagram.com/p/BYtTAvNBEl_/</v>
      </c>
      <c r="F5087" t="s">
        <v>26903</v>
      </c>
      <c r="G5087" t="s">
        <v>2478</v>
      </c>
      <c r="H5087">
        <v>18</v>
      </c>
      <c r="I5087" t="s">
        <v>2479</v>
      </c>
      <c r="J5087">
        <v>2</v>
      </c>
      <c r="K5087">
        <v>9</v>
      </c>
      <c r="L5087">
        <v>11</v>
      </c>
      <c r="Q5087">
        <v>0</v>
      </c>
      <c r="R5087">
        <v>0</v>
      </c>
      <c r="S5087">
        <v>11</v>
      </c>
      <c r="Y5087" t="s">
        <v>2513</v>
      </c>
      <c r="Z5087" t="s">
        <v>4042</v>
      </c>
      <c r="AA5087" t="s">
        <v>3006</v>
      </c>
      <c r="AB5087" t="s">
        <v>3110</v>
      </c>
      <c r="AC5087" t="s">
        <v>26904</v>
      </c>
      <c r="AD5087" s="249" t="str">
        <f>HYPERLINK("https://scontent.cdninstagram.com/t51.2885-15/e35/p320x320/21479940_335989963510147_3722698242798911488_n.jpg")</f>
        <v>https://scontent.cdninstagram.com/t51.2885-15/e35/p320x320/21479940_335989963510147_3722698242798911488_n.jpg</v>
      </c>
      <c r="AE5087" s="249" t="str">
        <f>HYPERLINK("https://instagram.ford1-1.fna.fbcdn.net/t51.2885-19/11906329_960233084022564_1448528159_a.jpg")</f>
        <v>https://instagram.ford1-1.fna.fbcdn.net/t51.2885-19/11906329_960233084022564_1448528159_a.jpg</v>
      </c>
    </row>
    <row r="5088" spans="1:31" ht="15" x14ac:dyDescent="0.25">
      <c r="A5088" t="s">
        <v>2474</v>
      </c>
      <c r="B5088" t="s">
        <v>26905</v>
      </c>
      <c r="C5088" s="221">
        <v>42984.563275462962</v>
      </c>
      <c r="D5088" t="s">
        <v>26906</v>
      </c>
      <c r="E5088" s="249" t="str">
        <f>HYPERLINK("https://www.instagram.com/p/BYtUGCPnfqY/")</f>
        <v>https://www.instagram.com/p/BYtUGCPnfqY/</v>
      </c>
      <c r="F5088" t="s">
        <v>26907</v>
      </c>
      <c r="G5088" t="s">
        <v>2478</v>
      </c>
      <c r="H5088">
        <v>16398</v>
      </c>
      <c r="I5088" t="s">
        <v>2479</v>
      </c>
      <c r="J5088">
        <v>19</v>
      </c>
      <c r="K5088">
        <v>690</v>
      </c>
      <c r="L5088">
        <v>709</v>
      </c>
      <c r="Q5088">
        <v>0</v>
      </c>
      <c r="R5088">
        <v>0</v>
      </c>
      <c r="S5088">
        <v>709</v>
      </c>
      <c r="Y5088" t="s">
        <v>2513</v>
      </c>
      <c r="Z5088" t="s">
        <v>26908</v>
      </c>
      <c r="AA5088" t="s">
        <v>2617</v>
      </c>
      <c r="AB5088" t="s">
        <v>2657</v>
      </c>
      <c r="AC5088" t="s">
        <v>5980</v>
      </c>
      <c r="AD5088" s="249" t="str">
        <f>HYPERLINK("https://scontent.cdninstagram.com/t51.2885-15/e35/p320x320/21372244_1410735099047350_9219897558636167168_n.jpg")</f>
        <v>https://scontent.cdninstagram.com/t51.2885-15/e35/p320x320/21372244_1410735099047350_9219897558636167168_n.jpg</v>
      </c>
      <c r="AE5088" s="249" t="str">
        <f>HYPERLINK("https://scontent.cdninstagram.com/t51.2885-19/s150x150/21480523_172819756623440_1916156675077701632_n.jpg")</f>
        <v>https://scontent.cdninstagram.com/t51.2885-19/s150x150/21480523_172819756623440_1916156675077701632_n.jpg</v>
      </c>
    </row>
    <row r="5089" spans="1:31" ht="15" x14ac:dyDescent="0.25">
      <c r="A5089" t="s">
        <v>2474</v>
      </c>
      <c r="B5089" t="s">
        <v>3895</v>
      </c>
      <c r="C5089" s="221">
        <v>42984.566446759258</v>
      </c>
      <c r="D5089" t="s">
        <v>26909</v>
      </c>
      <c r="E5089" s="249" t="str">
        <f>HYPERLINK("https://www.instagram.com/p/BYtUnc5lGln/")</f>
        <v>https://www.instagram.com/p/BYtUnc5lGln/</v>
      </c>
      <c r="F5089" t="s">
        <v>26910</v>
      </c>
      <c r="G5089" t="s">
        <v>2478</v>
      </c>
      <c r="H5089">
        <v>439</v>
      </c>
      <c r="I5089" t="s">
        <v>2479</v>
      </c>
      <c r="J5089">
        <v>1</v>
      </c>
      <c r="K5089">
        <v>83</v>
      </c>
      <c r="L5089">
        <v>84</v>
      </c>
      <c r="Q5089">
        <v>0</v>
      </c>
      <c r="R5089">
        <v>0</v>
      </c>
      <c r="S5089">
        <v>84</v>
      </c>
      <c r="Y5089" t="s">
        <v>26911</v>
      </c>
      <c r="Z5089" t="s">
        <v>2513</v>
      </c>
      <c r="AA5089" t="s">
        <v>2617</v>
      </c>
      <c r="AB5089" t="s">
        <v>3733</v>
      </c>
      <c r="AC5089" t="s">
        <v>3903</v>
      </c>
      <c r="AD5089" s="249" t="str">
        <f>HYPERLINK("https://scontent.cdninstagram.com/t51.2885-15/s320x320/e35/21436184_345825952531721_1169926499902423040_n.jpg")</f>
        <v>https://scontent.cdninstagram.com/t51.2885-15/s320x320/e35/21436184_345825952531721_1169926499902423040_n.jpg</v>
      </c>
      <c r="AE5089" s="249" t="str">
        <f>HYPERLINK("https://scontent.cdninstagram.com/t51.2885-19/s150x150/20902130_1390331654386412_4188068892897181696_a.jpg")</f>
        <v>https://scontent.cdninstagram.com/t51.2885-19/s150x150/20902130_1390331654386412_4188068892897181696_a.jpg</v>
      </c>
    </row>
    <row r="5090" spans="1:31" ht="15" x14ac:dyDescent="0.25">
      <c r="A5090" t="s">
        <v>2474</v>
      </c>
      <c r="B5090" t="s">
        <v>23777</v>
      </c>
      <c r="C5090" s="221">
        <v>42984.572766203702</v>
      </c>
      <c r="D5090" t="s">
        <v>26912</v>
      </c>
      <c r="E5090" s="249" t="str">
        <f>HYPERLINK("https://www.instagram.com/p/BYtVqGBnxPH/")</f>
        <v>https://www.instagram.com/p/BYtVqGBnxPH/</v>
      </c>
      <c r="F5090" t="s">
        <v>26913</v>
      </c>
      <c r="G5090" t="s">
        <v>2478</v>
      </c>
      <c r="H5090">
        <v>583</v>
      </c>
      <c r="I5090" t="s">
        <v>2896</v>
      </c>
      <c r="J5090">
        <v>1</v>
      </c>
      <c r="K5090">
        <v>31</v>
      </c>
      <c r="L5090">
        <v>32</v>
      </c>
      <c r="Q5090">
        <v>0</v>
      </c>
      <c r="R5090">
        <v>0</v>
      </c>
      <c r="S5090">
        <v>32</v>
      </c>
      <c r="T5090" t="s">
        <v>23780</v>
      </c>
      <c r="V5090" t="s">
        <v>2110</v>
      </c>
      <c r="W5090">
        <v>51.067390000000003</v>
      </c>
      <c r="X5090">
        <v>5.0958699999999997</v>
      </c>
      <c r="Y5090" t="s">
        <v>2497</v>
      </c>
      <c r="Z5090" t="s">
        <v>26914</v>
      </c>
      <c r="AA5090" t="s">
        <v>26915</v>
      </c>
      <c r="AB5090" t="s">
        <v>3351</v>
      </c>
      <c r="AC5090" t="s">
        <v>23782</v>
      </c>
      <c r="AD5090" s="249" t="str">
        <f>HYPERLINK("https://scontent.cdninstagram.com/t51.2885-15/s320x320/e35/21373780_1437328033011905_7517505275645919232_n.jpg")</f>
        <v>https://scontent.cdninstagram.com/t51.2885-15/s320x320/e35/21373780_1437328033011905_7517505275645919232_n.jpg</v>
      </c>
      <c r="AE5090" s="249" t="str">
        <f>HYPERLINK("https://scontent.cdninstagram.com/t51.2885-19/s150x150/18300067_124096028143057_8147783544421220352_a.jpg")</f>
        <v>https://scontent.cdninstagram.com/t51.2885-19/s150x150/18300067_124096028143057_8147783544421220352_a.jpg</v>
      </c>
    </row>
    <row r="5091" spans="1:31" ht="15" x14ac:dyDescent="0.25">
      <c r="A5091" t="s">
        <v>2474</v>
      </c>
      <c r="B5091" t="s">
        <v>18143</v>
      </c>
      <c r="C5091" s="221">
        <v>42984.573217592595</v>
      </c>
      <c r="D5091" t="s">
        <v>26916</v>
      </c>
      <c r="E5091" s="249" t="str">
        <f>HYPERLINK("https://www.instagram.com/p/BYtVu66BENm/")</f>
        <v>https://www.instagram.com/p/BYtVu66BENm/</v>
      </c>
      <c r="F5091" t="s">
        <v>26917</v>
      </c>
      <c r="G5091" t="s">
        <v>2478</v>
      </c>
      <c r="H5091">
        <v>227</v>
      </c>
      <c r="I5091" t="s">
        <v>2479</v>
      </c>
      <c r="J5091">
        <v>0</v>
      </c>
      <c r="K5091">
        <v>29</v>
      </c>
      <c r="L5091">
        <v>29</v>
      </c>
      <c r="Q5091">
        <v>0</v>
      </c>
      <c r="R5091">
        <v>0</v>
      </c>
      <c r="S5091">
        <v>29</v>
      </c>
      <c r="T5091" t="s">
        <v>18146</v>
      </c>
      <c r="V5091" t="s">
        <v>2230</v>
      </c>
      <c r="W5091">
        <v>58.166699999999999</v>
      </c>
      <c r="X5091">
        <v>8</v>
      </c>
      <c r="Y5091" t="s">
        <v>18400</v>
      </c>
      <c r="Z5091" t="s">
        <v>26918</v>
      </c>
      <c r="AA5091" t="s">
        <v>22434</v>
      </c>
      <c r="AB5091" t="s">
        <v>19895</v>
      </c>
      <c r="AC5091" t="s">
        <v>26919</v>
      </c>
      <c r="AD5091" s="249" t="str">
        <f>HYPERLINK("https://scontent.cdninstagram.com/t51.2885-15/s320x320/e35/21479768_865631710268865_9135563543611965440_n.jpg")</f>
        <v>https://scontent.cdninstagram.com/t51.2885-15/s320x320/e35/21479768_865631710268865_9135563543611965440_n.jpg</v>
      </c>
      <c r="AE5091" s="249" t="str">
        <f>HYPERLINK("https://scontent.cdninstagram.com/t51.2885-19/s150x150/21149315_721963524656503_5077667786537304064_a.jpg")</f>
        <v>https://scontent.cdninstagram.com/t51.2885-19/s150x150/21149315_721963524656503_5077667786537304064_a.jpg</v>
      </c>
    </row>
    <row r="5092" spans="1:31" ht="15" x14ac:dyDescent="0.25">
      <c r="A5092" t="s">
        <v>2474</v>
      </c>
      <c r="B5092" t="s">
        <v>26920</v>
      </c>
      <c r="C5092" s="221">
        <v>42984.575624999998</v>
      </c>
      <c r="D5092" t="s">
        <v>26921</v>
      </c>
      <c r="E5092" s="249" t="str">
        <f>HYPERLINK("https://www.instagram.com/p/BYtWIVxHJSD/")</f>
        <v>https://www.instagram.com/p/BYtWIVxHJSD/</v>
      </c>
      <c r="F5092" t="s">
        <v>26922</v>
      </c>
      <c r="G5092" t="s">
        <v>2478</v>
      </c>
      <c r="H5092">
        <v>537</v>
      </c>
      <c r="I5092" t="s">
        <v>2479</v>
      </c>
      <c r="J5092">
        <v>0</v>
      </c>
      <c r="K5092">
        <v>58</v>
      </c>
      <c r="L5092">
        <v>58</v>
      </c>
      <c r="Q5092">
        <v>0</v>
      </c>
      <c r="R5092">
        <v>0</v>
      </c>
      <c r="S5092">
        <v>58</v>
      </c>
      <c r="Y5092" t="s">
        <v>7347</v>
      </c>
      <c r="Z5092" t="s">
        <v>8009</v>
      </c>
      <c r="AA5092" t="s">
        <v>6350</v>
      </c>
      <c r="AB5092" t="s">
        <v>26923</v>
      </c>
      <c r="AC5092" t="s">
        <v>10223</v>
      </c>
      <c r="AD5092" s="249" t="str">
        <f>HYPERLINK("https://scontent.cdninstagram.com/t51.2885-15/e35/p320x320/21372938_209797246222584_4898229816756535296_n.jpg")</f>
        <v>https://scontent.cdninstagram.com/t51.2885-15/e35/p320x320/21372938_209797246222584_4898229816756535296_n.jpg</v>
      </c>
      <c r="AE5092" s="249" t="str">
        <f>HYPERLINK("https://scontent.cdninstagram.com/t51.2885-19/s150x150/21296938_465989480437409_5019977154457239552_a.jpg")</f>
        <v>https://scontent.cdninstagram.com/t51.2885-19/s150x150/21296938_465989480437409_5019977154457239552_a.jpg</v>
      </c>
    </row>
    <row r="5093" spans="1:31" ht="15" x14ac:dyDescent="0.25">
      <c r="A5093" t="s">
        <v>2474</v>
      </c>
      <c r="B5093" t="s">
        <v>26924</v>
      </c>
      <c r="C5093" s="221">
        <v>42984.57608796296</v>
      </c>
      <c r="D5093" t="s">
        <v>26925</v>
      </c>
      <c r="E5093" s="249" t="str">
        <f>HYPERLINK("https://www.instagram.com/p/BYtWNJfHUFc/")</f>
        <v>https://www.instagram.com/p/BYtWNJfHUFc/</v>
      </c>
      <c r="F5093" t="s">
        <v>26926</v>
      </c>
      <c r="G5093" t="s">
        <v>2478</v>
      </c>
      <c r="H5093">
        <v>101</v>
      </c>
      <c r="I5093" t="s">
        <v>2542</v>
      </c>
      <c r="J5093">
        <v>0</v>
      </c>
      <c r="K5093">
        <v>16</v>
      </c>
      <c r="L5093">
        <v>16</v>
      </c>
      <c r="Q5093">
        <v>0</v>
      </c>
      <c r="R5093">
        <v>0</v>
      </c>
      <c r="S5093">
        <v>16</v>
      </c>
      <c r="Y5093" t="s">
        <v>26927</v>
      </c>
      <c r="Z5093" t="s">
        <v>26928</v>
      </c>
      <c r="AA5093" t="s">
        <v>26929</v>
      </c>
      <c r="AB5093" t="s">
        <v>8501</v>
      </c>
      <c r="AC5093" t="s">
        <v>2497</v>
      </c>
      <c r="AD5093" s="249" t="str">
        <f>HYPERLINK("https://scontent.cdninstagram.com/t51.2885-15/s320x320/e35/21433312_282755518879280_6570022549411856384_n.jpg")</f>
        <v>https://scontent.cdninstagram.com/t51.2885-15/s320x320/e35/21433312_282755518879280_6570022549411856384_n.jpg</v>
      </c>
      <c r="AE5093" s="249" t="str">
        <f>HYPERLINK("https://scontent.cdninstagram.com/t51.2885-19/s150x150/15875930_1770163999976407_2829643566932819968_n.jpg")</f>
        <v>https://scontent.cdninstagram.com/t51.2885-19/s150x150/15875930_1770163999976407_2829643566932819968_n.jpg</v>
      </c>
    </row>
    <row r="5094" spans="1:31" ht="15" x14ac:dyDescent="0.25">
      <c r="A5094" t="s">
        <v>2474</v>
      </c>
      <c r="B5094" t="s">
        <v>3015</v>
      </c>
      <c r="C5094" s="221">
        <v>42984.576516203706</v>
      </c>
      <c r="D5094" t="s">
        <v>26930</v>
      </c>
      <c r="E5094" s="249" t="str">
        <f>HYPERLINK("https://www.instagram.com/p/BYtWRozAVJE/")</f>
        <v>https://www.instagram.com/p/BYtWRozAVJE/</v>
      </c>
      <c r="F5094" t="s">
        <v>26931</v>
      </c>
      <c r="G5094" t="s">
        <v>2478</v>
      </c>
      <c r="H5094">
        <v>280</v>
      </c>
      <c r="I5094" t="s">
        <v>2479</v>
      </c>
      <c r="J5094">
        <v>0</v>
      </c>
      <c r="K5094">
        <v>173</v>
      </c>
      <c r="L5094">
        <v>173</v>
      </c>
      <c r="Q5094">
        <v>0</v>
      </c>
      <c r="R5094">
        <v>0</v>
      </c>
      <c r="S5094">
        <v>173</v>
      </c>
      <c r="Y5094" t="s">
        <v>6259</v>
      </c>
      <c r="Z5094" t="s">
        <v>4129</v>
      </c>
      <c r="AA5094" t="s">
        <v>7275</v>
      </c>
      <c r="AB5094" t="s">
        <v>3728</v>
      </c>
      <c r="AC5094" t="s">
        <v>3165</v>
      </c>
      <c r="AD5094" s="249" t="str">
        <f>HYPERLINK("https://scontent.cdninstagram.com/t51.2885-15/e35/p320x320/21372572_752899411561981_2530170942085136384_n.jpg")</f>
        <v>https://scontent.cdninstagram.com/t51.2885-15/e35/p320x320/21372572_752899411561981_2530170942085136384_n.jpg</v>
      </c>
      <c r="AE5094" s="249" t="str">
        <f>HYPERLINK("https://scontent.cdninstagram.com/t51.2885-19/s150x150/21373025_723410537866046_6184601968204316672_a.jpg")</f>
        <v>https://scontent.cdninstagram.com/t51.2885-19/s150x150/21373025_723410537866046_6184601968204316672_a.jpg</v>
      </c>
    </row>
    <row r="5095" spans="1:31" ht="15" x14ac:dyDescent="0.25">
      <c r="A5095" t="s">
        <v>2474</v>
      </c>
      <c r="B5095" t="s">
        <v>26932</v>
      </c>
      <c r="C5095" s="221">
        <v>42984.583020833335</v>
      </c>
      <c r="D5095" t="s">
        <v>26933</v>
      </c>
      <c r="E5095" s="249" t="str">
        <f>HYPERLINK("https://www.instagram.com/p/BYtXWV-Dvge/")</f>
        <v>https://www.instagram.com/p/BYtXWV-Dvge/</v>
      </c>
      <c r="F5095" t="s">
        <v>26934</v>
      </c>
      <c r="G5095" t="s">
        <v>2478</v>
      </c>
      <c r="H5095">
        <v>308</v>
      </c>
      <c r="I5095" t="s">
        <v>2542</v>
      </c>
      <c r="J5095">
        <v>1</v>
      </c>
      <c r="K5095">
        <v>42</v>
      </c>
      <c r="L5095">
        <v>43</v>
      </c>
      <c r="Q5095">
        <v>0</v>
      </c>
      <c r="R5095">
        <v>0</v>
      </c>
      <c r="S5095">
        <v>43</v>
      </c>
      <c r="T5095" t="s">
        <v>26935</v>
      </c>
      <c r="V5095" t="s">
        <v>2110</v>
      </c>
      <c r="W5095">
        <v>51.220584046348002</v>
      </c>
      <c r="X5095">
        <v>3.2090670642029</v>
      </c>
      <c r="Y5095" t="s">
        <v>4620</v>
      </c>
      <c r="Z5095" t="s">
        <v>7552</v>
      </c>
      <c r="AA5095" t="s">
        <v>26936</v>
      </c>
      <c r="AB5095" t="s">
        <v>26937</v>
      </c>
      <c r="AC5095" t="s">
        <v>26938</v>
      </c>
      <c r="AD5095" s="249" t="str">
        <f>HYPERLINK("https://scontent.cdninstagram.com/t51.2885-15/s320x320/e35/21373175_1766949866939210_8674438326951870464_n.jpg")</f>
        <v>https://scontent.cdninstagram.com/t51.2885-15/s320x320/e35/21373175_1766949866939210_8674438326951870464_n.jpg</v>
      </c>
      <c r="AE5095" s="249" t="str">
        <f>HYPERLINK("https://scontent.cdninstagram.com/t51.2885-19/s150x150/13734529_151792421924060_609839362_a.jpg")</f>
        <v>https://scontent.cdninstagram.com/t51.2885-19/s150x150/13734529_151792421924060_609839362_a.jpg</v>
      </c>
    </row>
    <row r="5096" spans="1:31" ht="15" x14ac:dyDescent="0.25">
      <c r="A5096" t="s">
        <v>2474</v>
      </c>
      <c r="B5096" t="s">
        <v>26939</v>
      </c>
      <c r="C5096" s="221">
        <v>42984.595104166663</v>
      </c>
      <c r="D5096" t="s">
        <v>26940</v>
      </c>
      <c r="E5096" s="249" t="str">
        <f>HYPERLINK("https://www.instagram.com/p/BYtZVzRnC9n/")</f>
        <v>https://www.instagram.com/p/BYtZVzRnC9n/</v>
      </c>
      <c r="F5096" t="s">
        <v>26941</v>
      </c>
      <c r="G5096" t="s">
        <v>2478</v>
      </c>
      <c r="H5096">
        <v>76</v>
      </c>
      <c r="I5096" t="s">
        <v>2479</v>
      </c>
      <c r="J5096">
        <v>0</v>
      </c>
      <c r="K5096">
        <v>12</v>
      </c>
      <c r="L5096">
        <v>12</v>
      </c>
      <c r="Q5096">
        <v>0</v>
      </c>
      <c r="R5096">
        <v>0</v>
      </c>
      <c r="S5096">
        <v>12</v>
      </c>
      <c r="Y5096" t="s">
        <v>9835</v>
      </c>
      <c r="Z5096" t="s">
        <v>2559</v>
      </c>
      <c r="AA5096" t="s">
        <v>2968</v>
      </c>
      <c r="AB5096" t="s">
        <v>20242</v>
      </c>
      <c r="AC5096" t="s">
        <v>3392</v>
      </c>
      <c r="AD5096" s="249" t="str">
        <f>HYPERLINK("https://scontent.cdninstagram.com/t51.2885-15/s320x320/e35/21296959_130042980952180_3533589698884665344_n.jpg")</f>
        <v>https://scontent.cdninstagram.com/t51.2885-15/s320x320/e35/21296959_130042980952180_3533589698884665344_n.jpg</v>
      </c>
      <c r="AE5096" s="249" t="str">
        <f>HYPERLINK("https://scontent.cdninstagram.com/t51.2885-19/s150x150/20582855_719165714874596_9010196630812491776_a.jpg")</f>
        <v>https://scontent.cdninstagram.com/t51.2885-19/s150x150/20582855_719165714874596_9010196630812491776_a.jpg</v>
      </c>
    </row>
    <row r="5097" spans="1:31" ht="15" x14ac:dyDescent="0.25">
      <c r="A5097" t="s">
        <v>2474</v>
      </c>
      <c r="B5097" t="s">
        <v>26942</v>
      </c>
      <c r="C5097" s="221">
        <v>42984.595405092594</v>
      </c>
      <c r="D5097" t="s">
        <v>26943</v>
      </c>
      <c r="E5097" s="249" t="str">
        <f>HYPERLINK("https://www.instagram.com/p/BYtZY8Nli9p/")</f>
        <v>https://www.instagram.com/p/BYtZY8Nli9p/</v>
      </c>
      <c r="F5097" t="s">
        <v>26944</v>
      </c>
      <c r="G5097" t="s">
        <v>2478</v>
      </c>
      <c r="H5097">
        <v>136</v>
      </c>
      <c r="I5097" t="s">
        <v>2748</v>
      </c>
      <c r="J5097">
        <v>0</v>
      </c>
      <c r="K5097">
        <v>41</v>
      </c>
      <c r="L5097">
        <v>41</v>
      </c>
      <c r="Q5097">
        <v>0</v>
      </c>
      <c r="R5097">
        <v>0</v>
      </c>
      <c r="S5097">
        <v>41</v>
      </c>
      <c r="T5097" t="s">
        <v>14247</v>
      </c>
      <c r="V5097" t="s">
        <v>2230</v>
      </c>
      <c r="W5097">
        <v>59.949399999999997</v>
      </c>
      <c r="X5097">
        <v>10.756399999999999</v>
      </c>
      <c r="Y5097" t="s">
        <v>5706</v>
      </c>
      <c r="Z5097" t="s">
        <v>26945</v>
      </c>
      <c r="AA5097" t="s">
        <v>2497</v>
      </c>
      <c r="AB5097" t="s">
        <v>19183</v>
      </c>
      <c r="AC5097" t="s">
        <v>26946</v>
      </c>
      <c r="AD5097" s="249" t="str">
        <f>HYPERLINK("https://scontent.cdninstagram.com/t51.2885-15/e35/p320x320/21435439_315371332269460_4225947055589163008_n.jpg")</f>
        <v>https://scontent.cdninstagram.com/t51.2885-15/e35/p320x320/21435439_315371332269460_4225947055589163008_n.jpg</v>
      </c>
      <c r="AE5097" s="249" t="str">
        <f>HYPERLINK("https://scontent.cdninstagram.com/t51.2885-19/s150x150/18012009_1243089595790015_3011113112079171584_a.jpg")</f>
        <v>https://scontent.cdninstagram.com/t51.2885-19/s150x150/18012009_1243089595790015_3011113112079171584_a.jpg</v>
      </c>
    </row>
    <row r="5098" spans="1:31" ht="15" x14ac:dyDescent="0.25">
      <c r="A5098" t="s">
        <v>2474</v>
      </c>
      <c r="B5098" t="s">
        <v>3784</v>
      </c>
      <c r="C5098" s="221">
        <v>42984.601157407407</v>
      </c>
      <c r="D5098" t="s">
        <v>26947</v>
      </c>
      <c r="E5098" s="249" t="str">
        <f>HYPERLINK("https://www.instagram.com/p/BYtaVjMFEMu/")</f>
        <v>https://www.instagram.com/p/BYtaVjMFEMu/</v>
      </c>
      <c r="F5098" t="s">
        <v>26948</v>
      </c>
      <c r="G5098" t="s">
        <v>2631</v>
      </c>
      <c r="H5098">
        <v>370</v>
      </c>
      <c r="I5098" t="s">
        <v>2479</v>
      </c>
      <c r="J5098">
        <v>4</v>
      </c>
      <c r="K5098">
        <v>29</v>
      </c>
      <c r="L5098">
        <v>33</v>
      </c>
      <c r="Q5098">
        <v>0</v>
      </c>
      <c r="R5098">
        <v>0</v>
      </c>
      <c r="S5098">
        <v>33</v>
      </c>
      <c r="Y5098" t="s">
        <v>2513</v>
      </c>
      <c r="Z5098" t="s">
        <v>2497</v>
      </c>
      <c r="AA5098" t="s">
        <v>2730</v>
      </c>
      <c r="AB5098" t="s">
        <v>2696</v>
      </c>
      <c r="AD5098" s="249" t="str">
        <f>HYPERLINK("https://scontent.cdninstagram.com/t51.2885-15/s320x320/e35/21373240_148313295757618_5046575337165553664_n.jpg")</f>
        <v>https://scontent.cdninstagram.com/t51.2885-15/s320x320/e35/21373240_148313295757618_5046575337165553664_n.jpg</v>
      </c>
      <c r="AE5098" s="249" t="str">
        <f>HYPERLINK("https://scontent.cdninstagram.com/t51.2885-19/s150x150/21041715_334484806997590_2930354635854053376_a.jpg")</f>
        <v>https://scontent.cdninstagram.com/t51.2885-19/s150x150/21041715_334484806997590_2930354635854053376_a.jpg</v>
      </c>
    </row>
    <row r="5099" spans="1:31" ht="15" x14ac:dyDescent="0.25">
      <c r="A5099" t="s">
        <v>2474</v>
      </c>
      <c r="B5099" t="s">
        <v>26949</v>
      </c>
      <c r="C5099" s="221">
        <v>42984.611678240741</v>
      </c>
      <c r="D5099" t="s">
        <v>26950</v>
      </c>
      <c r="E5099" s="249" t="str">
        <f>HYPERLINK("https://www.instagram.com/p/BYtcEkTg87q/")</f>
        <v>https://www.instagram.com/p/BYtcEkTg87q/</v>
      </c>
      <c r="F5099" t="s">
        <v>26951</v>
      </c>
      <c r="G5099" t="s">
        <v>2488</v>
      </c>
      <c r="H5099">
        <v>59</v>
      </c>
      <c r="I5099" t="s">
        <v>2479</v>
      </c>
      <c r="J5099">
        <v>1</v>
      </c>
      <c r="K5099">
        <v>17</v>
      </c>
      <c r="L5099">
        <v>18</v>
      </c>
      <c r="Q5099">
        <v>0</v>
      </c>
      <c r="R5099">
        <v>0</v>
      </c>
      <c r="S5099">
        <v>18</v>
      </c>
      <c r="T5099" t="s">
        <v>25974</v>
      </c>
      <c r="V5099" t="s">
        <v>2154</v>
      </c>
      <c r="W5099">
        <v>47.533299999999997</v>
      </c>
      <c r="X5099">
        <v>-0.53333299999999995</v>
      </c>
      <c r="Y5099" t="s">
        <v>5231</v>
      </c>
      <c r="Z5099" t="s">
        <v>2513</v>
      </c>
      <c r="AA5099" t="s">
        <v>8704</v>
      </c>
      <c r="AB5099" t="s">
        <v>5230</v>
      </c>
      <c r="AC5099" t="s">
        <v>14171</v>
      </c>
      <c r="AD5099" s="249" t="str">
        <f>HYPERLINK("https://scontent.cdninstagram.com/t51.2885-15/e35/p320x320/21373703_156384964942317_4467056082816073728_n.jpg")</f>
        <v>https://scontent.cdninstagram.com/t51.2885-15/e35/p320x320/21373703_156384964942317_4467056082816073728_n.jpg</v>
      </c>
      <c r="AE5099" s="249" t="str">
        <f>HYPERLINK("https://scontent.cdninstagram.com/t51.2885-19/s150x150/18949503_1122155304550657_4049188449616396288_a.jpg")</f>
        <v>https://scontent.cdninstagram.com/t51.2885-19/s150x150/18949503_1122155304550657_4049188449616396288_a.jpg</v>
      </c>
    </row>
    <row r="5100" spans="1:31" ht="15" x14ac:dyDescent="0.25">
      <c r="A5100" t="s">
        <v>2474</v>
      </c>
      <c r="B5100" t="s">
        <v>6847</v>
      </c>
      <c r="C5100" s="221">
        <v>42984.614270833335</v>
      </c>
      <c r="D5100" t="s">
        <v>26952</v>
      </c>
      <c r="E5100" s="249" t="str">
        <f>HYPERLINK("https://www.instagram.com/p/BYtcf5jhSk-/")</f>
        <v>https://www.instagram.com/p/BYtcf5jhSk-/</v>
      </c>
      <c r="F5100" t="s">
        <v>26953</v>
      </c>
      <c r="G5100" t="s">
        <v>2478</v>
      </c>
      <c r="H5100">
        <v>148</v>
      </c>
      <c r="I5100" t="s">
        <v>2479</v>
      </c>
      <c r="J5100">
        <v>4</v>
      </c>
      <c r="K5100">
        <v>30</v>
      </c>
      <c r="L5100">
        <v>34</v>
      </c>
      <c r="Q5100">
        <v>0</v>
      </c>
      <c r="R5100">
        <v>0</v>
      </c>
      <c r="S5100">
        <v>34</v>
      </c>
      <c r="T5100" t="s">
        <v>6850</v>
      </c>
      <c r="V5100" t="s">
        <v>2161</v>
      </c>
      <c r="W5100">
        <v>50.95</v>
      </c>
      <c r="X5100">
        <v>6.9667000000000003</v>
      </c>
      <c r="Y5100" t="s">
        <v>23213</v>
      </c>
      <c r="Z5100" t="s">
        <v>2513</v>
      </c>
      <c r="AA5100" t="s">
        <v>3110</v>
      </c>
      <c r="AB5100" t="s">
        <v>26954</v>
      </c>
      <c r="AC5100" t="s">
        <v>11827</v>
      </c>
      <c r="AD5100" s="249" t="str">
        <f>HYPERLINK("https://scontent.cdninstagram.com/t51.2885-15/s320x320/e35/21373134_786540211518016_7577471467298750464_n.jpg")</f>
        <v>https://scontent.cdninstagram.com/t51.2885-15/s320x320/e35/21373134_786540211518016_7577471467298750464_n.jpg</v>
      </c>
      <c r="AE5100" s="249" t="str">
        <f>HYPERLINK("https://scontent.cdninstagram.com/t51.2885-19/s150x150/21227085_490035654689267_1134010918221381632_a.jpg")</f>
        <v>https://scontent.cdninstagram.com/t51.2885-19/s150x150/21227085_490035654689267_1134010918221381632_a.jpg</v>
      </c>
    </row>
    <row r="5101" spans="1:31" ht="15" x14ac:dyDescent="0.25">
      <c r="A5101" t="s">
        <v>2474</v>
      </c>
      <c r="B5101" t="s">
        <v>26955</v>
      </c>
      <c r="C5101" s="221">
        <v>42984.61550925926</v>
      </c>
      <c r="D5101" t="s">
        <v>26956</v>
      </c>
      <c r="E5101" s="249" t="str">
        <f>HYPERLINK("https://www.instagram.com/p/BYtcs_CnjvH/")</f>
        <v>https://www.instagram.com/p/BYtcs_CnjvH/</v>
      </c>
      <c r="F5101" t="s">
        <v>26957</v>
      </c>
      <c r="G5101" t="s">
        <v>2631</v>
      </c>
      <c r="H5101">
        <v>612</v>
      </c>
      <c r="I5101" t="s">
        <v>2479</v>
      </c>
      <c r="J5101">
        <v>3</v>
      </c>
      <c r="K5101">
        <v>104</v>
      </c>
      <c r="L5101">
        <v>107</v>
      </c>
      <c r="Q5101">
        <v>0</v>
      </c>
      <c r="R5101">
        <v>0</v>
      </c>
      <c r="S5101">
        <v>107</v>
      </c>
      <c r="T5101" t="s">
        <v>26958</v>
      </c>
      <c r="V5101" t="s">
        <v>2103</v>
      </c>
      <c r="W5101">
        <v>47.8</v>
      </c>
      <c r="X5101">
        <v>13.033300000000001</v>
      </c>
      <c r="Y5101" t="s">
        <v>2513</v>
      </c>
      <c r="Z5101" t="s">
        <v>26959</v>
      </c>
      <c r="AA5101" t="s">
        <v>6158</v>
      </c>
      <c r="AB5101" t="s">
        <v>26960</v>
      </c>
      <c r="AC5101" t="s">
        <v>5980</v>
      </c>
      <c r="AD5101" s="249" t="str">
        <f>HYPERLINK("https://scontent.cdninstagram.com/t51.2885-15/s320x320/e15/21372416_886480778173213_3384715012734976000_n.jpg")</f>
        <v>https://scontent.cdninstagram.com/t51.2885-15/s320x320/e15/21372416_886480778173213_3384715012734976000_n.jpg</v>
      </c>
      <c r="AE5101" s="249" t="str">
        <f>HYPERLINK("https://scontent.cdninstagram.com/t51.2885-19/s150x150/21576491_1387449261367698_1315357910770909184_n.jpg")</f>
        <v>https://scontent.cdninstagram.com/t51.2885-19/s150x150/21576491_1387449261367698_1315357910770909184_n.jpg</v>
      </c>
    </row>
    <row r="5102" spans="1:31" ht="15" x14ac:dyDescent="0.25">
      <c r="A5102" t="s">
        <v>2474</v>
      </c>
      <c r="B5102" t="s">
        <v>26961</v>
      </c>
      <c r="C5102" s="221">
        <v>42984.618472222224</v>
      </c>
      <c r="D5102" t="s">
        <v>26962</v>
      </c>
      <c r="E5102" s="249" t="str">
        <f>HYPERLINK("https://www.instagram.com/p/BYtdMMwlk8w/")</f>
        <v>https://www.instagram.com/p/BYtdMMwlk8w/</v>
      </c>
      <c r="F5102" t="s">
        <v>26963</v>
      </c>
      <c r="G5102" t="s">
        <v>2478</v>
      </c>
      <c r="H5102">
        <v>209</v>
      </c>
      <c r="I5102" t="s">
        <v>2479</v>
      </c>
      <c r="J5102">
        <v>0</v>
      </c>
      <c r="K5102">
        <v>10</v>
      </c>
      <c r="L5102">
        <v>10</v>
      </c>
      <c r="Q5102">
        <v>0</v>
      </c>
      <c r="R5102">
        <v>0</v>
      </c>
      <c r="S5102">
        <v>10</v>
      </c>
      <c r="Y5102" t="s">
        <v>26964</v>
      </c>
      <c r="Z5102" t="s">
        <v>26965</v>
      </c>
      <c r="AA5102" t="s">
        <v>2497</v>
      </c>
      <c r="AB5102" t="s">
        <v>26961</v>
      </c>
      <c r="AC5102" t="s">
        <v>26966</v>
      </c>
      <c r="AD5102" s="249" t="str">
        <f>HYPERLINK("https://scontent.cdninstagram.com/t51.2885-15/s320x320/e35/21433804_1739010156407853_3810703226500546560_n.jpg")</f>
        <v>https://scontent.cdninstagram.com/t51.2885-15/s320x320/e35/21433804_1739010156407853_3810703226500546560_n.jpg</v>
      </c>
      <c r="AE5102" s="249" t="str">
        <f>HYPERLINK("https://scontent.cdninstagram.com/t51.2885-19/s150x150/21042655_1853078658067502_2369653497244155904_a.jpg")</f>
        <v>https://scontent.cdninstagram.com/t51.2885-19/s150x150/21042655_1853078658067502_2369653497244155904_a.jpg</v>
      </c>
    </row>
    <row r="5103" spans="1:31" ht="15" x14ac:dyDescent="0.25">
      <c r="A5103" t="s">
        <v>2474</v>
      </c>
      <c r="B5103" t="s">
        <v>13642</v>
      </c>
      <c r="C5103" s="221">
        <v>42984.626712962963</v>
      </c>
      <c r="D5103" t="s">
        <v>26967</v>
      </c>
      <c r="E5103" s="249" t="str">
        <f>HYPERLINK("https://www.instagram.com/p/BYtejF4HCm4/")</f>
        <v>https://www.instagram.com/p/BYtejF4HCm4/</v>
      </c>
      <c r="F5103" t="s">
        <v>26968</v>
      </c>
      <c r="G5103" t="s">
        <v>2478</v>
      </c>
      <c r="H5103">
        <v>5352</v>
      </c>
      <c r="I5103" t="s">
        <v>2542</v>
      </c>
      <c r="J5103">
        <v>3</v>
      </c>
      <c r="K5103">
        <v>164</v>
      </c>
      <c r="L5103">
        <v>167</v>
      </c>
      <c r="Q5103">
        <v>0</v>
      </c>
      <c r="R5103">
        <v>0</v>
      </c>
      <c r="S5103">
        <v>167</v>
      </c>
      <c r="Y5103" t="s">
        <v>15297</v>
      </c>
      <c r="Z5103" t="s">
        <v>3568</v>
      </c>
      <c r="AA5103" t="s">
        <v>13697</v>
      </c>
      <c r="AB5103" t="s">
        <v>26969</v>
      </c>
      <c r="AC5103" t="s">
        <v>2497</v>
      </c>
      <c r="AD5103" s="249" t="str">
        <f>HYPERLINK("https://scontent.cdninstagram.com/t51.2885-15/e35/p320x320/21480387_365614353858947_1964070320914563072_n.jpg")</f>
        <v>https://scontent.cdninstagram.com/t51.2885-15/e35/p320x320/21480387_365614353858947_1964070320914563072_n.jpg</v>
      </c>
      <c r="AE5103" s="249" t="str">
        <f>HYPERLINK("https://scontent.cdninstagram.com/t51.2885-19/s150x150/21435880_1637300319628215_254792037117722624_a.jpg")</f>
        <v>https://scontent.cdninstagram.com/t51.2885-19/s150x150/21435880_1637300319628215_254792037117722624_a.jpg</v>
      </c>
    </row>
    <row r="5104" spans="1:31" ht="15" x14ac:dyDescent="0.25">
      <c r="A5104" t="s">
        <v>2474</v>
      </c>
      <c r="B5104" t="s">
        <v>19717</v>
      </c>
      <c r="C5104" s="221">
        <v>42984.629201388889</v>
      </c>
      <c r="D5104" t="s">
        <v>26970</v>
      </c>
      <c r="E5104" s="249" t="str">
        <f>HYPERLINK("https://www.instagram.com/p/BYte9VOlaLg/")</f>
        <v>https://www.instagram.com/p/BYte9VOlaLg/</v>
      </c>
      <c r="F5104" t="s">
        <v>26971</v>
      </c>
      <c r="G5104" t="s">
        <v>2631</v>
      </c>
      <c r="H5104">
        <v>290</v>
      </c>
      <c r="I5104" t="s">
        <v>2479</v>
      </c>
      <c r="J5104">
        <v>2</v>
      </c>
      <c r="K5104">
        <v>42</v>
      </c>
      <c r="L5104">
        <v>44</v>
      </c>
      <c r="Q5104">
        <v>0</v>
      </c>
      <c r="R5104">
        <v>0</v>
      </c>
      <c r="S5104">
        <v>44</v>
      </c>
      <c r="Y5104" t="s">
        <v>24559</v>
      </c>
      <c r="Z5104" t="s">
        <v>26033</v>
      </c>
      <c r="AA5104" t="s">
        <v>15201</v>
      </c>
      <c r="AB5104" t="s">
        <v>25475</v>
      </c>
      <c r="AC5104" t="s">
        <v>15560</v>
      </c>
      <c r="AD5104" s="249" t="str">
        <f>HYPERLINK("https://scontent.cdninstagram.com/t51.2885-15/s320x320/e15/21480273_305515113248621_2798046184025882624_n.jpg")</f>
        <v>https://scontent.cdninstagram.com/t51.2885-15/s320x320/e15/21480273_305515113248621_2798046184025882624_n.jpg</v>
      </c>
      <c r="AE5104" s="249" t="str">
        <f>HYPERLINK("https://scontent.cdninstagram.com/t51.2885-19/s150x150/17493728_752204021624442_4508760176605528064_a.jpg")</f>
        <v>https://scontent.cdninstagram.com/t51.2885-19/s150x150/17493728_752204021624442_4508760176605528064_a.jpg</v>
      </c>
    </row>
    <row r="5105" spans="1:31" ht="15" x14ac:dyDescent="0.25">
      <c r="A5105" t="s">
        <v>2474</v>
      </c>
      <c r="B5105" t="s">
        <v>26972</v>
      </c>
      <c r="C5105" s="221">
        <v>42984.634571759256</v>
      </c>
      <c r="D5105" t="s">
        <v>26973</v>
      </c>
      <c r="E5105" s="249" t="str">
        <f>HYPERLINK("https://www.instagram.com/p/BYtf2A2DtPq/")</f>
        <v>https://www.instagram.com/p/BYtf2A2DtPq/</v>
      </c>
      <c r="F5105" t="s">
        <v>26974</v>
      </c>
      <c r="G5105" t="s">
        <v>2478</v>
      </c>
      <c r="H5105">
        <v>3950</v>
      </c>
      <c r="I5105" t="s">
        <v>2479</v>
      </c>
      <c r="J5105">
        <v>12</v>
      </c>
      <c r="K5105">
        <v>202</v>
      </c>
      <c r="L5105">
        <v>214</v>
      </c>
      <c r="Q5105">
        <v>0</v>
      </c>
      <c r="R5105">
        <v>0</v>
      </c>
      <c r="S5105">
        <v>214</v>
      </c>
      <c r="Y5105" t="s">
        <v>26975</v>
      </c>
      <c r="Z5105" t="s">
        <v>3034</v>
      </c>
      <c r="AA5105" t="s">
        <v>5351</v>
      </c>
      <c r="AB5105" t="s">
        <v>26976</v>
      </c>
      <c r="AC5105" t="s">
        <v>26977</v>
      </c>
      <c r="AD5105" s="249" t="str">
        <f>HYPERLINK("https://scontent.cdninstagram.com/t51.2885-15/s320x320/e35/20398169_1881326252185441_8148082508504760320_n.jpg")</f>
        <v>https://scontent.cdninstagram.com/t51.2885-15/s320x320/e35/20398169_1881326252185441_8148082508504760320_n.jpg</v>
      </c>
      <c r="AE5105" s="249" t="str">
        <f>HYPERLINK("https://scontent.cdninstagram.com/t51.2885-19/s150x150/14701274_1185028134909749_25380525120159744_a.jpg")</f>
        <v>https://scontent.cdninstagram.com/t51.2885-19/s150x150/14701274_1185028134909749_25380525120159744_a.jpg</v>
      </c>
    </row>
    <row r="5106" spans="1:31" ht="15" x14ac:dyDescent="0.25">
      <c r="A5106" t="s">
        <v>2474</v>
      </c>
      <c r="B5106" t="s">
        <v>24023</v>
      </c>
      <c r="C5106" s="221">
        <v>42984.638182870367</v>
      </c>
      <c r="D5106" t="s">
        <v>26978</v>
      </c>
      <c r="E5106" s="249" t="str">
        <f>HYPERLINK("https://www.instagram.com/p/BYtgcFNFoyg/")</f>
        <v>https://www.instagram.com/p/BYtgcFNFoyg/</v>
      </c>
      <c r="F5106" t="s">
        <v>26979</v>
      </c>
      <c r="G5106" t="s">
        <v>2478</v>
      </c>
      <c r="H5106">
        <v>469</v>
      </c>
      <c r="I5106" t="s">
        <v>3170</v>
      </c>
      <c r="J5106">
        <v>5</v>
      </c>
      <c r="K5106">
        <v>59</v>
      </c>
      <c r="L5106">
        <v>64</v>
      </c>
      <c r="Q5106">
        <v>0</v>
      </c>
      <c r="R5106">
        <v>0</v>
      </c>
      <c r="S5106">
        <v>64</v>
      </c>
      <c r="Y5106" t="s">
        <v>26980</v>
      </c>
      <c r="Z5106" t="s">
        <v>26981</v>
      </c>
      <c r="AA5106" t="s">
        <v>2641</v>
      </c>
      <c r="AB5106" t="s">
        <v>26733</v>
      </c>
      <c r="AC5106" t="s">
        <v>2497</v>
      </c>
      <c r="AD5106" s="249" t="str">
        <f>HYPERLINK("https://scontent.cdninstagram.com/t51.2885-15/e35/p320x320/21372234_1407174212737378_6573935466481975296_n.jpg")</f>
        <v>https://scontent.cdninstagram.com/t51.2885-15/e35/p320x320/21372234_1407174212737378_6573935466481975296_n.jpg</v>
      </c>
      <c r="AE5106" s="249" t="str">
        <f>HYPERLINK("https://scontent.cdninstagram.com/t51.2885-19/s150x150/21434165_1953668864847850_2480376611673735168_a.jpg")</f>
        <v>https://scontent.cdninstagram.com/t51.2885-19/s150x150/21434165_1953668864847850_2480376611673735168_a.jpg</v>
      </c>
    </row>
    <row r="5107" spans="1:31" ht="15" x14ac:dyDescent="0.25">
      <c r="A5107" t="s">
        <v>2474</v>
      </c>
      <c r="B5107" t="s">
        <v>26982</v>
      </c>
      <c r="C5107" s="221">
        <v>42984.639351851853</v>
      </c>
      <c r="D5107" t="s">
        <v>26983</v>
      </c>
      <c r="E5107" s="249" t="str">
        <f>HYPERLINK("https://www.instagram.com/p/BYtgoYVFRAv/")</f>
        <v>https://www.instagram.com/p/BYtgoYVFRAv/</v>
      </c>
      <c r="F5107" t="s">
        <v>26984</v>
      </c>
      <c r="G5107" t="s">
        <v>2478</v>
      </c>
      <c r="H5107">
        <v>263</v>
      </c>
      <c r="I5107" t="s">
        <v>3575</v>
      </c>
      <c r="J5107">
        <v>0</v>
      </c>
      <c r="K5107">
        <v>23</v>
      </c>
      <c r="L5107">
        <v>23</v>
      </c>
      <c r="Q5107">
        <v>0</v>
      </c>
      <c r="R5107">
        <v>0</v>
      </c>
      <c r="S5107">
        <v>23</v>
      </c>
      <c r="Y5107" t="s">
        <v>2497</v>
      </c>
      <c r="Z5107" t="s">
        <v>25780</v>
      </c>
      <c r="AA5107" t="s">
        <v>26985</v>
      </c>
      <c r="AB5107" t="s">
        <v>26986</v>
      </c>
      <c r="AC5107" t="s">
        <v>26987</v>
      </c>
      <c r="AD5107" s="249" t="str">
        <f>HYPERLINK("https://scontent.cdninstagram.com/t51.2885-15/s320x320/e35/21435628_1993710017525452_8744777985611005952_n.jpg")</f>
        <v>https://scontent.cdninstagram.com/t51.2885-15/s320x320/e35/21435628_1993710017525452_8744777985611005952_n.jpg</v>
      </c>
      <c r="AE5107" s="249" t="str">
        <f>HYPERLINK("https://scontent.cdninstagram.com/t51.2885-19/s150x150/12751277_574067249435515_2097292343_a.jpg")</f>
        <v>https://scontent.cdninstagram.com/t51.2885-19/s150x150/12751277_574067249435515_2097292343_a.jpg</v>
      </c>
    </row>
    <row r="5108" spans="1:31" ht="15" x14ac:dyDescent="0.25">
      <c r="A5108" t="s">
        <v>2474</v>
      </c>
      <c r="B5108" t="s">
        <v>26988</v>
      </c>
      <c r="C5108" s="221">
        <v>42984.639884259261</v>
      </c>
      <c r="D5108" t="s">
        <v>26989</v>
      </c>
      <c r="E5108" s="249" t="str">
        <f>HYPERLINK("https://www.instagram.com/p/BYtguF1gNlQ/")</f>
        <v>https://www.instagram.com/p/BYtguF1gNlQ/</v>
      </c>
      <c r="F5108" t="s">
        <v>26990</v>
      </c>
      <c r="G5108" t="s">
        <v>2478</v>
      </c>
      <c r="H5108">
        <v>203</v>
      </c>
      <c r="I5108" t="s">
        <v>2479</v>
      </c>
      <c r="J5108">
        <v>0</v>
      </c>
      <c r="K5108">
        <v>25</v>
      </c>
      <c r="L5108">
        <v>25</v>
      </c>
      <c r="Q5108">
        <v>0</v>
      </c>
      <c r="R5108">
        <v>0</v>
      </c>
      <c r="S5108">
        <v>25</v>
      </c>
      <c r="Y5108" t="s">
        <v>26991</v>
      </c>
      <c r="Z5108" t="s">
        <v>26992</v>
      </c>
      <c r="AA5108" t="s">
        <v>26993</v>
      </c>
      <c r="AB5108" t="s">
        <v>2497</v>
      </c>
      <c r="AC5108" t="s">
        <v>26994</v>
      </c>
      <c r="AD5108" s="249" t="str">
        <f>HYPERLINK("https://scontent.cdninstagram.com/t51.2885-15/s320x320/e35/21436143_130342367608250_3005142656566165504_n.jpg")</f>
        <v>https://scontent.cdninstagram.com/t51.2885-15/s320x320/e35/21436143_130342367608250_3005142656566165504_n.jpg</v>
      </c>
      <c r="AE5108" s="249" t="str">
        <f>HYPERLINK("https://scontent.cdninstagram.com/t51.2885-19/14473964_1910841175810924_7473281466277822464_a.jpg")</f>
        <v>https://scontent.cdninstagram.com/t51.2885-19/14473964_1910841175810924_7473281466277822464_a.jpg</v>
      </c>
    </row>
    <row r="5109" spans="1:31" ht="15" x14ac:dyDescent="0.25">
      <c r="A5109" t="s">
        <v>2474</v>
      </c>
      <c r="B5109" t="s">
        <v>5773</v>
      </c>
      <c r="C5109" s="221">
        <v>42984.640208333331</v>
      </c>
      <c r="D5109" t="s">
        <v>26995</v>
      </c>
      <c r="E5109" s="249" t="str">
        <f>HYPERLINK("https://www.instagram.com/p/BYtgxb4F78J/")</f>
        <v>https://www.instagram.com/p/BYtgxb4F78J/</v>
      </c>
      <c r="F5109" t="s">
        <v>26996</v>
      </c>
      <c r="G5109" t="s">
        <v>2478</v>
      </c>
      <c r="H5109">
        <v>832</v>
      </c>
      <c r="I5109" t="s">
        <v>2510</v>
      </c>
      <c r="J5109">
        <v>1</v>
      </c>
      <c r="K5109">
        <v>49</v>
      </c>
      <c r="L5109">
        <v>50</v>
      </c>
      <c r="Q5109">
        <v>0</v>
      </c>
      <c r="R5109">
        <v>0</v>
      </c>
      <c r="S5109">
        <v>50</v>
      </c>
      <c r="T5109" t="s">
        <v>5923</v>
      </c>
      <c r="V5109" t="s">
        <v>2270</v>
      </c>
      <c r="W5109">
        <v>57.706573499999998</v>
      </c>
      <c r="X5109">
        <v>11.969223299999999</v>
      </c>
      <c r="Y5109" t="s">
        <v>12412</v>
      </c>
      <c r="Z5109" t="s">
        <v>18446</v>
      </c>
      <c r="AA5109" t="s">
        <v>5924</v>
      </c>
      <c r="AB5109" t="s">
        <v>25552</v>
      </c>
      <c r="AC5109" t="s">
        <v>26997</v>
      </c>
      <c r="AD5109" s="249" t="str">
        <f>HYPERLINK("https://scontent.cdninstagram.com/t51.2885-15/s320x320/e35/21436231_1857262290955554_983813042842107904_n.jpg")</f>
        <v>https://scontent.cdninstagram.com/t51.2885-15/s320x320/e35/21436231_1857262290955554_983813042842107904_n.jpg</v>
      </c>
      <c r="AE5109" s="249" t="str">
        <f>HYPERLINK("https://scontent.cdninstagram.com/t51.2885-19/10838625_357924367702733_1358700153_a.jpg")</f>
        <v>https://scontent.cdninstagram.com/t51.2885-19/10838625_357924367702733_1358700153_a.jpg</v>
      </c>
    </row>
    <row r="5110" spans="1:31" ht="15" x14ac:dyDescent="0.25">
      <c r="A5110" t="s">
        <v>2474</v>
      </c>
      <c r="B5110" t="s">
        <v>26998</v>
      </c>
      <c r="C5110" s="221">
        <v>42984.641539351855</v>
      </c>
      <c r="D5110" t="s">
        <v>26999</v>
      </c>
      <c r="E5110" s="249" t="str">
        <f>HYPERLINK("https://www.instagram.com/p/BYtg_eJjtTi/")</f>
        <v>https://www.instagram.com/p/BYtg_eJjtTi/</v>
      </c>
      <c r="F5110" t="s">
        <v>27000</v>
      </c>
      <c r="G5110" t="s">
        <v>2478</v>
      </c>
      <c r="H5110">
        <v>818</v>
      </c>
      <c r="I5110" t="s">
        <v>2479</v>
      </c>
      <c r="J5110">
        <v>2</v>
      </c>
      <c r="K5110">
        <v>103</v>
      </c>
      <c r="L5110">
        <v>105</v>
      </c>
      <c r="Q5110">
        <v>0</v>
      </c>
      <c r="R5110">
        <v>0</v>
      </c>
      <c r="S5110">
        <v>105</v>
      </c>
      <c r="Y5110" t="s">
        <v>4042</v>
      </c>
      <c r="Z5110" t="s">
        <v>3627</v>
      </c>
      <c r="AA5110" t="s">
        <v>27001</v>
      </c>
      <c r="AB5110" t="s">
        <v>6213</v>
      </c>
      <c r="AC5110" t="s">
        <v>27002</v>
      </c>
      <c r="AD5110" s="249" t="str">
        <f>HYPERLINK("https://scontent.cdninstagram.com/t51.2885-15/s320x320/e35/21373140_181589039050886_5092909697757872128_n.jpg")</f>
        <v>https://scontent.cdninstagram.com/t51.2885-15/s320x320/e35/21373140_181589039050886_5092909697757872128_n.jpg</v>
      </c>
      <c r="AE5110" s="249" t="str">
        <f>HYPERLINK("https://scontent.cdninstagram.com/t51.2885-19/s150x150/18160785_197398430767703_1284514977524219904_a.jpg")</f>
        <v>https://scontent.cdninstagram.com/t51.2885-19/s150x150/18160785_197398430767703_1284514977524219904_a.jpg</v>
      </c>
    </row>
    <row r="5111" spans="1:31" ht="15" x14ac:dyDescent="0.25">
      <c r="A5111" t="s">
        <v>2474</v>
      </c>
      <c r="B5111" t="s">
        <v>27003</v>
      </c>
      <c r="C5111" s="221">
        <v>42984.643622685187</v>
      </c>
      <c r="D5111" t="s">
        <v>27004</v>
      </c>
      <c r="E5111" s="249" t="str">
        <f>HYPERLINK("https://www.instagram.com/p/BYthVhSj_Bm/")</f>
        <v>https://www.instagram.com/p/BYthVhSj_Bm/</v>
      </c>
      <c r="F5111" t="s">
        <v>27005</v>
      </c>
      <c r="G5111" t="s">
        <v>2478</v>
      </c>
      <c r="H5111">
        <v>8</v>
      </c>
      <c r="I5111" t="s">
        <v>2542</v>
      </c>
      <c r="J5111">
        <v>1</v>
      </c>
      <c r="K5111">
        <v>14</v>
      </c>
      <c r="L5111">
        <v>15</v>
      </c>
      <c r="Q5111">
        <v>0</v>
      </c>
      <c r="R5111">
        <v>0</v>
      </c>
      <c r="S5111">
        <v>15</v>
      </c>
      <c r="T5111" t="s">
        <v>27006</v>
      </c>
      <c r="U5111" t="s">
        <v>114</v>
      </c>
      <c r="V5111" t="s">
        <v>2299</v>
      </c>
      <c r="W5111">
        <v>33.748899999999999</v>
      </c>
      <c r="X5111">
        <v>-84.388099999999994</v>
      </c>
      <c r="Y5111" t="s">
        <v>2876</v>
      </c>
      <c r="Z5111" t="s">
        <v>27007</v>
      </c>
      <c r="AA5111" t="s">
        <v>27008</v>
      </c>
      <c r="AB5111" t="s">
        <v>27009</v>
      </c>
      <c r="AC5111" t="s">
        <v>27010</v>
      </c>
      <c r="AD5111" s="249" t="str">
        <f>HYPERLINK("https://scontent.cdninstagram.com/t51.2885-15/s320x320/e35/21435969_271660193327281_2673791113705291776_n.jpg")</f>
        <v>https://scontent.cdninstagram.com/t51.2885-15/s320x320/e35/21435969_271660193327281_2673791113705291776_n.jpg</v>
      </c>
      <c r="AE5111" s="249" t="str">
        <f>HYPERLINK("https://scontent.cdninstagram.com/t51.2885-19/s150x150/21224801_2025807877650201_4406437060429217792_a.jpg")</f>
        <v>https://scontent.cdninstagram.com/t51.2885-19/s150x150/21224801_2025807877650201_4406437060429217792_a.jpg</v>
      </c>
    </row>
    <row r="5112" spans="1:31" ht="15" x14ac:dyDescent="0.25">
      <c r="A5112" t="s">
        <v>2474</v>
      </c>
      <c r="B5112" t="s">
        <v>5920</v>
      </c>
      <c r="C5112" s="221">
        <v>42984.644166666665</v>
      </c>
      <c r="D5112" t="s">
        <v>27011</v>
      </c>
      <c r="E5112" s="249" t="str">
        <f>HYPERLINK("https://www.instagram.com/p/BYthbN0AdAA/")</f>
        <v>https://www.instagram.com/p/BYthbN0AdAA/</v>
      </c>
      <c r="F5112" t="s">
        <v>27012</v>
      </c>
      <c r="G5112" t="s">
        <v>2478</v>
      </c>
      <c r="H5112">
        <v>28</v>
      </c>
      <c r="I5112" t="s">
        <v>2479</v>
      </c>
      <c r="J5112">
        <v>1</v>
      </c>
      <c r="K5112">
        <v>30</v>
      </c>
      <c r="L5112">
        <v>31</v>
      </c>
      <c r="Q5112">
        <v>0</v>
      </c>
      <c r="R5112">
        <v>0</v>
      </c>
      <c r="S5112">
        <v>31</v>
      </c>
      <c r="T5112" t="s">
        <v>5923</v>
      </c>
      <c r="V5112" t="s">
        <v>2270</v>
      </c>
      <c r="W5112">
        <v>57.706573499999998</v>
      </c>
      <c r="X5112">
        <v>11.969223299999999</v>
      </c>
      <c r="Y5112" t="s">
        <v>12412</v>
      </c>
      <c r="Z5112" t="s">
        <v>18446</v>
      </c>
      <c r="AA5112" t="s">
        <v>5924</v>
      </c>
      <c r="AB5112" t="s">
        <v>25552</v>
      </c>
      <c r="AC5112" t="s">
        <v>26997</v>
      </c>
      <c r="AD5112" s="249" t="str">
        <f>HYPERLINK("https://scontent.cdninstagram.com/t51.2885-15/s320x320/e35/21433488_1507681222627146_6337844438525542400_n.jpg")</f>
        <v>https://scontent.cdninstagram.com/t51.2885-15/s320x320/e35/21433488_1507681222627146_6337844438525542400_n.jpg</v>
      </c>
      <c r="AE5112" s="249" t="str">
        <f>HYPERLINK("https://scontent.cdninstagram.com/t51.2885-19/s150x150/20065313_312266842554112_1367471824169861120_a.jpg")</f>
        <v>https://scontent.cdninstagram.com/t51.2885-19/s150x150/20065313_312266842554112_1367471824169861120_a.jpg</v>
      </c>
    </row>
    <row r="5113" spans="1:31" ht="15" x14ac:dyDescent="0.25">
      <c r="A5113" t="s">
        <v>2474</v>
      </c>
      <c r="B5113" t="s">
        <v>27013</v>
      </c>
      <c r="C5113" s="221">
        <v>42984.646550925929</v>
      </c>
      <c r="D5113" t="s">
        <v>27014</v>
      </c>
      <c r="E5113" s="249" t="str">
        <f>HYPERLINK("https://www.instagram.com/p/BYth0VLj3Wl/")</f>
        <v>https://www.instagram.com/p/BYth0VLj3Wl/</v>
      </c>
      <c r="F5113" t="s">
        <v>27015</v>
      </c>
      <c r="G5113" t="s">
        <v>2631</v>
      </c>
      <c r="H5113">
        <v>2224</v>
      </c>
      <c r="I5113" t="s">
        <v>2479</v>
      </c>
      <c r="J5113">
        <v>2</v>
      </c>
      <c r="K5113">
        <v>25</v>
      </c>
      <c r="L5113">
        <v>27</v>
      </c>
      <c r="Q5113">
        <v>0</v>
      </c>
      <c r="R5113">
        <v>0</v>
      </c>
      <c r="S5113">
        <v>27</v>
      </c>
      <c r="Y5113" t="s">
        <v>2827</v>
      </c>
      <c r="Z5113" t="s">
        <v>2513</v>
      </c>
      <c r="AA5113" t="s">
        <v>2617</v>
      </c>
      <c r="AB5113" t="s">
        <v>2968</v>
      </c>
      <c r="AC5113" t="s">
        <v>8592</v>
      </c>
      <c r="AD5113" s="249" t="str">
        <f>HYPERLINK("https://scontent.cdninstagram.com/t51.2885-15/s320x320/e15/21433560_347244085733298_5807917084188868608_n.jpg")</f>
        <v>https://scontent.cdninstagram.com/t51.2885-15/s320x320/e15/21433560_347244085733298_5807917084188868608_n.jpg</v>
      </c>
      <c r="AE5113" s="249" t="str">
        <f>HYPERLINK("https://scontent.cdninstagram.com/t51.2885-19/s150x150/21569098_343685646083889_4630363899189788672_a.jpg")</f>
        <v>https://scontent.cdninstagram.com/t51.2885-19/s150x150/21569098_343685646083889_4630363899189788672_a.jpg</v>
      </c>
    </row>
    <row r="5114" spans="1:31" ht="15" x14ac:dyDescent="0.25">
      <c r="A5114" t="s">
        <v>2474</v>
      </c>
      <c r="B5114" t="s">
        <v>27016</v>
      </c>
      <c r="C5114" s="221">
        <v>42984.648587962962</v>
      </c>
      <c r="D5114" t="s">
        <v>27017</v>
      </c>
      <c r="E5114" s="249" t="str">
        <f>HYPERLINK("https://www.instagram.com/p/BYtiJ4QDXO3/")</f>
        <v>https://www.instagram.com/p/BYtiJ4QDXO3/</v>
      </c>
      <c r="F5114" t="s">
        <v>27018</v>
      </c>
      <c r="G5114" t="s">
        <v>2478</v>
      </c>
      <c r="H5114">
        <v>525</v>
      </c>
      <c r="I5114" t="s">
        <v>2479</v>
      </c>
      <c r="J5114">
        <v>3</v>
      </c>
      <c r="K5114">
        <v>69</v>
      </c>
      <c r="L5114">
        <v>72</v>
      </c>
      <c r="Q5114">
        <v>0</v>
      </c>
      <c r="R5114">
        <v>0</v>
      </c>
      <c r="S5114">
        <v>72</v>
      </c>
      <c r="Y5114" t="s">
        <v>2497</v>
      </c>
      <c r="Z5114" t="s">
        <v>3174</v>
      </c>
      <c r="AD5114" s="249" t="str">
        <f>HYPERLINK("https://scontent.cdninstagram.com/t51.2885-15/s320x320/e35/21480249_359585631146573_4947540606864850944_n.jpg")</f>
        <v>https://scontent.cdninstagram.com/t51.2885-15/s320x320/e35/21480249_359585631146573_4947540606864850944_n.jpg</v>
      </c>
      <c r="AE5114" s="249" t="str">
        <f>HYPERLINK("https://scontent.cdninstagram.com/t51.2885-19/s150x150/16124066_403444216661100_3854068944352575488_a.jpg")</f>
        <v>https://scontent.cdninstagram.com/t51.2885-19/s150x150/16124066_403444216661100_3854068944352575488_a.jpg</v>
      </c>
    </row>
    <row r="5115" spans="1:31" ht="15" x14ac:dyDescent="0.25">
      <c r="A5115" t="s">
        <v>2474</v>
      </c>
      <c r="B5115" t="s">
        <v>6899</v>
      </c>
      <c r="C5115" s="221">
        <v>42984.650370370371</v>
      </c>
      <c r="D5115" t="s">
        <v>27019</v>
      </c>
      <c r="E5115" s="249" t="str">
        <f>HYPERLINK("https://www.instagram.com/p/BYticnWg9IU/")</f>
        <v>https://www.instagram.com/p/BYticnWg9IU/</v>
      </c>
      <c r="F5115" t="s">
        <v>27020</v>
      </c>
      <c r="G5115" t="s">
        <v>2478</v>
      </c>
      <c r="H5115">
        <v>36587</v>
      </c>
      <c r="I5115" t="s">
        <v>2479</v>
      </c>
      <c r="J5115">
        <v>5</v>
      </c>
      <c r="K5115">
        <v>418</v>
      </c>
      <c r="L5115">
        <v>423</v>
      </c>
      <c r="Q5115">
        <v>0</v>
      </c>
      <c r="R5115">
        <v>0</v>
      </c>
      <c r="S5115">
        <v>423</v>
      </c>
      <c r="AD5115" s="249" t="str">
        <f>HYPERLINK("https://scontent.cdninstagram.com/t51.2885-15/s320x320/e35/21373315_147064152553504_3209452365346242560_n.jpg")</f>
        <v>https://scontent.cdninstagram.com/t51.2885-15/s320x320/e35/21373315_147064152553504_3209452365346242560_n.jpg</v>
      </c>
      <c r="AE5115" s="249" t="str">
        <f>HYPERLINK("https://scontent.cdninstagram.com/t51.2885-19/s150x150/17493776_1474371442636277_6993911971573661696_n.jpg")</f>
        <v>https://scontent.cdninstagram.com/t51.2885-19/s150x150/17493776_1474371442636277_6993911971573661696_n.jpg</v>
      </c>
    </row>
    <row r="5116" spans="1:31" ht="15" x14ac:dyDescent="0.25">
      <c r="A5116" t="s">
        <v>2474</v>
      </c>
      <c r="B5116" t="s">
        <v>4297</v>
      </c>
      <c r="C5116" s="221">
        <v>42984.661192129628</v>
      </c>
      <c r="D5116" t="s">
        <v>27021</v>
      </c>
      <c r="E5116" s="249" t="str">
        <f>HYPERLINK("https://www.instagram.com/p/BYtkOxVn4Tu/")</f>
        <v>https://www.instagram.com/p/BYtkOxVn4Tu/</v>
      </c>
      <c r="F5116" t="s">
        <v>27022</v>
      </c>
      <c r="G5116" t="s">
        <v>2478</v>
      </c>
      <c r="H5116">
        <v>1100</v>
      </c>
      <c r="I5116" t="s">
        <v>2479</v>
      </c>
      <c r="J5116">
        <v>6</v>
      </c>
      <c r="K5116">
        <v>307</v>
      </c>
      <c r="L5116">
        <v>313</v>
      </c>
      <c r="Q5116">
        <v>0</v>
      </c>
      <c r="R5116">
        <v>0</v>
      </c>
      <c r="S5116">
        <v>313</v>
      </c>
      <c r="Y5116" t="s">
        <v>4302</v>
      </c>
      <c r="Z5116" t="s">
        <v>27023</v>
      </c>
      <c r="AA5116" t="s">
        <v>27024</v>
      </c>
      <c r="AB5116" t="s">
        <v>27025</v>
      </c>
      <c r="AC5116" t="s">
        <v>27026</v>
      </c>
      <c r="AD5116" s="249" t="str">
        <f>HYPERLINK("https://scontent.cdninstagram.com/t51.2885-15/s320x320/e35/21372940_1925128820847515_4777633616190504960_n.jpg")</f>
        <v>https://scontent.cdninstagram.com/t51.2885-15/s320x320/e35/21372940_1925128820847515_4777633616190504960_n.jpg</v>
      </c>
      <c r="AE5116" s="249" t="str">
        <f>HYPERLINK("https://scontent.cdninstagram.com/t51.2885-19/s150x150/20760021_265138020642655_266657318064619520_a.jpg")</f>
        <v>https://scontent.cdninstagram.com/t51.2885-19/s150x150/20760021_265138020642655_266657318064619520_a.jpg</v>
      </c>
    </row>
    <row r="5117" spans="1:31" ht="15" x14ac:dyDescent="0.25">
      <c r="A5117" t="s">
        <v>2474</v>
      </c>
      <c r="B5117" t="s">
        <v>23547</v>
      </c>
      <c r="C5117" s="221">
        <v>42984.661435185182</v>
      </c>
      <c r="D5117" t="s">
        <v>27027</v>
      </c>
      <c r="E5117" s="249" t="str">
        <f>HYPERLINK("https://www.instagram.com/p/BYtkRWHFt9t/")</f>
        <v>https://www.instagram.com/p/BYtkRWHFt9t/</v>
      </c>
      <c r="F5117" t="s">
        <v>27028</v>
      </c>
      <c r="G5117" t="s">
        <v>2478</v>
      </c>
      <c r="H5117">
        <v>41</v>
      </c>
      <c r="I5117" t="s">
        <v>2479</v>
      </c>
      <c r="J5117">
        <v>0</v>
      </c>
      <c r="K5117">
        <v>10</v>
      </c>
      <c r="L5117">
        <v>10</v>
      </c>
      <c r="Q5117">
        <v>0</v>
      </c>
      <c r="R5117">
        <v>0</v>
      </c>
      <c r="S5117">
        <v>10</v>
      </c>
      <c r="Y5117" t="s">
        <v>21546</v>
      </c>
      <c r="Z5117" t="s">
        <v>27029</v>
      </c>
      <c r="AA5117" t="s">
        <v>14135</v>
      </c>
      <c r="AB5117" t="s">
        <v>6761</v>
      </c>
      <c r="AC5117" t="s">
        <v>9240</v>
      </c>
      <c r="AD5117" s="249" t="str">
        <f>HYPERLINK("https://scontent.cdninstagram.com/t51.2885-15/s320x320/e35/21373735_1578774985476855_4843814664175353856_n.jpg")</f>
        <v>https://scontent.cdninstagram.com/t51.2885-15/s320x320/e35/21373735_1578774985476855_4843814664175353856_n.jpg</v>
      </c>
      <c r="AE5117" s="249" t="str">
        <f>HYPERLINK("https://scontent.cdninstagram.com/t51.2885-19/s150x150/13098862_1675679749348943_1413249353_a.jpg")</f>
        <v>https://scontent.cdninstagram.com/t51.2885-19/s150x150/13098862_1675679749348943_1413249353_a.jpg</v>
      </c>
    </row>
    <row r="5118" spans="1:31" ht="15" x14ac:dyDescent="0.25">
      <c r="A5118" t="s">
        <v>2474</v>
      </c>
      <c r="B5118" t="s">
        <v>23542</v>
      </c>
      <c r="C5118" s="221">
        <v>42984.662534722222</v>
      </c>
      <c r="D5118" t="s">
        <v>27030</v>
      </c>
      <c r="E5118" s="249" t="str">
        <f>HYPERLINK("https://www.instagram.com/p/BYtkc-ahzZz/")</f>
        <v>https://www.instagram.com/p/BYtkc-ahzZz/</v>
      </c>
      <c r="F5118" t="s">
        <v>27028</v>
      </c>
      <c r="G5118" t="s">
        <v>2478</v>
      </c>
      <c r="H5118">
        <v>124</v>
      </c>
      <c r="I5118" t="s">
        <v>2479</v>
      </c>
      <c r="J5118">
        <v>0</v>
      </c>
      <c r="K5118">
        <v>18</v>
      </c>
      <c r="L5118">
        <v>18</v>
      </c>
      <c r="Q5118">
        <v>0</v>
      </c>
      <c r="R5118">
        <v>0</v>
      </c>
      <c r="S5118">
        <v>18</v>
      </c>
      <c r="Y5118" t="s">
        <v>21546</v>
      </c>
      <c r="Z5118" t="s">
        <v>27029</v>
      </c>
      <c r="AA5118" t="s">
        <v>14135</v>
      </c>
      <c r="AB5118" t="s">
        <v>6761</v>
      </c>
      <c r="AC5118" t="s">
        <v>9240</v>
      </c>
      <c r="AD5118" s="249" t="str">
        <f>HYPERLINK("https://scontent.cdninstagram.com/t51.2885-15/s320x320/e35/21372306_1968987233345807_2744030665266692096_n.jpg")</f>
        <v>https://scontent.cdninstagram.com/t51.2885-15/s320x320/e35/21372306_1968987233345807_2744030665266692096_n.jpg</v>
      </c>
      <c r="AE5118" s="249" t="str">
        <f>HYPERLINK("https://scontent.cdninstagram.com/t51.2885-19/10817895_227914034066155_1760181166_a.jpg")</f>
        <v>https://scontent.cdninstagram.com/t51.2885-19/10817895_227914034066155_1760181166_a.jpg</v>
      </c>
    </row>
    <row r="5119" spans="1:31" ht="15" x14ac:dyDescent="0.25">
      <c r="A5119" t="s">
        <v>2474</v>
      </c>
      <c r="B5119" t="s">
        <v>27031</v>
      </c>
      <c r="C5119" s="221">
        <v>42984.671087962961</v>
      </c>
      <c r="D5119" t="s">
        <v>27032</v>
      </c>
      <c r="E5119" s="249" t="str">
        <f>HYPERLINK("https://www.instagram.com/p/BYtl3Lhl9-t/")</f>
        <v>https://www.instagram.com/p/BYtl3Lhl9-t/</v>
      </c>
      <c r="F5119" t="s">
        <v>27033</v>
      </c>
      <c r="G5119" t="s">
        <v>2478</v>
      </c>
      <c r="H5119">
        <v>316</v>
      </c>
      <c r="I5119" t="s">
        <v>2542</v>
      </c>
      <c r="J5119">
        <v>0</v>
      </c>
      <c r="K5119">
        <v>18</v>
      </c>
      <c r="L5119">
        <v>18</v>
      </c>
      <c r="Q5119">
        <v>0</v>
      </c>
      <c r="R5119">
        <v>0</v>
      </c>
      <c r="S5119">
        <v>18</v>
      </c>
      <c r="Y5119" t="s">
        <v>4295</v>
      </c>
      <c r="Z5119" t="s">
        <v>13924</v>
      </c>
      <c r="AA5119" t="s">
        <v>14480</v>
      </c>
      <c r="AB5119" t="s">
        <v>27034</v>
      </c>
      <c r="AC5119" t="s">
        <v>5989</v>
      </c>
      <c r="AD5119" s="249" t="str">
        <f>HYPERLINK("https://scontent.cdninstagram.com/t51.2885-15/s320x320/e35/21434257_215603425640560_2694660669034201088_n.jpg")</f>
        <v>https://scontent.cdninstagram.com/t51.2885-15/s320x320/e35/21434257_215603425640560_2694660669034201088_n.jpg</v>
      </c>
      <c r="AE5119" s="249" t="str">
        <f>HYPERLINK("https://scontent.cdninstagram.com/t51.2885-19/s150x150/21568805_123373408401650_1426650696777728000_a.jpg")</f>
        <v>https://scontent.cdninstagram.com/t51.2885-19/s150x150/21568805_123373408401650_1426650696777728000_a.jpg</v>
      </c>
    </row>
    <row r="5120" spans="1:31" ht="15" x14ac:dyDescent="0.25">
      <c r="A5120" t="s">
        <v>2474</v>
      </c>
      <c r="B5120" t="s">
        <v>27035</v>
      </c>
      <c r="C5120" s="221">
        <v>42984.676365740743</v>
      </c>
      <c r="D5120" t="s">
        <v>27036</v>
      </c>
      <c r="E5120" s="249" t="str">
        <f>HYPERLINK("https://www.instagram.com/p/BYtmuv_FVeY/")</f>
        <v>https://www.instagram.com/p/BYtmuv_FVeY/</v>
      </c>
      <c r="F5120" t="s">
        <v>27037</v>
      </c>
      <c r="G5120" t="s">
        <v>2478</v>
      </c>
      <c r="H5120">
        <v>147</v>
      </c>
      <c r="I5120" t="s">
        <v>2479</v>
      </c>
      <c r="J5120">
        <v>0</v>
      </c>
      <c r="K5120">
        <v>8</v>
      </c>
      <c r="L5120">
        <v>8</v>
      </c>
      <c r="Q5120">
        <v>0</v>
      </c>
      <c r="R5120">
        <v>0</v>
      </c>
      <c r="S5120">
        <v>8</v>
      </c>
      <c r="Y5120" t="s">
        <v>2497</v>
      </c>
      <c r="Z5120" t="s">
        <v>4826</v>
      </c>
      <c r="AA5120" t="s">
        <v>2562</v>
      </c>
      <c r="AB5120" t="s">
        <v>2635</v>
      </c>
      <c r="AC5120" t="s">
        <v>27038</v>
      </c>
      <c r="AD5120" s="249" t="str">
        <f>HYPERLINK("https://scontent.cdninstagram.com/t51.2885-15/s320x320/e35/21372569_132464604040191_5620869287058079744_n.jpg")</f>
        <v>https://scontent.cdninstagram.com/t51.2885-15/s320x320/e35/21372569_132464604040191_5620869287058079744_n.jpg</v>
      </c>
      <c r="AE5120" s="249" t="str">
        <f>HYPERLINK("https://scontent.cdninstagram.com/t51.2885-19/s150x150/16906540_1835093010062914_9134715137247150080_a.jpg")</f>
        <v>https://scontent.cdninstagram.com/t51.2885-19/s150x150/16906540_1835093010062914_9134715137247150080_a.jpg</v>
      </c>
    </row>
    <row r="5121" spans="1:31" ht="15" x14ac:dyDescent="0.25">
      <c r="A5121" t="s">
        <v>2474</v>
      </c>
      <c r="B5121" t="s">
        <v>27039</v>
      </c>
      <c r="C5121" s="221">
        <v>42984.677928240744</v>
      </c>
      <c r="D5121" t="s">
        <v>27040</v>
      </c>
      <c r="E5121" s="249" t="str">
        <f>HYPERLINK("https://www.instagram.com/p/BYtm_OVBPMz/")</f>
        <v>https://www.instagram.com/p/BYtm_OVBPMz/</v>
      </c>
      <c r="F5121" t="s">
        <v>27041</v>
      </c>
      <c r="G5121" t="s">
        <v>2478</v>
      </c>
      <c r="H5121">
        <v>42</v>
      </c>
      <c r="I5121" t="s">
        <v>2542</v>
      </c>
      <c r="J5121">
        <v>0</v>
      </c>
      <c r="K5121">
        <v>16</v>
      </c>
      <c r="L5121">
        <v>16</v>
      </c>
      <c r="Q5121">
        <v>0</v>
      </c>
      <c r="R5121">
        <v>0</v>
      </c>
      <c r="S5121">
        <v>16</v>
      </c>
      <c r="Y5121" t="s">
        <v>27042</v>
      </c>
      <c r="Z5121" t="s">
        <v>27043</v>
      </c>
      <c r="AA5121" t="s">
        <v>27044</v>
      </c>
      <c r="AB5121" t="s">
        <v>27045</v>
      </c>
      <c r="AC5121" t="s">
        <v>3937</v>
      </c>
      <c r="AD5121" s="249" t="str">
        <f>HYPERLINK("https://scontent.cdninstagram.com/t51.2885-15/e35/p320x320/21435665_239050609953307_2802449096734932992_n.jpg")</f>
        <v>https://scontent.cdninstagram.com/t51.2885-15/e35/p320x320/21435665_239050609953307_2802449096734932992_n.jpg</v>
      </c>
      <c r="AE5121" s="249" t="str">
        <f>HYPERLINK("https://scontent.cdninstagram.com/t51.2885-19/s150x150/20837038_1616461055091075_6134128062297538560_a.jpg")</f>
        <v>https://scontent.cdninstagram.com/t51.2885-19/s150x150/20837038_1616461055091075_6134128062297538560_a.jpg</v>
      </c>
    </row>
    <row r="5122" spans="1:31" ht="15" x14ac:dyDescent="0.25">
      <c r="A5122" t="s">
        <v>2474</v>
      </c>
      <c r="B5122" t="s">
        <v>27046</v>
      </c>
      <c r="C5122" s="221">
        <v>42984.678425925929</v>
      </c>
      <c r="D5122" t="s">
        <v>27047</v>
      </c>
      <c r="E5122" s="249" t="str">
        <f>HYPERLINK("https://www.instagram.com/p/BYtnEhJjMFm/")</f>
        <v>https://www.instagram.com/p/BYtnEhJjMFm/</v>
      </c>
      <c r="F5122" t="s">
        <v>27048</v>
      </c>
      <c r="G5122" t="s">
        <v>2478</v>
      </c>
      <c r="H5122">
        <v>82</v>
      </c>
      <c r="I5122" t="s">
        <v>3025</v>
      </c>
      <c r="J5122">
        <v>0</v>
      </c>
      <c r="K5122">
        <v>0</v>
      </c>
      <c r="L5122">
        <v>0</v>
      </c>
      <c r="Q5122">
        <v>0</v>
      </c>
      <c r="R5122">
        <v>0</v>
      </c>
      <c r="S5122">
        <v>0</v>
      </c>
      <c r="Y5122" t="s">
        <v>27049</v>
      </c>
      <c r="Z5122" t="s">
        <v>2734</v>
      </c>
      <c r="AA5122" t="s">
        <v>3196</v>
      </c>
      <c r="AB5122" t="s">
        <v>2497</v>
      </c>
      <c r="AC5122" t="s">
        <v>27050</v>
      </c>
      <c r="AD5122" s="249" t="str">
        <f>HYPERLINK("https://scontent.cdninstagram.com/t51.2885-15/s320x320/e35/21433790_1661180333906150_4127686033582063616_n.jpg")</f>
        <v>https://scontent.cdninstagram.com/t51.2885-15/s320x320/e35/21433790_1661180333906150_4127686033582063616_n.jpg</v>
      </c>
      <c r="AE5122" s="249" t="str">
        <f>HYPERLINK("https://scontent.cdninstagram.com/t51.2885-19/s150x150/20905842_112382306099959_6951327860460093440_a.jpg")</f>
        <v>https://scontent.cdninstagram.com/t51.2885-19/s150x150/20905842_112382306099959_6951327860460093440_a.jpg</v>
      </c>
    </row>
    <row r="5123" spans="1:31" ht="15" x14ac:dyDescent="0.25">
      <c r="A5123" t="s">
        <v>2474</v>
      </c>
      <c r="B5123" t="s">
        <v>20536</v>
      </c>
      <c r="C5123" s="221">
        <v>42984.678506944445</v>
      </c>
      <c r="D5123" t="s">
        <v>27051</v>
      </c>
      <c r="E5123" s="249" t="str">
        <f>HYPERLINK("https://www.instagram.com/p/BYtnFa4lVGu/")</f>
        <v>https://www.instagram.com/p/BYtnFa4lVGu/</v>
      </c>
      <c r="F5123" t="s">
        <v>27052</v>
      </c>
      <c r="G5123" t="s">
        <v>2478</v>
      </c>
      <c r="H5123">
        <v>382</v>
      </c>
      <c r="I5123" t="s">
        <v>2479</v>
      </c>
      <c r="J5123">
        <v>1</v>
      </c>
      <c r="K5123">
        <v>26</v>
      </c>
      <c r="L5123">
        <v>27</v>
      </c>
      <c r="Q5123">
        <v>0</v>
      </c>
      <c r="R5123">
        <v>0</v>
      </c>
      <c r="S5123">
        <v>27</v>
      </c>
      <c r="Y5123" t="s">
        <v>4622</v>
      </c>
      <c r="Z5123" t="s">
        <v>2497</v>
      </c>
      <c r="AA5123" t="s">
        <v>3061</v>
      </c>
      <c r="AB5123" t="s">
        <v>20539</v>
      </c>
      <c r="AC5123" t="s">
        <v>27053</v>
      </c>
      <c r="AD5123" s="249" t="str">
        <f>HYPERLINK("https://scontent.cdninstagram.com/t51.2885-15/s320x320/e35/21433804_135007560449231_276462925969883136_n.jpg")</f>
        <v>https://scontent.cdninstagram.com/t51.2885-15/s320x320/e35/21433804_135007560449231_276462925969883136_n.jpg</v>
      </c>
      <c r="AE5123" s="249" t="str">
        <f>HYPERLINK("https://scontent.cdninstagram.com/t51.2885-19/s150x150/18646537_115676032282901_547466330031259648_a.jpg")</f>
        <v>https://scontent.cdninstagram.com/t51.2885-19/s150x150/18646537_115676032282901_547466330031259648_a.jpg</v>
      </c>
    </row>
    <row r="5124" spans="1:31" ht="15" x14ac:dyDescent="0.25">
      <c r="A5124" t="s">
        <v>2474</v>
      </c>
      <c r="B5124" t="s">
        <v>27054</v>
      </c>
      <c r="C5124" s="221">
        <v>42984.68341435185</v>
      </c>
      <c r="D5124" t="s">
        <v>27055</v>
      </c>
      <c r="E5124" s="249" t="str">
        <f>HYPERLINK("https://www.instagram.com/p/BYtn5GWALNE/")</f>
        <v>https://www.instagram.com/p/BYtn5GWALNE/</v>
      </c>
      <c r="F5124" t="s">
        <v>27056</v>
      </c>
      <c r="G5124" t="s">
        <v>2478</v>
      </c>
      <c r="H5124">
        <v>238</v>
      </c>
      <c r="I5124" t="s">
        <v>2479</v>
      </c>
      <c r="J5124">
        <v>186</v>
      </c>
      <c r="K5124">
        <v>170</v>
      </c>
      <c r="L5124">
        <v>356</v>
      </c>
      <c r="Q5124">
        <v>0</v>
      </c>
      <c r="R5124">
        <v>0</v>
      </c>
      <c r="S5124">
        <v>356</v>
      </c>
      <c r="Y5124" t="s">
        <v>27057</v>
      </c>
      <c r="Z5124" t="s">
        <v>27058</v>
      </c>
      <c r="AA5124" t="s">
        <v>2696</v>
      </c>
      <c r="AB5124" t="s">
        <v>27059</v>
      </c>
      <c r="AC5124" t="s">
        <v>27060</v>
      </c>
      <c r="AD5124" s="249" t="str">
        <f>HYPERLINK("https://scontent.cdninstagram.com/t51.2885-15/e35/p320x320/21373725_357563904699946_8254431757089112064_n.jpg")</f>
        <v>https://scontent.cdninstagram.com/t51.2885-15/e35/p320x320/21373725_357563904699946_8254431757089112064_n.jpg</v>
      </c>
      <c r="AE5124" s="249" t="str">
        <f>HYPERLINK("https://scontent.cdninstagram.com/t51.2885-19/s150x150/14134801_1047482798692592_688276141_a.jpg")</f>
        <v>https://scontent.cdninstagram.com/t51.2885-19/s150x150/14134801_1047482798692592_688276141_a.jpg</v>
      </c>
    </row>
    <row r="5125" spans="1:31" ht="15" x14ac:dyDescent="0.25">
      <c r="A5125" t="s">
        <v>2474</v>
      </c>
      <c r="B5125" t="s">
        <v>20151</v>
      </c>
      <c r="C5125" s="221">
        <v>42984.683900462966</v>
      </c>
      <c r="D5125" t="s">
        <v>27061</v>
      </c>
      <c r="E5125" s="249" t="str">
        <f>HYPERLINK("https://www.instagram.com/p/BYtn-S6Fl2f/")</f>
        <v>https://www.instagram.com/p/BYtn-S6Fl2f/</v>
      </c>
      <c r="F5125" t="s">
        <v>27062</v>
      </c>
      <c r="G5125" t="s">
        <v>2478</v>
      </c>
      <c r="H5125">
        <v>57</v>
      </c>
      <c r="I5125" t="s">
        <v>2542</v>
      </c>
      <c r="J5125">
        <v>1</v>
      </c>
      <c r="K5125">
        <v>19</v>
      </c>
      <c r="L5125">
        <v>20</v>
      </c>
      <c r="Q5125">
        <v>0</v>
      </c>
      <c r="R5125">
        <v>0</v>
      </c>
      <c r="S5125">
        <v>20</v>
      </c>
      <c r="Y5125" t="s">
        <v>6550</v>
      </c>
      <c r="Z5125" t="s">
        <v>4620</v>
      </c>
      <c r="AA5125" t="s">
        <v>3174</v>
      </c>
      <c r="AB5125" t="s">
        <v>4253</v>
      </c>
      <c r="AC5125" t="s">
        <v>2696</v>
      </c>
      <c r="AD5125" s="249" t="str">
        <f>HYPERLINK("https://scontent.cdninstagram.com/t51.2885-15/e35/p320x320/21433547_120084608652547_2658102113569079296_n.jpg")</f>
        <v>https://scontent.cdninstagram.com/t51.2885-15/e35/p320x320/21433547_120084608652547_2658102113569079296_n.jpg</v>
      </c>
      <c r="AE5125" s="249" t="str">
        <f>HYPERLINK("https://scontent.cdninstagram.com/t51.2885-19/s150x150/21294696_294874230994630_4097685682724536320_a.jpg")</f>
        <v>https://scontent.cdninstagram.com/t51.2885-19/s150x150/21294696_294874230994630_4097685682724536320_a.jpg</v>
      </c>
    </row>
    <row r="5126" spans="1:31" ht="15" x14ac:dyDescent="0.25">
      <c r="A5126" t="s">
        <v>2474</v>
      </c>
      <c r="B5126" t="s">
        <v>27063</v>
      </c>
      <c r="C5126" s="221">
        <v>42984.68650462963</v>
      </c>
      <c r="D5126" t="s">
        <v>27064</v>
      </c>
      <c r="E5126" s="249" t="str">
        <f>HYPERLINK("https://www.instagram.com/p/BYtoZxQn-8j/")</f>
        <v>https://www.instagram.com/p/BYtoZxQn-8j/</v>
      </c>
      <c r="F5126" t="s">
        <v>27065</v>
      </c>
      <c r="G5126" t="s">
        <v>2478</v>
      </c>
      <c r="H5126">
        <v>788</v>
      </c>
      <c r="I5126" t="s">
        <v>2479</v>
      </c>
      <c r="J5126">
        <v>2</v>
      </c>
      <c r="K5126">
        <v>71</v>
      </c>
      <c r="L5126">
        <v>73</v>
      </c>
      <c r="Q5126">
        <v>0</v>
      </c>
      <c r="R5126">
        <v>0</v>
      </c>
      <c r="S5126">
        <v>73</v>
      </c>
      <c r="Y5126" t="s">
        <v>22207</v>
      </c>
      <c r="Z5126" t="s">
        <v>27066</v>
      </c>
      <c r="AA5126" t="s">
        <v>27067</v>
      </c>
      <c r="AB5126" t="s">
        <v>27068</v>
      </c>
      <c r="AC5126" t="s">
        <v>12771</v>
      </c>
      <c r="AD5126" s="249" t="str">
        <f>HYPERLINK("https://scontent.cdninstagram.com/t51.2885-15/s320x320/e35/21373588_116089362426979_1366936632590073856_n.jpg")</f>
        <v>https://scontent.cdninstagram.com/t51.2885-15/s320x320/e35/21373588_116089362426979_1366936632590073856_n.jpg</v>
      </c>
      <c r="AE5126" s="249" t="str">
        <f>HYPERLINK("https://scontent.cdninstagram.com/t51.2885-19/11899472_884832558268988_457597354_a.jpg")</f>
        <v>https://scontent.cdninstagram.com/t51.2885-19/11899472_884832558268988_457597354_a.jpg</v>
      </c>
    </row>
    <row r="5127" spans="1:31" ht="15" x14ac:dyDescent="0.25">
      <c r="A5127" t="s">
        <v>2474</v>
      </c>
      <c r="B5127" t="s">
        <v>27069</v>
      </c>
      <c r="C5127" s="221">
        <v>42984.693657407406</v>
      </c>
      <c r="D5127" t="s">
        <v>27070</v>
      </c>
      <c r="E5127" s="249" t="str">
        <f>HYPERLINK("https://www.instagram.com/p/BYtplKVHbBs/")</f>
        <v>https://www.instagram.com/p/BYtplKVHbBs/</v>
      </c>
      <c r="F5127" t="s">
        <v>27071</v>
      </c>
      <c r="G5127" t="s">
        <v>2478</v>
      </c>
      <c r="H5127">
        <v>267</v>
      </c>
      <c r="I5127" t="s">
        <v>2479</v>
      </c>
      <c r="J5127">
        <v>1</v>
      </c>
      <c r="K5127">
        <v>39</v>
      </c>
      <c r="L5127">
        <v>40</v>
      </c>
      <c r="Q5127">
        <v>0</v>
      </c>
      <c r="R5127">
        <v>0</v>
      </c>
      <c r="S5127">
        <v>40</v>
      </c>
      <c r="Y5127" t="s">
        <v>4154</v>
      </c>
      <c r="Z5127" t="s">
        <v>27072</v>
      </c>
      <c r="AA5127" t="s">
        <v>2497</v>
      </c>
      <c r="AB5127" t="s">
        <v>3174</v>
      </c>
      <c r="AC5127" t="s">
        <v>3476</v>
      </c>
      <c r="AD5127" s="249" t="str">
        <f>HYPERLINK("https://scontent.cdninstagram.com/t51.2885-15/e35/p320x320/21373035_1439152466166330_3267368620648300544_n.jpg")</f>
        <v>https://scontent.cdninstagram.com/t51.2885-15/e35/p320x320/21373035_1439152466166330_3267368620648300544_n.jpg</v>
      </c>
      <c r="AE5127" s="249" t="str">
        <f>HYPERLINK("https://scontent.cdninstagram.com/t51.2885-19/s150x150/15043723_2156297867928756_3748392382136057856_a.jpg")</f>
        <v>https://scontent.cdninstagram.com/t51.2885-19/s150x150/15043723_2156297867928756_3748392382136057856_a.jpg</v>
      </c>
    </row>
    <row r="5128" spans="1:31" ht="15" x14ac:dyDescent="0.25">
      <c r="A5128" t="s">
        <v>2474</v>
      </c>
      <c r="B5128" t="s">
        <v>27073</v>
      </c>
      <c r="C5128" s="221">
        <v>42984.695462962962</v>
      </c>
      <c r="D5128" t="s">
        <v>27074</v>
      </c>
      <c r="E5128" s="249" t="str">
        <f>HYPERLINK("https://www.instagram.com/p/BYtp4Keg5ya/")</f>
        <v>https://www.instagram.com/p/BYtp4Keg5ya/</v>
      </c>
      <c r="F5128" t="s">
        <v>27075</v>
      </c>
      <c r="G5128" t="s">
        <v>2478</v>
      </c>
      <c r="H5128">
        <v>249</v>
      </c>
      <c r="I5128" t="s">
        <v>2479</v>
      </c>
      <c r="J5128">
        <v>8</v>
      </c>
      <c r="K5128">
        <v>61</v>
      </c>
      <c r="L5128">
        <v>69</v>
      </c>
      <c r="Q5128">
        <v>0</v>
      </c>
      <c r="R5128">
        <v>0</v>
      </c>
      <c r="S5128">
        <v>69</v>
      </c>
      <c r="Y5128" t="s">
        <v>27076</v>
      </c>
      <c r="Z5128" t="s">
        <v>7552</v>
      </c>
      <c r="AA5128" t="s">
        <v>26936</v>
      </c>
      <c r="AB5128" t="s">
        <v>27077</v>
      </c>
      <c r="AC5128" t="s">
        <v>27078</v>
      </c>
      <c r="AD5128" s="249" t="str">
        <f>HYPERLINK("https://scontent.cdninstagram.com/t51.2885-15/e35/p320x320/21480073_713260198867100_4539144729467551744_n.jpg")</f>
        <v>https://scontent.cdninstagram.com/t51.2885-15/e35/p320x320/21480073_713260198867100_4539144729467551744_n.jpg</v>
      </c>
      <c r="AE5128" s="249" t="str">
        <f>HYPERLINK("https://scontent.cdninstagram.com/t51.2885-19/s150x150/18096578_1164185843704601_7036114951584350208_a.jpg")</f>
        <v>https://scontent.cdninstagram.com/t51.2885-19/s150x150/18096578_1164185843704601_7036114951584350208_a.jpg</v>
      </c>
    </row>
    <row r="5129" spans="1:31" ht="15" x14ac:dyDescent="0.25">
      <c r="A5129" t="s">
        <v>2474</v>
      </c>
      <c r="B5129" t="s">
        <v>27079</v>
      </c>
      <c r="C5129" s="221">
        <v>42984.696782407409</v>
      </c>
      <c r="D5129" t="s">
        <v>27080</v>
      </c>
      <c r="E5129" s="249" t="str">
        <f>HYPERLINK("https://www.instagram.com/p/BYtqGJNhQRG/")</f>
        <v>https://www.instagram.com/p/BYtqGJNhQRG/</v>
      </c>
      <c r="F5129" t="s">
        <v>27081</v>
      </c>
      <c r="G5129" t="s">
        <v>2478</v>
      </c>
      <c r="H5129">
        <v>1019</v>
      </c>
      <c r="I5129" t="s">
        <v>2479</v>
      </c>
      <c r="J5129">
        <v>4</v>
      </c>
      <c r="K5129">
        <v>83</v>
      </c>
      <c r="L5129">
        <v>87</v>
      </c>
      <c r="Q5129">
        <v>0</v>
      </c>
      <c r="R5129">
        <v>0</v>
      </c>
      <c r="S5129">
        <v>87</v>
      </c>
      <c r="Y5129" t="s">
        <v>27057</v>
      </c>
      <c r="Z5129" t="s">
        <v>2705</v>
      </c>
      <c r="AA5129" t="s">
        <v>5147</v>
      </c>
      <c r="AB5129" t="s">
        <v>2513</v>
      </c>
      <c r="AC5129" t="s">
        <v>26936</v>
      </c>
      <c r="AD5129" s="249" t="str">
        <f>HYPERLINK("https://scontent.cdninstagram.com/t51.2885-15/s320x320/e35/21479949_1964188890461237_6241303568100360192_n.jpg")</f>
        <v>https://scontent.cdninstagram.com/t51.2885-15/s320x320/e35/21479949_1964188890461237_6241303568100360192_n.jpg</v>
      </c>
      <c r="AE5129" s="249" t="str">
        <f>HYPERLINK("https://scontent.cdninstagram.com/t51.2885-19/s150x150/12940132_558297857673566_1671738705_a.jpg")</f>
        <v>https://scontent.cdninstagram.com/t51.2885-19/s150x150/12940132_558297857673566_1671738705_a.jpg</v>
      </c>
    </row>
    <row r="5130" spans="1:31" ht="15" x14ac:dyDescent="0.25">
      <c r="A5130" t="s">
        <v>2474</v>
      </c>
      <c r="B5130" t="s">
        <v>27082</v>
      </c>
      <c r="C5130" s="221">
        <v>42984.697071759256</v>
      </c>
      <c r="D5130" t="s">
        <v>27083</v>
      </c>
      <c r="E5130" s="249" t="str">
        <f>HYPERLINK("https://www.instagram.com/p/BYtqJJhhIjc/")</f>
        <v>https://www.instagram.com/p/BYtqJJhhIjc/</v>
      </c>
      <c r="F5130" t="s">
        <v>27084</v>
      </c>
      <c r="G5130" t="s">
        <v>2631</v>
      </c>
      <c r="H5130">
        <v>340</v>
      </c>
      <c r="I5130" t="s">
        <v>2479</v>
      </c>
      <c r="J5130">
        <v>3</v>
      </c>
      <c r="K5130">
        <v>29</v>
      </c>
      <c r="L5130">
        <v>32</v>
      </c>
      <c r="Q5130">
        <v>0</v>
      </c>
      <c r="R5130">
        <v>0</v>
      </c>
      <c r="S5130">
        <v>32</v>
      </c>
      <c r="Y5130" t="s">
        <v>19707</v>
      </c>
      <c r="Z5130" t="s">
        <v>27085</v>
      </c>
      <c r="AA5130" t="s">
        <v>4513</v>
      </c>
      <c r="AB5130" t="s">
        <v>2513</v>
      </c>
      <c r="AC5130" t="s">
        <v>5423</v>
      </c>
      <c r="AD5130" s="249" t="str">
        <f>HYPERLINK("https://scontent.cdninstagram.com/t51.2885-15/s320x320/e15/21480361_124265888225378_2312904764377006080_n.jpg")</f>
        <v>https://scontent.cdninstagram.com/t51.2885-15/s320x320/e15/21480361_124265888225378_2312904764377006080_n.jpg</v>
      </c>
      <c r="AE5130" s="249" t="str">
        <f>HYPERLINK("https://scontent.cdninstagram.com/t51.2885-19/s150x150/17265662_709754635870483_6160389004173770752_a.jpg")</f>
        <v>https://scontent.cdninstagram.com/t51.2885-19/s150x150/17265662_709754635870483_6160389004173770752_a.jpg</v>
      </c>
    </row>
    <row r="5131" spans="1:31" ht="15" x14ac:dyDescent="0.25">
      <c r="A5131" t="s">
        <v>2474</v>
      </c>
      <c r="B5131" t="s">
        <v>27086</v>
      </c>
      <c r="C5131" s="221">
        <v>42984.70652777778</v>
      </c>
      <c r="D5131" t="s">
        <v>27087</v>
      </c>
      <c r="E5131" s="249" t="str">
        <f>HYPERLINK("https://www.instagram.com/p/BYtrs55FQUU/")</f>
        <v>https://www.instagram.com/p/BYtrs55FQUU/</v>
      </c>
      <c r="F5131" t="s">
        <v>27088</v>
      </c>
      <c r="G5131" t="s">
        <v>2478</v>
      </c>
      <c r="H5131">
        <v>872</v>
      </c>
      <c r="I5131" t="s">
        <v>2479</v>
      </c>
      <c r="J5131">
        <v>4</v>
      </c>
      <c r="K5131">
        <v>265</v>
      </c>
      <c r="L5131">
        <v>269</v>
      </c>
      <c r="Q5131">
        <v>0</v>
      </c>
      <c r="R5131">
        <v>0</v>
      </c>
      <c r="S5131">
        <v>269</v>
      </c>
      <c r="Y5131" t="s">
        <v>2497</v>
      </c>
      <c r="Z5131" t="s">
        <v>27089</v>
      </c>
      <c r="AD5131" s="249" t="str">
        <f>HYPERLINK("https://scontent.cdninstagram.com/t51.2885-15/s320x320/e35/21435597_1925823514356897_2241983683110109184_n.jpg")</f>
        <v>https://scontent.cdninstagram.com/t51.2885-15/s320x320/e35/21435597_1925823514356897_2241983683110109184_n.jpg</v>
      </c>
      <c r="AE5131" s="249" t="str">
        <f>HYPERLINK("https://scontent.cdninstagram.com/t51.2885-19/s150x150/20398387_902036883283861_7059409973729558528_a.jpg")</f>
        <v>https://scontent.cdninstagram.com/t51.2885-19/s150x150/20398387_902036883283861_7059409973729558528_a.jpg</v>
      </c>
    </row>
    <row r="5132" spans="1:31" ht="15" x14ac:dyDescent="0.25">
      <c r="A5132" t="s">
        <v>2474</v>
      </c>
      <c r="B5132" t="s">
        <v>10377</v>
      </c>
      <c r="C5132" s="221">
        <v>42984.706597222219</v>
      </c>
      <c r="D5132" t="s">
        <v>27090</v>
      </c>
      <c r="E5132" s="249" t="str">
        <f>HYPERLINK("https://www.instagram.com/p/BYtrtsgA4ZK/")</f>
        <v>https://www.instagram.com/p/BYtrtsgA4ZK/</v>
      </c>
      <c r="F5132" t="s">
        <v>27091</v>
      </c>
      <c r="G5132" t="s">
        <v>2478</v>
      </c>
      <c r="H5132">
        <v>196</v>
      </c>
      <c r="I5132" t="s">
        <v>2599</v>
      </c>
      <c r="J5132">
        <v>0</v>
      </c>
      <c r="K5132">
        <v>31</v>
      </c>
      <c r="L5132">
        <v>31</v>
      </c>
      <c r="Q5132">
        <v>0</v>
      </c>
      <c r="R5132">
        <v>0</v>
      </c>
      <c r="S5132">
        <v>31</v>
      </c>
      <c r="Y5132" t="s">
        <v>4620</v>
      </c>
      <c r="Z5132" t="s">
        <v>5394</v>
      </c>
      <c r="AA5132" t="s">
        <v>27092</v>
      </c>
      <c r="AB5132" t="s">
        <v>5884</v>
      </c>
      <c r="AC5132" t="s">
        <v>3543</v>
      </c>
      <c r="AD5132" s="249" t="str">
        <f>HYPERLINK("https://scontent.cdninstagram.com/t51.2885-15/e35/p320x320/21372320_339784503141904_3267052197522702336_n.jpg")</f>
        <v>https://scontent.cdninstagram.com/t51.2885-15/e35/p320x320/21372320_339784503141904_3267052197522702336_n.jpg</v>
      </c>
      <c r="AE5132" s="249" t="str">
        <f>HYPERLINK("https://scontent.cdninstagram.com/t51.2885-19/s150x150/20759632_1412289272225077_248404458675896320_a.jpg")</f>
        <v>https://scontent.cdninstagram.com/t51.2885-19/s150x150/20759632_1412289272225077_248404458675896320_a.jpg</v>
      </c>
    </row>
    <row r="5133" spans="1:31" ht="15" x14ac:dyDescent="0.25">
      <c r="A5133" t="s">
        <v>2474</v>
      </c>
      <c r="B5133" t="s">
        <v>27093</v>
      </c>
      <c r="C5133" s="221">
        <v>42984.71056712963</v>
      </c>
      <c r="D5133" t="s">
        <v>27094</v>
      </c>
      <c r="E5133" s="249" t="str">
        <f>HYPERLINK("https://www.instagram.com/p/BYtsXeOnHZc/")</f>
        <v>https://www.instagram.com/p/BYtsXeOnHZc/</v>
      </c>
      <c r="F5133" t="s">
        <v>27095</v>
      </c>
      <c r="G5133" t="s">
        <v>2631</v>
      </c>
      <c r="H5133">
        <v>3002</v>
      </c>
      <c r="I5133" t="s">
        <v>2479</v>
      </c>
      <c r="J5133">
        <v>0</v>
      </c>
      <c r="K5133">
        <v>2</v>
      </c>
      <c r="L5133">
        <v>2</v>
      </c>
      <c r="Q5133">
        <v>0</v>
      </c>
      <c r="R5133">
        <v>0</v>
      </c>
      <c r="S5133">
        <v>2</v>
      </c>
      <c r="Y5133" t="s">
        <v>27096</v>
      </c>
      <c r="Z5133" t="s">
        <v>3174</v>
      </c>
      <c r="AA5133" t="s">
        <v>27097</v>
      </c>
      <c r="AB5133" t="s">
        <v>27098</v>
      </c>
      <c r="AC5133" t="s">
        <v>21852</v>
      </c>
      <c r="AD5133" s="249" t="str">
        <f>HYPERLINK("https://scontent.cdninstagram.com/t51.2885-15/s320x320/e15/21435599_344179066031661_6260328507990081536_n.jpg")</f>
        <v>https://scontent.cdninstagram.com/t51.2885-15/s320x320/e15/21435599_344179066031661_6260328507990081536_n.jpg</v>
      </c>
      <c r="AE5133" s="249" t="str">
        <f>HYPERLINK("https://scontent.cdninstagram.com/t51.2885-19/15803638_862252123917194_5058601962853892096_a.jpg")</f>
        <v>https://scontent.cdninstagram.com/t51.2885-19/15803638_862252123917194_5058601962853892096_a.jpg</v>
      </c>
    </row>
    <row r="5134" spans="1:31" ht="15" x14ac:dyDescent="0.25">
      <c r="A5134" t="s">
        <v>2474</v>
      </c>
      <c r="B5134" t="s">
        <v>27099</v>
      </c>
      <c r="C5134" s="221">
        <v>42984.712395833332</v>
      </c>
      <c r="D5134" t="s">
        <v>27100</v>
      </c>
      <c r="E5134" s="249" t="str">
        <f>HYPERLINK("https://www.instagram.com/p/BYtsqyfjO8M/")</f>
        <v>https://www.instagram.com/p/BYtsqyfjO8M/</v>
      </c>
      <c r="F5134" t="s">
        <v>27101</v>
      </c>
      <c r="G5134" t="s">
        <v>2478</v>
      </c>
      <c r="H5134">
        <v>11</v>
      </c>
      <c r="I5134" t="s">
        <v>2903</v>
      </c>
      <c r="J5134">
        <v>1</v>
      </c>
      <c r="K5134">
        <v>19</v>
      </c>
      <c r="L5134">
        <v>20</v>
      </c>
      <c r="Q5134">
        <v>0</v>
      </c>
      <c r="R5134">
        <v>0</v>
      </c>
      <c r="S5134">
        <v>20</v>
      </c>
      <c r="T5134" t="s">
        <v>27102</v>
      </c>
      <c r="V5134" t="s">
        <v>2288</v>
      </c>
      <c r="W5134">
        <v>51.503893599999998</v>
      </c>
      <c r="X5134">
        <v>-0.14912010000000001</v>
      </c>
      <c r="Y5134" t="s">
        <v>27103</v>
      </c>
      <c r="Z5134" t="s">
        <v>27104</v>
      </c>
      <c r="AA5134" t="s">
        <v>27105</v>
      </c>
      <c r="AB5134" t="s">
        <v>27106</v>
      </c>
      <c r="AC5134" t="s">
        <v>27107</v>
      </c>
      <c r="AD5134" s="249" t="str">
        <f>HYPERLINK("https://scontent.cdninstagram.com/t51.2885-15/s320x320/e35/21435481_1815532275128044_5685749617082236928_n.jpg")</f>
        <v>https://scontent.cdninstagram.com/t51.2885-15/s320x320/e35/21435481_1815532275128044_5685749617082236928_n.jpg</v>
      </c>
      <c r="AE5134" s="249" t="str">
        <f>HYPERLINK("https://scontent-atl3-1.cdninstagram.com/t51.2885-19/11906329_960233084022564_1448528159_a.jpg")</f>
        <v>https://scontent-atl3-1.cdninstagram.com/t51.2885-19/11906329_960233084022564_1448528159_a.jpg</v>
      </c>
    </row>
    <row r="5135" spans="1:31" ht="15" x14ac:dyDescent="0.25">
      <c r="A5135" t="s">
        <v>2474</v>
      </c>
      <c r="B5135" t="s">
        <v>27108</v>
      </c>
      <c r="C5135" s="221">
        <v>42984.718923611108</v>
      </c>
      <c r="D5135" t="s">
        <v>27109</v>
      </c>
      <c r="E5135" s="249" t="str">
        <f>HYPERLINK("https://www.instagram.com/p/BYttvtEAhbA/")</f>
        <v>https://www.instagram.com/p/BYttvtEAhbA/</v>
      </c>
      <c r="F5135" t="s">
        <v>27110</v>
      </c>
      <c r="G5135" t="s">
        <v>2478</v>
      </c>
      <c r="H5135">
        <v>496</v>
      </c>
      <c r="I5135" t="s">
        <v>2479</v>
      </c>
      <c r="J5135">
        <v>0</v>
      </c>
      <c r="K5135">
        <v>15</v>
      </c>
      <c r="L5135">
        <v>15</v>
      </c>
      <c r="Q5135">
        <v>0</v>
      </c>
      <c r="R5135">
        <v>0</v>
      </c>
      <c r="S5135">
        <v>15</v>
      </c>
      <c r="Y5135" t="s">
        <v>2697</v>
      </c>
      <c r="Z5135" t="s">
        <v>7690</v>
      </c>
      <c r="AA5135" t="s">
        <v>21286</v>
      </c>
      <c r="AB5135" t="s">
        <v>27111</v>
      </c>
      <c r="AC5135" t="s">
        <v>2497</v>
      </c>
      <c r="AD5135" s="249" t="str">
        <f>HYPERLINK("https://scontent.cdninstagram.com/t51.2885-15/s320x320/e35/21480127_128366841131069_1159439559860158464_n.jpg")</f>
        <v>https://scontent.cdninstagram.com/t51.2885-15/s320x320/e35/21480127_128366841131069_1159439559860158464_n.jpg</v>
      </c>
      <c r="AE5135" s="249" t="str">
        <f>HYPERLINK("https://scontent.cdninstagram.com/t51.2885-19/s150x150/16122660_201451256994120_6381540164484726784_n.jpg")</f>
        <v>https://scontent.cdninstagram.com/t51.2885-19/s150x150/16122660_201451256994120_6381540164484726784_n.jpg</v>
      </c>
    </row>
    <row r="5136" spans="1:31" ht="15" x14ac:dyDescent="0.25">
      <c r="A5136" t="s">
        <v>2474</v>
      </c>
      <c r="B5136" t="s">
        <v>3248</v>
      </c>
      <c r="C5136" s="221">
        <v>42984.727986111109</v>
      </c>
      <c r="D5136" t="s">
        <v>27112</v>
      </c>
      <c r="E5136" s="249" t="str">
        <f>HYPERLINK("https://www.instagram.com/p/BYtvPOaH2Wo/")</f>
        <v>https://www.instagram.com/p/BYtvPOaH2Wo/</v>
      </c>
      <c r="F5136" t="s">
        <v>27113</v>
      </c>
      <c r="G5136" t="s">
        <v>2478</v>
      </c>
      <c r="H5136">
        <v>33564</v>
      </c>
      <c r="I5136" t="s">
        <v>2479</v>
      </c>
      <c r="J5136">
        <v>5</v>
      </c>
      <c r="K5136">
        <v>553</v>
      </c>
      <c r="L5136">
        <v>558</v>
      </c>
      <c r="Q5136">
        <v>0</v>
      </c>
      <c r="R5136">
        <v>0</v>
      </c>
      <c r="S5136">
        <v>558</v>
      </c>
      <c r="AD5136" s="249" t="str">
        <f>HYPERLINK("https://scontent.cdninstagram.com/t51.2885-15/s320x320/e35/21433854_265624503946640_1910980943133278208_n.jpg")</f>
        <v>https://scontent.cdninstagram.com/t51.2885-15/s320x320/e35/21433854_265624503946640_1910980943133278208_n.jpg</v>
      </c>
      <c r="AE5136" s="249" t="str">
        <f>HYPERLINK("https://scontent.cdninstagram.com/t51.2885-19/s150x150/16229301_1876915245885793_5124596849776263168_n.jpg")</f>
        <v>https://scontent.cdninstagram.com/t51.2885-19/s150x150/16229301_1876915245885793_5124596849776263168_n.jpg</v>
      </c>
    </row>
    <row r="5137" spans="1:31" ht="15" x14ac:dyDescent="0.25">
      <c r="A5137" t="s">
        <v>2474</v>
      </c>
      <c r="B5137" t="s">
        <v>3393</v>
      </c>
      <c r="C5137" s="221">
        <v>42984.728020833332</v>
      </c>
      <c r="D5137" t="s">
        <v>27114</v>
      </c>
      <c r="E5137" s="249" t="str">
        <f>HYPERLINK("https://www.instagram.com/p/BYtvPlFHFkL/")</f>
        <v>https://www.instagram.com/p/BYtvPlFHFkL/</v>
      </c>
      <c r="F5137" t="s">
        <v>27115</v>
      </c>
      <c r="G5137" t="s">
        <v>2478</v>
      </c>
      <c r="H5137">
        <v>19418</v>
      </c>
      <c r="I5137" t="s">
        <v>2479</v>
      </c>
      <c r="J5137">
        <v>4</v>
      </c>
      <c r="K5137">
        <v>415</v>
      </c>
      <c r="L5137">
        <v>419</v>
      </c>
      <c r="Q5137">
        <v>0</v>
      </c>
      <c r="R5137">
        <v>0</v>
      </c>
      <c r="S5137">
        <v>419</v>
      </c>
      <c r="Y5137" t="s">
        <v>27116</v>
      </c>
      <c r="Z5137" t="s">
        <v>5943</v>
      </c>
      <c r="AA5137" t="s">
        <v>27117</v>
      </c>
      <c r="AB5137" t="s">
        <v>5288</v>
      </c>
      <c r="AC5137" t="s">
        <v>27118</v>
      </c>
      <c r="AD5137" s="249" t="str">
        <f>HYPERLINK("https://scontent.cdninstagram.com/t51.2885-15/s320x320/e35/21435385_114050039275714_7555066443981651968_n.jpg")</f>
        <v>https://scontent.cdninstagram.com/t51.2885-15/s320x320/e35/21435385_114050039275714_7555066443981651968_n.jpg</v>
      </c>
      <c r="AE5137" s="249" t="str">
        <f>HYPERLINK("https://scontent.cdninstagram.com/t51.2885-19/s150x150/20969318_163506604224066_8451668608215416832_n.jpg")</f>
        <v>https://scontent.cdninstagram.com/t51.2885-19/s150x150/20969318_163506604224066_8451668608215416832_n.jpg</v>
      </c>
    </row>
    <row r="5138" spans="1:31" ht="15" x14ac:dyDescent="0.25">
      <c r="A5138" t="s">
        <v>2474</v>
      </c>
      <c r="B5138" t="s">
        <v>27119</v>
      </c>
      <c r="C5138" s="221">
        <v>42984.738113425927</v>
      </c>
      <c r="D5138" t="s">
        <v>27120</v>
      </c>
      <c r="E5138" s="249" t="str">
        <f>HYPERLINK("https://www.instagram.com/p/BYtw6BVBEPY/")</f>
        <v>https://www.instagram.com/p/BYtw6BVBEPY/</v>
      </c>
      <c r="F5138" t="s">
        <v>27121</v>
      </c>
      <c r="G5138" t="s">
        <v>2478</v>
      </c>
      <c r="H5138">
        <v>10153</v>
      </c>
      <c r="I5138" t="s">
        <v>4052</v>
      </c>
      <c r="J5138">
        <v>16</v>
      </c>
      <c r="K5138">
        <v>569</v>
      </c>
      <c r="L5138">
        <v>585</v>
      </c>
      <c r="Q5138">
        <v>0</v>
      </c>
      <c r="R5138">
        <v>0</v>
      </c>
      <c r="S5138">
        <v>585</v>
      </c>
      <c r="T5138" t="s">
        <v>27122</v>
      </c>
      <c r="U5138" t="s">
        <v>97</v>
      </c>
      <c r="V5138" t="s">
        <v>2299</v>
      </c>
      <c r="W5138">
        <v>33.987671800000001</v>
      </c>
      <c r="X5138">
        <v>-118.4739635</v>
      </c>
      <c r="Y5138" t="s">
        <v>9144</v>
      </c>
      <c r="Z5138" t="s">
        <v>2577</v>
      </c>
      <c r="AA5138" t="s">
        <v>6746</v>
      </c>
      <c r="AB5138" t="s">
        <v>21818</v>
      </c>
      <c r="AC5138" t="s">
        <v>7347</v>
      </c>
      <c r="AD5138" s="249" t="str">
        <f>HYPERLINK("https://scontent.cdninstagram.com/t51.2885-15/s320x320/e35/21433405_710895309098539_1107424684112084992_n.jpg")</f>
        <v>https://scontent.cdninstagram.com/t51.2885-15/s320x320/e35/21433405_710895309098539_1107424684112084992_n.jpg</v>
      </c>
      <c r="AE5138" s="249" t="str">
        <f>HYPERLINK("https://scontent.cdninstagram.com/t51.2885-19/s150x150/13724571_635521993283374_1043984862_a.jpg")</f>
        <v>https://scontent.cdninstagram.com/t51.2885-19/s150x150/13724571_635521993283374_1043984862_a.jpg</v>
      </c>
    </row>
    <row r="5139" spans="1:31" ht="15" x14ac:dyDescent="0.25">
      <c r="A5139" t="s">
        <v>2474</v>
      </c>
      <c r="B5139" t="s">
        <v>27123</v>
      </c>
      <c r="C5139" s="221">
        <v>42984.74695601852</v>
      </c>
      <c r="D5139" t="s">
        <v>27124</v>
      </c>
      <c r="E5139" s="249" t="str">
        <f>HYPERLINK("https://www.instagram.com/p/BYtyXS0lFO1/")</f>
        <v>https://www.instagram.com/p/BYtyXS0lFO1/</v>
      </c>
      <c r="F5139" t="s">
        <v>27125</v>
      </c>
      <c r="G5139" t="s">
        <v>2478</v>
      </c>
      <c r="H5139">
        <v>517</v>
      </c>
      <c r="I5139" t="s">
        <v>2910</v>
      </c>
      <c r="J5139">
        <v>7</v>
      </c>
      <c r="K5139">
        <v>41</v>
      </c>
      <c r="L5139">
        <v>48</v>
      </c>
      <c r="Q5139">
        <v>0</v>
      </c>
      <c r="R5139">
        <v>0</v>
      </c>
      <c r="S5139">
        <v>48</v>
      </c>
      <c r="T5139" t="s">
        <v>27126</v>
      </c>
      <c r="U5139" t="s">
        <v>132</v>
      </c>
      <c r="V5139" t="s">
        <v>2299</v>
      </c>
      <c r="W5139">
        <v>39</v>
      </c>
      <c r="X5139">
        <v>-76.7</v>
      </c>
      <c r="Y5139" t="s">
        <v>15297</v>
      </c>
      <c r="Z5139" t="s">
        <v>5129</v>
      </c>
      <c r="AA5139" t="s">
        <v>27127</v>
      </c>
      <c r="AB5139" t="s">
        <v>25398</v>
      </c>
      <c r="AC5139" t="s">
        <v>27128</v>
      </c>
      <c r="AD5139" s="249" t="str">
        <f>HYPERLINK("https://scontent.cdninstagram.com/t51.2885-15/e35/p320x320/21373214_1921788594729057_8820002306280914944_n.jpg")</f>
        <v>https://scontent.cdninstagram.com/t51.2885-15/e35/p320x320/21373214_1921788594729057_8820002306280914944_n.jpg</v>
      </c>
      <c r="AE5139" s="249" t="str">
        <f>HYPERLINK("https://scontent.cdninstagram.com/t51.2885-19/s150x150/21568530_278946955929847_2673227360592986112_n.jpg")</f>
        <v>https://scontent.cdninstagram.com/t51.2885-19/s150x150/21568530_278946955929847_2673227360592986112_n.jpg</v>
      </c>
    </row>
    <row r="5140" spans="1:31" ht="15" x14ac:dyDescent="0.25">
      <c r="A5140" t="s">
        <v>2474</v>
      </c>
      <c r="B5140" t="s">
        <v>27129</v>
      </c>
      <c r="C5140" s="221">
        <v>42984.747812499998</v>
      </c>
      <c r="D5140" t="s">
        <v>27130</v>
      </c>
      <c r="E5140" s="249" t="str">
        <f>HYPERLINK("https://www.instagram.com/p/BYtygUAg5Hr/")</f>
        <v>https://www.instagram.com/p/BYtygUAg5Hr/</v>
      </c>
      <c r="F5140" t="s">
        <v>27131</v>
      </c>
      <c r="G5140" t="s">
        <v>2478</v>
      </c>
      <c r="I5140" t="s">
        <v>2479</v>
      </c>
      <c r="J5140">
        <v>0</v>
      </c>
      <c r="K5140">
        <v>11</v>
      </c>
      <c r="L5140">
        <v>11</v>
      </c>
      <c r="Q5140">
        <v>0</v>
      </c>
      <c r="R5140">
        <v>0</v>
      </c>
      <c r="S5140">
        <v>11</v>
      </c>
      <c r="T5140" t="s">
        <v>27132</v>
      </c>
      <c r="V5140" t="s">
        <v>2103</v>
      </c>
      <c r="W5140">
        <v>46.822800000000001</v>
      </c>
      <c r="X5140">
        <v>13.792199999999999</v>
      </c>
      <c r="Y5140" t="s">
        <v>2861</v>
      </c>
      <c r="Z5140" t="s">
        <v>27133</v>
      </c>
      <c r="AA5140" t="s">
        <v>2513</v>
      </c>
      <c r="AB5140" t="s">
        <v>27134</v>
      </c>
      <c r="AC5140" t="s">
        <v>4180</v>
      </c>
      <c r="AD5140" s="249" t="str">
        <f>HYPERLINK("https://scontent.cdninstagram.com/t51.2885-15/e35/p320x320/21435377_239936009862732_8739759866081443840_n.jpg")</f>
        <v>https://scontent.cdninstagram.com/t51.2885-15/e35/p320x320/21435377_239936009862732_8739759866081443840_n.jpg</v>
      </c>
      <c r="AE5140" s="249" t="str">
        <f>HYPERLINK("https://scontent.cdninstagram.com/t51.2885-19/s150x150/21433340_165301080692261_5893795874395389952_a.jpg")</f>
        <v>https://scontent.cdninstagram.com/t51.2885-19/s150x150/21433340_165301080692261_5893795874395389952_a.jpg</v>
      </c>
    </row>
    <row r="5141" spans="1:31" ht="15" x14ac:dyDescent="0.25">
      <c r="A5141" t="s">
        <v>2474</v>
      </c>
      <c r="B5141" t="s">
        <v>27135</v>
      </c>
      <c r="C5141" s="221">
        <v>42984.764178240737</v>
      </c>
      <c r="D5141" t="s">
        <v>27136</v>
      </c>
      <c r="E5141" s="249" t="str">
        <f>HYPERLINK("https://www.instagram.com/p/BYt1M55FCoI/")</f>
        <v>https://www.instagram.com/p/BYt1M55FCoI/</v>
      </c>
      <c r="F5141" t="s">
        <v>27137</v>
      </c>
      <c r="G5141" t="s">
        <v>2478</v>
      </c>
      <c r="H5141">
        <v>1024</v>
      </c>
      <c r="I5141" t="s">
        <v>2542</v>
      </c>
      <c r="J5141">
        <v>0</v>
      </c>
      <c r="K5141">
        <v>151</v>
      </c>
      <c r="L5141">
        <v>151</v>
      </c>
      <c r="Q5141">
        <v>0</v>
      </c>
      <c r="R5141">
        <v>0</v>
      </c>
      <c r="S5141">
        <v>151</v>
      </c>
      <c r="Y5141" t="s">
        <v>27138</v>
      </c>
      <c r="Z5141" t="s">
        <v>6115</v>
      </c>
      <c r="AA5141" t="s">
        <v>4715</v>
      </c>
      <c r="AB5141" t="s">
        <v>27139</v>
      </c>
      <c r="AC5141" t="s">
        <v>16108</v>
      </c>
      <c r="AD5141" s="249" t="str">
        <f>HYPERLINK("https://scontent.cdninstagram.com/t51.2885-15/s320x320/e35/21373104_221719345026698_8113428371603456000_n.jpg")</f>
        <v>https://scontent.cdninstagram.com/t51.2885-15/s320x320/e35/21373104_221719345026698_8113428371603456000_n.jpg</v>
      </c>
      <c r="AE5141" s="249" t="str">
        <f>HYPERLINK("https://scontent.cdninstagram.com/t51.2885-19/s150x150/20687799_658880857643936_6370685549472120832_a.jpg")</f>
        <v>https://scontent.cdninstagram.com/t51.2885-19/s150x150/20687799_658880857643936_6370685549472120832_a.jpg</v>
      </c>
    </row>
    <row r="5142" spans="1:31" ht="15" x14ac:dyDescent="0.25">
      <c r="A5142" t="s">
        <v>2474</v>
      </c>
      <c r="B5142" t="s">
        <v>27140</v>
      </c>
      <c r="C5142" s="221">
        <v>42984.772592592592</v>
      </c>
      <c r="D5142" t="s">
        <v>27141</v>
      </c>
      <c r="E5142" s="249" t="str">
        <f>HYPERLINK("https://www.instagram.com/p/BYt2lrnFemB/")</f>
        <v>https://www.instagram.com/p/BYt2lrnFemB/</v>
      </c>
      <c r="F5142" t="s">
        <v>27142</v>
      </c>
      <c r="G5142" t="s">
        <v>2478</v>
      </c>
      <c r="H5142">
        <v>775</v>
      </c>
      <c r="I5142" t="s">
        <v>2479</v>
      </c>
      <c r="J5142">
        <v>3</v>
      </c>
      <c r="K5142">
        <v>22</v>
      </c>
      <c r="L5142">
        <v>25</v>
      </c>
      <c r="Q5142">
        <v>0</v>
      </c>
      <c r="R5142">
        <v>0</v>
      </c>
      <c r="S5142">
        <v>25</v>
      </c>
      <c r="Y5142" t="s">
        <v>2497</v>
      </c>
      <c r="Z5142" t="s">
        <v>27143</v>
      </c>
      <c r="AA5142" t="s">
        <v>9489</v>
      </c>
      <c r="AB5142" t="s">
        <v>27144</v>
      </c>
      <c r="AD5142" s="249" t="str">
        <f>HYPERLINK("https://scontent.cdninstagram.com/t51.2885-15/s320x320/e35/21433380_115342029150938_2919629943602151424_n.jpg")</f>
        <v>https://scontent.cdninstagram.com/t51.2885-15/s320x320/e35/21433380_115342029150938_2919629943602151424_n.jpg</v>
      </c>
      <c r="AE5142" s="249" t="str">
        <f>HYPERLINK("https://scontent.cdninstagram.com/t51.2885-19/s150x150/21577141_141377999805426_6973215700995276800_n.jpg")</f>
        <v>https://scontent.cdninstagram.com/t51.2885-19/s150x150/21577141_141377999805426_6973215700995276800_n.jpg</v>
      </c>
    </row>
    <row r="5143" spans="1:31" ht="15" x14ac:dyDescent="0.25">
      <c r="A5143" t="s">
        <v>2474</v>
      </c>
      <c r="B5143" t="s">
        <v>27145</v>
      </c>
      <c r="C5143" s="221">
        <v>42984.78392361111</v>
      </c>
      <c r="D5143" t="s">
        <v>27146</v>
      </c>
      <c r="E5143" s="249" t="str">
        <f>HYPERLINK("https://www.instagram.com/p/BYt4dLMABOO/")</f>
        <v>https://www.instagram.com/p/BYt4dLMABOO/</v>
      </c>
      <c r="F5143" t="s">
        <v>27147</v>
      </c>
      <c r="G5143" t="s">
        <v>2478</v>
      </c>
      <c r="H5143">
        <v>1741</v>
      </c>
      <c r="I5143" t="s">
        <v>13274</v>
      </c>
      <c r="J5143">
        <v>1</v>
      </c>
      <c r="K5143">
        <v>106</v>
      </c>
      <c r="L5143">
        <v>107</v>
      </c>
      <c r="Q5143">
        <v>0</v>
      </c>
      <c r="R5143">
        <v>0</v>
      </c>
      <c r="S5143">
        <v>107</v>
      </c>
      <c r="T5143" t="s">
        <v>27148</v>
      </c>
      <c r="V5143" t="s">
        <v>2182</v>
      </c>
      <c r="W5143">
        <v>44.116700000000002</v>
      </c>
      <c r="X5143">
        <v>9.8333300000000001</v>
      </c>
      <c r="Y5143" t="s">
        <v>27149</v>
      </c>
      <c r="Z5143" t="s">
        <v>27150</v>
      </c>
      <c r="AA5143" t="s">
        <v>27151</v>
      </c>
      <c r="AB5143" t="s">
        <v>27152</v>
      </c>
      <c r="AC5143" t="s">
        <v>27153</v>
      </c>
      <c r="AD5143" s="249" t="str">
        <f>HYPERLINK("https://scontent.cdninstagram.com/t51.2885-15/s320x320/e35/21372974_1930445860542377_1687780129939390464_n.jpg")</f>
        <v>https://scontent.cdninstagram.com/t51.2885-15/s320x320/e35/21372974_1930445860542377_1687780129939390464_n.jpg</v>
      </c>
      <c r="AE5143" s="249" t="str">
        <f>HYPERLINK("https://scontent.cdninstagram.com/t51.2885-19/s150x150/21576775_117250008983805_2443208377011011584_a.jpg")</f>
        <v>https://scontent.cdninstagram.com/t51.2885-19/s150x150/21576775_117250008983805_2443208377011011584_a.jpg</v>
      </c>
    </row>
    <row r="5144" spans="1:31" ht="15" x14ac:dyDescent="0.25">
      <c r="A5144" t="s">
        <v>2474</v>
      </c>
      <c r="B5144" t="s">
        <v>27154</v>
      </c>
      <c r="C5144" s="221">
        <v>42984.785439814812</v>
      </c>
      <c r="D5144" t="s">
        <v>27155</v>
      </c>
      <c r="E5144" s="249" t="str">
        <f>HYPERLINK("https://www.instagram.com/p/BYt4tLhF_rF/")</f>
        <v>https://www.instagram.com/p/BYt4tLhF_rF/</v>
      </c>
      <c r="F5144" t="s">
        <v>27156</v>
      </c>
      <c r="G5144" t="s">
        <v>2478</v>
      </c>
      <c r="H5144">
        <v>360</v>
      </c>
      <c r="I5144" t="s">
        <v>2896</v>
      </c>
      <c r="J5144">
        <v>16</v>
      </c>
      <c r="K5144">
        <v>100</v>
      </c>
      <c r="L5144">
        <v>116</v>
      </c>
      <c r="Q5144">
        <v>0</v>
      </c>
      <c r="R5144">
        <v>0</v>
      </c>
      <c r="S5144">
        <v>116</v>
      </c>
      <c r="Y5144" t="s">
        <v>27157</v>
      </c>
      <c r="Z5144" t="s">
        <v>7552</v>
      </c>
      <c r="AA5144" t="s">
        <v>27158</v>
      </c>
      <c r="AB5144" t="s">
        <v>27159</v>
      </c>
      <c r="AC5144" t="s">
        <v>2730</v>
      </c>
      <c r="AD5144" s="249" t="str">
        <f>HYPERLINK("https://scontent.cdninstagram.com/t51.2885-15/s320x320/e35/21372167_151248928794699_5662601439868878848_n.jpg")</f>
        <v>https://scontent.cdninstagram.com/t51.2885-15/s320x320/e35/21372167_151248928794699_5662601439868878848_n.jpg</v>
      </c>
      <c r="AE5144" s="249" t="str">
        <f>HYPERLINK("https://scontent.cdninstagram.com/t51.2885-19/s150x150/16583109_242644719477299_3810400568745132032_a.jpg")</f>
        <v>https://scontent.cdninstagram.com/t51.2885-19/s150x150/16583109_242644719477299_3810400568745132032_a.jpg</v>
      </c>
    </row>
    <row r="5145" spans="1:31" ht="15" x14ac:dyDescent="0.25">
      <c r="A5145" t="s">
        <v>2474</v>
      </c>
      <c r="B5145" t="s">
        <v>27160</v>
      </c>
      <c r="C5145" s="221">
        <v>42984.805104166669</v>
      </c>
      <c r="D5145" t="s">
        <v>27161</v>
      </c>
      <c r="E5145" s="249" t="str">
        <f>HYPERLINK("https://www.instagram.com/p/BYt78mZBeJP/")</f>
        <v>https://www.instagram.com/p/BYt78mZBeJP/</v>
      </c>
      <c r="F5145" t="s">
        <v>27162</v>
      </c>
      <c r="G5145" t="s">
        <v>2478</v>
      </c>
      <c r="H5145">
        <v>634</v>
      </c>
      <c r="I5145" t="s">
        <v>2599</v>
      </c>
      <c r="J5145">
        <v>6</v>
      </c>
      <c r="K5145">
        <v>118</v>
      </c>
      <c r="L5145">
        <v>124</v>
      </c>
      <c r="Q5145">
        <v>0</v>
      </c>
      <c r="R5145">
        <v>0</v>
      </c>
      <c r="S5145">
        <v>124</v>
      </c>
      <c r="Y5145" t="s">
        <v>27163</v>
      </c>
      <c r="Z5145" t="s">
        <v>7456</v>
      </c>
      <c r="AA5145" t="s">
        <v>2730</v>
      </c>
      <c r="AB5145" t="s">
        <v>18427</v>
      </c>
      <c r="AC5145" t="s">
        <v>27164</v>
      </c>
      <c r="AD5145" s="249" t="str">
        <f>HYPERLINK("https://scontent.cdninstagram.com/t51.2885-15/s320x320/e35/21373296_1629942230359050_2827310609417109504_n.jpg")</f>
        <v>https://scontent.cdninstagram.com/t51.2885-15/s320x320/e35/21373296_1629942230359050_2827310609417109504_n.jpg</v>
      </c>
      <c r="AE5145" s="249" t="str">
        <f>HYPERLINK("https://scontent.cdninstagram.com/t51.2885-19/s150x150/18514133_1689919617976629_4216553794609086464_a.jpg")</f>
        <v>https://scontent.cdninstagram.com/t51.2885-19/s150x150/18514133_1689919617976629_4216553794609086464_a.jpg</v>
      </c>
    </row>
    <row r="5146" spans="1:31" ht="15" x14ac:dyDescent="0.25">
      <c r="A5146" t="s">
        <v>2474</v>
      </c>
      <c r="B5146" t="s">
        <v>27165</v>
      </c>
      <c r="C5146" s="221">
        <v>42984.810266203705</v>
      </c>
      <c r="D5146" t="s">
        <v>27166</v>
      </c>
      <c r="E5146" s="249" t="str">
        <f>HYPERLINK("https://www.instagram.com/p/BYt8zDBgB3a/")</f>
        <v>https://www.instagram.com/p/BYt8zDBgB3a/</v>
      </c>
      <c r="F5146" t="s">
        <v>27167</v>
      </c>
      <c r="G5146" t="s">
        <v>2478</v>
      </c>
      <c r="H5146">
        <v>14</v>
      </c>
      <c r="I5146" t="s">
        <v>2479</v>
      </c>
      <c r="J5146">
        <v>0</v>
      </c>
      <c r="K5146">
        <v>20</v>
      </c>
      <c r="L5146">
        <v>20</v>
      </c>
      <c r="Q5146">
        <v>0</v>
      </c>
      <c r="R5146">
        <v>0</v>
      </c>
      <c r="S5146">
        <v>20</v>
      </c>
      <c r="Y5146" t="s">
        <v>27168</v>
      </c>
      <c r="Z5146" t="s">
        <v>27169</v>
      </c>
      <c r="AA5146" t="s">
        <v>27170</v>
      </c>
      <c r="AB5146" t="s">
        <v>27171</v>
      </c>
      <c r="AC5146" t="s">
        <v>27172</v>
      </c>
      <c r="AD5146" s="249" t="str">
        <f>HYPERLINK("https://scontent.cdninstagram.com/t51.2885-15/s320x320/e35/21435360_359160977848643_6645045049568526336_n.jpg")</f>
        <v>https://scontent.cdninstagram.com/t51.2885-15/s320x320/e35/21435360_359160977848643_6645045049568526336_n.jpg</v>
      </c>
      <c r="AE5146" s="249" t="str">
        <f>HYPERLINK("https://scontent.cdninstagram.com/t51.2885-19/s150x150/21479941_130865010887847_1808428759171203072_a.jpg")</f>
        <v>https://scontent.cdninstagram.com/t51.2885-19/s150x150/21479941_130865010887847_1808428759171203072_a.jpg</v>
      </c>
    </row>
    <row r="5147" spans="1:31" ht="15" x14ac:dyDescent="0.25">
      <c r="A5147" t="s">
        <v>2474</v>
      </c>
      <c r="B5147" t="s">
        <v>27173</v>
      </c>
      <c r="C5147" s="221">
        <v>42984.823680555557</v>
      </c>
      <c r="D5147" t="s">
        <v>27174</v>
      </c>
      <c r="E5147" s="249" t="str">
        <f>HYPERLINK("https://www.instagram.com/p/BYt_AiABi-9/")</f>
        <v>https://www.instagram.com/p/BYt_AiABi-9/</v>
      </c>
      <c r="F5147" t="s">
        <v>27175</v>
      </c>
      <c r="G5147" t="s">
        <v>2478</v>
      </c>
      <c r="H5147">
        <v>574</v>
      </c>
      <c r="I5147" t="s">
        <v>2479</v>
      </c>
      <c r="J5147">
        <v>4</v>
      </c>
      <c r="K5147">
        <v>108</v>
      </c>
      <c r="L5147">
        <v>112</v>
      </c>
      <c r="Q5147">
        <v>0</v>
      </c>
      <c r="R5147">
        <v>0</v>
      </c>
      <c r="S5147">
        <v>112</v>
      </c>
      <c r="T5147" t="s">
        <v>27176</v>
      </c>
      <c r="U5147" t="s">
        <v>122</v>
      </c>
      <c r="V5147" t="s">
        <v>2299</v>
      </c>
      <c r="W5147">
        <v>37.78492</v>
      </c>
      <c r="X5147">
        <v>-122.44633</v>
      </c>
      <c r="Y5147" t="s">
        <v>7490</v>
      </c>
      <c r="Z5147" t="s">
        <v>13614</v>
      </c>
      <c r="AA5147" t="s">
        <v>27177</v>
      </c>
      <c r="AB5147" t="s">
        <v>5629</v>
      </c>
      <c r="AC5147" t="s">
        <v>27178</v>
      </c>
      <c r="AD5147" s="249" t="str">
        <f>HYPERLINK("https://scontent.cdninstagram.com/t51.2885-15/s320x320/e35/21480328_1739825059660045_8425904362127097856_n.jpg")</f>
        <v>https://scontent.cdninstagram.com/t51.2885-15/s320x320/e35/21480328_1739825059660045_8425904362127097856_n.jpg</v>
      </c>
      <c r="AE5147" s="249" t="str">
        <f>HYPERLINK("https://scontent.cdninstagram.com/t51.2885-19/s150x150/13385838_1613199495637811_15426902_a.jpg")</f>
        <v>https://scontent.cdninstagram.com/t51.2885-19/s150x150/13385838_1613199495637811_15426902_a.jpg</v>
      </c>
    </row>
    <row r="5148" spans="1:31" ht="15" x14ac:dyDescent="0.25">
      <c r="A5148" t="s">
        <v>2474</v>
      </c>
      <c r="B5148" t="s">
        <v>5486</v>
      </c>
      <c r="C5148" s="221">
        <v>42984.827685185184</v>
      </c>
      <c r="D5148" t="s">
        <v>27179</v>
      </c>
      <c r="E5148" s="249" t="str">
        <f>HYPERLINK("https://www.instagram.com/p/BYt_quJjvvP/")</f>
        <v>https://www.instagram.com/p/BYt_quJjvvP/</v>
      </c>
      <c r="G5148" t="s">
        <v>2478</v>
      </c>
      <c r="H5148">
        <v>34235</v>
      </c>
      <c r="I5148" t="s">
        <v>2479</v>
      </c>
      <c r="J5148">
        <v>3</v>
      </c>
      <c r="K5148">
        <v>585</v>
      </c>
      <c r="L5148">
        <v>588</v>
      </c>
      <c r="Q5148">
        <v>0</v>
      </c>
      <c r="R5148">
        <v>0</v>
      </c>
      <c r="S5148">
        <v>588</v>
      </c>
      <c r="Y5148" t="s">
        <v>8607</v>
      </c>
      <c r="Z5148" t="s">
        <v>27180</v>
      </c>
      <c r="AA5148" t="s">
        <v>14313</v>
      </c>
      <c r="AB5148" t="s">
        <v>13471</v>
      </c>
      <c r="AC5148" t="s">
        <v>22668</v>
      </c>
      <c r="AD5148" s="249" t="str">
        <f>HYPERLINK("https://scontent.cdninstagram.com/t51.2885-15/s320x320/e35/21479927_121180375205501_2190945328306323456_n.jpg")</f>
        <v>https://scontent.cdninstagram.com/t51.2885-15/s320x320/e35/21479927_121180375205501_2190945328306323456_n.jpg</v>
      </c>
      <c r="AE5148" s="249" t="str">
        <f>HYPERLINK("https://scontent.cdninstagram.com/t51.2885-19/18096331_1858853611040874_8999714561263140864_n.jpg")</f>
        <v>https://scontent.cdninstagram.com/t51.2885-19/18096331_1858853611040874_8999714561263140864_n.jpg</v>
      </c>
    </row>
    <row r="5149" spans="1:31" ht="15" x14ac:dyDescent="0.25">
      <c r="A5149" t="s">
        <v>2474</v>
      </c>
      <c r="B5149" t="s">
        <v>27181</v>
      </c>
      <c r="C5149" s="221">
        <v>42984.828194444446</v>
      </c>
      <c r="D5149" t="s">
        <v>27182</v>
      </c>
      <c r="E5149" s="249" t="str">
        <f>HYPERLINK("https://www.instagram.com/p/BYt_wLPFLhu/")</f>
        <v>https://www.instagram.com/p/BYt_wLPFLhu/</v>
      </c>
      <c r="F5149" t="s">
        <v>27183</v>
      </c>
      <c r="G5149" t="s">
        <v>2478</v>
      </c>
      <c r="H5149">
        <v>416</v>
      </c>
      <c r="I5149" t="s">
        <v>2479</v>
      </c>
      <c r="J5149">
        <v>2</v>
      </c>
      <c r="K5149">
        <v>24</v>
      </c>
      <c r="L5149">
        <v>26</v>
      </c>
      <c r="Q5149">
        <v>0</v>
      </c>
      <c r="R5149">
        <v>0</v>
      </c>
      <c r="S5149">
        <v>26</v>
      </c>
      <c r="T5149" t="s">
        <v>27184</v>
      </c>
      <c r="V5149" t="s">
        <v>2125</v>
      </c>
      <c r="W5149">
        <v>44.166699999999999</v>
      </c>
      <c r="X5149">
        <v>-77.383300000000006</v>
      </c>
      <c r="Y5149" t="s">
        <v>27185</v>
      </c>
      <c r="Z5149" t="s">
        <v>5924</v>
      </c>
      <c r="AA5149" t="s">
        <v>2497</v>
      </c>
      <c r="AB5149" t="s">
        <v>27186</v>
      </c>
      <c r="AC5149" t="s">
        <v>27187</v>
      </c>
      <c r="AD5149" s="249" t="str">
        <f>HYPERLINK("https://scontent.cdninstagram.com/t51.2885-15/s320x320/e35/21373384_386401401778227_287251523040182272_n.jpg")</f>
        <v>https://scontent.cdninstagram.com/t51.2885-15/s320x320/e35/21373384_386401401778227_287251523040182272_n.jpg</v>
      </c>
      <c r="AE5149" s="249" t="str">
        <f>HYPERLINK("https://scontent.cdninstagram.com/t51.2885-19/s150x150/18812620_255327274872123_1883697687371448320_a.jpg")</f>
        <v>https://scontent.cdninstagram.com/t51.2885-19/s150x150/18812620_255327274872123_1883697687371448320_a.jpg</v>
      </c>
    </row>
    <row r="5150" spans="1:31" ht="15" x14ac:dyDescent="0.25">
      <c r="A5150" t="s">
        <v>2474</v>
      </c>
      <c r="B5150" t="s">
        <v>27188</v>
      </c>
      <c r="C5150" s="221">
        <v>42984.836215277777</v>
      </c>
      <c r="D5150" t="s">
        <v>27189</v>
      </c>
      <c r="E5150" s="249" t="str">
        <f>HYPERLINK("https://www.instagram.com/p/BYuBEqejOy4/")</f>
        <v>https://www.instagram.com/p/BYuBEqejOy4/</v>
      </c>
      <c r="F5150" t="s">
        <v>27190</v>
      </c>
      <c r="G5150" t="s">
        <v>2478</v>
      </c>
      <c r="H5150">
        <v>724</v>
      </c>
      <c r="I5150" t="s">
        <v>2479</v>
      </c>
      <c r="J5150">
        <v>0</v>
      </c>
      <c r="K5150">
        <v>19</v>
      </c>
      <c r="L5150">
        <v>19</v>
      </c>
      <c r="Q5150">
        <v>0</v>
      </c>
      <c r="R5150">
        <v>0</v>
      </c>
      <c r="S5150">
        <v>19</v>
      </c>
      <c r="Y5150" t="s">
        <v>27191</v>
      </c>
      <c r="Z5150" t="s">
        <v>27192</v>
      </c>
      <c r="AA5150" t="s">
        <v>27193</v>
      </c>
      <c r="AB5150" t="s">
        <v>2497</v>
      </c>
      <c r="AC5150" t="s">
        <v>27194</v>
      </c>
      <c r="AD5150" s="249" t="str">
        <f>HYPERLINK("https://scontent.cdninstagram.com/t51.2885-15/s320x320/e35/21479629_605419266514807_4330085547067310080_n.jpg")</f>
        <v>https://scontent.cdninstagram.com/t51.2885-15/s320x320/e35/21479629_605419266514807_4330085547067310080_n.jpg</v>
      </c>
      <c r="AE5150" s="249" t="str">
        <f>HYPERLINK("https://scontent.cdninstagram.com/t51.2885-19/s150x150/21480006_489563818073105_8177992192602669056_a.jpg")</f>
        <v>https://scontent.cdninstagram.com/t51.2885-19/s150x150/21480006_489563818073105_8177992192602669056_a.jpg</v>
      </c>
    </row>
    <row r="5151" spans="1:31" ht="15" x14ac:dyDescent="0.25">
      <c r="A5151" t="s">
        <v>2474</v>
      </c>
      <c r="B5151" t="s">
        <v>27195</v>
      </c>
      <c r="C5151" s="221">
        <v>42984.837152777778</v>
      </c>
      <c r="D5151" t="s">
        <v>27196</v>
      </c>
      <c r="E5151" s="249" t="str">
        <f>HYPERLINK("https://www.instagram.com/p/BYuBOk5jmC5/")</f>
        <v>https://www.instagram.com/p/BYuBOk5jmC5/</v>
      </c>
      <c r="F5151" t="s">
        <v>27197</v>
      </c>
      <c r="G5151" t="s">
        <v>2478</v>
      </c>
      <c r="H5151">
        <v>73</v>
      </c>
      <c r="I5151" t="s">
        <v>2479</v>
      </c>
      <c r="J5151">
        <v>0</v>
      </c>
      <c r="K5151">
        <v>9</v>
      </c>
      <c r="L5151">
        <v>9</v>
      </c>
      <c r="Q5151">
        <v>0</v>
      </c>
      <c r="R5151">
        <v>0</v>
      </c>
      <c r="S5151">
        <v>9</v>
      </c>
      <c r="Y5151" t="s">
        <v>17161</v>
      </c>
      <c r="Z5151" t="s">
        <v>2497</v>
      </c>
      <c r="AD5151" s="249" t="str">
        <f>HYPERLINK("https://scontent.cdninstagram.com/t51.2885-15/s320x320/e35/21435645_800286910148781_4573457622627254272_n.jpg")</f>
        <v>https://scontent.cdninstagram.com/t51.2885-15/s320x320/e35/21435645_800286910148781_4573457622627254272_n.jpg</v>
      </c>
      <c r="AE5151" s="249" t="str">
        <f>HYPERLINK("https://scontent.cdninstagram.com/t51.2885-19/s150x150/21373391_1556442064435403_2902106897941266432_a.jpg")</f>
        <v>https://scontent.cdninstagram.com/t51.2885-19/s150x150/21373391_1556442064435403_2902106897941266432_a.jpg</v>
      </c>
    </row>
    <row r="5152" spans="1:31" ht="15" x14ac:dyDescent="0.25">
      <c r="A5152" t="s">
        <v>2474</v>
      </c>
      <c r="B5152" t="s">
        <v>27198</v>
      </c>
      <c r="C5152" s="221">
        <v>42984.840416666666</v>
      </c>
      <c r="D5152" t="s">
        <v>27199</v>
      </c>
      <c r="E5152" s="249" t="str">
        <f>HYPERLINK("https://www.instagram.com/p/BYuBxCzjRNI/")</f>
        <v>https://www.instagram.com/p/BYuBxCzjRNI/</v>
      </c>
      <c r="F5152" t="s">
        <v>27200</v>
      </c>
      <c r="G5152" t="s">
        <v>2478</v>
      </c>
      <c r="H5152">
        <v>158</v>
      </c>
      <c r="I5152" t="s">
        <v>2479</v>
      </c>
      <c r="J5152">
        <v>3</v>
      </c>
      <c r="K5152">
        <v>13</v>
      </c>
      <c r="L5152">
        <v>16</v>
      </c>
      <c r="Q5152">
        <v>0</v>
      </c>
      <c r="R5152">
        <v>0</v>
      </c>
      <c r="S5152">
        <v>16</v>
      </c>
      <c r="Y5152" t="s">
        <v>27201</v>
      </c>
      <c r="Z5152" t="s">
        <v>27202</v>
      </c>
      <c r="AA5152" t="s">
        <v>27203</v>
      </c>
      <c r="AB5152" t="s">
        <v>27204</v>
      </c>
      <c r="AC5152" t="s">
        <v>27205</v>
      </c>
      <c r="AD5152" s="249" t="str">
        <f>HYPERLINK("https://scontent.cdninstagram.com/t51.2885-15/e35/p320x320/21433904_1990345347868308_5024660519940784128_n.jpg")</f>
        <v>https://scontent.cdninstagram.com/t51.2885-15/e35/p320x320/21433904_1990345347868308_5024660519940784128_n.jpg</v>
      </c>
      <c r="AE5152" s="249" t="str">
        <f>HYPERLINK("https://scontent.cdninstagram.com/t51.2885-19/s150x150/14592150_1807781146104915_2006853104330342400_a.jpg")</f>
        <v>https://scontent.cdninstagram.com/t51.2885-19/s150x150/14592150_1807781146104915_2006853104330342400_a.jpg</v>
      </c>
    </row>
    <row r="5153" spans="1:31" ht="15" x14ac:dyDescent="0.25">
      <c r="A5153" t="s">
        <v>2474</v>
      </c>
      <c r="B5153" t="s">
        <v>27206</v>
      </c>
      <c r="C5153" s="221">
        <v>42984.851145833331</v>
      </c>
      <c r="D5153" t="s">
        <v>27207</v>
      </c>
      <c r="E5153" s="249" t="str">
        <f>HYPERLINK("https://www.instagram.com/p/BYuDiN-FXT9/")</f>
        <v>https://www.instagram.com/p/BYuDiN-FXT9/</v>
      </c>
      <c r="F5153" t="s">
        <v>27208</v>
      </c>
      <c r="G5153" t="s">
        <v>2478</v>
      </c>
      <c r="I5153" t="s">
        <v>2479</v>
      </c>
      <c r="J5153">
        <v>14</v>
      </c>
      <c r="K5153">
        <v>208</v>
      </c>
      <c r="L5153">
        <v>222</v>
      </c>
      <c r="Q5153">
        <v>0</v>
      </c>
      <c r="R5153">
        <v>0</v>
      </c>
      <c r="S5153">
        <v>222</v>
      </c>
      <c r="Y5153" t="s">
        <v>27209</v>
      </c>
      <c r="Z5153" t="s">
        <v>2497</v>
      </c>
      <c r="AA5153" t="s">
        <v>27210</v>
      </c>
      <c r="AB5153" t="s">
        <v>27211</v>
      </c>
      <c r="AC5153" t="s">
        <v>27212</v>
      </c>
      <c r="AD5153" s="249" t="str">
        <f>HYPERLINK("https://scontent.cdninstagram.com/t51.2885-15/s320x320/e35/21372504_147789532478961_8611413723447296000_n.jpg")</f>
        <v>https://scontent.cdninstagram.com/t51.2885-15/s320x320/e35/21372504_147789532478961_8611413723447296000_n.jpg</v>
      </c>
      <c r="AE5153" s="249" t="str">
        <f>HYPERLINK("https://scontent.cdninstagram.com/t51.2885-19/s150x150/21569053_821948411298493_9071135207356104704_n.jpg")</f>
        <v>https://scontent.cdninstagram.com/t51.2885-19/s150x150/21569053_821948411298493_9071135207356104704_n.jpg</v>
      </c>
    </row>
    <row r="5154" spans="1:31" ht="15" x14ac:dyDescent="0.25">
      <c r="A5154" t="s">
        <v>2474</v>
      </c>
      <c r="B5154" t="s">
        <v>27213</v>
      </c>
      <c r="C5154" s="221">
        <v>42984.853865740741</v>
      </c>
      <c r="D5154" t="s">
        <v>27214</v>
      </c>
      <c r="E5154" s="249" t="str">
        <f>HYPERLINK("https://www.instagram.com/p/BYuD-5Jgo3J/")</f>
        <v>https://www.instagram.com/p/BYuD-5Jgo3J/</v>
      </c>
      <c r="F5154" t="s">
        <v>27215</v>
      </c>
      <c r="G5154" t="s">
        <v>2478</v>
      </c>
      <c r="H5154">
        <v>1017</v>
      </c>
      <c r="I5154" t="s">
        <v>2479</v>
      </c>
      <c r="J5154">
        <v>4</v>
      </c>
      <c r="K5154">
        <v>132</v>
      </c>
      <c r="L5154">
        <v>136</v>
      </c>
      <c r="Q5154">
        <v>0</v>
      </c>
      <c r="R5154">
        <v>0</v>
      </c>
      <c r="S5154">
        <v>136</v>
      </c>
      <c r="Y5154" t="s">
        <v>27216</v>
      </c>
      <c r="Z5154" t="s">
        <v>15116</v>
      </c>
      <c r="AA5154" t="s">
        <v>3034</v>
      </c>
      <c r="AB5154" t="s">
        <v>19462</v>
      </c>
      <c r="AC5154" t="s">
        <v>27217</v>
      </c>
      <c r="AD5154" s="249" t="str">
        <f>HYPERLINK("https://scontent.cdninstagram.com/t51.2885-15/e35/p320x320/21433678_340427309736885_1109786667016781824_n.jpg")</f>
        <v>https://scontent.cdninstagram.com/t51.2885-15/e35/p320x320/21433678_340427309736885_1109786667016781824_n.jpg</v>
      </c>
      <c r="AE5154" s="249" t="str">
        <f>HYPERLINK("https://scontent.cdninstagram.com/t51.2885-19/s150x150/18161955_1838678686451705_7673825150164271104_a.jpg")</f>
        <v>https://scontent.cdninstagram.com/t51.2885-19/s150x150/18161955_1838678686451705_7673825150164271104_a.jpg</v>
      </c>
    </row>
    <row r="5155" spans="1:31" ht="15" x14ac:dyDescent="0.25">
      <c r="A5155" t="s">
        <v>2474</v>
      </c>
      <c r="B5155" t="s">
        <v>7185</v>
      </c>
      <c r="C5155" s="221">
        <v>42984.861678240741</v>
      </c>
      <c r="D5155" t="s">
        <v>27218</v>
      </c>
      <c r="E5155" s="249" t="str">
        <f>HYPERLINK("https://www.instagram.com/p/BYuFRTdBk9b/")</f>
        <v>https://www.instagram.com/p/BYuFRTdBk9b/</v>
      </c>
      <c r="F5155" t="s">
        <v>27219</v>
      </c>
      <c r="G5155" t="s">
        <v>2478</v>
      </c>
      <c r="H5155">
        <v>601</v>
      </c>
      <c r="I5155" t="s">
        <v>3025</v>
      </c>
      <c r="J5155">
        <v>6</v>
      </c>
      <c r="K5155">
        <v>136</v>
      </c>
      <c r="L5155">
        <v>142</v>
      </c>
      <c r="Q5155">
        <v>0</v>
      </c>
      <c r="R5155">
        <v>0</v>
      </c>
      <c r="S5155">
        <v>142</v>
      </c>
      <c r="T5155" t="s">
        <v>27220</v>
      </c>
      <c r="V5155" t="s">
        <v>2118</v>
      </c>
      <c r="W5155">
        <v>-22.759453787142998</v>
      </c>
      <c r="X5155">
        <v>-47.138574008570998</v>
      </c>
      <c r="Y5155" t="s">
        <v>19057</v>
      </c>
      <c r="Z5155" t="s">
        <v>27221</v>
      </c>
      <c r="AD5155" s="249" t="str">
        <f>HYPERLINK("https://scontent.cdninstagram.com/t51.2885-15/s320x320/e35/21373759_114632929213114_2701784920266637312_n.jpg")</f>
        <v>https://scontent.cdninstagram.com/t51.2885-15/s320x320/e35/21373759_114632929213114_2701784920266637312_n.jpg</v>
      </c>
      <c r="AE5155" s="249" t="str">
        <f>HYPERLINK("https://scontent.cdninstagram.com/t51.2885-19/s150x150/17882752_1488967831123186_392500985118851072_a.jpg")</f>
        <v>https://scontent.cdninstagram.com/t51.2885-19/s150x150/17882752_1488967831123186_392500985118851072_a.jpg</v>
      </c>
    </row>
    <row r="5156" spans="1:31" ht="15" x14ac:dyDescent="0.25">
      <c r="A5156" t="s">
        <v>2474</v>
      </c>
      <c r="B5156" t="s">
        <v>27222</v>
      </c>
      <c r="C5156" s="221">
        <v>42984.861759259256</v>
      </c>
      <c r="D5156" t="s">
        <v>27223</v>
      </c>
      <c r="E5156" s="249" t="str">
        <f>HYPERLINK("https://www.instagram.com/p/BYuFSJAhDqR/")</f>
        <v>https://www.instagram.com/p/BYuFSJAhDqR/</v>
      </c>
      <c r="F5156" t="s">
        <v>27224</v>
      </c>
      <c r="G5156" t="s">
        <v>2478</v>
      </c>
      <c r="H5156">
        <v>1106</v>
      </c>
      <c r="I5156" t="s">
        <v>2479</v>
      </c>
      <c r="J5156">
        <v>3</v>
      </c>
      <c r="K5156">
        <v>30</v>
      </c>
      <c r="L5156">
        <v>33</v>
      </c>
      <c r="Q5156">
        <v>0</v>
      </c>
      <c r="R5156">
        <v>0</v>
      </c>
      <c r="S5156">
        <v>33</v>
      </c>
      <c r="T5156" t="s">
        <v>27225</v>
      </c>
      <c r="U5156" t="s">
        <v>194</v>
      </c>
      <c r="V5156" t="s">
        <v>2299</v>
      </c>
      <c r="W5156">
        <v>35.593498818333003</v>
      </c>
      <c r="X5156">
        <v>-97.572789612500003</v>
      </c>
      <c r="Y5156" t="s">
        <v>27226</v>
      </c>
      <c r="Z5156" t="s">
        <v>9608</v>
      </c>
      <c r="AA5156" t="s">
        <v>15117</v>
      </c>
      <c r="AB5156" t="s">
        <v>27227</v>
      </c>
      <c r="AC5156" t="s">
        <v>2497</v>
      </c>
      <c r="AD5156" s="249" t="str">
        <f>HYPERLINK("https://scontent.cdninstagram.com/t51.2885-15/s320x320/e35/21435496_117967025516571_5206988835208036352_n.jpg")</f>
        <v>https://scontent.cdninstagram.com/t51.2885-15/s320x320/e35/21435496_117967025516571_5206988835208036352_n.jpg</v>
      </c>
      <c r="AE5156" s="249" t="str">
        <f>HYPERLINK("https://scontent.cdninstagram.com/t51.2885-19/s150x150/21041768_883999418422871_6062951073994244096_a.jpg")</f>
        <v>https://scontent.cdninstagram.com/t51.2885-19/s150x150/21041768_883999418422871_6062951073994244096_a.jpg</v>
      </c>
    </row>
    <row r="5157" spans="1:31" ht="15" x14ac:dyDescent="0.25">
      <c r="A5157" t="s">
        <v>2474</v>
      </c>
      <c r="B5157" t="s">
        <v>27228</v>
      </c>
      <c r="C5157" s="221">
        <v>42984.873414351852</v>
      </c>
      <c r="D5157" t="s">
        <v>27229</v>
      </c>
      <c r="E5157" s="249" t="str">
        <f>HYPERLINK("https://www.instagram.com/p/BYuHNFKgn9l/")</f>
        <v>https://www.instagram.com/p/BYuHNFKgn9l/</v>
      </c>
      <c r="F5157" t="s">
        <v>27230</v>
      </c>
      <c r="G5157" t="s">
        <v>2478</v>
      </c>
      <c r="H5157">
        <v>425</v>
      </c>
      <c r="I5157" t="s">
        <v>2479</v>
      </c>
      <c r="J5157">
        <v>0</v>
      </c>
      <c r="K5157">
        <v>23</v>
      </c>
      <c r="L5157">
        <v>23</v>
      </c>
      <c r="Q5157">
        <v>0</v>
      </c>
      <c r="R5157">
        <v>0</v>
      </c>
      <c r="S5157">
        <v>23</v>
      </c>
      <c r="Y5157" t="s">
        <v>27231</v>
      </c>
      <c r="Z5157" t="s">
        <v>5884</v>
      </c>
      <c r="AA5157" t="s">
        <v>2497</v>
      </c>
      <c r="AD5157" s="249" t="str">
        <f>HYPERLINK("https://scontent.cdninstagram.com/t51.2885-15/s320x320/e35/21433703_127218957925117_7904167132466774016_n.jpg")</f>
        <v>https://scontent.cdninstagram.com/t51.2885-15/s320x320/e35/21433703_127218957925117_7904167132466774016_n.jpg</v>
      </c>
      <c r="AE5157" s="249" t="str">
        <f>HYPERLINK("https://scontent.cdninstagram.com/t51.2885-19/s150x150/18013112_1411549078901314_243048793371574272_a.jpg")</f>
        <v>https://scontent.cdninstagram.com/t51.2885-19/s150x150/18013112_1411549078901314_243048793371574272_a.jpg</v>
      </c>
    </row>
    <row r="5158" spans="1:31" ht="15" x14ac:dyDescent="0.25">
      <c r="A5158" t="s">
        <v>2474</v>
      </c>
      <c r="B5158" t="s">
        <v>10760</v>
      </c>
      <c r="C5158" s="221">
        <v>42984.883067129631</v>
      </c>
      <c r="D5158" t="s">
        <v>27232</v>
      </c>
      <c r="E5158" s="249" t="str">
        <f>HYPERLINK("https://www.instagram.com/p/BYuIy0agUTD/")</f>
        <v>https://www.instagram.com/p/BYuIy0agUTD/</v>
      </c>
      <c r="F5158" t="s">
        <v>27233</v>
      </c>
      <c r="G5158" t="s">
        <v>2478</v>
      </c>
      <c r="H5158">
        <v>52</v>
      </c>
      <c r="I5158" t="s">
        <v>2479</v>
      </c>
      <c r="J5158">
        <v>0</v>
      </c>
      <c r="K5158">
        <v>20</v>
      </c>
      <c r="L5158">
        <v>20</v>
      </c>
      <c r="Q5158">
        <v>0</v>
      </c>
      <c r="R5158">
        <v>0</v>
      </c>
      <c r="S5158">
        <v>20</v>
      </c>
      <c r="Y5158" t="s">
        <v>7231</v>
      </c>
      <c r="Z5158" t="s">
        <v>2696</v>
      </c>
      <c r="AA5158" t="s">
        <v>3982</v>
      </c>
      <c r="AB5158" t="s">
        <v>3277</v>
      </c>
      <c r="AC5158" t="s">
        <v>2483</v>
      </c>
      <c r="AD5158" s="249" t="str">
        <f>HYPERLINK("https://scontent.cdninstagram.com/t51.2885-15/e35/p320x320/21372323_1412417308871456_6970897969138630656_n.jpg")</f>
        <v>https://scontent.cdninstagram.com/t51.2885-15/e35/p320x320/21372323_1412417308871456_6970897969138630656_n.jpg</v>
      </c>
      <c r="AE5158" s="249" t="str">
        <f>HYPERLINK("https://scontent.cdninstagram.com/t51.2885-19/s150x150/20184410_903575349781445_1842717196787122176_a.jpg")</f>
        <v>https://scontent.cdninstagram.com/t51.2885-19/s150x150/20184410_903575349781445_1842717196787122176_a.jpg</v>
      </c>
    </row>
    <row r="5159" spans="1:31" ht="15" x14ac:dyDescent="0.25">
      <c r="A5159" t="s">
        <v>2474</v>
      </c>
      <c r="B5159" t="s">
        <v>17158</v>
      </c>
      <c r="C5159" s="221">
        <v>42984.889884259261</v>
      </c>
      <c r="D5159" t="s">
        <v>27234</v>
      </c>
      <c r="E5159" s="249" t="str">
        <f>HYPERLINK("https://www.instagram.com/p/BYuJ6uMnM5U/")</f>
        <v>https://www.instagram.com/p/BYuJ6uMnM5U/</v>
      </c>
      <c r="F5159" t="s">
        <v>27235</v>
      </c>
      <c r="G5159" t="s">
        <v>2631</v>
      </c>
      <c r="H5159">
        <v>389</v>
      </c>
      <c r="I5159" t="s">
        <v>2479</v>
      </c>
      <c r="J5159">
        <v>2</v>
      </c>
      <c r="K5159">
        <v>50</v>
      </c>
      <c r="L5159">
        <v>52</v>
      </c>
      <c r="Q5159">
        <v>0</v>
      </c>
      <c r="R5159">
        <v>0</v>
      </c>
      <c r="S5159">
        <v>52</v>
      </c>
      <c r="Y5159" t="s">
        <v>6043</v>
      </c>
      <c r="Z5159" t="s">
        <v>18450</v>
      </c>
      <c r="AA5159" t="s">
        <v>20139</v>
      </c>
      <c r="AB5159" t="s">
        <v>17560</v>
      </c>
      <c r="AC5159" t="s">
        <v>3962</v>
      </c>
      <c r="AD5159" s="249" t="str">
        <f>HYPERLINK("https://scontent.cdninstagram.com/t51.2885-15/s320x320/e15/21433595_170736406828756_7267363421094412288_n.jpg")</f>
        <v>https://scontent.cdninstagram.com/t51.2885-15/s320x320/e15/21433595_170736406828756_7267363421094412288_n.jpg</v>
      </c>
      <c r="AE5159" s="249" t="str">
        <f>HYPERLINK("https://scontent.cdninstagram.com/t51.2885-19/s150x150/13658639_315931348749567_46952542_a.jpg")</f>
        <v>https://scontent.cdninstagram.com/t51.2885-19/s150x150/13658639_315931348749567_46952542_a.jpg</v>
      </c>
    </row>
    <row r="5160" spans="1:31" ht="15" x14ac:dyDescent="0.25">
      <c r="A5160" t="s">
        <v>2474</v>
      </c>
      <c r="B5160" t="s">
        <v>4941</v>
      </c>
      <c r="C5160" s="221">
        <v>42984.891342592593</v>
      </c>
      <c r="D5160" t="s">
        <v>27236</v>
      </c>
      <c r="E5160" s="249" t="str">
        <f>HYPERLINK("https://www.instagram.com/p/BYuKKI3hdSr/")</f>
        <v>https://www.instagram.com/p/BYuKKI3hdSr/</v>
      </c>
      <c r="F5160" t="s">
        <v>27237</v>
      </c>
      <c r="G5160" t="s">
        <v>2478</v>
      </c>
      <c r="H5160">
        <v>43694</v>
      </c>
      <c r="I5160" t="s">
        <v>2479</v>
      </c>
      <c r="J5160">
        <v>24</v>
      </c>
      <c r="K5160">
        <v>1243</v>
      </c>
      <c r="L5160">
        <v>1267</v>
      </c>
      <c r="Q5160">
        <v>0</v>
      </c>
      <c r="R5160">
        <v>0</v>
      </c>
      <c r="S5160">
        <v>1267</v>
      </c>
      <c r="Y5160" t="s">
        <v>27238</v>
      </c>
      <c r="Z5160" t="s">
        <v>21650</v>
      </c>
      <c r="AA5160" t="s">
        <v>8893</v>
      </c>
      <c r="AB5160" t="s">
        <v>7191</v>
      </c>
      <c r="AC5160" t="s">
        <v>4096</v>
      </c>
      <c r="AD5160" s="249" t="str">
        <f>HYPERLINK("https://scontent.cdninstagram.com/t51.2885-15/e35/p320x320/21372856_1456880194392517_1032781296423665664_n.jpg")</f>
        <v>https://scontent.cdninstagram.com/t51.2885-15/e35/p320x320/21372856_1456880194392517_1032781296423665664_n.jpg</v>
      </c>
      <c r="AE5160" s="249" t="str">
        <f>HYPERLINK("https://scontent.cdninstagram.com/t51.2885-19/14624229_1857850484502104_5357040355281731584_a.jpg")</f>
        <v>https://scontent.cdninstagram.com/t51.2885-19/14624229_1857850484502104_5357040355281731584_a.jpg</v>
      </c>
    </row>
    <row r="5161" spans="1:31" ht="15" x14ac:dyDescent="0.25">
      <c r="A5161" t="s">
        <v>2474</v>
      </c>
      <c r="B5161" t="s">
        <v>4616</v>
      </c>
      <c r="C5161" s="221">
        <v>42984.892222222225</v>
      </c>
      <c r="D5161" t="s">
        <v>27239</v>
      </c>
      <c r="E5161" s="249" t="str">
        <f>HYPERLINK("https://www.instagram.com/p/BYuKTcdh0WB/")</f>
        <v>https://www.instagram.com/p/BYuKTcdh0WB/</v>
      </c>
      <c r="F5161" t="s">
        <v>27240</v>
      </c>
      <c r="G5161" t="s">
        <v>2478</v>
      </c>
      <c r="H5161">
        <v>112</v>
      </c>
      <c r="I5161" t="s">
        <v>2479</v>
      </c>
      <c r="J5161">
        <v>1</v>
      </c>
      <c r="K5161">
        <v>20</v>
      </c>
      <c r="L5161">
        <v>21</v>
      </c>
      <c r="Q5161">
        <v>0</v>
      </c>
      <c r="R5161">
        <v>0</v>
      </c>
      <c r="S5161">
        <v>21</v>
      </c>
      <c r="Y5161" t="s">
        <v>6294</v>
      </c>
      <c r="Z5161" t="s">
        <v>4620</v>
      </c>
      <c r="AA5161" t="s">
        <v>4623</v>
      </c>
      <c r="AB5161" t="s">
        <v>4621</v>
      </c>
      <c r="AC5161" t="s">
        <v>2944</v>
      </c>
      <c r="AD5161" s="249" t="str">
        <f>HYPERLINK("https://scontent.cdninstagram.com/t51.2885-15/s320x320/e35/21372935_265261070652909_6603769202673188864_n.jpg")</f>
        <v>https://scontent.cdninstagram.com/t51.2885-15/s320x320/e35/21372935_265261070652909_6603769202673188864_n.jpg</v>
      </c>
      <c r="AE5161" s="249" t="str">
        <f>HYPERLINK("https://scontent.cdninstagram.com/t51.2885-19/s150x150/17494353_1347957098574282_2527511313651859456_a.jpg")</f>
        <v>https://scontent.cdninstagram.com/t51.2885-19/s150x150/17494353_1347957098574282_2527511313651859456_a.jpg</v>
      </c>
    </row>
    <row r="5162" spans="1:31" ht="15" x14ac:dyDescent="0.25">
      <c r="A5162" t="s">
        <v>2474</v>
      </c>
      <c r="B5162" t="s">
        <v>27241</v>
      </c>
      <c r="C5162" s="221">
        <v>42984.901087962964</v>
      </c>
      <c r="D5162" t="s">
        <v>27242</v>
      </c>
      <c r="E5162" s="249" t="str">
        <f>HYPERLINK("https://www.instagram.com/p/BYuLw-Yl7Ws/")</f>
        <v>https://www.instagram.com/p/BYuLw-Yl7Ws/</v>
      </c>
      <c r="F5162" t="s">
        <v>27243</v>
      </c>
      <c r="G5162" t="s">
        <v>2478</v>
      </c>
      <c r="H5162">
        <v>341</v>
      </c>
      <c r="I5162" t="s">
        <v>3170</v>
      </c>
      <c r="J5162">
        <v>2</v>
      </c>
      <c r="K5162">
        <v>33</v>
      </c>
      <c r="L5162">
        <v>35</v>
      </c>
      <c r="Q5162">
        <v>0</v>
      </c>
      <c r="R5162">
        <v>0</v>
      </c>
      <c r="S5162">
        <v>35</v>
      </c>
      <c r="T5162" t="s">
        <v>27244</v>
      </c>
      <c r="U5162" t="s">
        <v>99</v>
      </c>
      <c r="V5162" t="s">
        <v>2299</v>
      </c>
      <c r="W5162">
        <v>40.721463999999997</v>
      </c>
      <c r="X5162">
        <v>-73.973676999999995</v>
      </c>
      <c r="Y5162" t="s">
        <v>27245</v>
      </c>
      <c r="Z5162" t="s">
        <v>3006</v>
      </c>
      <c r="AA5162" t="s">
        <v>4464</v>
      </c>
      <c r="AB5162" t="s">
        <v>27246</v>
      </c>
      <c r="AC5162" t="s">
        <v>7826</v>
      </c>
      <c r="AD5162" s="249" t="str">
        <f>HYPERLINK("https://scontent.cdninstagram.com/t51.2885-15/s320x320/e35/21480573_1881701725190369_1768551383692214272_n.jpg")</f>
        <v>https://scontent.cdninstagram.com/t51.2885-15/s320x320/e35/21480573_1881701725190369_1768551383692214272_n.jpg</v>
      </c>
      <c r="AE5162" s="249" t="str">
        <f>HYPERLINK("https://scontent.cdninstagram.com/t51.2885-19/s150x150/16584853_1136509899801931_5715987535465807872_a.jpg")</f>
        <v>https://scontent.cdninstagram.com/t51.2885-19/s150x150/16584853_1136509899801931_5715987535465807872_a.jpg</v>
      </c>
    </row>
    <row r="5163" spans="1:31" ht="15" x14ac:dyDescent="0.25">
      <c r="A5163" t="s">
        <v>2474</v>
      </c>
      <c r="B5163" t="s">
        <v>13053</v>
      </c>
      <c r="C5163" s="221">
        <v>42984.904120370367</v>
      </c>
      <c r="D5163" t="s">
        <v>27247</v>
      </c>
      <c r="E5163" s="249" t="str">
        <f>HYPERLINK("https://www.instagram.com/p/BYuMQ7yBPuN/")</f>
        <v>https://www.instagram.com/p/BYuMQ7yBPuN/</v>
      </c>
      <c r="F5163" t="s">
        <v>27248</v>
      </c>
      <c r="G5163" t="s">
        <v>2478</v>
      </c>
      <c r="H5163">
        <v>603</v>
      </c>
      <c r="I5163" t="s">
        <v>2479</v>
      </c>
      <c r="J5163">
        <v>0</v>
      </c>
      <c r="K5163">
        <v>8</v>
      </c>
      <c r="L5163">
        <v>8</v>
      </c>
      <c r="Q5163">
        <v>0</v>
      </c>
      <c r="R5163">
        <v>0</v>
      </c>
      <c r="S5163">
        <v>8</v>
      </c>
      <c r="Y5163" t="s">
        <v>27249</v>
      </c>
      <c r="Z5163" t="s">
        <v>5982</v>
      </c>
      <c r="AA5163" t="s">
        <v>27250</v>
      </c>
      <c r="AB5163" t="s">
        <v>15526</v>
      </c>
      <c r="AC5163" t="s">
        <v>27251</v>
      </c>
      <c r="AD5163" s="249" t="str">
        <f>HYPERLINK("https://scontent.cdninstagram.com/t51.2885-15/e35/p320x320/20478920_1507837415959899_636567191818338304_n.jpg")</f>
        <v>https://scontent.cdninstagram.com/t51.2885-15/e35/p320x320/20478920_1507837415959899_636567191818338304_n.jpg</v>
      </c>
      <c r="AE5163" s="249" t="str">
        <f>HYPERLINK("https://scontent.cdninstagram.com/t51.2885-19/s150x150/18512791_101765410410438_1751000416448937984_a.jpg")</f>
        <v>https://scontent.cdninstagram.com/t51.2885-19/s150x150/18512791_101765410410438_1751000416448937984_a.jpg</v>
      </c>
    </row>
    <row r="5164" spans="1:31" ht="15" x14ac:dyDescent="0.25">
      <c r="A5164" t="s">
        <v>2474</v>
      </c>
      <c r="B5164" t="s">
        <v>27252</v>
      </c>
      <c r="C5164" s="221">
        <v>42984.905057870368</v>
      </c>
      <c r="D5164" t="s">
        <v>27253</v>
      </c>
      <c r="E5164" s="249" t="str">
        <f>HYPERLINK("https://www.instagram.com/p/BYuMawhjNO7/")</f>
        <v>https://www.instagram.com/p/BYuMawhjNO7/</v>
      </c>
      <c r="F5164" t="s">
        <v>27254</v>
      </c>
      <c r="G5164" t="s">
        <v>2478</v>
      </c>
      <c r="H5164">
        <v>136</v>
      </c>
      <c r="I5164" t="s">
        <v>2542</v>
      </c>
      <c r="J5164">
        <v>0</v>
      </c>
      <c r="K5164">
        <v>23</v>
      </c>
      <c r="L5164">
        <v>23</v>
      </c>
      <c r="Q5164">
        <v>0</v>
      </c>
      <c r="R5164">
        <v>0</v>
      </c>
      <c r="S5164">
        <v>23</v>
      </c>
      <c r="Y5164" t="s">
        <v>27255</v>
      </c>
      <c r="Z5164" t="s">
        <v>24225</v>
      </c>
      <c r="AA5164" t="s">
        <v>3006</v>
      </c>
      <c r="AB5164" t="s">
        <v>27256</v>
      </c>
      <c r="AC5164" t="s">
        <v>3885</v>
      </c>
      <c r="AD5164" s="249" t="str">
        <f>HYPERLINK("https://scontent.cdninstagram.com/t51.2885-15/s320x320/e35/21433302_1733323860305993_3781998860549750784_n.jpg")</f>
        <v>https://scontent.cdninstagram.com/t51.2885-15/s320x320/e35/21433302_1733323860305993_3781998860549750784_n.jpg</v>
      </c>
      <c r="AE5164" s="249" t="str">
        <f>HYPERLINK("https://scontent.cdninstagram.com/t51.2885-19/s150x150/18444738_1830349223951877_20392642160361472_a.jpg")</f>
        <v>https://scontent.cdninstagram.com/t51.2885-19/s150x150/18444738_1830349223951877_20392642160361472_a.jpg</v>
      </c>
    </row>
    <row r="5165" spans="1:31" ht="15" x14ac:dyDescent="0.25">
      <c r="A5165" t="s">
        <v>2474</v>
      </c>
      <c r="B5165" t="s">
        <v>16992</v>
      </c>
      <c r="C5165" s="221">
        <v>42984.913506944446</v>
      </c>
      <c r="D5165" t="s">
        <v>27257</v>
      </c>
      <c r="E5165" s="249" t="str">
        <f>HYPERLINK("https://www.instagram.com/p/BYuNz36BjUn/")</f>
        <v>https://www.instagram.com/p/BYuNz36BjUn/</v>
      </c>
      <c r="F5165" t="s">
        <v>27258</v>
      </c>
      <c r="G5165" t="s">
        <v>2478</v>
      </c>
      <c r="H5165">
        <v>44</v>
      </c>
      <c r="I5165" t="s">
        <v>2479</v>
      </c>
      <c r="J5165">
        <v>4</v>
      </c>
      <c r="K5165">
        <v>9</v>
      </c>
      <c r="L5165">
        <v>13</v>
      </c>
      <c r="Q5165">
        <v>0</v>
      </c>
      <c r="R5165">
        <v>0</v>
      </c>
      <c r="S5165">
        <v>13</v>
      </c>
      <c r="Y5165" t="s">
        <v>2906</v>
      </c>
      <c r="Z5165" t="s">
        <v>8753</v>
      </c>
      <c r="AA5165" t="s">
        <v>13191</v>
      </c>
      <c r="AB5165" t="s">
        <v>2497</v>
      </c>
      <c r="AC5165" t="s">
        <v>27259</v>
      </c>
      <c r="AD5165" s="249" t="str">
        <f>HYPERLINK("https://scontent.cdninstagram.com/t51.2885-15/s320x320/e35/21479834_1689336367743811_3922447658383310848_n.jpg")</f>
        <v>https://scontent.cdninstagram.com/t51.2885-15/s320x320/e35/21479834_1689336367743811_3922447658383310848_n.jpg</v>
      </c>
      <c r="AE5165" s="249" t="str">
        <f>HYPERLINK("https://scontent.cdninstagram.com/t51.2885-19/s150x150/21041727_1255516541242494_8603636478272077824_a.jpg")</f>
        <v>https://scontent.cdninstagram.com/t51.2885-19/s150x150/21041727_1255516541242494_8603636478272077824_a.jpg</v>
      </c>
    </row>
    <row r="5166" spans="1:31" ht="15" x14ac:dyDescent="0.25">
      <c r="A5166" t="s">
        <v>2474</v>
      </c>
      <c r="B5166" t="s">
        <v>27260</v>
      </c>
      <c r="C5166" s="221">
        <v>42984.940069444441</v>
      </c>
      <c r="D5166" t="s">
        <v>27261</v>
      </c>
      <c r="E5166" s="249" t="str">
        <f>HYPERLINK("https://www.instagram.com/p/BYuSL_6jQa5/")</f>
        <v>https://www.instagram.com/p/BYuSL_6jQa5/</v>
      </c>
      <c r="F5166" t="s">
        <v>27262</v>
      </c>
      <c r="G5166" t="s">
        <v>2478</v>
      </c>
      <c r="H5166">
        <v>146</v>
      </c>
      <c r="I5166" t="s">
        <v>2479</v>
      </c>
      <c r="J5166">
        <v>0</v>
      </c>
      <c r="K5166">
        <v>15</v>
      </c>
      <c r="L5166">
        <v>15</v>
      </c>
      <c r="Q5166">
        <v>0</v>
      </c>
      <c r="R5166">
        <v>0</v>
      </c>
      <c r="S5166">
        <v>15</v>
      </c>
      <c r="Y5166" t="s">
        <v>17422</v>
      </c>
      <c r="Z5166" t="s">
        <v>27263</v>
      </c>
      <c r="AA5166" t="s">
        <v>2497</v>
      </c>
      <c r="AB5166" t="s">
        <v>12748</v>
      </c>
      <c r="AD5166" s="249" t="str">
        <f>HYPERLINK("https://scontent.cdninstagram.com/t51.2885-15/s320x320/e35/21433798_1927676157557284_4441783034957529088_n.jpg")</f>
        <v>https://scontent.cdninstagram.com/t51.2885-15/s320x320/e35/21433798_1927676157557284_4441783034957529088_n.jpg</v>
      </c>
      <c r="AE5166" s="249" t="str">
        <f>HYPERLINK("https://scontent.cdninstagram.com/t51.2885-19/11385146_522834314531269_1150630667_a.jpg")</f>
        <v>https://scontent.cdninstagram.com/t51.2885-19/11385146_522834314531269_1150630667_a.jpg</v>
      </c>
    </row>
    <row r="5167" spans="1:31" ht="15" x14ac:dyDescent="0.25">
      <c r="A5167" t="s">
        <v>2474</v>
      </c>
      <c r="B5167" t="s">
        <v>7152</v>
      </c>
      <c r="C5167" s="221">
        <v>42984.945740740739</v>
      </c>
      <c r="D5167" t="s">
        <v>27264</v>
      </c>
      <c r="E5167" s="249" t="str">
        <f>HYPERLINK("https://www.instagram.com/p/BYuTH3-jAdO/")</f>
        <v>https://www.instagram.com/p/BYuTH3-jAdO/</v>
      </c>
      <c r="F5167" t="s">
        <v>27265</v>
      </c>
      <c r="G5167" t="s">
        <v>2478</v>
      </c>
      <c r="H5167">
        <v>117</v>
      </c>
      <c r="I5167" t="s">
        <v>2479</v>
      </c>
      <c r="J5167">
        <v>1</v>
      </c>
      <c r="K5167">
        <v>3</v>
      </c>
      <c r="L5167">
        <v>4</v>
      </c>
      <c r="Q5167">
        <v>0</v>
      </c>
      <c r="R5167">
        <v>0</v>
      </c>
      <c r="S5167">
        <v>4</v>
      </c>
      <c r="Y5167" t="s">
        <v>13281</v>
      </c>
      <c r="Z5167" t="s">
        <v>5837</v>
      </c>
      <c r="AA5167" t="s">
        <v>5884</v>
      </c>
      <c r="AB5167" t="s">
        <v>5108</v>
      </c>
      <c r="AC5167" t="s">
        <v>2497</v>
      </c>
      <c r="AD5167" s="249" t="str">
        <f>HYPERLINK("https://scontent.cdninstagram.com/t51.2885-15/s320x320/e35/21372847_575396036128221_5552593854105911296_n.jpg")</f>
        <v>https://scontent.cdninstagram.com/t51.2885-15/s320x320/e35/21372847_575396036128221_5552593854105911296_n.jpg</v>
      </c>
      <c r="AE5167" s="249" t="str">
        <f>HYPERLINK("https://scontent.cdninstagram.com/t51.2885-19/s150x150/20181062_1791856511105718_4709893984703479808_a.jpg")</f>
        <v>https://scontent.cdninstagram.com/t51.2885-19/s150x150/20181062_1791856511105718_4709893984703479808_a.jpg</v>
      </c>
    </row>
    <row r="5168" spans="1:31" ht="15" x14ac:dyDescent="0.25">
      <c r="A5168" t="s">
        <v>2474</v>
      </c>
      <c r="B5168" t="s">
        <v>5486</v>
      </c>
      <c r="C5168" s="221">
        <v>42984.946805555555</v>
      </c>
      <c r="D5168" t="s">
        <v>27266</v>
      </c>
      <c r="E5168" s="249" t="str">
        <f>HYPERLINK("https://www.instagram.com/p/BYuTTHOD-lw/")</f>
        <v>https://www.instagram.com/p/BYuTTHOD-lw/</v>
      </c>
      <c r="G5168" t="s">
        <v>2478</v>
      </c>
      <c r="H5168">
        <v>34236</v>
      </c>
      <c r="I5168" t="s">
        <v>2479</v>
      </c>
      <c r="J5168">
        <v>5</v>
      </c>
      <c r="K5168">
        <v>442</v>
      </c>
      <c r="L5168">
        <v>447</v>
      </c>
      <c r="Q5168">
        <v>0</v>
      </c>
      <c r="R5168">
        <v>0</v>
      </c>
      <c r="S5168">
        <v>447</v>
      </c>
      <c r="AD5168" s="249" t="str">
        <f>HYPERLINK("https://scontent.cdninstagram.com/t51.2885-15/s320x320/e35/21433998_440619186334249_4710081176558108672_n.jpg")</f>
        <v>https://scontent.cdninstagram.com/t51.2885-15/s320x320/e35/21433998_440619186334249_4710081176558108672_n.jpg</v>
      </c>
      <c r="AE5168" s="249" t="str">
        <f>HYPERLINK("https://scontent.cdninstagram.com/t51.2885-19/18096331_1858853611040874_8999714561263140864_n.jpg")</f>
        <v>https://scontent.cdninstagram.com/t51.2885-19/18096331_1858853611040874_8999714561263140864_n.jpg</v>
      </c>
    </row>
    <row r="5169" spans="1:31" ht="15" x14ac:dyDescent="0.25">
      <c r="A5169" t="s">
        <v>2474</v>
      </c>
      <c r="B5169" t="s">
        <v>27267</v>
      </c>
      <c r="C5169" s="221">
        <v>42984.95107638889</v>
      </c>
      <c r="D5169" t="s">
        <v>27268</v>
      </c>
      <c r="E5169" s="249" t="str">
        <f>HYPERLINK("https://www.instagram.com/p/BYuUAGuAu3i/")</f>
        <v>https://www.instagram.com/p/BYuUAGuAu3i/</v>
      </c>
      <c r="F5169" t="s">
        <v>27269</v>
      </c>
      <c r="G5169" t="s">
        <v>2478</v>
      </c>
      <c r="H5169">
        <v>571</v>
      </c>
      <c r="I5169" t="s">
        <v>2479</v>
      </c>
      <c r="J5169">
        <v>2</v>
      </c>
      <c r="K5169">
        <v>27</v>
      </c>
      <c r="L5169">
        <v>29</v>
      </c>
      <c r="Q5169">
        <v>0</v>
      </c>
      <c r="R5169">
        <v>0</v>
      </c>
      <c r="S5169">
        <v>29</v>
      </c>
      <c r="Y5169" t="s">
        <v>26070</v>
      </c>
      <c r="Z5169" t="s">
        <v>2497</v>
      </c>
      <c r="AA5169" t="s">
        <v>27270</v>
      </c>
      <c r="AD5169" s="249" t="str">
        <f>HYPERLINK("https://scontent.cdninstagram.com/t51.2885-15/s320x320/e35/21371793_270448173470907_5199330642231296000_n.jpg")</f>
        <v>https://scontent.cdninstagram.com/t51.2885-15/s320x320/e35/21371793_270448173470907_5199330642231296000_n.jpg</v>
      </c>
      <c r="AE5169" s="249" t="str">
        <f>HYPERLINK("https://scontent.cdninstagram.com/t51.2885-19/s150x150/20902002_111709482849607_7699984155286700032_a.jpg")</f>
        <v>https://scontent.cdninstagram.com/t51.2885-19/s150x150/20902002_111709482849607_7699984155286700032_a.jpg</v>
      </c>
    </row>
    <row r="5170" spans="1:31" ht="15" x14ac:dyDescent="0.25">
      <c r="A5170" t="s">
        <v>2474</v>
      </c>
      <c r="B5170" t="s">
        <v>27271</v>
      </c>
      <c r="C5170" s="221">
        <v>42984.954386574071</v>
      </c>
      <c r="D5170" t="s">
        <v>27272</v>
      </c>
      <c r="E5170" s="249" t="str">
        <f>HYPERLINK("https://www.instagram.com/p/BYuUjATBdQf/")</f>
        <v>https://www.instagram.com/p/BYuUjATBdQf/</v>
      </c>
      <c r="F5170" t="s">
        <v>27273</v>
      </c>
      <c r="G5170" t="s">
        <v>2478</v>
      </c>
      <c r="H5170">
        <v>971</v>
      </c>
      <c r="I5170" t="s">
        <v>2479</v>
      </c>
      <c r="J5170">
        <v>1</v>
      </c>
      <c r="K5170">
        <v>55</v>
      </c>
      <c r="L5170">
        <v>56</v>
      </c>
      <c r="Q5170">
        <v>0</v>
      </c>
      <c r="R5170">
        <v>0</v>
      </c>
      <c r="S5170">
        <v>56</v>
      </c>
      <c r="Y5170" t="s">
        <v>27274</v>
      </c>
      <c r="Z5170" t="s">
        <v>27275</v>
      </c>
      <c r="AA5170" t="s">
        <v>27276</v>
      </c>
      <c r="AB5170" t="s">
        <v>27277</v>
      </c>
      <c r="AC5170" t="s">
        <v>2497</v>
      </c>
      <c r="AD5170" s="249" t="str">
        <f>HYPERLINK("https://scontent.cdninstagram.com/t51.2885-15/e35/p320x320/21372614_343782376034384_2976762603595890688_n.jpg")</f>
        <v>https://scontent.cdninstagram.com/t51.2885-15/e35/p320x320/21372614_343782376034384_2976762603595890688_n.jpg</v>
      </c>
      <c r="AE5170" s="249" t="str">
        <f>HYPERLINK("https://scontent.cdninstagram.com/t51.2885-19/s150x150/16123673_1211063342313037_9133245047251140608_n.jpg")</f>
        <v>https://scontent.cdninstagram.com/t51.2885-19/s150x150/16123673_1211063342313037_9133245047251140608_n.jpg</v>
      </c>
    </row>
    <row r="5171" spans="1:31" ht="15" x14ac:dyDescent="0.25">
      <c r="A5171" t="s">
        <v>2474</v>
      </c>
      <c r="B5171" t="s">
        <v>27278</v>
      </c>
      <c r="C5171" s="221">
        <v>42984.959166666667</v>
      </c>
      <c r="D5171" t="s">
        <v>27279</v>
      </c>
      <c r="E5171" s="249" t="str">
        <f>HYPERLINK("https://www.instagram.com/p/BYuVVcEgwag/")</f>
        <v>https://www.instagram.com/p/BYuVVcEgwag/</v>
      </c>
      <c r="F5171" t="s">
        <v>27280</v>
      </c>
      <c r="G5171" t="s">
        <v>2478</v>
      </c>
      <c r="H5171">
        <v>6</v>
      </c>
      <c r="I5171" t="s">
        <v>2542</v>
      </c>
      <c r="J5171">
        <v>2</v>
      </c>
      <c r="K5171">
        <v>17</v>
      </c>
      <c r="L5171">
        <v>19</v>
      </c>
      <c r="Q5171">
        <v>0</v>
      </c>
      <c r="R5171">
        <v>0</v>
      </c>
      <c r="S5171">
        <v>19</v>
      </c>
      <c r="T5171" t="s">
        <v>7912</v>
      </c>
      <c r="U5171" t="s">
        <v>262</v>
      </c>
      <c r="V5171" t="s">
        <v>2299</v>
      </c>
      <c r="W5171">
        <v>34.735999999999997</v>
      </c>
      <c r="X5171">
        <v>-92.331100000000006</v>
      </c>
      <c r="Y5171" t="s">
        <v>27281</v>
      </c>
      <c r="Z5171" t="s">
        <v>14095</v>
      </c>
      <c r="AA5171" t="s">
        <v>3225</v>
      </c>
      <c r="AB5171" t="s">
        <v>3543</v>
      </c>
      <c r="AC5171" t="s">
        <v>3117</v>
      </c>
      <c r="AD5171" s="249" t="str">
        <f>HYPERLINK("https://scontent.cdninstagram.com/t51.2885-15/s320x320/e35/21433448_514307355585800_6636485879827267584_n.jpg")</f>
        <v>https://scontent.cdninstagram.com/t51.2885-15/s320x320/e35/21433448_514307355585800_6636485879827267584_n.jpg</v>
      </c>
      <c r="AE5171" s="249" t="str">
        <f>HYPERLINK("https://scontent.cdninstagram.com/t51.2885-19/s150x150/21147641_470378626665504_4847693874342133760_a.jpg")</f>
        <v>https://scontent.cdninstagram.com/t51.2885-19/s150x150/21147641_470378626665504_4847693874342133760_a.jpg</v>
      </c>
    </row>
    <row r="5172" spans="1:31" ht="15" x14ac:dyDescent="0.25">
      <c r="A5172" t="s">
        <v>2474</v>
      </c>
      <c r="B5172" t="s">
        <v>27282</v>
      </c>
      <c r="C5172" s="221">
        <v>42984.9606712963</v>
      </c>
      <c r="D5172" t="s">
        <v>27283</v>
      </c>
      <c r="E5172" s="249" t="str">
        <f>HYPERLINK("https://www.instagram.com/p/BYuVlSDgD26/")</f>
        <v>https://www.instagram.com/p/BYuVlSDgD26/</v>
      </c>
      <c r="F5172" t="s">
        <v>27284</v>
      </c>
      <c r="G5172" t="s">
        <v>2478</v>
      </c>
      <c r="H5172">
        <v>246</v>
      </c>
      <c r="I5172" t="s">
        <v>2479</v>
      </c>
      <c r="J5172">
        <v>2</v>
      </c>
      <c r="K5172">
        <v>29</v>
      </c>
      <c r="L5172">
        <v>31</v>
      </c>
      <c r="Q5172">
        <v>0</v>
      </c>
      <c r="R5172">
        <v>0</v>
      </c>
      <c r="S5172">
        <v>31</v>
      </c>
      <c r="Y5172" t="s">
        <v>27285</v>
      </c>
      <c r="Z5172" t="s">
        <v>22417</v>
      </c>
      <c r="AA5172" t="s">
        <v>27286</v>
      </c>
      <c r="AB5172" t="s">
        <v>23387</v>
      </c>
      <c r="AC5172" t="s">
        <v>27287</v>
      </c>
      <c r="AD5172" s="249" t="str">
        <f>HYPERLINK("https://scontent.cdninstagram.com/t51.2885-15/s320x320/e35/21436094_142514199684175_7031838366748377088_n.jpg")</f>
        <v>https://scontent.cdninstagram.com/t51.2885-15/s320x320/e35/21436094_142514199684175_7031838366748377088_n.jpg</v>
      </c>
      <c r="AE5172" s="249" t="str">
        <f>HYPERLINK("https://scontent.cdninstagram.com/t51.2885-19/s150x150/21294481_1428197800549740_1992379648658374656_a.jpg")</f>
        <v>https://scontent.cdninstagram.com/t51.2885-19/s150x150/21294481_1428197800549740_1992379648658374656_a.jpg</v>
      </c>
    </row>
    <row r="5173" spans="1:31" ht="15" x14ac:dyDescent="0.25">
      <c r="A5173" t="s">
        <v>2474</v>
      </c>
      <c r="B5173" t="s">
        <v>17216</v>
      </c>
      <c r="C5173" s="221">
        <v>42984.969398148147</v>
      </c>
      <c r="D5173" t="s">
        <v>27288</v>
      </c>
      <c r="E5173" s="249" t="str">
        <f>HYPERLINK("https://www.instagram.com/p/BYuXBYWg-BJ/")</f>
        <v>https://www.instagram.com/p/BYuXBYWg-BJ/</v>
      </c>
      <c r="F5173" t="s">
        <v>27289</v>
      </c>
      <c r="G5173" t="s">
        <v>2478</v>
      </c>
      <c r="H5173">
        <v>49</v>
      </c>
      <c r="I5173" t="s">
        <v>2479</v>
      </c>
      <c r="J5173">
        <v>1</v>
      </c>
      <c r="K5173">
        <v>18</v>
      </c>
      <c r="L5173">
        <v>19</v>
      </c>
      <c r="Q5173">
        <v>0</v>
      </c>
      <c r="R5173">
        <v>0</v>
      </c>
      <c r="S5173">
        <v>19</v>
      </c>
      <c r="Y5173" t="s">
        <v>12740</v>
      </c>
      <c r="Z5173" t="s">
        <v>3717</v>
      </c>
      <c r="AA5173" t="s">
        <v>2551</v>
      </c>
      <c r="AB5173" t="s">
        <v>7763</v>
      </c>
      <c r="AC5173" t="s">
        <v>4582</v>
      </c>
      <c r="AD5173" s="249" t="str">
        <f>HYPERLINK("https://scontent.cdninstagram.com/t51.2885-15/s320x320/e35/21433433_469622580083301_8429720990325407744_n.jpg")</f>
        <v>https://scontent.cdninstagram.com/t51.2885-15/s320x320/e35/21433433_469622580083301_8429720990325407744_n.jpg</v>
      </c>
      <c r="AE5173" s="249" t="str">
        <f>HYPERLINK("https://scontent.cdninstagram.com/t51.2885-19/s150x150/21148965_509922689345454_4827689016188993536_a.jpg")</f>
        <v>https://scontent.cdninstagram.com/t51.2885-19/s150x150/21148965_509922689345454_4827689016188993536_a.jpg</v>
      </c>
    </row>
    <row r="5174" spans="1:31" ht="15" x14ac:dyDescent="0.25">
      <c r="A5174" t="s">
        <v>2474</v>
      </c>
      <c r="B5174" t="s">
        <v>27290</v>
      </c>
      <c r="C5174" s="221">
        <v>42984.97587962963</v>
      </c>
      <c r="D5174" t="s">
        <v>27291</v>
      </c>
      <c r="E5174" s="249" t="str">
        <f>HYPERLINK("https://www.instagram.com/p/BYuYFvgBFBz/")</f>
        <v>https://www.instagram.com/p/BYuYFvgBFBz/</v>
      </c>
      <c r="F5174" t="s">
        <v>27292</v>
      </c>
      <c r="G5174" t="s">
        <v>2478</v>
      </c>
      <c r="H5174">
        <v>197</v>
      </c>
      <c r="I5174" t="s">
        <v>2479</v>
      </c>
      <c r="J5174">
        <v>1</v>
      </c>
      <c r="K5174">
        <v>24</v>
      </c>
      <c r="L5174">
        <v>25</v>
      </c>
      <c r="Q5174">
        <v>0</v>
      </c>
      <c r="R5174">
        <v>0</v>
      </c>
      <c r="S5174">
        <v>25</v>
      </c>
      <c r="Y5174" t="s">
        <v>20366</v>
      </c>
      <c r="Z5174" t="s">
        <v>27293</v>
      </c>
      <c r="AA5174" t="s">
        <v>27294</v>
      </c>
      <c r="AB5174" t="s">
        <v>27295</v>
      </c>
      <c r="AC5174" t="s">
        <v>27296</v>
      </c>
      <c r="AD5174" s="249" t="str">
        <f>HYPERLINK("https://scontent.cdninstagram.com/t51.2885-15/s320x320/e35/21372828_1964059667143600_529129310758371328_n.jpg")</f>
        <v>https://scontent.cdninstagram.com/t51.2885-15/s320x320/e35/21372828_1964059667143600_529129310758371328_n.jpg</v>
      </c>
      <c r="AE5174" s="249" t="str">
        <f>HYPERLINK("https://scontent.cdninstagram.com/t51.2885-19/s150x150/18950230_694442074074553_471019442625576960_a.jpg")</f>
        <v>https://scontent.cdninstagram.com/t51.2885-19/s150x150/18950230_694442074074553_471019442625576960_a.jpg</v>
      </c>
    </row>
    <row r="5175" spans="1:31" ht="15" x14ac:dyDescent="0.25">
      <c r="A5175" t="s">
        <v>2474</v>
      </c>
      <c r="B5175" t="s">
        <v>27297</v>
      </c>
      <c r="C5175" s="221">
        <v>42984.991423611114</v>
      </c>
      <c r="D5175" t="s">
        <v>27298</v>
      </c>
      <c r="E5175" s="249" t="str">
        <f>HYPERLINK("https://www.instagram.com/p/BYuapoMhIQ_/")</f>
        <v>https://www.instagram.com/p/BYuapoMhIQ_/</v>
      </c>
      <c r="F5175" t="s">
        <v>27299</v>
      </c>
      <c r="G5175" t="s">
        <v>2631</v>
      </c>
      <c r="H5175">
        <v>388</v>
      </c>
      <c r="I5175" t="s">
        <v>4052</v>
      </c>
      <c r="J5175">
        <v>0</v>
      </c>
      <c r="K5175">
        <v>7</v>
      </c>
      <c r="L5175">
        <v>7</v>
      </c>
      <c r="Q5175">
        <v>0</v>
      </c>
      <c r="R5175">
        <v>0</v>
      </c>
      <c r="S5175">
        <v>7</v>
      </c>
      <c r="T5175" t="s">
        <v>27300</v>
      </c>
      <c r="U5175" t="s">
        <v>2020</v>
      </c>
      <c r="V5175" t="s">
        <v>2299</v>
      </c>
      <c r="W5175">
        <v>37.278500000000001</v>
      </c>
      <c r="X5175">
        <v>-82.1</v>
      </c>
      <c r="Y5175" t="s">
        <v>27301</v>
      </c>
      <c r="Z5175" t="s">
        <v>21014</v>
      </c>
      <c r="AA5175" t="s">
        <v>27302</v>
      </c>
      <c r="AB5175" t="s">
        <v>27303</v>
      </c>
      <c r="AC5175" t="s">
        <v>27304</v>
      </c>
      <c r="AD5175" s="249" t="str">
        <f>HYPERLINK("https://scontent.cdninstagram.com/t51.2885-15/s320x320/e15/21372381_1908294266097098_7529803854368473088_n.jpg")</f>
        <v>https://scontent.cdninstagram.com/t51.2885-15/s320x320/e15/21372381_1908294266097098_7529803854368473088_n.jpg</v>
      </c>
      <c r="AE5175" s="249" t="str">
        <f>HYPERLINK("https://scontent.cdninstagram.com/t51.2885-19/s150x150/21227500_1422222844513083_6820278035913113600_a.jpg")</f>
        <v>https://scontent.cdninstagram.com/t51.2885-19/s150x150/21227500_1422222844513083_6820278035913113600_a.jpg</v>
      </c>
    </row>
    <row r="5176" spans="1:31" ht="15" x14ac:dyDescent="0.25">
      <c r="A5176" t="s">
        <v>2474</v>
      </c>
      <c r="B5176" t="s">
        <v>27305</v>
      </c>
      <c r="C5176" s="221">
        <v>42984.99145833333</v>
      </c>
      <c r="D5176" t="s">
        <v>27306</v>
      </c>
      <c r="E5176" s="249" t="str">
        <f>HYPERLINK("https://www.instagram.com/p/BYuaqEfB3He/")</f>
        <v>https://www.instagram.com/p/BYuaqEfB3He/</v>
      </c>
      <c r="F5176" t="s">
        <v>27307</v>
      </c>
      <c r="G5176" t="s">
        <v>2478</v>
      </c>
      <c r="H5176">
        <v>135</v>
      </c>
      <c r="I5176" t="s">
        <v>2479</v>
      </c>
      <c r="J5176">
        <v>4</v>
      </c>
      <c r="K5176">
        <v>37</v>
      </c>
      <c r="L5176">
        <v>41</v>
      </c>
      <c r="Q5176">
        <v>0</v>
      </c>
      <c r="R5176">
        <v>0</v>
      </c>
      <c r="S5176">
        <v>41</v>
      </c>
      <c r="Y5176" t="s">
        <v>19183</v>
      </c>
      <c r="Z5176" t="s">
        <v>27308</v>
      </c>
      <c r="AA5176" t="s">
        <v>15051</v>
      </c>
      <c r="AB5176" t="s">
        <v>3936</v>
      </c>
      <c r="AC5176" t="s">
        <v>27309</v>
      </c>
      <c r="AD5176" s="249" t="str">
        <f>HYPERLINK("https://scontent.cdninstagram.com/t51.2885-15/s320x320/e35/21436252_1462100110532731_7564796125455056896_n.jpg")</f>
        <v>https://scontent.cdninstagram.com/t51.2885-15/s320x320/e35/21436252_1462100110532731_7564796125455056896_n.jpg</v>
      </c>
      <c r="AE5176" s="249" t="str">
        <f>HYPERLINK("https://scontent.cdninstagram.com/t51.2885-19/s150x150/19765154_452728265099042_583826754360049664_a.jpg")</f>
        <v>https://scontent.cdninstagram.com/t51.2885-19/s150x150/19765154_452728265099042_583826754360049664_a.jpg</v>
      </c>
    </row>
    <row r="5177" spans="1:31" ht="15" x14ac:dyDescent="0.25">
      <c r="A5177" t="s">
        <v>2474</v>
      </c>
      <c r="B5177" t="s">
        <v>27310</v>
      </c>
      <c r="C5177" s="221">
        <v>42984.991539351853</v>
      </c>
      <c r="D5177" t="s">
        <v>27311</v>
      </c>
      <c r="E5177" s="249" t="str">
        <f>HYPERLINK("https://www.instagram.com/p/BYuaq7eHeFW/")</f>
        <v>https://www.instagram.com/p/BYuaq7eHeFW/</v>
      </c>
      <c r="F5177" t="s">
        <v>27312</v>
      </c>
      <c r="G5177" t="s">
        <v>2631</v>
      </c>
      <c r="H5177">
        <v>309</v>
      </c>
      <c r="I5177" t="s">
        <v>2479</v>
      </c>
      <c r="J5177">
        <v>0</v>
      </c>
      <c r="K5177">
        <v>39</v>
      </c>
      <c r="L5177">
        <v>39</v>
      </c>
      <c r="Q5177">
        <v>0</v>
      </c>
      <c r="R5177">
        <v>0</v>
      </c>
      <c r="S5177">
        <v>39</v>
      </c>
      <c r="Y5177" t="s">
        <v>27313</v>
      </c>
      <c r="Z5177" t="s">
        <v>27314</v>
      </c>
      <c r="AA5177" t="s">
        <v>4339</v>
      </c>
      <c r="AB5177" t="s">
        <v>27315</v>
      </c>
      <c r="AC5177" t="s">
        <v>27316</v>
      </c>
      <c r="AD5177" s="249" t="str">
        <f>HYPERLINK("https://scontent.cdninstagram.com/t51.2885-15/s320x320/e15/21373301_131474024140588_2855369441783316480_n.jpg")</f>
        <v>https://scontent.cdninstagram.com/t51.2885-15/s320x320/e15/21373301_131474024140588_2855369441783316480_n.jpg</v>
      </c>
      <c r="AE5177" s="249" t="str">
        <f>HYPERLINK("https://scontent.cdninstagram.com/t51.2885-19/s150x150/20686861_266326457198291_3251743203207938048_a.jpg")</f>
        <v>https://scontent.cdninstagram.com/t51.2885-19/s150x150/20686861_266326457198291_3251743203207938048_a.jpg</v>
      </c>
    </row>
    <row r="5178" spans="1:31" ht="15" x14ac:dyDescent="0.25">
      <c r="A5178" t="s">
        <v>2474</v>
      </c>
      <c r="B5178" t="s">
        <v>27317</v>
      </c>
      <c r="C5178" s="221">
        <v>42984.99559027778</v>
      </c>
      <c r="D5178" t="s">
        <v>27318</v>
      </c>
      <c r="E5178" s="249" t="str">
        <f>HYPERLINK("https://www.instagram.com/p/BYubVrRgfjG/")</f>
        <v>https://www.instagram.com/p/BYubVrRgfjG/</v>
      </c>
      <c r="F5178" t="s">
        <v>27319</v>
      </c>
      <c r="G5178" t="s">
        <v>2478</v>
      </c>
      <c r="H5178">
        <v>69</v>
      </c>
      <c r="I5178" t="s">
        <v>2639</v>
      </c>
      <c r="J5178">
        <v>0</v>
      </c>
      <c r="K5178">
        <v>8</v>
      </c>
      <c r="L5178">
        <v>8</v>
      </c>
      <c r="Q5178">
        <v>0</v>
      </c>
      <c r="R5178">
        <v>0</v>
      </c>
      <c r="S5178">
        <v>8</v>
      </c>
      <c r="Y5178" t="s">
        <v>2562</v>
      </c>
      <c r="Z5178" t="s">
        <v>21546</v>
      </c>
      <c r="AA5178" t="s">
        <v>27320</v>
      </c>
      <c r="AB5178" t="s">
        <v>27321</v>
      </c>
      <c r="AC5178" t="s">
        <v>27322</v>
      </c>
      <c r="AD5178" s="249" t="str">
        <f>HYPERLINK("https://scontent.cdninstagram.com/t51.2885-15/s320x320/e35/21435494_1863502146999691_5885508163767107584_n.jpg")</f>
        <v>https://scontent.cdninstagram.com/t51.2885-15/s320x320/e35/21435494_1863502146999691_5885508163767107584_n.jpg</v>
      </c>
      <c r="AE5178" s="249" t="str">
        <f>HYPERLINK("https://scontent.cdninstagram.com/t51.2885-19/s150x150/20398490_2001962286704614_2018573120893353984_a.jpg")</f>
        <v>https://scontent.cdninstagram.com/t51.2885-19/s150x150/20398490_2001962286704614_2018573120893353984_a.jpg</v>
      </c>
    </row>
    <row r="5179" spans="1:31" ht="15" x14ac:dyDescent="0.25">
      <c r="A5179" t="s">
        <v>2474</v>
      </c>
      <c r="B5179" t="s">
        <v>4543</v>
      </c>
      <c r="C5179" s="221">
        <v>42985.000023148146</v>
      </c>
      <c r="D5179" t="s">
        <v>27323</v>
      </c>
      <c r="E5179" s="249" t="str">
        <f>HYPERLINK("https://www.instagram.com/p/BYucEa1g5dz/")</f>
        <v>https://www.instagram.com/p/BYucEa1g5dz/</v>
      </c>
      <c r="F5179" t="s">
        <v>27324</v>
      </c>
      <c r="G5179" t="s">
        <v>2478</v>
      </c>
      <c r="H5179">
        <v>51502</v>
      </c>
      <c r="I5179" t="s">
        <v>2479</v>
      </c>
      <c r="J5179">
        <v>67</v>
      </c>
      <c r="K5179">
        <v>2895</v>
      </c>
      <c r="L5179">
        <v>2962</v>
      </c>
      <c r="Q5179">
        <v>0</v>
      </c>
      <c r="R5179">
        <v>0</v>
      </c>
      <c r="S5179">
        <v>2962</v>
      </c>
      <c r="Y5179" t="s">
        <v>10546</v>
      </c>
      <c r="Z5179" t="s">
        <v>27325</v>
      </c>
      <c r="AA5179" t="s">
        <v>27326</v>
      </c>
      <c r="AB5179" t="s">
        <v>22015</v>
      </c>
      <c r="AC5179" t="s">
        <v>27327</v>
      </c>
      <c r="AD5179" s="249" t="str">
        <f>HYPERLINK("https://scontent.cdninstagram.com/t51.2885-15/e35/p320x320/21434175_117602392293880_2224358631975944192_n.jpg")</f>
        <v>https://scontent.cdninstagram.com/t51.2885-15/e35/p320x320/21434175_117602392293880_2224358631975944192_n.jpg</v>
      </c>
      <c r="AE5179" s="249" t="str">
        <f>HYPERLINK("https://scontent.cdninstagram.com/t51.2885-19/s150x150/19761795_1388053727930717_4754212395021238272_n.jpg")</f>
        <v>https://scontent.cdninstagram.com/t51.2885-19/s150x150/19761795_1388053727930717_4754212395021238272_n.jpg</v>
      </c>
    </row>
    <row r="5180" spans="1:31" ht="15" x14ac:dyDescent="0.25">
      <c r="A5180" t="s">
        <v>2474</v>
      </c>
      <c r="B5180" t="s">
        <v>27328</v>
      </c>
      <c r="C5180" s="221">
        <v>42985.007037037038</v>
      </c>
      <c r="D5180" t="s">
        <v>27329</v>
      </c>
      <c r="E5180" s="249" t="str">
        <f>HYPERLINK("https://www.instagram.com/p/BYudOYJgwKv/")</f>
        <v>https://www.instagram.com/p/BYudOYJgwKv/</v>
      </c>
      <c r="F5180" t="s">
        <v>27330</v>
      </c>
      <c r="G5180" t="s">
        <v>2478</v>
      </c>
      <c r="H5180">
        <v>80</v>
      </c>
      <c r="I5180" t="s">
        <v>4052</v>
      </c>
      <c r="J5180">
        <v>2</v>
      </c>
      <c r="K5180">
        <v>14</v>
      </c>
      <c r="L5180">
        <v>16</v>
      </c>
      <c r="Q5180">
        <v>0</v>
      </c>
      <c r="R5180">
        <v>0</v>
      </c>
      <c r="S5180">
        <v>16</v>
      </c>
      <c r="Y5180" t="s">
        <v>2497</v>
      </c>
      <c r="Z5180" t="s">
        <v>3982</v>
      </c>
      <c r="AA5180" t="s">
        <v>13689</v>
      </c>
      <c r="AD5180" s="249" t="str">
        <f>HYPERLINK("https://scontent.cdninstagram.com/t51.2885-15/s320x320/e35/21373754_878025955689550_3513964172243107840_n.jpg")</f>
        <v>https://scontent.cdninstagram.com/t51.2885-15/s320x320/e35/21373754_878025955689550_3513964172243107840_n.jpg</v>
      </c>
      <c r="AE5180" s="249" t="str">
        <f>HYPERLINK("https://scontent.cdninstagram.com/t51.2885-19/s150x150/19534628_504192009917083_4018992716401606656_a.jpg")</f>
        <v>https://scontent.cdninstagram.com/t51.2885-19/s150x150/19534628_504192009917083_4018992716401606656_a.jpg</v>
      </c>
    </row>
    <row r="5181" spans="1:31" ht="15" x14ac:dyDescent="0.25">
      <c r="A5181" t="s">
        <v>2474</v>
      </c>
      <c r="B5181" t="s">
        <v>17177</v>
      </c>
      <c r="C5181" s="221">
        <v>42985.009293981479</v>
      </c>
      <c r="D5181" t="s">
        <v>27331</v>
      </c>
      <c r="E5181" s="249" t="str">
        <f>HYPERLINK("https://www.instagram.com/p/BYudmHjlL8r/")</f>
        <v>https://www.instagram.com/p/BYudmHjlL8r/</v>
      </c>
      <c r="F5181" t="s">
        <v>27332</v>
      </c>
      <c r="G5181" t="s">
        <v>2478</v>
      </c>
      <c r="H5181">
        <v>213</v>
      </c>
      <c r="I5181" t="s">
        <v>2479</v>
      </c>
      <c r="J5181">
        <v>6</v>
      </c>
      <c r="K5181">
        <v>61</v>
      </c>
      <c r="L5181">
        <v>67</v>
      </c>
      <c r="Q5181">
        <v>0</v>
      </c>
      <c r="R5181">
        <v>0</v>
      </c>
      <c r="S5181">
        <v>67</v>
      </c>
      <c r="AD5181" s="249" t="str">
        <f>HYPERLINK("https://scontent.cdninstagram.com/t51.2885-15/s320x320/e35/21434057_136242473657295_4034390577884692480_n.jpg")</f>
        <v>https://scontent.cdninstagram.com/t51.2885-15/s320x320/e35/21434057_136242473657295_4034390577884692480_n.jpg</v>
      </c>
      <c r="AE5181" s="249" t="str">
        <f>HYPERLINK("https://scontent.cdninstagram.com/t51.2885-19/s150x150/20905166_1280234472105463_6296656561150361600_a.jpg")</f>
        <v>https://scontent.cdninstagram.com/t51.2885-19/s150x150/20905166_1280234472105463_6296656561150361600_a.jpg</v>
      </c>
    </row>
    <row r="5182" spans="1:31" ht="15" x14ac:dyDescent="0.25">
      <c r="A5182" t="s">
        <v>2474</v>
      </c>
      <c r="B5182" t="s">
        <v>26420</v>
      </c>
      <c r="C5182" s="221">
        <v>42985.010347222225</v>
      </c>
      <c r="D5182" t="s">
        <v>27333</v>
      </c>
      <c r="E5182" s="249" t="str">
        <f>HYPERLINK("https://www.instagram.com/p/BYudxQnHaJ1/")</f>
        <v>https://www.instagram.com/p/BYudxQnHaJ1/</v>
      </c>
      <c r="F5182" t="s">
        <v>27334</v>
      </c>
      <c r="G5182" t="s">
        <v>2478</v>
      </c>
      <c r="H5182">
        <v>28</v>
      </c>
      <c r="I5182" t="s">
        <v>2479</v>
      </c>
      <c r="J5182">
        <v>0</v>
      </c>
      <c r="K5182">
        <v>8</v>
      </c>
      <c r="L5182">
        <v>8</v>
      </c>
      <c r="Q5182">
        <v>0</v>
      </c>
      <c r="R5182">
        <v>0</v>
      </c>
      <c r="S5182">
        <v>8</v>
      </c>
      <c r="Y5182" t="s">
        <v>2911</v>
      </c>
      <c r="Z5182" t="s">
        <v>3982</v>
      </c>
      <c r="AA5182" t="s">
        <v>9265</v>
      </c>
      <c r="AB5182" t="s">
        <v>2735</v>
      </c>
      <c r="AC5182" t="s">
        <v>26423</v>
      </c>
      <c r="AD5182" s="249" t="str">
        <f>HYPERLINK("https://scontent.cdninstagram.com/t51.2885-15/s320x320/e35/21433295_470316113341088_5549332676848123904_n.jpg")</f>
        <v>https://scontent.cdninstagram.com/t51.2885-15/s320x320/e35/21433295_470316113341088_5549332676848123904_n.jpg</v>
      </c>
      <c r="AE5182" s="249" t="str">
        <f>HYPERLINK("https://scontent.cdninstagram.com/t51.2885-19/s150x150/21372602_170168536866275_1591779463320829952_a.jpg")</f>
        <v>https://scontent.cdninstagram.com/t51.2885-19/s150x150/21372602_170168536866275_1591779463320829952_a.jpg</v>
      </c>
    </row>
    <row r="5183" spans="1:31" ht="15" x14ac:dyDescent="0.25">
      <c r="A5183" t="s">
        <v>2474</v>
      </c>
      <c r="B5183" t="s">
        <v>20224</v>
      </c>
      <c r="C5183" s="221">
        <v>42985.01353009259</v>
      </c>
      <c r="D5183" t="s">
        <v>27335</v>
      </c>
      <c r="E5183" s="249" t="str">
        <f>HYPERLINK("https://www.instagram.com/p/BYueSyFl8Q7/")</f>
        <v>https://www.instagram.com/p/BYueSyFl8Q7/</v>
      </c>
      <c r="F5183" t="s">
        <v>27336</v>
      </c>
      <c r="G5183" t="s">
        <v>2478</v>
      </c>
      <c r="H5183">
        <v>773</v>
      </c>
      <c r="I5183" t="s">
        <v>2479</v>
      </c>
      <c r="J5183">
        <v>0</v>
      </c>
      <c r="K5183">
        <v>7</v>
      </c>
      <c r="L5183">
        <v>7</v>
      </c>
      <c r="Q5183">
        <v>0</v>
      </c>
      <c r="R5183">
        <v>0</v>
      </c>
      <c r="S5183">
        <v>7</v>
      </c>
      <c r="Y5183" t="s">
        <v>11792</v>
      </c>
      <c r="Z5183" t="s">
        <v>2497</v>
      </c>
      <c r="AA5183" t="s">
        <v>27337</v>
      </c>
      <c r="AB5183" t="s">
        <v>8013</v>
      </c>
      <c r="AC5183" t="s">
        <v>27338</v>
      </c>
      <c r="AD5183" s="249" t="str">
        <f>HYPERLINK("https://scontent.cdninstagram.com/t51.2885-15/s320x320/e35/21433320_1426228640828134_7991578972594896896_n.jpg")</f>
        <v>https://scontent.cdninstagram.com/t51.2885-15/s320x320/e35/21433320_1426228640828134_7991578972594896896_n.jpg</v>
      </c>
      <c r="AE5183" s="249" t="str">
        <f>HYPERLINK("https://scontent.cdninstagram.com/t51.2885-19/s150x150/21576390_143426622926773_5087595440233250816_n.jpg")</f>
        <v>https://scontent.cdninstagram.com/t51.2885-19/s150x150/21576390_143426622926773_5087595440233250816_n.jpg</v>
      </c>
    </row>
    <row r="5184" spans="1:31" ht="15" x14ac:dyDescent="0.25">
      <c r="A5184" t="s">
        <v>2474</v>
      </c>
      <c r="B5184" t="s">
        <v>27339</v>
      </c>
      <c r="C5184" s="221">
        <v>42985.024398148147</v>
      </c>
      <c r="D5184" t="s">
        <v>27340</v>
      </c>
      <c r="E5184" s="249" t="str">
        <f>HYPERLINK("https://www.instagram.com/p/BYugFcCFYve/")</f>
        <v>https://www.instagram.com/p/BYugFcCFYve/</v>
      </c>
      <c r="F5184" t="s">
        <v>27341</v>
      </c>
      <c r="G5184" t="s">
        <v>2631</v>
      </c>
      <c r="H5184">
        <v>3266</v>
      </c>
      <c r="I5184" t="s">
        <v>2903</v>
      </c>
      <c r="J5184">
        <v>2</v>
      </c>
      <c r="K5184">
        <v>18</v>
      </c>
      <c r="L5184">
        <v>20</v>
      </c>
      <c r="Q5184">
        <v>0</v>
      </c>
      <c r="R5184">
        <v>0</v>
      </c>
      <c r="S5184">
        <v>20</v>
      </c>
      <c r="Y5184" t="s">
        <v>2497</v>
      </c>
      <c r="Z5184" t="s">
        <v>27342</v>
      </c>
      <c r="AD5184" s="249" t="str">
        <f>HYPERLINK("https://scontent.cdninstagram.com/t51.2885-15/s320x320/e15/21433553_1729614750668611_6508431468551733248_n.jpg")</f>
        <v>https://scontent.cdninstagram.com/t51.2885-15/s320x320/e15/21433553_1729614750668611_6508431468551733248_n.jpg</v>
      </c>
      <c r="AE5184" s="249" t="str">
        <f>HYPERLINK("https://scontent.cdninstagram.com/t51.2885-19/s150x150/16583842_255062761599320_4475928991328370688_a.jpg")</f>
        <v>https://scontent.cdninstagram.com/t51.2885-19/s150x150/16583842_255062761599320_4475928991328370688_a.jpg</v>
      </c>
    </row>
    <row r="5185" spans="1:31" ht="15" x14ac:dyDescent="0.25">
      <c r="A5185" t="s">
        <v>2474</v>
      </c>
      <c r="B5185" t="s">
        <v>27343</v>
      </c>
      <c r="C5185" s="221">
        <v>42985.030590277776</v>
      </c>
      <c r="D5185" t="s">
        <v>27344</v>
      </c>
      <c r="E5185" s="249" t="str">
        <f>HYPERLINK("https://www.instagram.com/p/BYuhGyMHdDC/")</f>
        <v>https://www.instagram.com/p/BYuhGyMHdDC/</v>
      </c>
      <c r="F5185" t="s">
        <v>27345</v>
      </c>
      <c r="G5185" t="s">
        <v>2478</v>
      </c>
      <c r="H5185">
        <v>249</v>
      </c>
      <c r="I5185" t="s">
        <v>3273</v>
      </c>
      <c r="J5185">
        <v>0</v>
      </c>
      <c r="K5185">
        <v>17</v>
      </c>
      <c r="L5185">
        <v>17</v>
      </c>
      <c r="Q5185">
        <v>0</v>
      </c>
      <c r="R5185">
        <v>0</v>
      </c>
      <c r="S5185">
        <v>17</v>
      </c>
      <c r="Y5185" t="s">
        <v>27346</v>
      </c>
      <c r="Z5185" t="s">
        <v>2497</v>
      </c>
      <c r="AA5185" t="s">
        <v>4154</v>
      </c>
      <c r="AB5185" t="s">
        <v>3225</v>
      </c>
      <c r="AC5185" t="s">
        <v>4993</v>
      </c>
      <c r="AD5185" s="249" t="str">
        <f>HYPERLINK("https://scontent.cdninstagram.com/t51.2885-15/s320x320/e35/21435629_1463843083700172_7502207534145470464_n.jpg")</f>
        <v>https://scontent.cdninstagram.com/t51.2885-15/s320x320/e35/21435629_1463843083700172_7502207534145470464_n.jpg</v>
      </c>
      <c r="AE5185" s="249" t="str">
        <f>HYPERLINK("https://scontent.cdninstagram.com/t51.2885-19/11887243_1674799206072629_1903247227_a.jpg")</f>
        <v>https://scontent.cdninstagram.com/t51.2885-19/11887243_1674799206072629_1903247227_a.jpg</v>
      </c>
    </row>
    <row r="5186" spans="1:31" ht="15" x14ac:dyDescent="0.25">
      <c r="A5186" t="s">
        <v>2474</v>
      </c>
      <c r="B5186" t="s">
        <v>6847</v>
      </c>
      <c r="C5186" s="221">
        <v>42985.032256944447</v>
      </c>
      <c r="D5186" t="s">
        <v>27347</v>
      </c>
      <c r="E5186" s="249" t="str">
        <f>HYPERLINK("https://www.instagram.com/p/BYuhYUIBSNS/")</f>
        <v>https://www.instagram.com/p/BYuhYUIBSNS/</v>
      </c>
      <c r="F5186" t="s">
        <v>27348</v>
      </c>
      <c r="G5186" t="s">
        <v>2478</v>
      </c>
      <c r="H5186">
        <v>148</v>
      </c>
      <c r="I5186" t="s">
        <v>2479</v>
      </c>
      <c r="J5186">
        <v>1</v>
      </c>
      <c r="K5186">
        <v>31</v>
      </c>
      <c r="L5186">
        <v>32</v>
      </c>
      <c r="Q5186">
        <v>0</v>
      </c>
      <c r="R5186">
        <v>0</v>
      </c>
      <c r="S5186">
        <v>32</v>
      </c>
      <c r="T5186" t="s">
        <v>6850</v>
      </c>
      <c r="V5186" t="s">
        <v>2161</v>
      </c>
      <c r="W5186">
        <v>50.95</v>
      </c>
      <c r="X5186">
        <v>6.9667000000000003</v>
      </c>
      <c r="Y5186" t="s">
        <v>2497</v>
      </c>
      <c r="Z5186" t="s">
        <v>27349</v>
      </c>
      <c r="AA5186" t="s">
        <v>4042</v>
      </c>
      <c r="AB5186" t="s">
        <v>27350</v>
      </c>
      <c r="AC5186" t="s">
        <v>27351</v>
      </c>
      <c r="AD5186" s="249" t="str">
        <f>HYPERLINK("https://scontent.cdninstagram.com/t51.2885-15/s320x320/e35/21433785_145721309355943_1654993994574200832_n.jpg")</f>
        <v>https://scontent.cdninstagram.com/t51.2885-15/s320x320/e35/21433785_145721309355943_1654993994574200832_n.jpg</v>
      </c>
      <c r="AE5186" s="249" t="str">
        <f>HYPERLINK("https://scontent.cdninstagram.com/t51.2885-19/s150x150/21227085_490035654689267_1134010918221381632_a.jpg")</f>
        <v>https://scontent.cdninstagram.com/t51.2885-19/s150x150/21227085_490035654689267_1134010918221381632_a.jpg</v>
      </c>
    </row>
    <row r="5187" spans="1:31" ht="15" x14ac:dyDescent="0.25">
      <c r="A5187" t="s">
        <v>2474</v>
      </c>
      <c r="B5187" t="s">
        <v>27352</v>
      </c>
      <c r="C5187" s="221">
        <v>42985.034733796296</v>
      </c>
      <c r="D5187" t="s">
        <v>27353</v>
      </c>
      <c r="E5187" s="249" t="str">
        <f>HYPERLINK("https://www.instagram.com/p/BYuhya6jTRl/")</f>
        <v>https://www.instagram.com/p/BYuhya6jTRl/</v>
      </c>
      <c r="F5187" t="s">
        <v>27354</v>
      </c>
      <c r="G5187" t="s">
        <v>2478</v>
      </c>
      <c r="H5187">
        <v>15</v>
      </c>
      <c r="I5187" t="s">
        <v>2542</v>
      </c>
      <c r="J5187">
        <v>0</v>
      </c>
      <c r="K5187">
        <v>13</v>
      </c>
      <c r="L5187">
        <v>13</v>
      </c>
      <c r="Q5187">
        <v>0</v>
      </c>
      <c r="R5187">
        <v>0</v>
      </c>
      <c r="S5187">
        <v>13</v>
      </c>
      <c r="Y5187" t="s">
        <v>7692</v>
      </c>
      <c r="Z5187" t="s">
        <v>9963</v>
      </c>
      <c r="AA5187" t="s">
        <v>27355</v>
      </c>
      <c r="AB5187" t="s">
        <v>4207</v>
      </c>
      <c r="AC5187" t="s">
        <v>27356</v>
      </c>
      <c r="AD5187" s="249" t="str">
        <f>HYPERLINK("https://scontent.cdninstagram.com/t51.2885-15/e35/p320x320/21435763_200405573832309_1977788094270668800_n.jpg")</f>
        <v>https://scontent.cdninstagram.com/t51.2885-15/e35/p320x320/21435763_200405573832309_1977788094270668800_n.jpg</v>
      </c>
      <c r="AE5187" s="249" t="str">
        <f>HYPERLINK("https://scontent.cdninstagram.com/t51.2885-19/s150x150/21041468_349987258779400_1188123052269895680_a.jpg")</f>
        <v>https://scontent.cdninstagram.com/t51.2885-19/s150x150/21041468_349987258779400_1188123052269895680_a.jpg</v>
      </c>
    </row>
    <row r="5188" spans="1:31" ht="15" x14ac:dyDescent="0.25">
      <c r="A5188" t="s">
        <v>2474</v>
      </c>
      <c r="B5188" t="s">
        <v>27357</v>
      </c>
      <c r="C5188" s="221">
        <v>42985.035000000003</v>
      </c>
      <c r="D5188" t="s">
        <v>27358</v>
      </c>
      <c r="E5188" s="249" t="str">
        <f>HYPERLINK("https://www.instagram.com/p/BYuh1RWF6AR/")</f>
        <v>https://www.instagram.com/p/BYuh1RWF6AR/</v>
      </c>
      <c r="F5188" t="s">
        <v>27359</v>
      </c>
      <c r="G5188" t="s">
        <v>2478</v>
      </c>
      <c r="H5188">
        <v>6</v>
      </c>
      <c r="I5188" t="s">
        <v>2479</v>
      </c>
      <c r="J5188">
        <v>3</v>
      </c>
      <c r="K5188">
        <v>24</v>
      </c>
      <c r="L5188">
        <v>27</v>
      </c>
      <c r="Q5188">
        <v>0</v>
      </c>
      <c r="R5188">
        <v>0</v>
      </c>
      <c r="S5188">
        <v>27</v>
      </c>
      <c r="Y5188" t="s">
        <v>27360</v>
      </c>
      <c r="Z5188" t="s">
        <v>27361</v>
      </c>
      <c r="AA5188" t="s">
        <v>2497</v>
      </c>
      <c r="AB5188" t="s">
        <v>2513</v>
      </c>
      <c r="AC5188" t="s">
        <v>4369</v>
      </c>
      <c r="AD5188" s="249" t="str">
        <f>HYPERLINK("https://scontent.cdninstagram.com/t51.2885-15/s320x320/e35/21372931_116388782403910_2352287651681271808_n.jpg")</f>
        <v>https://scontent.cdninstagram.com/t51.2885-15/s320x320/e35/21372931_116388782403910_2352287651681271808_n.jpg</v>
      </c>
      <c r="AE5188" s="249" t="str">
        <f>HYPERLINK("https://scontent.cdninstagram.com/t51.2885-19/s150x150/21434225_343162519463585_1548040499925876736_a.jpg")</f>
        <v>https://scontent.cdninstagram.com/t51.2885-19/s150x150/21434225_343162519463585_1548040499925876736_a.jpg</v>
      </c>
    </row>
    <row r="5189" spans="1:31" ht="15" x14ac:dyDescent="0.25">
      <c r="A5189" t="s">
        <v>2474</v>
      </c>
      <c r="B5189" t="s">
        <v>27362</v>
      </c>
      <c r="C5189" s="221">
        <v>42985.03533564815</v>
      </c>
      <c r="D5189" t="s">
        <v>27363</v>
      </c>
      <c r="E5189" s="249" t="str">
        <f>HYPERLINK("https://www.instagram.com/p/BYuh4v4DtVt/")</f>
        <v>https://www.instagram.com/p/BYuh4v4DtVt/</v>
      </c>
      <c r="F5189" t="s">
        <v>27364</v>
      </c>
      <c r="G5189" t="s">
        <v>2478</v>
      </c>
      <c r="H5189">
        <v>390</v>
      </c>
      <c r="I5189" t="s">
        <v>2479</v>
      </c>
      <c r="J5189">
        <v>2</v>
      </c>
      <c r="K5189">
        <v>85</v>
      </c>
      <c r="L5189">
        <v>87</v>
      </c>
      <c r="Q5189">
        <v>0</v>
      </c>
      <c r="R5189">
        <v>0</v>
      </c>
      <c r="S5189">
        <v>87</v>
      </c>
      <c r="Y5189" t="s">
        <v>27365</v>
      </c>
      <c r="Z5189" t="s">
        <v>16867</v>
      </c>
      <c r="AA5189" t="s">
        <v>2483</v>
      </c>
      <c r="AB5189" t="s">
        <v>2730</v>
      </c>
      <c r="AC5189" t="s">
        <v>3006</v>
      </c>
      <c r="AD5189" s="249" t="str">
        <f>HYPERLINK("https://scontent.cdninstagram.com/t51.2885-15/s320x320/e35/21373469_529161970760895_3209192275011698688_n.jpg")</f>
        <v>https://scontent.cdninstagram.com/t51.2885-15/s320x320/e35/21373469_529161970760895_3209192275011698688_n.jpg</v>
      </c>
      <c r="AE5189" s="249" t="str">
        <f>HYPERLINK("https://scontent.cdninstagram.com/t51.2885-19/s150x150/20905635_454500028270137_1457494613571928064_a.jpg")</f>
        <v>https://scontent.cdninstagram.com/t51.2885-19/s150x150/20905635_454500028270137_1457494613571928064_a.jpg</v>
      </c>
    </row>
    <row r="5190" spans="1:31" ht="15" x14ac:dyDescent="0.25">
      <c r="A5190" t="s">
        <v>2474</v>
      </c>
      <c r="B5190" t="s">
        <v>11727</v>
      </c>
      <c r="C5190" s="221">
        <v>42985.038715277777</v>
      </c>
      <c r="D5190" t="s">
        <v>27366</v>
      </c>
      <c r="E5190" s="249" t="str">
        <f>HYPERLINK("https://www.instagram.com/p/BYuicd4Hhhh/")</f>
        <v>https://www.instagram.com/p/BYuicd4Hhhh/</v>
      </c>
      <c r="F5190" t="s">
        <v>27367</v>
      </c>
      <c r="G5190" t="s">
        <v>2478</v>
      </c>
      <c r="H5190">
        <v>1758</v>
      </c>
      <c r="I5190" t="s">
        <v>2479</v>
      </c>
      <c r="J5190">
        <v>6</v>
      </c>
      <c r="K5190">
        <v>294</v>
      </c>
      <c r="L5190">
        <v>300</v>
      </c>
      <c r="Q5190">
        <v>0</v>
      </c>
      <c r="R5190">
        <v>0</v>
      </c>
      <c r="S5190">
        <v>300</v>
      </c>
      <c r="Y5190" t="s">
        <v>5168</v>
      </c>
      <c r="Z5190" t="s">
        <v>4708</v>
      </c>
      <c r="AA5190" t="s">
        <v>27368</v>
      </c>
      <c r="AB5190" t="s">
        <v>27369</v>
      </c>
      <c r="AC5190" t="s">
        <v>27370</v>
      </c>
      <c r="AD5190" s="249" t="str">
        <f>HYPERLINK("https://scontent.cdninstagram.com/t51.2885-15/s320x320/e35/21480472_157900651455763_1741407396539924480_n.jpg")</f>
        <v>https://scontent.cdninstagram.com/t51.2885-15/s320x320/e35/21480472_157900651455763_1741407396539924480_n.jpg</v>
      </c>
      <c r="AE5190" s="249" t="str">
        <f>HYPERLINK("https://scontent.cdninstagram.com/t51.2885-19/s150x150/19121046_435535650173459_6799200389418713088_a.jpg")</f>
        <v>https://scontent.cdninstagram.com/t51.2885-19/s150x150/19121046_435535650173459_6799200389418713088_a.jpg</v>
      </c>
    </row>
    <row r="5191" spans="1:31" ht="15" x14ac:dyDescent="0.25">
      <c r="A5191" t="s">
        <v>2474</v>
      </c>
      <c r="B5191" t="s">
        <v>26420</v>
      </c>
      <c r="C5191" s="221">
        <v>42985.039837962962</v>
      </c>
      <c r="D5191" t="s">
        <v>27371</v>
      </c>
      <c r="E5191" s="249" t="str">
        <f>HYPERLINK("https://www.instagram.com/p/BYuioRaH6Lm/")</f>
        <v>https://www.instagram.com/p/BYuioRaH6Lm/</v>
      </c>
      <c r="F5191" t="s">
        <v>27372</v>
      </c>
      <c r="G5191" t="s">
        <v>2478</v>
      </c>
      <c r="H5191">
        <v>30</v>
      </c>
      <c r="I5191" t="s">
        <v>2479</v>
      </c>
      <c r="J5191">
        <v>1</v>
      </c>
      <c r="K5191">
        <v>30</v>
      </c>
      <c r="L5191">
        <v>31</v>
      </c>
      <c r="Q5191">
        <v>0</v>
      </c>
      <c r="R5191">
        <v>0</v>
      </c>
      <c r="S5191">
        <v>31</v>
      </c>
      <c r="Y5191" t="s">
        <v>27365</v>
      </c>
      <c r="Z5191" t="s">
        <v>16867</v>
      </c>
      <c r="AA5191" t="s">
        <v>2483</v>
      </c>
      <c r="AB5191" t="s">
        <v>2730</v>
      </c>
      <c r="AC5191" t="s">
        <v>3006</v>
      </c>
      <c r="AD5191" s="249" t="str">
        <f>HYPERLINK("https://scontent.cdninstagram.com/t51.2885-15/s320x320/e35/21433423_1420191428088004_2251089993030172672_n.jpg")</f>
        <v>https://scontent.cdninstagram.com/t51.2885-15/s320x320/e35/21433423_1420191428088004_2251089993030172672_n.jpg</v>
      </c>
      <c r="AE5191" s="249" t="str">
        <f>HYPERLINK("https://scontent.cdninstagram.com/t51.2885-19/s150x150/21372602_170168536866275_1591779463320829952_a.jpg")</f>
        <v>https://scontent.cdninstagram.com/t51.2885-19/s150x150/21372602_170168536866275_1591779463320829952_a.jpg</v>
      </c>
    </row>
    <row r="5192" spans="1:31" ht="15" x14ac:dyDescent="0.25">
      <c r="A5192" t="s">
        <v>2474</v>
      </c>
      <c r="B5192" t="s">
        <v>27373</v>
      </c>
      <c r="C5192" s="221">
        <v>42985.042696759258</v>
      </c>
      <c r="D5192" t="s">
        <v>27374</v>
      </c>
      <c r="E5192" s="249" t="str">
        <f>HYPERLINK("https://www.instagram.com/p/BYujGgXA-cC/")</f>
        <v>https://www.instagram.com/p/BYujGgXA-cC/</v>
      </c>
      <c r="F5192" t="s">
        <v>27375</v>
      </c>
      <c r="G5192" t="s">
        <v>2478</v>
      </c>
      <c r="H5192">
        <v>212</v>
      </c>
      <c r="I5192" t="s">
        <v>2910</v>
      </c>
      <c r="J5192">
        <v>0</v>
      </c>
      <c r="K5192">
        <v>39</v>
      </c>
      <c r="L5192">
        <v>39</v>
      </c>
      <c r="Q5192">
        <v>0</v>
      </c>
      <c r="R5192">
        <v>0</v>
      </c>
      <c r="S5192">
        <v>39</v>
      </c>
      <c r="Y5192" t="s">
        <v>27376</v>
      </c>
      <c r="Z5192" t="s">
        <v>27377</v>
      </c>
      <c r="AA5192" t="s">
        <v>2949</v>
      </c>
      <c r="AB5192" t="s">
        <v>2497</v>
      </c>
      <c r="AC5192" t="s">
        <v>11768</v>
      </c>
      <c r="AD5192" s="249" t="str">
        <f>HYPERLINK("https://scontent.cdninstagram.com/t51.2885-15/s320x320/e35/21435356_1846093035406357_4111914741872459776_n.jpg")</f>
        <v>https://scontent.cdninstagram.com/t51.2885-15/s320x320/e35/21435356_1846093035406357_4111914741872459776_n.jpg</v>
      </c>
      <c r="AE5192" s="249" t="str">
        <f>HYPERLINK("https://scontent.cdninstagram.com/t51.2885-19/s150x150/17818829_128189597727043_3279633685741043712_a.jpg")</f>
        <v>https://scontent.cdninstagram.com/t51.2885-19/s150x150/17818829_128189597727043_3279633685741043712_a.jpg</v>
      </c>
    </row>
    <row r="5193" spans="1:31" ht="15" x14ac:dyDescent="0.25">
      <c r="A5193" t="s">
        <v>2474</v>
      </c>
      <c r="B5193" t="s">
        <v>2873</v>
      </c>
      <c r="C5193" s="221">
        <v>42985.066157407404</v>
      </c>
      <c r="D5193" t="s">
        <v>27378</v>
      </c>
      <c r="E5193" s="249" t="str">
        <f>HYPERLINK("https://www.instagram.com/p/BYum96yFN_0/")</f>
        <v>https://www.instagram.com/p/BYum96yFN_0/</v>
      </c>
      <c r="F5193" t="s">
        <v>27379</v>
      </c>
      <c r="G5193" t="s">
        <v>2478</v>
      </c>
      <c r="H5193">
        <v>2678</v>
      </c>
      <c r="I5193" t="s">
        <v>2479</v>
      </c>
      <c r="J5193">
        <v>1</v>
      </c>
      <c r="K5193">
        <v>132</v>
      </c>
      <c r="L5193">
        <v>133</v>
      </c>
      <c r="Q5193">
        <v>0</v>
      </c>
      <c r="R5193">
        <v>0</v>
      </c>
      <c r="S5193">
        <v>133</v>
      </c>
      <c r="Y5193" t="s">
        <v>5383</v>
      </c>
      <c r="Z5193" t="s">
        <v>27380</v>
      </c>
      <c r="AA5193" t="s">
        <v>27381</v>
      </c>
      <c r="AB5193" t="s">
        <v>27382</v>
      </c>
      <c r="AC5193" t="s">
        <v>27383</v>
      </c>
      <c r="AD5193" s="249" t="str">
        <f>HYPERLINK("https://scontent.cdninstagram.com/t51.2885-15/s320x320/e35/21436217_1070189149783569_7867950860125339648_n.jpg")</f>
        <v>https://scontent.cdninstagram.com/t51.2885-15/s320x320/e35/21436217_1070189149783569_7867950860125339648_n.jpg</v>
      </c>
      <c r="AE5193" s="249" t="str">
        <f>HYPERLINK("https://scontent.cdninstagram.com/t51.2885-19/s150x150/14723181_1238199739572953_5424221452041715712_n.jpg")</f>
        <v>https://scontent.cdninstagram.com/t51.2885-19/s150x150/14723181_1238199739572953_5424221452041715712_n.jpg</v>
      </c>
    </row>
    <row r="5194" spans="1:31" ht="15" x14ac:dyDescent="0.25">
      <c r="A5194" t="s">
        <v>2474</v>
      </c>
      <c r="B5194" t="s">
        <v>19639</v>
      </c>
      <c r="C5194" s="221">
        <v>42985.086134259262</v>
      </c>
      <c r="D5194" t="s">
        <v>27384</v>
      </c>
      <c r="E5194" s="249" t="str">
        <f>HYPERLINK("https://www.instagram.com/p/BYuqQk1Hgjw/")</f>
        <v>https://www.instagram.com/p/BYuqQk1Hgjw/</v>
      </c>
      <c r="F5194" t="s">
        <v>27385</v>
      </c>
      <c r="G5194" t="s">
        <v>2478</v>
      </c>
      <c r="H5194">
        <v>9</v>
      </c>
      <c r="I5194" t="s">
        <v>2479</v>
      </c>
      <c r="J5194">
        <v>0</v>
      </c>
      <c r="K5194">
        <v>18</v>
      </c>
      <c r="L5194">
        <v>18</v>
      </c>
      <c r="Q5194">
        <v>0</v>
      </c>
      <c r="R5194">
        <v>0</v>
      </c>
      <c r="S5194">
        <v>18</v>
      </c>
      <c r="Y5194" t="s">
        <v>6366</v>
      </c>
      <c r="Z5194" t="s">
        <v>22487</v>
      </c>
      <c r="AA5194" t="s">
        <v>3117</v>
      </c>
      <c r="AB5194" t="s">
        <v>19943</v>
      </c>
      <c r="AC5194" t="s">
        <v>27386</v>
      </c>
      <c r="AD5194" s="249" t="str">
        <f>HYPERLINK("https://scontent.cdninstagram.com/t51.2885-15/s320x320/e35/21373352_1543098192416932_7856206813220306944_n.jpg")</f>
        <v>https://scontent.cdninstagram.com/t51.2885-15/s320x320/e35/21373352_1543098192416932_7856206813220306944_n.jpg</v>
      </c>
      <c r="AE5194" s="249" t="str">
        <f>HYPERLINK("https://scontent.cdninstagram.com/t51.2885-19/s150x150/20686926_510088886001218_5946672659885457408_a.jpg")</f>
        <v>https://scontent.cdninstagram.com/t51.2885-19/s150x150/20686926_510088886001218_5946672659885457408_a.jpg</v>
      </c>
    </row>
    <row r="5195" spans="1:31" ht="15" x14ac:dyDescent="0.25">
      <c r="A5195" t="s">
        <v>2474</v>
      </c>
      <c r="B5195" t="s">
        <v>27387</v>
      </c>
      <c r="C5195" s="221">
        <v>42985.089537037034</v>
      </c>
      <c r="D5195" t="s">
        <v>27388</v>
      </c>
      <c r="E5195" s="249" t="str">
        <f>HYPERLINK("https://www.instagram.com/p/BYuq0hdA6yN/")</f>
        <v>https://www.instagram.com/p/BYuq0hdA6yN/</v>
      </c>
      <c r="F5195" t="s">
        <v>27389</v>
      </c>
      <c r="G5195" t="s">
        <v>2478</v>
      </c>
      <c r="H5195">
        <v>1855</v>
      </c>
      <c r="I5195" t="s">
        <v>2479</v>
      </c>
      <c r="J5195">
        <v>13</v>
      </c>
      <c r="K5195">
        <v>166</v>
      </c>
      <c r="L5195">
        <v>179</v>
      </c>
      <c r="Q5195">
        <v>0</v>
      </c>
      <c r="R5195">
        <v>0</v>
      </c>
      <c r="S5195">
        <v>179</v>
      </c>
      <c r="T5195" t="s">
        <v>27390</v>
      </c>
      <c r="V5195" t="s">
        <v>2264</v>
      </c>
      <c r="W5195">
        <v>42.2920303</v>
      </c>
      <c r="X5195">
        <v>-4.1258302000000002</v>
      </c>
      <c r="Y5195" t="s">
        <v>6323</v>
      </c>
      <c r="Z5195" t="s">
        <v>3945</v>
      </c>
      <c r="AA5195" t="s">
        <v>2497</v>
      </c>
      <c r="AB5195" t="s">
        <v>22523</v>
      </c>
      <c r="AC5195" t="s">
        <v>21297</v>
      </c>
      <c r="AD5195" s="249" t="str">
        <f>HYPERLINK("https://scontent.cdninstagram.com/t51.2885-15/s320x320/e35/21435749_1530675153667841_2068718951428259840_n.jpg")</f>
        <v>https://scontent.cdninstagram.com/t51.2885-15/s320x320/e35/21435749_1530675153667841_2068718951428259840_n.jpg</v>
      </c>
      <c r="AE5195" s="249" t="str">
        <f>HYPERLINK("https://scontent.cdninstagram.com/t51.2885-19/s150x150/16788996_1743263292669926_5484581779958398976_a.jpg")</f>
        <v>https://scontent.cdninstagram.com/t51.2885-19/s150x150/16788996_1743263292669926_5484581779958398976_a.jpg</v>
      </c>
    </row>
    <row r="5196" spans="1:31" ht="15" x14ac:dyDescent="0.25">
      <c r="A5196" t="s">
        <v>2474</v>
      </c>
      <c r="B5196" t="s">
        <v>8312</v>
      </c>
      <c r="C5196" s="221">
        <v>42985.098611111112</v>
      </c>
      <c r="D5196" t="s">
        <v>27391</v>
      </c>
      <c r="E5196" s="249" t="str">
        <f>HYPERLINK("https://www.instagram.com/p/BYusUKMnba_/")</f>
        <v>https://www.instagram.com/p/BYusUKMnba_/</v>
      </c>
      <c r="F5196" t="s">
        <v>27392</v>
      </c>
      <c r="G5196" t="s">
        <v>2478</v>
      </c>
      <c r="H5196">
        <v>27</v>
      </c>
      <c r="I5196" t="s">
        <v>2910</v>
      </c>
      <c r="J5196">
        <v>0</v>
      </c>
      <c r="K5196">
        <v>26</v>
      </c>
      <c r="L5196">
        <v>26</v>
      </c>
      <c r="Q5196">
        <v>0</v>
      </c>
      <c r="R5196">
        <v>0</v>
      </c>
      <c r="S5196">
        <v>26</v>
      </c>
      <c r="T5196" t="s">
        <v>10329</v>
      </c>
      <c r="V5196" t="s">
        <v>2264</v>
      </c>
      <c r="W5196">
        <v>42.764014243490003</v>
      </c>
      <c r="X5196">
        <v>-7.9069180053236003</v>
      </c>
      <c r="Y5196" t="s">
        <v>21125</v>
      </c>
      <c r="Z5196" t="s">
        <v>12910</v>
      </c>
      <c r="AA5196" t="s">
        <v>3946</v>
      </c>
      <c r="AB5196" t="s">
        <v>3945</v>
      </c>
      <c r="AC5196" t="s">
        <v>7131</v>
      </c>
      <c r="AD5196" s="249" t="str">
        <f>HYPERLINK("https://scontent.cdninstagram.com/t51.2885-15/s320x320/e35/21373168_760302334156910_6522840796067004416_n.jpg")</f>
        <v>https://scontent.cdninstagram.com/t51.2885-15/s320x320/e35/21373168_760302334156910_6522840796067004416_n.jpg</v>
      </c>
      <c r="AE5196" s="249" t="str">
        <f>HYPERLINK("https://scontent.cdninstagram.com/t51.2885-19/s150x150/20347739_515336592144896_3974966673097621504_a.jpg")</f>
        <v>https://scontent.cdninstagram.com/t51.2885-19/s150x150/20347739_515336592144896_3974966673097621504_a.jpg</v>
      </c>
    </row>
    <row r="5197" spans="1:31" ht="15" x14ac:dyDescent="0.25">
      <c r="A5197" t="s">
        <v>2474</v>
      </c>
      <c r="B5197" t="s">
        <v>27393</v>
      </c>
      <c r="C5197" s="221">
        <v>42985.102453703701</v>
      </c>
      <c r="D5197" t="s">
        <v>27394</v>
      </c>
      <c r="E5197" s="249" t="str">
        <f>HYPERLINK("https://www.instagram.com/p/BYus8tKgNRr/")</f>
        <v>https://www.instagram.com/p/BYus8tKgNRr/</v>
      </c>
      <c r="F5197" t="s">
        <v>27395</v>
      </c>
      <c r="G5197" t="s">
        <v>2478</v>
      </c>
      <c r="H5197">
        <v>492</v>
      </c>
      <c r="I5197" t="s">
        <v>8378</v>
      </c>
      <c r="J5197">
        <v>1</v>
      </c>
      <c r="K5197">
        <v>15</v>
      </c>
      <c r="L5197">
        <v>16</v>
      </c>
      <c r="Q5197">
        <v>0</v>
      </c>
      <c r="R5197">
        <v>0</v>
      </c>
      <c r="S5197">
        <v>16</v>
      </c>
      <c r="Y5197" t="s">
        <v>27396</v>
      </c>
      <c r="Z5197" t="s">
        <v>4180</v>
      </c>
      <c r="AA5197" t="s">
        <v>5147</v>
      </c>
      <c r="AB5197" t="s">
        <v>2497</v>
      </c>
      <c r="AC5197" t="s">
        <v>2492</v>
      </c>
      <c r="AD5197" s="249" t="str">
        <f>HYPERLINK("https://scontent.cdninstagram.com/t51.2885-15/e35/p320x320/21372829_346047902504843_6371696546118893568_n.jpg")</f>
        <v>https://scontent.cdninstagram.com/t51.2885-15/e35/p320x320/21372829_346047902504843_6371696546118893568_n.jpg</v>
      </c>
      <c r="AE5197" s="249" t="str">
        <f>HYPERLINK("https://scontent.cdninstagram.com/t51.2885-19/s150x150/21107643_887735668050398_1526118514400690176_a.jpg")</f>
        <v>https://scontent.cdninstagram.com/t51.2885-19/s150x150/21107643_887735668050398_1526118514400690176_a.jpg</v>
      </c>
    </row>
    <row r="5198" spans="1:31" ht="15" x14ac:dyDescent="0.25">
      <c r="A5198" t="s">
        <v>2474</v>
      </c>
      <c r="B5198" t="s">
        <v>27397</v>
      </c>
      <c r="C5198" s="221">
        <v>42985.102534722224</v>
      </c>
      <c r="D5198" t="s">
        <v>27398</v>
      </c>
      <c r="E5198" s="249" t="str">
        <f>HYPERLINK("https://www.instagram.com/p/BYus9jrhpqA/")</f>
        <v>https://www.instagram.com/p/BYus9jrhpqA/</v>
      </c>
      <c r="F5198" t="s">
        <v>27399</v>
      </c>
      <c r="G5198" t="s">
        <v>2478</v>
      </c>
      <c r="H5198">
        <v>640</v>
      </c>
      <c r="I5198" t="s">
        <v>2896</v>
      </c>
      <c r="J5198">
        <v>2</v>
      </c>
      <c r="K5198">
        <v>75</v>
      </c>
      <c r="L5198">
        <v>77</v>
      </c>
      <c r="Q5198">
        <v>0</v>
      </c>
      <c r="R5198">
        <v>0</v>
      </c>
      <c r="S5198">
        <v>77</v>
      </c>
      <c r="Y5198" t="s">
        <v>7182</v>
      </c>
      <c r="Z5198" t="s">
        <v>27400</v>
      </c>
      <c r="AA5198" t="s">
        <v>27401</v>
      </c>
      <c r="AB5198" t="s">
        <v>27402</v>
      </c>
      <c r="AC5198" t="s">
        <v>27403</v>
      </c>
      <c r="AD5198" s="249" t="str">
        <f>HYPERLINK("https://scontent.cdninstagram.com/t51.2885-15/s320x320/e35/20398875_931739313639964_1956309254881148928_n.jpg")</f>
        <v>https://scontent.cdninstagram.com/t51.2885-15/s320x320/e35/20398875_931739313639964_1956309254881148928_n.jpg</v>
      </c>
      <c r="AE5198" s="249" t="str">
        <f>HYPERLINK("https://scontent.cdninstagram.com/t51.2885-19/s150x150/14726443_316229418751348_7885885518272004096_a.jpg")</f>
        <v>https://scontent.cdninstagram.com/t51.2885-19/s150x150/14726443_316229418751348_7885885518272004096_a.jpg</v>
      </c>
    </row>
    <row r="5199" spans="1:31" ht="15" x14ac:dyDescent="0.25">
      <c r="A5199" t="s">
        <v>2474</v>
      </c>
      <c r="B5199" t="s">
        <v>27404</v>
      </c>
      <c r="C5199" s="221">
        <v>42985.105787037035</v>
      </c>
      <c r="D5199" t="s">
        <v>27405</v>
      </c>
      <c r="E5199" s="249" t="str">
        <f>HYPERLINK("https://www.instagram.com/p/BYutfywBuCW/")</f>
        <v>https://www.instagram.com/p/BYutfywBuCW/</v>
      </c>
      <c r="F5199" t="s">
        <v>27406</v>
      </c>
      <c r="G5199" t="s">
        <v>2478</v>
      </c>
      <c r="H5199">
        <v>0</v>
      </c>
      <c r="I5199" t="s">
        <v>5670</v>
      </c>
      <c r="J5199">
        <v>0</v>
      </c>
      <c r="K5199">
        <v>1</v>
      </c>
      <c r="L5199">
        <v>1</v>
      </c>
      <c r="Q5199">
        <v>0</v>
      </c>
      <c r="R5199">
        <v>0</v>
      </c>
      <c r="S5199">
        <v>1</v>
      </c>
      <c r="T5199" t="s">
        <v>27407</v>
      </c>
      <c r="V5199" t="s">
        <v>2222</v>
      </c>
      <c r="W5199">
        <v>51.993127933897</v>
      </c>
      <c r="X5199">
        <v>5.9601999000000001</v>
      </c>
      <c r="Y5199" t="s">
        <v>27408</v>
      </c>
      <c r="Z5199" t="s">
        <v>2497</v>
      </c>
      <c r="AA5199" t="s">
        <v>27409</v>
      </c>
      <c r="AB5199" t="s">
        <v>27410</v>
      </c>
      <c r="AD5199" s="249" t="str">
        <f>HYPERLINK("https://scontent.cdninstagram.com/t51.2885-15/s320x320/e35/21373354_115339352497388_4200894434042183680_n.jpg")</f>
        <v>https://scontent.cdninstagram.com/t51.2885-15/s320x320/e35/21373354_115339352497388_4200894434042183680_n.jpg</v>
      </c>
      <c r="AE5199" s="249" t="str">
        <f>HYPERLINK("https://scontent-frx5-1.cdninstagram.com/t51.2885-19/11906329_960233084022564_1448528159_a.jpg")</f>
        <v>https://scontent-frx5-1.cdninstagram.com/t51.2885-19/11906329_960233084022564_1448528159_a.jpg</v>
      </c>
    </row>
    <row r="5200" spans="1:31" ht="15" x14ac:dyDescent="0.25">
      <c r="A5200" t="s">
        <v>2474</v>
      </c>
      <c r="B5200" t="s">
        <v>27411</v>
      </c>
      <c r="C5200" s="221">
        <v>42985.11314814815</v>
      </c>
      <c r="D5200" t="s">
        <v>27412</v>
      </c>
      <c r="E5200" s="249" t="str">
        <f>HYPERLINK("https://www.instagram.com/p/BYuuteyHWh9/")</f>
        <v>https://www.instagram.com/p/BYuuteyHWh9/</v>
      </c>
      <c r="F5200" t="s">
        <v>27413</v>
      </c>
      <c r="G5200" t="s">
        <v>2478</v>
      </c>
      <c r="H5200">
        <v>53</v>
      </c>
      <c r="I5200" t="s">
        <v>2479</v>
      </c>
      <c r="J5200">
        <v>8</v>
      </c>
      <c r="K5200">
        <v>28</v>
      </c>
      <c r="L5200">
        <v>36</v>
      </c>
      <c r="Q5200">
        <v>0</v>
      </c>
      <c r="R5200">
        <v>0</v>
      </c>
      <c r="S5200">
        <v>36</v>
      </c>
      <c r="Y5200" t="s">
        <v>9313</v>
      </c>
      <c r="Z5200" t="s">
        <v>27414</v>
      </c>
      <c r="AA5200" t="s">
        <v>27415</v>
      </c>
      <c r="AB5200" t="s">
        <v>27416</v>
      </c>
      <c r="AC5200" t="s">
        <v>27417</v>
      </c>
      <c r="AD5200" s="249" t="str">
        <f>HYPERLINK("https://scontent.cdninstagram.com/t51.2885-15/s320x320/e35/21433999_117244875663338_2299201194477748224_n.jpg")</f>
        <v>https://scontent.cdninstagram.com/t51.2885-15/s320x320/e35/21433999_117244875663338_2299201194477748224_n.jpg</v>
      </c>
      <c r="AE5200" s="249" t="str">
        <f>HYPERLINK("https://scontent.cdninstagram.com/t51.2885-19/s150x150/21149532_279195129232654_4692405148457107456_a.jpg")</f>
        <v>https://scontent.cdninstagram.com/t51.2885-19/s150x150/21149532_279195129232654_4692405148457107456_a.jpg</v>
      </c>
    </row>
    <row r="5201" spans="1:31" ht="15" x14ac:dyDescent="0.25">
      <c r="A5201" t="s">
        <v>2474</v>
      </c>
      <c r="B5201" t="s">
        <v>3895</v>
      </c>
      <c r="C5201" s="221">
        <v>42985.122291666667</v>
      </c>
      <c r="D5201" t="s">
        <v>27418</v>
      </c>
      <c r="E5201" s="249" t="str">
        <f>HYPERLINK("https://www.instagram.com/p/BYuwN43F_ea/")</f>
        <v>https://www.instagram.com/p/BYuwN43F_ea/</v>
      </c>
      <c r="F5201" t="s">
        <v>27419</v>
      </c>
      <c r="G5201" t="s">
        <v>2478</v>
      </c>
      <c r="H5201">
        <v>447</v>
      </c>
      <c r="I5201" t="s">
        <v>2479</v>
      </c>
      <c r="J5201">
        <v>2</v>
      </c>
      <c r="K5201">
        <v>92</v>
      </c>
      <c r="L5201">
        <v>94</v>
      </c>
      <c r="Q5201">
        <v>0</v>
      </c>
      <c r="R5201">
        <v>0</v>
      </c>
      <c r="S5201">
        <v>94</v>
      </c>
      <c r="Y5201" t="s">
        <v>2554</v>
      </c>
      <c r="Z5201" t="s">
        <v>3903</v>
      </c>
      <c r="AA5201" t="s">
        <v>2617</v>
      </c>
      <c r="AB5201" t="s">
        <v>5383</v>
      </c>
      <c r="AC5201" t="s">
        <v>7905</v>
      </c>
      <c r="AD5201" s="249" t="str">
        <f>HYPERLINK("https://scontent.cdninstagram.com/t51.2885-15/s320x320/e35/21435549_882068758607729_8377498130786025472_n.jpg")</f>
        <v>https://scontent.cdninstagram.com/t51.2885-15/s320x320/e35/21435549_882068758607729_8377498130786025472_n.jpg</v>
      </c>
      <c r="AE5201" s="249" t="str">
        <f>HYPERLINK("https://scontent.cdninstagram.com/t51.2885-19/s150x150/20902130_1390331654386412_4188068892897181696_a.jpg")</f>
        <v>https://scontent.cdninstagram.com/t51.2885-19/s150x150/20902130_1390331654386412_4188068892897181696_a.jpg</v>
      </c>
    </row>
    <row r="5202" spans="1:31" ht="15" x14ac:dyDescent="0.25">
      <c r="A5202" t="s">
        <v>2474</v>
      </c>
      <c r="B5202" t="s">
        <v>24585</v>
      </c>
      <c r="C5202" s="221">
        <v>42985.129236111112</v>
      </c>
      <c r="D5202" t="s">
        <v>27420</v>
      </c>
      <c r="E5202" s="249" t="str">
        <f>HYPERLINK("https://www.instagram.com/p/BYuxXGuDNKV/")</f>
        <v>https://www.instagram.com/p/BYuxXGuDNKV/</v>
      </c>
      <c r="F5202" t="s">
        <v>27421</v>
      </c>
      <c r="G5202" t="s">
        <v>2478</v>
      </c>
      <c r="H5202">
        <v>373</v>
      </c>
      <c r="I5202" t="s">
        <v>2910</v>
      </c>
      <c r="J5202">
        <v>3</v>
      </c>
      <c r="K5202">
        <v>22</v>
      </c>
      <c r="L5202">
        <v>25</v>
      </c>
      <c r="Q5202">
        <v>0</v>
      </c>
      <c r="R5202">
        <v>0</v>
      </c>
      <c r="S5202">
        <v>25</v>
      </c>
      <c r="Y5202" t="s">
        <v>7015</v>
      </c>
      <c r="Z5202" t="s">
        <v>16238</v>
      </c>
      <c r="AA5202" t="s">
        <v>27422</v>
      </c>
      <c r="AB5202" t="s">
        <v>25988</v>
      </c>
      <c r="AC5202" t="s">
        <v>24860</v>
      </c>
      <c r="AD5202" s="249" t="str">
        <f>HYPERLINK("https://scontent.cdninstagram.com/t51.2885-15/s320x320/e35/21436249_274570899700193_7594630016265093120_n.jpg")</f>
        <v>https://scontent.cdninstagram.com/t51.2885-15/s320x320/e35/21436249_274570899700193_7594630016265093120_n.jpg</v>
      </c>
      <c r="AE5202" s="249" t="str">
        <f>HYPERLINK("https://scontent.cdninstagram.com/t51.2885-19/s150x150/21042772_167391170487097_5176385110164897792_a.jpg")</f>
        <v>https://scontent.cdninstagram.com/t51.2885-19/s150x150/21042772_167391170487097_5176385110164897792_a.jpg</v>
      </c>
    </row>
    <row r="5203" spans="1:31" ht="15" x14ac:dyDescent="0.25">
      <c r="A5203" t="s">
        <v>2474</v>
      </c>
      <c r="B5203" t="s">
        <v>3644</v>
      </c>
      <c r="C5203" s="221">
        <v>42985.131909722222</v>
      </c>
      <c r="D5203" t="s">
        <v>27423</v>
      </c>
      <c r="E5203" s="249" t="str">
        <f>HYPERLINK("https://www.instagram.com/p/BYuxza2F_-v/")</f>
        <v>https://www.instagram.com/p/BYuxza2F_-v/</v>
      </c>
      <c r="F5203" t="s">
        <v>27424</v>
      </c>
      <c r="G5203" t="s">
        <v>2478</v>
      </c>
      <c r="H5203">
        <v>580</v>
      </c>
      <c r="I5203" t="s">
        <v>4062</v>
      </c>
      <c r="J5203">
        <v>4</v>
      </c>
      <c r="K5203">
        <v>52</v>
      </c>
      <c r="L5203">
        <v>56</v>
      </c>
      <c r="Q5203">
        <v>0</v>
      </c>
      <c r="R5203">
        <v>0</v>
      </c>
      <c r="S5203">
        <v>56</v>
      </c>
      <c r="T5203" t="s">
        <v>9465</v>
      </c>
      <c r="V5203" t="s">
        <v>2141</v>
      </c>
      <c r="W5203">
        <v>55.4</v>
      </c>
      <c r="X5203">
        <v>10.3833</v>
      </c>
      <c r="Y5203" t="s">
        <v>19866</v>
      </c>
      <c r="Z5203" t="s">
        <v>3607</v>
      </c>
      <c r="AA5203" t="s">
        <v>8234</v>
      </c>
      <c r="AB5203" t="s">
        <v>10172</v>
      </c>
      <c r="AC5203" t="s">
        <v>6992</v>
      </c>
      <c r="AD5203" s="249" t="str">
        <f>HYPERLINK("https://scontent.cdninstagram.com/t51.2885-15/s320x320/e35/21435610_169461650293084_3981080378654851072_n.jpg")</f>
        <v>https://scontent.cdninstagram.com/t51.2885-15/s320x320/e35/21435610_169461650293084_3981080378654851072_n.jpg</v>
      </c>
      <c r="AE5203" s="249" t="str">
        <f>HYPERLINK("https://scontent.cdninstagram.com/t51.2885-19/s150x150/14714495_1790450111234953_7147855754219749376_a.jpg")</f>
        <v>https://scontent.cdninstagram.com/t51.2885-19/s150x150/14714495_1790450111234953_7147855754219749376_a.jpg</v>
      </c>
    </row>
    <row r="5204" spans="1:31" ht="15" x14ac:dyDescent="0.25">
      <c r="A5204" t="s">
        <v>2474</v>
      </c>
      <c r="B5204" t="s">
        <v>27425</v>
      </c>
      <c r="C5204" s="221">
        <v>42985.133703703701</v>
      </c>
      <c r="D5204" t="s">
        <v>27426</v>
      </c>
      <c r="E5204" s="249" t="str">
        <f>HYPERLINK("https://www.instagram.com/p/BYuyGUVAu3F/")</f>
        <v>https://www.instagram.com/p/BYuyGUVAu3F/</v>
      </c>
      <c r="F5204" t="s">
        <v>27427</v>
      </c>
      <c r="G5204" t="s">
        <v>2478</v>
      </c>
      <c r="I5204" t="s">
        <v>2599</v>
      </c>
      <c r="J5204">
        <v>0</v>
      </c>
      <c r="K5204">
        <v>25</v>
      </c>
      <c r="L5204">
        <v>25</v>
      </c>
      <c r="Q5204">
        <v>0</v>
      </c>
      <c r="R5204">
        <v>0</v>
      </c>
      <c r="S5204">
        <v>25</v>
      </c>
      <c r="Y5204" t="s">
        <v>2728</v>
      </c>
      <c r="Z5204" t="s">
        <v>26533</v>
      </c>
      <c r="AA5204" t="s">
        <v>2497</v>
      </c>
      <c r="AB5204" t="s">
        <v>22220</v>
      </c>
      <c r="AC5204" t="s">
        <v>13830</v>
      </c>
      <c r="AD5204" s="249" t="str">
        <f>HYPERLINK("https://scontent.cdninstagram.com/t51.2885-15/s320x320/e35/21433989_452856331780985_8171016482814164992_n.jpg")</f>
        <v>https://scontent.cdninstagram.com/t51.2885-15/s320x320/e35/21433989_452856331780985_8171016482814164992_n.jpg</v>
      </c>
      <c r="AE5204" s="249" t="str">
        <f>HYPERLINK("https://scontent.cdninstagram.com/t51.2885-19/s150x150/20838608_164064627494991_5982954228614692864_a.jpg")</f>
        <v>https://scontent.cdninstagram.com/t51.2885-19/s150x150/20838608_164064627494991_5982954228614692864_a.jpg</v>
      </c>
    </row>
    <row r="5205" spans="1:31" ht="15" x14ac:dyDescent="0.25">
      <c r="A5205" t="s">
        <v>2474</v>
      </c>
      <c r="B5205" t="s">
        <v>7647</v>
      </c>
      <c r="C5205" s="221">
        <v>42985.136712962965</v>
      </c>
      <c r="D5205" t="s">
        <v>27428</v>
      </c>
      <c r="E5205" s="249" t="str">
        <f>HYPERLINK("https://www.instagram.com/p/BYuymFEAl2l/")</f>
        <v>https://www.instagram.com/p/BYuymFEAl2l/</v>
      </c>
      <c r="F5205" t="s">
        <v>27429</v>
      </c>
      <c r="G5205" t="s">
        <v>2478</v>
      </c>
      <c r="H5205">
        <v>86</v>
      </c>
      <c r="I5205" t="s">
        <v>2479</v>
      </c>
      <c r="J5205">
        <v>0</v>
      </c>
      <c r="K5205">
        <v>29</v>
      </c>
      <c r="L5205">
        <v>29</v>
      </c>
      <c r="Q5205">
        <v>0</v>
      </c>
      <c r="R5205">
        <v>0</v>
      </c>
      <c r="S5205">
        <v>29</v>
      </c>
      <c r="T5205" t="s">
        <v>27430</v>
      </c>
      <c r="V5205" t="s">
        <v>2182</v>
      </c>
      <c r="W5205">
        <v>46.490719257896998</v>
      </c>
      <c r="X5205">
        <v>12.050882298511</v>
      </c>
      <c r="Y5205" t="s">
        <v>27431</v>
      </c>
      <c r="Z5205" t="s">
        <v>27432</v>
      </c>
      <c r="AA5205" t="s">
        <v>15260</v>
      </c>
      <c r="AB5205" t="s">
        <v>3091</v>
      </c>
      <c r="AC5205" t="s">
        <v>27433</v>
      </c>
      <c r="AD5205" s="249" t="str">
        <f>HYPERLINK("https://scontent.cdninstagram.com/t51.2885-15/s320x320/e35/21373081_1942470112658319_375823365115478016_n.jpg")</f>
        <v>https://scontent.cdninstagram.com/t51.2885-15/s320x320/e35/21373081_1942470112658319_375823365115478016_n.jpg</v>
      </c>
      <c r="AE5205" s="249" t="str">
        <f>HYPERLINK("https://scontent.cdninstagram.com/t51.2885-19/s150x150/21689860_347057945706116_567828057017024512_n.jpg")</f>
        <v>https://scontent.cdninstagram.com/t51.2885-19/s150x150/21689860_347057945706116_567828057017024512_n.jpg</v>
      </c>
    </row>
    <row r="5206" spans="1:31" ht="15" x14ac:dyDescent="0.25">
      <c r="A5206" t="s">
        <v>2474</v>
      </c>
      <c r="B5206" t="s">
        <v>27434</v>
      </c>
      <c r="C5206" s="221">
        <v>42985.137800925928</v>
      </c>
      <c r="D5206" t="s">
        <v>27435</v>
      </c>
      <c r="E5206" s="249" t="str">
        <f>HYPERLINK("https://www.instagram.com/p/BYuyxiZjWRH/")</f>
        <v>https://www.instagram.com/p/BYuyxiZjWRH/</v>
      </c>
      <c r="F5206" t="s">
        <v>27436</v>
      </c>
      <c r="G5206" t="s">
        <v>2478</v>
      </c>
      <c r="H5206">
        <v>9</v>
      </c>
      <c r="I5206" t="s">
        <v>2479</v>
      </c>
      <c r="J5206">
        <v>0</v>
      </c>
      <c r="K5206">
        <v>7</v>
      </c>
      <c r="L5206">
        <v>7</v>
      </c>
      <c r="Q5206">
        <v>0</v>
      </c>
      <c r="R5206">
        <v>0</v>
      </c>
      <c r="S5206">
        <v>7</v>
      </c>
      <c r="Y5206" t="s">
        <v>3570</v>
      </c>
      <c r="Z5206" t="s">
        <v>27437</v>
      </c>
      <c r="AA5206" t="s">
        <v>2751</v>
      </c>
      <c r="AB5206" t="s">
        <v>9810</v>
      </c>
      <c r="AC5206" t="s">
        <v>4708</v>
      </c>
      <c r="AD5206" s="249" t="str">
        <f>HYPERLINK("https://scontent.cdninstagram.com/t51.2885-15/s320x320/e35/21434249_1260061997456666_7780205575916224512_n.jpg")</f>
        <v>https://scontent.cdninstagram.com/t51.2885-15/s320x320/e35/21434249_1260061997456666_7780205575916224512_n.jpg</v>
      </c>
      <c r="AE5206" s="249" t="str">
        <f>HYPERLINK("https://scontent.cdninstagram.com/t51.2885-19/s150x150/21434072_128204491153397_1265521201917198336_a.jpg")</f>
        <v>https://scontent.cdninstagram.com/t51.2885-19/s150x150/21434072_128204491153397_1265521201917198336_a.jpg</v>
      </c>
    </row>
    <row r="5207" spans="1:31" ht="15" x14ac:dyDescent="0.25">
      <c r="A5207" t="s">
        <v>2474</v>
      </c>
      <c r="B5207" t="s">
        <v>27438</v>
      </c>
      <c r="C5207" s="221">
        <v>42985.13858796296</v>
      </c>
      <c r="D5207" t="s">
        <v>27439</v>
      </c>
      <c r="E5207" s="249" t="str">
        <f>HYPERLINK("https://www.instagram.com/p/BYuy5vlgoIc/")</f>
        <v>https://www.instagram.com/p/BYuy5vlgoIc/</v>
      </c>
      <c r="F5207" t="s">
        <v>27440</v>
      </c>
      <c r="G5207" t="s">
        <v>2478</v>
      </c>
      <c r="H5207">
        <v>198</v>
      </c>
      <c r="I5207" t="s">
        <v>4523</v>
      </c>
      <c r="J5207">
        <v>4</v>
      </c>
      <c r="K5207">
        <v>31</v>
      </c>
      <c r="L5207">
        <v>35</v>
      </c>
      <c r="Q5207">
        <v>0</v>
      </c>
      <c r="R5207">
        <v>0</v>
      </c>
      <c r="S5207">
        <v>35</v>
      </c>
      <c r="Y5207" t="s">
        <v>27441</v>
      </c>
      <c r="Z5207" t="s">
        <v>27442</v>
      </c>
      <c r="AA5207" t="s">
        <v>4323</v>
      </c>
      <c r="AB5207" t="s">
        <v>2497</v>
      </c>
      <c r="AC5207" t="s">
        <v>27443</v>
      </c>
      <c r="AD5207" s="249" t="str">
        <f>HYPERLINK("https://scontent.cdninstagram.com/t51.2885-15/e35/p320x320/21434041_123845151606486_4005683420205154304_n.jpg")</f>
        <v>https://scontent.cdninstagram.com/t51.2885-15/e35/p320x320/21434041_123845151606486_4005683420205154304_n.jpg</v>
      </c>
      <c r="AE5207" s="249" t="str">
        <f>HYPERLINK("https://scontent.cdninstagram.com/t51.2885-19/s150x150/11849332_1471557459817805_1306706476_a.jpg")</f>
        <v>https://scontent.cdninstagram.com/t51.2885-19/s150x150/11849332_1471557459817805_1306706476_a.jpg</v>
      </c>
    </row>
    <row r="5208" spans="1:31" ht="15" x14ac:dyDescent="0.25">
      <c r="A5208" t="s">
        <v>2474</v>
      </c>
      <c r="B5208" t="s">
        <v>27444</v>
      </c>
      <c r="C5208" s="221">
        <v>42985.138842592591</v>
      </c>
      <c r="D5208" t="s">
        <v>27445</v>
      </c>
      <c r="E5208" s="249" t="str">
        <f>HYPERLINK("https://www.instagram.com/p/BYuy8b6gOhW/")</f>
        <v>https://www.instagram.com/p/BYuy8b6gOhW/</v>
      </c>
      <c r="F5208" t="s">
        <v>27446</v>
      </c>
      <c r="G5208" t="s">
        <v>2478</v>
      </c>
      <c r="I5208" t="s">
        <v>2479</v>
      </c>
      <c r="J5208">
        <v>2</v>
      </c>
      <c r="K5208">
        <v>126</v>
      </c>
      <c r="L5208">
        <v>128</v>
      </c>
      <c r="Q5208">
        <v>0</v>
      </c>
      <c r="R5208">
        <v>0</v>
      </c>
      <c r="S5208">
        <v>128</v>
      </c>
      <c r="T5208" t="s">
        <v>27447</v>
      </c>
      <c r="V5208" t="s">
        <v>2222</v>
      </c>
      <c r="W5208">
        <v>52.371259999999999</v>
      </c>
      <c r="X5208">
        <v>4.6310900000000004</v>
      </c>
      <c r="Y5208" t="s">
        <v>27448</v>
      </c>
      <c r="Z5208" t="s">
        <v>27449</v>
      </c>
      <c r="AA5208" t="s">
        <v>27450</v>
      </c>
      <c r="AB5208" t="s">
        <v>27451</v>
      </c>
      <c r="AC5208" t="s">
        <v>27452</v>
      </c>
      <c r="AD5208" s="249" t="str">
        <f>HYPERLINK("https://scontent.cdninstagram.com/t51.2885-15/e35/p320x320/21373435_115912122441491_4324425553265295360_n.jpg")</f>
        <v>https://scontent.cdninstagram.com/t51.2885-15/e35/p320x320/21373435_115912122441491_4324425553265295360_n.jpg</v>
      </c>
      <c r="AE5208" s="249" t="str">
        <f>HYPERLINK("https://scontent.cdninstagram.com/t51.2885-19/s150x150/21569171_120109851950994_6338822462708383744_n.jpg")</f>
        <v>https://scontent.cdninstagram.com/t51.2885-19/s150x150/21569171_120109851950994_6338822462708383744_n.jpg</v>
      </c>
    </row>
    <row r="5209" spans="1:31" ht="15" x14ac:dyDescent="0.25">
      <c r="A5209" t="s">
        <v>2474</v>
      </c>
      <c r="B5209" t="s">
        <v>27453</v>
      </c>
      <c r="C5209" s="221">
        <v>42985.143229166664</v>
      </c>
      <c r="D5209" t="s">
        <v>27454</v>
      </c>
      <c r="E5209" s="249" t="str">
        <f>HYPERLINK("https://www.instagram.com/p/BYuzqyBBZb5/")</f>
        <v>https://www.instagram.com/p/BYuzqyBBZb5/</v>
      </c>
      <c r="F5209" t="s">
        <v>27455</v>
      </c>
      <c r="G5209" t="s">
        <v>2478</v>
      </c>
      <c r="H5209">
        <v>4115</v>
      </c>
      <c r="I5209" t="s">
        <v>2542</v>
      </c>
      <c r="J5209">
        <v>1</v>
      </c>
      <c r="K5209">
        <v>9</v>
      </c>
      <c r="L5209">
        <v>10</v>
      </c>
      <c r="Q5209">
        <v>0</v>
      </c>
      <c r="R5209">
        <v>0</v>
      </c>
      <c r="S5209">
        <v>10</v>
      </c>
      <c r="Y5209" t="s">
        <v>2734</v>
      </c>
      <c r="Z5209" t="s">
        <v>23860</v>
      </c>
      <c r="AA5209" t="s">
        <v>5924</v>
      </c>
      <c r="AB5209" t="s">
        <v>2497</v>
      </c>
      <c r="AD5209" s="249" t="str">
        <f>HYPERLINK("https://scontent.cdninstagram.com/t51.2885-15/s320x320/e35/21480375_1886371451624240_401484875586076672_n.jpg")</f>
        <v>https://scontent.cdninstagram.com/t51.2885-15/s320x320/e35/21480375_1886371451624240_401484875586076672_n.jpg</v>
      </c>
      <c r="AE5209" s="249" t="str">
        <f>HYPERLINK("https://scontent.cdninstagram.com/t51.2885-19/s150x150/20766971_907303702757667_4671566186180247552_a.jpg")</f>
        <v>https://scontent.cdninstagram.com/t51.2885-19/s150x150/20766971_907303702757667_4671566186180247552_a.jpg</v>
      </c>
    </row>
    <row r="5210" spans="1:31" ht="15" x14ac:dyDescent="0.25">
      <c r="A5210" t="s">
        <v>2474</v>
      </c>
      <c r="B5210" t="s">
        <v>17870</v>
      </c>
      <c r="C5210" s="221">
        <v>42985.158553240741</v>
      </c>
      <c r="D5210" t="s">
        <v>27456</v>
      </c>
      <c r="E5210" s="249" t="str">
        <f>HYPERLINK("https://www.instagram.com/p/BYu2MUZjOe8/")</f>
        <v>https://www.instagram.com/p/BYu2MUZjOe8/</v>
      </c>
      <c r="F5210" t="s">
        <v>27457</v>
      </c>
      <c r="G5210" t="s">
        <v>2478</v>
      </c>
      <c r="H5210">
        <v>2676</v>
      </c>
      <c r="I5210" t="s">
        <v>2910</v>
      </c>
      <c r="J5210">
        <v>14</v>
      </c>
      <c r="K5210">
        <v>715</v>
      </c>
      <c r="L5210">
        <v>729</v>
      </c>
      <c r="Q5210">
        <v>0</v>
      </c>
      <c r="R5210">
        <v>0</v>
      </c>
      <c r="S5210">
        <v>729</v>
      </c>
      <c r="T5210" t="s">
        <v>27458</v>
      </c>
      <c r="V5210" t="s">
        <v>2176</v>
      </c>
      <c r="W5210">
        <v>30.737200000000001</v>
      </c>
      <c r="X5210">
        <v>76.787199999999999</v>
      </c>
      <c r="Y5210" t="s">
        <v>27459</v>
      </c>
      <c r="Z5210" t="s">
        <v>9445</v>
      </c>
      <c r="AA5210" t="s">
        <v>22428</v>
      </c>
      <c r="AB5210" t="s">
        <v>27460</v>
      </c>
      <c r="AC5210" t="s">
        <v>26985</v>
      </c>
      <c r="AD5210" s="249" t="str">
        <f>HYPERLINK("https://scontent.cdninstagram.com/t51.2885-15/s320x320/e35/21434104_786251151554238_37618175436652544_n.jpg")</f>
        <v>https://scontent.cdninstagram.com/t51.2885-15/s320x320/e35/21434104_786251151554238_37618175436652544_n.jpg</v>
      </c>
      <c r="AE5210" s="249" t="str">
        <f>HYPERLINK("https://scontent.cdninstagram.com/t51.2885-19/s150x150/14561903_207540916318117_5295050967744512000_a.jpg")</f>
        <v>https://scontent.cdninstagram.com/t51.2885-19/s150x150/14561903_207540916318117_5295050967744512000_a.jpg</v>
      </c>
    </row>
    <row r="5211" spans="1:31" ht="15" x14ac:dyDescent="0.25">
      <c r="A5211" t="s">
        <v>2474</v>
      </c>
      <c r="B5211" t="s">
        <v>27461</v>
      </c>
      <c r="C5211" s="221">
        <v>42985.162731481483</v>
      </c>
      <c r="D5211" t="s">
        <v>27462</v>
      </c>
      <c r="E5211" s="249" t="str">
        <f>HYPERLINK("https://www.instagram.com/p/BYu24cGgsMF/")</f>
        <v>https://www.instagram.com/p/BYu24cGgsMF/</v>
      </c>
      <c r="F5211" t="s">
        <v>27463</v>
      </c>
      <c r="G5211" t="s">
        <v>2478</v>
      </c>
      <c r="H5211">
        <v>337</v>
      </c>
      <c r="I5211" t="s">
        <v>2519</v>
      </c>
      <c r="J5211">
        <v>1</v>
      </c>
      <c r="K5211">
        <v>39</v>
      </c>
      <c r="L5211">
        <v>40</v>
      </c>
      <c r="Q5211">
        <v>0</v>
      </c>
      <c r="R5211">
        <v>0</v>
      </c>
      <c r="S5211">
        <v>40</v>
      </c>
      <c r="Y5211" t="s">
        <v>27464</v>
      </c>
      <c r="Z5211" t="s">
        <v>27465</v>
      </c>
      <c r="AA5211" t="s">
        <v>27466</v>
      </c>
      <c r="AB5211" t="s">
        <v>27467</v>
      </c>
      <c r="AC5211" t="s">
        <v>2497</v>
      </c>
      <c r="AD5211" s="249" t="str">
        <f>HYPERLINK("https://scontent.cdninstagram.com/t51.2885-15/s320x320/e35/21436157_206503633218764_8387719225237569536_n.jpg")</f>
        <v>https://scontent.cdninstagram.com/t51.2885-15/s320x320/e35/21436157_206503633218764_8387719225237569536_n.jpg</v>
      </c>
      <c r="AE5211" s="249" t="str">
        <f>HYPERLINK("https://scontent.cdninstagram.com/t51.2885-19/s150x150/11372086_1693272847605311_1571534576_a.jpg")</f>
        <v>https://scontent.cdninstagram.com/t51.2885-19/s150x150/11372086_1693272847605311_1571534576_a.jpg</v>
      </c>
    </row>
    <row r="5212" spans="1:31" ht="15" x14ac:dyDescent="0.25">
      <c r="A5212" t="s">
        <v>2474</v>
      </c>
      <c r="B5212" t="s">
        <v>27453</v>
      </c>
      <c r="C5212" s="221">
        <v>42985.164537037039</v>
      </c>
      <c r="D5212" t="s">
        <v>27468</v>
      </c>
      <c r="E5212" s="249" t="str">
        <f>HYPERLINK("https://www.instagram.com/p/BYu3LiVh_eP/")</f>
        <v>https://www.instagram.com/p/BYu3LiVh_eP/</v>
      </c>
      <c r="F5212" t="s">
        <v>27455</v>
      </c>
      <c r="G5212" t="s">
        <v>2478</v>
      </c>
      <c r="H5212">
        <v>4115</v>
      </c>
      <c r="I5212" t="s">
        <v>2542</v>
      </c>
      <c r="J5212">
        <v>2</v>
      </c>
      <c r="K5212">
        <v>45</v>
      </c>
      <c r="L5212">
        <v>47</v>
      </c>
      <c r="Q5212">
        <v>0</v>
      </c>
      <c r="R5212">
        <v>0</v>
      </c>
      <c r="S5212">
        <v>47</v>
      </c>
      <c r="Y5212" t="s">
        <v>2497</v>
      </c>
      <c r="Z5212" t="s">
        <v>23860</v>
      </c>
      <c r="AA5212" t="s">
        <v>5924</v>
      </c>
      <c r="AB5212" t="s">
        <v>2734</v>
      </c>
      <c r="AD5212" s="249" t="str">
        <f>HYPERLINK("https://scontent.cdninstagram.com/t51.2885-15/s320x320/e35/21436001_136359233648184_7256024484094672896_n.jpg")</f>
        <v>https://scontent.cdninstagram.com/t51.2885-15/s320x320/e35/21436001_136359233648184_7256024484094672896_n.jpg</v>
      </c>
      <c r="AE5212" s="249" t="str">
        <f>HYPERLINK("https://scontent.cdninstagram.com/t51.2885-19/s150x150/20766971_907303702757667_4671566186180247552_a.jpg")</f>
        <v>https://scontent.cdninstagram.com/t51.2885-19/s150x150/20766971_907303702757667_4671566186180247552_a.jpg</v>
      </c>
    </row>
    <row r="5213" spans="1:31" ht="15" x14ac:dyDescent="0.25">
      <c r="A5213" t="s">
        <v>2474</v>
      </c>
      <c r="B5213" t="s">
        <v>27469</v>
      </c>
      <c r="C5213" s="221">
        <v>42985.169085648151</v>
      </c>
      <c r="D5213" t="s">
        <v>27470</v>
      </c>
      <c r="E5213" s="249" t="str">
        <f>HYPERLINK("https://www.instagram.com/p/BYu37fSFxL8/")</f>
        <v>https://www.instagram.com/p/BYu37fSFxL8/</v>
      </c>
      <c r="F5213" t="s">
        <v>27471</v>
      </c>
      <c r="G5213" t="s">
        <v>2478</v>
      </c>
      <c r="H5213">
        <v>21908</v>
      </c>
      <c r="I5213" t="s">
        <v>2927</v>
      </c>
      <c r="J5213">
        <v>3</v>
      </c>
      <c r="K5213">
        <v>127</v>
      </c>
      <c r="L5213">
        <v>130</v>
      </c>
      <c r="Q5213">
        <v>0</v>
      </c>
      <c r="R5213">
        <v>0</v>
      </c>
      <c r="S5213">
        <v>130</v>
      </c>
      <c r="T5213" t="s">
        <v>17786</v>
      </c>
      <c r="V5213" t="s">
        <v>2161</v>
      </c>
      <c r="W5213">
        <v>53.55</v>
      </c>
      <c r="X5213">
        <v>10.0014</v>
      </c>
      <c r="Y5213" t="s">
        <v>27472</v>
      </c>
      <c r="Z5213" t="s">
        <v>4908</v>
      </c>
      <c r="AA5213" t="s">
        <v>2730</v>
      </c>
      <c r="AB5213" t="s">
        <v>3349</v>
      </c>
      <c r="AC5213" t="s">
        <v>27473</v>
      </c>
      <c r="AD5213" s="249" t="str">
        <f>HYPERLINK("https://scontent.cdninstagram.com/t51.2885-15/s320x320/e35/21372947_323250408085282_3521391072641024000_n.jpg")</f>
        <v>https://scontent.cdninstagram.com/t51.2885-15/s320x320/e35/21372947_323250408085282_3521391072641024000_n.jpg</v>
      </c>
      <c r="AE5213" s="249" t="str">
        <f>HYPERLINK("https://scontent.cdninstagram.com/t51.2885-19/s150x150/17595856_1954798611420006_2710506057519595520_a.jpg")</f>
        <v>https://scontent.cdninstagram.com/t51.2885-19/s150x150/17595856_1954798611420006_2710506057519595520_a.jpg</v>
      </c>
    </row>
    <row r="5214" spans="1:31" ht="15" x14ac:dyDescent="0.25">
      <c r="A5214" t="s">
        <v>2474</v>
      </c>
      <c r="B5214" t="s">
        <v>27474</v>
      </c>
      <c r="C5214" s="221">
        <v>42985.171597222223</v>
      </c>
      <c r="D5214" t="s">
        <v>27475</v>
      </c>
      <c r="E5214" s="249" t="str">
        <f>HYPERLINK("https://www.instagram.com/p/BYu4V_1A-sZ/")</f>
        <v>https://www.instagram.com/p/BYu4V_1A-sZ/</v>
      </c>
      <c r="F5214" t="s">
        <v>27476</v>
      </c>
      <c r="G5214" t="s">
        <v>2478</v>
      </c>
      <c r="H5214">
        <v>602</v>
      </c>
      <c r="I5214" t="s">
        <v>3575</v>
      </c>
      <c r="J5214">
        <v>21</v>
      </c>
      <c r="K5214">
        <v>90</v>
      </c>
      <c r="L5214">
        <v>111</v>
      </c>
      <c r="Q5214">
        <v>0</v>
      </c>
      <c r="R5214">
        <v>0</v>
      </c>
      <c r="S5214">
        <v>111</v>
      </c>
      <c r="Y5214" t="s">
        <v>20645</v>
      </c>
      <c r="Z5214" t="s">
        <v>27477</v>
      </c>
      <c r="AA5214" t="s">
        <v>27478</v>
      </c>
      <c r="AB5214" t="s">
        <v>27479</v>
      </c>
      <c r="AC5214" t="s">
        <v>2869</v>
      </c>
      <c r="AD5214" s="249" t="str">
        <f>HYPERLINK("https://scontent.cdninstagram.com/t51.2885-15/s320x320/e35/21372958_500776596926345_6835352155646328832_n.jpg")</f>
        <v>https://scontent.cdninstagram.com/t51.2885-15/s320x320/e35/21372958_500776596926345_6835352155646328832_n.jpg</v>
      </c>
      <c r="AE5214" s="249" t="str">
        <f>HYPERLINK("https://scontent.cdninstagram.com/t51.2885-19/s150x150/15251685_1838524086431786_731087859951337472_a.jpg")</f>
        <v>https://scontent.cdninstagram.com/t51.2885-19/s150x150/15251685_1838524086431786_731087859951337472_a.jpg</v>
      </c>
    </row>
    <row r="5215" spans="1:31" ht="15" x14ac:dyDescent="0.25">
      <c r="A5215" t="s">
        <v>2474</v>
      </c>
      <c r="B5215" t="s">
        <v>27480</v>
      </c>
      <c r="C5215" s="221">
        <v>42985.184351851851</v>
      </c>
      <c r="D5215" t="s">
        <v>27481</v>
      </c>
      <c r="E5215" s="249" t="str">
        <f>HYPERLINK("https://www.instagram.com/p/BYu6cgaHhic/")</f>
        <v>https://www.instagram.com/p/BYu6cgaHhic/</v>
      </c>
      <c r="F5215" t="s">
        <v>27482</v>
      </c>
      <c r="G5215" t="s">
        <v>2478</v>
      </c>
      <c r="H5215">
        <v>379</v>
      </c>
      <c r="I5215" t="s">
        <v>2479</v>
      </c>
      <c r="J5215">
        <v>0</v>
      </c>
      <c r="K5215">
        <v>9</v>
      </c>
      <c r="L5215">
        <v>9</v>
      </c>
      <c r="Q5215">
        <v>0</v>
      </c>
      <c r="R5215">
        <v>0</v>
      </c>
      <c r="S5215">
        <v>9</v>
      </c>
      <c r="Y5215" t="s">
        <v>2497</v>
      </c>
      <c r="Z5215" t="s">
        <v>3099</v>
      </c>
      <c r="AD5215" s="249" t="str">
        <f>HYPERLINK("https://scontent.cdninstagram.com/t51.2885-15/s320x320/e35/21480172_171104856770556_8666648158220058624_n.jpg")</f>
        <v>https://scontent.cdninstagram.com/t51.2885-15/s320x320/e35/21480172_171104856770556_8666648158220058624_n.jpg</v>
      </c>
      <c r="AE5215" s="249" t="str">
        <f>HYPERLINK("https://scontent.cdninstagram.com/t51.2885-19/s150x150/21576730_700515163489704_6968058987166040064_n.jpg")</f>
        <v>https://scontent.cdninstagram.com/t51.2885-19/s150x150/21576730_700515163489704_6968058987166040064_n.jpg</v>
      </c>
    </row>
    <row r="5216" spans="1:31" ht="15" x14ac:dyDescent="0.25">
      <c r="A5216" t="s">
        <v>2474</v>
      </c>
      <c r="B5216" t="s">
        <v>2644</v>
      </c>
      <c r="C5216" s="221">
        <v>42985.193680555552</v>
      </c>
      <c r="D5216" t="s">
        <v>27483</v>
      </c>
      <c r="E5216" s="249" t="str">
        <f>HYPERLINK("https://www.instagram.com/p/BYu7-0RANM0/")</f>
        <v>https://www.instagram.com/p/BYu7-0RANM0/</v>
      </c>
      <c r="F5216" t="s">
        <v>27484</v>
      </c>
      <c r="G5216" t="s">
        <v>2478</v>
      </c>
      <c r="H5216">
        <v>1728</v>
      </c>
      <c r="I5216" t="s">
        <v>2479</v>
      </c>
      <c r="J5216">
        <v>1</v>
      </c>
      <c r="K5216">
        <v>72</v>
      </c>
      <c r="L5216">
        <v>73</v>
      </c>
      <c r="Q5216">
        <v>0</v>
      </c>
      <c r="R5216">
        <v>0</v>
      </c>
      <c r="S5216">
        <v>73</v>
      </c>
      <c r="T5216" t="s">
        <v>27485</v>
      </c>
      <c r="V5216" t="s">
        <v>2648</v>
      </c>
      <c r="W5216">
        <v>55.765920000000001</v>
      </c>
      <c r="X5216">
        <v>37.612769999999998</v>
      </c>
      <c r="Y5216" t="s">
        <v>2844</v>
      </c>
      <c r="Z5216" t="s">
        <v>15976</v>
      </c>
      <c r="AA5216" t="s">
        <v>3076</v>
      </c>
      <c r="AB5216" t="s">
        <v>2650</v>
      </c>
      <c r="AC5216" t="s">
        <v>2032</v>
      </c>
      <c r="AD5216" s="249" t="str">
        <f>HYPERLINK("https://scontent.cdninstagram.com/t51.2885-15/s320x320/e35/21433617_448040538913130_7048884885787770880_n.jpg")</f>
        <v>https://scontent.cdninstagram.com/t51.2885-15/s320x320/e35/21433617_448040538913130_7048884885787770880_n.jpg</v>
      </c>
      <c r="AE5216" s="249" t="str">
        <f>HYPERLINK("https://scontent.cdninstagram.com/t51.2885-19/11372086_1598451257062069_1320225693_a.jpg")</f>
        <v>https://scontent.cdninstagram.com/t51.2885-19/11372086_1598451257062069_1320225693_a.jpg</v>
      </c>
    </row>
    <row r="5217" spans="1:31" ht="15" x14ac:dyDescent="0.25">
      <c r="A5217" t="s">
        <v>2474</v>
      </c>
      <c r="B5217" t="s">
        <v>27486</v>
      </c>
      <c r="C5217" s="221">
        <v>42985.205868055556</v>
      </c>
      <c r="D5217" t="s">
        <v>27487</v>
      </c>
      <c r="E5217" s="249" t="str">
        <f>HYPERLINK("https://www.instagram.com/p/BYu9_XSjWf5/")</f>
        <v>https://www.instagram.com/p/BYu9_XSjWf5/</v>
      </c>
      <c r="F5217" t="s">
        <v>27488</v>
      </c>
      <c r="G5217" t="s">
        <v>2478</v>
      </c>
      <c r="H5217">
        <v>468</v>
      </c>
      <c r="I5217" t="s">
        <v>2479</v>
      </c>
      <c r="J5217">
        <v>3</v>
      </c>
      <c r="K5217">
        <v>9</v>
      </c>
      <c r="L5217">
        <v>12</v>
      </c>
      <c r="Q5217">
        <v>0</v>
      </c>
      <c r="R5217">
        <v>0</v>
      </c>
      <c r="S5217">
        <v>12</v>
      </c>
      <c r="Y5217" t="s">
        <v>27489</v>
      </c>
      <c r="Z5217" t="s">
        <v>2497</v>
      </c>
      <c r="AA5217" t="s">
        <v>2552</v>
      </c>
      <c r="AB5217" t="s">
        <v>27490</v>
      </c>
      <c r="AD5217" s="249" t="str">
        <f>HYPERLINK("https://scontent.cdninstagram.com/t51.2885-15/e35/p320x320/21433328_125452834773240_3100550226855854080_n.jpg")</f>
        <v>https://scontent.cdninstagram.com/t51.2885-15/e35/p320x320/21433328_125452834773240_3100550226855854080_n.jpg</v>
      </c>
      <c r="AE5217" s="249" t="str">
        <f>HYPERLINK("https://scontent.cdninstagram.com/t51.2885-19/s150x150/21480398_342179492899149_7137941161519349760_n.jpg")</f>
        <v>https://scontent.cdninstagram.com/t51.2885-19/s150x150/21480398_342179492899149_7137941161519349760_n.jpg</v>
      </c>
    </row>
    <row r="5218" spans="1:31" ht="15" x14ac:dyDescent="0.25">
      <c r="A5218" t="s">
        <v>2474</v>
      </c>
      <c r="B5218" t="s">
        <v>27491</v>
      </c>
      <c r="C5218" s="221">
        <v>42985.220914351848</v>
      </c>
      <c r="D5218" t="s">
        <v>27492</v>
      </c>
      <c r="E5218" s="249" t="str">
        <f>HYPERLINK("https://www.instagram.com/p/BYvAeExhXc4/")</f>
        <v>https://www.instagram.com/p/BYvAeExhXc4/</v>
      </c>
      <c r="F5218" t="s">
        <v>27493</v>
      </c>
      <c r="G5218" t="s">
        <v>2478</v>
      </c>
      <c r="H5218">
        <v>689</v>
      </c>
      <c r="I5218" t="s">
        <v>2479</v>
      </c>
      <c r="J5218">
        <v>10</v>
      </c>
      <c r="K5218">
        <v>26</v>
      </c>
      <c r="L5218">
        <v>36</v>
      </c>
      <c r="Q5218">
        <v>0</v>
      </c>
      <c r="R5218">
        <v>0</v>
      </c>
      <c r="S5218">
        <v>36</v>
      </c>
      <c r="T5218" t="s">
        <v>27494</v>
      </c>
      <c r="V5218" t="s">
        <v>2176</v>
      </c>
      <c r="W5218">
        <v>22.578420000000001</v>
      </c>
      <c r="X5218">
        <v>88.435090000000002</v>
      </c>
      <c r="Y5218" t="s">
        <v>2497</v>
      </c>
      <c r="Z5218" t="s">
        <v>3663</v>
      </c>
      <c r="AD5218" s="249" t="str">
        <f>HYPERLINK("https://scontent.cdninstagram.com/t51.2885-15/s320x320/e35/21372921_118224268826575_5058420148298317824_n.jpg")</f>
        <v>https://scontent.cdninstagram.com/t51.2885-15/s320x320/e35/21372921_118224268826575_5058420148298317824_n.jpg</v>
      </c>
      <c r="AE5218" s="249" t="str">
        <f>HYPERLINK("https://scontent.cdninstagram.com/t51.2885-19/s150x150/20902083_1654961164570712_1370783308379586560_a.jpg")</f>
        <v>https://scontent.cdninstagram.com/t51.2885-19/s150x150/20902083_1654961164570712_1370783308379586560_a.jpg</v>
      </c>
    </row>
    <row r="5219" spans="1:31" ht="15" x14ac:dyDescent="0.25">
      <c r="A5219" t="s">
        <v>2474</v>
      </c>
      <c r="B5219" t="s">
        <v>24940</v>
      </c>
      <c r="C5219" s="221">
        <v>42985.221284722225</v>
      </c>
      <c r="D5219" t="s">
        <v>27495</v>
      </c>
      <c r="E5219" s="249" t="str">
        <f>HYPERLINK("https://www.instagram.com/p/BYvAiAdARqZ/")</f>
        <v>https://www.instagram.com/p/BYvAiAdARqZ/</v>
      </c>
      <c r="F5219" t="s">
        <v>27496</v>
      </c>
      <c r="G5219" t="s">
        <v>2478</v>
      </c>
      <c r="H5219">
        <v>21</v>
      </c>
      <c r="I5219" t="s">
        <v>2639</v>
      </c>
      <c r="J5219">
        <v>1</v>
      </c>
      <c r="K5219">
        <v>14</v>
      </c>
      <c r="L5219">
        <v>15</v>
      </c>
      <c r="Q5219">
        <v>0</v>
      </c>
      <c r="R5219">
        <v>0</v>
      </c>
      <c r="S5219">
        <v>15</v>
      </c>
      <c r="T5219" t="s">
        <v>27497</v>
      </c>
      <c r="V5219" t="s">
        <v>2182</v>
      </c>
      <c r="W5219">
        <v>45.635679042440998</v>
      </c>
      <c r="X5219">
        <v>13.05381553094</v>
      </c>
      <c r="Y5219" t="s">
        <v>3568</v>
      </c>
      <c r="Z5219" t="s">
        <v>27498</v>
      </c>
      <c r="AA5219" t="s">
        <v>2515</v>
      </c>
      <c r="AB5219" t="s">
        <v>5383</v>
      </c>
      <c r="AC5219" t="s">
        <v>27499</v>
      </c>
      <c r="AD5219" s="249" t="str">
        <f>HYPERLINK("https://scontent.cdninstagram.com/t51.2885-15/s320x320/e35/21372278_406998799702221_2275688907116904448_n.jpg")</f>
        <v>https://scontent.cdninstagram.com/t51.2885-15/s320x320/e35/21372278_406998799702221_2275688907116904448_n.jpg</v>
      </c>
      <c r="AE5219" s="249" t="str">
        <f>HYPERLINK("https://scontent.cdninstagram.com/t51.2885-19/s150x150/21148101_1939215392959050_462196604842016768_a.jpg")</f>
        <v>https://scontent.cdninstagram.com/t51.2885-19/s150x150/21148101_1939215392959050_462196604842016768_a.jpg</v>
      </c>
    </row>
    <row r="5220" spans="1:31" ht="15" x14ac:dyDescent="0.25">
      <c r="A5220" t="s">
        <v>2474</v>
      </c>
      <c r="B5220" t="s">
        <v>27500</v>
      </c>
      <c r="C5220" s="221">
        <v>42985.221886574072</v>
      </c>
      <c r="D5220" t="s">
        <v>27501</v>
      </c>
      <c r="E5220" s="249" t="str">
        <f>HYPERLINK("https://www.instagram.com/p/BYvAoWDD7Hb/")</f>
        <v>https://www.instagram.com/p/BYvAoWDD7Hb/</v>
      </c>
      <c r="F5220" t="s">
        <v>27502</v>
      </c>
      <c r="G5220" t="s">
        <v>2478</v>
      </c>
      <c r="H5220">
        <v>822</v>
      </c>
      <c r="I5220" t="s">
        <v>2903</v>
      </c>
      <c r="J5220">
        <v>1</v>
      </c>
      <c r="K5220">
        <v>21</v>
      </c>
      <c r="L5220">
        <v>22</v>
      </c>
      <c r="Q5220">
        <v>0</v>
      </c>
      <c r="R5220">
        <v>0</v>
      </c>
      <c r="S5220">
        <v>22</v>
      </c>
      <c r="Y5220" t="s">
        <v>27503</v>
      </c>
      <c r="Z5220" t="s">
        <v>12556</v>
      </c>
      <c r="AA5220" t="s">
        <v>3196</v>
      </c>
      <c r="AB5220" t="s">
        <v>3446</v>
      </c>
      <c r="AC5220" t="s">
        <v>4645</v>
      </c>
      <c r="AD5220" s="249" t="str">
        <f>HYPERLINK("https://scontent.cdninstagram.com/t51.2885-15/s320x320/e35/21373041_114997085879495_1138850388586266624_n.jpg")</f>
        <v>https://scontent.cdninstagram.com/t51.2885-15/s320x320/e35/21373041_114997085879495_1138850388586266624_n.jpg</v>
      </c>
      <c r="AE5220" s="249" t="str">
        <f>HYPERLINK("https://scontent.cdninstagram.com/t51.2885-19/s150x150/14052615_184463705295594_212013329625907200_a.jpg")</f>
        <v>https://scontent.cdninstagram.com/t51.2885-19/s150x150/14052615_184463705295594_212013329625907200_a.jpg</v>
      </c>
    </row>
    <row r="5221" spans="1:31" ht="15" x14ac:dyDescent="0.25">
      <c r="A5221" t="s">
        <v>2474</v>
      </c>
      <c r="B5221" t="s">
        <v>27504</v>
      </c>
      <c r="C5221" s="221">
        <v>42985.226481481484</v>
      </c>
      <c r="D5221" t="s">
        <v>27505</v>
      </c>
      <c r="E5221" s="249" t="str">
        <f>HYPERLINK("https://www.instagram.com/p/BYvBY23F0dn/")</f>
        <v>https://www.instagram.com/p/BYvBY23F0dn/</v>
      </c>
      <c r="F5221" t="s">
        <v>27506</v>
      </c>
      <c r="G5221" t="s">
        <v>2478</v>
      </c>
      <c r="H5221">
        <v>515</v>
      </c>
      <c r="I5221" t="s">
        <v>2510</v>
      </c>
      <c r="J5221">
        <v>4</v>
      </c>
      <c r="K5221">
        <v>57</v>
      </c>
      <c r="L5221">
        <v>61</v>
      </c>
      <c r="Q5221">
        <v>0</v>
      </c>
      <c r="R5221">
        <v>0</v>
      </c>
      <c r="S5221">
        <v>61</v>
      </c>
      <c r="Y5221" t="s">
        <v>15908</v>
      </c>
      <c r="Z5221" t="s">
        <v>3370</v>
      </c>
      <c r="AA5221" t="s">
        <v>15984</v>
      </c>
      <c r="AB5221" t="s">
        <v>27507</v>
      </c>
      <c r="AC5221" t="s">
        <v>2497</v>
      </c>
      <c r="AD5221" s="249" t="str">
        <f>HYPERLINK("https://scontent.cdninstagram.com/t51.2885-15/e35/p320x320/21373548_123016595101624_7281264576669155328_n.jpg")</f>
        <v>https://scontent.cdninstagram.com/t51.2885-15/e35/p320x320/21373548_123016595101624_7281264576669155328_n.jpg</v>
      </c>
      <c r="AE5221" s="249" t="str">
        <f>HYPERLINK("https://scontent.cdninstagram.com/t51.2885-19/s150x150/13561725_1066328516775863_1666055404_a.jpg")</f>
        <v>https://scontent.cdninstagram.com/t51.2885-19/s150x150/13561725_1066328516775863_1666055404_a.jpg</v>
      </c>
    </row>
    <row r="5222" spans="1:31" ht="15" x14ac:dyDescent="0.25">
      <c r="A5222" t="s">
        <v>2474</v>
      </c>
      <c r="B5222" t="s">
        <v>27508</v>
      </c>
      <c r="C5222" s="221">
        <v>42985.234027777777</v>
      </c>
      <c r="D5222" t="s">
        <v>27509</v>
      </c>
      <c r="E5222" s="249" t="str">
        <f>HYPERLINK("https://www.instagram.com/p/BYvCocEFGDC/")</f>
        <v>https://www.instagram.com/p/BYvCocEFGDC/</v>
      </c>
      <c r="F5222" t="s">
        <v>27510</v>
      </c>
      <c r="G5222" t="s">
        <v>2631</v>
      </c>
      <c r="H5222">
        <v>163</v>
      </c>
      <c r="I5222" t="s">
        <v>2479</v>
      </c>
      <c r="J5222">
        <v>1</v>
      </c>
      <c r="K5222">
        <v>20</v>
      </c>
      <c r="L5222">
        <v>21</v>
      </c>
      <c r="Q5222">
        <v>0</v>
      </c>
      <c r="R5222">
        <v>0</v>
      </c>
      <c r="S5222">
        <v>21</v>
      </c>
      <c r="T5222" t="s">
        <v>27511</v>
      </c>
      <c r="V5222" t="s">
        <v>2222</v>
      </c>
      <c r="W5222">
        <v>52.335572279090997</v>
      </c>
      <c r="X5222">
        <v>4.8608959072726998</v>
      </c>
      <c r="Y5222" t="s">
        <v>27512</v>
      </c>
      <c r="Z5222" t="s">
        <v>27513</v>
      </c>
      <c r="AA5222" t="s">
        <v>2497</v>
      </c>
      <c r="AB5222" t="s">
        <v>27514</v>
      </c>
      <c r="AC5222" t="s">
        <v>27515</v>
      </c>
      <c r="AD5222" s="249" t="str">
        <f>HYPERLINK("https://scontent.cdninstagram.com/t51.2885-15/s320x320/e15/21373739_310107179458498_2978559407459139584_n.jpg")</f>
        <v>https://scontent.cdninstagram.com/t51.2885-15/s320x320/e15/21373739_310107179458498_2978559407459139584_n.jpg</v>
      </c>
      <c r="AE5222" s="249" t="str">
        <f>HYPERLINK("https://scontent.cdninstagram.com/t51.2885-19/s150x150/19367839_895114663963108_2752469442779676672_a.jpg")</f>
        <v>https://scontent.cdninstagram.com/t51.2885-19/s150x150/19367839_895114663963108_2752469442779676672_a.jpg</v>
      </c>
    </row>
    <row r="5223" spans="1:31" ht="15" x14ac:dyDescent="0.25">
      <c r="A5223" t="s">
        <v>2474</v>
      </c>
      <c r="B5223" t="s">
        <v>23829</v>
      </c>
      <c r="C5223" s="221">
        <v>42985.238530092596</v>
      </c>
      <c r="D5223" t="s">
        <v>27516</v>
      </c>
      <c r="E5223" s="249" t="str">
        <f>HYPERLINK("https://www.instagram.com/p/BYvDX2phW_m/")</f>
        <v>https://www.instagram.com/p/BYvDX2phW_m/</v>
      </c>
      <c r="F5223" t="s">
        <v>27517</v>
      </c>
      <c r="G5223" t="s">
        <v>2478</v>
      </c>
      <c r="H5223">
        <v>435</v>
      </c>
      <c r="I5223" t="s">
        <v>3025</v>
      </c>
      <c r="J5223">
        <v>1</v>
      </c>
      <c r="K5223">
        <v>44</v>
      </c>
      <c r="L5223">
        <v>45</v>
      </c>
      <c r="Q5223">
        <v>0</v>
      </c>
      <c r="R5223">
        <v>0</v>
      </c>
      <c r="S5223">
        <v>45</v>
      </c>
      <c r="Y5223" t="s">
        <v>4121</v>
      </c>
      <c r="Z5223" t="s">
        <v>8417</v>
      </c>
      <c r="AA5223" t="s">
        <v>2497</v>
      </c>
      <c r="AB5223" t="s">
        <v>27518</v>
      </c>
      <c r="AC5223" t="s">
        <v>27519</v>
      </c>
      <c r="AD5223" s="249" t="str">
        <f>HYPERLINK("https://scontent.cdninstagram.com/t51.2885-15/s320x320/e35/21433970_128413511132054_5265843394835382272_n.jpg")</f>
        <v>https://scontent.cdninstagram.com/t51.2885-15/s320x320/e35/21433970_128413511132054_5265843394835382272_n.jpg</v>
      </c>
      <c r="AE5223" s="249" t="str">
        <f>HYPERLINK("https://scontent.cdninstagram.com/t51.2885-19/s150x150/18298631_1694441370571030_1620057089911029760_a.jpg")</f>
        <v>https://scontent.cdninstagram.com/t51.2885-19/s150x150/18298631_1694441370571030_1620057089911029760_a.jpg</v>
      </c>
    </row>
    <row r="5224" spans="1:31" ht="15" x14ac:dyDescent="0.25">
      <c r="A5224" t="s">
        <v>2474</v>
      </c>
      <c r="B5224" t="s">
        <v>27520</v>
      </c>
      <c r="C5224" s="221">
        <v>42985.249189814815</v>
      </c>
      <c r="D5224" t="s">
        <v>27521</v>
      </c>
      <c r="E5224" s="249" t="str">
        <f>HYPERLINK("https://www.instagram.com/p/BYvFIS6gw5A/")</f>
        <v>https://www.instagram.com/p/BYvFIS6gw5A/</v>
      </c>
      <c r="F5224" t="s">
        <v>27522</v>
      </c>
      <c r="G5224" t="s">
        <v>2478</v>
      </c>
      <c r="H5224">
        <v>567</v>
      </c>
      <c r="I5224" t="s">
        <v>2599</v>
      </c>
      <c r="J5224">
        <v>1</v>
      </c>
      <c r="K5224">
        <v>30</v>
      </c>
      <c r="L5224">
        <v>31</v>
      </c>
      <c r="Q5224">
        <v>0</v>
      </c>
      <c r="R5224">
        <v>0</v>
      </c>
      <c r="S5224">
        <v>31</v>
      </c>
      <c r="Y5224" t="s">
        <v>2497</v>
      </c>
      <c r="Z5224" t="s">
        <v>4419</v>
      </c>
      <c r="AA5224" t="s">
        <v>27523</v>
      </c>
      <c r="AB5224" t="s">
        <v>3936</v>
      </c>
      <c r="AC5224" t="s">
        <v>3256</v>
      </c>
      <c r="AD5224" s="249" t="str">
        <f>HYPERLINK("https://scontent.cdninstagram.com/t51.2885-15/s320x320/e35/21435461_1758733767759103_3157203916391710720_n.jpg")</f>
        <v>https://scontent.cdninstagram.com/t51.2885-15/s320x320/e35/21435461_1758733767759103_3157203916391710720_n.jpg</v>
      </c>
      <c r="AE5224" s="249" t="str">
        <f>HYPERLINK("https://scontent.cdninstagram.com/t51.2885-19/s150x150/13151244_1577479582550966_1299783114_a.jpg")</f>
        <v>https://scontent.cdninstagram.com/t51.2885-19/s150x150/13151244_1577479582550966_1299783114_a.jpg</v>
      </c>
    </row>
    <row r="5225" spans="1:31" ht="15" x14ac:dyDescent="0.25">
      <c r="A5225" t="s">
        <v>2474</v>
      </c>
      <c r="B5225" t="s">
        <v>10292</v>
      </c>
      <c r="C5225" s="221">
        <v>42985.252337962964</v>
      </c>
      <c r="D5225" t="s">
        <v>27524</v>
      </c>
      <c r="E5225" s="249" t="str">
        <f>HYPERLINK("https://www.instagram.com/p/BYvFpfZgLGz/")</f>
        <v>https://www.instagram.com/p/BYvFpfZgLGz/</v>
      </c>
      <c r="F5225" t="s">
        <v>27525</v>
      </c>
      <c r="G5225" t="s">
        <v>2478</v>
      </c>
      <c r="H5225">
        <v>162</v>
      </c>
      <c r="I5225" t="s">
        <v>4963</v>
      </c>
      <c r="J5225">
        <v>0</v>
      </c>
      <c r="K5225">
        <v>9</v>
      </c>
      <c r="L5225">
        <v>9</v>
      </c>
      <c r="Q5225">
        <v>0</v>
      </c>
      <c r="R5225">
        <v>0</v>
      </c>
      <c r="S5225">
        <v>9</v>
      </c>
      <c r="Y5225" t="s">
        <v>3153</v>
      </c>
      <c r="Z5225" t="s">
        <v>27526</v>
      </c>
      <c r="AA5225" t="s">
        <v>10297</v>
      </c>
      <c r="AB5225" t="s">
        <v>2497</v>
      </c>
      <c r="AC5225" t="s">
        <v>27527</v>
      </c>
      <c r="AD5225" s="249" t="str">
        <f>HYPERLINK("https://scontent.cdninstagram.com/t51.2885-15/e35/p320x320/21434248_263198160858978_6030875699881967616_n.jpg")</f>
        <v>https://scontent.cdninstagram.com/t51.2885-15/e35/p320x320/21434248_263198160858978_6030875699881967616_n.jpg</v>
      </c>
      <c r="AE5225" s="249" t="str">
        <f>HYPERLINK("https://scontent.cdninstagram.com/t51.2885-19/s150x150/19932600_245912292581729_6650553130377281536_a.jpg")</f>
        <v>https://scontent.cdninstagram.com/t51.2885-19/s150x150/19932600_245912292581729_6650553130377281536_a.jpg</v>
      </c>
    </row>
    <row r="5226" spans="1:31" ht="15" x14ac:dyDescent="0.25">
      <c r="A5226" t="s">
        <v>2474</v>
      </c>
      <c r="B5226" t="s">
        <v>27528</v>
      </c>
      <c r="C5226" s="221">
        <v>42985.260995370372</v>
      </c>
      <c r="D5226" t="s">
        <v>27529</v>
      </c>
      <c r="E5226" s="249" t="str">
        <f>HYPERLINK("https://www.instagram.com/p/BYvHEw1Fd0g/")</f>
        <v>https://www.instagram.com/p/BYvHEw1Fd0g/</v>
      </c>
      <c r="F5226" t="s">
        <v>27530</v>
      </c>
      <c r="G5226" t="s">
        <v>2631</v>
      </c>
      <c r="H5226">
        <v>900</v>
      </c>
      <c r="I5226" t="s">
        <v>2479</v>
      </c>
      <c r="J5226">
        <v>7</v>
      </c>
      <c r="K5226">
        <v>42</v>
      </c>
      <c r="L5226">
        <v>49</v>
      </c>
      <c r="Q5226">
        <v>0</v>
      </c>
      <c r="R5226">
        <v>0</v>
      </c>
      <c r="S5226">
        <v>49</v>
      </c>
      <c r="Y5226" t="s">
        <v>4121</v>
      </c>
      <c r="Z5226" t="s">
        <v>27531</v>
      </c>
      <c r="AA5226" t="s">
        <v>27532</v>
      </c>
      <c r="AB5226" t="s">
        <v>2497</v>
      </c>
      <c r="AC5226" t="s">
        <v>2861</v>
      </c>
      <c r="AD5226" s="249" t="str">
        <f>HYPERLINK("https://scontent.cdninstagram.com/t51.2885-15/s320x320/e15/21479892_688384714705635_7735668044956958720_n.jpg")</f>
        <v>https://scontent.cdninstagram.com/t51.2885-15/s320x320/e15/21479892_688384714705635_7735668044956958720_n.jpg</v>
      </c>
      <c r="AE5226" s="249" t="str">
        <f>HYPERLINK("https://scontent.cdninstagram.com/t51.2885-19/s150x150/12331507_469575953243704_36731307_a.jpg")</f>
        <v>https://scontent.cdninstagram.com/t51.2885-19/s150x150/12331507_469575953243704_36731307_a.jpg</v>
      </c>
    </row>
    <row r="5227" spans="1:31" ht="15" x14ac:dyDescent="0.25">
      <c r="A5227" t="s">
        <v>2474</v>
      </c>
      <c r="B5227" t="s">
        <v>25469</v>
      </c>
      <c r="C5227" s="221">
        <v>42985.261180555557</v>
      </c>
      <c r="D5227" t="s">
        <v>27533</v>
      </c>
      <c r="E5227" s="249" t="str">
        <f>HYPERLINK("https://www.instagram.com/p/BYvHGvcgQee/")</f>
        <v>https://www.instagram.com/p/BYvHGvcgQee/</v>
      </c>
      <c r="F5227" t="s">
        <v>27534</v>
      </c>
      <c r="G5227" t="s">
        <v>2478</v>
      </c>
      <c r="H5227">
        <v>346</v>
      </c>
      <c r="I5227" t="s">
        <v>3575</v>
      </c>
      <c r="J5227">
        <v>2</v>
      </c>
      <c r="K5227">
        <v>37</v>
      </c>
      <c r="L5227">
        <v>39</v>
      </c>
      <c r="Q5227">
        <v>0</v>
      </c>
      <c r="R5227">
        <v>0</v>
      </c>
      <c r="S5227">
        <v>39</v>
      </c>
      <c r="Y5227" t="s">
        <v>8501</v>
      </c>
      <c r="Z5227" t="s">
        <v>2497</v>
      </c>
      <c r="AA5227" t="s">
        <v>27535</v>
      </c>
      <c r="AB5227" t="s">
        <v>27536</v>
      </c>
      <c r="AC5227" t="s">
        <v>6724</v>
      </c>
      <c r="AD5227" s="249" t="str">
        <f>HYPERLINK("https://scontent.cdninstagram.com/t51.2885-15/s320x320/e35/21373386_1490595424321343_8043425279466536960_n.jpg")</f>
        <v>https://scontent.cdninstagram.com/t51.2885-15/s320x320/e35/21373386_1490595424321343_8043425279466536960_n.jpg</v>
      </c>
      <c r="AE5227" s="249" t="str">
        <f>HYPERLINK("https://scontent.cdninstagram.com/t51.2885-19/s150x150/20766070_496337254040059_353249781511880704_a.jpg")</f>
        <v>https://scontent.cdninstagram.com/t51.2885-19/s150x150/20766070_496337254040059_353249781511880704_a.jpg</v>
      </c>
    </row>
    <row r="5228" spans="1:31" ht="15" x14ac:dyDescent="0.25">
      <c r="A5228" t="s">
        <v>2474</v>
      </c>
      <c r="B5228" t="s">
        <v>27537</v>
      </c>
      <c r="C5228" s="221">
        <v>42985.267326388886</v>
      </c>
      <c r="D5228" t="s">
        <v>27538</v>
      </c>
      <c r="E5228" s="249" t="str">
        <f>HYPERLINK("https://www.instagram.com/p/BYvIHnKgMr3/")</f>
        <v>https://www.instagram.com/p/BYvIHnKgMr3/</v>
      </c>
      <c r="F5228" t="s">
        <v>27539</v>
      </c>
      <c r="G5228" t="s">
        <v>2478</v>
      </c>
      <c r="H5228">
        <v>727</v>
      </c>
      <c r="I5228" t="s">
        <v>2479</v>
      </c>
      <c r="J5228">
        <v>1</v>
      </c>
      <c r="K5228">
        <v>46</v>
      </c>
      <c r="L5228">
        <v>47</v>
      </c>
      <c r="Q5228">
        <v>0</v>
      </c>
      <c r="R5228">
        <v>0</v>
      </c>
      <c r="S5228">
        <v>47</v>
      </c>
      <c r="Y5228" t="s">
        <v>2497</v>
      </c>
      <c r="Z5228" t="s">
        <v>27540</v>
      </c>
      <c r="AA5228" t="s">
        <v>27541</v>
      </c>
      <c r="AD5228" s="249" t="str">
        <f>HYPERLINK("https://scontent.cdninstagram.com/t51.2885-15/s320x320/e35/21433873_146512439278128_8174271844686233600_n.jpg")</f>
        <v>https://scontent.cdninstagram.com/t51.2885-15/s320x320/e35/21433873_146512439278128_8174271844686233600_n.jpg</v>
      </c>
      <c r="AE5228" s="249" t="str">
        <f>HYPERLINK("https://scontent.cdninstagram.com/t51.2885-19/s150x150/19227159_1921527101401466_1807695333375868928_a.jpg")</f>
        <v>https://scontent.cdninstagram.com/t51.2885-19/s150x150/19227159_1921527101401466_1807695333375868928_a.jpg</v>
      </c>
    </row>
    <row r="5229" spans="1:31" ht="15" x14ac:dyDescent="0.25">
      <c r="A5229" t="s">
        <v>2474</v>
      </c>
      <c r="B5229" t="s">
        <v>22201</v>
      </c>
      <c r="C5229" s="221">
        <v>42985.26966435185</v>
      </c>
      <c r="D5229" t="s">
        <v>27542</v>
      </c>
      <c r="E5229" s="249" t="str">
        <f>HYPERLINK("https://www.instagram.com/p/BYvIgM3gvYY/")</f>
        <v>https://www.instagram.com/p/BYvIgM3gvYY/</v>
      </c>
      <c r="F5229" t="s">
        <v>27543</v>
      </c>
      <c r="G5229" t="s">
        <v>2478</v>
      </c>
      <c r="H5229">
        <v>785</v>
      </c>
      <c r="I5229" t="s">
        <v>2479</v>
      </c>
      <c r="J5229">
        <v>2</v>
      </c>
      <c r="K5229">
        <v>40</v>
      </c>
      <c r="L5229">
        <v>42</v>
      </c>
      <c r="Q5229">
        <v>0</v>
      </c>
      <c r="R5229">
        <v>0</v>
      </c>
      <c r="S5229">
        <v>42</v>
      </c>
      <c r="Y5229" t="s">
        <v>8487</v>
      </c>
      <c r="Z5229" t="s">
        <v>2497</v>
      </c>
      <c r="AA5229" t="s">
        <v>27544</v>
      </c>
      <c r="AB5229" t="s">
        <v>22201</v>
      </c>
      <c r="AC5229" t="s">
        <v>27545</v>
      </c>
      <c r="AD5229" s="249" t="str">
        <f>HYPERLINK("https://scontent.cdninstagram.com/t51.2885-15/s320x320/e35/21373116_270769023421038_8346056135500890112_n.jpg")</f>
        <v>https://scontent.cdninstagram.com/t51.2885-15/s320x320/e35/21373116_270769023421038_8346056135500890112_n.jpg</v>
      </c>
      <c r="AE5229" s="249" t="str">
        <f>HYPERLINK("https://scontent.cdninstagram.com/t51.2885-19/s150x150/15259064_622974684530512_2926695697380016128_a.jpg")</f>
        <v>https://scontent.cdninstagram.com/t51.2885-19/s150x150/15259064_622974684530512_2926695697380016128_a.jpg</v>
      </c>
    </row>
    <row r="5230" spans="1:31" ht="15" x14ac:dyDescent="0.25">
      <c r="A5230" t="s">
        <v>2474</v>
      </c>
      <c r="B5230" t="s">
        <v>6078</v>
      </c>
      <c r="C5230" s="221">
        <v>42985.291550925926</v>
      </c>
      <c r="D5230" t="s">
        <v>27546</v>
      </c>
      <c r="E5230" s="249" t="str">
        <f>HYPERLINK("https://www.instagram.com/p/BYvMHD5FsIx/")</f>
        <v>https://www.instagram.com/p/BYvMHD5FsIx/</v>
      </c>
      <c r="F5230" t="s">
        <v>27547</v>
      </c>
      <c r="G5230" t="s">
        <v>2478</v>
      </c>
      <c r="H5230">
        <v>211</v>
      </c>
      <c r="I5230" t="s">
        <v>2479</v>
      </c>
      <c r="J5230">
        <v>1</v>
      </c>
      <c r="K5230">
        <v>44</v>
      </c>
      <c r="L5230">
        <v>45</v>
      </c>
      <c r="Q5230">
        <v>0</v>
      </c>
      <c r="R5230">
        <v>0</v>
      </c>
      <c r="S5230">
        <v>45</v>
      </c>
      <c r="Y5230" t="s">
        <v>26600</v>
      </c>
      <c r="Z5230" t="s">
        <v>2497</v>
      </c>
      <c r="AA5230" t="s">
        <v>6083</v>
      </c>
      <c r="AB5230" t="s">
        <v>3277</v>
      </c>
      <c r="AC5230" t="s">
        <v>2562</v>
      </c>
      <c r="AD5230" s="249" t="str">
        <f>HYPERLINK("https://scontent.cdninstagram.com/t51.2885-15/s320x320/e35/21435467_1399274860190213_2137783734944923648_n.jpg")</f>
        <v>https://scontent.cdninstagram.com/t51.2885-15/s320x320/e35/21435467_1399274860190213_2137783734944923648_n.jpg</v>
      </c>
      <c r="AE5230" s="249" t="str">
        <f>HYPERLINK("https://scontent.cdninstagram.com/t51.2885-19/s150x150/14280379_679546568875374_542410728_a.jpg")</f>
        <v>https://scontent.cdninstagram.com/t51.2885-19/s150x150/14280379_679546568875374_542410728_a.jpg</v>
      </c>
    </row>
    <row r="5231" spans="1:31" ht="15" x14ac:dyDescent="0.25">
      <c r="A5231" t="s">
        <v>2474</v>
      </c>
      <c r="B5231" t="s">
        <v>4811</v>
      </c>
      <c r="C5231" s="221">
        <v>42985.292962962965</v>
      </c>
      <c r="D5231" t="s">
        <v>27548</v>
      </c>
      <c r="E5231" s="249" t="str">
        <f>HYPERLINK("https://www.instagram.com/p/BYvMV8YgAQ3/")</f>
        <v>https://www.instagram.com/p/BYvMV8YgAQ3/</v>
      </c>
      <c r="F5231" t="s">
        <v>27549</v>
      </c>
      <c r="G5231" t="s">
        <v>2478</v>
      </c>
      <c r="H5231">
        <v>1034</v>
      </c>
      <c r="I5231" t="s">
        <v>2479</v>
      </c>
      <c r="J5231">
        <v>2</v>
      </c>
      <c r="K5231">
        <v>94</v>
      </c>
      <c r="L5231">
        <v>96</v>
      </c>
      <c r="Q5231">
        <v>0</v>
      </c>
      <c r="R5231">
        <v>0</v>
      </c>
      <c r="S5231">
        <v>96</v>
      </c>
      <c r="Y5231" t="s">
        <v>27550</v>
      </c>
      <c r="Z5231" t="s">
        <v>8501</v>
      </c>
      <c r="AA5231" t="s">
        <v>2497</v>
      </c>
      <c r="AB5231" t="s">
        <v>6213</v>
      </c>
      <c r="AC5231" t="s">
        <v>4036</v>
      </c>
      <c r="AD5231" s="249" t="str">
        <f>HYPERLINK("https://scontent.cdninstagram.com/t51.2885-15/s320x320/e35/21373052_740214922846332_182194131898990592_n.jpg")</f>
        <v>https://scontent.cdninstagram.com/t51.2885-15/s320x320/e35/21373052_740214922846332_182194131898990592_n.jpg</v>
      </c>
      <c r="AE5231" s="249" t="str">
        <f>HYPERLINK("https://scontent.cdninstagram.com/t51.2885-19/s150x150/16124251_1913091765603634_8004330562992996352_a.jpg")</f>
        <v>https://scontent.cdninstagram.com/t51.2885-19/s150x150/16124251_1913091765603634_8004330562992996352_a.jpg</v>
      </c>
    </row>
    <row r="5232" spans="1:31" ht="15" x14ac:dyDescent="0.25">
      <c r="A5232" t="s">
        <v>2474</v>
      </c>
      <c r="B5232" t="s">
        <v>13642</v>
      </c>
      <c r="C5232" s="221">
        <v>42985.293287037035</v>
      </c>
      <c r="D5232" t="s">
        <v>27551</v>
      </c>
      <c r="E5232" s="249" t="str">
        <f>HYPERLINK("https://www.instagram.com/p/BYvMZX9nzAO/")</f>
        <v>https://www.instagram.com/p/BYvMZX9nzAO/</v>
      </c>
      <c r="F5232" t="s">
        <v>27552</v>
      </c>
      <c r="G5232" t="s">
        <v>2478</v>
      </c>
      <c r="H5232">
        <v>5358</v>
      </c>
      <c r="I5232" t="s">
        <v>2896</v>
      </c>
      <c r="J5232">
        <v>5</v>
      </c>
      <c r="K5232">
        <v>319</v>
      </c>
      <c r="L5232">
        <v>324</v>
      </c>
      <c r="Q5232">
        <v>0</v>
      </c>
      <c r="R5232">
        <v>0</v>
      </c>
      <c r="S5232">
        <v>324</v>
      </c>
      <c r="Y5232" t="s">
        <v>12593</v>
      </c>
      <c r="Z5232" t="s">
        <v>4513</v>
      </c>
      <c r="AA5232" t="s">
        <v>9670</v>
      </c>
      <c r="AB5232" t="s">
        <v>3568</v>
      </c>
      <c r="AC5232" t="s">
        <v>3843</v>
      </c>
      <c r="AD5232" s="249" t="str">
        <f>HYPERLINK("https://scontent.cdninstagram.com/t51.2885-15/s320x320/e35/21373127_814022412109709_8675831253565440000_n.jpg")</f>
        <v>https://scontent.cdninstagram.com/t51.2885-15/s320x320/e35/21373127_814022412109709_8675831253565440000_n.jpg</v>
      </c>
      <c r="AE5232" s="249" t="str">
        <f>HYPERLINK("https://scontent.cdninstagram.com/t51.2885-19/s150x150/21435880_1637300319628215_254792037117722624_a.jpg")</f>
        <v>https://scontent.cdninstagram.com/t51.2885-19/s150x150/21435880_1637300319628215_254792037117722624_a.jpg</v>
      </c>
    </row>
    <row r="5233" spans="1:31" ht="15" x14ac:dyDescent="0.25">
      <c r="A5233" t="s">
        <v>2474</v>
      </c>
      <c r="B5233" t="s">
        <v>3895</v>
      </c>
      <c r="C5233" s="221">
        <v>42985.299155092594</v>
      </c>
      <c r="D5233" t="s">
        <v>27553</v>
      </c>
      <c r="E5233" s="249" t="str">
        <f>HYPERLINK("https://www.instagram.com/p/BYvNXQil2w7/")</f>
        <v>https://www.instagram.com/p/BYvNXQil2w7/</v>
      </c>
      <c r="F5233" t="s">
        <v>27554</v>
      </c>
      <c r="G5233" t="s">
        <v>2478</v>
      </c>
      <c r="H5233">
        <v>450</v>
      </c>
      <c r="I5233" t="s">
        <v>2479</v>
      </c>
      <c r="J5233">
        <v>3</v>
      </c>
      <c r="K5233">
        <v>60</v>
      </c>
      <c r="L5233">
        <v>63</v>
      </c>
      <c r="Q5233">
        <v>0</v>
      </c>
      <c r="R5233">
        <v>0</v>
      </c>
      <c r="S5233">
        <v>63</v>
      </c>
      <c r="Y5233" t="s">
        <v>2513</v>
      </c>
      <c r="Z5233" t="s">
        <v>9108</v>
      </c>
      <c r="AA5233" t="s">
        <v>2497</v>
      </c>
      <c r="AB5233" t="s">
        <v>2554</v>
      </c>
      <c r="AC5233" t="s">
        <v>2911</v>
      </c>
      <c r="AD5233" s="249" t="str">
        <f>HYPERLINK("https://scontent.cdninstagram.com/t51.2885-15/s320x320/e35/21372941_823776921137489_1265172283069038592_n.jpg")</f>
        <v>https://scontent.cdninstagram.com/t51.2885-15/s320x320/e35/21372941_823776921137489_1265172283069038592_n.jpg</v>
      </c>
      <c r="AE5233" s="249" t="str">
        <f>HYPERLINK("https://scontent.cdninstagram.com/t51.2885-19/s150x150/20902130_1390331654386412_4188068892897181696_a.jpg")</f>
        <v>https://scontent.cdninstagram.com/t51.2885-19/s150x150/20902130_1390331654386412_4188068892897181696_a.jpg</v>
      </c>
    </row>
    <row r="5234" spans="1:31" ht="15" x14ac:dyDescent="0.25">
      <c r="A5234" t="s">
        <v>2474</v>
      </c>
      <c r="B5234" t="s">
        <v>3601</v>
      </c>
      <c r="C5234" s="221">
        <v>42985.302916666667</v>
      </c>
      <c r="D5234" t="s">
        <v>27555</v>
      </c>
      <c r="E5234" s="249" t="str">
        <f>HYPERLINK("https://www.instagram.com/p/BYvN-5rDTW3/")</f>
        <v>https://www.instagram.com/p/BYvN-5rDTW3/</v>
      </c>
      <c r="F5234" t="s">
        <v>27556</v>
      </c>
      <c r="G5234" t="s">
        <v>2478</v>
      </c>
      <c r="H5234">
        <v>689</v>
      </c>
      <c r="I5234" t="s">
        <v>4062</v>
      </c>
      <c r="J5234">
        <v>1</v>
      </c>
      <c r="K5234">
        <v>29</v>
      </c>
      <c r="L5234">
        <v>30</v>
      </c>
      <c r="Q5234">
        <v>0</v>
      </c>
      <c r="R5234">
        <v>0</v>
      </c>
      <c r="S5234">
        <v>30</v>
      </c>
      <c r="Y5234" t="s">
        <v>27557</v>
      </c>
      <c r="Z5234" t="s">
        <v>3783</v>
      </c>
      <c r="AA5234" t="s">
        <v>27558</v>
      </c>
      <c r="AB5234" t="s">
        <v>27559</v>
      </c>
      <c r="AC5234" t="s">
        <v>2497</v>
      </c>
      <c r="AD5234" s="249" t="str">
        <f>HYPERLINK("https://scontent.cdninstagram.com/t51.2885-15/s320x320/e35/21434254_859082850922945_3158439436748849152_n.jpg")</f>
        <v>https://scontent.cdninstagram.com/t51.2885-15/s320x320/e35/21434254_859082850922945_3158439436748849152_n.jpg</v>
      </c>
      <c r="AE5234" s="249" t="str">
        <f>HYPERLINK("https://scontent.cdninstagram.com/t51.2885-19/s150x150/15048246_1010636362391741_270322140643852288_a.jpg")</f>
        <v>https://scontent.cdninstagram.com/t51.2885-19/s150x150/15048246_1010636362391741_270322140643852288_a.jpg</v>
      </c>
    </row>
    <row r="5235" spans="1:31" ht="15" x14ac:dyDescent="0.25">
      <c r="A5235" t="s">
        <v>2474</v>
      </c>
      <c r="B5235" t="s">
        <v>4616</v>
      </c>
      <c r="C5235" s="221">
        <v>42985.31354166667</v>
      </c>
      <c r="D5235" t="s">
        <v>27560</v>
      </c>
      <c r="E5235" s="249" t="str">
        <f>HYPERLINK("https://www.instagram.com/p/BYvPu_AB17B/")</f>
        <v>https://www.instagram.com/p/BYvPu_AB17B/</v>
      </c>
      <c r="F5235" t="s">
        <v>12855</v>
      </c>
      <c r="G5235" t="s">
        <v>2478</v>
      </c>
      <c r="H5235">
        <v>111</v>
      </c>
      <c r="I5235" t="s">
        <v>2479</v>
      </c>
      <c r="J5235">
        <v>1</v>
      </c>
      <c r="K5235">
        <v>28</v>
      </c>
      <c r="L5235">
        <v>29</v>
      </c>
      <c r="Q5235">
        <v>0</v>
      </c>
      <c r="R5235">
        <v>0</v>
      </c>
      <c r="S5235">
        <v>29</v>
      </c>
      <c r="Y5235" t="s">
        <v>2497</v>
      </c>
      <c r="Z5235" t="s">
        <v>5211</v>
      </c>
      <c r="AA5235" t="s">
        <v>4808</v>
      </c>
      <c r="AB5235" t="s">
        <v>4623</v>
      </c>
      <c r="AC5235" t="s">
        <v>2866</v>
      </c>
      <c r="AD5235" s="249" t="str">
        <f>HYPERLINK("https://scontent.cdninstagram.com/t51.2885-15/s320x320/e35/21372583_127135614601860_8320101330303582208_n.jpg")</f>
        <v>https://scontent.cdninstagram.com/t51.2885-15/s320x320/e35/21372583_127135614601860_8320101330303582208_n.jpg</v>
      </c>
      <c r="AE5235" s="249" t="str">
        <f>HYPERLINK("https://scontent.cdninstagram.com/t51.2885-19/s150x150/17494353_1347957098574282_2527511313651859456_a.jpg")</f>
        <v>https://scontent.cdninstagram.com/t51.2885-19/s150x150/17494353_1347957098574282_2527511313651859456_a.jpg</v>
      </c>
    </row>
    <row r="5236" spans="1:31" ht="15" x14ac:dyDescent="0.25">
      <c r="A5236" t="s">
        <v>2474</v>
      </c>
      <c r="B5236" t="s">
        <v>27561</v>
      </c>
      <c r="C5236" s="221">
        <v>42985.315393518518</v>
      </c>
      <c r="D5236" t="s">
        <v>27562</v>
      </c>
      <c r="E5236" s="249" t="str">
        <f>HYPERLINK("https://www.instagram.com/p/BYvQClgl3M2/")</f>
        <v>https://www.instagram.com/p/BYvQClgl3M2/</v>
      </c>
      <c r="F5236" t="s">
        <v>27563</v>
      </c>
      <c r="G5236" t="s">
        <v>2478</v>
      </c>
      <c r="H5236">
        <v>1134</v>
      </c>
      <c r="I5236" t="s">
        <v>3025</v>
      </c>
      <c r="J5236">
        <v>2</v>
      </c>
      <c r="K5236">
        <v>21</v>
      </c>
      <c r="L5236">
        <v>23</v>
      </c>
      <c r="Q5236">
        <v>0</v>
      </c>
      <c r="R5236">
        <v>0</v>
      </c>
      <c r="S5236">
        <v>23</v>
      </c>
      <c r="Y5236" t="s">
        <v>2497</v>
      </c>
      <c r="Z5236" t="s">
        <v>27564</v>
      </c>
      <c r="AA5236" t="s">
        <v>12468</v>
      </c>
      <c r="AB5236" t="s">
        <v>2609</v>
      </c>
      <c r="AC5236" t="s">
        <v>27565</v>
      </c>
      <c r="AD5236" s="249" t="str">
        <f>HYPERLINK("https://scontent.cdninstagram.com/t51.2885-15/s320x320/e35/21433354_1923988257716759_4026385918486118400_n.jpg")</f>
        <v>https://scontent.cdninstagram.com/t51.2885-15/s320x320/e35/21433354_1923988257716759_4026385918486118400_n.jpg</v>
      </c>
      <c r="AE5236" s="249" t="str">
        <f>HYPERLINK("https://scontent.cdninstagram.com/t51.2885-19/s150x150/21149829_1050886251712856_3456345811577733120_a.jpg")</f>
        <v>https://scontent.cdninstagram.com/t51.2885-19/s150x150/21149829_1050886251712856_3456345811577733120_a.jpg</v>
      </c>
    </row>
    <row r="5237" spans="1:31" ht="15" x14ac:dyDescent="0.25">
      <c r="A5237" t="s">
        <v>2474</v>
      </c>
      <c r="B5237" t="s">
        <v>27566</v>
      </c>
      <c r="C5237" s="221">
        <v>42985.319282407407</v>
      </c>
      <c r="D5237" t="s">
        <v>27567</v>
      </c>
      <c r="E5237" s="249" t="str">
        <f>HYPERLINK("https://www.instagram.com/p/BYvQrnMg0iz/")</f>
        <v>https://www.instagram.com/p/BYvQrnMg0iz/</v>
      </c>
      <c r="F5237" t="s">
        <v>27568</v>
      </c>
      <c r="G5237" t="s">
        <v>2478</v>
      </c>
      <c r="H5237">
        <v>223</v>
      </c>
      <c r="I5237" t="s">
        <v>2542</v>
      </c>
      <c r="J5237">
        <v>1</v>
      </c>
      <c r="K5237">
        <v>16</v>
      </c>
      <c r="L5237">
        <v>17</v>
      </c>
      <c r="Q5237">
        <v>0</v>
      </c>
      <c r="R5237">
        <v>0</v>
      </c>
      <c r="S5237">
        <v>17</v>
      </c>
      <c r="Y5237" t="s">
        <v>6835</v>
      </c>
      <c r="Z5237" t="s">
        <v>2497</v>
      </c>
      <c r="AA5237" t="s">
        <v>8481</v>
      </c>
      <c r="AB5237" t="s">
        <v>2735</v>
      </c>
      <c r="AD5237" s="249" t="str">
        <f>HYPERLINK("https://scontent.cdninstagram.com/t51.2885-15/s320x320/e35/21372904_126915444621209_6485998467817668608_n.jpg")</f>
        <v>https://scontent.cdninstagram.com/t51.2885-15/s320x320/e35/21372904_126915444621209_6485998467817668608_n.jpg</v>
      </c>
      <c r="AE5237" s="249" t="str">
        <f>HYPERLINK("https://scontent.cdninstagram.com/t51.2885-19/11205917_1563197480612106_1297941896_a.jpg")</f>
        <v>https://scontent.cdninstagram.com/t51.2885-19/11205917_1563197480612106_1297941896_a.jpg</v>
      </c>
    </row>
    <row r="5238" spans="1:31" ht="15" x14ac:dyDescent="0.25">
      <c r="A5238" t="s">
        <v>2474</v>
      </c>
      <c r="B5238" t="s">
        <v>27569</v>
      </c>
      <c r="C5238" s="221">
        <v>42985.323634259257</v>
      </c>
      <c r="D5238" t="s">
        <v>27570</v>
      </c>
      <c r="E5238" s="249" t="str">
        <f>HYPERLINK("https://www.instagram.com/p/BYvRZgggoWo/")</f>
        <v>https://www.instagram.com/p/BYvRZgggoWo/</v>
      </c>
      <c r="F5238" t="s">
        <v>27571</v>
      </c>
      <c r="G5238" t="s">
        <v>2478</v>
      </c>
      <c r="H5238">
        <v>4</v>
      </c>
      <c r="I5238" t="s">
        <v>2748</v>
      </c>
      <c r="J5238">
        <v>0</v>
      </c>
      <c r="K5238">
        <v>4</v>
      </c>
      <c r="L5238">
        <v>4</v>
      </c>
      <c r="Q5238">
        <v>0</v>
      </c>
      <c r="R5238">
        <v>0</v>
      </c>
      <c r="S5238">
        <v>4</v>
      </c>
      <c r="Y5238" t="s">
        <v>27572</v>
      </c>
      <c r="Z5238" t="s">
        <v>27573</v>
      </c>
      <c r="AA5238" t="s">
        <v>2497</v>
      </c>
      <c r="AB5238" t="s">
        <v>27574</v>
      </c>
      <c r="AD5238" s="249" t="str">
        <f>HYPERLINK("https://scontent.cdninstagram.com/t51.2885-15/s320x320/e35/21372831_1436399549785159_2616622556374892544_n.jpg")</f>
        <v>https://scontent.cdninstagram.com/t51.2885-15/s320x320/e35/21372831_1436399549785159_2616622556374892544_n.jpg</v>
      </c>
      <c r="AE5238" s="249" t="str">
        <f>HYPERLINK("https://scontent.cdninstagram.com/t51.2885-19/s150x150/21433697_113722245987166_3493291712963411968_a.jpg")</f>
        <v>https://scontent.cdninstagram.com/t51.2885-19/s150x150/21433697_113722245987166_3493291712963411968_a.jpg</v>
      </c>
    </row>
    <row r="5239" spans="1:31" ht="15" x14ac:dyDescent="0.25">
      <c r="A5239" t="s">
        <v>2474</v>
      </c>
      <c r="B5239" t="s">
        <v>27575</v>
      </c>
      <c r="C5239" s="221">
        <v>42985.324305555558</v>
      </c>
      <c r="D5239" t="s">
        <v>27576</v>
      </c>
      <c r="E5239" s="249" t="str">
        <f>HYPERLINK("https://www.instagram.com/p/BYvRge0hmlz/")</f>
        <v>https://www.instagram.com/p/BYvRge0hmlz/</v>
      </c>
      <c r="F5239" t="s">
        <v>27577</v>
      </c>
      <c r="G5239" t="s">
        <v>2478</v>
      </c>
      <c r="H5239">
        <v>4</v>
      </c>
      <c r="I5239" t="s">
        <v>2599</v>
      </c>
      <c r="J5239">
        <v>0</v>
      </c>
      <c r="K5239">
        <v>9</v>
      </c>
      <c r="L5239">
        <v>9</v>
      </c>
      <c r="Q5239">
        <v>0</v>
      </c>
      <c r="R5239">
        <v>0</v>
      </c>
      <c r="S5239">
        <v>9</v>
      </c>
      <c r="Y5239" t="s">
        <v>5083</v>
      </c>
      <c r="Z5239" t="s">
        <v>2497</v>
      </c>
      <c r="AA5239" t="s">
        <v>27575</v>
      </c>
      <c r="AB5239" t="s">
        <v>27578</v>
      </c>
      <c r="AC5239" t="s">
        <v>4570</v>
      </c>
      <c r="AD5239" s="249" t="str">
        <f>HYPERLINK("https://scontent.cdninstagram.com/t51.2885-15/s320x320/e35/20398875_1282585105198029_4300221196349210624_n.jpg")</f>
        <v>https://scontent.cdninstagram.com/t51.2885-15/s320x320/e35/20398875_1282585105198029_4300221196349210624_n.jpg</v>
      </c>
      <c r="AE5239" s="249" t="str">
        <f>HYPERLINK("https://scontent.cdninstagram.com/t51.2885-19/s150x150/18161043_274002359736958_1422354247718010880_a.jpg")</f>
        <v>https://scontent.cdninstagram.com/t51.2885-19/s150x150/18161043_274002359736958_1422354247718010880_a.jpg</v>
      </c>
    </row>
    <row r="5240" spans="1:31" ht="15" x14ac:dyDescent="0.25">
      <c r="A5240" t="s">
        <v>2474</v>
      </c>
      <c r="B5240" t="s">
        <v>27579</v>
      </c>
      <c r="C5240" s="221">
        <v>42985.33048611111</v>
      </c>
      <c r="D5240" t="s">
        <v>27580</v>
      </c>
      <c r="E5240" s="249" t="str">
        <f>HYPERLINK("https://www.instagram.com/p/BYvShv_F7jY/")</f>
        <v>https://www.instagram.com/p/BYvShv_F7jY/</v>
      </c>
      <c r="F5240" t="s">
        <v>27581</v>
      </c>
      <c r="G5240" t="s">
        <v>2478</v>
      </c>
      <c r="H5240">
        <v>6</v>
      </c>
      <c r="I5240" t="s">
        <v>4523</v>
      </c>
      <c r="J5240">
        <v>0</v>
      </c>
      <c r="K5240">
        <v>5</v>
      </c>
      <c r="L5240">
        <v>5</v>
      </c>
      <c r="Q5240">
        <v>0</v>
      </c>
      <c r="R5240">
        <v>0</v>
      </c>
      <c r="S5240">
        <v>5</v>
      </c>
      <c r="Y5240" t="s">
        <v>6366</v>
      </c>
      <c r="Z5240" t="s">
        <v>2497</v>
      </c>
      <c r="AA5240" t="s">
        <v>27582</v>
      </c>
      <c r="AD5240" s="249" t="str">
        <f>HYPERLINK("https://scontent.cdninstagram.com/t51.2885-15/e35/p320x320/21433908_1504940859600516_6722869998705967104_n.jpg")</f>
        <v>https://scontent.cdninstagram.com/t51.2885-15/e35/p320x320/21433908_1504940859600516_6722869998705967104_n.jpg</v>
      </c>
      <c r="AE5240" s="249" t="str">
        <f>HYPERLINK("https://instagram.famm2-2.fna.fbcdn.net/t51.2885-19/11906329_960233084022564_1448528159_a.jpg")</f>
        <v>https://instagram.famm2-2.fna.fbcdn.net/t51.2885-19/11906329_960233084022564_1448528159_a.jpg</v>
      </c>
    </row>
    <row r="5241" spans="1:31" ht="15" x14ac:dyDescent="0.25">
      <c r="A5241" t="s">
        <v>2474</v>
      </c>
      <c r="B5241" t="s">
        <v>27583</v>
      </c>
      <c r="C5241" s="221">
        <v>42985.343761574077</v>
      </c>
      <c r="D5241" t="s">
        <v>27584</v>
      </c>
      <c r="E5241" s="249" t="str">
        <f>HYPERLINK("https://www.instagram.com/p/BYvUtrZAhJY/")</f>
        <v>https://www.instagram.com/p/BYvUtrZAhJY/</v>
      </c>
      <c r="F5241" t="s">
        <v>27585</v>
      </c>
      <c r="G5241" t="s">
        <v>2478</v>
      </c>
      <c r="H5241">
        <v>61</v>
      </c>
      <c r="I5241" t="s">
        <v>2479</v>
      </c>
      <c r="J5241">
        <v>1</v>
      </c>
      <c r="K5241">
        <v>7</v>
      </c>
      <c r="L5241">
        <v>8</v>
      </c>
      <c r="Q5241">
        <v>0</v>
      </c>
      <c r="R5241">
        <v>0</v>
      </c>
      <c r="S5241">
        <v>8</v>
      </c>
      <c r="Y5241" t="s">
        <v>2497</v>
      </c>
      <c r="Z5241" t="s">
        <v>27586</v>
      </c>
      <c r="AA5241" t="s">
        <v>27587</v>
      </c>
      <c r="AB5241" t="s">
        <v>12517</v>
      </c>
      <c r="AD5241" s="249" t="str">
        <f>HYPERLINK("https://scontent.cdninstagram.com/t51.2885-15/s320x320/e15/21480250_1986327764916423_245785138510692352_n.jpg")</f>
        <v>https://scontent.cdninstagram.com/t51.2885-15/s320x320/e15/21480250_1986327764916423_245785138510692352_n.jpg</v>
      </c>
      <c r="AE5241" s="249" t="str">
        <f>HYPERLINK("https://scontent.cdninstagram.com/t51.2885-19/s150x150/21434039_1929522920410575_9009768143400206336_a.jpg")</f>
        <v>https://scontent.cdninstagram.com/t51.2885-19/s150x150/21434039_1929522920410575_9009768143400206336_a.jpg</v>
      </c>
    </row>
    <row r="5242" spans="1:31" ht="15" x14ac:dyDescent="0.25">
      <c r="A5242" t="s">
        <v>2474</v>
      </c>
      <c r="B5242" t="s">
        <v>27588</v>
      </c>
      <c r="C5242" s="221">
        <v>42985.349236111113</v>
      </c>
      <c r="D5242" t="s">
        <v>27589</v>
      </c>
      <c r="E5242" s="249" t="str">
        <f>HYPERLINK("https://www.instagram.com/p/BYvVne-BfRJ/")</f>
        <v>https://www.instagram.com/p/BYvVne-BfRJ/</v>
      </c>
      <c r="F5242" t="s">
        <v>27590</v>
      </c>
      <c r="G5242" t="s">
        <v>2478</v>
      </c>
      <c r="H5242">
        <v>4852</v>
      </c>
      <c r="I5242" t="s">
        <v>2479</v>
      </c>
      <c r="J5242">
        <v>5</v>
      </c>
      <c r="K5242">
        <v>64</v>
      </c>
      <c r="L5242">
        <v>69</v>
      </c>
      <c r="Q5242">
        <v>0</v>
      </c>
      <c r="R5242">
        <v>0</v>
      </c>
      <c r="S5242">
        <v>69</v>
      </c>
      <c r="T5242" t="s">
        <v>27591</v>
      </c>
      <c r="U5242" t="s">
        <v>222</v>
      </c>
      <c r="V5242" t="s">
        <v>2299</v>
      </c>
      <c r="W5242">
        <v>36.09765067</v>
      </c>
      <c r="X5242">
        <v>-79.795914629999999</v>
      </c>
      <c r="Y5242" t="s">
        <v>2968</v>
      </c>
      <c r="Z5242" t="s">
        <v>2497</v>
      </c>
      <c r="AA5242" t="s">
        <v>6760</v>
      </c>
      <c r="AB5242" t="s">
        <v>27592</v>
      </c>
      <c r="AC5242" t="s">
        <v>9738</v>
      </c>
      <c r="AD5242" s="249" t="str">
        <f>HYPERLINK("https://scontent.cdninstagram.com/t51.2885-15/s320x320/e35/21434063_147833235810001_391480148702003200_n.jpg")</f>
        <v>https://scontent.cdninstagram.com/t51.2885-15/s320x320/e35/21434063_147833235810001_391480148702003200_n.jpg</v>
      </c>
      <c r="AE5242" s="249" t="str">
        <f>HYPERLINK("https://scontent.cdninstagram.com/t51.2885-19/s150x150/14478570_1774984219430475_6176579415971987456_a.jpg")</f>
        <v>https://scontent.cdninstagram.com/t51.2885-19/s150x150/14478570_1774984219430475_6176579415971987456_a.jpg</v>
      </c>
    </row>
    <row r="5243" spans="1:31" ht="15" x14ac:dyDescent="0.25">
      <c r="A5243" t="s">
        <v>2474</v>
      </c>
      <c r="B5243" t="s">
        <v>18309</v>
      </c>
      <c r="C5243" s="221">
        <v>42985.354618055557</v>
      </c>
      <c r="D5243" t="s">
        <v>27593</v>
      </c>
      <c r="E5243" s="249" t="str">
        <f>HYPERLINK("https://www.instagram.com/p/BYvWgPmDyVA/")</f>
        <v>https://www.instagram.com/p/BYvWgPmDyVA/</v>
      </c>
      <c r="F5243" t="s">
        <v>27594</v>
      </c>
      <c r="G5243" t="s">
        <v>2478</v>
      </c>
      <c r="H5243">
        <v>49</v>
      </c>
      <c r="I5243" t="s">
        <v>2479</v>
      </c>
      <c r="J5243">
        <v>0</v>
      </c>
      <c r="K5243">
        <v>13</v>
      </c>
      <c r="L5243">
        <v>13</v>
      </c>
      <c r="Q5243">
        <v>0</v>
      </c>
      <c r="R5243">
        <v>0</v>
      </c>
      <c r="S5243">
        <v>13</v>
      </c>
      <c r="Y5243" t="s">
        <v>2968</v>
      </c>
      <c r="Z5243" t="s">
        <v>2497</v>
      </c>
      <c r="AA5243" t="s">
        <v>12295</v>
      </c>
      <c r="AB5243" t="s">
        <v>2562</v>
      </c>
      <c r="AC5243" t="s">
        <v>27595</v>
      </c>
      <c r="AD5243" s="249" t="str">
        <f>HYPERLINK("https://scontent.cdninstagram.com/t51.2885-15/s320x320/e35/21433728_2036713993021017_5163739730013061120_n.jpg")</f>
        <v>https://scontent.cdninstagram.com/t51.2885-15/s320x320/e35/21433728_2036713993021017_5163739730013061120_n.jpg</v>
      </c>
      <c r="AE5243" s="249" t="str">
        <f>HYPERLINK("https://scontent.cdninstagram.com/t51.2885-19/s150x150/21224635_116853155713206_6935607206414909440_a.jpg")</f>
        <v>https://scontent.cdninstagram.com/t51.2885-19/s150x150/21224635_116853155713206_6935607206414909440_a.jpg</v>
      </c>
    </row>
    <row r="5244" spans="1:31" ht="15" x14ac:dyDescent="0.25">
      <c r="A5244" t="s">
        <v>2474</v>
      </c>
      <c r="B5244" t="s">
        <v>11978</v>
      </c>
      <c r="C5244" s="221">
        <v>42985.355381944442</v>
      </c>
      <c r="D5244" t="s">
        <v>27596</v>
      </c>
      <c r="E5244" s="249" t="str">
        <f>HYPERLINK("https://www.instagram.com/p/BYvWoWHH3E4/")</f>
        <v>https://www.instagram.com/p/BYvWoWHH3E4/</v>
      </c>
      <c r="F5244" t="s">
        <v>27597</v>
      </c>
      <c r="G5244" t="s">
        <v>2478</v>
      </c>
      <c r="H5244">
        <v>151752</v>
      </c>
      <c r="I5244" t="s">
        <v>2479</v>
      </c>
      <c r="J5244">
        <v>40</v>
      </c>
      <c r="K5244">
        <v>2631</v>
      </c>
      <c r="L5244">
        <v>2671</v>
      </c>
      <c r="Q5244">
        <v>0</v>
      </c>
      <c r="R5244">
        <v>0</v>
      </c>
      <c r="S5244">
        <v>2671</v>
      </c>
      <c r="Y5244" t="s">
        <v>11978</v>
      </c>
      <c r="AD5244" s="249" t="str">
        <f>HYPERLINK("https://scontent.cdninstagram.com/t51.2885-15/e35/p320x320/21433729_1720376491601204_7796916146908692480_n.jpg")</f>
        <v>https://scontent.cdninstagram.com/t51.2885-15/e35/p320x320/21433729_1720376491601204_7796916146908692480_n.jpg</v>
      </c>
      <c r="AE5244" s="249" t="str">
        <f>HYPERLINK("https://scontent.cdninstagram.com/t51.2885-19/s150x150/20766920_169834930230526_973590951958151168_a.jpg")</f>
        <v>https://scontent.cdninstagram.com/t51.2885-19/s150x150/20766920_169834930230526_973590951958151168_a.jpg</v>
      </c>
    </row>
    <row r="5245" spans="1:31" ht="15" x14ac:dyDescent="0.25">
      <c r="A5245" t="s">
        <v>2474</v>
      </c>
      <c r="B5245" t="s">
        <v>22510</v>
      </c>
      <c r="C5245" s="221">
        <v>42985.357141203705</v>
      </c>
      <c r="D5245" t="s">
        <v>27598</v>
      </c>
      <c r="E5245" s="249" t="str">
        <f>HYPERLINK("https://www.instagram.com/p/BYvW65VBGcO/")</f>
        <v>https://www.instagram.com/p/BYvW65VBGcO/</v>
      </c>
      <c r="F5245" t="s">
        <v>27599</v>
      </c>
      <c r="G5245" t="s">
        <v>2478</v>
      </c>
      <c r="H5245">
        <v>359</v>
      </c>
      <c r="I5245" t="s">
        <v>3898</v>
      </c>
      <c r="J5245">
        <v>3</v>
      </c>
      <c r="K5245">
        <v>26</v>
      </c>
      <c r="L5245">
        <v>29</v>
      </c>
      <c r="Q5245">
        <v>0</v>
      </c>
      <c r="R5245">
        <v>0</v>
      </c>
      <c r="S5245">
        <v>29</v>
      </c>
      <c r="T5245" t="s">
        <v>27600</v>
      </c>
      <c r="U5245" t="s">
        <v>104</v>
      </c>
      <c r="V5245" t="s">
        <v>2299</v>
      </c>
      <c r="W5245">
        <v>39.851747278392999</v>
      </c>
      <c r="X5245">
        <v>-75.069222207856996</v>
      </c>
      <c r="Y5245" t="s">
        <v>27601</v>
      </c>
      <c r="Z5245" t="s">
        <v>2497</v>
      </c>
      <c r="AA5245" t="s">
        <v>27602</v>
      </c>
      <c r="AB5245" t="s">
        <v>3937</v>
      </c>
      <c r="AC5245" t="s">
        <v>27603</v>
      </c>
      <c r="AD5245" s="249" t="str">
        <f>HYPERLINK("https://scontent.cdninstagram.com/t51.2885-15/s320x320/e35/21433801_1909896905995727_1104794892816613376_n.jpg")</f>
        <v>https://scontent.cdninstagram.com/t51.2885-15/s320x320/e35/21433801_1909896905995727_1104794892816613376_n.jpg</v>
      </c>
      <c r="AE5245" s="249" t="str">
        <f>HYPERLINK("https://scontent.cdninstagram.com/t51.2885-19/s150x150/20214477_348202248952600_6737346108667723776_a.jpg")</f>
        <v>https://scontent.cdninstagram.com/t51.2885-19/s150x150/20214477_348202248952600_6737346108667723776_a.jpg</v>
      </c>
    </row>
    <row r="5246" spans="1:31" ht="15" x14ac:dyDescent="0.25">
      <c r="A5246" t="s">
        <v>2474</v>
      </c>
      <c r="B5246" t="s">
        <v>15206</v>
      </c>
      <c r="C5246" s="221">
        <v>42985.357407407406</v>
      </c>
      <c r="D5246" t="s">
        <v>27604</v>
      </c>
      <c r="E5246" s="249" t="str">
        <f>HYPERLINK("https://www.instagram.com/p/BYvW9qXFZ2f/")</f>
        <v>https://www.instagram.com/p/BYvW9qXFZ2f/</v>
      </c>
      <c r="F5246" t="s">
        <v>27605</v>
      </c>
      <c r="G5246" t="s">
        <v>2478</v>
      </c>
      <c r="H5246">
        <v>61975</v>
      </c>
      <c r="I5246" t="s">
        <v>2479</v>
      </c>
      <c r="J5246">
        <v>18</v>
      </c>
      <c r="K5246">
        <v>1409</v>
      </c>
      <c r="L5246">
        <v>1427</v>
      </c>
      <c r="Q5246">
        <v>0</v>
      </c>
      <c r="R5246">
        <v>0</v>
      </c>
      <c r="S5246">
        <v>1427</v>
      </c>
      <c r="AD5246" s="249" t="str">
        <f>HYPERLINK("https://scontent.cdninstagram.com/t51.2885-15/e35/p320x320/21433878_518302471838711_52831026908495872_n.jpg")</f>
        <v>https://scontent.cdninstagram.com/t51.2885-15/e35/p320x320/21433878_518302471838711_52831026908495872_n.jpg</v>
      </c>
      <c r="AE5246" s="249" t="str">
        <f>HYPERLINK("https://scontent.cdninstagram.com/t51.2885-19/17663530_1657274724581959_2295744149531394048_n.jpg")</f>
        <v>https://scontent.cdninstagram.com/t51.2885-19/17663530_1657274724581959_2295744149531394048_n.jpg</v>
      </c>
    </row>
    <row r="5247" spans="1:31" ht="15" x14ac:dyDescent="0.25">
      <c r="A5247" t="s">
        <v>2474</v>
      </c>
      <c r="B5247" t="s">
        <v>27606</v>
      </c>
      <c r="C5247" s="221">
        <v>42985.36005787037</v>
      </c>
      <c r="D5247" t="s">
        <v>27607</v>
      </c>
      <c r="E5247" s="249" t="str">
        <f>HYPERLINK("https://www.instagram.com/p/BYvXZn0l6eV/")</f>
        <v>https://www.instagram.com/p/BYvXZn0l6eV/</v>
      </c>
      <c r="F5247" t="s">
        <v>27608</v>
      </c>
      <c r="G5247" t="s">
        <v>2478</v>
      </c>
      <c r="H5247">
        <v>396</v>
      </c>
      <c r="I5247" t="s">
        <v>2479</v>
      </c>
      <c r="J5247">
        <v>3</v>
      </c>
      <c r="K5247">
        <v>28</v>
      </c>
      <c r="L5247">
        <v>31</v>
      </c>
      <c r="Q5247">
        <v>0</v>
      </c>
      <c r="R5247">
        <v>0</v>
      </c>
      <c r="S5247">
        <v>31</v>
      </c>
      <c r="T5247" t="s">
        <v>15222</v>
      </c>
      <c r="V5247" t="s">
        <v>2222</v>
      </c>
      <c r="W5247">
        <v>53.223239900000003</v>
      </c>
      <c r="X5247">
        <v>6.5666099999999998</v>
      </c>
      <c r="Y5247" t="s">
        <v>2497</v>
      </c>
      <c r="Z5247" t="s">
        <v>2939</v>
      </c>
      <c r="AA5247" t="s">
        <v>27609</v>
      </c>
      <c r="AB5247" t="s">
        <v>27610</v>
      </c>
      <c r="AC5247" t="s">
        <v>5422</v>
      </c>
      <c r="AD5247" s="249" t="str">
        <f>HYPERLINK("https://scontent.cdninstagram.com/t51.2885-15/s320x320/e35/21479840_357635024668193_2617727501136297984_n.jpg")</f>
        <v>https://scontent.cdninstagram.com/t51.2885-15/s320x320/e35/21479840_357635024668193_2617727501136297984_n.jpg</v>
      </c>
      <c r="AE5247" s="249" t="str">
        <f>HYPERLINK("https://scontent.cdninstagram.com/t51.2885-19/s150x150/21435558_170980570127211_7017384259904077824_a.jpg")</f>
        <v>https://scontent.cdninstagram.com/t51.2885-19/s150x150/21435558_170980570127211_7017384259904077824_a.jpg</v>
      </c>
    </row>
    <row r="5248" spans="1:31" ht="15" x14ac:dyDescent="0.25">
      <c r="A5248" t="s">
        <v>2474</v>
      </c>
      <c r="B5248" t="s">
        <v>24364</v>
      </c>
      <c r="C5248" s="221">
        <v>42985.364537037036</v>
      </c>
      <c r="D5248" t="s">
        <v>27611</v>
      </c>
      <c r="E5248" s="249" t="str">
        <f>HYPERLINK("https://www.instagram.com/p/BYvYIzyntoG/")</f>
        <v>https://www.instagram.com/p/BYvYIzyntoG/</v>
      </c>
      <c r="F5248" t="s">
        <v>27612</v>
      </c>
      <c r="G5248" t="s">
        <v>2631</v>
      </c>
      <c r="H5248">
        <v>118</v>
      </c>
      <c r="I5248" t="s">
        <v>2479</v>
      </c>
      <c r="J5248">
        <v>3</v>
      </c>
      <c r="K5248">
        <v>15</v>
      </c>
      <c r="L5248">
        <v>18</v>
      </c>
      <c r="Q5248">
        <v>0</v>
      </c>
      <c r="R5248">
        <v>0</v>
      </c>
      <c r="S5248">
        <v>18</v>
      </c>
      <c r="T5248" t="s">
        <v>27613</v>
      </c>
      <c r="V5248" t="s">
        <v>2125</v>
      </c>
      <c r="W5248">
        <v>43.192576500000001</v>
      </c>
      <c r="X5248">
        <v>-79.391479500000003</v>
      </c>
      <c r="Y5248" t="s">
        <v>6778</v>
      </c>
      <c r="Z5248" t="s">
        <v>27614</v>
      </c>
      <c r="AA5248" t="s">
        <v>2497</v>
      </c>
      <c r="AB5248" t="s">
        <v>27615</v>
      </c>
      <c r="AC5248" t="s">
        <v>7830</v>
      </c>
      <c r="AD5248" s="249" t="str">
        <f>HYPERLINK("https://scontent.cdninstagram.com/t51.2885-15/s320x320/e15/21373319_1682617358476986_5732081546723065856_n.jpg")</f>
        <v>https://scontent.cdninstagram.com/t51.2885-15/s320x320/e15/21373319_1682617358476986_5732081546723065856_n.jpg</v>
      </c>
      <c r="AE5248" s="249" t="str">
        <f>HYPERLINK("https://scontent.cdninstagram.com/t51.2885-19/s150x150/17267791_1926990734197739_3888390294302883840_a.jpg")</f>
        <v>https://scontent.cdninstagram.com/t51.2885-19/s150x150/17267791_1926990734197739_3888390294302883840_a.jpg</v>
      </c>
    </row>
    <row r="5249" spans="1:31" ht="15" x14ac:dyDescent="0.25">
      <c r="A5249" t="s">
        <v>2474</v>
      </c>
      <c r="B5249" t="s">
        <v>27616</v>
      </c>
      <c r="C5249" s="221">
        <v>42985.365162037036</v>
      </c>
      <c r="D5249" t="s">
        <v>27617</v>
      </c>
      <c r="E5249" s="249" t="str">
        <f>HYPERLINK("https://www.instagram.com/p/BYvYPZ4nwrH/")</f>
        <v>https://www.instagram.com/p/BYvYPZ4nwrH/</v>
      </c>
      <c r="F5249" t="s">
        <v>27618</v>
      </c>
      <c r="G5249" t="s">
        <v>2478</v>
      </c>
      <c r="H5249">
        <v>906</v>
      </c>
      <c r="I5249" t="s">
        <v>2479</v>
      </c>
      <c r="J5249">
        <v>1</v>
      </c>
      <c r="K5249">
        <v>24</v>
      </c>
      <c r="L5249">
        <v>25</v>
      </c>
      <c r="Q5249">
        <v>0</v>
      </c>
      <c r="R5249">
        <v>0</v>
      </c>
      <c r="S5249">
        <v>25</v>
      </c>
      <c r="Y5249" t="s">
        <v>27619</v>
      </c>
      <c r="Z5249" t="s">
        <v>19497</v>
      </c>
      <c r="AA5249" t="s">
        <v>2497</v>
      </c>
      <c r="AB5249" t="s">
        <v>27620</v>
      </c>
      <c r="AC5249" t="s">
        <v>27621</v>
      </c>
      <c r="AD5249" s="249" t="str">
        <f>HYPERLINK("https://scontent.cdninstagram.com/t51.2885-15/e35/p320x320/21433829_122469805076434_1074518723454304256_n.jpg")</f>
        <v>https://scontent.cdninstagram.com/t51.2885-15/e35/p320x320/21433829_122469805076434_1074518723454304256_n.jpg</v>
      </c>
      <c r="AE5249" s="249" t="str">
        <f>HYPERLINK("https://scontent.cdninstagram.com/t51.2885-19/s150x150/12424782_526848397517424_1775165773_a.jpg")</f>
        <v>https://scontent.cdninstagram.com/t51.2885-19/s150x150/12424782_526848397517424_1775165773_a.jpg</v>
      </c>
    </row>
    <row r="5250" spans="1:31" ht="15" x14ac:dyDescent="0.25">
      <c r="A5250" t="s">
        <v>2474</v>
      </c>
      <c r="B5250" t="s">
        <v>27606</v>
      </c>
      <c r="C5250" s="221">
        <v>42985.365347222221</v>
      </c>
      <c r="D5250" t="s">
        <v>27622</v>
      </c>
      <c r="E5250" s="249" t="str">
        <f>HYPERLINK("https://www.instagram.com/p/BYvYRZFFtJB/")</f>
        <v>https://www.instagram.com/p/BYvYRZFFtJB/</v>
      </c>
      <c r="F5250" t="s">
        <v>27608</v>
      </c>
      <c r="G5250" t="s">
        <v>2478</v>
      </c>
      <c r="H5250">
        <v>396</v>
      </c>
      <c r="I5250" t="s">
        <v>2479</v>
      </c>
      <c r="J5250">
        <v>2</v>
      </c>
      <c r="K5250">
        <v>42</v>
      </c>
      <c r="L5250">
        <v>44</v>
      </c>
      <c r="Q5250">
        <v>0</v>
      </c>
      <c r="R5250">
        <v>0</v>
      </c>
      <c r="S5250">
        <v>44</v>
      </c>
      <c r="T5250" t="s">
        <v>15222</v>
      </c>
      <c r="V5250" t="s">
        <v>2222</v>
      </c>
      <c r="W5250">
        <v>53.223239900000003</v>
      </c>
      <c r="X5250">
        <v>6.5666099999999998</v>
      </c>
      <c r="Y5250" t="s">
        <v>2497</v>
      </c>
      <c r="Z5250" t="s">
        <v>27609</v>
      </c>
      <c r="AA5250" t="s">
        <v>27610</v>
      </c>
      <c r="AB5250" t="s">
        <v>5422</v>
      </c>
      <c r="AC5250" t="s">
        <v>2937</v>
      </c>
      <c r="AD5250" s="249" t="str">
        <f>HYPERLINK("https://scontent.cdninstagram.com/t51.2885-15/s320x320/e35/21373323_798238517020212_1781195599907913728_n.jpg")</f>
        <v>https://scontent.cdninstagram.com/t51.2885-15/s320x320/e35/21373323_798238517020212_1781195599907913728_n.jpg</v>
      </c>
      <c r="AE5250" s="249" t="str">
        <f>HYPERLINK("https://scontent.cdninstagram.com/t51.2885-19/s150x150/21435558_170980570127211_7017384259904077824_a.jpg")</f>
        <v>https://scontent.cdninstagram.com/t51.2885-19/s150x150/21435558_170980570127211_7017384259904077824_a.jpg</v>
      </c>
    </row>
    <row r="5251" spans="1:31" ht="15" x14ac:dyDescent="0.25">
      <c r="A5251" t="s">
        <v>2474</v>
      </c>
      <c r="B5251" t="s">
        <v>27623</v>
      </c>
      <c r="C5251" s="221">
        <v>42985.365740740737</v>
      </c>
      <c r="D5251" t="s">
        <v>27624</v>
      </c>
      <c r="E5251" s="249" t="str">
        <f>HYPERLINK("https://www.instagram.com/p/BYvYVgqjogV/")</f>
        <v>https://www.instagram.com/p/BYvYVgqjogV/</v>
      </c>
      <c r="F5251" t="s">
        <v>27625</v>
      </c>
      <c r="G5251" t="s">
        <v>2478</v>
      </c>
      <c r="H5251">
        <v>328</v>
      </c>
      <c r="I5251" t="s">
        <v>2599</v>
      </c>
      <c r="J5251">
        <v>0</v>
      </c>
      <c r="K5251">
        <v>8</v>
      </c>
      <c r="L5251">
        <v>8</v>
      </c>
      <c r="Q5251">
        <v>0</v>
      </c>
      <c r="R5251">
        <v>0</v>
      </c>
      <c r="S5251">
        <v>8</v>
      </c>
      <c r="T5251" t="s">
        <v>27626</v>
      </c>
      <c r="V5251" t="s">
        <v>2154</v>
      </c>
      <c r="W5251">
        <v>44.8386</v>
      </c>
      <c r="X5251">
        <v>-0.57830000000000004</v>
      </c>
      <c r="Y5251" t="s">
        <v>9599</v>
      </c>
      <c r="Z5251" t="s">
        <v>2497</v>
      </c>
      <c r="AA5251" t="s">
        <v>16444</v>
      </c>
      <c r="AB5251" t="s">
        <v>5405</v>
      </c>
      <c r="AC5251" t="s">
        <v>13887</v>
      </c>
      <c r="AD5251" s="249" t="str">
        <f>HYPERLINK("https://scontent.cdninstagram.com/t51.2885-15/s320x320/e35/21434007_492708254424563_1002172765312122880_n.jpg")</f>
        <v>https://scontent.cdninstagram.com/t51.2885-15/s320x320/e35/21434007_492708254424563_1002172765312122880_n.jpg</v>
      </c>
      <c r="AE5251" s="249" t="str">
        <f>HYPERLINK("https://scontent.cdninstagram.com/t51.2885-19/s150x150/21294838_103176597090113_6463360025912934400_a.jpg")</f>
        <v>https://scontent.cdninstagram.com/t51.2885-19/s150x150/21294838_103176597090113_6463360025912934400_a.jpg</v>
      </c>
    </row>
    <row r="5252" spans="1:31" ht="15" x14ac:dyDescent="0.25">
      <c r="A5252" t="s">
        <v>2474</v>
      </c>
      <c r="B5252" t="s">
        <v>27627</v>
      </c>
      <c r="C5252" s="221">
        <v>42985.366377314815</v>
      </c>
      <c r="D5252" t="s">
        <v>27628</v>
      </c>
      <c r="E5252" s="249" t="str">
        <f>HYPERLINK("https://www.instagram.com/p/BYvYcNFFEGX/")</f>
        <v>https://www.instagram.com/p/BYvYcNFFEGX/</v>
      </c>
      <c r="F5252" t="s">
        <v>27629</v>
      </c>
      <c r="G5252" t="s">
        <v>2478</v>
      </c>
      <c r="H5252">
        <v>309</v>
      </c>
      <c r="I5252" t="s">
        <v>2479</v>
      </c>
      <c r="J5252">
        <v>2</v>
      </c>
      <c r="K5252">
        <v>101</v>
      </c>
      <c r="L5252">
        <v>103</v>
      </c>
      <c r="Q5252">
        <v>0</v>
      </c>
      <c r="R5252">
        <v>0</v>
      </c>
      <c r="S5252">
        <v>103</v>
      </c>
      <c r="Y5252" t="s">
        <v>3946</v>
      </c>
      <c r="Z5252" t="s">
        <v>2497</v>
      </c>
      <c r="AA5252" t="s">
        <v>4026</v>
      </c>
      <c r="AB5252" t="s">
        <v>7131</v>
      </c>
      <c r="AC5252" t="s">
        <v>12910</v>
      </c>
      <c r="AD5252" s="249" t="str">
        <f>HYPERLINK("https://scontent.cdninstagram.com/t51.2885-15/s320x320/e35/21373151_1882185262099609_2160220433645830144_n.jpg")</f>
        <v>https://scontent.cdninstagram.com/t51.2885-15/s320x320/e35/21373151_1882185262099609_2160220433645830144_n.jpg</v>
      </c>
      <c r="AE5252" s="249" t="str">
        <f>HYPERLINK("https://scontent.cdninstagram.com/t51.2885-19/s150x150/20905596_1763582340606127_8997903360669515776_a.jpg")</f>
        <v>https://scontent.cdninstagram.com/t51.2885-19/s150x150/20905596_1763582340606127_8997903360669515776_a.jpg</v>
      </c>
    </row>
    <row r="5253" spans="1:31" ht="15" x14ac:dyDescent="0.25">
      <c r="A5253" t="s">
        <v>2474</v>
      </c>
      <c r="B5253" t="s">
        <v>27630</v>
      </c>
      <c r="C5253" s="221">
        <v>42985.370763888888</v>
      </c>
      <c r="D5253" t="s">
        <v>27631</v>
      </c>
      <c r="E5253" s="249" t="str">
        <f>HYPERLINK("https://www.instagram.com/p/BYvZKkcDB0i/")</f>
        <v>https://www.instagram.com/p/BYvZKkcDB0i/</v>
      </c>
      <c r="F5253" t="s">
        <v>27632</v>
      </c>
      <c r="G5253" t="s">
        <v>2478</v>
      </c>
      <c r="H5253">
        <v>3861</v>
      </c>
      <c r="I5253" t="s">
        <v>2479</v>
      </c>
      <c r="J5253">
        <v>2</v>
      </c>
      <c r="K5253">
        <v>77</v>
      </c>
      <c r="L5253">
        <v>79</v>
      </c>
      <c r="Q5253">
        <v>0</v>
      </c>
      <c r="R5253">
        <v>0</v>
      </c>
      <c r="S5253">
        <v>79</v>
      </c>
      <c r="Y5253" t="s">
        <v>27630</v>
      </c>
      <c r="Z5253" t="s">
        <v>25938</v>
      </c>
      <c r="AA5253" t="s">
        <v>2497</v>
      </c>
      <c r="AB5253" t="s">
        <v>27633</v>
      </c>
      <c r="AC5253" t="s">
        <v>12468</v>
      </c>
      <c r="AD5253" s="249" t="str">
        <f>HYPERLINK("https://scontent.cdninstagram.com/t51.2885-15/e35/p320x320/21373321_1952004758407338_4407016047790522368_n.jpg")</f>
        <v>https://scontent.cdninstagram.com/t51.2885-15/e35/p320x320/21373321_1952004758407338_4407016047790522368_n.jpg</v>
      </c>
      <c r="AE5253" s="249" t="str">
        <f>HYPERLINK("https://scontent.cdninstagram.com/t51.2885-19/s150x150/20582623_134103427104748_4465300549293572096_a.jpg")</f>
        <v>https://scontent.cdninstagram.com/t51.2885-19/s150x150/20582623_134103427104748_4465300549293572096_a.jpg</v>
      </c>
    </row>
    <row r="5254" spans="1:31" ht="15" x14ac:dyDescent="0.25">
      <c r="A5254" t="s">
        <v>2474</v>
      </c>
      <c r="B5254" t="s">
        <v>11828</v>
      </c>
      <c r="C5254" s="221">
        <v>42985.375092592592</v>
      </c>
      <c r="D5254" t="s">
        <v>27634</v>
      </c>
      <c r="E5254" s="249" t="str">
        <f>HYPERLINK("https://www.instagram.com/p/BYvZ4OVA7lU/")</f>
        <v>https://www.instagram.com/p/BYvZ4OVA7lU/</v>
      </c>
      <c r="F5254" t="s">
        <v>27635</v>
      </c>
      <c r="G5254" t="s">
        <v>2478</v>
      </c>
      <c r="H5254">
        <v>52566</v>
      </c>
      <c r="I5254" t="s">
        <v>2479</v>
      </c>
      <c r="J5254">
        <v>48</v>
      </c>
      <c r="K5254">
        <v>1732</v>
      </c>
      <c r="L5254">
        <v>1780</v>
      </c>
      <c r="Q5254">
        <v>0</v>
      </c>
      <c r="R5254">
        <v>0</v>
      </c>
      <c r="S5254">
        <v>1780</v>
      </c>
      <c r="Y5254" t="s">
        <v>19927</v>
      </c>
      <c r="Z5254" t="s">
        <v>4100</v>
      </c>
      <c r="AA5254" t="s">
        <v>2497</v>
      </c>
      <c r="AB5254" t="s">
        <v>21531</v>
      </c>
      <c r="AC5254" t="s">
        <v>24568</v>
      </c>
      <c r="AD5254" s="249" t="str">
        <f>HYPERLINK("https://scontent.cdninstagram.com/t51.2885-15/s320x320/e35/21434184_1627663630599275_4169318478727086080_n.jpg")</f>
        <v>https://scontent.cdninstagram.com/t51.2885-15/s320x320/e35/21434184_1627663630599275_4169318478727086080_n.jpg</v>
      </c>
      <c r="AE5254" s="249" t="str">
        <f>HYPERLINK("https://scontent.cdninstagram.com/t51.2885-19/s150x150/19931618_136684503580564_4923658196402307072_n.jpg")</f>
        <v>https://scontent.cdninstagram.com/t51.2885-19/s150x150/19931618_136684503580564_4923658196402307072_n.jpg</v>
      </c>
    </row>
    <row r="5255" spans="1:31" ht="15" x14ac:dyDescent="0.25">
      <c r="A5255" t="s">
        <v>2474</v>
      </c>
      <c r="B5255" t="s">
        <v>27636</v>
      </c>
      <c r="C5255" s="221">
        <v>42985.376851851855</v>
      </c>
      <c r="D5255" t="s">
        <v>27637</v>
      </c>
      <c r="E5255" s="249" t="str">
        <f>HYPERLINK("https://www.instagram.com/p/BYvaKw4g-gk/")</f>
        <v>https://www.instagram.com/p/BYvaKw4g-gk/</v>
      </c>
      <c r="F5255" t="s">
        <v>27638</v>
      </c>
      <c r="G5255" t="s">
        <v>2478</v>
      </c>
      <c r="H5255">
        <v>17</v>
      </c>
      <c r="I5255" t="s">
        <v>2479</v>
      </c>
      <c r="J5255">
        <v>0</v>
      </c>
      <c r="K5255">
        <v>13</v>
      </c>
      <c r="L5255">
        <v>13</v>
      </c>
      <c r="Q5255">
        <v>0</v>
      </c>
      <c r="R5255">
        <v>0</v>
      </c>
      <c r="S5255">
        <v>13</v>
      </c>
      <c r="Y5255" t="s">
        <v>2497</v>
      </c>
      <c r="Z5255" t="s">
        <v>14700</v>
      </c>
      <c r="AA5255" t="s">
        <v>3549</v>
      </c>
      <c r="AB5255" t="s">
        <v>27639</v>
      </c>
      <c r="AC5255" t="s">
        <v>5765</v>
      </c>
      <c r="AD5255" s="249" t="str">
        <f>HYPERLINK("https://scontent.cdninstagram.com/t51.2885-15/e35/p320x320/21373456_172503906630174_7245751772726165504_n.jpg")</f>
        <v>https://scontent.cdninstagram.com/t51.2885-15/e35/p320x320/21373456_172503906630174_7245751772726165504_n.jpg</v>
      </c>
      <c r="AE5255" s="249" t="str">
        <f>HYPERLINK("https://scontent.cdninstagram.com/t51.2885-19/s150x150/20766229_135640490374830_6354475458133753856_a.jpg")</f>
        <v>https://scontent.cdninstagram.com/t51.2885-19/s150x150/20766229_135640490374830_6354475458133753856_a.jpg</v>
      </c>
    </row>
    <row r="5256" spans="1:31" ht="15" x14ac:dyDescent="0.25">
      <c r="A5256" t="s">
        <v>2474</v>
      </c>
      <c r="B5256" t="s">
        <v>3015</v>
      </c>
      <c r="C5256" s="221">
        <v>42985.377233796295</v>
      </c>
      <c r="D5256" t="s">
        <v>27640</v>
      </c>
      <c r="E5256" s="249" t="str">
        <f>HYPERLINK("https://www.instagram.com/p/BYvaO01Abs4/")</f>
        <v>https://www.instagram.com/p/BYvaO01Abs4/</v>
      </c>
      <c r="F5256" t="s">
        <v>20477</v>
      </c>
      <c r="G5256" t="s">
        <v>2478</v>
      </c>
      <c r="H5256">
        <v>278</v>
      </c>
      <c r="I5256" t="s">
        <v>2479</v>
      </c>
      <c r="J5256">
        <v>0</v>
      </c>
      <c r="K5256">
        <v>38</v>
      </c>
      <c r="L5256">
        <v>38</v>
      </c>
      <c r="Q5256">
        <v>0</v>
      </c>
      <c r="R5256">
        <v>0</v>
      </c>
      <c r="S5256">
        <v>38</v>
      </c>
      <c r="Y5256" t="s">
        <v>3725</v>
      </c>
      <c r="Z5256" t="s">
        <v>4126</v>
      </c>
      <c r="AA5256" t="s">
        <v>3494</v>
      </c>
      <c r="AB5256" t="s">
        <v>3492</v>
      </c>
      <c r="AC5256" t="s">
        <v>2497</v>
      </c>
      <c r="AD5256" s="249" t="str">
        <f>HYPERLINK("https://scontent.cdninstagram.com/t51.2885-15/s320x320/e35/21373464_353013688473059_8403217644789956608_n.jpg")</f>
        <v>https://scontent.cdninstagram.com/t51.2885-15/s320x320/e35/21373464_353013688473059_8403217644789956608_n.jpg</v>
      </c>
      <c r="AE5256" s="249" t="str">
        <f>HYPERLINK("https://scontent.cdninstagram.com/t51.2885-19/s150x150/21373025_723410537866046_6184601968204316672_a.jpg")</f>
        <v>https://scontent.cdninstagram.com/t51.2885-19/s150x150/21373025_723410537866046_6184601968204316672_a.jpg</v>
      </c>
    </row>
    <row r="5257" spans="1:31" ht="15" x14ac:dyDescent="0.25">
      <c r="A5257" t="s">
        <v>2474</v>
      </c>
      <c r="B5257" t="s">
        <v>3015</v>
      </c>
      <c r="C5257" s="221">
        <v>42985.379120370373</v>
      </c>
      <c r="D5257" t="s">
        <v>27641</v>
      </c>
      <c r="E5257" s="249" t="str">
        <f>HYPERLINK("https://www.instagram.com/p/BYvaingguMZ/")</f>
        <v>https://www.instagram.com/p/BYvaingguMZ/</v>
      </c>
      <c r="F5257" t="s">
        <v>27642</v>
      </c>
      <c r="G5257" t="s">
        <v>2478</v>
      </c>
      <c r="H5257">
        <v>278</v>
      </c>
      <c r="I5257" t="s">
        <v>2479</v>
      </c>
      <c r="J5257">
        <v>0</v>
      </c>
      <c r="K5257">
        <v>68</v>
      </c>
      <c r="L5257">
        <v>68</v>
      </c>
      <c r="Q5257">
        <v>0</v>
      </c>
      <c r="R5257">
        <v>0</v>
      </c>
      <c r="S5257">
        <v>68</v>
      </c>
      <c r="Y5257" t="s">
        <v>3725</v>
      </c>
      <c r="Z5257" t="s">
        <v>4126</v>
      </c>
      <c r="AA5257" t="s">
        <v>3494</v>
      </c>
      <c r="AB5257" t="s">
        <v>3492</v>
      </c>
      <c r="AC5257" t="s">
        <v>2497</v>
      </c>
      <c r="AD5257" s="249" t="str">
        <f>HYPERLINK("https://scontent.cdninstagram.com/t51.2885-15/e35/p320x320/21373225_114907875892419_906426188958793728_n.jpg")</f>
        <v>https://scontent.cdninstagram.com/t51.2885-15/e35/p320x320/21373225_114907875892419_906426188958793728_n.jpg</v>
      </c>
      <c r="AE5257" s="249" t="str">
        <f>HYPERLINK("https://scontent.cdninstagram.com/t51.2885-19/s150x150/21373025_723410537866046_6184601968204316672_a.jpg")</f>
        <v>https://scontent.cdninstagram.com/t51.2885-19/s150x150/21373025_723410537866046_6184601968204316672_a.jpg</v>
      </c>
    </row>
    <row r="5258" spans="1:31" ht="15" x14ac:dyDescent="0.25">
      <c r="A5258" t="s">
        <v>2474</v>
      </c>
      <c r="B5258" t="s">
        <v>8749</v>
      </c>
      <c r="C5258" s="221">
        <v>42985.382986111108</v>
      </c>
      <c r="D5258" t="s">
        <v>27643</v>
      </c>
      <c r="E5258" s="249" t="str">
        <f>HYPERLINK("https://www.instagram.com/p/BYvbLdqlcor/")</f>
        <v>https://www.instagram.com/p/BYvbLdqlcor/</v>
      </c>
      <c r="F5258" t="s">
        <v>27644</v>
      </c>
      <c r="G5258" t="s">
        <v>2478</v>
      </c>
      <c r="H5258">
        <v>486</v>
      </c>
      <c r="I5258" t="s">
        <v>3170</v>
      </c>
      <c r="J5258">
        <v>0</v>
      </c>
      <c r="K5258">
        <v>28</v>
      </c>
      <c r="L5258">
        <v>28</v>
      </c>
      <c r="Q5258">
        <v>0</v>
      </c>
      <c r="R5258">
        <v>0</v>
      </c>
      <c r="S5258">
        <v>28</v>
      </c>
      <c r="Y5258" t="s">
        <v>9555</v>
      </c>
      <c r="Z5258" t="s">
        <v>2615</v>
      </c>
      <c r="AA5258" t="s">
        <v>27645</v>
      </c>
      <c r="AB5258" t="s">
        <v>17404</v>
      </c>
      <c r="AC5258" t="s">
        <v>23855</v>
      </c>
      <c r="AD5258" s="249" t="str">
        <f>HYPERLINK("https://scontent.cdninstagram.com/t51.2885-15/s320x320/e35/21435684_1727000364260684_9190089841356832768_n.jpg")</f>
        <v>https://scontent.cdninstagram.com/t51.2885-15/s320x320/e35/21435684_1727000364260684_9190089841356832768_n.jpg</v>
      </c>
      <c r="AE5258" s="249" t="str">
        <f>HYPERLINK("https://scontent.cdninstagram.com/t51.2885-19/s150x150/21435920_387370281680102_986476661300002816_a.jpg")</f>
        <v>https://scontent.cdninstagram.com/t51.2885-19/s150x150/21435920_387370281680102_986476661300002816_a.jpg</v>
      </c>
    </row>
    <row r="5259" spans="1:31" ht="15" x14ac:dyDescent="0.25">
      <c r="A5259" t="s">
        <v>2474</v>
      </c>
      <c r="B5259" t="s">
        <v>4650</v>
      </c>
      <c r="C5259" s="221">
        <v>42985.388425925928</v>
      </c>
      <c r="D5259" t="s">
        <v>27646</v>
      </c>
      <c r="E5259" s="249" t="str">
        <f>HYPERLINK("https://www.instagram.com/p/BYvcEy3AwIn/")</f>
        <v>https://www.instagram.com/p/BYvcEy3AwIn/</v>
      </c>
      <c r="F5259" t="s">
        <v>27647</v>
      </c>
      <c r="G5259" t="s">
        <v>2478</v>
      </c>
      <c r="H5259">
        <v>51801</v>
      </c>
      <c r="I5259" t="s">
        <v>2479</v>
      </c>
      <c r="J5259">
        <v>56</v>
      </c>
      <c r="K5259">
        <v>2940</v>
      </c>
      <c r="L5259">
        <v>2996</v>
      </c>
      <c r="Q5259">
        <v>0</v>
      </c>
      <c r="R5259">
        <v>0</v>
      </c>
      <c r="S5259">
        <v>2996</v>
      </c>
      <c r="Y5259" t="s">
        <v>2684</v>
      </c>
      <c r="Z5259" t="s">
        <v>10959</v>
      </c>
      <c r="AA5259" t="s">
        <v>4000</v>
      </c>
      <c r="AB5259" t="s">
        <v>16761</v>
      </c>
      <c r="AC5259" t="s">
        <v>4888</v>
      </c>
      <c r="AD5259" s="249" t="str">
        <f>HYPERLINK("https://scontent.cdninstagram.com/t51.2885-15/e35/p320x320/21433494_1913684972229049_6612601918881529856_n.jpg")</f>
        <v>https://scontent.cdninstagram.com/t51.2885-15/e35/p320x320/21433494_1913684972229049_6612601918881529856_n.jpg</v>
      </c>
      <c r="AE5259" s="249" t="str">
        <f>HYPERLINK("https://scontent.cdninstagram.com/t51.2885-19/s150x150/19761953_352834771801381_7484399315541032960_a.jpg")</f>
        <v>https://scontent.cdninstagram.com/t51.2885-19/s150x150/19761953_352834771801381_7484399315541032960_a.jpg</v>
      </c>
    </row>
    <row r="5260" spans="1:31" ht="15" x14ac:dyDescent="0.25">
      <c r="A5260" t="s">
        <v>2474</v>
      </c>
      <c r="B5260" t="s">
        <v>27648</v>
      </c>
      <c r="C5260" s="221">
        <v>42985.393923611111</v>
      </c>
      <c r="D5260" t="s">
        <v>27649</v>
      </c>
      <c r="E5260" s="249" t="str">
        <f>HYPERLINK("https://www.instagram.com/p/BYvc-xKDh8J/")</f>
        <v>https://www.instagram.com/p/BYvc-xKDh8J/</v>
      </c>
      <c r="F5260" t="s">
        <v>27650</v>
      </c>
      <c r="G5260" t="s">
        <v>2478</v>
      </c>
      <c r="H5260">
        <v>198</v>
      </c>
      <c r="I5260" t="s">
        <v>2479</v>
      </c>
      <c r="J5260">
        <v>1</v>
      </c>
      <c r="K5260">
        <v>17</v>
      </c>
      <c r="L5260">
        <v>18</v>
      </c>
      <c r="Q5260">
        <v>0</v>
      </c>
      <c r="R5260">
        <v>0</v>
      </c>
      <c r="S5260">
        <v>18</v>
      </c>
      <c r="Y5260" t="s">
        <v>27651</v>
      </c>
      <c r="Z5260" t="s">
        <v>2544</v>
      </c>
      <c r="AA5260" t="s">
        <v>27652</v>
      </c>
      <c r="AB5260" t="s">
        <v>27653</v>
      </c>
      <c r="AC5260" t="s">
        <v>27654</v>
      </c>
      <c r="AD5260" s="249" t="str">
        <f>HYPERLINK("https://scontent.cdninstagram.com/t51.2885-15/s320x320/e35/21433884_1087148984750050_3089539652990795776_n.jpg")</f>
        <v>https://scontent.cdninstagram.com/t51.2885-15/s320x320/e35/21433884_1087148984750050_3089539652990795776_n.jpg</v>
      </c>
      <c r="AE5260" s="249" t="str">
        <f>HYPERLINK("https://scontent.cdninstagram.com/t51.2885-19/s150x150/20180755_1956026848011880_5523691975494074368_a.jpg")</f>
        <v>https://scontent.cdninstagram.com/t51.2885-19/s150x150/20180755_1956026848011880_5523691975494074368_a.jpg</v>
      </c>
    </row>
    <row r="5261" spans="1:31" ht="15" x14ac:dyDescent="0.25">
      <c r="A5261" t="s">
        <v>2474</v>
      </c>
      <c r="B5261" t="s">
        <v>27655</v>
      </c>
      <c r="C5261" s="221">
        <v>42985.397638888891</v>
      </c>
      <c r="D5261" t="s">
        <v>27656</v>
      </c>
      <c r="E5261" s="249" t="str">
        <f>HYPERLINK("https://www.instagram.com/p/BYvdl79gZ-Q/")</f>
        <v>https://www.instagram.com/p/BYvdl79gZ-Q/</v>
      </c>
      <c r="F5261" t="s">
        <v>27657</v>
      </c>
      <c r="G5261" t="s">
        <v>2478</v>
      </c>
      <c r="H5261">
        <v>973</v>
      </c>
      <c r="I5261" t="s">
        <v>2479</v>
      </c>
      <c r="J5261">
        <v>0</v>
      </c>
      <c r="K5261">
        <v>50</v>
      </c>
      <c r="L5261">
        <v>50</v>
      </c>
      <c r="Q5261">
        <v>0</v>
      </c>
      <c r="R5261">
        <v>0</v>
      </c>
      <c r="S5261">
        <v>50</v>
      </c>
      <c r="T5261" t="s">
        <v>27658</v>
      </c>
      <c r="V5261" t="s">
        <v>2186</v>
      </c>
      <c r="W5261">
        <v>43.65</v>
      </c>
      <c r="X5261">
        <v>51.2</v>
      </c>
      <c r="Y5261" t="s">
        <v>27659</v>
      </c>
      <c r="Z5261" t="s">
        <v>12555</v>
      </c>
      <c r="AA5261" t="s">
        <v>2529</v>
      </c>
      <c r="AB5261" t="s">
        <v>2497</v>
      </c>
      <c r="AC5261" t="s">
        <v>27660</v>
      </c>
      <c r="AD5261" s="249" t="str">
        <f>HYPERLINK("https://scontent.cdninstagram.com/t51.2885-15/s320x320/e35/21373577_1917078855284865_5039588181289205760_n.jpg")</f>
        <v>https://scontent.cdninstagram.com/t51.2885-15/s320x320/e35/21373577_1917078855284865_5039588181289205760_n.jpg</v>
      </c>
      <c r="AE5261" s="249" t="str">
        <f>HYPERLINK("https://scontent.cdninstagram.com/t51.2885-19/s150x150/20479283_306073393187080_780162774750724096_a.jpg")</f>
        <v>https://scontent.cdninstagram.com/t51.2885-19/s150x150/20479283_306073393187080_780162774750724096_a.jpg</v>
      </c>
    </row>
    <row r="5262" spans="1:31" ht="15" x14ac:dyDescent="0.25">
      <c r="A5262" t="s">
        <v>2474</v>
      </c>
      <c r="B5262" t="s">
        <v>16003</v>
      </c>
      <c r="C5262" s="221">
        <v>42985.400671296295</v>
      </c>
      <c r="D5262" t="s">
        <v>27661</v>
      </c>
      <c r="E5262" s="249" t="str">
        <f>HYPERLINK("https://www.instagram.com/p/BYveF-JBklc/")</f>
        <v>https://www.instagram.com/p/BYveF-JBklc/</v>
      </c>
      <c r="F5262" t="s">
        <v>27662</v>
      </c>
      <c r="G5262" t="s">
        <v>2478</v>
      </c>
      <c r="H5262">
        <v>1573</v>
      </c>
      <c r="I5262" t="s">
        <v>2479</v>
      </c>
      <c r="J5262">
        <v>1</v>
      </c>
      <c r="K5262">
        <v>33</v>
      </c>
      <c r="L5262">
        <v>34</v>
      </c>
      <c r="Q5262">
        <v>0</v>
      </c>
      <c r="R5262">
        <v>0</v>
      </c>
      <c r="S5262">
        <v>34</v>
      </c>
      <c r="Y5262" t="s">
        <v>3952</v>
      </c>
      <c r="Z5262" t="s">
        <v>2497</v>
      </c>
      <c r="AA5262" t="s">
        <v>8007</v>
      </c>
      <c r="AB5262" t="s">
        <v>3349</v>
      </c>
      <c r="AC5262" t="s">
        <v>8753</v>
      </c>
      <c r="AD5262" s="249" t="str">
        <f>HYPERLINK("https://scontent.cdninstagram.com/t51.2885-15/s320x320/e35/21372946_1276614279115730_3993076638924406784_n.jpg")</f>
        <v>https://scontent.cdninstagram.com/t51.2885-15/s320x320/e35/21372946_1276614279115730_3993076638924406784_n.jpg</v>
      </c>
      <c r="AE5262" s="249" t="str">
        <f>HYPERLINK("https://scontent.cdninstagram.com/t51.2885-19/s150x150/19932678_276990742770602_110295610564804608_a.jpg")</f>
        <v>https://scontent.cdninstagram.com/t51.2885-19/s150x150/19932678_276990742770602_110295610564804608_a.jpg</v>
      </c>
    </row>
    <row r="5263" spans="1:31" ht="15" x14ac:dyDescent="0.25">
      <c r="A5263" t="s">
        <v>2474</v>
      </c>
      <c r="B5263" t="s">
        <v>27663</v>
      </c>
      <c r="C5263" s="221">
        <v>42985.40221064815</v>
      </c>
      <c r="D5263" t="s">
        <v>27664</v>
      </c>
      <c r="E5263" s="249" t="str">
        <f>HYPERLINK("https://www.instagram.com/p/BYveWPZAnn6/")</f>
        <v>https://www.instagram.com/p/BYveWPZAnn6/</v>
      </c>
      <c r="F5263" t="s">
        <v>27665</v>
      </c>
      <c r="G5263" t="s">
        <v>2478</v>
      </c>
      <c r="H5263">
        <v>546</v>
      </c>
      <c r="I5263" t="s">
        <v>2479</v>
      </c>
      <c r="J5263">
        <v>3</v>
      </c>
      <c r="K5263">
        <v>36</v>
      </c>
      <c r="L5263">
        <v>39</v>
      </c>
      <c r="Q5263">
        <v>0</v>
      </c>
      <c r="R5263">
        <v>0</v>
      </c>
      <c r="S5263">
        <v>39</v>
      </c>
      <c r="Y5263" t="s">
        <v>27666</v>
      </c>
      <c r="Z5263" t="s">
        <v>27667</v>
      </c>
      <c r="AA5263" t="s">
        <v>27668</v>
      </c>
      <c r="AB5263" t="s">
        <v>27669</v>
      </c>
      <c r="AC5263" t="s">
        <v>27670</v>
      </c>
      <c r="AD5263" s="249" t="str">
        <f>HYPERLINK("https://scontent.cdninstagram.com/t51.2885-15/s320x320/e35/21480022_1446989518719276_7379326475402477568_n.jpg")</f>
        <v>https://scontent.cdninstagram.com/t51.2885-15/s320x320/e35/21480022_1446989518719276_7379326475402477568_n.jpg</v>
      </c>
      <c r="AE5263" s="249" t="str">
        <f>HYPERLINK("https://scontent.cdninstagram.com/t51.2885-19/s150x150/20905667_345039372606674_6385969602911797248_a.jpg")</f>
        <v>https://scontent.cdninstagram.com/t51.2885-19/s150x150/20905667_345039372606674_6385969602911797248_a.jpg</v>
      </c>
    </row>
    <row r="5264" spans="1:31" ht="15" x14ac:dyDescent="0.25">
      <c r="A5264" t="s">
        <v>2474</v>
      </c>
      <c r="B5264" t="s">
        <v>27671</v>
      </c>
      <c r="C5264" s="221">
        <v>42985.404374999998</v>
      </c>
      <c r="D5264" t="s">
        <v>27672</v>
      </c>
      <c r="E5264" s="249" t="str">
        <f>HYPERLINK("https://www.instagram.com/p/BYvetEQBygp/")</f>
        <v>https://www.instagram.com/p/BYvetEQBygp/</v>
      </c>
      <c r="F5264" t="s">
        <v>27673</v>
      </c>
      <c r="G5264" t="s">
        <v>2478</v>
      </c>
      <c r="I5264" t="s">
        <v>4052</v>
      </c>
      <c r="J5264">
        <v>0</v>
      </c>
      <c r="K5264">
        <v>12</v>
      </c>
      <c r="L5264">
        <v>12</v>
      </c>
      <c r="Q5264">
        <v>0</v>
      </c>
      <c r="R5264">
        <v>0</v>
      </c>
      <c r="S5264">
        <v>12</v>
      </c>
      <c r="Y5264" t="s">
        <v>27674</v>
      </c>
      <c r="Z5264" t="s">
        <v>2497</v>
      </c>
      <c r="AA5264" t="s">
        <v>27675</v>
      </c>
      <c r="AD5264" s="249" t="str">
        <f>HYPERLINK("https://scontent.cdninstagram.com/t51.2885-15/s320x320/e35/21373158_342254839554245_3116232462418575360_n.jpg")</f>
        <v>https://scontent.cdninstagram.com/t51.2885-15/s320x320/e35/21373158_342254839554245_3116232462418575360_n.jpg</v>
      </c>
      <c r="AE5264" s="249" t="str">
        <f>HYPERLINK("https://scontent.cdninstagram.com/t51.2885-19/s150x150/13715084_1109762555726514_735587512_a.jpg")</f>
        <v>https://scontent.cdninstagram.com/t51.2885-19/s150x150/13715084_1109762555726514_735587512_a.jpg</v>
      </c>
    </row>
    <row r="5265" spans="1:31" ht="15" x14ac:dyDescent="0.25">
      <c r="A5265" t="s">
        <v>2474</v>
      </c>
      <c r="B5265" t="s">
        <v>21551</v>
      </c>
      <c r="C5265" s="221">
        <v>42985.404849537037</v>
      </c>
      <c r="D5265" t="s">
        <v>27676</v>
      </c>
      <c r="E5265" s="249" t="str">
        <f>HYPERLINK("https://www.instagram.com/p/BYveyFOBeYQ/")</f>
        <v>https://www.instagram.com/p/BYveyFOBeYQ/</v>
      </c>
      <c r="F5265" t="s">
        <v>27677</v>
      </c>
      <c r="G5265" t="s">
        <v>2478</v>
      </c>
      <c r="H5265">
        <v>757</v>
      </c>
      <c r="I5265" t="s">
        <v>2479</v>
      </c>
      <c r="J5265">
        <v>2</v>
      </c>
      <c r="K5265">
        <v>73</v>
      </c>
      <c r="L5265">
        <v>75</v>
      </c>
      <c r="Q5265">
        <v>0</v>
      </c>
      <c r="R5265">
        <v>0</v>
      </c>
      <c r="S5265">
        <v>75</v>
      </c>
      <c r="Y5265" t="s">
        <v>24628</v>
      </c>
      <c r="Z5265" t="s">
        <v>27678</v>
      </c>
      <c r="AA5265" t="s">
        <v>2873</v>
      </c>
      <c r="AB5265" t="s">
        <v>27679</v>
      </c>
      <c r="AC5265" t="s">
        <v>2497</v>
      </c>
      <c r="AD5265" s="249" t="str">
        <f>HYPERLINK("https://scontent.cdninstagram.com/t51.2885-15/s320x320/e35/21436033_345421322577757_6715213875903463424_n.jpg")</f>
        <v>https://scontent.cdninstagram.com/t51.2885-15/s320x320/e35/21436033_345421322577757_6715213875903463424_n.jpg</v>
      </c>
      <c r="AE5265" s="249" t="str">
        <f>HYPERLINK("https://scontent.cdninstagram.com/t51.2885-19/s150x150/21147766_162531280989833_2684510845269966848_a.jpg")</f>
        <v>https://scontent.cdninstagram.com/t51.2885-19/s150x150/21147766_162531280989833_2684510845269966848_a.jpg</v>
      </c>
    </row>
    <row r="5266" spans="1:31" ht="15" x14ac:dyDescent="0.25">
      <c r="A5266" t="s">
        <v>2474</v>
      </c>
      <c r="B5266" t="s">
        <v>7987</v>
      </c>
      <c r="C5266" s="221">
        <v>42985.406828703701</v>
      </c>
      <c r="D5266" t="s">
        <v>27680</v>
      </c>
      <c r="E5266" s="249" t="str">
        <f>HYPERLINK("https://www.instagram.com/p/BYvfG5Ch4d9/")</f>
        <v>https://www.instagram.com/p/BYvfG5Ch4d9/</v>
      </c>
      <c r="F5266" t="s">
        <v>27681</v>
      </c>
      <c r="G5266" t="s">
        <v>2478</v>
      </c>
      <c r="H5266">
        <v>464</v>
      </c>
      <c r="I5266" t="s">
        <v>2542</v>
      </c>
      <c r="J5266">
        <v>2</v>
      </c>
      <c r="K5266">
        <v>67</v>
      </c>
      <c r="L5266">
        <v>69</v>
      </c>
      <c r="Q5266">
        <v>0</v>
      </c>
      <c r="R5266">
        <v>0</v>
      </c>
      <c r="S5266">
        <v>69</v>
      </c>
      <c r="Y5266" t="s">
        <v>5802</v>
      </c>
      <c r="Z5266" t="s">
        <v>2929</v>
      </c>
      <c r="AA5266" t="s">
        <v>4464</v>
      </c>
      <c r="AB5266" t="s">
        <v>23969</v>
      </c>
      <c r="AC5266" t="s">
        <v>21324</v>
      </c>
      <c r="AD5266" s="249" t="str">
        <f>HYPERLINK("https://scontent.cdninstagram.com/t51.2885-15/s320x320/e35/21435824_115439282487991_8222370964390805504_n.jpg")</f>
        <v>https://scontent.cdninstagram.com/t51.2885-15/s320x320/e35/21435824_115439282487991_8222370964390805504_n.jpg</v>
      </c>
      <c r="AE5266" s="249" t="str">
        <f>HYPERLINK("https://scontent.cdninstagram.com/t51.2885-19/s150x150/18513681_139423189934717_6442695353408946176_a.jpg")</f>
        <v>https://scontent.cdninstagram.com/t51.2885-19/s150x150/18513681_139423189934717_6442695353408946176_a.jpg</v>
      </c>
    </row>
    <row r="5267" spans="1:31" ht="15" x14ac:dyDescent="0.25">
      <c r="A5267" t="s">
        <v>2474</v>
      </c>
      <c r="B5267" t="s">
        <v>27682</v>
      </c>
      <c r="C5267" s="221">
        <v>42985.407349537039</v>
      </c>
      <c r="D5267" t="s">
        <v>27683</v>
      </c>
      <c r="E5267" s="249" t="str">
        <f>HYPERLINK("https://www.instagram.com/p/BYvfMYwDxS3/")</f>
        <v>https://www.instagram.com/p/BYvfMYwDxS3/</v>
      </c>
      <c r="F5267" t="s">
        <v>27684</v>
      </c>
      <c r="G5267" t="s">
        <v>2478</v>
      </c>
      <c r="H5267">
        <v>263</v>
      </c>
      <c r="I5267" t="s">
        <v>2479</v>
      </c>
      <c r="J5267">
        <v>2</v>
      </c>
      <c r="K5267">
        <v>38</v>
      </c>
      <c r="L5267">
        <v>40</v>
      </c>
      <c r="Q5267">
        <v>0</v>
      </c>
      <c r="R5267">
        <v>0</v>
      </c>
      <c r="S5267">
        <v>40</v>
      </c>
      <c r="T5267" t="s">
        <v>27685</v>
      </c>
      <c r="U5267" t="s">
        <v>218</v>
      </c>
      <c r="V5267" t="s">
        <v>2299</v>
      </c>
      <c r="W5267">
        <v>40.874357000000003</v>
      </c>
      <c r="X5267">
        <v>-75.740733000000006</v>
      </c>
      <c r="Y5267" t="s">
        <v>16435</v>
      </c>
      <c r="Z5267" t="s">
        <v>24438</v>
      </c>
      <c r="AA5267" t="s">
        <v>14190</v>
      </c>
      <c r="AB5267" t="s">
        <v>27686</v>
      </c>
      <c r="AC5267" t="s">
        <v>4571</v>
      </c>
      <c r="AD5267" s="249" t="str">
        <f>HYPERLINK("https://scontent.cdninstagram.com/t51.2885-15/e35/p320x320/21372988_115131949166509_2003489908714373120_n.jpg")</f>
        <v>https://scontent.cdninstagram.com/t51.2885-15/e35/p320x320/21372988_115131949166509_2003489908714373120_n.jpg</v>
      </c>
      <c r="AE5267" s="249" t="str">
        <f>HYPERLINK("https://scontent.cdninstagram.com/t51.2885-19/s150x150/19429167_108479866446468_7119649509986009088_a.jpg")</f>
        <v>https://scontent.cdninstagram.com/t51.2885-19/s150x150/19429167_108479866446468_7119649509986009088_a.jpg</v>
      </c>
    </row>
    <row r="5268" spans="1:31" ht="15" x14ac:dyDescent="0.25">
      <c r="A5268" t="s">
        <v>2474</v>
      </c>
      <c r="B5268" t="s">
        <v>27687</v>
      </c>
      <c r="C5268" s="221">
        <v>42985.41207175926</v>
      </c>
      <c r="D5268" t="s">
        <v>27688</v>
      </c>
      <c r="E5268" s="249" t="str">
        <f>HYPERLINK("https://www.instagram.com/p/BYvf-PKH8JA/")</f>
        <v>https://www.instagram.com/p/BYvf-PKH8JA/</v>
      </c>
      <c r="F5268" t="s">
        <v>27689</v>
      </c>
      <c r="G5268" t="s">
        <v>2478</v>
      </c>
      <c r="I5268" t="s">
        <v>2479</v>
      </c>
      <c r="J5268">
        <v>0</v>
      </c>
      <c r="K5268">
        <v>25</v>
      </c>
      <c r="L5268">
        <v>25</v>
      </c>
      <c r="Q5268">
        <v>0</v>
      </c>
      <c r="R5268">
        <v>0</v>
      </c>
      <c r="S5268">
        <v>25</v>
      </c>
      <c r="T5268" t="s">
        <v>27690</v>
      </c>
      <c r="V5268" t="s">
        <v>2102</v>
      </c>
      <c r="W5268">
        <v>-33.700000000000003</v>
      </c>
      <c r="X5268">
        <v>150.30000000000001</v>
      </c>
      <c r="Y5268" t="s">
        <v>27691</v>
      </c>
      <c r="Z5268" t="s">
        <v>27692</v>
      </c>
      <c r="AA5268" t="s">
        <v>27693</v>
      </c>
      <c r="AB5268" t="s">
        <v>27694</v>
      </c>
      <c r="AC5268" t="s">
        <v>23545</v>
      </c>
      <c r="AD5268" s="249" t="str">
        <f>HYPERLINK("https://scontent.cdninstagram.com/t51.2885-15/s320x320/e35/21435444_1607803965925999_616138141220208640_n.jpg")</f>
        <v>https://scontent.cdninstagram.com/t51.2885-15/s320x320/e35/21435444_1607803965925999_616138141220208640_n.jpg</v>
      </c>
      <c r="AE5268" s="249" t="str">
        <f>HYPERLINK("https://scontent.cdninstagram.com/t51.2885-19/s150x150/21108058_113017719411980_885691225020039168_a.jpg")</f>
        <v>https://scontent.cdninstagram.com/t51.2885-19/s150x150/21108058_113017719411980_885691225020039168_a.jpg</v>
      </c>
    </row>
    <row r="5269" spans="1:31" ht="15" x14ac:dyDescent="0.25">
      <c r="A5269" t="s">
        <v>2474</v>
      </c>
      <c r="B5269" t="s">
        <v>18946</v>
      </c>
      <c r="C5269" s="221">
        <v>42985.413969907408</v>
      </c>
      <c r="D5269" t="s">
        <v>27695</v>
      </c>
      <c r="E5269" s="249" t="str">
        <f>HYPERLINK("https://www.instagram.com/p/BYvgSLEgmSK/")</f>
        <v>https://www.instagram.com/p/BYvgSLEgmSK/</v>
      </c>
      <c r="F5269" t="s">
        <v>27696</v>
      </c>
      <c r="G5269" t="s">
        <v>2488</v>
      </c>
      <c r="H5269">
        <v>720</v>
      </c>
      <c r="I5269" t="s">
        <v>2479</v>
      </c>
      <c r="J5269">
        <v>1</v>
      </c>
      <c r="K5269">
        <v>39</v>
      </c>
      <c r="L5269">
        <v>40</v>
      </c>
      <c r="Q5269">
        <v>0</v>
      </c>
      <c r="R5269">
        <v>0</v>
      </c>
      <c r="S5269">
        <v>40</v>
      </c>
      <c r="Y5269" t="s">
        <v>27697</v>
      </c>
      <c r="Z5269" t="s">
        <v>27698</v>
      </c>
      <c r="AA5269" t="s">
        <v>27699</v>
      </c>
      <c r="AB5269" t="s">
        <v>27700</v>
      </c>
      <c r="AC5269" t="s">
        <v>2497</v>
      </c>
      <c r="AD5269" s="249" t="str">
        <f>HYPERLINK("https://scontent.cdninstagram.com/t51.2885-15/s320x320/e35/21373283_130425584257077_4149564240505602048_n.jpg")</f>
        <v>https://scontent.cdninstagram.com/t51.2885-15/s320x320/e35/21373283_130425584257077_4149564240505602048_n.jpg</v>
      </c>
      <c r="AE5269" s="249" t="str">
        <f>HYPERLINK("https://scontent.cdninstagram.com/t51.2885-19/s150x150/20398632_491042271244268_2787959088259006464_a.jpg")</f>
        <v>https://scontent.cdninstagram.com/t51.2885-19/s150x150/20398632_491042271244268_2787959088259006464_a.jpg</v>
      </c>
    </row>
    <row r="5270" spans="1:31" ht="15" x14ac:dyDescent="0.25">
      <c r="A5270" t="s">
        <v>2474</v>
      </c>
      <c r="B5270" t="s">
        <v>27701</v>
      </c>
      <c r="C5270" s="221">
        <v>42985.431423611109</v>
      </c>
      <c r="D5270" t="s">
        <v>27702</v>
      </c>
      <c r="E5270" s="249" t="str">
        <f>HYPERLINK("https://www.instagram.com/p/BYvjKQsAb_h/")</f>
        <v>https://www.instagram.com/p/BYvjKQsAb_h/</v>
      </c>
      <c r="F5270" t="s">
        <v>27703</v>
      </c>
      <c r="G5270" t="s">
        <v>2478</v>
      </c>
      <c r="H5270">
        <v>134</v>
      </c>
      <c r="I5270" t="s">
        <v>2479</v>
      </c>
      <c r="J5270">
        <v>0</v>
      </c>
      <c r="K5270">
        <v>10</v>
      </c>
      <c r="L5270">
        <v>10</v>
      </c>
      <c r="Q5270">
        <v>0</v>
      </c>
      <c r="R5270">
        <v>0</v>
      </c>
      <c r="S5270">
        <v>10</v>
      </c>
      <c r="Y5270" t="s">
        <v>17422</v>
      </c>
      <c r="Z5270" t="s">
        <v>5640</v>
      </c>
      <c r="AA5270" t="s">
        <v>27704</v>
      </c>
      <c r="AB5270" t="s">
        <v>23036</v>
      </c>
      <c r="AC5270" t="s">
        <v>3446</v>
      </c>
      <c r="AD5270" s="249" t="str">
        <f>HYPERLINK("https://scontent.cdninstagram.com/t51.2885-15/s320x320/e35/21480338_270600056779288_6013864966510084096_n.jpg")</f>
        <v>https://scontent.cdninstagram.com/t51.2885-15/s320x320/e35/21480338_270600056779288_6013864966510084096_n.jpg</v>
      </c>
      <c r="AE5270" s="249" t="str">
        <f>HYPERLINK("https://scontent.cdninstagram.com/t51.2885-19/s150x150/21372354_304722673335536_4498192263544832_a.jpg")</f>
        <v>https://scontent.cdninstagram.com/t51.2885-19/s150x150/21372354_304722673335536_4498192263544832_a.jpg</v>
      </c>
    </row>
    <row r="5271" spans="1:31" ht="15" x14ac:dyDescent="0.25">
      <c r="A5271" t="s">
        <v>2474</v>
      </c>
      <c r="B5271" t="s">
        <v>27705</v>
      </c>
      <c r="C5271" s="221">
        <v>42985.44363425926</v>
      </c>
      <c r="D5271" t="s">
        <v>27706</v>
      </c>
      <c r="E5271" s="249" t="str">
        <f>HYPERLINK("https://www.instagram.com/p/BYvlLD3DXjc/")</f>
        <v>https://www.instagram.com/p/BYvlLD3DXjc/</v>
      </c>
      <c r="F5271" t="s">
        <v>27707</v>
      </c>
      <c r="G5271" t="s">
        <v>2478</v>
      </c>
      <c r="H5271">
        <v>96</v>
      </c>
      <c r="I5271" t="s">
        <v>2479</v>
      </c>
      <c r="J5271">
        <v>2</v>
      </c>
      <c r="K5271">
        <v>13</v>
      </c>
      <c r="L5271">
        <v>15</v>
      </c>
      <c r="Q5271">
        <v>0</v>
      </c>
      <c r="R5271">
        <v>0</v>
      </c>
      <c r="S5271">
        <v>15</v>
      </c>
      <c r="Y5271" t="s">
        <v>2497</v>
      </c>
      <c r="Z5271" t="s">
        <v>6887</v>
      </c>
      <c r="AA5271" t="s">
        <v>14885</v>
      </c>
      <c r="AD5271" s="249" t="str">
        <f>HYPERLINK("https://scontent.cdninstagram.com/t51.2885-15/s320x320/e35/21435491_1584393861624207_4116151649800552448_n.jpg")</f>
        <v>https://scontent.cdninstagram.com/t51.2885-15/s320x320/e35/21435491_1584393861624207_4116151649800552448_n.jpg</v>
      </c>
      <c r="AE5271" s="249" t="str">
        <f>HYPERLINK("https://scontent.cdninstagram.com/t51.2885-19/s150x150/19932398_137483746833930_2052392711289307136_a.jpg")</f>
        <v>https://scontent.cdninstagram.com/t51.2885-19/s150x150/19932398_137483746833930_2052392711289307136_a.jpg</v>
      </c>
    </row>
    <row r="5272" spans="1:31" ht="15" x14ac:dyDescent="0.25">
      <c r="A5272" t="s">
        <v>2474</v>
      </c>
      <c r="B5272" t="s">
        <v>27708</v>
      </c>
      <c r="C5272" s="221">
        <v>42985.458020833335</v>
      </c>
      <c r="D5272" t="s">
        <v>27709</v>
      </c>
      <c r="E5272" s="249" t="str">
        <f>HYPERLINK("https://www.instagram.com/p/BYvni3iF8A8/")</f>
        <v>https://www.instagram.com/p/BYvni3iF8A8/</v>
      </c>
      <c r="F5272" t="s">
        <v>27710</v>
      </c>
      <c r="G5272" t="s">
        <v>2478</v>
      </c>
      <c r="H5272">
        <v>1482</v>
      </c>
      <c r="I5272" t="s">
        <v>2479</v>
      </c>
      <c r="J5272">
        <v>5</v>
      </c>
      <c r="K5272">
        <v>104</v>
      </c>
      <c r="L5272">
        <v>109</v>
      </c>
      <c r="Q5272">
        <v>0</v>
      </c>
      <c r="R5272">
        <v>0</v>
      </c>
      <c r="S5272">
        <v>109</v>
      </c>
      <c r="T5272" t="s">
        <v>27711</v>
      </c>
      <c r="V5272" t="s">
        <v>2258</v>
      </c>
      <c r="W5272">
        <v>1.3022499999999999</v>
      </c>
      <c r="X5272">
        <v>103.85822222</v>
      </c>
      <c r="Y5272" t="s">
        <v>2497</v>
      </c>
      <c r="Z5272" t="s">
        <v>8324</v>
      </c>
      <c r="AA5272" t="s">
        <v>27712</v>
      </c>
      <c r="AD5272" s="249" t="str">
        <f>HYPERLINK("https://scontent.cdninstagram.com/t51.2885-15/s320x320/e35/21479822_1662633703749880_2580057571343728640_n.jpg")</f>
        <v>https://scontent.cdninstagram.com/t51.2885-15/s320x320/e35/21479822_1662633703749880_2580057571343728640_n.jpg</v>
      </c>
      <c r="AE5272" s="249" t="str">
        <f>HYPERLINK("https://scontent.cdninstagram.com/t51.2885-19/s150x150/20837191_165720127329549_2229688501706686464_a.jpg")</f>
        <v>https://scontent.cdninstagram.com/t51.2885-19/s150x150/20837191_165720127329549_2229688501706686464_a.jpg</v>
      </c>
    </row>
    <row r="5273" spans="1:31" ht="15" x14ac:dyDescent="0.25">
      <c r="A5273" t="s">
        <v>2474</v>
      </c>
      <c r="B5273" t="s">
        <v>27713</v>
      </c>
      <c r="C5273" s="221">
        <v>42985.459224537037</v>
      </c>
      <c r="D5273" t="s">
        <v>27714</v>
      </c>
      <c r="E5273" s="249" t="str">
        <f>HYPERLINK("https://www.instagram.com/p/BYvnvgdAbeq/")</f>
        <v>https://www.instagram.com/p/BYvnvgdAbeq/</v>
      </c>
      <c r="F5273" t="s">
        <v>27715</v>
      </c>
      <c r="G5273" t="s">
        <v>2478</v>
      </c>
      <c r="H5273">
        <v>131</v>
      </c>
      <c r="I5273" t="s">
        <v>4062</v>
      </c>
      <c r="J5273">
        <v>0</v>
      </c>
      <c r="K5273">
        <v>12</v>
      </c>
      <c r="L5273">
        <v>12</v>
      </c>
      <c r="Q5273">
        <v>0</v>
      </c>
      <c r="R5273">
        <v>0</v>
      </c>
      <c r="S5273">
        <v>12</v>
      </c>
      <c r="Y5273" t="s">
        <v>2497</v>
      </c>
      <c r="Z5273" t="s">
        <v>27716</v>
      </c>
      <c r="AA5273" t="s">
        <v>14881</v>
      </c>
      <c r="AB5273" t="s">
        <v>8185</v>
      </c>
      <c r="AC5273" t="s">
        <v>27717</v>
      </c>
      <c r="AD5273" s="249" t="str">
        <f>HYPERLINK("https://scontent.cdninstagram.com/t51.2885-15/s320x320/e35/21435601_505660433120811_1268196537045876736_n.jpg")</f>
        <v>https://scontent.cdninstagram.com/t51.2885-15/s320x320/e35/21435601_505660433120811_1268196537045876736_n.jpg</v>
      </c>
      <c r="AE5273" s="249" t="str">
        <f>HYPERLINK("https://scontent.cdninstagram.com/t51.2885-19/s150x150/21568948_358093844611520_4090632337107189760_n.jpg")</f>
        <v>https://scontent.cdninstagram.com/t51.2885-19/s150x150/21568948_358093844611520_4090632337107189760_n.jpg</v>
      </c>
    </row>
    <row r="5274" spans="1:31" ht="15" x14ac:dyDescent="0.25">
      <c r="A5274" t="s">
        <v>2474</v>
      </c>
      <c r="B5274" t="s">
        <v>11132</v>
      </c>
      <c r="C5274" s="221">
        <v>42985.467951388891</v>
      </c>
      <c r="D5274" t="s">
        <v>27718</v>
      </c>
      <c r="E5274" s="249" t="str">
        <f>HYPERLINK("https://www.instagram.com/p/BYvpLj3FTfn/")</f>
        <v>https://www.instagram.com/p/BYvpLj3FTfn/</v>
      </c>
      <c r="F5274" t="s">
        <v>27719</v>
      </c>
      <c r="G5274" t="s">
        <v>2478</v>
      </c>
      <c r="H5274">
        <v>1124</v>
      </c>
      <c r="I5274" t="s">
        <v>2479</v>
      </c>
      <c r="J5274">
        <v>0</v>
      </c>
      <c r="K5274">
        <v>30</v>
      </c>
      <c r="L5274">
        <v>30</v>
      </c>
      <c r="Q5274">
        <v>0</v>
      </c>
      <c r="R5274">
        <v>0</v>
      </c>
      <c r="S5274">
        <v>30</v>
      </c>
      <c r="T5274" t="s">
        <v>2936</v>
      </c>
      <c r="V5274" t="s">
        <v>2288</v>
      </c>
      <c r="W5274">
        <v>51.507114863623997</v>
      </c>
      <c r="X5274">
        <v>-0.12731805236353</v>
      </c>
      <c r="Y5274" t="s">
        <v>2497</v>
      </c>
      <c r="Z5274" t="s">
        <v>5721</v>
      </c>
      <c r="AA5274" t="s">
        <v>2844</v>
      </c>
      <c r="AB5274" t="s">
        <v>4620</v>
      </c>
      <c r="AC5274" t="s">
        <v>15018</v>
      </c>
      <c r="AD5274" s="249" t="str">
        <f>HYPERLINK("https://scontent.cdninstagram.com/t51.2885-15/s320x320/e35/21373784_1390159034434715_9122142784424247296_n.jpg")</f>
        <v>https://scontent.cdninstagram.com/t51.2885-15/s320x320/e35/21373784_1390159034434715_9122142784424247296_n.jpg</v>
      </c>
      <c r="AE5274" s="249" t="str">
        <f>HYPERLINK("https://scontent.cdninstagram.com/t51.2885-19/s150x150/18300132_130894844126279_8438538321960894464_a.jpg")</f>
        <v>https://scontent.cdninstagram.com/t51.2885-19/s150x150/18300132_130894844126279_8438538321960894464_a.jpg</v>
      </c>
    </row>
    <row r="5275" spans="1:31" ht="15" x14ac:dyDescent="0.25">
      <c r="A5275" t="s">
        <v>2474</v>
      </c>
      <c r="B5275" t="s">
        <v>3015</v>
      </c>
      <c r="C5275" s="221">
        <v>42985.485393518517</v>
      </c>
      <c r="D5275" t="s">
        <v>27720</v>
      </c>
      <c r="E5275" s="249" t="str">
        <f>HYPERLINK("https://www.instagram.com/p/BYvsDj3AvcF/")</f>
        <v>https://www.instagram.com/p/BYvsDj3AvcF/</v>
      </c>
      <c r="F5275" t="s">
        <v>27721</v>
      </c>
      <c r="G5275" t="s">
        <v>2478</v>
      </c>
      <c r="H5275">
        <v>278</v>
      </c>
      <c r="I5275" t="s">
        <v>2479</v>
      </c>
      <c r="J5275">
        <v>0</v>
      </c>
      <c r="K5275">
        <v>62</v>
      </c>
      <c r="L5275">
        <v>62</v>
      </c>
      <c r="Q5275">
        <v>0</v>
      </c>
      <c r="R5275">
        <v>0</v>
      </c>
      <c r="S5275">
        <v>62</v>
      </c>
      <c r="Y5275" t="s">
        <v>3725</v>
      </c>
      <c r="Z5275" t="s">
        <v>4126</v>
      </c>
      <c r="AA5275" t="s">
        <v>3494</v>
      </c>
      <c r="AB5275" t="s">
        <v>3492</v>
      </c>
      <c r="AC5275" t="s">
        <v>2497</v>
      </c>
      <c r="AD5275" s="249" t="str">
        <f>HYPERLINK("https://scontent.cdninstagram.com/t51.2885-15/e35/p320x320/21373657_967764693361362_8054870602806198272_n.jpg")</f>
        <v>https://scontent.cdninstagram.com/t51.2885-15/e35/p320x320/21373657_967764693361362_8054870602806198272_n.jpg</v>
      </c>
      <c r="AE5275" s="249" t="str">
        <f>HYPERLINK("https://scontent.cdninstagram.com/t51.2885-19/s150x150/21373025_723410537866046_6184601968204316672_a.jpg")</f>
        <v>https://scontent.cdninstagram.com/t51.2885-19/s150x150/21373025_723410537866046_6184601968204316672_a.jpg</v>
      </c>
    </row>
    <row r="5276" spans="1:31" ht="15" x14ac:dyDescent="0.25">
      <c r="A5276" t="s">
        <v>2474</v>
      </c>
      <c r="B5276" t="s">
        <v>27722</v>
      </c>
      <c r="C5276" s="221">
        <v>42985.492025462961</v>
      </c>
      <c r="D5276" t="s">
        <v>27723</v>
      </c>
      <c r="E5276" s="249" t="str">
        <f>HYPERLINK("https://www.instagram.com/p/BYvtJfuASiq/")</f>
        <v>https://www.instagram.com/p/BYvtJfuASiq/</v>
      </c>
      <c r="F5276" t="s">
        <v>27724</v>
      </c>
      <c r="G5276" t="s">
        <v>2488</v>
      </c>
      <c r="H5276">
        <v>739</v>
      </c>
      <c r="I5276" t="s">
        <v>2479</v>
      </c>
      <c r="J5276">
        <v>10</v>
      </c>
      <c r="K5276">
        <v>170</v>
      </c>
      <c r="L5276">
        <v>180</v>
      </c>
      <c r="Q5276">
        <v>0</v>
      </c>
      <c r="R5276">
        <v>0</v>
      </c>
      <c r="S5276">
        <v>180</v>
      </c>
      <c r="T5276" t="s">
        <v>27725</v>
      </c>
      <c r="V5276" t="s">
        <v>2103</v>
      </c>
      <c r="W5276">
        <v>47.631570000000004</v>
      </c>
      <c r="X5276">
        <v>13.042310000000001</v>
      </c>
      <c r="Y5276" t="s">
        <v>27726</v>
      </c>
      <c r="Z5276" t="s">
        <v>3698</v>
      </c>
      <c r="AA5276" t="s">
        <v>2497</v>
      </c>
      <c r="AB5276" t="s">
        <v>4026</v>
      </c>
      <c r="AC5276" t="s">
        <v>4993</v>
      </c>
      <c r="AD5276" s="249" t="str">
        <f>HYPERLINK("https://scontent.cdninstagram.com/t51.2885-15/s320x320/e35/21373527_674175232792662_2783945626004488192_n.jpg")</f>
        <v>https://scontent.cdninstagram.com/t51.2885-15/s320x320/e35/21373527_674175232792662_2783945626004488192_n.jpg</v>
      </c>
      <c r="AE5276" s="249" t="str">
        <f>HYPERLINK("https://scontent.cdninstagram.com/t51.2885-19/s150x150/15538375_678342449013375_4437254223872131072_a.jpg")</f>
        <v>https://scontent.cdninstagram.com/t51.2885-19/s150x150/15538375_678342449013375_4437254223872131072_a.jpg</v>
      </c>
    </row>
    <row r="5277" spans="1:31" ht="15" x14ac:dyDescent="0.25">
      <c r="A5277" t="s">
        <v>2474</v>
      </c>
      <c r="B5277" t="s">
        <v>27727</v>
      </c>
      <c r="C5277" s="221">
        <v>42985.501689814817</v>
      </c>
      <c r="D5277" t="s">
        <v>27728</v>
      </c>
      <c r="E5277" s="249" t="str">
        <f>HYPERLINK("https://www.instagram.com/p/BYvuvXKj5kS/")</f>
        <v>https://www.instagram.com/p/BYvuvXKj5kS/</v>
      </c>
      <c r="F5277" t="s">
        <v>27729</v>
      </c>
      <c r="G5277" t="s">
        <v>2478</v>
      </c>
      <c r="H5277">
        <v>183</v>
      </c>
      <c r="I5277" t="s">
        <v>2479</v>
      </c>
      <c r="J5277">
        <v>9</v>
      </c>
      <c r="K5277">
        <v>79</v>
      </c>
      <c r="L5277">
        <v>88</v>
      </c>
      <c r="Q5277">
        <v>0</v>
      </c>
      <c r="R5277">
        <v>0</v>
      </c>
      <c r="S5277">
        <v>88</v>
      </c>
      <c r="T5277" t="s">
        <v>27730</v>
      </c>
      <c r="V5277" t="s">
        <v>2176</v>
      </c>
      <c r="W5277">
        <v>30.725250161999998</v>
      </c>
      <c r="X5277">
        <v>76.846409019999996</v>
      </c>
      <c r="Y5277" t="s">
        <v>27731</v>
      </c>
      <c r="Z5277" t="s">
        <v>3165</v>
      </c>
      <c r="AA5277" t="s">
        <v>4908</v>
      </c>
      <c r="AB5277" t="s">
        <v>27732</v>
      </c>
      <c r="AC5277" t="s">
        <v>27733</v>
      </c>
      <c r="AD5277" s="249" t="str">
        <f>HYPERLINK("https://scontent.cdninstagram.com/t51.2885-15/s320x320/e35/21373105_1991010981116945_5843405823430098944_n.jpg")</f>
        <v>https://scontent.cdninstagram.com/t51.2885-15/s320x320/e35/21373105_1991010981116945_5843405823430098944_n.jpg</v>
      </c>
      <c r="AE5277" s="249" t="str">
        <f>HYPERLINK("https://scontent.cdninstagram.com/t51.2885-19/s150x150/21373569_289579554854413_5429628777212674048_a.jpg")</f>
        <v>https://scontent.cdninstagram.com/t51.2885-19/s150x150/21373569_289579554854413_5429628777212674048_a.jpg</v>
      </c>
    </row>
    <row r="5278" spans="1:31" ht="15" x14ac:dyDescent="0.25">
      <c r="A5278" t="s">
        <v>2474</v>
      </c>
      <c r="B5278" t="s">
        <v>4811</v>
      </c>
      <c r="C5278" s="221">
        <v>42985.505358796298</v>
      </c>
      <c r="D5278" t="s">
        <v>27734</v>
      </c>
      <c r="E5278" s="249" t="str">
        <f>HYPERLINK("https://www.instagram.com/p/BYvvWHfgPVo/")</f>
        <v>https://www.instagram.com/p/BYvvWHfgPVo/</v>
      </c>
      <c r="F5278" t="s">
        <v>27735</v>
      </c>
      <c r="G5278" t="s">
        <v>2631</v>
      </c>
      <c r="H5278">
        <v>1033</v>
      </c>
      <c r="I5278" t="s">
        <v>2479</v>
      </c>
      <c r="J5278">
        <v>4</v>
      </c>
      <c r="K5278">
        <v>70</v>
      </c>
      <c r="L5278">
        <v>74</v>
      </c>
      <c r="Q5278">
        <v>0</v>
      </c>
      <c r="R5278">
        <v>0</v>
      </c>
      <c r="S5278">
        <v>74</v>
      </c>
      <c r="Y5278" t="s">
        <v>22355</v>
      </c>
      <c r="Z5278" t="s">
        <v>7340</v>
      </c>
      <c r="AA5278" t="s">
        <v>21682</v>
      </c>
      <c r="AB5278" t="s">
        <v>27736</v>
      </c>
      <c r="AC5278" t="s">
        <v>4036</v>
      </c>
      <c r="AD5278" s="249" t="str">
        <f>HYPERLINK("https://scontent.cdninstagram.com/t51.2885-15/s320x320/e15/21373668_345690502510305_5332549979313537024_n.jpg")</f>
        <v>https://scontent.cdninstagram.com/t51.2885-15/s320x320/e15/21373668_345690502510305_5332549979313537024_n.jpg</v>
      </c>
      <c r="AE5278" s="249" t="str">
        <f>HYPERLINK("https://scontent.cdninstagram.com/t51.2885-19/s150x150/16124251_1913091765603634_8004330562992996352_a.jpg")</f>
        <v>https://scontent.cdninstagram.com/t51.2885-19/s150x150/16124251_1913091765603634_8004330562992996352_a.jpg</v>
      </c>
    </row>
    <row r="5279" spans="1:31" ht="15" x14ac:dyDescent="0.25">
      <c r="A5279" t="s">
        <v>2474</v>
      </c>
      <c r="B5279" t="s">
        <v>27737</v>
      </c>
      <c r="C5279" s="221">
        <v>42985.505648148152</v>
      </c>
      <c r="D5279" t="s">
        <v>27738</v>
      </c>
      <c r="E5279" s="249" t="str">
        <f>HYPERLINK("https://www.instagram.com/p/BYvvZE5j4RT/")</f>
        <v>https://www.instagram.com/p/BYvvZE5j4RT/</v>
      </c>
      <c r="F5279" t="s">
        <v>27739</v>
      </c>
      <c r="G5279" t="s">
        <v>2478</v>
      </c>
      <c r="H5279">
        <v>1310</v>
      </c>
      <c r="I5279" t="s">
        <v>2479</v>
      </c>
      <c r="J5279">
        <v>12</v>
      </c>
      <c r="K5279">
        <v>194</v>
      </c>
      <c r="L5279">
        <v>206</v>
      </c>
      <c r="Q5279">
        <v>0</v>
      </c>
      <c r="R5279">
        <v>0</v>
      </c>
      <c r="S5279">
        <v>206</v>
      </c>
      <c r="T5279" t="s">
        <v>27740</v>
      </c>
      <c r="V5279" t="s">
        <v>2184</v>
      </c>
      <c r="W5279">
        <v>35.68</v>
      </c>
      <c r="X5279">
        <v>139.77000000000001</v>
      </c>
      <c r="Y5279" t="s">
        <v>27741</v>
      </c>
      <c r="Z5279" t="s">
        <v>27742</v>
      </c>
      <c r="AA5279" t="s">
        <v>27743</v>
      </c>
      <c r="AB5279" t="s">
        <v>27744</v>
      </c>
      <c r="AC5279" t="s">
        <v>27745</v>
      </c>
      <c r="AD5279" s="249" t="str">
        <f>HYPERLINK("https://scontent.cdninstagram.com/t51.2885-15/s320x320/e35/21433327_502622556751758_8459453567151898624_n.jpg")</f>
        <v>https://scontent.cdninstagram.com/t51.2885-15/s320x320/e35/21433327_502622556751758_8459453567151898624_n.jpg</v>
      </c>
      <c r="AE5279" s="249" t="str">
        <f>HYPERLINK("https://scontent.cdninstagram.com/t51.2885-19/s150x150/21107178_115175565840640_596546931367346176_a.jpg")</f>
        <v>https://scontent.cdninstagram.com/t51.2885-19/s150x150/21107178_115175565840640_596546931367346176_a.jpg</v>
      </c>
    </row>
    <row r="5280" spans="1:31" ht="15" x14ac:dyDescent="0.25">
      <c r="A5280" t="s">
        <v>2474</v>
      </c>
      <c r="B5280" t="s">
        <v>27746</v>
      </c>
      <c r="C5280" s="221">
        <v>42985.516342592593</v>
      </c>
      <c r="D5280" t="s">
        <v>27747</v>
      </c>
      <c r="E5280" s="249" t="str">
        <f>HYPERLINK("https://www.instagram.com/p/BYvxJ6cASzv/")</f>
        <v>https://www.instagram.com/p/BYvxJ6cASzv/</v>
      </c>
      <c r="F5280" t="s">
        <v>27748</v>
      </c>
      <c r="G5280" t="s">
        <v>2478</v>
      </c>
      <c r="H5280">
        <v>3021</v>
      </c>
      <c r="I5280" t="s">
        <v>2903</v>
      </c>
      <c r="J5280">
        <v>13</v>
      </c>
      <c r="K5280">
        <v>135</v>
      </c>
      <c r="L5280">
        <v>148</v>
      </c>
      <c r="Q5280">
        <v>0</v>
      </c>
      <c r="R5280">
        <v>0</v>
      </c>
      <c r="S5280">
        <v>148</v>
      </c>
      <c r="Y5280" t="s">
        <v>27749</v>
      </c>
      <c r="Z5280" t="s">
        <v>2513</v>
      </c>
      <c r="AA5280" t="s">
        <v>11509</v>
      </c>
      <c r="AB5280" t="s">
        <v>4620</v>
      </c>
      <c r="AC5280" t="s">
        <v>2497</v>
      </c>
      <c r="AD5280" s="249" t="str">
        <f>HYPERLINK("https://scontent.cdninstagram.com/t51.2885-15/s320x320/e35/21433557_140928359848316_3538386142267179008_n.jpg")</f>
        <v>https://scontent.cdninstagram.com/t51.2885-15/s320x320/e35/21433557_140928359848316_3538386142267179008_n.jpg</v>
      </c>
      <c r="AE5280" s="249" t="str">
        <f>HYPERLINK("https://scontent.cdninstagram.com/t51.2885-19/s150x150/21577090_281483795687975_9161439141022400512_n.jpg")</f>
        <v>https://scontent.cdninstagram.com/t51.2885-19/s150x150/21577090_281483795687975_9161439141022400512_n.jpg</v>
      </c>
    </row>
    <row r="5281" spans="1:31" ht="15" x14ac:dyDescent="0.25">
      <c r="A5281" t="s">
        <v>2474</v>
      </c>
      <c r="B5281" t="s">
        <v>27750</v>
      </c>
      <c r="C5281" s="221">
        <v>42985.519953703704</v>
      </c>
      <c r="D5281" t="s">
        <v>27751</v>
      </c>
      <c r="E5281" s="249" t="str">
        <f>HYPERLINK("https://www.instagram.com/p/BYvxv_Bh94x/")</f>
        <v>https://www.instagram.com/p/BYvxv_Bh94x/</v>
      </c>
      <c r="F5281" t="s">
        <v>27752</v>
      </c>
      <c r="G5281" t="s">
        <v>2478</v>
      </c>
      <c r="H5281">
        <v>335</v>
      </c>
      <c r="I5281" t="s">
        <v>2479</v>
      </c>
      <c r="J5281">
        <v>3</v>
      </c>
      <c r="K5281">
        <v>42</v>
      </c>
      <c r="L5281">
        <v>45</v>
      </c>
      <c r="Q5281">
        <v>0</v>
      </c>
      <c r="R5281">
        <v>0</v>
      </c>
      <c r="S5281">
        <v>45</v>
      </c>
      <c r="Y5281" t="s">
        <v>27753</v>
      </c>
      <c r="Z5281" t="s">
        <v>27754</v>
      </c>
      <c r="AA5281" t="s">
        <v>27755</v>
      </c>
      <c r="AB5281" t="s">
        <v>27756</v>
      </c>
      <c r="AC5281" t="s">
        <v>27757</v>
      </c>
      <c r="AD5281" s="249" t="str">
        <f>HYPERLINK("https://scontent.cdninstagram.com/t51.2885-15/s320x320/e35/21373617_455399771498561_8166293766840254464_n.jpg")</f>
        <v>https://scontent.cdninstagram.com/t51.2885-15/s320x320/e35/21373617_455399771498561_8166293766840254464_n.jpg</v>
      </c>
      <c r="AE5281" s="249" t="str">
        <f>HYPERLINK("https://scontent.cdninstagram.com/t51.2885-19/s150x150/19122369_495095074155244_754124110316961792_a.jpg")</f>
        <v>https://scontent.cdninstagram.com/t51.2885-19/s150x150/19122369_495095074155244_754124110316961792_a.jpg</v>
      </c>
    </row>
    <row r="5282" spans="1:31" ht="15" x14ac:dyDescent="0.25">
      <c r="A5282" t="s">
        <v>2474</v>
      </c>
      <c r="B5282" t="s">
        <v>27758</v>
      </c>
      <c r="C5282" s="221">
        <v>42985.521284722221</v>
      </c>
      <c r="D5282" t="s">
        <v>27759</v>
      </c>
      <c r="E5282" s="249" t="str">
        <f>HYPERLINK("https://www.instagram.com/p/BYvx-FTh9-n/")</f>
        <v>https://www.instagram.com/p/BYvx-FTh9-n/</v>
      </c>
      <c r="F5282" t="s">
        <v>27760</v>
      </c>
      <c r="G5282" t="s">
        <v>2478</v>
      </c>
      <c r="H5282">
        <v>100</v>
      </c>
      <c r="I5282" t="s">
        <v>2896</v>
      </c>
      <c r="J5282">
        <v>0</v>
      </c>
      <c r="K5282">
        <v>4</v>
      </c>
      <c r="L5282">
        <v>4</v>
      </c>
      <c r="Q5282">
        <v>0</v>
      </c>
      <c r="R5282">
        <v>0</v>
      </c>
      <c r="S5282">
        <v>4</v>
      </c>
      <c r="T5282" t="s">
        <v>27761</v>
      </c>
      <c r="V5282" t="s">
        <v>2238</v>
      </c>
      <c r="W5282">
        <v>14.7</v>
      </c>
      <c r="X5282">
        <v>120.967</v>
      </c>
      <c r="Y5282" t="s">
        <v>27762</v>
      </c>
      <c r="Z5282" t="s">
        <v>9224</v>
      </c>
      <c r="AA5282" t="s">
        <v>2497</v>
      </c>
      <c r="AD5282" s="249" t="str">
        <f>HYPERLINK("https://scontent.cdninstagram.com/t51.2885-15/s320x320/e35/21372948_1600859659966553_6062268157014310912_n.jpg")</f>
        <v>https://scontent.cdninstagram.com/t51.2885-15/s320x320/e35/21372948_1600859659966553_6062268157014310912_n.jpg</v>
      </c>
      <c r="AE5282" s="249" t="str">
        <f>HYPERLINK("https://scontent.cdninstagram.com/t51.2885-19/s150x150/17267594_1870251796526531_8133036499332497408_a.jpg")</f>
        <v>https://scontent.cdninstagram.com/t51.2885-19/s150x150/17267594_1870251796526531_8133036499332497408_a.jpg</v>
      </c>
    </row>
    <row r="5283" spans="1:31" ht="15" x14ac:dyDescent="0.25">
      <c r="A5283" t="s">
        <v>2474</v>
      </c>
      <c r="B5283" t="s">
        <v>27763</v>
      </c>
      <c r="C5283" s="221">
        <v>42985.521516203706</v>
      </c>
      <c r="D5283" t="s">
        <v>27764</v>
      </c>
      <c r="E5283" s="249" t="str">
        <f>HYPERLINK("https://www.instagram.com/p/BYvyAfYgkOg/")</f>
        <v>https://www.instagram.com/p/BYvyAfYgkOg/</v>
      </c>
      <c r="F5283" t="s">
        <v>27765</v>
      </c>
      <c r="G5283" t="s">
        <v>2478</v>
      </c>
      <c r="H5283">
        <v>82</v>
      </c>
      <c r="I5283" t="s">
        <v>2479</v>
      </c>
      <c r="J5283">
        <v>0</v>
      </c>
      <c r="K5283">
        <v>4</v>
      </c>
      <c r="L5283">
        <v>4</v>
      </c>
      <c r="Q5283">
        <v>0</v>
      </c>
      <c r="R5283">
        <v>0</v>
      </c>
      <c r="S5283">
        <v>4</v>
      </c>
      <c r="Y5283" t="s">
        <v>27766</v>
      </c>
      <c r="Z5283" t="s">
        <v>5950</v>
      </c>
      <c r="AA5283" t="s">
        <v>16118</v>
      </c>
      <c r="AB5283" t="s">
        <v>2497</v>
      </c>
      <c r="AD5283" s="249" t="str">
        <f>HYPERLINK("https://scontent.cdninstagram.com/t51.2885-15/e15/p320x320/21435359_1501830949883111_9125181752959041536_n.jpg")</f>
        <v>https://scontent.cdninstagram.com/t51.2885-15/e15/p320x320/21435359_1501830949883111_9125181752959041536_n.jpg</v>
      </c>
      <c r="AE5283" s="249" t="str">
        <f>HYPERLINK("https://scontent.cdninstagram.com/t51.2885-19/s150x150/16906348_1654720178166969_7019167513145507840_a.jpg")</f>
        <v>https://scontent.cdninstagram.com/t51.2885-19/s150x150/16906348_1654720178166969_7019167513145507840_a.jpg</v>
      </c>
    </row>
    <row r="5284" spans="1:31" ht="15" x14ac:dyDescent="0.25">
      <c r="A5284" t="s">
        <v>2474</v>
      </c>
      <c r="B5284" t="s">
        <v>27767</v>
      </c>
      <c r="C5284" s="221">
        <v>42985.522847222222</v>
      </c>
      <c r="D5284" t="s">
        <v>27768</v>
      </c>
      <c r="E5284" s="249" t="str">
        <f>HYPERLINK("https://www.instagram.com/p/BYvyOeWAs8g/")</f>
        <v>https://www.instagram.com/p/BYvyOeWAs8g/</v>
      </c>
      <c r="F5284" t="s">
        <v>27769</v>
      </c>
      <c r="G5284" t="s">
        <v>2478</v>
      </c>
      <c r="H5284">
        <v>557</v>
      </c>
      <c r="I5284" t="s">
        <v>2479</v>
      </c>
      <c r="J5284">
        <v>1</v>
      </c>
      <c r="K5284">
        <v>41</v>
      </c>
      <c r="L5284">
        <v>42</v>
      </c>
      <c r="Q5284">
        <v>0</v>
      </c>
      <c r="R5284">
        <v>0</v>
      </c>
      <c r="S5284">
        <v>42</v>
      </c>
      <c r="Y5284" t="s">
        <v>27770</v>
      </c>
      <c r="Z5284" t="s">
        <v>27771</v>
      </c>
      <c r="AA5284" t="s">
        <v>4240</v>
      </c>
      <c r="AB5284" t="s">
        <v>27772</v>
      </c>
      <c r="AC5284" t="s">
        <v>18383</v>
      </c>
      <c r="AD5284" s="249" t="str">
        <f>HYPERLINK("https://scontent.cdninstagram.com/t51.2885-15/s320x320/e35/21436298_1960084504214582_4013916851036749824_n.jpg")</f>
        <v>https://scontent.cdninstagram.com/t51.2885-15/s320x320/e35/21436298_1960084504214582_4013916851036749824_n.jpg</v>
      </c>
      <c r="AE5284" s="249" t="str">
        <f>HYPERLINK("https://scontent.cdninstagram.com/t51.2885-19/s150x150/13392787_266248853735929_1143474867_a.jpg")</f>
        <v>https://scontent.cdninstagram.com/t51.2885-19/s150x150/13392787_266248853735929_1143474867_a.jpg</v>
      </c>
    </row>
    <row r="5285" spans="1:31" ht="15" x14ac:dyDescent="0.25">
      <c r="A5285" t="s">
        <v>2474</v>
      </c>
      <c r="B5285" t="s">
        <v>27773</v>
      </c>
      <c r="C5285" s="221">
        <v>42985.528136574074</v>
      </c>
      <c r="D5285" t="s">
        <v>27774</v>
      </c>
      <c r="E5285" s="249" t="str">
        <f>HYPERLINK("https://www.instagram.com/p/BYvzGU1ArWM/")</f>
        <v>https://www.instagram.com/p/BYvzGU1ArWM/</v>
      </c>
      <c r="F5285" t="s">
        <v>27775</v>
      </c>
      <c r="G5285" t="s">
        <v>2478</v>
      </c>
      <c r="H5285">
        <v>184</v>
      </c>
      <c r="I5285" t="s">
        <v>2510</v>
      </c>
      <c r="J5285">
        <v>1</v>
      </c>
      <c r="K5285">
        <v>35</v>
      </c>
      <c r="L5285">
        <v>36</v>
      </c>
      <c r="Q5285">
        <v>0</v>
      </c>
      <c r="R5285">
        <v>0</v>
      </c>
      <c r="S5285">
        <v>36</v>
      </c>
      <c r="T5285" t="s">
        <v>27776</v>
      </c>
      <c r="V5285" t="s">
        <v>2182</v>
      </c>
      <c r="W5285">
        <v>44.114769393133997</v>
      </c>
      <c r="X5285">
        <v>10.123049420294</v>
      </c>
      <c r="Y5285" t="s">
        <v>27777</v>
      </c>
      <c r="Z5285" t="s">
        <v>27778</v>
      </c>
      <c r="AA5285" t="s">
        <v>27779</v>
      </c>
      <c r="AB5285" t="s">
        <v>15307</v>
      </c>
      <c r="AC5285" t="s">
        <v>23813</v>
      </c>
      <c r="AD5285" s="249" t="str">
        <f>HYPERLINK("https://scontent.cdninstagram.com/t51.2885-15/s320x320/e35/21434003_462440820809200_7099875403245813760_n.jpg")</f>
        <v>https://scontent.cdninstagram.com/t51.2885-15/s320x320/e35/21434003_462440820809200_7099875403245813760_n.jpg</v>
      </c>
      <c r="AE5285" s="249" t="str">
        <f>HYPERLINK("https://scontent.cdninstagram.com/t51.2885-19/s150x150/12383695_556112647883863_438501808_a.jpg")</f>
        <v>https://scontent.cdninstagram.com/t51.2885-19/s150x150/12383695_556112647883863_438501808_a.jpg</v>
      </c>
    </row>
    <row r="5286" spans="1:31" ht="15" x14ac:dyDescent="0.25">
      <c r="A5286" t="s">
        <v>2474</v>
      </c>
      <c r="B5286" t="s">
        <v>27780</v>
      </c>
      <c r="C5286" s="221">
        <v>42985.528969907406</v>
      </c>
      <c r="D5286" t="s">
        <v>27781</v>
      </c>
      <c r="E5286" s="249" t="str">
        <f>HYPERLINK("https://www.instagram.com/p/BYvzPFCF1P6/")</f>
        <v>https://www.instagram.com/p/BYvzPFCF1P6/</v>
      </c>
      <c r="F5286" t="s">
        <v>27782</v>
      </c>
      <c r="G5286" t="s">
        <v>2631</v>
      </c>
      <c r="H5286">
        <v>337</v>
      </c>
      <c r="I5286" t="s">
        <v>2542</v>
      </c>
      <c r="J5286">
        <v>10</v>
      </c>
      <c r="K5286">
        <v>44</v>
      </c>
      <c r="L5286">
        <v>54</v>
      </c>
      <c r="Q5286">
        <v>0</v>
      </c>
      <c r="R5286">
        <v>0</v>
      </c>
      <c r="S5286">
        <v>54</v>
      </c>
      <c r="Y5286" t="s">
        <v>2769</v>
      </c>
      <c r="Z5286" t="s">
        <v>27783</v>
      </c>
      <c r="AA5286" t="s">
        <v>27784</v>
      </c>
      <c r="AB5286" t="s">
        <v>4419</v>
      </c>
      <c r="AC5286" t="s">
        <v>27785</v>
      </c>
      <c r="AD5286" s="249" t="str">
        <f>HYPERLINK("https://scontent.cdninstagram.com/t51.2885-15/e15/p320x320/21372874_1595658503817762_87582947330228224_n.jpg")</f>
        <v>https://scontent.cdninstagram.com/t51.2885-15/e15/p320x320/21372874_1595658503817762_87582947330228224_n.jpg</v>
      </c>
      <c r="AE5286" s="249" t="str">
        <f>HYPERLINK("https://scontent.cdninstagram.com/t51.2885-19/s150x150/20482130_2054832538072122_3305743827020546048_a.jpg")</f>
        <v>https://scontent.cdninstagram.com/t51.2885-19/s150x150/20482130_2054832538072122_3305743827020546048_a.jpg</v>
      </c>
    </row>
    <row r="5287" spans="1:31" ht="15" x14ac:dyDescent="0.25">
      <c r="A5287" t="s">
        <v>2474</v>
      </c>
      <c r="B5287" t="s">
        <v>7578</v>
      </c>
      <c r="C5287" s="221">
        <v>42985.536956018521</v>
      </c>
      <c r="D5287" t="s">
        <v>27786</v>
      </c>
      <c r="E5287" s="249" t="str">
        <f>HYPERLINK("https://www.instagram.com/p/BYv0jVWAKE4/")</f>
        <v>https://www.instagram.com/p/BYv0jVWAKE4/</v>
      </c>
      <c r="F5287" t="s">
        <v>27787</v>
      </c>
      <c r="G5287" t="s">
        <v>2631</v>
      </c>
      <c r="H5287">
        <v>5139</v>
      </c>
      <c r="I5287" t="s">
        <v>2479</v>
      </c>
      <c r="J5287">
        <v>1</v>
      </c>
      <c r="K5287">
        <v>89</v>
      </c>
      <c r="L5287">
        <v>90</v>
      </c>
      <c r="Q5287">
        <v>0</v>
      </c>
      <c r="R5287">
        <v>0</v>
      </c>
      <c r="S5287">
        <v>90</v>
      </c>
      <c r="Y5287" t="s">
        <v>10421</v>
      </c>
      <c r="Z5287" t="s">
        <v>12468</v>
      </c>
      <c r="AA5287" t="s">
        <v>27788</v>
      </c>
      <c r="AB5287" t="s">
        <v>27789</v>
      </c>
      <c r="AC5287" t="s">
        <v>27790</v>
      </c>
      <c r="AD5287" s="249" t="str">
        <f>HYPERLINK("https://scontent.cdninstagram.com/t51.2885-15/s320x320/e15/21435684_855558311293265_1793459028618117120_n.jpg")</f>
        <v>https://scontent.cdninstagram.com/t51.2885-15/s320x320/e15/21435684_855558311293265_1793459028618117120_n.jpg</v>
      </c>
      <c r="AE5287" s="249" t="str">
        <f>HYPERLINK("https://scontent.cdninstagram.com/t51.2885-19/s150x150/20686435_279532329120021_9060796520994963456_a.jpg")</f>
        <v>https://scontent.cdninstagram.com/t51.2885-19/s150x150/20686435_279532329120021_9060796520994963456_a.jpg</v>
      </c>
    </row>
    <row r="5288" spans="1:31" ht="15" x14ac:dyDescent="0.25">
      <c r="A5288" t="s">
        <v>2474</v>
      </c>
      <c r="B5288" t="s">
        <v>27791</v>
      </c>
      <c r="C5288" s="221">
        <v>42985.541273148148</v>
      </c>
      <c r="D5288" t="s">
        <v>27792</v>
      </c>
      <c r="E5288" s="249" t="str">
        <f>HYPERLINK("https://www.instagram.com/p/BYv1Q02DEoY/")</f>
        <v>https://www.instagram.com/p/BYv1Q02DEoY/</v>
      </c>
      <c r="F5288" t="s">
        <v>27793</v>
      </c>
      <c r="G5288" t="s">
        <v>2478</v>
      </c>
      <c r="H5288">
        <v>5328</v>
      </c>
      <c r="I5288" t="s">
        <v>2479</v>
      </c>
      <c r="J5288">
        <v>5</v>
      </c>
      <c r="K5288">
        <v>44</v>
      </c>
      <c r="L5288">
        <v>49</v>
      </c>
      <c r="Q5288">
        <v>0</v>
      </c>
      <c r="R5288">
        <v>0</v>
      </c>
      <c r="S5288">
        <v>49</v>
      </c>
      <c r="Y5288" t="s">
        <v>27794</v>
      </c>
      <c r="Z5288" t="s">
        <v>27795</v>
      </c>
      <c r="AA5288" t="s">
        <v>27796</v>
      </c>
      <c r="AB5288" t="s">
        <v>13359</v>
      </c>
      <c r="AC5288" t="s">
        <v>27797</v>
      </c>
      <c r="AD5288" s="249" t="str">
        <f>HYPERLINK("https://scontent.cdninstagram.com/t51.2885-15/s320x320/e35/21373155_115566205797386_7920544152004067328_n.jpg")</f>
        <v>https://scontent.cdninstagram.com/t51.2885-15/s320x320/e35/21373155_115566205797386_7920544152004067328_n.jpg</v>
      </c>
      <c r="AE5288" s="249" t="str">
        <f>HYPERLINK("https://scontent.cdninstagram.com/t51.2885-19/s150x150/21435334_2061103900787367_2417476570810679296_a.jpg")</f>
        <v>https://scontent.cdninstagram.com/t51.2885-19/s150x150/21435334_2061103900787367_2417476570810679296_a.jpg</v>
      </c>
    </row>
    <row r="5289" spans="1:31" ht="15" x14ac:dyDescent="0.25">
      <c r="A5289" t="s">
        <v>2474</v>
      </c>
      <c r="B5289" t="s">
        <v>19064</v>
      </c>
      <c r="C5289" s="221">
        <v>42985.544108796297</v>
      </c>
      <c r="D5289" t="s">
        <v>27798</v>
      </c>
      <c r="E5289" s="249" t="str">
        <f>HYPERLINK("https://www.instagram.com/p/BYv1u0enTyv/")</f>
        <v>https://www.instagram.com/p/BYv1u0enTyv/</v>
      </c>
      <c r="F5289" t="s">
        <v>27799</v>
      </c>
      <c r="G5289" t="s">
        <v>2478</v>
      </c>
      <c r="H5289">
        <v>187</v>
      </c>
      <c r="I5289" t="s">
        <v>2479</v>
      </c>
      <c r="J5289">
        <v>2</v>
      </c>
      <c r="K5289">
        <v>37</v>
      </c>
      <c r="L5289">
        <v>39</v>
      </c>
      <c r="Q5289">
        <v>0</v>
      </c>
      <c r="R5289">
        <v>0</v>
      </c>
      <c r="S5289">
        <v>39</v>
      </c>
      <c r="T5289" t="s">
        <v>27800</v>
      </c>
      <c r="V5289" t="s">
        <v>2095</v>
      </c>
      <c r="W5289">
        <v>42.439130953999999</v>
      </c>
      <c r="X5289">
        <v>1.9335321160000001</v>
      </c>
      <c r="Y5289" t="s">
        <v>27801</v>
      </c>
      <c r="Z5289" t="s">
        <v>3937</v>
      </c>
      <c r="AA5289" t="s">
        <v>12413</v>
      </c>
      <c r="AB5289" t="s">
        <v>27802</v>
      </c>
      <c r="AC5289" t="s">
        <v>5776</v>
      </c>
      <c r="AD5289" s="249" t="str">
        <f>HYPERLINK("https://scontent.cdninstagram.com/t51.2885-15/s320x320/e35/21373413_129907870980458_734837456595058688_n.jpg")</f>
        <v>https://scontent.cdninstagram.com/t51.2885-15/s320x320/e35/21373413_129907870980458_734837456595058688_n.jpg</v>
      </c>
      <c r="AE5289" s="249" t="str">
        <f>HYPERLINK("https://scontent.cdninstagram.com/t51.2885-19/s150x150/12446316_1773455699540523_1284308066_a.jpg")</f>
        <v>https://scontent.cdninstagram.com/t51.2885-19/s150x150/12446316_1773455699540523_1284308066_a.jpg</v>
      </c>
    </row>
    <row r="5290" spans="1:31" ht="15" x14ac:dyDescent="0.25">
      <c r="A5290" t="s">
        <v>2474</v>
      </c>
      <c r="B5290" t="s">
        <v>7647</v>
      </c>
      <c r="C5290" s="221">
        <v>42985.552569444444</v>
      </c>
      <c r="D5290" t="s">
        <v>27803</v>
      </c>
      <c r="E5290" s="249" t="str">
        <f>HYPERLINK("https://www.instagram.com/p/BYv3ICLgP7U/")</f>
        <v>https://www.instagram.com/p/BYv3ICLgP7U/</v>
      </c>
      <c r="F5290" t="s">
        <v>27804</v>
      </c>
      <c r="G5290" t="s">
        <v>2478</v>
      </c>
      <c r="H5290">
        <v>87</v>
      </c>
      <c r="I5290" t="s">
        <v>2479</v>
      </c>
      <c r="J5290">
        <v>0</v>
      </c>
      <c r="K5290">
        <v>11</v>
      </c>
      <c r="L5290">
        <v>11</v>
      </c>
      <c r="Q5290">
        <v>0</v>
      </c>
      <c r="R5290">
        <v>0</v>
      </c>
      <c r="S5290">
        <v>11</v>
      </c>
      <c r="T5290" t="s">
        <v>27805</v>
      </c>
      <c r="V5290" t="s">
        <v>2182</v>
      </c>
      <c r="W5290">
        <v>46.609119999999997</v>
      </c>
      <c r="X5290">
        <v>11.769962</v>
      </c>
      <c r="Y5290" t="s">
        <v>27806</v>
      </c>
      <c r="Z5290" t="s">
        <v>15260</v>
      </c>
      <c r="AA5290" t="s">
        <v>27807</v>
      </c>
      <c r="AB5290" t="s">
        <v>27808</v>
      </c>
      <c r="AC5290" t="s">
        <v>27809</v>
      </c>
      <c r="AD5290" s="249" t="str">
        <f>HYPERLINK("https://scontent.cdninstagram.com/t51.2885-15/s320x320/e35/21373058_1665020263517008_4613821914253623296_n.jpg")</f>
        <v>https://scontent.cdninstagram.com/t51.2885-15/s320x320/e35/21373058_1665020263517008_4613821914253623296_n.jpg</v>
      </c>
      <c r="AE5290" s="249" t="str">
        <f>HYPERLINK("https://scontent.cdninstagram.com/t51.2885-19/s150x150/21689860_347057945706116_567828057017024512_n.jpg")</f>
        <v>https://scontent.cdninstagram.com/t51.2885-19/s150x150/21689860_347057945706116_567828057017024512_n.jpg</v>
      </c>
    </row>
    <row r="5291" spans="1:31" ht="15" x14ac:dyDescent="0.25">
      <c r="A5291" t="s">
        <v>2474</v>
      </c>
      <c r="B5291" t="s">
        <v>7987</v>
      </c>
      <c r="C5291" s="221">
        <v>42985.553148148145</v>
      </c>
      <c r="D5291" t="s">
        <v>27810</v>
      </c>
      <c r="E5291" s="249" t="str">
        <f>HYPERLINK("https://www.instagram.com/p/BYv3OG9BsTp/")</f>
        <v>https://www.instagram.com/p/BYv3OG9BsTp/</v>
      </c>
      <c r="F5291" t="s">
        <v>27811</v>
      </c>
      <c r="G5291" t="s">
        <v>2488</v>
      </c>
      <c r="H5291">
        <v>466</v>
      </c>
      <c r="I5291" t="s">
        <v>2479</v>
      </c>
      <c r="J5291">
        <v>1</v>
      </c>
      <c r="K5291">
        <v>55</v>
      </c>
      <c r="L5291">
        <v>56</v>
      </c>
      <c r="Q5291">
        <v>0</v>
      </c>
      <c r="R5291">
        <v>0</v>
      </c>
      <c r="S5291">
        <v>56</v>
      </c>
      <c r="Y5291" t="s">
        <v>5090</v>
      </c>
      <c r="Z5291" t="s">
        <v>7990</v>
      </c>
      <c r="AA5291" t="s">
        <v>27812</v>
      </c>
      <c r="AB5291" t="s">
        <v>5802</v>
      </c>
      <c r="AC5291" t="s">
        <v>2929</v>
      </c>
      <c r="AD5291" s="249" t="str">
        <f>HYPERLINK("https://scontent.cdninstagram.com/t51.2885-15/s320x320/e35/21434195_1418608138235066_2390796946932498432_n.jpg")</f>
        <v>https://scontent.cdninstagram.com/t51.2885-15/s320x320/e35/21434195_1418608138235066_2390796946932498432_n.jpg</v>
      </c>
      <c r="AE5291" s="249" t="str">
        <f>HYPERLINK("https://scontent.cdninstagram.com/t51.2885-19/s150x150/18513681_139423189934717_6442695353408946176_a.jpg")</f>
        <v>https://scontent.cdninstagram.com/t51.2885-19/s150x150/18513681_139423189934717_6442695353408946176_a.jpg</v>
      </c>
    </row>
    <row r="5292" spans="1:31" ht="15" x14ac:dyDescent="0.25">
      <c r="A5292" t="s">
        <v>2474</v>
      </c>
      <c r="B5292" t="s">
        <v>7767</v>
      </c>
      <c r="C5292" s="221">
        <v>42985.554768518516</v>
      </c>
      <c r="D5292" t="s">
        <v>27813</v>
      </c>
      <c r="E5292" s="249" t="str">
        <f>HYPERLINK("https://www.instagram.com/p/BYv3fKuDeEc/")</f>
        <v>https://www.instagram.com/p/BYv3fKuDeEc/</v>
      </c>
      <c r="F5292" t="s">
        <v>27814</v>
      </c>
      <c r="G5292" t="s">
        <v>2478</v>
      </c>
      <c r="H5292">
        <v>288</v>
      </c>
      <c r="I5292" t="s">
        <v>2479</v>
      </c>
      <c r="J5292">
        <v>1</v>
      </c>
      <c r="K5292">
        <v>27</v>
      </c>
      <c r="L5292">
        <v>28</v>
      </c>
      <c r="Q5292">
        <v>0</v>
      </c>
      <c r="R5292">
        <v>0</v>
      </c>
      <c r="S5292">
        <v>28</v>
      </c>
      <c r="Y5292" t="s">
        <v>27815</v>
      </c>
      <c r="Z5292" t="s">
        <v>7771</v>
      </c>
      <c r="AA5292" t="s">
        <v>11801</v>
      </c>
      <c r="AB5292" t="s">
        <v>27816</v>
      </c>
      <c r="AC5292" t="s">
        <v>27817</v>
      </c>
      <c r="AD5292" s="249" t="str">
        <f>HYPERLINK("https://scontent.cdninstagram.com/t51.2885-15/s320x320/e35/21436282_115699809113443_4595395752934506496_n.jpg")</f>
        <v>https://scontent.cdninstagram.com/t51.2885-15/s320x320/e35/21436282_115699809113443_4595395752934506496_n.jpg</v>
      </c>
      <c r="AE5292" s="249" t="str">
        <f>HYPERLINK("https://scontent.cdninstagram.com/t51.2885-19/s150x150/18298790_1888940861386181_2852852938840211456_a.jpg")</f>
        <v>https://scontent.cdninstagram.com/t51.2885-19/s150x150/18298790_1888940861386181_2852852938840211456_a.jpg</v>
      </c>
    </row>
    <row r="5293" spans="1:31" ht="15" x14ac:dyDescent="0.25">
      <c r="A5293" t="s">
        <v>2474</v>
      </c>
      <c r="B5293" t="s">
        <v>27818</v>
      </c>
      <c r="C5293" s="221">
        <v>42985.56177083333</v>
      </c>
      <c r="D5293" t="s">
        <v>27819</v>
      </c>
      <c r="E5293" s="249" t="str">
        <f>HYPERLINK("https://www.instagram.com/p/BYv4pDGDu7c/")</f>
        <v>https://www.instagram.com/p/BYv4pDGDu7c/</v>
      </c>
      <c r="F5293" t="s">
        <v>27820</v>
      </c>
      <c r="G5293" t="s">
        <v>2478</v>
      </c>
      <c r="H5293">
        <v>178</v>
      </c>
      <c r="I5293" t="s">
        <v>4523</v>
      </c>
      <c r="J5293">
        <v>0</v>
      </c>
      <c r="K5293">
        <v>25</v>
      </c>
      <c r="L5293">
        <v>25</v>
      </c>
      <c r="Q5293">
        <v>0</v>
      </c>
      <c r="R5293">
        <v>0</v>
      </c>
      <c r="S5293">
        <v>25</v>
      </c>
      <c r="T5293" t="s">
        <v>27821</v>
      </c>
      <c r="V5293" t="s">
        <v>2161</v>
      </c>
      <c r="W5293">
        <v>50.040970000000002</v>
      </c>
      <c r="X5293">
        <v>8.5639199999999995</v>
      </c>
      <c r="Y5293" t="s">
        <v>3937</v>
      </c>
      <c r="Z5293" t="s">
        <v>27822</v>
      </c>
      <c r="AA5293" t="s">
        <v>26896</v>
      </c>
      <c r="AB5293" t="s">
        <v>2753</v>
      </c>
      <c r="AC5293" t="s">
        <v>11599</v>
      </c>
      <c r="AD5293" s="249" t="str">
        <f>HYPERLINK("https://scontent.cdninstagram.com/t51.2885-15/s320x320/e35/21433707_1586319631418408_5219650798228602880_n.jpg")</f>
        <v>https://scontent.cdninstagram.com/t51.2885-15/s320x320/e35/21433707_1586319631418408_5219650798228602880_n.jpg</v>
      </c>
      <c r="AE5293" s="249" t="str">
        <f>HYPERLINK("https://scontent.cdninstagram.com/t51.2885-19/s150x150/21041473_112553559464920_6796020125049815040_a.jpg")</f>
        <v>https://scontent.cdninstagram.com/t51.2885-19/s150x150/21041473_112553559464920_6796020125049815040_a.jpg</v>
      </c>
    </row>
    <row r="5294" spans="1:31" ht="15" x14ac:dyDescent="0.25">
      <c r="A5294" t="s">
        <v>2474</v>
      </c>
      <c r="B5294" t="s">
        <v>27823</v>
      </c>
      <c r="C5294" s="221">
        <v>42985.563483796293</v>
      </c>
      <c r="D5294" t="s">
        <v>27824</v>
      </c>
      <c r="E5294" s="249" t="str">
        <f>HYPERLINK("https://www.instagram.com/p/BYv47K8FFS3/")</f>
        <v>https://www.instagram.com/p/BYv47K8FFS3/</v>
      </c>
      <c r="F5294" t="s">
        <v>27825</v>
      </c>
      <c r="G5294" t="s">
        <v>2478</v>
      </c>
      <c r="H5294">
        <v>80</v>
      </c>
      <c r="I5294" t="s">
        <v>2479</v>
      </c>
      <c r="J5294">
        <v>0</v>
      </c>
      <c r="K5294">
        <v>9</v>
      </c>
      <c r="L5294">
        <v>9</v>
      </c>
      <c r="Q5294">
        <v>0</v>
      </c>
      <c r="R5294">
        <v>0</v>
      </c>
      <c r="S5294">
        <v>9</v>
      </c>
      <c r="Y5294" t="s">
        <v>27826</v>
      </c>
      <c r="Z5294" t="s">
        <v>27827</v>
      </c>
      <c r="AA5294" t="s">
        <v>12990</v>
      </c>
      <c r="AB5294" t="s">
        <v>27828</v>
      </c>
      <c r="AC5294" t="s">
        <v>27829</v>
      </c>
      <c r="AD5294" s="249" t="str">
        <f>HYPERLINK("https://scontent.cdninstagram.com/t51.2885-15/s320x320/e35/21436273_122361345088888_8925594725793136640_n.jpg")</f>
        <v>https://scontent.cdninstagram.com/t51.2885-15/s320x320/e35/21436273_122361345088888_8925594725793136640_n.jpg</v>
      </c>
      <c r="AE5294" s="249" t="str">
        <f>HYPERLINK("https://scontent.cdninstagram.com/t51.2885-19/s150x150/13707242_1750622135206460_1592801307_a.jpg")</f>
        <v>https://scontent.cdninstagram.com/t51.2885-19/s150x150/13707242_1750622135206460_1592801307_a.jpg</v>
      </c>
    </row>
    <row r="5295" spans="1:31" ht="15" x14ac:dyDescent="0.25">
      <c r="A5295" t="s">
        <v>2474</v>
      </c>
      <c r="B5295" t="s">
        <v>27830</v>
      </c>
      <c r="C5295" s="221">
        <v>42985.563761574071</v>
      </c>
      <c r="D5295" t="s">
        <v>27831</v>
      </c>
      <c r="E5295" s="249" t="str">
        <f>HYPERLINK("https://www.instagram.com/p/BYv4-G6AaUZ/")</f>
        <v>https://www.instagram.com/p/BYv4-G6AaUZ/</v>
      </c>
      <c r="F5295" t="s">
        <v>27832</v>
      </c>
      <c r="G5295" t="s">
        <v>2478</v>
      </c>
      <c r="H5295">
        <v>242</v>
      </c>
      <c r="I5295" t="s">
        <v>2479</v>
      </c>
      <c r="J5295">
        <v>0</v>
      </c>
      <c r="K5295">
        <v>14</v>
      </c>
      <c r="L5295">
        <v>14</v>
      </c>
      <c r="Q5295">
        <v>0</v>
      </c>
      <c r="R5295">
        <v>0</v>
      </c>
      <c r="S5295">
        <v>14</v>
      </c>
      <c r="Y5295" t="s">
        <v>27833</v>
      </c>
      <c r="Z5295" t="s">
        <v>27834</v>
      </c>
      <c r="AA5295" t="s">
        <v>27835</v>
      </c>
      <c r="AB5295" t="s">
        <v>27836</v>
      </c>
      <c r="AC5295" t="s">
        <v>27837</v>
      </c>
      <c r="AD5295" s="249" t="str">
        <f>HYPERLINK("https://scontent.cdninstagram.com/t51.2885-15/e35/21479994_507559679579538_5795423853253492736_n.jpg")</f>
        <v>https://scontent.cdninstagram.com/t51.2885-15/e35/21479994_507559679579538_5795423853253492736_n.jpg</v>
      </c>
      <c r="AE5295" s="249" t="str">
        <f>HYPERLINK("https://scontent.cdninstagram.com/t51.2885-19/s150x150/21107155_1252515438187614_7929024165498060800_a.jpg")</f>
        <v>https://scontent.cdninstagram.com/t51.2885-19/s150x150/21107155_1252515438187614_7929024165498060800_a.jpg</v>
      </c>
    </row>
    <row r="5296" spans="1:31" ht="15" x14ac:dyDescent="0.25">
      <c r="A5296" t="s">
        <v>2474</v>
      </c>
      <c r="B5296" t="s">
        <v>27838</v>
      </c>
      <c r="C5296" s="221">
        <v>42985.564201388886</v>
      </c>
      <c r="D5296" t="s">
        <v>27839</v>
      </c>
      <c r="E5296" s="249" t="str">
        <f>HYPERLINK("https://www.instagram.com/p/BYv5CoygwtK/")</f>
        <v>https://www.instagram.com/p/BYv5CoygwtK/</v>
      </c>
      <c r="F5296" t="s">
        <v>27840</v>
      </c>
      <c r="G5296" t="s">
        <v>2478</v>
      </c>
      <c r="H5296">
        <v>16820</v>
      </c>
      <c r="I5296" t="s">
        <v>2479</v>
      </c>
      <c r="J5296">
        <v>2</v>
      </c>
      <c r="K5296">
        <v>38</v>
      </c>
      <c r="L5296">
        <v>40</v>
      </c>
      <c r="Q5296">
        <v>0</v>
      </c>
      <c r="R5296">
        <v>0</v>
      </c>
      <c r="S5296">
        <v>40</v>
      </c>
      <c r="T5296" t="s">
        <v>11963</v>
      </c>
      <c r="U5296" t="s">
        <v>134</v>
      </c>
      <c r="V5296" t="s">
        <v>2299</v>
      </c>
      <c r="W5296">
        <v>27.9709</v>
      </c>
      <c r="X5296">
        <v>-82.464600000000004</v>
      </c>
      <c r="Y5296" t="s">
        <v>2492</v>
      </c>
      <c r="Z5296" t="s">
        <v>4369</v>
      </c>
      <c r="AA5296" t="s">
        <v>27841</v>
      </c>
      <c r="AB5296" t="s">
        <v>2497</v>
      </c>
      <c r="AC5296" t="s">
        <v>6639</v>
      </c>
      <c r="AD5296" s="249" t="str">
        <f>HYPERLINK("https://scontent.cdninstagram.com/t51.2885-15/s320x320/e35/21372892_1742818752688615_5598106943936790528_n.jpg")</f>
        <v>https://scontent.cdninstagram.com/t51.2885-15/s320x320/e35/21372892_1742818752688615_5598106943936790528_n.jpg</v>
      </c>
      <c r="AE5296" s="249" t="str">
        <f>HYPERLINK("https://scontent.cdninstagram.com/t51.2885-19/s150x150/21149484_138190213453401_5029008628867137536_a.jpg")</f>
        <v>https://scontent.cdninstagram.com/t51.2885-19/s150x150/21149484_138190213453401_5029008628867137536_a.jpg</v>
      </c>
    </row>
    <row r="5297" spans="1:31" ht="15" x14ac:dyDescent="0.25">
      <c r="A5297" t="s">
        <v>2474</v>
      </c>
      <c r="B5297" t="s">
        <v>27842</v>
      </c>
      <c r="C5297" s="221">
        <v>42985.566446759258</v>
      </c>
      <c r="D5297" t="s">
        <v>27843</v>
      </c>
      <c r="E5297" s="249" t="str">
        <f>HYPERLINK("https://www.instagram.com/p/BYv5aacl-rI/")</f>
        <v>https://www.instagram.com/p/BYv5aacl-rI/</v>
      </c>
      <c r="F5297" t="s">
        <v>27844</v>
      </c>
      <c r="G5297" t="s">
        <v>2631</v>
      </c>
      <c r="H5297">
        <v>398</v>
      </c>
      <c r="I5297" t="s">
        <v>3273</v>
      </c>
      <c r="J5297">
        <v>2</v>
      </c>
      <c r="K5297">
        <v>73</v>
      </c>
      <c r="L5297">
        <v>75</v>
      </c>
      <c r="Q5297">
        <v>0</v>
      </c>
      <c r="R5297">
        <v>0</v>
      </c>
      <c r="S5297">
        <v>75</v>
      </c>
      <c r="T5297" t="s">
        <v>27845</v>
      </c>
      <c r="U5297" t="s">
        <v>216</v>
      </c>
      <c r="V5297" t="s">
        <v>2299</v>
      </c>
      <c r="W5297">
        <v>41.201599999999999</v>
      </c>
      <c r="X5297">
        <v>-73.134200000000007</v>
      </c>
      <c r="Y5297" t="s">
        <v>27754</v>
      </c>
      <c r="Z5297" t="s">
        <v>14290</v>
      </c>
      <c r="AA5297" t="s">
        <v>4419</v>
      </c>
      <c r="AB5297" t="s">
        <v>10415</v>
      </c>
      <c r="AC5297" t="s">
        <v>19318</v>
      </c>
      <c r="AD5297" s="249" t="str">
        <f>HYPERLINK("https://scontent.cdninstagram.com/t51.2885-15/e15/p320x320/21372981_133266567295002_78916137118597120_n.jpg")</f>
        <v>https://scontent.cdninstagram.com/t51.2885-15/e15/p320x320/21372981_133266567295002_78916137118597120_n.jpg</v>
      </c>
      <c r="AE5297" s="249" t="str">
        <f>HYPERLINK("https://scontent.cdninstagram.com/t51.2885-19/s150x150/18512647_1134095113403335_2678614937504317440_a.jpg")</f>
        <v>https://scontent.cdninstagram.com/t51.2885-19/s150x150/18512647_1134095113403335_2678614937504317440_a.jpg</v>
      </c>
    </row>
    <row r="5298" spans="1:31" ht="15" x14ac:dyDescent="0.25">
      <c r="A5298" t="s">
        <v>2474</v>
      </c>
      <c r="B5298" t="s">
        <v>27846</v>
      </c>
      <c r="C5298" s="221">
        <v>42985.572685185187</v>
      </c>
      <c r="D5298" t="s">
        <v>27847</v>
      </c>
      <c r="E5298" s="249" t="str">
        <f>HYPERLINK("https://www.instagram.com/p/BYv6cOmgLkm/")</f>
        <v>https://www.instagram.com/p/BYv6cOmgLkm/</v>
      </c>
      <c r="F5298" t="s">
        <v>27848</v>
      </c>
      <c r="G5298" t="s">
        <v>2478</v>
      </c>
      <c r="H5298">
        <v>517</v>
      </c>
      <c r="I5298" t="s">
        <v>4963</v>
      </c>
      <c r="J5298">
        <v>5</v>
      </c>
      <c r="K5298">
        <v>20</v>
      </c>
      <c r="L5298">
        <v>25</v>
      </c>
      <c r="Q5298">
        <v>0</v>
      </c>
      <c r="R5298">
        <v>0</v>
      </c>
      <c r="S5298">
        <v>25</v>
      </c>
      <c r="Y5298" t="s">
        <v>27849</v>
      </c>
      <c r="Z5298" t="s">
        <v>5932</v>
      </c>
      <c r="AA5298" t="s">
        <v>27850</v>
      </c>
      <c r="AB5298" t="s">
        <v>2497</v>
      </c>
      <c r="AC5298" t="s">
        <v>27851</v>
      </c>
      <c r="AD5298" s="249" t="str">
        <f>HYPERLINK("https://scontent.cdninstagram.com/t51.2885-15/s320x320/e35/21372956_2071390813095719_896355280923656192_n.jpg")</f>
        <v>https://scontent.cdninstagram.com/t51.2885-15/s320x320/e35/21372956_2071390813095719_896355280923656192_n.jpg</v>
      </c>
      <c r="AE5298" s="249" t="str">
        <f>HYPERLINK("https://scontent.cdninstagram.com/t51.2885-19/s150x150/19624907_194179271113802_853624728605163520_a.jpg")</f>
        <v>https://scontent.cdninstagram.com/t51.2885-19/s150x150/19624907_194179271113802_853624728605163520_a.jpg</v>
      </c>
    </row>
    <row r="5299" spans="1:31" ht="15" x14ac:dyDescent="0.25">
      <c r="A5299" t="s">
        <v>2474</v>
      </c>
      <c r="B5299" t="s">
        <v>5409</v>
      </c>
      <c r="C5299" s="221">
        <v>42985.576249999998</v>
      </c>
      <c r="D5299" t="s">
        <v>27852</v>
      </c>
      <c r="E5299" s="249" t="str">
        <f>HYPERLINK("https://www.instagram.com/p/BYv7Bwhhc5E/")</f>
        <v>https://www.instagram.com/p/BYv7Bwhhc5E/</v>
      </c>
      <c r="F5299" t="s">
        <v>27853</v>
      </c>
      <c r="G5299" t="s">
        <v>2478</v>
      </c>
      <c r="H5299">
        <v>653</v>
      </c>
      <c r="I5299" t="s">
        <v>2479</v>
      </c>
      <c r="J5299">
        <v>2</v>
      </c>
      <c r="K5299">
        <v>36</v>
      </c>
      <c r="L5299">
        <v>38</v>
      </c>
      <c r="Q5299">
        <v>0</v>
      </c>
      <c r="R5299">
        <v>0</v>
      </c>
      <c r="S5299">
        <v>38</v>
      </c>
      <c r="Y5299" t="s">
        <v>27854</v>
      </c>
      <c r="Z5299" t="s">
        <v>3006</v>
      </c>
      <c r="AA5299" t="s">
        <v>27855</v>
      </c>
      <c r="AB5299" t="s">
        <v>27856</v>
      </c>
      <c r="AC5299" t="s">
        <v>6505</v>
      </c>
      <c r="AD5299" s="249" t="str">
        <f>HYPERLINK("https://scontent.cdninstagram.com/t51.2885-15/s320x320/e35/21433698_196836257522548_1769151236004642816_n.jpg")</f>
        <v>https://scontent.cdninstagram.com/t51.2885-15/s320x320/e35/21433698_196836257522548_1769151236004642816_n.jpg</v>
      </c>
      <c r="AE5299" s="249" t="str">
        <f>HYPERLINK("https://scontent.cdninstagram.com/t51.2885-19/s150x150/20482666_330708970704858_7693193017422774272_a.jpg")</f>
        <v>https://scontent.cdninstagram.com/t51.2885-19/s150x150/20482666_330708970704858_7693193017422774272_a.jpg</v>
      </c>
    </row>
    <row r="5300" spans="1:31" ht="15" x14ac:dyDescent="0.25">
      <c r="A5300" t="s">
        <v>2474</v>
      </c>
      <c r="B5300" t="s">
        <v>27857</v>
      </c>
      <c r="C5300" s="221">
        <v>42985.579513888886</v>
      </c>
      <c r="D5300" t="s">
        <v>27858</v>
      </c>
      <c r="E5300" s="249" t="str">
        <f>HYPERLINK("https://www.instagram.com/p/BYv7kNOjf2q/")</f>
        <v>https://www.instagram.com/p/BYv7kNOjf2q/</v>
      </c>
      <c r="F5300" t="s">
        <v>27859</v>
      </c>
      <c r="G5300" t="s">
        <v>2478</v>
      </c>
      <c r="H5300">
        <v>1108</v>
      </c>
      <c r="I5300" t="s">
        <v>2479</v>
      </c>
      <c r="J5300">
        <v>8</v>
      </c>
      <c r="K5300">
        <v>76</v>
      </c>
      <c r="L5300">
        <v>84</v>
      </c>
      <c r="Q5300">
        <v>0</v>
      </c>
      <c r="R5300">
        <v>0</v>
      </c>
      <c r="S5300">
        <v>84</v>
      </c>
      <c r="T5300" t="s">
        <v>7301</v>
      </c>
      <c r="V5300" t="s">
        <v>2125</v>
      </c>
      <c r="W5300">
        <v>43.7166</v>
      </c>
      <c r="X5300">
        <v>-79.340699999999998</v>
      </c>
      <c r="Y5300" t="s">
        <v>9175</v>
      </c>
      <c r="Z5300" t="s">
        <v>27860</v>
      </c>
      <c r="AA5300" t="s">
        <v>2497</v>
      </c>
      <c r="AB5300" t="s">
        <v>2511</v>
      </c>
      <c r="AD5300" s="249" t="str">
        <f>HYPERLINK("https://scontent.cdninstagram.com/t51.2885-15/s320x320/e35/21433527_339360866505975_5226705350731759616_n.jpg")</f>
        <v>https://scontent.cdninstagram.com/t51.2885-15/s320x320/e35/21433527_339360866505975_5226705350731759616_n.jpg</v>
      </c>
      <c r="AE5300" s="249" t="str">
        <f>HYPERLINK("https://scontent.cdninstagram.com/t51.2885-19/s150x150/12224160_1151539908209322_894701035_a.jpg")</f>
        <v>https://scontent.cdninstagram.com/t51.2885-19/s150x150/12224160_1151539908209322_894701035_a.jpg</v>
      </c>
    </row>
    <row r="5301" spans="1:31" ht="15" x14ac:dyDescent="0.25">
      <c r="A5301" t="s">
        <v>2474</v>
      </c>
      <c r="B5301" t="s">
        <v>27606</v>
      </c>
      <c r="C5301" s="221">
        <v>42985.579571759263</v>
      </c>
      <c r="D5301" t="s">
        <v>27861</v>
      </c>
      <c r="E5301" s="249" t="str">
        <f>HYPERLINK("https://www.instagram.com/p/BYv7kzcl1Z9/")</f>
        <v>https://www.instagram.com/p/BYv7kzcl1Z9/</v>
      </c>
      <c r="F5301" t="s">
        <v>27862</v>
      </c>
      <c r="G5301" t="s">
        <v>2478</v>
      </c>
      <c r="H5301">
        <v>400</v>
      </c>
      <c r="I5301" t="s">
        <v>2479</v>
      </c>
      <c r="J5301">
        <v>1</v>
      </c>
      <c r="K5301">
        <v>32</v>
      </c>
      <c r="L5301">
        <v>33</v>
      </c>
      <c r="Q5301">
        <v>0</v>
      </c>
      <c r="R5301">
        <v>0</v>
      </c>
      <c r="S5301">
        <v>33</v>
      </c>
      <c r="T5301" t="s">
        <v>15222</v>
      </c>
      <c r="V5301" t="s">
        <v>2222</v>
      </c>
      <c r="W5301">
        <v>53.223239900000003</v>
      </c>
      <c r="X5301">
        <v>6.5666099999999998</v>
      </c>
      <c r="Y5301" t="s">
        <v>27863</v>
      </c>
      <c r="Z5301" t="s">
        <v>27610</v>
      </c>
      <c r="AA5301" t="s">
        <v>27864</v>
      </c>
      <c r="AB5301" t="s">
        <v>21728</v>
      </c>
      <c r="AC5301" t="s">
        <v>27865</v>
      </c>
      <c r="AD5301" s="249" t="str">
        <f>HYPERLINK("https://scontent.cdninstagram.com/t51.2885-15/s320x320/e35/21433696_1386277924802973_1294925385544237056_n.jpg")</f>
        <v>https://scontent.cdninstagram.com/t51.2885-15/s320x320/e35/21433696_1386277924802973_1294925385544237056_n.jpg</v>
      </c>
      <c r="AE5301" s="249" t="str">
        <f>HYPERLINK("https://scontent.cdninstagram.com/t51.2885-19/s150x150/21435558_170980570127211_7017384259904077824_a.jpg")</f>
        <v>https://scontent.cdninstagram.com/t51.2885-19/s150x150/21435558_170980570127211_7017384259904077824_a.jpg</v>
      </c>
    </row>
    <row r="5302" spans="1:31" ht="15" x14ac:dyDescent="0.25">
      <c r="A5302" t="s">
        <v>2474</v>
      </c>
      <c r="B5302" t="s">
        <v>27606</v>
      </c>
      <c r="C5302" s="221">
        <v>42985.582974537036</v>
      </c>
      <c r="D5302" t="s">
        <v>27866</v>
      </c>
      <c r="E5302" s="249" t="str">
        <f>HYPERLINK("https://www.instagram.com/p/BYv8ItDFugC/")</f>
        <v>https://www.instagram.com/p/BYv8ItDFugC/</v>
      </c>
      <c r="F5302" t="s">
        <v>27862</v>
      </c>
      <c r="G5302" t="s">
        <v>2478</v>
      </c>
      <c r="H5302">
        <v>400</v>
      </c>
      <c r="I5302" t="s">
        <v>2479</v>
      </c>
      <c r="J5302">
        <v>1</v>
      </c>
      <c r="K5302">
        <v>37</v>
      </c>
      <c r="L5302">
        <v>38</v>
      </c>
      <c r="Q5302">
        <v>0</v>
      </c>
      <c r="R5302">
        <v>0</v>
      </c>
      <c r="S5302">
        <v>38</v>
      </c>
      <c r="T5302" t="s">
        <v>15222</v>
      </c>
      <c r="V5302" t="s">
        <v>2222</v>
      </c>
      <c r="W5302">
        <v>53.223239900000003</v>
      </c>
      <c r="X5302">
        <v>6.5666099999999998</v>
      </c>
      <c r="Y5302" t="s">
        <v>27863</v>
      </c>
      <c r="Z5302" t="s">
        <v>27610</v>
      </c>
      <c r="AA5302" t="s">
        <v>27864</v>
      </c>
      <c r="AB5302" t="s">
        <v>21728</v>
      </c>
      <c r="AC5302" t="s">
        <v>27865</v>
      </c>
      <c r="AD5302" s="249" t="str">
        <f>HYPERLINK("https://scontent.cdninstagram.com/t51.2885-15/s320x320/e35/21433571_499316493779135_7510933881193758720_n.jpg")</f>
        <v>https://scontent.cdninstagram.com/t51.2885-15/s320x320/e35/21433571_499316493779135_7510933881193758720_n.jpg</v>
      </c>
      <c r="AE5302" s="249" t="str">
        <f>HYPERLINK("https://scontent.cdninstagram.com/t51.2885-19/s150x150/21435558_170980570127211_7017384259904077824_a.jpg")</f>
        <v>https://scontent.cdninstagram.com/t51.2885-19/s150x150/21435558_170980570127211_7017384259904077824_a.jpg</v>
      </c>
    </row>
    <row r="5303" spans="1:31" ht="15" x14ac:dyDescent="0.25">
      <c r="A5303" t="s">
        <v>2474</v>
      </c>
      <c r="B5303" t="s">
        <v>27606</v>
      </c>
      <c r="C5303" s="221">
        <v>42985.583692129629</v>
      </c>
      <c r="D5303" t="s">
        <v>27867</v>
      </c>
      <c r="E5303" s="249" t="str">
        <f>HYPERLINK("https://www.instagram.com/p/BYv8QUAFUm5/")</f>
        <v>https://www.instagram.com/p/BYv8QUAFUm5/</v>
      </c>
      <c r="F5303" t="s">
        <v>27862</v>
      </c>
      <c r="G5303" t="s">
        <v>2478</v>
      </c>
      <c r="H5303">
        <v>400</v>
      </c>
      <c r="I5303" t="s">
        <v>2479</v>
      </c>
      <c r="J5303">
        <v>2</v>
      </c>
      <c r="K5303">
        <v>38</v>
      </c>
      <c r="L5303">
        <v>40</v>
      </c>
      <c r="Q5303">
        <v>0</v>
      </c>
      <c r="R5303">
        <v>0</v>
      </c>
      <c r="S5303">
        <v>40</v>
      </c>
      <c r="T5303" t="s">
        <v>15222</v>
      </c>
      <c r="V5303" t="s">
        <v>2222</v>
      </c>
      <c r="W5303">
        <v>53.223239900000003</v>
      </c>
      <c r="X5303">
        <v>6.5666099999999998</v>
      </c>
      <c r="Y5303" t="s">
        <v>27863</v>
      </c>
      <c r="Z5303" t="s">
        <v>27610</v>
      </c>
      <c r="AA5303" t="s">
        <v>27864</v>
      </c>
      <c r="AB5303" t="s">
        <v>21728</v>
      </c>
      <c r="AC5303" t="s">
        <v>27865</v>
      </c>
      <c r="AD5303" s="249" t="str">
        <f>HYPERLINK("https://scontent.cdninstagram.com/t51.2885-15/s320x320/e35/21434156_522992864719152_7264963964600057856_n.jpg")</f>
        <v>https://scontent.cdninstagram.com/t51.2885-15/s320x320/e35/21434156_522992864719152_7264963964600057856_n.jpg</v>
      </c>
      <c r="AE5303" s="249" t="str">
        <f>HYPERLINK("https://scontent.cdninstagram.com/t51.2885-19/s150x150/21435558_170980570127211_7017384259904077824_a.jpg")</f>
        <v>https://scontent.cdninstagram.com/t51.2885-19/s150x150/21435558_170980570127211_7017384259904077824_a.jpg</v>
      </c>
    </row>
    <row r="5304" spans="1:31" ht="15" x14ac:dyDescent="0.25">
      <c r="A5304" t="s">
        <v>2474</v>
      </c>
      <c r="B5304" t="s">
        <v>27868</v>
      </c>
      <c r="C5304" s="221">
        <v>42985.587280092594</v>
      </c>
      <c r="D5304" t="s">
        <v>27869</v>
      </c>
      <c r="E5304" s="249" t="str">
        <f>HYPERLINK("https://www.instagram.com/p/BYv82KFFEYR/")</f>
        <v>https://www.instagram.com/p/BYv82KFFEYR/</v>
      </c>
      <c r="F5304" t="s">
        <v>27870</v>
      </c>
      <c r="G5304" t="s">
        <v>2478</v>
      </c>
      <c r="H5304">
        <v>191</v>
      </c>
      <c r="I5304" t="s">
        <v>2479</v>
      </c>
      <c r="J5304">
        <v>0</v>
      </c>
      <c r="K5304">
        <v>13</v>
      </c>
      <c r="L5304">
        <v>13</v>
      </c>
      <c r="Q5304">
        <v>0</v>
      </c>
      <c r="R5304">
        <v>0</v>
      </c>
      <c r="S5304">
        <v>13</v>
      </c>
      <c r="Y5304" t="s">
        <v>27871</v>
      </c>
      <c r="Z5304" t="s">
        <v>27872</v>
      </c>
      <c r="AA5304" t="s">
        <v>27873</v>
      </c>
      <c r="AB5304" t="s">
        <v>2497</v>
      </c>
      <c r="AC5304" t="s">
        <v>16743</v>
      </c>
      <c r="AD5304" s="249" t="str">
        <f>HYPERLINK("https://scontent.cdninstagram.com/t51.2885-15/s320x320/e35/21373518_2009600939269250_905008708017192960_n.jpg")</f>
        <v>https://scontent.cdninstagram.com/t51.2885-15/s320x320/e35/21373518_2009600939269250_905008708017192960_n.jpg</v>
      </c>
      <c r="AE5304" s="249" t="str">
        <f>HYPERLINK("https://scontent.cdninstagram.com/t51.2885-19/s150x150/21373691_672488739626064_611456437889007616_a.jpg")</f>
        <v>https://scontent.cdninstagram.com/t51.2885-19/s150x150/21373691_672488739626064_611456437889007616_a.jpg</v>
      </c>
    </row>
    <row r="5305" spans="1:31" ht="15" x14ac:dyDescent="0.25">
      <c r="A5305" t="s">
        <v>2474</v>
      </c>
      <c r="B5305" t="s">
        <v>7531</v>
      </c>
      <c r="C5305" s="221">
        <v>42985.589097222219</v>
      </c>
      <c r="D5305" t="s">
        <v>27874</v>
      </c>
      <c r="E5305" s="249" t="str">
        <f>HYPERLINK("https://www.instagram.com/p/BYv9JUcAtvG/")</f>
        <v>https://www.instagram.com/p/BYv9JUcAtvG/</v>
      </c>
      <c r="F5305" t="s">
        <v>27875</v>
      </c>
      <c r="G5305" t="s">
        <v>2488</v>
      </c>
      <c r="H5305">
        <v>100</v>
      </c>
      <c r="I5305" t="s">
        <v>2479</v>
      </c>
      <c r="J5305">
        <v>0</v>
      </c>
      <c r="K5305">
        <v>36</v>
      </c>
      <c r="L5305">
        <v>36</v>
      </c>
      <c r="Q5305">
        <v>0</v>
      </c>
      <c r="R5305">
        <v>0</v>
      </c>
      <c r="S5305">
        <v>36</v>
      </c>
      <c r="T5305" t="s">
        <v>7534</v>
      </c>
      <c r="V5305" t="s">
        <v>2176</v>
      </c>
      <c r="W5305">
        <v>18.975000000000001</v>
      </c>
      <c r="X5305">
        <v>72.825833333332994</v>
      </c>
      <c r="Y5305" t="s">
        <v>27876</v>
      </c>
      <c r="Z5305" t="s">
        <v>12532</v>
      </c>
      <c r="AA5305" t="s">
        <v>7102</v>
      </c>
      <c r="AB5305" t="s">
        <v>27877</v>
      </c>
      <c r="AC5305" t="s">
        <v>16063</v>
      </c>
      <c r="AD5305" s="249" t="str">
        <f>HYPERLINK("https://scontent.cdninstagram.com/t51.2885-15/s320x320/e35/21373317_1283145105130499_5691036133413093376_n.jpg")</f>
        <v>https://scontent.cdninstagram.com/t51.2885-15/s320x320/e35/21373317_1283145105130499_5691036133413093376_n.jpg</v>
      </c>
      <c r="AE5305" s="249" t="str">
        <f>HYPERLINK("https://scontent.cdninstagram.com/t51.2885-19/s150x150/20766448_264241500730069_3573716405805121536_a.jpg")</f>
        <v>https://scontent.cdninstagram.com/t51.2885-19/s150x150/20766448_264241500730069_3573716405805121536_a.jpg</v>
      </c>
    </row>
    <row r="5306" spans="1:31" ht="15" x14ac:dyDescent="0.25">
      <c r="A5306" t="s">
        <v>2474</v>
      </c>
      <c r="B5306" t="s">
        <v>27878</v>
      </c>
      <c r="C5306" s="221">
        <v>42985.597777777781</v>
      </c>
      <c r="D5306" t="s">
        <v>27879</v>
      </c>
      <c r="E5306" s="249" t="str">
        <f>HYPERLINK("https://www.instagram.com/p/BYv-k0mFx3Y/")</f>
        <v>https://www.instagram.com/p/BYv-k0mFx3Y/</v>
      </c>
      <c r="F5306" t="s">
        <v>27880</v>
      </c>
      <c r="G5306" t="s">
        <v>2488</v>
      </c>
      <c r="H5306">
        <v>25</v>
      </c>
      <c r="I5306" t="s">
        <v>2479</v>
      </c>
      <c r="J5306">
        <v>0</v>
      </c>
      <c r="K5306">
        <v>5</v>
      </c>
      <c r="L5306">
        <v>5</v>
      </c>
      <c r="Q5306">
        <v>0</v>
      </c>
      <c r="R5306">
        <v>0</v>
      </c>
      <c r="S5306">
        <v>5</v>
      </c>
      <c r="Y5306" t="s">
        <v>9476</v>
      </c>
      <c r="Z5306" t="s">
        <v>3145</v>
      </c>
      <c r="AA5306" t="s">
        <v>2513</v>
      </c>
      <c r="AB5306" t="s">
        <v>3256</v>
      </c>
      <c r="AC5306" t="s">
        <v>27881</v>
      </c>
      <c r="AD5306" s="249" t="str">
        <f>HYPERLINK("https://scontent.cdninstagram.com/t51.2885-15/e35/p320x320/21433724_128476954386762_3778821946255343616_n.jpg")</f>
        <v>https://scontent.cdninstagram.com/t51.2885-15/e35/p320x320/21433724_128476954386762_3778821946255343616_n.jpg</v>
      </c>
      <c r="AE5306" s="249" t="str">
        <f>HYPERLINK("https://scontent.cdninstagram.com/t51.2885-19/s150x150/12424653_442935692567241_588972602_a.jpg")</f>
        <v>https://scontent.cdninstagram.com/t51.2885-19/s150x150/12424653_442935692567241_588972602_a.jpg</v>
      </c>
    </row>
    <row r="5307" spans="1:31" ht="15" x14ac:dyDescent="0.25">
      <c r="A5307" t="s">
        <v>2474</v>
      </c>
      <c r="B5307" t="s">
        <v>27882</v>
      </c>
      <c r="C5307" s="221">
        <v>42985.600405092591</v>
      </c>
      <c r="D5307" t="s">
        <v>27883</v>
      </c>
      <c r="E5307" s="249" t="str">
        <f>HYPERLINK("https://www.instagram.com/p/BYv_AjYHcMu/")</f>
        <v>https://www.instagram.com/p/BYv_AjYHcMu/</v>
      </c>
      <c r="F5307" t="s">
        <v>27884</v>
      </c>
      <c r="G5307" t="s">
        <v>2478</v>
      </c>
      <c r="H5307">
        <v>215</v>
      </c>
      <c r="I5307" t="s">
        <v>2479</v>
      </c>
      <c r="J5307">
        <v>2</v>
      </c>
      <c r="K5307">
        <v>51</v>
      </c>
      <c r="L5307">
        <v>53</v>
      </c>
      <c r="Q5307">
        <v>0</v>
      </c>
      <c r="R5307">
        <v>0</v>
      </c>
      <c r="S5307">
        <v>53</v>
      </c>
      <c r="Y5307" t="s">
        <v>27885</v>
      </c>
      <c r="Z5307" t="s">
        <v>3549</v>
      </c>
      <c r="AA5307" t="s">
        <v>12380</v>
      </c>
      <c r="AB5307" t="s">
        <v>6128</v>
      </c>
      <c r="AC5307" t="s">
        <v>2668</v>
      </c>
      <c r="AD5307" s="249" t="str">
        <f>HYPERLINK("https://scontent.cdninstagram.com/t51.2885-15/e35/p320x320/21433489_300561060422784_3673765186474344448_n.jpg")</f>
        <v>https://scontent.cdninstagram.com/t51.2885-15/e35/p320x320/21433489_300561060422784_3673765186474344448_n.jpg</v>
      </c>
      <c r="AE5307" s="249" t="str">
        <f>HYPERLINK("https://scontent.cdninstagram.com/t51.2885-19/s150x150/20635167_133855313889044_216804142306295808_a.jpg")</f>
        <v>https://scontent.cdninstagram.com/t51.2885-19/s150x150/20635167_133855313889044_216804142306295808_a.jpg</v>
      </c>
    </row>
    <row r="5308" spans="1:31" ht="15" x14ac:dyDescent="0.25">
      <c r="A5308" t="s">
        <v>2474</v>
      </c>
      <c r="B5308" t="s">
        <v>27886</v>
      </c>
      <c r="C5308" s="221">
        <v>42985.618622685186</v>
      </c>
      <c r="D5308" t="s">
        <v>27887</v>
      </c>
      <c r="E5308" s="249" t="str">
        <f>HYPERLINK("https://www.instagram.com/p/BYwCAn5BE18/")</f>
        <v>https://www.instagram.com/p/BYwCAn5BE18/</v>
      </c>
      <c r="F5308" t="s">
        <v>27888</v>
      </c>
      <c r="G5308" t="s">
        <v>2478</v>
      </c>
      <c r="H5308">
        <v>1540</v>
      </c>
      <c r="I5308" t="s">
        <v>2479</v>
      </c>
      <c r="J5308">
        <v>2</v>
      </c>
      <c r="K5308">
        <v>111</v>
      </c>
      <c r="L5308">
        <v>113</v>
      </c>
      <c r="Q5308">
        <v>0</v>
      </c>
      <c r="R5308">
        <v>0</v>
      </c>
      <c r="S5308">
        <v>113</v>
      </c>
      <c r="Y5308" t="s">
        <v>2899</v>
      </c>
      <c r="Z5308" t="s">
        <v>27889</v>
      </c>
      <c r="AA5308" t="s">
        <v>27890</v>
      </c>
      <c r="AB5308" t="s">
        <v>4324</v>
      </c>
      <c r="AC5308" t="s">
        <v>27891</v>
      </c>
      <c r="AD5308" s="249" t="str">
        <f>HYPERLINK("https://scontent.cdninstagram.com/t51.2885-15/s320x320/e35/21435500_579464812394222_2920799012225286144_n.jpg")</f>
        <v>https://scontent.cdninstagram.com/t51.2885-15/s320x320/e35/21435500_579464812394222_2920799012225286144_n.jpg</v>
      </c>
      <c r="AE5308" s="249" t="str">
        <f>HYPERLINK("https://scontent.cdninstagram.com/t51.2885-19/s150x150/16583844_1386794014712409_4914220637129539584_a.jpg")</f>
        <v>https://scontent.cdninstagram.com/t51.2885-19/s150x150/16583844_1386794014712409_4914220637129539584_a.jpg</v>
      </c>
    </row>
    <row r="5309" spans="1:31" ht="15" x14ac:dyDescent="0.25">
      <c r="A5309" t="s">
        <v>2474</v>
      </c>
      <c r="B5309" t="s">
        <v>27892</v>
      </c>
      <c r="C5309" s="221">
        <v>42985.626701388886</v>
      </c>
      <c r="D5309" t="s">
        <v>27893</v>
      </c>
      <c r="E5309" s="249" t="str">
        <f>HYPERLINK("https://www.instagram.com/p/BYwDV7jHc6s/")</f>
        <v>https://www.instagram.com/p/BYwDV7jHc6s/</v>
      </c>
      <c r="F5309" t="s">
        <v>27894</v>
      </c>
      <c r="G5309" t="s">
        <v>2631</v>
      </c>
      <c r="H5309">
        <v>1158</v>
      </c>
      <c r="I5309" t="s">
        <v>2896</v>
      </c>
      <c r="J5309">
        <v>0</v>
      </c>
      <c r="K5309">
        <v>45</v>
      </c>
      <c r="L5309">
        <v>45</v>
      </c>
      <c r="Q5309">
        <v>0</v>
      </c>
      <c r="R5309">
        <v>0</v>
      </c>
      <c r="S5309">
        <v>45</v>
      </c>
      <c r="Y5309" t="s">
        <v>27895</v>
      </c>
      <c r="Z5309" t="s">
        <v>27896</v>
      </c>
      <c r="AA5309" t="s">
        <v>2492</v>
      </c>
      <c r="AB5309" t="s">
        <v>3543</v>
      </c>
      <c r="AC5309" t="s">
        <v>7735</v>
      </c>
      <c r="AD5309" s="249" t="str">
        <f>HYPERLINK("https://scontent.cdninstagram.com/t51.2885-15/s320x320/e15/21433281_1968221286796514_2549590911591907328_n.jpg")</f>
        <v>https://scontent.cdninstagram.com/t51.2885-15/s320x320/e15/21433281_1968221286796514_2549590911591907328_n.jpg</v>
      </c>
      <c r="AE5309" s="249" t="str">
        <f>HYPERLINK("https://scontent.cdninstagram.com/t51.2885-19/s150x150/21147458_1446629965421055_7650739091062915072_a.jpg")</f>
        <v>https://scontent.cdninstagram.com/t51.2885-19/s150x150/21147458_1446629965421055_7650739091062915072_a.jpg</v>
      </c>
    </row>
    <row r="5310" spans="1:31" ht="15" x14ac:dyDescent="0.25">
      <c r="A5310" t="s">
        <v>2474</v>
      </c>
      <c r="B5310" t="s">
        <v>27897</v>
      </c>
      <c r="C5310" s="221">
        <v>42985.626909722225</v>
      </c>
      <c r="D5310" t="s">
        <v>27898</v>
      </c>
      <c r="E5310" s="249" t="str">
        <f>HYPERLINK("https://www.instagram.com/p/BYwDYCjF7jv/")</f>
        <v>https://www.instagram.com/p/BYwDYCjF7jv/</v>
      </c>
      <c r="F5310" t="s">
        <v>27899</v>
      </c>
      <c r="G5310" t="s">
        <v>2478</v>
      </c>
      <c r="H5310">
        <v>232</v>
      </c>
      <c r="I5310" t="s">
        <v>2622</v>
      </c>
      <c r="J5310">
        <v>1</v>
      </c>
      <c r="K5310">
        <v>24</v>
      </c>
      <c r="L5310">
        <v>25</v>
      </c>
      <c r="Q5310">
        <v>0</v>
      </c>
      <c r="R5310">
        <v>0</v>
      </c>
      <c r="S5310">
        <v>25</v>
      </c>
      <c r="Y5310" t="s">
        <v>27900</v>
      </c>
      <c r="Z5310" t="s">
        <v>27901</v>
      </c>
      <c r="AA5310" t="s">
        <v>2497</v>
      </c>
      <c r="AB5310" t="s">
        <v>27902</v>
      </c>
      <c r="AC5310" t="s">
        <v>27903</v>
      </c>
      <c r="AD5310" s="249" t="str">
        <f>HYPERLINK("https://scontent.cdninstagram.com/t51.2885-15/e35/p320x320/21480463_216253902241490_6052208458843815936_n.jpg")</f>
        <v>https://scontent.cdninstagram.com/t51.2885-15/e35/p320x320/21480463_216253902241490_6052208458843815936_n.jpg</v>
      </c>
      <c r="AE5310" s="249" t="str">
        <f>HYPERLINK("https://scontent.cdninstagram.com/t51.2885-19/s150x150/14287967_1651845681800027_905959401_a.jpg")</f>
        <v>https://scontent.cdninstagram.com/t51.2885-19/s150x150/14287967_1651845681800027_905959401_a.jpg</v>
      </c>
    </row>
    <row r="5311" spans="1:31" ht="15" x14ac:dyDescent="0.25">
      <c r="A5311" t="s">
        <v>2474</v>
      </c>
      <c r="B5311" t="s">
        <v>27904</v>
      </c>
      <c r="C5311" s="221">
        <v>42985.641122685185</v>
      </c>
      <c r="D5311" t="s">
        <v>27905</v>
      </c>
      <c r="E5311" s="249" t="str">
        <f>HYPERLINK("https://www.instagram.com/p/BYwFt_qnn5w/")</f>
        <v>https://www.instagram.com/p/BYwFt_qnn5w/</v>
      </c>
      <c r="F5311" t="s">
        <v>27906</v>
      </c>
      <c r="G5311" t="s">
        <v>2478</v>
      </c>
      <c r="H5311">
        <v>231</v>
      </c>
      <c r="I5311" t="s">
        <v>3898</v>
      </c>
      <c r="J5311">
        <v>0</v>
      </c>
      <c r="K5311">
        <v>22</v>
      </c>
      <c r="L5311">
        <v>22</v>
      </c>
      <c r="Q5311">
        <v>0</v>
      </c>
      <c r="R5311">
        <v>0</v>
      </c>
      <c r="S5311">
        <v>22</v>
      </c>
      <c r="Y5311" t="s">
        <v>27907</v>
      </c>
      <c r="Z5311" t="s">
        <v>2497</v>
      </c>
      <c r="AA5311" t="s">
        <v>6706</v>
      </c>
      <c r="AB5311" t="s">
        <v>3370</v>
      </c>
      <c r="AC5311" t="s">
        <v>9876</v>
      </c>
      <c r="AD5311" s="249" t="str">
        <f>HYPERLINK("https://scontent.cdninstagram.com/t51.2885-15/e35/p320x320/21480144_1406870462693788_6355124663915380736_n.jpg")</f>
        <v>https://scontent.cdninstagram.com/t51.2885-15/e35/p320x320/21480144_1406870462693788_6355124663915380736_n.jpg</v>
      </c>
      <c r="AE5311" s="249" t="str">
        <f>HYPERLINK("https://scontent.cdninstagram.com/t51.2885-19/s150x150/21224323_707928529392003_7015779234920529920_a.jpg")</f>
        <v>https://scontent.cdninstagram.com/t51.2885-19/s150x150/21224323_707928529392003_7015779234920529920_a.jpg</v>
      </c>
    </row>
    <row r="5312" spans="1:31" ht="15" x14ac:dyDescent="0.25">
      <c r="A5312" t="s">
        <v>2474</v>
      </c>
      <c r="B5312" t="s">
        <v>27908</v>
      </c>
      <c r="C5312" s="221">
        <v>42985.641689814816</v>
      </c>
      <c r="D5312" t="s">
        <v>27909</v>
      </c>
      <c r="E5312" s="249" t="str">
        <f>HYPERLINK("https://www.instagram.com/p/BYwFz56ndEm/")</f>
        <v>https://www.instagram.com/p/BYwFz56ndEm/</v>
      </c>
      <c r="F5312" t="s">
        <v>27910</v>
      </c>
      <c r="G5312" t="s">
        <v>2478</v>
      </c>
      <c r="H5312">
        <v>388</v>
      </c>
      <c r="I5312" t="s">
        <v>2479</v>
      </c>
      <c r="J5312">
        <v>1</v>
      </c>
      <c r="K5312">
        <v>20</v>
      </c>
      <c r="L5312">
        <v>21</v>
      </c>
      <c r="Q5312">
        <v>0</v>
      </c>
      <c r="R5312">
        <v>0</v>
      </c>
      <c r="S5312">
        <v>21</v>
      </c>
      <c r="Y5312" t="s">
        <v>22757</v>
      </c>
      <c r="Z5312" t="s">
        <v>2497</v>
      </c>
      <c r="AD5312" s="249" t="str">
        <f>HYPERLINK("https://scontent.cdninstagram.com/t51.2885-15/e35/p320x320/21435395_1450209338405476_638241705077768192_n.jpg")</f>
        <v>https://scontent.cdninstagram.com/t51.2885-15/e35/p320x320/21435395_1450209338405476_638241705077768192_n.jpg</v>
      </c>
      <c r="AE5312" s="249" t="str">
        <f>HYPERLINK("https://scontent.cdninstagram.com/t51.2885-19/s150x150/20902477_1307918679337430_9099358850502361088_a.jpg")</f>
        <v>https://scontent.cdninstagram.com/t51.2885-19/s150x150/20902477_1307918679337430_9099358850502361088_a.jpg</v>
      </c>
    </row>
    <row r="5313" spans="1:31" ht="15" x14ac:dyDescent="0.25">
      <c r="A5313" t="s">
        <v>2474</v>
      </c>
      <c r="B5313" t="s">
        <v>27911</v>
      </c>
      <c r="C5313" s="221">
        <v>42985.663622685184</v>
      </c>
      <c r="D5313" t="s">
        <v>27912</v>
      </c>
      <c r="E5313" s="249" t="str">
        <f>HYPERLINK("https://www.instagram.com/p/BYwJbQinFip/")</f>
        <v>https://www.instagram.com/p/BYwJbQinFip/</v>
      </c>
      <c r="F5313" t="s">
        <v>27913</v>
      </c>
      <c r="G5313" t="s">
        <v>2478</v>
      </c>
      <c r="H5313">
        <v>180</v>
      </c>
      <c r="I5313" t="s">
        <v>3273</v>
      </c>
      <c r="J5313">
        <v>0</v>
      </c>
      <c r="K5313">
        <v>29</v>
      </c>
      <c r="L5313">
        <v>29</v>
      </c>
      <c r="Q5313">
        <v>0</v>
      </c>
      <c r="R5313">
        <v>0</v>
      </c>
      <c r="S5313">
        <v>29</v>
      </c>
      <c r="Y5313" t="s">
        <v>27914</v>
      </c>
      <c r="Z5313" t="s">
        <v>3655</v>
      </c>
      <c r="AA5313" t="s">
        <v>2497</v>
      </c>
      <c r="AB5313" t="s">
        <v>10714</v>
      </c>
      <c r="AC5313" t="s">
        <v>27915</v>
      </c>
      <c r="AD5313" s="249" t="str">
        <f>HYPERLINK("https://scontent.cdninstagram.com/t51.2885-15/s320x320/e35/21433396_117655738936191_1309518228422131712_n.jpg")</f>
        <v>https://scontent.cdninstagram.com/t51.2885-15/s320x320/e35/21433396_117655738936191_1309518228422131712_n.jpg</v>
      </c>
      <c r="AE5313" s="249" t="str">
        <f>HYPERLINK("https://scontent.cdninstagram.com/t51.2885-19/s150x150/14677387_1766170903633192_5119721817082167296_a.jpg")</f>
        <v>https://scontent.cdninstagram.com/t51.2885-19/s150x150/14677387_1766170903633192_5119721817082167296_a.jpg</v>
      </c>
    </row>
    <row r="5314" spans="1:31" ht="15" x14ac:dyDescent="0.25">
      <c r="A5314" t="s">
        <v>2474</v>
      </c>
      <c r="B5314" t="s">
        <v>19308</v>
      </c>
      <c r="C5314" s="221">
        <v>42985.665069444447</v>
      </c>
      <c r="D5314" t="s">
        <v>27916</v>
      </c>
      <c r="E5314" s="249" t="str">
        <f>HYPERLINK("https://www.instagram.com/p/BYwJqfmH_KN/")</f>
        <v>https://www.instagram.com/p/BYwJqfmH_KN/</v>
      </c>
      <c r="F5314" t="s">
        <v>27917</v>
      </c>
      <c r="G5314" t="s">
        <v>2631</v>
      </c>
      <c r="H5314">
        <v>349</v>
      </c>
      <c r="I5314" t="s">
        <v>2479</v>
      </c>
      <c r="J5314">
        <v>1</v>
      </c>
      <c r="K5314">
        <v>96</v>
      </c>
      <c r="L5314">
        <v>97</v>
      </c>
      <c r="Q5314">
        <v>0</v>
      </c>
      <c r="R5314">
        <v>0</v>
      </c>
      <c r="S5314">
        <v>97</v>
      </c>
      <c r="Y5314" t="s">
        <v>19311</v>
      </c>
      <c r="Z5314" t="s">
        <v>10712</v>
      </c>
      <c r="AA5314" t="s">
        <v>3225</v>
      </c>
      <c r="AB5314" t="s">
        <v>19913</v>
      </c>
      <c r="AC5314" t="s">
        <v>7329</v>
      </c>
      <c r="AD5314" s="249" t="str">
        <f>HYPERLINK("https://scontent.cdninstagram.com/t51.2885-15/s320x320/e35/21434075_156067984976227_2989164798404460544_n.jpg")</f>
        <v>https://scontent.cdninstagram.com/t51.2885-15/s320x320/e35/21434075_156067984976227_2989164798404460544_n.jpg</v>
      </c>
      <c r="AE5314" s="249" t="str">
        <f>HYPERLINK("https://scontent.cdninstagram.com/t51.2885-19/s150x150/20226147_112026909397366_6293439329997946880_a.jpg")</f>
        <v>https://scontent.cdninstagram.com/t51.2885-19/s150x150/20226147_112026909397366_6293439329997946880_a.jpg</v>
      </c>
    </row>
    <row r="5315" spans="1:31" ht="15" x14ac:dyDescent="0.25">
      <c r="A5315" t="s">
        <v>2474</v>
      </c>
      <c r="B5315" t="s">
        <v>27918</v>
      </c>
      <c r="C5315" s="221">
        <v>42985.665497685186</v>
      </c>
      <c r="D5315" t="s">
        <v>27919</v>
      </c>
      <c r="E5315" s="249" t="str">
        <f>HYPERLINK("https://www.instagram.com/p/BYwJvHClqhS/")</f>
        <v>https://www.instagram.com/p/BYwJvHClqhS/</v>
      </c>
      <c r="F5315" t="s">
        <v>27920</v>
      </c>
      <c r="G5315" t="s">
        <v>2478</v>
      </c>
      <c r="H5315">
        <v>83</v>
      </c>
      <c r="I5315" t="s">
        <v>2479</v>
      </c>
      <c r="J5315">
        <v>4</v>
      </c>
      <c r="K5315">
        <v>58</v>
      </c>
      <c r="L5315">
        <v>62</v>
      </c>
      <c r="Q5315">
        <v>0</v>
      </c>
      <c r="R5315">
        <v>0</v>
      </c>
      <c r="S5315">
        <v>62</v>
      </c>
      <c r="Y5315" t="s">
        <v>2730</v>
      </c>
      <c r="Z5315" t="s">
        <v>2911</v>
      </c>
      <c r="AA5315" t="s">
        <v>27921</v>
      </c>
      <c r="AB5315" t="s">
        <v>27922</v>
      </c>
      <c r="AC5315" t="s">
        <v>27923</v>
      </c>
      <c r="AD5315" s="249" t="str">
        <f>HYPERLINK("https://scontent.cdninstagram.com/t51.2885-15/s320x320/e35/21433782_1995007970718595_7844849480875638784_n.jpg")</f>
        <v>https://scontent.cdninstagram.com/t51.2885-15/s320x320/e35/21433782_1995007970718595_7844849480875638784_n.jpg</v>
      </c>
      <c r="AE5315" s="249" t="str">
        <f>HYPERLINK("https://scontent.cdninstagram.com/t51.2885-19/s150x150/20589464_326024871189736_1845476056144805888_a.jpg")</f>
        <v>https://scontent.cdninstagram.com/t51.2885-19/s150x150/20589464_326024871189736_1845476056144805888_a.jpg</v>
      </c>
    </row>
    <row r="5316" spans="1:31" ht="15" x14ac:dyDescent="0.25">
      <c r="A5316" t="s">
        <v>2474</v>
      </c>
      <c r="B5316" t="s">
        <v>27924</v>
      </c>
      <c r="C5316" s="221">
        <v>42985.669953703706</v>
      </c>
      <c r="D5316" t="s">
        <v>27925</v>
      </c>
      <c r="E5316" s="249" t="str">
        <f>HYPERLINK("https://www.instagram.com/p/BYwKeD1HpHv/")</f>
        <v>https://www.instagram.com/p/BYwKeD1HpHv/</v>
      </c>
      <c r="F5316" t="s">
        <v>27926</v>
      </c>
      <c r="G5316" t="s">
        <v>2478</v>
      </c>
      <c r="H5316">
        <v>389</v>
      </c>
      <c r="I5316" t="s">
        <v>2479</v>
      </c>
      <c r="J5316">
        <v>0</v>
      </c>
      <c r="K5316">
        <v>34</v>
      </c>
      <c r="L5316">
        <v>34</v>
      </c>
      <c r="Q5316">
        <v>0</v>
      </c>
      <c r="R5316">
        <v>0</v>
      </c>
      <c r="S5316">
        <v>34</v>
      </c>
      <c r="Y5316" t="s">
        <v>10553</v>
      </c>
      <c r="Z5316" t="s">
        <v>6972</v>
      </c>
      <c r="AA5316" t="s">
        <v>27927</v>
      </c>
      <c r="AB5316" t="s">
        <v>27928</v>
      </c>
      <c r="AC5316" t="s">
        <v>27929</v>
      </c>
      <c r="AD5316" s="249" t="str">
        <f>HYPERLINK("https://scontent.cdninstagram.com/t51.2885-15/s320x320/e35/21480058_2010760819205689_4889294266146226176_n.jpg")</f>
        <v>https://scontent.cdninstagram.com/t51.2885-15/s320x320/e35/21480058_2010760819205689_4889294266146226176_n.jpg</v>
      </c>
      <c r="AE5316" s="249" t="str">
        <f>HYPERLINK("https://scontent.cdninstagram.com/t51.2885-19/s150x150/13402665_618954441587470_1440559708_a.jpg")</f>
        <v>https://scontent.cdninstagram.com/t51.2885-19/s150x150/13402665_618954441587470_1440559708_a.jpg</v>
      </c>
    </row>
    <row r="5317" spans="1:31" ht="15" x14ac:dyDescent="0.25">
      <c r="A5317" t="s">
        <v>2474</v>
      </c>
      <c r="B5317" t="s">
        <v>27930</v>
      </c>
      <c r="C5317" s="221">
        <v>42985.672083333331</v>
      </c>
      <c r="D5317" t="s">
        <v>27931</v>
      </c>
      <c r="E5317" s="249" t="str">
        <f>HYPERLINK("https://www.instagram.com/p/BYwK0hflMsm/")</f>
        <v>https://www.instagram.com/p/BYwK0hflMsm/</v>
      </c>
      <c r="F5317" t="s">
        <v>27932</v>
      </c>
      <c r="G5317" t="s">
        <v>2478</v>
      </c>
      <c r="H5317">
        <v>1272</v>
      </c>
      <c r="I5317" t="s">
        <v>2896</v>
      </c>
      <c r="J5317">
        <v>5</v>
      </c>
      <c r="K5317">
        <v>73</v>
      </c>
      <c r="L5317">
        <v>78</v>
      </c>
      <c r="Q5317">
        <v>0</v>
      </c>
      <c r="R5317">
        <v>0</v>
      </c>
      <c r="S5317">
        <v>78</v>
      </c>
      <c r="Y5317" t="s">
        <v>4995</v>
      </c>
      <c r="Z5317" t="s">
        <v>2730</v>
      </c>
      <c r="AA5317" t="s">
        <v>27933</v>
      </c>
      <c r="AB5317" t="s">
        <v>27934</v>
      </c>
      <c r="AC5317" t="s">
        <v>27935</v>
      </c>
      <c r="AD5317" s="249" t="str">
        <f>HYPERLINK("https://scontent.cdninstagram.com/t51.2885-15/s320x320/e35/21373775_136797080270825_3384208404162543616_n.jpg")</f>
        <v>https://scontent.cdninstagram.com/t51.2885-15/s320x320/e35/21373775_136797080270825_3384208404162543616_n.jpg</v>
      </c>
      <c r="AE5317" s="249" t="str">
        <f>HYPERLINK("https://scontent.cdninstagram.com/t51.2885-19/s150x150/20181134_501575093524131_8033070529927708672_a.jpg")</f>
        <v>https://scontent.cdninstagram.com/t51.2885-19/s150x150/20181134_501575093524131_8033070529927708672_a.jpg</v>
      </c>
    </row>
    <row r="5318" spans="1:31" ht="15" x14ac:dyDescent="0.25">
      <c r="A5318" t="s">
        <v>2474</v>
      </c>
      <c r="B5318" t="s">
        <v>27936</v>
      </c>
      <c r="C5318" s="221">
        <v>42985.675798611112</v>
      </c>
      <c r="D5318" t="s">
        <v>27937</v>
      </c>
      <c r="E5318" s="249" t="str">
        <f>HYPERLINK("https://www.instagram.com/p/BYwLbryA2Gj/")</f>
        <v>https://www.instagram.com/p/BYwLbryA2Gj/</v>
      </c>
      <c r="F5318" t="s">
        <v>27938</v>
      </c>
      <c r="G5318" t="s">
        <v>2478</v>
      </c>
      <c r="H5318">
        <v>1</v>
      </c>
      <c r="I5318" t="s">
        <v>2510</v>
      </c>
      <c r="J5318">
        <v>0</v>
      </c>
      <c r="K5318">
        <v>2</v>
      </c>
      <c r="L5318">
        <v>2</v>
      </c>
      <c r="Q5318">
        <v>0</v>
      </c>
      <c r="R5318">
        <v>0</v>
      </c>
      <c r="S5318">
        <v>2</v>
      </c>
      <c r="T5318" t="s">
        <v>27939</v>
      </c>
      <c r="U5318" t="s">
        <v>348</v>
      </c>
      <c r="V5318" t="s">
        <v>2299</v>
      </c>
      <c r="W5318">
        <v>35.066699999999997</v>
      </c>
      <c r="X5318">
        <v>-78.917599999999993</v>
      </c>
      <c r="Y5318" t="s">
        <v>2497</v>
      </c>
      <c r="AD5318" s="249" t="str">
        <f>HYPERLINK("https://scontent.cdninstagram.com/t51.2885-15/s320x320/e35/21372530_1958866761069688_8615355249294573568_n.jpg")</f>
        <v>https://scontent.cdninstagram.com/t51.2885-15/s320x320/e35/21372530_1958866761069688_8615355249294573568_n.jpg</v>
      </c>
      <c r="AE5318" s="249" t="str">
        <f>HYPERLINK("https://scontent.cdninstagram.com/t51.2885-19/s150x150/21373628_1750549981911994_1316621649063182336_a.jpg")</f>
        <v>https://scontent.cdninstagram.com/t51.2885-19/s150x150/21373628_1750549981911994_1316621649063182336_a.jpg</v>
      </c>
    </row>
    <row r="5319" spans="1:31" ht="15" x14ac:dyDescent="0.25">
      <c r="A5319" t="s">
        <v>2474</v>
      </c>
      <c r="B5319" t="s">
        <v>27940</v>
      </c>
      <c r="C5319" s="221">
        <v>42985.677511574075</v>
      </c>
      <c r="D5319" t="s">
        <v>27941</v>
      </c>
      <c r="E5319" s="249" t="str">
        <f>HYPERLINK("https://www.instagram.com/p/BYwLtwuhMOT/")</f>
        <v>https://www.instagram.com/p/BYwLtwuhMOT/</v>
      </c>
      <c r="F5319" t="s">
        <v>27942</v>
      </c>
      <c r="G5319" t="s">
        <v>2478</v>
      </c>
      <c r="H5319">
        <v>267</v>
      </c>
      <c r="I5319" t="s">
        <v>2479</v>
      </c>
      <c r="J5319">
        <v>0</v>
      </c>
      <c r="K5319">
        <v>38</v>
      </c>
      <c r="L5319">
        <v>38</v>
      </c>
      <c r="Q5319">
        <v>0</v>
      </c>
      <c r="R5319">
        <v>0</v>
      </c>
      <c r="S5319">
        <v>38</v>
      </c>
      <c r="Y5319" t="s">
        <v>27943</v>
      </c>
      <c r="Z5319" t="s">
        <v>27944</v>
      </c>
      <c r="AA5319" t="s">
        <v>2497</v>
      </c>
      <c r="AB5319" t="s">
        <v>2616</v>
      </c>
      <c r="AC5319" t="s">
        <v>9313</v>
      </c>
      <c r="AD5319" s="249" t="str">
        <f>HYPERLINK("https://scontent.cdninstagram.com/t51.2885-15/s320x320/e35/21434173_117693038904148_370941318739787776_n.jpg")</f>
        <v>https://scontent.cdninstagram.com/t51.2885-15/s320x320/e35/21434173_117693038904148_370941318739787776_n.jpg</v>
      </c>
      <c r="AE5319" s="249" t="str">
        <f>HYPERLINK("https://scontent.cdninstagram.com/t51.2885-19/s150x150/19050334_346398115776976_5221611334835109888_a.jpg")</f>
        <v>https://scontent.cdninstagram.com/t51.2885-19/s150x150/19050334_346398115776976_5221611334835109888_a.jpg</v>
      </c>
    </row>
    <row r="5320" spans="1:31" ht="15" x14ac:dyDescent="0.25">
      <c r="A5320" t="s">
        <v>2474</v>
      </c>
      <c r="B5320" t="s">
        <v>27945</v>
      </c>
      <c r="C5320" s="221">
        <v>42985.68</v>
      </c>
      <c r="D5320" t="s">
        <v>27946</v>
      </c>
      <c r="E5320" s="249" t="str">
        <f>HYPERLINK("https://www.instagram.com/p/BYwMH9HAtUS/")</f>
        <v>https://www.instagram.com/p/BYwMH9HAtUS/</v>
      </c>
      <c r="F5320" t="s">
        <v>27947</v>
      </c>
      <c r="G5320" t="s">
        <v>2478</v>
      </c>
      <c r="H5320">
        <v>412</v>
      </c>
      <c r="I5320" t="s">
        <v>2542</v>
      </c>
      <c r="J5320">
        <v>0</v>
      </c>
      <c r="K5320">
        <v>19</v>
      </c>
      <c r="L5320">
        <v>19</v>
      </c>
      <c r="Q5320">
        <v>0</v>
      </c>
      <c r="R5320">
        <v>0</v>
      </c>
      <c r="S5320">
        <v>19</v>
      </c>
      <c r="Y5320" t="s">
        <v>10712</v>
      </c>
      <c r="Z5320" t="s">
        <v>24032</v>
      </c>
      <c r="AA5320" t="s">
        <v>3706</v>
      </c>
      <c r="AB5320" t="s">
        <v>6835</v>
      </c>
      <c r="AC5320" t="s">
        <v>2617</v>
      </c>
      <c r="AD5320" s="249" t="str">
        <f>HYPERLINK("https://scontent.cdninstagram.com/t51.2885-15/s320x320/e35/20837230_119054732150174_3772795218080825344_n.jpg")</f>
        <v>https://scontent.cdninstagram.com/t51.2885-15/s320x320/e35/20837230_119054732150174_3772795218080825344_n.jpg</v>
      </c>
      <c r="AE5320" s="249" t="str">
        <f>HYPERLINK("https://scontent.cdninstagram.com/t51.2885-19/s150x150/18722274_1340737485979639_6138065963192418304_a.jpg")</f>
        <v>https://scontent.cdninstagram.com/t51.2885-19/s150x150/18722274_1340737485979639_6138065963192418304_a.jpg</v>
      </c>
    </row>
    <row r="5321" spans="1:31" ht="15" x14ac:dyDescent="0.25">
      <c r="A5321" t="s">
        <v>2474</v>
      </c>
      <c r="B5321" t="s">
        <v>27948</v>
      </c>
      <c r="C5321" s="221">
        <v>42985.683506944442</v>
      </c>
      <c r="D5321" t="s">
        <v>27949</v>
      </c>
      <c r="E5321" s="249" t="str">
        <f>HYPERLINK("https://www.instagram.com/p/BYwMs_ylCr1/")</f>
        <v>https://www.instagram.com/p/BYwMs_ylCr1/</v>
      </c>
      <c r="F5321" t="s">
        <v>27950</v>
      </c>
      <c r="G5321" t="s">
        <v>2478</v>
      </c>
      <c r="H5321">
        <v>179</v>
      </c>
      <c r="I5321" t="s">
        <v>2542</v>
      </c>
      <c r="J5321">
        <v>5</v>
      </c>
      <c r="K5321">
        <v>17</v>
      </c>
      <c r="L5321">
        <v>22</v>
      </c>
      <c r="Q5321">
        <v>0</v>
      </c>
      <c r="R5321">
        <v>0</v>
      </c>
      <c r="S5321">
        <v>22</v>
      </c>
      <c r="Y5321" t="s">
        <v>27951</v>
      </c>
      <c r="Z5321" t="s">
        <v>27952</v>
      </c>
      <c r="AA5321" t="s">
        <v>27953</v>
      </c>
      <c r="AB5321" t="s">
        <v>8844</v>
      </c>
      <c r="AC5321" t="s">
        <v>2497</v>
      </c>
      <c r="AD5321" s="249" t="str">
        <f>HYPERLINK("https://scontent.cdninstagram.com/t51.2885-15/s320x320/e35/21436273_1948093478784659_3959232361056436224_n.jpg")</f>
        <v>https://scontent.cdninstagram.com/t51.2885-15/s320x320/e35/21436273_1948093478784659_3959232361056436224_n.jpg</v>
      </c>
      <c r="AE5321" s="249" t="str">
        <f>HYPERLINK("https://scontent.cdninstagram.com/t51.2885-19/s150x150/21568940_116558882365444_4421140576024395776_a.jpg")</f>
        <v>https://scontent.cdninstagram.com/t51.2885-19/s150x150/21568940_116558882365444_4421140576024395776_a.jpg</v>
      </c>
    </row>
    <row r="5322" spans="1:31" ht="15" x14ac:dyDescent="0.25">
      <c r="A5322" t="s">
        <v>2474</v>
      </c>
      <c r="B5322" t="s">
        <v>27954</v>
      </c>
      <c r="C5322" s="221">
        <v>42985.683842592596</v>
      </c>
      <c r="D5322" t="s">
        <v>27955</v>
      </c>
      <c r="E5322" s="249" t="str">
        <f>HYPERLINK("https://www.instagram.com/p/BYwMwfbh_4X/")</f>
        <v>https://www.instagram.com/p/BYwMwfbh_4X/</v>
      </c>
      <c r="F5322" t="s">
        <v>27956</v>
      </c>
      <c r="G5322" t="s">
        <v>2478</v>
      </c>
      <c r="H5322">
        <v>5360</v>
      </c>
      <c r="I5322" t="s">
        <v>2479</v>
      </c>
      <c r="J5322">
        <v>2</v>
      </c>
      <c r="K5322">
        <v>693</v>
      </c>
      <c r="L5322">
        <v>695</v>
      </c>
      <c r="Q5322">
        <v>0</v>
      </c>
      <c r="R5322">
        <v>0</v>
      </c>
      <c r="S5322">
        <v>695</v>
      </c>
      <c r="Y5322" t="s">
        <v>27957</v>
      </c>
      <c r="Z5322" t="s">
        <v>2497</v>
      </c>
      <c r="AA5322" t="s">
        <v>27958</v>
      </c>
      <c r="AB5322" t="s">
        <v>27959</v>
      </c>
      <c r="AC5322" t="s">
        <v>27960</v>
      </c>
      <c r="AD5322" s="249" t="str">
        <f>HYPERLINK("https://scontent.cdninstagram.com/t51.2885-15/e35/p320x320/21434130_1656368641104849_3888270636514017280_n.jpg")</f>
        <v>https://scontent.cdninstagram.com/t51.2885-15/e35/p320x320/21434130_1656368641104849_3888270636514017280_n.jpg</v>
      </c>
      <c r="AE5322" s="249" t="str">
        <f>HYPERLINK("https://scontent.cdninstagram.com/t51.2885-19/s150x150/16124143_732723986903950_4319126040363401216_a.jpg")</f>
        <v>https://scontent.cdninstagram.com/t51.2885-19/s150x150/16124143_732723986903950_4319126040363401216_a.jpg</v>
      </c>
    </row>
    <row r="5323" spans="1:31" ht="15" x14ac:dyDescent="0.25">
      <c r="A5323" t="s">
        <v>2474</v>
      </c>
      <c r="B5323" t="s">
        <v>27961</v>
      </c>
      <c r="C5323" s="221">
        <v>42985.686041666668</v>
      </c>
      <c r="D5323" t="s">
        <v>27962</v>
      </c>
      <c r="E5323" s="249" t="str">
        <f>HYPERLINK("https://www.instagram.com/p/BYwNHuRDtVn/")</f>
        <v>https://www.instagram.com/p/BYwNHuRDtVn/</v>
      </c>
      <c r="F5323" t="s">
        <v>27963</v>
      </c>
      <c r="G5323" t="s">
        <v>2478</v>
      </c>
      <c r="H5323">
        <v>211</v>
      </c>
      <c r="I5323" t="s">
        <v>2479</v>
      </c>
      <c r="J5323">
        <v>3</v>
      </c>
      <c r="K5323">
        <v>18</v>
      </c>
      <c r="L5323">
        <v>21</v>
      </c>
      <c r="Q5323">
        <v>0</v>
      </c>
      <c r="R5323">
        <v>0</v>
      </c>
      <c r="S5323">
        <v>21</v>
      </c>
      <c r="Y5323" t="s">
        <v>2497</v>
      </c>
      <c r="Z5323" t="s">
        <v>27964</v>
      </c>
      <c r="AA5323" t="s">
        <v>2492</v>
      </c>
      <c r="AB5323" t="s">
        <v>27965</v>
      </c>
      <c r="AC5323" t="s">
        <v>27966</v>
      </c>
      <c r="AD5323" s="249" t="str">
        <f>HYPERLINK("https://scontent.cdninstagram.com/t51.2885-15/s320x320/e35/21373104_355377068247539_8222557980151775232_n.jpg")</f>
        <v>https://scontent.cdninstagram.com/t51.2885-15/s320x320/e35/21373104_355377068247539_8222557980151775232_n.jpg</v>
      </c>
      <c r="AE5323" s="249" t="str">
        <f>HYPERLINK("https://scontent.cdninstagram.com/t51.2885-19/11049180_813389922069712_684370700_a.jpg")</f>
        <v>https://scontent.cdninstagram.com/t51.2885-19/11049180_813389922069712_684370700_a.jpg</v>
      </c>
    </row>
    <row r="5324" spans="1:31" ht="15" x14ac:dyDescent="0.25">
      <c r="A5324" t="s">
        <v>2474</v>
      </c>
      <c r="B5324" t="s">
        <v>25241</v>
      </c>
      <c r="C5324" s="221">
        <v>42985.698611111111</v>
      </c>
      <c r="D5324" t="s">
        <v>27967</v>
      </c>
      <c r="E5324" s="249" t="str">
        <f>HYPERLINK("https://www.instagram.com/p/BYwPMQQBB2D/")</f>
        <v>https://www.instagram.com/p/BYwPMQQBB2D/</v>
      </c>
      <c r="F5324" t="s">
        <v>27968</v>
      </c>
      <c r="G5324" t="s">
        <v>2478</v>
      </c>
      <c r="H5324">
        <v>4397</v>
      </c>
      <c r="I5324" t="s">
        <v>2542</v>
      </c>
      <c r="J5324">
        <v>3</v>
      </c>
      <c r="K5324">
        <v>38</v>
      </c>
      <c r="L5324">
        <v>41</v>
      </c>
      <c r="Q5324">
        <v>0</v>
      </c>
      <c r="R5324">
        <v>0</v>
      </c>
      <c r="S5324">
        <v>41</v>
      </c>
      <c r="Y5324" t="s">
        <v>27969</v>
      </c>
      <c r="Z5324" t="s">
        <v>27970</v>
      </c>
      <c r="AA5324" t="s">
        <v>27971</v>
      </c>
      <c r="AB5324" t="s">
        <v>13664</v>
      </c>
      <c r="AC5324" t="s">
        <v>2497</v>
      </c>
      <c r="AD5324" s="249" t="str">
        <f>HYPERLINK("https://scontent.cdninstagram.com/t51.2885-15/s320x320/e35/21373416_1214031712035149_1202986765850247168_n.jpg")</f>
        <v>https://scontent.cdninstagram.com/t51.2885-15/s320x320/e35/21373416_1214031712035149_1202986765850247168_n.jpg</v>
      </c>
      <c r="AE5324" s="249" t="str">
        <f>HYPERLINK("https://scontent.cdninstagram.com/t51.2885-19/s150x150/12628049_763409330459484_1846783210_a.jpg")</f>
        <v>https://scontent.cdninstagram.com/t51.2885-19/s150x150/12628049_763409330459484_1846783210_a.jpg</v>
      </c>
    </row>
    <row r="5325" spans="1:31" ht="15" x14ac:dyDescent="0.25">
      <c r="A5325" t="s">
        <v>2474</v>
      </c>
      <c r="B5325" t="s">
        <v>27972</v>
      </c>
      <c r="C5325" s="221">
        <v>42985.714895833335</v>
      </c>
      <c r="D5325" t="s">
        <v>27973</v>
      </c>
      <c r="E5325" s="249" t="str">
        <f>HYPERLINK("https://www.instagram.com/p/BYwR4EWDnEr/")</f>
        <v>https://www.instagram.com/p/BYwR4EWDnEr/</v>
      </c>
      <c r="F5325" t="s">
        <v>27974</v>
      </c>
      <c r="G5325" t="s">
        <v>2478</v>
      </c>
      <c r="H5325">
        <v>3003</v>
      </c>
      <c r="I5325" t="s">
        <v>2479</v>
      </c>
      <c r="J5325">
        <v>141</v>
      </c>
      <c r="K5325">
        <v>443</v>
      </c>
      <c r="L5325">
        <v>584</v>
      </c>
      <c r="Q5325">
        <v>0</v>
      </c>
      <c r="R5325">
        <v>0</v>
      </c>
      <c r="S5325">
        <v>584</v>
      </c>
      <c r="Y5325" t="s">
        <v>2730</v>
      </c>
      <c r="Z5325" t="s">
        <v>9903</v>
      </c>
      <c r="AA5325" t="s">
        <v>3476</v>
      </c>
      <c r="AB5325" t="s">
        <v>27975</v>
      </c>
      <c r="AC5325" t="s">
        <v>27976</v>
      </c>
      <c r="AD5325" s="249" t="str">
        <f>HYPERLINK("https://scontent.cdninstagram.com/t51.2885-15/s320x320/e35/21373188_1963593990552463_2855430589232709632_n.jpg")</f>
        <v>https://scontent.cdninstagram.com/t51.2885-15/s320x320/e35/21373188_1963593990552463_2855430589232709632_n.jpg</v>
      </c>
      <c r="AE5325" s="249" t="str">
        <f>HYPERLINK("https://scontent.cdninstagram.com/t51.2885-19/s150x150/21107810_738884846320324_6792577416704294912_a.jpg")</f>
        <v>https://scontent.cdninstagram.com/t51.2885-19/s150x150/21107810_738884846320324_6792577416704294912_a.jpg</v>
      </c>
    </row>
    <row r="5326" spans="1:31" ht="15" x14ac:dyDescent="0.25">
      <c r="A5326" t="s">
        <v>2474</v>
      </c>
      <c r="B5326" t="s">
        <v>3206</v>
      </c>
      <c r="C5326" s="221">
        <v>42985.71733796296</v>
      </c>
      <c r="D5326" t="s">
        <v>27977</v>
      </c>
      <c r="E5326" s="249" t="str">
        <f>HYPERLINK("https://www.instagram.com/p/BYwSRyEFkE8/")</f>
        <v>https://www.instagram.com/p/BYwSRyEFkE8/</v>
      </c>
      <c r="F5326" t="s">
        <v>27978</v>
      </c>
      <c r="G5326" t="s">
        <v>2478</v>
      </c>
      <c r="H5326">
        <v>236</v>
      </c>
      <c r="I5326" t="s">
        <v>2582</v>
      </c>
      <c r="J5326">
        <v>0</v>
      </c>
      <c r="K5326">
        <v>16</v>
      </c>
      <c r="L5326">
        <v>16</v>
      </c>
      <c r="Q5326">
        <v>0</v>
      </c>
      <c r="R5326">
        <v>0</v>
      </c>
      <c r="S5326">
        <v>16</v>
      </c>
      <c r="Y5326" t="s">
        <v>26709</v>
      </c>
      <c r="Z5326" t="s">
        <v>2497</v>
      </c>
      <c r="AA5326" t="s">
        <v>2657</v>
      </c>
      <c r="AB5326" t="s">
        <v>10311</v>
      </c>
      <c r="AC5326" t="s">
        <v>27979</v>
      </c>
      <c r="AD5326" s="249" t="str">
        <f>HYPERLINK("https://scontent.cdninstagram.com/t51.2885-15/s320x320/e35/21435566_2014110352154066_7050232345877544960_n.jpg")</f>
        <v>https://scontent.cdninstagram.com/t51.2885-15/s320x320/e35/21435566_2014110352154066_7050232345877544960_n.jpg</v>
      </c>
      <c r="AE5326" s="249" t="str">
        <f>HYPERLINK("https://scontent.cdninstagram.com/t51.2885-19/s150x150/20214010_123762504909314_3215645463373938688_a.jpg")</f>
        <v>https://scontent.cdninstagram.com/t51.2885-19/s150x150/20214010_123762504909314_3215645463373938688_a.jpg</v>
      </c>
    </row>
    <row r="5327" spans="1:31" ht="15" x14ac:dyDescent="0.25">
      <c r="A5327" t="s">
        <v>2474</v>
      </c>
      <c r="B5327" t="s">
        <v>27980</v>
      </c>
      <c r="C5327" s="221">
        <v>42985.719108796293</v>
      </c>
      <c r="D5327" t="s">
        <v>27981</v>
      </c>
      <c r="E5327" s="249" t="str">
        <f>HYPERLINK("https://www.instagram.com/p/BYwSkeyDvp0/")</f>
        <v>https://www.instagram.com/p/BYwSkeyDvp0/</v>
      </c>
      <c r="F5327" t="s">
        <v>27982</v>
      </c>
      <c r="G5327" t="s">
        <v>2478</v>
      </c>
      <c r="H5327">
        <v>193</v>
      </c>
      <c r="I5327" t="s">
        <v>2479</v>
      </c>
      <c r="J5327">
        <v>1</v>
      </c>
      <c r="K5327">
        <v>44</v>
      </c>
      <c r="L5327">
        <v>45</v>
      </c>
      <c r="Q5327">
        <v>0</v>
      </c>
      <c r="R5327">
        <v>0</v>
      </c>
      <c r="S5327">
        <v>45</v>
      </c>
      <c r="Y5327" t="s">
        <v>3034</v>
      </c>
      <c r="Z5327" t="s">
        <v>27983</v>
      </c>
      <c r="AA5327" t="s">
        <v>27984</v>
      </c>
      <c r="AB5327" t="s">
        <v>3851</v>
      </c>
      <c r="AC5327" t="s">
        <v>27985</v>
      </c>
      <c r="AD5327" s="249" t="str">
        <f>HYPERLINK("https://scontent.cdninstagram.com/t51.2885-15/e35/p320x320/21373618_2057314404502694_5651535555414982656_n.jpg")</f>
        <v>https://scontent.cdninstagram.com/t51.2885-15/e35/p320x320/21373618_2057314404502694_5651535555414982656_n.jpg</v>
      </c>
      <c r="AE5327" s="249" t="str">
        <f>HYPERLINK("https://scontent.cdninstagram.com/t51.2885-19/s150x150/21041132_403765863354157_579625189717835776_a.jpg")</f>
        <v>https://scontent.cdninstagram.com/t51.2885-19/s150x150/21041132_403765863354157_579625189717835776_a.jpg</v>
      </c>
    </row>
    <row r="5328" spans="1:31" ht="15" x14ac:dyDescent="0.25">
      <c r="A5328" t="s">
        <v>2474</v>
      </c>
      <c r="B5328" t="s">
        <v>27986</v>
      </c>
      <c r="C5328" s="221">
        <v>42985.725763888891</v>
      </c>
      <c r="D5328" t="s">
        <v>27987</v>
      </c>
      <c r="E5328" s="249" t="str">
        <f>HYPERLINK("https://www.instagram.com/p/BYwTqt9BnRi/")</f>
        <v>https://www.instagram.com/p/BYwTqt9BnRi/</v>
      </c>
      <c r="F5328" t="s">
        <v>27988</v>
      </c>
      <c r="G5328" t="s">
        <v>2478</v>
      </c>
      <c r="H5328">
        <v>497</v>
      </c>
      <c r="I5328" t="s">
        <v>2479</v>
      </c>
      <c r="J5328">
        <v>1</v>
      </c>
      <c r="K5328">
        <v>105</v>
      </c>
      <c r="L5328">
        <v>106</v>
      </c>
      <c r="Q5328">
        <v>0</v>
      </c>
      <c r="R5328">
        <v>0</v>
      </c>
      <c r="S5328">
        <v>106</v>
      </c>
      <c r="T5328" t="s">
        <v>5994</v>
      </c>
      <c r="V5328" t="s">
        <v>2264</v>
      </c>
      <c r="W5328">
        <v>41.383299999999998</v>
      </c>
      <c r="X5328">
        <v>2.1833300000000002</v>
      </c>
      <c r="Y5328" t="s">
        <v>2730</v>
      </c>
      <c r="Z5328" t="s">
        <v>27989</v>
      </c>
      <c r="AA5328" t="s">
        <v>7329</v>
      </c>
      <c r="AB5328" t="s">
        <v>27990</v>
      </c>
      <c r="AC5328" t="s">
        <v>2497</v>
      </c>
      <c r="AD5328" s="249" t="str">
        <f>HYPERLINK("https://scontent.cdninstagram.com/t51.2885-15/s320x320/e35/21568586_351342218610981_7155830963027574784_n.jpg")</f>
        <v>https://scontent.cdninstagram.com/t51.2885-15/s320x320/e35/21568586_351342218610981_7155830963027574784_n.jpg</v>
      </c>
      <c r="AE5328" s="249" t="str">
        <f>HYPERLINK("https://scontent.cdninstagram.com/t51.2885-19/s150x150/21827312_517633425250642_7060183145152249856_n.jpg")</f>
        <v>https://scontent.cdninstagram.com/t51.2885-19/s150x150/21827312_517633425250642_7060183145152249856_n.jpg</v>
      </c>
    </row>
    <row r="5329" spans="1:31" ht="15" x14ac:dyDescent="0.25">
      <c r="A5329" t="s">
        <v>2474</v>
      </c>
      <c r="B5329" t="s">
        <v>27991</v>
      </c>
      <c r="C5329" s="221">
        <v>42985.727777777778</v>
      </c>
      <c r="D5329" t="s">
        <v>27992</v>
      </c>
      <c r="E5329" s="249" t="str">
        <f>HYPERLINK("https://www.instagram.com/p/BYwT_-BDYWF/")</f>
        <v>https://www.instagram.com/p/BYwT_-BDYWF/</v>
      </c>
      <c r="F5329" t="s">
        <v>27993</v>
      </c>
      <c r="G5329" t="s">
        <v>2478</v>
      </c>
      <c r="H5329">
        <v>887</v>
      </c>
      <c r="I5329" t="s">
        <v>2479</v>
      </c>
      <c r="J5329">
        <v>0</v>
      </c>
      <c r="K5329">
        <v>10</v>
      </c>
      <c r="L5329">
        <v>10</v>
      </c>
      <c r="Q5329">
        <v>0</v>
      </c>
      <c r="R5329">
        <v>0</v>
      </c>
      <c r="S5329">
        <v>10</v>
      </c>
      <c r="Y5329" t="s">
        <v>27994</v>
      </c>
      <c r="Z5329" t="s">
        <v>2497</v>
      </c>
      <c r="AA5329" t="s">
        <v>4808</v>
      </c>
      <c r="AB5329" t="s">
        <v>14025</v>
      </c>
      <c r="AC5329" t="s">
        <v>3041</v>
      </c>
      <c r="AD5329" s="249" t="str">
        <f>HYPERLINK("https://scontent.cdninstagram.com/t51.2885-15/s320x320/e35/21373472_314959082310729_2297500735320883200_n.jpg")</f>
        <v>https://scontent.cdninstagram.com/t51.2885-15/s320x320/e35/21373472_314959082310729_2297500735320883200_n.jpg</v>
      </c>
      <c r="AE5329" s="249" t="str">
        <f>HYPERLINK("https://scontent.cdninstagram.com/t51.2885-19/s150x150/18879838_774381379407889_8476963066485932032_a.jpg")</f>
        <v>https://scontent.cdninstagram.com/t51.2885-19/s150x150/18879838_774381379407889_8476963066485932032_a.jpg</v>
      </c>
    </row>
    <row r="5330" spans="1:31" ht="15" x14ac:dyDescent="0.25">
      <c r="A5330" t="s">
        <v>2474</v>
      </c>
      <c r="B5330" t="s">
        <v>2516</v>
      </c>
      <c r="C5330" s="221">
        <v>42985.732488425929</v>
      </c>
      <c r="D5330" t="s">
        <v>27995</v>
      </c>
      <c r="E5330" s="249" t="str">
        <f>HYPERLINK("https://www.instagram.com/p/BYwUxi_D5pW/")</f>
        <v>https://www.instagram.com/p/BYwUxi_D5pW/</v>
      </c>
      <c r="F5330" t="s">
        <v>27996</v>
      </c>
      <c r="G5330" t="s">
        <v>2478</v>
      </c>
      <c r="H5330">
        <v>686</v>
      </c>
      <c r="I5330" t="s">
        <v>2479</v>
      </c>
      <c r="J5330">
        <v>1</v>
      </c>
      <c r="K5330">
        <v>33</v>
      </c>
      <c r="L5330">
        <v>34</v>
      </c>
      <c r="Q5330">
        <v>0</v>
      </c>
      <c r="R5330">
        <v>0</v>
      </c>
      <c r="S5330">
        <v>34</v>
      </c>
      <c r="Y5330" t="s">
        <v>10712</v>
      </c>
      <c r="Z5330" t="s">
        <v>13798</v>
      </c>
      <c r="AA5330" t="s">
        <v>27997</v>
      </c>
      <c r="AB5330" t="s">
        <v>27998</v>
      </c>
      <c r="AC5330" t="s">
        <v>27999</v>
      </c>
      <c r="AD5330" s="249" t="str">
        <f>HYPERLINK("https://scontent.cdninstagram.com/t51.2885-15/s320x320/e35/21372423_124149828319182_1795734029845135360_n.jpg")</f>
        <v>https://scontent.cdninstagram.com/t51.2885-15/s320x320/e35/21372423_124149828319182_1795734029845135360_n.jpg</v>
      </c>
      <c r="AE5330" s="249" t="str">
        <f>HYPERLINK("https://scontent.cdninstagram.com/t51.2885-19/s150x150/21372563_140209839921980_5104164354614362112_a.jpg")</f>
        <v>https://scontent.cdninstagram.com/t51.2885-19/s150x150/21372563_140209839921980_5104164354614362112_a.jpg</v>
      </c>
    </row>
    <row r="5331" spans="1:31" ht="15" x14ac:dyDescent="0.25">
      <c r="A5331" t="s">
        <v>2474</v>
      </c>
      <c r="B5331" t="s">
        <v>28000</v>
      </c>
      <c r="C5331" s="221">
        <v>42985.732766203706</v>
      </c>
      <c r="D5331" t="s">
        <v>28001</v>
      </c>
      <c r="E5331" s="249" t="str">
        <f>HYPERLINK("https://www.instagram.com/p/BYwU0k3gpbz/")</f>
        <v>https://www.instagram.com/p/BYwU0k3gpbz/</v>
      </c>
      <c r="F5331" t="s">
        <v>28002</v>
      </c>
      <c r="G5331" t="s">
        <v>2478</v>
      </c>
      <c r="H5331">
        <v>602</v>
      </c>
      <c r="I5331" t="s">
        <v>3170</v>
      </c>
      <c r="J5331">
        <v>0</v>
      </c>
      <c r="K5331">
        <v>25</v>
      </c>
      <c r="L5331">
        <v>25</v>
      </c>
      <c r="Q5331">
        <v>0</v>
      </c>
      <c r="R5331">
        <v>0</v>
      </c>
      <c r="S5331">
        <v>25</v>
      </c>
      <c r="Y5331" t="s">
        <v>28003</v>
      </c>
      <c r="Z5331" t="s">
        <v>5989</v>
      </c>
      <c r="AA5331" t="s">
        <v>2497</v>
      </c>
      <c r="AD5331" s="249" t="str">
        <f>HYPERLINK("https://scontent.cdninstagram.com/t51.2885-15/s320x320/e35/21433934_1018553101619699_7805896773200773120_n.jpg")</f>
        <v>https://scontent.cdninstagram.com/t51.2885-15/s320x320/e35/21433934_1018553101619699_7805896773200773120_n.jpg</v>
      </c>
      <c r="AE5331" s="249" t="str">
        <f>HYPERLINK("https://scontent.cdninstagram.com/t51.2885-19/s150x150/20837154_706270009564609_8988706499953950720_a.jpg")</f>
        <v>https://scontent.cdninstagram.com/t51.2885-19/s150x150/20837154_706270009564609_8988706499953950720_a.jpg</v>
      </c>
    </row>
    <row r="5332" spans="1:31" ht="15" x14ac:dyDescent="0.25">
      <c r="A5332" t="s">
        <v>2474</v>
      </c>
      <c r="B5332" t="s">
        <v>28004</v>
      </c>
      <c r="C5332" s="221">
        <v>42985.735590277778</v>
      </c>
      <c r="D5332" t="s">
        <v>28005</v>
      </c>
      <c r="E5332" s="249" t="str">
        <f>HYPERLINK("https://www.instagram.com/p/BYwVSTTls3Y/")</f>
        <v>https://www.instagram.com/p/BYwVSTTls3Y/</v>
      </c>
      <c r="F5332" t="s">
        <v>28006</v>
      </c>
      <c r="G5332" t="s">
        <v>2478</v>
      </c>
      <c r="H5332">
        <v>1195</v>
      </c>
      <c r="I5332" t="s">
        <v>2479</v>
      </c>
      <c r="J5332">
        <v>7</v>
      </c>
      <c r="K5332">
        <v>58</v>
      </c>
      <c r="L5332">
        <v>65</v>
      </c>
      <c r="Q5332">
        <v>0</v>
      </c>
      <c r="R5332">
        <v>0</v>
      </c>
      <c r="S5332">
        <v>65</v>
      </c>
      <c r="T5332" t="s">
        <v>6482</v>
      </c>
      <c r="U5332" t="s">
        <v>112</v>
      </c>
      <c r="V5332" t="s">
        <v>2299</v>
      </c>
      <c r="W5332">
        <v>29.762899999999998</v>
      </c>
      <c r="X5332">
        <v>-95.383200000000002</v>
      </c>
      <c r="Y5332" t="s">
        <v>28007</v>
      </c>
      <c r="AD5332" s="249" t="str">
        <f>HYPERLINK("https://scontent.cdninstagram.com/t51.2885-15/e35/p320x320/21435507_116319192440997_4460156690301452288_n.jpg")</f>
        <v>https://scontent.cdninstagram.com/t51.2885-15/e35/p320x320/21435507_116319192440997_4460156690301452288_n.jpg</v>
      </c>
      <c r="AE5332" s="249" t="str">
        <f>HYPERLINK("https://scontent.cdninstagram.com/t51.2885-19/s150x150/18812748_1952501391632141_9044669631763054592_a.jpg")</f>
        <v>https://scontent.cdninstagram.com/t51.2885-19/s150x150/18812748_1952501391632141_9044669631763054592_a.jpg</v>
      </c>
    </row>
    <row r="5333" spans="1:31" ht="15" x14ac:dyDescent="0.25">
      <c r="A5333" t="s">
        <v>2474</v>
      </c>
      <c r="B5333" t="s">
        <v>28008</v>
      </c>
      <c r="C5333" s="221">
        <v>42985.738796296297</v>
      </c>
      <c r="D5333" t="s">
        <v>28009</v>
      </c>
      <c r="E5333" s="249" t="str">
        <f>HYPERLINK("https://www.instagram.com/p/BYwV0GGFD-u/")</f>
        <v>https://www.instagram.com/p/BYwV0GGFD-u/</v>
      </c>
      <c r="F5333" t="s">
        <v>28010</v>
      </c>
      <c r="G5333" t="s">
        <v>2478</v>
      </c>
      <c r="H5333">
        <v>89</v>
      </c>
      <c r="I5333" t="s">
        <v>2479</v>
      </c>
      <c r="J5333">
        <v>0</v>
      </c>
      <c r="K5333">
        <v>5</v>
      </c>
      <c r="L5333">
        <v>5</v>
      </c>
      <c r="Q5333">
        <v>0</v>
      </c>
      <c r="R5333">
        <v>0</v>
      </c>
      <c r="S5333">
        <v>5</v>
      </c>
      <c r="Y5333" t="s">
        <v>2497</v>
      </c>
      <c r="AD5333" s="249" t="str">
        <f>HYPERLINK("https://scontent.cdninstagram.com/t51.2885-15/s320x320/e35/21435535_215370182328937_873067431373832192_n.jpg")</f>
        <v>https://scontent.cdninstagram.com/t51.2885-15/s320x320/e35/21435535_215370182328937_873067431373832192_n.jpg</v>
      </c>
      <c r="AE5333" s="249" t="str">
        <f>HYPERLINK("https://scontent.cdninstagram.com/t51.2885-19/s150x150/21436211_961803767293132_4732048770341011456_a.jpg")</f>
        <v>https://scontent.cdninstagram.com/t51.2885-19/s150x150/21436211_961803767293132_4732048770341011456_a.jpg</v>
      </c>
    </row>
    <row r="5334" spans="1:31" ht="15" x14ac:dyDescent="0.25">
      <c r="A5334" t="s">
        <v>2474</v>
      </c>
      <c r="B5334" t="s">
        <v>4616</v>
      </c>
      <c r="C5334" s="221">
        <v>42985.741747685184</v>
      </c>
      <c r="D5334" t="s">
        <v>28011</v>
      </c>
      <c r="E5334" s="249" t="str">
        <f>HYPERLINK("https://www.instagram.com/p/BYwWTSChnrb/")</f>
        <v>https://www.instagram.com/p/BYwWTSChnrb/</v>
      </c>
      <c r="F5334" t="s">
        <v>6292</v>
      </c>
      <c r="G5334" t="s">
        <v>2478</v>
      </c>
      <c r="H5334">
        <v>112</v>
      </c>
      <c r="I5334" t="s">
        <v>2479</v>
      </c>
      <c r="J5334">
        <v>0</v>
      </c>
      <c r="K5334">
        <v>33</v>
      </c>
      <c r="L5334">
        <v>33</v>
      </c>
      <c r="Q5334">
        <v>0</v>
      </c>
      <c r="R5334">
        <v>0</v>
      </c>
      <c r="S5334">
        <v>33</v>
      </c>
      <c r="Y5334" t="s">
        <v>2730</v>
      </c>
      <c r="Z5334" t="s">
        <v>4623</v>
      </c>
      <c r="AA5334" t="s">
        <v>5005</v>
      </c>
      <c r="AB5334" t="s">
        <v>2575</v>
      </c>
      <c r="AC5334" t="s">
        <v>7451</v>
      </c>
      <c r="AD5334" s="249" t="str">
        <f>HYPERLINK("https://scontent.cdninstagram.com/t51.2885-15/e35/p320x320/21436025_1556575074395028_7749008990767415296_n.jpg")</f>
        <v>https://scontent.cdninstagram.com/t51.2885-15/e35/p320x320/21436025_1556575074395028_7749008990767415296_n.jpg</v>
      </c>
      <c r="AE5334" s="249" t="str">
        <f>HYPERLINK("https://scontent.cdninstagram.com/t51.2885-19/s150x150/17494353_1347957098574282_2527511313651859456_a.jpg")</f>
        <v>https://scontent.cdninstagram.com/t51.2885-19/s150x150/17494353_1347957098574282_2527511313651859456_a.jpg</v>
      </c>
    </row>
    <row r="5335" spans="1:31" ht="15" x14ac:dyDescent="0.25">
      <c r="A5335" t="s">
        <v>2474</v>
      </c>
      <c r="B5335" t="s">
        <v>26568</v>
      </c>
      <c r="C5335" s="221">
        <v>42985.750555555554</v>
      </c>
      <c r="D5335" t="s">
        <v>28012</v>
      </c>
      <c r="E5335" s="249" t="str">
        <f>HYPERLINK("https://www.instagram.com/p/BYwXwGQleeh/")</f>
        <v>https://www.instagram.com/p/BYwXwGQleeh/</v>
      </c>
      <c r="F5335" t="s">
        <v>28013</v>
      </c>
      <c r="G5335" t="s">
        <v>2478</v>
      </c>
      <c r="H5335">
        <v>1672</v>
      </c>
      <c r="I5335" t="s">
        <v>2479</v>
      </c>
      <c r="J5335">
        <v>0</v>
      </c>
      <c r="K5335">
        <v>120</v>
      </c>
      <c r="L5335">
        <v>120</v>
      </c>
      <c r="Q5335">
        <v>0</v>
      </c>
      <c r="R5335">
        <v>0</v>
      </c>
      <c r="S5335">
        <v>120</v>
      </c>
      <c r="Y5335" t="s">
        <v>28014</v>
      </c>
      <c r="Z5335" t="s">
        <v>28015</v>
      </c>
      <c r="AA5335" t="s">
        <v>3698</v>
      </c>
      <c r="AB5335" t="s">
        <v>28016</v>
      </c>
      <c r="AC5335" t="s">
        <v>2861</v>
      </c>
      <c r="AD5335" s="249" t="str">
        <f>HYPERLINK("https://scontent.cdninstagram.com/t51.2885-15/s320x320/e35/21568947_349998438785136_3656474489954238464_n.jpg")</f>
        <v>https://scontent.cdninstagram.com/t51.2885-15/s320x320/e35/21568947_349998438785136_3656474489954238464_n.jpg</v>
      </c>
      <c r="AE5335" s="249" t="str">
        <f>HYPERLINK("https://scontent.cdninstagram.com/t51.2885-19/s150x150/13102422_480287725499798_1251561052_a.jpg")</f>
        <v>https://scontent.cdninstagram.com/t51.2885-19/s150x150/13102422_480287725499798_1251561052_a.jpg</v>
      </c>
    </row>
    <row r="5336" spans="1:31" ht="15" x14ac:dyDescent="0.25">
      <c r="A5336" t="s">
        <v>2474</v>
      </c>
      <c r="B5336" t="s">
        <v>26136</v>
      </c>
      <c r="C5336" s="221">
        <v>42985.755752314813</v>
      </c>
      <c r="D5336" t="s">
        <v>28017</v>
      </c>
      <c r="E5336" s="249" t="str">
        <f>HYPERLINK("https://www.instagram.com/p/BYwYm-FHhcZ/")</f>
        <v>https://www.instagram.com/p/BYwYm-FHhcZ/</v>
      </c>
      <c r="F5336" t="s">
        <v>28018</v>
      </c>
      <c r="G5336" t="s">
        <v>2488</v>
      </c>
      <c r="H5336">
        <v>423</v>
      </c>
      <c r="I5336" t="s">
        <v>2479</v>
      </c>
      <c r="J5336">
        <v>4</v>
      </c>
      <c r="K5336">
        <v>95</v>
      </c>
      <c r="L5336">
        <v>99</v>
      </c>
      <c r="Q5336">
        <v>0</v>
      </c>
      <c r="R5336">
        <v>0</v>
      </c>
      <c r="S5336">
        <v>99</v>
      </c>
      <c r="T5336" t="s">
        <v>26139</v>
      </c>
      <c r="V5336" t="s">
        <v>2288</v>
      </c>
      <c r="W5336">
        <v>53.431716724966002</v>
      </c>
      <c r="X5336">
        <v>-2.9912527256960999</v>
      </c>
      <c r="Y5336" t="s">
        <v>21682</v>
      </c>
      <c r="Z5336" t="s">
        <v>2730</v>
      </c>
      <c r="AA5336" t="s">
        <v>28019</v>
      </c>
      <c r="AB5336" t="s">
        <v>26140</v>
      </c>
      <c r="AC5336" t="s">
        <v>2576</v>
      </c>
      <c r="AD5336" s="249" t="str">
        <f>HYPERLINK("https://scontent.cdninstagram.com/t51.2885-15/s320x320/e35/21435556_427908814276948_4818116083842023424_n.jpg")</f>
        <v>https://scontent.cdninstagram.com/t51.2885-15/s320x320/e35/21435556_427908814276948_4818116083842023424_n.jpg</v>
      </c>
      <c r="AE5336" s="249" t="str">
        <f>HYPERLINK("https://scontent.cdninstagram.com/t51.2885-19/s150x150/19428749_463730977322530_5142678997099872256_a.jpg")</f>
        <v>https://scontent.cdninstagram.com/t51.2885-19/s150x150/19428749_463730977322530_5142678997099872256_a.jpg</v>
      </c>
    </row>
    <row r="5337" spans="1:31" ht="15" x14ac:dyDescent="0.25">
      <c r="A5337" t="s">
        <v>2474</v>
      </c>
      <c r="B5337" t="s">
        <v>28020</v>
      </c>
      <c r="C5337" s="221">
        <v>42985.765682870369</v>
      </c>
      <c r="D5337" t="s">
        <v>28021</v>
      </c>
      <c r="E5337" s="249" t="str">
        <f>HYPERLINK("https://www.instagram.com/p/BYwaPqMH-2_/")</f>
        <v>https://www.instagram.com/p/BYwaPqMH-2_/</v>
      </c>
      <c r="F5337" t="s">
        <v>28022</v>
      </c>
      <c r="G5337" t="s">
        <v>2478</v>
      </c>
      <c r="H5337">
        <v>832</v>
      </c>
      <c r="I5337" t="s">
        <v>2479</v>
      </c>
      <c r="J5337">
        <v>2</v>
      </c>
      <c r="K5337">
        <v>27</v>
      </c>
      <c r="L5337">
        <v>29</v>
      </c>
      <c r="Q5337">
        <v>0</v>
      </c>
      <c r="R5337">
        <v>0</v>
      </c>
      <c r="S5337">
        <v>29</v>
      </c>
      <c r="Y5337" t="s">
        <v>10905</v>
      </c>
      <c r="Z5337" t="s">
        <v>3225</v>
      </c>
      <c r="AA5337" t="s">
        <v>3797</v>
      </c>
      <c r="AB5337" t="s">
        <v>13835</v>
      </c>
      <c r="AC5337" t="s">
        <v>6835</v>
      </c>
      <c r="AD5337" s="249" t="str">
        <f>HYPERLINK("https://scontent.cdninstagram.com/t51.2885-15/s320x320/e35/21434039_599282837128352_5809293685631746048_n.jpg")</f>
        <v>https://scontent.cdninstagram.com/t51.2885-15/s320x320/e35/21434039_599282837128352_5809293685631746048_n.jpg</v>
      </c>
      <c r="AE5337" s="249" t="str">
        <f>HYPERLINK("https://scontent.cdninstagram.com/t51.2885-19/s150x150/20688425_750308518491764_1148134570281926656_a.jpg")</f>
        <v>https://scontent.cdninstagram.com/t51.2885-19/s150x150/20688425_750308518491764_1148134570281926656_a.jpg</v>
      </c>
    </row>
    <row r="5338" spans="1:31" ht="15" x14ac:dyDescent="0.25">
      <c r="A5338" t="s">
        <v>2474</v>
      </c>
      <c r="B5338" t="s">
        <v>28023</v>
      </c>
      <c r="C5338" s="221">
        <v>42985.767858796295</v>
      </c>
      <c r="D5338" t="s">
        <v>28024</v>
      </c>
      <c r="E5338" s="249" t="str">
        <f>HYPERLINK("https://www.instagram.com/p/BYwamsNBqk-/")</f>
        <v>https://www.instagram.com/p/BYwamsNBqk-/</v>
      </c>
      <c r="F5338" t="s">
        <v>28025</v>
      </c>
      <c r="G5338" t="s">
        <v>2478</v>
      </c>
      <c r="H5338">
        <v>570</v>
      </c>
      <c r="I5338" t="s">
        <v>2479</v>
      </c>
      <c r="J5338">
        <v>2</v>
      </c>
      <c r="K5338">
        <v>44</v>
      </c>
      <c r="L5338">
        <v>46</v>
      </c>
      <c r="Q5338">
        <v>0</v>
      </c>
      <c r="R5338">
        <v>0</v>
      </c>
      <c r="S5338">
        <v>46</v>
      </c>
      <c r="Y5338" t="s">
        <v>5765</v>
      </c>
      <c r="Z5338" t="s">
        <v>28026</v>
      </c>
      <c r="AA5338" t="s">
        <v>28027</v>
      </c>
      <c r="AB5338" t="s">
        <v>28028</v>
      </c>
      <c r="AC5338" t="s">
        <v>28029</v>
      </c>
      <c r="AD5338" s="249" t="str">
        <f>HYPERLINK("https://scontent.cdninstagram.com/t51.2885-15/s320x320/e35/21373068_1660475337319338_619802676036632576_n.jpg")</f>
        <v>https://scontent.cdninstagram.com/t51.2885-15/s320x320/e35/21373068_1660475337319338_619802676036632576_n.jpg</v>
      </c>
      <c r="AE5338" s="249" t="str">
        <f>HYPERLINK("https://scontent.cdninstagram.com/t51.2885-19/s150x150/21373039_134572337161745_603241965043056640_a.jpg")</f>
        <v>https://scontent.cdninstagram.com/t51.2885-19/s150x150/21373039_134572337161745_603241965043056640_a.jpg</v>
      </c>
    </row>
    <row r="5339" spans="1:31" ht="15" x14ac:dyDescent="0.25">
      <c r="A5339" t="s">
        <v>2474</v>
      </c>
      <c r="B5339" t="s">
        <v>7793</v>
      </c>
      <c r="C5339" s="221">
        <v>42985.769189814811</v>
      </c>
      <c r="D5339" t="s">
        <v>28030</v>
      </c>
      <c r="E5339" s="249" t="str">
        <f>HYPERLINK("https://www.instagram.com/p/BYwa0sXlMuB/")</f>
        <v>https://www.instagram.com/p/BYwa0sXlMuB/</v>
      </c>
      <c r="F5339" t="s">
        <v>28031</v>
      </c>
      <c r="G5339" t="s">
        <v>2478</v>
      </c>
      <c r="H5339">
        <v>5825</v>
      </c>
      <c r="I5339" t="s">
        <v>2479</v>
      </c>
      <c r="J5339">
        <v>1</v>
      </c>
      <c r="K5339">
        <v>198</v>
      </c>
      <c r="L5339">
        <v>199</v>
      </c>
      <c r="Q5339">
        <v>0</v>
      </c>
      <c r="R5339">
        <v>0</v>
      </c>
      <c r="S5339">
        <v>199</v>
      </c>
      <c r="Y5339" t="s">
        <v>12270</v>
      </c>
      <c r="Z5339" t="s">
        <v>6746</v>
      </c>
      <c r="AA5339" t="s">
        <v>3174</v>
      </c>
      <c r="AB5339" t="s">
        <v>2651</v>
      </c>
      <c r="AC5339" t="s">
        <v>5644</v>
      </c>
      <c r="AD5339" s="249" t="str">
        <f>HYPERLINK("https://scontent.cdninstagram.com/t51.2885-15/s320x320/e35/21433800_1957396724502738_5148039627386388480_n.jpg")</f>
        <v>https://scontent.cdninstagram.com/t51.2885-15/s320x320/e35/21433800_1957396724502738_5148039627386388480_n.jpg</v>
      </c>
      <c r="AE5339" s="249" t="str">
        <f>HYPERLINK("https://scontent.cdninstagram.com/t51.2885-19/s150x150/14295311_507350922808081_1928455761_a.jpg")</f>
        <v>https://scontent.cdninstagram.com/t51.2885-19/s150x150/14295311_507350922808081_1928455761_a.jpg</v>
      </c>
    </row>
    <row r="5340" spans="1:31" ht="15" x14ac:dyDescent="0.25">
      <c r="A5340" t="s">
        <v>2474</v>
      </c>
      <c r="B5340" t="s">
        <v>28032</v>
      </c>
      <c r="C5340" s="221">
        <v>42985.774965277778</v>
      </c>
      <c r="D5340" t="s">
        <v>28033</v>
      </c>
      <c r="E5340" s="249" t="str">
        <f>HYPERLINK("https://www.instagram.com/p/BYwbxjagIUD/")</f>
        <v>https://www.instagram.com/p/BYwbxjagIUD/</v>
      </c>
      <c r="F5340" t="s">
        <v>28034</v>
      </c>
      <c r="G5340" t="s">
        <v>2478</v>
      </c>
      <c r="H5340">
        <v>31</v>
      </c>
      <c r="I5340" t="s">
        <v>2479</v>
      </c>
      <c r="J5340">
        <v>0</v>
      </c>
      <c r="K5340">
        <v>8</v>
      </c>
      <c r="L5340">
        <v>8</v>
      </c>
      <c r="Q5340">
        <v>0</v>
      </c>
      <c r="R5340">
        <v>0</v>
      </c>
      <c r="S5340">
        <v>8</v>
      </c>
      <c r="Y5340" t="s">
        <v>8047</v>
      </c>
      <c r="Z5340" t="s">
        <v>2832</v>
      </c>
      <c r="AA5340" t="s">
        <v>4761</v>
      </c>
      <c r="AB5340" t="s">
        <v>2497</v>
      </c>
      <c r="AC5340" t="s">
        <v>2562</v>
      </c>
      <c r="AD5340" s="249" t="str">
        <f>HYPERLINK("https://scontent.cdninstagram.com/t51.2885-15/s320x320/e35/21433720_349900935461865_3843611291692302336_n.jpg")</f>
        <v>https://scontent.cdninstagram.com/t51.2885-15/s320x320/e35/21433720_349900935461865_3843611291692302336_n.jpg</v>
      </c>
      <c r="AE5340" s="249" t="str">
        <f>HYPERLINK("https://scontent.cdninstagram.com/t51.2885-19/s150x150/21690597_706153609583867_2412933418829479936_n.jpg")</f>
        <v>https://scontent.cdninstagram.com/t51.2885-19/s150x150/21690597_706153609583867_2412933418829479936_n.jpg</v>
      </c>
    </row>
    <row r="5341" spans="1:31" ht="15" x14ac:dyDescent="0.25">
      <c r="A5341" t="s">
        <v>2474</v>
      </c>
      <c r="B5341" t="s">
        <v>10347</v>
      </c>
      <c r="C5341" s="221">
        <v>42985.776562500003</v>
      </c>
      <c r="D5341" t="s">
        <v>28035</v>
      </c>
      <c r="E5341" s="249" t="str">
        <f>HYPERLINK("https://www.instagram.com/p/BYwcCbaAJAf/")</f>
        <v>https://www.instagram.com/p/BYwcCbaAJAf/</v>
      </c>
      <c r="F5341" t="s">
        <v>28036</v>
      </c>
      <c r="G5341" t="s">
        <v>2478</v>
      </c>
      <c r="I5341" t="s">
        <v>2479</v>
      </c>
      <c r="J5341">
        <v>2</v>
      </c>
      <c r="K5341">
        <v>272</v>
      </c>
      <c r="L5341">
        <v>274</v>
      </c>
      <c r="Q5341">
        <v>0</v>
      </c>
      <c r="R5341">
        <v>0</v>
      </c>
      <c r="S5341">
        <v>274</v>
      </c>
      <c r="T5341" t="s">
        <v>7301</v>
      </c>
      <c r="V5341" t="s">
        <v>2125</v>
      </c>
      <c r="W5341">
        <v>43.7166</v>
      </c>
      <c r="X5341">
        <v>-79.340699999999998</v>
      </c>
      <c r="Y5341" t="s">
        <v>10351</v>
      </c>
      <c r="Z5341" t="s">
        <v>28037</v>
      </c>
      <c r="AA5341" t="s">
        <v>2497</v>
      </c>
      <c r="AB5341" t="s">
        <v>28038</v>
      </c>
      <c r="AC5341" t="s">
        <v>7201</v>
      </c>
      <c r="AD5341" s="249" t="str">
        <f>HYPERLINK("https://scontent.cdninstagram.com/t51.2885-15/e35/p320x320/21433722_895713870577055_7808145583717220352_n.jpg")</f>
        <v>https://scontent.cdninstagram.com/t51.2885-15/e35/p320x320/21433722_895713870577055_7808145583717220352_n.jpg</v>
      </c>
      <c r="AE5341" s="249" t="str">
        <f>HYPERLINK("https://scontent.cdninstagram.com/t51.2885-19/s150x150/18812096_1273607799424638_5713563009247346688_a.jpg")</f>
        <v>https://scontent.cdninstagram.com/t51.2885-19/s150x150/18812096_1273607799424638_5713563009247346688_a.jpg</v>
      </c>
    </row>
    <row r="5342" spans="1:31" ht="15" x14ac:dyDescent="0.25">
      <c r="A5342" t="s">
        <v>2474</v>
      </c>
      <c r="B5342" t="s">
        <v>28039</v>
      </c>
      <c r="C5342" s="221">
        <v>42985.783263888887</v>
      </c>
      <c r="D5342" t="s">
        <v>28040</v>
      </c>
      <c r="E5342" s="249" t="str">
        <f>HYPERLINK("https://www.instagram.com/p/BYwdJEhn5Bk/")</f>
        <v>https://www.instagram.com/p/BYwdJEhn5Bk/</v>
      </c>
      <c r="F5342" t="s">
        <v>28041</v>
      </c>
      <c r="G5342" t="s">
        <v>2478</v>
      </c>
      <c r="H5342">
        <v>91</v>
      </c>
      <c r="I5342" t="s">
        <v>2479</v>
      </c>
      <c r="J5342">
        <v>1</v>
      </c>
      <c r="K5342">
        <v>14</v>
      </c>
      <c r="L5342">
        <v>15</v>
      </c>
      <c r="Q5342">
        <v>0</v>
      </c>
      <c r="R5342">
        <v>0</v>
      </c>
      <c r="S5342">
        <v>15</v>
      </c>
      <c r="Y5342" t="s">
        <v>12749</v>
      </c>
      <c r="Z5342" t="s">
        <v>2730</v>
      </c>
      <c r="AA5342" t="s">
        <v>11400</v>
      </c>
      <c r="AB5342" t="s">
        <v>2497</v>
      </c>
      <c r="AC5342" t="s">
        <v>14968</v>
      </c>
      <c r="AD5342" s="249" t="str">
        <f>HYPERLINK("https://scontent.cdninstagram.com/t51.2885-15/s320x320/e35/21435390_1918188745098614_7744744247156277248_n.jpg")</f>
        <v>https://scontent.cdninstagram.com/t51.2885-15/s320x320/e35/21435390_1918188745098614_7744744247156277248_n.jpg</v>
      </c>
      <c r="AE5342" s="249" t="str">
        <f>HYPERLINK("https://scontent.cdninstagram.com/t51.2885-19/s150x150/20987424_2053967604824212_8683310698593255424_a.jpg")</f>
        <v>https://scontent.cdninstagram.com/t51.2885-19/s150x150/20987424_2053967604824212_8683310698593255424_a.jpg</v>
      </c>
    </row>
    <row r="5343" spans="1:31" ht="15" x14ac:dyDescent="0.25">
      <c r="A5343" t="s">
        <v>2474</v>
      </c>
      <c r="B5343" t="s">
        <v>28042</v>
      </c>
      <c r="C5343" s="221">
        <v>42985.784398148149</v>
      </c>
      <c r="D5343" t="s">
        <v>28043</v>
      </c>
      <c r="E5343" s="249" t="str">
        <f>HYPERLINK("https://www.instagram.com/p/BYwdVEVB7ql/")</f>
        <v>https://www.instagram.com/p/BYwdVEVB7ql/</v>
      </c>
      <c r="F5343" t="s">
        <v>28044</v>
      </c>
      <c r="G5343" t="s">
        <v>2478</v>
      </c>
      <c r="I5343" t="s">
        <v>2479</v>
      </c>
      <c r="J5343">
        <v>0</v>
      </c>
      <c r="K5343">
        <v>57</v>
      </c>
      <c r="L5343">
        <v>57</v>
      </c>
      <c r="Q5343">
        <v>0</v>
      </c>
      <c r="R5343">
        <v>0</v>
      </c>
      <c r="S5343">
        <v>57</v>
      </c>
      <c r="T5343" t="s">
        <v>28045</v>
      </c>
      <c r="U5343" t="s">
        <v>97</v>
      </c>
      <c r="V5343" t="s">
        <v>2299</v>
      </c>
      <c r="W5343">
        <v>34.0304</v>
      </c>
      <c r="X5343">
        <v>-118.779</v>
      </c>
      <c r="Y5343" t="s">
        <v>28046</v>
      </c>
      <c r="Z5343" t="s">
        <v>28047</v>
      </c>
      <c r="AA5343" t="s">
        <v>2497</v>
      </c>
      <c r="AB5343" t="s">
        <v>2696</v>
      </c>
      <c r="AC5343" t="s">
        <v>28048</v>
      </c>
      <c r="AD5343" s="249" t="str">
        <f>HYPERLINK("https://scontent.cdninstagram.com/t51.2885-15/s320x320/e35/21479713_176893052857929_4442877049027166208_n.jpg")</f>
        <v>https://scontent.cdninstagram.com/t51.2885-15/s320x320/e35/21479713_176893052857929_4442877049027166208_n.jpg</v>
      </c>
      <c r="AE5343" s="249" t="str">
        <f>HYPERLINK("https://scontent.cdninstagram.com/t51.2885-19/s150x150/21569024_1219541498192492_5133083614958845952_n.jpg")</f>
        <v>https://scontent.cdninstagram.com/t51.2885-19/s150x150/21569024_1219541498192492_5133083614958845952_n.jpg</v>
      </c>
    </row>
    <row r="5344" spans="1:31" ht="15" x14ac:dyDescent="0.25">
      <c r="A5344" t="s">
        <v>2474</v>
      </c>
      <c r="B5344" t="s">
        <v>27278</v>
      </c>
      <c r="C5344" s="221">
        <v>42985.787268518521</v>
      </c>
      <c r="D5344" t="s">
        <v>28049</v>
      </c>
      <c r="E5344" s="249" t="str">
        <f>HYPERLINK("https://www.instagram.com/p/BYwdzUUAy4z/")</f>
        <v>https://www.instagram.com/p/BYwdzUUAy4z/</v>
      </c>
      <c r="F5344" t="s">
        <v>28050</v>
      </c>
      <c r="G5344" t="s">
        <v>2478</v>
      </c>
      <c r="H5344">
        <v>8</v>
      </c>
      <c r="I5344" t="s">
        <v>2479</v>
      </c>
      <c r="J5344">
        <v>0</v>
      </c>
      <c r="K5344">
        <v>3</v>
      </c>
      <c r="L5344">
        <v>3</v>
      </c>
      <c r="Q5344">
        <v>0</v>
      </c>
      <c r="R5344">
        <v>0</v>
      </c>
      <c r="S5344">
        <v>3</v>
      </c>
      <c r="T5344" t="s">
        <v>7912</v>
      </c>
      <c r="U5344" t="s">
        <v>262</v>
      </c>
      <c r="V5344" t="s">
        <v>2299</v>
      </c>
      <c r="W5344">
        <v>34.735999999999997</v>
      </c>
      <c r="X5344">
        <v>-92.331100000000006</v>
      </c>
      <c r="Y5344" t="s">
        <v>28051</v>
      </c>
      <c r="Z5344" t="s">
        <v>27278</v>
      </c>
      <c r="AA5344" t="s">
        <v>2730</v>
      </c>
      <c r="AB5344" t="s">
        <v>3225</v>
      </c>
      <c r="AC5344" t="s">
        <v>5521</v>
      </c>
      <c r="AD5344" s="249" t="str">
        <f>HYPERLINK("https://scontent.cdninstagram.com/t51.2885-15/s320x320/e35/21480202_130936357534147_5513020850074288128_n.jpg")</f>
        <v>https://scontent.cdninstagram.com/t51.2885-15/s320x320/e35/21480202_130936357534147_5513020850074288128_n.jpg</v>
      </c>
      <c r="AE5344" s="249" t="str">
        <f>HYPERLINK("https://scontent.cdninstagram.com/t51.2885-19/s150x150/21147641_470378626665504_4847693874342133760_a.jpg")</f>
        <v>https://scontent.cdninstagram.com/t51.2885-19/s150x150/21147641_470378626665504_4847693874342133760_a.jpg</v>
      </c>
    </row>
    <row r="5345" spans="1:31" ht="15" x14ac:dyDescent="0.25">
      <c r="A5345" t="s">
        <v>2474</v>
      </c>
      <c r="B5345" t="s">
        <v>28052</v>
      </c>
      <c r="C5345" s="221">
        <v>42985.799560185187</v>
      </c>
      <c r="D5345" t="s">
        <v>28053</v>
      </c>
      <c r="E5345" s="249" t="str">
        <f>HYPERLINK("https://www.instagram.com/p/BYwf07bn8Sz/")</f>
        <v>https://www.instagram.com/p/BYwf07bn8Sz/</v>
      </c>
      <c r="F5345" t="s">
        <v>28054</v>
      </c>
      <c r="G5345" t="s">
        <v>2478</v>
      </c>
      <c r="H5345">
        <v>503</v>
      </c>
      <c r="I5345" t="s">
        <v>2479</v>
      </c>
      <c r="J5345">
        <v>0</v>
      </c>
      <c r="K5345">
        <v>26</v>
      </c>
      <c r="L5345">
        <v>26</v>
      </c>
      <c r="Q5345">
        <v>0</v>
      </c>
      <c r="R5345">
        <v>0</v>
      </c>
      <c r="S5345">
        <v>26</v>
      </c>
      <c r="Y5345" t="s">
        <v>2497</v>
      </c>
      <c r="AD5345" s="249" t="str">
        <f>HYPERLINK("https://scontent.cdninstagram.com/t51.2885-15/s320x320/e35/21373142_1333762643413848_2436029502384504832_n.jpg")</f>
        <v>https://scontent.cdninstagram.com/t51.2885-15/s320x320/e35/21373142_1333762643413848_2436029502384504832_n.jpg</v>
      </c>
      <c r="AE5345" s="249" t="str">
        <f>HYPERLINK("https://scontent.cdninstagram.com/t51.2885-19/s150x150/21577262_131500937484521_1606600862883381248_a.jpg")</f>
        <v>https://scontent.cdninstagram.com/t51.2885-19/s150x150/21577262_131500937484521_1606600862883381248_a.jpg</v>
      </c>
    </row>
    <row r="5346" spans="1:31" ht="15" x14ac:dyDescent="0.25">
      <c r="A5346" t="s">
        <v>2474</v>
      </c>
      <c r="B5346" t="s">
        <v>28055</v>
      </c>
      <c r="C5346" s="221">
        <v>42985.80877314815</v>
      </c>
      <c r="D5346" t="s">
        <v>28056</v>
      </c>
      <c r="E5346" s="249" t="str">
        <f>HYPERLINK("https://www.instagram.com/p/BYwhWKsBXUz/")</f>
        <v>https://www.instagram.com/p/BYwhWKsBXUz/</v>
      </c>
      <c r="F5346" t="s">
        <v>28057</v>
      </c>
      <c r="G5346" t="s">
        <v>2478</v>
      </c>
      <c r="H5346">
        <v>2424</v>
      </c>
      <c r="I5346" t="s">
        <v>2910</v>
      </c>
      <c r="J5346">
        <v>1</v>
      </c>
      <c r="K5346">
        <v>175</v>
      </c>
      <c r="L5346">
        <v>176</v>
      </c>
      <c r="Q5346">
        <v>0</v>
      </c>
      <c r="R5346">
        <v>0</v>
      </c>
      <c r="S5346">
        <v>176</v>
      </c>
      <c r="Y5346" t="s">
        <v>28058</v>
      </c>
      <c r="Z5346" t="s">
        <v>21819</v>
      </c>
      <c r="AA5346" t="s">
        <v>18376</v>
      </c>
      <c r="AB5346" t="s">
        <v>28059</v>
      </c>
      <c r="AC5346" t="s">
        <v>2497</v>
      </c>
      <c r="AD5346" s="249" t="str">
        <f>HYPERLINK("https://scontent.cdninstagram.com/t51.2885-15/s320x320/e35/21433604_909102399245215_9100096390876364800_n.jpg")</f>
        <v>https://scontent.cdninstagram.com/t51.2885-15/s320x320/e35/21433604_909102399245215_9100096390876364800_n.jpg</v>
      </c>
      <c r="AE5346" s="249" t="str">
        <f>HYPERLINK("https://scontent.cdninstagram.com/t51.2885-19/s150x150/15538240_1291529504200584_5618289944448466944_a.jpg")</f>
        <v>https://scontent.cdninstagram.com/t51.2885-19/s150x150/15538240_1291529504200584_5618289944448466944_a.jpg</v>
      </c>
    </row>
    <row r="5347" spans="1:31" ht="15" x14ac:dyDescent="0.25">
      <c r="A5347" t="s">
        <v>2474</v>
      </c>
      <c r="B5347" t="s">
        <v>3015</v>
      </c>
      <c r="C5347" s="221">
        <v>42985.830949074072</v>
      </c>
      <c r="D5347" t="s">
        <v>28060</v>
      </c>
      <c r="E5347" s="249" t="str">
        <f>HYPERLINK("https://www.instagram.com/p/BYwlAAIgvUc/")</f>
        <v>https://www.instagram.com/p/BYwlAAIgvUc/</v>
      </c>
      <c r="F5347" t="s">
        <v>28061</v>
      </c>
      <c r="G5347" t="s">
        <v>2478</v>
      </c>
      <c r="H5347">
        <v>278</v>
      </c>
      <c r="I5347" t="s">
        <v>2479</v>
      </c>
      <c r="J5347">
        <v>3</v>
      </c>
      <c r="K5347">
        <v>58</v>
      </c>
      <c r="L5347">
        <v>61</v>
      </c>
      <c r="Q5347">
        <v>0</v>
      </c>
      <c r="R5347">
        <v>0</v>
      </c>
      <c r="S5347">
        <v>61</v>
      </c>
      <c r="Y5347" t="s">
        <v>3493</v>
      </c>
      <c r="Z5347" t="s">
        <v>7275</v>
      </c>
      <c r="AA5347" t="s">
        <v>4126</v>
      </c>
      <c r="AB5347" t="s">
        <v>3165</v>
      </c>
      <c r="AC5347" t="s">
        <v>3855</v>
      </c>
      <c r="AD5347" s="249" t="str">
        <f>HYPERLINK("https://scontent.cdninstagram.com/t51.2885-15/s320x320/e35/21433973_929147280556767_3046819928284856320_n.jpg")</f>
        <v>https://scontent.cdninstagram.com/t51.2885-15/s320x320/e35/21433973_929147280556767_3046819928284856320_n.jpg</v>
      </c>
      <c r="AE5347" s="249" t="str">
        <f>HYPERLINK("https://scontent.cdninstagram.com/t51.2885-19/s150x150/21373025_723410537866046_6184601968204316672_a.jpg")</f>
        <v>https://scontent.cdninstagram.com/t51.2885-19/s150x150/21373025_723410537866046_6184601968204316672_a.jpg</v>
      </c>
    </row>
    <row r="5348" spans="1:31" ht="15" x14ac:dyDescent="0.25">
      <c r="A5348" t="s">
        <v>2474</v>
      </c>
      <c r="B5348" t="s">
        <v>23337</v>
      </c>
      <c r="C5348" s="221">
        <v>42985.85193287037</v>
      </c>
      <c r="D5348" t="s">
        <v>28062</v>
      </c>
      <c r="E5348" s="249" t="str">
        <f>HYPERLINK("https://www.instagram.com/p/BYwodavFPnX/")</f>
        <v>https://www.instagram.com/p/BYwodavFPnX/</v>
      </c>
      <c r="F5348" t="s">
        <v>28063</v>
      </c>
      <c r="G5348" t="s">
        <v>2478</v>
      </c>
      <c r="H5348">
        <v>81</v>
      </c>
      <c r="I5348" t="s">
        <v>2479</v>
      </c>
      <c r="J5348">
        <v>2</v>
      </c>
      <c r="K5348">
        <v>22</v>
      </c>
      <c r="L5348">
        <v>24</v>
      </c>
      <c r="Q5348">
        <v>0</v>
      </c>
      <c r="R5348">
        <v>0</v>
      </c>
      <c r="S5348">
        <v>24</v>
      </c>
      <c r="Y5348" t="s">
        <v>28064</v>
      </c>
      <c r="Z5348" t="s">
        <v>10684</v>
      </c>
      <c r="AA5348" t="s">
        <v>28065</v>
      </c>
      <c r="AB5348" t="s">
        <v>2497</v>
      </c>
      <c r="AC5348" t="s">
        <v>28066</v>
      </c>
      <c r="AD5348" s="249" t="str">
        <f>HYPERLINK("https://scontent.cdninstagram.com/t51.2885-15/s320x320/e35/21373434_1576271252434887_4992600551876198400_n.jpg")</f>
        <v>https://scontent.cdninstagram.com/t51.2885-15/s320x320/e35/21373434_1576271252434887_4992600551876198400_n.jpg</v>
      </c>
      <c r="AE5348" s="249" t="str">
        <f>HYPERLINK("https://scontent.cdninstagram.com/t51.2885-19/s150x150/20837596_173660393178697_7240552938152656896_a.jpg")</f>
        <v>https://scontent.cdninstagram.com/t51.2885-19/s150x150/20837596_173660393178697_7240552938152656896_a.jpg</v>
      </c>
    </row>
    <row r="5349" spans="1:31" ht="15" x14ac:dyDescent="0.25">
      <c r="A5349" t="s">
        <v>2474</v>
      </c>
      <c r="B5349" t="s">
        <v>28067</v>
      </c>
      <c r="C5349" s="221">
        <v>42985.856400462966</v>
      </c>
      <c r="D5349" t="s">
        <v>28068</v>
      </c>
      <c r="E5349" s="249" t="str">
        <f>HYPERLINK("https://www.instagram.com/p/BYwpMfInXUU/")</f>
        <v>https://www.instagram.com/p/BYwpMfInXUU/</v>
      </c>
      <c r="F5349" t="s">
        <v>28069</v>
      </c>
      <c r="G5349" t="s">
        <v>2478</v>
      </c>
      <c r="H5349">
        <v>158</v>
      </c>
      <c r="I5349" t="s">
        <v>3025</v>
      </c>
      <c r="J5349">
        <v>3</v>
      </c>
      <c r="K5349">
        <v>29</v>
      </c>
      <c r="L5349">
        <v>32</v>
      </c>
      <c r="Q5349">
        <v>0</v>
      </c>
      <c r="R5349">
        <v>0</v>
      </c>
      <c r="S5349">
        <v>32</v>
      </c>
      <c r="Y5349" t="s">
        <v>28070</v>
      </c>
      <c r="Z5349" t="s">
        <v>3655</v>
      </c>
      <c r="AA5349" t="s">
        <v>2497</v>
      </c>
      <c r="AB5349" t="s">
        <v>28071</v>
      </c>
      <c r="AC5349" t="s">
        <v>22133</v>
      </c>
      <c r="AD5349" s="249" t="str">
        <f>HYPERLINK("https://scontent.cdninstagram.com/t51.2885-15/e35/p320x320/21436153_115424412470680_1721223902107009024_n.jpg")</f>
        <v>https://scontent.cdninstagram.com/t51.2885-15/e35/p320x320/21436153_115424412470680_1721223902107009024_n.jpg</v>
      </c>
      <c r="AE5349" s="249" t="str">
        <f>HYPERLINK("https://scontent.cdninstagram.com/t51.2885-19/s150x150/17265670_1762474534067386_5962564777615032320_a.jpg")</f>
        <v>https://scontent.cdninstagram.com/t51.2885-19/s150x150/17265670_1762474534067386_5962564777615032320_a.jpg</v>
      </c>
    </row>
    <row r="5350" spans="1:31" ht="15" x14ac:dyDescent="0.25">
      <c r="A5350" t="s">
        <v>2474</v>
      </c>
      <c r="B5350" t="s">
        <v>23337</v>
      </c>
      <c r="C5350" s="221">
        <v>42985.856724537036</v>
      </c>
      <c r="D5350" t="s">
        <v>28072</v>
      </c>
      <c r="E5350" s="249" t="str">
        <f>HYPERLINK("https://www.instagram.com/p/BYwpP29lTqx/")</f>
        <v>https://www.instagram.com/p/BYwpP29lTqx/</v>
      </c>
      <c r="F5350" t="s">
        <v>28073</v>
      </c>
      <c r="G5350" t="s">
        <v>2478</v>
      </c>
      <c r="H5350">
        <v>81</v>
      </c>
      <c r="I5350" t="s">
        <v>3170</v>
      </c>
      <c r="J5350">
        <v>0</v>
      </c>
      <c r="K5350">
        <v>24</v>
      </c>
      <c r="L5350">
        <v>24</v>
      </c>
      <c r="Q5350">
        <v>0</v>
      </c>
      <c r="R5350">
        <v>0</v>
      </c>
      <c r="S5350">
        <v>24</v>
      </c>
      <c r="T5350" t="s">
        <v>28074</v>
      </c>
      <c r="V5350" t="s">
        <v>2125</v>
      </c>
      <c r="W5350">
        <v>49.25</v>
      </c>
      <c r="X5350">
        <v>-122.95</v>
      </c>
      <c r="Y5350" t="s">
        <v>28064</v>
      </c>
      <c r="Z5350" t="s">
        <v>10684</v>
      </c>
      <c r="AA5350" t="s">
        <v>2497</v>
      </c>
      <c r="AB5350" t="s">
        <v>2696</v>
      </c>
      <c r="AC5350" t="s">
        <v>23342</v>
      </c>
      <c r="AD5350" s="249" t="str">
        <f>HYPERLINK("https://scontent.cdninstagram.com/t51.2885-15/s320x320/e35/21434192_1922902434699487_745930721465466880_n.jpg")</f>
        <v>https://scontent.cdninstagram.com/t51.2885-15/s320x320/e35/21434192_1922902434699487_745930721465466880_n.jpg</v>
      </c>
      <c r="AE5350" s="249" t="str">
        <f>HYPERLINK("https://scontent.cdninstagram.com/t51.2885-19/s150x150/20837596_173660393178697_7240552938152656896_a.jpg")</f>
        <v>https://scontent.cdninstagram.com/t51.2885-19/s150x150/20837596_173660393178697_7240552938152656896_a.jpg</v>
      </c>
    </row>
    <row r="5351" spans="1:31" ht="15" x14ac:dyDescent="0.25">
      <c r="A5351" t="s">
        <v>2474</v>
      </c>
      <c r="B5351" t="s">
        <v>10736</v>
      </c>
      <c r="C5351" s="221">
        <v>42985.856817129628</v>
      </c>
      <c r="D5351" t="s">
        <v>28075</v>
      </c>
      <c r="E5351" s="249" t="str">
        <f>HYPERLINK("https://www.instagram.com/p/BYwpQ2nAbNB/")</f>
        <v>https://www.instagram.com/p/BYwpQ2nAbNB/</v>
      </c>
      <c r="F5351" t="s">
        <v>28076</v>
      </c>
      <c r="G5351" t="s">
        <v>2478</v>
      </c>
      <c r="H5351">
        <v>188</v>
      </c>
      <c r="I5351" t="s">
        <v>3273</v>
      </c>
      <c r="J5351">
        <v>0</v>
      </c>
      <c r="K5351">
        <v>8</v>
      </c>
      <c r="L5351">
        <v>8</v>
      </c>
      <c r="Q5351">
        <v>0</v>
      </c>
      <c r="R5351">
        <v>0</v>
      </c>
      <c r="S5351">
        <v>8</v>
      </c>
      <c r="Y5351" t="s">
        <v>10736</v>
      </c>
      <c r="Z5351" t="s">
        <v>2497</v>
      </c>
      <c r="AD5351" s="249" t="str">
        <f>HYPERLINK("https://scontent.cdninstagram.com/t51.2885-15/e35/p320x320/20398504_1418864928234505_3041373128069480448_n.jpg")</f>
        <v>https://scontent.cdninstagram.com/t51.2885-15/e35/p320x320/20398504_1418864928234505_3041373128069480448_n.jpg</v>
      </c>
      <c r="AE5351" s="249" t="str">
        <f>HYPERLINK("https://scontent.cdninstagram.com/t51.2885-19/s150x150/14099257_273302949721135_1868814294_a.jpg")</f>
        <v>https://scontent.cdninstagram.com/t51.2885-19/s150x150/14099257_273302949721135_1868814294_a.jpg</v>
      </c>
    </row>
    <row r="5352" spans="1:31" ht="15" x14ac:dyDescent="0.25">
      <c r="A5352" t="s">
        <v>2474</v>
      </c>
      <c r="B5352" t="s">
        <v>3565</v>
      </c>
      <c r="C5352" s="221">
        <v>42985.858935185184</v>
      </c>
      <c r="D5352" t="s">
        <v>28077</v>
      </c>
      <c r="E5352" s="249" t="str">
        <f>HYPERLINK("https://www.instagram.com/p/BYwpnNigDR7/")</f>
        <v>https://www.instagram.com/p/BYwpnNigDR7/</v>
      </c>
      <c r="F5352" t="s">
        <v>4185</v>
      </c>
      <c r="G5352" t="s">
        <v>2478</v>
      </c>
      <c r="H5352">
        <v>57571</v>
      </c>
      <c r="I5352" t="s">
        <v>2479</v>
      </c>
      <c r="J5352">
        <v>4</v>
      </c>
      <c r="K5352">
        <v>578</v>
      </c>
      <c r="L5352">
        <v>582</v>
      </c>
      <c r="Q5352">
        <v>0</v>
      </c>
      <c r="R5352">
        <v>0</v>
      </c>
      <c r="S5352">
        <v>582</v>
      </c>
      <c r="Y5352" t="s">
        <v>28078</v>
      </c>
      <c r="Z5352" t="s">
        <v>3571</v>
      </c>
      <c r="AA5352" t="s">
        <v>2775</v>
      </c>
      <c r="AB5352" t="s">
        <v>5706</v>
      </c>
      <c r="AC5352" t="s">
        <v>3568</v>
      </c>
      <c r="AD5352" s="249" t="str">
        <f>HYPERLINK("https://scontent.cdninstagram.com/t51.2885-15/s320x320/e35/21435955_279750879207728_8975828044811862016_n.jpg")</f>
        <v>https://scontent.cdninstagram.com/t51.2885-15/s320x320/e35/21435955_279750879207728_8975828044811862016_n.jpg</v>
      </c>
      <c r="AE5352" s="249" t="str">
        <f>HYPERLINK("https://scontent.cdninstagram.com/t51.2885-19/s150x150/10268950_1639938246262719_2023719557_a.jpg")</f>
        <v>https://scontent.cdninstagram.com/t51.2885-19/s150x150/10268950_1639938246262719_2023719557_a.jpg</v>
      </c>
    </row>
    <row r="5353" spans="1:31" ht="15" x14ac:dyDescent="0.25">
      <c r="A5353" t="s">
        <v>2474</v>
      </c>
      <c r="B5353" t="s">
        <v>17158</v>
      </c>
      <c r="C5353" s="221">
        <v>42985.859131944446</v>
      </c>
      <c r="D5353" t="s">
        <v>28079</v>
      </c>
      <c r="E5353" s="249" t="str">
        <f>HYPERLINK("https://www.instagram.com/p/BYwppVBn3r9/")</f>
        <v>https://www.instagram.com/p/BYwppVBn3r9/</v>
      </c>
      <c r="F5353" t="s">
        <v>28080</v>
      </c>
      <c r="G5353" t="s">
        <v>2478</v>
      </c>
      <c r="H5353">
        <v>384</v>
      </c>
      <c r="I5353" t="s">
        <v>2479</v>
      </c>
      <c r="J5353">
        <v>3</v>
      </c>
      <c r="K5353">
        <v>34</v>
      </c>
      <c r="L5353">
        <v>37</v>
      </c>
      <c r="Q5353">
        <v>0</v>
      </c>
      <c r="R5353">
        <v>0</v>
      </c>
      <c r="S5353">
        <v>37</v>
      </c>
      <c r="Y5353" t="s">
        <v>28081</v>
      </c>
      <c r="Z5353" t="s">
        <v>14508</v>
      </c>
      <c r="AA5353" t="s">
        <v>3962</v>
      </c>
      <c r="AB5353" t="s">
        <v>28082</v>
      </c>
      <c r="AC5353" t="s">
        <v>2497</v>
      </c>
      <c r="AD5353" s="249" t="str">
        <f>HYPERLINK("https://scontent.cdninstagram.com/t51.2885-15/s320x320/e35/21480350_269810576867628_409308965969592320_n.jpg")</f>
        <v>https://scontent.cdninstagram.com/t51.2885-15/s320x320/e35/21480350_269810576867628_409308965969592320_n.jpg</v>
      </c>
      <c r="AE5353" s="249" t="str">
        <f>HYPERLINK("https://scontent.cdninstagram.com/t51.2885-19/s150x150/13658639_315931348749567_46952542_a.jpg")</f>
        <v>https://scontent.cdninstagram.com/t51.2885-19/s150x150/13658639_315931348749567_46952542_a.jpg</v>
      </c>
    </row>
    <row r="5354" spans="1:31" ht="15" x14ac:dyDescent="0.25">
      <c r="A5354" t="s">
        <v>2474</v>
      </c>
      <c r="B5354" t="s">
        <v>28083</v>
      </c>
      <c r="C5354" s="221">
        <v>42985.864386574074</v>
      </c>
      <c r="D5354" t="s">
        <v>28084</v>
      </c>
      <c r="E5354" s="249" t="str">
        <f>HYPERLINK("https://www.instagram.com/p/BYwqgvBAj4M/")</f>
        <v>https://www.instagram.com/p/BYwqgvBAj4M/</v>
      </c>
      <c r="F5354" t="s">
        <v>28085</v>
      </c>
      <c r="G5354" t="s">
        <v>2478</v>
      </c>
      <c r="H5354">
        <v>23</v>
      </c>
      <c r="I5354" t="s">
        <v>5670</v>
      </c>
      <c r="J5354">
        <v>0</v>
      </c>
      <c r="K5354">
        <v>2</v>
      </c>
      <c r="L5354">
        <v>2</v>
      </c>
      <c r="Q5354">
        <v>0</v>
      </c>
      <c r="R5354">
        <v>0</v>
      </c>
      <c r="S5354">
        <v>2</v>
      </c>
      <c r="Y5354" t="s">
        <v>2492</v>
      </c>
      <c r="Z5354" t="s">
        <v>2497</v>
      </c>
      <c r="AA5354" t="s">
        <v>8573</v>
      </c>
      <c r="AB5354" t="s">
        <v>3783</v>
      </c>
      <c r="AD5354" s="249" t="str">
        <f>HYPERLINK("https://scontent.cdninstagram.com/t51.2885-15/e35/21433351_1462235713853416_4302175277619871744_n.jpg")</f>
        <v>https://scontent.cdninstagram.com/t51.2885-15/e35/21433351_1462235713853416_4302175277619871744_n.jpg</v>
      </c>
      <c r="AE5354" s="249" t="str">
        <f>HYPERLINK("https://scontent.cdninstagram.com/t51.2885-19/s150x150/20482211_323211328121031_3586157568851968000_a.jpg")</f>
        <v>https://scontent.cdninstagram.com/t51.2885-19/s150x150/20482211_323211328121031_3586157568851968000_a.jpg</v>
      </c>
    </row>
    <row r="5355" spans="1:31" ht="15" x14ac:dyDescent="0.25">
      <c r="A5355" t="s">
        <v>2474</v>
      </c>
      <c r="B5355" t="s">
        <v>28086</v>
      </c>
      <c r="C5355" s="221">
        <v>42985.878275462965</v>
      </c>
      <c r="D5355" t="s">
        <v>28087</v>
      </c>
      <c r="E5355" s="249" t="str">
        <f>HYPERLINK("https://www.instagram.com/p/BYwszMelM8K/")</f>
        <v>https://www.instagram.com/p/BYwszMelM8K/</v>
      </c>
      <c r="F5355" t="s">
        <v>28088</v>
      </c>
      <c r="G5355" t="s">
        <v>2478</v>
      </c>
      <c r="H5355">
        <v>241</v>
      </c>
      <c r="I5355" t="s">
        <v>2479</v>
      </c>
      <c r="J5355">
        <v>0</v>
      </c>
      <c r="K5355">
        <v>34</v>
      </c>
      <c r="L5355">
        <v>34</v>
      </c>
      <c r="Q5355">
        <v>0</v>
      </c>
      <c r="R5355">
        <v>0</v>
      </c>
      <c r="S5355">
        <v>34</v>
      </c>
      <c r="T5355" t="s">
        <v>28089</v>
      </c>
      <c r="V5355" t="s">
        <v>2125</v>
      </c>
      <c r="W5355">
        <v>45.416699999999999</v>
      </c>
      <c r="X5355">
        <v>-75.7</v>
      </c>
      <c r="Y5355" t="s">
        <v>28090</v>
      </c>
      <c r="Z5355" t="s">
        <v>28091</v>
      </c>
      <c r="AA5355" t="s">
        <v>2497</v>
      </c>
      <c r="AB5355" t="s">
        <v>2777</v>
      </c>
      <c r="AC5355" t="s">
        <v>28092</v>
      </c>
      <c r="AD5355" s="249" t="str">
        <f>HYPERLINK("https://scontent.cdninstagram.com/t51.2885-15/s320x320/e35/21480442_360050331083652_6023790270858919936_n.jpg")</f>
        <v>https://scontent.cdninstagram.com/t51.2885-15/s320x320/e35/21480442_360050331083652_6023790270858919936_n.jpg</v>
      </c>
      <c r="AE5355" s="249" t="str">
        <f>HYPERLINK("https://scontent.cdninstagram.com/t51.2885-19/s150x150/18645227_1692356984112317_5921567906025439232_a.jpg")</f>
        <v>https://scontent.cdninstagram.com/t51.2885-19/s150x150/18645227_1692356984112317_5921567906025439232_a.jpg</v>
      </c>
    </row>
    <row r="5356" spans="1:31" ht="15" x14ac:dyDescent="0.25">
      <c r="A5356" t="s">
        <v>2474</v>
      </c>
      <c r="B5356" t="s">
        <v>28093</v>
      </c>
      <c r="C5356" s="221">
        <v>42985.887256944443</v>
      </c>
      <c r="D5356" t="s">
        <v>28094</v>
      </c>
      <c r="E5356" s="249" t="str">
        <f>HYPERLINK("https://www.instagram.com/p/BYwuR8glIxC/")</f>
        <v>https://www.instagram.com/p/BYwuR8glIxC/</v>
      </c>
      <c r="F5356" t="s">
        <v>28095</v>
      </c>
      <c r="G5356" t="s">
        <v>2478</v>
      </c>
      <c r="H5356">
        <v>220</v>
      </c>
      <c r="I5356" t="s">
        <v>2479</v>
      </c>
      <c r="J5356">
        <v>0</v>
      </c>
      <c r="K5356">
        <v>18</v>
      </c>
      <c r="L5356">
        <v>18</v>
      </c>
      <c r="Q5356">
        <v>0</v>
      </c>
      <c r="R5356">
        <v>0</v>
      </c>
      <c r="S5356">
        <v>18</v>
      </c>
      <c r="Y5356" t="s">
        <v>6429</v>
      </c>
      <c r="Z5356" t="s">
        <v>28096</v>
      </c>
      <c r="AA5356" t="s">
        <v>28097</v>
      </c>
      <c r="AB5356" t="s">
        <v>28098</v>
      </c>
      <c r="AC5356" t="s">
        <v>28099</v>
      </c>
      <c r="AD5356" s="249" t="str">
        <f>HYPERLINK("https://scontent.cdninstagram.com/t51.2885-15/s320x320/e35/21373610_1681372441887384_419416823608377344_n.jpg")</f>
        <v>https://scontent.cdninstagram.com/t51.2885-15/s320x320/e35/21373610_1681372441887384_419416823608377344_n.jpg</v>
      </c>
      <c r="AE5356" s="249" t="str">
        <f>HYPERLINK("https://scontent.cdninstagram.com/t51.2885-19/11372412_1613820485554913_1680999544_a.jpg")</f>
        <v>https://scontent.cdninstagram.com/t51.2885-19/11372412_1613820485554913_1680999544_a.jpg</v>
      </c>
    </row>
    <row r="5357" spans="1:31" ht="15" x14ac:dyDescent="0.25">
      <c r="A5357" t="s">
        <v>2474</v>
      </c>
      <c r="B5357" t="s">
        <v>28100</v>
      </c>
      <c r="C5357" s="221">
        <v>42985.887997685182</v>
      </c>
      <c r="D5357" t="s">
        <v>28101</v>
      </c>
      <c r="E5357" s="249" t="str">
        <f>HYPERLINK("https://www.instagram.com/p/BYwuZqwhw4D/")</f>
        <v>https://www.instagram.com/p/BYwuZqwhw4D/</v>
      </c>
      <c r="F5357" t="s">
        <v>28102</v>
      </c>
      <c r="G5357" t="s">
        <v>2478</v>
      </c>
      <c r="H5357">
        <v>555</v>
      </c>
      <c r="I5357" t="s">
        <v>4523</v>
      </c>
      <c r="J5357">
        <v>1</v>
      </c>
      <c r="K5357">
        <v>45</v>
      </c>
      <c r="L5357">
        <v>46</v>
      </c>
      <c r="Q5357">
        <v>0</v>
      </c>
      <c r="R5357">
        <v>0</v>
      </c>
      <c r="S5357">
        <v>46</v>
      </c>
      <c r="T5357" t="s">
        <v>28103</v>
      </c>
      <c r="U5357" t="s">
        <v>99</v>
      </c>
      <c r="V5357" t="s">
        <v>2299</v>
      </c>
      <c r="W5357">
        <v>40.759062333736999</v>
      </c>
      <c r="X5357">
        <v>-73.979441088320002</v>
      </c>
      <c r="Y5357" t="s">
        <v>13957</v>
      </c>
      <c r="Z5357" t="s">
        <v>11085</v>
      </c>
      <c r="AA5357" t="s">
        <v>2730</v>
      </c>
      <c r="AB5357" t="s">
        <v>4833</v>
      </c>
      <c r="AC5357" t="s">
        <v>2497</v>
      </c>
      <c r="AD5357" s="249" t="str">
        <f>HYPERLINK("https://scontent.cdninstagram.com/t51.2885-15/s320x320/e35/21433564_715592888637333_7129051403850350592_n.jpg")</f>
        <v>https://scontent.cdninstagram.com/t51.2885-15/s320x320/e35/21433564_715592888637333_7129051403850350592_n.jpg</v>
      </c>
      <c r="AE5357" s="249" t="str">
        <f>HYPERLINK("https://scontent.cdninstagram.com/t51.2885-19/s150x150/15802278_1321306907943847_5383081412012277760_n.jpg")</f>
        <v>https://scontent.cdninstagram.com/t51.2885-19/s150x150/15802278_1321306907943847_5383081412012277760_n.jpg</v>
      </c>
    </row>
    <row r="5358" spans="1:31" ht="15" x14ac:dyDescent="0.25">
      <c r="A5358" t="s">
        <v>2474</v>
      </c>
      <c r="B5358" t="s">
        <v>25241</v>
      </c>
      <c r="C5358" s="221">
        <v>42985.907997685186</v>
      </c>
      <c r="D5358" t="s">
        <v>28104</v>
      </c>
      <c r="E5358" s="249" t="str">
        <f>HYPERLINK("https://www.instagram.com/p/BYwxsozhMJG/")</f>
        <v>https://www.instagram.com/p/BYwxsozhMJG/</v>
      </c>
      <c r="F5358" t="s">
        <v>28105</v>
      </c>
      <c r="G5358" t="s">
        <v>2478</v>
      </c>
      <c r="H5358">
        <v>4397</v>
      </c>
      <c r="I5358" t="s">
        <v>2479</v>
      </c>
      <c r="J5358">
        <v>7</v>
      </c>
      <c r="K5358">
        <v>69</v>
      </c>
      <c r="L5358">
        <v>76</v>
      </c>
      <c r="Q5358">
        <v>0</v>
      </c>
      <c r="R5358">
        <v>0</v>
      </c>
      <c r="S5358">
        <v>76</v>
      </c>
      <c r="Y5358" t="s">
        <v>14744</v>
      </c>
      <c r="Z5358" t="s">
        <v>2497</v>
      </c>
      <c r="AA5358" t="s">
        <v>28106</v>
      </c>
      <c r="AB5358" t="s">
        <v>10155</v>
      </c>
      <c r="AC5358" t="s">
        <v>27971</v>
      </c>
      <c r="AD5358" s="249" t="str">
        <f>HYPERLINK("https://scontent.cdninstagram.com/t51.2885-15/s320x320/e35/21433511_538161113187370_1308908197037211648_n.jpg")</f>
        <v>https://scontent.cdninstagram.com/t51.2885-15/s320x320/e35/21433511_538161113187370_1308908197037211648_n.jpg</v>
      </c>
      <c r="AE5358" s="249" t="str">
        <f>HYPERLINK("https://scontent.cdninstagram.com/t51.2885-19/s150x150/12628049_763409330459484_1846783210_a.jpg")</f>
        <v>https://scontent.cdninstagram.com/t51.2885-19/s150x150/12628049_763409330459484_1846783210_a.jpg</v>
      </c>
    </row>
    <row r="5359" spans="1:31" ht="15" x14ac:dyDescent="0.25">
      <c r="A5359" t="s">
        <v>2474</v>
      </c>
      <c r="B5359" t="s">
        <v>20200</v>
      </c>
      <c r="C5359" s="221">
        <v>42985.919293981482</v>
      </c>
      <c r="D5359" t="s">
        <v>28107</v>
      </c>
      <c r="E5359" s="249" t="str">
        <f>HYPERLINK("https://www.instagram.com/p/BYwzjy0FcuE/")</f>
        <v>https://www.instagram.com/p/BYwzjy0FcuE/</v>
      </c>
      <c r="F5359" t="s">
        <v>28108</v>
      </c>
      <c r="G5359" t="s">
        <v>2478</v>
      </c>
      <c r="H5359">
        <v>381</v>
      </c>
      <c r="I5359" t="s">
        <v>2479</v>
      </c>
      <c r="J5359">
        <v>1</v>
      </c>
      <c r="K5359">
        <v>77</v>
      </c>
      <c r="L5359">
        <v>78</v>
      </c>
      <c r="Q5359">
        <v>0</v>
      </c>
      <c r="R5359">
        <v>0</v>
      </c>
      <c r="S5359">
        <v>78</v>
      </c>
      <c r="Y5359" t="s">
        <v>14731</v>
      </c>
      <c r="Z5359" t="s">
        <v>3262</v>
      </c>
      <c r="AA5359" t="s">
        <v>10644</v>
      </c>
      <c r="AB5359" t="s">
        <v>17799</v>
      </c>
      <c r="AC5359" t="s">
        <v>28109</v>
      </c>
      <c r="AD5359" s="249" t="str">
        <f>HYPERLINK("https://scontent.cdninstagram.com/t51.2885-15/s320x320/e35/21436246_673152646215066_3574539196984983552_n.jpg")</f>
        <v>https://scontent.cdninstagram.com/t51.2885-15/s320x320/e35/21436246_673152646215066_3574539196984983552_n.jpg</v>
      </c>
      <c r="AE5359" s="249" t="str">
        <f>HYPERLINK("https://scontent.cdninstagram.com/t51.2885-19/s150x150/20838371_123724934932698_1178948207556689920_a.jpg")</f>
        <v>https://scontent.cdninstagram.com/t51.2885-19/s150x150/20838371_123724934932698_1178948207556689920_a.jpg</v>
      </c>
    </row>
    <row r="5360" spans="1:31" ht="15" x14ac:dyDescent="0.25">
      <c r="A5360" t="s">
        <v>2474</v>
      </c>
      <c r="B5360" t="s">
        <v>28110</v>
      </c>
      <c r="C5360" s="221">
        <v>42985.920671296299</v>
      </c>
      <c r="D5360" t="s">
        <v>28111</v>
      </c>
      <c r="E5360" s="249" t="str">
        <f>HYPERLINK("https://www.instagram.com/p/BYwzyV3hFtS/")</f>
        <v>https://www.instagram.com/p/BYwzyV3hFtS/</v>
      </c>
      <c r="F5360" t="s">
        <v>28112</v>
      </c>
      <c r="G5360" t="s">
        <v>2478</v>
      </c>
      <c r="H5360">
        <v>977</v>
      </c>
      <c r="I5360" t="s">
        <v>2896</v>
      </c>
      <c r="J5360">
        <v>2</v>
      </c>
      <c r="K5360">
        <v>44</v>
      </c>
      <c r="L5360">
        <v>46</v>
      </c>
      <c r="Q5360">
        <v>0</v>
      </c>
      <c r="R5360">
        <v>0</v>
      </c>
      <c r="S5360">
        <v>46</v>
      </c>
      <c r="Y5360" t="s">
        <v>28113</v>
      </c>
      <c r="Z5360" t="s">
        <v>9019</v>
      </c>
      <c r="AA5360" t="s">
        <v>28114</v>
      </c>
      <c r="AB5360" t="s">
        <v>17799</v>
      </c>
      <c r="AC5360" t="s">
        <v>28115</v>
      </c>
      <c r="AD5360" s="249" t="str">
        <f>HYPERLINK("https://scontent.cdninstagram.com/t51.2885-15/s320x320/e35/21372900_161965671026067_4877155455912116224_n.jpg")</f>
        <v>https://scontent.cdninstagram.com/t51.2885-15/s320x320/e35/21372900_161965671026067_4877155455912116224_n.jpg</v>
      </c>
      <c r="AE5360" s="249" t="str">
        <f>HYPERLINK("https://scontent.cdninstagram.com/t51.2885-19/11373800_1690216234540787_695804543_a.jpg")</f>
        <v>https://scontent.cdninstagram.com/t51.2885-19/11373800_1690216234540787_695804543_a.jpg</v>
      </c>
    </row>
    <row r="5361" spans="1:31" ht="15" x14ac:dyDescent="0.25">
      <c r="A5361" t="s">
        <v>2474</v>
      </c>
      <c r="B5361" t="s">
        <v>28116</v>
      </c>
      <c r="C5361" s="221">
        <v>42985.949131944442</v>
      </c>
      <c r="D5361" t="s">
        <v>28117</v>
      </c>
      <c r="E5361" s="249" t="str">
        <f>HYPERLINK("https://www.instagram.com/p/BYw4egcjiVK/")</f>
        <v>https://www.instagram.com/p/BYw4egcjiVK/</v>
      </c>
      <c r="F5361" t="s">
        <v>28118</v>
      </c>
      <c r="G5361" t="s">
        <v>2478</v>
      </c>
      <c r="H5361">
        <v>379</v>
      </c>
      <c r="I5361" t="s">
        <v>2479</v>
      </c>
      <c r="J5361">
        <v>0</v>
      </c>
      <c r="K5361">
        <v>37</v>
      </c>
      <c r="L5361">
        <v>37</v>
      </c>
      <c r="Q5361">
        <v>0</v>
      </c>
      <c r="R5361">
        <v>0</v>
      </c>
      <c r="S5361">
        <v>37</v>
      </c>
      <c r="Y5361" t="s">
        <v>6164</v>
      </c>
      <c r="Z5361" t="s">
        <v>2730</v>
      </c>
      <c r="AA5361" t="s">
        <v>2497</v>
      </c>
      <c r="AB5361" t="s">
        <v>2696</v>
      </c>
      <c r="AC5361" t="s">
        <v>2753</v>
      </c>
      <c r="AD5361" s="249" t="str">
        <f>HYPERLINK("https://scontent.cdninstagram.com/t51.2885-15/s320x320/e35/21433597_141573616449172_2257969864918433792_n.jpg")</f>
        <v>https://scontent.cdninstagram.com/t51.2885-15/s320x320/e35/21433597_141573616449172_2257969864918433792_n.jpg</v>
      </c>
      <c r="AE5361" s="249" t="str">
        <f>HYPERLINK("https://scontent.cdninstagram.com/t51.2885-19/s150x150/15876460_1821422968097025_1070705050193494016_a.jpg")</f>
        <v>https://scontent.cdninstagram.com/t51.2885-19/s150x150/15876460_1821422968097025_1070705050193494016_a.jpg</v>
      </c>
    </row>
    <row r="5362" spans="1:31" ht="15" x14ac:dyDescent="0.25">
      <c r="A5362" t="s">
        <v>2474</v>
      </c>
      <c r="B5362" t="s">
        <v>28119</v>
      </c>
      <c r="C5362" s="221">
        <v>42985.951516203706</v>
      </c>
      <c r="D5362" t="s">
        <v>28120</v>
      </c>
      <c r="E5362" s="249" t="str">
        <f>HYPERLINK("https://www.instagram.com/p/BYw43oaH7Pz/")</f>
        <v>https://www.instagram.com/p/BYw43oaH7Pz/</v>
      </c>
      <c r="F5362" t="s">
        <v>28121</v>
      </c>
      <c r="G5362" t="s">
        <v>2478</v>
      </c>
      <c r="H5362">
        <v>171</v>
      </c>
      <c r="I5362" t="s">
        <v>2479</v>
      </c>
      <c r="J5362">
        <v>0</v>
      </c>
      <c r="K5362">
        <v>2</v>
      </c>
      <c r="L5362">
        <v>2</v>
      </c>
      <c r="Q5362">
        <v>0</v>
      </c>
      <c r="R5362">
        <v>0</v>
      </c>
      <c r="S5362">
        <v>2</v>
      </c>
      <c r="Y5362" t="s">
        <v>28122</v>
      </c>
      <c r="Z5362" t="s">
        <v>28123</v>
      </c>
      <c r="AA5362" t="s">
        <v>28124</v>
      </c>
      <c r="AB5362" t="s">
        <v>28125</v>
      </c>
      <c r="AC5362" t="s">
        <v>28126</v>
      </c>
      <c r="AD5362" s="249" t="str">
        <f>HYPERLINK("https://scontent.cdninstagram.com/t51.2885-15/s320x320/e35/21479891_126603111319828_7425054511166652416_n.jpg")</f>
        <v>https://scontent.cdninstagram.com/t51.2885-15/s320x320/e35/21479891_126603111319828_7425054511166652416_n.jpg</v>
      </c>
      <c r="AE5362" s="249" t="str">
        <f>HYPERLINK("https://scontent.cdninstagram.com/t51.2885-19/s150x150/21436304_1705181143124888_3415432000360677376_a.jpg")</f>
        <v>https://scontent.cdninstagram.com/t51.2885-19/s150x150/21436304_1705181143124888_3415432000360677376_a.jpg</v>
      </c>
    </row>
    <row r="5363" spans="1:31" ht="15" x14ac:dyDescent="0.25">
      <c r="A5363" t="s">
        <v>2474</v>
      </c>
      <c r="B5363" t="s">
        <v>17216</v>
      </c>
      <c r="C5363" s="221">
        <v>42985.962118055555</v>
      </c>
      <c r="D5363" t="s">
        <v>28127</v>
      </c>
      <c r="E5363" s="249" t="str">
        <f>HYPERLINK("https://www.instagram.com/p/BYw6naoAPVl/")</f>
        <v>https://www.instagram.com/p/BYw6naoAPVl/</v>
      </c>
      <c r="F5363" t="s">
        <v>28128</v>
      </c>
      <c r="G5363" t="s">
        <v>2478</v>
      </c>
      <c r="H5363">
        <v>50</v>
      </c>
      <c r="I5363" t="s">
        <v>2786</v>
      </c>
      <c r="J5363">
        <v>1</v>
      </c>
      <c r="K5363">
        <v>12</v>
      </c>
      <c r="L5363">
        <v>13</v>
      </c>
      <c r="Q5363">
        <v>0</v>
      </c>
      <c r="R5363">
        <v>0</v>
      </c>
      <c r="S5363">
        <v>13</v>
      </c>
      <c r="Y5363" t="s">
        <v>2551</v>
      </c>
      <c r="Z5363" t="s">
        <v>28129</v>
      </c>
      <c r="AA5363" t="s">
        <v>28130</v>
      </c>
      <c r="AB5363" t="s">
        <v>7763</v>
      </c>
      <c r="AC5363" t="s">
        <v>2497</v>
      </c>
      <c r="AD5363" s="249" t="str">
        <f>HYPERLINK("https://scontent.cdninstagram.com/t51.2885-15/s320x320/e35/21480140_511551882526739_6735422495895060480_n.jpg")</f>
        <v>https://scontent.cdninstagram.com/t51.2885-15/s320x320/e35/21480140_511551882526739_6735422495895060480_n.jpg</v>
      </c>
      <c r="AE5363" s="249" t="str">
        <f>HYPERLINK("https://scontent.cdninstagram.com/t51.2885-19/s150x150/21148965_509922689345454_4827689016188993536_a.jpg")</f>
        <v>https://scontent.cdninstagram.com/t51.2885-19/s150x150/21148965_509922689345454_4827689016188993536_a.jpg</v>
      </c>
    </row>
    <row r="5364" spans="1:31" ht="15" x14ac:dyDescent="0.25">
      <c r="A5364" t="s">
        <v>2474</v>
      </c>
      <c r="B5364" t="s">
        <v>28131</v>
      </c>
      <c r="C5364" s="221">
        <v>42985.970902777779</v>
      </c>
      <c r="D5364" t="s">
        <v>28132</v>
      </c>
      <c r="E5364" s="249" t="str">
        <f>HYPERLINK("https://www.instagram.com/p/BYw8EEOji7j/")</f>
        <v>https://www.instagram.com/p/BYw8EEOji7j/</v>
      </c>
      <c r="F5364" t="s">
        <v>28133</v>
      </c>
      <c r="G5364" t="s">
        <v>2478</v>
      </c>
      <c r="H5364">
        <v>663</v>
      </c>
      <c r="I5364" t="s">
        <v>2479</v>
      </c>
      <c r="J5364">
        <v>9</v>
      </c>
      <c r="K5364">
        <v>109</v>
      </c>
      <c r="L5364">
        <v>118</v>
      </c>
      <c r="Q5364">
        <v>0</v>
      </c>
      <c r="R5364">
        <v>0</v>
      </c>
      <c r="S5364">
        <v>118</v>
      </c>
      <c r="Y5364" t="s">
        <v>3110</v>
      </c>
      <c r="Z5364" t="s">
        <v>6746</v>
      </c>
      <c r="AA5364" t="s">
        <v>9017</v>
      </c>
      <c r="AB5364" t="s">
        <v>28134</v>
      </c>
      <c r="AC5364" t="s">
        <v>2497</v>
      </c>
      <c r="AD5364" s="249" t="str">
        <f>HYPERLINK("https://scontent.cdninstagram.com/t51.2885-15/s320x320/e35/21433967_1731436420491579_5999182199901913088_n.jpg")</f>
        <v>https://scontent.cdninstagram.com/t51.2885-15/s320x320/e35/21433967_1731436420491579_5999182199901913088_n.jpg</v>
      </c>
      <c r="AE5364" s="249" t="str">
        <f>HYPERLINK("https://scontent.cdninstagram.com/t51.2885-19/s150x150/21371747_1416350661817645_2024552131981213696_a.jpg")</f>
        <v>https://scontent.cdninstagram.com/t51.2885-19/s150x150/21371747_1416350661817645_2024552131981213696_a.jpg</v>
      </c>
    </row>
    <row r="5365" spans="1:31" ht="15" x14ac:dyDescent="0.25">
      <c r="A5365" t="s">
        <v>2474</v>
      </c>
      <c r="B5365" t="s">
        <v>21861</v>
      </c>
      <c r="C5365" s="221">
        <v>42985.972604166665</v>
      </c>
      <c r="D5365" t="s">
        <v>28135</v>
      </c>
      <c r="E5365" s="249" t="str">
        <f>HYPERLINK("https://www.instagram.com/p/BYw8WFAH_um/")</f>
        <v>https://www.instagram.com/p/BYw8WFAH_um/</v>
      </c>
      <c r="F5365" t="s">
        <v>28136</v>
      </c>
      <c r="G5365" t="s">
        <v>2478</v>
      </c>
      <c r="H5365">
        <v>225</v>
      </c>
      <c r="I5365" t="s">
        <v>2479</v>
      </c>
      <c r="J5365">
        <v>3</v>
      </c>
      <c r="K5365">
        <v>23</v>
      </c>
      <c r="L5365">
        <v>26</v>
      </c>
      <c r="Q5365">
        <v>0</v>
      </c>
      <c r="R5365">
        <v>0</v>
      </c>
      <c r="S5365">
        <v>26</v>
      </c>
      <c r="Y5365" t="s">
        <v>4760</v>
      </c>
      <c r="Z5365" t="s">
        <v>28137</v>
      </c>
      <c r="AA5365" t="s">
        <v>2968</v>
      </c>
      <c r="AB5365" t="s">
        <v>11796</v>
      </c>
      <c r="AC5365" t="s">
        <v>3363</v>
      </c>
      <c r="AD5365" s="249" t="str">
        <f>HYPERLINK("https://scontent.cdninstagram.com/t51.2885-15/e35/p320x320/21373790_353694808386326_2876735246223540224_n.jpg")</f>
        <v>https://scontent.cdninstagram.com/t51.2885-15/e35/p320x320/21373790_353694808386326_2876735246223540224_n.jpg</v>
      </c>
      <c r="AE5365" s="249" t="str">
        <f>HYPERLINK("https://scontent.cdninstagram.com/t51.2885-19/s150x150/21294987_365065510592274_428495456759185408_n.jpg")</f>
        <v>https://scontent.cdninstagram.com/t51.2885-19/s150x150/21294987_365065510592274_428495456759185408_n.jpg</v>
      </c>
    </row>
    <row r="5366" spans="1:31" ht="15" x14ac:dyDescent="0.25">
      <c r="A5366" t="s">
        <v>2474</v>
      </c>
      <c r="B5366" t="s">
        <v>28138</v>
      </c>
      <c r="C5366" s="221">
        <v>42985.979259259257</v>
      </c>
      <c r="D5366" t="s">
        <v>28139</v>
      </c>
      <c r="E5366" s="249" t="str">
        <f>HYPERLINK("https://www.instagram.com/p/BYw9cRLF3w4/")</f>
        <v>https://www.instagram.com/p/BYw9cRLF3w4/</v>
      </c>
      <c r="F5366" t="s">
        <v>28140</v>
      </c>
      <c r="G5366" t="s">
        <v>2478</v>
      </c>
      <c r="H5366">
        <v>104</v>
      </c>
      <c r="I5366" t="s">
        <v>2510</v>
      </c>
      <c r="J5366">
        <v>1</v>
      </c>
      <c r="K5366">
        <v>29</v>
      </c>
      <c r="L5366">
        <v>30</v>
      </c>
      <c r="Q5366">
        <v>0</v>
      </c>
      <c r="R5366">
        <v>0</v>
      </c>
      <c r="S5366">
        <v>30</v>
      </c>
      <c r="Y5366" t="s">
        <v>4107</v>
      </c>
      <c r="Z5366" t="s">
        <v>2705</v>
      </c>
      <c r="AA5366" t="s">
        <v>2497</v>
      </c>
      <c r="AB5366" t="s">
        <v>28141</v>
      </c>
      <c r="AC5366" t="s">
        <v>28142</v>
      </c>
      <c r="AD5366" s="249" t="str">
        <f>HYPERLINK("https://scontent.cdninstagram.com/t51.2885-15/s320x320/e35/21373140_844251282415806_1666880814782087168_n.jpg")</f>
        <v>https://scontent.cdninstagram.com/t51.2885-15/s320x320/e35/21373140_844251282415806_1666880814782087168_n.jpg</v>
      </c>
      <c r="AE5366" s="249" t="str">
        <f>HYPERLINK("https://scontent.cdninstagram.com/t51.2885-19/s150x150/16124332_237373850053281_2355160095744065536_n.jpg")</f>
        <v>https://scontent.cdninstagram.com/t51.2885-19/s150x150/16124332_237373850053281_2355160095744065536_n.jpg</v>
      </c>
    </row>
    <row r="5367" spans="1:31" ht="15" x14ac:dyDescent="0.25">
      <c r="A5367" t="s">
        <v>2474</v>
      </c>
      <c r="B5367" t="s">
        <v>7457</v>
      </c>
      <c r="C5367" s="221">
        <v>42985.979988425926</v>
      </c>
      <c r="D5367" t="s">
        <v>28143</v>
      </c>
      <c r="E5367" s="249" t="str">
        <f>HYPERLINK("https://www.instagram.com/p/BYw9j9OlbaB/")</f>
        <v>https://www.instagram.com/p/BYw9j9OlbaB/</v>
      </c>
      <c r="F5367" t="s">
        <v>28144</v>
      </c>
      <c r="G5367" t="s">
        <v>2478</v>
      </c>
      <c r="H5367">
        <v>7244</v>
      </c>
      <c r="I5367" t="s">
        <v>2479</v>
      </c>
      <c r="J5367">
        <v>5</v>
      </c>
      <c r="K5367">
        <v>125</v>
      </c>
      <c r="L5367">
        <v>130</v>
      </c>
      <c r="Q5367">
        <v>0</v>
      </c>
      <c r="R5367">
        <v>0</v>
      </c>
      <c r="S5367">
        <v>130</v>
      </c>
      <c r="Y5367" t="s">
        <v>7400</v>
      </c>
      <c r="Z5367" t="s">
        <v>21757</v>
      </c>
      <c r="AA5367" t="s">
        <v>5884</v>
      </c>
      <c r="AB5367" t="s">
        <v>7461</v>
      </c>
      <c r="AC5367" t="s">
        <v>2497</v>
      </c>
      <c r="AD5367" s="249" t="str">
        <f>HYPERLINK("https://scontent.cdninstagram.com/t51.2885-15/e35/p320x320/21435649_509790419360472_4139633932519866368_n.jpg")</f>
        <v>https://scontent.cdninstagram.com/t51.2885-15/e35/p320x320/21435649_509790419360472_4139633932519866368_n.jpg</v>
      </c>
      <c r="AE5367" s="249" t="str">
        <f>HYPERLINK("https://scontent.cdninstagram.com/t51.2885-19/s150x150/18443212_284821451930273_9046638560735657984_a.jpg")</f>
        <v>https://scontent.cdninstagram.com/t51.2885-19/s150x150/18443212_284821451930273_9046638560735657984_a.jpg</v>
      </c>
    </row>
    <row r="5368" spans="1:31" ht="15" x14ac:dyDescent="0.25">
      <c r="A5368" t="s">
        <v>2474</v>
      </c>
      <c r="B5368" t="s">
        <v>25901</v>
      </c>
      <c r="C5368" s="221">
        <v>42985.986655092594</v>
      </c>
      <c r="D5368" t="s">
        <v>28145</v>
      </c>
      <c r="E5368" s="249" t="str">
        <f>HYPERLINK("https://www.instagram.com/p/BYw-qRHliWq/")</f>
        <v>https://www.instagram.com/p/BYw-qRHliWq/</v>
      </c>
      <c r="F5368" t="s">
        <v>28146</v>
      </c>
      <c r="G5368" t="s">
        <v>2478</v>
      </c>
      <c r="H5368">
        <v>453</v>
      </c>
      <c r="I5368" t="s">
        <v>2479</v>
      </c>
      <c r="J5368">
        <v>0</v>
      </c>
      <c r="K5368">
        <v>53</v>
      </c>
      <c r="L5368">
        <v>53</v>
      </c>
      <c r="Q5368">
        <v>0</v>
      </c>
      <c r="R5368">
        <v>0</v>
      </c>
      <c r="S5368">
        <v>53</v>
      </c>
      <c r="Y5368" t="s">
        <v>25906</v>
      </c>
      <c r="Z5368" t="s">
        <v>7524</v>
      </c>
      <c r="AA5368" t="s">
        <v>26456</v>
      </c>
      <c r="AB5368" t="s">
        <v>12626</v>
      </c>
      <c r="AC5368" t="s">
        <v>2497</v>
      </c>
      <c r="AD5368" s="249" t="str">
        <f>HYPERLINK("https://scontent.cdninstagram.com/t51.2885-15/e35/p320x320/21435359_1723937097900893_6808500436723564544_n.jpg")</f>
        <v>https://scontent.cdninstagram.com/t51.2885-15/e35/p320x320/21435359_1723937097900893_6808500436723564544_n.jpg</v>
      </c>
      <c r="AE5368" s="249" t="str">
        <f>HYPERLINK("https://scontent.cdninstagram.com/t51.2885-19/s150x150/19120264_433924860306759_6004906278910951424_n.jpg")</f>
        <v>https://scontent.cdninstagram.com/t51.2885-19/s150x150/19120264_433924860306759_6004906278910951424_n.jpg</v>
      </c>
    </row>
    <row r="5369" spans="1:31" ht="15" x14ac:dyDescent="0.25">
      <c r="A5369" t="s">
        <v>2474</v>
      </c>
      <c r="B5369" t="s">
        <v>28147</v>
      </c>
      <c r="C5369" s="221">
        <v>42985.989050925928</v>
      </c>
      <c r="D5369" t="s">
        <v>28148</v>
      </c>
      <c r="E5369" s="249" t="str">
        <f>HYPERLINK("https://www.instagram.com/p/BYw_Dg_FDux/")</f>
        <v>https://www.instagram.com/p/BYw_Dg_FDux/</v>
      </c>
      <c r="F5369" t="s">
        <v>28149</v>
      </c>
      <c r="G5369" t="s">
        <v>2478</v>
      </c>
      <c r="H5369">
        <v>196</v>
      </c>
      <c r="I5369" t="s">
        <v>2542</v>
      </c>
      <c r="J5369">
        <v>0</v>
      </c>
      <c r="K5369">
        <v>22</v>
      </c>
      <c r="L5369">
        <v>22</v>
      </c>
      <c r="Q5369">
        <v>0</v>
      </c>
      <c r="R5369">
        <v>0</v>
      </c>
      <c r="S5369">
        <v>22</v>
      </c>
      <c r="Y5369" t="s">
        <v>2940</v>
      </c>
      <c r="Z5369" t="s">
        <v>2497</v>
      </c>
      <c r="AA5369" t="s">
        <v>28150</v>
      </c>
      <c r="AD5369" s="249" t="str">
        <f>HYPERLINK("https://scontent.cdninstagram.com/t51.2885-15/e35/p320x320/21480481_1292568630852893_6689151477480423424_n.jpg")</f>
        <v>https://scontent.cdninstagram.com/t51.2885-15/e35/p320x320/21480481_1292568630852893_6689151477480423424_n.jpg</v>
      </c>
      <c r="AE5369" s="249" t="str">
        <f>HYPERLINK("https://scontent.cdninstagram.com/t51.2885-19/s150x150/20582575_108318143176193_3851677351943340032_a.jpg")</f>
        <v>https://scontent.cdninstagram.com/t51.2885-19/s150x150/20582575_108318143176193_3851677351943340032_a.jpg</v>
      </c>
    </row>
    <row r="5370" spans="1:31" ht="15" x14ac:dyDescent="0.25">
      <c r="A5370" t="s">
        <v>2474</v>
      </c>
      <c r="B5370" t="s">
        <v>3471</v>
      </c>
      <c r="C5370" s="221">
        <v>42985.992418981485</v>
      </c>
      <c r="D5370" t="s">
        <v>28151</v>
      </c>
      <c r="E5370" s="249" t="str">
        <f>HYPERLINK("https://www.instagram.com/p/BYw_nCRHHwS/")</f>
        <v>https://www.instagram.com/p/BYw_nCRHHwS/</v>
      </c>
      <c r="F5370" t="s">
        <v>28152</v>
      </c>
      <c r="G5370" t="s">
        <v>2631</v>
      </c>
      <c r="H5370">
        <v>190</v>
      </c>
      <c r="I5370" t="s">
        <v>2479</v>
      </c>
      <c r="J5370">
        <v>11</v>
      </c>
      <c r="K5370">
        <v>34</v>
      </c>
      <c r="L5370">
        <v>45</v>
      </c>
      <c r="Q5370">
        <v>0</v>
      </c>
      <c r="R5370">
        <v>0</v>
      </c>
      <c r="S5370">
        <v>45</v>
      </c>
      <c r="T5370" t="s">
        <v>3474</v>
      </c>
      <c r="V5370" t="s">
        <v>2258</v>
      </c>
      <c r="W5370">
        <v>1.2930600000000001</v>
      </c>
      <c r="X5370">
        <v>103.85599999999999</v>
      </c>
      <c r="Y5370" t="s">
        <v>16467</v>
      </c>
      <c r="Z5370" t="s">
        <v>3475</v>
      </c>
      <c r="AA5370" t="s">
        <v>3476</v>
      </c>
      <c r="AB5370" t="s">
        <v>11615</v>
      </c>
      <c r="AC5370" t="s">
        <v>28153</v>
      </c>
      <c r="AD5370" s="249" t="str">
        <f>HYPERLINK("https://scontent.cdninstagram.com/t51.2885-15/s320x320/e15/21434073_1726693957625155_3489460726689431552_n.jpg")</f>
        <v>https://scontent.cdninstagram.com/t51.2885-15/s320x320/e15/21434073_1726693957625155_3489460726689431552_n.jpg</v>
      </c>
      <c r="AE5370" s="249" t="str">
        <f>HYPERLINK("https://scontent.cdninstagram.com/t51.2885-19/s150x150/19986209_741127056067001_1270489010199855104_a.jpg")</f>
        <v>https://scontent.cdninstagram.com/t51.2885-19/s150x150/19986209_741127056067001_1270489010199855104_a.jpg</v>
      </c>
    </row>
    <row r="5371" spans="1:31" ht="15" x14ac:dyDescent="0.25">
      <c r="A5371" t="s">
        <v>2474</v>
      </c>
      <c r="B5371" t="s">
        <v>10033</v>
      </c>
      <c r="C5371" s="221">
        <v>42985.994710648149</v>
      </c>
      <c r="D5371" t="s">
        <v>28154</v>
      </c>
      <c r="E5371" s="249" t="str">
        <f>HYPERLINK("https://www.instagram.com/p/BYw__NCDCRH/")</f>
        <v>https://www.instagram.com/p/BYw__NCDCRH/</v>
      </c>
      <c r="F5371" t="s">
        <v>10035</v>
      </c>
      <c r="G5371" t="s">
        <v>2478</v>
      </c>
      <c r="H5371">
        <v>811</v>
      </c>
      <c r="I5371" t="s">
        <v>2479</v>
      </c>
      <c r="J5371">
        <v>1</v>
      </c>
      <c r="K5371">
        <v>31</v>
      </c>
      <c r="L5371">
        <v>32</v>
      </c>
      <c r="Q5371">
        <v>0</v>
      </c>
      <c r="R5371">
        <v>0</v>
      </c>
      <c r="S5371">
        <v>32</v>
      </c>
      <c r="Y5371" t="s">
        <v>10036</v>
      </c>
      <c r="Z5371" t="s">
        <v>19304</v>
      </c>
      <c r="AA5371" t="s">
        <v>6442</v>
      </c>
      <c r="AB5371" t="s">
        <v>28155</v>
      </c>
      <c r="AC5371" t="s">
        <v>2730</v>
      </c>
      <c r="AD5371" s="249" t="str">
        <f>HYPERLINK("https://scontent.cdninstagram.com/t51.2885-15/e35/p320x320/21373234_296061120870207_8610606553063489536_n.jpg")</f>
        <v>https://scontent.cdninstagram.com/t51.2885-15/e35/p320x320/21373234_296061120870207_8610606553063489536_n.jpg</v>
      </c>
      <c r="AE5371" s="249" t="str">
        <f>HYPERLINK("https://scontent.cdninstagram.com/t51.2885-19/s150x150/13731142_1128127230628861_1631822748_a.jpg")</f>
        <v>https://scontent.cdninstagram.com/t51.2885-19/s150x150/13731142_1128127230628861_1631822748_a.jpg</v>
      </c>
    </row>
    <row r="5372" spans="1:31" ht="15" x14ac:dyDescent="0.25">
      <c r="A5372" t="s">
        <v>2474</v>
      </c>
      <c r="B5372" t="s">
        <v>28156</v>
      </c>
      <c r="C5372" s="221">
        <v>42986.004814814813</v>
      </c>
      <c r="D5372" t="s">
        <v>28157</v>
      </c>
      <c r="E5372" s="249" t="str">
        <f>HYPERLINK("https://www.instagram.com/p/BYxBpzXlu_2/")</f>
        <v>https://www.instagram.com/p/BYxBpzXlu_2/</v>
      </c>
      <c r="F5372" t="s">
        <v>28158</v>
      </c>
      <c r="G5372" t="s">
        <v>2478</v>
      </c>
      <c r="H5372">
        <v>1061</v>
      </c>
      <c r="I5372" t="s">
        <v>2479</v>
      </c>
      <c r="J5372">
        <v>8</v>
      </c>
      <c r="K5372">
        <v>89</v>
      </c>
      <c r="L5372">
        <v>97</v>
      </c>
      <c r="Q5372">
        <v>0</v>
      </c>
      <c r="R5372">
        <v>0</v>
      </c>
      <c r="S5372">
        <v>97</v>
      </c>
      <c r="T5372" t="s">
        <v>28159</v>
      </c>
      <c r="V5372" t="s">
        <v>2184</v>
      </c>
      <c r="W5372">
        <v>35.670169000000001</v>
      </c>
      <c r="X5372">
        <v>139.70268899999999</v>
      </c>
      <c r="Y5372" t="s">
        <v>14881</v>
      </c>
      <c r="Z5372" t="s">
        <v>28160</v>
      </c>
      <c r="AA5372" t="s">
        <v>28161</v>
      </c>
      <c r="AB5372" t="s">
        <v>28162</v>
      </c>
      <c r="AC5372" t="s">
        <v>28163</v>
      </c>
      <c r="AD5372" s="249" t="str">
        <f>HYPERLINK("https://scontent.cdninstagram.com/t51.2885-15/s320x320/e35/21433648_519108178421697_906236643462086656_n.jpg")</f>
        <v>https://scontent.cdninstagram.com/t51.2885-15/s320x320/e35/21433648_519108178421697_906236643462086656_n.jpg</v>
      </c>
      <c r="AE5372" s="249" t="str">
        <f>HYPERLINK("https://scontent.cdninstagram.com/t51.2885-19/s150x150/19534359_1926350744304249_3103139714178220032_a.jpg")</f>
        <v>https://scontent.cdninstagram.com/t51.2885-19/s150x150/19534359_1926350744304249_3103139714178220032_a.jpg</v>
      </c>
    </row>
    <row r="5373" spans="1:31" ht="15" x14ac:dyDescent="0.25">
      <c r="A5373" t="s">
        <v>2474</v>
      </c>
      <c r="B5373" t="s">
        <v>26420</v>
      </c>
      <c r="C5373" s="221">
        <v>42986.029664351852</v>
      </c>
      <c r="D5373" t="s">
        <v>28164</v>
      </c>
      <c r="E5373" s="249" t="str">
        <f>HYPERLINK("https://www.instagram.com/p/BYxFv4cHi1c/")</f>
        <v>https://www.instagram.com/p/BYxFv4cHi1c/</v>
      </c>
      <c r="F5373" t="s">
        <v>28165</v>
      </c>
      <c r="G5373" t="s">
        <v>2478</v>
      </c>
      <c r="H5373">
        <v>59</v>
      </c>
      <c r="I5373" t="s">
        <v>2479</v>
      </c>
      <c r="J5373">
        <v>1</v>
      </c>
      <c r="K5373">
        <v>30</v>
      </c>
      <c r="L5373">
        <v>31</v>
      </c>
      <c r="Q5373">
        <v>0</v>
      </c>
      <c r="R5373">
        <v>0</v>
      </c>
      <c r="S5373">
        <v>31</v>
      </c>
      <c r="Y5373" t="s">
        <v>2968</v>
      </c>
      <c r="Z5373" t="s">
        <v>2735</v>
      </c>
      <c r="AA5373" t="s">
        <v>2730</v>
      </c>
      <c r="AB5373" t="s">
        <v>2497</v>
      </c>
      <c r="AC5373" t="s">
        <v>3006</v>
      </c>
      <c r="AD5373" s="249" t="str">
        <f>HYPERLINK("https://scontent.cdninstagram.com/t51.2885-15/s320x320/e35/21480167_122043958456387_8120360405869527040_n.jpg")</f>
        <v>https://scontent.cdninstagram.com/t51.2885-15/s320x320/e35/21480167_122043958456387_8120360405869527040_n.jpg</v>
      </c>
      <c r="AE5373" s="249" t="str">
        <f>HYPERLINK("https://scontent.cdninstagram.com/t51.2885-19/s150x150/21372602_170168536866275_1591779463320829952_a.jpg")</f>
        <v>https://scontent.cdninstagram.com/t51.2885-19/s150x150/21372602_170168536866275_1591779463320829952_a.jpg</v>
      </c>
    </row>
    <row r="5374" spans="1:31" ht="15" x14ac:dyDescent="0.25">
      <c r="A5374" t="s">
        <v>2474</v>
      </c>
      <c r="B5374" t="s">
        <v>17738</v>
      </c>
      <c r="C5374" s="221">
        <v>42986.036608796298</v>
      </c>
      <c r="D5374" t="s">
        <v>28166</v>
      </c>
      <c r="E5374" s="249" t="str">
        <f>HYPERLINK("https://www.instagram.com/p/BYxG5IOho67/")</f>
        <v>https://www.instagram.com/p/BYxG5IOho67/</v>
      </c>
      <c r="F5374" t="s">
        <v>20883</v>
      </c>
      <c r="G5374" t="s">
        <v>2478</v>
      </c>
      <c r="H5374">
        <v>69080</v>
      </c>
      <c r="I5374" t="s">
        <v>2479</v>
      </c>
      <c r="J5374">
        <v>0</v>
      </c>
      <c r="K5374">
        <v>15</v>
      </c>
      <c r="L5374">
        <v>15</v>
      </c>
      <c r="Q5374">
        <v>0</v>
      </c>
      <c r="R5374">
        <v>0</v>
      </c>
      <c r="S5374">
        <v>15</v>
      </c>
      <c r="Y5374" t="s">
        <v>6242</v>
      </c>
      <c r="Z5374" t="s">
        <v>10199</v>
      </c>
      <c r="AA5374" t="s">
        <v>17047</v>
      </c>
      <c r="AB5374" t="s">
        <v>26641</v>
      </c>
      <c r="AC5374" t="s">
        <v>2575</v>
      </c>
      <c r="AD5374" s="249" t="str">
        <f>HYPERLINK("https://scontent.cdninstagram.com/t51.2885-15/s320x320/e35/21373325_1726817427619911_365687031843520512_n.jpg")</f>
        <v>https://scontent.cdninstagram.com/t51.2885-15/s320x320/e35/21373325_1726817427619911_365687031843520512_n.jpg</v>
      </c>
      <c r="AE5374" s="249" t="str">
        <f>HYPERLINK("https://scontent.cdninstagram.com/t51.2885-19/s150x150/14701076_1598337030462226_7312252327623131136_a.jpg")</f>
        <v>https://scontent.cdninstagram.com/t51.2885-19/s150x150/14701076_1598337030462226_7312252327623131136_a.jpg</v>
      </c>
    </row>
    <row r="5375" spans="1:31" ht="15" x14ac:dyDescent="0.25">
      <c r="A5375" t="s">
        <v>2474</v>
      </c>
      <c r="B5375" t="s">
        <v>28167</v>
      </c>
      <c r="C5375" s="221">
        <v>42986.03869212963</v>
      </c>
      <c r="D5375" t="s">
        <v>28168</v>
      </c>
      <c r="E5375" s="249" t="str">
        <f>HYPERLINK("https://www.instagram.com/p/BYxHPDwHex-/")</f>
        <v>https://www.instagram.com/p/BYxHPDwHex-/</v>
      </c>
      <c r="F5375" t="s">
        <v>28169</v>
      </c>
      <c r="G5375" t="s">
        <v>2478</v>
      </c>
      <c r="H5375">
        <v>92</v>
      </c>
      <c r="I5375" t="s">
        <v>2542</v>
      </c>
      <c r="J5375">
        <v>0</v>
      </c>
      <c r="K5375">
        <v>27</v>
      </c>
      <c r="L5375">
        <v>27</v>
      </c>
      <c r="Q5375">
        <v>0</v>
      </c>
      <c r="R5375">
        <v>0</v>
      </c>
      <c r="S5375">
        <v>27</v>
      </c>
      <c r="T5375" t="s">
        <v>2936</v>
      </c>
      <c r="V5375" t="s">
        <v>2288</v>
      </c>
      <c r="W5375">
        <v>51.507114863623997</v>
      </c>
      <c r="X5375">
        <v>-0.12731805236353</v>
      </c>
      <c r="Y5375" t="s">
        <v>28170</v>
      </c>
      <c r="Z5375" t="s">
        <v>6835</v>
      </c>
      <c r="AA5375" t="s">
        <v>28171</v>
      </c>
      <c r="AB5375" t="s">
        <v>2497</v>
      </c>
      <c r="AC5375" t="s">
        <v>6865</v>
      </c>
      <c r="AD5375" s="249" t="str">
        <f>HYPERLINK("https://scontent.cdninstagram.com/t51.2885-15/s320x320/e35/21373780_113912639301811_92088999383924736_n.jpg")</f>
        <v>https://scontent.cdninstagram.com/t51.2885-15/s320x320/e35/21373780_113912639301811_92088999383924736_n.jpg</v>
      </c>
      <c r="AE5375" s="249" t="str">
        <f>HYPERLINK("https://scontent.cdninstagram.com/t51.2885-19/s150x150/19380066_145366592699321_8683312377925468160_a.jpg")</f>
        <v>https://scontent.cdninstagram.com/t51.2885-19/s150x150/19380066_145366592699321_8683312377925468160_a.jpg</v>
      </c>
    </row>
    <row r="5376" spans="1:31" ht="15" x14ac:dyDescent="0.25">
      <c r="A5376" t="s">
        <v>2474</v>
      </c>
      <c r="B5376" t="s">
        <v>2516</v>
      </c>
      <c r="C5376" s="221">
        <v>42986.053981481484</v>
      </c>
      <c r="D5376" t="s">
        <v>28172</v>
      </c>
      <c r="E5376" s="249" t="str">
        <f>HYPERLINK("https://www.instagram.com/p/BYxJwUjDw8v/")</f>
        <v>https://www.instagram.com/p/BYxJwUjDw8v/</v>
      </c>
      <c r="F5376" t="s">
        <v>28173</v>
      </c>
      <c r="G5376" t="s">
        <v>2478</v>
      </c>
      <c r="H5376">
        <v>684</v>
      </c>
      <c r="I5376" t="s">
        <v>2519</v>
      </c>
      <c r="J5376">
        <v>3</v>
      </c>
      <c r="K5376">
        <v>17</v>
      </c>
      <c r="L5376">
        <v>20</v>
      </c>
      <c r="Q5376">
        <v>0</v>
      </c>
      <c r="R5376">
        <v>0</v>
      </c>
      <c r="S5376">
        <v>20</v>
      </c>
      <c r="Y5376" t="s">
        <v>9926</v>
      </c>
      <c r="Z5376" t="s">
        <v>20337</v>
      </c>
      <c r="AA5376" t="s">
        <v>14565</v>
      </c>
      <c r="AB5376" t="s">
        <v>10712</v>
      </c>
      <c r="AC5376" t="s">
        <v>2520</v>
      </c>
      <c r="AD5376" s="249" t="str">
        <f>HYPERLINK("https://scontent.cdninstagram.com/t51.2885-15/s320x320/e35/21433723_852805438220292_1307459749381406720_n.jpg")</f>
        <v>https://scontent.cdninstagram.com/t51.2885-15/s320x320/e35/21433723_852805438220292_1307459749381406720_n.jpg</v>
      </c>
      <c r="AE5376" s="249" t="str">
        <f>HYPERLINK("https://scontent.cdninstagram.com/t51.2885-19/s150x150/21372563_140209839921980_5104164354614362112_a.jpg")</f>
        <v>https://scontent.cdninstagram.com/t51.2885-19/s150x150/21372563_140209839921980_5104164354614362112_a.jpg</v>
      </c>
    </row>
    <row r="5377" spans="1:31" ht="15" x14ac:dyDescent="0.25">
      <c r="A5377" t="s">
        <v>2474</v>
      </c>
      <c r="B5377" t="s">
        <v>17863</v>
      </c>
      <c r="C5377" s="221">
        <v>42986.063530092593</v>
      </c>
      <c r="D5377" t="s">
        <v>28174</v>
      </c>
      <c r="E5377" s="249" t="str">
        <f>HYPERLINK("https://www.instagram.com/p/BYxLVFXDPTb/")</f>
        <v>https://www.instagram.com/p/BYxLVFXDPTb/</v>
      </c>
      <c r="F5377" t="s">
        <v>28175</v>
      </c>
      <c r="G5377" t="s">
        <v>2631</v>
      </c>
      <c r="H5377">
        <v>1148</v>
      </c>
      <c r="I5377" t="s">
        <v>2479</v>
      </c>
      <c r="J5377">
        <v>0</v>
      </c>
      <c r="K5377">
        <v>30</v>
      </c>
      <c r="L5377">
        <v>30</v>
      </c>
      <c r="Q5377">
        <v>0</v>
      </c>
      <c r="R5377">
        <v>0</v>
      </c>
      <c r="S5377">
        <v>30</v>
      </c>
      <c r="T5377" t="s">
        <v>28176</v>
      </c>
      <c r="V5377" t="s">
        <v>2258</v>
      </c>
      <c r="W5377">
        <v>1.3606823682325</v>
      </c>
      <c r="X5377">
        <v>103.81569702033001</v>
      </c>
      <c r="Y5377" t="s">
        <v>19363</v>
      </c>
      <c r="Z5377" t="s">
        <v>28177</v>
      </c>
      <c r="AA5377" t="s">
        <v>2497</v>
      </c>
      <c r="AB5377" t="s">
        <v>28178</v>
      </c>
      <c r="AC5377" t="s">
        <v>28179</v>
      </c>
      <c r="AD5377" s="249" t="str">
        <f>HYPERLINK("https://scontent.cdninstagram.com/t51.2885-15/s320x320/e15/21433282_683387268524749_2810529588076085248_n.jpg")</f>
        <v>https://scontent.cdninstagram.com/t51.2885-15/s320x320/e15/21433282_683387268524749_2810529588076085248_n.jpg</v>
      </c>
      <c r="AE5377" s="249" t="str">
        <f>HYPERLINK("https://scontent.cdninstagram.com/t51.2885-19/s150x150/19623540_846810865471607_2047010030640693248_n.jpg")</f>
        <v>https://scontent.cdninstagram.com/t51.2885-19/s150x150/19623540_846810865471607_2047010030640693248_n.jpg</v>
      </c>
    </row>
    <row r="5378" spans="1:31" ht="15" x14ac:dyDescent="0.25">
      <c r="A5378" t="s">
        <v>2474</v>
      </c>
      <c r="B5378" t="s">
        <v>7540</v>
      </c>
      <c r="C5378" s="221">
        <v>42986.076990740738</v>
      </c>
      <c r="D5378" t="s">
        <v>28180</v>
      </c>
      <c r="E5378" s="249" t="str">
        <f>HYPERLINK("https://www.instagram.com/p/BYxNjCBAw1g/")</f>
        <v>https://www.instagram.com/p/BYxNjCBAw1g/</v>
      </c>
      <c r="F5378" t="s">
        <v>28181</v>
      </c>
      <c r="G5378" t="s">
        <v>2478</v>
      </c>
      <c r="H5378">
        <v>917</v>
      </c>
      <c r="I5378" t="s">
        <v>2479</v>
      </c>
      <c r="J5378">
        <v>2</v>
      </c>
      <c r="K5378">
        <v>39</v>
      </c>
      <c r="L5378">
        <v>41</v>
      </c>
      <c r="Q5378">
        <v>0</v>
      </c>
      <c r="R5378">
        <v>0</v>
      </c>
      <c r="S5378">
        <v>41</v>
      </c>
      <c r="Y5378" t="s">
        <v>2551</v>
      </c>
      <c r="Z5378" t="s">
        <v>7591</v>
      </c>
      <c r="AA5378" t="s">
        <v>4582</v>
      </c>
      <c r="AB5378" t="s">
        <v>2497</v>
      </c>
      <c r="AC5378" t="s">
        <v>24193</v>
      </c>
      <c r="AD5378" s="249" t="str">
        <f>HYPERLINK("https://scontent.cdninstagram.com/t51.2885-15/e35/p320x320/21433405_115195395817011_685902965751414784_n.jpg")</f>
        <v>https://scontent.cdninstagram.com/t51.2885-15/e35/p320x320/21433405_115195395817011_685902965751414784_n.jpg</v>
      </c>
      <c r="AE5378" s="249" t="str">
        <f>HYPERLINK("https://scontent.cdninstagram.com/t51.2885-19/10601767_517697101694681_1044067692_a.jpg")</f>
        <v>https://scontent.cdninstagram.com/t51.2885-19/10601767_517697101694681_1044067692_a.jpg</v>
      </c>
    </row>
    <row r="5379" spans="1:31" ht="15" x14ac:dyDescent="0.25">
      <c r="A5379" t="s">
        <v>2474</v>
      </c>
      <c r="B5379" t="s">
        <v>28182</v>
      </c>
      <c r="C5379" s="221">
        <v>42986.077118055553</v>
      </c>
      <c r="D5379" t="s">
        <v>28183</v>
      </c>
      <c r="E5379" s="249" t="str">
        <f>HYPERLINK("https://www.instagram.com/p/BYxNkUDlB1A/")</f>
        <v>https://www.instagram.com/p/BYxNkUDlB1A/</v>
      </c>
      <c r="F5379" t="s">
        <v>28184</v>
      </c>
      <c r="G5379" t="s">
        <v>2478</v>
      </c>
      <c r="H5379">
        <v>383</v>
      </c>
      <c r="I5379" t="s">
        <v>2519</v>
      </c>
      <c r="J5379">
        <v>1</v>
      </c>
      <c r="K5379">
        <v>36</v>
      </c>
      <c r="L5379">
        <v>37</v>
      </c>
      <c r="Q5379">
        <v>0</v>
      </c>
      <c r="R5379">
        <v>0</v>
      </c>
      <c r="S5379">
        <v>37</v>
      </c>
      <c r="Y5379" t="s">
        <v>7735</v>
      </c>
      <c r="Z5379" t="s">
        <v>2492</v>
      </c>
      <c r="AA5379" t="s">
        <v>28185</v>
      </c>
      <c r="AB5379" t="s">
        <v>2497</v>
      </c>
      <c r="AC5379" t="s">
        <v>28186</v>
      </c>
      <c r="AD5379" s="249" t="str">
        <f>HYPERLINK("https://scontent.cdninstagram.com/t51.2885-15/s320x320/e35/21479877_1446649262093458_3061034745321226240_n.jpg")</f>
        <v>https://scontent.cdninstagram.com/t51.2885-15/s320x320/e35/21479877_1446649262093458_3061034745321226240_n.jpg</v>
      </c>
      <c r="AE5379" s="249" t="str">
        <f>HYPERLINK("https://scontent.cdninstagram.com/t51.2885-19/s150x150/17934037_1495485103816849_6957431279570649088_a.jpg")</f>
        <v>https://scontent.cdninstagram.com/t51.2885-19/s150x150/17934037_1495485103816849_6957431279570649088_a.jpg</v>
      </c>
    </row>
    <row r="5380" spans="1:31" ht="15" x14ac:dyDescent="0.25">
      <c r="A5380" t="s">
        <v>2474</v>
      </c>
      <c r="B5380" t="s">
        <v>19639</v>
      </c>
      <c r="C5380" s="221">
        <v>42986.08861111111</v>
      </c>
      <c r="D5380" t="s">
        <v>28187</v>
      </c>
      <c r="E5380" s="249" t="str">
        <f>HYPERLINK("https://www.instagram.com/p/BYxPdoHni1f/")</f>
        <v>https://www.instagram.com/p/BYxPdoHni1f/</v>
      </c>
      <c r="F5380" t="s">
        <v>28188</v>
      </c>
      <c r="G5380" t="s">
        <v>2478</v>
      </c>
      <c r="H5380">
        <v>11</v>
      </c>
      <c r="I5380" t="s">
        <v>2479</v>
      </c>
      <c r="J5380">
        <v>1</v>
      </c>
      <c r="K5380">
        <v>19</v>
      </c>
      <c r="L5380">
        <v>20</v>
      </c>
      <c r="Q5380">
        <v>0</v>
      </c>
      <c r="R5380">
        <v>0</v>
      </c>
      <c r="S5380">
        <v>20</v>
      </c>
      <c r="Y5380" t="s">
        <v>3117</v>
      </c>
      <c r="Z5380" t="s">
        <v>18679</v>
      </c>
      <c r="AA5380" t="s">
        <v>3137</v>
      </c>
      <c r="AB5380" t="s">
        <v>28189</v>
      </c>
      <c r="AC5380" t="s">
        <v>2497</v>
      </c>
      <c r="AD5380" s="249" t="str">
        <f>HYPERLINK("https://scontent.cdninstagram.com/t51.2885-15/s320x320/e35/21435561_130319550855816_6653251490825633792_n.jpg")</f>
        <v>https://scontent.cdninstagram.com/t51.2885-15/s320x320/e35/21435561_130319550855816_6653251490825633792_n.jpg</v>
      </c>
      <c r="AE5380" s="249" t="str">
        <f>HYPERLINK("https://scontent.cdninstagram.com/t51.2885-19/s150x150/20686926_510088886001218_5946672659885457408_a.jpg")</f>
        <v>https://scontent.cdninstagram.com/t51.2885-19/s150x150/20686926_510088886001218_5946672659885457408_a.jpg</v>
      </c>
    </row>
    <row r="5381" spans="1:31" ht="15" x14ac:dyDescent="0.25">
      <c r="A5381" t="s">
        <v>2474</v>
      </c>
      <c r="B5381" t="s">
        <v>8312</v>
      </c>
      <c r="C5381" s="221">
        <v>42986.089525462965</v>
      </c>
      <c r="D5381" t="s">
        <v>28190</v>
      </c>
      <c r="E5381" s="249" t="str">
        <f>HYPERLINK("https://www.instagram.com/p/BYxPnOMnjqP/")</f>
        <v>https://www.instagram.com/p/BYxPnOMnjqP/</v>
      </c>
      <c r="F5381" t="s">
        <v>28191</v>
      </c>
      <c r="G5381" t="s">
        <v>2478</v>
      </c>
      <c r="H5381">
        <v>28</v>
      </c>
      <c r="I5381" t="s">
        <v>2479</v>
      </c>
      <c r="J5381">
        <v>0</v>
      </c>
      <c r="K5381">
        <v>19</v>
      </c>
      <c r="L5381">
        <v>19</v>
      </c>
      <c r="Q5381">
        <v>0</v>
      </c>
      <c r="R5381">
        <v>0</v>
      </c>
      <c r="S5381">
        <v>19</v>
      </c>
      <c r="T5381" t="s">
        <v>10329</v>
      </c>
      <c r="V5381" t="s">
        <v>2264</v>
      </c>
      <c r="W5381">
        <v>42.764014243490003</v>
      </c>
      <c r="X5381">
        <v>-7.9069180053236003</v>
      </c>
      <c r="Y5381" t="s">
        <v>11189</v>
      </c>
      <c r="Z5381" t="s">
        <v>8318</v>
      </c>
      <c r="AA5381" t="s">
        <v>6466</v>
      </c>
      <c r="AB5381" t="s">
        <v>12910</v>
      </c>
      <c r="AC5381" t="s">
        <v>28192</v>
      </c>
      <c r="AD5381" s="249" t="str">
        <f>HYPERLINK("https://scontent.cdninstagram.com/t51.2885-15/s320x320/e35/21434166_1825533797776522_3544361584237215744_n.jpg")</f>
        <v>https://scontent.cdninstagram.com/t51.2885-15/s320x320/e35/21434166_1825533797776522_3544361584237215744_n.jpg</v>
      </c>
      <c r="AE5381" s="249" t="str">
        <f>HYPERLINK("https://scontent.cdninstagram.com/t51.2885-19/s150x150/20347739_515336592144896_3974966673097621504_a.jpg")</f>
        <v>https://scontent.cdninstagram.com/t51.2885-19/s150x150/20347739_515336592144896_3974966673097621504_a.jpg</v>
      </c>
    </row>
    <row r="5382" spans="1:31" ht="15" x14ac:dyDescent="0.25">
      <c r="A5382" t="s">
        <v>2474</v>
      </c>
      <c r="B5382" t="s">
        <v>9202</v>
      </c>
      <c r="C5382" s="221">
        <v>42986.092060185183</v>
      </c>
      <c r="D5382" t="s">
        <v>28193</v>
      </c>
      <c r="E5382" s="249" t="str">
        <f>HYPERLINK("https://www.instagram.com/p/BYxQCAmHAqt/")</f>
        <v>https://www.instagram.com/p/BYxQCAmHAqt/</v>
      </c>
      <c r="F5382" t="s">
        <v>28194</v>
      </c>
      <c r="G5382" t="s">
        <v>2478</v>
      </c>
      <c r="H5382">
        <v>1308</v>
      </c>
      <c r="I5382" t="s">
        <v>2542</v>
      </c>
      <c r="J5382">
        <v>3</v>
      </c>
      <c r="K5382">
        <v>110</v>
      </c>
      <c r="L5382">
        <v>113</v>
      </c>
      <c r="Q5382">
        <v>0</v>
      </c>
      <c r="R5382">
        <v>0</v>
      </c>
      <c r="S5382">
        <v>113</v>
      </c>
      <c r="Y5382" t="s">
        <v>5168</v>
      </c>
      <c r="Z5382" t="s">
        <v>7884</v>
      </c>
      <c r="AA5382" t="s">
        <v>20521</v>
      </c>
      <c r="AB5382" t="s">
        <v>12728</v>
      </c>
      <c r="AC5382" t="s">
        <v>17442</v>
      </c>
      <c r="AD5382" s="249" t="str">
        <f>HYPERLINK("https://scontent.cdninstagram.com/t51.2885-15/s320x320/e35/21433765_1729824227314136_3066650556794667008_n.jpg")</f>
        <v>https://scontent.cdninstagram.com/t51.2885-15/s320x320/e35/21433765_1729824227314136_3066650556794667008_n.jpg</v>
      </c>
      <c r="AE5382" s="249" t="str">
        <f>HYPERLINK("https://scontent.cdninstagram.com/t51.2885-19/s150x150/21107631_113930275955600_738991162416693248_a.jpg")</f>
        <v>https://scontent.cdninstagram.com/t51.2885-19/s150x150/21107631_113930275955600_738991162416693248_a.jpg</v>
      </c>
    </row>
    <row r="5383" spans="1:31" ht="15" x14ac:dyDescent="0.25">
      <c r="A5383" t="s">
        <v>2474</v>
      </c>
      <c r="B5383" t="s">
        <v>28195</v>
      </c>
      <c r="C5383" s="221">
        <v>42986.1015625</v>
      </c>
      <c r="D5383" t="s">
        <v>28196</v>
      </c>
      <c r="E5383" s="249" t="str">
        <f>HYPERLINK("https://www.instagram.com/p/BYxRmM1n5E9/")</f>
        <v>https://www.instagram.com/p/BYxRmM1n5E9/</v>
      </c>
      <c r="F5383" t="s">
        <v>28197</v>
      </c>
      <c r="G5383" t="s">
        <v>2478</v>
      </c>
      <c r="H5383">
        <v>185</v>
      </c>
      <c r="I5383" t="s">
        <v>3186</v>
      </c>
      <c r="J5383">
        <v>1</v>
      </c>
      <c r="K5383">
        <v>10</v>
      </c>
      <c r="L5383">
        <v>11</v>
      </c>
      <c r="Q5383">
        <v>0</v>
      </c>
      <c r="R5383">
        <v>0</v>
      </c>
      <c r="S5383">
        <v>11</v>
      </c>
      <c r="Y5383" t="s">
        <v>6760</v>
      </c>
      <c r="Z5383" t="s">
        <v>2497</v>
      </c>
      <c r="AA5383" t="s">
        <v>12973</v>
      </c>
      <c r="AB5383" t="s">
        <v>2826</v>
      </c>
      <c r="AC5383" t="s">
        <v>28198</v>
      </c>
      <c r="AD5383" s="249" t="str">
        <f>HYPERLINK("https://scontent.cdninstagram.com/t51.2885-15/s320x320/e35/21480348_122237605168282_3310454306632630272_n.jpg")</f>
        <v>https://scontent.cdninstagram.com/t51.2885-15/s320x320/e35/21480348_122237605168282_3310454306632630272_n.jpg</v>
      </c>
      <c r="AE5383" s="249" t="str">
        <f>HYPERLINK("https://scontent.cdninstagram.com/t51.2885-19/s150x150/18645610_1698930757076188_2748771780880498688_a.jpg")</f>
        <v>https://scontent.cdninstagram.com/t51.2885-19/s150x150/18645610_1698930757076188_2748771780880498688_a.jpg</v>
      </c>
    </row>
    <row r="5384" spans="1:31" ht="15" x14ac:dyDescent="0.25">
      <c r="A5384" t="s">
        <v>2474</v>
      </c>
      <c r="B5384" t="s">
        <v>3895</v>
      </c>
      <c r="C5384" s="221">
        <v>42986.114525462966</v>
      </c>
      <c r="D5384" t="s">
        <v>28199</v>
      </c>
      <c r="E5384" s="249" t="str">
        <f>HYPERLINK("https://www.instagram.com/p/BYxTu4DlKdF/")</f>
        <v>https://www.instagram.com/p/BYxTu4DlKdF/</v>
      </c>
      <c r="F5384" t="s">
        <v>28200</v>
      </c>
      <c r="G5384" t="s">
        <v>2478</v>
      </c>
      <c r="H5384">
        <v>455</v>
      </c>
      <c r="I5384" t="s">
        <v>2748</v>
      </c>
      <c r="J5384">
        <v>4</v>
      </c>
      <c r="K5384">
        <v>104</v>
      </c>
      <c r="L5384">
        <v>108</v>
      </c>
      <c r="Q5384">
        <v>0</v>
      </c>
      <c r="R5384">
        <v>0</v>
      </c>
      <c r="S5384">
        <v>108</v>
      </c>
      <c r="Y5384" t="s">
        <v>3899</v>
      </c>
      <c r="Z5384" t="s">
        <v>2554</v>
      </c>
      <c r="AA5384" t="s">
        <v>7905</v>
      </c>
      <c r="AB5384" t="s">
        <v>11748</v>
      </c>
      <c r="AC5384" t="s">
        <v>16889</v>
      </c>
      <c r="AD5384" s="249" t="str">
        <f>HYPERLINK("https://scontent.cdninstagram.com/t51.2885-15/s320x320/e35/21480469_115931265782066_5682373343290851328_n.jpg")</f>
        <v>https://scontent.cdninstagram.com/t51.2885-15/s320x320/e35/21480469_115931265782066_5682373343290851328_n.jpg</v>
      </c>
      <c r="AE5384" s="249" t="str">
        <f>HYPERLINK("https://scontent.cdninstagram.com/t51.2885-19/s150x150/20902130_1390331654386412_4188068892897181696_a.jpg")</f>
        <v>https://scontent.cdninstagram.com/t51.2885-19/s150x150/20902130_1390331654386412_4188068892897181696_a.jpg</v>
      </c>
    </row>
    <row r="5385" spans="1:31" ht="15" x14ac:dyDescent="0.25">
      <c r="A5385" t="s">
        <v>2474</v>
      </c>
      <c r="B5385" t="s">
        <v>28201</v>
      </c>
      <c r="C5385" s="221">
        <v>42986.117604166669</v>
      </c>
      <c r="D5385" t="s">
        <v>28202</v>
      </c>
      <c r="E5385" s="249" t="str">
        <f>HYPERLINK("https://www.instagram.com/p/BYxUPZsH34V/")</f>
        <v>https://www.instagram.com/p/BYxUPZsH34V/</v>
      </c>
      <c r="F5385" t="s">
        <v>28203</v>
      </c>
      <c r="G5385" t="s">
        <v>2478</v>
      </c>
      <c r="H5385">
        <v>1735</v>
      </c>
      <c r="I5385" t="s">
        <v>2479</v>
      </c>
      <c r="J5385">
        <v>2</v>
      </c>
      <c r="K5385">
        <v>59</v>
      </c>
      <c r="L5385">
        <v>61</v>
      </c>
      <c r="Q5385">
        <v>0</v>
      </c>
      <c r="R5385">
        <v>0</v>
      </c>
      <c r="S5385">
        <v>61</v>
      </c>
      <c r="Y5385" t="s">
        <v>28204</v>
      </c>
      <c r="Z5385" t="s">
        <v>3370</v>
      </c>
      <c r="AA5385" t="s">
        <v>11255</v>
      </c>
      <c r="AB5385" t="s">
        <v>28201</v>
      </c>
      <c r="AC5385" t="s">
        <v>28205</v>
      </c>
      <c r="AD5385" s="249" t="str">
        <f>HYPERLINK("https://scontent.cdninstagram.com/t51.2885-15/s320x320/e35/21480545_168207527063086_4973238203650670592_n.jpg")</f>
        <v>https://scontent.cdninstagram.com/t51.2885-15/s320x320/e35/21480545_168207527063086_4973238203650670592_n.jpg</v>
      </c>
      <c r="AE5385" s="249" t="str">
        <f>HYPERLINK("https://scontent.cdninstagram.com/t51.2885-19/s150x150/15251851_574678792742588_6904833855933382656_a.jpg")</f>
        <v>https://scontent.cdninstagram.com/t51.2885-19/s150x150/15251851_574678792742588_6904833855933382656_a.jpg</v>
      </c>
    </row>
    <row r="5386" spans="1:31" ht="15" x14ac:dyDescent="0.25">
      <c r="A5386" t="s">
        <v>2474</v>
      </c>
      <c r="B5386" t="s">
        <v>28206</v>
      </c>
      <c r="C5386" s="221">
        <v>42986.121446759258</v>
      </c>
      <c r="D5386" t="s">
        <v>28207</v>
      </c>
      <c r="E5386" s="249" t="str">
        <f>HYPERLINK("https://www.instagram.com/p/BYxU38Bhxqa/")</f>
        <v>https://www.instagram.com/p/BYxU38Bhxqa/</v>
      </c>
      <c r="F5386" t="s">
        <v>28208</v>
      </c>
      <c r="G5386" t="s">
        <v>2488</v>
      </c>
      <c r="H5386">
        <v>1006</v>
      </c>
      <c r="I5386" t="s">
        <v>2479</v>
      </c>
      <c r="J5386">
        <v>3</v>
      </c>
      <c r="K5386">
        <v>39</v>
      </c>
      <c r="L5386">
        <v>42</v>
      </c>
      <c r="Q5386">
        <v>0</v>
      </c>
      <c r="R5386">
        <v>0</v>
      </c>
      <c r="S5386">
        <v>42</v>
      </c>
      <c r="Y5386" t="s">
        <v>28209</v>
      </c>
      <c r="Z5386" t="s">
        <v>3768</v>
      </c>
      <c r="AA5386" t="s">
        <v>28210</v>
      </c>
      <c r="AB5386" t="s">
        <v>28211</v>
      </c>
      <c r="AC5386" t="s">
        <v>28212</v>
      </c>
      <c r="AD5386" s="249" t="str">
        <f>HYPERLINK("https://scontent.cdninstagram.com/t51.2885-15/s320x320/e35/21373282_1438983132853724_5889825847145136128_n.jpg")</f>
        <v>https://scontent.cdninstagram.com/t51.2885-15/s320x320/e35/21373282_1438983132853724_5889825847145136128_n.jpg</v>
      </c>
      <c r="AE5386" s="249" t="str">
        <f>HYPERLINK("https://scontent.cdninstagram.com/t51.2885-19/s150x150/20759061_1877905285808534_1802081265659150336_a.jpg")</f>
        <v>https://scontent.cdninstagram.com/t51.2885-19/s150x150/20759061_1877905285808534_1802081265659150336_a.jpg</v>
      </c>
    </row>
    <row r="5387" spans="1:31" ht="15" x14ac:dyDescent="0.25">
      <c r="A5387" t="s">
        <v>2474</v>
      </c>
      <c r="B5387" t="s">
        <v>6166</v>
      </c>
      <c r="C5387" s="221">
        <v>42986.131273148145</v>
      </c>
      <c r="D5387" t="s">
        <v>28213</v>
      </c>
      <c r="E5387" s="249" t="str">
        <f>HYPERLINK("https://www.instagram.com/p/BYxWfgFj2s_/")</f>
        <v>https://www.instagram.com/p/BYxWfgFj2s_/</v>
      </c>
      <c r="F5387" t="s">
        <v>28214</v>
      </c>
      <c r="G5387" t="s">
        <v>2478</v>
      </c>
      <c r="H5387">
        <v>236</v>
      </c>
      <c r="I5387" t="s">
        <v>2542</v>
      </c>
      <c r="J5387">
        <v>0</v>
      </c>
      <c r="K5387">
        <v>25</v>
      </c>
      <c r="L5387">
        <v>25</v>
      </c>
      <c r="Q5387">
        <v>0</v>
      </c>
      <c r="R5387">
        <v>0</v>
      </c>
      <c r="S5387">
        <v>25</v>
      </c>
      <c r="Y5387" t="s">
        <v>28215</v>
      </c>
      <c r="Z5387" t="s">
        <v>18416</v>
      </c>
      <c r="AA5387" t="s">
        <v>28216</v>
      </c>
      <c r="AB5387" t="s">
        <v>18415</v>
      </c>
      <c r="AC5387" t="s">
        <v>5644</v>
      </c>
      <c r="AD5387" s="249" t="str">
        <f>HYPERLINK("https://scontent.cdninstagram.com/t51.2885-15/e35/p320x320/21434193_1115536741912875_2010134051322593280_n.jpg")</f>
        <v>https://scontent.cdninstagram.com/t51.2885-15/e35/p320x320/21434193_1115536741912875_2010134051322593280_n.jpg</v>
      </c>
      <c r="AE5387" s="249" t="str">
        <f>HYPERLINK("https://scontent.cdninstagram.com/t51.2885-19/s150x150/21149186_128265911142708_5140581481101393920_a.jpg")</f>
        <v>https://scontent.cdninstagram.com/t51.2885-19/s150x150/21149186_128265911142708_5140581481101393920_a.jpg</v>
      </c>
    </row>
    <row r="5388" spans="1:31" ht="15" x14ac:dyDescent="0.25">
      <c r="A5388" t="s">
        <v>2474</v>
      </c>
      <c r="B5388" t="s">
        <v>28217</v>
      </c>
      <c r="C5388" s="221">
        <v>42986.133587962962</v>
      </c>
      <c r="D5388" t="s">
        <v>28218</v>
      </c>
      <c r="E5388" s="249" t="str">
        <f>HYPERLINK("https://www.instagram.com/p/BYxW35yBcO3/")</f>
        <v>https://www.instagram.com/p/BYxW35yBcO3/</v>
      </c>
      <c r="F5388" t="s">
        <v>28219</v>
      </c>
      <c r="G5388" t="s">
        <v>2478</v>
      </c>
      <c r="H5388">
        <v>674</v>
      </c>
      <c r="I5388" t="s">
        <v>3273</v>
      </c>
      <c r="J5388">
        <v>0</v>
      </c>
      <c r="K5388">
        <v>32</v>
      </c>
      <c r="L5388">
        <v>32</v>
      </c>
      <c r="Q5388">
        <v>0</v>
      </c>
      <c r="R5388">
        <v>0</v>
      </c>
      <c r="S5388">
        <v>32</v>
      </c>
      <c r="Y5388" t="s">
        <v>4174</v>
      </c>
      <c r="Z5388" t="s">
        <v>28220</v>
      </c>
      <c r="AA5388" t="s">
        <v>28221</v>
      </c>
      <c r="AB5388" t="s">
        <v>10326</v>
      </c>
      <c r="AC5388" t="s">
        <v>6806</v>
      </c>
      <c r="AD5388" s="249" t="str">
        <f>HYPERLINK("https://scontent.cdninstagram.com/t51.2885-15/s320x320/e35/21568729_282662778886243_3203881062618890240_n.jpg")</f>
        <v>https://scontent.cdninstagram.com/t51.2885-15/s320x320/e35/21568729_282662778886243_3203881062618890240_n.jpg</v>
      </c>
      <c r="AE5388" s="249" t="str">
        <f>HYPERLINK("https://scontent.cdninstagram.com/t51.2885-19/s150x150/17663529_192189317952544_9089961754116489216_a.jpg")</f>
        <v>https://scontent.cdninstagram.com/t51.2885-19/s150x150/17663529_192189317952544_9089961754116489216_a.jpg</v>
      </c>
    </row>
    <row r="5389" spans="1:31" ht="15" x14ac:dyDescent="0.25">
      <c r="A5389" t="s">
        <v>2474</v>
      </c>
      <c r="B5389" t="s">
        <v>3846</v>
      </c>
      <c r="C5389" s="221">
        <v>42986.134976851848</v>
      </c>
      <c r="D5389" t="s">
        <v>28222</v>
      </c>
      <c r="E5389" s="249" t="str">
        <f>HYPERLINK("https://www.instagram.com/p/BYxXGoxA7Su/")</f>
        <v>https://www.instagram.com/p/BYxXGoxA7Su/</v>
      </c>
      <c r="F5389" t="s">
        <v>28223</v>
      </c>
      <c r="G5389" t="s">
        <v>2478</v>
      </c>
      <c r="H5389">
        <v>1059</v>
      </c>
      <c r="I5389" t="s">
        <v>2479</v>
      </c>
      <c r="J5389">
        <v>4</v>
      </c>
      <c r="K5389">
        <v>259</v>
      </c>
      <c r="L5389">
        <v>263</v>
      </c>
      <c r="Q5389">
        <v>0</v>
      </c>
      <c r="R5389">
        <v>0</v>
      </c>
      <c r="S5389">
        <v>263</v>
      </c>
      <c r="Y5389" t="s">
        <v>4923</v>
      </c>
      <c r="Z5389" t="s">
        <v>2844</v>
      </c>
      <c r="AA5389" t="s">
        <v>4922</v>
      </c>
      <c r="AB5389" t="s">
        <v>3174</v>
      </c>
      <c r="AC5389" t="s">
        <v>4924</v>
      </c>
      <c r="AD5389" s="249" t="str">
        <f>HYPERLINK("https://scontent.cdninstagram.com/t51.2885-15/s320x320/e35/21433773_891144407699856_1652007162647412736_n.jpg")</f>
        <v>https://scontent.cdninstagram.com/t51.2885-15/s320x320/e35/21433773_891144407699856_1652007162647412736_n.jpg</v>
      </c>
      <c r="AE5389" s="249" t="str">
        <f>HYPERLINK("https://scontent.cdninstagram.com/t51.2885-19/11313229_1459878014310621_82799200_a.jpg")</f>
        <v>https://scontent.cdninstagram.com/t51.2885-19/11313229_1459878014310621_82799200_a.jpg</v>
      </c>
    </row>
    <row r="5390" spans="1:31" ht="15" x14ac:dyDescent="0.25">
      <c r="A5390" t="s">
        <v>2474</v>
      </c>
      <c r="B5390" t="s">
        <v>25901</v>
      </c>
      <c r="C5390" s="221">
        <v>42986.13795138889</v>
      </c>
      <c r="D5390" t="s">
        <v>28224</v>
      </c>
      <c r="E5390" s="249" t="str">
        <f>HYPERLINK("https://www.instagram.com/p/BYxXl8hlvCQ/")</f>
        <v>https://www.instagram.com/p/BYxXl8hlvCQ/</v>
      </c>
      <c r="F5390" t="s">
        <v>28225</v>
      </c>
      <c r="G5390" t="s">
        <v>2478</v>
      </c>
      <c r="H5390">
        <v>452</v>
      </c>
      <c r="I5390" t="s">
        <v>2479</v>
      </c>
      <c r="J5390">
        <v>1</v>
      </c>
      <c r="K5390">
        <v>47</v>
      </c>
      <c r="L5390">
        <v>48</v>
      </c>
      <c r="Q5390">
        <v>0</v>
      </c>
      <c r="R5390">
        <v>0</v>
      </c>
      <c r="S5390">
        <v>48</v>
      </c>
      <c r="Y5390" t="s">
        <v>28226</v>
      </c>
      <c r="Z5390" t="s">
        <v>25906</v>
      </c>
      <c r="AA5390" t="s">
        <v>26456</v>
      </c>
      <c r="AB5390" t="s">
        <v>28227</v>
      </c>
      <c r="AC5390" t="s">
        <v>7524</v>
      </c>
      <c r="AD5390" s="249" t="str">
        <f>HYPERLINK("https://scontent.cdninstagram.com/t51.2885-15/s320x320/e35/21435585_345466802534130_7933131262334599168_n.jpg")</f>
        <v>https://scontent.cdninstagram.com/t51.2885-15/s320x320/e35/21435585_345466802534130_7933131262334599168_n.jpg</v>
      </c>
      <c r="AE5390" s="249" t="str">
        <f>HYPERLINK("https://scontent.cdninstagram.com/t51.2885-19/s150x150/19120264_433924860306759_6004906278910951424_n.jpg")</f>
        <v>https://scontent.cdninstagram.com/t51.2885-19/s150x150/19120264_433924860306759_6004906278910951424_n.jpg</v>
      </c>
    </row>
    <row r="5391" spans="1:31" ht="15" x14ac:dyDescent="0.25">
      <c r="A5391" t="s">
        <v>2474</v>
      </c>
      <c r="B5391" t="s">
        <v>28228</v>
      </c>
      <c r="C5391" s="221">
        <v>42986.150543981479</v>
      </c>
      <c r="D5391" t="s">
        <v>28229</v>
      </c>
      <c r="E5391" s="249" t="str">
        <f>HYPERLINK("https://www.instagram.com/p/BYxZquLFtXz/")</f>
        <v>https://www.instagram.com/p/BYxZquLFtXz/</v>
      </c>
      <c r="F5391" t="s">
        <v>28230</v>
      </c>
      <c r="G5391" t="s">
        <v>2478</v>
      </c>
      <c r="H5391">
        <v>208</v>
      </c>
      <c r="I5391" t="s">
        <v>2542</v>
      </c>
      <c r="J5391">
        <v>0</v>
      </c>
      <c r="K5391">
        <v>12</v>
      </c>
      <c r="L5391">
        <v>12</v>
      </c>
      <c r="Q5391">
        <v>0</v>
      </c>
      <c r="R5391">
        <v>0</v>
      </c>
      <c r="S5391">
        <v>12</v>
      </c>
      <c r="T5391" t="s">
        <v>28231</v>
      </c>
      <c r="V5391" t="s">
        <v>2140</v>
      </c>
      <c r="W5391">
        <v>49.743572424947999</v>
      </c>
      <c r="X5391">
        <v>15.341096693771</v>
      </c>
      <c r="Y5391" t="s">
        <v>28232</v>
      </c>
      <c r="Z5391" t="s">
        <v>2497</v>
      </c>
      <c r="AA5391" t="s">
        <v>28233</v>
      </c>
      <c r="AB5391" t="s">
        <v>28234</v>
      </c>
      <c r="AC5391" t="s">
        <v>10948</v>
      </c>
      <c r="AD5391" s="249" t="str">
        <f>HYPERLINK("https://scontent.cdninstagram.com/t51.2885-15/e35/p320x320/21435768_172534353303675_5419619897095225344_n.jpg")</f>
        <v>https://scontent.cdninstagram.com/t51.2885-15/e35/p320x320/21435768_172534353303675_5419619897095225344_n.jpg</v>
      </c>
      <c r="AE5391" s="249" t="str">
        <f>HYPERLINK("https://scontent.cdninstagram.com/t51.2885-19/s150x150/20759033_109781693057070_647106096669917184_a.jpg")</f>
        <v>https://scontent.cdninstagram.com/t51.2885-19/s150x150/20759033_109781693057070_647106096669917184_a.jpg</v>
      </c>
    </row>
    <row r="5392" spans="1:31" ht="15" x14ac:dyDescent="0.25">
      <c r="A5392" t="s">
        <v>2474</v>
      </c>
      <c r="B5392" t="s">
        <v>28235</v>
      </c>
      <c r="C5392" s="221">
        <v>42986.151446759257</v>
      </c>
      <c r="D5392" t="s">
        <v>28236</v>
      </c>
      <c r="E5392" s="249" t="str">
        <f>HYPERLINK("https://www.instagram.com/p/BYxZ0TFAafr/")</f>
        <v>https://www.instagram.com/p/BYxZ0TFAafr/</v>
      </c>
      <c r="F5392" t="s">
        <v>28237</v>
      </c>
      <c r="G5392" t="s">
        <v>2478</v>
      </c>
      <c r="H5392">
        <v>69</v>
      </c>
      <c r="I5392" t="s">
        <v>2786</v>
      </c>
      <c r="J5392">
        <v>0</v>
      </c>
      <c r="K5392">
        <v>10</v>
      </c>
      <c r="L5392">
        <v>10</v>
      </c>
      <c r="Q5392">
        <v>0</v>
      </c>
      <c r="R5392">
        <v>0</v>
      </c>
      <c r="S5392">
        <v>10</v>
      </c>
      <c r="Y5392" t="s">
        <v>5884</v>
      </c>
      <c r="Z5392" t="s">
        <v>28238</v>
      </c>
      <c r="AA5392" t="s">
        <v>6835</v>
      </c>
      <c r="AB5392" t="s">
        <v>6550</v>
      </c>
      <c r="AC5392" t="s">
        <v>10374</v>
      </c>
      <c r="AD5392" s="249" t="str">
        <f>HYPERLINK("https://scontent.cdninstagram.com/t51.2885-15/s320x320/e35/21436166_466646043703448_1774641600073302016_n.jpg")</f>
        <v>https://scontent.cdninstagram.com/t51.2885-15/s320x320/e35/21436166_466646043703448_1774641600073302016_n.jpg</v>
      </c>
      <c r="AE5392" s="249" t="str">
        <f>HYPERLINK("https://scontent.cdninstagram.com/t51.2885-19/s150x150/16465281_614570888749791_6423101167143747584_a.jpg")</f>
        <v>https://scontent.cdninstagram.com/t51.2885-19/s150x150/16465281_614570888749791_6423101167143747584_a.jpg</v>
      </c>
    </row>
    <row r="5393" spans="1:31" ht="15" x14ac:dyDescent="0.25">
      <c r="A5393" t="s">
        <v>2474</v>
      </c>
      <c r="B5393" t="s">
        <v>28239</v>
      </c>
      <c r="C5393" s="221">
        <v>42986.152465277781</v>
      </c>
      <c r="D5393" t="s">
        <v>28240</v>
      </c>
      <c r="E5393" s="249" t="str">
        <f>HYPERLINK("https://www.instagram.com/p/BYxZ-_CgSyL/")</f>
        <v>https://www.instagram.com/p/BYxZ-_CgSyL/</v>
      </c>
      <c r="F5393" t="s">
        <v>28241</v>
      </c>
      <c r="G5393" t="s">
        <v>2478</v>
      </c>
      <c r="H5393">
        <v>262</v>
      </c>
      <c r="I5393" t="s">
        <v>2479</v>
      </c>
      <c r="J5393">
        <v>2</v>
      </c>
      <c r="K5393">
        <v>29</v>
      </c>
      <c r="L5393">
        <v>31</v>
      </c>
      <c r="Q5393">
        <v>0</v>
      </c>
      <c r="R5393">
        <v>0</v>
      </c>
      <c r="S5393">
        <v>31</v>
      </c>
      <c r="T5393" t="s">
        <v>28242</v>
      </c>
      <c r="V5393" t="s">
        <v>2264</v>
      </c>
      <c r="W5393">
        <v>39.573341399999997</v>
      </c>
      <c r="X5393">
        <v>2.6478600999999999</v>
      </c>
      <c r="Y5393" t="s">
        <v>28243</v>
      </c>
      <c r="Z5393" t="s">
        <v>28244</v>
      </c>
      <c r="AA5393" t="s">
        <v>28245</v>
      </c>
      <c r="AB5393" t="s">
        <v>2523</v>
      </c>
      <c r="AC5393" t="s">
        <v>28246</v>
      </c>
      <c r="AD5393" s="249" t="str">
        <f>HYPERLINK("https://scontent.cdninstagram.com/t51.2885-15/s320x320/e35/21434173_348202105592490_966424691650592768_n.jpg")</f>
        <v>https://scontent.cdninstagram.com/t51.2885-15/s320x320/e35/21434173_348202105592490_966424691650592768_n.jpg</v>
      </c>
      <c r="AE5393" s="249" t="str">
        <f>HYPERLINK("https://scontent.cdninstagram.com/t51.2885-19/s150x150/14478502_263412607392236_8878745823823790080_a.jpg")</f>
        <v>https://scontent.cdninstagram.com/t51.2885-19/s150x150/14478502_263412607392236_8878745823823790080_a.jpg</v>
      </c>
    </row>
    <row r="5394" spans="1:31" ht="15" x14ac:dyDescent="0.25">
      <c r="A5394" t="s">
        <v>2474</v>
      </c>
      <c r="B5394" t="s">
        <v>3931</v>
      </c>
      <c r="C5394" s="221">
        <v>42986.156180555554</v>
      </c>
      <c r="D5394" t="s">
        <v>28247</v>
      </c>
      <c r="E5394" s="249" t="str">
        <f>HYPERLINK("https://www.instagram.com/p/BYxamPIh1_Q/")</f>
        <v>https://www.instagram.com/p/BYxamPIh1_Q/</v>
      </c>
      <c r="F5394" t="s">
        <v>28248</v>
      </c>
      <c r="G5394" t="s">
        <v>2478</v>
      </c>
      <c r="H5394">
        <v>319</v>
      </c>
      <c r="I5394" t="s">
        <v>3575</v>
      </c>
      <c r="J5394">
        <v>3</v>
      </c>
      <c r="K5394">
        <v>77</v>
      </c>
      <c r="L5394">
        <v>80</v>
      </c>
      <c r="Q5394">
        <v>0</v>
      </c>
      <c r="R5394">
        <v>0</v>
      </c>
      <c r="S5394">
        <v>80</v>
      </c>
      <c r="T5394" t="s">
        <v>9759</v>
      </c>
      <c r="V5394" t="s">
        <v>2177</v>
      </c>
      <c r="W5394">
        <v>-8.6461956811819007</v>
      </c>
      <c r="X5394">
        <v>115.1806640625</v>
      </c>
      <c r="Y5394" t="s">
        <v>13835</v>
      </c>
      <c r="Z5394" t="s">
        <v>3938</v>
      </c>
      <c r="AA5394" t="s">
        <v>23209</v>
      </c>
      <c r="AB5394" t="s">
        <v>3268</v>
      </c>
      <c r="AC5394" t="s">
        <v>2651</v>
      </c>
      <c r="AD5394" s="249" t="str">
        <f>HYPERLINK("https://scontent.cdninstagram.com/t51.2885-15/s320x320/e35/21479693_122065308453044_6909736449432616960_n.jpg")</f>
        <v>https://scontent.cdninstagram.com/t51.2885-15/s320x320/e35/21479693_122065308453044_6909736449432616960_n.jpg</v>
      </c>
      <c r="AE5394" s="249" t="str">
        <f>HYPERLINK("https://scontent.cdninstagram.com/t51.2885-19/s150x150/11849842_1154785807871102_897507050_a.jpg")</f>
        <v>https://scontent.cdninstagram.com/t51.2885-19/s150x150/11849842_1154785807871102_897507050_a.jpg</v>
      </c>
    </row>
    <row r="5395" spans="1:31" ht="15" x14ac:dyDescent="0.25">
      <c r="A5395" t="s">
        <v>2474</v>
      </c>
      <c r="B5395" t="s">
        <v>4685</v>
      </c>
      <c r="C5395" s="221">
        <v>42986.15902777778</v>
      </c>
      <c r="D5395" t="s">
        <v>28249</v>
      </c>
      <c r="E5395" s="249" t="str">
        <f>HYPERLINK("https://www.instagram.com/p/BYxbERzHvVU/")</f>
        <v>https://www.instagram.com/p/BYxbERzHvVU/</v>
      </c>
      <c r="F5395" t="s">
        <v>28250</v>
      </c>
      <c r="G5395" t="s">
        <v>2478</v>
      </c>
      <c r="H5395">
        <v>351</v>
      </c>
      <c r="I5395" t="s">
        <v>3170</v>
      </c>
      <c r="J5395">
        <v>0</v>
      </c>
      <c r="K5395">
        <v>38</v>
      </c>
      <c r="L5395">
        <v>38</v>
      </c>
      <c r="Q5395">
        <v>0</v>
      </c>
      <c r="R5395">
        <v>0</v>
      </c>
      <c r="S5395">
        <v>38</v>
      </c>
      <c r="Y5395" t="s">
        <v>28251</v>
      </c>
      <c r="Z5395" t="s">
        <v>3194</v>
      </c>
      <c r="AA5395" t="s">
        <v>28252</v>
      </c>
      <c r="AB5395" t="s">
        <v>28253</v>
      </c>
      <c r="AC5395" t="s">
        <v>28254</v>
      </c>
      <c r="AD5395" s="249" t="str">
        <f>HYPERLINK("https://scontent.cdninstagram.com/t51.2885-15/s320x320/e35/21480004_1935715870004697_7913865529398394880_n.jpg")</f>
        <v>https://scontent.cdninstagram.com/t51.2885-15/s320x320/e35/21480004_1935715870004697_7913865529398394880_n.jpg</v>
      </c>
      <c r="AE5395" s="249" t="str">
        <f>HYPERLINK("https://scontent.cdninstagram.com/t51.2885-19/s150x150/14498866_1223064704423042_5122473061462835200_a.jpg")</f>
        <v>https://scontent.cdninstagram.com/t51.2885-19/s150x150/14498866_1223064704423042_5122473061462835200_a.jpg</v>
      </c>
    </row>
    <row r="5396" spans="1:31" ht="15" x14ac:dyDescent="0.25">
      <c r="A5396" t="s">
        <v>2474</v>
      </c>
      <c r="B5396" t="s">
        <v>28255</v>
      </c>
      <c r="C5396" s="221">
        <v>42986.166770833333</v>
      </c>
      <c r="D5396" t="s">
        <v>28256</v>
      </c>
      <c r="E5396" s="249" t="str">
        <f>HYPERLINK("https://www.instagram.com/p/BYxcV5-HBm_/")</f>
        <v>https://www.instagram.com/p/BYxcV5-HBm_/</v>
      </c>
      <c r="F5396" t="s">
        <v>28257</v>
      </c>
      <c r="G5396" t="s">
        <v>2478</v>
      </c>
      <c r="H5396">
        <v>235</v>
      </c>
      <c r="I5396" t="s">
        <v>2903</v>
      </c>
      <c r="J5396">
        <v>0</v>
      </c>
      <c r="K5396">
        <v>17</v>
      </c>
      <c r="L5396">
        <v>17</v>
      </c>
      <c r="Q5396">
        <v>0</v>
      </c>
      <c r="R5396">
        <v>0</v>
      </c>
      <c r="S5396">
        <v>17</v>
      </c>
      <c r="T5396" t="s">
        <v>28258</v>
      </c>
      <c r="V5396" t="s">
        <v>2125</v>
      </c>
      <c r="W5396">
        <v>50.0167</v>
      </c>
      <c r="X5396">
        <v>-125.25</v>
      </c>
      <c r="Y5396" t="s">
        <v>11587</v>
      </c>
      <c r="Z5396" t="s">
        <v>4225</v>
      </c>
      <c r="AA5396" t="s">
        <v>28259</v>
      </c>
      <c r="AB5396" t="s">
        <v>2497</v>
      </c>
      <c r="AD5396" s="249" t="str">
        <f>HYPERLINK("https://scontent.cdninstagram.com/t51.2885-15/e35/p320x320/21433631_114710702574482_5355059344566124544_n.jpg")</f>
        <v>https://scontent.cdninstagram.com/t51.2885-15/e35/p320x320/21433631_114710702574482_5355059344566124544_n.jpg</v>
      </c>
      <c r="AE5396" s="249" t="str">
        <f>HYPERLINK("https://scontent.cdninstagram.com/t51.2885-19/s150x150/20347007_1920601428227558_257612662400090112_a.jpg")</f>
        <v>https://scontent.cdninstagram.com/t51.2885-19/s150x150/20347007_1920601428227558_257612662400090112_a.jpg</v>
      </c>
    </row>
    <row r="5397" spans="1:31" ht="15" x14ac:dyDescent="0.25">
      <c r="A5397" t="s">
        <v>2474</v>
      </c>
      <c r="B5397" t="s">
        <v>26568</v>
      </c>
      <c r="C5397" s="221">
        <v>42986.171423611115</v>
      </c>
      <c r="D5397" t="s">
        <v>28260</v>
      </c>
      <c r="E5397" s="249" t="str">
        <f>HYPERLINK("https://www.instagram.com/p/BYxdHATlreR/")</f>
        <v>https://www.instagram.com/p/BYxdHATlreR/</v>
      </c>
      <c r="F5397" t="s">
        <v>28261</v>
      </c>
      <c r="G5397" t="s">
        <v>2478</v>
      </c>
      <c r="H5397">
        <v>1678</v>
      </c>
      <c r="I5397" t="s">
        <v>2479</v>
      </c>
      <c r="J5397">
        <v>0</v>
      </c>
      <c r="K5397">
        <v>137</v>
      </c>
      <c r="L5397">
        <v>137</v>
      </c>
      <c r="Q5397">
        <v>0</v>
      </c>
      <c r="R5397">
        <v>0</v>
      </c>
      <c r="S5397">
        <v>137</v>
      </c>
      <c r="Y5397" t="s">
        <v>3237</v>
      </c>
      <c r="Z5397" t="s">
        <v>28262</v>
      </c>
      <c r="AA5397" t="s">
        <v>28263</v>
      </c>
      <c r="AB5397" t="s">
        <v>4407</v>
      </c>
      <c r="AC5397" t="s">
        <v>3568</v>
      </c>
      <c r="AD5397" s="249" t="str">
        <f>HYPERLINK("https://scontent.cdninstagram.com/t51.2885-15/s320x320/e35/21435549_171860306706957_5890927617925709824_n.jpg")</f>
        <v>https://scontent.cdninstagram.com/t51.2885-15/s320x320/e35/21435549_171860306706957_5890927617925709824_n.jpg</v>
      </c>
      <c r="AE5397" s="249" t="str">
        <f>HYPERLINK("https://scontent.cdninstagram.com/t51.2885-19/s150x150/13102422_480287725499798_1251561052_a.jpg")</f>
        <v>https://scontent.cdninstagram.com/t51.2885-19/s150x150/13102422_480287725499798_1251561052_a.jpg</v>
      </c>
    </row>
    <row r="5398" spans="1:31" ht="15" x14ac:dyDescent="0.25">
      <c r="A5398" t="s">
        <v>2474</v>
      </c>
      <c r="B5398" t="s">
        <v>28264</v>
      </c>
      <c r="C5398" s="221">
        <v>42986.176805555559</v>
      </c>
      <c r="D5398" t="s">
        <v>28265</v>
      </c>
      <c r="E5398" s="249" t="str">
        <f>HYPERLINK("https://www.instagram.com/p/BYxd_sYBQDk/")</f>
        <v>https://www.instagram.com/p/BYxd_sYBQDk/</v>
      </c>
      <c r="F5398" t="s">
        <v>28266</v>
      </c>
      <c r="G5398" t="s">
        <v>2478</v>
      </c>
      <c r="H5398">
        <v>145</v>
      </c>
      <c r="I5398" t="s">
        <v>2479</v>
      </c>
      <c r="J5398">
        <v>2</v>
      </c>
      <c r="K5398">
        <v>9</v>
      </c>
      <c r="L5398">
        <v>11</v>
      </c>
      <c r="Q5398">
        <v>0</v>
      </c>
      <c r="R5398">
        <v>0</v>
      </c>
      <c r="S5398">
        <v>11</v>
      </c>
      <c r="Y5398" t="s">
        <v>28267</v>
      </c>
      <c r="Z5398" t="s">
        <v>7125</v>
      </c>
      <c r="AA5398" t="s">
        <v>28268</v>
      </c>
      <c r="AB5398" t="s">
        <v>16782</v>
      </c>
      <c r="AC5398" t="s">
        <v>3132</v>
      </c>
      <c r="AD5398" s="249" t="str">
        <f>HYPERLINK("https://scontent.cdninstagram.com/t51.2885-15/s320x320/e35/21373637_595312814191522_4263936105746792448_n.jpg")</f>
        <v>https://scontent.cdninstagram.com/t51.2885-15/s320x320/e35/21373637_595312814191522_4263936105746792448_n.jpg</v>
      </c>
      <c r="AE5398" s="249" t="str">
        <f>HYPERLINK("https://scontent.cdninstagram.com/t51.2885-19/s150x150/12912761_775551822577604_1869027632_a.jpg")</f>
        <v>https://scontent.cdninstagram.com/t51.2885-19/s150x150/12912761_775551822577604_1869027632_a.jpg</v>
      </c>
    </row>
    <row r="5399" spans="1:31" ht="15" x14ac:dyDescent="0.25">
      <c r="A5399" t="s">
        <v>2474</v>
      </c>
      <c r="B5399" t="s">
        <v>16547</v>
      </c>
      <c r="C5399" s="221">
        <v>42986.182638888888</v>
      </c>
      <c r="D5399" t="s">
        <v>28269</v>
      </c>
      <c r="E5399" s="249" t="str">
        <f>HYPERLINK("https://www.instagram.com/p/BYxe9QNAx-a/")</f>
        <v>https://www.instagram.com/p/BYxe9QNAx-a/</v>
      </c>
      <c r="F5399" t="s">
        <v>28270</v>
      </c>
      <c r="G5399" t="s">
        <v>2478</v>
      </c>
      <c r="H5399">
        <v>332</v>
      </c>
      <c r="I5399" t="s">
        <v>4523</v>
      </c>
      <c r="J5399">
        <v>0</v>
      </c>
      <c r="K5399">
        <v>3</v>
      </c>
      <c r="L5399">
        <v>3</v>
      </c>
      <c r="Q5399">
        <v>0</v>
      </c>
      <c r="R5399">
        <v>0</v>
      </c>
      <c r="S5399">
        <v>3</v>
      </c>
      <c r="Y5399" t="s">
        <v>28271</v>
      </c>
      <c r="Z5399" t="s">
        <v>28272</v>
      </c>
      <c r="AA5399" t="s">
        <v>28273</v>
      </c>
      <c r="AB5399" t="s">
        <v>28274</v>
      </c>
      <c r="AC5399" t="s">
        <v>2497</v>
      </c>
      <c r="AD5399" s="249" t="str">
        <f>HYPERLINK("https://scontent.cdninstagram.com/t51.2885-15/e35/p320x320/21434026_124812791503792_6922958854145703936_n.jpg")</f>
        <v>https://scontent.cdninstagram.com/t51.2885-15/e35/p320x320/21434026_124812791503792_6922958854145703936_n.jpg</v>
      </c>
      <c r="AE5399" s="249" t="str">
        <f>HYPERLINK("https://scontent.cdninstagram.com/t51.2885-19/s150x150/21372053_129287907698570_8684925580526747648_a.jpg")</f>
        <v>https://scontent.cdninstagram.com/t51.2885-19/s150x150/21372053_129287907698570_8684925580526747648_a.jpg</v>
      </c>
    </row>
    <row r="5400" spans="1:31" ht="15" x14ac:dyDescent="0.25">
      <c r="A5400" t="s">
        <v>2474</v>
      </c>
      <c r="B5400" t="s">
        <v>28275</v>
      </c>
      <c r="C5400" s="221">
        <v>42986.197083333333</v>
      </c>
      <c r="D5400" t="s">
        <v>28276</v>
      </c>
      <c r="E5400" s="249" t="str">
        <f>HYPERLINK("https://www.instagram.com/p/BYxhVl4AER6/")</f>
        <v>https://www.instagram.com/p/BYxhVl4AER6/</v>
      </c>
      <c r="F5400" t="s">
        <v>28277</v>
      </c>
      <c r="G5400" t="s">
        <v>2478</v>
      </c>
      <c r="H5400">
        <v>61</v>
      </c>
      <c r="I5400" t="s">
        <v>2479</v>
      </c>
      <c r="J5400">
        <v>2</v>
      </c>
      <c r="K5400">
        <v>14</v>
      </c>
      <c r="L5400">
        <v>16</v>
      </c>
      <c r="Q5400">
        <v>0</v>
      </c>
      <c r="R5400">
        <v>0</v>
      </c>
      <c r="S5400">
        <v>16</v>
      </c>
      <c r="Y5400" t="s">
        <v>4993</v>
      </c>
      <c r="Z5400" t="s">
        <v>28278</v>
      </c>
      <c r="AA5400" t="s">
        <v>2497</v>
      </c>
      <c r="AB5400" t="s">
        <v>28279</v>
      </c>
      <c r="AD5400" s="249" t="str">
        <f>HYPERLINK("https://scontent.cdninstagram.com/t51.2885-15/s320x320/e35/21433431_748417222027456_8000770065169383424_n.jpg")</f>
        <v>https://scontent.cdninstagram.com/t51.2885-15/s320x320/e35/21433431_748417222027456_8000770065169383424_n.jpg</v>
      </c>
      <c r="AE5400" s="249" t="str">
        <f>HYPERLINK("https://scontent.cdninstagram.com/t51.2885-19/s150x150/20968556_1746964362267732_5817064265017720832_a.jpg")</f>
        <v>https://scontent.cdninstagram.com/t51.2885-19/s150x150/20968556_1746964362267732_5817064265017720832_a.jpg</v>
      </c>
    </row>
    <row r="5401" spans="1:31" ht="15" x14ac:dyDescent="0.25">
      <c r="A5401" t="s">
        <v>2474</v>
      </c>
      <c r="B5401" t="s">
        <v>28280</v>
      </c>
      <c r="C5401" s="221">
        <v>42986.197453703702</v>
      </c>
      <c r="D5401" t="s">
        <v>28281</v>
      </c>
      <c r="E5401" s="249" t="str">
        <f>HYPERLINK("https://www.instagram.com/p/BYxhZjthRUq/")</f>
        <v>https://www.instagram.com/p/BYxhZjthRUq/</v>
      </c>
      <c r="F5401" t="s">
        <v>28282</v>
      </c>
      <c r="G5401" t="s">
        <v>2478</v>
      </c>
      <c r="H5401">
        <v>314</v>
      </c>
      <c r="I5401" t="s">
        <v>2479</v>
      </c>
      <c r="J5401">
        <v>2</v>
      </c>
      <c r="K5401">
        <v>30</v>
      </c>
      <c r="L5401">
        <v>32</v>
      </c>
      <c r="Q5401">
        <v>0</v>
      </c>
      <c r="R5401">
        <v>0</v>
      </c>
      <c r="S5401">
        <v>32</v>
      </c>
      <c r="Y5401" t="s">
        <v>28283</v>
      </c>
      <c r="Z5401" t="s">
        <v>28284</v>
      </c>
      <c r="AA5401" t="s">
        <v>28285</v>
      </c>
      <c r="AB5401" t="s">
        <v>28286</v>
      </c>
      <c r="AC5401" t="s">
        <v>28287</v>
      </c>
      <c r="AD5401" s="249" t="str">
        <f>HYPERLINK("https://scontent.cdninstagram.com/t51.2885-15/s320x320/e35/21373689_332073413924331_3411087284458487808_n.jpg")</f>
        <v>https://scontent.cdninstagram.com/t51.2885-15/s320x320/e35/21373689_332073413924331_3411087284458487808_n.jpg</v>
      </c>
      <c r="AE5401" s="249" t="str">
        <f>HYPERLINK("https://scontent.cdninstagram.com/t51.2885-19/s150x150/19985021_1951967408408517_7418514074838761472_a.jpg")</f>
        <v>https://scontent.cdninstagram.com/t51.2885-19/s150x150/19985021_1951967408408517_7418514074838761472_a.jpg</v>
      </c>
    </row>
    <row r="5402" spans="1:31" ht="15" x14ac:dyDescent="0.25">
      <c r="A5402" t="s">
        <v>2474</v>
      </c>
      <c r="B5402" t="s">
        <v>3710</v>
      </c>
      <c r="C5402" s="221">
        <v>42986.199664351851</v>
      </c>
      <c r="D5402" t="s">
        <v>28288</v>
      </c>
      <c r="E5402" s="249" t="str">
        <f>HYPERLINK("https://www.instagram.com/p/BYxhw5IAM8o/")</f>
        <v>https://www.instagram.com/p/BYxhw5IAM8o/</v>
      </c>
      <c r="F5402" t="s">
        <v>28289</v>
      </c>
      <c r="G5402" t="s">
        <v>2478</v>
      </c>
      <c r="H5402">
        <v>14526</v>
      </c>
      <c r="I5402" t="s">
        <v>2479</v>
      </c>
      <c r="J5402">
        <v>8</v>
      </c>
      <c r="K5402">
        <v>204</v>
      </c>
      <c r="L5402">
        <v>212</v>
      </c>
      <c r="Q5402">
        <v>0</v>
      </c>
      <c r="R5402">
        <v>0</v>
      </c>
      <c r="S5402">
        <v>212</v>
      </c>
      <c r="AD5402" s="249" t="str">
        <f>HYPERLINK("https://scontent.cdninstagram.com/t51.2885-15/s320x320/e35/21373765_486904064996050_7316017695386763264_n.jpg")</f>
        <v>https://scontent.cdninstagram.com/t51.2885-15/s320x320/e35/21373765_486904064996050_7316017695386763264_n.jpg</v>
      </c>
      <c r="AE5402" s="249" t="str">
        <f>HYPERLINK("https://scontent.cdninstagram.com/t51.2885-19/s150x150/15625245_101041737067360_8349613132926156800_a.jpg")</f>
        <v>https://scontent.cdninstagram.com/t51.2885-19/s150x150/15625245_101041737067360_8349613132926156800_a.jpg</v>
      </c>
    </row>
    <row r="5403" spans="1:31" ht="15" x14ac:dyDescent="0.25">
      <c r="A5403" t="s">
        <v>2474</v>
      </c>
      <c r="B5403" t="s">
        <v>28290</v>
      </c>
      <c r="C5403" s="221">
        <v>42986.207314814812</v>
      </c>
      <c r="D5403" t="s">
        <v>28291</v>
      </c>
      <c r="E5403" s="249" t="str">
        <f>HYPERLINK("https://www.instagram.com/p/BYxjBk2l4pL/")</f>
        <v>https://www.instagram.com/p/BYxjBk2l4pL/</v>
      </c>
      <c r="F5403" t="s">
        <v>28292</v>
      </c>
      <c r="G5403" t="s">
        <v>2478</v>
      </c>
      <c r="H5403">
        <v>244</v>
      </c>
      <c r="I5403" t="s">
        <v>2479</v>
      </c>
      <c r="J5403">
        <v>10</v>
      </c>
      <c r="K5403">
        <v>17</v>
      </c>
      <c r="L5403">
        <v>27</v>
      </c>
      <c r="Q5403">
        <v>0</v>
      </c>
      <c r="R5403">
        <v>0</v>
      </c>
      <c r="S5403">
        <v>27</v>
      </c>
      <c r="T5403" t="s">
        <v>28293</v>
      </c>
      <c r="V5403" t="s">
        <v>2263</v>
      </c>
      <c r="W5403">
        <v>-26.109049618722</v>
      </c>
      <c r="X5403">
        <v>28.052580356598</v>
      </c>
      <c r="Y5403" t="s">
        <v>2497</v>
      </c>
      <c r="AD5403" s="249" t="str">
        <f>HYPERLINK("https://scontent.cdninstagram.com/t51.2885-15/e35/p320x320/21435923_239927656530243_8006878148614422528_n.jpg")</f>
        <v>https://scontent.cdninstagram.com/t51.2885-15/e35/p320x320/21435923_239927656530243_8006878148614422528_n.jpg</v>
      </c>
      <c r="AE5403" s="249" t="str">
        <f>HYPERLINK("https://scontent.cdninstagram.com/t51.2885-19/s150x150/21371644_1959444307670965_190296050831982592_a.jpg")</f>
        <v>https://scontent.cdninstagram.com/t51.2885-19/s150x150/21371644_1959444307670965_190296050831982592_a.jpg</v>
      </c>
    </row>
    <row r="5404" spans="1:31" ht="15" x14ac:dyDescent="0.25">
      <c r="A5404" t="s">
        <v>2474</v>
      </c>
      <c r="B5404" t="s">
        <v>28294</v>
      </c>
      <c r="C5404" s="221">
        <v>42986.209965277776</v>
      </c>
      <c r="D5404" t="s">
        <v>28295</v>
      </c>
      <c r="E5404" s="249" t="str">
        <f>HYPERLINK("https://www.instagram.com/p/BYxjdiLB7A2/")</f>
        <v>https://www.instagram.com/p/BYxjdiLB7A2/</v>
      </c>
      <c r="F5404" t="s">
        <v>28296</v>
      </c>
      <c r="G5404" t="s">
        <v>2478</v>
      </c>
      <c r="H5404">
        <v>690</v>
      </c>
      <c r="I5404" t="s">
        <v>2748</v>
      </c>
      <c r="J5404">
        <v>9</v>
      </c>
      <c r="K5404">
        <v>20</v>
      </c>
      <c r="L5404">
        <v>29</v>
      </c>
      <c r="Q5404">
        <v>0</v>
      </c>
      <c r="R5404">
        <v>0</v>
      </c>
      <c r="S5404">
        <v>29</v>
      </c>
      <c r="Y5404" t="s">
        <v>3598</v>
      </c>
      <c r="Z5404" t="s">
        <v>28297</v>
      </c>
      <c r="AA5404" t="s">
        <v>28298</v>
      </c>
      <c r="AB5404" t="s">
        <v>3570</v>
      </c>
      <c r="AC5404" t="s">
        <v>2651</v>
      </c>
      <c r="AD5404" s="249" t="str">
        <f>HYPERLINK("https://scontent.cdninstagram.com/t51.2885-15/s320x320/e35/21373706_1504994679584218_3891843370699456512_n.jpg")</f>
        <v>https://scontent.cdninstagram.com/t51.2885-15/s320x320/e35/21373706_1504994679584218_3891843370699456512_n.jpg</v>
      </c>
      <c r="AE5404" s="249" t="str">
        <f>HYPERLINK("https://scontent.cdninstagram.com/t51.2885-19/s150x150/18094757_449306018746533_5029968313539624960_a.jpg")</f>
        <v>https://scontent.cdninstagram.com/t51.2885-19/s150x150/18094757_449306018746533_5029968313539624960_a.jpg</v>
      </c>
    </row>
    <row r="5405" spans="1:31" ht="15" x14ac:dyDescent="0.25">
      <c r="A5405" t="s">
        <v>2474</v>
      </c>
      <c r="B5405" t="s">
        <v>28299</v>
      </c>
      <c r="C5405" s="221">
        <v>42986.210509259261</v>
      </c>
      <c r="D5405" t="s">
        <v>28300</v>
      </c>
      <c r="E5405" s="249" t="str">
        <f>HYPERLINK("https://www.instagram.com/p/BYxjjOJB2O4/")</f>
        <v>https://www.instagram.com/p/BYxjjOJB2O4/</v>
      </c>
      <c r="F5405" t="s">
        <v>28301</v>
      </c>
      <c r="G5405" t="s">
        <v>2478</v>
      </c>
      <c r="H5405">
        <v>299</v>
      </c>
      <c r="I5405" t="s">
        <v>2479</v>
      </c>
      <c r="J5405">
        <v>1</v>
      </c>
      <c r="K5405">
        <v>54</v>
      </c>
      <c r="L5405">
        <v>55</v>
      </c>
      <c r="Q5405">
        <v>0</v>
      </c>
      <c r="R5405">
        <v>0</v>
      </c>
      <c r="S5405">
        <v>55</v>
      </c>
      <c r="Y5405" t="s">
        <v>21213</v>
      </c>
      <c r="Z5405" t="s">
        <v>11331</v>
      </c>
      <c r="AA5405" t="s">
        <v>9453</v>
      </c>
      <c r="AB5405" t="s">
        <v>3174</v>
      </c>
      <c r="AC5405" t="s">
        <v>28302</v>
      </c>
      <c r="AD5405" s="249" t="str">
        <f>HYPERLINK("https://scontent.cdninstagram.com/t51.2885-15/e35/p320x320/21373670_420284658366751_4501358874212696064_n.jpg")</f>
        <v>https://scontent.cdninstagram.com/t51.2885-15/e35/p320x320/21373670_420284658366751_4501358874212696064_n.jpg</v>
      </c>
      <c r="AE5405" s="249" t="str">
        <f>HYPERLINK("https://scontent.cdninstagram.com/t51.2885-19/s150x150/21041753_1955806694635368_3272541732662673408_a.jpg")</f>
        <v>https://scontent.cdninstagram.com/t51.2885-19/s150x150/21041753_1955806694635368_3272541732662673408_a.jpg</v>
      </c>
    </row>
    <row r="5406" spans="1:31" ht="15" x14ac:dyDescent="0.25">
      <c r="A5406" t="s">
        <v>2474</v>
      </c>
      <c r="B5406" t="s">
        <v>2628</v>
      </c>
      <c r="C5406" s="221">
        <v>42986.214247685188</v>
      </c>
      <c r="D5406" t="s">
        <v>28303</v>
      </c>
      <c r="E5406" s="249" t="str">
        <f>HYPERLINK("https://www.instagram.com/p/BYxkKmYAXLo/")</f>
        <v>https://www.instagram.com/p/BYxkKmYAXLo/</v>
      </c>
      <c r="F5406" t="s">
        <v>20494</v>
      </c>
      <c r="G5406" t="s">
        <v>2631</v>
      </c>
      <c r="H5406">
        <v>203</v>
      </c>
      <c r="I5406" t="s">
        <v>2479</v>
      </c>
      <c r="J5406">
        <v>1</v>
      </c>
      <c r="K5406">
        <v>58</v>
      </c>
      <c r="L5406">
        <v>59</v>
      </c>
      <c r="Q5406">
        <v>0</v>
      </c>
      <c r="R5406">
        <v>0</v>
      </c>
      <c r="S5406">
        <v>59</v>
      </c>
      <c r="Y5406" t="s">
        <v>2778</v>
      </c>
      <c r="Z5406" t="s">
        <v>12681</v>
      </c>
      <c r="AA5406" t="s">
        <v>5836</v>
      </c>
      <c r="AB5406" t="s">
        <v>5084</v>
      </c>
      <c r="AC5406" t="s">
        <v>3153</v>
      </c>
      <c r="AD5406" s="249" t="str">
        <f>HYPERLINK("https://scontent.cdninstagram.com/t51.2885-15/s320x320/e15/21433304_498296130519109_380756560256696320_n.jpg")</f>
        <v>https://scontent.cdninstagram.com/t51.2885-15/s320x320/e15/21433304_498296130519109_380756560256696320_n.jpg</v>
      </c>
      <c r="AE5406" s="249" t="str">
        <f>HYPERLINK("https://scontent.cdninstagram.com/t51.2885-19/s150x150/21688560_124748061456922_2816208660122828800_n.jpg")</f>
        <v>https://scontent.cdninstagram.com/t51.2885-19/s150x150/21688560_124748061456922_2816208660122828800_n.jpg</v>
      </c>
    </row>
    <row r="5407" spans="1:31" ht="15" x14ac:dyDescent="0.25">
      <c r="A5407" t="s">
        <v>2474</v>
      </c>
      <c r="B5407" t="s">
        <v>28304</v>
      </c>
      <c r="C5407" s="221">
        <v>42986.223391203705</v>
      </c>
      <c r="D5407" t="s">
        <v>28305</v>
      </c>
      <c r="E5407" s="249" t="str">
        <f>HYPERLINK("https://www.instagram.com/p/BYxlrFOhe9d/")</f>
        <v>https://www.instagram.com/p/BYxlrFOhe9d/</v>
      </c>
      <c r="F5407" t="s">
        <v>28306</v>
      </c>
      <c r="G5407" t="s">
        <v>2478</v>
      </c>
      <c r="H5407">
        <v>867</v>
      </c>
      <c r="I5407" t="s">
        <v>2479</v>
      </c>
      <c r="J5407">
        <v>0</v>
      </c>
      <c r="K5407">
        <v>35</v>
      </c>
      <c r="L5407">
        <v>35</v>
      </c>
      <c r="Q5407">
        <v>0</v>
      </c>
      <c r="R5407">
        <v>0</v>
      </c>
      <c r="S5407">
        <v>35</v>
      </c>
      <c r="Y5407" t="s">
        <v>28307</v>
      </c>
      <c r="Z5407" t="s">
        <v>8572</v>
      </c>
      <c r="AA5407" t="s">
        <v>4048</v>
      </c>
      <c r="AB5407" t="s">
        <v>2497</v>
      </c>
      <c r="AD5407" s="249" t="str">
        <f>HYPERLINK("https://scontent.cdninstagram.com/t51.2885-15/s320x320/e35/21569094_532561013742118_5520665801666854912_n.jpg")</f>
        <v>https://scontent.cdninstagram.com/t51.2885-15/s320x320/e35/21569094_532561013742118_5520665801666854912_n.jpg</v>
      </c>
      <c r="AE5407" s="249" t="str">
        <f>HYPERLINK("https://scontent.cdninstagram.com/t51.2885-19/s150x150/12292629_710654382400814_948961397_a.jpg")</f>
        <v>https://scontent.cdninstagram.com/t51.2885-19/s150x150/12292629_710654382400814_948961397_a.jpg</v>
      </c>
    </row>
    <row r="5408" spans="1:31" ht="15" x14ac:dyDescent="0.25">
      <c r="A5408" t="s">
        <v>2474</v>
      </c>
      <c r="B5408" t="s">
        <v>25901</v>
      </c>
      <c r="C5408" s="221">
        <v>42986.224745370368</v>
      </c>
      <c r="D5408" t="s">
        <v>28308</v>
      </c>
      <c r="E5408" s="249" t="str">
        <f>HYPERLINK("https://www.instagram.com/p/BYxl5VAFwxv/")</f>
        <v>https://www.instagram.com/p/BYxl5VAFwxv/</v>
      </c>
      <c r="F5408" t="s">
        <v>28309</v>
      </c>
      <c r="G5408" t="s">
        <v>2478</v>
      </c>
      <c r="H5408">
        <v>467</v>
      </c>
      <c r="I5408" t="s">
        <v>2479</v>
      </c>
      <c r="J5408">
        <v>2</v>
      </c>
      <c r="K5408">
        <v>53</v>
      </c>
      <c r="L5408">
        <v>55</v>
      </c>
      <c r="Q5408">
        <v>0</v>
      </c>
      <c r="R5408">
        <v>0</v>
      </c>
      <c r="S5408">
        <v>55</v>
      </c>
      <c r="Y5408" t="s">
        <v>28226</v>
      </c>
      <c r="Z5408" t="s">
        <v>25906</v>
      </c>
      <c r="AA5408" t="s">
        <v>26456</v>
      </c>
      <c r="AB5408" t="s">
        <v>28227</v>
      </c>
      <c r="AC5408" t="s">
        <v>7524</v>
      </c>
      <c r="AD5408" s="249" t="str">
        <f>HYPERLINK("https://scontent.cdninstagram.com/t51.2885-15/s320x320/e35/21479998_523959351270247_3215261785355452416_n.jpg")</f>
        <v>https://scontent.cdninstagram.com/t51.2885-15/s320x320/e35/21479998_523959351270247_3215261785355452416_n.jpg</v>
      </c>
      <c r="AE5408" s="249" t="str">
        <f>HYPERLINK("https://scontent.cdninstagram.com/t51.2885-19/s150x150/19120264_433924860306759_6004906278910951424_n.jpg")</f>
        <v>https://scontent.cdninstagram.com/t51.2885-19/s150x150/19120264_433924860306759_6004906278910951424_n.jpg</v>
      </c>
    </row>
    <row r="5409" spans="1:31" ht="15" x14ac:dyDescent="0.25">
      <c r="A5409" t="s">
        <v>2474</v>
      </c>
      <c r="B5409" t="s">
        <v>28310</v>
      </c>
      <c r="C5409" s="221">
        <v>42986.225069444445</v>
      </c>
      <c r="D5409" t="s">
        <v>28311</v>
      </c>
      <c r="E5409" s="249" t="str">
        <f>HYPERLINK("https://www.instagram.com/p/BYxl8yRD5JM/")</f>
        <v>https://www.instagram.com/p/BYxl8yRD5JM/</v>
      </c>
      <c r="F5409" t="s">
        <v>28312</v>
      </c>
      <c r="G5409" t="s">
        <v>2478</v>
      </c>
      <c r="H5409">
        <v>177</v>
      </c>
      <c r="I5409" t="s">
        <v>2896</v>
      </c>
      <c r="J5409">
        <v>0</v>
      </c>
      <c r="K5409">
        <v>50</v>
      </c>
      <c r="L5409">
        <v>50</v>
      </c>
      <c r="Q5409">
        <v>0</v>
      </c>
      <c r="R5409">
        <v>0</v>
      </c>
      <c r="S5409">
        <v>50</v>
      </c>
      <c r="Y5409" t="s">
        <v>28313</v>
      </c>
      <c r="Z5409" t="s">
        <v>4826</v>
      </c>
      <c r="AA5409" t="s">
        <v>4174</v>
      </c>
      <c r="AB5409" t="s">
        <v>4620</v>
      </c>
      <c r="AC5409" t="s">
        <v>28314</v>
      </c>
      <c r="AD5409" s="249" t="str">
        <f>HYPERLINK("https://scontent.cdninstagram.com/t51.2885-15/s320x320/e35/21480394_172275500010571_3608819160630427648_n.jpg")</f>
        <v>https://scontent.cdninstagram.com/t51.2885-15/s320x320/e35/21480394_172275500010571_3608819160630427648_n.jpg</v>
      </c>
      <c r="AE5409" s="249" t="str">
        <f>HYPERLINK("https://scontent.cdninstagram.com/t51.2885-19/s150x150/20986790_1891627727754245_507877550584758272_a.jpg")</f>
        <v>https://scontent.cdninstagram.com/t51.2885-19/s150x150/20986790_1891627727754245_507877550584758272_a.jpg</v>
      </c>
    </row>
    <row r="5410" spans="1:31" ht="15" x14ac:dyDescent="0.25">
      <c r="A5410" t="s">
        <v>2474</v>
      </c>
      <c r="B5410" t="s">
        <v>2644</v>
      </c>
      <c r="C5410" s="221">
        <v>42986.23537037037</v>
      </c>
      <c r="D5410" t="s">
        <v>28315</v>
      </c>
      <c r="E5410" s="249" t="str">
        <f>HYPERLINK("https://www.instagram.com/p/BYxnpdZAVSz/")</f>
        <v>https://www.instagram.com/p/BYxnpdZAVSz/</v>
      </c>
      <c r="F5410" t="s">
        <v>28316</v>
      </c>
      <c r="G5410" t="s">
        <v>2478</v>
      </c>
      <c r="H5410">
        <v>1713</v>
      </c>
      <c r="I5410" t="s">
        <v>2479</v>
      </c>
      <c r="J5410">
        <v>4</v>
      </c>
      <c r="K5410">
        <v>67</v>
      </c>
      <c r="L5410">
        <v>71</v>
      </c>
      <c r="Q5410">
        <v>0</v>
      </c>
      <c r="R5410">
        <v>0</v>
      </c>
      <c r="S5410">
        <v>71</v>
      </c>
      <c r="T5410" t="s">
        <v>28317</v>
      </c>
      <c r="V5410" t="s">
        <v>2648</v>
      </c>
      <c r="W5410">
        <v>55.596111111111</v>
      </c>
      <c r="X5410">
        <v>37.267499999999998</v>
      </c>
      <c r="Y5410" t="s">
        <v>3635</v>
      </c>
      <c r="Z5410" t="s">
        <v>2032</v>
      </c>
      <c r="AA5410" t="s">
        <v>5492</v>
      </c>
      <c r="AB5410" t="s">
        <v>7848</v>
      </c>
      <c r="AC5410" t="s">
        <v>9542</v>
      </c>
      <c r="AD5410" s="249" t="str">
        <f>HYPERLINK("https://scontent.cdninstagram.com/t51.2885-15/e35/p320x320/21435609_451616825239227_4021062100364296192_n.jpg")</f>
        <v>https://scontent.cdninstagram.com/t51.2885-15/e35/p320x320/21435609_451616825239227_4021062100364296192_n.jpg</v>
      </c>
      <c r="AE5410" s="249" t="str">
        <f>HYPERLINK("https://scontent.cdninstagram.com/t51.2885-19/11372086_1598451257062069_1320225693_a.jpg")</f>
        <v>https://scontent.cdninstagram.com/t51.2885-19/11372086_1598451257062069_1320225693_a.jpg</v>
      </c>
    </row>
    <row r="5411" spans="1:31" ht="15" x14ac:dyDescent="0.25">
      <c r="A5411" t="s">
        <v>2474</v>
      </c>
      <c r="B5411" t="s">
        <v>4409</v>
      </c>
      <c r="C5411" s="221">
        <v>42986.24560185185</v>
      </c>
      <c r="D5411" t="s">
        <v>28318</v>
      </c>
      <c r="E5411" s="249" t="str">
        <f>HYPERLINK("https://www.instagram.com/p/BYxpVWhn19A/")</f>
        <v>https://www.instagram.com/p/BYxpVWhn19A/</v>
      </c>
      <c r="F5411" t="s">
        <v>28319</v>
      </c>
      <c r="G5411" t="s">
        <v>2478</v>
      </c>
      <c r="H5411">
        <v>193</v>
      </c>
      <c r="I5411" t="s">
        <v>2479</v>
      </c>
      <c r="J5411">
        <v>0</v>
      </c>
      <c r="K5411">
        <v>13</v>
      </c>
      <c r="L5411">
        <v>13</v>
      </c>
      <c r="Q5411">
        <v>0</v>
      </c>
      <c r="R5411">
        <v>0</v>
      </c>
      <c r="S5411">
        <v>13</v>
      </c>
      <c r="Y5411" t="s">
        <v>2492</v>
      </c>
      <c r="Z5411" t="s">
        <v>28320</v>
      </c>
      <c r="AA5411" t="s">
        <v>28321</v>
      </c>
      <c r="AB5411" t="s">
        <v>28322</v>
      </c>
      <c r="AC5411" t="s">
        <v>2497</v>
      </c>
      <c r="AD5411" s="249" t="str">
        <f>HYPERLINK("https://scontent.cdninstagram.com/t51.2885-15/s320x320/e35/21433535_1102243359910110_3794672746399531008_n.jpg")</f>
        <v>https://scontent.cdninstagram.com/t51.2885-15/s320x320/e35/21433535_1102243359910110_3794672746399531008_n.jpg</v>
      </c>
      <c r="AE5411" s="249" t="str">
        <f>HYPERLINK("https://scontent.cdninstagram.com/t51.2885-19/s150x150/19535362_1470269353030279_5095720629299052544_a.jpg")</f>
        <v>https://scontent.cdninstagram.com/t51.2885-19/s150x150/19535362_1470269353030279_5095720629299052544_a.jpg</v>
      </c>
    </row>
    <row r="5412" spans="1:31" ht="15" x14ac:dyDescent="0.25">
      <c r="A5412" t="s">
        <v>2474</v>
      </c>
      <c r="B5412" t="s">
        <v>28323</v>
      </c>
      <c r="C5412" s="221">
        <v>42986.246932870374</v>
      </c>
      <c r="D5412" t="s">
        <v>28324</v>
      </c>
      <c r="E5412" s="249" t="str">
        <f>HYPERLINK("https://www.instagram.com/p/BYxpjWEnSfI/")</f>
        <v>https://www.instagram.com/p/BYxpjWEnSfI/</v>
      </c>
      <c r="F5412" t="s">
        <v>28325</v>
      </c>
      <c r="G5412" t="s">
        <v>2478</v>
      </c>
      <c r="H5412">
        <v>258</v>
      </c>
      <c r="I5412" t="s">
        <v>2479</v>
      </c>
      <c r="J5412">
        <v>1</v>
      </c>
      <c r="K5412">
        <v>99</v>
      </c>
      <c r="L5412">
        <v>100</v>
      </c>
      <c r="Q5412">
        <v>0</v>
      </c>
      <c r="R5412">
        <v>0</v>
      </c>
      <c r="S5412">
        <v>100</v>
      </c>
      <c r="Y5412" t="s">
        <v>4761</v>
      </c>
      <c r="Z5412" t="s">
        <v>16262</v>
      </c>
      <c r="AA5412" t="s">
        <v>10219</v>
      </c>
      <c r="AB5412" t="s">
        <v>4760</v>
      </c>
      <c r="AC5412" t="s">
        <v>2651</v>
      </c>
      <c r="AD5412" s="249" t="str">
        <f>HYPERLINK("https://scontent.cdninstagram.com/t51.2885-15/e35/p320x320/21433628_276119939459566_4701145114846691328_n.jpg")</f>
        <v>https://scontent.cdninstagram.com/t51.2885-15/e35/p320x320/21433628_276119939459566_4701145114846691328_n.jpg</v>
      </c>
      <c r="AE5412" s="249" t="str">
        <f>HYPERLINK("https://scontent.cdninstagram.com/t51.2885-19/s150x150/18808763_1895729207341812_3664245292678512640_a.jpg")</f>
        <v>https://scontent.cdninstagram.com/t51.2885-19/s150x150/18808763_1895729207341812_3664245292678512640_a.jpg</v>
      </c>
    </row>
    <row r="5413" spans="1:31" ht="15" x14ac:dyDescent="0.25">
      <c r="A5413" t="s">
        <v>2474</v>
      </c>
      <c r="B5413" t="s">
        <v>3001</v>
      </c>
      <c r="C5413" s="221">
        <v>42986.248124999998</v>
      </c>
      <c r="D5413" t="s">
        <v>28326</v>
      </c>
      <c r="E5413" s="249" t="str">
        <f>HYPERLINK("https://www.instagram.com/p/BYxpv8jgg8j/")</f>
        <v>https://www.instagram.com/p/BYxpv8jgg8j/</v>
      </c>
      <c r="F5413" t="s">
        <v>28327</v>
      </c>
      <c r="G5413" t="s">
        <v>2478</v>
      </c>
      <c r="H5413">
        <v>206</v>
      </c>
      <c r="I5413" t="s">
        <v>3273</v>
      </c>
      <c r="J5413">
        <v>3</v>
      </c>
      <c r="K5413">
        <v>37</v>
      </c>
      <c r="L5413">
        <v>40</v>
      </c>
      <c r="Q5413">
        <v>0</v>
      </c>
      <c r="R5413">
        <v>0</v>
      </c>
      <c r="S5413">
        <v>40</v>
      </c>
      <c r="Y5413" t="s">
        <v>3005</v>
      </c>
      <c r="Z5413" t="s">
        <v>28328</v>
      </c>
      <c r="AA5413" t="s">
        <v>12522</v>
      </c>
      <c r="AB5413" t="s">
        <v>12524</v>
      </c>
      <c r="AC5413" t="s">
        <v>12525</v>
      </c>
      <c r="AD5413" s="249" t="str">
        <f>HYPERLINK("https://scontent.cdninstagram.com/t51.2885-15/s320x320/e35/21373431_119785922016230_3522727537614520320_n.jpg")</f>
        <v>https://scontent.cdninstagram.com/t51.2885-15/s320x320/e35/21373431_119785922016230_3522727537614520320_n.jpg</v>
      </c>
      <c r="AE5413" s="249" t="str">
        <f>HYPERLINK("https://scontent.cdninstagram.com/t51.2885-19/s150x150/18444766_1912067969049122_6949567864466571264_a.jpg")</f>
        <v>https://scontent.cdninstagram.com/t51.2885-19/s150x150/18444766_1912067969049122_6949567864466571264_a.jpg</v>
      </c>
    </row>
    <row r="5414" spans="1:31" ht="15" x14ac:dyDescent="0.25">
      <c r="A5414" t="s">
        <v>2474</v>
      </c>
      <c r="B5414" t="s">
        <v>3644</v>
      </c>
      <c r="C5414" s="221">
        <v>42986.251574074071</v>
      </c>
      <c r="D5414" t="s">
        <v>28329</v>
      </c>
      <c r="E5414" s="249" t="str">
        <f>HYPERLINK("https://www.instagram.com/p/BYxqUX0FvRM/")</f>
        <v>https://www.instagram.com/p/BYxqUX0FvRM/</v>
      </c>
      <c r="F5414" t="s">
        <v>28330</v>
      </c>
      <c r="G5414" t="s">
        <v>2478</v>
      </c>
      <c r="H5414">
        <v>581</v>
      </c>
      <c r="I5414" t="s">
        <v>2479</v>
      </c>
      <c r="J5414">
        <v>5</v>
      </c>
      <c r="K5414">
        <v>65</v>
      </c>
      <c r="L5414">
        <v>70</v>
      </c>
      <c r="Q5414">
        <v>0</v>
      </c>
      <c r="R5414">
        <v>0</v>
      </c>
      <c r="S5414">
        <v>70</v>
      </c>
      <c r="T5414" t="s">
        <v>9465</v>
      </c>
      <c r="V5414" t="s">
        <v>2141</v>
      </c>
      <c r="W5414">
        <v>55.4</v>
      </c>
      <c r="X5414">
        <v>10.3833</v>
      </c>
      <c r="Y5414" t="s">
        <v>3649</v>
      </c>
      <c r="Z5414" t="s">
        <v>8618</v>
      </c>
      <c r="AA5414" t="s">
        <v>8234</v>
      </c>
      <c r="AB5414" t="s">
        <v>10171</v>
      </c>
      <c r="AC5414" t="s">
        <v>6993</v>
      </c>
      <c r="AD5414" s="249" t="str">
        <f>HYPERLINK("https://scontent.cdninstagram.com/t51.2885-15/s320x320/e35/21434009_672609296278659_8896040506073546752_n.jpg")</f>
        <v>https://scontent.cdninstagram.com/t51.2885-15/s320x320/e35/21434009_672609296278659_8896040506073546752_n.jpg</v>
      </c>
      <c r="AE5414" s="249" t="str">
        <f>HYPERLINK("https://scontent.cdninstagram.com/t51.2885-19/s150x150/14714495_1790450111234953_7147855754219749376_a.jpg")</f>
        <v>https://scontent.cdninstagram.com/t51.2885-19/s150x150/14714495_1790450111234953_7147855754219749376_a.jpg</v>
      </c>
    </row>
    <row r="5415" spans="1:31" ht="15" x14ac:dyDescent="0.25">
      <c r="A5415" t="s">
        <v>2474</v>
      </c>
      <c r="B5415" t="s">
        <v>28331</v>
      </c>
      <c r="C5415" s="221">
        <v>42986.254571759258</v>
      </c>
      <c r="D5415" t="s">
        <v>28332</v>
      </c>
      <c r="E5415" s="249" t="str">
        <f>HYPERLINK("https://www.instagram.com/p/BYxqz8FAth-/")</f>
        <v>https://www.instagram.com/p/BYxqz8FAth-/</v>
      </c>
      <c r="F5415" t="s">
        <v>28333</v>
      </c>
      <c r="G5415" t="s">
        <v>2478</v>
      </c>
      <c r="H5415">
        <v>3</v>
      </c>
      <c r="I5415" t="s">
        <v>2479</v>
      </c>
      <c r="J5415">
        <v>0</v>
      </c>
      <c r="K5415">
        <v>0</v>
      </c>
      <c r="L5415">
        <v>0</v>
      </c>
      <c r="Q5415">
        <v>0</v>
      </c>
      <c r="R5415">
        <v>0</v>
      </c>
      <c r="S5415">
        <v>0</v>
      </c>
      <c r="Y5415" t="s">
        <v>28334</v>
      </c>
      <c r="Z5415" t="s">
        <v>28335</v>
      </c>
      <c r="AA5415" t="s">
        <v>9622</v>
      </c>
      <c r="AB5415" t="s">
        <v>28336</v>
      </c>
      <c r="AC5415" t="s">
        <v>28337</v>
      </c>
      <c r="AD5415" s="249" t="str">
        <f>HYPERLINK("https://scontent.cdninstagram.com/t51.2885-15/s320x320/e35/21433909_1487630021318396_3693393358815756288_n.jpg")</f>
        <v>https://scontent.cdninstagram.com/t51.2885-15/s320x320/e35/21433909_1487630021318396_3693393358815756288_n.jpg</v>
      </c>
      <c r="AE5415" s="249" t="str">
        <f>HYPERLINK("https://instagram.flhr4-1.fna.fbcdn.net/t51.2885-19/11906329_960233084022564_1448528159_a.jpg")</f>
        <v>https://instagram.flhr4-1.fna.fbcdn.net/t51.2885-19/11906329_960233084022564_1448528159_a.jpg</v>
      </c>
    </row>
    <row r="5416" spans="1:31" ht="15" x14ac:dyDescent="0.25">
      <c r="A5416" t="s">
        <v>2474</v>
      </c>
      <c r="B5416" t="s">
        <v>28338</v>
      </c>
      <c r="C5416" s="221">
        <v>42986.258275462962</v>
      </c>
      <c r="D5416" t="s">
        <v>28339</v>
      </c>
      <c r="E5416" s="249" t="str">
        <f>HYPERLINK("https://www.instagram.com/p/BYxrbCelB8x/")</f>
        <v>https://www.instagram.com/p/BYxrbCelB8x/</v>
      </c>
      <c r="F5416" t="s">
        <v>28340</v>
      </c>
      <c r="G5416" t="s">
        <v>2478</v>
      </c>
      <c r="H5416">
        <v>542</v>
      </c>
      <c r="I5416" t="s">
        <v>2542</v>
      </c>
      <c r="J5416">
        <v>0</v>
      </c>
      <c r="K5416">
        <v>9</v>
      </c>
      <c r="L5416">
        <v>9</v>
      </c>
      <c r="Q5416">
        <v>0</v>
      </c>
      <c r="R5416">
        <v>0</v>
      </c>
      <c r="S5416">
        <v>9</v>
      </c>
      <c r="Y5416" t="s">
        <v>14963</v>
      </c>
      <c r="Z5416" t="s">
        <v>2497</v>
      </c>
      <c r="AD5416" s="249" t="str">
        <f>HYPERLINK("https://scontent.cdninstagram.com/t51.2885-15/s320x320/e35/21434006_355200958234242_8834466398924177408_n.jpg")</f>
        <v>https://scontent.cdninstagram.com/t51.2885-15/s320x320/e35/21434006_355200958234242_8834466398924177408_n.jpg</v>
      </c>
      <c r="AE5416" s="249" t="str">
        <f>HYPERLINK("https://scontent.cdninstagram.com/t51.2885-19/s150x150/21568712_1349975761791316_4524699045054119936_n.jpg")</f>
        <v>https://scontent.cdninstagram.com/t51.2885-19/s150x150/21568712_1349975761791316_4524699045054119936_n.jpg</v>
      </c>
    </row>
    <row r="5417" spans="1:31" ht="15" x14ac:dyDescent="0.25">
      <c r="A5417" t="s">
        <v>2474</v>
      </c>
      <c r="B5417" t="s">
        <v>21774</v>
      </c>
      <c r="C5417" s="221">
        <v>42986.262199074074</v>
      </c>
      <c r="D5417" t="s">
        <v>28341</v>
      </c>
      <c r="E5417" s="249" t="str">
        <f>HYPERLINK("https://www.instagram.com/p/BYxsEV5HRzA/")</f>
        <v>https://www.instagram.com/p/BYxsEV5HRzA/</v>
      </c>
      <c r="F5417" t="s">
        <v>28342</v>
      </c>
      <c r="G5417" t="s">
        <v>2631</v>
      </c>
      <c r="H5417">
        <v>188</v>
      </c>
      <c r="I5417" t="s">
        <v>2479</v>
      </c>
      <c r="J5417">
        <v>2</v>
      </c>
      <c r="K5417">
        <v>10</v>
      </c>
      <c r="L5417">
        <v>12</v>
      </c>
      <c r="Q5417">
        <v>0</v>
      </c>
      <c r="R5417">
        <v>0</v>
      </c>
      <c r="S5417">
        <v>12</v>
      </c>
      <c r="Y5417" t="s">
        <v>28343</v>
      </c>
      <c r="Z5417" t="s">
        <v>5721</v>
      </c>
      <c r="AA5417" t="s">
        <v>28344</v>
      </c>
      <c r="AB5417" t="s">
        <v>28345</v>
      </c>
      <c r="AC5417" t="s">
        <v>2861</v>
      </c>
      <c r="AD5417" s="249" t="str">
        <f>HYPERLINK("https://scontent.cdninstagram.com/t51.2885-15/s320x320/e15/21435337_146455772620144_1561102775373266944_n.jpg")</f>
        <v>https://scontent.cdninstagram.com/t51.2885-15/s320x320/e15/21435337_146455772620144_1561102775373266944_n.jpg</v>
      </c>
      <c r="AE5417" s="249" t="str">
        <f>HYPERLINK("https://scontent.cdninstagram.com/t51.2885-19/s150x150/21296955_871750256317420_5947846878174380032_n.jpg")</f>
        <v>https://scontent.cdninstagram.com/t51.2885-19/s150x150/21296955_871750256317420_5947846878174380032_n.jpg</v>
      </c>
    </row>
    <row r="5418" spans="1:31" ht="15" x14ac:dyDescent="0.25">
      <c r="A5418" t="s">
        <v>2474</v>
      </c>
      <c r="B5418" t="s">
        <v>28346</v>
      </c>
      <c r="C5418" s="221">
        <v>42986.268553240741</v>
      </c>
      <c r="D5418" t="s">
        <v>28347</v>
      </c>
      <c r="E5418" s="249" t="str">
        <f>HYPERLINK("https://www.instagram.com/p/BYxtHagHwCh/")</f>
        <v>https://www.instagram.com/p/BYxtHagHwCh/</v>
      </c>
      <c r="F5418" t="s">
        <v>28348</v>
      </c>
      <c r="G5418" t="s">
        <v>2631</v>
      </c>
      <c r="H5418">
        <v>569</v>
      </c>
      <c r="I5418" t="s">
        <v>2479</v>
      </c>
      <c r="J5418">
        <v>3</v>
      </c>
      <c r="K5418">
        <v>44</v>
      </c>
      <c r="L5418">
        <v>47</v>
      </c>
      <c r="Q5418">
        <v>0</v>
      </c>
      <c r="R5418">
        <v>0</v>
      </c>
      <c r="S5418">
        <v>47</v>
      </c>
      <c r="T5418" t="s">
        <v>28349</v>
      </c>
      <c r="U5418" t="s">
        <v>99</v>
      </c>
      <c r="V5418" t="s">
        <v>2299</v>
      </c>
      <c r="W5418">
        <v>40.558483099999997</v>
      </c>
      <c r="X5418">
        <v>-74.417045599999994</v>
      </c>
      <c r="Y5418" t="s">
        <v>28350</v>
      </c>
      <c r="Z5418" t="s">
        <v>4339</v>
      </c>
      <c r="AA5418" t="s">
        <v>28351</v>
      </c>
      <c r="AB5418" t="s">
        <v>28352</v>
      </c>
      <c r="AC5418" t="s">
        <v>28353</v>
      </c>
      <c r="AD5418" s="249" t="str">
        <f>HYPERLINK("https://scontent.cdninstagram.com/t51.2885-15/s320x320/e15/21433800_1491568577598487_5327841389487063040_n.jpg")</f>
        <v>https://scontent.cdninstagram.com/t51.2885-15/s320x320/e15/21433800_1491568577598487_5327841389487063040_n.jpg</v>
      </c>
      <c r="AE5418" s="249" t="str">
        <f>HYPERLINK("https://scontent.cdninstagram.com/t51.2885-19/s150x150/13561820_249953072054435_1923635348_a.jpg")</f>
        <v>https://scontent.cdninstagram.com/t51.2885-19/s150x150/13561820_249953072054435_1923635348_a.jpg</v>
      </c>
    </row>
    <row r="5419" spans="1:31" ht="15" x14ac:dyDescent="0.25">
      <c r="A5419" t="s">
        <v>2474</v>
      </c>
      <c r="B5419" t="s">
        <v>28354</v>
      </c>
      <c r="C5419" s="221">
        <v>42986.277581018519</v>
      </c>
      <c r="D5419" t="s">
        <v>28355</v>
      </c>
      <c r="E5419" s="249" t="str">
        <f>HYPERLINK("https://www.instagram.com/p/BYxumj2AWbd/")</f>
        <v>https://www.instagram.com/p/BYxumj2AWbd/</v>
      </c>
      <c r="F5419" t="s">
        <v>28356</v>
      </c>
      <c r="G5419" t="s">
        <v>2478</v>
      </c>
      <c r="H5419">
        <v>292</v>
      </c>
      <c r="I5419" t="s">
        <v>2479</v>
      </c>
      <c r="J5419">
        <v>12</v>
      </c>
      <c r="K5419">
        <v>114</v>
      </c>
      <c r="L5419">
        <v>126</v>
      </c>
      <c r="Q5419">
        <v>0</v>
      </c>
      <c r="R5419">
        <v>0</v>
      </c>
      <c r="S5419">
        <v>126</v>
      </c>
      <c r="Y5419" t="s">
        <v>6186</v>
      </c>
      <c r="Z5419" t="s">
        <v>2497</v>
      </c>
      <c r="AD5419" s="249" t="str">
        <f>HYPERLINK("https://scontent.cdninstagram.com/t51.2885-15/s320x320/e35/21433812_357815887972646_1024621623065444352_n.jpg")</f>
        <v>https://scontent.cdninstagram.com/t51.2885-15/s320x320/e35/21433812_357815887972646_1024621623065444352_n.jpg</v>
      </c>
      <c r="AE5419" s="249" t="str">
        <f>HYPERLINK("https://scontent.cdninstagram.com/t51.2885-19/s150x150/20838109_166200597277096_7328910688993148928_a.jpg")</f>
        <v>https://scontent.cdninstagram.com/t51.2885-19/s150x150/20838109_166200597277096_7328910688993148928_a.jpg</v>
      </c>
    </row>
    <row r="5420" spans="1:31" ht="15" x14ac:dyDescent="0.25">
      <c r="A5420" t="s">
        <v>2474</v>
      </c>
      <c r="B5420" t="s">
        <v>11607</v>
      </c>
      <c r="C5420" s="221">
        <v>42986.279270833336</v>
      </c>
      <c r="D5420" t="s">
        <v>28357</v>
      </c>
      <c r="E5420" s="249" t="str">
        <f>HYPERLINK("https://www.instagram.com/p/BYxu4ahDWNv/")</f>
        <v>https://www.instagram.com/p/BYxu4ahDWNv/</v>
      </c>
      <c r="F5420" t="s">
        <v>28358</v>
      </c>
      <c r="G5420" t="s">
        <v>2478</v>
      </c>
      <c r="I5420" t="s">
        <v>2910</v>
      </c>
      <c r="J5420">
        <v>0</v>
      </c>
      <c r="K5420">
        <v>12</v>
      </c>
      <c r="L5420">
        <v>12</v>
      </c>
      <c r="Q5420">
        <v>0</v>
      </c>
      <c r="R5420">
        <v>0</v>
      </c>
      <c r="S5420">
        <v>12</v>
      </c>
      <c r="T5420" t="s">
        <v>11610</v>
      </c>
      <c r="V5420" t="s">
        <v>2288</v>
      </c>
      <c r="W5420">
        <v>52.479596569690003</v>
      </c>
      <c r="X5420">
        <v>-1.8972253968732</v>
      </c>
      <c r="Y5420" t="s">
        <v>28359</v>
      </c>
      <c r="Z5420" t="s">
        <v>2730</v>
      </c>
      <c r="AA5420" t="s">
        <v>2632</v>
      </c>
      <c r="AB5420" t="s">
        <v>5229</v>
      </c>
      <c r="AC5420" t="s">
        <v>22551</v>
      </c>
      <c r="AD5420" s="249" t="str">
        <f>HYPERLINK("https://scontent.cdninstagram.com/t51.2885-15/e35/p320x320/21434023_172971629942004_287367663250833408_n.jpg")</f>
        <v>https://scontent.cdninstagram.com/t51.2885-15/e35/p320x320/21434023_172971629942004_287367663250833408_n.jpg</v>
      </c>
      <c r="AE5420" s="249" t="str">
        <f>HYPERLINK("https://scontent.cdninstagram.com/t51.2885-19/s150x150/21433543_171056460124173_5206857555237666816_a.jpg")</f>
        <v>https://scontent.cdninstagram.com/t51.2885-19/s150x150/21433543_171056460124173_5206857555237666816_a.jpg</v>
      </c>
    </row>
    <row r="5421" spans="1:31" ht="15" x14ac:dyDescent="0.25">
      <c r="A5421" t="s">
        <v>2474</v>
      </c>
      <c r="B5421" t="s">
        <v>7152</v>
      </c>
      <c r="C5421" s="221">
        <v>42986.281331018516</v>
      </c>
      <c r="D5421" t="s">
        <v>28360</v>
      </c>
      <c r="E5421" s="249" t="str">
        <f>HYPERLINK("https://www.instagram.com/p/BYxvOHrjrEB/")</f>
        <v>https://www.instagram.com/p/BYxvOHrjrEB/</v>
      </c>
      <c r="F5421" t="s">
        <v>28361</v>
      </c>
      <c r="G5421" t="s">
        <v>2478</v>
      </c>
      <c r="H5421">
        <v>117</v>
      </c>
      <c r="I5421" t="s">
        <v>2542</v>
      </c>
      <c r="J5421">
        <v>2</v>
      </c>
      <c r="K5421">
        <v>20</v>
      </c>
      <c r="L5421">
        <v>22</v>
      </c>
      <c r="Q5421">
        <v>0</v>
      </c>
      <c r="R5421">
        <v>0</v>
      </c>
      <c r="S5421">
        <v>22</v>
      </c>
      <c r="Y5421" t="s">
        <v>6747</v>
      </c>
      <c r="Z5421" t="s">
        <v>5981</v>
      </c>
      <c r="AA5421" t="s">
        <v>6746</v>
      </c>
      <c r="AB5421" t="s">
        <v>2876</v>
      </c>
      <c r="AC5421" t="s">
        <v>7155</v>
      </c>
      <c r="AD5421" s="249" t="str">
        <f>HYPERLINK("https://scontent.cdninstagram.com/t51.2885-15/s320x320/e35/21435904_381813865569284_2321068208716513280_n.jpg")</f>
        <v>https://scontent.cdninstagram.com/t51.2885-15/s320x320/e35/21435904_381813865569284_2321068208716513280_n.jpg</v>
      </c>
      <c r="AE5421" s="249" t="str">
        <f>HYPERLINK("https://scontent.cdninstagram.com/t51.2885-19/s150x150/20181062_1791856511105718_4709893984703479808_a.jpg")</f>
        <v>https://scontent.cdninstagram.com/t51.2885-19/s150x150/20181062_1791856511105718_4709893984703479808_a.jpg</v>
      </c>
    </row>
    <row r="5422" spans="1:31" ht="15" x14ac:dyDescent="0.25">
      <c r="A5422" t="s">
        <v>2474</v>
      </c>
      <c r="B5422" t="s">
        <v>28362</v>
      </c>
      <c r="C5422" s="221">
        <v>42986.283090277779</v>
      </c>
      <c r="D5422" t="s">
        <v>28363</v>
      </c>
      <c r="E5422" s="249" t="str">
        <f>HYPERLINK("https://www.instagram.com/p/BYxvgqTFldA/")</f>
        <v>https://www.instagram.com/p/BYxvgqTFldA/</v>
      </c>
      <c r="F5422" t="s">
        <v>28364</v>
      </c>
      <c r="G5422" t="s">
        <v>2478</v>
      </c>
      <c r="H5422">
        <v>172</v>
      </c>
      <c r="I5422" t="s">
        <v>2479</v>
      </c>
      <c r="J5422">
        <v>2</v>
      </c>
      <c r="K5422">
        <v>25</v>
      </c>
      <c r="L5422">
        <v>27</v>
      </c>
      <c r="Q5422">
        <v>0</v>
      </c>
      <c r="R5422">
        <v>0</v>
      </c>
      <c r="S5422">
        <v>27</v>
      </c>
      <c r="Y5422" t="s">
        <v>28365</v>
      </c>
      <c r="Z5422" t="s">
        <v>28366</v>
      </c>
      <c r="AA5422" t="s">
        <v>13063</v>
      </c>
      <c r="AB5422" t="s">
        <v>28367</v>
      </c>
      <c r="AC5422" t="s">
        <v>7967</v>
      </c>
      <c r="AD5422" s="249" t="str">
        <f>HYPERLINK("https://scontent.cdninstagram.com/t51.2885-15/e35/p320x320/21436121_113120889383131_7392306373377130496_n.jpg")</f>
        <v>https://scontent.cdninstagram.com/t51.2885-15/e35/p320x320/21436121_113120889383131_7392306373377130496_n.jpg</v>
      </c>
      <c r="AE5422" s="249" t="str">
        <f>HYPERLINK("https://scontent.cdninstagram.com/t51.2885-19/s150x150/19533992_242320476262714_2331913464995381248_a.jpg")</f>
        <v>https://scontent.cdninstagram.com/t51.2885-19/s150x150/19533992_242320476262714_2331913464995381248_a.jpg</v>
      </c>
    </row>
    <row r="5423" spans="1:31" ht="15" x14ac:dyDescent="0.25">
      <c r="A5423" t="s">
        <v>2474</v>
      </c>
      <c r="B5423" t="s">
        <v>28368</v>
      </c>
      <c r="C5423" s="221">
        <v>42986.291400462964</v>
      </c>
      <c r="D5423" t="s">
        <v>28369</v>
      </c>
      <c r="E5423" s="249" t="str">
        <f>HYPERLINK("https://www.instagram.com/p/BYxw4Vxjfix/")</f>
        <v>https://www.instagram.com/p/BYxw4Vxjfix/</v>
      </c>
      <c r="F5423" t="s">
        <v>28370</v>
      </c>
      <c r="G5423" t="s">
        <v>2478</v>
      </c>
      <c r="H5423">
        <v>194</v>
      </c>
      <c r="I5423" t="s">
        <v>2542</v>
      </c>
      <c r="J5423">
        <v>2</v>
      </c>
      <c r="K5423">
        <v>34</v>
      </c>
      <c r="L5423">
        <v>36</v>
      </c>
      <c r="Q5423">
        <v>0</v>
      </c>
      <c r="R5423">
        <v>0</v>
      </c>
      <c r="S5423">
        <v>36</v>
      </c>
      <c r="T5423" t="s">
        <v>5737</v>
      </c>
      <c r="V5423" t="s">
        <v>2222</v>
      </c>
      <c r="W5423">
        <v>52.26305</v>
      </c>
      <c r="X5423">
        <v>6.1649200000000004</v>
      </c>
      <c r="Y5423" t="s">
        <v>4513</v>
      </c>
      <c r="Z5423" t="s">
        <v>3664</v>
      </c>
      <c r="AA5423" t="s">
        <v>2497</v>
      </c>
      <c r="AB5423" t="s">
        <v>6043</v>
      </c>
      <c r="AC5423" t="s">
        <v>28371</v>
      </c>
      <c r="AD5423" s="249" t="str">
        <f>HYPERLINK("https://scontent.cdninstagram.com/t51.2885-15/e35/p320x320/21435777_312517685820665_2695926511860449280_n.jpg")</f>
        <v>https://scontent.cdninstagram.com/t51.2885-15/e35/p320x320/21435777_312517685820665_2695926511860449280_n.jpg</v>
      </c>
      <c r="AE5423" s="249" t="str">
        <f>HYPERLINK("https://scontent.cdninstagram.com/t51.2885-19/s150x150/16229206_1490473160977371_8759091870363025408_a.jpg")</f>
        <v>https://scontent.cdninstagram.com/t51.2885-19/s150x150/16229206_1490473160977371_8759091870363025408_a.jpg</v>
      </c>
    </row>
    <row r="5424" spans="1:31" ht="15" x14ac:dyDescent="0.25">
      <c r="A5424" t="s">
        <v>2474</v>
      </c>
      <c r="B5424" t="s">
        <v>28372</v>
      </c>
      <c r="C5424" s="221">
        <v>42986.29582175926</v>
      </c>
      <c r="D5424" t="s">
        <v>28373</v>
      </c>
      <c r="E5424" s="249" t="str">
        <f>HYPERLINK("https://www.instagram.com/p/BYxxm80hb5O/")</f>
        <v>https://www.instagram.com/p/BYxxm80hb5O/</v>
      </c>
      <c r="F5424" t="s">
        <v>28374</v>
      </c>
      <c r="G5424" t="s">
        <v>2478</v>
      </c>
      <c r="H5424">
        <v>179</v>
      </c>
      <c r="I5424" t="s">
        <v>2479</v>
      </c>
      <c r="J5424">
        <v>2</v>
      </c>
      <c r="K5424">
        <v>19</v>
      </c>
      <c r="L5424">
        <v>21</v>
      </c>
      <c r="Q5424">
        <v>0</v>
      </c>
      <c r="R5424">
        <v>0</v>
      </c>
      <c r="S5424">
        <v>21</v>
      </c>
      <c r="Y5424" t="s">
        <v>24775</v>
      </c>
      <c r="Z5424" t="s">
        <v>28375</v>
      </c>
      <c r="AA5424" t="s">
        <v>28376</v>
      </c>
      <c r="AB5424" t="s">
        <v>28377</v>
      </c>
      <c r="AC5424" t="s">
        <v>28378</v>
      </c>
      <c r="AD5424" s="249" t="str">
        <f>HYPERLINK("https://scontent.cdninstagram.com/t51.2885-15/e35/p320x320/21373290_1652490398105054_7839952157301276672_n.jpg")</f>
        <v>https://scontent.cdninstagram.com/t51.2885-15/e35/p320x320/21373290_1652490398105054_7839952157301276672_n.jpg</v>
      </c>
      <c r="AE5424" s="249" t="str">
        <f>HYPERLINK("https://scontent.cdninstagram.com/t51.2885-19/s150x150/14705103_1626818917622636_2705370118447169536_a.jpg")</f>
        <v>https://scontent.cdninstagram.com/t51.2885-19/s150x150/14705103_1626818917622636_2705370118447169536_a.jpg</v>
      </c>
    </row>
    <row r="5425" spans="1:31" ht="15" x14ac:dyDescent="0.25">
      <c r="A5425" t="s">
        <v>2474</v>
      </c>
      <c r="B5425" t="s">
        <v>28379</v>
      </c>
      <c r="C5425" s="221">
        <v>42986.299074074072</v>
      </c>
      <c r="D5425" t="s">
        <v>28380</v>
      </c>
      <c r="E5425" s="249" t="str">
        <f>HYPERLINK("https://www.instagram.com/p/BYxyJT2lWWS/")</f>
        <v>https://www.instagram.com/p/BYxyJT2lWWS/</v>
      </c>
      <c r="F5425" t="s">
        <v>28381</v>
      </c>
      <c r="G5425" t="s">
        <v>2478</v>
      </c>
      <c r="H5425">
        <v>1025</v>
      </c>
      <c r="I5425" t="s">
        <v>2479</v>
      </c>
      <c r="J5425">
        <v>1</v>
      </c>
      <c r="K5425">
        <v>37</v>
      </c>
      <c r="L5425">
        <v>38</v>
      </c>
      <c r="Q5425">
        <v>0</v>
      </c>
      <c r="R5425">
        <v>0</v>
      </c>
      <c r="S5425">
        <v>38</v>
      </c>
      <c r="Y5425" t="s">
        <v>28382</v>
      </c>
      <c r="Z5425" t="s">
        <v>8863</v>
      </c>
      <c r="AA5425" t="s">
        <v>28383</v>
      </c>
      <c r="AB5425" t="s">
        <v>5619</v>
      </c>
      <c r="AC5425" t="s">
        <v>4253</v>
      </c>
      <c r="AD5425" s="249" t="str">
        <f>HYPERLINK("https://scontent.cdninstagram.com/t51.2885-15/s320x320/e35/21569077_341650119620739_3638797323686903808_n.jpg")</f>
        <v>https://scontent.cdninstagram.com/t51.2885-15/s320x320/e35/21569077_341650119620739_3638797323686903808_n.jpg</v>
      </c>
      <c r="AE5425" s="249" t="str">
        <f>HYPERLINK("https://scontent.cdninstagram.com/t51.2885-19/s150x150/19955042_132882337299161_5411343688389361664_a.jpg")</f>
        <v>https://scontent.cdninstagram.com/t51.2885-19/s150x150/19955042_132882337299161_5411343688389361664_a.jpg</v>
      </c>
    </row>
    <row r="5426" spans="1:31" ht="15" x14ac:dyDescent="0.25">
      <c r="A5426" t="s">
        <v>2474</v>
      </c>
      <c r="B5426" t="s">
        <v>26568</v>
      </c>
      <c r="C5426" s="221">
        <v>42986.304722222223</v>
      </c>
      <c r="D5426" t="s">
        <v>28384</v>
      </c>
      <c r="E5426" s="249" t="str">
        <f>HYPERLINK("https://www.instagram.com/p/BYxzE0ol98V/")</f>
        <v>https://www.instagram.com/p/BYxzE0ol98V/</v>
      </c>
      <c r="F5426" t="s">
        <v>28385</v>
      </c>
      <c r="G5426" t="s">
        <v>2478</v>
      </c>
      <c r="H5426">
        <v>1681</v>
      </c>
      <c r="I5426" t="s">
        <v>2479</v>
      </c>
      <c r="J5426">
        <v>3</v>
      </c>
      <c r="K5426">
        <v>92</v>
      </c>
      <c r="L5426">
        <v>95</v>
      </c>
      <c r="Q5426">
        <v>0</v>
      </c>
      <c r="R5426">
        <v>0</v>
      </c>
      <c r="S5426">
        <v>95</v>
      </c>
      <c r="Y5426" t="s">
        <v>28386</v>
      </c>
      <c r="Z5426" t="s">
        <v>28387</v>
      </c>
      <c r="AA5426" t="s">
        <v>10217</v>
      </c>
      <c r="AB5426" t="s">
        <v>28388</v>
      </c>
      <c r="AC5426" t="s">
        <v>6186</v>
      </c>
      <c r="AD5426" s="249" t="str">
        <f>HYPERLINK("https://scontent.cdninstagram.com/t51.2885-15/s320x320/e35/21436002_173864323187248_874862620329377792_n.jpg")</f>
        <v>https://scontent.cdninstagram.com/t51.2885-15/s320x320/e35/21436002_173864323187248_874862620329377792_n.jpg</v>
      </c>
      <c r="AE5426" s="249" t="str">
        <f>HYPERLINK("https://scontent.cdninstagram.com/t51.2885-19/s150x150/13102422_480287725499798_1251561052_a.jpg")</f>
        <v>https://scontent.cdninstagram.com/t51.2885-19/s150x150/13102422_480287725499798_1251561052_a.jpg</v>
      </c>
    </row>
    <row r="5427" spans="1:31" ht="15" x14ac:dyDescent="0.25">
      <c r="A5427" t="s">
        <v>2474</v>
      </c>
      <c r="B5427" t="s">
        <v>3895</v>
      </c>
      <c r="C5427" s="221">
        <v>42986.307175925926</v>
      </c>
      <c r="D5427" t="s">
        <v>28389</v>
      </c>
      <c r="E5427" s="249" t="str">
        <f>HYPERLINK("https://www.instagram.com/p/BYxzetplZlk/")</f>
        <v>https://www.instagram.com/p/BYxzetplZlk/</v>
      </c>
      <c r="F5427" t="s">
        <v>28390</v>
      </c>
      <c r="G5427" t="s">
        <v>2478</v>
      </c>
      <c r="H5427">
        <v>454</v>
      </c>
      <c r="I5427" t="s">
        <v>2479</v>
      </c>
      <c r="J5427">
        <v>1</v>
      </c>
      <c r="K5427">
        <v>64</v>
      </c>
      <c r="L5427">
        <v>65</v>
      </c>
      <c r="Q5427">
        <v>0</v>
      </c>
      <c r="R5427">
        <v>0</v>
      </c>
      <c r="S5427">
        <v>65</v>
      </c>
      <c r="Y5427" t="s">
        <v>2547</v>
      </c>
      <c r="Z5427" t="s">
        <v>3901</v>
      </c>
      <c r="AA5427" t="s">
        <v>2554</v>
      </c>
      <c r="AB5427" t="s">
        <v>11097</v>
      </c>
      <c r="AC5427" t="s">
        <v>6746</v>
      </c>
      <c r="AD5427" s="249" t="str">
        <f>HYPERLINK("https://scontent.cdninstagram.com/t51.2885-15/s320x320/e35/21435457_1878775922138545_3302153732577296384_n.jpg")</f>
        <v>https://scontent.cdninstagram.com/t51.2885-15/s320x320/e35/21435457_1878775922138545_3302153732577296384_n.jpg</v>
      </c>
      <c r="AE5427" s="249" t="str">
        <f>HYPERLINK("https://scontent.cdninstagram.com/t51.2885-19/s150x150/20902130_1390331654386412_4188068892897181696_a.jpg")</f>
        <v>https://scontent.cdninstagram.com/t51.2885-19/s150x150/20902130_1390331654386412_4188068892897181696_a.jpg</v>
      </c>
    </row>
    <row r="5428" spans="1:31" ht="15" x14ac:dyDescent="0.25">
      <c r="A5428" t="s">
        <v>2474</v>
      </c>
      <c r="B5428" t="s">
        <v>28391</v>
      </c>
      <c r="C5428" s="221">
        <v>42986.307754629626</v>
      </c>
      <c r="D5428" t="s">
        <v>28392</v>
      </c>
      <c r="E5428" s="249" t="str">
        <f>HYPERLINK("https://www.instagram.com/p/BYxzk5lnNtK/")</f>
        <v>https://www.instagram.com/p/BYxzk5lnNtK/</v>
      </c>
      <c r="F5428" t="s">
        <v>28393</v>
      </c>
      <c r="G5428" t="s">
        <v>2478</v>
      </c>
      <c r="H5428">
        <v>1940</v>
      </c>
      <c r="I5428" t="s">
        <v>2510</v>
      </c>
      <c r="J5428">
        <v>1</v>
      </c>
      <c r="K5428">
        <v>135</v>
      </c>
      <c r="L5428">
        <v>136</v>
      </c>
      <c r="Q5428">
        <v>0</v>
      </c>
      <c r="R5428">
        <v>0</v>
      </c>
      <c r="S5428">
        <v>136</v>
      </c>
      <c r="T5428" t="s">
        <v>28394</v>
      </c>
      <c r="U5428" t="s">
        <v>1024</v>
      </c>
      <c r="V5428" t="s">
        <v>2299</v>
      </c>
      <c r="W5428">
        <v>20.683627302946999</v>
      </c>
      <c r="X5428">
        <v>-156.44175458768001</v>
      </c>
      <c r="Y5428" t="s">
        <v>2497</v>
      </c>
      <c r="AD5428" s="249" t="str">
        <f>HYPERLINK("https://scontent.cdninstagram.com/t51.2885-15/e35/p320x320/21436273_271136963376456_3257440546045558784_n.jpg")</f>
        <v>https://scontent.cdninstagram.com/t51.2885-15/e35/p320x320/21436273_271136963376456_3257440546045558784_n.jpg</v>
      </c>
      <c r="AE5428" s="249" t="str">
        <f>HYPERLINK("https://scontent.cdninstagram.com/t51.2885-19/s150x150/19228782_1725043804459711_3336858279509753856_a.jpg")</f>
        <v>https://scontent.cdninstagram.com/t51.2885-19/s150x150/19228782_1725043804459711_3336858279509753856_a.jpg</v>
      </c>
    </row>
    <row r="5429" spans="1:31" ht="15" x14ac:dyDescent="0.25">
      <c r="A5429" t="s">
        <v>2474</v>
      </c>
      <c r="B5429" t="s">
        <v>28395</v>
      </c>
      <c r="C5429" s="221">
        <v>42986.310150462959</v>
      </c>
      <c r="D5429" t="s">
        <v>28396</v>
      </c>
      <c r="E5429" s="249" t="str">
        <f>HYPERLINK("https://www.instagram.com/p/BYxz-IvjC0L/")</f>
        <v>https://www.instagram.com/p/BYxz-IvjC0L/</v>
      </c>
      <c r="F5429" t="s">
        <v>28397</v>
      </c>
      <c r="G5429" t="s">
        <v>2478</v>
      </c>
      <c r="H5429">
        <v>1113</v>
      </c>
      <c r="I5429" t="s">
        <v>3273</v>
      </c>
      <c r="J5429">
        <v>80</v>
      </c>
      <c r="K5429">
        <v>1095</v>
      </c>
      <c r="L5429">
        <v>1175</v>
      </c>
      <c r="Q5429">
        <v>0</v>
      </c>
      <c r="R5429">
        <v>0</v>
      </c>
      <c r="S5429">
        <v>1175</v>
      </c>
      <c r="T5429" t="s">
        <v>14989</v>
      </c>
      <c r="V5429" t="s">
        <v>2271</v>
      </c>
      <c r="W5429">
        <v>47.366700000000002</v>
      </c>
      <c r="X5429">
        <v>8.5500000000000007</v>
      </c>
      <c r="Y5429" t="s">
        <v>2730</v>
      </c>
      <c r="Z5429" t="s">
        <v>2601</v>
      </c>
      <c r="AA5429" t="s">
        <v>28398</v>
      </c>
      <c r="AD5429" s="249" t="str">
        <f>HYPERLINK("https://scontent.cdninstagram.com/t51.2885-15/s320x320/e35/21435400_272673809890637_4734361807798403072_n.jpg")</f>
        <v>https://scontent.cdninstagram.com/t51.2885-15/s320x320/e35/21435400_272673809890637_4734361807798403072_n.jpg</v>
      </c>
      <c r="AE5429" s="249" t="str">
        <f>HYPERLINK("https://scontent.cdninstagram.com/t51.2885-19/s150x150/14717581_559177547616327_3606036713312354304_a.jpg")</f>
        <v>https://scontent.cdninstagram.com/t51.2885-19/s150x150/14717581_559177547616327_3606036713312354304_a.jpg</v>
      </c>
    </row>
    <row r="5430" spans="1:31" ht="15" x14ac:dyDescent="0.25">
      <c r="A5430" t="s">
        <v>2474</v>
      </c>
      <c r="B5430" t="s">
        <v>28399</v>
      </c>
      <c r="C5430" s="221">
        <v>42986.318796296298</v>
      </c>
      <c r="D5430" t="s">
        <v>28400</v>
      </c>
      <c r="E5430" s="249" t="str">
        <f>HYPERLINK("https://www.instagram.com/p/BYx1ZUADI48/")</f>
        <v>https://www.instagram.com/p/BYx1ZUADI48/</v>
      </c>
      <c r="F5430" t="s">
        <v>28401</v>
      </c>
      <c r="G5430" t="s">
        <v>2631</v>
      </c>
      <c r="H5430">
        <v>404</v>
      </c>
      <c r="I5430" t="s">
        <v>2479</v>
      </c>
      <c r="J5430">
        <v>5</v>
      </c>
      <c r="K5430">
        <v>31</v>
      </c>
      <c r="L5430">
        <v>36</v>
      </c>
      <c r="Q5430">
        <v>0</v>
      </c>
      <c r="R5430">
        <v>0</v>
      </c>
      <c r="S5430">
        <v>36</v>
      </c>
      <c r="Y5430" t="s">
        <v>28402</v>
      </c>
      <c r="Z5430" t="s">
        <v>28403</v>
      </c>
      <c r="AA5430" t="s">
        <v>28404</v>
      </c>
      <c r="AB5430" t="s">
        <v>28405</v>
      </c>
      <c r="AC5430" t="s">
        <v>2497</v>
      </c>
      <c r="AD5430" s="249" t="str">
        <f>HYPERLINK("https://scontent.cdninstagram.com/t51.2885-15/s320x320/e15/21480589_730726537128646_3026399665189814272_n.jpg")</f>
        <v>https://scontent.cdninstagram.com/t51.2885-15/s320x320/e15/21480589_730726537128646_3026399665189814272_n.jpg</v>
      </c>
      <c r="AE5430" s="249" t="str">
        <f>HYPERLINK("https://scontent.cdninstagram.com/t51.2885-19/s150x150/13117860_1024292200983056_1232092126_a.jpg")</f>
        <v>https://scontent.cdninstagram.com/t51.2885-19/s150x150/13117860_1024292200983056_1232092126_a.jpg</v>
      </c>
    </row>
    <row r="5431" spans="1:31" ht="15" x14ac:dyDescent="0.25">
      <c r="A5431" t="s">
        <v>2474</v>
      </c>
      <c r="B5431" t="s">
        <v>28406</v>
      </c>
      <c r="C5431" s="221">
        <v>42986.319791666669</v>
      </c>
      <c r="D5431" t="s">
        <v>28407</v>
      </c>
      <c r="E5431" s="249" t="str">
        <f>HYPERLINK("https://www.instagram.com/p/BYx1j2knzlI/")</f>
        <v>https://www.instagram.com/p/BYx1j2knzlI/</v>
      </c>
      <c r="F5431" t="s">
        <v>28408</v>
      </c>
      <c r="G5431" t="s">
        <v>2478</v>
      </c>
      <c r="H5431">
        <v>1922</v>
      </c>
      <c r="I5431" t="s">
        <v>2479</v>
      </c>
      <c r="J5431">
        <v>1</v>
      </c>
      <c r="K5431">
        <v>31</v>
      </c>
      <c r="L5431">
        <v>32</v>
      </c>
      <c r="Q5431">
        <v>0</v>
      </c>
      <c r="R5431">
        <v>0</v>
      </c>
      <c r="S5431">
        <v>32</v>
      </c>
      <c r="Y5431" t="s">
        <v>28409</v>
      </c>
      <c r="Z5431" t="s">
        <v>11085</v>
      </c>
      <c r="AA5431" t="s">
        <v>2529</v>
      </c>
      <c r="AB5431" t="s">
        <v>7830</v>
      </c>
      <c r="AC5431" t="s">
        <v>28410</v>
      </c>
      <c r="AD5431" s="249" t="str">
        <f>HYPERLINK("https://scontent.cdninstagram.com/t51.2885-15/s320x320/e35/21433752_170522003496333_8274663359450710016_n.jpg")</f>
        <v>https://scontent.cdninstagram.com/t51.2885-15/s320x320/e35/21433752_170522003496333_8274663359450710016_n.jpg</v>
      </c>
      <c r="AE5431" s="249" t="str">
        <f>HYPERLINK("https://scontent.cdninstagram.com/t51.2885-19/s150x150/18252990_1860699657528385_3781947497035857920_a.jpg")</f>
        <v>https://scontent.cdninstagram.com/t51.2885-19/s150x150/18252990_1860699657528385_3781947497035857920_a.jpg</v>
      </c>
    </row>
    <row r="5432" spans="1:31" ht="15" x14ac:dyDescent="0.25">
      <c r="A5432" t="s">
        <v>2474</v>
      </c>
      <c r="B5432" t="s">
        <v>26420</v>
      </c>
      <c r="C5432" s="221">
        <v>42986.328252314815</v>
      </c>
      <c r="D5432" t="s">
        <v>28411</v>
      </c>
      <c r="E5432" s="249" t="str">
        <f>HYPERLINK("https://www.instagram.com/p/BYx29D_nDLi/")</f>
        <v>https://www.instagram.com/p/BYx29D_nDLi/</v>
      </c>
      <c r="F5432" t="s">
        <v>28412</v>
      </c>
      <c r="G5432" t="s">
        <v>2478</v>
      </c>
      <c r="H5432">
        <v>67</v>
      </c>
      <c r="I5432" t="s">
        <v>2479</v>
      </c>
      <c r="J5432">
        <v>0</v>
      </c>
      <c r="K5432">
        <v>33</v>
      </c>
      <c r="L5432">
        <v>33</v>
      </c>
      <c r="Q5432">
        <v>0</v>
      </c>
      <c r="R5432">
        <v>0</v>
      </c>
      <c r="S5432">
        <v>33</v>
      </c>
      <c r="Y5432" t="s">
        <v>16867</v>
      </c>
      <c r="Z5432" t="s">
        <v>2730</v>
      </c>
      <c r="AA5432" t="s">
        <v>28413</v>
      </c>
      <c r="AB5432" t="s">
        <v>28414</v>
      </c>
      <c r="AC5432" t="s">
        <v>21015</v>
      </c>
      <c r="AD5432" s="249" t="str">
        <f>HYPERLINK("https://scontent.cdninstagram.com/t51.2885-15/e35/p320x320/21436209_114767809195916_2020469035421925376_n.jpg")</f>
        <v>https://scontent.cdninstagram.com/t51.2885-15/e35/p320x320/21436209_114767809195916_2020469035421925376_n.jpg</v>
      </c>
      <c r="AE5432" s="249" t="str">
        <f>HYPERLINK("https://scontent.cdninstagram.com/t51.2885-19/s150x150/21372602_170168536866275_1591779463320829952_a.jpg")</f>
        <v>https://scontent.cdninstagram.com/t51.2885-19/s150x150/21372602_170168536866275_1591779463320829952_a.jpg</v>
      </c>
    </row>
    <row r="5433" spans="1:31" ht="15" x14ac:dyDescent="0.25">
      <c r="A5433" t="s">
        <v>2474</v>
      </c>
      <c r="B5433" t="s">
        <v>28415</v>
      </c>
      <c r="C5433" s="221">
        <v>42986.335393518515</v>
      </c>
      <c r="D5433" t="s">
        <v>28416</v>
      </c>
      <c r="E5433" s="249" t="str">
        <f>HYPERLINK("https://www.instagram.com/p/BYx4IWygp4c/")</f>
        <v>https://www.instagram.com/p/BYx4IWygp4c/</v>
      </c>
      <c r="F5433" t="s">
        <v>28417</v>
      </c>
      <c r="G5433" t="s">
        <v>2478</v>
      </c>
      <c r="H5433">
        <v>455</v>
      </c>
      <c r="I5433" t="s">
        <v>2479</v>
      </c>
      <c r="J5433">
        <v>2</v>
      </c>
      <c r="K5433">
        <v>54</v>
      </c>
      <c r="L5433">
        <v>56</v>
      </c>
      <c r="Q5433">
        <v>0</v>
      </c>
      <c r="R5433">
        <v>0</v>
      </c>
      <c r="S5433">
        <v>56</v>
      </c>
      <c r="T5433" t="s">
        <v>28418</v>
      </c>
      <c r="V5433" t="s">
        <v>2125</v>
      </c>
      <c r="W5433">
        <v>43.009251200000001</v>
      </c>
      <c r="X5433">
        <v>-81.261739000000006</v>
      </c>
      <c r="Y5433" t="s">
        <v>28419</v>
      </c>
      <c r="Z5433" t="s">
        <v>28420</v>
      </c>
      <c r="AA5433" t="s">
        <v>28421</v>
      </c>
      <c r="AB5433" t="s">
        <v>28422</v>
      </c>
      <c r="AC5433" t="s">
        <v>2497</v>
      </c>
      <c r="AD5433" s="249" t="str">
        <f>HYPERLINK("https://scontent.cdninstagram.com/t51.2885-15/s320x320/e35/21372184_149299682327847_4577780326822051840_n.jpg")</f>
        <v>https://scontent.cdninstagram.com/t51.2885-15/s320x320/e35/21372184_149299682327847_4577780326822051840_n.jpg</v>
      </c>
      <c r="AE5433" s="249" t="str">
        <f>HYPERLINK("https://scontent.cdninstagram.com/t51.2885-19/s150x150/15099514_370968959912971_5653697225339961344_a.jpg")</f>
        <v>https://scontent.cdninstagram.com/t51.2885-19/s150x150/15099514_370968959912971_5653697225339961344_a.jpg</v>
      </c>
    </row>
    <row r="5434" spans="1:31" ht="15" x14ac:dyDescent="0.25">
      <c r="A5434" t="s">
        <v>2474</v>
      </c>
      <c r="B5434" t="s">
        <v>18309</v>
      </c>
      <c r="C5434" s="221">
        <v>42986.336377314816</v>
      </c>
      <c r="D5434" t="s">
        <v>28423</v>
      </c>
      <c r="E5434" s="249" t="str">
        <f>HYPERLINK("https://www.instagram.com/p/BYx4SwdD3Dq/")</f>
        <v>https://www.instagram.com/p/BYx4SwdD3Dq/</v>
      </c>
      <c r="F5434" t="s">
        <v>28424</v>
      </c>
      <c r="G5434" t="s">
        <v>2478</v>
      </c>
      <c r="H5434">
        <v>51</v>
      </c>
      <c r="I5434" t="s">
        <v>2479</v>
      </c>
      <c r="J5434">
        <v>0</v>
      </c>
      <c r="K5434">
        <v>14</v>
      </c>
      <c r="L5434">
        <v>14</v>
      </c>
      <c r="Q5434">
        <v>0</v>
      </c>
      <c r="R5434">
        <v>0</v>
      </c>
      <c r="S5434">
        <v>14</v>
      </c>
      <c r="Y5434" t="s">
        <v>5706</v>
      </c>
      <c r="Z5434" t="s">
        <v>2730</v>
      </c>
      <c r="AA5434" t="s">
        <v>10374</v>
      </c>
      <c r="AB5434" t="s">
        <v>2696</v>
      </c>
      <c r="AC5434" t="s">
        <v>6843</v>
      </c>
      <c r="AD5434" s="249" t="str">
        <f>HYPERLINK("https://scontent.cdninstagram.com/t51.2885-15/s320x320/e35/21434062_1920431188199242_4908945983498354688_n.jpg")</f>
        <v>https://scontent.cdninstagram.com/t51.2885-15/s320x320/e35/21434062_1920431188199242_4908945983498354688_n.jpg</v>
      </c>
      <c r="AE5434" s="249" t="str">
        <f>HYPERLINK("https://scontent.cdninstagram.com/t51.2885-19/s150x150/21224635_116853155713206_6935607206414909440_a.jpg")</f>
        <v>https://scontent.cdninstagram.com/t51.2885-19/s150x150/21224635_116853155713206_6935607206414909440_a.jpg</v>
      </c>
    </row>
    <row r="5435" spans="1:31" ht="15" x14ac:dyDescent="0.25">
      <c r="A5435" t="s">
        <v>2474</v>
      </c>
      <c r="B5435" t="s">
        <v>7152</v>
      </c>
      <c r="C5435" s="221">
        <v>42986.338854166665</v>
      </c>
      <c r="D5435" t="s">
        <v>28425</v>
      </c>
      <c r="E5435" s="249" t="str">
        <f>HYPERLINK("https://www.instagram.com/p/BYx4s5nDXx1/")</f>
        <v>https://www.instagram.com/p/BYx4s5nDXx1/</v>
      </c>
      <c r="F5435" t="s">
        <v>10741</v>
      </c>
      <c r="G5435" t="s">
        <v>2478</v>
      </c>
      <c r="H5435">
        <v>116</v>
      </c>
      <c r="I5435" t="s">
        <v>2542</v>
      </c>
      <c r="J5435">
        <v>1</v>
      </c>
      <c r="K5435">
        <v>16</v>
      </c>
      <c r="L5435">
        <v>17</v>
      </c>
      <c r="Q5435">
        <v>0</v>
      </c>
      <c r="R5435">
        <v>0</v>
      </c>
      <c r="S5435">
        <v>17</v>
      </c>
      <c r="Y5435" t="s">
        <v>6391</v>
      </c>
      <c r="Z5435" t="s">
        <v>12669</v>
      </c>
      <c r="AA5435" t="s">
        <v>7900</v>
      </c>
      <c r="AB5435" t="s">
        <v>7830</v>
      </c>
      <c r="AC5435" t="s">
        <v>2660</v>
      </c>
      <c r="AD5435" s="249" t="str">
        <f>HYPERLINK("https://scontent.cdninstagram.com/t51.2885-15/s320x320/e35/21373691_168232720394221_6930134619215888384_n.jpg")</f>
        <v>https://scontent.cdninstagram.com/t51.2885-15/s320x320/e35/21373691_168232720394221_6930134619215888384_n.jpg</v>
      </c>
      <c r="AE5435" s="249" t="str">
        <f>HYPERLINK("https://scontent.cdninstagram.com/t51.2885-19/s150x150/20181062_1791856511105718_4709893984703479808_a.jpg")</f>
        <v>https://scontent.cdninstagram.com/t51.2885-19/s150x150/20181062_1791856511105718_4709893984703479808_a.jpg</v>
      </c>
    </row>
    <row r="5436" spans="1:31" ht="15" x14ac:dyDescent="0.25">
      <c r="A5436" t="s">
        <v>2474</v>
      </c>
      <c r="B5436" t="s">
        <v>28426</v>
      </c>
      <c r="C5436" s="221">
        <v>42986.341087962966</v>
      </c>
      <c r="D5436" t="s">
        <v>28427</v>
      </c>
      <c r="E5436" s="249" t="str">
        <f>HYPERLINK("https://www.instagram.com/p/BYx5Edkhces/")</f>
        <v>https://www.instagram.com/p/BYx5Edkhces/</v>
      </c>
      <c r="F5436" t="s">
        <v>28428</v>
      </c>
      <c r="G5436" t="s">
        <v>2631</v>
      </c>
      <c r="H5436">
        <v>91</v>
      </c>
      <c r="I5436" t="s">
        <v>2479</v>
      </c>
      <c r="J5436">
        <v>2</v>
      </c>
      <c r="K5436">
        <v>30</v>
      </c>
      <c r="L5436">
        <v>32</v>
      </c>
      <c r="Q5436">
        <v>0</v>
      </c>
      <c r="R5436">
        <v>0</v>
      </c>
      <c r="S5436">
        <v>32</v>
      </c>
      <c r="T5436" t="s">
        <v>28429</v>
      </c>
      <c r="V5436" t="s">
        <v>2161</v>
      </c>
      <c r="W5436">
        <v>48.762089465000003</v>
      </c>
      <c r="X5436">
        <v>8.2522041149999996</v>
      </c>
      <c r="Y5436" t="s">
        <v>28430</v>
      </c>
      <c r="Z5436" t="s">
        <v>28431</v>
      </c>
      <c r="AA5436" t="s">
        <v>5838</v>
      </c>
      <c r="AB5436" t="s">
        <v>28432</v>
      </c>
      <c r="AC5436" t="s">
        <v>28433</v>
      </c>
      <c r="AD5436" s="249" t="str">
        <f>HYPERLINK("https://scontent.cdninstagram.com/t51.2885-15/s320x320/e15/21436230_272380933264784_4822905234370068480_n.jpg")</f>
        <v>https://scontent.cdninstagram.com/t51.2885-15/s320x320/e15/21436230_272380933264784_4822905234370068480_n.jpg</v>
      </c>
      <c r="AE5436" s="249" t="str">
        <f>HYPERLINK("https://scontent.cdninstagram.com/t51.2885-19/s150x150/15043685_1451290494898595_3400260831546441728_a.jpg")</f>
        <v>https://scontent.cdninstagram.com/t51.2885-19/s150x150/15043685_1451290494898595_3400260831546441728_a.jpg</v>
      </c>
    </row>
    <row r="5437" spans="1:31" ht="15" x14ac:dyDescent="0.25">
      <c r="A5437" t="s">
        <v>2474</v>
      </c>
      <c r="B5437" t="s">
        <v>28434</v>
      </c>
      <c r="C5437" s="221">
        <v>42986.34337962963</v>
      </c>
      <c r="D5437" t="s">
        <v>28435</v>
      </c>
      <c r="E5437" s="249" t="str">
        <f>HYPERLINK("https://www.instagram.com/p/BYx5ck9hHxU/")</f>
        <v>https://www.instagram.com/p/BYx5ck9hHxU/</v>
      </c>
      <c r="F5437" t="s">
        <v>28436</v>
      </c>
      <c r="G5437" t="s">
        <v>2478</v>
      </c>
      <c r="H5437">
        <v>203</v>
      </c>
      <c r="I5437" t="s">
        <v>2542</v>
      </c>
      <c r="J5437">
        <v>1</v>
      </c>
      <c r="K5437">
        <v>54</v>
      </c>
      <c r="L5437">
        <v>55</v>
      </c>
      <c r="Q5437">
        <v>0</v>
      </c>
      <c r="R5437">
        <v>0</v>
      </c>
      <c r="S5437">
        <v>55</v>
      </c>
      <c r="T5437" t="s">
        <v>28437</v>
      </c>
      <c r="V5437" t="s">
        <v>2236</v>
      </c>
      <c r="W5437">
        <v>-25.133299999999998</v>
      </c>
      <c r="X5437">
        <v>-58.25</v>
      </c>
      <c r="Y5437" t="s">
        <v>24705</v>
      </c>
      <c r="Z5437" t="s">
        <v>28438</v>
      </c>
      <c r="AA5437" t="s">
        <v>28439</v>
      </c>
      <c r="AB5437" t="s">
        <v>4514</v>
      </c>
      <c r="AC5437" t="s">
        <v>28440</v>
      </c>
      <c r="AD5437" s="249" t="str">
        <f>HYPERLINK("https://scontent.cdninstagram.com/t51.2885-15/s320x320/e35/21373664_352152351886913_6073601772549570560_n.jpg")</f>
        <v>https://scontent.cdninstagram.com/t51.2885-15/s320x320/e35/21373664_352152351886913_6073601772549570560_n.jpg</v>
      </c>
      <c r="AE5437" s="249" t="str">
        <f>HYPERLINK("https://scontent.cdninstagram.com/t51.2885-19/11330791_1458105287831664_838099928_a.jpg")</f>
        <v>https://scontent.cdninstagram.com/t51.2885-19/11330791_1458105287831664_838099928_a.jpg</v>
      </c>
    </row>
    <row r="5438" spans="1:31" ht="15" x14ac:dyDescent="0.25">
      <c r="A5438" t="s">
        <v>2474</v>
      </c>
      <c r="B5438" t="s">
        <v>27606</v>
      </c>
      <c r="C5438" s="221">
        <v>42986.344548611109</v>
      </c>
      <c r="D5438" t="s">
        <v>28441</v>
      </c>
      <c r="E5438" s="249" t="str">
        <f>HYPERLINK("https://www.instagram.com/p/BYx5o7dFOGL/")</f>
        <v>https://www.instagram.com/p/BYx5o7dFOGL/</v>
      </c>
      <c r="F5438" t="s">
        <v>27862</v>
      </c>
      <c r="G5438" t="s">
        <v>2478</v>
      </c>
      <c r="H5438">
        <v>403</v>
      </c>
      <c r="I5438" t="s">
        <v>2479</v>
      </c>
      <c r="J5438">
        <v>9</v>
      </c>
      <c r="K5438">
        <v>39</v>
      </c>
      <c r="L5438">
        <v>48</v>
      </c>
      <c r="Q5438">
        <v>0</v>
      </c>
      <c r="R5438">
        <v>0</v>
      </c>
      <c r="S5438">
        <v>48</v>
      </c>
      <c r="T5438" t="s">
        <v>15222</v>
      </c>
      <c r="V5438" t="s">
        <v>2222</v>
      </c>
      <c r="W5438">
        <v>53.223239900000003</v>
      </c>
      <c r="X5438">
        <v>6.5666099999999998</v>
      </c>
      <c r="AD5438" s="249" t="str">
        <f>HYPERLINK("https://scontent.cdninstagram.com/t51.2885-15/s320x320/e35/21433760_518787318459979_641809061964152832_n.jpg")</f>
        <v>https://scontent.cdninstagram.com/t51.2885-15/s320x320/e35/21433760_518787318459979_641809061964152832_n.jpg</v>
      </c>
      <c r="AE5438" s="249" t="str">
        <f>HYPERLINK("https://scontent.cdninstagram.com/t51.2885-19/s150x150/21435558_170980570127211_7017384259904077824_a.jpg")</f>
        <v>https://scontent.cdninstagram.com/t51.2885-19/s150x150/21435558_170980570127211_7017384259904077824_a.jpg</v>
      </c>
    </row>
    <row r="5439" spans="1:31" ht="15" x14ac:dyDescent="0.25">
      <c r="A5439" t="s">
        <v>2474</v>
      </c>
      <c r="B5439" t="s">
        <v>28442</v>
      </c>
      <c r="C5439" s="221">
        <v>42986.345879629633</v>
      </c>
      <c r="D5439" t="s">
        <v>28443</v>
      </c>
      <c r="E5439" s="249" t="str">
        <f>HYPERLINK("https://www.instagram.com/p/BYx526YlkLi/")</f>
        <v>https://www.instagram.com/p/BYx526YlkLi/</v>
      </c>
      <c r="F5439" t="s">
        <v>28444</v>
      </c>
      <c r="G5439" t="s">
        <v>2478</v>
      </c>
      <c r="H5439">
        <v>188</v>
      </c>
      <c r="I5439" t="s">
        <v>2786</v>
      </c>
      <c r="J5439">
        <v>0</v>
      </c>
      <c r="K5439">
        <v>8</v>
      </c>
      <c r="L5439">
        <v>8</v>
      </c>
      <c r="Q5439">
        <v>0</v>
      </c>
      <c r="R5439">
        <v>0</v>
      </c>
      <c r="S5439">
        <v>8</v>
      </c>
      <c r="Y5439" t="s">
        <v>28445</v>
      </c>
      <c r="Z5439" t="s">
        <v>28446</v>
      </c>
      <c r="AA5439" t="s">
        <v>28447</v>
      </c>
      <c r="AB5439" t="s">
        <v>28448</v>
      </c>
      <c r="AC5439" t="s">
        <v>2497</v>
      </c>
      <c r="AD5439" s="249" t="str">
        <f>HYPERLINK("https://scontent.cdninstagram.com/t51.2885-15/s320x320/e35/21434003_1999129553667014_3521090764232720384_n.jpg")</f>
        <v>https://scontent.cdninstagram.com/t51.2885-15/s320x320/e35/21434003_1999129553667014_3521090764232720384_n.jpg</v>
      </c>
      <c r="AE5439" s="249" t="str">
        <f>HYPERLINK("https://scontent.cdninstagram.com/t51.2885-19/s150x150/10533412_878474042251364_928184233_a.jpg")</f>
        <v>https://scontent.cdninstagram.com/t51.2885-19/s150x150/10533412_878474042251364_928184233_a.jpg</v>
      </c>
    </row>
    <row r="5440" spans="1:31" ht="15" x14ac:dyDescent="0.25">
      <c r="A5440" t="s">
        <v>2474</v>
      </c>
      <c r="B5440" t="s">
        <v>27606</v>
      </c>
      <c r="C5440" s="221">
        <v>42986.346620370372</v>
      </c>
      <c r="D5440" t="s">
        <v>28449</v>
      </c>
      <c r="E5440" s="249" t="str">
        <f>HYPERLINK("https://www.instagram.com/p/BYx5-uClpVk/")</f>
        <v>https://www.instagram.com/p/BYx5-uClpVk/</v>
      </c>
      <c r="F5440" t="s">
        <v>27862</v>
      </c>
      <c r="G5440" t="s">
        <v>2478</v>
      </c>
      <c r="H5440">
        <v>403</v>
      </c>
      <c r="I5440" t="s">
        <v>2479</v>
      </c>
      <c r="J5440">
        <v>9</v>
      </c>
      <c r="K5440">
        <v>51</v>
      </c>
      <c r="L5440">
        <v>60</v>
      </c>
      <c r="Q5440">
        <v>0</v>
      </c>
      <c r="R5440">
        <v>0</v>
      </c>
      <c r="S5440">
        <v>60</v>
      </c>
      <c r="T5440" t="s">
        <v>15222</v>
      </c>
      <c r="V5440" t="s">
        <v>2222</v>
      </c>
      <c r="W5440">
        <v>53.223239900000003</v>
      </c>
      <c r="X5440">
        <v>6.5666099999999998</v>
      </c>
      <c r="AD5440" s="249" t="str">
        <f>HYPERLINK("https://scontent.cdninstagram.com/t51.2885-15/s320x320/e35/21433728_220152855183573_4260010501343281152_n.jpg")</f>
        <v>https://scontent.cdninstagram.com/t51.2885-15/s320x320/e35/21433728_220152855183573_4260010501343281152_n.jpg</v>
      </c>
      <c r="AE5440" s="249" t="str">
        <f>HYPERLINK("https://scontent.cdninstagram.com/t51.2885-19/s150x150/21435558_170980570127211_7017384259904077824_a.jpg")</f>
        <v>https://scontent.cdninstagram.com/t51.2885-19/s150x150/21435558_170980570127211_7017384259904077824_a.jpg</v>
      </c>
    </row>
    <row r="5441" spans="1:31" ht="15" x14ac:dyDescent="0.25">
      <c r="A5441" t="s">
        <v>2474</v>
      </c>
      <c r="B5441" t="s">
        <v>27606</v>
      </c>
      <c r="C5441" s="221">
        <v>42986.347268518519</v>
      </c>
      <c r="D5441" t="s">
        <v>28450</v>
      </c>
      <c r="E5441" s="249" t="str">
        <f>HYPERLINK("https://www.instagram.com/p/BYx6Fj6FMMh/")</f>
        <v>https://www.instagram.com/p/BYx6Fj6FMMh/</v>
      </c>
      <c r="F5441" t="s">
        <v>27862</v>
      </c>
      <c r="G5441" t="s">
        <v>2478</v>
      </c>
      <c r="H5441">
        <v>403</v>
      </c>
      <c r="I5441" t="s">
        <v>2479</v>
      </c>
      <c r="J5441">
        <v>5</v>
      </c>
      <c r="K5441">
        <v>47</v>
      </c>
      <c r="L5441">
        <v>52</v>
      </c>
      <c r="Q5441">
        <v>0</v>
      </c>
      <c r="R5441">
        <v>0</v>
      </c>
      <c r="S5441">
        <v>52</v>
      </c>
      <c r="T5441" t="s">
        <v>15222</v>
      </c>
      <c r="V5441" t="s">
        <v>2222</v>
      </c>
      <c r="W5441">
        <v>53.223239900000003</v>
      </c>
      <c r="X5441">
        <v>6.5666099999999998</v>
      </c>
      <c r="AD5441" s="249" t="str">
        <f>HYPERLINK("https://scontent.cdninstagram.com/t51.2885-15/s320x320/e35/21479783_1202658243173976_6050751227979890688_n.jpg")</f>
        <v>https://scontent.cdninstagram.com/t51.2885-15/s320x320/e35/21479783_1202658243173976_6050751227979890688_n.jpg</v>
      </c>
      <c r="AE5441" s="249" t="str">
        <f>HYPERLINK("https://scontent.cdninstagram.com/t51.2885-19/s150x150/21435558_170980570127211_7017384259904077824_a.jpg")</f>
        <v>https://scontent.cdninstagram.com/t51.2885-19/s150x150/21435558_170980570127211_7017384259904077824_a.jpg</v>
      </c>
    </row>
    <row r="5442" spans="1:31" ht="15" x14ac:dyDescent="0.25">
      <c r="A5442" t="s">
        <v>2474</v>
      </c>
      <c r="B5442" t="s">
        <v>28451</v>
      </c>
      <c r="C5442" s="221">
        <v>42986.350532407407</v>
      </c>
      <c r="D5442" t="s">
        <v>28452</v>
      </c>
      <c r="E5442" s="249" t="str">
        <f>HYPERLINK("https://www.instagram.com/p/BYx6oCaDEPK/")</f>
        <v>https://www.instagram.com/p/BYx6oCaDEPK/</v>
      </c>
      <c r="F5442" t="s">
        <v>28453</v>
      </c>
      <c r="G5442" t="s">
        <v>2478</v>
      </c>
      <c r="H5442">
        <v>232</v>
      </c>
      <c r="I5442" t="s">
        <v>2599</v>
      </c>
      <c r="J5442">
        <v>0</v>
      </c>
      <c r="K5442">
        <v>1</v>
      </c>
      <c r="L5442">
        <v>1</v>
      </c>
      <c r="Q5442">
        <v>0</v>
      </c>
      <c r="R5442">
        <v>0</v>
      </c>
      <c r="S5442">
        <v>1</v>
      </c>
      <c r="Y5442" t="s">
        <v>2497</v>
      </c>
      <c r="Z5442" t="s">
        <v>5989</v>
      </c>
      <c r="AA5442" t="s">
        <v>28454</v>
      </c>
      <c r="AD5442" s="249" t="str">
        <f>HYPERLINK("https://scontent.cdninstagram.com/t51.2885-15/s320x320/e35/21433588_854042508097559_5962299241261957120_n.jpg")</f>
        <v>https://scontent.cdninstagram.com/t51.2885-15/s320x320/e35/21433588_854042508097559_5962299241261957120_n.jpg</v>
      </c>
      <c r="AE5442" s="249" t="str">
        <f>HYPERLINK("https://scontent.cdninstagram.com/t51.2885-19/s150x150/15877061_389073994760064_3094828303920398336_a.jpg")</f>
        <v>https://scontent.cdninstagram.com/t51.2885-19/s150x150/15877061_389073994760064_3094828303920398336_a.jpg</v>
      </c>
    </row>
    <row r="5443" spans="1:31" ht="15" x14ac:dyDescent="0.25">
      <c r="A5443" t="s">
        <v>2474</v>
      </c>
      <c r="B5443" t="s">
        <v>3301</v>
      </c>
      <c r="C5443" s="221">
        <v>42986.350798611114</v>
      </c>
      <c r="D5443" t="s">
        <v>28455</v>
      </c>
      <c r="E5443" s="249" t="str">
        <f>HYPERLINK("https://www.instagram.com/p/BYx6qzMjO4I/")</f>
        <v>https://www.instagram.com/p/BYx6qzMjO4I/</v>
      </c>
      <c r="F5443" t="s">
        <v>28456</v>
      </c>
      <c r="G5443" t="s">
        <v>2478</v>
      </c>
      <c r="H5443">
        <v>621</v>
      </c>
      <c r="I5443" t="s">
        <v>2510</v>
      </c>
      <c r="J5443">
        <v>2</v>
      </c>
      <c r="K5443">
        <v>62</v>
      </c>
      <c r="L5443">
        <v>64</v>
      </c>
      <c r="Q5443">
        <v>0</v>
      </c>
      <c r="R5443">
        <v>0</v>
      </c>
      <c r="S5443">
        <v>64</v>
      </c>
      <c r="Y5443" t="s">
        <v>4160</v>
      </c>
      <c r="Z5443" t="s">
        <v>9279</v>
      </c>
      <c r="AA5443" t="s">
        <v>4157</v>
      </c>
      <c r="AB5443" t="s">
        <v>9280</v>
      </c>
      <c r="AC5443" t="s">
        <v>17505</v>
      </c>
      <c r="AD5443" s="249" t="str">
        <f>HYPERLINK("https://scontent.cdninstagram.com/t51.2885-15/e35/p320x320/21433644_129395344358449_3551910959922544640_n.jpg")</f>
        <v>https://scontent.cdninstagram.com/t51.2885-15/e35/p320x320/21433644_129395344358449_3551910959922544640_n.jpg</v>
      </c>
      <c r="AE5443" s="249" t="str">
        <f>HYPERLINK("https://scontent.cdninstagram.com/t51.2885-19/s150x150/19228478_370974479971900_5746578409966796800_a.jpg")</f>
        <v>https://scontent.cdninstagram.com/t51.2885-19/s150x150/19228478_370974479971900_5746578409966796800_a.jpg</v>
      </c>
    </row>
    <row r="5444" spans="1:31" ht="15" x14ac:dyDescent="0.25">
      <c r="A5444" t="s">
        <v>2474</v>
      </c>
      <c r="B5444" t="s">
        <v>28457</v>
      </c>
      <c r="C5444" s="221">
        <v>42986.350891203707</v>
      </c>
      <c r="D5444" t="s">
        <v>28458</v>
      </c>
      <c r="E5444" s="249" t="str">
        <f>HYPERLINK("https://www.instagram.com/p/BYx6rwqDN7d/")</f>
        <v>https://www.instagram.com/p/BYx6rwqDN7d/</v>
      </c>
      <c r="F5444" t="s">
        <v>28459</v>
      </c>
      <c r="G5444" t="s">
        <v>2478</v>
      </c>
      <c r="H5444">
        <v>178</v>
      </c>
      <c r="I5444" t="s">
        <v>2479</v>
      </c>
      <c r="J5444">
        <v>4</v>
      </c>
      <c r="K5444">
        <v>27</v>
      </c>
      <c r="L5444">
        <v>31</v>
      </c>
      <c r="Q5444">
        <v>0</v>
      </c>
      <c r="R5444">
        <v>0</v>
      </c>
      <c r="S5444">
        <v>31</v>
      </c>
      <c r="Y5444" t="s">
        <v>5706</v>
      </c>
      <c r="Z5444" t="s">
        <v>5168</v>
      </c>
      <c r="AA5444" t="s">
        <v>28460</v>
      </c>
      <c r="AB5444" t="s">
        <v>2492</v>
      </c>
      <c r="AC5444" t="s">
        <v>9195</v>
      </c>
      <c r="AD5444" s="249" t="str">
        <f>HYPERLINK("https://scontent.cdninstagram.com/t51.2885-15/s320x320/e35/21568814_499640197035370_4063763562869293056_n.jpg")</f>
        <v>https://scontent.cdninstagram.com/t51.2885-15/s320x320/e35/21568814_499640197035370_4063763562869293056_n.jpg</v>
      </c>
      <c r="AE5444" s="249" t="str">
        <f>HYPERLINK("https://scontent.cdninstagram.com/t51.2885-19/s150x150/21294899_329433380800948_8795842677154250752_a.jpg")</f>
        <v>https://scontent.cdninstagram.com/t51.2885-19/s150x150/21294899_329433380800948_8795842677154250752_a.jpg</v>
      </c>
    </row>
    <row r="5445" spans="1:31" ht="15" x14ac:dyDescent="0.25">
      <c r="A5445" t="s">
        <v>2474</v>
      </c>
      <c r="B5445" t="s">
        <v>26568</v>
      </c>
      <c r="C5445" s="221">
        <v>42986.352488425924</v>
      </c>
      <c r="D5445" t="s">
        <v>28461</v>
      </c>
      <c r="E5445" s="249" t="str">
        <f>HYPERLINK("https://www.instagram.com/p/BYx68otlhwr/")</f>
        <v>https://www.instagram.com/p/BYx68otlhwr/</v>
      </c>
      <c r="F5445" t="s">
        <v>28462</v>
      </c>
      <c r="G5445" t="s">
        <v>2478</v>
      </c>
      <c r="H5445">
        <v>1680</v>
      </c>
      <c r="I5445" t="s">
        <v>2479</v>
      </c>
      <c r="J5445">
        <v>1</v>
      </c>
      <c r="K5445">
        <v>94</v>
      </c>
      <c r="L5445">
        <v>95</v>
      </c>
      <c r="Q5445">
        <v>0</v>
      </c>
      <c r="R5445">
        <v>0</v>
      </c>
      <c r="S5445">
        <v>95</v>
      </c>
      <c r="T5445" t="s">
        <v>28463</v>
      </c>
      <c r="V5445" t="s">
        <v>2103</v>
      </c>
      <c r="W5445">
        <v>48.182326627628001</v>
      </c>
      <c r="X5445">
        <v>16.378233432769999</v>
      </c>
      <c r="Y5445" t="s">
        <v>28262</v>
      </c>
      <c r="Z5445" t="s">
        <v>28464</v>
      </c>
      <c r="AA5445" t="s">
        <v>2497</v>
      </c>
      <c r="AB5445" t="s">
        <v>28016</v>
      </c>
      <c r="AC5445" t="s">
        <v>28465</v>
      </c>
      <c r="AD5445" s="249" t="str">
        <f>HYPERLINK("https://scontent.cdninstagram.com/t51.2885-15/s320x320/e35/21373375_129667821004248_8973195865514573824_n.jpg")</f>
        <v>https://scontent.cdninstagram.com/t51.2885-15/s320x320/e35/21373375_129667821004248_8973195865514573824_n.jpg</v>
      </c>
      <c r="AE5445" s="249" t="str">
        <f>HYPERLINK("https://scontent.cdninstagram.com/t51.2885-19/s150x150/13102422_480287725499798_1251561052_a.jpg")</f>
        <v>https://scontent.cdninstagram.com/t51.2885-19/s150x150/13102422_480287725499798_1251561052_a.jpg</v>
      </c>
    </row>
    <row r="5446" spans="1:31" ht="15" x14ac:dyDescent="0.25">
      <c r="A5446" t="s">
        <v>2474</v>
      </c>
      <c r="B5446" t="s">
        <v>28466</v>
      </c>
      <c r="C5446" s="221">
        <v>42986.352881944447</v>
      </c>
      <c r="D5446" t="s">
        <v>28467</v>
      </c>
      <c r="E5446" s="249" t="str">
        <f>HYPERLINK("https://www.instagram.com/p/BYx7A2jBxrN/")</f>
        <v>https://www.instagram.com/p/BYx7A2jBxrN/</v>
      </c>
      <c r="F5446" t="s">
        <v>28468</v>
      </c>
      <c r="G5446" t="s">
        <v>2478</v>
      </c>
      <c r="H5446">
        <v>97</v>
      </c>
      <c r="I5446" t="s">
        <v>4062</v>
      </c>
      <c r="J5446">
        <v>0</v>
      </c>
      <c r="K5446">
        <v>3</v>
      </c>
      <c r="L5446">
        <v>3</v>
      </c>
      <c r="Q5446">
        <v>0</v>
      </c>
      <c r="R5446">
        <v>0</v>
      </c>
      <c r="S5446">
        <v>3</v>
      </c>
      <c r="Y5446" t="s">
        <v>28469</v>
      </c>
      <c r="Z5446" t="s">
        <v>4317</v>
      </c>
      <c r="AA5446" t="s">
        <v>2497</v>
      </c>
      <c r="AD5446" s="249" t="str">
        <f>HYPERLINK("https://scontent.cdninstagram.com/t51.2885-15/s320x320/e35/21373346_352803958506015_4688363743145361408_n.jpg")</f>
        <v>https://scontent.cdninstagram.com/t51.2885-15/s320x320/e35/21373346_352803958506015_4688363743145361408_n.jpg</v>
      </c>
      <c r="AE5446" s="249" t="str">
        <f>HYPERLINK("https://scontent.cdninstagram.com/t51.2885-19/10475077_421848197954046_1252466772_a.jpg")</f>
        <v>https://scontent.cdninstagram.com/t51.2885-19/10475077_421848197954046_1252466772_a.jpg</v>
      </c>
    </row>
    <row r="5447" spans="1:31" ht="15" x14ac:dyDescent="0.25">
      <c r="A5447" t="s">
        <v>2474</v>
      </c>
      <c r="B5447" t="s">
        <v>28470</v>
      </c>
      <c r="C5447" s="221">
        <v>42986.377789351849</v>
      </c>
      <c r="D5447" t="s">
        <v>28471</v>
      </c>
      <c r="E5447" s="249" t="str">
        <f>HYPERLINK("https://www.instagram.com/p/BYx_HjXF1YE/")</f>
        <v>https://www.instagram.com/p/BYx_HjXF1YE/</v>
      </c>
      <c r="F5447" t="s">
        <v>28472</v>
      </c>
      <c r="G5447" t="s">
        <v>2478</v>
      </c>
      <c r="H5447">
        <v>111</v>
      </c>
      <c r="I5447" t="s">
        <v>2479</v>
      </c>
      <c r="J5447">
        <v>2</v>
      </c>
      <c r="K5447">
        <v>9</v>
      </c>
      <c r="L5447">
        <v>11</v>
      </c>
      <c r="Q5447">
        <v>0</v>
      </c>
      <c r="R5447">
        <v>0</v>
      </c>
      <c r="S5447">
        <v>11</v>
      </c>
      <c r="Y5447" t="s">
        <v>28473</v>
      </c>
      <c r="Z5447" t="s">
        <v>28474</v>
      </c>
      <c r="AA5447" t="s">
        <v>28475</v>
      </c>
      <c r="AB5447" t="s">
        <v>28476</v>
      </c>
      <c r="AC5447" t="s">
        <v>28477</v>
      </c>
      <c r="AD5447" s="249" t="str">
        <f>HYPERLINK("https://scontent.cdninstagram.com/t51.2885-15/s320x320/e35/21433842_1825560471089260_9060530903037509632_n.jpg")</f>
        <v>https://scontent.cdninstagram.com/t51.2885-15/s320x320/e35/21433842_1825560471089260_9060530903037509632_n.jpg</v>
      </c>
      <c r="AE5447" s="249" t="str">
        <f>HYPERLINK("https://scontent.cdninstagram.com/t51.2885-19/s150x150/21371778_1974913912766034_2752296617590652928_a.jpg")</f>
        <v>https://scontent.cdninstagram.com/t51.2885-19/s150x150/21371778_1974913912766034_2752296617590652928_a.jpg</v>
      </c>
    </row>
    <row r="5448" spans="1:31" ht="15" x14ac:dyDescent="0.25">
      <c r="A5448" t="s">
        <v>2474</v>
      </c>
      <c r="B5448" t="s">
        <v>28478</v>
      </c>
      <c r="C5448" s="221">
        <v>42986.378900462965</v>
      </c>
      <c r="D5448" t="s">
        <v>28479</v>
      </c>
      <c r="E5448" s="249" t="str">
        <f>HYPERLINK("https://www.instagram.com/p/BYx_TKMguTF/")</f>
        <v>https://www.instagram.com/p/BYx_TKMguTF/</v>
      </c>
      <c r="F5448" t="s">
        <v>28480</v>
      </c>
      <c r="G5448" t="s">
        <v>2478</v>
      </c>
      <c r="H5448">
        <v>105</v>
      </c>
      <c r="I5448" t="s">
        <v>2479</v>
      </c>
      <c r="J5448">
        <v>0</v>
      </c>
      <c r="K5448">
        <v>1</v>
      </c>
      <c r="L5448">
        <v>1</v>
      </c>
      <c r="Q5448">
        <v>0</v>
      </c>
      <c r="R5448">
        <v>0</v>
      </c>
      <c r="S5448">
        <v>1</v>
      </c>
      <c r="Y5448" t="s">
        <v>5787</v>
      </c>
      <c r="Z5448" t="s">
        <v>28481</v>
      </c>
      <c r="AA5448" t="s">
        <v>28482</v>
      </c>
      <c r="AB5448" t="s">
        <v>6978</v>
      </c>
      <c r="AC5448" t="s">
        <v>28483</v>
      </c>
      <c r="AD5448" s="249" t="str">
        <f>HYPERLINK("https://scontent.cdninstagram.com/t51.2885-15/s320x320/e35/21480470_483005032064346_8227932818190106624_n.jpg")</f>
        <v>https://scontent.cdninstagram.com/t51.2885-15/s320x320/e35/21480470_483005032064346_8227932818190106624_n.jpg</v>
      </c>
      <c r="AE5448" s="249" t="str">
        <f>HYPERLINK("https://scontent.cdninstagram.com/t51.2885-19/s150x150/17439042_293996794353045_5808173536686112768_a.jpg")</f>
        <v>https://scontent.cdninstagram.com/t51.2885-19/s150x150/17439042_293996794353045_5808173536686112768_a.jpg</v>
      </c>
    </row>
    <row r="5449" spans="1:31" ht="15" x14ac:dyDescent="0.25">
      <c r="A5449" t="s">
        <v>2474</v>
      </c>
      <c r="B5449" t="s">
        <v>28484</v>
      </c>
      <c r="C5449" s="221">
        <v>42986.380312499998</v>
      </c>
      <c r="D5449" t="s">
        <v>28485</v>
      </c>
      <c r="E5449" s="249" t="str">
        <f>HYPERLINK("https://www.instagram.com/p/BYx_iK1D7bg/")</f>
        <v>https://www.instagram.com/p/BYx_iK1D7bg/</v>
      </c>
      <c r="F5449" t="s">
        <v>28486</v>
      </c>
      <c r="G5449" t="s">
        <v>2478</v>
      </c>
      <c r="H5449">
        <v>81</v>
      </c>
      <c r="I5449" t="s">
        <v>2903</v>
      </c>
      <c r="J5449">
        <v>0</v>
      </c>
      <c r="K5449">
        <v>12</v>
      </c>
      <c r="L5449">
        <v>12</v>
      </c>
      <c r="Q5449">
        <v>0</v>
      </c>
      <c r="R5449">
        <v>0</v>
      </c>
      <c r="S5449">
        <v>12</v>
      </c>
      <c r="Y5449" t="s">
        <v>3936</v>
      </c>
      <c r="Z5449" t="s">
        <v>2497</v>
      </c>
      <c r="AA5449" t="s">
        <v>7346</v>
      </c>
      <c r="AB5449" t="s">
        <v>28487</v>
      </c>
      <c r="AD5449" s="249" t="str">
        <f>HYPERLINK("https://scontent.cdninstagram.com/t51.2885-15/s320x320/e35/21433414_2002299240000871_4579529525267791872_n.jpg")</f>
        <v>https://scontent.cdninstagram.com/t51.2885-15/s320x320/e35/21433414_2002299240000871_4579529525267791872_n.jpg</v>
      </c>
      <c r="AE5449" s="249" t="str">
        <f>HYPERLINK("https://scontent.cdninstagram.com/t51.2885-19/s150x150/19932414_128616181071936_4461023066809434112_a.jpg")</f>
        <v>https://scontent.cdninstagram.com/t51.2885-19/s150x150/19932414_128616181071936_4461023066809434112_a.jpg</v>
      </c>
    </row>
    <row r="5450" spans="1:31" ht="15" x14ac:dyDescent="0.25">
      <c r="A5450" t="s">
        <v>2474</v>
      </c>
      <c r="B5450" t="s">
        <v>27569</v>
      </c>
      <c r="C5450" s="221">
        <v>42986.38212962963</v>
      </c>
      <c r="D5450" t="s">
        <v>28488</v>
      </c>
      <c r="E5450" s="249" t="str">
        <f>HYPERLINK("https://www.instagram.com/p/BYx_1T4APwC/")</f>
        <v>https://www.instagram.com/p/BYx_1T4APwC/</v>
      </c>
      <c r="F5450" t="s">
        <v>28489</v>
      </c>
      <c r="G5450" t="s">
        <v>2478</v>
      </c>
      <c r="H5450">
        <v>12</v>
      </c>
      <c r="I5450" t="s">
        <v>2479</v>
      </c>
      <c r="J5450">
        <v>0</v>
      </c>
      <c r="K5450">
        <v>6</v>
      </c>
      <c r="L5450">
        <v>6</v>
      </c>
      <c r="Q5450">
        <v>0</v>
      </c>
      <c r="R5450">
        <v>0</v>
      </c>
      <c r="S5450">
        <v>6</v>
      </c>
      <c r="T5450" t="s">
        <v>28490</v>
      </c>
      <c r="V5450" t="s">
        <v>2110</v>
      </c>
      <c r="W5450">
        <v>51.19415</v>
      </c>
      <c r="X5450">
        <v>4.4622000000000002</v>
      </c>
      <c r="Y5450" t="s">
        <v>2497</v>
      </c>
      <c r="Z5450" t="s">
        <v>28491</v>
      </c>
      <c r="AA5450" t="s">
        <v>28492</v>
      </c>
      <c r="AD5450" s="249" t="str">
        <f>HYPERLINK("https://scontent.cdninstagram.com/t51.2885-15/s320x320/e35/21480139_269782113533213_2550799292050702336_n.jpg")</f>
        <v>https://scontent.cdninstagram.com/t51.2885-15/s320x320/e35/21480139_269782113533213_2550799292050702336_n.jpg</v>
      </c>
      <c r="AE5450" s="249" t="str">
        <f>HYPERLINK("https://scontent.cdninstagram.com/t51.2885-19/s150x150/21433697_113722245987166_3493291712963411968_a.jpg")</f>
        <v>https://scontent.cdninstagram.com/t51.2885-19/s150x150/21433697_113722245987166_3493291712963411968_a.jpg</v>
      </c>
    </row>
    <row r="5451" spans="1:31" ht="15" x14ac:dyDescent="0.25">
      <c r="A5451" t="s">
        <v>2474</v>
      </c>
      <c r="B5451" t="s">
        <v>3015</v>
      </c>
      <c r="C5451" s="221">
        <v>42986.383206018516</v>
      </c>
      <c r="D5451" t="s">
        <v>28493</v>
      </c>
      <c r="E5451" s="249" t="str">
        <f>HYPERLINK("https://www.instagram.com/p/BYyAAoDAQUk/")</f>
        <v>https://www.instagram.com/p/BYyAAoDAQUk/</v>
      </c>
      <c r="F5451" t="s">
        <v>28494</v>
      </c>
      <c r="G5451" t="s">
        <v>2478</v>
      </c>
      <c r="H5451">
        <v>283</v>
      </c>
      <c r="I5451" t="s">
        <v>2479</v>
      </c>
      <c r="J5451">
        <v>2</v>
      </c>
      <c r="K5451">
        <v>109</v>
      </c>
      <c r="L5451">
        <v>111</v>
      </c>
      <c r="Q5451">
        <v>0</v>
      </c>
      <c r="R5451">
        <v>0</v>
      </c>
      <c r="S5451">
        <v>111</v>
      </c>
      <c r="Y5451" t="s">
        <v>3018</v>
      </c>
      <c r="Z5451" t="s">
        <v>4129</v>
      </c>
      <c r="AA5451" t="s">
        <v>3493</v>
      </c>
      <c r="AB5451" t="s">
        <v>3492</v>
      </c>
      <c r="AC5451" t="s">
        <v>7275</v>
      </c>
      <c r="AD5451" s="249" t="str">
        <f>HYPERLINK("https://scontent.cdninstagram.com/t51.2885-15/s320x320/e35/21436171_685086498362089_2982127546029572096_n.jpg")</f>
        <v>https://scontent.cdninstagram.com/t51.2885-15/s320x320/e35/21436171_685086498362089_2982127546029572096_n.jpg</v>
      </c>
      <c r="AE5451" s="249" t="str">
        <f>HYPERLINK("https://scontent.cdninstagram.com/t51.2885-19/s150x150/21373025_723410537866046_6184601968204316672_a.jpg")</f>
        <v>https://scontent.cdninstagram.com/t51.2885-19/s150x150/21373025_723410537866046_6184601968204316672_a.jpg</v>
      </c>
    </row>
    <row r="5452" spans="1:31" ht="15" x14ac:dyDescent="0.25">
      <c r="A5452" t="s">
        <v>2474</v>
      </c>
      <c r="B5452" t="s">
        <v>10929</v>
      </c>
      <c r="C5452" s="221">
        <v>42986.410046296296</v>
      </c>
      <c r="D5452" t="s">
        <v>28495</v>
      </c>
      <c r="E5452" s="249" t="str">
        <f>HYPERLINK("https://www.instagram.com/p/BYyEbqkjvZD/")</f>
        <v>https://www.instagram.com/p/BYyEbqkjvZD/</v>
      </c>
      <c r="F5452" t="s">
        <v>28496</v>
      </c>
      <c r="G5452" t="s">
        <v>2478</v>
      </c>
      <c r="H5452">
        <v>362</v>
      </c>
      <c r="I5452" t="s">
        <v>3898</v>
      </c>
      <c r="J5452">
        <v>1</v>
      </c>
      <c r="K5452">
        <v>26</v>
      </c>
      <c r="L5452">
        <v>27</v>
      </c>
      <c r="Q5452">
        <v>0</v>
      </c>
      <c r="R5452">
        <v>0</v>
      </c>
      <c r="S5452">
        <v>27</v>
      </c>
      <c r="Y5452" t="s">
        <v>4808</v>
      </c>
      <c r="Z5452" t="s">
        <v>4253</v>
      </c>
      <c r="AA5452" t="s">
        <v>2667</v>
      </c>
      <c r="AB5452" t="s">
        <v>2497</v>
      </c>
      <c r="AC5452" t="s">
        <v>9864</v>
      </c>
      <c r="AD5452" s="249" t="str">
        <f>HYPERLINK("https://scontent.cdninstagram.com/t51.2885-15/e35/p320x320/21479946_1274775305966692_777048085942501376_n.jpg")</f>
        <v>https://scontent.cdninstagram.com/t51.2885-15/e35/p320x320/21479946_1274775305966692_777048085942501376_n.jpg</v>
      </c>
      <c r="AE5452" s="249" t="str">
        <f>HYPERLINK("https://scontent.cdninstagram.com/t51.2885-19/s150x150/21433976_693600654178941_6360830884450402304_a.jpg")</f>
        <v>https://scontent.cdninstagram.com/t51.2885-19/s150x150/21433976_693600654178941_6360830884450402304_a.jpg</v>
      </c>
    </row>
    <row r="5453" spans="1:31" ht="15" x14ac:dyDescent="0.25">
      <c r="A5453" t="s">
        <v>2474</v>
      </c>
      <c r="B5453" t="s">
        <v>28497</v>
      </c>
      <c r="C5453" s="221">
        <v>42986.417210648149</v>
      </c>
      <c r="D5453" t="s">
        <v>28498</v>
      </c>
      <c r="E5453" s="249" t="str">
        <f>HYPERLINK("https://www.instagram.com/p/BYyFnOpAok5/")</f>
        <v>https://www.instagram.com/p/BYyFnOpAok5/</v>
      </c>
      <c r="F5453" t="s">
        <v>28499</v>
      </c>
      <c r="G5453" t="s">
        <v>2478</v>
      </c>
      <c r="H5453">
        <v>40</v>
      </c>
      <c r="I5453" t="s">
        <v>2479</v>
      </c>
      <c r="J5453">
        <v>0</v>
      </c>
      <c r="K5453">
        <v>6</v>
      </c>
      <c r="L5453">
        <v>6</v>
      </c>
      <c r="Q5453">
        <v>0</v>
      </c>
      <c r="R5453">
        <v>0</v>
      </c>
      <c r="S5453">
        <v>6</v>
      </c>
      <c r="T5453" t="s">
        <v>28500</v>
      </c>
      <c r="V5453" t="s">
        <v>2175</v>
      </c>
      <c r="W5453">
        <v>63.766666666667</v>
      </c>
      <c r="X5453">
        <v>-18.066666666667</v>
      </c>
      <c r="Y5453" t="s">
        <v>3384</v>
      </c>
      <c r="Z5453" t="s">
        <v>28501</v>
      </c>
      <c r="AA5453" t="s">
        <v>28502</v>
      </c>
      <c r="AB5453" t="s">
        <v>28503</v>
      </c>
      <c r="AC5453" t="s">
        <v>6165</v>
      </c>
      <c r="AD5453" s="249" t="str">
        <f>HYPERLINK("https://scontent.cdninstagram.com/t51.2885-15/s320x320/e35/21435572_243645119493962_3503620155827552256_n.jpg")</f>
        <v>https://scontent.cdninstagram.com/t51.2885-15/s320x320/e35/21435572_243645119493962_3503620155827552256_n.jpg</v>
      </c>
      <c r="AE5453" s="249" t="str">
        <f>HYPERLINK("https://scontent.cdninstagram.com/t51.2885-19/s150x150/17881781_1300706280016896_6802267846471581696_a.jpg")</f>
        <v>https://scontent.cdninstagram.com/t51.2885-19/s150x150/17881781_1300706280016896_6802267846471581696_a.jpg</v>
      </c>
    </row>
    <row r="5454" spans="1:31" ht="15" x14ac:dyDescent="0.25">
      <c r="A5454" t="s">
        <v>2474</v>
      </c>
      <c r="B5454" t="s">
        <v>28497</v>
      </c>
      <c r="C5454" s="221">
        <v>42986.419687499998</v>
      </c>
      <c r="D5454" t="s">
        <v>28504</v>
      </c>
      <c r="E5454" s="249" t="str">
        <f>HYPERLINK("https://www.instagram.com/p/BYyGBXPALlI/")</f>
        <v>https://www.instagram.com/p/BYyGBXPALlI/</v>
      </c>
      <c r="F5454" t="s">
        <v>28505</v>
      </c>
      <c r="G5454" t="s">
        <v>2478</v>
      </c>
      <c r="H5454">
        <v>40</v>
      </c>
      <c r="I5454" t="s">
        <v>2479</v>
      </c>
      <c r="J5454">
        <v>0</v>
      </c>
      <c r="K5454">
        <v>10</v>
      </c>
      <c r="L5454">
        <v>10</v>
      </c>
      <c r="Q5454">
        <v>0</v>
      </c>
      <c r="R5454">
        <v>0</v>
      </c>
      <c r="S5454">
        <v>10</v>
      </c>
      <c r="T5454" t="s">
        <v>28506</v>
      </c>
      <c r="W5454">
        <v>64.830555555556003</v>
      </c>
      <c r="X5454">
        <v>-17.986666666666999</v>
      </c>
      <c r="Y5454" t="s">
        <v>9483</v>
      </c>
      <c r="Z5454" t="s">
        <v>28507</v>
      </c>
      <c r="AA5454" t="s">
        <v>2497</v>
      </c>
      <c r="AB5454" t="s">
        <v>28503</v>
      </c>
      <c r="AC5454" t="s">
        <v>19306</v>
      </c>
      <c r="AD5454" s="249" t="str">
        <f>HYPERLINK("https://scontent.cdninstagram.com/t51.2885-15/s320x320/e35/21373378_269007016927608_1987600312130600960_n.jpg")</f>
        <v>https://scontent.cdninstagram.com/t51.2885-15/s320x320/e35/21373378_269007016927608_1987600312130600960_n.jpg</v>
      </c>
      <c r="AE5454" s="249" t="str">
        <f>HYPERLINK("https://scontent.cdninstagram.com/t51.2885-19/s150x150/17881781_1300706280016896_6802267846471581696_a.jpg")</f>
        <v>https://scontent.cdninstagram.com/t51.2885-19/s150x150/17881781_1300706280016896_6802267846471581696_a.jpg</v>
      </c>
    </row>
    <row r="5455" spans="1:31" ht="15" x14ac:dyDescent="0.25">
      <c r="A5455" t="s">
        <v>2474</v>
      </c>
      <c r="B5455" t="s">
        <v>28508</v>
      </c>
      <c r="C5455" s="221">
        <v>42986.424618055556</v>
      </c>
      <c r="D5455" t="s">
        <v>28509</v>
      </c>
      <c r="E5455" s="249" t="str">
        <f>HYPERLINK("https://www.instagram.com/p/BYyG1bMjCkY/")</f>
        <v>https://www.instagram.com/p/BYyG1bMjCkY/</v>
      </c>
      <c r="F5455" t="s">
        <v>28510</v>
      </c>
      <c r="G5455" t="s">
        <v>2478</v>
      </c>
      <c r="H5455">
        <v>27</v>
      </c>
      <c r="I5455" t="s">
        <v>2479</v>
      </c>
      <c r="J5455">
        <v>0</v>
      </c>
      <c r="K5455">
        <v>0</v>
      </c>
      <c r="L5455">
        <v>0</v>
      </c>
      <c r="Q5455">
        <v>0</v>
      </c>
      <c r="R5455">
        <v>0</v>
      </c>
      <c r="S5455">
        <v>0</v>
      </c>
      <c r="Y5455" t="s">
        <v>28511</v>
      </c>
      <c r="Z5455" t="s">
        <v>16226</v>
      </c>
      <c r="AA5455" t="s">
        <v>2497</v>
      </c>
      <c r="AD5455" s="249" t="str">
        <f>HYPERLINK("https://scontent.cdninstagram.com/t51.2885-15/s320x320/e35/21435406_173823073191666_2918161494283649024_n.jpg")</f>
        <v>https://scontent.cdninstagram.com/t51.2885-15/s320x320/e35/21435406_173823073191666_2918161494283649024_n.jpg</v>
      </c>
      <c r="AE5455" s="249" t="str">
        <f>HYPERLINK("https://scontent.cdninstagram.com/t51.2885-19/s150x150/20633491_865374743638537_3784631911725400064_a.jpg")</f>
        <v>https://scontent.cdninstagram.com/t51.2885-19/s150x150/20633491_865374743638537_3784631911725400064_a.jpg</v>
      </c>
    </row>
    <row r="5456" spans="1:31" ht="15" x14ac:dyDescent="0.25">
      <c r="A5456" t="s">
        <v>2474</v>
      </c>
      <c r="B5456" t="s">
        <v>27606</v>
      </c>
      <c r="C5456" s="221">
        <v>42986.427986111114</v>
      </c>
      <c r="D5456" t="s">
        <v>28512</v>
      </c>
      <c r="E5456" s="249" t="str">
        <f>HYPERLINK("https://www.instagram.com/p/BYyHY9mlc4j/")</f>
        <v>https://www.instagram.com/p/BYyHY9mlc4j/</v>
      </c>
      <c r="F5456" t="s">
        <v>27862</v>
      </c>
      <c r="G5456" t="s">
        <v>2478</v>
      </c>
      <c r="H5456">
        <v>402</v>
      </c>
      <c r="I5456" t="s">
        <v>2479</v>
      </c>
      <c r="J5456">
        <v>8</v>
      </c>
      <c r="K5456">
        <v>40</v>
      </c>
      <c r="L5456">
        <v>48</v>
      </c>
      <c r="Q5456">
        <v>0</v>
      </c>
      <c r="R5456">
        <v>0</v>
      </c>
      <c r="S5456">
        <v>48</v>
      </c>
      <c r="T5456" t="s">
        <v>15222</v>
      </c>
      <c r="V5456" t="s">
        <v>2222</v>
      </c>
      <c r="W5456">
        <v>53.223239900000003</v>
      </c>
      <c r="X5456">
        <v>6.5666099999999998</v>
      </c>
      <c r="AD5456" s="249" t="str">
        <f>HYPERLINK("https://scontent.cdninstagram.com/t51.2885-15/s320x320/e35/21433474_1487881074844806_2983972560900718592_n.jpg")</f>
        <v>https://scontent.cdninstagram.com/t51.2885-15/s320x320/e35/21433474_1487881074844806_2983972560900718592_n.jpg</v>
      </c>
      <c r="AE5456" s="249" t="str">
        <f>HYPERLINK("https://scontent.cdninstagram.com/t51.2885-19/s150x150/21435558_170980570127211_7017384259904077824_a.jpg")</f>
        <v>https://scontent.cdninstagram.com/t51.2885-19/s150x150/21435558_170980570127211_7017384259904077824_a.jpg</v>
      </c>
    </row>
    <row r="5457" spans="1:31" ht="15" x14ac:dyDescent="0.25">
      <c r="A5457" t="s">
        <v>2474</v>
      </c>
      <c r="B5457" t="s">
        <v>27606</v>
      </c>
      <c r="C5457" s="221">
        <v>42986.432303240741</v>
      </c>
      <c r="D5457" t="s">
        <v>28513</v>
      </c>
      <c r="E5457" s="249" t="str">
        <f>HYPERLINK("https://www.instagram.com/p/BYyIGZPFqFO/")</f>
        <v>https://www.instagram.com/p/BYyIGZPFqFO/</v>
      </c>
      <c r="F5457" t="s">
        <v>27862</v>
      </c>
      <c r="G5457" t="s">
        <v>2478</v>
      </c>
      <c r="H5457">
        <v>402</v>
      </c>
      <c r="I5457" t="s">
        <v>2479</v>
      </c>
      <c r="J5457">
        <v>4</v>
      </c>
      <c r="K5457">
        <v>40</v>
      </c>
      <c r="L5457">
        <v>44</v>
      </c>
      <c r="Q5457">
        <v>0</v>
      </c>
      <c r="R5457">
        <v>0</v>
      </c>
      <c r="S5457">
        <v>44</v>
      </c>
      <c r="T5457" t="s">
        <v>15222</v>
      </c>
      <c r="V5457" t="s">
        <v>2222</v>
      </c>
      <c r="W5457">
        <v>53.223239900000003</v>
      </c>
      <c r="X5457">
        <v>6.5666099999999998</v>
      </c>
      <c r="Y5457" t="s">
        <v>5943</v>
      </c>
      <c r="Z5457" t="s">
        <v>27610</v>
      </c>
      <c r="AA5457" t="s">
        <v>23191</v>
      </c>
      <c r="AB5457" t="s">
        <v>28514</v>
      </c>
      <c r="AC5457" t="s">
        <v>2940</v>
      </c>
      <c r="AD5457" s="249" t="str">
        <f>HYPERLINK("https://scontent.cdninstagram.com/t51.2885-15/s320x320/e35/21436082_1384466481651262_2251559359941181440_n.jpg")</f>
        <v>https://scontent.cdninstagram.com/t51.2885-15/s320x320/e35/21436082_1384466481651262_2251559359941181440_n.jpg</v>
      </c>
      <c r="AE5457" s="249" t="str">
        <f>HYPERLINK("https://scontent.cdninstagram.com/t51.2885-19/s150x150/21435558_170980570127211_7017384259904077824_a.jpg")</f>
        <v>https://scontent.cdninstagram.com/t51.2885-19/s150x150/21435558_170980570127211_7017384259904077824_a.jpg</v>
      </c>
    </row>
    <row r="5458" spans="1:31" ht="15" x14ac:dyDescent="0.25">
      <c r="A5458" t="s">
        <v>2474</v>
      </c>
      <c r="B5458" t="s">
        <v>27606</v>
      </c>
      <c r="C5458" s="221">
        <v>42986.433553240742</v>
      </c>
      <c r="D5458" t="s">
        <v>28515</v>
      </c>
      <c r="E5458" s="249" t="str">
        <f>HYPERLINK("https://www.instagram.com/p/BYyITp1llAc/")</f>
        <v>https://www.instagram.com/p/BYyITp1llAc/</v>
      </c>
      <c r="F5458" t="s">
        <v>27862</v>
      </c>
      <c r="G5458" t="s">
        <v>2478</v>
      </c>
      <c r="H5458">
        <v>403</v>
      </c>
      <c r="I5458" t="s">
        <v>2479</v>
      </c>
      <c r="J5458">
        <v>9</v>
      </c>
      <c r="K5458">
        <v>65</v>
      </c>
      <c r="L5458">
        <v>74</v>
      </c>
      <c r="Q5458">
        <v>0</v>
      </c>
      <c r="R5458">
        <v>0</v>
      </c>
      <c r="S5458">
        <v>74</v>
      </c>
      <c r="T5458" t="s">
        <v>15222</v>
      </c>
      <c r="V5458" t="s">
        <v>2222</v>
      </c>
      <c r="W5458">
        <v>53.223239900000003</v>
      </c>
      <c r="X5458">
        <v>6.5666099999999998</v>
      </c>
      <c r="AD5458" s="249" t="str">
        <f>HYPERLINK("https://scontent.cdninstagram.com/t51.2885-15/s320x320/e35/21372923_1456799467709328_652442026599514112_n.jpg")</f>
        <v>https://scontent.cdninstagram.com/t51.2885-15/s320x320/e35/21372923_1456799467709328_652442026599514112_n.jpg</v>
      </c>
      <c r="AE5458" s="249" t="str">
        <f>HYPERLINK("https://scontent.cdninstagram.com/t51.2885-19/s150x150/21435558_170980570127211_7017384259904077824_a.jpg")</f>
        <v>https://scontent.cdninstagram.com/t51.2885-19/s150x150/21435558_170980570127211_7017384259904077824_a.jpg</v>
      </c>
    </row>
    <row r="5459" spans="1:31" ht="15" x14ac:dyDescent="0.25">
      <c r="A5459" t="s">
        <v>2474</v>
      </c>
      <c r="B5459" t="s">
        <v>28516</v>
      </c>
      <c r="C5459" s="221">
        <v>42986.435636574075</v>
      </c>
      <c r="D5459" t="s">
        <v>28517</v>
      </c>
      <c r="E5459" s="249" t="str">
        <f>HYPERLINK("https://www.instagram.com/p/BYyIppUnZfs/")</f>
        <v>https://www.instagram.com/p/BYyIppUnZfs/</v>
      </c>
      <c r="F5459" t="s">
        <v>28518</v>
      </c>
      <c r="G5459" t="s">
        <v>2478</v>
      </c>
      <c r="H5459">
        <v>219</v>
      </c>
      <c r="I5459" t="s">
        <v>3575</v>
      </c>
      <c r="J5459">
        <v>5</v>
      </c>
      <c r="K5459">
        <v>70</v>
      </c>
      <c r="L5459">
        <v>75</v>
      </c>
      <c r="Q5459">
        <v>0</v>
      </c>
      <c r="R5459">
        <v>0</v>
      </c>
      <c r="S5459">
        <v>75</v>
      </c>
      <c r="Y5459" t="s">
        <v>28519</v>
      </c>
      <c r="Z5459" t="s">
        <v>10005</v>
      </c>
      <c r="AA5459" t="s">
        <v>4988</v>
      </c>
      <c r="AB5459" t="s">
        <v>12732</v>
      </c>
      <c r="AC5459" t="s">
        <v>22427</v>
      </c>
      <c r="AD5459" s="249" t="str">
        <f>HYPERLINK("https://scontent.cdninstagram.com/t51.2885-15/s320x320/e35/21434022_796221797223551_4282438743253581824_n.jpg")</f>
        <v>https://scontent.cdninstagram.com/t51.2885-15/s320x320/e35/21434022_796221797223551_4282438743253581824_n.jpg</v>
      </c>
      <c r="AE5459" s="249" t="str">
        <f>HYPERLINK("https://scontent.cdninstagram.com/t51.2885-19/s150x150/20478484_331304107315126_482126756334010368_a.jpg")</f>
        <v>https://scontent.cdninstagram.com/t51.2885-19/s150x150/20478484_331304107315126_482126756334010368_a.jpg</v>
      </c>
    </row>
    <row r="5460" spans="1:31" ht="15" x14ac:dyDescent="0.25">
      <c r="A5460" t="s">
        <v>2474</v>
      </c>
      <c r="B5460" t="s">
        <v>28520</v>
      </c>
      <c r="C5460" s="221">
        <v>42986.441793981481</v>
      </c>
      <c r="D5460" t="s">
        <v>28521</v>
      </c>
      <c r="E5460" s="249" t="str">
        <f>HYPERLINK("https://www.instagram.com/p/BYyJqhXFqMT/")</f>
        <v>https://www.instagram.com/p/BYyJqhXFqMT/</v>
      </c>
      <c r="F5460" t="s">
        <v>28522</v>
      </c>
      <c r="G5460" t="s">
        <v>2478</v>
      </c>
      <c r="H5460">
        <v>760</v>
      </c>
      <c r="I5460" t="s">
        <v>3186</v>
      </c>
      <c r="J5460">
        <v>1</v>
      </c>
      <c r="K5460">
        <v>79</v>
      </c>
      <c r="L5460">
        <v>80</v>
      </c>
      <c r="Q5460">
        <v>0</v>
      </c>
      <c r="R5460">
        <v>0</v>
      </c>
      <c r="S5460">
        <v>80</v>
      </c>
      <c r="Y5460" t="s">
        <v>28523</v>
      </c>
      <c r="Z5460" t="s">
        <v>28524</v>
      </c>
      <c r="AA5460" t="s">
        <v>9090</v>
      </c>
      <c r="AB5460" t="s">
        <v>9091</v>
      </c>
      <c r="AC5460" t="s">
        <v>28525</v>
      </c>
      <c r="AD5460" s="249" t="str">
        <f>HYPERLINK("https://scontent.cdninstagram.com/t51.2885-15/e35/p320x320/21480019_141466289792361_7635301303563845632_n.jpg")</f>
        <v>https://scontent.cdninstagram.com/t51.2885-15/e35/p320x320/21480019_141466289792361_7635301303563845632_n.jpg</v>
      </c>
      <c r="AE5460" s="249" t="str">
        <f>HYPERLINK("https://scontent.cdninstagram.com/t51.2885-19/s150x150/19428842_2032121410342359_965412775880818688_a.jpg")</f>
        <v>https://scontent.cdninstagram.com/t51.2885-19/s150x150/19428842_2032121410342359_965412775880818688_a.jpg</v>
      </c>
    </row>
    <row r="5461" spans="1:31" ht="15" x14ac:dyDescent="0.25">
      <c r="A5461" t="s">
        <v>2474</v>
      </c>
      <c r="B5461" t="s">
        <v>28526</v>
      </c>
      <c r="C5461" s="221">
        <v>42986.444108796299</v>
      </c>
      <c r="D5461" t="s">
        <v>28527</v>
      </c>
      <c r="E5461" s="249" t="str">
        <f>HYPERLINK("https://www.instagram.com/p/BYyKDAVhsE_/")</f>
        <v>https://www.instagram.com/p/BYyKDAVhsE_/</v>
      </c>
      <c r="F5461" t="s">
        <v>28528</v>
      </c>
      <c r="G5461" t="s">
        <v>2478</v>
      </c>
      <c r="H5461">
        <v>324</v>
      </c>
      <c r="I5461" t="s">
        <v>2542</v>
      </c>
      <c r="J5461">
        <v>0</v>
      </c>
      <c r="K5461">
        <v>7</v>
      </c>
      <c r="L5461">
        <v>7</v>
      </c>
      <c r="Q5461">
        <v>0</v>
      </c>
      <c r="R5461">
        <v>0</v>
      </c>
      <c r="S5461">
        <v>7</v>
      </c>
      <c r="Y5461" t="s">
        <v>28529</v>
      </c>
      <c r="Z5461" t="s">
        <v>2497</v>
      </c>
      <c r="AD5461" s="249" t="str">
        <f>HYPERLINK("https://scontent.cdninstagram.com/t51.2885-15/e35/p320x320/21436208_293725097702104_6618025431784226816_n.jpg")</f>
        <v>https://scontent.cdninstagram.com/t51.2885-15/e35/p320x320/21436208_293725097702104_6618025431784226816_n.jpg</v>
      </c>
      <c r="AE5461" s="249" t="str">
        <f>HYPERLINK("https://scontent.cdninstagram.com/t51.2885-19/s150x150/14718355_1072770526172666_3077268282886062080_a.jpg")</f>
        <v>https://scontent.cdninstagram.com/t51.2885-19/s150x150/14718355_1072770526172666_3077268282886062080_a.jpg</v>
      </c>
    </row>
    <row r="5462" spans="1:31" ht="15" x14ac:dyDescent="0.25">
      <c r="A5462" t="s">
        <v>2474</v>
      </c>
      <c r="B5462" t="s">
        <v>27575</v>
      </c>
      <c r="C5462" s="221">
        <v>42986.459513888891</v>
      </c>
      <c r="D5462" t="s">
        <v>28530</v>
      </c>
      <c r="E5462" s="249" t="str">
        <f>HYPERLINK("https://www.instagram.com/p/BYyMlbCBnOY/")</f>
        <v>https://www.instagram.com/p/BYyMlbCBnOY/</v>
      </c>
      <c r="F5462" t="s">
        <v>28531</v>
      </c>
      <c r="G5462" t="s">
        <v>2478</v>
      </c>
      <c r="H5462">
        <v>6</v>
      </c>
      <c r="I5462" t="s">
        <v>3186</v>
      </c>
      <c r="J5462">
        <v>0</v>
      </c>
      <c r="K5462">
        <v>3</v>
      </c>
      <c r="L5462">
        <v>3</v>
      </c>
      <c r="Q5462">
        <v>0</v>
      </c>
      <c r="R5462">
        <v>0</v>
      </c>
      <c r="S5462">
        <v>3</v>
      </c>
      <c r="Y5462" t="s">
        <v>3197</v>
      </c>
      <c r="Z5462" t="s">
        <v>28532</v>
      </c>
      <c r="AA5462" t="s">
        <v>7098</v>
      </c>
      <c r="AB5462" t="s">
        <v>2497</v>
      </c>
      <c r="AC5462" t="s">
        <v>27575</v>
      </c>
      <c r="AD5462" s="249" t="str">
        <f>HYPERLINK("https://scontent.cdninstagram.com/t51.2885-15/s320x320/e35/21433696_120438411951111_7849081733059182592_n.jpg")</f>
        <v>https://scontent.cdninstagram.com/t51.2885-15/s320x320/e35/21433696_120438411951111_7849081733059182592_n.jpg</v>
      </c>
      <c r="AE5462" s="249" t="str">
        <f>HYPERLINK("https://scontent.cdninstagram.com/t51.2885-19/s150x150/18161043_274002359736958_1422354247718010880_a.jpg")</f>
        <v>https://scontent.cdninstagram.com/t51.2885-19/s150x150/18161043_274002359736958_1422354247718010880_a.jpg</v>
      </c>
    </row>
    <row r="5463" spans="1:31" ht="15" x14ac:dyDescent="0.25">
      <c r="A5463" t="s">
        <v>2474</v>
      </c>
      <c r="B5463" t="s">
        <v>28533</v>
      </c>
      <c r="C5463" s="221">
        <v>42986.460729166669</v>
      </c>
      <c r="D5463" t="s">
        <v>28534</v>
      </c>
      <c r="E5463" s="249" t="str">
        <f>HYPERLINK("https://www.instagram.com/p/BYyMyQMlk8v/")</f>
        <v>https://www.instagram.com/p/BYyMyQMlk8v/</v>
      </c>
      <c r="F5463" t="s">
        <v>28535</v>
      </c>
      <c r="G5463" t="s">
        <v>2478</v>
      </c>
      <c r="H5463">
        <v>139</v>
      </c>
      <c r="I5463" t="s">
        <v>2542</v>
      </c>
      <c r="J5463">
        <v>0</v>
      </c>
      <c r="K5463">
        <v>8</v>
      </c>
      <c r="L5463">
        <v>8</v>
      </c>
      <c r="Q5463">
        <v>0</v>
      </c>
      <c r="R5463">
        <v>0</v>
      </c>
      <c r="S5463">
        <v>8</v>
      </c>
      <c r="T5463" t="s">
        <v>28536</v>
      </c>
      <c r="V5463" t="s">
        <v>2222</v>
      </c>
      <c r="W5463">
        <v>51.815495684056998</v>
      </c>
      <c r="X5463">
        <v>4.6802778287017004</v>
      </c>
      <c r="Y5463" t="s">
        <v>28537</v>
      </c>
      <c r="Z5463" t="s">
        <v>28538</v>
      </c>
      <c r="AA5463" t="s">
        <v>2497</v>
      </c>
      <c r="AD5463" s="249" t="str">
        <f>HYPERLINK("https://scontent.cdninstagram.com/t51.2885-15/s320x320/e35/21373813_1419999518115082_710902651826470912_n.jpg")</f>
        <v>https://scontent.cdninstagram.com/t51.2885-15/s320x320/e35/21373813_1419999518115082_710902651826470912_n.jpg</v>
      </c>
      <c r="AE5463" s="249" t="str">
        <f>HYPERLINK("https://scontent.cdninstagram.com/t51.2885-19/s150x150/13266646_851744098264454_403634055_a.jpg")</f>
        <v>https://scontent.cdninstagram.com/t51.2885-19/s150x150/13266646_851744098264454_403634055_a.jpg</v>
      </c>
    </row>
    <row r="5464" spans="1:31" ht="15" x14ac:dyDescent="0.25">
      <c r="A5464" t="s">
        <v>2474</v>
      </c>
      <c r="B5464" t="s">
        <v>28539</v>
      </c>
      <c r="C5464" s="221">
        <v>42986.461319444446</v>
      </c>
      <c r="D5464" t="s">
        <v>28540</v>
      </c>
      <c r="E5464" s="249" t="str">
        <f>HYPERLINK("https://www.instagram.com/p/BYyM4dnl-1l/")</f>
        <v>https://www.instagram.com/p/BYyM4dnl-1l/</v>
      </c>
      <c r="F5464" t="s">
        <v>28541</v>
      </c>
      <c r="G5464" t="s">
        <v>2478</v>
      </c>
      <c r="H5464">
        <v>24</v>
      </c>
      <c r="I5464" t="s">
        <v>2542</v>
      </c>
      <c r="J5464">
        <v>2</v>
      </c>
      <c r="K5464">
        <v>97</v>
      </c>
      <c r="L5464">
        <v>99</v>
      </c>
      <c r="Q5464">
        <v>0</v>
      </c>
      <c r="R5464">
        <v>0</v>
      </c>
      <c r="S5464">
        <v>99</v>
      </c>
      <c r="Y5464" t="s">
        <v>2513</v>
      </c>
      <c r="Z5464" t="s">
        <v>28539</v>
      </c>
      <c r="AA5464" t="s">
        <v>12697</v>
      </c>
      <c r="AB5464" t="s">
        <v>2497</v>
      </c>
      <c r="AC5464" t="s">
        <v>28542</v>
      </c>
      <c r="AD5464" s="249" t="str">
        <f>HYPERLINK("https://scontent.cdninstagram.com/t51.2885-15/s320x320/e35/21569090_115356175805421_6920616718284881920_n.jpg")</f>
        <v>https://scontent.cdninstagram.com/t51.2885-15/s320x320/e35/21569090_115356175805421_6920616718284881920_n.jpg</v>
      </c>
      <c r="AE5464" s="249" t="str">
        <f>HYPERLINK("https://scontent.cdninstagram.com/t51.2885-19/s150x150/21149366_270852870084829_5061401482666967040_a.jpg")</f>
        <v>https://scontent.cdninstagram.com/t51.2885-19/s150x150/21149366_270852870084829_5061401482666967040_a.jpg</v>
      </c>
    </row>
    <row r="5465" spans="1:31" ht="15" x14ac:dyDescent="0.25">
      <c r="A5465" t="s">
        <v>2474</v>
      </c>
      <c r="B5465" t="s">
        <v>28543</v>
      </c>
      <c r="C5465" s="221">
        <v>42986.462523148148</v>
      </c>
      <c r="D5465" t="s">
        <v>28544</v>
      </c>
      <c r="E5465" s="249" t="str">
        <f>HYPERLINK("https://www.instagram.com/p/BYyNFJBDw5u/")</f>
        <v>https://www.instagram.com/p/BYyNFJBDw5u/</v>
      </c>
      <c r="F5465" t="s">
        <v>28545</v>
      </c>
      <c r="G5465" t="s">
        <v>2478</v>
      </c>
      <c r="H5465">
        <v>185</v>
      </c>
      <c r="I5465" t="s">
        <v>2479</v>
      </c>
      <c r="J5465">
        <v>0</v>
      </c>
      <c r="K5465">
        <v>21</v>
      </c>
      <c r="L5465">
        <v>21</v>
      </c>
      <c r="Q5465">
        <v>0</v>
      </c>
      <c r="R5465">
        <v>0</v>
      </c>
      <c r="S5465">
        <v>21</v>
      </c>
      <c r="Y5465" t="s">
        <v>28546</v>
      </c>
      <c r="Z5465" t="s">
        <v>28547</v>
      </c>
      <c r="AA5465" t="s">
        <v>2949</v>
      </c>
      <c r="AB5465" t="s">
        <v>2497</v>
      </c>
      <c r="AC5465" t="s">
        <v>28548</v>
      </c>
      <c r="AD5465" s="249" t="str">
        <f>HYPERLINK("https://scontent.cdninstagram.com/t51.2885-15/s320x320/e35/21433802_116207585745753_6055174932625620992_n.jpg")</f>
        <v>https://scontent.cdninstagram.com/t51.2885-15/s320x320/e35/21433802_116207585745753_6055174932625620992_n.jpg</v>
      </c>
      <c r="AE5465" s="249" t="str">
        <f>HYPERLINK("https://scontent.cdninstagram.com/t51.2885-19/s150x150/21373632_149874268936228_6466892447535333376_a.jpg")</f>
        <v>https://scontent.cdninstagram.com/t51.2885-19/s150x150/21373632_149874268936228_6466892447535333376_a.jpg</v>
      </c>
    </row>
    <row r="5466" spans="1:31" ht="15" x14ac:dyDescent="0.25">
      <c r="A5466" t="s">
        <v>2474</v>
      </c>
      <c r="B5466" t="s">
        <v>28549</v>
      </c>
      <c r="C5466" s="221">
        <v>42986.478842592594</v>
      </c>
      <c r="D5466" t="s">
        <v>28550</v>
      </c>
      <c r="E5466" s="249" t="str">
        <f>HYPERLINK("https://www.instagram.com/p/BYyPxSiBJT9/")</f>
        <v>https://www.instagram.com/p/BYyPxSiBJT9/</v>
      </c>
      <c r="F5466" t="s">
        <v>28551</v>
      </c>
      <c r="G5466" t="s">
        <v>2478</v>
      </c>
      <c r="H5466">
        <v>568</v>
      </c>
      <c r="I5466" t="s">
        <v>2479</v>
      </c>
      <c r="J5466">
        <v>0</v>
      </c>
      <c r="K5466">
        <v>40</v>
      </c>
      <c r="L5466">
        <v>40</v>
      </c>
      <c r="Q5466">
        <v>0</v>
      </c>
      <c r="R5466">
        <v>0</v>
      </c>
      <c r="S5466">
        <v>40</v>
      </c>
      <c r="Y5466" t="s">
        <v>28552</v>
      </c>
      <c r="Z5466" t="s">
        <v>28553</v>
      </c>
      <c r="AA5466" t="s">
        <v>8753</v>
      </c>
      <c r="AB5466" t="s">
        <v>2651</v>
      </c>
      <c r="AC5466" t="s">
        <v>2730</v>
      </c>
      <c r="AD5466" s="249" t="str">
        <f>HYPERLINK("https://scontent.cdninstagram.com/t51.2885-15/s320x320/e35/21479887_127180284593018_6490353332727578624_n.jpg")</f>
        <v>https://scontent.cdninstagram.com/t51.2885-15/s320x320/e35/21479887_127180284593018_6490353332727578624_n.jpg</v>
      </c>
      <c r="AE5466" s="249" t="str">
        <f>HYPERLINK("https://scontent.cdninstagram.com/t51.2885-19/s150x150/21042307_507837499560926_4717793473237876736_a.jpg")</f>
        <v>https://scontent.cdninstagram.com/t51.2885-19/s150x150/21042307_507837499560926_4717793473237876736_a.jpg</v>
      </c>
    </row>
    <row r="5467" spans="1:31" ht="15" x14ac:dyDescent="0.25">
      <c r="A5467" t="s">
        <v>2474</v>
      </c>
      <c r="B5467" t="s">
        <v>25227</v>
      </c>
      <c r="C5467" s="221">
        <v>42986.499351851853</v>
      </c>
      <c r="D5467" t="s">
        <v>28554</v>
      </c>
      <c r="E5467" s="249" t="str">
        <f>HYPERLINK("https://www.instagram.com/p/BYyTJovnwDD/")</f>
        <v>https://www.instagram.com/p/BYyTJovnwDD/</v>
      </c>
      <c r="F5467" t="s">
        <v>28555</v>
      </c>
      <c r="G5467" t="s">
        <v>2478</v>
      </c>
      <c r="H5467">
        <v>3916</v>
      </c>
      <c r="I5467" t="s">
        <v>2479</v>
      </c>
      <c r="J5467">
        <v>0</v>
      </c>
      <c r="K5467">
        <v>103</v>
      </c>
      <c r="L5467">
        <v>103</v>
      </c>
      <c r="Q5467">
        <v>0</v>
      </c>
      <c r="R5467">
        <v>0</v>
      </c>
      <c r="S5467">
        <v>103</v>
      </c>
      <c r="Y5467" t="s">
        <v>17226</v>
      </c>
      <c r="Z5467" t="s">
        <v>21530</v>
      </c>
      <c r="AA5467" t="s">
        <v>6825</v>
      </c>
      <c r="AB5467" t="s">
        <v>19285</v>
      </c>
      <c r="AC5467" t="s">
        <v>28556</v>
      </c>
      <c r="AD5467" s="249" t="str">
        <f>HYPERLINK("https://scontent.cdninstagram.com/t51.2885-15/s320x320/e35/21436170_459758267738783_4382925138140594176_n.jpg")</f>
        <v>https://scontent.cdninstagram.com/t51.2885-15/s320x320/e35/21436170_459758267738783_4382925138140594176_n.jpg</v>
      </c>
      <c r="AE5467" s="249" t="str">
        <f>HYPERLINK("https://scontent.cdninstagram.com/t51.2885-19/s150x150/20479008_1909621269292870_1861366262613934080_a.jpg")</f>
        <v>https://scontent.cdninstagram.com/t51.2885-19/s150x150/20479008_1909621269292870_1861366262613934080_a.jpg</v>
      </c>
    </row>
    <row r="5468" spans="1:31" ht="15" x14ac:dyDescent="0.25">
      <c r="A5468" t="s">
        <v>2474</v>
      </c>
      <c r="B5468" t="s">
        <v>25232</v>
      </c>
      <c r="C5468" s="221">
        <v>42986.499374999999</v>
      </c>
      <c r="D5468" t="s">
        <v>28557</v>
      </c>
      <c r="E5468" s="249" t="str">
        <f>HYPERLINK("https://www.instagram.com/p/BYyTJ2vn4BW/")</f>
        <v>https://www.instagram.com/p/BYyTJ2vn4BW/</v>
      </c>
      <c r="F5468" t="s">
        <v>28555</v>
      </c>
      <c r="G5468" t="s">
        <v>2478</v>
      </c>
      <c r="H5468">
        <v>2791</v>
      </c>
      <c r="I5468" t="s">
        <v>2479</v>
      </c>
      <c r="J5468">
        <v>31</v>
      </c>
      <c r="K5468">
        <v>1322</v>
      </c>
      <c r="L5468">
        <v>1353</v>
      </c>
      <c r="Q5468">
        <v>0</v>
      </c>
      <c r="R5468">
        <v>0</v>
      </c>
      <c r="S5468">
        <v>1353</v>
      </c>
      <c r="Y5468" t="s">
        <v>17226</v>
      </c>
      <c r="Z5468" t="s">
        <v>21530</v>
      </c>
      <c r="AA5468" t="s">
        <v>6825</v>
      </c>
      <c r="AB5468" t="s">
        <v>19285</v>
      </c>
      <c r="AC5468" t="s">
        <v>28556</v>
      </c>
      <c r="AD5468" s="249" t="str">
        <f>HYPERLINK("https://scontent.cdninstagram.com/t51.2885-15/s320x320/e35/21480486_502177626812404_5313257020579643392_n.jpg")</f>
        <v>https://scontent.cdninstagram.com/t51.2885-15/s320x320/e35/21480486_502177626812404_5313257020579643392_n.jpg</v>
      </c>
      <c r="AE5468" s="249" t="str">
        <f>HYPERLINK("https://scontent.cdninstagram.com/t51.2885-19/s150x150/20393543_1934212136849681_3649587423995756544_a.jpg")</f>
        <v>https://scontent.cdninstagram.com/t51.2885-19/s150x150/20393543_1934212136849681_3649587423995756544_a.jpg</v>
      </c>
    </row>
    <row r="5469" spans="1:31" ht="15" x14ac:dyDescent="0.25">
      <c r="A5469" t="s">
        <v>2474</v>
      </c>
      <c r="B5469" t="s">
        <v>19308</v>
      </c>
      <c r="C5469" s="221">
        <v>42986.500127314815</v>
      </c>
      <c r="D5469" t="s">
        <v>28558</v>
      </c>
      <c r="E5469" s="249" t="str">
        <f>HYPERLINK("https://www.instagram.com/p/BYyTR07n2Dg/")</f>
        <v>https://www.instagram.com/p/BYyTR07n2Dg/</v>
      </c>
      <c r="F5469" t="s">
        <v>28559</v>
      </c>
      <c r="G5469" t="s">
        <v>2478</v>
      </c>
      <c r="H5469">
        <v>347</v>
      </c>
      <c r="I5469" t="s">
        <v>2479</v>
      </c>
      <c r="J5469">
        <v>8</v>
      </c>
      <c r="K5469">
        <v>102</v>
      </c>
      <c r="L5469">
        <v>110</v>
      </c>
      <c r="Q5469">
        <v>0</v>
      </c>
      <c r="R5469">
        <v>0</v>
      </c>
      <c r="S5469">
        <v>110</v>
      </c>
      <c r="Y5469" t="s">
        <v>28560</v>
      </c>
      <c r="Z5469" t="s">
        <v>2911</v>
      </c>
      <c r="AA5469" t="s">
        <v>4987</v>
      </c>
      <c r="AB5469" t="s">
        <v>10712</v>
      </c>
      <c r="AC5469" t="s">
        <v>7589</v>
      </c>
      <c r="AD5469" s="249" t="str">
        <f>HYPERLINK("https://scontent.cdninstagram.com/t51.2885-15/e35/p320x320/21373499_1644505932266097_4037854675167346688_n.jpg")</f>
        <v>https://scontent.cdninstagram.com/t51.2885-15/e35/p320x320/21373499_1644505932266097_4037854675167346688_n.jpg</v>
      </c>
      <c r="AE5469" s="249" t="str">
        <f>HYPERLINK("https://scontent.cdninstagram.com/t51.2885-19/s150x150/20226147_112026909397366_6293439329997946880_a.jpg")</f>
        <v>https://scontent.cdninstagram.com/t51.2885-19/s150x150/20226147_112026909397366_6293439329997946880_a.jpg</v>
      </c>
    </row>
    <row r="5470" spans="1:31" ht="15" x14ac:dyDescent="0.25">
      <c r="A5470" t="s">
        <v>2474</v>
      </c>
      <c r="B5470" t="s">
        <v>28561</v>
      </c>
      <c r="C5470" s="221">
        <v>42986.501087962963</v>
      </c>
      <c r="D5470" t="s">
        <v>28562</v>
      </c>
      <c r="E5470" s="249" t="str">
        <f>HYPERLINK("https://www.instagram.com/p/BYyTb3wB0W3/")</f>
        <v>https://www.instagram.com/p/BYyTb3wB0W3/</v>
      </c>
      <c r="F5470" t="s">
        <v>28563</v>
      </c>
      <c r="G5470" t="s">
        <v>2478</v>
      </c>
      <c r="H5470">
        <v>419</v>
      </c>
      <c r="I5470" t="s">
        <v>3025</v>
      </c>
      <c r="J5470">
        <v>0</v>
      </c>
      <c r="K5470">
        <v>11</v>
      </c>
      <c r="L5470">
        <v>11</v>
      </c>
      <c r="Q5470">
        <v>0</v>
      </c>
      <c r="R5470">
        <v>0</v>
      </c>
      <c r="S5470">
        <v>11</v>
      </c>
      <c r="Y5470" t="s">
        <v>4180</v>
      </c>
      <c r="Z5470" t="s">
        <v>2497</v>
      </c>
      <c r="AA5470" t="s">
        <v>20154</v>
      </c>
      <c r="AD5470" s="249" t="str">
        <f>HYPERLINK("https://scontent.cdninstagram.com/t51.2885-15/s320x320/e35/21433283_214443169090523_5035201804204244992_n.jpg")</f>
        <v>https://scontent.cdninstagram.com/t51.2885-15/s320x320/e35/21433283_214443169090523_5035201804204244992_n.jpg</v>
      </c>
      <c r="AE5470" s="249" t="str">
        <f>HYPERLINK("https://scontent.cdninstagram.com/t51.2885-19/s150x150/20583151_1956723834595737_6824399104278265856_a.jpg")</f>
        <v>https://scontent.cdninstagram.com/t51.2885-19/s150x150/20583151_1956723834595737_6824399104278265856_a.jpg</v>
      </c>
    </row>
    <row r="5471" spans="1:31" ht="15" x14ac:dyDescent="0.25">
      <c r="A5471" t="s">
        <v>2474</v>
      </c>
      <c r="B5471" t="s">
        <v>28564</v>
      </c>
      <c r="C5471" s="221">
        <v>42986.50304398148</v>
      </c>
      <c r="D5471" t="s">
        <v>28565</v>
      </c>
      <c r="E5471" s="249" t="str">
        <f>HYPERLINK("https://www.instagram.com/p/BYyTwh7F-sL/")</f>
        <v>https://www.instagram.com/p/BYyTwh7F-sL/</v>
      </c>
      <c r="F5471" t="s">
        <v>28566</v>
      </c>
      <c r="G5471" t="s">
        <v>2478</v>
      </c>
      <c r="H5471">
        <v>1411</v>
      </c>
      <c r="I5471" t="s">
        <v>2510</v>
      </c>
      <c r="J5471">
        <v>1</v>
      </c>
      <c r="K5471">
        <v>56</v>
      </c>
      <c r="L5471">
        <v>57</v>
      </c>
      <c r="Q5471">
        <v>0</v>
      </c>
      <c r="R5471">
        <v>0</v>
      </c>
      <c r="S5471">
        <v>57</v>
      </c>
      <c r="Y5471" t="s">
        <v>20035</v>
      </c>
      <c r="Z5471" t="s">
        <v>28567</v>
      </c>
      <c r="AA5471" t="s">
        <v>28568</v>
      </c>
      <c r="AB5471" t="s">
        <v>28569</v>
      </c>
      <c r="AC5471" t="s">
        <v>28570</v>
      </c>
      <c r="AD5471" s="249" t="str">
        <f>HYPERLINK("https://scontent.cdninstagram.com/t51.2885-15/e35/21568727_169198870319822_1985144544320028672_n.jpg")</f>
        <v>https://scontent.cdninstagram.com/t51.2885-15/e35/21568727_169198870319822_1985144544320028672_n.jpg</v>
      </c>
      <c r="AE5471" s="249" t="str">
        <f>HYPERLINK("https://scontent.cdninstagram.com/t51.2885-19/s150x150/11419242_508291802686006_209356860_a.jpg")</f>
        <v>https://scontent.cdninstagram.com/t51.2885-19/s150x150/11419242_508291802686006_209356860_a.jpg</v>
      </c>
    </row>
    <row r="5472" spans="1:31" ht="15" x14ac:dyDescent="0.25">
      <c r="A5472" t="s">
        <v>2474</v>
      </c>
      <c r="B5472" t="s">
        <v>27892</v>
      </c>
      <c r="C5472" s="221">
        <v>42986.508125</v>
      </c>
      <c r="D5472" t="s">
        <v>28571</v>
      </c>
      <c r="E5472" s="249" t="str">
        <f>HYPERLINK("https://www.instagram.com/p/BYyUmLQH_bC/")</f>
        <v>https://www.instagram.com/p/BYyUmLQH_bC/</v>
      </c>
      <c r="F5472" t="s">
        <v>28572</v>
      </c>
      <c r="G5472" t="s">
        <v>2631</v>
      </c>
      <c r="H5472">
        <v>1158</v>
      </c>
      <c r="I5472" t="s">
        <v>2510</v>
      </c>
      <c r="J5472">
        <v>0</v>
      </c>
      <c r="K5472">
        <v>11</v>
      </c>
      <c r="L5472">
        <v>11</v>
      </c>
      <c r="Q5472">
        <v>0</v>
      </c>
      <c r="R5472">
        <v>0</v>
      </c>
      <c r="S5472">
        <v>11</v>
      </c>
      <c r="Y5472" t="s">
        <v>7735</v>
      </c>
      <c r="Z5472" t="s">
        <v>2492</v>
      </c>
      <c r="AA5472" t="s">
        <v>27896</v>
      </c>
      <c r="AB5472" t="s">
        <v>3768</v>
      </c>
      <c r="AC5472" t="s">
        <v>28573</v>
      </c>
      <c r="AD5472" s="249" t="str">
        <f>HYPERLINK("https://scontent.cdninstagram.com/t51.2885-15/s320x320/e15/21480020_1405171166264450_6769273602761031680_n.jpg")</f>
        <v>https://scontent.cdninstagram.com/t51.2885-15/s320x320/e15/21480020_1405171166264450_6769273602761031680_n.jpg</v>
      </c>
      <c r="AE5472" s="249" t="str">
        <f>HYPERLINK("https://scontent.cdninstagram.com/t51.2885-19/s150x150/21147458_1446629965421055_7650739091062915072_a.jpg")</f>
        <v>https://scontent.cdninstagram.com/t51.2885-19/s150x150/21147458_1446629965421055_7650739091062915072_a.jpg</v>
      </c>
    </row>
    <row r="5473" spans="1:31" ht="15" x14ac:dyDescent="0.25">
      <c r="A5473" t="s">
        <v>2474</v>
      </c>
      <c r="B5473" t="s">
        <v>28574</v>
      </c>
      <c r="C5473" s="221">
        <v>42986.510439814818</v>
      </c>
      <c r="D5473" t="s">
        <v>28575</v>
      </c>
      <c r="E5473" s="249" t="str">
        <f>HYPERLINK("https://www.instagram.com/p/BYyU-fdBckd/")</f>
        <v>https://www.instagram.com/p/BYyU-fdBckd/</v>
      </c>
      <c r="F5473" t="s">
        <v>28576</v>
      </c>
      <c r="G5473" t="s">
        <v>2478</v>
      </c>
      <c r="H5473">
        <v>1128</v>
      </c>
      <c r="I5473" t="s">
        <v>2479</v>
      </c>
      <c r="J5473">
        <v>1</v>
      </c>
      <c r="K5473">
        <v>28</v>
      </c>
      <c r="L5473">
        <v>29</v>
      </c>
      <c r="Q5473">
        <v>0</v>
      </c>
      <c r="R5473">
        <v>0</v>
      </c>
      <c r="S5473">
        <v>29</v>
      </c>
      <c r="Y5473" t="s">
        <v>17248</v>
      </c>
      <c r="Z5473" t="s">
        <v>3549</v>
      </c>
      <c r="AA5473" t="s">
        <v>6977</v>
      </c>
      <c r="AB5473" t="s">
        <v>28577</v>
      </c>
      <c r="AC5473" t="s">
        <v>2821</v>
      </c>
      <c r="AD5473" s="249" t="str">
        <f>HYPERLINK("https://scontent.cdninstagram.com/t51.2885-15/s320x320/e35/21433511_1653277991414165_6702614520621170688_n.jpg")</f>
        <v>https://scontent.cdninstagram.com/t51.2885-15/s320x320/e35/21433511_1653277991414165_6702614520621170688_n.jpg</v>
      </c>
      <c r="AE5473" s="249" t="str">
        <f>HYPERLINK("https://scontent.cdninstagram.com/t51.2885-19/s150x150/21577079_363391064090484_2851460235564941312_n.jpg")</f>
        <v>https://scontent.cdninstagram.com/t51.2885-19/s150x150/21577079_363391064090484_2851460235564941312_n.jpg</v>
      </c>
    </row>
    <row r="5474" spans="1:31" ht="15" x14ac:dyDescent="0.25">
      <c r="A5474" t="s">
        <v>2474</v>
      </c>
      <c r="B5474" t="s">
        <v>12550</v>
      </c>
      <c r="C5474" s="221">
        <v>42986.510925925926</v>
      </c>
      <c r="D5474" t="s">
        <v>28578</v>
      </c>
      <c r="E5474" s="249" t="str">
        <f>HYPERLINK("https://www.instagram.com/p/BYyVDp7n-bQ/")</f>
        <v>https://www.instagram.com/p/BYyVDp7n-bQ/</v>
      </c>
      <c r="F5474" t="s">
        <v>28579</v>
      </c>
      <c r="G5474" t="s">
        <v>2478</v>
      </c>
      <c r="H5474">
        <v>915</v>
      </c>
      <c r="I5474" t="s">
        <v>2599</v>
      </c>
      <c r="J5474">
        <v>5</v>
      </c>
      <c r="K5474">
        <v>45</v>
      </c>
      <c r="L5474">
        <v>50</v>
      </c>
      <c r="Q5474">
        <v>0</v>
      </c>
      <c r="R5474">
        <v>0</v>
      </c>
      <c r="S5474">
        <v>50</v>
      </c>
      <c r="T5474" t="s">
        <v>28580</v>
      </c>
      <c r="V5474" t="s">
        <v>2182</v>
      </c>
      <c r="W5474">
        <v>45.464386685504998</v>
      </c>
      <c r="X5474">
        <v>9.1956738231246007</v>
      </c>
      <c r="Y5474" t="s">
        <v>4761</v>
      </c>
      <c r="Z5474" t="s">
        <v>12556</v>
      </c>
      <c r="AA5474" t="s">
        <v>2879</v>
      </c>
      <c r="AB5474" t="s">
        <v>28581</v>
      </c>
      <c r="AC5474" t="s">
        <v>6882</v>
      </c>
      <c r="AD5474" s="249" t="str">
        <f>HYPERLINK("https://scontent.cdninstagram.com/t51.2885-15/s320x320/e35/21373732_1363222847133369_6120780115690389504_n.jpg")</f>
        <v>https://scontent.cdninstagram.com/t51.2885-15/s320x320/e35/21373732_1363222847133369_6120780115690389504_n.jpg</v>
      </c>
      <c r="AE5474" s="249" t="str">
        <f>HYPERLINK("https://scontent.cdninstagram.com/t51.2885-19/s150x150/19534736_1894547127467294_2028662634726817792_a.jpg")</f>
        <v>https://scontent.cdninstagram.com/t51.2885-19/s150x150/19534736_1894547127467294_2028662634726817792_a.jpg</v>
      </c>
    </row>
    <row r="5475" spans="1:31" ht="15" x14ac:dyDescent="0.25">
      <c r="A5475" t="s">
        <v>2474</v>
      </c>
      <c r="B5475" t="s">
        <v>28582</v>
      </c>
      <c r="C5475" s="221">
        <v>42986.529236111113</v>
      </c>
      <c r="D5475" t="s">
        <v>28583</v>
      </c>
      <c r="E5475" s="249" t="str">
        <f>HYPERLINK("https://www.instagram.com/p/BYyYEyojQFh/")</f>
        <v>https://www.instagram.com/p/BYyYEyojQFh/</v>
      </c>
      <c r="F5475" t="s">
        <v>28584</v>
      </c>
      <c r="G5475" t="s">
        <v>2478</v>
      </c>
      <c r="H5475">
        <v>744</v>
      </c>
      <c r="I5475" t="s">
        <v>2479</v>
      </c>
      <c r="J5475">
        <v>0</v>
      </c>
      <c r="K5475">
        <v>25</v>
      </c>
      <c r="L5475">
        <v>25</v>
      </c>
      <c r="Q5475">
        <v>0</v>
      </c>
      <c r="R5475">
        <v>0</v>
      </c>
      <c r="S5475">
        <v>25</v>
      </c>
      <c r="Y5475" t="s">
        <v>28585</v>
      </c>
      <c r="Z5475" t="s">
        <v>4388</v>
      </c>
      <c r="AA5475" t="s">
        <v>13957</v>
      </c>
      <c r="AB5475" t="s">
        <v>9850</v>
      </c>
      <c r="AC5475" t="s">
        <v>2497</v>
      </c>
      <c r="AD5475" s="249" t="str">
        <f>HYPERLINK("https://scontent.cdninstagram.com/t51.2885-15/s320x320/e35/21479758_962050593934702_1704331860156350464_n.jpg")</f>
        <v>https://scontent.cdninstagram.com/t51.2885-15/s320x320/e35/21479758_962050593934702_1704331860156350464_n.jpg</v>
      </c>
      <c r="AE5475" s="249" t="str">
        <f>HYPERLINK("https://scontent.cdninstagram.com/t51.2885-19/s150x150/17267498_747222962104083_7836808529003413504_a.jpg")</f>
        <v>https://scontent.cdninstagram.com/t51.2885-19/s150x150/17267498_747222962104083_7836808529003413504_a.jpg</v>
      </c>
    </row>
    <row r="5476" spans="1:31" ht="15" x14ac:dyDescent="0.25">
      <c r="A5476" t="s">
        <v>2474</v>
      </c>
      <c r="B5476" t="s">
        <v>7844</v>
      </c>
      <c r="C5476" s="221">
        <v>42986.537581018521</v>
      </c>
      <c r="D5476" t="s">
        <v>28586</v>
      </c>
      <c r="E5476" s="249" t="str">
        <f>HYPERLINK("https://www.instagram.com/p/BYyZc1MjBAg/")</f>
        <v>https://www.instagram.com/p/BYyZc1MjBAg/</v>
      </c>
      <c r="F5476" t="s">
        <v>28587</v>
      </c>
      <c r="G5476" t="s">
        <v>2478</v>
      </c>
      <c r="H5476">
        <v>432</v>
      </c>
      <c r="I5476" t="s">
        <v>2479</v>
      </c>
      <c r="J5476">
        <v>9</v>
      </c>
      <c r="K5476">
        <v>44</v>
      </c>
      <c r="L5476">
        <v>53</v>
      </c>
      <c r="Q5476">
        <v>0</v>
      </c>
      <c r="R5476">
        <v>0</v>
      </c>
      <c r="S5476">
        <v>53</v>
      </c>
      <c r="Y5476" t="s">
        <v>7849</v>
      </c>
      <c r="Z5476" t="s">
        <v>9836</v>
      </c>
      <c r="AA5476" t="s">
        <v>4754</v>
      </c>
      <c r="AB5476" t="s">
        <v>10640</v>
      </c>
      <c r="AC5476" t="s">
        <v>3549</v>
      </c>
      <c r="AD5476" s="249" t="str">
        <f>HYPERLINK("https://scontent.cdninstagram.com/t51.2885-15/s320x320/e35/21433502_1949171745363546_8363804821563637760_n.jpg")</f>
        <v>https://scontent.cdninstagram.com/t51.2885-15/s320x320/e35/21433502_1949171745363546_8363804821563637760_n.jpg</v>
      </c>
      <c r="AE5476" s="249" t="str">
        <f>HYPERLINK("https://scontent.cdninstagram.com/t51.2885-19/s150x150/14659433_124185214720398_460441517996113920_a.jpg")</f>
        <v>https://scontent.cdninstagram.com/t51.2885-19/s150x150/14659433_124185214720398_460441517996113920_a.jpg</v>
      </c>
    </row>
    <row r="5477" spans="1:31" ht="15" x14ac:dyDescent="0.25">
      <c r="A5477" t="s">
        <v>2474</v>
      </c>
      <c r="B5477" t="s">
        <v>22518</v>
      </c>
      <c r="C5477" s="221">
        <v>42986.541817129626</v>
      </c>
      <c r="D5477" t="s">
        <v>28588</v>
      </c>
      <c r="E5477" s="249" t="str">
        <f>HYPERLINK("https://www.instagram.com/p/BYyaJcFnDPS/")</f>
        <v>https://www.instagram.com/p/BYyaJcFnDPS/</v>
      </c>
      <c r="F5477" t="s">
        <v>28589</v>
      </c>
      <c r="G5477" t="s">
        <v>2478</v>
      </c>
      <c r="H5477">
        <v>260</v>
      </c>
      <c r="I5477" t="s">
        <v>4523</v>
      </c>
      <c r="J5477">
        <v>1</v>
      </c>
      <c r="K5477">
        <v>71</v>
      </c>
      <c r="L5477">
        <v>72</v>
      </c>
      <c r="Q5477">
        <v>0</v>
      </c>
      <c r="R5477">
        <v>0</v>
      </c>
      <c r="S5477">
        <v>72</v>
      </c>
      <c r="Y5477" t="s">
        <v>3945</v>
      </c>
      <c r="Z5477" t="s">
        <v>23791</v>
      </c>
      <c r="AA5477" t="s">
        <v>22523</v>
      </c>
      <c r="AB5477" t="s">
        <v>22522</v>
      </c>
      <c r="AC5477" t="s">
        <v>9073</v>
      </c>
      <c r="AD5477" s="249" t="str">
        <f>HYPERLINK("https://scontent.cdninstagram.com/t51.2885-15/s320x320/e35/21373448_1919073931684234_7107990473368666112_n.jpg")</f>
        <v>https://scontent.cdninstagram.com/t51.2885-15/s320x320/e35/21373448_1919073931684234_7107990473368666112_n.jpg</v>
      </c>
      <c r="AE5477" s="249" t="str">
        <f>HYPERLINK("https://scontent.cdninstagram.com/t51.2885-19/s150x150/20398181_119617902007896_1623972721400479744_a.jpg")</f>
        <v>https://scontent.cdninstagram.com/t51.2885-19/s150x150/20398181_119617902007896_1623972721400479744_a.jpg</v>
      </c>
    </row>
    <row r="5478" spans="1:31" ht="15" x14ac:dyDescent="0.25">
      <c r="A5478" t="s">
        <v>2474</v>
      </c>
      <c r="B5478" t="s">
        <v>2516</v>
      </c>
      <c r="C5478" s="221">
        <v>42986.541932870372</v>
      </c>
      <c r="D5478" t="s">
        <v>28590</v>
      </c>
      <c r="E5478" s="249" t="str">
        <f>HYPERLINK("https://www.instagram.com/p/BYyaKpZj3gn/")</f>
        <v>https://www.instagram.com/p/BYyaKpZj3gn/</v>
      </c>
      <c r="F5478" t="s">
        <v>28591</v>
      </c>
      <c r="G5478" t="s">
        <v>2478</v>
      </c>
      <c r="H5478">
        <v>690</v>
      </c>
      <c r="I5478" t="s">
        <v>2479</v>
      </c>
      <c r="J5478">
        <v>0</v>
      </c>
      <c r="K5478">
        <v>11</v>
      </c>
      <c r="L5478">
        <v>11</v>
      </c>
      <c r="Q5478">
        <v>0</v>
      </c>
      <c r="R5478">
        <v>0</v>
      </c>
      <c r="S5478">
        <v>11</v>
      </c>
      <c r="Y5478" t="s">
        <v>28592</v>
      </c>
      <c r="Z5478" t="s">
        <v>6977</v>
      </c>
      <c r="AA5478" t="s">
        <v>28593</v>
      </c>
      <c r="AB5478" t="s">
        <v>3514</v>
      </c>
      <c r="AC5478" t="s">
        <v>28594</v>
      </c>
      <c r="AD5478" s="249" t="str">
        <f>HYPERLINK("https://scontent.cdninstagram.com/t51.2885-15/s320x320/e35/21434247_157860451460106_1633386920346124288_n.jpg")</f>
        <v>https://scontent.cdninstagram.com/t51.2885-15/s320x320/e35/21434247_157860451460106_1633386920346124288_n.jpg</v>
      </c>
      <c r="AE5478" s="249" t="str">
        <f>HYPERLINK("https://scontent.cdninstagram.com/t51.2885-19/s150x150/21372563_140209839921980_5104164354614362112_a.jpg")</f>
        <v>https://scontent.cdninstagram.com/t51.2885-19/s150x150/21372563_140209839921980_5104164354614362112_a.jpg</v>
      </c>
    </row>
    <row r="5479" spans="1:31" ht="15" x14ac:dyDescent="0.25">
      <c r="A5479" t="s">
        <v>2474</v>
      </c>
      <c r="B5479" t="s">
        <v>28595</v>
      </c>
      <c r="C5479" s="221">
        <v>42986.556979166664</v>
      </c>
      <c r="D5479" t="s">
        <v>28596</v>
      </c>
      <c r="E5479" s="249" t="str">
        <f>HYPERLINK("https://www.instagram.com/p/BYycpbpg9mW/")</f>
        <v>https://www.instagram.com/p/BYycpbpg9mW/</v>
      </c>
      <c r="F5479" t="s">
        <v>28597</v>
      </c>
      <c r="G5479" t="s">
        <v>2478</v>
      </c>
      <c r="H5479">
        <v>774</v>
      </c>
      <c r="I5479" t="s">
        <v>2582</v>
      </c>
      <c r="J5479">
        <v>1</v>
      </c>
      <c r="K5479">
        <v>13</v>
      </c>
      <c r="L5479">
        <v>14</v>
      </c>
      <c r="Q5479">
        <v>0</v>
      </c>
      <c r="R5479">
        <v>0</v>
      </c>
      <c r="S5479">
        <v>14</v>
      </c>
      <c r="Y5479" t="s">
        <v>2735</v>
      </c>
      <c r="Z5479" t="s">
        <v>28598</v>
      </c>
      <c r="AA5479" t="s">
        <v>2497</v>
      </c>
      <c r="AB5479" t="s">
        <v>28599</v>
      </c>
      <c r="AD5479" s="249" t="str">
        <f>HYPERLINK("https://scontent.cdninstagram.com/t51.2885-15/s320x320/e35/21479868_506604073065311_5778606573798555648_n.jpg")</f>
        <v>https://scontent.cdninstagram.com/t51.2885-15/s320x320/e35/21479868_506604073065311_5778606573798555648_n.jpg</v>
      </c>
      <c r="AE5479" s="249" t="str">
        <f>HYPERLINK("https://scontent.cdninstagram.com/t51.2885-19/10598228_506176466212731_571816708_a.jpg")</f>
        <v>https://scontent.cdninstagram.com/t51.2885-19/10598228_506176466212731_571816708_a.jpg</v>
      </c>
    </row>
    <row r="5480" spans="1:31" ht="15" x14ac:dyDescent="0.25">
      <c r="A5480" t="s">
        <v>2474</v>
      </c>
      <c r="B5480" t="s">
        <v>28600</v>
      </c>
      <c r="C5480" s="221">
        <v>42986.557824074072</v>
      </c>
      <c r="D5480" t="s">
        <v>28601</v>
      </c>
      <c r="E5480" s="249" t="str">
        <f>HYPERLINK("https://www.instagram.com/p/BYycyWHgA-s/")</f>
        <v>https://www.instagram.com/p/BYycyWHgA-s/</v>
      </c>
      <c r="F5480" t="s">
        <v>28602</v>
      </c>
      <c r="G5480" t="s">
        <v>2478</v>
      </c>
      <c r="H5480">
        <v>45</v>
      </c>
      <c r="I5480" t="s">
        <v>2542</v>
      </c>
      <c r="J5480">
        <v>0</v>
      </c>
      <c r="K5480">
        <v>9</v>
      </c>
      <c r="L5480">
        <v>9</v>
      </c>
      <c r="Q5480">
        <v>0</v>
      </c>
      <c r="R5480">
        <v>0</v>
      </c>
      <c r="S5480">
        <v>9</v>
      </c>
      <c r="Y5480" t="s">
        <v>28603</v>
      </c>
      <c r="Z5480" t="s">
        <v>2497</v>
      </c>
      <c r="AA5480" t="s">
        <v>28604</v>
      </c>
      <c r="AB5480" t="s">
        <v>23464</v>
      </c>
      <c r="AC5480" t="s">
        <v>28605</v>
      </c>
      <c r="AD5480" s="249" t="str">
        <f>HYPERLINK("https://scontent.cdninstagram.com/t51.2885-15/s320x320/e35/21433379_2419540968271496_3467592200622178304_n.jpg")</f>
        <v>https://scontent.cdninstagram.com/t51.2885-15/s320x320/e35/21433379_2419540968271496_3467592200622178304_n.jpg</v>
      </c>
      <c r="AE5480" s="249" t="str">
        <f>HYPERLINK("https://scontent.cdninstagram.com/t51.2885-19/s150x150/21577094_116247545759952_4764619491621470208_a.jpg")</f>
        <v>https://scontent.cdninstagram.com/t51.2885-19/s150x150/21577094_116247545759952_4764619491621470208_a.jpg</v>
      </c>
    </row>
    <row r="5481" spans="1:31" ht="15" x14ac:dyDescent="0.25">
      <c r="A5481" t="s">
        <v>2474</v>
      </c>
      <c r="B5481" t="s">
        <v>23337</v>
      </c>
      <c r="C5481" s="221">
        <v>42986.559027777781</v>
      </c>
      <c r="D5481" t="s">
        <v>28606</v>
      </c>
      <c r="E5481" s="249" t="str">
        <f>HYPERLINK("https://www.instagram.com/p/BYyc_CCFQso/")</f>
        <v>https://www.instagram.com/p/BYyc_CCFQso/</v>
      </c>
      <c r="F5481" t="s">
        <v>28607</v>
      </c>
      <c r="G5481" t="s">
        <v>2478</v>
      </c>
      <c r="H5481">
        <v>83</v>
      </c>
      <c r="I5481" t="s">
        <v>2903</v>
      </c>
      <c r="J5481">
        <v>2</v>
      </c>
      <c r="K5481">
        <v>26</v>
      </c>
      <c r="L5481">
        <v>28</v>
      </c>
      <c r="Q5481">
        <v>0</v>
      </c>
      <c r="R5481">
        <v>0</v>
      </c>
      <c r="S5481">
        <v>28</v>
      </c>
      <c r="T5481" t="s">
        <v>28074</v>
      </c>
      <c r="V5481" t="s">
        <v>2125</v>
      </c>
      <c r="W5481">
        <v>49.25</v>
      </c>
      <c r="X5481">
        <v>-122.95</v>
      </c>
      <c r="Y5481" t="s">
        <v>28608</v>
      </c>
      <c r="Z5481" t="s">
        <v>28609</v>
      </c>
      <c r="AA5481" t="s">
        <v>2497</v>
      </c>
      <c r="AB5481" t="s">
        <v>11369</v>
      </c>
      <c r="AC5481" t="s">
        <v>23342</v>
      </c>
      <c r="AD5481" s="249" t="str">
        <f>HYPERLINK("https://scontent.cdninstagram.com/t51.2885-15/s320x320/e35/21435560_129562784339534_2655496391270334464_n.jpg")</f>
        <v>https://scontent.cdninstagram.com/t51.2885-15/s320x320/e35/21435560_129562784339534_2655496391270334464_n.jpg</v>
      </c>
      <c r="AE5481" s="249" t="str">
        <f>HYPERLINK("https://scontent.cdninstagram.com/t51.2885-19/s150x150/20837596_173660393178697_7240552938152656896_a.jpg")</f>
        <v>https://scontent.cdninstagram.com/t51.2885-19/s150x150/20837596_173660393178697_7240552938152656896_a.jpg</v>
      </c>
    </row>
    <row r="5482" spans="1:31" ht="15" x14ac:dyDescent="0.25">
      <c r="A5482" t="s">
        <v>2474</v>
      </c>
      <c r="B5482" t="s">
        <v>28610</v>
      </c>
      <c r="C5482" s="221">
        <v>42986.56726851852</v>
      </c>
      <c r="D5482" t="s">
        <v>28611</v>
      </c>
      <c r="E5482" s="249" t="str">
        <f>HYPERLINK("https://www.instagram.com/p/BYyeV47jrni/")</f>
        <v>https://www.instagram.com/p/BYyeV47jrni/</v>
      </c>
      <c r="F5482" t="s">
        <v>28612</v>
      </c>
      <c r="G5482" t="s">
        <v>2631</v>
      </c>
      <c r="H5482">
        <v>751</v>
      </c>
      <c r="I5482" t="s">
        <v>2479</v>
      </c>
      <c r="J5482">
        <v>16</v>
      </c>
      <c r="K5482">
        <v>121</v>
      </c>
      <c r="L5482">
        <v>137</v>
      </c>
      <c r="Q5482">
        <v>0</v>
      </c>
      <c r="R5482">
        <v>0</v>
      </c>
      <c r="S5482">
        <v>137</v>
      </c>
      <c r="Y5482" t="s">
        <v>28613</v>
      </c>
      <c r="Z5482" t="s">
        <v>2497</v>
      </c>
      <c r="AA5482" t="s">
        <v>28614</v>
      </c>
      <c r="AB5482" t="s">
        <v>28403</v>
      </c>
      <c r="AC5482" t="s">
        <v>28402</v>
      </c>
      <c r="AD5482" s="249" t="str">
        <f>HYPERLINK("https://scontent.cdninstagram.com/t51.2885-15/s320x320/e15/21576439_1466473166763199_7281656071528120320_n.jpg")</f>
        <v>https://scontent.cdninstagram.com/t51.2885-15/s320x320/e15/21576439_1466473166763199_7281656071528120320_n.jpg</v>
      </c>
      <c r="AE5482" s="249" t="str">
        <f>HYPERLINK("https://scontent.cdninstagram.com/t51.2885-19/10724911_820215858063636_916267191_a.jpg")</f>
        <v>https://scontent.cdninstagram.com/t51.2885-19/10724911_820215858063636_916267191_a.jpg</v>
      </c>
    </row>
    <row r="5483" spans="1:31" ht="15" x14ac:dyDescent="0.25">
      <c r="A5483" t="s">
        <v>2474</v>
      </c>
      <c r="B5483" t="s">
        <v>26529</v>
      </c>
      <c r="C5483" s="221">
        <v>42986.570706018516</v>
      </c>
      <c r="D5483" t="s">
        <v>28615</v>
      </c>
      <c r="E5483" s="249" t="str">
        <f>HYPERLINK("https://www.instagram.com/p/BYye6HQg4HR/")</f>
        <v>https://www.instagram.com/p/BYye6HQg4HR/</v>
      </c>
      <c r="F5483" t="s">
        <v>28616</v>
      </c>
      <c r="G5483" t="s">
        <v>2478</v>
      </c>
      <c r="H5483">
        <v>191</v>
      </c>
      <c r="I5483" t="s">
        <v>2479</v>
      </c>
      <c r="J5483">
        <v>1</v>
      </c>
      <c r="K5483">
        <v>19</v>
      </c>
      <c r="L5483">
        <v>20</v>
      </c>
      <c r="Q5483">
        <v>0</v>
      </c>
      <c r="R5483">
        <v>0</v>
      </c>
      <c r="S5483">
        <v>20</v>
      </c>
      <c r="Y5483" t="s">
        <v>2497</v>
      </c>
      <c r="Z5483" t="s">
        <v>28617</v>
      </c>
      <c r="AA5483" t="s">
        <v>28618</v>
      </c>
      <c r="AB5483" t="s">
        <v>4620</v>
      </c>
      <c r="AC5483" t="s">
        <v>28619</v>
      </c>
      <c r="AD5483" s="249" t="str">
        <f>HYPERLINK("https://scontent.cdninstagram.com/t51.2885-15/e35/p320x320/21436068_737738036409506_7426379761980538880_n.jpg")</f>
        <v>https://scontent.cdninstagram.com/t51.2885-15/e35/p320x320/21436068_737738036409506_7426379761980538880_n.jpg</v>
      </c>
      <c r="AE5483" s="249" t="str">
        <f>HYPERLINK("https://scontent.cdninstagram.com/t51.2885-19/s150x150/20347252_102423193774400_3773946913561247744_a.jpg")</f>
        <v>https://scontent.cdninstagram.com/t51.2885-19/s150x150/20347252_102423193774400_3773946913561247744_a.jpg</v>
      </c>
    </row>
    <row r="5484" spans="1:31" ht="15" x14ac:dyDescent="0.25">
      <c r="A5484" t="s">
        <v>2474</v>
      </c>
      <c r="B5484" t="s">
        <v>28620</v>
      </c>
      <c r="C5484" s="221">
        <v>42986.571400462963</v>
      </c>
      <c r="D5484" t="s">
        <v>28621</v>
      </c>
      <c r="E5484" s="249" t="str">
        <f>HYPERLINK("https://www.instagram.com/p/BYyfBfPHsTV/")</f>
        <v>https://www.instagram.com/p/BYyfBfPHsTV/</v>
      </c>
      <c r="F5484" t="s">
        <v>28622</v>
      </c>
      <c r="G5484" t="s">
        <v>2478</v>
      </c>
      <c r="H5484">
        <v>616</v>
      </c>
      <c r="I5484" t="s">
        <v>2479</v>
      </c>
      <c r="J5484">
        <v>2</v>
      </c>
      <c r="K5484">
        <v>114</v>
      </c>
      <c r="L5484">
        <v>116</v>
      </c>
      <c r="Q5484">
        <v>0</v>
      </c>
      <c r="R5484">
        <v>0</v>
      </c>
      <c r="S5484">
        <v>116</v>
      </c>
      <c r="Y5484" t="s">
        <v>10223</v>
      </c>
      <c r="Z5484" t="s">
        <v>2497</v>
      </c>
      <c r="AA5484" t="s">
        <v>3768</v>
      </c>
      <c r="AD5484" s="249" t="str">
        <f>HYPERLINK("https://scontent.cdninstagram.com/t51.2885-15/s320x320/e35/21433627_1905719459754365_6974017906396889088_n.jpg")</f>
        <v>https://scontent.cdninstagram.com/t51.2885-15/s320x320/e35/21433627_1905719459754365_6974017906396889088_n.jpg</v>
      </c>
      <c r="AE5484" s="249" t="str">
        <f>HYPERLINK("https://scontent.cdninstagram.com/t51.2885-19/s150x150/21576986_273735419809095_8399462194105810944_n.jpg")</f>
        <v>https://scontent.cdninstagram.com/t51.2885-19/s150x150/21576986_273735419809095_8399462194105810944_n.jpg</v>
      </c>
    </row>
    <row r="5485" spans="1:31" ht="15" x14ac:dyDescent="0.25">
      <c r="A5485" t="s">
        <v>2474</v>
      </c>
      <c r="B5485" t="s">
        <v>28623</v>
      </c>
      <c r="C5485" s="221">
        <v>42986.573287037034</v>
      </c>
      <c r="D5485" t="s">
        <v>28624</v>
      </c>
      <c r="E5485" s="249" t="str">
        <f>HYPERLINK("https://www.instagram.com/p/BYyfVYQBN36/")</f>
        <v>https://www.instagram.com/p/BYyfVYQBN36/</v>
      </c>
      <c r="F5485" t="s">
        <v>28625</v>
      </c>
      <c r="G5485" t="s">
        <v>2478</v>
      </c>
      <c r="H5485">
        <v>170</v>
      </c>
      <c r="I5485" t="s">
        <v>3898</v>
      </c>
      <c r="J5485">
        <v>0</v>
      </c>
      <c r="K5485">
        <v>7</v>
      </c>
      <c r="L5485">
        <v>7</v>
      </c>
      <c r="Q5485">
        <v>0</v>
      </c>
      <c r="R5485">
        <v>0</v>
      </c>
      <c r="S5485">
        <v>7</v>
      </c>
      <c r="Y5485" t="s">
        <v>4556</v>
      </c>
      <c r="Z5485" t="s">
        <v>28626</v>
      </c>
      <c r="AA5485" t="s">
        <v>28627</v>
      </c>
      <c r="AB5485" t="s">
        <v>2497</v>
      </c>
      <c r="AC5485" t="s">
        <v>28628</v>
      </c>
      <c r="AD5485" s="249" t="str">
        <f>HYPERLINK("https://scontent.cdninstagram.com/t51.2885-15/s320x320/e35/21435742_361521774280654_5128942154088972288_n.jpg")</f>
        <v>https://scontent.cdninstagram.com/t51.2885-15/s320x320/e35/21435742_361521774280654_5128942154088972288_n.jpg</v>
      </c>
      <c r="AE5485" s="249" t="str">
        <f>HYPERLINK("https://scontent.cdninstagram.com/t51.2885-19/s150x150/20180507_148723009038848_5897674792504393728_a.jpg")</f>
        <v>https://scontent.cdninstagram.com/t51.2885-19/s150x150/20180507_148723009038848_5897674792504393728_a.jpg</v>
      </c>
    </row>
    <row r="5486" spans="1:31" ht="15" x14ac:dyDescent="0.25">
      <c r="A5486" t="s">
        <v>2474</v>
      </c>
      <c r="B5486" t="s">
        <v>28629</v>
      </c>
      <c r="C5486" s="221">
        <v>42986.575300925928</v>
      </c>
      <c r="D5486" t="s">
        <v>28630</v>
      </c>
      <c r="E5486" s="249" t="str">
        <f>HYPERLINK("https://www.instagram.com/p/BYyfqo5l8jb/")</f>
        <v>https://www.instagram.com/p/BYyfqo5l8jb/</v>
      </c>
      <c r="F5486" t="s">
        <v>28631</v>
      </c>
      <c r="G5486" t="s">
        <v>2478</v>
      </c>
      <c r="H5486">
        <v>324</v>
      </c>
      <c r="I5486" t="s">
        <v>2479</v>
      </c>
      <c r="J5486">
        <v>1</v>
      </c>
      <c r="K5486">
        <v>16</v>
      </c>
      <c r="L5486">
        <v>17</v>
      </c>
      <c r="Q5486">
        <v>0</v>
      </c>
      <c r="R5486">
        <v>0</v>
      </c>
      <c r="S5486">
        <v>17</v>
      </c>
      <c r="T5486" t="s">
        <v>28632</v>
      </c>
      <c r="U5486" t="s">
        <v>122</v>
      </c>
      <c r="V5486" t="s">
        <v>2299</v>
      </c>
      <c r="W5486">
        <v>37.8718</v>
      </c>
      <c r="X5486">
        <v>-122.27500000000001</v>
      </c>
      <c r="Y5486" t="s">
        <v>4350</v>
      </c>
      <c r="Z5486" t="s">
        <v>2497</v>
      </c>
      <c r="AA5486" t="s">
        <v>4987</v>
      </c>
      <c r="AD5486" s="249" t="str">
        <f>HYPERLINK("https://scontent.cdninstagram.com/t51.2885-15/s320x320/e35/21373744_486015195095587_8295104010755506176_n.jpg")</f>
        <v>https://scontent.cdninstagram.com/t51.2885-15/s320x320/e35/21373744_486015195095587_8295104010755506176_n.jpg</v>
      </c>
      <c r="AE5486" s="249" t="str">
        <f>HYPERLINK("https://scontent.cdninstagram.com/t51.2885-19/s150x150/14716675_1784637568490534_9026593948365225984_a.jpg")</f>
        <v>https://scontent.cdninstagram.com/t51.2885-19/s150x150/14716675_1784637568490534_9026593948365225984_a.jpg</v>
      </c>
    </row>
    <row r="5487" spans="1:31" ht="15" x14ac:dyDescent="0.25">
      <c r="A5487" t="s">
        <v>2474</v>
      </c>
      <c r="B5487" t="s">
        <v>28633</v>
      </c>
      <c r="C5487" s="221">
        <v>42986.578217592592</v>
      </c>
      <c r="D5487" t="s">
        <v>28634</v>
      </c>
      <c r="E5487" s="249" t="str">
        <f>HYPERLINK("https://www.instagram.com/p/BYygJXxldVQ/")</f>
        <v>https://www.instagram.com/p/BYygJXxldVQ/</v>
      </c>
      <c r="F5487" t="s">
        <v>28635</v>
      </c>
      <c r="G5487" t="s">
        <v>2478</v>
      </c>
      <c r="H5487">
        <v>227</v>
      </c>
      <c r="I5487" t="s">
        <v>2479</v>
      </c>
      <c r="J5487">
        <v>0</v>
      </c>
      <c r="K5487">
        <v>13</v>
      </c>
      <c r="L5487">
        <v>13</v>
      </c>
      <c r="Q5487">
        <v>0</v>
      </c>
      <c r="R5487">
        <v>0</v>
      </c>
      <c r="S5487">
        <v>13</v>
      </c>
      <c r="Y5487" t="s">
        <v>5168</v>
      </c>
      <c r="Z5487" t="s">
        <v>11796</v>
      </c>
      <c r="AA5487" t="s">
        <v>2497</v>
      </c>
      <c r="AB5487" t="s">
        <v>28636</v>
      </c>
      <c r="AC5487" t="s">
        <v>28637</v>
      </c>
      <c r="AD5487" s="249" t="str">
        <f>HYPERLINK("https://scontent.cdninstagram.com/t51.2885-15/s320x320/e35/21373813_119782545352148_2723622174677008384_n.jpg")</f>
        <v>https://scontent.cdninstagram.com/t51.2885-15/s320x320/e35/21373813_119782545352148_2723622174677008384_n.jpg</v>
      </c>
      <c r="AE5487" s="249" t="str">
        <f>HYPERLINK("https://scontent.cdninstagram.com/t51.2885-19/s150x150/21041022_113564439341792_5620379845469929472_a.jpg")</f>
        <v>https://scontent.cdninstagram.com/t51.2885-19/s150x150/21041022_113564439341792_5620379845469929472_a.jpg</v>
      </c>
    </row>
    <row r="5488" spans="1:31" ht="15" x14ac:dyDescent="0.25">
      <c r="A5488" t="s">
        <v>2474</v>
      </c>
      <c r="B5488" t="s">
        <v>11359</v>
      </c>
      <c r="C5488" s="221">
        <v>42986.582928240743</v>
      </c>
      <c r="D5488" t="s">
        <v>28638</v>
      </c>
      <c r="E5488" s="249" t="str">
        <f>HYPERLINK("https://www.instagram.com/p/BYyg7HQHdT2/")</f>
        <v>https://www.instagram.com/p/BYyg7HQHdT2/</v>
      </c>
      <c r="F5488" t="s">
        <v>28639</v>
      </c>
      <c r="G5488" t="s">
        <v>2478</v>
      </c>
      <c r="H5488">
        <v>279</v>
      </c>
      <c r="I5488" t="s">
        <v>13274</v>
      </c>
      <c r="J5488">
        <v>2</v>
      </c>
      <c r="K5488">
        <v>28</v>
      </c>
      <c r="L5488">
        <v>30</v>
      </c>
      <c r="Q5488">
        <v>0</v>
      </c>
      <c r="R5488">
        <v>0</v>
      </c>
      <c r="S5488">
        <v>30</v>
      </c>
      <c r="Y5488" t="s">
        <v>2492</v>
      </c>
      <c r="Z5488" t="s">
        <v>2497</v>
      </c>
      <c r="AA5488" t="s">
        <v>3174</v>
      </c>
      <c r="AB5488" t="s">
        <v>28640</v>
      </c>
      <c r="AC5488" t="s">
        <v>28641</v>
      </c>
      <c r="AD5488" s="249" t="str">
        <f>HYPERLINK("https://scontent.cdninstagram.com/t51.2885-15/e35/p320x320/21480046_1849307025385372_2253324368161538048_n.jpg")</f>
        <v>https://scontent.cdninstagram.com/t51.2885-15/e35/p320x320/21480046_1849307025385372_2253324368161538048_n.jpg</v>
      </c>
      <c r="AE5488" s="249" t="str">
        <f>HYPERLINK("https://scontent.cdninstagram.com/t51.2885-19/s150x150/19931849_339082419859152_3182026679878942720_a.jpg")</f>
        <v>https://scontent.cdninstagram.com/t51.2885-19/s150x150/19931849_339082419859152_3182026679878942720_a.jpg</v>
      </c>
    </row>
    <row r="5489" spans="1:31" ht="15" x14ac:dyDescent="0.25">
      <c r="A5489" t="s">
        <v>2474</v>
      </c>
      <c r="B5489" t="s">
        <v>28642</v>
      </c>
      <c r="C5489" s="221">
        <v>42986.589675925927</v>
      </c>
      <c r="D5489" t="s">
        <v>28643</v>
      </c>
      <c r="E5489" s="249" t="str">
        <f>HYPERLINK("https://www.instagram.com/p/BYyiCRhgEcW/")</f>
        <v>https://www.instagram.com/p/BYyiCRhgEcW/</v>
      </c>
      <c r="F5489" t="s">
        <v>28644</v>
      </c>
      <c r="G5489" t="s">
        <v>2478</v>
      </c>
      <c r="H5489">
        <v>271</v>
      </c>
      <c r="I5489" t="s">
        <v>2910</v>
      </c>
      <c r="J5489">
        <v>6</v>
      </c>
      <c r="K5489">
        <v>56</v>
      </c>
      <c r="L5489">
        <v>62</v>
      </c>
      <c r="Q5489">
        <v>0</v>
      </c>
      <c r="R5489">
        <v>0</v>
      </c>
      <c r="S5489">
        <v>62</v>
      </c>
      <c r="Y5489" t="s">
        <v>28645</v>
      </c>
      <c r="Z5489" t="s">
        <v>28646</v>
      </c>
      <c r="AA5489" t="s">
        <v>2949</v>
      </c>
      <c r="AB5489" t="s">
        <v>28647</v>
      </c>
      <c r="AC5489" t="s">
        <v>4295</v>
      </c>
      <c r="AD5489" s="249" t="str">
        <f>HYPERLINK("https://scontent.cdninstagram.com/t51.2885-15/s320x320/e35/21435704_1644118618940362_6396223351999692800_n.jpg")</f>
        <v>https://scontent.cdninstagram.com/t51.2885-15/s320x320/e35/21435704_1644118618940362_6396223351999692800_n.jpg</v>
      </c>
      <c r="AE5489" s="249" t="str">
        <f>HYPERLINK("https://scontent.cdninstagram.com/t51.2885-19/s150x150/20479331_107139006650434_942145232936370176_a.jpg")</f>
        <v>https://scontent.cdninstagram.com/t51.2885-19/s150x150/20479331_107139006650434_942145232936370176_a.jpg</v>
      </c>
    </row>
    <row r="5490" spans="1:31" ht="15" x14ac:dyDescent="0.25">
      <c r="A5490" t="s">
        <v>2474</v>
      </c>
      <c r="B5490" t="s">
        <v>28648</v>
      </c>
      <c r="C5490" s="221">
        <v>42986.597881944443</v>
      </c>
      <c r="D5490" t="s">
        <v>28649</v>
      </c>
      <c r="E5490" s="249" t="str">
        <f>HYPERLINK("https://www.instagram.com/p/BYyjYy4gxl3/")</f>
        <v>https://www.instagram.com/p/BYyjYy4gxl3/</v>
      </c>
      <c r="F5490" t="s">
        <v>28650</v>
      </c>
      <c r="G5490" t="s">
        <v>2478</v>
      </c>
      <c r="H5490">
        <v>55</v>
      </c>
      <c r="I5490" t="s">
        <v>2479</v>
      </c>
      <c r="J5490">
        <v>0</v>
      </c>
      <c r="K5490">
        <v>12</v>
      </c>
      <c r="L5490">
        <v>12</v>
      </c>
      <c r="Q5490">
        <v>0</v>
      </c>
      <c r="R5490">
        <v>0</v>
      </c>
      <c r="S5490">
        <v>12</v>
      </c>
      <c r="Y5490" t="s">
        <v>28651</v>
      </c>
      <c r="Z5490" t="s">
        <v>6299</v>
      </c>
      <c r="AA5490" t="s">
        <v>7950</v>
      </c>
      <c r="AB5490" t="s">
        <v>28652</v>
      </c>
      <c r="AC5490" t="s">
        <v>7225</v>
      </c>
      <c r="AD5490" s="249" t="str">
        <f>HYPERLINK("https://scontent.cdninstagram.com/t51.2885-15/s320x320/e35/21373499_514747838859131_8238828913996857344_n.jpg")</f>
        <v>https://scontent.cdninstagram.com/t51.2885-15/s320x320/e35/21373499_514747838859131_8238828913996857344_n.jpg</v>
      </c>
      <c r="AE5490" s="249" t="str">
        <f>HYPERLINK("https://scontent.cdninstagram.com/t51.2885-19/s150x150/21569211_663355677188092_5212238724057792512_n.jpg")</f>
        <v>https://scontent.cdninstagram.com/t51.2885-19/s150x150/21569211_663355677188092_5212238724057792512_n.jpg</v>
      </c>
    </row>
    <row r="5491" spans="1:31" ht="15" x14ac:dyDescent="0.25">
      <c r="A5491" t="s">
        <v>2474</v>
      </c>
      <c r="B5491" t="s">
        <v>7457</v>
      </c>
      <c r="C5491" s="221">
        <v>42986.600347222222</v>
      </c>
      <c r="D5491" t="s">
        <v>28653</v>
      </c>
      <c r="E5491" s="249" t="str">
        <f>HYPERLINK("https://www.instagram.com/p/BYyjy1jl6j-/")</f>
        <v>https://www.instagram.com/p/BYyjy1jl6j-/</v>
      </c>
      <c r="F5491" t="s">
        <v>28654</v>
      </c>
      <c r="G5491" t="s">
        <v>2478</v>
      </c>
      <c r="H5491">
        <v>7269</v>
      </c>
      <c r="I5491" t="s">
        <v>3170</v>
      </c>
      <c r="J5491">
        <v>2</v>
      </c>
      <c r="K5491">
        <v>84</v>
      </c>
      <c r="L5491">
        <v>86</v>
      </c>
      <c r="Q5491">
        <v>0</v>
      </c>
      <c r="R5491">
        <v>0</v>
      </c>
      <c r="S5491">
        <v>86</v>
      </c>
      <c r="Y5491" t="s">
        <v>21756</v>
      </c>
      <c r="Z5491" t="s">
        <v>21758</v>
      </c>
      <c r="AA5491" t="s">
        <v>7461</v>
      </c>
      <c r="AB5491" t="s">
        <v>2497</v>
      </c>
      <c r="AC5491" t="s">
        <v>22973</v>
      </c>
      <c r="AD5491" s="249" t="str">
        <f>HYPERLINK("https://scontent.cdninstagram.com/t51.2885-15/s320x320/e35/21568664_349470412178381_1874032683810553856_n.jpg")</f>
        <v>https://scontent.cdninstagram.com/t51.2885-15/s320x320/e35/21568664_349470412178381_1874032683810553856_n.jpg</v>
      </c>
      <c r="AE5491" s="249" t="str">
        <f>HYPERLINK("https://scontent.cdninstagram.com/t51.2885-19/s150x150/18443212_284821451930273_9046638560735657984_a.jpg")</f>
        <v>https://scontent.cdninstagram.com/t51.2885-19/s150x150/18443212_284821451930273_9046638560735657984_a.jpg</v>
      </c>
    </row>
    <row r="5492" spans="1:31" ht="15" x14ac:dyDescent="0.25">
      <c r="A5492" t="s">
        <v>2474</v>
      </c>
      <c r="B5492" t="s">
        <v>28655</v>
      </c>
      <c r="C5492" s="221">
        <v>42986.606145833335</v>
      </c>
      <c r="D5492" t="s">
        <v>28656</v>
      </c>
      <c r="E5492" s="249" t="str">
        <f>HYPERLINK("https://www.instagram.com/p/BYykv7llatY/")</f>
        <v>https://www.instagram.com/p/BYykv7llatY/</v>
      </c>
      <c r="F5492" t="s">
        <v>28657</v>
      </c>
      <c r="G5492" t="s">
        <v>2478</v>
      </c>
      <c r="H5492">
        <v>604</v>
      </c>
      <c r="I5492" t="s">
        <v>2542</v>
      </c>
      <c r="J5492">
        <v>2</v>
      </c>
      <c r="K5492">
        <v>18</v>
      </c>
      <c r="L5492">
        <v>20</v>
      </c>
      <c r="Q5492">
        <v>0</v>
      </c>
      <c r="R5492">
        <v>0</v>
      </c>
      <c r="S5492">
        <v>20</v>
      </c>
      <c r="Y5492" t="s">
        <v>2497</v>
      </c>
      <c r="AD5492" s="249" t="str">
        <f>HYPERLINK("https://scontent.cdninstagram.com/t51.2885-15/s320x320/e35/21480335_114203672605046_4223026237309714432_n.jpg")</f>
        <v>https://scontent.cdninstagram.com/t51.2885-15/s320x320/e35/21480335_114203672605046_4223026237309714432_n.jpg</v>
      </c>
      <c r="AE5492" s="249" t="str">
        <f>HYPERLINK("https://scontent.cdninstagram.com/t51.2885-19/s150x150/926536_420591998127910_630883847_a.jpg")</f>
        <v>https://scontent.cdninstagram.com/t51.2885-19/s150x150/926536_420591998127910_630883847_a.jpg</v>
      </c>
    </row>
    <row r="5493" spans="1:31" ht="15" x14ac:dyDescent="0.25">
      <c r="A5493" t="s">
        <v>2474</v>
      </c>
      <c r="B5493" t="s">
        <v>28658</v>
      </c>
      <c r="C5493" s="221">
        <v>42986.606863425928</v>
      </c>
      <c r="D5493" t="s">
        <v>28659</v>
      </c>
      <c r="E5493" s="249" t="str">
        <f>HYPERLINK("https://www.instagram.com/p/BYyk3kIFp3a/")</f>
        <v>https://www.instagram.com/p/BYyk3kIFp3a/</v>
      </c>
      <c r="F5493" t="s">
        <v>28660</v>
      </c>
      <c r="G5493" t="s">
        <v>2478</v>
      </c>
      <c r="H5493">
        <v>55</v>
      </c>
      <c r="I5493" t="s">
        <v>2903</v>
      </c>
      <c r="J5493">
        <v>0</v>
      </c>
      <c r="K5493">
        <v>4</v>
      </c>
      <c r="L5493">
        <v>4</v>
      </c>
      <c r="Q5493">
        <v>0</v>
      </c>
      <c r="R5493">
        <v>0</v>
      </c>
      <c r="S5493">
        <v>4</v>
      </c>
      <c r="Y5493" t="s">
        <v>20170</v>
      </c>
      <c r="Z5493" t="s">
        <v>28661</v>
      </c>
      <c r="AA5493" t="s">
        <v>2497</v>
      </c>
      <c r="AD5493" s="249" t="str">
        <f>HYPERLINK("https://scontent.cdninstagram.com/t51.2885-15/s320x320/e35/21436085_732450806947254_6424959792766255104_n.jpg")</f>
        <v>https://scontent.cdninstagram.com/t51.2885-15/s320x320/e35/21436085_732450806947254_6424959792766255104_n.jpg</v>
      </c>
      <c r="AE5493" s="249" t="str">
        <f>HYPERLINK("https://scontent.cdninstagram.com/t51.2885-19/s150x150/16788772_1447599761941452_7016860939613896704_a.jpg")</f>
        <v>https://scontent.cdninstagram.com/t51.2885-19/s150x150/16788772_1447599761941452_7016860939613896704_a.jpg</v>
      </c>
    </row>
    <row r="5494" spans="1:31" ht="15" x14ac:dyDescent="0.25">
      <c r="A5494" t="s">
        <v>2474</v>
      </c>
      <c r="B5494" t="s">
        <v>28662</v>
      </c>
      <c r="C5494" s="221">
        <v>42986.611655092594</v>
      </c>
      <c r="D5494" t="s">
        <v>28663</v>
      </c>
      <c r="E5494" s="249" t="str">
        <f>HYPERLINK("https://www.instagram.com/p/BYylqGOA6F2/")</f>
        <v>https://www.instagram.com/p/BYylqGOA6F2/</v>
      </c>
      <c r="F5494" t="s">
        <v>28664</v>
      </c>
      <c r="G5494" t="s">
        <v>2631</v>
      </c>
      <c r="H5494">
        <v>83</v>
      </c>
      <c r="I5494" t="s">
        <v>4052</v>
      </c>
      <c r="J5494">
        <v>0</v>
      </c>
      <c r="K5494">
        <v>12</v>
      </c>
      <c r="L5494">
        <v>12</v>
      </c>
      <c r="Q5494">
        <v>0</v>
      </c>
      <c r="R5494">
        <v>0</v>
      </c>
      <c r="S5494">
        <v>12</v>
      </c>
      <c r="Y5494" t="s">
        <v>28665</v>
      </c>
      <c r="Z5494" t="s">
        <v>28666</v>
      </c>
      <c r="AA5494" t="s">
        <v>2497</v>
      </c>
      <c r="AB5494" t="s">
        <v>28667</v>
      </c>
      <c r="AD5494" s="249" t="str">
        <f>HYPERLINK("https://scontent.cdninstagram.com/t51.2885-15/s320x320/e15/21480076_416047878797543_6263209889879818240_n.jpg")</f>
        <v>https://scontent.cdninstagram.com/t51.2885-15/s320x320/e15/21480076_416047878797543_6263209889879818240_n.jpg</v>
      </c>
      <c r="AE5494" s="249" t="str">
        <f>HYPERLINK("https://scontent.cdninstagram.com/t51.2885-19/s150x150/18013490_409024046137477_3650890044626960384_a.jpg")</f>
        <v>https://scontent.cdninstagram.com/t51.2885-19/s150x150/18013490_409024046137477_3650890044626960384_a.jpg</v>
      </c>
    </row>
    <row r="5495" spans="1:31" ht="15" x14ac:dyDescent="0.25">
      <c r="A5495" t="s">
        <v>2474</v>
      </c>
      <c r="B5495" t="s">
        <v>28668</v>
      </c>
      <c r="C5495" s="221">
        <v>42986.619687500002</v>
      </c>
      <c r="D5495" t="s">
        <v>28669</v>
      </c>
      <c r="E5495" s="249" t="str">
        <f>HYPERLINK("https://www.instagram.com/p/BYym-z7BUca/")</f>
        <v>https://www.instagram.com/p/BYym-z7BUca/</v>
      </c>
      <c r="F5495" t="s">
        <v>28670</v>
      </c>
      <c r="G5495" t="s">
        <v>2478</v>
      </c>
      <c r="H5495">
        <v>734</v>
      </c>
      <c r="I5495" t="s">
        <v>4052</v>
      </c>
      <c r="J5495">
        <v>20</v>
      </c>
      <c r="K5495">
        <v>132</v>
      </c>
      <c r="L5495">
        <v>152</v>
      </c>
      <c r="Q5495">
        <v>0</v>
      </c>
      <c r="R5495">
        <v>0</v>
      </c>
      <c r="S5495">
        <v>152</v>
      </c>
      <c r="T5495" t="s">
        <v>28671</v>
      </c>
      <c r="V5495" t="s">
        <v>2222</v>
      </c>
      <c r="W5495">
        <v>52.334620000000001</v>
      </c>
      <c r="X5495">
        <v>4.8598299999999997</v>
      </c>
      <c r="Y5495" t="s">
        <v>2767</v>
      </c>
      <c r="Z5495" t="s">
        <v>28672</v>
      </c>
      <c r="AA5495" t="s">
        <v>28673</v>
      </c>
      <c r="AB5495" t="s">
        <v>28674</v>
      </c>
      <c r="AC5495" t="s">
        <v>28675</v>
      </c>
      <c r="AD5495" s="249" t="str">
        <f>HYPERLINK("https://scontent.cdninstagram.com/t51.2885-15/e35/p320x320/21479786_917173208430115_53661995706089472_n.jpg")</f>
        <v>https://scontent.cdninstagram.com/t51.2885-15/e35/p320x320/21479786_917173208430115_53661995706089472_n.jpg</v>
      </c>
      <c r="AE5495" s="249" t="str">
        <f>HYPERLINK("https://scontent.cdninstagram.com/t51.2885-19/s150x150/21434201_165965590623691_5624640629121220608_a.jpg")</f>
        <v>https://scontent.cdninstagram.com/t51.2885-19/s150x150/21434201_165965590623691_5624640629121220608_a.jpg</v>
      </c>
    </row>
    <row r="5496" spans="1:31" ht="15" x14ac:dyDescent="0.25">
      <c r="A5496" t="s">
        <v>2474</v>
      </c>
      <c r="B5496" t="s">
        <v>28676</v>
      </c>
      <c r="C5496" s="221">
        <v>42986.621539351851</v>
      </c>
      <c r="D5496" t="s">
        <v>28677</v>
      </c>
      <c r="E5496" s="249" t="str">
        <f>HYPERLINK("https://www.instagram.com/p/BYynSVgjXNX/")</f>
        <v>https://www.instagram.com/p/BYynSVgjXNX/</v>
      </c>
      <c r="F5496" t="s">
        <v>28678</v>
      </c>
      <c r="G5496" t="s">
        <v>2478</v>
      </c>
      <c r="H5496">
        <v>30</v>
      </c>
      <c r="I5496" t="s">
        <v>4523</v>
      </c>
      <c r="J5496">
        <v>0</v>
      </c>
      <c r="K5496">
        <v>12</v>
      </c>
      <c r="L5496">
        <v>12</v>
      </c>
      <c r="Q5496">
        <v>0</v>
      </c>
      <c r="R5496">
        <v>0</v>
      </c>
      <c r="S5496">
        <v>12</v>
      </c>
      <c r="Y5496" t="s">
        <v>28679</v>
      </c>
      <c r="Z5496" t="s">
        <v>28680</v>
      </c>
      <c r="AA5496" t="s">
        <v>3110</v>
      </c>
      <c r="AB5496" t="s">
        <v>28681</v>
      </c>
      <c r="AC5496" t="s">
        <v>2492</v>
      </c>
      <c r="AD5496" s="249" t="str">
        <f>HYPERLINK("https://scontent.cdninstagram.com/t51.2885-15/e35/p320x320/21436008_1726064994364411_6484429670883262464_n.jpg")</f>
        <v>https://scontent.cdninstagram.com/t51.2885-15/e35/p320x320/21436008_1726064994364411_6484429670883262464_n.jpg</v>
      </c>
      <c r="AE5496" s="249" t="str">
        <f>HYPERLINK("https://scontent.cdninstagram.com/t51.2885-19/s150x150/21041303_690567151139249_3233562632413773824_a.jpg")</f>
        <v>https://scontent.cdninstagram.com/t51.2885-19/s150x150/21041303_690567151139249_3233562632413773824_a.jpg</v>
      </c>
    </row>
    <row r="5497" spans="1:31" ht="15" x14ac:dyDescent="0.25">
      <c r="A5497" t="s">
        <v>2474</v>
      </c>
      <c r="B5497" t="s">
        <v>28682</v>
      </c>
      <c r="C5497" s="221">
        <v>42986.635810185187</v>
      </c>
      <c r="D5497" t="s">
        <v>28683</v>
      </c>
      <c r="E5497" s="249" t="str">
        <f>HYPERLINK("https://www.instagram.com/p/BYypo0WnCsI/")</f>
        <v>https://www.instagram.com/p/BYypo0WnCsI/</v>
      </c>
      <c r="F5497" t="s">
        <v>28684</v>
      </c>
      <c r="G5497" t="s">
        <v>2478</v>
      </c>
      <c r="H5497">
        <v>124</v>
      </c>
      <c r="I5497" t="s">
        <v>2479</v>
      </c>
      <c r="J5497">
        <v>0</v>
      </c>
      <c r="K5497">
        <v>13</v>
      </c>
      <c r="L5497">
        <v>13</v>
      </c>
      <c r="Q5497">
        <v>0</v>
      </c>
      <c r="R5497">
        <v>0</v>
      </c>
      <c r="S5497">
        <v>13</v>
      </c>
      <c r="Y5497" t="s">
        <v>2492</v>
      </c>
      <c r="Z5497" t="s">
        <v>2497</v>
      </c>
      <c r="AA5497" t="s">
        <v>3535</v>
      </c>
      <c r="AD5497" s="249" t="str">
        <f>HYPERLINK("https://scontent.cdninstagram.com/t51.2885-15/s320x320/e35/21373527_1183546461777100_5921830307052388352_n.jpg")</f>
        <v>https://scontent.cdninstagram.com/t51.2885-15/s320x320/e35/21373527_1183546461777100_5921830307052388352_n.jpg</v>
      </c>
      <c r="AE5497" s="249" t="str">
        <f>HYPERLINK("https://scontent.cdninstagram.com/t51.2885-19/s150x150/12728678_1710966389162642_640862231_a.jpg")</f>
        <v>https://scontent.cdninstagram.com/t51.2885-19/s150x150/12728678_1710966389162642_640862231_a.jpg</v>
      </c>
    </row>
    <row r="5498" spans="1:31" ht="15" x14ac:dyDescent="0.25">
      <c r="A5498" t="s">
        <v>2474</v>
      </c>
      <c r="B5498" t="s">
        <v>17086</v>
      </c>
      <c r="C5498" s="221">
        <v>42986.643078703702</v>
      </c>
      <c r="D5498" t="s">
        <v>28685</v>
      </c>
      <c r="E5498" s="249" t="str">
        <f>HYPERLINK("https://www.instagram.com/p/BYyq1cSDc3S/")</f>
        <v>https://www.instagram.com/p/BYyq1cSDc3S/</v>
      </c>
      <c r="F5498" t="s">
        <v>28686</v>
      </c>
      <c r="G5498" t="s">
        <v>2478</v>
      </c>
      <c r="H5498">
        <v>64</v>
      </c>
      <c r="I5498" t="s">
        <v>2479</v>
      </c>
      <c r="J5498">
        <v>2</v>
      </c>
      <c r="K5498">
        <v>43</v>
      </c>
      <c r="L5498">
        <v>45</v>
      </c>
      <c r="Q5498">
        <v>0</v>
      </c>
      <c r="R5498">
        <v>0</v>
      </c>
      <c r="S5498">
        <v>45</v>
      </c>
      <c r="Y5498" t="s">
        <v>2968</v>
      </c>
      <c r="Z5498" t="s">
        <v>26103</v>
      </c>
      <c r="AA5498" t="s">
        <v>17807</v>
      </c>
      <c r="AB5498" t="s">
        <v>17808</v>
      </c>
      <c r="AC5498" t="s">
        <v>28687</v>
      </c>
      <c r="AD5498" s="249" t="str">
        <f>HYPERLINK("https://scontent.cdninstagram.com/t51.2885-15/s320x320/e35/21568969_115703762477003_3237677082234322944_n.jpg")</f>
        <v>https://scontent.cdninstagram.com/t51.2885-15/s320x320/e35/21568969_115703762477003_3237677082234322944_n.jpg</v>
      </c>
      <c r="AE5498" s="249" t="str">
        <f>HYPERLINK("https://scontent.cdninstagram.com/t51.2885-19/s150x150/20213819_1623489541008643_6054573310786666496_a.jpg")</f>
        <v>https://scontent.cdninstagram.com/t51.2885-19/s150x150/20213819_1623489541008643_6054573310786666496_a.jpg</v>
      </c>
    </row>
    <row r="5499" spans="1:31" ht="15" x14ac:dyDescent="0.25">
      <c r="A5499" t="s">
        <v>2474</v>
      </c>
      <c r="B5499" t="s">
        <v>25817</v>
      </c>
      <c r="C5499" s="221">
        <v>42986.643576388888</v>
      </c>
      <c r="D5499" t="s">
        <v>28688</v>
      </c>
      <c r="E5499" s="249" t="str">
        <f>HYPERLINK("https://www.instagram.com/p/BYyq6w4ggiu/")</f>
        <v>https://www.instagram.com/p/BYyq6w4ggiu/</v>
      </c>
      <c r="F5499" t="s">
        <v>28689</v>
      </c>
      <c r="G5499" t="s">
        <v>2478</v>
      </c>
      <c r="H5499">
        <v>681</v>
      </c>
      <c r="I5499" t="s">
        <v>2479</v>
      </c>
      <c r="J5499">
        <v>62</v>
      </c>
      <c r="K5499">
        <v>137</v>
      </c>
      <c r="L5499">
        <v>199</v>
      </c>
      <c r="Q5499">
        <v>0</v>
      </c>
      <c r="R5499">
        <v>0</v>
      </c>
      <c r="S5499">
        <v>199</v>
      </c>
      <c r="Y5499" t="s">
        <v>4295</v>
      </c>
      <c r="Z5499" t="s">
        <v>4863</v>
      </c>
      <c r="AA5499" t="s">
        <v>5644</v>
      </c>
      <c r="AB5499" t="s">
        <v>5214</v>
      </c>
      <c r="AC5499" t="s">
        <v>10640</v>
      </c>
      <c r="AD5499" s="249" t="str">
        <f>HYPERLINK("https://scontent.cdninstagram.com/t51.2885-15/s320x320/e35/21373351_1265466726933027_2044380582942605312_n.jpg")</f>
        <v>https://scontent.cdninstagram.com/t51.2885-15/s320x320/e35/21373351_1265466726933027_2044380582942605312_n.jpg</v>
      </c>
      <c r="AE5499" s="249" t="str">
        <f>HYPERLINK("https://scontent.cdninstagram.com/t51.2885-19/s150x150/17881219_367132550347387_7118005675677974528_a.jpg")</f>
        <v>https://scontent.cdninstagram.com/t51.2885-19/s150x150/17881219_367132550347387_7118005675677974528_a.jpg</v>
      </c>
    </row>
    <row r="5500" spans="1:31" ht="15" x14ac:dyDescent="0.25">
      <c r="A5500" t="s">
        <v>2474</v>
      </c>
      <c r="B5500" t="s">
        <v>28690</v>
      </c>
      <c r="C5500" s="221">
        <v>42986.649872685186</v>
      </c>
      <c r="D5500" t="s">
        <v>28691</v>
      </c>
      <c r="E5500" s="249" t="str">
        <f>HYPERLINK("https://www.instagram.com/p/BYyr9I7Foco/")</f>
        <v>https://www.instagram.com/p/BYyr9I7Foco/</v>
      </c>
      <c r="F5500" t="s">
        <v>28692</v>
      </c>
      <c r="G5500" t="s">
        <v>2478</v>
      </c>
      <c r="H5500">
        <v>304</v>
      </c>
      <c r="I5500" t="s">
        <v>2542</v>
      </c>
      <c r="J5500">
        <v>2</v>
      </c>
      <c r="K5500">
        <v>23</v>
      </c>
      <c r="L5500">
        <v>25</v>
      </c>
      <c r="Q5500">
        <v>0</v>
      </c>
      <c r="R5500">
        <v>0</v>
      </c>
      <c r="S5500">
        <v>25</v>
      </c>
      <c r="Y5500" t="s">
        <v>7026</v>
      </c>
      <c r="Z5500" t="s">
        <v>4168</v>
      </c>
      <c r="AA5500" t="s">
        <v>2968</v>
      </c>
      <c r="AB5500" t="s">
        <v>28693</v>
      </c>
      <c r="AC5500" t="s">
        <v>28694</v>
      </c>
      <c r="AD5500" s="249" t="str">
        <f>HYPERLINK("https://scontent.cdninstagram.com/t51.2885-15/s320x320/e35/21433411_1621630847907130_2172497112330141696_n.jpg")</f>
        <v>https://scontent.cdninstagram.com/t51.2885-15/s320x320/e35/21433411_1621630847907130_2172497112330141696_n.jpg</v>
      </c>
      <c r="AE5500" s="249" t="str">
        <f>HYPERLINK("https://scontent.cdninstagram.com/t51.2885-19/s150x150/13658669_681025848711497_1446796483_a.jpg")</f>
        <v>https://scontent.cdninstagram.com/t51.2885-19/s150x150/13658669_681025848711497_1446796483_a.jpg</v>
      </c>
    </row>
    <row r="5501" spans="1:31" ht="15" x14ac:dyDescent="0.25">
      <c r="A5501" t="s">
        <v>2474</v>
      </c>
      <c r="B5501" t="s">
        <v>3206</v>
      </c>
      <c r="C5501" s="221">
        <v>42986.652314814812</v>
      </c>
      <c r="D5501" t="s">
        <v>28695</v>
      </c>
      <c r="E5501" s="249" t="str">
        <f>HYPERLINK("https://www.instagram.com/p/BYysW2FFo5f/")</f>
        <v>https://www.instagram.com/p/BYysW2FFo5f/</v>
      </c>
      <c r="F5501" t="s">
        <v>28696</v>
      </c>
      <c r="G5501" t="s">
        <v>2478</v>
      </c>
      <c r="H5501">
        <v>237</v>
      </c>
      <c r="I5501" t="s">
        <v>13274</v>
      </c>
      <c r="J5501">
        <v>0</v>
      </c>
      <c r="K5501">
        <v>18</v>
      </c>
      <c r="L5501">
        <v>18</v>
      </c>
      <c r="Q5501">
        <v>0</v>
      </c>
      <c r="R5501">
        <v>0</v>
      </c>
      <c r="S5501">
        <v>18</v>
      </c>
      <c r="Y5501" t="s">
        <v>6423</v>
      </c>
      <c r="Z5501" t="s">
        <v>3427</v>
      </c>
      <c r="AA5501" t="s">
        <v>28697</v>
      </c>
      <c r="AB5501" t="s">
        <v>3212</v>
      </c>
      <c r="AC5501" t="s">
        <v>2769</v>
      </c>
      <c r="AD5501" s="249" t="str">
        <f>HYPERLINK("https://scontent.cdninstagram.com/t51.2885-15/s320x320/e35/21373775_130842184213120_2067271010578595840_n.jpg")</f>
        <v>https://scontent.cdninstagram.com/t51.2885-15/s320x320/e35/21373775_130842184213120_2067271010578595840_n.jpg</v>
      </c>
      <c r="AE5501" s="249" t="str">
        <f>HYPERLINK("https://scontent.cdninstagram.com/t51.2885-19/s150x150/20214010_123762504909314_3215645463373938688_a.jpg")</f>
        <v>https://scontent.cdninstagram.com/t51.2885-19/s150x150/20214010_123762504909314_3215645463373938688_a.jpg</v>
      </c>
    </row>
    <row r="5502" spans="1:31" ht="15" x14ac:dyDescent="0.25">
      <c r="A5502" t="s">
        <v>2474</v>
      </c>
      <c r="B5502" t="s">
        <v>28698</v>
      </c>
      <c r="C5502" s="221">
        <v>42986.67114583333</v>
      </c>
      <c r="D5502" t="s">
        <v>28699</v>
      </c>
      <c r="E5502" s="249" t="str">
        <f>HYPERLINK("https://www.instagram.com/p/BYyvde3hKMi/")</f>
        <v>https://www.instagram.com/p/BYyvde3hKMi/</v>
      </c>
      <c r="F5502" t="s">
        <v>28700</v>
      </c>
      <c r="G5502" t="s">
        <v>2478</v>
      </c>
      <c r="H5502">
        <v>145</v>
      </c>
      <c r="I5502" t="s">
        <v>2479</v>
      </c>
      <c r="J5502">
        <v>0</v>
      </c>
      <c r="K5502">
        <v>9</v>
      </c>
      <c r="L5502">
        <v>9</v>
      </c>
      <c r="Q5502">
        <v>0</v>
      </c>
      <c r="R5502">
        <v>0</v>
      </c>
      <c r="S5502">
        <v>9</v>
      </c>
      <c r="Y5502" t="s">
        <v>10514</v>
      </c>
      <c r="Z5502" t="s">
        <v>28701</v>
      </c>
      <c r="AA5502" t="s">
        <v>28702</v>
      </c>
      <c r="AB5502" t="s">
        <v>28703</v>
      </c>
      <c r="AC5502" t="s">
        <v>6294</v>
      </c>
      <c r="AD5502" s="249" t="str">
        <f>HYPERLINK("https://scontent.cdninstagram.com/t51.2885-15/s320x320/e35/21373590_825118574329754_9127640187944304640_n.jpg")</f>
        <v>https://scontent.cdninstagram.com/t51.2885-15/s320x320/e35/21373590_825118574329754_9127640187944304640_n.jpg</v>
      </c>
      <c r="AE5502" s="249" t="str">
        <f>HYPERLINK("https://scontent.cdninstagram.com/t51.2885-19/s150x150/19955282_697005473828930_7649174318512865280_a.jpg")</f>
        <v>https://scontent.cdninstagram.com/t51.2885-19/s150x150/19955282_697005473828930_7649174318512865280_a.jpg</v>
      </c>
    </row>
    <row r="5503" spans="1:31" ht="15" x14ac:dyDescent="0.25">
      <c r="A5503" t="s">
        <v>2474</v>
      </c>
      <c r="B5503" t="s">
        <v>28704</v>
      </c>
      <c r="C5503" s="221">
        <v>42986.679178240738</v>
      </c>
      <c r="D5503" t="s">
        <v>28705</v>
      </c>
      <c r="E5503" s="249" t="str">
        <f>HYPERLINK("https://www.instagram.com/p/BYywyRGD2VO/")</f>
        <v>https://www.instagram.com/p/BYywyRGD2VO/</v>
      </c>
      <c r="F5503" t="s">
        <v>28706</v>
      </c>
      <c r="G5503" t="s">
        <v>2631</v>
      </c>
      <c r="H5503">
        <v>398</v>
      </c>
      <c r="I5503" t="s">
        <v>2542</v>
      </c>
      <c r="J5503">
        <v>0</v>
      </c>
      <c r="K5503">
        <v>5</v>
      </c>
      <c r="L5503">
        <v>5</v>
      </c>
      <c r="Q5503">
        <v>0</v>
      </c>
      <c r="R5503">
        <v>0</v>
      </c>
      <c r="S5503">
        <v>5</v>
      </c>
      <c r="T5503" t="s">
        <v>28707</v>
      </c>
      <c r="U5503" t="s">
        <v>130</v>
      </c>
      <c r="V5503" t="s">
        <v>2299</v>
      </c>
      <c r="W5503">
        <v>38.699877600000001</v>
      </c>
      <c r="X5503">
        <v>-90.324074170000003</v>
      </c>
      <c r="Y5503" t="s">
        <v>2497</v>
      </c>
      <c r="Z5503" t="s">
        <v>28708</v>
      </c>
      <c r="AD5503" s="249" t="str">
        <f>HYPERLINK("https://scontent.cdninstagram.com/t51.2885-15/s320x320/e35/21373819_338757973240395_6838986539792334848_n.jpg")</f>
        <v>https://scontent.cdninstagram.com/t51.2885-15/s320x320/e35/21373819_338757973240395_6838986539792334848_n.jpg</v>
      </c>
      <c r="AE5503" s="249" t="str">
        <f>HYPERLINK("https://scontent.cdninstagram.com/t51.2885-19/s150x150/17817412_126048507934008_6816588053415460864_a.jpg")</f>
        <v>https://scontent.cdninstagram.com/t51.2885-19/s150x150/17817412_126048507934008_6816588053415460864_a.jpg</v>
      </c>
    </row>
    <row r="5504" spans="1:31" ht="15" x14ac:dyDescent="0.25">
      <c r="A5504" t="s">
        <v>2474</v>
      </c>
      <c r="B5504" t="s">
        <v>28709</v>
      </c>
      <c r="C5504" s="221">
        <v>42986.684166666666</v>
      </c>
      <c r="D5504" t="s">
        <v>28710</v>
      </c>
      <c r="E5504" s="249" t="str">
        <f>HYPERLINK("https://www.instagram.com/p/BYyxmyEntF8/")</f>
        <v>https://www.instagram.com/p/BYyxmyEntF8/</v>
      </c>
      <c r="F5504" t="s">
        <v>28711</v>
      </c>
      <c r="G5504" t="s">
        <v>2478</v>
      </c>
      <c r="H5504">
        <v>604</v>
      </c>
      <c r="I5504" t="s">
        <v>2927</v>
      </c>
      <c r="J5504">
        <v>7</v>
      </c>
      <c r="K5504">
        <v>40</v>
      </c>
      <c r="L5504">
        <v>47</v>
      </c>
      <c r="Q5504">
        <v>0</v>
      </c>
      <c r="R5504">
        <v>0</v>
      </c>
      <c r="S5504">
        <v>47</v>
      </c>
      <c r="T5504" t="s">
        <v>28712</v>
      </c>
      <c r="U5504" t="s">
        <v>326</v>
      </c>
      <c r="V5504" t="s">
        <v>2299</v>
      </c>
      <c r="W5504">
        <v>30.437000000000001</v>
      </c>
      <c r="X5504">
        <v>-87.209299999999999</v>
      </c>
      <c r="Y5504" t="s">
        <v>22551</v>
      </c>
      <c r="Z5504" t="s">
        <v>28713</v>
      </c>
      <c r="AA5504" t="s">
        <v>3153</v>
      </c>
      <c r="AB5504" t="s">
        <v>9738</v>
      </c>
      <c r="AC5504" t="s">
        <v>14264</v>
      </c>
      <c r="AD5504" s="249" t="str">
        <f>HYPERLINK("https://scontent.cdninstagram.com/t51.2885-15/e35/p320x320/21569152_176052889632312_4633134281944727552_n.jpg")</f>
        <v>https://scontent.cdninstagram.com/t51.2885-15/e35/p320x320/21569152_176052889632312_4633134281944727552_n.jpg</v>
      </c>
      <c r="AE5504" s="249" t="str">
        <f>HYPERLINK("https://scontent.cdninstagram.com/t51.2885-19/s150x150/20582679_1558800077524281_4930281942210838528_a.jpg")</f>
        <v>https://scontent.cdninstagram.com/t51.2885-19/s150x150/20582679_1558800077524281_4930281942210838528_a.jpg</v>
      </c>
    </row>
    <row r="5505" spans="1:31" ht="15" x14ac:dyDescent="0.25">
      <c r="A5505" t="s">
        <v>2474</v>
      </c>
      <c r="B5505" t="s">
        <v>3248</v>
      </c>
      <c r="C5505" s="221">
        <v>42986.704583333332</v>
      </c>
      <c r="D5505" t="s">
        <v>28714</v>
      </c>
      <c r="E5505" s="249" t="str">
        <f>HYPERLINK("https://www.instagram.com/p/BYy0-HKn16g/")</f>
        <v>https://www.instagram.com/p/BYy0-HKn16g/</v>
      </c>
      <c r="F5505" t="s">
        <v>28715</v>
      </c>
      <c r="G5505" t="s">
        <v>2478</v>
      </c>
      <c r="H5505">
        <v>33665</v>
      </c>
      <c r="I5505" t="s">
        <v>2479</v>
      </c>
      <c r="J5505">
        <v>5</v>
      </c>
      <c r="K5505">
        <v>446</v>
      </c>
      <c r="L5505">
        <v>451</v>
      </c>
      <c r="Q5505">
        <v>0</v>
      </c>
      <c r="R5505">
        <v>0</v>
      </c>
      <c r="S5505">
        <v>451</v>
      </c>
      <c r="AD5505" s="249" t="str">
        <f>HYPERLINK("https://scontent.cdninstagram.com/t51.2885-15/s320x320/e35/21480106_290569271349352_2301495634726748160_n.jpg")</f>
        <v>https://scontent.cdninstagram.com/t51.2885-15/s320x320/e35/21480106_290569271349352_2301495634726748160_n.jpg</v>
      </c>
      <c r="AE5505" s="249" t="str">
        <f>HYPERLINK("https://scontent.cdninstagram.com/t51.2885-19/s150x150/16229301_1876915245885793_5124596849776263168_n.jpg")</f>
        <v>https://scontent.cdninstagram.com/t51.2885-19/s150x150/16229301_1876915245885793_5124596849776263168_n.jpg</v>
      </c>
    </row>
    <row r="5506" spans="1:31" ht="15" x14ac:dyDescent="0.25">
      <c r="A5506" t="s">
        <v>2474</v>
      </c>
      <c r="B5506" t="s">
        <v>28716</v>
      </c>
      <c r="C5506" s="221">
        <v>42986.705266203702</v>
      </c>
      <c r="D5506" t="s">
        <v>28717</v>
      </c>
      <c r="E5506" s="249" t="str">
        <f>HYPERLINK("https://www.instagram.com/p/BYy1FVVAhST/")</f>
        <v>https://www.instagram.com/p/BYy1FVVAhST/</v>
      </c>
      <c r="F5506" t="s">
        <v>28718</v>
      </c>
      <c r="G5506" t="s">
        <v>2478</v>
      </c>
      <c r="H5506">
        <v>135</v>
      </c>
      <c r="I5506" t="s">
        <v>2479</v>
      </c>
      <c r="J5506">
        <v>1</v>
      </c>
      <c r="K5506">
        <v>52</v>
      </c>
      <c r="L5506">
        <v>53</v>
      </c>
      <c r="Q5506">
        <v>0</v>
      </c>
      <c r="R5506">
        <v>0</v>
      </c>
      <c r="S5506">
        <v>53</v>
      </c>
      <c r="Y5506" t="s">
        <v>28719</v>
      </c>
      <c r="Z5506" t="s">
        <v>7491</v>
      </c>
      <c r="AA5506" t="s">
        <v>28720</v>
      </c>
      <c r="AB5506" t="s">
        <v>28721</v>
      </c>
      <c r="AC5506" t="s">
        <v>11198</v>
      </c>
      <c r="AD5506" s="249" t="str">
        <f>HYPERLINK("https://scontent.cdninstagram.com/t51.2885-15/s320x320/e35/21373574_507485952920751_1165731893107228672_n.jpg")</f>
        <v>https://scontent.cdninstagram.com/t51.2885-15/s320x320/e35/21373574_507485952920751_1165731893107228672_n.jpg</v>
      </c>
      <c r="AE5506" s="249" t="str">
        <f>HYPERLINK("https://scontent.cdninstagram.com/t51.2885-19/s150x150/19955188_119893991956531_3665882431132532736_a.jpg")</f>
        <v>https://scontent.cdninstagram.com/t51.2885-19/s150x150/19955188_119893991956531_3665882431132532736_a.jpg</v>
      </c>
    </row>
    <row r="5507" spans="1:31" ht="15" x14ac:dyDescent="0.25">
      <c r="A5507" t="s">
        <v>2474</v>
      </c>
      <c r="B5507" t="s">
        <v>6224</v>
      </c>
      <c r="C5507" s="221">
        <v>42986.717013888891</v>
      </c>
      <c r="D5507" t="s">
        <v>28722</v>
      </c>
      <c r="E5507" s="249" t="str">
        <f>HYPERLINK("https://www.instagram.com/p/BYy3BUSAjGq/")</f>
        <v>https://www.instagram.com/p/BYy3BUSAjGq/</v>
      </c>
      <c r="F5507" t="s">
        <v>28723</v>
      </c>
      <c r="G5507" t="s">
        <v>2478</v>
      </c>
      <c r="H5507">
        <v>163</v>
      </c>
      <c r="I5507" t="s">
        <v>2542</v>
      </c>
      <c r="J5507">
        <v>0</v>
      </c>
      <c r="K5507">
        <v>21</v>
      </c>
      <c r="L5507">
        <v>21</v>
      </c>
      <c r="Q5507">
        <v>0</v>
      </c>
      <c r="R5507">
        <v>0</v>
      </c>
      <c r="S5507">
        <v>21</v>
      </c>
      <c r="Y5507" t="s">
        <v>28724</v>
      </c>
      <c r="Z5507" t="s">
        <v>2735</v>
      </c>
      <c r="AA5507" t="s">
        <v>28725</v>
      </c>
      <c r="AB5507" t="s">
        <v>2609</v>
      </c>
      <c r="AC5507" t="s">
        <v>3804</v>
      </c>
      <c r="AD5507" s="249" t="str">
        <f>HYPERLINK("https://scontent.cdninstagram.com/t51.2885-15/s320x320/e35/21480303_1628930283844738_2165615586879471616_n.jpg")</f>
        <v>https://scontent.cdninstagram.com/t51.2885-15/s320x320/e35/21480303_1628930283844738_2165615586879471616_n.jpg</v>
      </c>
      <c r="AE5507" s="249" t="str">
        <f>HYPERLINK("https://scontent.cdninstagram.com/t51.2885-19/s150x150/18722175_301366250309630_4574136626891980800_a.jpg")</f>
        <v>https://scontent.cdninstagram.com/t51.2885-19/s150x150/18722175_301366250309630_4574136626891980800_a.jpg</v>
      </c>
    </row>
    <row r="5508" spans="1:31" ht="15" x14ac:dyDescent="0.25">
      <c r="A5508" t="s">
        <v>2474</v>
      </c>
      <c r="B5508" t="s">
        <v>28726</v>
      </c>
      <c r="C5508" s="221">
        <v>42986.729895833334</v>
      </c>
      <c r="D5508" t="s">
        <v>28727</v>
      </c>
      <c r="E5508" s="249" t="str">
        <f>HYPERLINK("https://www.instagram.com/p/BYy5JHTAvLk/")</f>
        <v>https://www.instagram.com/p/BYy5JHTAvLk/</v>
      </c>
      <c r="F5508" t="s">
        <v>28728</v>
      </c>
      <c r="G5508" t="s">
        <v>2478</v>
      </c>
      <c r="H5508">
        <v>422</v>
      </c>
      <c r="I5508" t="s">
        <v>2542</v>
      </c>
      <c r="J5508">
        <v>5</v>
      </c>
      <c r="K5508">
        <v>81</v>
      </c>
      <c r="L5508">
        <v>86</v>
      </c>
      <c r="Q5508">
        <v>0</v>
      </c>
      <c r="R5508">
        <v>0</v>
      </c>
      <c r="S5508">
        <v>86</v>
      </c>
      <c r="Y5508" t="s">
        <v>2497</v>
      </c>
      <c r="Z5508" t="s">
        <v>28729</v>
      </c>
      <c r="AA5508" t="s">
        <v>6550</v>
      </c>
      <c r="AB5508" t="s">
        <v>28730</v>
      </c>
      <c r="AC5508" t="s">
        <v>12156</v>
      </c>
      <c r="AD5508" s="249" t="str">
        <f>HYPERLINK("https://scontent.cdninstagram.com/t51.2885-15/s320x320/e35/21373767_1365132783600155_1024247166341742592_n.jpg")</f>
        <v>https://scontent.cdninstagram.com/t51.2885-15/s320x320/e35/21373767_1365132783600155_1024247166341742592_n.jpg</v>
      </c>
      <c r="AE5508" s="249" t="str">
        <f>HYPERLINK("https://scontent.cdninstagram.com/t51.2885-19/s150x150/19984615_657010207829281_7454209140013924352_a.jpg")</f>
        <v>https://scontent.cdninstagram.com/t51.2885-19/s150x150/19984615_657010207829281_7454209140013924352_a.jpg</v>
      </c>
    </row>
    <row r="5509" spans="1:31" ht="15" x14ac:dyDescent="0.25">
      <c r="A5509" t="s">
        <v>2474</v>
      </c>
      <c r="B5509" t="s">
        <v>28731</v>
      </c>
      <c r="C5509" s="221">
        <v>42986.730914351851</v>
      </c>
      <c r="D5509" t="s">
        <v>28732</v>
      </c>
      <c r="E5509" s="249" t="str">
        <f>HYPERLINK("https://www.instagram.com/p/BYy5T3zAtjs/")</f>
        <v>https://www.instagram.com/p/BYy5T3zAtjs/</v>
      </c>
      <c r="F5509" t="s">
        <v>28733</v>
      </c>
      <c r="G5509" t="s">
        <v>2478</v>
      </c>
      <c r="H5509">
        <v>131</v>
      </c>
      <c r="I5509" t="s">
        <v>3025</v>
      </c>
      <c r="J5509">
        <v>0</v>
      </c>
      <c r="K5509">
        <v>9</v>
      </c>
      <c r="L5509">
        <v>9</v>
      </c>
      <c r="Q5509">
        <v>0</v>
      </c>
      <c r="R5509">
        <v>0</v>
      </c>
      <c r="S5509">
        <v>9</v>
      </c>
      <c r="Y5509" t="s">
        <v>28734</v>
      </c>
      <c r="Z5509" t="s">
        <v>28735</v>
      </c>
      <c r="AA5509" t="s">
        <v>3174</v>
      </c>
      <c r="AB5509" t="s">
        <v>28736</v>
      </c>
      <c r="AC5509" t="s">
        <v>28737</v>
      </c>
      <c r="AD5509" s="249" t="str">
        <f>HYPERLINK("https://scontent.cdninstagram.com/t51.2885-15/s320x320/e35/21569387_1450459328341289_1320651707071332352_n.jpg")</f>
        <v>https://scontent.cdninstagram.com/t51.2885-15/s320x320/e35/21569387_1450459328341289_1320651707071332352_n.jpg</v>
      </c>
      <c r="AE5509" s="249" t="str">
        <f>HYPERLINK("https://scontent.cdninstagram.com/t51.2885-19/s150x150/21690031_132416460719437_9207983671544381440_n.jpg")</f>
        <v>https://scontent.cdninstagram.com/t51.2885-19/s150x150/21690031_132416460719437_9207983671544381440_n.jpg</v>
      </c>
    </row>
    <row r="5510" spans="1:31" ht="15" x14ac:dyDescent="0.25">
      <c r="A5510" t="s">
        <v>2474</v>
      </c>
      <c r="B5510" t="s">
        <v>28738</v>
      </c>
      <c r="C5510" s="221">
        <v>42986.733761574076</v>
      </c>
      <c r="D5510" t="s">
        <v>28739</v>
      </c>
      <c r="E5510" s="249" t="str">
        <f>HYPERLINK("https://www.instagram.com/p/BYy5x2FBRX2/")</f>
        <v>https://www.instagram.com/p/BYy5x2FBRX2/</v>
      </c>
      <c r="F5510" t="s">
        <v>28740</v>
      </c>
      <c r="G5510" t="s">
        <v>2478</v>
      </c>
      <c r="H5510">
        <v>68</v>
      </c>
      <c r="I5510" t="s">
        <v>2910</v>
      </c>
      <c r="J5510">
        <v>1</v>
      </c>
      <c r="K5510">
        <v>20</v>
      </c>
      <c r="L5510">
        <v>21</v>
      </c>
      <c r="Q5510">
        <v>0</v>
      </c>
      <c r="R5510">
        <v>0</v>
      </c>
      <c r="S5510">
        <v>21</v>
      </c>
      <c r="Y5510" t="s">
        <v>4514</v>
      </c>
      <c r="Z5510" t="s">
        <v>28741</v>
      </c>
      <c r="AA5510" t="s">
        <v>28742</v>
      </c>
      <c r="AB5510" t="s">
        <v>12014</v>
      </c>
      <c r="AC5510" t="s">
        <v>2497</v>
      </c>
      <c r="AD5510" s="249" t="str">
        <f>HYPERLINK("https://scontent.cdninstagram.com/t51.2885-15/s320x320/e35/21576411_141898362998648_2905485005683687424_n.jpg")</f>
        <v>https://scontent.cdninstagram.com/t51.2885-15/s320x320/e35/21576411_141898362998648_2905485005683687424_n.jpg</v>
      </c>
      <c r="AE5510" s="249" t="str">
        <f>HYPERLINK("https://scontent.cdninstagram.com/t51.2885-19/s150x150/21148115_166857397196578_2567656514701492224_a.jpg")</f>
        <v>https://scontent.cdninstagram.com/t51.2885-19/s150x150/21148115_166857397196578_2567656514701492224_a.jpg</v>
      </c>
    </row>
    <row r="5511" spans="1:31" ht="15" x14ac:dyDescent="0.25">
      <c r="A5511" t="s">
        <v>2474</v>
      </c>
      <c r="B5511" t="s">
        <v>17158</v>
      </c>
      <c r="C5511" s="221">
        <v>42986.736539351848</v>
      </c>
      <c r="D5511" t="s">
        <v>28743</v>
      </c>
      <c r="E5511" s="249" t="str">
        <f>HYPERLINK("https://www.instagram.com/p/BYy6PIzn8T2/")</f>
        <v>https://www.instagram.com/p/BYy6PIzn8T2/</v>
      </c>
      <c r="F5511" t="s">
        <v>28744</v>
      </c>
      <c r="G5511" t="s">
        <v>2478</v>
      </c>
      <c r="H5511">
        <v>380</v>
      </c>
      <c r="I5511" t="s">
        <v>2479</v>
      </c>
      <c r="J5511">
        <v>16</v>
      </c>
      <c r="K5511">
        <v>42</v>
      </c>
      <c r="L5511">
        <v>58</v>
      </c>
      <c r="Q5511">
        <v>0</v>
      </c>
      <c r="R5511">
        <v>0</v>
      </c>
      <c r="S5511">
        <v>58</v>
      </c>
      <c r="AD5511" s="249" t="str">
        <f>HYPERLINK("https://scontent.cdninstagram.com/t51.2885-15/s320x320/e35/21435706_266662893847836_7607390428526018560_n.jpg")</f>
        <v>https://scontent.cdninstagram.com/t51.2885-15/s320x320/e35/21435706_266662893847836_7607390428526018560_n.jpg</v>
      </c>
      <c r="AE5511" s="249" t="str">
        <f>HYPERLINK("https://scontent.cdninstagram.com/t51.2885-19/s150x150/13658639_315931348749567_46952542_a.jpg")</f>
        <v>https://scontent.cdninstagram.com/t51.2885-19/s150x150/13658639_315931348749567_46952542_a.jpg</v>
      </c>
    </row>
    <row r="5512" spans="1:31" ht="15" x14ac:dyDescent="0.25">
      <c r="A5512" t="s">
        <v>2474</v>
      </c>
      <c r="B5512" t="s">
        <v>28745</v>
      </c>
      <c r="C5512" s="221">
        <v>42986.736643518518</v>
      </c>
      <c r="D5512" t="s">
        <v>28746</v>
      </c>
      <c r="E5512" s="249" t="str">
        <f>HYPERLINK("https://www.instagram.com/p/BYy6QUFBpmH/")</f>
        <v>https://www.instagram.com/p/BYy6QUFBpmH/</v>
      </c>
      <c r="F5512" t="s">
        <v>28747</v>
      </c>
      <c r="G5512" t="s">
        <v>2478</v>
      </c>
      <c r="H5512">
        <v>238</v>
      </c>
      <c r="I5512" t="s">
        <v>2599</v>
      </c>
      <c r="J5512">
        <v>0</v>
      </c>
      <c r="K5512">
        <v>15</v>
      </c>
      <c r="L5512">
        <v>15</v>
      </c>
      <c r="Q5512">
        <v>0</v>
      </c>
      <c r="R5512">
        <v>0</v>
      </c>
      <c r="S5512">
        <v>15</v>
      </c>
      <c r="T5512" t="s">
        <v>2936</v>
      </c>
      <c r="V5512" t="s">
        <v>2288</v>
      </c>
      <c r="W5512">
        <v>51.507114863623997</v>
      </c>
      <c r="X5512">
        <v>-0.12731805236353</v>
      </c>
      <c r="Y5512" t="s">
        <v>28748</v>
      </c>
      <c r="Z5512" t="s">
        <v>28749</v>
      </c>
      <c r="AA5512" t="s">
        <v>28750</v>
      </c>
      <c r="AB5512" t="s">
        <v>28751</v>
      </c>
      <c r="AC5512" t="s">
        <v>28752</v>
      </c>
      <c r="AD5512" s="249" t="str">
        <f>HYPERLINK("https://scontent.cdninstagram.com/t51.2885-15/s320x320/e35/21480084_345125785936673_3539997218859646976_n.jpg")</f>
        <v>https://scontent.cdninstagram.com/t51.2885-15/s320x320/e35/21480084_345125785936673_3539997218859646976_n.jpg</v>
      </c>
      <c r="AE5512" s="249" t="str">
        <f>HYPERLINK("https://scontent.cdninstagram.com/t51.2885-19/s150x150/19367417_439040779803864_6878912877898498048_a.jpg")</f>
        <v>https://scontent.cdninstagram.com/t51.2885-19/s150x150/19367417_439040779803864_6878912877898498048_a.jpg</v>
      </c>
    </row>
    <row r="5513" spans="1:31" ht="15" x14ac:dyDescent="0.25">
      <c r="A5513" t="s">
        <v>2474</v>
      </c>
      <c r="B5513" t="s">
        <v>28753</v>
      </c>
      <c r="C5513" s="221">
        <v>42986.744131944448</v>
      </c>
      <c r="D5513" t="s">
        <v>28754</v>
      </c>
      <c r="E5513" s="249" t="str">
        <f>HYPERLINK("https://www.instagram.com/p/BYy7fQwgaKq/")</f>
        <v>https://www.instagram.com/p/BYy7fQwgaKq/</v>
      </c>
      <c r="F5513" t="s">
        <v>28755</v>
      </c>
      <c r="G5513" t="s">
        <v>2478</v>
      </c>
      <c r="H5513">
        <v>96</v>
      </c>
      <c r="I5513" t="s">
        <v>4062</v>
      </c>
      <c r="J5513">
        <v>6</v>
      </c>
      <c r="K5513">
        <v>12</v>
      </c>
      <c r="L5513">
        <v>18</v>
      </c>
      <c r="Q5513">
        <v>0</v>
      </c>
      <c r="R5513">
        <v>0</v>
      </c>
      <c r="S5513">
        <v>18</v>
      </c>
      <c r="Y5513" t="s">
        <v>28756</v>
      </c>
      <c r="Z5513" t="s">
        <v>28757</v>
      </c>
      <c r="AA5513" t="s">
        <v>28758</v>
      </c>
      <c r="AB5513" t="s">
        <v>28759</v>
      </c>
      <c r="AC5513" t="s">
        <v>28760</v>
      </c>
      <c r="AD5513" s="249" t="str">
        <f>HYPERLINK("https://scontent.cdninstagram.com/t51.2885-15/s320x320/e35/21480135_515089352170070_9098693796291411968_n.jpg")</f>
        <v>https://scontent.cdninstagram.com/t51.2885-15/s320x320/e35/21480135_515089352170070_9098693796291411968_n.jpg</v>
      </c>
      <c r="AE5513" s="249" t="str">
        <f>HYPERLINK("https://scontent.cdninstagram.com/t51.2885-19/s150x150/20688240_2006654456026736_4715105596804694016_a.jpg")</f>
        <v>https://scontent.cdninstagram.com/t51.2885-19/s150x150/20688240_2006654456026736_4715105596804694016_a.jpg</v>
      </c>
    </row>
    <row r="5514" spans="1:31" ht="15" x14ac:dyDescent="0.25">
      <c r="A5514" t="s">
        <v>2474</v>
      </c>
      <c r="B5514" t="s">
        <v>28761</v>
      </c>
      <c r="C5514" s="221">
        <v>42986.748171296298</v>
      </c>
      <c r="D5514" t="s">
        <v>28762</v>
      </c>
      <c r="E5514" s="249" t="str">
        <f>HYPERLINK("https://www.instagram.com/p/BYy8J7KjKYb/")</f>
        <v>https://www.instagram.com/p/BYy8J7KjKYb/</v>
      </c>
      <c r="F5514" t="s">
        <v>28763</v>
      </c>
      <c r="G5514" t="s">
        <v>2478</v>
      </c>
      <c r="H5514">
        <v>1000</v>
      </c>
      <c r="I5514" t="s">
        <v>2479</v>
      </c>
      <c r="J5514">
        <v>2</v>
      </c>
      <c r="K5514">
        <v>25</v>
      </c>
      <c r="L5514">
        <v>27</v>
      </c>
      <c r="Q5514">
        <v>0</v>
      </c>
      <c r="R5514">
        <v>0</v>
      </c>
      <c r="S5514">
        <v>27</v>
      </c>
      <c r="Y5514" t="s">
        <v>2497</v>
      </c>
      <c r="Z5514" t="s">
        <v>28764</v>
      </c>
      <c r="AA5514" t="s">
        <v>28765</v>
      </c>
      <c r="AD5514" s="249" t="str">
        <f>HYPERLINK("https://scontent.cdninstagram.com/t51.2885-15/e35/p320x320/21436273_131426340815067_7459058514573393920_n.jpg")</f>
        <v>https://scontent.cdninstagram.com/t51.2885-15/e35/p320x320/21436273_131426340815067_7459058514573393920_n.jpg</v>
      </c>
      <c r="AE5514" s="249" t="str">
        <f>HYPERLINK("https://scontent.cdninstagram.com/t51.2885-19/s150x150/20902664_151815562064776_5350210609956782080_a.jpg")</f>
        <v>https://scontent.cdninstagram.com/t51.2885-19/s150x150/20902664_151815562064776_5350210609956782080_a.jpg</v>
      </c>
    </row>
    <row r="5515" spans="1:31" ht="15" x14ac:dyDescent="0.25">
      <c r="A5515" t="s">
        <v>2474</v>
      </c>
      <c r="B5515" t="s">
        <v>8061</v>
      </c>
      <c r="C5515" s="221">
        <v>42986.758935185186</v>
      </c>
      <c r="D5515" t="s">
        <v>28766</v>
      </c>
      <c r="E5515" s="249" t="str">
        <f>HYPERLINK("https://www.instagram.com/p/BYy97YWBOhw/")</f>
        <v>https://www.instagram.com/p/BYy97YWBOhw/</v>
      </c>
      <c r="F5515" t="s">
        <v>28767</v>
      </c>
      <c r="G5515" t="s">
        <v>2478</v>
      </c>
      <c r="H5515">
        <v>232</v>
      </c>
      <c r="I5515" t="s">
        <v>2896</v>
      </c>
      <c r="J5515">
        <v>0</v>
      </c>
      <c r="K5515">
        <v>30</v>
      </c>
      <c r="L5515">
        <v>30</v>
      </c>
      <c r="Q5515">
        <v>0</v>
      </c>
      <c r="R5515">
        <v>0</v>
      </c>
      <c r="S5515">
        <v>30</v>
      </c>
      <c r="Y5515" t="s">
        <v>3174</v>
      </c>
      <c r="Z5515" t="s">
        <v>8064</v>
      </c>
      <c r="AA5515" t="s">
        <v>11891</v>
      </c>
      <c r="AB5515" t="s">
        <v>4808</v>
      </c>
      <c r="AC5515" t="s">
        <v>4180</v>
      </c>
      <c r="AD5515" s="249" t="str">
        <f>HYPERLINK("https://scontent.cdninstagram.com/t51.2885-15/s320x320/e35/21435379_333342577128725_5357355073305313280_n.jpg")</f>
        <v>https://scontent.cdninstagram.com/t51.2885-15/s320x320/e35/21435379_333342577128725_5357355073305313280_n.jpg</v>
      </c>
      <c r="AE5515" s="249" t="str">
        <f>HYPERLINK("https://scontent.cdninstagram.com/t51.2885-19/s150x150/18382176_507508806040181_2168538097376034816_a.jpg")</f>
        <v>https://scontent.cdninstagram.com/t51.2885-19/s150x150/18382176_507508806040181_2168538097376034816_a.jpg</v>
      </c>
    </row>
    <row r="5516" spans="1:31" ht="15" x14ac:dyDescent="0.25">
      <c r="A5516" t="s">
        <v>2474</v>
      </c>
      <c r="B5516" t="s">
        <v>28768</v>
      </c>
      <c r="C5516" s="221">
        <v>42986.763298611113</v>
      </c>
      <c r="D5516" t="s">
        <v>28769</v>
      </c>
      <c r="E5516" s="249" t="str">
        <f>HYPERLINK("https://www.instagram.com/p/BYy-pZyFii1/")</f>
        <v>https://www.instagram.com/p/BYy-pZyFii1/</v>
      </c>
      <c r="F5516" t="s">
        <v>28770</v>
      </c>
      <c r="G5516" t="s">
        <v>2478</v>
      </c>
      <c r="H5516">
        <v>1830</v>
      </c>
      <c r="I5516" t="s">
        <v>4052</v>
      </c>
      <c r="J5516">
        <v>1</v>
      </c>
      <c r="K5516">
        <v>150</v>
      </c>
      <c r="L5516">
        <v>151</v>
      </c>
      <c r="Q5516">
        <v>0</v>
      </c>
      <c r="R5516">
        <v>0</v>
      </c>
      <c r="S5516">
        <v>151</v>
      </c>
      <c r="Y5516" t="s">
        <v>2483</v>
      </c>
      <c r="Z5516" t="s">
        <v>14607</v>
      </c>
      <c r="AA5516" t="s">
        <v>10195</v>
      </c>
      <c r="AB5516" t="s">
        <v>2861</v>
      </c>
      <c r="AC5516" t="s">
        <v>3157</v>
      </c>
      <c r="AD5516" s="249" t="str">
        <f>HYPERLINK("https://scontent.cdninstagram.com/t51.2885-15/s320x320/e35/21434007_169839760249742_4285034466868461568_n.jpg")</f>
        <v>https://scontent.cdninstagram.com/t51.2885-15/s320x320/e35/21434007_169839760249742_4285034466868461568_n.jpg</v>
      </c>
      <c r="AE5516" s="249" t="str">
        <f>HYPERLINK("https://scontent.cdninstagram.com/t51.2885-19/s150x150/13099047_1696629740577649_2065438333_a.jpg")</f>
        <v>https://scontent.cdninstagram.com/t51.2885-19/s150x150/13099047_1696629740577649_2065438333_a.jpg</v>
      </c>
    </row>
    <row r="5517" spans="1:31" ht="15" x14ac:dyDescent="0.25">
      <c r="A5517" t="s">
        <v>2474</v>
      </c>
      <c r="B5517" t="s">
        <v>6479</v>
      </c>
      <c r="C5517" s="221">
        <v>42986.766493055555</v>
      </c>
      <c r="D5517" t="s">
        <v>28771</v>
      </c>
      <c r="E5517" s="249" t="str">
        <f>HYPERLINK("https://www.instagram.com/p/BYy_LI3F0En/")</f>
        <v>https://www.instagram.com/p/BYy_LI3F0En/</v>
      </c>
      <c r="F5517" t="s">
        <v>28772</v>
      </c>
      <c r="G5517" t="s">
        <v>2478</v>
      </c>
      <c r="H5517">
        <v>82535</v>
      </c>
      <c r="I5517" t="s">
        <v>2479</v>
      </c>
      <c r="J5517">
        <v>28</v>
      </c>
      <c r="K5517">
        <v>3490</v>
      </c>
      <c r="L5517">
        <v>3518</v>
      </c>
      <c r="Q5517">
        <v>0</v>
      </c>
      <c r="R5517">
        <v>0</v>
      </c>
      <c r="S5517">
        <v>3518</v>
      </c>
      <c r="AD5517" s="249" t="str">
        <f>HYPERLINK("https://scontent.cdninstagram.com/t51.2885-15/s320x320/e35/21373721_123266405067252_8453284155868839936_n.jpg")</f>
        <v>https://scontent.cdninstagram.com/t51.2885-15/s320x320/e35/21373721_123266405067252_8453284155868839936_n.jpg</v>
      </c>
      <c r="AE5517" s="249" t="str">
        <f>HYPERLINK("https://scontent.cdninstagram.com/t51.2885-19/s150x150/17439144_1895752470643302_743998926780104704_n.jpg")</f>
        <v>https://scontent.cdninstagram.com/t51.2885-19/s150x150/17439144_1895752470643302_743998926780104704_n.jpg</v>
      </c>
    </row>
    <row r="5518" spans="1:31" ht="15" x14ac:dyDescent="0.25">
      <c r="A5518" t="s">
        <v>2474</v>
      </c>
      <c r="B5518" t="s">
        <v>3206</v>
      </c>
      <c r="C5518" s="221">
        <v>42986.770914351851</v>
      </c>
      <c r="D5518" t="s">
        <v>28773</v>
      </c>
      <c r="E5518" s="249" t="str">
        <f>HYPERLINK("https://www.instagram.com/p/BYy_5vfFYHw/")</f>
        <v>https://www.instagram.com/p/BYy_5vfFYHw/</v>
      </c>
      <c r="F5518" t="s">
        <v>28774</v>
      </c>
      <c r="G5518" t="s">
        <v>2478</v>
      </c>
      <c r="H5518">
        <v>239</v>
      </c>
      <c r="I5518" t="s">
        <v>2582</v>
      </c>
      <c r="J5518">
        <v>0</v>
      </c>
      <c r="K5518">
        <v>2</v>
      </c>
      <c r="L5518">
        <v>2</v>
      </c>
      <c r="Q5518">
        <v>0</v>
      </c>
      <c r="R5518">
        <v>0</v>
      </c>
      <c r="S5518">
        <v>2</v>
      </c>
      <c r="Y5518" t="s">
        <v>3514</v>
      </c>
      <c r="Z5518" t="s">
        <v>2497</v>
      </c>
      <c r="AA5518" t="s">
        <v>28775</v>
      </c>
      <c r="AB5518" t="s">
        <v>28776</v>
      </c>
      <c r="AC5518" t="s">
        <v>2769</v>
      </c>
      <c r="AD5518" s="249" t="str">
        <f>HYPERLINK("https://scontent.cdninstagram.com/t51.2885-15/s320x320/e35/21435765_286238405211291_2170183486462230528_n.jpg")</f>
        <v>https://scontent.cdninstagram.com/t51.2885-15/s320x320/e35/21435765_286238405211291_2170183486462230528_n.jpg</v>
      </c>
      <c r="AE5518" s="249" t="str">
        <f>HYPERLINK("https://scontent.cdninstagram.com/t51.2885-19/s150x150/20214010_123762504909314_3215645463373938688_a.jpg")</f>
        <v>https://scontent.cdninstagram.com/t51.2885-19/s150x150/20214010_123762504909314_3215645463373938688_a.jpg</v>
      </c>
    </row>
    <row r="5519" spans="1:31" ht="15" x14ac:dyDescent="0.25">
      <c r="A5519" t="s">
        <v>2474</v>
      </c>
      <c r="B5519" t="s">
        <v>28777</v>
      </c>
      <c r="C5519" s="221">
        <v>42986.774826388886</v>
      </c>
      <c r="D5519" t="s">
        <v>28778</v>
      </c>
      <c r="E5519" s="249" t="str">
        <f>HYPERLINK("https://www.instagram.com/p/BYzAi-lAfCQ/")</f>
        <v>https://www.instagram.com/p/BYzAi-lAfCQ/</v>
      </c>
      <c r="F5519" t="s">
        <v>28779</v>
      </c>
      <c r="G5519" t="s">
        <v>2478</v>
      </c>
      <c r="H5519">
        <v>1196</v>
      </c>
      <c r="I5519" t="s">
        <v>2479</v>
      </c>
      <c r="J5519">
        <v>0</v>
      </c>
      <c r="K5519">
        <v>26</v>
      </c>
      <c r="L5519">
        <v>26</v>
      </c>
      <c r="Q5519">
        <v>0</v>
      </c>
      <c r="R5519">
        <v>0</v>
      </c>
      <c r="S5519">
        <v>26</v>
      </c>
      <c r="T5519" t="s">
        <v>28780</v>
      </c>
      <c r="U5519" t="s">
        <v>1432</v>
      </c>
      <c r="V5519" t="s">
        <v>2299</v>
      </c>
      <c r="W5519">
        <v>44.34</v>
      </c>
      <c r="X5519">
        <v>-85.58</v>
      </c>
      <c r="Y5519" t="s">
        <v>4761</v>
      </c>
      <c r="Z5519" t="s">
        <v>28781</v>
      </c>
      <c r="AA5519" t="s">
        <v>2718</v>
      </c>
      <c r="AB5519" t="s">
        <v>28782</v>
      </c>
      <c r="AC5519" t="s">
        <v>28783</v>
      </c>
      <c r="AD5519" s="249" t="str">
        <f>HYPERLINK("https://scontent.cdninstagram.com/t51.2885-15/s320x320/e35/21433626_503430499993635_8091049418737844224_n.jpg")</f>
        <v>https://scontent.cdninstagram.com/t51.2885-15/s320x320/e35/21433626_503430499993635_8091049418737844224_n.jpg</v>
      </c>
      <c r="AE5519" s="249" t="str">
        <f>HYPERLINK("https://scontent.cdninstagram.com/t51.2885-19/s150x150/18161249_757600657742241_3793732200101314560_a.jpg")</f>
        <v>https://scontent.cdninstagram.com/t51.2885-19/s150x150/18161249_757600657742241_3793732200101314560_a.jpg</v>
      </c>
    </row>
    <row r="5520" spans="1:31" ht="15" x14ac:dyDescent="0.25">
      <c r="A5520" t="s">
        <v>2474</v>
      </c>
      <c r="B5520" t="s">
        <v>28784</v>
      </c>
      <c r="C5520" s="221">
        <v>42986.77783564815</v>
      </c>
      <c r="D5520" t="s">
        <v>28785</v>
      </c>
      <c r="E5520" s="249" t="str">
        <f>HYPERLINK("https://www.instagram.com/p/BYzBCylnm01/")</f>
        <v>https://www.instagram.com/p/BYzBCylnm01/</v>
      </c>
      <c r="F5520" t="s">
        <v>28786</v>
      </c>
      <c r="G5520" t="s">
        <v>2478</v>
      </c>
      <c r="H5520">
        <v>1898</v>
      </c>
      <c r="I5520" t="s">
        <v>2479</v>
      </c>
      <c r="J5520">
        <v>1</v>
      </c>
      <c r="K5520">
        <v>87</v>
      </c>
      <c r="L5520">
        <v>88</v>
      </c>
      <c r="Q5520">
        <v>0</v>
      </c>
      <c r="R5520">
        <v>0</v>
      </c>
      <c r="S5520">
        <v>88</v>
      </c>
      <c r="Y5520" t="s">
        <v>2575</v>
      </c>
      <c r="Z5520" t="s">
        <v>4253</v>
      </c>
      <c r="AA5520" t="s">
        <v>3706</v>
      </c>
      <c r="AB5520" t="s">
        <v>28787</v>
      </c>
      <c r="AC5520" t="s">
        <v>9299</v>
      </c>
      <c r="AD5520" s="249" t="str">
        <f>HYPERLINK("https://scontent.cdninstagram.com/t51.2885-15/s320x320/e35/21480482_206634806538657_1718279178039590912_n.jpg")</f>
        <v>https://scontent.cdninstagram.com/t51.2885-15/s320x320/e35/21480482_206634806538657_1718279178039590912_n.jpg</v>
      </c>
      <c r="AE5520" s="249" t="str">
        <f>HYPERLINK("https://scontent.cdninstagram.com/t51.2885-19/s150x150/1517149_160384954327926_2105601504_a.jpg")</f>
        <v>https://scontent.cdninstagram.com/t51.2885-19/s150x150/1517149_160384954327926_2105601504_a.jpg</v>
      </c>
    </row>
    <row r="5521" spans="1:31" ht="15" x14ac:dyDescent="0.25">
      <c r="A5521" t="s">
        <v>2474</v>
      </c>
      <c r="B5521" t="s">
        <v>7232</v>
      </c>
      <c r="C5521" s="221">
        <v>42986.783842592595</v>
      </c>
      <c r="D5521" t="s">
        <v>28788</v>
      </c>
      <c r="E5521" s="249" t="str">
        <f>HYPERLINK("https://www.instagram.com/p/BYzCCJvnKho/")</f>
        <v>https://www.instagram.com/p/BYzCCJvnKho/</v>
      </c>
      <c r="F5521" t="s">
        <v>28789</v>
      </c>
      <c r="G5521" t="s">
        <v>2478</v>
      </c>
      <c r="H5521">
        <v>518</v>
      </c>
      <c r="I5521" t="s">
        <v>2479</v>
      </c>
      <c r="J5521">
        <v>10</v>
      </c>
      <c r="K5521">
        <v>19</v>
      </c>
      <c r="L5521">
        <v>29</v>
      </c>
      <c r="Q5521">
        <v>0</v>
      </c>
      <c r="R5521">
        <v>0</v>
      </c>
      <c r="S5521">
        <v>29</v>
      </c>
      <c r="Y5521" t="s">
        <v>12637</v>
      </c>
      <c r="Z5521" t="s">
        <v>12174</v>
      </c>
      <c r="AA5521" t="s">
        <v>4975</v>
      </c>
      <c r="AB5521" t="s">
        <v>7236</v>
      </c>
      <c r="AC5521" t="s">
        <v>2968</v>
      </c>
      <c r="AD5521" s="249" t="str">
        <f>HYPERLINK("https://scontent.cdninstagram.com/t51.2885-15/s320x320/e35/21434279_2033827056853411_6647064444406857728_n.jpg")</f>
        <v>https://scontent.cdninstagram.com/t51.2885-15/s320x320/e35/21434279_2033827056853411_6647064444406857728_n.jpg</v>
      </c>
      <c r="AE5521" s="249" t="str">
        <f>HYPERLINK("https://scontent.cdninstagram.com/t51.2885-19/s150x150/14482263_1660577494243200_2334360342223650816_a.jpg")</f>
        <v>https://scontent.cdninstagram.com/t51.2885-19/s150x150/14482263_1660577494243200_2334360342223650816_a.jpg</v>
      </c>
    </row>
    <row r="5522" spans="1:31" ht="15" x14ac:dyDescent="0.25">
      <c r="A5522" t="s">
        <v>2474</v>
      </c>
      <c r="B5522" t="s">
        <v>28790</v>
      </c>
      <c r="C5522" s="221">
        <v>42986.818564814814</v>
      </c>
      <c r="D5522" t="s">
        <v>28791</v>
      </c>
      <c r="E5522" s="249" t="str">
        <f>HYPERLINK("https://www.instagram.com/p/BYzHwPwFD9H/")</f>
        <v>https://www.instagram.com/p/BYzHwPwFD9H/</v>
      </c>
      <c r="F5522" t="s">
        <v>28792</v>
      </c>
      <c r="G5522" t="s">
        <v>2631</v>
      </c>
      <c r="H5522">
        <v>64</v>
      </c>
      <c r="I5522" t="s">
        <v>3170</v>
      </c>
      <c r="J5522">
        <v>0</v>
      </c>
      <c r="K5522">
        <v>10</v>
      </c>
      <c r="L5522">
        <v>10</v>
      </c>
      <c r="Q5522">
        <v>0</v>
      </c>
      <c r="R5522">
        <v>0</v>
      </c>
      <c r="S5522">
        <v>10</v>
      </c>
      <c r="Y5522" t="s">
        <v>15845</v>
      </c>
      <c r="Z5522" t="s">
        <v>28793</v>
      </c>
      <c r="AA5522" t="s">
        <v>28794</v>
      </c>
      <c r="AB5522" t="s">
        <v>8957</v>
      </c>
      <c r="AC5522" t="s">
        <v>28795</v>
      </c>
      <c r="AD5522" s="249" t="str">
        <f>HYPERLINK("https://scontent.cdninstagram.com/t51.2885-15/s320x320/e15/21435581_137909173492276_71478142820155392_n.jpg")</f>
        <v>https://scontent.cdninstagram.com/t51.2885-15/s320x320/e15/21435581_137909173492276_71478142820155392_n.jpg</v>
      </c>
      <c r="AE5522" s="249" t="str">
        <f>HYPERLINK("https://scontent.cdninstagram.com/t51.2885-19/s150x150/21480479_478548219178071_1748856523393597440_a.jpg")</f>
        <v>https://scontent.cdninstagram.com/t51.2885-19/s150x150/21480479_478548219178071_1748856523393597440_a.jpg</v>
      </c>
    </row>
    <row r="5523" spans="1:31" ht="15" x14ac:dyDescent="0.25">
      <c r="A5523" t="s">
        <v>2474</v>
      </c>
      <c r="B5523" t="s">
        <v>7232</v>
      </c>
      <c r="C5523" s="221">
        <v>42986.820775462962</v>
      </c>
      <c r="D5523" t="s">
        <v>28796</v>
      </c>
      <c r="E5523" s="249" t="str">
        <f>HYPERLINK("https://www.instagram.com/p/BYzIHlrnB93/")</f>
        <v>https://www.instagram.com/p/BYzIHlrnB93/</v>
      </c>
      <c r="F5523" t="s">
        <v>28797</v>
      </c>
      <c r="G5523" t="s">
        <v>2478</v>
      </c>
      <c r="H5523">
        <v>518</v>
      </c>
      <c r="I5523" t="s">
        <v>2542</v>
      </c>
      <c r="J5523">
        <v>3</v>
      </c>
      <c r="K5523">
        <v>49</v>
      </c>
      <c r="L5523">
        <v>52</v>
      </c>
      <c r="Q5523">
        <v>0</v>
      </c>
      <c r="R5523">
        <v>0</v>
      </c>
      <c r="S5523">
        <v>52</v>
      </c>
      <c r="Y5523" t="s">
        <v>12637</v>
      </c>
      <c r="Z5523" t="s">
        <v>12174</v>
      </c>
      <c r="AA5523" t="s">
        <v>4975</v>
      </c>
      <c r="AB5523" t="s">
        <v>7236</v>
      </c>
      <c r="AC5523" t="s">
        <v>2968</v>
      </c>
      <c r="AD5523" s="249" t="str">
        <f>HYPERLINK("https://scontent.cdninstagram.com/t51.2885-15/e35/p320x320/21435942_514257918905906_753093008928276480_n.jpg")</f>
        <v>https://scontent.cdninstagram.com/t51.2885-15/e35/p320x320/21435942_514257918905906_753093008928276480_n.jpg</v>
      </c>
      <c r="AE5523" s="249" t="str">
        <f>HYPERLINK("https://scontent.cdninstagram.com/t51.2885-19/s150x150/14482263_1660577494243200_2334360342223650816_a.jpg")</f>
        <v>https://scontent.cdninstagram.com/t51.2885-19/s150x150/14482263_1660577494243200_2334360342223650816_a.jpg</v>
      </c>
    </row>
    <row r="5524" spans="1:31" ht="15" x14ac:dyDescent="0.25">
      <c r="A5524" t="s">
        <v>2474</v>
      </c>
      <c r="B5524" t="s">
        <v>7152</v>
      </c>
      <c r="C5524" s="221">
        <v>42986.823136574072</v>
      </c>
      <c r="D5524" t="s">
        <v>28798</v>
      </c>
      <c r="E5524" s="249" t="str">
        <f>HYPERLINK("https://www.instagram.com/p/BYzIgftDOKk/")</f>
        <v>https://www.instagram.com/p/BYzIgftDOKk/</v>
      </c>
      <c r="F5524" t="s">
        <v>28799</v>
      </c>
      <c r="G5524" t="s">
        <v>2478</v>
      </c>
      <c r="H5524">
        <v>116</v>
      </c>
      <c r="I5524" t="s">
        <v>2542</v>
      </c>
      <c r="J5524">
        <v>2</v>
      </c>
      <c r="K5524">
        <v>21</v>
      </c>
      <c r="L5524">
        <v>23</v>
      </c>
      <c r="Q5524">
        <v>0</v>
      </c>
      <c r="R5524">
        <v>0</v>
      </c>
      <c r="S5524">
        <v>23</v>
      </c>
      <c r="Y5524" t="s">
        <v>8264</v>
      </c>
      <c r="Z5524" t="s">
        <v>7900</v>
      </c>
      <c r="AA5524" t="s">
        <v>7155</v>
      </c>
      <c r="AB5524" t="s">
        <v>2551</v>
      </c>
      <c r="AC5524" t="s">
        <v>10979</v>
      </c>
      <c r="AD5524" s="249" t="str">
        <f>HYPERLINK("https://scontent.cdninstagram.com/t51.2885-15/s320x320/e35/21435628_470360013349818_4007008615184465920_n.jpg")</f>
        <v>https://scontent.cdninstagram.com/t51.2885-15/s320x320/e35/21435628_470360013349818_4007008615184465920_n.jpg</v>
      </c>
      <c r="AE5524" s="249" t="str">
        <f>HYPERLINK("https://scontent.cdninstagram.com/t51.2885-19/s150x150/20181062_1791856511105718_4709893984703479808_a.jpg")</f>
        <v>https://scontent.cdninstagram.com/t51.2885-19/s150x150/20181062_1791856511105718_4709893984703479808_a.jpg</v>
      </c>
    </row>
    <row r="5525" spans="1:31" ht="15" x14ac:dyDescent="0.25">
      <c r="A5525" t="s">
        <v>2474</v>
      </c>
      <c r="B5525" t="s">
        <v>23337</v>
      </c>
      <c r="C5525" s="221">
        <v>42986.83021990741</v>
      </c>
      <c r="D5525" t="s">
        <v>28800</v>
      </c>
      <c r="E5525" s="249" t="str">
        <f>HYPERLINK("https://www.instagram.com/p/BYzJrOanhEf/")</f>
        <v>https://www.instagram.com/p/BYzJrOanhEf/</v>
      </c>
      <c r="F5525" t="s">
        <v>28801</v>
      </c>
      <c r="G5525" t="s">
        <v>2488</v>
      </c>
      <c r="H5525">
        <v>85</v>
      </c>
      <c r="I5525" t="s">
        <v>2479</v>
      </c>
      <c r="J5525">
        <v>2</v>
      </c>
      <c r="K5525">
        <v>25</v>
      </c>
      <c r="L5525">
        <v>27</v>
      </c>
      <c r="Q5525">
        <v>0</v>
      </c>
      <c r="R5525">
        <v>0</v>
      </c>
      <c r="S5525">
        <v>27</v>
      </c>
      <c r="T5525" t="s">
        <v>28802</v>
      </c>
      <c r="V5525" t="s">
        <v>2125</v>
      </c>
      <c r="W5525">
        <v>49.2271</v>
      </c>
      <c r="X5525">
        <v>-123.018</v>
      </c>
      <c r="Y5525" t="s">
        <v>22384</v>
      </c>
      <c r="Z5525" t="s">
        <v>11801</v>
      </c>
      <c r="AA5525" t="s">
        <v>7264</v>
      </c>
      <c r="AB5525" t="s">
        <v>4620</v>
      </c>
      <c r="AC5525" t="s">
        <v>2497</v>
      </c>
      <c r="AD5525" s="249" t="str">
        <f>HYPERLINK("https://scontent.cdninstagram.com/t51.2885-15/s320x320/e35/21433281_337810683346303_156579930493157376_n.jpg")</f>
        <v>https://scontent.cdninstagram.com/t51.2885-15/s320x320/e35/21433281_337810683346303_156579930493157376_n.jpg</v>
      </c>
      <c r="AE5525" s="249" t="str">
        <f>HYPERLINK("https://scontent.cdninstagram.com/t51.2885-19/s150x150/20837596_173660393178697_7240552938152656896_a.jpg")</f>
        <v>https://scontent.cdninstagram.com/t51.2885-19/s150x150/20837596_173660393178697_7240552938152656896_a.jpg</v>
      </c>
    </row>
    <row r="5526" spans="1:31" ht="15" x14ac:dyDescent="0.25">
      <c r="A5526" t="s">
        <v>2474</v>
      </c>
      <c r="B5526" t="s">
        <v>7647</v>
      </c>
      <c r="C5526" s="221">
        <v>42986.832256944443</v>
      </c>
      <c r="D5526" t="s">
        <v>28803</v>
      </c>
      <c r="E5526" s="249" t="str">
        <f>HYPERLINK("https://www.instagram.com/p/BYzKAwVgrZg/")</f>
        <v>https://www.instagram.com/p/BYzKAwVgrZg/</v>
      </c>
      <c r="F5526" t="s">
        <v>28804</v>
      </c>
      <c r="G5526" t="s">
        <v>2478</v>
      </c>
      <c r="H5526">
        <v>88</v>
      </c>
      <c r="I5526" t="s">
        <v>2910</v>
      </c>
      <c r="J5526">
        <v>0</v>
      </c>
      <c r="K5526">
        <v>11</v>
      </c>
      <c r="L5526">
        <v>11</v>
      </c>
      <c r="Q5526">
        <v>0</v>
      </c>
      <c r="R5526">
        <v>0</v>
      </c>
      <c r="S5526">
        <v>11</v>
      </c>
      <c r="T5526" t="s">
        <v>28805</v>
      </c>
      <c r="V5526" t="s">
        <v>2182</v>
      </c>
      <c r="W5526">
        <v>46.357827999999998</v>
      </c>
      <c r="X5526">
        <v>11.434193</v>
      </c>
      <c r="Y5526" t="s">
        <v>28806</v>
      </c>
      <c r="Z5526" t="s">
        <v>28807</v>
      </c>
      <c r="AA5526" t="s">
        <v>15260</v>
      </c>
      <c r="AB5526" t="s">
        <v>28808</v>
      </c>
      <c r="AC5526" t="s">
        <v>14190</v>
      </c>
      <c r="AD5526" s="249" t="str">
        <f>HYPERLINK("https://scontent.cdninstagram.com/t51.2885-15/s320x320/e35/21569027_131763774111585_4237049863876902912_n.jpg")</f>
        <v>https://scontent.cdninstagram.com/t51.2885-15/s320x320/e35/21569027_131763774111585_4237049863876902912_n.jpg</v>
      </c>
      <c r="AE5526" s="249" t="str">
        <f>HYPERLINK("https://scontent.cdninstagram.com/t51.2885-19/s150x150/21689860_347057945706116_567828057017024512_n.jpg")</f>
        <v>https://scontent.cdninstagram.com/t51.2885-19/s150x150/21689860_347057945706116_567828057017024512_n.jpg</v>
      </c>
    </row>
    <row r="5527" spans="1:31" ht="15" x14ac:dyDescent="0.25">
      <c r="A5527" t="s">
        <v>2474</v>
      </c>
      <c r="B5527" t="s">
        <v>7185</v>
      </c>
      <c r="C5527" s="221">
        <v>42986.850706018522</v>
      </c>
      <c r="D5527" t="s">
        <v>28809</v>
      </c>
      <c r="E5527" s="249" t="str">
        <f>HYPERLINK("https://www.instagram.com/p/BYzNDVqBskv/")</f>
        <v>https://www.instagram.com/p/BYzNDVqBskv/</v>
      </c>
      <c r="F5527" t="s">
        <v>28810</v>
      </c>
      <c r="G5527" t="s">
        <v>2478</v>
      </c>
      <c r="H5527">
        <v>677</v>
      </c>
      <c r="I5527" t="s">
        <v>2479</v>
      </c>
      <c r="J5527">
        <v>3</v>
      </c>
      <c r="K5527">
        <v>119</v>
      </c>
      <c r="L5527">
        <v>122</v>
      </c>
      <c r="Q5527">
        <v>0</v>
      </c>
      <c r="R5527">
        <v>0</v>
      </c>
      <c r="S5527">
        <v>122</v>
      </c>
      <c r="T5527" t="s">
        <v>28811</v>
      </c>
      <c r="V5527" t="s">
        <v>2234</v>
      </c>
      <c r="W5527">
        <v>8.9666700000000006</v>
      </c>
      <c r="X5527">
        <v>-79.533299999999997</v>
      </c>
      <c r="Y5527" t="s">
        <v>16435</v>
      </c>
      <c r="Z5527" t="s">
        <v>8328</v>
      </c>
      <c r="AA5527" t="s">
        <v>7190</v>
      </c>
      <c r="AB5527" t="s">
        <v>7001</v>
      </c>
      <c r="AC5527" t="s">
        <v>28812</v>
      </c>
      <c r="AD5527" s="249" t="str">
        <f>HYPERLINK("https://scontent.cdninstagram.com/t51.2885-15/e35/p320x320/21568954_681728822022763_7487735384143560704_n.jpg")</f>
        <v>https://scontent.cdninstagram.com/t51.2885-15/e35/p320x320/21568954_681728822022763_7487735384143560704_n.jpg</v>
      </c>
      <c r="AE5527" s="249" t="str">
        <f>HYPERLINK("https://scontent.cdninstagram.com/t51.2885-19/s150x150/17882752_1488967831123186_392500985118851072_a.jpg")</f>
        <v>https://scontent.cdninstagram.com/t51.2885-19/s150x150/17882752_1488967831123186_392500985118851072_a.jpg</v>
      </c>
    </row>
    <row r="5528" spans="1:31" ht="15" x14ac:dyDescent="0.25">
      <c r="A5528" t="s">
        <v>2474</v>
      </c>
      <c r="B5528" t="s">
        <v>19494</v>
      </c>
      <c r="C5528" s="221">
        <v>42986.860729166663</v>
      </c>
      <c r="D5528" t="s">
        <v>28813</v>
      </c>
      <c r="E5528" s="249" t="str">
        <f>HYPERLINK("https://www.instagram.com/p/BYzOs9cjsWq/")</f>
        <v>https://www.instagram.com/p/BYzOs9cjsWq/</v>
      </c>
      <c r="F5528" t="s">
        <v>28814</v>
      </c>
      <c r="G5528" t="s">
        <v>2488</v>
      </c>
      <c r="H5528">
        <v>224</v>
      </c>
      <c r="I5528" t="s">
        <v>2479</v>
      </c>
      <c r="J5528">
        <v>2</v>
      </c>
      <c r="K5528">
        <v>35</v>
      </c>
      <c r="L5528">
        <v>37</v>
      </c>
      <c r="Q5528">
        <v>0</v>
      </c>
      <c r="R5528">
        <v>0</v>
      </c>
      <c r="S5528">
        <v>37</v>
      </c>
      <c r="Y5528" t="s">
        <v>2617</v>
      </c>
      <c r="Z5528" t="s">
        <v>28815</v>
      </c>
      <c r="AA5528" t="s">
        <v>4369</v>
      </c>
      <c r="AB5528" t="s">
        <v>19497</v>
      </c>
      <c r="AC5528" t="s">
        <v>2497</v>
      </c>
      <c r="AD5528" s="249" t="str">
        <f>HYPERLINK("https://scontent.cdninstagram.com/t51.2885-15/e35/p320x320/21434201_1967998826816003_4078316402421792768_n.jpg")</f>
        <v>https://scontent.cdninstagram.com/t51.2885-15/e35/p320x320/21434201_1967998826816003_4078316402421792768_n.jpg</v>
      </c>
      <c r="AE5528" s="249" t="str">
        <f>HYPERLINK("https://scontent.cdninstagram.com/t51.2885-19/s150x150/19436273_439558023074986_5957836993579712512_a.jpg")</f>
        <v>https://scontent.cdninstagram.com/t51.2885-19/s150x150/19436273_439558023074986_5957836993579712512_a.jpg</v>
      </c>
    </row>
    <row r="5529" spans="1:31" ht="15" x14ac:dyDescent="0.25">
      <c r="A5529" t="s">
        <v>2474</v>
      </c>
      <c r="B5529" t="s">
        <v>26420</v>
      </c>
      <c r="C5529" s="221">
        <v>42986.874675925923</v>
      </c>
      <c r="D5529" t="s">
        <v>28816</v>
      </c>
      <c r="E5529" s="249" t="str">
        <f>HYPERLINK("https://www.instagram.com/p/BYzRAJYnDgX/")</f>
        <v>https://www.instagram.com/p/BYzRAJYnDgX/</v>
      </c>
      <c r="F5529" t="s">
        <v>28817</v>
      </c>
      <c r="G5529" t="s">
        <v>2478</v>
      </c>
      <c r="H5529">
        <v>72</v>
      </c>
      <c r="I5529" t="s">
        <v>2479</v>
      </c>
      <c r="J5529">
        <v>0</v>
      </c>
      <c r="K5529">
        <v>32</v>
      </c>
      <c r="L5529">
        <v>32</v>
      </c>
      <c r="Q5529">
        <v>0</v>
      </c>
      <c r="R5529">
        <v>0</v>
      </c>
      <c r="S5529">
        <v>32</v>
      </c>
      <c r="Y5529" t="s">
        <v>2911</v>
      </c>
      <c r="Z5529" t="s">
        <v>2483</v>
      </c>
      <c r="AA5529" t="s">
        <v>27365</v>
      </c>
      <c r="AB5529" t="s">
        <v>28818</v>
      </c>
      <c r="AC5529" t="s">
        <v>5383</v>
      </c>
      <c r="AD5529" s="249" t="str">
        <f>HYPERLINK("https://scontent.cdninstagram.com/t51.2885-15/s320x320/e35/21433839_121600948563468_1311358274016116736_n.jpg")</f>
        <v>https://scontent.cdninstagram.com/t51.2885-15/s320x320/e35/21433839_121600948563468_1311358274016116736_n.jpg</v>
      </c>
      <c r="AE5529" s="249" t="str">
        <f>HYPERLINK("https://scontent.cdninstagram.com/t51.2885-19/s150x150/21372602_170168536866275_1591779463320829952_a.jpg")</f>
        <v>https://scontent.cdninstagram.com/t51.2885-19/s150x150/21372602_170168536866275_1591779463320829952_a.jpg</v>
      </c>
    </row>
    <row r="5530" spans="1:31" ht="15" x14ac:dyDescent="0.25">
      <c r="A5530" t="s">
        <v>2474</v>
      </c>
      <c r="B5530" t="s">
        <v>28819</v>
      </c>
      <c r="C5530" s="221">
        <v>42986.876087962963</v>
      </c>
      <c r="D5530" t="s">
        <v>28820</v>
      </c>
      <c r="E5530" s="249" t="str">
        <f>HYPERLINK("https://www.instagram.com/p/BYzRO_ilxOi/")</f>
        <v>https://www.instagram.com/p/BYzRO_ilxOi/</v>
      </c>
      <c r="F5530" t="s">
        <v>28821</v>
      </c>
      <c r="G5530" t="s">
        <v>2478</v>
      </c>
      <c r="H5530">
        <v>4741</v>
      </c>
      <c r="I5530" t="s">
        <v>2479</v>
      </c>
      <c r="J5530">
        <v>52</v>
      </c>
      <c r="K5530">
        <v>1301</v>
      </c>
      <c r="L5530">
        <v>1353</v>
      </c>
      <c r="Q5530">
        <v>0</v>
      </c>
      <c r="R5530">
        <v>0</v>
      </c>
      <c r="S5530">
        <v>1353</v>
      </c>
      <c r="T5530" t="s">
        <v>28822</v>
      </c>
      <c r="U5530" t="s">
        <v>2020</v>
      </c>
      <c r="V5530" t="s">
        <v>2299</v>
      </c>
      <c r="W5530">
        <v>43.782499999999999</v>
      </c>
      <c r="X5530">
        <v>-74.272199999999998</v>
      </c>
      <c r="AD5530" s="249" t="str">
        <f>HYPERLINK("https://scontent.cdninstagram.com/t51.2885-15/e35/p320x320/21373653_2026921110863488_3947556672850886656_n.jpg")</f>
        <v>https://scontent.cdninstagram.com/t51.2885-15/e35/p320x320/21373653_2026921110863488_3947556672850886656_n.jpg</v>
      </c>
      <c r="AE5530" s="249" t="str">
        <f>HYPERLINK("https://scontent.cdninstagram.com/t51.2885-19/s150x150/16123410_260045404426200_4684558616869470208_n.jpg")</f>
        <v>https://scontent.cdninstagram.com/t51.2885-19/s150x150/16123410_260045404426200_4684558616869470208_n.jpg</v>
      </c>
    </row>
    <row r="5531" spans="1:31" ht="15" x14ac:dyDescent="0.25">
      <c r="A5531" t="s">
        <v>2474</v>
      </c>
      <c r="B5531" t="s">
        <v>28823</v>
      </c>
      <c r="C5531" s="221">
        <v>42986.881273148145</v>
      </c>
      <c r="D5531" t="s">
        <v>28824</v>
      </c>
      <c r="E5531" s="249" t="str">
        <f>HYPERLINK("https://www.instagram.com/p/BYzSFvZhCUh/")</f>
        <v>https://www.instagram.com/p/BYzSFvZhCUh/</v>
      </c>
      <c r="F5531" t="s">
        <v>28825</v>
      </c>
      <c r="G5531" t="s">
        <v>2478</v>
      </c>
      <c r="H5531">
        <v>942</v>
      </c>
      <c r="I5531" t="s">
        <v>2479</v>
      </c>
      <c r="J5531">
        <v>2</v>
      </c>
      <c r="K5531">
        <v>83</v>
      </c>
      <c r="L5531">
        <v>85</v>
      </c>
      <c r="Q5531">
        <v>0</v>
      </c>
      <c r="R5531">
        <v>0</v>
      </c>
      <c r="S5531">
        <v>85</v>
      </c>
      <c r="T5531" t="s">
        <v>6459</v>
      </c>
      <c r="U5531" t="s">
        <v>97</v>
      </c>
      <c r="V5531" t="s">
        <v>2299</v>
      </c>
      <c r="W5531">
        <v>34.052199999999999</v>
      </c>
      <c r="X5531">
        <v>-118.24299999999999</v>
      </c>
      <c r="Y5531" t="s">
        <v>16959</v>
      </c>
      <c r="Z5531" t="s">
        <v>28826</v>
      </c>
      <c r="AA5531" t="s">
        <v>17248</v>
      </c>
      <c r="AB5531" t="s">
        <v>4208</v>
      </c>
      <c r="AC5531" t="s">
        <v>2906</v>
      </c>
      <c r="AD5531" s="249" t="str">
        <f>HYPERLINK("https://scontent.cdninstagram.com/t51.2885-15/s320x320/e35/21433420_1664767713555698_4457403856782884864_n.jpg")</f>
        <v>https://scontent.cdninstagram.com/t51.2885-15/s320x320/e35/21433420_1664767713555698_4457403856782884864_n.jpg</v>
      </c>
      <c r="AE5531" s="249" t="str">
        <f>HYPERLINK("https://scontent.cdninstagram.com/t51.2885-19/s150x150/18580508_1191905877602557_7652183763442466816_a.jpg")</f>
        <v>https://scontent.cdninstagram.com/t51.2885-19/s150x150/18580508_1191905877602557_7652183763442466816_a.jpg</v>
      </c>
    </row>
    <row r="5532" spans="1:31" ht="15" x14ac:dyDescent="0.25">
      <c r="A5532" t="s">
        <v>2474</v>
      </c>
      <c r="B5532" t="s">
        <v>28827</v>
      </c>
      <c r="C5532" s="221">
        <v>42986.892233796294</v>
      </c>
      <c r="D5532" t="s">
        <v>28828</v>
      </c>
      <c r="E5532" s="249" t="str">
        <f>HYPERLINK("https://www.instagram.com/p/BYzT5RVh_Ii/")</f>
        <v>https://www.instagram.com/p/BYzT5RVh_Ii/</v>
      </c>
      <c r="F5532" t="s">
        <v>28829</v>
      </c>
      <c r="G5532" t="s">
        <v>2488</v>
      </c>
      <c r="H5532">
        <v>268</v>
      </c>
      <c r="I5532" t="s">
        <v>2479</v>
      </c>
      <c r="J5532">
        <v>1</v>
      </c>
      <c r="K5532">
        <v>38</v>
      </c>
      <c r="L5532">
        <v>39</v>
      </c>
      <c r="Q5532">
        <v>0</v>
      </c>
      <c r="R5532">
        <v>0</v>
      </c>
      <c r="S5532">
        <v>39</v>
      </c>
      <c r="T5532" t="s">
        <v>28830</v>
      </c>
      <c r="U5532" t="s">
        <v>114</v>
      </c>
      <c r="V5532" t="s">
        <v>2299</v>
      </c>
      <c r="W5532">
        <v>34.187921303621998</v>
      </c>
      <c r="X5532">
        <v>-84.145696240602007</v>
      </c>
      <c r="Y5532" t="s">
        <v>2497</v>
      </c>
      <c r="AD5532" s="249" t="str">
        <f>HYPERLINK("https://scontent.cdninstagram.com/t51.2885-15/s320x320/e35/21433989_272685569903746_6208149147879473152_n.jpg")</f>
        <v>https://scontent.cdninstagram.com/t51.2885-15/s320x320/e35/21433989_272685569903746_6208149147879473152_n.jpg</v>
      </c>
      <c r="AE5532" s="249" t="str">
        <f>HYPERLINK("https://scontent.cdninstagram.com/t51.2885-19/s150x150/15877027_236354743485049_7934990545087102976_a.jpg")</f>
        <v>https://scontent.cdninstagram.com/t51.2885-19/s150x150/15877027_236354743485049_7934990545087102976_a.jpg</v>
      </c>
    </row>
    <row r="5533" spans="1:31" ht="15" x14ac:dyDescent="0.25">
      <c r="A5533" t="s">
        <v>2474</v>
      </c>
      <c r="B5533" t="s">
        <v>28831</v>
      </c>
      <c r="C5533" s="221">
        <v>42986.895601851851</v>
      </c>
      <c r="D5533" t="s">
        <v>28832</v>
      </c>
      <c r="E5533" s="249" t="str">
        <f>HYPERLINK("https://www.instagram.com/p/BYzUcwXhyZS/")</f>
        <v>https://www.instagram.com/p/BYzUcwXhyZS/</v>
      </c>
      <c r="F5533" t="s">
        <v>28833</v>
      </c>
      <c r="G5533" t="s">
        <v>2478</v>
      </c>
      <c r="H5533">
        <v>158</v>
      </c>
      <c r="I5533" t="s">
        <v>2479</v>
      </c>
      <c r="J5533">
        <v>0</v>
      </c>
      <c r="K5533">
        <v>8</v>
      </c>
      <c r="L5533">
        <v>8</v>
      </c>
      <c r="Q5533">
        <v>0</v>
      </c>
      <c r="R5533">
        <v>0</v>
      </c>
      <c r="S5533">
        <v>8</v>
      </c>
      <c r="Y5533" t="s">
        <v>28834</v>
      </c>
      <c r="Z5533" t="s">
        <v>9794</v>
      </c>
      <c r="AA5533" t="s">
        <v>28835</v>
      </c>
      <c r="AB5533" t="s">
        <v>28836</v>
      </c>
      <c r="AC5533" t="s">
        <v>2497</v>
      </c>
      <c r="AD5533" s="249" t="str">
        <f>HYPERLINK("https://scontent.cdninstagram.com/t51.2885-15/s320x320/e35/21434013_1915047578818743_2614403604471087104_n.jpg")</f>
        <v>https://scontent.cdninstagram.com/t51.2885-15/s320x320/e35/21434013_1915047578818743_2614403604471087104_n.jpg</v>
      </c>
      <c r="AE5533" s="249" t="str">
        <f>HYPERLINK("https://scontent.cdninstagram.com/t51.2885-19/s150x150/14596685_193679541069622_4464257744119005184_a.jpg")</f>
        <v>https://scontent.cdninstagram.com/t51.2885-19/s150x150/14596685_193679541069622_4464257744119005184_a.jpg</v>
      </c>
    </row>
    <row r="5534" spans="1:31" ht="15" x14ac:dyDescent="0.25">
      <c r="A5534" t="s">
        <v>2474</v>
      </c>
      <c r="B5534" t="s">
        <v>28837</v>
      </c>
      <c r="C5534" s="221">
        <v>42986.912893518522</v>
      </c>
      <c r="D5534" t="s">
        <v>28838</v>
      </c>
      <c r="E5534" s="249" t="str">
        <f>HYPERLINK("https://www.instagram.com/p/BYzXTI8la-i/")</f>
        <v>https://www.instagram.com/p/BYzXTI8la-i/</v>
      </c>
      <c r="F5534" t="s">
        <v>28839</v>
      </c>
      <c r="G5534" t="s">
        <v>2478</v>
      </c>
      <c r="H5534">
        <v>356</v>
      </c>
      <c r="I5534" t="s">
        <v>2519</v>
      </c>
      <c r="J5534">
        <v>0</v>
      </c>
      <c r="K5534">
        <v>43</v>
      </c>
      <c r="L5534">
        <v>43</v>
      </c>
      <c r="Q5534">
        <v>0</v>
      </c>
      <c r="R5534">
        <v>0</v>
      </c>
      <c r="S5534">
        <v>43</v>
      </c>
      <c r="Y5534" t="s">
        <v>2497</v>
      </c>
      <c r="Z5534" t="s">
        <v>6719</v>
      </c>
      <c r="AA5534" t="s">
        <v>4253</v>
      </c>
      <c r="AD5534" s="249" t="str">
        <f>HYPERLINK("https://scontent.cdninstagram.com/t51.2885-15/e35/p320x320/21433926_129395987703793_1879156257672134656_n.jpg")</f>
        <v>https://scontent.cdninstagram.com/t51.2885-15/e35/p320x320/21433926_129395987703793_1879156257672134656_n.jpg</v>
      </c>
      <c r="AE5534" s="249" t="str">
        <f>HYPERLINK("https://scontent.cdninstagram.com/t51.2885-19/s150x150/18723349_1701569340147840_2258205018672857088_a.jpg")</f>
        <v>https://scontent.cdninstagram.com/t51.2885-19/s150x150/18723349_1701569340147840_2258205018672857088_a.jpg</v>
      </c>
    </row>
    <row r="5535" spans="1:31" ht="15" x14ac:dyDescent="0.25">
      <c r="A5535" t="s">
        <v>2474</v>
      </c>
      <c r="B5535" t="s">
        <v>28840</v>
      </c>
      <c r="C5535" s="221">
        <v>42986.915879629632</v>
      </c>
      <c r="D5535" t="s">
        <v>28841</v>
      </c>
      <c r="E5535" s="249" t="str">
        <f>HYPERLINK("https://www.instagram.com/p/BYzXyozAuwH/")</f>
        <v>https://www.instagram.com/p/BYzXyozAuwH/</v>
      </c>
      <c r="F5535" t="s">
        <v>28842</v>
      </c>
      <c r="G5535" t="s">
        <v>2478</v>
      </c>
      <c r="H5535">
        <v>245</v>
      </c>
      <c r="I5535" t="s">
        <v>2542</v>
      </c>
      <c r="J5535">
        <v>6</v>
      </c>
      <c r="K5535">
        <v>51</v>
      </c>
      <c r="L5535">
        <v>57</v>
      </c>
      <c r="Q5535">
        <v>0</v>
      </c>
      <c r="R5535">
        <v>0</v>
      </c>
      <c r="S5535">
        <v>57</v>
      </c>
      <c r="Y5535" t="s">
        <v>2616</v>
      </c>
      <c r="Z5535" t="s">
        <v>10135</v>
      </c>
      <c r="AA5535" t="s">
        <v>9393</v>
      </c>
      <c r="AB5535" t="s">
        <v>28843</v>
      </c>
      <c r="AC5535" t="s">
        <v>28844</v>
      </c>
      <c r="AD5535" s="249" t="str">
        <f>HYPERLINK("https://scontent.cdninstagram.com/t51.2885-15/s320x320/e35/21480020_476438646076341_1715029369560236032_n.jpg")</f>
        <v>https://scontent.cdninstagram.com/t51.2885-15/s320x320/e35/21480020_476438646076341_1715029369560236032_n.jpg</v>
      </c>
      <c r="AE5535" s="249" t="str">
        <f>HYPERLINK("https://scontent.cdninstagram.com/t51.2885-19/10684269_1480873662228584_1561539880_a.jpg")</f>
        <v>https://scontent.cdninstagram.com/t51.2885-19/10684269_1480873662228584_1561539880_a.jpg</v>
      </c>
    </row>
    <row r="5536" spans="1:31" ht="15" x14ac:dyDescent="0.25">
      <c r="A5536" t="s">
        <v>2474</v>
      </c>
      <c r="B5536" t="s">
        <v>13844</v>
      </c>
      <c r="C5536" s="221">
        <v>42986.922905092593</v>
      </c>
      <c r="D5536" t="s">
        <v>28845</v>
      </c>
      <c r="E5536" s="249" t="str">
        <f>HYPERLINK("https://www.instagram.com/p/BYzY8vKBOPe/")</f>
        <v>https://www.instagram.com/p/BYzY8vKBOPe/</v>
      </c>
      <c r="F5536" t="s">
        <v>28846</v>
      </c>
      <c r="G5536" t="s">
        <v>2478</v>
      </c>
      <c r="H5536">
        <v>1773</v>
      </c>
      <c r="I5536" t="s">
        <v>2479</v>
      </c>
      <c r="J5536">
        <v>1</v>
      </c>
      <c r="K5536">
        <v>226</v>
      </c>
      <c r="L5536">
        <v>227</v>
      </c>
      <c r="Q5536">
        <v>0</v>
      </c>
      <c r="R5536">
        <v>0</v>
      </c>
      <c r="S5536">
        <v>227</v>
      </c>
      <c r="T5536" t="s">
        <v>13847</v>
      </c>
      <c r="V5536" t="s">
        <v>2164</v>
      </c>
      <c r="W5536">
        <v>40.008276658219003</v>
      </c>
      <c r="X5536">
        <v>22.59864628315</v>
      </c>
      <c r="Y5536" t="s">
        <v>3212</v>
      </c>
      <c r="Z5536" t="s">
        <v>28847</v>
      </c>
      <c r="AA5536" t="s">
        <v>13848</v>
      </c>
      <c r="AB5536" t="s">
        <v>3915</v>
      </c>
      <c r="AC5536" t="s">
        <v>28848</v>
      </c>
      <c r="AD5536" s="249" t="str">
        <f>HYPERLINK("https://scontent.cdninstagram.com/t51.2885-15/s320x320/e35/21433743_508525482827573_8572816566050095104_n.jpg")</f>
        <v>https://scontent.cdninstagram.com/t51.2885-15/s320x320/e35/21433743_508525482827573_8572816566050095104_n.jpg</v>
      </c>
      <c r="AE5536" s="249" t="str">
        <f>HYPERLINK("https://scontent.cdninstagram.com/t51.2885-19/s150x150/20482021_1558738297503045_4611827894082076672_a.jpg")</f>
        <v>https://scontent.cdninstagram.com/t51.2885-19/s150x150/20482021_1558738297503045_4611827894082076672_a.jpg</v>
      </c>
    </row>
    <row r="5537" spans="1:31" ht="15" x14ac:dyDescent="0.25">
      <c r="A5537" t="s">
        <v>2474</v>
      </c>
      <c r="B5537" t="s">
        <v>15206</v>
      </c>
      <c r="C5537" s="221">
        <v>42986.923981481479</v>
      </c>
      <c r="D5537" t="s">
        <v>28849</v>
      </c>
      <c r="E5537" s="249" t="str">
        <f>HYPERLINK("https://www.instagram.com/p/BYzZIJ4ljRF/")</f>
        <v>https://www.instagram.com/p/BYzZIJ4ljRF/</v>
      </c>
      <c r="F5537" t="s">
        <v>28850</v>
      </c>
      <c r="G5537" t="s">
        <v>2478</v>
      </c>
      <c r="H5537">
        <v>62186</v>
      </c>
      <c r="I5537" t="s">
        <v>2479</v>
      </c>
      <c r="J5537">
        <v>16</v>
      </c>
      <c r="K5537">
        <v>1243</v>
      </c>
      <c r="L5537">
        <v>1259</v>
      </c>
      <c r="Q5537">
        <v>0</v>
      </c>
      <c r="R5537">
        <v>0</v>
      </c>
      <c r="S5537">
        <v>1259</v>
      </c>
      <c r="AD5537" s="249" t="str">
        <f>HYPERLINK("https://scontent.cdninstagram.com/t51.2885-15/e35/p320x320/21433707_1573584732701547_774283737616613376_n.jpg")</f>
        <v>https://scontent.cdninstagram.com/t51.2885-15/e35/p320x320/21433707_1573584732701547_774283737616613376_n.jpg</v>
      </c>
      <c r="AE5537" s="249" t="str">
        <f>HYPERLINK("https://scontent.cdninstagram.com/t51.2885-19/17663530_1657274724581959_2295744149531394048_n.jpg")</f>
        <v>https://scontent.cdninstagram.com/t51.2885-19/17663530_1657274724581959_2295744149531394048_n.jpg</v>
      </c>
    </row>
    <row r="5538" spans="1:31" ht="15" x14ac:dyDescent="0.25">
      <c r="A5538" t="s">
        <v>2474</v>
      </c>
      <c r="B5538" t="s">
        <v>28851</v>
      </c>
      <c r="C5538" s="221">
        <v>42986.926469907405</v>
      </c>
      <c r="D5538" t="s">
        <v>28852</v>
      </c>
      <c r="E5538" s="249" t="str">
        <f>HYPERLINK("https://www.instagram.com/p/BYzZiUclNth/")</f>
        <v>https://www.instagram.com/p/BYzZiUclNth/</v>
      </c>
      <c r="F5538" t="s">
        <v>28853</v>
      </c>
      <c r="G5538" t="s">
        <v>2478</v>
      </c>
      <c r="H5538">
        <v>361</v>
      </c>
      <c r="I5538" t="s">
        <v>2479</v>
      </c>
      <c r="J5538">
        <v>1</v>
      </c>
      <c r="K5538">
        <v>12</v>
      </c>
      <c r="L5538">
        <v>13</v>
      </c>
      <c r="Q5538">
        <v>0</v>
      </c>
      <c r="R5538">
        <v>0</v>
      </c>
      <c r="S5538">
        <v>13</v>
      </c>
      <c r="Y5538" t="s">
        <v>10242</v>
      </c>
      <c r="Z5538" t="s">
        <v>28854</v>
      </c>
      <c r="AA5538" t="s">
        <v>2497</v>
      </c>
      <c r="AD5538" s="249" t="str">
        <f>HYPERLINK("https://scontent.cdninstagram.com/t51.2885-15/s320x320/e35/21569325_476022742777224_5969978041491783680_n.jpg")</f>
        <v>https://scontent.cdninstagram.com/t51.2885-15/s320x320/e35/21569325_476022742777224_5969978041491783680_n.jpg</v>
      </c>
      <c r="AE5538" s="249" t="str">
        <f>HYPERLINK("https://scontent.cdninstagram.com/t51.2885-19/s150x150/18948241_1951478331751695_1433893033841000448_a.jpg")</f>
        <v>https://scontent.cdninstagram.com/t51.2885-19/s150x150/18948241_1951478331751695_1433893033841000448_a.jpg</v>
      </c>
    </row>
    <row r="5539" spans="1:31" ht="15" x14ac:dyDescent="0.25">
      <c r="A5539" t="s">
        <v>2474</v>
      </c>
      <c r="B5539" t="s">
        <v>27213</v>
      </c>
      <c r="C5539" s="221">
        <v>42986.927673611113</v>
      </c>
      <c r="D5539" t="s">
        <v>28855</v>
      </c>
      <c r="E5539" s="249" t="str">
        <f>HYPERLINK("https://www.instagram.com/p/BYzZvBsg66d/")</f>
        <v>https://www.instagram.com/p/BYzZvBsg66d/</v>
      </c>
      <c r="F5539" t="s">
        <v>28856</v>
      </c>
      <c r="G5539" t="s">
        <v>2478</v>
      </c>
      <c r="H5539">
        <v>1018</v>
      </c>
      <c r="I5539" t="s">
        <v>2479</v>
      </c>
      <c r="J5539">
        <v>2</v>
      </c>
      <c r="K5539">
        <v>97</v>
      </c>
      <c r="L5539">
        <v>99</v>
      </c>
      <c r="Q5539">
        <v>0</v>
      </c>
      <c r="R5539">
        <v>0</v>
      </c>
      <c r="S5539">
        <v>99</v>
      </c>
      <c r="Y5539" t="s">
        <v>19462</v>
      </c>
      <c r="Z5539" t="s">
        <v>28857</v>
      </c>
      <c r="AA5539" t="s">
        <v>16483</v>
      </c>
      <c r="AB5539" t="s">
        <v>28858</v>
      </c>
      <c r="AC5539" t="s">
        <v>27217</v>
      </c>
      <c r="AD5539" s="249" t="str">
        <f>HYPERLINK("https://scontent.cdninstagram.com/t51.2885-15/e35/p320x320/21569229_1455773947846605_6974696781812596736_n.jpg")</f>
        <v>https://scontent.cdninstagram.com/t51.2885-15/e35/p320x320/21569229_1455773947846605_6974696781812596736_n.jpg</v>
      </c>
      <c r="AE5539" s="249" t="str">
        <f>HYPERLINK("https://scontent.cdninstagram.com/t51.2885-19/s150x150/18161955_1838678686451705_7673825150164271104_a.jpg")</f>
        <v>https://scontent.cdninstagram.com/t51.2885-19/s150x150/18161955_1838678686451705_7673825150164271104_a.jpg</v>
      </c>
    </row>
    <row r="5540" spans="1:31" ht="15" x14ac:dyDescent="0.25">
      <c r="A5540" t="s">
        <v>2474</v>
      </c>
      <c r="B5540" t="s">
        <v>28859</v>
      </c>
      <c r="C5540" s="221">
        <v>42986.946388888886</v>
      </c>
      <c r="D5540" t="s">
        <v>28860</v>
      </c>
      <c r="E5540" s="249" t="str">
        <f>HYPERLINK("https://www.instagram.com/p/BYzc0f4gOhV/")</f>
        <v>https://www.instagram.com/p/BYzc0f4gOhV/</v>
      </c>
      <c r="F5540" t="s">
        <v>28861</v>
      </c>
      <c r="G5540" t="s">
        <v>2478</v>
      </c>
      <c r="H5540">
        <v>504</v>
      </c>
      <c r="I5540" t="s">
        <v>2910</v>
      </c>
      <c r="J5540">
        <v>0</v>
      </c>
      <c r="K5540">
        <v>24</v>
      </c>
      <c r="L5540">
        <v>24</v>
      </c>
      <c r="Q5540">
        <v>0</v>
      </c>
      <c r="R5540">
        <v>0</v>
      </c>
      <c r="S5540">
        <v>24</v>
      </c>
      <c r="Y5540" t="s">
        <v>3196</v>
      </c>
      <c r="Z5540" t="s">
        <v>28862</v>
      </c>
      <c r="AA5540" t="s">
        <v>2734</v>
      </c>
      <c r="AB5540" t="s">
        <v>4272</v>
      </c>
      <c r="AC5540" t="s">
        <v>28863</v>
      </c>
      <c r="AD5540" s="249" t="str">
        <f>HYPERLINK("https://scontent.cdninstagram.com/t51.2885-15/s320x320/e35/21373793_137072450244821_3054770084548444160_n.jpg")</f>
        <v>https://scontent.cdninstagram.com/t51.2885-15/s320x320/e35/21373793_137072450244821_3054770084548444160_n.jpg</v>
      </c>
      <c r="AE5540" s="249" t="str">
        <f>HYPERLINK("https://scontent.cdninstagram.com/t51.2885-19/s150x150/19120395_176617522871130_2008281468719071232_a.jpg")</f>
        <v>https://scontent.cdninstagram.com/t51.2885-19/s150x150/19120395_176617522871130_2008281468719071232_a.jpg</v>
      </c>
    </row>
    <row r="5541" spans="1:31" ht="15" x14ac:dyDescent="0.25">
      <c r="A5541" t="s">
        <v>2474</v>
      </c>
      <c r="B5541" t="s">
        <v>28864</v>
      </c>
      <c r="C5541" s="221">
        <v>42986.951423611114</v>
      </c>
      <c r="D5541" t="s">
        <v>28865</v>
      </c>
      <c r="E5541" s="249" t="str">
        <f>HYPERLINK("https://www.instagram.com/p/BYzdpgnlgvp/")</f>
        <v>https://www.instagram.com/p/BYzdpgnlgvp/</v>
      </c>
      <c r="F5541" t="s">
        <v>28866</v>
      </c>
      <c r="G5541" t="s">
        <v>2478</v>
      </c>
      <c r="H5541">
        <v>64</v>
      </c>
      <c r="I5541" t="s">
        <v>2599</v>
      </c>
      <c r="J5541">
        <v>0</v>
      </c>
      <c r="K5541">
        <v>0</v>
      </c>
      <c r="L5541">
        <v>0</v>
      </c>
      <c r="Q5541">
        <v>0</v>
      </c>
      <c r="R5541">
        <v>0</v>
      </c>
      <c r="S5541">
        <v>0</v>
      </c>
      <c r="Y5541" t="s">
        <v>2497</v>
      </c>
      <c r="AD5541" s="249" t="str">
        <f>HYPERLINK("https://scontent.cdninstagram.com/t51.2885-15/e35/p320x320/21434039_1493733130717056_2161691867966603264_n.jpg")</f>
        <v>https://scontent.cdninstagram.com/t51.2885-15/e35/p320x320/21434039_1493733130717056_2161691867966603264_n.jpg</v>
      </c>
      <c r="AE5541" s="249" t="str">
        <f>HYPERLINK("https://scontent.cdninstagram.com/t51.2885-19/s150x150/21372377_341943992897919_2843548008157544448_a.jpg")</f>
        <v>https://scontent.cdninstagram.com/t51.2885-19/s150x150/21372377_341943992897919_2843548008157544448_a.jpg</v>
      </c>
    </row>
    <row r="5542" spans="1:31" ht="15" x14ac:dyDescent="0.25">
      <c r="A5542" t="s">
        <v>2474</v>
      </c>
      <c r="B5542" t="s">
        <v>28867</v>
      </c>
      <c r="C5542" s="221">
        <v>42986.956238425926</v>
      </c>
      <c r="D5542" t="s">
        <v>28868</v>
      </c>
      <c r="E5542" s="249" t="str">
        <f>HYPERLINK("https://www.instagram.com/p/BYzecSoAPno/")</f>
        <v>https://www.instagram.com/p/BYzecSoAPno/</v>
      </c>
      <c r="F5542" t="s">
        <v>28869</v>
      </c>
      <c r="G5542" t="s">
        <v>2478</v>
      </c>
      <c r="H5542">
        <v>282</v>
      </c>
      <c r="I5542" t="s">
        <v>23469</v>
      </c>
      <c r="J5542">
        <v>0</v>
      </c>
      <c r="K5542">
        <v>14</v>
      </c>
      <c r="L5542">
        <v>14</v>
      </c>
      <c r="Q5542">
        <v>0</v>
      </c>
      <c r="R5542">
        <v>0</v>
      </c>
      <c r="S5542">
        <v>14</v>
      </c>
      <c r="Y5542" t="s">
        <v>6835</v>
      </c>
      <c r="Z5542" t="s">
        <v>3476</v>
      </c>
      <c r="AA5542" t="s">
        <v>28870</v>
      </c>
      <c r="AB5542" t="s">
        <v>28871</v>
      </c>
      <c r="AC5542" t="s">
        <v>28872</v>
      </c>
      <c r="AD5542" s="249" t="str">
        <f>HYPERLINK("https://scontent.cdninstagram.com/t51.2885-15/s320x320/e35/21435725_126358244683028_3297691072578191360_n.jpg")</f>
        <v>https://scontent.cdninstagram.com/t51.2885-15/s320x320/e35/21435725_126358244683028_3297691072578191360_n.jpg</v>
      </c>
      <c r="AE5542" s="249" t="str">
        <f>HYPERLINK("https://scontent.cdninstagram.com/t51.2885-19/s150x150/18646115_1515963031811408_806375488439189504_a.jpg")</f>
        <v>https://scontent.cdninstagram.com/t51.2885-19/s150x150/18646115_1515963031811408_806375488439189504_a.jpg</v>
      </c>
    </row>
    <row r="5543" spans="1:31" ht="15" x14ac:dyDescent="0.25">
      <c r="A5543" t="s">
        <v>2474</v>
      </c>
      <c r="B5543" t="s">
        <v>28873</v>
      </c>
      <c r="C5543" s="221">
        <v>42986.960023148145</v>
      </c>
      <c r="D5543" t="s">
        <v>28874</v>
      </c>
      <c r="E5543" s="249" t="str">
        <f>HYPERLINK("https://www.instagram.com/p/BYzfEOLFtOb/")</f>
        <v>https://www.instagram.com/p/BYzfEOLFtOb/</v>
      </c>
      <c r="F5543" t="s">
        <v>28875</v>
      </c>
      <c r="G5543" t="s">
        <v>2478</v>
      </c>
      <c r="I5543" t="s">
        <v>2479</v>
      </c>
      <c r="J5543">
        <v>2</v>
      </c>
      <c r="K5543">
        <v>12</v>
      </c>
      <c r="L5543">
        <v>14</v>
      </c>
      <c r="Q5543">
        <v>0</v>
      </c>
      <c r="R5543">
        <v>0</v>
      </c>
      <c r="S5543">
        <v>14</v>
      </c>
      <c r="Y5543" t="s">
        <v>2497</v>
      </c>
      <c r="Z5543" t="s">
        <v>28876</v>
      </c>
      <c r="AA5543" t="s">
        <v>28877</v>
      </c>
      <c r="AB5543" t="s">
        <v>28878</v>
      </c>
      <c r="AD5543" s="249" t="str">
        <f>HYPERLINK("https://scontent.cdninstagram.com/t51.2885-15/s320x320/e35/21480418_112652042762870_1376443946426695680_n.jpg")</f>
        <v>https://scontent.cdninstagram.com/t51.2885-15/s320x320/e35/21480418_112652042762870_1376443946426695680_n.jpg</v>
      </c>
      <c r="AE5543" s="249" t="str">
        <f>HYPERLINK("https://scontent.cdninstagram.com/t51.2885-19/s150x150/21435574_901424896671890_2080337361949949952_a.jpg")</f>
        <v>https://scontent.cdninstagram.com/t51.2885-19/s150x150/21435574_901424896671890_2080337361949949952_a.jpg</v>
      </c>
    </row>
    <row r="5544" spans="1:31" ht="15" x14ac:dyDescent="0.25">
      <c r="A5544" t="s">
        <v>2474</v>
      </c>
      <c r="B5544" t="s">
        <v>28879</v>
      </c>
      <c r="C5544" s="221">
        <v>42986.99827546296</v>
      </c>
      <c r="D5544" t="s">
        <v>28880</v>
      </c>
      <c r="E5544" s="249" t="str">
        <f>HYPERLINK("https://www.instagram.com/p/BYzlXugjZOK/")</f>
        <v>https://www.instagram.com/p/BYzlXugjZOK/</v>
      </c>
      <c r="F5544" t="s">
        <v>28881</v>
      </c>
      <c r="G5544" t="s">
        <v>2488</v>
      </c>
      <c r="H5544">
        <v>914</v>
      </c>
      <c r="I5544" t="s">
        <v>2479</v>
      </c>
      <c r="J5544">
        <v>5</v>
      </c>
      <c r="K5544">
        <v>52</v>
      </c>
      <c r="L5544">
        <v>57</v>
      </c>
      <c r="Q5544">
        <v>0</v>
      </c>
      <c r="R5544">
        <v>0</v>
      </c>
      <c r="S5544">
        <v>57</v>
      </c>
      <c r="T5544" t="s">
        <v>28882</v>
      </c>
      <c r="U5544" t="s">
        <v>112</v>
      </c>
      <c r="V5544" t="s">
        <v>2299</v>
      </c>
      <c r="W5544">
        <v>29.538705571537999</v>
      </c>
      <c r="X5544">
        <v>-95.537943436153995</v>
      </c>
      <c r="Y5544" t="s">
        <v>28883</v>
      </c>
      <c r="Z5544" t="s">
        <v>28884</v>
      </c>
      <c r="AA5544" t="s">
        <v>14882</v>
      </c>
      <c r="AB5544" t="s">
        <v>28885</v>
      </c>
      <c r="AC5544" t="s">
        <v>13912</v>
      </c>
      <c r="AD5544" s="249" t="str">
        <f>HYPERLINK("https://scontent.cdninstagram.com/t51.2885-15/s320x320/e35/21435808_2108574132501337_4411204968049016832_n.jpg")</f>
        <v>https://scontent.cdninstagram.com/t51.2885-15/s320x320/e35/21435808_2108574132501337_4411204968049016832_n.jpg</v>
      </c>
      <c r="AE5544" s="249" t="str">
        <f>HYPERLINK("https://scontent.cdninstagram.com/t51.2885-19/11324886_543993829088143_518141854_a.jpg")</f>
        <v>https://scontent.cdninstagram.com/t51.2885-19/11324886_543993829088143_518141854_a.jpg</v>
      </c>
    </row>
    <row r="5545" spans="1:31" ht="15" x14ac:dyDescent="0.25">
      <c r="A5545" t="s">
        <v>2474</v>
      </c>
      <c r="B5545" t="s">
        <v>28886</v>
      </c>
      <c r="C5545" s="221">
        <v>42987.00677083333</v>
      </c>
      <c r="D5545" t="s">
        <v>28887</v>
      </c>
      <c r="E5545" s="249" t="str">
        <f>HYPERLINK("https://www.instagram.com/p/BYzmxQFFR-D/")</f>
        <v>https://www.instagram.com/p/BYzmxQFFR-D/</v>
      </c>
      <c r="F5545" t="s">
        <v>28888</v>
      </c>
      <c r="G5545" t="s">
        <v>2478</v>
      </c>
      <c r="H5545">
        <v>128</v>
      </c>
      <c r="I5545" t="s">
        <v>23469</v>
      </c>
      <c r="J5545">
        <v>2</v>
      </c>
      <c r="K5545">
        <v>20</v>
      </c>
      <c r="L5545">
        <v>22</v>
      </c>
      <c r="Q5545">
        <v>0</v>
      </c>
      <c r="R5545">
        <v>0</v>
      </c>
      <c r="S5545">
        <v>22</v>
      </c>
      <c r="Y5545" t="s">
        <v>2497</v>
      </c>
      <c r="AD5545" s="249" t="str">
        <f>HYPERLINK("https://scontent.cdninstagram.com/t51.2885-15/e35/p320x320/21433975_837103733133433_5737167067174404096_n.jpg")</f>
        <v>https://scontent.cdninstagram.com/t51.2885-15/e35/p320x320/21433975_837103733133433_5737167067174404096_n.jpg</v>
      </c>
      <c r="AE5545" s="249" t="str">
        <f>HYPERLINK("https://scontent.cdninstagram.com/t51.2885-19/s150x150/18380596_640487762815610_7555534299064172544_a.jpg")</f>
        <v>https://scontent.cdninstagram.com/t51.2885-19/s150x150/18380596_640487762815610_7555534299064172544_a.jpg</v>
      </c>
    </row>
    <row r="5546" spans="1:31" ht="15" x14ac:dyDescent="0.25">
      <c r="A5546" t="s">
        <v>2474</v>
      </c>
      <c r="B5546" t="s">
        <v>28889</v>
      </c>
      <c r="C5546" s="221">
        <v>42987.006898148145</v>
      </c>
      <c r="D5546" t="s">
        <v>28890</v>
      </c>
      <c r="E5546" s="249" t="str">
        <f>HYPERLINK("https://www.instagram.com/p/BYzmyknhMoG/")</f>
        <v>https://www.instagram.com/p/BYzmyknhMoG/</v>
      </c>
      <c r="F5546" t="s">
        <v>28891</v>
      </c>
      <c r="G5546" t="s">
        <v>2488</v>
      </c>
      <c r="H5546">
        <v>485</v>
      </c>
      <c r="I5546" t="s">
        <v>2479</v>
      </c>
      <c r="J5546">
        <v>0</v>
      </c>
      <c r="K5546">
        <v>33</v>
      </c>
      <c r="L5546">
        <v>33</v>
      </c>
      <c r="Q5546">
        <v>0</v>
      </c>
      <c r="R5546">
        <v>0</v>
      </c>
      <c r="S5546">
        <v>33</v>
      </c>
      <c r="T5546" t="s">
        <v>28892</v>
      </c>
      <c r="V5546" t="s">
        <v>2102</v>
      </c>
      <c r="W5546">
        <v>-33.755436218656001</v>
      </c>
      <c r="X5546">
        <v>150.69210212913001</v>
      </c>
      <c r="Y5546" t="s">
        <v>28893</v>
      </c>
      <c r="Z5546" t="s">
        <v>28894</v>
      </c>
      <c r="AA5546" t="s">
        <v>16250</v>
      </c>
      <c r="AB5546" t="s">
        <v>6612</v>
      </c>
      <c r="AC5546" t="s">
        <v>28895</v>
      </c>
      <c r="AD5546" s="249" t="str">
        <f>HYPERLINK("https://scontent.cdninstagram.com/t51.2885-15/e35/p320x320/21436183_138953033383236_37180363650367488_n.jpg")</f>
        <v>https://scontent.cdninstagram.com/t51.2885-15/e35/p320x320/21436183_138953033383236_37180363650367488_n.jpg</v>
      </c>
      <c r="AE5546" s="249" t="str">
        <f>HYPERLINK("https://scontent.cdninstagram.com/t51.2885-19/s150x150/18443233_377558215972041_2583214741673476096_a.jpg")</f>
        <v>https://scontent.cdninstagram.com/t51.2885-19/s150x150/18443233_377558215972041_2583214741673476096_a.jpg</v>
      </c>
    </row>
    <row r="5547" spans="1:31" ht="15" x14ac:dyDescent="0.25">
      <c r="A5547" t="s">
        <v>2474</v>
      </c>
      <c r="B5547" t="s">
        <v>3015</v>
      </c>
      <c r="C5547" s="221">
        <v>42987.007627314815</v>
      </c>
      <c r="D5547" t="s">
        <v>28896</v>
      </c>
      <c r="E5547" s="249" t="str">
        <f>HYPERLINK("https://www.instagram.com/p/BYzm6TCgQ9o/")</f>
        <v>https://www.instagram.com/p/BYzm6TCgQ9o/</v>
      </c>
      <c r="F5547" t="s">
        <v>28897</v>
      </c>
      <c r="G5547" t="s">
        <v>2478</v>
      </c>
      <c r="H5547">
        <v>281</v>
      </c>
      <c r="I5547" t="s">
        <v>2479</v>
      </c>
      <c r="J5547">
        <v>0</v>
      </c>
      <c r="K5547">
        <v>39</v>
      </c>
      <c r="L5547">
        <v>39</v>
      </c>
      <c r="Q5547">
        <v>0</v>
      </c>
      <c r="R5547">
        <v>0</v>
      </c>
      <c r="S5547">
        <v>39</v>
      </c>
      <c r="Y5547" t="s">
        <v>3726</v>
      </c>
      <c r="Z5547" t="s">
        <v>3855</v>
      </c>
      <c r="AA5547" t="s">
        <v>3494</v>
      </c>
      <c r="AB5547" t="s">
        <v>7275</v>
      </c>
      <c r="AC5547" t="s">
        <v>4615</v>
      </c>
      <c r="AD5547" s="249" t="str">
        <f>HYPERLINK("https://scontent.cdninstagram.com/t51.2885-15/e35/p320x320/21568817_546351122363065_7265737398015754240_n.jpg")</f>
        <v>https://scontent.cdninstagram.com/t51.2885-15/e35/p320x320/21568817_546351122363065_7265737398015754240_n.jpg</v>
      </c>
      <c r="AE5547" s="249" t="str">
        <f>HYPERLINK("https://scontent.cdninstagram.com/t51.2885-19/s150x150/21373025_723410537866046_6184601968204316672_a.jpg")</f>
        <v>https://scontent.cdninstagram.com/t51.2885-19/s150x150/21373025_723410537866046_6184601968204316672_a.jpg</v>
      </c>
    </row>
    <row r="5548" spans="1:31" ht="15" x14ac:dyDescent="0.25">
      <c r="A5548" t="s">
        <v>2474</v>
      </c>
      <c r="B5548" t="s">
        <v>28898</v>
      </c>
      <c r="C5548" s="221">
        <v>42987.010659722226</v>
      </c>
      <c r="D5548" t="s">
        <v>28899</v>
      </c>
      <c r="E5548" s="249" t="str">
        <f>HYPERLINK("https://www.instagram.com/p/BYznaQdB3bu/")</f>
        <v>https://www.instagram.com/p/BYznaQdB3bu/</v>
      </c>
      <c r="F5548" t="s">
        <v>28900</v>
      </c>
      <c r="G5548" t="s">
        <v>2478</v>
      </c>
      <c r="H5548">
        <v>1280</v>
      </c>
      <c r="I5548" t="s">
        <v>2479</v>
      </c>
      <c r="J5548">
        <v>3</v>
      </c>
      <c r="K5548">
        <v>71</v>
      </c>
      <c r="L5548">
        <v>74</v>
      </c>
      <c r="Q5548">
        <v>0</v>
      </c>
      <c r="R5548">
        <v>0</v>
      </c>
      <c r="S5548">
        <v>74</v>
      </c>
      <c r="Y5548" t="s">
        <v>4161</v>
      </c>
      <c r="Z5548" t="s">
        <v>28901</v>
      </c>
      <c r="AA5548" t="s">
        <v>17075</v>
      </c>
      <c r="AB5548" t="s">
        <v>28902</v>
      </c>
      <c r="AC5548" t="s">
        <v>28903</v>
      </c>
      <c r="AD5548" s="249" t="str">
        <f>HYPERLINK("https://scontent.cdninstagram.com/t51.2885-15/s320x320/e35/21568534_1117504668281764_8064993909442347008_n.jpg")</f>
        <v>https://scontent.cdninstagram.com/t51.2885-15/s320x320/e35/21568534_1117504668281764_8064993909442347008_n.jpg</v>
      </c>
      <c r="AE5548" s="249" t="str">
        <f>HYPERLINK("https://scontent.cdninstagram.com/t51.2885-19/11311459_508512375984828_1821991229_a.jpg")</f>
        <v>https://scontent.cdninstagram.com/t51.2885-19/11311459_508512375984828_1821991229_a.jpg</v>
      </c>
    </row>
    <row r="5549" spans="1:31" ht="15" x14ac:dyDescent="0.25">
      <c r="A5549" t="s">
        <v>2474</v>
      </c>
      <c r="B5549" t="s">
        <v>28898</v>
      </c>
      <c r="C5549" s="221">
        <v>42987.011238425926</v>
      </c>
      <c r="D5549" t="s">
        <v>28904</v>
      </c>
      <c r="E5549" s="249" t="str">
        <f>HYPERLINK("https://www.instagram.com/p/BYzngcoBCLp/")</f>
        <v>https://www.instagram.com/p/BYzngcoBCLp/</v>
      </c>
      <c r="F5549" t="s">
        <v>28900</v>
      </c>
      <c r="G5549" t="s">
        <v>2478</v>
      </c>
      <c r="H5549">
        <v>1280</v>
      </c>
      <c r="I5549" t="s">
        <v>2479</v>
      </c>
      <c r="J5549">
        <v>5</v>
      </c>
      <c r="K5549">
        <v>102</v>
      </c>
      <c r="L5549">
        <v>107</v>
      </c>
      <c r="Q5549">
        <v>0</v>
      </c>
      <c r="R5549">
        <v>0</v>
      </c>
      <c r="S5549">
        <v>107</v>
      </c>
      <c r="Y5549" t="s">
        <v>28905</v>
      </c>
      <c r="Z5549" t="s">
        <v>28906</v>
      </c>
      <c r="AA5549" t="s">
        <v>17075</v>
      </c>
      <c r="AB5549" t="s">
        <v>7735</v>
      </c>
      <c r="AC5549" t="s">
        <v>6864</v>
      </c>
      <c r="AD5549" s="249" t="str">
        <f>HYPERLINK("https://scontent.cdninstagram.com/t51.2885-15/s320x320/e35/21433481_1958845217728496_8808905528127258624_n.jpg")</f>
        <v>https://scontent.cdninstagram.com/t51.2885-15/s320x320/e35/21433481_1958845217728496_8808905528127258624_n.jpg</v>
      </c>
      <c r="AE5549" s="249" t="str">
        <f>HYPERLINK("https://scontent.cdninstagram.com/t51.2885-19/11311459_508512375984828_1821991229_a.jpg")</f>
        <v>https://scontent.cdninstagram.com/t51.2885-19/11311459_508512375984828_1821991229_a.jpg</v>
      </c>
    </row>
    <row r="5550" spans="1:31" ht="15" x14ac:dyDescent="0.25">
      <c r="A5550" t="s">
        <v>2474</v>
      </c>
      <c r="B5550" t="s">
        <v>28898</v>
      </c>
      <c r="C5550" s="221">
        <v>42987.012199074074</v>
      </c>
      <c r="D5550" t="s">
        <v>28907</v>
      </c>
      <c r="E5550" s="249" t="str">
        <f>HYPERLINK("https://www.instagram.com/p/BYznqluBU9O/")</f>
        <v>https://www.instagram.com/p/BYznqluBU9O/</v>
      </c>
      <c r="F5550" t="s">
        <v>28900</v>
      </c>
      <c r="G5550" t="s">
        <v>2478</v>
      </c>
      <c r="H5550">
        <v>1280</v>
      </c>
      <c r="I5550" t="s">
        <v>2479</v>
      </c>
      <c r="J5550">
        <v>5</v>
      </c>
      <c r="K5550">
        <v>124</v>
      </c>
      <c r="L5550">
        <v>129</v>
      </c>
      <c r="Q5550">
        <v>0</v>
      </c>
      <c r="R5550">
        <v>0</v>
      </c>
      <c r="S5550">
        <v>129</v>
      </c>
      <c r="Y5550" t="s">
        <v>28905</v>
      </c>
      <c r="Z5550" t="s">
        <v>28906</v>
      </c>
      <c r="AA5550" t="s">
        <v>17075</v>
      </c>
      <c r="AB5550" t="s">
        <v>7735</v>
      </c>
      <c r="AC5550" t="s">
        <v>6864</v>
      </c>
      <c r="AD5550" s="249" t="str">
        <f>HYPERLINK("https://scontent.cdninstagram.com/t51.2885-15/s320x320/e35/21480049_782389065278468_683079449956057088_n.jpg")</f>
        <v>https://scontent.cdninstagram.com/t51.2885-15/s320x320/e35/21480049_782389065278468_683079449956057088_n.jpg</v>
      </c>
      <c r="AE5550" s="249" t="str">
        <f>HYPERLINK("https://scontent.cdninstagram.com/t51.2885-19/11311459_508512375984828_1821991229_a.jpg")</f>
        <v>https://scontent.cdninstagram.com/t51.2885-19/11311459_508512375984828_1821991229_a.jpg</v>
      </c>
    </row>
    <row r="5551" spans="1:31" ht="15" x14ac:dyDescent="0.25">
      <c r="A5551" t="s">
        <v>2474</v>
      </c>
      <c r="B5551" t="s">
        <v>28908</v>
      </c>
      <c r="C5551" s="221">
        <v>42987.021608796298</v>
      </c>
      <c r="D5551" t="s">
        <v>28909</v>
      </c>
      <c r="E5551" s="249" t="str">
        <f>HYPERLINK("https://www.instagram.com/p/BYzpN1pn2PK/")</f>
        <v>https://www.instagram.com/p/BYzpN1pn2PK/</v>
      </c>
      <c r="F5551" t="s">
        <v>28910</v>
      </c>
      <c r="G5551" t="s">
        <v>2478</v>
      </c>
      <c r="H5551">
        <v>219</v>
      </c>
      <c r="I5551" t="s">
        <v>2479</v>
      </c>
      <c r="J5551">
        <v>0</v>
      </c>
      <c r="K5551">
        <v>18</v>
      </c>
      <c r="L5551">
        <v>18</v>
      </c>
      <c r="Q5551">
        <v>0</v>
      </c>
      <c r="R5551">
        <v>0</v>
      </c>
      <c r="S5551">
        <v>18</v>
      </c>
      <c r="T5551" t="s">
        <v>28911</v>
      </c>
      <c r="U5551" t="s">
        <v>468</v>
      </c>
      <c r="V5551" t="s">
        <v>2299</v>
      </c>
      <c r="W5551">
        <v>42.049190000000003</v>
      </c>
      <c r="X5551">
        <v>-70.188389999999998</v>
      </c>
      <c r="Y5551" t="s">
        <v>28912</v>
      </c>
      <c r="Z5551" t="s">
        <v>2753</v>
      </c>
      <c r="AA5551" t="s">
        <v>28913</v>
      </c>
      <c r="AB5551" t="s">
        <v>2497</v>
      </c>
      <c r="AC5551" t="s">
        <v>28914</v>
      </c>
      <c r="AD5551" s="249" t="str">
        <f>HYPERLINK("https://scontent.cdninstagram.com/t51.2885-15/s320x320/e35/21479811_349497772172265_6982066284267569152_n.jpg")</f>
        <v>https://scontent.cdninstagram.com/t51.2885-15/s320x320/e35/21479811_349497772172265_6982066284267569152_n.jpg</v>
      </c>
      <c r="AE5551" s="249" t="str">
        <f>HYPERLINK("https://scontent.cdninstagram.com/t51.2885-19/s150x150/12502052_1111468998873876_621935716_a.jpg")</f>
        <v>https://scontent.cdninstagram.com/t51.2885-19/s150x150/12502052_1111468998873876_621935716_a.jpg</v>
      </c>
    </row>
    <row r="5552" spans="1:31" ht="15" x14ac:dyDescent="0.25">
      <c r="A5552" t="s">
        <v>2474</v>
      </c>
      <c r="B5552" t="s">
        <v>26420</v>
      </c>
      <c r="C5552" s="221">
        <v>42987.031550925924</v>
      </c>
      <c r="D5552" t="s">
        <v>28915</v>
      </c>
      <c r="E5552" s="249" t="str">
        <f>HYPERLINK("https://www.instagram.com/p/BYzq2lWnmzZ/")</f>
        <v>https://www.instagram.com/p/BYzq2lWnmzZ/</v>
      </c>
      <c r="F5552" t="s">
        <v>28916</v>
      </c>
      <c r="G5552" t="s">
        <v>2478</v>
      </c>
      <c r="H5552">
        <v>84</v>
      </c>
      <c r="I5552" t="s">
        <v>2479</v>
      </c>
      <c r="J5552">
        <v>5</v>
      </c>
      <c r="K5552">
        <v>45</v>
      </c>
      <c r="L5552">
        <v>50</v>
      </c>
      <c r="Q5552">
        <v>0</v>
      </c>
      <c r="R5552">
        <v>0</v>
      </c>
      <c r="S5552">
        <v>50</v>
      </c>
      <c r="Y5552" t="s">
        <v>2730</v>
      </c>
      <c r="Z5552" t="s">
        <v>28818</v>
      </c>
      <c r="AA5552" t="s">
        <v>3070</v>
      </c>
      <c r="AB5552" t="s">
        <v>2911</v>
      </c>
      <c r="AC5552" t="s">
        <v>5383</v>
      </c>
      <c r="AD5552" s="249" t="str">
        <f>HYPERLINK("https://scontent.cdninstagram.com/t51.2885-15/s320x320/e35/21434133_115330369145797_2986116612869849088_n.jpg")</f>
        <v>https://scontent.cdninstagram.com/t51.2885-15/s320x320/e35/21434133_115330369145797_2986116612869849088_n.jpg</v>
      </c>
      <c r="AE5552" s="249" t="str">
        <f>HYPERLINK("https://scontent.cdninstagram.com/t51.2885-19/s150x150/21372602_170168536866275_1591779463320829952_a.jpg")</f>
        <v>https://scontent.cdninstagram.com/t51.2885-19/s150x150/21372602_170168536866275_1591779463320829952_a.jpg</v>
      </c>
    </row>
    <row r="5553" spans="1:31" ht="15" x14ac:dyDescent="0.25">
      <c r="A5553" t="s">
        <v>2474</v>
      </c>
      <c r="B5553" t="s">
        <v>28917</v>
      </c>
      <c r="C5553" s="221">
        <v>42987.031631944446</v>
      </c>
      <c r="D5553" t="s">
        <v>28918</v>
      </c>
      <c r="E5553" s="249" t="str">
        <f>HYPERLINK("https://www.instagram.com/p/BYzq3iSDx_K/")</f>
        <v>https://www.instagram.com/p/BYzq3iSDx_K/</v>
      </c>
      <c r="F5553" t="s">
        <v>28919</v>
      </c>
      <c r="G5553" t="s">
        <v>2478</v>
      </c>
      <c r="I5553" t="s">
        <v>2479</v>
      </c>
      <c r="J5553">
        <v>6</v>
      </c>
      <c r="K5553">
        <v>53</v>
      </c>
      <c r="L5553">
        <v>59</v>
      </c>
      <c r="Q5553">
        <v>0</v>
      </c>
      <c r="R5553">
        <v>0</v>
      </c>
      <c r="S5553">
        <v>59</v>
      </c>
      <c r="Y5553" t="s">
        <v>28920</v>
      </c>
      <c r="Z5553" t="s">
        <v>2497</v>
      </c>
      <c r="AD5553" s="249" t="str">
        <f>HYPERLINK("https://scontent.cdninstagram.com/t51.2885-15/e35/p320x320/21568984_345973149178629_6844462747648786432_n.jpg")</f>
        <v>https://scontent.cdninstagram.com/t51.2885-15/e35/p320x320/21568984_345973149178629_6844462747648786432_n.jpg</v>
      </c>
      <c r="AE5553" s="249" t="str">
        <f>HYPERLINK("https://scontent.cdninstagram.com/t51.2885-19/s150x150/20590052_1694983944142593_5514735589997412352_a.jpg")</f>
        <v>https://scontent.cdninstagram.com/t51.2885-19/s150x150/20590052_1694983944142593_5514735589997412352_a.jpg</v>
      </c>
    </row>
    <row r="5554" spans="1:31" ht="15" x14ac:dyDescent="0.25">
      <c r="A5554" t="s">
        <v>2474</v>
      </c>
      <c r="B5554" t="s">
        <v>28921</v>
      </c>
      <c r="C5554" s="221">
        <v>42987.041689814818</v>
      </c>
      <c r="D5554" t="s">
        <v>28922</v>
      </c>
      <c r="E5554" s="249" t="str">
        <f>HYPERLINK("https://www.instagram.com/p/BYzshltBMWW/")</f>
        <v>https://www.instagram.com/p/BYzshltBMWW/</v>
      </c>
      <c r="F5554" t="s">
        <v>28923</v>
      </c>
      <c r="G5554" t="s">
        <v>2478</v>
      </c>
      <c r="H5554">
        <v>149</v>
      </c>
      <c r="I5554" t="s">
        <v>2910</v>
      </c>
      <c r="J5554">
        <v>1</v>
      </c>
      <c r="K5554">
        <v>31</v>
      </c>
      <c r="L5554">
        <v>32</v>
      </c>
      <c r="Q5554">
        <v>0</v>
      </c>
      <c r="R5554">
        <v>0</v>
      </c>
      <c r="S5554">
        <v>32</v>
      </c>
      <c r="T5554" t="s">
        <v>28924</v>
      </c>
      <c r="W5554">
        <v>27.0944</v>
      </c>
      <c r="X5554">
        <v>142.19200000000001</v>
      </c>
      <c r="Y5554" t="s">
        <v>28925</v>
      </c>
      <c r="Z5554" t="s">
        <v>2497</v>
      </c>
      <c r="AD5554" s="249" t="str">
        <f>HYPERLINK("https://scontent.cdninstagram.com/t51.2885-15/s320x320/e35/21433363_132273360728136_2294627694257635328_n.jpg")</f>
        <v>https://scontent.cdninstagram.com/t51.2885-15/s320x320/e35/21433363_132273360728136_2294627694257635328_n.jpg</v>
      </c>
      <c r="AE5554" s="249" t="str">
        <f>HYPERLINK("https://scontent.cdninstagram.com/t51.2885-19/11849859_1183793804970306_1341160771_a.jpg")</f>
        <v>https://scontent.cdninstagram.com/t51.2885-19/11849859_1183793804970306_1341160771_a.jpg</v>
      </c>
    </row>
    <row r="5555" spans="1:31" ht="15" x14ac:dyDescent="0.25">
      <c r="A5555" t="s">
        <v>2474</v>
      </c>
      <c r="B5555" t="s">
        <v>3015</v>
      </c>
      <c r="C5555" s="221">
        <v>42987.04954861111</v>
      </c>
      <c r="D5555" t="s">
        <v>28926</v>
      </c>
      <c r="E5555" s="249" t="str">
        <f>HYPERLINK("https://www.instagram.com/p/BYzt0cMg1uR/")</f>
        <v>https://www.instagram.com/p/BYzt0cMg1uR/</v>
      </c>
      <c r="F5555" t="s">
        <v>28927</v>
      </c>
      <c r="G5555" t="s">
        <v>2478</v>
      </c>
      <c r="H5555">
        <v>281</v>
      </c>
      <c r="I5555" t="s">
        <v>2479</v>
      </c>
      <c r="J5555">
        <v>0</v>
      </c>
      <c r="K5555">
        <v>98</v>
      </c>
      <c r="L5555">
        <v>98</v>
      </c>
      <c r="Q5555">
        <v>0</v>
      </c>
      <c r="R5555">
        <v>0</v>
      </c>
      <c r="S5555">
        <v>98</v>
      </c>
      <c r="Y5555" t="s">
        <v>2492</v>
      </c>
      <c r="Z5555" t="s">
        <v>4129</v>
      </c>
      <c r="AA5555" t="s">
        <v>3493</v>
      </c>
      <c r="AB5555" t="s">
        <v>3494</v>
      </c>
      <c r="AC5555" t="s">
        <v>3728</v>
      </c>
      <c r="AD5555" s="249" t="str">
        <f>HYPERLINK("https://scontent.cdninstagram.com/t51.2885-15/s320x320/e35/21434211_1568089349896524_8983065008871047168_n.jpg")</f>
        <v>https://scontent.cdninstagram.com/t51.2885-15/s320x320/e35/21434211_1568089349896524_8983065008871047168_n.jpg</v>
      </c>
      <c r="AE5555" s="249" t="str">
        <f>HYPERLINK("https://scontent.cdninstagram.com/t51.2885-19/s150x150/21373025_723410537866046_6184601968204316672_a.jpg")</f>
        <v>https://scontent.cdninstagram.com/t51.2885-19/s150x150/21373025_723410537866046_6184601968204316672_a.jpg</v>
      </c>
    </row>
    <row r="5556" spans="1:31" ht="15" x14ac:dyDescent="0.25">
      <c r="A5556" t="s">
        <v>2474</v>
      </c>
      <c r="B5556" t="s">
        <v>8312</v>
      </c>
      <c r="C5556" s="221">
        <v>42987.052789351852</v>
      </c>
      <c r="D5556" t="s">
        <v>28928</v>
      </c>
      <c r="E5556" s="249" t="str">
        <f>HYPERLINK("https://www.instagram.com/p/BYzuWqRHoos/")</f>
        <v>https://www.instagram.com/p/BYzuWqRHoos/</v>
      </c>
      <c r="F5556" t="s">
        <v>28929</v>
      </c>
      <c r="G5556" t="s">
        <v>2478</v>
      </c>
      <c r="H5556">
        <v>27</v>
      </c>
      <c r="I5556" t="s">
        <v>2910</v>
      </c>
      <c r="J5556">
        <v>1</v>
      </c>
      <c r="K5556">
        <v>24</v>
      </c>
      <c r="L5556">
        <v>25</v>
      </c>
      <c r="Q5556">
        <v>0</v>
      </c>
      <c r="R5556">
        <v>0</v>
      </c>
      <c r="S5556">
        <v>25</v>
      </c>
      <c r="T5556" t="s">
        <v>10329</v>
      </c>
      <c r="V5556" t="s">
        <v>2264</v>
      </c>
      <c r="W5556">
        <v>42.764014243490003</v>
      </c>
      <c r="X5556">
        <v>-7.9069180053236003</v>
      </c>
      <c r="Y5556" t="s">
        <v>6466</v>
      </c>
      <c r="Z5556" t="s">
        <v>7131</v>
      </c>
      <c r="AA5556" t="s">
        <v>3945</v>
      </c>
      <c r="AB5556" t="s">
        <v>28192</v>
      </c>
      <c r="AC5556" t="s">
        <v>6164</v>
      </c>
      <c r="AD5556" s="249" t="str">
        <f>HYPERLINK("https://scontent.cdninstagram.com/t51.2885-15/s320x320/e35/21434116_1899970476909818_6428387640524931072_n.jpg")</f>
        <v>https://scontent.cdninstagram.com/t51.2885-15/s320x320/e35/21434116_1899970476909818_6428387640524931072_n.jpg</v>
      </c>
      <c r="AE5556" s="249" t="str">
        <f>HYPERLINK("https://scontent.cdninstagram.com/t51.2885-19/s150x150/20347739_515336592144896_3974966673097621504_a.jpg")</f>
        <v>https://scontent.cdninstagram.com/t51.2885-19/s150x150/20347739_515336592144896_3974966673097621504_a.jpg</v>
      </c>
    </row>
    <row r="5557" spans="1:31" ht="15" x14ac:dyDescent="0.25">
      <c r="A5557" t="s">
        <v>2474</v>
      </c>
      <c r="B5557" t="s">
        <v>28930</v>
      </c>
      <c r="C5557" s="221">
        <v>42987.069560185184</v>
      </c>
      <c r="D5557" t="s">
        <v>28931</v>
      </c>
      <c r="E5557" s="249" t="str">
        <f>HYPERLINK("https://www.instagram.com/p/BYzxHj-h4S1/")</f>
        <v>https://www.instagram.com/p/BYzxHj-h4S1/</v>
      </c>
      <c r="F5557" t="s">
        <v>28932</v>
      </c>
      <c r="G5557" t="s">
        <v>2478</v>
      </c>
      <c r="H5557">
        <v>170</v>
      </c>
      <c r="I5557" t="s">
        <v>2622</v>
      </c>
      <c r="J5557">
        <v>0</v>
      </c>
      <c r="K5557">
        <v>16</v>
      </c>
      <c r="L5557">
        <v>16</v>
      </c>
      <c r="Q5557">
        <v>0</v>
      </c>
      <c r="R5557">
        <v>0</v>
      </c>
      <c r="S5557">
        <v>16</v>
      </c>
      <c r="Y5557" t="s">
        <v>2497</v>
      </c>
      <c r="Z5557" t="s">
        <v>22655</v>
      </c>
      <c r="AD5557" s="249" t="str">
        <f>HYPERLINK("https://scontent.cdninstagram.com/t51.2885-15/s320x320/e35/21435753_170601150164216_1754465003357863936_n.jpg")</f>
        <v>https://scontent.cdninstagram.com/t51.2885-15/s320x320/e35/21435753_170601150164216_1754465003357863936_n.jpg</v>
      </c>
      <c r="AE5557" s="249" t="str">
        <f>HYPERLINK("https://scontent.cdninstagram.com/t51.2885-19/s150x150/21373658_1516808475023811_1484097194326753280_a.jpg")</f>
        <v>https://scontent.cdninstagram.com/t51.2885-19/s150x150/21373658_1516808475023811_1484097194326753280_a.jpg</v>
      </c>
    </row>
    <row r="5558" spans="1:31" ht="15" x14ac:dyDescent="0.25">
      <c r="A5558" t="s">
        <v>2474</v>
      </c>
      <c r="B5558" t="s">
        <v>17216</v>
      </c>
      <c r="C5558" s="221">
        <v>42987.071631944447</v>
      </c>
      <c r="D5558" t="s">
        <v>28933</v>
      </c>
      <c r="E5558" s="249" t="str">
        <f>HYPERLINK("https://www.instagram.com/p/BYzxda9AiyV/")</f>
        <v>https://www.instagram.com/p/BYzxda9AiyV/</v>
      </c>
      <c r="F5558" t="s">
        <v>28934</v>
      </c>
      <c r="G5558" t="s">
        <v>2478</v>
      </c>
      <c r="H5558">
        <v>49</v>
      </c>
      <c r="I5558" t="s">
        <v>2542</v>
      </c>
      <c r="J5558">
        <v>0</v>
      </c>
      <c r="K5558">
        <v>9</v>
      </c>
      <c r="L5558">
        <v>9</v>
      </c>
      <c r="Q5558">
        <v>0</v>
      </c>
      <c r="R5558">
        <v>0</v>
      </c>
      <c r="S5558">
        <v>9</v>
      </c>
      <c r="Y5558" t="s">
        <v>4582</v>
      </c>
      <c r="Z5558" t="s">
        <v>28935</v>
      </c>
      <c r="AA5558" t="s">
        <v>28936</v>
      </c>
      <c r="AB5558" t="s">
        <v>28937</v>
      </c>
      <c r="AC5558" t="s">
        <v>28938</v>
      </c>
      <c r="AD5558" s="249" t="str">
        <f>HYPERLINK("https://scontent.cdninstagram.com/t51.2885-15/s320x320/e35/21435867_1992695377616567_4453889169080451072_n.jpg")</f>
        <v>https://scontent.cdninstagram.com/t51.2885-15/s320x320/e35/21435867_1992695377616567_4453889169080451072_n.jpg</v>
      </c>
      <c r="AE5558" s="249" t="str">
        <f>HYPERLINK("https://scontent.cdninstagram.com/t51.2885-19/s150x150/21148965_509922689345454_4827689016188993536_a.jpg")</f>
        <v>https://scontent.cdninstagram.com/t51.2885-19/s150x150/21148965_509922689345454_4827689016188993536_a.jpg</v>
      </c>
    </row>
    <row r="5559" spans="1:31" ht="15" x14ac:dyDescent="0.25">
      <c r="A5559" t="s">
        <v>2474</v>
      </c>
      <c r="B5559" t="s">
        <v>28939</v>
      </c>
      <c r="C5559" s="221">
        <v>42987.07267361111</v>
      </c>
      <c r="D5559" t="s">
        <v>28940</v>
      </c>
      <c r="E5559" s="249" t="str">
        <f>HYPERLINK("https://www.instagram.com/p/BYzxoZEAgh1/")</f>
        <v>https://www.instagram.com/p/BYzxoZEAgh1/</v>
      </c>
      <c r="F5559" t="s">
        <v>28941</v>
      </c>
      <c r="G5559" t="s">
        <v>2478</v>
      </c>
      <c r="H5559">
        <v>572</v>
      </c>
      <c r="I5559" t="s">
        <v>2927</v>
      </c>
      <c r="J5559">
        <v>3</v>
      </c>
      <c r="K5559">
        <v>36</v>
      </c>
      <c r="L5559">
        <v>39</v>
      </c>
      <c r="Q5559">
        <v>0</v>
      </c>
      <c r="R5559">
        <v>0</v>
      </c>
      <c r="S5559">
        <v>39</v>
      </c>
      <c r="Y5559" t="s">
        <v>6301</v>
      </c>
      <c r="Z5559" t="s">
        <v>28942</v>
      </c>
      <c r="AA5559" t="s">
        <v>28943</v>
      </c>
      <c r="AB5559" t="s">
        <v>28944</v>
      </c>
      <c r="AC5559" t="s">
        <v>28945</v>
      </c>
      <c r="AD5559" s="249" t="str">
        <f>HYPERLINK("https://scontent.cdninstagram.com/t51.2885-15/e35/p320x320/21436074_274954166329699_2551389777039458304_n.jpg")</f>
        <v>https://scontent.cdninstagram.com/t51.2885-15/e35/p320x320/21436074_274954166329699_2551389777039458304_n.jpg</v>
      </c>
      <c r="AE5559" s="249" t="str">
        <f>HYPERLINK("https://scontent.cdninstagram.com/t51.2885-19/s150x150/15802015_246195839150295_7913988833614495744_a.jpg")</f>
        <v>https://scontent.cdninstagram.com/t51.2885-19/s150x150/15802015_246195839150295_7913988833614495744_a.jpg</v>
      </c>
    </row>
    <row r="5560" spans="1:31" ht="15" x14ac:dyDescent="0.25">
      <c r="A5560" t="s">
        <v>2474</v>
      </c>
      <c r="B5560" t="s">
        <v>28946</v>
      </c>
      <c r="C5560" s="221">
        <v>42987.074629629627</v>
      </c>
      <c r="D5560" t="s">
        <v>28947</v>
      </c>
      <c r="E5560" s="249" t="str">
        <f>HYPERLINK("https://www.instagram.com/p/BYzx8-eHLy1/")</f>
        <v>https://www.instagram.com/p/BYzx8-eHLy1/</v>
      </c>
      <c r="F5560" t="s">
        <v>28948</v>
      </c>
      <c r="G5560" t="s">
        <v>2478</v>
      </c>
      <c r="H5560">
        <v>5</v>
      </c>
      <c r="I5560" t="s">
        <v>2542</v>
      </c>
      <c r="J5560">
        <v>0</v>
      </c>
      <c r="K5560">
        <v>8</v>
      </c>
      <c r="L5560">
        <v>8</v>
      </c>
      <c r="Q5560">
        <v>0</v>
      </c>
      <c r="R5560">
        <v>0</v>
      </c>
      <c r="S5560">
        <v>8</v>
      </c>
      <c r="Y5560" t="s">
        <v>3982</v>
      </c>
      <c r="Z5560" t="s">
        <v>28949</v>
      </c>
      <c r="AA5560" t="s">
        <v>2497</v>
      </c>
      <c r="AB5560" t="s">
        <v>28950</v>
      </c>
      <c r="AC5560" t="s">
        <v>2513</v>
      </c>
      <c r="AD5560" s="249" t="str">
        <f>HYPERLINK("https://scontent.cdninstagram.com/t51.2885-15/s320x320/e35/21433597_840619089444608_5288975203928375296_n.jpg")</f>
        <v>https://scontent.cdninstagram.com/t51.2885-15/s320x320/e35/21433597_840619089444608_5288975203928375296_n.jpg</v>
      </c>
      <c r="AE5560" s="249" t="str">
        <f>HYPERLINK("https://scontent.cdninstagram.com/t51.2885-19/s150x150/21435340_1894733240844270_3453399167659933696_a.jpg")</f>
        <v>https://scontent.cdninstagram.com/t51.2885-19/s150x150/21435340_1894733240844270_3453399167659933696_a.jpg</v>
      </c>
    </row>
    <row r="5561" spans="1:31" ht="15" x14ac:dyDescent="0.25">
      <c r="A5561" t="s">
        <v>2474</v>
      </c>
      <c r="B5561" t="s">
        <v>5275</v>
      </c>
      <c r="C5561" s="221">
        <v>42987.075844907406</v>
      </c>
      <c r="D5561" t="s">
        <v>28951</v>
      </c>
      <c r="E5561" s="249" t="str">
        <f>HYPERLINK("https://www.instagram.com/p/BYzyJ1sHuog/")</f>
        <v>https://www.instagram.com/p/BYzyJ1sHuog/</v>
      </c>
      <c r="F5561" t="s">
        <v>28952</v>
      </c>
      <c r="G5561" t="s">
        <v>2478</v>
      </c>
      <c r="H5561">
        <v>365</v>
      </c>
      <c r="I5561" t="s">
        <v>2479</v>
      </c>
      <c r="J5561">
        <v>2</v>
      </c>
      <c r="K5561">
        <v>32</v>
      </c>
      <c r="L5561">
        <v>34</v>
      </c>
      <c r="Q5561">
        <v>0</v>
      </c>
      <c r="R5561">
        <v>0</v>
      </c>
      <c r="S5561">
        <v>34</v>
      </c>
      <c r="Y5561" t="s">
        <v>2906</v>
      </c>
      <c r="Z5561" t="s">
        <v>18351</v>
      </c>
      <c r="AA5561" t="s">
        <v>28953</v>
      </c>
      <c r="AB5561" t="s">
        <v>3671</v>
      </c>
      <c r="AC5561" t="s">
        <v>5279</v>
      </c>
      <c r="AD5561" s="249" t="str">
        <f>HYPERLINK("https://scontent.cdninstagram.com/t51.2885-15/s320x320/e35/21568853_469071800132382_217032982458793984_n.jpg")</f>
        <v>https://scontent.cdninstagram.com/t51.2885-15/s320x320/e35/21568853_469071800132382_217032982458793984_n.jpg</v>
      </c>
      <c r="AE5561" s="249" t="str">
        <f>HYPERLINK("https://scontent.cdninstagram.com/t51.2885-19/s150x150/18013697_427125890977264_7000566800060514304_a.jpg")</f>
        <v>https://scontent.cdninstagram.com/t51.2885-19/s150x150/18013697_427125890977264_7000566800060514304_a.jpg</v>
      </c>
    </row>
    <row r="5562" spans="1:31" ht="15" x14ac:dyDescent="0.25">
      <c r="A5562" t="s">
        <v>2474</v>
      </c>
      <c r="B5562" t="s">
        <v>28954</v>
      </c>
      <c r="C5562" s="221">
        <v>42987.082546296297</v>
      </c>
      <c r="D5562" t="s">
        <v>28955</v>
      </c>
      <c r="E5562" s="249" t="str">
        <f>HYPERLINK("https://www.instagram.com/p/BYzzQbHha4X/")</f>
        <v>https://www.instagram.com/p/BYzzQbHha4X/</v>
      </c>
      <c r="F5562" t="s">
        <v>28956</v>
      </c>
      <c r="G5562" t="s">
        <v>2478</v>
      </c>
      <c r="H5562">
        <v>10813</v>
      </c>
      <c r="I5562" t="s">
        <v>2479</v>
      </c>
      <c r="J5562">
        <v>2</v>
      </c>
      <c r="K5562">
        <v>91</v>
      </c>
      <c r="L5562">
        <v>93</v>
      </c>
      <c r="Q5562">
        <v>0</v>
      </c>
      <c r="R5562">
        <v>0</v>
      </c>
      <c r="S5562">
        <v>93</v>
      </c>
      <c r="Y5562" t="s">
        <v>28957</v>
      </c>
      <c r="Z5562" t="s">
        <v>28958</v>
      </c>
      <c r="AA5562" t="s">
        <v>28959</v>
      </c>
      <c r="AB5562" t="s">
        <v>28960</v>
      </c>
      <c r="AC5562" t="s">
        <v>28961</v>
      </c>
      <c r="AD5562" s="249" t="str">
        <f>HYPERLINK("https://scontent.cdninstagram.com/t51.2885-15/s320x320/e35/21568608_124055924993033_3389141680908140544_n.jpg")</f>
        <v>https://scontent.cdninstagram.com/t51.2885-15/s320x320/e35/21568608_124055924993033_3389141680908140544_n.jpg</v>
      </c>
      <c r="AE5562" s="249" t="str">
        <f>HYPERLINK("https://scontent.cdninstagram.com/t51.2885-19/s150x150/21294596_1988643168085020_1268443201312653312_n.jpg")</f>
        <v>https://scontent.cdninstagram.com/t51.2885-19/s150x150/21294596_1988643168085020_1268443201312653312_n.jpg</v>
      </c>
    </row>
    <row r="5563" spans="1:31" ht="15" x14ac:dyDescent="0.25">
      <c r="A5563" t="s">
        <v>2474</v>
      </c>
      <c r="B5563" t="s">
        <v>28946</v>
      </c>
      <c r="C5563" s="221">
        <v>42987.089375000003</v>
      </c>
      <c r="D5563" t="s">
        <v>28962</v>
      </c>
      <c r="E5563" s="249" t="str">
        <f>HYPERLINK("https://www.instagram.com/p/BYz0YgTHLim/")</f>
        <v>https://www.instagram.com/p/BYz0YgTHLim/</v>
      </c>
      <c r="F5563" t="s">
        <v>28963</v>
      </c>
      <c r="G5563" t="s">
        <v>2478</v>
      </c>
      <c r="H5563">
        <v>5</v>
      </c>
      <c r="I5563" t="s">
        <v>2479</v>
      </c>
      <c r="J5563">
        <v>0</v>
      </c>
      <c r="K5563">
        <v>0</v>
      </c>
      <c r="L5563">
        <v>0</v>
      </c>
      <c r="Q5563">
        <v>0</v>
      </c>
      <c r="R5563">
        <v>0</v>
      </c>
      <c r="S5563">
        <v>0</v>
      </c>
      <c r="Y5563" t="s">
        <v>28964</v>
      </c>
      <c r="Z5563" t="s">
        <v>3982</v>
      </c>
      <c r="AA5563" t="s">
        <v>2497</v>
      </c>
      <c r="AB5563" t="s">
        <v>14648</v>
      </c>
      <c r="AC5563" t="s">
        <v>28965</v>
      </c>
      <c r="AD5563" s="249" t="str">
        <f>HYPERLINK("https://scontent.cdninstagram.com/t51.2885-15/e35/p320x320/21436132_420786364989734_9091249905002872832_n.jpg")</f>
        <v>https://scontent.cdninstagram.com/t51.2885-15/e35/p320x320/21436132_420786364989734_9091249905002872832_n.jpg</v>
      </c>
      <c r="AE5563" s="249" t="str">
        <f>HYPERLINK("https://scontent.cdninstagram.com/t51.2885-19/s150x150/21435340_1894733240844270_3453399167659933696_a.jpg")</f>
        <v>https://scontent.cdninstagram.com/t51.2885-19/s150x150/21435340_1894733240844270_3453399167659933696_a.jpg</v>
      </c>
    </row>
    <row r="5564" spans="1:31" ht="15" x14ac:dyDescent="0.25">
      <c r="A5564" t="s">
        <v>2474</v>
      </c>
      <c r="B5564" t="s">
        <v>28966</v>
      </c>
      <c r="C5564" s="221">
        <v>42987.100115740737</v>
      </c>
      <c r="D5564" t="s">
        <v>28967</v>
      </c>
      <c r="E5564" s="249" t="str">
        <f>HYPERLINK("https://www.instagram.com/p/BYz2J0dDpWZ/")</f>
        <v>https://www.instagram.com/p/BYz2J0dDpWZ/</v>
      </c>
      <c r="F5564" t="s">
        <v>28968</v>
      </c>
      <c r="G5564" t="s">
        <v>2478</v>
      </c>
      <c r="H5564">
        <v>289</v>
      </c>
      <c r="I5564" t="s">
        <v>2479</v>
      </c>
      <c r="J5564">
        <v>0</v>
      </c>
      <c r="K5564">
        <v>15</v>
      </c>
      <c r="L5564">
        <v>15</v>
      </c>
      <c r="Q5564">
        <v>0</v>
      </c>
      <c r="R5564">
        <v>0</v>
      </c>
      <c r="S5564">
        <v>15</v>
      </c>
      <c r="T5564" t="s">
        <v>28969</v>
      </c>
      <c r="V5564" t="s">
        <v>2276</v>
      </c>
      <c r="W5564">
        <v>7.8395999999999999</v>
      </c>
      <c r="X5564">
        <v>98.345200000000006</v>
      </c>
      <c r="Y5564" t="s">
        <v>2497</v>
      </c>
      <c r="Z5564" t="s">
        <v>28970</v>
      </c>
      <c r="AA5564" t="s">
        <v>25533</v>
      </c>
      <c r="AD5564" s="249" t="str">
        <f>HYPERLINK("https://scontent.cdninstagram.com/t51.2885-15/s320x320/e35/21433460_170972616808177_5830517996669370368_n.jpg")</f>
        <v>https://scontent.cdninstagram.com/t51.2885-15/s320x320/e35/21433460_170972616808177_5830517996669370368_n.jpg</v>
      </c>
      <c r="AE5564" s="249" t="str">
        <f>HYPERLINK("https://scontent.cdninstagram.com/t51.2885-19/11428692_1207747402584306_55159467_a.jpg")</f>
        <v>https://scontent.cdninstagram.com/t51.2885-19/11428692_1207747402584306_55159467_a.jpg</v>
      </c>
    </row>
    <row r="5565" spans="1:31" ht="15" x14ac:dyDescent="0.25">
      <c r="A5565" t="s">
        <v>2474</v>
      </c>
      <c r="B5565" t="s">
        <v>28971</v>
      </c>
      <c r="C5565" s="221">
        <v>42987.102581018517</v>
      </c>
      <c r="D5565" t="s">
        <v>28972</v>
      </c>
      <c r="E5565" s="249" t="str">
        <f>HYPERLINK("https://www.instagram.com/p/BYz2j2IgqIS/")</f>
        <v>https://www.instagram.com/p/BYz2j2IgqIS/</v>
      </c>
      <c r="F5565" t="s">
        <v>28973</v>
      </c>
      <c r="G5565" t="s">
        <v>2478</v>
      </c>
      <c r="H5565">
        <v>142</v>
      </c>
      <c r="I5565" t="s">
        <v>2542</v>
      </c>
      <c r="J5565">
        <v>1</v>
      </c>
      <c r="K5565">
        <v>7</v>
      </c>
      <c r="L5565">
        <v>8</v>
      </c>
      <c r="Q5565">
        <v>0</v>
      </c>
      <c r="R5565">
        <v>0</v>
      </c>
      <c r="S5565">
        <v>8</v>
      </c>
      <c r="Y5565" t="s">
        <v>3685</v>
      </c>
      <c r="Z5565" t="s">
        <v>3522</v>
      </c>
      <c r="AA5565" t="s">
        <v>3126</v>
      </c>
      <c r="AB5565" t="s">
        <v>28974</v>
      </c>
      <c r="AC5565" t="s">
        <v>7418</v>
      </c>
      <c r="AD5565" s="249" t="str">
        <f>HYPERLINK("https://scontent.cdninstagram.com/t51.2885-15/s320x320/e35/21435447_515145208831329_647367720307785728_n.jpg")</f>
        <v>https://scontent.cdninstagram.com/t51.2885-15/s320x320/e35/21435447_515145208831329_647367720307785728_n.jpg</v>
      </c>
      <c r="AE5565" s="249" t="str">
        <f>HYPERLINK("https://scontent.cdninstagram.com/t51.2885-19/s150x150/14487297_688067628011019_4591084434698010624_a.jpg")</f>
        <v>https://scontent.cdninstagram.com/t51.2885-19/s150x150/14487297_688067628011019_4591084434698010624_a.jpg</v>
      </c>
    </row>
    <row r="5566" spans="1:31" ht="15" x14ac:dyDescent="0.25">
      <c r="A5566" t="s">
        <v>2474</v>
      </c>
      <c r="B5566" t="s">
        <v>28975</v>
      </c>
      <c r="C5566" s="221">
        <v>42987.111608796295</v>
      </c>
      <c r="D5566" t="s">
        <v>28976</v>
      </c>
      <c r="E5566" s="249" t="str">
        <f>HYPERLINK("https://www.instagram.com/p/BYz4C-oHh1z/")</f>
        <v>https://www.instagram.com/p/BYz4C-oHh1z/</v>
      </c>
      <c r="F5566" t="s">
        <v>28977</v>
      </c>
      <c r="G5566" t="s">
        <v>2488</v>
      </c>
      <c r="H5566">
        <v>637</v>
      </c>
      <c r="I5566" t="s">
        <v>2479</v>
      </c>
      <c r="J5566">
        <v>0</v>
      </c>
      <c r="K5566">
        <v>46</v>
      </c>
      <c r="L5566">
        <v>46</v>
      </c>
      <c r="Q5566">
        <v>0</v>
      </c>
      <c r="R5566">
        <v>0</v>
      </c>
      <c r="S5566">
        <v>46</v>
      </c>
      <c r="T5566" t="s">
        <v>28978</v>
      </c>
      <c r="U5566" t="s">
        <v>122</v>
      </c>
      <c r="V5566" t="s">
        <v>2299</v>
      </c>
      <c r="W5566">
        <v>37.785420000000002</v>
      </c>
      <c r="X5566">
        <v>-122.39922</v>
      </c>
      <c r="Y5566" t="s">
        <v>28979</v>
      </c>
      <c r="Z5566" t="s">
        <v>28980</v>
      </c>
      <c r="AA5566" t="s">
        <v>28981</v>
      </c>
      <c r="AB5566" t="s">
        <v>28982</v>
      </c>
      <c r="AC5566" t="s">
        <v>28983</v>
      </c>
      <c r="AD5566" s="249" t="str">
        <f>HYPERLINK("https://scontent.cdninstagram.com/t51.2885-15/s320x320/e35/21433336_115975735739113_8317605816865652736_n.jpg")</f>
        <v>https://scontent.cdninstagram.com/t51.2885-15/s320x320/e35/21433336_115975735739113_8317605816865652736_n.jpg</v>
      </c>
      <c r="AE5566" s="249" t="str">
        <f>HYPERLINK("https://scontent.cdninstagram.com/t51.2885-19/s150x150/11330817_1493258910984466_317717820_a.jpg")</f>
        <v>https://scontent.cdninstagram.com/t51.2885-19/s150x150/11330817_1493258910984466_317717820_a.jpg</v>
      </c>
    </row>
    <row r="5567" spans="1:31" ht="15" x14ac:dyDescent="0.25">
      <c r="A5567" t="s">
        <v>2474</v>
      </c>
      <c r="B5567" t="s">
        <v>28984</v>
      </c>
      <c r="C5567" s="221">
        <v>42987.113217592596</v>
      </c>
      <c r="D5567" t="s">
        <v>28985</v>
      </c>
      <c r="E5567" s="249" t="str">
        <f>HYPERLINK("https://www.instagram.com/p/BYz4T9qDQ78/")</f>
        <v>https://www.instagram.com/p/BYz4T9qDQ78/</v>
      </c>
      <c r="F5567" t="s">
        <v>28986</v>
      </c>
      <c r="G5567" t="s">
        <v>2478</v>
      </c>
      <c r="H5567">
        <v>430</v>
      </c>
      <c r="I5567" t="s">
        <v>2479</v>
      </c>
      <c r="J5567">
        <v>1</v>
      </c>
      <c r="K5567">
        <v>44</v>
      </c>
      <c r="L5567">
        <v>45</v>
      </c>
      <c r="Q5567">
        <v>0</v>
      </c>
      <c r="R5567">
        <v>0</v>
      </c>
      <c r="S5567">
        <v>45</v>
      </c>
      <c r="Y5567" t="s">
        <v>2777</v>
      </c>
      <c r="Z5567" t="s">
        <v>28987</v>
      </c>
      <c r="AA5567" t="s">
        <v>3446</v>
      </c>
      <c r="AB5567" t="s">
        <v>28988</v>
      </c>
      <c r="AC5567" t="s">
        <v>2497</v>
      </c>
      <c r="AD5567" s="249" t="str">
        <f>HYPERLINK("https://scontent.cdninstagram.com/t51.2885-15/s320x320/e35/21480563_159493281296919_5320362034653560832_n.jpg")</f>
        <v>https://scontent.cdninstagram.com/t51.2885-15/s320x320/e35/21480563_159493281296919_5320362034653560832_n.jpg</v>
      </c>
      <c r="AE5567" s="249" t="str">
        <f>HYPERLINK("https://scontent.cdninstagram.com/t51.2885-19/s150x150/12141959_180463968961360_1850309452_a.jpg")</f>
        <v>https://scontent.cdninstagram.com/t51.2885-19/s150x150/12141959_180463968961360_1850309452_a.jpg</v>
      </c>
    </row>
    <row r="5568" spans="1:31" ht="15" x14ac:dyDescent="0.25">
      <c r="A5568" t="s">
        <v>2474</v>
      </c>
      <c r="B5568" t="s">
        <v>2644</v>
      </c>
      <c r="C5568" s="221">
        <v>42987.114699074074</v>
      </c>
      <c r="D5568" t="s">
        <v>28989</v>
      </c>
      <c r="E5568" s="249" t="str">
        <f>HYPERLINK("https://www.instagram.com/p/BYz4jj8gkVy/")</f>
        <v>https://www.instagram.com/p/BYz4jj8gkVy/</v>
      </c>
      <c r="F5568" t="s">
        <v>28990</v>
      </c>
      <c r="G5568" t="s">
        <v>2478</v>
      </c>
      <c r="H5568">
        <v>1717</v>
      </c>
      <c r="I5568" t="s">
        <v>2479</v>
      </c>
      <c r="J5568">
        <v>0</v>
      </c>
      <c r="K5568">
        <v>76</v>
      </c>
      <c r="L5568">
        <v>76</v>
      </c>
      <c r="Q5568">
        <v>0</v>
      </c>
      <c r="R5568">
        <v>0</v>
      </c>
      <c r="S5568">
        <v>76</v>
      </c>
      <c r="T5568" t="s">
        <v>28991</v>
      </c>
      <c r="V5568" t="s">
        <v>2648</v>
      </c>
      <c r="W5568">
        <v>43.0167</v>
      </c>
      <c r="X5568">
        <v>44.65</v>
      </c>
      <c r="Y5568" t="s">
        <v>3075</v>
      </c>
      <c r="Z5568" t="s">
        <v>3343</v>
      </c>
      <c r="AA5568" t="s">
        <v>7428</v>
      </c>
      <c r="AB5568" t="s">
        <v>3077</v>
      </c>
      <c r="AC5568" t="s">
        <v>2032</v>
      </c>
      <c r="AD5568" s="249" t="str">
        <f>HYPERLINK("https://scontent.cdninstagram.com/t51.2885-15/s320x320/e35/21436000_158342828078047_3006706020366942208_n.jpg")</f>
        <v>https://scontent.cdninstagram.com/t51.2885-15/s320x320/e35/21436000_158342828078047_3006706020366942208_n.jpg</v>
      </c>
      <c r="AE5568" s="249" t="str">
        <f>HYPERLINK("https://scontent.cdninstagram.com/t51.2885-19/11372086_1598451257062069_1320225693_a.jpg")</f>
        <v>https://scontent.cdninstagram.com/t51.2885-19/11372086_1598451257062069_1320225693_a.jpg</v>
      </c>
    </row>
    <row r="5569" spans="1:31" ht="15" x14ac:dyDescent="0.25">
      <c r="A5569" t="s">
        <v>2474</v>
      </c>
      <c r="B5569" t="s">
        <v>28992</v>
      </c>
      <c r="C5569" s="221">
        <v>42987.131284722222</v>
      </c>
      <c r="D5569" t="s">
        <v>28993</v>
      </c>
      <c r="E5569" s="249" t="str">
        <f>HYPERLINK("https://www.instagram.com/p/BYz7SlFjKc3/")</f>
        <v>https://www.instagram.com/p/BYz7SlFjKc3/</v>
      </c>
      <c r="F5569" t="s">
        <v>28994</v>
      </c>
      <c r="G5569" t="s">
        <v>2478</v>
      </c>
      <c r="H5569">
        <v>189</v>
      </c>
      <c r="I5569" t="s">
        <v>2479</v>
      </c>
      <c r="J5569">
        <v>5</v>
      </c>
      <c r="K5569">
        <v>25</v>
      </c>
      <c r="L5569">
        <v>30</v>
      </c>
      <c r="Q5569">
        <v>0</v>
      </c>
      <c r="R5569">
        <v>0</v>
      </c>
      <c r="S5569">
        <v>30</v>
      </c>
      <c r="Y5569" t="s">
        <v>28995</v>
      </c>
      <c r="Z5569" t="s">
        <v>28996</v>
      </c>
      <c r="AA5569" t="s">
        <v>28997</v>
      </c>
      <c r="AB5569" t="s">
        <v>28998</v>
      </c>
      <c r="AC5569" t="s">
        <v>28999</v>
      </c>
      <c r="AD5569" s="249" t="str">
        <f>HYPERLINK("https://scontent.cdninstagram.com/t51.2885-15/s320x320/e35/21433470_173028826597515_364658202492534784_n.jpg")</f>
        <v>https://scontent.cdninstagram.com/t51.2885-15/s320x320/e35/21433470_173028826597515_364658202492534784_n.jpg</v>
      </c>
      <c r="AE5569" s="249" t="str">
        <f>HYPERLINK("https://scontent.cdninstagram.com/t51.2885-19/s150x150/18094495_297948847327794_5941018747757133824_n.jpg")</f>
        <v>https://scontent.cdninstagram.com/t51.2885-19/s150x150/18094495_297948847327794_5941018747757133824_n.jpg</v>
      </c>
    </row>
    <row r="5570" spans="1:31" ht="15" x14ac:dyDescent="0.25">
      <c r="A5570" t="s">
        <v>2474</v>
      </c>
      <c r="B5570" t="s">
        <v>29000</v>
      </c>
      <c r="C5570" s="221">
        <v>42987.133784722224</v>
      </c>
      <c r="D5570" t="s">
        <v>29001</v>
      </c>
      <c r="E5570" s="249" t="str">
        <f>HYPERLINK("https://www.instagram.com/p/BYz7s3tHxP4/")</f>
        <v>https://www.instagram.com/p/BYz7s3tHxP4/</v>
      </c>
      <c r="F5570" t="s">
        <v>29002</v>
      </c>
      <c r="G5570" t="s">
        <v>2478</v>
      </c>
      <c r="H5570">
        <v>517</v>
      </c>
      <c r="I5570" t="s">
        <v>2542</v>
      </c>
      <c r="J5570">
        <v>0</v>
      </c>
      <c r="K5570">
        <v>12</v>
      </c>
      <c r="L5570">
        <v>12</v>
      </c>
      <c r="Q5570">
        <v>0</v>
      </c>
      <c r="R5570">
        <v>0</v>
      </c>
      <c r="S5570">
        <v>12</v>
      </c>
      <c r="Y5570" t="s">
        <v>2730</v>
      </c>
      <c r="Z5570" t="s">
        <v>9850</v>
      </c>
      <c r="AA5570" t="s">
        <v>29003</v>
      </c>
      <c r="AB5570" t="s">
        <v>2497</v>
      </c>
      <c r="AC5570" t="s">
        <v>29004</v>
      </c>
      <c r="AD5570" s="249" t="str">
        <f>HYPERLINK("https://scontent.cdninstagram.com/t51.2885-15/s320x320/e35/21479983_115268142497291_148270263992057856_n.jpg")</f>
        <v>https://scontent.cdninstagram.com/t51.2885-15/s320x320/e35/21479983_115268142497291_148270263992057856_n.jpg</v>
      </c>
      <c r="AE5570" s="249" t="str">
        <f>HYPERLINK("https://scontent.cdninstagram.com/t51.2885-19/s150x150/21435886_1953132418308851_5091270493424582656_a.jpg")</f>
        <v>https://scontent.cdninstagram.com/t51.2885-19/s150x150/21435886_1953132418308851_5091270493424582656_a.jpg</v>
      </c>
    </row>
    <row r="5571" spans="1:31" ht="15" x14ac:dyDescent="0.25">
      <c r="A5571" t="s">
        <v>2474</v>
      </c>
      <c r="B5571" t="s">
        <v>20403</v>
      </c>
      <c r="C5571" s="221">
        <v>42987.145335648151</v>
      </c>
      <c r="D5571" t="s">
        <v>29005</v>
      </c>
      <c r="E5571" s="249" t="str">
        <f>HYPERLINK("https://www.instagram.com/p/BYz9ms0j8np/")</f>
        <v>https://www.instagram.com/p/BYz9ms0j8np/</v>
      </c>
      <c r="F5571" t="s">
        <v>29006</v>
      </c>
      <c r="G5571" t="s">
        <v>2478</v>
      </c>
      <c r="H5571">
        <v>33</v>
      </c>
      <c r="I5571" t="s">
        <v>2479</v>
      </c>
      <c r="J5571">
        <v>0</v>
      </c>
      <c r="K5571">
        <v>7</v>
      </c>
      <c r="L5571">
        <v>7</v>
      </c>
      <c r="Q5571">
        <v>0</v>
      </c>
      <c r="R5571">
        <v>0</v>
      </c>
      <c r="S5571">
        <v>7</v>
      </c>
      <c r="Y5571" t="s">
        <v>29007</v>
      </c>
      <c r="Z5571" t="s">
        <v>29008</v>
      </c>
      <c r="AA5571" t="s">
        <v>10538</v>
      </c>
      <c r="AB5571" t="s">
        <v>29009</v>
      </c>
      <c r="AC5571" t="s">
        <v>29010</v>
      </c>
      <c r="AD5571" s="249" t="str">
        <f>HYPERLINK("https://scontent.cdninstagram.com/t51.2885-15/s320x320/e35/21436122_1000458350093803_6056326997473230848_n.jpg")</f>
        <v>https://scontent.cdninstagram.com/t51.2885-15/s320x320/e35/21436122_1000458350093803_6056326997473230848_n.jpg</v>
      </c>
      <c r="AE5571" s="249" t="str">
        <f>HYPERLINK("https://scontent-ams3-1.cdninstagram.com/t51.2885-19/11906329_960233084022564_1448528159_a.jpg")</f>
        <v>https://scontent-ams3-1.cdninstagram.com/t51.2885-19/11906329_960233084022564_1448528159_a.jpg</v>
      </c>
    </row>
    <row r="5572" spans="1:31" ht="15" x14ac:dyDescent="0.25">
      <c r="A5572" t="s">
        <v>2474</v>
      </c>
      <c r="B5572" t="s">
        <v>24647</v>
      </c>
      <c r="C5572" s="221">
        <v>42987.145543981482</v>
      </c>
      <c r="D5572" t="s">
        <v>29011</v>
      </c>
      <c r="E5572" s="249" t="str">
        <f>HYPERLINK("https://www.instagram.com/p/BYz9o-SlTfU/")</f>
        <v>https://www.instagram.com/p/BYz9o-SlTfU/</v>
      </c>
      <c r="F5572" t="s">
        <v>29012</v>
      </c>
      <c r="G5572" t="s">
        <v>2478</v>
      </c>
      <c r="H5572">
        <v>816</v>
      </c>
      <c r="I5572" t="s">
        <v>2582</v>
      </c>
      <c r="J5572">
        <v>1</v>
      </c>
      <c r="K5572">
        <v>55</v>
      </c>
      <c r="L5572">
        <v>56</v>
      </c>
      <c r="Q5572">
        <v>0</v>
      </c>
      <c r="R5572">
        <v>0</v>
      </c>
      <c r="S5572">
        <v>56</v>
      </c>
      <c r="Y5572" t="s">
        <v>3269</v>
      </c>
      <c r="Z5572" t="s">
        <v>4620</v>
      </c>
      <c r="AA5572" t="s">
        <v>4993</v>
      </c>
      <c r="AB5572" t="s">
        <v>8144</v>
      </c>
      <c r="AC5572" t="s">
        <v>18018</v>
      </c>
      <c r="AD5572" s="249" t="str">
        <f>HYPERLINK("https://scontent.cdninstagram.com/t51.2885-15/s320x320/e35/21433360_114040325957003_1193580499709198336_n.jpg")</f>
        <v>https://scontent.cdninstagram.com/t51.2885-15/s320x320/e35/21433360_114040325957003_1193580499709198336_n.jpg</v>
      </c>
      <c r="AE5572" s="249" t="str">
        <f>HYPERLINK("https://scontent.cdninstagram.com/t51.2885-19/s150x150/17125791_724925844352480_2027053954726100992_a.jpg")</f>
        <v>https://scontent.cdninstagram.com/t51.2885-19/s150x150/17125791_724925844352480_2027053954726100992_a.jpg</v>
      </c>
    </row>
    <row r="5573" spans="1:31" ht="15" x14ac:dyDescent="0.25">
      <c r="A5573" t="s">
        <v>2474</v>
      </c>
      <c r="B5573" t="s">
        <v>29013</v>
      </c>
      <c r="C5573" s="221">
        <v>42987.150358796294</v>
      </c>
      <c r="D5573" t="s">
        <v>29014</v>
      </c>
      <c r="E5573" s="249" t="str">
        <f>HYPERLINK("https://www.instagram.com/p/BYz-bsTFj1o/")</f>
        <v>https://www.instagram.com/p/BYz-bsTFj1o/</v>
      </c>
      <c r="F5573" t="s">
        <v>29015</v>
      </c>
      <c r="G5573" t="s">
        <v>2478</v>
      </c>
      <c r="H5573">
        <v>236</v>
      </c>
      <c r="I5573" t="s">
        <v>2542</v>
      </c>
      <c r="J5573">
        <v>1</v>
      </c>
      <c r="K5573">
        <v>28</v>
      </c>
      <c r="L5573">
        <v>29</v>
      </c>
      <c r="Q5573">
        <v>0</v>
      </c>
      <c r="R5573">
        <v>0</v>
      </c>
      <c r="S5573">
        <v>29</v>
      </c>
      <c r="Y5573" t="s">
        <v>11796</v>
      </c>
      <c r="Z5573" t="s">
        <v>29016</v>
      </c>
      <c r="AA5573" t="s">
        <v>2497</v>
      </c>
      <c r="AB5573" t="s">
        <v>5521</v>
      </c>
      <c r="AC5573" t="s">
        <v>9643</v>
      </c>
      <c r="AD5573" s="249" t="str">
        <f>HYPERLINK("https://scontent.cdninstagram.com/t51.2885-15/s320x320/e35/21373793_1456626591039071_1582805099091066880_n.jpg")</f>
        <v>https://scontent.cdninstagram.com/t51.2885-15/s320x320/e35/21373793_1456626591039071_1582805099091066880_n.jpg</v>
      </c>
      <c r="AE5573" s="249" t="str">
        <f>HYPERLINK("https://scontent.cdninstagram.com/t51.2885-19/s150x150/14309779_1807279689551758_495385912_a.jpg")</f>
        <v>https://scontent.cdninstagram.com/t51.2885-19/s150x150/14309779_1807279689551758_495385912_a.jpg</v>
      </c>
    </row>
    <row r="5574" spans="1:31" ht="15" x14ac:dyDescent="0.25">
      <c r="A5574" t="s">
        <v>2474</v>
      </c>
      <c r="B5574" t="s">
        <v>9873</v>
      </c>
      <c r="C5574" s="221">
        <v>42987.171805555554</v>
      </c>
      <c r="D5574" t="s">
        <v>29017</v>
      </c>
      <c r="E5574" s="249" t="str">
        <f>HYPERLINK("https://www.instagram.com/p/BY0B93AAz_c/")</f>
        <v>https://www.instagram.com/p/BY0B93AAz_c/</v>
      </c>
      <c r="F5574" t="s">
        <v>29018</v>
      </c>
      <c r="G5574" t="s">
        <v>2478</v>
      </c>
      <c r="H5574">
        <v>1726</v>
      </c>
      <c r="I5574" t="s">
        <v>2479</v>
      </c>
      <c r="J5574">
        <v>1</v>
      </c>
      <c r="K5574">
        <v>81</v>
      </c>
      <c r="L5574">
        <v>82</v>
      </c>
      <c r="Q5574">
        <v>0</v>
      </c>
      <c r="R5574">
        <v>0</v>
      </c>
      <c r="S5574">
        <v>82</v>
      </c>
      <c r="T5574" t="s">
        <v>29019</v>
      </c>
      <c r="V5574" t="s">
        <v>2110</v>
      </c>
      <c r="W5574">
        <v>50.883333333332999</v>
      </c>
      <c r="X5574">
        <v>4.0833333333333002</v>
      </c>
      <c r="Y5574" t="s">
        <v>2730</v>
      </c>
      <c r="Z5574" t="s">
        <v>14122</v>
      </c>
      <c r="AA5574" t="s">
        <v>16743</v>
      </c>
      <c r="AB5574" t="s">
        <v>9985</v>
      </c>
      <c r="AC5574" t="s">
        <v>23519</v>
      </c>
      <c r="AD5574" s="249" t="str">
        <f>HYPERLINK("https://scontent.cdninstagram.com/t51.2885-15/s320x320/e35/21433807_120089908652896_1757612634565246976_n.jpg")</f>
        <v>https://scontent.cdninstagram.com/t51.2885-15/s320x320/e35/21433807_120089908652896_1757612634565246976_n.jpg</v>
      </c>
      <c r="AE5574" s="249" t="str">
        <f>HYPERLINK("https://scontent.cdninstagram.com/t51.2885-19/s150x150/19120424_1851523518508236_787453640649474048_a.jpg")</f>
        <v>https://scontent.cdninstagram.com/t51.2885-19/s150x150/19120424_1851523518508236_787453640649474048_a.jpg</v>
      </c>
    </row>
    <row r="5575" spans="1:31" ht="15" x14ac:dyDescent="0.25">
      <c r="A5575" t="s">
        <v>2474</v>
      </c>
      <c r="B5575" t="s">
        <v>29020</v>
      </c>
      <c r="C5575" s="221">
        <v>42987.203761574077</v>
      </c>
      <c r="D5575" t="s">
        <v>29021</v>
      </c>
      <c r="E5575" s="249" t="str">
        <f>HYPERLINK("https://www.instagram.com/p/BY0HO6tB37r/")</f>
        <v>https://www.instagram.com/p/BY0HO6tB37r/</v>
      </c>
      <c r="F5575" t="s">
        <v>29022</v>
      </c>
      <c r="G5575" t="s">
        <v>2478</v>
      </c>
      <c r="H5575">
        <v>712</v>
      </c>
      <c r="I5575" t="s">
        <v>2479</v>
      </c>
      <c r="J5575">
        <v>0</v>
      </c>
      <c r="K5575">
        <v>64</v>
      </c>
      <c r="L5575">
        <v>64</v>
      </c>
      <c r="Q5575">
        <v>0</v>
      </c>
      <c r="R5575">
        <v>0</v>
      </c>
      <c r="S5575">
        <v>64</v>
      </c>
      <c r="T5575" t="s">
        <v>29023</v>
      </c>
      <c r="V5575" t="s">
        <v>2132</v>
      </c>
      <c r="W5575">
        <v>3.65</v>
      </c>
      <c r="X5575">
        <v>-76.933300000000003</v>
      </c>
      <c r="Y5575" t="s">
        <v>3936</v>
      </c>
      <c r="Z5575" t="s">
        <v>29024</v>
      </c>
      <c r="AA5575" t="s">
        <v>5307</v>
      </c>
      <c r="AB5575" t="s">
        <v>7584</v>
      </c>
      <c r="AC5575" t="s">
        <v>29025</v>
      </c>
      <c r="AD5575" s="249" t="str">
        <f>HYPERLINK("https://scontent.cdninstagram.com/t51.2885-15/s320x320/e35/21480174_137124750237511_4957471743779274752_n.jpg")</f>
        <v>https://scontent.cdninstagram.com/t51.2885-15/s320x320/e35/21480174_137124750237511_4957471743779274752_n.jpg</v>
      </c>
      <c r="AE5575" s="249" t="str">
        <f>HYPERLINK("https://scontent.cdninstagram.com/t51.2885-19/s150x150/17438382_1844035039169527_6733157420337463296_a.jpg")</f>
        <v>https://scontent.cdninstagram.com/t51.2885-19/s150x150/17438382_1844035039169527_6733157420337463296_a.jpg</v>
      </c>
    </row>
    <row r="5576" spans="1:31" ht="15" x14ac:dyDescent="0.25">
      <c r="A5576" t="s">
        <v>2474</v>
      </c>
      <c r="B5576" t="s">
        <v>29026</v>
      </c>
      <c r="C5576" s="221">
        <v>42987.207083333335</v>
      </c>
      <c r="D5576" t="s">
        <v>29027</v>
      </c>
      <c r="E5576" s="249" t="str">
        <f>HYPERLINK("https://www.instagram.com/p/BY0Hx5ulSsI/")</f>
        <v>https://www.instagram.com/p/BY0Hx5ulSsI/</v>
      </c>
      <c r="F5576" t="s">
        <v>29028</v>
      </c>
      <c r="G5576" t="s">
        <v>2478</v>
      </c>
      <c r="I5576" t="s">
        <v>2479</v>
      </c>
      <c r="J5576">
        <v>0</v>
      </c>
      <c r="K5576">
        <v>97</v>
      </c>
      <c r="L5576">
        <v>97</v>
      </c>
      <c r="Q5576">
        <v>0</v>
      </c>
      <c r="R5576">
        <v>0</v>
      </c>
      <c r="S5576">
        <v>97</v>
      </c>
      <c r="Y5576" t="s">
        <v>2497</v>
      </c>
      <c r="AD5576" s="249" t="str">
        <f>HYPERLINK("https://scontent.cdninstagram.com/t51.2885-15/s320x320/e35/21435816_116234069085365_4684361061258756096_n.jpg")</f>
        <v>https://scontent.cdninstagram.com/t51.2885-15/s320x320/e35/21435816_116234069085365_4684361061258756096_n.jpg</v>
      </c>
      <c r="AE5576" s="249" t="str">
        <f>HYPERLINK("https://scontent.cdninstagram.com/t51.2885-19/s150x150/18444902_126329844597281_316647945661317120_a.jpg")</f>
        <v>https://scontent.cdninstagram.com/t51.2885-19/s150x150/18444902_126329844597281_316647945661317120_a.jpg</v>
      </c>
    </row>
    <row r="5577" spans="1:31" ht="15" x14ac:dyDescent="0.25">
      <c r="A5577" t="s">
        <v>2474</v>
      </c>
      <c r="B5577" t="s">
        <v>2619</v>
      </c>
      <c r="C5577" s="221">
        <v>42987.220266203702</v>
      </c>
      <c r="D5577" t="s">
        <v>29029</v>
      </c>
      <c r="E5577" s="249" t="str">
        <f>HYPERLINK("https://www.instagram.com/p/BY0J9BYjDQQ/")</f>
        <v>https://www.instagram.com/p/BY0J9BYjDQQ/</v>
      </c>
      <c r="F5577" t="s">
        <v>29030</v>
      </c>
      <c r="G5577" t="s">
        <v>2488</v>
      </c>
      <c r="H5577">
        <v>827</v>
      </c>
      <c r="I5577" t="s">
        <v>2479</v>
      </c>
      <c r="J5577">
        <v>10</v>
      </c>
      <c r="K5577">
        <v>36</v>
      </c>
      <c r="L5577">
        <v>46</v>
      </c>
      <c r="Q5577">
        <v>0</v>
      </c>
      <c r="R5577">
        <v>0</v>
      </c>
      <c r="S5577">
        <v>46</v>
      </c>
      <c r="T5577" t="s">
        <v>29031</v>
      </c>
      <c r="V5577" t="s">
        <v>2102</v>
      </c>
      <c r="W5577">
        <v>-34.200000000000003</v>
      </c>
      <c r="X5577">
        <v>142.15</v>
      </c>
      <c r="Y5577" t="s">
        <v>3174</v>
      </c>
      <c r="Z5577" t="s">
        <v>9864</v>
      </c>
      <c r="AA5577" t="s">
        <v>7830</v>
      </c>
      <c r="AB5577" t="s">
        <v>2497</v>
      </c>
      <c r="AC5577" t="s">
        <v>2769</v>
      </c>
      <c r="AD5577" s="249" t="str">
        <f>HYPERLINK("https://scontent.cdninstagram.com/t51.2885-15/s320x320/e35/21435977_2008027839474481_7578714310575128576_n.jpg")</f>
        <v>https://scontent.cdninstagram.com/t51.2885-15/s320x320/e35/21435977_2008027839474481_7578714310575128576_n.jpg</v>
      </c>
      <c r="AE5577" s="249" t="str">
        <f>HYPERLINK("https://scontent.cdninstagram.com/t51.2885-19/s150x150/14719583_1073368536093824_6781485298590154752_a.jpg")</f>
        <v>https://scontent.cdninstagram.com/t51.2885-19/s150x150/14719583_1073368536093824_6781485298590154752_a.jpg</v>
      </c>
    </row>
    <row r="5578" spans="1:31" ht="15" x14ac:dyDescent="0.25">
      <c r="A5578" t="s">
        <v>2474</v>
      </c>
      <c r="B5578" t="s">
        <v>7421</v>
      </c>
      <c r="C5578" s="221">
        <v>42987.22152777778</v>
      </c>
      <c r="D5578" t="s">
        <v>29032</v>
      </c>
      <c r="E5578" s="249" t="str">
        <f>HYPERLINK("https://www.instagram.com/p/BY0KKRPDFMn/")</f>
        <v>https://www.instagram.com/p/BY0KKRPDFMn/</v>
      </c>
      <c r="F5578" t="s">
        <v>29033</v>
      </c>
      <c r="G5578" t="s">
        <v>2478</v>
      </c>
      <c r="H5578">
        <v>511</v>
      </c>
      <c r="I5578" t="s">
        <v>2479</v>
      </c>
      <c r="J5578">
        <v>5</v>
      </c>
      <c r="K5578">
        <v>89</v>
      </c>
      <c r="L5578">
        <v>94</v>
      </c>
      <c r="Q5578">
        <v>0</v>
      </c>
      <c r="R5578">
        <v>0</v>
      </c>
      <c r="S5578">
        <v>94</v>
      </c>
      <c r="T5578" t="s">
        <v>12977</v>
      </c>
      <c r="V5578" t="s">
        <v>2270</v>
      </c>
      <c r="W5578">
        <v>59.638810609075001</v>
      </c>
      <c r="X5578">
        <v>16.524024542085002</v>
      </c>
      <c r="AD5578" s="249" t="str">
        <f>HYPERLINK("https://scontent.cdninstagram.com/t51.2885-15/e35/p320x320/21435984_2007080712855721_7025675342081687552_n.jpg")</f>
        <v>https://scontent.cdninstagram.com/t51.2885-15/e35/p320x320/21435984_2007080712855721_7025675342081687552_n.jpg</v>
      </c>
      <c r="AE5578" s="249" t="str">
        <f>HYPERLINK("https://scontent.cdninstagram.com/t51.2885-19/s150x150/21149381_111820502847444_8601511457303035904_a.jpg")</f>
        <v>https://scontent.cdninstagram.com/t51.2885-19/s150x150/21149381_111820502847444_8601511457303035904_a.jpg</v>
      </c>
    </row>
    <row r="5579" spans="1:31" ht="15" x14ac:dyDescent="0.25">
      <c r="A5579" t="s">
        <v>2474</v>
      </c>
      <c r="B5579" t="s">
        <v>29034</v>
      </c>
      <c r="C5579" s="221">
        <v>42987.226597222223</v>
      </c>
      <c r="D5579" t="s">
        <v>29035</v>
      </c>
      <c r="E5579" s="249" t="str">
        <f>HYPERLINK("https://www.instagram.com/p/BY0K_yKAyiC/")</f>
        <v>https://www.instagram.com/p/BY0K_yKAyiC/</v>
      </c>
      <c r="F5579" t="s">
        <v>29036</v>
      </c>
      <c r="G5579" t="s">
        <v>2478</v>
      </c>
      <c r="H5579">
        <v>886</v>
      </c>
      <c r="I5579" t="s">
        <v>2479</v>
      </c>
      <c r="J5579">
        <v>1</v>
      </c>
      <c r="K5579">
        <v>146</v>
      </c>
      <c r="L5579">
        <v>147</v>
      </c>
      <c r="Q5579">
        <v>0</v>
      </c>
      <c r="R5579">
        <v>0</v>
      </c>
      <c r="S5579">
        <v>147</v>
      </c>
      <c r="Y5579" t="s">
        <v>29037</v>
      </c>
      <c r="Z5579" t="s">
        <v>4620</v>
      </c>
      <c r="AA5579" t="s">
        <v>2789</v>
      </c>
      <c r="AB5579" t="s">
        <v>13236</v>
      </c>
      <c r="AC5579" t="s">
        <v>2497</v>
      </c>
      <c r="AD5579" s="249" t="str">
        <f>HYPERLINK("https://scontent.cdninstagram.com/t51.2885-15/s320x320/e35/21568706_1767867750177203_1239749233477681152_n.jpg")</f>
        <v>https://scontent.cdninstagram.com/t51.2885-15/s320x320/e35/21568706_1767867750177203_1239749233477681152_n.jpg</v>
      </c>
      <c r="AE5579" s="249" t="str">
        <f>HYPERLINK("https://scontent.cdninstagram.com/t51.2885-19/s150x150/20837038_352714581816058_4035161000528314368_a.jpg")</f>
        <v>https://scontent.cdninstagram.com/t51.2885-19/s150x150/20837038_352714581816058_4035161000528314368_a.jpg</v>
      </c>
    </row>
    <row r="5580" spans="1:31" ht="15" x14ac:dyDescent="0.25">
      <c r="A5580" t="s">
        <v>2474</v>
      </c>
      <c r="B5580" t="s">
        <v>2924</v>
      </c>
      <c r="C5580" s="221">
        <v>42987.230509259258</v>
      </c>
      <c r="D5580" t="s">
        <v>29038</v>
      </c>
      <c r="E5580" s="249" t="str">
        <f>HYPERLINK("https://www.instagram.com/p/BY0Lo_cFXNt/")</f>
        <v>https://www.instagram.com/p/BY0Lo_cFXNt/</v>
      </c>
      <c r="F5580" t="s">
        <v>29039</v>
      </c>
      <c r="G5580" t="s">
        <v>2478</v>
      </c>
      <c r="H5580">
        <v>254</v>
      </c>
      <c r="I5580" t="s">
        <v>4062</v>
      </c>
      <c r="J5580">
        <v>0</v>
      </c>
      <c r="K5580">
        <v>31</v>
      </c>
      <c r="L5580">
        <v>31</v>
      </c>
      <c r="Q5580">
        <v>0</v>
      </c>
      <c r="R5580">
        <v>0</v>
      </c>
      <c r="S5580">
        <v>31</v>
      </c>
      <c r="T5580" t="s">
        <v>29040</v>
      </c>
      <c r="V5580" t="s">
        <v>2110</v>
      </c>
      <c r="W5580">
        <v>51.179401760635997</v>
      </c>
      <c r="X5580">
        <v>3.1932832094782002</v>
      </c>
      <c r="Y5580" t="s">
        <v>3145</v>
      </c>
      <c r="Z5580" t="s">
        <v>7385</v>
      </c>
      <c r="AA5580" t="s">
        <v>22173</v>
      </c>
      <c r="AB5580" t="s">
        <v>12109</v>
      </c>
      <c r="AC5580" t="s">
        <v>4041</v>
      </c>
      <c r="AD5580" s="249" t="str">
        <f>HYPERLINK("https://scontent.cdninstagram.com/t51.2885-15/s320x320/e35/21434072_274843513013489_5706648502742810624_n.jpg")</f>
        <v>https://scontent.cdninstagram.com/t51.2885-15/s320x320/e35/21434072_274843513013489_5706648502742810624_n.jpg</v>
      </c>
      <c r="AE5580" s="249" t="str">
        <f>HYPERLINK("https://scontent.cdninstagram.com/t51.2885-19/s150x150/21576759_1966990456846876_6175629687033692160_a.jpg")</f>
        <v>https://scontent.cdninstagram.com/t51.2885-19/s150x150/21576759_1966990456846876_6175629687033692160_a.jpg</v>
      </c>
    </row>
    <row r="5581" spans="1:31" ht="15" x14ac:dyDescent="0.25">
      <c r="A5581" t="s">
        <v>2474</v>
      </c>
      <c r="B5581" t="s">
        <v>3895</v>
      </c>
      <c r="C5581" s="221">
        <v>42987.249085648145</v>
      </c>
      <c r="D5581" t="s">
        <v>29041</v>
      </c>
      <c r="E5581" s="249" t="str">
        <f>HYPERLINK("https://www.instagram.com/p/BY0OtAoFq8s/")</f>
        <v>https://www.instagram.com/p/BY0OtAoFq8s/</v>
      </c>
      <c r="F5581" t="s">
        <v>29042</v>
      </c>
      <c r="G5581" t="s">
        <v>2478</v>
      </c>
      <c r="H5581">
        <v>448</v>
      </c>
      <c r="I5581" t="s">
        <v>2479</v>
      </c>
      <c r="J5581">
        <v>2</v>
      </c>
      <c r="K5581">
        <v>90</v>
      </c>
      <c r="L5581">
        <v>92</v>
      </c>
      <c r="Q5581">
        <v>0</v>
      </c>
      <c r="R5581">
        <v>0</v>
      </c>
      <c r="S5581">
        <v>92</v>
      </c>
      <c r="Y5581" t="s">
        <v>18427</v>
      </c>
      <c r="Z5581" t="s">
        <v>2911</v>
      </c>
      <c r="AA5581" t="s">
        <v>2617</v>
      </c>
      <c r="AB5581" t="s">
        <v>3900</v>
      </c>
      <c r="AC5581" t="s">
        <v>16889</v>
      </c>
      <c r="AD5581" s="249" t="str">
        <f>HYPERLINK("https://scontent.cdninstagram.com/t51.2885-15/s320x320/e35/21433507_1687912717898991_5630714412957433856_n.jpg")</f>
        <v>https://scontent.cdninstagram.com/t51.2885-15/s320x320/e35/21433507_1687912717898991_5630714412957433856_n.jpg</v>
      </c>
      <c r="AE5581" s="249" t="str">
        <f>HYPERLINK("https://scontent.cdninstagram.com/t51.2885-19/s150x150/20902130_1390331654386412_4188068892897181696_a.jpg")</f>
        <v>https://scontent.cdninstagram.com/t51.2885-19/s150x150/20902130_1390331654386412_4188068892897181696_a.jpg</v>
      </c>
    </row>
    <row r="5582" spans="1:31" ht="15" x14ac:dyDescent="0.25">
      <c r="A5582" t="s">
        <v>2474</v>
      </c>
      <c r="B5582" t="s">
        <v>29043</v>
      </c>
      <c r="C5582" s="221">
        <v>42987.254062499997</v>
      </c>
      <c r="D5582" t="s">
        <v>29044</v>
      </c>
      <c r="E5582" s="249" t="str">
        <f>HYPERLINK("https://www.instagram.com/p/BY0PhfHDtLO/")</f>
        <v>https://www.instagram.com/p/BY0PhfHDtLO/</v>
      </c>
      <c r="F5582" t="s">
        <v>29045</v>
      </c>
      <c r="G5582" t="s">
        <v>2478</v>
      </c>
      <c r="H5582">
        <v>696</v>
      </c>
      <c r="I5582" t="s">
        <v>2479</v>
      </c>
      <c r="J5582">
        <v>2</v>
      </c>
      <c r="K5582">
        <v>107</v>
      </c>
      <c r="L5582">
        <v>109</v>
      </c>
      <c r="Q5582">
        <v>0</v>
      </c>
      <c r="R5582">
        <v>0</v>
      </c>
      <c r="S5582">
        <v>109</v>
      </c>
      <c r="Y5582" t="s">
        <v>22278</v>
      </c>
      <c r="Z5582" t="s">
        <v>6628</v>
      </c>
      <c r="AA5582" t="s">
        <v>29046</v>
      </c>
      <c r="AB5582" t="s">
        <v>14963</v>
      </c>
      <c r="AC5582" t="s">
        <v>29047</v>
      </c>
      <c r="AD5582" s="249" t="str">
        <f>HYPERLINK("https://scontent.cdninstagram.com/t51.2885-15/s320x320/e35/21569163_265016334006503_4386452285543153664_n.jpg")</f>
        <v>https://scontent.cdninstagram.com/t51.2885-15/s320x320/e35/21569163_265016334006503_4386452285543153664_n.jpg</v>
      </c>
      <c r="AE5582" s="249" t="str">
        <f>HYPERLINK("https://scontent.cdninstagram.com/t51.2885-19/21576414_753976004803148_7564973834021896192_n.jpg")</f>
        <v>https://scontent.cdninstagram.com/t51.2885-19/21576414_753976004803148_7564973834021896192_n.jpg</v>
      </c>
    </row>
    <row r="5583" spans="1:31" ht="15" x14ac:dyDescent="0.25">
      <c r="A5583" t="s">
        <v>2474</v>
      </c>
      <c r="B5583" t="s">
        <v>29048</v>
      </c>
      <c r="C5583" s="221">
        <v>42987.271481481483</v>
      </c>
      <c r="D5583" t="s">
        <v>29049</v>
      </c>
      <c r="E5583" s="249" t="str">
        <f>HYPERLINK("https://www.instagram.com/p/BY0SZIjgQUq/")</f>
        <v>https://www.instagram.com/p/BY0SZIjgQUq/</v>
      </c>
      <c r="F5583" t="s">
        <v>29050</v>
      </c>
      <c r="G5583" t="s">
        <v>2478</v>
      </c>
      <c r="H5583">
        <v>1376</v>
      </c>
      <c r="I5583" t="s">
        <v>2510</v>
      </c>
      <c r="J5583">
        <v>4</v>
      </c>
      <c r="K5583">
        <v>196</v>
      </c>
      <c r="L5583">
        <v>200</v>
      </c>
      <c r="Q5583">
        <v>0</v>
      </c>
      <c r="R5583">
        <v>0</v>
      </c>
      <c r="S5583">
        <v>200</v>
      </c>
      <c r="T5583" t="s">
        <v>29051</v>
      </c>
      <c r="V5583" t="s">
        <v>2174</v>
      </c>
      <c r="W5583">
        <v>47.505760000000002</v>
      </c>
      <c r="X5583">
        <v>19.051390000000001</v>
      </c>
      <c r="Y5583" t="s">
        <v>29052</v>
      </c>
      <c r="Z5583" t="s">
        <v>11035</v>
      </c>
      <c r="AA5583" t="s">
        <v>15682</v>
      </c>
      <c r="AB5583" t="s">
        <v>4993</v>
      </c>
      <c r="AC5583" t="s">
        <v>3685</v>
      </c>
      <c r="AD5583" s="249" t="str">
        <f>HYPERLINK("https://scontent.cdninstagram.com/t51.2885-15/e35/p320x320/21436024_126769274636694_3531503435700502528_n.jpg")</f>
        <v>https://scontent.cdninstagram.com/t51.2885-15/e35/p320x320/21436024_126769274636694_3531503435700502528_n.jpg</v>
      </c>
      <c r="AE5583" s="249" t="str">
        <f>HYPERLINK("https://scontent.cdninstagram.com/t51.2885-19/s150x150/14624411_1916385672019255_6980623798026371072_a.jpg")</f>
        <v>https://scontent.cdninstagram.com/t51.2885-19/s150x150/14624411_1916385672019255_6980623798026371072_a.jpg</v>
      </c>
    </row>
    <row r="5584" spans="1:31" ht="15" x14ac:dyDescent="0.25">
      <c r="A5584" t="s">
        <v>2474</v>
      </c>
      <c r="B5584" t="s">
        <v>29053</v>
      </c>
      <c r="C5584" s="221">
        <v>42987.271967592591</v>
      </c>
      <c r="D5584" t="s">
        <v>29054</v>
      </c>
      <c r="E5584" s="249" t="str">
        <f>HYPERLINK("https://www.instagram.com/p/BY0SeV0ls1U/")</f>
        <v>https://www.instagram.com/p/BY0SeV0ls1U/</v>
      </c>
      <c r="F5584" t="s">
        <v>29055</v>
      </c>
      <c r="G5584" t="s">
        <v>2478</v>
      </c>
      <c r="H5584">
        <v>118</v>
      </c>
      <c r="I5584" t="s">
        <v>2542</v>
      </c>
      <c r="J5584">
        <v>1</v>
      </c>
      <c r="K5584">
        <v>22</v>
      </c>
      <c r="L5584">
        <v>23</v>
      </c>
      <c r="Q5584">
        <v>0</v>
      </c>
      <c r="R5584">
        <v>0</v>
      </c>
      <c r="S5584">
        <v>23</v>
      </c>
      <c r="Y5584" t="s">
        <v>29056</v>
      </c>
      <c r="Z5584" t="s">
        <v>2497</v>
      </c>
      <c r="AA5584" t="s">
        <v>3535</v>
      </c>
      <c r="AB5584" t="s">
        <v>8014</v>
      </c>
      <c r="AC5584" t="s">
        <v>16625</v>
      </c>
      <c r="AD5584" s="249" t="str">
        <f>HYPERLINK("https://scontent.cdninstagram.com/t51.2885-15/s320x320/e35/21433931_1871537663163872_7279109155921592320_n.jpg")</f>
        <v>https://scontent.cdninstagram.com/t51.2885-15/s320x320/e35/21433931_1871537663163872_7279109155921592320_n.jpg</v>
      </c>
      <c r="AE5584" s="249" t="str">
        <f>HYPERLINK("https://scontent.cdninstagram.com/t51.2885-19/s150x150/18721955_283462228791255_4173483033636110336_a.jpg")</f>
        <v>https://scontent.cdninstagram.com/t51.2885-19/s150x150/18721955_283462228791255_4173483033636110336_a.jpg</v>
      </c>
    </row>
    <row r="5585" spans="1:31" ht="15" x14ac:dyDescent="0.25">
      <c r="A5585" t="s">
        <v>2474</v>
      </c>
      <c r="B5585" t="s">
        <v>29057</v>
      </c>
      <c r="C5585" s="221">
        <v>42987.275023148148</v>
      </c>
      <c r="D5585" t="s">
        <v>29058</v>
      </c>
      <c r="E5585" s="249" t="str">
        <f>HYPERLINK("https://www.instagram.com/p/BY0S-jtgbNN/")</f>
        <v>https://www.instagram.com/p/BY0S-jtgbNN/</v>
      </c>
      <c r="F5585" t="s">
        <v>29059</v>
      </c>
      <c r="G5585" t="s">
        <v>2478</v>
      </c>
      <c r="H5585">
        <v>101</v>
      </c>
      <c r="I5585" t="s">
        <v>3025</v>
      </c>
      <c r="J5585">
        <v>0</v>
      </c>
      <c r="K5585">
        <v>20</v>
      </c>
      <c r="L5585">
        <v>20</v>
      </c>
      <c r="Q5585">
        <v>0</v>
      </c>
      <c r="R5585">
        <v>0</v>
      </c>
      <c r="S5585">
        <v>20</v>
      </c>
      <c r="Y5585" t="s">
        <v>3006</v>
      </c>
      <c r="Z5585" t="s">
        <v>2497</v>
      </c>
      <c r="AA5585" t="s">
        <v>2513</v>
      </c>
      <c r="AB5585" t="s">
        <v>3982</v>
      </c>
      <c r="AC5585" t="s">
        <v>7552</v>
      </c>
      <c r="AD5585" s="249" t="str">
        <f>HYPERLINK("https://scontent.cdninstagram.com/t51.2885-15/e35/21433751_1911711869041597_15305296347922432_n.jpg")</f>
        <v>https://scontent.cdninstagram.com/t51.2885-15/e35/21433751_1911711869041597_15305296347922432_n.jpg</v>
      </c>
      <c r="AE5585" s="249" t="str">
        <f>HYPERLINK("https://scontent.cdninstagram.com/t51.2885-19/s150x150/21434197_155856444997619_6808536892405972992_a.jpg")</f>
        <v>https://scontent.cdninstagram.com/t51.2885-19/s150x150/21434197_155856444997619_6808536892405972992_a.jpg</v>
      </c>
    </row>
    <row r="5586" spans="1:31" ht="15" x14ac:dyDescent="0.25">
      <c r="A5586" t="s">
        <v>2474</v>
      </c>
      <c r="B5586" t="s">
        <v>29060</v>
      </c>
      <c r="C5586" s="221">
        <v>42987.279467592591</v>
      </c>
      <c r="D5586" t="s">
        <v>29061</v>
      </c>
      <c r="E5586" s="249" t="str">
        <f>HYPERLINK("https://www.instagram.com/p/BY0TtaSA75u/")</f>
        <v>https://www.instagram.com/p/BY0TtaSA75u/</v>
      </c>
      <c r="F5586" t="s">
        <v>29062</v>
      </c>
      <c r="G5586" t="s">
        <v>2478</v>
      </c>
      <c r="H5586">
        <v>633</v>
      </c>
      <c r="I5586" t="s">
        <v>2542</v>
      </c>
      <c r="J5586">
        <v>0</v>
      </c>
      <c r="K5586">
        <v>34</v>
      </c>
      <c r="L5586">
        <v>34</v>
      </c>
      <c r="Q5586">
        <v>0</v>
      </c>
      <c r="R5586">
        <v>0</v>
      </c>
      <c r="S5586">
        <v>34</v>
      </c>
      <c r="Y5586" t="s">
        <v>2497</v>
      </c>
      <c r="Z5586" t="s">
        <v>29063</v>
      </c>
      <c r="AA5586" t="s">
        <v>4993</v>
      </c>
      <c r="AB5586" t="s">
        <v>3708</v>
      </c>
      <c r="AC5586" t="s">
        <v>29064</v>
      </c>
      <c r="AD5586" s="249" t="str">
        <f>HYPERLINK("https://scontent.cdninstagram.com/t51.2885-15/s320x320/e35/21435590_1291535084292199_7328423326169169920_n.jpg")</f>
        <v>https://scontent.cdninstagram.com/t51.2885-15/s320x320/e35/21435590_1291535084292199_7328423326169169920_n.jpg</v>
      </c>
      <c r="AE5586" s="249" t="str">
        <f>HYPERLINK("https://scontent.cdninstagram.com/t51.2885-19/s150x150/10471843_1677372982536315_340505163_a.jpg")</f>
        <v>https://scontent.cdninstagram.com/t51.2885-19/s150x150/10471843_1677372982536315_340505163_a.jpg</v>
      </c>
    </row>
    <row r="5587" spans="1:31" ht="15" x14ac:dyDescent="0.25">
      <c r="A5587" t="s">
        <v>2474</v>
      </c>
      <c r="B5587" t="s">
        <v>4320</v>
      </c>
      <c r="C5587" s="221">
        <v>42987.286319444444</v>
      </c>
      <c r="D5587" t="s">
        <v>29065</v>
      </c>
      <c r="E5587" s="249" t="str">
        <f>HYPERLINK("https://www.instagram.com/p/BY0U1m0AKIv/")</f>
        <v>https://www.instagram.com/p/BY0U1m0AKIv/</v>
      </c>
      <c r="F5587" t="s">
        <v>29066</v>
      </c>
      <c r="G5587" t="s">
        <v>2478</v>
      </c>
      <c r="H5587">
        <v>196</v>
      </c>
      <c r="I5587" t="s">
        <v>2479</v>
      </c>
      <c r="J5587">
        <v>0</v>
      </c>
      <c r="K5587">
        <v>13</v>
      </c>
      <c r="L5587">
        <v>13</v>
      </c>
      <c r="Q5587">
        <v>0</v>
      </c>
      <c r="R5587">
        <v>0</v>
      </c>
      <c r="S5587">
        <v>13</v>
      </c>
      <c r="Y5587" t="s">
        <v>22148</v>
      </c>
      <c r="Z5587" t="s">
        <v>10311</v>
      </c>
      <c r="AA5587" t="s">
        <v>29067</v>
      </c>
      <c r="AB5587" t="s">
        <v>8007</v>
      </c>
      <c r="AC5587" t="s">
        <v>19688</v>
      </c>
      <c r="AD5587" s="249" t="str">
        <f>HYPERLINK("https://scontent.cdninstagram.com/t51.2885-15/s320x320/e35/21433524_1434555323298220_94611919008169984_n.jpg")</f>
        <v>https://scontent.cdninstagram.com/t51.2885-15/s320x320/e35/21433524_1434555323298220_94611919008169984_n.jpg</v>
      </c>
      <c r="AE5587" s="249" t="str">
        <f>HYPERLINK("https://scontent.cdninstagram.com/t51.2885-19/s150x150/21042251_211233842744431_6961971055707553792_a.jpg")</f>
        <v>https://scontent.cdninstagram.com/t51.2885-19/s150x150/21042251_211233842744431_6961971055707553792_a.jpg</v>
      </c>
    </row>
    <row r="5588" spans="1:31" ht="15" x14ac:dyDescent="0.25">
      <c r="A5588" t="s">
        <v>2474</v>
      </c>
      <c r="B5588" t="s">
        <v>29068</v>
      </c>
      <c r="C5588" s="221">
        <v>42987.295208333337</v>
      </c>
      <c r="D5588" t="s">
        <v>29069</v>
      </c>
      <c r="E5588" s="249" t="str">
        <f>HYPERLINK("https://www.instagram.com/p/BY0WTaXhJdy/")</f>
        <v>https://www.instagram.com/p/BY0WTaXhJdy/</v>
      </c>
      <c r="F5588" t="s">
        <v>29070</v>
      </c>
      <c r="G5588" t="s">
        <v>2488</v>
      </c>
      <c r="I5588" t="s">
        <v>2479</v>
      </c>
      <c r="J5588">
        <v>0</v>
      </c>
      <c r="K5588">
        <v>22</v>
      </c>
      <c r="L5588">
        <v>22</v>
      </c>
      <c r="Q5588">
        <v>0</v>
      </c>
      <c r="R5588">
        <v>0</v>
      </c>
      <c r="S5588">
        <v>22</v>
      </c>
      <c r="T5588" t="s">
        <v>29071</v>
      </c>
      <c r="V5588" t="s">
        <v>2271</v>
      </c>
      <c r="W5588">
        <v>46.948055555556003</v>
      </c>
      <c r="X5588">
        <v>7.4502777777778002</v>
      </c>
      <c r="Y5588" t="s">
        <v>29072</v>
      </c>
      <c r="Z5588" t="s">
        <v>29073</v>
      </c>
      <c r="AA5588" t="s">
        <v>9407</v>
      </c>
      <c r="AB5588" t="s">
        <v>4670</v>
      </c>
      <c r="AC5588" t="s">
        <v>3936</v>
      </c>
      <c r="AD5588" s="249" t="str">
        <f>HYPERLINK("https://scontent.cdninstagram.com/t51.2885-15/s320x320/e35/21433404_124347474884467_9215150825205137408_n.jpg")</f>
        <v>https://scontent.cdninstagram.com/t51.2885-15/s320x320/e35/21433404_124347474884467_9215150825205137408_n.jpg</v>
      </c>
      <c r="AE5588" s="249" t="str">
        <f>HYPERLINK("https://scontent.cdninstagram.com/t51.2885-19/s150x150/16464739_394809524229368_5031947511779033088_a.jpg")</f>
        <v>https://scontent.cdninstagram.com/t51.2885-19/s150x150/16464739_394809524229368_5031947511779033088_a.jpg</v>
      </c>
    </row>
    <row r="5589" spans="1:31" ht="15" x14ac:dyDescent="0.25">
      <c r="A5589" t="s">
        <v>2474</v>
      </c>
      <c r="B5589" t="s">
        <v>24023</v>
      </c>
      <c r="C5589" s="221">
        <v>42987.29546296296</v>
      </c>
      <c r="D5589" t="s">
        <v>29074</v>
      </c>
      <c r="E5589" s="249" t="str">
        <f>HYPERLINK("https://www.instagram.com/p/BY0WWHllEy4/")</f>
        <v>https://www.instagram.com/p/BY0WWHllEy4/</v>
      </c>
      <c r="F5589" t="s">
        <v>29075</v>
      </c>
      <c r="G5589" t="s">
        <v>2478</v>
      </c>
      <c r="H5589">
        <v>472</v>
      </c>
      <c r="I5589" t="s">
        <v>2542</v>
      </c>
      <c r="J5589">
        <v>4</v>
      </c>
      <c r="K5589">
        <v>56</v>
      </c>
      <c r="L5589">
        <v>60</v>
      </c>
      <c r="Q5589">
        <v>0</v>
      </c>
      <c r="R5589">
        <v>0</v>
      </c>
      <c r="S5589">
        <v>60</v>
      </c>
      <c r="Y5589" t="s">
        <v>2497</v>
      </c>
      <c r="Z5589" t="s">
        <v>7418</v>
      </c>
      <c r="AA5589" t="s">
        <v>4513</v>
      </c>
      <c r="AB5589" t="s">
        <v>11876</v>
      </c>
      <c r="AC5589" t="s">
        <v>29076</v>
      </c>
      <c r="AD5589" s="249" t="str">
        <f>HYPERLINK("https://scontent.cdninstagram.com/t51.2885-15/s320x320/e35/21480348_125277174789979_8029688045613613056_n.jpg")</f>
        <v>https://scontent.cdninstagram.com/t51.2885-15/s320x320/e35/21480348_125277174789979_8029688045613613056_n.jpg</v>
      </c>
      <c r="AE5589" s="249" t="str">
        <f>HYPERLINK("https://scontent.cdninstagram.com/t51.2885-19/s150x150/21434165_1953668864847850_2480376611673735168_a.jpg")</f>
        <v>https://scontent.cdninstagram.com/t51.2885-19/s150x150/21434165_1953668864847850_2480376611673735168_a.jpg</v>
      </c>
    </row>
    <row r="5590" spans="1:31" ht="15" x14ac:dyDescent="0.25">
      <c r="A5590" t="s">
        <v>2474</v>
      </c>
      <c r="B5590" t="s">
        <v>29077</v>
      </c>
      <c r="C5590" s="221">
        <v>42987.295636574076</v>
      </c>
      <c r="D5590" t="s">
        <v>29078</v>
      </c>
      <c r="E5590" s="249" t="str">
        <f>HYPERLINK("https://www.instagram.com/p/BY0WX8fgJFz/")</f>
        <v>https://www.instagram.com/p/BY0WX8fgJFz/</v>
      </c>
      <c r="F5590" t="s">
        <v>29079</v>
      </c>
      <c r="G5590" t="s">
        <v>2478</v>
      </c>
      <c r="H5590">
        <v>433</v>
      </c>
      <c r="I5590" t="s">
        <v>2896</v>
      </c>
      <c r="J5590">
        <v>1</v>
      </c>
      <c r="K5590">
        <v>154</v>
      </c>
      <c r="L5590">
        <v>155</v>
      </c>
      <c r="Q5590">
        <v>0</v>
      </c>
      <c r="R5590">
        <v>0</v>
      </c>
      <c r="S5590">
        <v>155</v>
      </c>
      <c r="T5590" t="s">
        <v>29080</v>
      </c>
      <c r="V5590" t="s">
        <v>2288</v>
      </c>
      <c r="W5590">
        <v>55.949399999999997</v>
      </c>
      <c r="X5590">
        <v>-3.1602999999999999</v>
      </c>
      <c r="Y5590" t="s">
        <v>29081</v>
      </c>
      <c r="Z5590" t="s">
        <v>9470</v>
      </c>
      <c r="AA5590" t="s">
        <v>2751</v>
      </c>
      <c r="AB5590" t="s">
        <v>29082</v>
      </c>
      <c r="AC5590" t="s">
        <v>29083</v>
      </c>
      <c r="AD5590" s="249" t="str">
        <f>HYPERLINK("https://scontent.cdninstagram.com/t51.2885-15/s320x320/e35/21433694_116635982370706_5154835627153293312_n.jpg")</f>
        <v>https://scontent.cdninstagram.com/t51.2885-15/s320x320/e35/21433694_116635982370706_5154835627153293312_n.jpg</v>
      </c>
      <c r="AE5590" s="249" t="str">
        <f>HYPERLINK("https://scontent.cdninstagram.com/t51.2885-19/s150x150/18444377_1917926388496076_3960500536049926144_a.jpg")</f>
        <v>https://scontent.cdninstagram.com/t51.2885-19/s150x150/18444377_1917926388496076_3960500536049926144_a.jpg</v>
      </c>
    </row>
    <row r="5591" spans="1:31" ht="15" x14ac:dyDescent="0.25">
      <c r="A5591" t="s">
        <v>2474</v>
      </c>
      <c r="B5591" t="s">
        <v>29084</v>
      </c>
      <c r="C5591" s="221">
        <v>42987.299016203702</v>
      </c>
      <c r="D5591" t="s">
        <v>29085</v>
      </c>
      <c r="E5591" s="249" t="str">
        <f>HYPERLINK("https://www.instagram.com/p/BY0W7lmB6i6/")</f>
        <v>https://www.instagram.com/p/BY0W7lmB6i6/</v>
      </c>
      <c r="F5591" t="s">
        <v>29086</v>
      </c>
      <c r="G5591" t="s">
        <v>2478</v>
      </c>
      <c r="H5591">
        <v>799</v>
      </c>
      <c r="I5591" t="s">
        <v>2479</v>
      </c>
      <c r="J5591">
        <v>1</v>
      </c>
      <c r="K5591">
        <v>29</v>
      </c>
      <c r="L5591">
        <v>30</v>
      </c>
      <c r="Q5591">
        <v>0</v>
      </c>
      <c r="R5591">
        <v>0</v>
      </c>
      <c r="S5591">
        <v>30</v>
      </c>
      <c r="Y5591" t="s">
        <v>2651</v>
      </c>
      <c r="Z5591" t="s">
        <v>29087</v>
      </c>
      <c r="AA5591" t="s">
        <v>5077</v>
      </c>
      <c r="AB5591" t="s">
        <v>29088</v>
      </c>
      <c r="AC5591" t="s">
        <v>29089</v>
      </c>
      <c r="AD5591" s="249" t="str">
        <f>HYPERLINK("https://scontent.cdninstagram.com/t51.2885-15/s320x320/e35/21436264_122974675095342_7425469834504175616_n.jpg")</f>
        <v>https://scontent.cdninstagram.com/t51.2885-15/s320x320/e35/21436264_122974675095342_7425469834504175616_n.jpg</v>
      </c>
      <c r="AE5591" s="249" t="str">
        <f>HYPERLINK("https://scontent.cdninstagram.com/t51.2885-19/s150x150/20394137_387349901680279_4264134589070442496_a.jpg")</f>
        <v>https://scontent.cdninstagram.com/t51.2885-19/s150x150/20394137_387349901680279_4264134589070442496_a.jpg</v>
      </c>
    </row>
    <row r="5592" spans="1:31" ht="15" x14ac:dyDescent="0.25">
      <c r="A5592" t="s">
        <v>2474</v>
      </c>
      <c r="B5592" t="s">
        <v>29090</v>
      </c>
      <c r="C5592" s="221">
        <v>42987.299201388887</v>
      </c>
      <c r="D5592" t="s">
        <v>29091</v>
      </c>
      <c r="E5592" s="249" t="str">
        <f>HYPERLINK("https://www.instagram.com/p/BY0W9hRAdq5/")</f>
        <v>https://www.instagram.com/p/BY0W9hRAdq5/</v>
      </c>
      <c r="F5592" t="s">
        <v>29092</v>
      </c>
      <c r="G5592" t="s">
        <v>2478</v>
      </c>
      <c r="H5592">
        <v>12</v>
      </c>
      <c r="I5592" t="s">
        <v>2542</v>
      </c>
      <c r="J5592">
        <v>0</v>
      </c>
      <c r="K5592">
        <v>12</v>
      </c>
      <c r="L5592">
        <v>12</v>
      </c>
      <c r="Q5592">
        <v>0</v>
      </c>
      <c r="R5592">
        <v>0</v>
      </c>
      <c r="S5592">
        <v>12</v>
      </c>
      <c r="Y5592" t="s">
        <v>29093</v>
      </c>
      <c r="Z5592" t="s">
        <v>14243</v>
      </c>
      <c r="AA5592" t="s">
        <v>2497</v>
      </c>
      <c r="AB5592" t="s">
        <v>29094</v>
      </c>
      <c r="AC5592" t="s">
        <v>7362</v>
      </c>
      <c r="AD5592" s="249" t="str">
        <f>HYPERLINK("https://scontent.cdninstagram.com/t51.2885-15/s320x320/e35/21435930_114977015887613_7416815733100773376_n.jpg")</f>
        <v>https://scontent.cdninstagram.com/t51.2885-15/s320x320/e35/21435930_114977015887613_7416815733100773376_n.jpg</v>
      </c>
      <c r="AE5592" s="249" t="str">
        <f>HYPERLINK("https://scontent.cdninstagram.com/t51.2885-19/s150x150/21433601_127888387851975_323843072444071936_a.jpg")</f>
        <v>https://scontent.cdninstagram.com/t51.2885-19/s150x150/21433601_127888387851975_323843072444071936_a.jpg</v>
      </c>
    </row>
    <row r="5593" spans="1:31" ht="15" x14ac:dyDescent="0.25">
      <c r="A5593" t="s">
        <v>2474</v>
      </c>
      <c r="B5593" t="s">
        <v>29095</v>
      </c>
      <c r="C5593" s="221">
        <v>42987.307523148149</v>
      </c>
      <c r="D5593" t="s">
        <v>29096</v>
      </c>
      <c r="E5593" s="249" t="str">
        <f>HYPERLINK("https://www.instagram.com/p/BY0YVVCBxuO/")</f>
        <v>https://www.instagram.com/p/BY0YVVCBxuO/</v>
      </c>
      <c r="F5593" t="s">
        <v>29097</v>
      </c>
      <c r="G5593" t="s">
        <v>2478</v>
      </c>
      <c r="H5593">
        <v>298</v>
      </c>
      <c r="I5593" t="s">
        <v>2479</v>
      </c>
      <c r="J5593">
        <v>0</v>
      </c>
      <c r="K5593">
        <v>6</v>
      </c>
      <c r="L5593">
        <v>6</v>
      </c>
      <c r="Q5593">
        <v>0</v>
      </c>
      <c r="R5593">
        <v>0</v>
      </c>
      <c r="S5593">
        <v>6</v>
      </c>
      <c r="Y5593" t="s">
        <v>2497</v>
      </c>
      <c r="Z5593" t="s">
        <v>29098</v>
      </c>
      <c r="AA5593" t="s">
        <v>4253</v>
      </c>
      <c r="AB5593" t="s">
        <v>5265</v>
      </c>
      <c r="AD5593" s="249" t="str">
        <f>HYPERLINK("https://scontent.cdninstagram.com/t51.2885-15/s320x320/e35/21479835_116811742355882_79117197422624768_n.jpg")</f>
        <v>https://scontent.cdninstagram.com/t51.2885-15/s320x320/e35/21479835_116811742355882_79117197422624768_n.jpg</v>
      </c>
      <c r="AE5593" s="249" t="str">
        <f>HYPERLINK("https://scontent.cdninstagram.com/t51.2885-19/16124207_1153043728127371_551474341972279296_a.jpg")</f>
        <v>https://scontent.cdninstagram.com/t51.2885-19/16124207_1153043728127371_551474341972279296_a.jpg</v>
      </c>
    </row>
    <row r="5594" spans="1:31" ht="15" x14ac:dyDescent="0.25">
      <c r="A5594" t="s">
        <v>2474</v>
      </c>
      <c r="B5594" t="s">
        <v>29099</v>
      </c>
      <c r="C5594" s="221">
        <v>42987.31523148148</v>
      </c>
      <c r="D5594" t="s">
        <v>29100</v>
      </c>
      <c r="E5594" s="249" t="str">
        <f>HYPERLINK("https://www.instagram.com/p/BY0Zmmnjhmz/")</f>
        <v>https://www.instagram.com/p/BY0Zmmnjhmz/</v>
      </c>
      <c r="F5594" t="s">
        <v>29101</v>
      </c>
      <c r="G5594" t="s">
        <v>2478</v>
      </c>
      <c r="H5594">
        <v>741</v>
      </c>
      <c r="I5594" t="s">
        <v>2903</v>
      </c>
      <c r="J5594">
        <v>3</v>
      </c>
      <c r="K5594">
        <v>114</v>
      </c>
      <c r="L5594">
        <v>117</v>
      </c>
      <c r="Q5594">
        <v>0</v>
      </c>
      <c r="R5594">
        <v>0</v>
      </c>
      <c r="S5594">
        <v>117</v>
      </c>
      <c r="Y5594" t="s">
        <v>29102</v>
      </c>
      <c r="Z5594" t="s">
        <v>29103</v>
      </c>
      <c r="AA5594" t="s">
        <v>3196</v>
      </c>
      <c r="AB5594" t="s">
        <v>14127</v>
      </c>
      <c r="AC5594" t="s">
        <v>12672</v>
      </c>
      <c r="AD5594" s="249" t="str">
        <f>HYPERLINK("https://scontent.cdninstagram.com/t51.2885-15/e35/p320x320/21479956_438399109894436_7835683281931599872_n.jpg")</f>
        <v>https://scontent.cdninstagram.com/t51.2885-15/e35/p320x320/21479956_438399109894436_7835683281931599872_n.jpg</v>
      </c>
      <c r="AE5594" s="249" t="str">
        <f>HYPERLINK("https://scontent.cdninstagram.com/t51.2885-19/s150x150/21372957_344526435987647_5442090852455284736_a.jpg")</f>
        <v>https://scontent.cdninstagram.com/t51.2885-19/s150x150/21372957_344526435987647_5442090852455284736_a.jpg</v>
      </c>
    </row>
    <row r="5595" spans="1:31" ht="15" x14ac:dyDescent="0.25">
      <c r="A5595" t="s">
        <v>2474</v>
      </c>
      <c r="B5595" t="s">
        <v>29104</v>
      </c>
      <c r="C5595" s="221">
        <v>42987.324166666665</v>
      </c>
      <c r="D5595" t="s">
        <v>29105</v>
      </c>
      <c r="E5595" s="249" t="str">
        <f>HYPERLINK("https://www.instagram.com/p/BY0bE2sl55V/")</f>
        <v>https://www.instagram.com/p/BY0bE2sl55V/</v>
      </c>
      <c r="F5595" t="s">
        <v>29106</v>
      </c>
      <c r="G5595" t="s">
        <v>2478</v>
      </c>
      <c r="H5595">
        <v>1665</v>
      </c>
      <c r="I5595" t="s">
        <v>2639</v>
      </c>
      <c r="J5595">
        <v>3</v>
      </c>
      <c r="K5595">
        <v>93</v>
      </c>
      <c r="L5595">
        <v>96</v>
      </c>
      <c r="Q5595">
        <v>0</v>
      </c>
      <c r="R5595">
        <v>0</v>
      </c>
      <c r="S5595">
        <v>96</v>
      </c>
      <c r="T5595" t="s">
        <v>29107</v>
      </c>
      <c r="V5595" t="s">
        <v>2204</v>
      </c>
      <c r="W5595">
        <v>2.6943760000000001</v>
      </c>
      <c r="X5595">
        <v>101.8314373</v>
      </c>
      <c r="Y5595" t="s">
        <v>2497</v>
      </c>
      <c r="AD5595" s="249" t="str">
        <f>HYPERLINK("https://scontent.cdninstagram.com/t51.2885-15/e35/p320x320/21479648_815871678576201_206531989283536896_n.jpg")</f>
        <v>https://scontent.cdninstagram.com/t51.2885-15/e35/p320x320/21479648_815871678576201_206531989283536896_n.jpg</v>
      </c>
      <c r="AE5595" s="249" t="str">
        <f>HYPERLINK("https://scontent.cdninstagram.com/t51.2885-19/s150x150/21576842_116669562364357_6225367422661033984_a.jpg")</f>
        <v>https://scontent.cdninstagram.com/t51.2885-19/s150x150/21576842_116669562364357_6225367422661033984_a.jpg</v>
      </c>
    </row>
    <row r="5596" spans="1:31" ht="15" x14ac:dyDescent="0.25">
      <c r="A5596" t="s">
        <v>2474</v>
      </c>
      <c r="B5596" t="s">
        <v>29108</v>
      </c>
      <c r="C5596" s="221">
        <v>42987.325659722221</v>
      </c>
      <c r="D5596" t="s">
        <v>29109</v>
      </c>
      <c r="E5596" s="249" t="str">
        <f>HYPERLINK("https://www.instagram.com/p/BY0bUkKnx49/")</f>
        <v>https://www.instagram.com/p/BY0bUkKnx49/</v>
      </c>
      <c r="F5596" t="s">
        <v>29110</v>
      </c>
      <c r="G5596" t="s">
        <v>2478</v>
      </c>
      <c r="H5596">
        <v>513</v>
      </c>
      <c r="I5596" t="s">
        <v>2479</v>
      </c>
      <c r="J5596">
        <v>1</v>
      </c>
      <c r="K5596">
        <v>68</v>
      </c>
      <c r="L5596">
        <v>69</v>
      </c>
      <c r="Q5596">
        <v>0</v>
      </c>
      <c r="R5596">
        <v>0</v>
      </c>
      <c r="S5596">
        <v>69</v>
      </c>
      <c r="Y5596" t="s">
        <v>2497</v>
      </c>
      <c r="Z5596" t="s">
        <v>29111</v>
      </c>
      <c r="AA5596" t="s">
        <v>29112</v>
      </c>
      <c r="AD5596" s="249" t="str">
        <f>HYPERLINK("https://scontent.cdninstagram.com/t51.2885-15/s320x320/e35/21433379_466992973683503_1646318332434972672_n.jpg")</f>
        <v>https://scontent.cdninstagram.com/t51.2885-15/s320x320/e35/21433379_466992973683503_1646318332434972672_n.jpg</v>
      </c>
      <c r="AE5596" s="249" t="str">
        <f>HYPERLINK("https://scontent.cdninstagram.com/t51.2885-19/s150x150/16124108_1184241065004536_4208937984369623040_a.jpg")</f>
        <v>https://scontent.cdninstagram.com/t51.2885-19/s150x150/16124108_1184241065004536_4208937984369623040_a.jpg</v>
      </c>
    </row>
    <row r="5597" spans="1:31" ht="15" x14ac:dyDescent="0.25">
      <c r="A5597" t="s">
        <v>2474</v>
      </c>
      <c r="B5597" t="s">
        <v>26434</v>
      </c>
      <c r="C5597" s="221">
        <v>42987.328090277777</v>
      </c>
      <c r="D5597" t="s">
        <v>29113</v>
      </c>
      <c r="E5597" s="249" t="str">
        <f>HYPERLINK("https://www.instagram.com/p/BY0buQLhSs9/")</f>
        <v>https://www.instagram.com/p/BY0buQLhSs9/</v>
      </c>
      <c r="F5597" t="s">
        <v>29114</v>
      </c>
      <c r="G5597" t="s">
        <v>2478</v>
      </c>
      <c r="H5597">
        <v>143</v>
      </c>
      <c r="I5597" t="s">
        <v>2599</v>
      </c>
      <c r="J5597">
        <v>0</v>
      </c>
      <c r="K5597">
        <v>1</v>
      </c>
      <c r="L5597">
        <v>1</v>
      </c>
      <c r="Q5597">
        <v>0</v>
      </c>
      <c r="R5597">
        <v>0</v>
      </c>
      <c r="S5597">
        <v>1</v>
      </c>
      <c r="T5597" t="s">
        <v>29115</v>
      </c>
      <c r="V5597" t="s">
        <v>2239</v>
      </c>
      <c r="W5597">
        <v>49.295290000000001</v>
      </c>
      <c r="X5597">
        <v>19.953199999999999</v>
      </c>
      <c r="Y5597" t="s">
        <v>29116</v>
      </c>
      <c r="Z5597" t="s">
        <v>2497</v>
      </c>
      <c r="AA5597" t="s">
        <v>29117</v>
      </c>
      <c r="AB5597" t="s">
        <v>29118</v>
      </c>
      <c r="AC5597" t="s">
        <v>26437</v>
      </c>
      <c r="AD5597" s="249" t="str">
        <f>HYPERLINK("https://scontent.cdninstagram.com/t51.2885-15/s320x320/e35/21436246_1484710131608998_667343892374355968_n.jpg")</f>
        <v>https://scontent.cdninstagram.com/t51.2885-15/s320x320/e35/21436246_1484710131608998_667343892374355968_n.jpg</v>
      </c>
      <c r="AE5597" s="249" t="str">
        <f>HYPERLINK("https://scontent.cdninstagram.com/t51.2885-19/s150x150/14488348_1449847601709755_7184398972356657152_a.jpg")</f>
        <v>https://scontent.cdninstagram.com/t51.2885-19/s150x150/14488348_1449847601709755_7184398972356657152_a.jpg</v>
      </c>
    </row>
    <row r="5598" spans="1:31" ht="15" x14ac:dyDescent="0.25">
      <c r="A5598" t="s">
        <v>2474</v>
      </c>
      <c r="B5598" t="s">
        <v>29119</v>
      </c>
      <c r="C5598" s="221">
        <v>42987.33766203704</v>
      </c>
      <c r="D5598" t="s">
        <v>29120</v>
      </c>
      <c r="E5598" s="249" t="str">
        <f>HYPERLINK("https://www.instagram.com/p/BY0dTJxgN9l/")</f>
        <v>https://www.instagram.com/p/BY0dTJxgN9l/</v>
      </c>
      <c r="F5598" t="s">
        <v>29121</v>
      </c>
      <c r="G5598" t="s">
        <v>2488</v>
      </c>
      <c r="H5598">
        <v>266</v>
      </c>
      <c r="I5598" t="s">
        <v>2479</v>
      </c>
      <c r="J5598">
        <v>1</v>
      </c>
      <c r="K5598">
        <v>21</v>
      </c>
      <c r="L5598">
        <v>22</v>
      </c>
      <c r="Q5598">
        <v>0</v>
      </c>
      <c r="R5598">
        <v>0</v>
      </c>
      <c r="S5598">
        <v>22</v>
      </c>
      <c r="Y5598" t="s">
        <v>6172</v>
      </c>
      <c r="Z5598" t="s">
        <v>2660</v>
      </c>
      <c r="AA5598" t="s">
        <v>23588</v>
      </c>
      <c r="AB5598" t="s">
        <v>29122</v>
      </c>
      <c r="AC5598" t="s">
        <v>20504</v>
      </c>
      <c r="AD5598" s="249" t="str">
        <f>HYPERLINK("https://scontent.cdninstagram.com/t51.2885-15/s320x320/e35/21480612_1498447230193628_2723000869002936320_n.jpg")</f>
        <v>https://scontent.cdninstagram.com/t51.2885-15/s320x320/e35/21480612_1498447230193628_2723000869002936320_n.jpg</v>
      </c>
      <c r="AE5598" s="249" t="str">
        <f>HYPERLINK("https://scontent.cdninstagram.com/t51.2885-19/s150x150/21690679_723758744478512_1853338887133331456_n.jpg")</f>
        <v>https://scontent.cdninstagram.com/t51.2885-19/s150x150/21690679_723758744478512_1853338887133331456_n.jpg</v>
      </c>
    </row>
    <row r="5599" spans="1:31" ht="15" x14ac:dyDescent="0.25">
      <c r="A5599" t="s">
        <v>2474</v>
      </c>
      <c r="B5599" t="s">
        <v>29123</v>
      </c>
      <c r="C5599" s="221">
        <v>42987.344155092593</v>
      </c>
      <c r="D5599" t="s">
        <v>29124</v>
      </c>
      <c r="E5599" s="249" t="str">
        <f>HYPERLINK("https://www.instagram.com/p/BY0eXoAlPsd/")</f>
        <v>https://www.instagram.com/p/BY0eXoAlPsd/</v>
      </c>
      <c r="F5599" t="s">
        <v>29125</v>
      </c>
      <c r="G5599" t="s">
        <v>2478</v>
      </c>
      <c r="H5599">
        <v>564</v>
      </c>
      <c r="I5599" t="s">
        <v>2479</v>
      </c>
      <c r="J5599">
        <v>5</v>
      </c>
      <c r="K5599">
        <v>41</v>
      </c>
      <c r="L5599">
        <v>46</v>
      </c>
      <c r="Q5599">
        <v>0</v>
      </c>
      <c r="R5599">
        <v>0</v>
      </c>
      <c r="S5599">
        <v>46</v>
      </c>
      <c r="Y5599" t="s">
        <v>2497</v>
      </c>
      <c r="Z5599" t="s">
        <v>29126</v>
      </c>
      <c r="AA5599" t="s">
        <v>29127</v>
      </c>
      <c r="AB5599" t="s">
        <v>29128</v>
      </c>
      <c r="AC5599" t="s">
        <v>27360</v>
      </c>
      <c r="AD5599" s="249" t="str">
        <f>HYPERLINK("https://scontent.cdninstagram.com/t51.2885-15/s320x320/e35/21435578_2044486185772457_6719899878496927744_n.jpg")</f>
        <v>https://scontent.cdninstagram.com/t51.2885-15/s320x320/e35/21435578_2044486185772457_6719899878496927744_n.jpg</v>
      </c>
      <c r="AE5599" s="249" t="str">
        <f>HYPERLINK("https://scontent.cdninstagram.com/t51.2885-19/s150x150/11887125_934596126633764_693898030_a.jpg")</f>
        <v>https://scontent.cdninstagram.com/t51.2885-19/s150x150/11887125_934596126633764_693898030_a.jpg</v>
      </c>
    </row>
    <row r="5600" spans="1:31" ht="15" x14ac:dyDescent="0.25">
      <c r="A5600" t="s">
        <v>2474</v>
      </c>
      <c r="B5600" t="s">
        <v>26434</v>
      </c>
      <c r="C5600" s="221">
        <v>42987.345370370371</v>
      </c>
      <c r="D5600" t="s">
        <v>29129</v>
      </c>
      <c r="E5600" s="249" t="str">
        <f>HYPERLINK("https://www.instagram.com/p/BY0ekbOBvkJ/")</f>
        <v>https://www.instagram.com/p/BY0ekbOBvkJ/</v>
      </c>
      <c r="F5600" t="s">
        <v>29130</v>
      </c>
      <c r="G5600" t="s">
        <v>2478</v>
      </c>
      <c r="H5600">
        <v>143</v>
      </c>
      <c r="I5600" t="s">
        <v>2896</v>
      </c>
      <c r="J5600">
        <v>0</v>
      </c>
      <c r="K5600">
        <v>41</v>
      </c>
      <c r="L5600">
        <v>41</v>
      </c>
      <c r="Q5600">
        <v>0</v>
      </c>
      <c r="R5600">
        <v>0</v>
      </c>
      <c r="S5600">
        <v>41</v>
      </c>
      <c r="T5600" t="s">
        <v>29131</v>
      </c>
      <c r="V5600" t="s">
        <v>2259</v>
      </c>
      <c r="W5600">
        <v>49.166666666666998</v>
      </c>
      <c r="X5600">
        <v>20.133333333332999</v>
      </c>
      <c r="Y5600" t="s">
        <v>2497</v>
      </c>
      <c r="Z5600" t="s">
        <v>12803</v>
      </c>
      <c r="AA5600" t="s">
        <v>29132</v>
      </c>
      <c r="AB5600" t="s">
        <v>29133</v>
      </c>
      <c r="AC5600" t="s">
        <v>14753</v>
      </c>
      <c r="AD5600" s="249" t="str">
        <f>HYPERLINK("https://scontent.cdninstagram.com/t51.2885-15/s320x320/e35/21433316_489051828138007_4150032735538249728_n.jpg")</f>
        <v>https://scontent.cdninstagram.com/t51.2885-15/s320x320/e35/21433316_489051828138007_4150032735538249728_n.jpg</v>
      </c>
      <c r="AE5600" s="249" t="str">
        <f>HYPERLINK("https://scontent.cdninstagram.com/t51.2885-19/s150x150/14488348_1449847601709755_7184398972356657152_a.jpg")</f>
        <v>https://scontent.cdninstagram.com/t51.2885-19/s150x150/14488348_1449847601709755_7184398972356657152_a.jpg</v>
      </c>
    </row>
    <row r="5601" spans="1:31" ht="15" x14ac:dyDescent="0.25">
      <c r="A5601" t="s">
        <v>2474</v>
      </c>
      <c r="B5601" t="s">
        <v>29134</v>
      </c>
      <c r="C5601" s="221">
        <v>42987.34988425926</v>
      </c>
      <c r="D5601" t="s">
        <v>29135</v>
      </c>
      <c r="E5601" s="249" t="str">
        <f>HYPERLINK("https://www.instagram.com/p/BY0fUEzgnGZ/")</f>
        <v>https://www.instagram.com/p/BY0fUEzgnGZ/</v>
      </c>
      <c r="F5601" t="s">
        <v>29136</v>
      </c>
      <c r="G5601" t="s">
        <v>2478</v>
      </c>
      <c r="H5601">
        <v>121</v>
      </c>
      <c r="I5601" t="s">
        <v>2599</v>
      </c>
      <c r="J5601">
        <v>3</v>
      </c>
      <c r="K5601">
        <v>15</v>
      </c>
      <c r="L5601">
        <v>18</v>
      </c>
      <c r="Q5601">
        <v>0</v>
      </c>
      <c r="R5601">
        <v>0</v>
      </c>
      <c r="S5601">
        <v>18</v>
      </c>
      <c r="T5601" t="s">
        <v>29137</v>
      </c>
      <c r="V5601" t="s">
        <v>2153</v>
      </c>
      <c r="W5601">
        <v>60.3</v>
      </c>
      <c r="X5601">
        <v>25.04</v>
      </c>
      <c r="Y5601" t="s">
        <v>29138</v>
      </c>
      <c r="Z5601" t="s">
        <v>10399</v>
      </c>
      <c r="AA5601" t="s">
        <v>29139</v>
      </c>
      <c r="AB5601" t="s">
        <v>2497</v>
      </c>
      <c r="AC5601" t="s">
        <v>29140</v>
      </c>
      <c r="AD5601" s="249" t="str">
        <f>HYPERLINK("https://scontent.cdninstagram.com/t51.2885-15/s320x320/e35/21435603_632297630227537_1969557532477227008_n.jpg")</f>
        <v>https://scontent.cdninstagram.com/t51.2885-15/s320x320/e35/21435603_632297630227537_1969557532477227008_n.jpg</v>
      </c>
      <c r="AE5601" s="249" t="str">
        <f>HYPERLINK("https://scontent.cdninstagram.com/t51.2885-19/s150x150/21433933_1990508797844959_3740982756096606208_a.jpg")</f>
        <v>https://scontent.cdninstagram.com/t51.2885-19/s150x150/21433933_1990508797844959_3740982756096606208_a.jpg</v>
      </c>
    </row>
    <row r="5602" spans="1:31" ht="15" x14ac:dyDescent="0.25">
      <c r="A5602" t="s">
        <v>2474</v>
      </c>
      <c r="B5602" t="s">
        <v>29141</v>
      </c>
      <c r="C5602" s="221">
        <v>42987.356053240743</v>
      </c>
      <c r="D5602" t="s">
        <v>29142</v>
      </c>
      <c r="E5602" s="249" t="str">
        <f>HYPERLINK("https://www.instagram.com/p/BY0gVJdHZbk/")</f>
        <v>https://www.instagram.com/p/BY0gVJdHZbk/</v>
      </c>
      <c r="F5602" t="s">
        <v>29143</v>
      </c>
      <c r="G5602" t="s">
        <v>2478</v>
      </c>
      <c r="H5602">
        <v>365</v>
      </c>
      <c r="I5602" t="s">
        <v>2479</v>
      </c>
      <c r="J5602">
        <v>0</v>
      </c>
      <c r="K5602">
        <v>52</v>
      </c>
      <c r="L5602">
        <v>52</v>
      </c>
      <c r="Q5602">
        <v>0</v>
      </c>
      <c r="R5602">
        <v>0</v>
      </c>
      <c r="S5602">
        <v>52</v>
      </c>
      <c r="Y5602" t="s">
        <v>29144</v>
      </c>
      <c r="Z5602" t="s">
        <v>14315</v>
      </c>
      <c r="AA5602" t="s">
        <v>3569</v>
      </c>
      <c r="AB5602" t="s">
        <v>2992</v>
      </c>
      <c r="AC5602" t="s">
        <v>12593</v>
      </c>
      <c r="AD5602" s="249" t="str">
        <f>HYPERLINK("https://scontent.cdninstagram.com/t51.2885-15/s320x320/e35/21435491_853315711501629_3915057338221854720_n.jpg")</f>
        <v>https://scontent.cdninstagram.com/t51.2885-15/s320x320/e35/21435491_853315711501629_3915057338221854720_n.jpg</v>
      </c>
      <c r="AE5602" s="249" t="str">
        <f>HYPERLINK("https://scontent.cdninstagram.com/t51.2885-19/s150x150/21479796_876982145786719_1919958069027012608_a.jpg")</f>
        <v>https://scontent.cdninstagram.com/t51.2885-19/s150x150/21479796_876982145786719_1919958069027012608_a.jpg</v>
      </c>
    </row>
    <row r="5603" spans="1:31" ht="15" x14ac:dyDescent="0.25">
      <c r="A5603" t="s">
        <v>2474</v>
      </c>
      <c r="B5603" t="s">
        <v>27569</v>
      </c>
      <c r="C5603" s="221">
        <v>42987.356435185182</v>
      </c>
      <c r="D5603" t="s">
        <v>29145</v>
      </c>
      <c r="E5603" s="249" t="str">
        <f>HYPERLINK("https://www.instagram.com/p/BY0gZLggW0z/")</f>
        <v>https://www.instagram.com/p/BY0gZLggW0z/</v>
      </c>
      <c r="F5603" t="s">
        <v>29146</v>
      </c>
      <c r="G5603" t="s">
        <v>2478</v>
      </c>
      <c r="H5603">
        <v>15</v>
      </c>
      <c r="I5603" t="s">
        <v>2479</v>
      </c>
      <c r="J5603">
        <v>1</v>
      </c>
      <c r="K5603">
        <v>10</v>
      </c>
      <c r="L5603">
        <v>11</v>
      </c>
      <c r="Q5603">
        <v>0</v>
      </c>
      <c r="R5603">
        <v>0</v>
      </c>
      <c r="S5603">
        <v>11</v>
      </c>
      <c r="Y5603" t="s">
        <v>28491</v>
      </c>
      <c r="Z5603" t="s">
        <v>2497</v>
      </c>
      <c r="AA5603" t="s">
        <v>29147</v>
      </c>
      <c r="AB5603" t="s">
        <v>29148</v>
      </c>
      <c r="AD5603" s="249" t="str">
        <f>HYPERLINK("https://scontent.cdninstagram.com/t51.2885-15/s320x320/e35/21436104_1444109365709365_2429727720209383424_n.jpg")</f>
        <v>https://scontent.cdninstagram.com/t51.2885-15/s320x320/e35/21436104_1444109365709365_2429727720209383424_n.jpg</v>
      </c>
      <c r="AE5603" s="249" t="str">
        <f>HYPERLINK("https://scontent.cdninstagram.com/t51.2885-19/s150x150/21433697_113722245987166_3493291712963411968_a.jpg")</f>
        <v>https://scontent.cdninstagram.com/t51.2885-19/s150x150/21433697_113722245987166_3493291712963411968_a.jpg</v>
      </c>
    </row>
    <row r="5604" spans="1:31" ht="15" x14ac:dyDescent="0.25">
      <c r="A5604" t="s">
        <v>2474</v>
      </c>
      <c r="B5604" t="s">
        <v>29149</v>
      </c>
      <c r="C5604" s="221">
        <v>42987.364340277774</v>
      </c>
      <c r="D5604" t="s">
        <v>29150</v>
      </c>
      <c r="E5604" s="249" t="str">
        <f>HYPERLINK("https://www.instagram.com/p/BY0hsetlsh9/")</f>
        <v>https://www.instagram.com/p/BY0hsetlsh9/</v>
      </c>
      <c r="F5604" t="s">
        <v>29151</v>
      </c>
      <c r="G5604" t="s">
        <v>2478</v>
      </c>
      <c r="H5604">
        <v>27</v>
      </c>
      <c r="I5604" t="s">
        <v>2479</v>
      </c>
      <c r="J5604">
        <v>0</v>
      </c>
      <c r="K5604">
        <v>8</v>
      </c>
      <c r="L5604">
        <v>8</v>
      </c>
      <c r="Q5604">
        <v>0</v>
      </c>
      <c r="R5604">
        <v>0</v>
      </c>
      <c r="S5604">
        <v>8</v>
      </c>
      <c r="Y5604" t="s">
        <v>2497</v>
      </c>
      <c r="Z5604" t="s">
        <v>7471</v>
      </c>
      <c r="AA5604" t="s">
        <v>18343</v>
      </c>
      <c r="AB5604" t="s">
        <v>5924</v>
      </c>
      <c r="AC5604" t="s">
        <v>29152</v>
      </c>
      <c r="AD5604" s="249" t="str">
        <f>HYPERLINK("https://scontent.cdninstagram.com/t51.2885-15/s320x320/e35/21435426_105096726900304_856208138548805632_n.jpg")</f>
        <v>https://scontent.cdninstagram.com/t51.2885-15/s320x320/e35/21435426_105096726900304_856208138548805632_n.jpg</v>
      </c>
      <c r="AE5604" s="249" t="str">
        <f>HYPERLINK("https://scontent.cdninstagram.com/t51.2885-19/s150x150/21373549_123586411711482_6481978133615476736_a.jpg")</f>
        <v>https://scontent.cdninstagram.com/t51.2885-19/s150x150/21373549_123586411711482_6481978133615476736_a.jpg</v>
      </c>
    </row>
    <row r="5605" spans="1:31" ht="15" x14ac:dyDescent="0.25">
      <c r="A5605" t="s">
        <v>2474</v>
      </c>
      <c r="B5605" t="s">
        <v>7520</v>
      </c>
      <c r="C5605" s="221">
        <v>42987.375162037039</v>
      </c>
      <c r="D5605" t="s">
        <v>29153</v>
      </c>
      <c r="E5605" s="249" t="str">
        <f>HYPERLINK("https://www.instagram.com/p/BY0jeq5jZ9w/")</f>
        <v>https://www.instagram.com/p/BY0jeq5jZ9w/</v>
      </c>
      <c r="F5605" t="s">
        <v>29154</v>
      </c>
      <c r="G5605" t="s">
        <v>2478</v>
      </c>
      <c r="H5605">
        <v>55888</v>
      </c>
      <c r="I5605" t="s">
        <v>2479</v>
      </c>
      <c r="J5605">
        <v>31</v>
      </c>
      <c r="K5605">
        <v>901</v>
      </c>
      <c r="L5605">
        <v>932</v>
      </c>
      <c r="Q5605">
        <v>0</v>
      </c>
      <c r="R5605">
        <v>0</v>
      </c>
      <c r="S5605">
        <v>932</v>
      </c>
      <c r="Y5605" t="s">
        <v>6823</v>
      </c>
      <c r="Z5605" t="s">
        <v>4948</v>
      </c>
      <c r="AA5605" t="s">
        <v>29155</v>
      </c>
      <c r="AB5605" t="s">
        <v>21404</v>
      </c>
      <c r="AC5605" t="s">
        <v>4895</v>
      </c>
      <c r="AD5605" s="249" t="str">
        <f>HYPERLINK("https://scontent.cdninstagram.com/t51.2885-15/e35/p320x320/21433913_141055696503309_6694613593549176832_n.jpg")</f>
        <v>https://scontent.cdninstagram.com/t51.2885-15/e35/p320x320/21433913_141055696503309_6694613593549176832_n.jpg</v>
      </c>
      <c r="AE5605" s="249" t="str">
        <f>HYPERLINK("https://scontent.cdninstagram.com/t51.2885-19/s150x150/18298688_1494068440643997_308683869408722944_a.jpg")</f>
        <v>https://scontent.cdninstagram.com/t51.2885-19/s150x150/18298688_1494068440643997_308683869408722944_a.jpg</v>
      </c>
    </row>
    <row r="5606" spans="1:31" ht="15" x14ac:dyDescent="0.25">
      <c r="A5606" t="s">
        <v>2474</v>
      </c>
      <c r="B5606" t="s">
        <v>29156</v>
      </c>
      <c r="C5606" s="221">
        <v>42987.380624999998</v>
      </c>
      <c r="D5606" t="s">
        <v>29157</v>
      </c>
      <c r="E5606" s="249" t="str">
        <f>HYPERLINK("https://www.instagram.com/p/BY0kYPYHQfK/")</f>
        <v>https://www.instagram.com/p/BY0kYPYHQfK/</v>
      </c>
      <c r="F5606" t="s">
        <v>29158</v>
      </c>
      <c r="G5606" t="s">
        <v>2478</v>
      </c>
      <c r="H5606">
        <v>160</v>
      </c>
      <c r="I5606" t="s">
        <v>2510</v>
      </c>
      <c r="J5606">
        <v>0</v>
      </c>
      <c r="K5606">
        <v>29</v>
      </c>
      <c r="L5606">
        <v>29</v>
      </c>
      <c r="Q5606">
        <v>0</v>
      </c>
      <c r="R5606">
        <v>0</v>
      </c>
      <c r="S5606">
        <v>29</v>
      </c>
      <c r="Y5606" t="s">
        <v>3246</v>
      </c>
      <c r="Z5606" t="s">
        <v>12660</v>
      </c>
      <c r="AA5606" t="s">
        <v>8007</v>
      </c>
      <c r="AB5606" t="s">
        <v>5843</v>
      </c>
      <c r="AC5606" t="s">
        <v>29159</v>
      </c>
      <c r="AD5606" s="249" t="str">
        <f>HYPERLINK("https://scontent.cdninstagram.com/t51.2885-15/s320x320/e35/21568692_352006685235850_9126207812056121344_n.jpg")</f>
        <v>https://scontent.cdninstagram.com/t51.2885-15/s320x320/e35/21568692_352006685235850_9126207812056121344_n.jpg</v>
      </c>
      <c r="AE5606" s="249" t="str">
        <f>HYPERLINK("https://scontent.cdninstagram.com/t51.2885-19/s150x150/19931800_148504849056690_6620836891606384640_a.jpg")</f>
        <v>https://scontent.cdninstagram.com/t51.2885-19/s150x150/19931800_148504849056690_6620836891606384640_a.jpg</v>
      </c>
    </row>
    <row r="5607" spans="1:31" ht="15" x14ac:dyDescent="0.25">
      <c r="A5607" t="s">
        <v>2474</v>
      </c>
      <c r="B5607" t="s">
        <v>29160</v>
      </c>
      <c r="C5607" s="221">
        <v>42987.389317129629</v>
      </c>
      <c r="D5607" t="s">
        <v>29161</v>
      </c>
      <c r="E5607" s="249" t="str">
        <f>HYPERLINK("https://www.instagram.com/p/BY0lz_pHDxZ/")</f>
        <v>https://www.instagram.com/p/BY0lz_pHDxZ/</v>
      </c>
      <c r="F5607" t="s">
        <v>29162</v>
      </c>
      <c r="G5607" t="s">
        <v>2488</v>
      </c>
      <c r="H5607">
        <v>19637</v>
      </c>
      <c r="I5607" t="s">
        <v>2479</v>
      </c>
      <c r="J5607">
        <v>54</v>
      </c>
      <c r="K5607">
        <v>4677</v>
      </c>
      <c r="L5607">
        <v>4731</v>
      </c>
      <c r="Q5607">
        <v>0</v>
      </c>
      <c r="R5607">
        <v>0</v>
      </c>
      <c r="S5607">
        <v>4731</v>
      </c>
      <c r="T5607" t="s">
        <v>29163</v>
      </c>
      <c r="V5607" t="s">
        <v>2102</v>
      </c>
      <c r="W5607">
        <v>-28.017931412732999</v>
      </c>
      <c r="X5607">
        <v>153.43285522460999</v>
      </c>
      <c r="Y5607" t="s">
        <v>29164</v>
      </c>
      <c r="Z5607" t="s">
        <v>29165</v>
      </c>
      <c r="AA5607" t="s">
        <v>29166</v>
      </c>
      <c r="AB5607" t="s">
        <v>7967</v>
      </c>
      <c r="AC5607" t="s">
        <v>2697</v>
      </c>
      <c r="AD5607" s="249" t="str">
        <f>HYPERLINK("https://scontent.cdninstagram.com/t51.2885-15/s320x320/e35/21479734_326603924417210_7126702318732443648_n.jpg")</f>
        <v>https://scontent.cdninstagram.com/t51.2885-15/s320x320/e35/21479734_326603924417210_7126702318732443648_n.jpg</v>
      </c>
      <c r="AE5607" s="249" t="str">
        <f>HYPERLINK("https://scontent.cdninstagram.com/t51.2885-19/s150x150/20901883_335976760174841_3990104521555574784_a.jpg")</f>
        <v>https://scontent.cdninstagram.com/t51.2885-19/s150x150/20901883_335976760174841_3990104521555574784_a.jpg</v>
      </c>
    </row>
    <row r="5608" spans="1:31" ht="15" x14ac:dyDescent="0.25">
      <c r="A5608" t="s">
        <v>2474</v>
      </c>
      <c r="B5608" t="s">
        <v>29167</v>
      </c>
      <c r="C5608" s="221">
        <v>42987.395428240743</v>
      </c>
      <c r="D5608" t="s">
        <v>29168</v>
      </c>
      <c r="E5608" s="249" t="str">
        <f>HYPERLINK("https://www.instagram.com/p/BY0m0XuHa1t/")</f>
        <v>https://www.instagram.com/p/BY0m0XuHa1t/</v>
      </c>
      <c r="F5608" t="s">
        <v>29169</v>
      </c>
      <c r="G5608" t="s">
        <v>2478</v>
      </c>
      <c r="H5608">
        <v>273</v>
      </c>
      <c r="I5608" t="s">
        <v>2903</v>
      </c>
      <c r="J5608">
        <v>1</v>
      </c>
      <c r="K5608">
        <v>35</v>
      </c>
      <c r="L5608">
        <v>36</v>
      </c>
      <c r="Q5608">
        <v>0</v>
      </c>
      <c r="R5608">
        <v>0</v>
      </c>
      <c r="S5608">
        <v>36</v>
      </c>
      <c r="Y5608" t="s">
        <v>19306</v>
      </c>
      <c r="Z5608" t="s">
        <v>2497</v>
      </c>
      <c r="AA5608" t="s">
        <v>2730</v>
      </c>
      <c r="AB5608" t="s">
        <v>25116</v>
      </c>
      <c r="AC5608" t="s">
        <v>2697</v>
      </c>
      <c r="AD5608" s="249" t="str">
        <f>HYPERLINK("https://scontent.cdninstagram.com/t51.2885-15/s320x320/e35/21436141_1429975553758347_7547922972770566144_n.jpg")</f>
        <v>https://scontent.cdninstagram.com/t51.2885-15/s320x320/e35/21436141_1429975553758347_7547922972770566144_n.jpg</v>
      </c>
      <c r="AE5608" s="249" t="str">
        <f>HYPERLINK("https://scontent.cdninstagram.com/t51.2885-19/s150x150/21827060_117944955538882_9203745827313418240_n.jpg")</f>
        <v>https://scontent.cdninstagram.com/t51.2885-19/s150x150/21827060_117944955538882_9203745827313418240_n.jpg</v>
      </c>
    </row>
    <row r="5609" spans="1:31" ht="15" x14ac:dyDescent="0.25">
      <c r="A5609" t="s">
        <v>2474</v>
      </c>
      <c r="B5609" t="s">
        <v>29170</v>
      </c>
      <c r="C5609" s="221">
        <v>42987.396296296298</v>
      </c>
      <c r="D5609" t="s">
        <v>29171</v>
      </c>
      <c r="E5609" s="249" t="str">
        <f>HYPERLINK("https://www.instagram.com/p/BY0m9l5FaJO/")</f>
        <v>https://www.instagram.com/p/BY0m9l5FaJO/</v>
      </c>
      <c r="F5609" t="s">
        <v>29172</v>
      </c>
      <c r="G5609" t="s">
        <v>2478</v>
      </c>
      <c r="H5609">
        <v>552</v>
      </c>
      <c r="I5609" t="s">
        <v>2479</v>
      </c>
      <c r="J5609">
        <v>5</v>
      </c>
      <c r="K5609">
        <v>71</v>
      </c>
      <c r="L5609">
        <v>76</v>
      </c>
      <c r="Q5609">
        <v>0</v>
      </c>
      <c r="R5609">
        <v>0</v>
      </c>
      <c r="S5609">
        <v>76</v>
      </c>
      <c r="T5609" t="s">
        <v>27740</v>
      </c>
      <c r="V5609" t="s">
        <v>2184</v>
      </c>
      <c r="W5609">
        <v>35.68</v>
      </c>
      <c r="X5609">
        <v>139.77000000000001</v>
      </c>
      <c r="AD5609" s="249" t="str">
        <f>HYPERLINK("https://scontent.cdninstagram.com/t51.2885-15/s320x320/e35/21576563_1528822800511151_976126906808139776_n.jpg")</f>
        <v>https://scontent.cdninstagram.com/t51.2885-15/s320x320/e35/21576563_1528822800511151_976126906808139776_n.jpg</v>
      </c>
      <c r="AE5609" s="249" t="str">
        <f>HYPERLINK("https://scontent.cdninstagram.com/t51.2885-19/11327164_868956323197033_1129270632_a.jpg")</f>
        <v>https://scontent.cdninstagram.com/t51.2885-19/11327164_868956323197033_1129270632_a.jpg</v>
      </c>
    </row>
    <row r="5610" spans="1:31" ht="15" x14ac:dyDescent="0.25">
      <c r="A5610" t="s">
        <v>2474</v>
      </c>
      <c r="B5610" t="s">
        <v>29173</v>
      </c>
      <c r="C5610" s="221">
        <v>42987.397604166668</v>
      </c>
      <c r="D5610" t="s">
        <v>29174</v>
      </c>
      <c r="E5610" s="249" t="str">
        <f>HYPERLINK("https://www.instagram.com/p/BY0nLXTnWd1/")</f>
        <v>https://www.instagram.com/p/BY0nLXTnWd1/</v>
      </c>
      <c r="F5610" t="s">
        <v>29175</v>
      </c>
      <c r="G5610" t="s">
        <v>2478</v>
      </c>
      <c r="H5610">
        <v>176</v>
      </c>
      <c r="I5610" t="s">
        <v>2479</v>
      </c>
      <c r="J5610">
        <v>2</v>
      </c>
      <c r="K5610">
        <v>41</v>
      </c>
      <c r="L5610">
        <v>43</v>
      </c>
      <c r="Q5610">
        <v>0</v>
      </c>
      <c r="R5610">
        <v>0</v>
      </c>
      <c r="S5610">
        <v>43</v>
      </c>
      <c r="T5610" t="s">
        <v>5923</v>
      </c>
      <c r="V5610" t="s">
        <v>2270</v>
      </c>
      <c r="W5610">
        <v>57.706573499999998</v>
      </c>
      <c r="X5610">
        <v>11.969223299999999</v>
      </c>
      <c r="Y5610" t="s">
        <v>29176</v>
      </c>
      <c r="Z5610" t="s">
        <v>27293</v>
      </c>
      <c r="AA5610" t="s">
        <v>29177</v>
      </c>
      <c r="AB5610" t="s">
        <v>29178</v>
      </c>
      <c r="AC5610" t="s">
        <v>29179</v>
      </c>
      <c r="AD5610" s="249" t="str">
        <f>HYPERLINK("https://scontent.cdninstagram.com/t51.2885-15/e35/p320x320/21479845_1516068108472217_7695870517214969856_n.jpg")</f>
        <v>https://scontent.cdninstagram.com/t51.2885-15/e35/p320x320/21479845_1516068108472217_7695870517214969856_n.jpg</v>
      </c>
      <c r="AE5610" s="249" t="str">
        <f>HYPERLINK("https://scontent.cdninstagram.com/t51.2885-19/s150x150/21041611_1052688061434329_7603949829009440768_a.jpg")</f>
        <v>https://scontent.cdninstagram.com/t51.2885-19/s150x150/21041611_1052688061434329_7603949829009440768_a.jpg</v>
      </c>
    </row>
    <row r="5611" spans="1:31" ht="15" x14ac:dyDescent="0.25">
      <c r="A5611" t="s">
        <v>2474</v>
      </c>
      <c r="B5611" t="s">
        <v>3644</v>
      </c>
      <c r="C5611" s="221">
        <v>42987.401469907411</v>
      </c>
      <c r="D5611" t="s">
        <v>29180</v>
      </c>
      <c r="E5611" s="249" t="str">
        <f>HYPERLINK("https://www.instagram.com/p/BY0n0LWlMtL/")</f>
        <v>https://www.instagram.com/p/BY0n0LWlMtL/</v>
      </c>
      <c r="F5611" t="s">
        <v>29181</v>
      </c>
      <c r="G5611" t="s">
        <v>2631</v>
      </c>
      <c r="H5611">
        <v>582</v>
      </c>
      <c r="I5611" t="s">
        <v>2479</v>
      </c>
      <c r="J5611">
        <v>1</v>
      </c>
      <c r="K5611">
        <v>34</v>
      </c>
      <c r="L5611">
        <v>35</v>
      </c>
      <c r="Q5611">
        <v>0</v>
      </c>
      <c r="R5611">
        <v>0</v>
      </c>
      <c r="S5611">
        <v>35</v>
      </c>
      <c r="T5611" t="s">
        <v>9465</v>
      </c>
      <c r="V5611" t="s">
        <v>2141</v>
      </c>
      <c r="W5611">
        <v>55.4</v>
      </c>
      <c r="X5611">
        <v>10.3833</v>
      </c>
      <c r="Y5611" t="s">
        <v>3061</v>
      </c>
      <c r="Z5611" t="s">
        <v>3650</v>
      </c>
      <c r="AA5611" t="s">
        <v>6485</v>
      </c>
      <c r="AB5611" t="s">
        <v>7119</v>
      </c>
      <c r="AC5611" t="s">
        <v>6486</v>
      </c>
      <c r="AD5611" s="249" t="str">
        <f>HYPERLINK("https://scontent.cdninstagram.com/t51.2885-15/e15/p320x320/21436067_1459912470768996_2551082768482172928_n.jpg")</f>
        <v>https://scontent.cdninstagram.com/t51.2885-15/e15/p320x320/21436067_1459912470768996_2551082768482172928_n.jpg</v>
      </c>
      <c r="AE5611" s="249" t="str">
        <f>HYPERLINK("https://scontent.cdninstagram.com/t51.2885-19/s150x150/14714495_1790450111234953_7147855754219749376_a.jpg")</f>
        <v>https://scontent.cdninstagram.com/t51.2885-19/s150x150/14714495_1790450111234953_7147855754219749376_a.jpg</v>
      </c>
    </row>
    <row r="5612" spans="1:31" ht="15" x14ac:dyDescent="0.25">
      <c r="A5612" t="s">
        <v>2474</v>
      </c>
      <c r="B5612" t="s">
        <v>4650</v>
      </c>
      <c r="C5612" s="221">
        <v>42987.407314814816</v>
      </c>
      <c r="D5612" t="s">
        <v>29182</v>
      </c>
      <c r="E5612" s="249" t="str">
        <f>HYPERLINK("https://www.instagram.com/p/BY0ox0yAS2l/")</f>
        <v>https://www.instagram.com/p/BY0ox0yAS2l/</v>
      </c>
      <c r="F5612" t="s">
        <v>29183</v>
      </c>
      <c r="G5612" t="s">
        <v>2478</v>
      </c>
      <c r="H5612">
        <v>51944</v>
      </c>
      <c r="I5612" t="s">
        <v>2479</v>
      </c>
      <c r="J5612">
        <v>17</v>
      </c>
      <c r="K5612">
        <v>580</v>
      </c>
      <c r="L5612">
        <v>597</v>
      </c>
      <c r="Q5612">
        <v>0</v>
      </c>
      <c r="R5612">
        <v>0</v>
      </c>
      <c r="S5612">
        <v>597</v>
      </c>
      <c r="Y5612" t="s">
        <v>11899</v>
      </c>
      <c r="Z5612" t="s">
        <v>29184</v>
      </c>
      <c r="AA5612" t="s">
        <v>29185</v>
      </c>
      <c r="AB5612" t="s">
        <v>20611</v>
      </c>
      <c r="AC5612" t="s">
        <v>6449</v>
      </c>
      <c r="AD5612" s="249" t="str">
        <f>HYPERLINK("https://scontent.cdninstagram.com/t51.2885-15/e35/p320x320/21435982_1066548306815204_6979493203720273920_n.jpg")</f>
        <v>https://scontent.cdninstagram.com/t51.2885-15/e35/p320x320/21435982_1066548306815204_6979493203720273920_n.jpg</v>
      </c>
      <c r="AE5612" s="249" t="str">
        <f>HYPERLINK("https://scontent.cdninstagram.com/t51.2885-19/s150x150/19761953_352834771801381_7484399315541032960_a.jpg")</f>
        <v>https://scontent.cdninstagram.com/t51.2885-19/s150x150/19761953_352834771801381_7484399315541032960_a.jpg</v>
      </c>
    </row>
    <row r="5613" spans="1:31" ht="15" x14ac:dyDescent="0.25">
      <c r="A5613" t="s">
        <v>2474</v>
      </c>
      <c r="B5613" t="s">
        <v>29186</v>
      </c>
      <c r="C5613" s="221">
        <v>42987.410868055558</v>
      </c>
      <c r="D5613" t="s">
        <v>29187</v>
      </c>
      <c r="E5613" s="249" t="str">
        <f>HYPERLINK("https://www.instagram.com/p/BY0pXQfBiVF/")</f>
        <v>https://www.instagram.com/p/BY0pXQfBiVF/</v>
      </c>
      <c r="F5613" t="s">
        <v>29188</v>
      </c>
      <c r="G5613" t="s">
        <v>2478</v>
      </c>
      <c r="H5613">
        <v>982</v>
      </c>
      <c r="I5613" t="s">
        <v>2903</v>
      </c>
      <c r="J5613">
        <v>1</v>
      </c>
      <c r="K5613">
        <v>35</v>
      </c>
      <c r="L5613">
        <v>36</v>
      </c>
      <c r="Q5613">
        <v>0</v>
      </c>
      <c r="R5613">
        <v>0</v>
      </c>
      <c r="S5613">
        <v>36</v>
      </c>
      <c r="Y5613" t="s">
        <v>13436</v>
      </c>
      <c r="Z5613" t="s">
        <v>29189</v>
      </c>
      <c r="AA5613" t="s">
        <v>29190</v>
      </c>
      <c r="AB5613" t="s">
        <v>10684</v>
      </c>
      <c r="AC5613" t="s">
        <v>4540</v>
      </c>
      <c r="AD5613" s="249" t="str">
        <f>HYPERLINK("https://scontent.cdninstagram.com/t51.2885-15/e35/p320x320/21433935_1975435626021606_6457346302899388416_n.jpg")</f>
        <v>https://scontent.cdninstagram.com/t51.2885-15/e35/p320x320/21433935_1975435626021606_6457346302899388416_n.jpg</v>
      </c>
      <c r="AE5613" s="249" t="str">
        <f>HYPERLINK("https://scontent.cdninstagram.com/t51.2885-19/s150x150/20067447_1385909644830434_8040372287863521280_a.jpg")</f>
        <v>https://scontent.cdninstagram.com/t51.2885-19/s150x150/20067447_1385909644830434_8040372287863521280_a.jpg</v>
      </c>
    </row>
    <row r="5614" spans="1:31" ht="15" x14ac:dyDescent="0.25">
      <c r="A5614" t="s">
        <v>2474</v>
      </c>
      <c r="B5614" t="s">
        <v>6819</v>
      </c>
      <c r="C5614" s="221">
        <v>42987.413807870369</v>
      </c>
      <c r="D5614" t="s">
        <v>29191</v>
      </c>
      <c r="E5614" s="249" t="str">
        <f>HYPERLINK("https://www.instagram.com/p/BY0p2UFFzpF/")</f>
        <v>https://www.instagram.com/p/BY0p2UFFzpF/</v>
      </c>
      <c r="F5614" t="s">
        <v>29192</v>
      </c>
      <c r="G5614" t="s">
        <v>2478</v>
      </c>
      <c r="H5614">
        <v>44983</v>
      </c>
      <c r="I5614" t="s">
        <v>2479</v>
      </c>
      <c r="J5614">
        <v>26</v>
      </c>
      <c r="K5614">
        <v>1040</v>
      </c>
      <c r="L5614">
        <v>1066</v>
      </c>
      <c r="Q5614">
        <v>0</v>
      </c>
      <c r="R5614">
        <v>0</v>
      </c>
      <c r="S5614">
        <v>1066</v>
      </c>
      <c r="Y5614" t="s">
        <v>29193</v>
      </c>
      <c r="Z5614" t="s">
        <v>11899</v>
      </c>
      <c r="AA5614" t="s">
        <v>29194</v>
      </c>
      <c r="AB5614" t="s">
        <v>19598</v>
      </c>
      <c r="AC5614" t="s">
        <v>6448</v>
      </c>
      <c r="AD5614" s="249" t="str">
        <f>HYPERLINK("https://scontent.cdninstagram.com/t51.2885-15/e35/p320x320/21435411_115974305758236_262457565898604544_n.jpg")</f>
        <v>https://scontent.cdninstagram.com/t51.2885-15/e35/p320x320/21435411_115974305758236_262457565898604544_n.jpg</v>
      </c>
      <c r="AE5614" s="249" t="str">
        <f>HYPERLINK("https://scontent.cdninstagram.com/t51.2885-19/s150x150/19932754_334176993683769_2034620166683230208_n.jpg")</f>
        <v>https://scontent.cdninstagram.com/t51.2885-19/s150x150/19932754_334176993683769_2034620166683230208_n.jpg</v>
      </c>
    </row>
    <row r="5615" spans="1:31" ht="15" x14ac:dyDescent="0.25">
      <c r="A5615" t="s">
        <v>2474</v>
      </c>
      <c r="B5615" t="s">
        <v>29195</v>
      </c>
      <c r="C5615" s="221">
        <v>42987.417638888888</v>
      </c>
      <c r="D5615" t="s">
        <v>29196</v>
      </c>
      <c r="E5615" s="249" t="str">
        <f>HYPERLINK("https://www.instagram.com/p/BY0qeqhBeKu/")</f>
        <v>https://www.instagram.com/p/BY0qeqhBeKu/</v>
      </c>
      <c r="F5615" t="s">
        <v>29197</v>
      </c>
      <c r="G5615" t="s">
        <v>2488</v>
      </c>
      <c r="H5615">
        <v>540</v>
      </c>
      <c r="I5615" t="s">
        <v>2479</v>
      </c>
      <c r="J5615">
        <v>0</v>
      </c>
      <c r="K5615">
        <v>12</v>
      </c>
      <c r="L5615">
        <v>12</v>
      </c>
      <c r="Q5615">
        <v>0</v>
      </c>
      <c r="R5615">
        <v>0</v>
      </c>
      <c r="S5615">
        <v>12</v>
      </c>
      <c r="Y5615" t="s">
        <v>29198</v>
      </c>
      <c r="Z5615" t="s">
        <v>3246</v>
      </c>
      <c r="AA5615" t="s">
        <v>2497</v>
      </c>
      <c r="AB5615" t="s">
        <v>29199</v>
      </c>
      <c r="AC5615" t="s">
        <v>29200</v>
      </c>
      <c r="AD5615" s="249" t="str">
        <f>HYPERLINK("https://scontent.cdninstagram.com/t51.2885-15/s320x320/e35/21435483_145033552764193_2840684523396530176_n.jpg")</f>
        <v>https://scontent.cdninstagram.com/t51.2885-15/s320x320/e35/21435483_145033552764193_2840684523396530176_n.jpg</v>
      </c>
      <c r="AE5615" s="249" t="str">
        <f>HYPERLINK("https://scontent.cdninstagram.com/t51.2885-19/s150x150/15875980_733813566769569_6188019293293117440_a.jpg")</f>
        <v>https://scontent.cdninstagram.com/t51.2885-19/s150x150/15875980_733813566769569_6188019293293117440_a.jpg</v>
      </c>
    </row>
    <row r="5616" spans="1:31" ht="15" x14ac:dyDescent="0.25">
      <c r="A5616" t="s">
        <v>2474</v>
      </c>
      <c r="B5616" t="s">
        <v>29201</v>
      </c>
      <c r="C5616" s="221">
        <v>42987.41847222222</v>
      </c>
      <c r="D5616" t="s">
        <v>29202</v>
      </c>
      <c r="E5616" s="249" t="str">
        <f>HYPERLINK("https://www.instagram.com/p/BY0qnb2nZ52/")</f>
        <v>https://www.instagram.com/p/BY0qnb2nZ52/</v>
      </c>
      <c r="F5616" t="s">
        <v>29203</v>
      </c>
      <c r="G5616" t="s">
        <v>2478</v>
      </c>
      <c r="H5616">
        <v>384</v>
      </c>
      <c r="I5616" t="s">
        <v>2479</v>
      </c>
      <c r="J5616">
        <v>4</v>
      </c>
      <c r="K5616">
        <v>36</v>
      </c>
      <c r="L5616">
        <v>40</v>
      </c>
      <c r="Q5616">
        <v>0</v>
      </c>
      <c r="R5616">
        <v>0</v>
      </c>
      <c r="S5616">
        <v>40</v>
      </c>
      <c r="Y5616" t="s">
        <v>18427</v>
      </c>
      <c r="Z5616" t="s">
        <v>29204</v>
      </c>
      <c r="AA5616" t="s">
        <v>7967</v>
      </c>
      <c r="AB5616" t="s">
        <v>29205</v>
      </c>
      <c r="AC5616" t="s">
        <v>3209</v>
      </c>
      <c r="AD5616" s="249" t="str">
        <f>HYPERLINK("https://scontent.cdninstagram.com/t51.2885-15/e35/p320x320/21569042_115680735811058_3950436255149326336_n.jpg")</f>
        <v>https://scontent.cdninstagram.com/t51.2885-15/e35/p320x320/21569042_115680735811058_3950436255149326336_n.jpg</v>
      </c>
      <c r="AE5616" s="249" t="str">
        <f>HYPERLINK("https://scontent.cdninstagram.com/t51.2885-19/s150x150/12357359_1091286117562710_2108241472_a.jpg")</f>
        <v>https://scontent.cdninstagram.com/t51.2885-19/s150x150/12357359_1091286117562710_2108241472_a.jpg</v>
      </c>
    </row>
    <row r="5617" spans="1:31" ht="15" x14ac:dyDescent="0.25">
      <c r="A5617" t="s">
        <v>2474</v>
      </c>
      <c r="B5617" t="s">
        <v>18332</v>
      </c>
      <c r="C5617" s="221">
        <v>42987.419108796297</v>
      </c>
      <c r="D5617" t="s">
        <v>29206</v>
      </c>
      <c r="E5617" s="249" t="str">
        <f>HYPERLINK("https://www.instagram.com/p/BY0quMpngpk/")</f>
        <v>https://www.instagram.com/p/BY0quMpngpk/</v>
      </c>
      <c r="F5617" t="s">
        <v>29207</v>
      </c>
      <c r="G5617" t="s">
        <v>2478</v>
      </c>
      <c r="H5617">
        <v>848</v>
      </c>
      <c r="I5617" t="s">
        <v>2479</v>
      </c>
      <c r="J5617">
        <v>0</v>
      </c>
      <c r="K5617">
        <v>21</v>
      </c>
      <c r="L5617">
        <v>21</v>
      </c>
      <c r="Q5617">
        <v>0</v>
      </c>
      <c r="R5617">
        <v>0</v>
      </c>
      <c r="S5617">
        <v>21</v>
      </c>
      <c r="Y5617" t="s">
        <v>3706</v>
      </c>
      <c r="Z5617" t="s">
        <v>2497</v>
      </c>
      <c r="AA5617" t="s">
        <v>5672</v>
      </c>
      <c r="AB5617" t="s">
        <v>8178</v>
      </c>
      <c r="AC5617" t="s">
        <v>11189</v>
      </c>
      <c r="AD5617" s="249" t="str">
        <f>HYPERLINK("https://scontent.cdninstagram.com/t51.2885-15/s320x320/e35/21436143_1054376188032764_3689638067045400576_n.jpg")</f>
        <v>https://scontent.cdninstagram.com/t51.2885-15/s320x320/e35/21436143_1054376188032764_3689638067045400576_n.jpg</v>
      </c>
      <c r="AE5617" s="249" t="str">
        <f>HYPERLINK("https://scontent.cdninstagram.com/t51.2885-19/s150x150/12479181_527869070714180_92940582_a.jpg")</f>
        <v>https://scontent.cdninstagram.com/t51.2885-19/s150x150/12479181_527869070714180_92940582_a.jpg</v>
      </c>
    </row>
    <row r="5618" spans="1:31" ht="15" x14ac:dyDescent="0.25">
      <c r="A5618" t="s">
        <v>2474</v>
      </c>
      <c r="B5618" t="s">
        <v>29208</v>
      </c>
      <c r="C5618" s="221">
        <v>42987.42019675926</v>
      </c>
      <c r="D5618" t="s">
        <v>29209</v>
      </c>
      <c r="E5618" s="249" t="str">
        <f>HYPERLINK("https://www.instagram.com/p/BY0q5r_hJiN/")</f>
        <v>https://www.instagram.com/p/BY0q5r_hJiN/</v>
      </c>
      <c r="F5618" t="s">
        <v>29210</v>
      </c>
      <c r="G5618" t="s">
        <v>2631</v>
      </c>
      <c r="H5618">
        <v>1818</v>
      </c>
      <c r="I5618" t="s">
        <v>2479</v>
      </c>
      <c r="J5618">
        <v>0</v>
      </c>
      <c r="K5618">
        <v>51</v>
      </c>
      <c r="L5618">
        <v>51</v>
      </c>
      <c r="Q5618">
        <v>0</v>
      </c>
      <c r="R5618">
        <v>0</v>
      </c>
      <c r="S5618">
        <v>51</v>
      </c>
      <c r="Y5618" t="s">
        <v>2497</v>
      </c>
      <c r="AD5618" s="249" t="str">
        <f>HYPERLINK("https://scontent.cdninstagram.com/t51.2885-15/e15/p320x320/21434141_116581349014632_5037407437414465536_n.jpg")</f>
        <v>https://scontent.cdninstagram.com/t51.2885-15/e15/p320x320/21434141_116581349014632_5037407437414465536_n.jpg</v>
      </c>
      <c r="AE5618" s="249" t="str">
        <f>HYPERLINK("https://scontent.cdninstagram.com/t51.2885-19/s150x150/21688856_514453818921414_2412049759373099008_n.jpg")</f>
        <v>https://scontent.cdninstagram.com/t51.2885-19/s150x150/21688856_514453818921414_2412049759373099008_n.jpg</v>
      </c>
    </row>
    <row r="5619" spans="1:31" ht="15" x14ac:dyDescent="0.25">
      <c r="A5619" t="s">
        <v>2474</v>
      </c>
      <c r="B5619" t="s">
        <v>29211</v>
      </c>
      <c r="C5619" s="221">
        <v>42987.421157407407</v>
      </c>
      <c r="D5619" t="s">
        <v>29212</v>
      </c>
      <c r="E5619" s="249" t="str">
        <f>HYPERLINK("https://www.instagram.com/p/BY0rDwSD8WA/")</f>
        <v>https://www.instagram.com/p/BY0rDwSD8WA/</v>
      </c>
      <c r="F5619" t="s">
        <v>29213</v>
      </c>
      <c r="G5619" t="s">
        <v>2478</v>
      </c>
      <c r="H5619">
        <v>284</v>
      </c>
      <c r="I5619" t="s">
        <v>2599</v>
      </c>
      <c r="J5619">
        <v>0</v>
      </c>
      <c r="K5619">
        <v>25</v>
      </c>
      <c r="L5619">
        <v>25</v>
      </c>
      <c r="Q5619">
        <v>0</v>
      </c>
      <c r="R5619">
        <v>0</v>
      </c>
      <c r="S5619">
        <v>25</v>
      </c>
      <c r="T5619" t="s">
        <v>9352</v>
      </c>
      <c r="V5619" t="s">
        <v>2141</v>
      </c>
      <c r="W5619">
        <v>55.676099999999998</v>
      </c>
      <c r="X5619">
        <v>12.568300000000001</v>
      </c>
      <c r="Y5619" t="s">
        <v>2968</v>
      </c>
      <c r="Z5619" t="s">
        <v>29214</v>
      </c>
      <c r="AA5619" t="s">
        <v>29215</v>
      </c>
      <c r="AB5619" t="s">
        <v>5902</v>
      </c>
      <c r="AC5619" t="s">
        <v>29216</v>
      </c>
      <c r="AD5619" s="249" t="str">
        <f>HYPERLINK("https://scontent.cdninstagram.com/t51.2885-15/s320x320/e35/21435470_216191548912684_5022405619160711168_n.jpg")</f>
        <v>https://scontent.cdninstagram.com/t51.2885-15/s320x320/e35/21435470_216191548912684_5022405619160711168_n.jpg</v>
      </c>
      <c r="AE5619" s="249" t="str">
        <f>HYPERLINK("https://scontent.cdninstagram.com/t51.2885-19/s150x150/15802281_1430880687211422_5585716697727238144_a.jpg")</f>
        <v>https://scontent.cdninstagram.com/t51.2885-19/s150x150/15802281_1430880687211422_5585716697727238144_a.jpg</v>
      </c>
    </row>
    <row r="5620" spans="1:31" ht="15" x14ac:dyDescent="0.25">
      <c r="A5620" t="s">
        <v>2474</v>
      </c>
      <c r="B5620" t="s">
        <v>29217</v>
      </c>
      <c r="C5620" s="221">
        <v>42987.422361111108</v>
      </c>
      <c r="D5620" t="s">
        <v>29218</v>
      </c>
      <c r="E5620" s="249" t="str">
        <f>HYPERLINK("https://www.instagram.com/p/BY0rQb4BFqY/")</f>
        <v>https://www.instagram.com/p/BY0rQb4BFqY/</v>
      </c>
      <c r="F5620" t="s">
        <v>2872</v>
      </c>
      <c r="G5620" t="s">
        <v>2478</v>
      </c>
      <c r="H5620">
        <v>249</v>
      </c>
      <c r="I5620" t="s">
        <v>2479</v>
      </c>
      <c r="J5620">
        <v>0</v>
      </c>
      <c r="K5620">
        <v>12</v>
      </c>
      <c r="L5620">
        <v>12</v>
      </c>
      <c r="Q5620">
        <v>0</v>
      </c>
      <c r="R5620">
        <v>0</v>
      </c>
      <c r="S5620">
        <v>12</v>
      </c>
      <c r="Y5620" t="s">
        <v>2497</v>
      </c>
      <c r="AD5620" s="249" t="str">
        <f>HYPERLINK("https://scontent.cdninstagram.com/t51.2885-15/e35/p320x320/21434038_265696580590617_6375198301674799104_n.jpg")</f>
        <v>https://scontent.cdninstagram.com/t51.2885-15/e35/p320x320/21434038_265696580590617_6375198301674799104_n.jpg</v>
      </c>
      <c r="AE5620" s="249" t="str">
        <f>HYPERLINK("https://scontent.cdninstagram.com/t51.2885-19/s150x150/21373634_115568905779721_6021648473747619840_a.jpg")</f>
        <v>https://scontent.cdninstagram.com/t51.2885-19/s150x150/21373634_115568905779721_6021648473747619840_a.jpg</v>
      </c>
    </row>
    <row r="5621" spans="1:31" ht="15" x14ac:dyDescent="0.25">
      <c r="A5621" t="s">
        <v>2474</v>
      </c>
      <c r="B5621" t="s">
        <v>23170</v>
      </c>
      <c r="C5621" s="221">
        <v>42987.425694444442</v>
      </c>
      <c r="D5621" t="s">
        <v>29219</v>
      </c>
      <c r="E5621" s="249" t="str">
        <f>HYPERLINK("https://www.instagram.com/p/BY0rzpOgS8w/")</f>
        <v>https://www.instagram.com/p/BY0rzpOgS8w/</v>
      </c>
      <c r="F5621" t="s">
        <v>29220</v>
      </c>
      <c r="G5621" t="s">
        <v>2478</v>
      </c>
      <c r="H5621">
        <v>167</v>
      </c>
      <c r="I5621" t="s">
        <v>2748</v>
      </c>
      <c r="J5621">
        <v>7</v>
      </c>
      <c r="K5621">
        <v>33</v>
      </c>
      <c r="L5621">
        <v>40</v>
      </c>
      <c r="Q5621">
        <v>0</v>
      </c>
      <c r="R5621">
        <v>0</v>
      </c>
      <c r="S5621">
        <v>40</v>
      </c>
      <c r="Y5621" t="s">
        <v>2513</v>
      </c>
      <c r="Z5621" t="s">
        <v>2554</v>
      </c>
      <c r="AA5621" t="s">
        <v>29221</v>
      </c>
      <c r="AB5621" t="s">
        <v>29222</v>
      </c>
      <c r="AC5621" t="s">
        <v>4513</v>
      </c>
      <c r="AD5621" s="249" t="str">
        <f>HYPERLINK("https://scontent.cdninstagram.com/t51.2885-15/e35/p320x320/21433437_267621136976451_4240013223807418368_n.jpg")</f>
        <v>https://scontent.cdninstagram.com/t51.2885-15/e35/p320x320/21433437_267621136976451_4240013223807418368_n.jpg</v>
      </c>
      <c r="AE5621" s="249" t="str">
        <f>HYPERLINK("https://scontent.cdninstagram.com/t51.2885-19/s150x150/20905417_747961055387390_8007615272376598528_a.jpg")</f>
        <v>https://scontent.cdninstagram.com/t51.2885-19/s150x150/20905417_747961055387390_8007615272376598528_a.jpg</v>
      </c>
    </row>
    <row r="5622" spans="1:31" ht="15" x14ac:dyDescent="0.25">
      <c r="A5622" t="s">
        <v>2474</v>
      </c>
      <c r="B5622" t="s">
        <v>29195</v>
      </c>
      <c r="C5622" s="221">
        <v>42987.42664351852</v>
      </c>
      <c r="D5622" t="s">
        <v>29223</v>
      </c>
      <c r="E5622" s="249" t="str">
        <f>HYPERLINK("https://www.instagram.com/p/BY0r9lzBB_3/")</f>
        <v>https://www.instagram.com/p/BY0r9lzBB_3/</v>
      </c>
      <c r="F5622" t="s">
        <v>29224</v>
      </c>
      <c r="G5622" t="s">
        <v>2478</v>
      </c>
      <c r="H5622">
        <v>540</v>
      </c>
      <c r="I5622" t="s">
        <v>2479</v>
      </c>
      <c r="J5622">
        <v>0</v>
      </c>
      <c r="K5622">
        <v>20</v>
      </c>
      <c r="L5622">
        <v>20</v>
      </c>
      <c r="Q5622">
        <v>0</v>
      </c>
      <c r="R5622">
        <v>0</v>
      </c>
      <c r="S5622">
        <v>20</v>
      </c>
      <c r="T5622" t="s">
        <v>29225</v>
      </c>
      <c r="V5622" t="s">
        <v>2204</v>
      </c>
      <c r="W5622">
        <v>3.1064517056888001</v>
      </c>
      <c r="X5622">
        <v>101.63989492968</v>
      </c>
      <c r="Y5622" t="s">
        <v>29226</v>
      </c>
      <c r="Z5622" t="s">
        <v>29227</v>
      </c>
      <c r="AA5622" t="s">
        <v>20378</v>
      </c>
      <c r="AB5622" t="s">
        <v>29228</v>
      </c>
      <c r="AC5622" t="s">
        <v>3671</v>
      </c>
      <c r="AD5622" s="249" t="str">
        <f>HYPERLINK("https://scontent.cdninstagram.com/t51.2885-15/s320x320/e35/21435601_406154269787879_6053147192665833472_n.jpg")</f>
        <v>https://scontent.cdninstagram.com/t51.2885-15/s320x320/e35/21435601_406154269787879_6053147192665833472_n.jpg</v>
      </c>
      <c r="AE5622" s="249" t="str">
        <f>HYPERLINK("https://scontent.cdninstagram.com/t51.2885-19/s150x150/15875980_733813566769569_6188019293293117440_a.jpg")</f>
        <v>https://scontent.cdninstagram.com/t51.2885-19/s150x150/15875980_733813566769569_6188019293293117440_a.jpg</v>
      </c>
    </row>
    <row r="5623" spans="1:31" ht="15" x14ac:dyDescent="0.25">
      <c r="A5623" t="s">
        <v>2474</v>
      </c>
      <c r="B5623" t="s">
        <v>25901</v>
      </c>
      <c r="C5623" s="221">
        <v>42987.436585648145</v>
      </c>
      <c r="D5623" t="s">
        <v>29229</v>
      </c>
      <c r="E5623" s="249" t="str">
        <f>HYPERLINK("https://www.instagram.com/p/BY0tminlEgS/")</f>
        <v>https://www.instagram.com/p/BY0tminlEgS/</v>
      </c>
      <c r="F5623" t="s">
        <v>29230</v>
      </c>
      <c r="G5623" t="s">
        <v>2478</v>
      </c>
      <c r="H5623">
        <v>461</v>
      </c>
      <c r="I5623" t="s">
        <v>2542</v>
      </c>
      <c r="J5623">
        <v>0</v>
      </c>
      <c r="K5623">
        <v>42</v>
      </c>
      <c r="L5623">
        <v>42</v>
      </c>
      <c r="Q5623">
        <v>0</v>
      </c>
      <c r="R5623">
        <v>0</v>
      </c>
      <c r="S5623">
        <v>42</v>
      </c>
      <c r="Y5623" t="s">
        <v>28226</v>
      </c>
      <c r="Z5623" t="s">
        <v>7524</v>
      </c>
      <c r="AA5623" t="s">
        <v>25905</v>
      </c>
      <c r="AB5623" t="s">
        <v>26456</v>
      </c>
      <c r="AC5623" t="s">
        <v>26197</v>
      </c>
      <c r="AD5623" s="249" t="str">
        <f>HYPERLINK("https://scontent.cdninstagram.com/t51.2885-15/s320x320/e35/21434149_170711423477339_4413860877040615424_n.jpg")</f>
        <v>https://scontent.cdninstagram.com/t51.2885-15/s320x320/e35/21434149_170711423477339_4413860877040615424_n.jpg</v>
      </c>
      <c r="AE5623" s="249" t="str">
        <f>HYPERLINK("https://scontent.cdninstagram.com/t51.2885-19/s150x150/19120264_433924860306759_6004906278910951424_n.jpg")</f>
        <v>https://scontent.cdninstagram.com/t51.2885-19/s150x150/19120264_433924860306759_6004906278910951424_n.jpg</v>
      </c>
    </row>
    <row r="5624" spans="1:31" ht="15" x14ac:dyDescent="0.25">
      <c r="A5624" t="s">
        <v>2474</v>
      </c>
      <c r="B5624" t="s">
        <v>29231</v>
      </c>
      <c r="C5624" s="221">
        <v>42987.445381944446</v>
      </c>
      <c r="D5624" t="s">
        <v>29232</v>
      </c>
      <c r="E5624" s="249" t="str">
        <f>HYPERLINK("https://www.instagram.com/p/BY0vDP0grFM/")</f>
        <v>https://www.instagram.com/p/BY0vDP0grFM/</v>
      </c>
      <c r="F5624" t="s">
        <v>29233</v>
      </c>
      <c r="G5624" t="s">
        <v>2478</v>
      </c>
      <c r="H5624">
        <v>281</v>
      </c>
      <c r="I5624" t="s">
        <v>2479</v>
      </c>
      <c r="J5624">
        <v>0</v>
      </c>
      <c r="K5624">
        <v>21</v>
      </c>
      <c r="L5624">
        <v>21</v>
      </c>
      <c r="Q5624">
        <v>0</v>
      </c>
      <c r="R5624">
        <v>0</v>
      </c>
      <c r="S5624">
        <v>21</v>
      </c>
      <c r="Y5624" t="s">
        <v>29234</v>
      </c>
      <c r="Z5624" t="s">
        <v>29235</v>
      </c>
      <c r="AA5624" t="s">
        <v>29236</v>
      </c>
      <c r="AB5624" t="s">
        <v>29237</v>
      </c>
      <c r="AC5624" t="s">
        <v>9144</v>
      </c>
      <c r="AD5624" s="249" t="str">
        <f>HYPERLINK("https://scontent.cdninstagram.com/t51.2885-15/s320x320/e35/21435472_680955682101071_4612041311007014912_n.jpg")</f>
        <v>https://scontent.cdninstagram.com/t51.2885-15/s320x320/e35/21435472_680955682101071_4612041311007014912_n.jpg</v>
      </c>
      <c r="AE5624" s="249" t="str">
        <f>HYPERLINK("https://scontent.cdninstagram.com/t51.2885-19/s150x150/16788923_1816921481907643_744821533276372992_a.jpg")</f>
        <v>https://scontent.cdninstagram.com/t51.2885-19/s150x150/16788923_1816921481907643_744821533276372992_a.jpg</v>
      </c>
    </row>
    <row r="5625" spans="1:31" ht="15" x14ac:dyDescent="0.25">
      <c r="A5625" t="s">
        <v>2474</v>
      </c>
      <c r="B5625" t="s">
        <v>29238</v>
      </c>
      <c r="C5625" s="221">
        <v>42987.445972222224</v>
      </c>
      <c r="D5625" t="s">
        <v>29239</v>
      </c>
      <c r="E5625" s="249" t="str">
        <f>HYPERLINK("https://www.instagram.com/p/BY0vJi9jcmP/")</f>
        <v>https://www.instagram.com/p/BY0vJi9jcmP/</v>
      </c>
      <c r="F5625" t="s">
        <v>29240</v>
      </c>
      <c r="G5625" t="s">
        <v>2478</v>
      </c>
      <c r="H5625">
        <v>12519</v>
      </c>
      <c r="I5625" t="s">
        <v>2479</v>
      </c>
      <c r="J5625">
        <v>2</v>
      </c>
      <c r="K5625">
        <v>144</v>
      </c>
      <c r="L5625">
        <v>146</v>
      </c>
      <c r="Q5625">
        <v>0</v>
      </c>
      <c r="R5625">
        <v>0</v>
      </c>
      <c r="S5625">
        <v>146</v>
      </c>
      <c r="T5625" t="s">
        <v>8920</v>
      </c>
      <c r="U5625" t="s">
        <v>102</v>
      </c>
      <c r="V5625" t="s">
        <v>2299</v>
      </c>
      <c r="W5625">
        <v>41.8369</v>
      </c>
      <c r="X5625">
        <v>-87.684399999999997</v>
      </c>
      <c r="Y5625" t="s">
        <v>2554</v>
      </c>
      <c r="Z5625" t="s">
        <v>15597</v>
      </c>
      <c r="AA5625" t="s">
        <v>29241</v>
      </c>
      <c r="AB5625" t="s">
        <v>3706</v>
      </c>
      <c r="AC5625" t="s">
        <v>29242</v>
      </c>
      <c r="AD5625" s="249" t="str">
        <f>HYPERLINK("https://scontent.cdninstagram.com/t51.2885-15/s320x320/e35/21433650_722190044645986_4500398721388773376_n.jpg")</f>
        <v>https://scontent.cdninstagram.com/t51.2885-15/s320x320/e35/21433650_722190044645986_4500398721388773376_n.jpg</v>
      </c>
      <c r="AE5625" s="249" t="str">
        <f>HYPERLINK("https://scontent.cdninstagram.com/t51.2885-19/s150x150/18253121_1785921085056071_5645368111226945536_a.jpg")</f>
        <v>https://scontent.cdninstagram.com/t51.2885-19/s150x150/18253121_1785921085056071_5645368111226945536_a.jpg</v>
      </c>
    </row>
    <row r="5626" spans="1:31" ht="15" x14ac:dyDescent="0.25">
      <c r="A5626" t="s">
        <v>2474</v>
      </c>
      <c r="B5626" t="s">
        <v>29243</v>
      </c>
      <c r="C5626" s="221">
        <v>42987.451296296298</v>
      </c>
      <c r="D5626" t="s">
        <v>29244</v>
      </c>
      <c r="E5626" s="249" t="str">
        <f>HYPERLINK("https://www.instagram.com/p/BY0wBloHhjb/")</f>
        <v>https://www.instagram.com/p/BY0wBloHhjb/</v>
      </c>
      <c r="F5626" t="s">
        <v>29245</v>
      </c>
      <c r="G5626" t="s">
        <v>2478</v>
      </c>
      <c r="H5626">
        <v>190</v>
      </c>
      <c r="I5626" t="s">
        <v>2479</v>
      </c>
      <c r="J5626">
        <v>8</v>
      </c>
      <c r="K5626">
        <v>23</v>
      </c>
      <c r="L5626">
        <v>31</v>
      </c>
      <c r="Q5626">
        <v>0</v>
      </c>
      <c r="R5626">
        <v>0</v>
      </c>
      <c r="S5626">
        <v>31</v>
      </c>
      <c r="T5626" t="s">
        <v>29246</v>
      </c>
      <c r="U5626" t="s">
        <v>136</v>
      </c>
      <c r="V5626" t="s">
        <v>2299</v>
      </c>
      <c r="W5626">
        <v>41.061123190777003</v>
      </c>
      <c r="X5626">
        <v>-80.041305721122995</v>
      </c>
      <c r="Y5626" t="s">
        <v>29247</v>
      </c>
      <c r="Z5626" t="s">
        <v>2911</v>
      </c>
      <c r="AA5626" t="s">
        <v>29248</v>
      </c>
      <c r="AB5626" t="s">
        <v>29249</v>
      </c>
      <c r="AC5626" t="s">
        <v>29250</v>
      </c>
      <c r="AD5626" s="249" t="str">
        <f>HYPERLINK("https://scontent.cdninstagram.com/t51.2885-15/s320x320/e35/21568462_119065568740057_8092474398692343808_n.jpg")</f>
        <v>https://scontent.cdninstagram.com/t51.2885-15/s320x320/e35/21568462_119065568740057_8092474398692343808_n.jpg</v>
      </c>
      <c r="AE5626" s="249" t="str">
        <f>HYPERLINK("https://scontent.cdninstagram.com/t51.2885-19/s150x150/21227276_519923461674854_3797449893727961088_a.jpg")</f>
        <v>https://scontent.cdninstagram.com/t51.2885-19/s150x150/21227276_519923461674854_3797449893727961088_a.jpg</v>
      </c>
    </row>
    <row r="5627" spans="1:31" ht="15" x14ac:dyDescent="0.25">
      <c r="A5627" t="s">
        <v>2474</v>
      </c>
      <c r="B5627" t="s">
        <v>29251</v>
      </c>
      <c r="C5627" s="221">
        <v>42987.454421296294</v>
      </c>
      <c r="D5627" t="s">
        <v>29252</v>
      </c>
      <c r="E5627" s="249" t="str">
        <f>HYPERLINK("https://www.instagram.com/p/BY0wim0AFit/")</f>
        <v>https://www.instagram.com/p/BY0wim0AFit/</v>
      </c>
      <c r="F5627" t="s">
        <v>29253</v>
      </c>
      <c r="G5627" t="s">
        <v>2488</v>
      </c>
      <c r="H5627">
        <v>764</v>
      </c>
      <c r="I5627" t="s">
        <v>2479</v>
      </c>
      <c r="J5627">
        <v>1</v>
      </c>
      <c r="K5627">
        <v>31</v>
      </c>
      <c r="L5627">
        <v>32</v>
      </c>
      <c r="Q5627">
        <v>0</v>
      </c>
      <c r="R5627">
        <v>0</v>
      </c>
      <c r="S5627">
        <v>32</v>
      </c>
      <c r="T5627" t="s">
        <v>29254</v>
      </c>
      <c r="V5627" t="s">
        <v>2161</v>
      </c>
      <c r="W5627">
        <v>51.448819999999998</v>
      </c>
      <c r="X5627">
        <v>6.1744599999999998</v>
      </c>
      <c r="Y5627" t="s">
        <v>29255</v>
      </c>
      <c r="Z5627" t="s">
        <v>29256</v>
      </c>
      <c r="AA5627" t="s">
        <v>29257</v>
      </c>
      <c r="AB5627" t="s">
        <v>29258</v>
      </c>
      <c r="AC5627" t="s">
        <v>29259</v>
      </c>
      <c r="AD5627" s="249" t="str">
        <f>HYPERLINK("https://scontent.cdninstagram.com/t51.2885-15/s320x320/e35/21435937_1702176856459164_7088428224480280576_n.jpg")</f>
        <v>https://scontent.cdninstagram.com/t51.2885-15/s320x320/e35/21435937_1702176856459164_7088428224480280576_n.jpg</v>
      </c>
      <c r="AE5627" s="249" t="str">
        <f>HYPERLINK("https://scontent.cdninstagram.com/t51.2885-19/s150x150/11875552_541679992654394_967725940_a.jpg")</f>
        <v>https://scontent.cdninstagram.com/t51.2885-19/s150x150/11875552_541679992654394_967725940_a.jpg</v>
      </c>
    </row>
    <row r="5628" spans="1:31" ht="15" x14ac:dyDescent="0.25">
      <c r="A5628" t="s">
        <v>2474</v>
      </c>
      <c r="B5628" t="s">
        <v>17086</v>
      </c>
      <c r="C5628" s="221">
        <v>42987.458182870374</v>
      </c>
      <c r="D5628" t="s">
        <v>29260</v>
      </c>
      <c r="E5628" s="249" t="str">
        <f>HYPERLINK("https://www.instagram.com/p/BY0xKP6jKeA/")</f>
        <v>https://www.instagram.com/p/BY0xKP6jKeA/</v>
      </c>
      <c r="F5628" t="s">
        <v>29261</v>
      </c>
      <c r="G5628" t="s">
        <v>2478</v>
      </c>
      <c r="H5628">
        <v>65</v>
      </c>
      <c r="I5628" t="s">
        <v>2479</v>
      </c>
      <c r="J5628">
        <v>1</v>
      </c>
      <c r="K5628">
        <v>12</v>
      </c>
      <c r="L5628">
        <v>13</v>
      </c>
      <c r="Q5628">
        <v>0</v>
      </c>
      <c r="R5628">
        <v>0</v>
      </c>
      <c r="S5628">
        <v>13</v>
      </c>
      <c r="Y5628" t="s">
        <v>11373</v>
      </c>
      <c r="Z5628" t="s">
        <v>26103</v>
      </c>
      <c r="AA5628" t="s">
        <v>4987</v>
      </c>
      <c r="AB5628" t="s">
        <v>17807</v>
      </c>
      <c r="AC5628" t="s">
        <v>17089</v>
      </c>
      <c r="AD5628" s="249" t="str">
        <f>HYPERLINK("https://scontent.cdninstagram.com/t51.2885-15/s320x320/e35/21433682_1811261832217250_2621299728515596288_n.jpg")</f>
        <v>https://scontent.cdninstagram.com/t51.2885-15/s320x320/e35/21433682_1811261832217250_2621299728515596288_n.jpg</v>
      </c>
      <c r="AE5628" s="249" t="str">
        <f>HYPERLINK("https://scontent.cdninstagram.com/t51.2885-19/s150x150/20213819_1623489541008643_6054573310786666496_a.jpg")</f>
        <v>https://scontent.cdninstagram.com/t51.2885-19/s150x150/20213819_1623489541008643_6054573310786666496_a.jpg</v>
      </c>
    </row>
    <row r="5629" spans="1:31" ht="15" x14ac:dyDescent="0.25">
      <c r="A5629" t="s">
        <v>2474</v>
      </c>
      <c r="B5629" t="s">
        <v>29262</v>
      </c>
      <c r="C5629" s="221">
        <v>42987.462175925924</v>
      </c>
      <c r="D5629" t="s">
        <v>29263</v>
      </c>
      <c r="E5629" s="249" t="str">
        <f>HYPERLINK("https://www.instagram.com/p/BY0x0cfBb-O/")</f>
        <v>https://www.instagram.com/p/BY0x0cfBb-O/</v>
      </c>
      <c r="F5629" t="s">
        <v>29264</v>
      </c>
      <c r="G5629" t="s">
        <v>2478</v>
      </c>
      <c r="H5629">
        <v>589</v>
      </c>
      <c r="I5629" t="s">
        <v>2479</v>
      </c>
      <c r="J5629">
        <v>0</v>
      </c>
      <c r="K5629">
        <v>41</v>
      </c>
      <c r="L5629">
        <v>41</v>
      </c>
      <c r="Q5629">
        <v>0</v>
      </c>
      <c r="R5629">
        <v>0</v>
      </c>
      <c r="S5629">
        <v>41</v>
      </c>
      <c r="T5629" t="s">
        <v>29265</v>
      </c>
      <c r="V5629" t="s">
        <v>2153</v>
      </c>
      <c r="W5629">
        <v>59.833300000000001</v>
      </c>
      <c r="X5629">
        <v>22.95</v>
      </c>
      <c r="Y5629" t="s">
        <v>2497</v>
      </c>
      <c r="Z5629" t="s">
        <v>14786</v>
      </c>
      <c r="AA5629" t="s">
        <v>2728</v>
      </c>
      <c r="AB5629" t="s">
        <v>2730</v>
      </c>
      <c r="AC5629" t="s">
        <v>5884</v>
      </c>
      <c r="AD5629" s="249" t="str">
        <f>HYPERLINK("https://scontent.cdninstagram.com/t51.2885-15/s320x320/e35/21480206_972809992858878_2723614581174829056_n.jpg")</f>
        <v>https://scontent.cdninstagram.com/t51.2885-15/s320x320/e35/21480206_972809992858878_2723614581174829056_n.jpg</v>
      </c>
      <c r="AE5629" s="249" t="str">
        <f>HYPERLINK("https://scontent.cdninstagram.com/t51.2885-19/s150x150/19379850_963715363765947_1318599425668415488_a.jpg")</f>
        <v>https://scontent.cdninstagram.com/t51.2885-19/s150x150/19379850_963715363765947_1318599425668415488_a.jpg</v>
      </c>
    </row>
    <row r="5630" spans="1:31" ht="15" x14ac:dyDescent="0.25">
      <c r="A5630" t="s">
        <v>2474</v>
      </c>
      <c r="B5630" t="s">
        <v>27892</v>
      </c>
      <c r="C5630" s="221">
        <v>42987.467523148145</v>
      </c>
      <c r="D5630" t="s">
        <v>29266</v>
      </c>
      <c r="E5630" s="249" t="str">
        <f>HYPERLINK("https://www.instagram.com/p/BY0ysvbHeO5/")</f>
        <v>https://www.instagram.com/p/BY0ysvbHeO5/</v>
      </c>
      <c r="F5630" t="s">
        <v>29267</v>
      </c>
      <c r="G5630" t="s">
        <v>2631</v>
      </c>
      <c r="H5630">
        <v>1175</v>
      </c>
      <c r="I5630" t="s">
        <v>2479</v>
      </c>
      <c r="J5630">
        <v>0</v>
      </c>
      <c r="K5630">
        <v>51</v>
      </c>
      <c r="L5630">
        <v>51</v>
      </c>
      <c r="Q5630">
        <v>0</v>
      </c>
      <c r="R5630">
        <v>0</v>
      </c>
      <c r="S5630">
        <v>51</v>
      </c>
      <c r="Y5630" t="s">
        <v>29268</v>
      </c>
      <c r="Z5630" t="s">
        <v>27896</v>
      </c>
      <c r="AA5630" t="s">
        <v>2492</v>
      </c>
      <c r="AB5630" t="s">
        <v>27895</v>
      </c>
      <c r="AC5630" t="s">
        <v>29269</v>
      </c>
      <c r="AD5630" s="249" t="str">
        <f>HYPERLINK("https://scontent.cdninstagram.com/t51.2885-15/s320x320/e15/21479628_1429247740486570_6467717386198843392_n.jpg")</f>
        <v>https://scontent.cdninstagram.com/t51.2885-15/s320x320/e15/21479628_1429247740486570_6467717386198843392_n.jpg</v>
      </c>
      <c r="AE5630" s="249" t="str">
        <f>HYPERLINK("https://scontent.cdninstagram.com/t51.2885-19/s150x150/21147458_1446629965421055_7650739091062915072_a.jpg")</f>
        <v>https://scontent.cdninstagram.com/t51.2885-19/s150x150/21147458_1446629965421055_7650739091062915072_a.jpg</v>
      </c>
    </row>
    <row r="5631" spans="1:31" ht="15" x14ac:dyDescent="0.25">
      <c r="A5631" t="s">
        <v>2474</v>
      </c>
      <c r="B5631" t="s">
        <v>3015</v>
      </c>
      <c r="C5631" s="221">
        <v>42987.474791666667</v>
      </c>
      <c r="D5631" t="s">
        <v>29270</v>
      </c>
      <c r="E5631" s="249" t="str">
        <f>HYPERLINK("https://www.instagram.com/p/BY0z5cnAwgI/")</f>
        <v>https://www.instagram.com/p/BY0z5cnAwgI/</v>
      </c>
      <c r="F5631" t="s">
        <v>29271</v>
      </c>
      <c r="G5631" t="s">
        <v>2478</v>
      </c>
      <c r="H5631">
        <v>284</v>
      </c>
      <c r="I5631" t="s">
        <v>2479</v>
      </c>
      <c r="J5631">
        <v>0</v>
      </c>
      <c r="K5631">
        <v>50</v>
      </c>
      <c r="L5631">
        <v>50</v>
      </c>
      <c r="Q5631">
        <v>0</v>
      </c>
      <c r="R5631">
        <v>0</v>
      </c>
      <c r="S5631">
        <v>50</v>
      </c>
      <c r="Y5631" t="s">
        <v>10468</v>
      </c>
      <c r="Z5631" t="s">
        <v>3492</v>
      </c>
      <c r="AA5631" t="s">
        <v>7275</v>
      </c>
      <c r="AB5631" t="s">
        <v>3494</v>
      </c>
      <c r="AC5631" t="s">
        <v>3571</v>
      </c>
      <c r="AD5631" s="249" t="str">
        <f>HYPERLINK("https://scontent.cdninstagram.com/t51.2885-15/e35/p320x320/21433677_2009141072656862_923751756318375936_n.jpg")</f>
        <v>https://scontent.cdninstagram.com/t51.2885-15/e35/p320x320/21433677_2009141072656862_923751756318375936_n.jpg</v>
      </c>
      <c r="AE5631" s="249" t="str">
        <f>HYPERLINK("https://scontent.cdninstagram.com/t51.2885-19/s150x150/21373025_723410537866046_6184601968204316672_a.jpg")</f>
        <v>https://scontent.cdninstagram.com/t51.2885-19/s150x150/21373025_723410537866046_6184601968204316672_a.jpg</v>
      </c>
    </row>
    <row r="5632" spans="1:31" ht="15" x14ac:dyDescent="0.25">
      <c r="A5632" t="s">
        <v>2474</v>
      </c>
      <c r="B5632" t="s">
        <v>29272</v>
      </c>
      <c r="C5632" s="221">
        <v>42987.477789351855</v>
      </c>
      <c r="D5632" t="s">
        <v>29273</v>
      </c>
      <c r="E5632" s="249" t="str">
        <f>HYPERLINK("https://www.instagram.com/p/BY00ZBiAmqM/")</f>
        <v>https://www.instagram.com/p/BY00ZBiAmqM/</v>
      </c>
      <c r="F5632" t="s">
        <v>29274</v>
      </c>
      <c r="G5632" t="s">
        <v>2478</v>
      </c>
      <c r="H5632">
        <v>327</v>
      </c>
      <c r="I5632" t="s">
        <v>2479</v>
      </c>
      <c r="J5632">
        <v>0</v>
      </c>
      <c r="K5632">
        <v>20</v>
      </c>
      <c r="L5632">
        <v>20</v>
      </c>
      <c r="Q5632">
        <v>0</v>
      </c>
      <c r="R5632">
        <v>0</v>
      </c>
      <c r="S5632">
        <v>20</v>
      </c>
      <c r="T5632" t="s">
        <v>14131</v>
      </c>
      <c r="U5632" t="s">
        <v>116</v>
      </c>
      <c r="V5632" t="s">
        <v>2299</v>
      </c>
      <c r="W5632">
        <v>32.788965594959997</v>
      </c>
      <c r="X5632">
        <v>-96.802102859715006</v>
      </c>
      <c r="Y5632" t="s">
        <v>2497</v>
      </c>
      <c r="Z5632" t="s">
        <v>29275</v>
      </c>
      <c r="AD5632" s="249" t="str">
        <f>HYPERLINK("https://scontent.cdninstagram.com/t51.2885-15/s320x320/e35/21479732_343613016065752_6347059836319956992_n.jpg")</f>
        <v>https://scontent.cdninstagram.com/t51.2885-15/s320x320/e35/21479732_343613016065752_6347059836319956992_n.jpg</v>
      </c>
      <c r="AE5632" s="249" t="str">
        <f>HYPERLINK("https://scontent.cdninstagram.com/t51.2885-19/927685_307280976099141_515942089_a.jpg")</f>
        <v>https://scontent.cdninstagram.com/t51.2885-19/927685_307280976099141_515942089_a.jpg</v>
      </c>
    </row>
    <row r="5633" spans="1:31" ht="15" x14ac:dyDescent="0.25">
      <c r="A5633" t="s">
        <v>2474</v>
      </c>
      <c r="B5633" t="s">
        <v>29276</v>
      </c>
      <c r="C5633" s="221">
        <v>42987.48541666667</v>
      </c>
      <c r="D5633" t="s">
        <v>29277</v>
      </c>
      <c r="E5633" s="249" t="str">
        <f>HYPERLINK("https://www.instagram.com/p/BY01pdvn8QU/")</f>
        <v>https://www.instagram.com/p/BY01pdvn8QU/</v>
      </c>
      <c r="F5633" t="s">
        <v>29278</v>
      </c>
      <c r="G5633" t="s">
        <v>2488</v>
      </c>
      <c r="H5633">
        <v>176</v>
      </c>
      <c r="I5633" t="s">
        <v>2479</v>
      </c>
      <c r="J5633">
        <v>5</v>
      </c>
      <c r="K5633">
        <v>6</v>
      </c>
      <c r="L5633">
        <v>11</v>
      </c>
      <c r="Q5633">
        <v>0</v>
      </c>
      <c r="R5633">
        <v>0</v>
      </c>
      <c r="S5633">
        <v>11</v>
      </c>
      <c r="Y5633" t="s">
        <v>29279</v>
      </c>
      <c r="Z5633" t="s">
        <v>2497</v>
      </c>
      <c r="AA5633" t="s">
        <v>29280</v>
      </c>
      <c r="AB5633" t="s">
        <v>29281</v>
      </c>
      <c r="AC5633" t="s">
        <v>29282</v>
      </c>
      <c r="AD5633" s="249" t="str">
        <f>HYPERLINK("https://scontent.cdninstagram.com/t51.2885-15/s320x320/e35/21435710_835866713239013_7461581803564826624_n.jpg")</f>
        <v>https://scontent.cdninstagram.com/t51.2885-15/s320x320/e35/21435710_835866713239013_7461581803564826624_n.jpg</v>
      </c>
      <c r="AE5633" s="249" t="str">
        <f>HYPERLINK("https://scontent.cdninstagram.com/t51.2885-19/s150x150/18879482_1697987663559569_4879328730838728704_a.jpg")</f>
        <v>https://scontent.cdninstagram.com/t51.2885-19/s150x150/18879482_1697987663559569_4879328730838728704_a.jpg</v>
      </c>
    </row>
    <row r="5634" spans="1:31" ht="15" x14ac:dyDescent="0.25">
      <c r="A5634" t="s">
        <v>2474</v>
      </c>
      <c r="B5634" t="s">
        <v>3393</v>
      </c>
      <c r="C5634" s="221">
        <v>42987.490312499998</v>
      </c>
      <c r="D5634" t="s">
        <v>29283</v>
      </c>
      <c r="E5634" s="249" t="str">
        <f>HYPERLINK("https://www.instagram.com/p/BY02dKRHvkz/")</f>
        <v>https://www.instagram.com/p/BY02dKRHvkz/</v>
      </c>
      <c r="F5634" t="s">
        <v>29284</v>
      </c>
      <c r="G5634" t="s">
        <v>2478</v>
      </c>
      <c r="H5634">
        <v>19491</v>
      </c>
      <c r="I5634" t="s">
        <v>2479</v>
      </c>
      <c r="J5634">
        <v>9</v>
      </c>
      <c r="K5634">
        <v>515</v>
      </c>
      <c r="L5634">
        <v>524</v>
      </c>
      <c r="Q5634">
        <v>0</v>
      </c>
      <c r="R5634">
        <v>0</v>
      </c>
      <c r="S5634">
        <v>524</v>
      </c>
      <c r="AD5634" s="249" t="str">
        <f>HYPERLINK("https://scontent.cdninstagram.com/t51.2885-15/s320x320/e35/21479795_115190102532456_7020030367780306944_n.jpg")</f>
        <v>https://scontent.cdninstagram.com/t51.2885-15/s320x320/e35/21479795_115190102532456_7020030367780306944_n.jpg</v>
      </c>
      <c r="AE5634" s="249" t="str">
        <f>HYPERLINK("https://scontent.cdninstagram.com/t51.2885-19/s150x150/20969318_163506604224066_8451668608215416832_n.jpg")</f>
        <v>https://scontent.cdninstagram.com/t51.2885-19/s150x150/20969318_163506604224066_8451668608215416832_n.jpg</v>
      </c>
    </row>
    <row r="5635" spans="1:31" ht="15" x14ac:dyDescent="0.25">
      <c r="A5635" t="s">
        <v>2474</v>
      </c>
      <c r="B5635" t="s">
        <v>14128</v>
      </c>
      <c r="C5635" s="221">
        <v>42987.497708333336</v>
      </c>
      <c r="D5635" t="s">
        <v>29285</v>
      </c>
      <c r="E5635" s="249" t="str">
        <f>HYPERLINK("https://www.instagram.com/p/BY03rFlj2mx/")</f>
        <v>https://www.instagram.com/p/BY03rFlj2mx/</v>
      </c>
      <c r="F5635" t="s">
        <v>29286</v>
      </c>
      <c r="G5635" t="s">
        <v>2488</v>
      </c>
      <c r="H5635">
        <v>11817</v>
      </c>
      <c r="I5635" t="s">
        <v>2479</v>
      </c>
      <c r="J5635">
        <v>0</v>
      </c>
      <c r="K5635">
        <v>49</v>
      </c>
      <c r="L5635">
        <v>49</v>
      </c>
      <c r="Q5635">
        <v>0</v>
      </c>
      <c r="R5635">
        <v>0</v>
      </c>
      <c r="S5635">
        <v>49</v>
      </c>
      <c r="T5635" t="s">
        <v>14131</v>
      </c>
      <c r="U5635" t="s">
        <v>116</v>
      </c>
      <c r="V5635" t="s">
        <v>2299</v>
      </c>
      <c r="W5635">
        <v>32.788965594959997</v>
      </c>
      <c r="X5635">
        <v>-96.802102859715006</v>
      </c>
      <c r="Y5635" t="s">
        <v>2497</v>
      </c>
      <c r="Z5635" t="s">
        <v>29275</v>
      </c>
      <c r="AD5635" s="249" t="str">
        <f>HYPERLINK("https://scontent.cdninstagram.com/t51.2885-15/s320x320/e35/21435626_1593008354106746_4143091385488113664_n.jpg")</f>
        <v>https://scontent.cdninstagram.com/t51.2885-15/s320x320/e35/21435626_1593008354106746_4143091385488113664_n.jpg</v>
      </c>
      <c r="AE5635" s="249" t="str">
        <f>HYPERLINK("https://scontent.cdninstagram.com/t51.2885-19/s150x150/14374316_760249417411108_8813019106069446656_a.jpg")</f>
        <v>https://scontent.cdninstagram.com/t51.2885-19/s150x150/14374316_760249417411108_8813019106069446656_a.jpg</v>
      </c>
    </row>
    <row r="5636" spans="1:31" ht="15" x14ac:dyDescent="0.25">
      <c r="A5636" t="s">
        <v>2474</v>
      </c>
      <c r="B5636" t="s">
        <v>29287</v>
      </c>
      <c r="C5636" s="221">
        <v>42987.499062499999</v>
      </c>
      <c r="D5636" t="s">
        <v>29288</v>
      </c>
      <c r="E5636" s="249" t="str">
        <f>HYPERLINK("https://www.instagram.com/p/BY035aQgqT9/")</f>
        <v>https://www.instagram.com/p/BY035aQgqT9/</v>
      </c>
      <c r="F5636" t="s">
        <v>29289</v>
      </c>
      <c r="G5636" t="s">
        <v>2478</v>
      </c>
      <c r="H5636">
        <v>533</v>
      </c>
      <c r="I5636" t="s">
        <v>2479</v>
      </c>
      <c r="J5636">
        <v>4</v>
      </c>
      <c r="K5636">
        <v>49</v>
      </c>
      <c r="L5636">
        <v>53</v>
      </c>
      <c r="Q5636">
        <v>0</v>
      </c>
      <c r="R5636">
        <v>0</v>
      </c>
      <c r="S5636">
        <v>53</v>
      </c>
      <c r="Y5636" t="s">
        <v>2513</v>
      </c>
      <c r="Z5636" t="s">
        <v>2497</v>
      </c>
      <c r="AA5636" t="s">
        <v>4121</v>
      </c>
      <c r="AB5636" t="s">
        <v>2603</v>
      </c>
      <c r="AC5636" t="s">
        <v>2861</v>
      </c>
      <c r="AD5636" s="249" t="str">
        <f>HYPERLINK("https://scontent.cdninstagram.com/t51.2885-15/s320x320/e35/21436311_303659420108422_3917519900670689280_n.jpg")</f>
        <v>https://scontent.cdninstagram.com/t51.2885-15/s320x320/e35/21436311_303659420108422_3917519900670689280_n.jpg</v>
      </c>
      <c r="AE5636" s="249" t="str">
        <f>HYPERLINK("https://scontent.cdninstagram.com/t51.2885-19/s150x150/19424581_112294759312014_2959713636425138176_a.jpg")</f>
        <v>https://scontent.cdninstagram.com/t51.2885-19/s150x150/19424581_112294759312014_2959713636425138176_a.jpg</v>
      </c>
    </row>
    <row r="5637" spans="1:31" ht="15" x14ac:dyDescent="0.25">
      <c r="A5637" t="s">
        <v>2474</v>
      </c>
      <c r="B5637" t="s">
        <v>5920</v>
      </c>
      <c r="C5637" s="221">
        <v>42987.50335648148</v>
      </c>
      <c r="D5637" t="s">
        <v>29290</v>
      </c>
      <c r="E5637" s="249" t="str">
        <f>HYPERLINK("https://www.instagram.com/p/BY04mqAAfS1/")</f>
        <v>https://www.instagram.com/p/BY04mqAAfS1/</v>
      </c>
      <c r="F5637" t="s">
        <v>29291</v>
      </c>
      <c r="G5637" t="s">
        <v>2478</v>
      </c>
      <c r="H5637">
        <v>34</v>
      </c>
      <c r="I5637" t="s">
        <v>2479</v>
      </c>
      <c r="J5637">
        <v>0</v>
      </c>
      <c r="K5637">
        <v>21</v>
      </c>
      <c r="L5637">
        <v>21</v>
      </c>
      <c r="Q5637">
        <v>0</v>
      </c>
      <c r="R5637">
        <v>0</v>
      </c>
      <c r="S5637">
        <v>21</v>
      </c>
      <c r="T5637" t="s">
        <v>5923</v>
      </c>
      <c r="V5637" t="s">
        <v>2270</v>
      </c>
      <c r="W5637">
        <v>57.706573499999998</v>
      </c>
      <c r="X5637">
        <v>11.969223299999999</v>
      </c>
      <c r="Y5637" t="s">
        <v>12414</v>
      </c>
      <c r="Z5637" t="s">
        <v>6315</v>
      </c>
      <c r="AA5637" t="s">
        <v>12413</v>
      </c>
      <c r="AB5637" t="s">
        <v>4993</v>
      </c>
      <c r="AC5637" t="s">
        <v>26997</v>
      </c>
      <c r="AD5637" s="249" t="str">
        <f>HYPERLINK("https://scontent.cdninstagram.com/t51.2885-15/e35/p320x320/21433399_493346621030706_7628374711021338624_n.jpg")</f>
        <v>https://scontent.cdninstagram.com/t51.2885-15/e35/p320x320/21433399_493346621030706_7628374711021338624_n.jpg</v>
      </c>
      <c r="AE5637" s="249" t="str">
        <f>HYPERLINK("https://scontent.cdninstagram.com/t51.2885-19/s150x150/20065313_312266842554112_1367471824169861120_a.jpg")</f>
        <v>https://scontent.cdninstagram.com/t51.2885-19/s150x150/20065313_312266842554112_1367471824169861120_a.jpg</v>
      </c>
    </row>
    <row r="5638" spans="1:31" ht="15" x14ac:dyDescent="0.25">
      <c r="A5638" t="s">
        <v>2474</v>
      </c>
      <c r="B5638" t="s">
        <v>29292</v>
      </c>
      <c r="C5638" s="221">
        <v>42987.505057870374</v>
      </c>
      <c r="D5638" t="s">
        <v>29293</v>
      </c>
      <c r="E5638" s="249" t="str">
        <f>HYPERLINK("https://www.instagram.com/p/BY044sVgbF6/")</f>
        <v>https://www.instagram.com/p/BY044sVgbF6/</v>
      </c>
      <c r="F5638" t="s">
        <v>29294</v>
      </c>
      <c r="G5638" t="s">
        <v>2478</v>
      </c>
      <c r="H5638">
        <v>79</v>
      </c>
      <c r="I5638" t="s">
        <v>2542</v>
      </c>
      <c r="J5638">
        <v>1</v>
      </c>
      <c r="K5638">
        <v>1</v>
      </c>
      <c r="L5638">
        <v>2</v>
      </c>
      <c r="Q5638">
        <v>0</v>
      </c>
      <c r="R5638">
        <v>0</v>
      </c>
      <c r="S5638">
        <v>2</v>
      </c>
      <c r="Y5638" t="s">
        <v>2497</v>
      </c>
      <c r="Z5638" t="s">
        <v>8516</v>
      </c>
      <c r="AA5638" t="s">
        <v>29295</v>
      </c>
      <c r="AB5638" t="s">
        <v>29296</v>
      </c>
      <c r="AC5638" t="s">
        <v>29297</v>
      </c>
      <c r="AD5638" s="249" t="str">
        <f>HYPERLINK("https://scontent.cdninstagram.com/t51.2885-15/s320x320/e35/21480523_350019498755118_6297997166472331264_n.jpg")</f>
        <v>https://scontent.cdninstagram.com/t51.2885-15/s320x320/e35/21480523_350019498755118_6297997166472331264_n.jpg</v>
      </c>
      <c r="AE5638" s="249" t="str">
        <f>HYPERLINK("https://scontent.cdninstagram.com/t51.2885-19/s150x150/18444956_1890368257872798_8311500396300337152_a.jpg")</f>
        <v>https://scontent.cdninstagram.com/t51.2885-19/s150x150/18444956_1890368257872798_8311500396300337152_a.jpg</v>
      </c>
    </row>
    <row r="5639" spans="1:31" ht="15" x14ac:dyDescent="0.25">
      <c r="A5639" t="s">
        <v>2474</v>
      </c>
      <c r="B5639" t="s">
        <v>5920</v>
      </c>
      <c r="C5639" s="221">
        <v>42987.507048611114</v>
      </c>
      <c r="D5639" t="s">
        <v>29298</v>
      </c>
      <c r="E5639" s="249" t="str">
        <f>HYPERLINK("https://www.instagram.com/p/BY05NspAWgI/")</f>
        <v>https://www.instagram.com/p/BY05NspAWgI/</v>
      </c>
      <c r="F5639" t="s">
        <v>29299</v>
      </c>
      <c r="G5639" t="s">
        <v>2478</v>
      </c>
      <c r="H5639">
        <v>34</v>
      </c>
      <c r="I5639" t="s">
        <v>2479</v>
      </c>
      <c r="J5639">
        <v>0</v>
      </c>
      <c r="K5639">
        <v>20</v>
      </c>
      <c r="L5639">
        <v>20</v>
      </c>
      <c r="Q5639">
        <v>0</v>
      </c>
      <c r="R5639">
        <v>0</v>
      </c>
      <c r="S5639">
        <v>20</v>
      </c>
      <c r="T5639" t="s">
        <v>5923</v>
      </c>
      <c r="V5639" t="s">
        <v>2270</v>
      </c>
      <c r="W5639">
        <v>57.706573499999998</v>
      </c>
      <c r="X5639">
        <v>11.969223299999999</v>
      </c>
      <c r="Y5639" t="s">
        <v>12413</v>
      </c>
      <c r="Z5639" t="s">
        <v>4993</v>
      </c>
      <c r="AA5639" t="s">
        <v>26997</v>
      </c>
      <c r="AB5639" t="s">
        <v>3952</v>
      </c>
      <c r="AC5639" t="s">
        <v>6706</v>
      </c>
      <c r="AD5639" s="249" t="str">
        <f>HYPERLINK("https://scontent.cdninstagram.com/t51.2885-15/s320x320/e35/21433482_965734880231557_1052190464087687168_n.jpg")</f>
        <v>https://scontent.cdninstagram.com/t51.2885-15/s320x320/e35/21433482_965734880231557_1052190464087687168_n.jpg</v>
      </c>
      <c r="AE5639" s="249" t="str">
        <f>HYPERLINK("https://scontent.cdninstagram.com/t51.2885-19/s150x150/20065313_312266842554112_1367471824169861120_a.jpg")</f>
        <v>https://scontent.cdninstagram.com/t51.2885-19/s150x150/20065313_312266842554112_1367471824169861120_a.jpg</v>
      </c>
    </row>
    <row r="5640" spans="1:31" ht="15" x14ac:dyDescent="0.25">
      <c r="A5640" t="s">
        <v>2474</v>
      </c>
      <c r="B5640" t="s">
        <v>5920</v>
      </c>
      <c r="C5640" s="221">
        <v>42987.507604166669</v>
      </c>
      <c r="D5640" t="s">
        <v>29300</v>
      </c>
      <c r="E5640" s="249" t="str">
        <f>HYPERLINK("https://www.instagram.com/p/BY05ThSg7ql/")</f>
        <v>https://www.instagram.com/p/BY05ThSg7ql/</v>
      </c>
      <c r="F5640" t="s">
        <v>29299</v>
      </c>
      <c r="G5640" t="s">
        <v>2478</v>
      </c>
      <c r="H5640">
        <v>34</v>
      </c>
      <c r="I5640" t="s">
        <v>2479</v>
      </c>
      <c r="J5640">
        <v>0</v>
      </c>
      <c r="K5640">
        <v>28</v>
      </c>
      <c r="L5640">
        <v>28</v>
      </c>
      <c r="Q5640">
        <v>0</v>
      </c>
      <c r="R5640">
        <v>0</v>
      </c>
      <c r="S5640">
        <v>28</v>
      </c>
      <c r="T5640" t="s">
        <v>5923</v>
      </c>
      <c r="V5640" t="s">
        <v>2270</v>
      </c>
      <c r="W5640">
        <v>57.706573499999998</v>
      </c>
      <c r="X5640">
        <v>11.969223299999999</v>
      </c>
      <c r="Y5640" t="s">
        <v>12413</v>
      </c>
      <c r="Z5640" t="s">
        <v>4993</v>
      </c>
      <c r="AA5640" t="s">
        <v>26997</v>
      </c>
      <c r="AB5640" t="s">
        <v>3952</v>
      </c>
      <c r="AC5640" t="s">
        <v>6706</v>
      </c>
      <c r="AD5640" s="249" t="str">
        <f>HYPERLINK("https://scontent.cdninstagram.com/t51.2885-15/s320x320/e35/21433751_1911440719180301_3018071912581431296_n.jpg")</f>
        <v>https://scontent.cdninstagram.com/t51.2885-15/s320x320/e35/21433751_1911440719180301_3018071912581431296_n.jpg</v>
      </c>
      <c r="AE5640" s="249" t="str">
        <f>HYPERLINK("https://scontent.cdninstagram.com/t51.2885-19/s150x150/20065313_312266842554112_1367471824169861120_a.jpg")</f>
        <v>https://scontent.cdninstagram.com/t51.2885-19/s150x150/20065313_312266842554112_1367471824169861120_a.jpg</v>
      </c>
    </row>
    <row r="5641" spans="1:31" ht="15" x14ac:dyDescent="0.25">
      <c r="A5641" t="s">
        <v>2474</v>
      </c>
      <c r="B5641" t="s">
        <v>5920</v>
      </c>
      <c r="C5641" s="221">
        <v>42987.5078125</v>
      </c>
      <c r="D5641" t="s">
        <v>29301</v>
      </c>
      <c r="E5641" s="249" t="str">
        <f>HYPERLINK("https://www.instagram.com/p/BY05Vt0A3jh/")</f>
        <v>https://www.instagram.com/p/BY05Vt0A3jh/</v>
      </c>
      <c r="F5641" t="s">
        <v>29299</v>
      </c>
      <c r="G5641" t="s">
        <v>2478</v>
      </c>
      <c r="H5641">
        <v>34</v>
      </c>
      <c r="I5641" t="s">
        <v>2479</v>
      </c>
      <c r="J5641">
        <v>1</v>
      </c>
      <c r="K5641">
        <v>24</v>
      </c>
      <c r="L5641">
        <v>25</v>
      </c>
      <c r="Q5641">
        <v>0</v>
      </c>
      <c r="R5641">
        <v>0</v>
      </c>
      <c r="S5641">
        <v>25</v>
      </c>
      <c r="T5641" t="s">
        <v>5923</v>
      </c>
      <c r="V5641" t="s">
        <v>2270</v>
      </c>
      <c r="W5641">
        <v>57.706573499999998</v>
      </c>
      <c r="X5641">
        <v>11.969223299999999</v>
      </c>
      <c r="Y5641" t="s">
        <v>12413</v>
      </c>
      <c r="Z5641" t="s">
        <v>4993</v>
      </c>
      <c r="AA5641" t="s">
        <v>26997</v>
      </c>
      <c r="AB5641" t="s">
        <v>3952</v>
      </c>
      <c r="AC5641" t="s">
        <v>6706</v>
      </c>
      <c r="AD5641" s="249" t="str">
        <f>HYPERLINK("https://scontent.cdninstagram.com/t51.2885-15/s320x320/e35/21435986_1312849555504211_2916632391436992512_n.jpg")</f>
        <v>https://scontent.cdninstagram.com/t51.2885-15/s320x320/e35/21435986_1312849555504211_2916632391436992512_n.jpg</v>
      </c>
      <c r="AE5641" s="249" t="str">
        <f>HYPERLINK("https://scontent.cdninstagram.com/t51.2885-19/s150x150/20065313_312266842554112_1367471824169861120_a.jpg")</f>
        <v>https://scontent.cdninstagram.com/t51.2885-19/s150x150/20065313_312266842554112_1367471824169861120_a.jpg</v>
      </c>
    </row>
    <row r="5642" spans="1:31" ht="15" x14ac:dyDescent="0.25">
      <c r="A5642" t="s">
        <v>2474</v>
      </c>
      <c r="B5642" t="s">
        <v>24514</v>
      </c>
      <c r="C5642" s="221">
        <v>42987.509351851855</v>
      </c>
      <c r="D5642" t="s">
        <v>29302</v>
      </c>
      <c r="E5642" s="249" t="str">
        <f>HYPERLINK("https://www.instagram.com/p/BY05l60gjmr/")</f>
        <v>https://www.instagram.com/p/BY05l60gjmr/</v>
      </c>
      <c r="F5642" t="s">
        <v>29303</v>
      </c>
      <c r="G5642" t="s">
        <v>2478</v>
      </c>
      <c r="H5642">
        <v>236</v>
      </c>
      <c r="I5642" t="s">
        <v>2479</v>
      </c>
      <c r="J5642">
        <v>2</v>
      </c>
      <c r="K5642">
        <v>33</v>
      </c>
      <c r="L5642">
        <v>35</v>
      </c>
      <c r="Q5642">
        <v>0</v>
      </c>
      <c r="R5642">
        <v>0</v>
      </c>
      <c r="S5642">
        <v>35</v>
      </c>
      <c r="Y5642" t="s">
        <v>12413</v>
      </c>
      <c r="Z5642" t="s">
        <v>4993</v>
      </c>
      <c r="AA5642" t="s">
        <v>26997</v>
      </c>
      <c r="AB5642" t="s">
        <v>3952</v>
      </c>
      <c r="AC5642" t="s">
        <v>6706</v>
      </c>
      <c r="AD5642" s="249" t="str">
        <f>HYPERLINK("https://scontent.cdninstagram.com/t51.2885-15/s320x320/e35/21433874_124244318306438_6119682919049986048_n.jpg")</f>
        <v>https://scontent.cdninstagram.com/t51.2885-15/s320x320/e35/21433874_124244318306438_6119682919049986048_n.jpg</v>
      </c>
      <c r="AE5642" s="249" t="str">
        <f>HYPERLINK("https://scontent.cdninstagram.com/t51.2885-19/s150x150/20634597_301405753602529_662124965943836672_a.jpg")</f>
        <v>https://scontent.cdninstagram.com/t51.2885-19/s150x150/20634597_301405753602529_662124965943836672_a.jpg</v>
      </c>
    </row>
    <row r="5643" spans="1:31" ht="15" x14ac:dyDescent="0.25">
      <c r="A5643" t="s">
        <v>2474</v>
      </c>
      <c r="B5643" t="s">
        <v>14128</v>
      </c>
      <c r="C5643" s="221">
        <v>42987.509583333333</v>
      </c>
      <c r="D5643" t="s">
        <v>29304</v>
      </c>
      <c r="E5643" s="249" t="str">
        <f>HYPERLINK("https://www.instagram.com/p/BY05oblDjcO/")</f>
        <v>https://www.instagram.com/p/BY05oblDjcO/</v>
      </c>
      <c r="F5643" t="s">
        <v>29305</v>
      </c>
      <c r="G5643" t="s">
        <v>2631</v>
      </c>
      <c r="H5643">
        <v>11817</v>
      </c>
      <c r="I5643" t="s">
        <v>2479</v>
      </c>
      <c r="J5643">
        <v>2</v>
      </c>
      <c r="K5643">
        <v>74</v>
      </c>
      <c r="L5643">
        <v>76</v>
      </c>
      <c r="Q5643">
        <v>0</v>
      </c>
      <c r="R5643">
        <v>0</v>
      </c>
      <c r="S5643">
        <v>76</v>
      </c>
      <c r="T5643" t="s">
        <v>14131</v>
      </c>
      <c r="U5643" t="s">
        <v>116</v>
      </c>
      <c r="V5643" t="s">
        <v>2299</v>
      </c>
      <c r="W5643">
        <v>32.788965594959997</v>
      </c>
      <c r="X5643">
        <v>-96.802102859715006</v>
      </c>
      <c r="Y5643" t="s">
        <v>2497</v>
      </c>
      <c r="Z5643" t="s">
        <v>29275</v>
      </c>
      <c r="AD5643" s="249" t="str">
        <f>HYPERLINK("https://scontent.cdninstagram.com/t51.2885-15/s320x320/e15/21433415_151010668822324_5290025001309700096_n.jpg")</f>
        <v>https://scontent.cdninstagram.com/t51.2885-15/s320x320/e15/21433415_151010668822324_5290025001309700096_n.jpg</v>
      </c>
      <c r="AE5643" s="249" t="str">
        <f>HYPERLINK("https://scontent.cdninstagram.com/t51.2885-19/s150x150/14374316_760249417411108_8813019106069446656_a.jpg")</f>
        <v>https://scontent.cdninstagram.com/t51.2885-19/s150x150/14374316_760249417411108_8813019106069446656_a.jpg</v>
      </c>
    </row>
    <row r="5644" spans="1:31" ht="15" x14ac:dyDescent="0.25">
      <c r="A5644" t="s">
        <v>2474</v>
      </c>
      <c r="B5644" t="s">
        <v>29306</v>
      </c>
      <c r="C5644" s="221">
        <v>42987.512037037035</v>
      </c>
      <c r="D5644" t="s">
        <v>29307</v>
      </c>
      <c r="E5644" s="249" t="str">
        <f>HYPERLINK("https://www.instagram.com/p/BY06CS6AqP7/")</f>
        <v>https://www.instagram.com/p/BY06CS6AqP7/</v>
      </c>
      <c r="F5644" t="s">
        <v>29308</v>
      </c>
      <c r="G5644" t="s">
        <v>2631</v>
      </c>
      <c r="H5644">
        <v>752</v>
      </c>
      <c r="I5644" t="s">
        <v>2542</v>
      </c>
      <c r="J5644">
        <v>0</v>
      </c>
      <c r="K5644">
        <v>5</v>
      </c>
      <c r="L5644">
        <v>5</v>
      </c>
      <c r="Q5644">
        <v>0</v>
      </c>
      <c r="R5644">
        <v>0</v>
      </c>
      <c r="S5644">
        <v>5</v>
      </c>
      <c r="Y5644" t="s">
        <v>2497</v>
      </c>
      <c r="Z5644" t="s">
        <v>3982</v>
      </c>
      <c r="AA5644" t="s">
        <v>29309</v>
      </c>
      <c r="AB5644" t="s">
        <v>4620</v>
      </c>
      <c r="AC5644" t="s">
        <v>4702</v>
      </c>
      <c r="AD5644" s="249" t="str">
        <f>HYPERLINK("https://scontent.cdninstagram.com/t51.2885-15/e35/p320x320/21479877_146278212634930_2751634385173217280_n.jpg")</f>
        <v>https://scontent.cdninstagram.com/t51.2885-15/e35/p320x320/21479877_146278212634930_2751634385173217280_n.jpg</v>
      </c>
      <c r="AE5644" s="249" t="str">
        <f>HYPERLINK("https://scontent.cdninstagram.com/t51.2885-19/s150x150/21569125_195136844359845_617904416455917568_a.jpg")</f>
        <v>https://scontent.cdninstagram.com/t51.2885-19/s150x150/21569125_195136844359845_617904416455917568_a.jpg</v>
      </c>
    </row>
    <row r="5645" spans="1:31" ht="15" x14ac:dyDescent="0.25">
      <c r="A5645" t="s">
        <v>2474</v>
      </c>
      <c r="B5645" t="s">
        <v>17158</v>
      </c>
      <c r="C5645" s="221">
        <v>42987.519166666665</v>
      </c>
      <c r="D5645" t="s">
        <v>29310</v>
      </c>
      <c r="E5645" s="249" t="str">
        <f>HYPERLINK("https://www.instagram.com/p/BY07NdfH9bx/")</f>
        <v>https://www.instagram.com/p/BY07NdfH9bx/</v>
      </c>
      <c r="F5645" t="s">
        <v>29311</v>
      </c>
      <c r="G5645" t="s">
        <v>2478</v>
      </c>
      <c r="H5645">
        <v>376</v>
      </c>
      <c r="I5645" t="s">
        <v>2479</v>
      </c>
      <c r="J5645">
        <v>3</v>
      </c>
      <c r="K5645">
        <v>43</v>
      </c>
      <c r="L5645">
        <v>46</v>
      </c>
      <c r="Q5645">
        <v>0</v>
      </c>
      <c r="R5645">
        <v>0</v>
      </c>
      <c r="S5645">
        <v>46</v>
      </c>
      <c r="Y5645" t="s">
        <v>18449</v>
      </c>
      <c r="Z5645" t="s">
        <v>2837</v>
      </c>
      <c r="AA5645" t="s">
        <v>2984</v>
      </c>
      <c r="AB5645" t="s">
        <v>20139</v>
      </c>
      <c r="AC5645" t="s">
        <v>3534</v>
      </c>
      <c r="AD5645" s="249" t="str">
        <f>HYPERLINK("https://scontent.cdninstagram.com/t51.2885-15/s320x320/e35/21435956_1976977689211212_2157930704975953920_n.jpg")</f>
        <v>https://scontent.cdninstagram.com/t51.2885-15/s320x320/e35/21435956_1976977689211212_2157930704975953920_n.jpg</v>
      </c>
      <c r="AE5645" s="249" t="str">
        <f>HYPERLINK("https://scontent.cdninstagram.com/t51.2885-19/s150x150/13658639_315931348749567_46952542_a.jpg")</f>
        <v>https://scontent.cdninstagram.com/t51.2885-19/s150x150/13658639_315931348749567_46952542_a.jpg</v>
      </c>
    </row>
    <row r="5646" spans="1:31" ht="15" x14ac:dyDescent="0.25">
      <c r="A5646" t="s">
        <v>2474</v>
      </c>
      <c r="B5646" t="s">
        <v>14128</v>
      </c>
      <c r="C5646" s="221">
        <v>42987.519999999997</v>
      </c>
      <c r="D5646" t="s">
        <v>29312</v>
      </c>
      <c r="E5646" s="249" t="str">
        <f>HYPERLINK("https://www.instagram.com/p/BY07WTNDh_L/")</f>
        <v>https://www.instagram.com/p/BY07WTNDh_L/</v>
      </c>
      <c r="F5646" t="s">
        <v>29313</v>
      </c>
      <c r="G5646" t="s">
        <v>2488</v>
      </c>
      <c r="H5646">
        <v>11816</v>
      </c>
      <c r="I5646" t="s">
        <v>2479</v>
      </c>
      <c r="J5646">
        <v>1</v>
      </c>
      <c r="K5646">
        <v>70</v>
      </c>
      <c r="L5646">
        <v>71</v>
      </c>
      <c r="Q5646">
        <v>0</v>
      </c>
      <c r="R5646">
        <v>0</v>
      </c>
      <c r="S5646">
        <v>71</v>
      </c>
      <c r="T5646" t="s">
        <v>14131</v>
      </c>
      <c r="U5646" t="s">
        <v>116</v>
      </c>
      <c r="V5646" t="s">
        <v>2299</v>
      </c>
      <c r="W5646">
        <v>32.788965594959997</v>
      </c>
      <c r="X5646">
        <v>-96.802102859715006</v>
      </c>
      <c r="Y5646" t="s">
        <v>2497</v>
      </c>
      <c r="Z5646" t="s">
        <v>29275</v>
      </c>
      <c r="AD5646" s="249" t="str">
        <f>HYPERLINK("https://scontent.cdninstagram.com/t51.2885-15/s320x320/e35/21480518_265433097302651_3758922808722194432_n.jpg")</f>
        <v>https://scontent.cdninstagram.com/t51.2885-15/s320x320/e35/21480518_265433097302651_3758922808722194432_n.jpg</v>
      </c>
      <c r="AE5646" s="249" t="str">
        <f>HYPERLINK("https://scontent.cdninstagram.com/t51.2885-19/s150x150/14374316_760249417411108_8813019106069446656_a.jpg")</f>
        <v>https://scontent.cdninstagram.com/t51.2885-19/s150x150/14374316_760249417411108_8813019106069446656_a.jpg</v>
      </c>
    </row>
    <row r="5647" spans="1:31" ht="15" x14ac:dyDescent="0.25">
      <c r="A5647" t="s">
        <v>2474</v>
      </c>
      <c r="B5647" t="s">
        <v>16173</v>
      </c>
      <c r="C5647" s="221">
        <v>42987.521967592591</v>
      </c>
      <c r="D5647" t="s">
        <v>29314</v>
      </c>
      <c r="E5647" s="249" t="str">
        <f>HYPERLINK("https://www.instagram.com/p/BY07rCABtO2/")</f>
        <v>https://www.instagram.com/p/BY07rCABtO2/</v>
      </c>
      <c r="F5647" t="s">
        <v>29315</v>
      </c>
      <c r="G5647" t="s">
        <v>2478</v>
      </c>
      <c r="H5647">
        <v>335</v>
      </c>
      <c r="I5647" t="s">
        <v>2542</v>
      </c>
      <c r="J5647">
        <v>0</v>
      </c>
      <c r="K5647">
        <v>33</v>
      </c>
      <c r="L5647">
        <v>33</v>
      </c>
      <c r="Q5647">
        <v>0</v>
      </c>
      <c r="R5647">
        <v>0</v>
      </c>
      <c r="S5647">
        <v>33</v>
      </c>
      <c r="T5647" t="s">
        <v>29316</v>
      </c>
      <c r="V5647" t="s">
        <v>2161</v>
      </c>
      <c r="W5647">
        <v>55.01802</v>
      </c>
      <c r="X5647">
        <v>8.4213699999999996</v>
      </c>
      <c r="Y5647" t="s">
        <v>8793</v>
      </c>
      <c r="Z5647" t="s">
        <v>3194</v>
      </c>
      <c r="AA5647" t="s">
        <v>4105</v>
      </c>
      <c r="AB5647" t="s">
        <v>29317</v>
      </c>
      <c r="AC5647" t="s">
        <v>13609</v>
      </c>
      <c r="AD5647" s="249" t="str">
        <f>HYPERLINK("https://scontent.cdninstagram.com/t51.2885-15/e35/p320x320/21479918_1896566607336879_5709487841197686784_n.jpg")</f>
        <v>https://scontent.cdninstagram.com/t51.2885-15/e35/p320x320/21479918_1896566607336879_5709487841197686784_n.jpg</v>
      </c>
      <c r="AE5647" s="249" t="str">
        <f>HYPERLINK("https://scontent.cdninstagram.com/t51.2885-19/s150x150/17332504_1906204799612132_7944776683905613824_a.jpg")</f>
        <v>https://scontent.cdninstagram.com/t51.2885-19/s150x150/17332504_1906204799612132_7944776683905613824_a.jpg</v>
      </c>
    </row>
    <row r="5648" spans="1:31" ht="15" x14ac:dyDescent="0.25">
      <c r="A5648" t="s">
        <v>2474</v>
      </c>
      <c r="B5648" t="s">
        <v>29318</v>
      </c>
      <c r="C5648" s="221">
        <v>42987.524537037039</v>
      </c>
      <c r="D5648" t="s">
        <v>29319</v>
      </c>
      <c r="E5648" s="249" t="str">
        <f>HYPERLINK("https://www.instagram.com/p/BY08GHEFSxP/")</f>
        <v>https://www.instagram.com/p/BY08GHEFSxP/</v>
      </c>
      <c r="F5648" t="s">
        <v>29320</v>
      </c>
      <c r="G5648" t="s">
        <v>2478</v>
      </c>
      <c r="H5648">
        <v>23</v>
      </c>
      <c r="I5648" t="s">
        <v>2510</v>
      </c>
      <c r="J5648">
        <v>0</v>
      </c>
      <c r="K5648">
        <v>12</v>
      </c>
      <c r="L5648">
        <v>12</v>
      </c>
      <c r="Q5648">
        <v>0</v>
      </c>
      <c r="R5648">
        <v>0</v>
      </c>
      <c r="S5648">
        <v>12</v>
      </c>
      <c r="Y5648" t="s">
        <v>3991</v>
      </c>
      <c r="Z5648" t="s">
        <v>29321</v>
      </c>
      <c r="AA5648" t="s">
        <v>29322</v>
      </c>
      <c r="AB5648" t="s">
        <v>29323</v>
      </c>
      <c r="AC5648" t="s">
        <v>2551</v>
      </c>
      <c r="AD5648" s="249" t="str">
        <f>HYPERLINK("https://scontent.cdninstagram.com/t51.2885-15/s320x320/e35/21479845_336520823438339_1135715191309205504_n.jpg")</f>
        <v>https://scontent.cdninstagram.com/t51.2885-15/s320x320/e35/21479845_336520823438339_1135715191309205504_n.jpg</v>
      </c>
      <c r="AE5648" s="249" t="str">
        <f>HYPERLINK("https://scontent.cdninstagram.com/t51.2885-19/s150x150/20067102_186227851915676_1412455366007980032_a.jpg")</f>
        <v>https://scontent.cdninstagram.com/t51.2885-19/s150x150/20067102_186227851915676_1412455366007980032_a.jpg</v>
      </c>
    </row>
    <row r="5649" spans="1:31" ht="15" x14ac:dyDescent="0.25">
      <c r="A5649" t="s">
        <v>2474</v>
      </c>
      <c r="B5649" t="s">
        <v>2738</v>
      </c>
      <c r="C5649" s="221">
        <v>42987.525219907409</v>
      </c>
      <c r="D5649" t="s">
        <v>29324</v>
      </c>
      <c r="E5649" s="249" t="str">
        <f>HYPERLINK("https://www.instagram.com/p/BY08NTuAPRq/")</f>
        <v>https://www.instagram.com/p/BY08NTuAPRq/</v>
      </c>
      <c r="F5649" t="s">
        <v>29325</v>
      </c>
      <c r="G5649" t="s">
        <v>2478</v>
      </c>
      <c r="H5649">
        <v>135</v>
      </c>
      <c r="I5649" t="s">
        <v>2479</v>
      </c>
      <c r="J5649">
        <v>0</v>
      </c>
      <c r="K5649">
        <v>22</v>
      </c>
      <c r="L5649">
        <v>22</v>
      </c>
      <c r="Q5649">
        <v>0</v>
      </c>
      <c r="R5649">
        <v>0</v>
      </c>
      <c r="S5649">
        <v>22</v>
      </c>
      <c r="Y5649" t="s">
        <v>2742</v>
      </c>
      <c r="Z5649" t="s">
        <v>19393</v>
      </c>
      <c r="AA5649" t="s">
        <v>29326</v>
      </c>
      <c r="AB5649" t="s">
        <v>3671</v>
      </c>
      <c r="AC5649" t="s">
        <v>29327</v>
      </c>
      <c r="AD5649" s="249" t="str">
        <f>HYPERLINK("https://scontent.cdninstagram.com/t51.2885-15/s320x320/e35/21435449_148533722407243_3764046489957957632_n.jpg")</f>
        <v>https://scontent.cdninstagram.com/t51.2885-15/s320x320/e35/21435449_148533722407243_3764046489957957632_n.jpg</v>
      </c>
      <c r="AE5649" s="249" t="str">
        <f>HYPERLINK("https://scontent.cdninstagram.com/t51.2885-19/s150x150/11899579_897822316961809_437222074_a.jpg")</f>
        <v>https://scontent.cdninstagram.com/t51.2885-19/s150x150/11899579_897822316961809_437222074_a.jpg</v>
      </c>
    </row>
    <row r="5650" spans="1:31" ht="15" x14ac:dyDescent="0.25">
      <c r="A5650" t="s">
        <v>2474</v>
      </c>
      <c r="B5650" t="s">
        <v>29328</v>
      </c>
      <c r="C5650" s="221">
        <v>42987.52789351852</v>
      </c>
      <c r="D5650" t="s">
        <v>29329</v>
      </c>
      <c r="E5650" s="249" t="str">
        <f>HYPERLINK("https://www.instagram.com/p/BY08pfDjm7u/")</f>
        <v>https://www.instagram.com/p/BY08pfDjm7u/</v>
      </c>
      <c r="F5650" t="s">
        <v>29330</v>
      </c>
      <c r="G5650" t="s">
        <v>2478</v>
      </c>
      <c r="H5650">
        <v>188</v>
      </c>
      <c r="I5650" t="s">
        <v>2479</v>
      </c>
      <c r="J5650">
        <v>2</v>
      </c>
      <c r="K5650">
        <v>67</v>
      </c>
      <c r="L5650">
        <v>69</v>
      </c>
      <c r="Q5650">
        <v>0</v>
      </c>
      <c r="R5650">
        <v>0</v>
      </c>
      <c r="S5650">
        <v>69</v>
      </c>
      <c r="T5650" t="s">
        <v>29331</v>
      </c>
      <c r="V5650" t="s">
        <v>2182</v>
      </c>
      <c r="W5650">
        <v>45.466700000000003</v>
      </c>
      <c r="X5650">
        <v>10.533300000000001</v>
      </c>
      <c r="Y5650" t="s">
        <v>3619</v>
      </c>
      <c r="Z5650" t="s">
        <v>29332</v>
      </c>
      <c r="AA5650" t="s">
        <v>8733</v>
      </c>
      <c r="AB5650" t="s">
        <v>12199</v>
      </c>
      <c r="AC5650" t="s">
        <v>18670</v>
      </c>
      <c r="AD5650" s="249" t="str">
        <f>HYPERLINK("https://scontent.cdninstagram.com/t51.2885-15/s320x320/e35/21479750_1219122608234424_9151414472605171712_n.jpg")</f>
        <v>https://scontent.cdninstagram.com/t51.2885-15/s320x320/e35/21479750_1219122608234424_9151414472605171712_n.jpg</v>
      </c>
      <c r="AE5650" s="249" t="str">
        <f>HYPERLINK("https://scontent.cdninstagram.com/t51.2885-19/s150x150/15803040_1877772019135582_6073631888860250112_n.jpg")</f>
        <v>https://scontent.cdninstagram.com/t51.2885-19/s150x150/15803040_1877772019135582_6073631888860250112_n.jpg</v>
      </c>
    </row>
    <row r="5651" spans="1:31" ht="15" x14ac:dyDescent="0.25">
      <c r="A5651" t="s">
        <v>2474</v>
      </c>
      <c r="B5651" t="s">
        <v>29333</v>
      </c>
      <c r="C5651" s="221">
        <v>42987.542754629627</v>
      </c>
      <c r="D5651" t="s">
        <v>29334</v>
      </c>
      <c r="E5651" s="249" t="str">
        <f>HYPERLINK("https://www.instagram.com/p/BY0_GRjAzlN/")</f>
        <v>https://www.instagram.com/p/BY0_GRjAzlN/</v>
      </c>
      <c r="F5651" t="s">
        <v>29335</v>
      </c>
      <c r="G5651" t="s">
        <v>2478</v>
      </c>
      <c r="H5651">
        <v>282</v>
      </c>
      <c r="I5651" t="s">
        <v>2479</v>
      </c>
      <c r="J5651">
        <v>1</v>
      </c>
      <c r="K5651">
        <v>28</v>
      </c>
      <c r="L5651">
        <v>29</v>
      </c>
      <c r="Q5651">
        <v>0</v>
      </c>
      <c r="R5651">
        <v>0</v>
      </c>
      <c r="S5651">
        <v>29</v>
      </c>
      <c r="Y5651" t="s">
        <v>29336</v>
      </c>
      <c r="Z5651" t="s">
        <v>2497</v>
      </c>
      <c r="AA5651" t="s">
        <v>29337</v>
      </c>
      <c r="AB5651" t="s">
        <v>4374</v>
      </c>
      <c r="AC5651" t="s">
        <v>29338</v>
      </c>
      <c r="AD5651" s="249" t="str">
        <f>HYPERLINK("https://scontent.cdninstagram.com/t51.2885-15/s320x320/e35/21480022_166701287215055_4746144225941258240_n.jpg")</f>
        <v>https://scontent.cdninstagram.com/t51.2885-15/s320x320/e35/21480022_166701287215055_4746144225941258240_n.jpg</v>
      </c>
      <c r="AE5651" s="249" t="str">
        <f>HYPERLINK("https://scontent.cdninstagram.com/t51.2885-19/s150x150/18949815_1873176796267170_1792584749370310656_a.jpg")</f>
        <v>https://scontent.cdninstagram.com/t51.2885-19/s150x150/18949815_1873176796267170_1792584749370310656_a.jpg</v>
      </c>
    </row>
    <row r="5652" spans="1:31" ht="15" x14ac:dyDescent="0.25">
      <c r="A5652" t="s">
        <v>2474</v>
      </c>
      <c r="B5652" t="s">
        <v>29339</v>
      </c>
      <c r="C5652" s="221">
        <v>42987.554328703707</v>
      </c>
      <c r="D5652" t="s">
        <v>29340</v>
      </c>
      <c r="E5652" s="249" t="str">
        <f>HYPERLINK("https://www.instagram.com/p/BY1BARojk_z/")</f>
        <v>https://www.instagram.com/p/BY1BARojk_z/</v>
      </c>
      <c r="F5652" t="s">
        <v>29341</v>
      </c>
      <c r="G5652" t="s">
        <v>2488</v>
      </c>
      <c r="H5652">
        <v>172</v>
      </c>
      <c r="I5652" t="s">
        <v>2479</v>
      </c>
      <c r="J5652">
        <v>2</v>
      </c>
      <c r="K5652">
        <v>32</v>
      </c>
      <c r="L5652">
        <v>34</v>
      </c>
      <c r="Q5652">
        <v>0</v>
      </c>
      <c r="R5652">
        <v>0</v>
      </c>
      <c r="S5652">
        <v>34</v>
      </c>
      <c r="T5652" t="s">
        <v>29342</v>
      </c>
      <c r="U5652" t="s">
        <v>164</v>
      </c>
      <c r="V5652" t="s">
        <v>2299</v>
      </c>
      <c r="W5652">
        <v>41.687800000000003</v>
      </c>
      <c r="X5652">
        <v>-71.368849999999995</v>
      </c>
      <c r="Y5652" t="s">
        <v>28938</v>
      </c>
      <c r="Z5652" t="s">
        <v>13235</v>
      </c>
      <c r="AA5652" t="s">
        <v>29343</v>
      </c>
      <c r="AB5652" t="s">
        <v>29344</v>
      </c>
      <c r="AC5652" t="s">
        <v>29345</v>
      </c>
      <c r="AD5652" s="249" t="str">
        <f>HYPERLINK("https://scontent.cdninstagram.com/t51.2885-15/s320x320/e35/21434129_483563332004174_2543984725140176896_n.jpg")</f>
        <v>https://scontent.cdninstagram.com/t51.2885-15/s320x320/e35/21434129_483563332004174_2543984725140176896_n.jpg</v>
      </c>
      <c r="AE5652" s="249" t="str">
        <f>HYPERLINK("https://scontent.cdninstagram.com/t51.2885-19/12230846_813444298764225_2111977211_a.jpg")</f>
        <v>https://scontent.cdninstagram.com/t51.2885-19/12230846_813444298764225_2111977211_a.jpg</v>
      </c>
    </row>
    <row r="5653" spans="1:31" ht="15" x14ac:dyDescent="0.25">
      <c r="A5653" t="s">
        <v>2474</v>
      </c>
      <c r="B5653" t="s">
        <v>29346</v>
      </c>
      <c r="C5653" s="221">
        <v>42987.559814814813</v>
      </c>
      <c r="D5653" t="s">
        <v>29347</v>
      </c>
      <c r="E5653" s="249" t="str">
        <f>HYPERLINK("https://www.instagram.com/p/BY1B6LQlySQ/")</f>
        <v>https://www.instagram.com/p/BY1B6LQlySQ/</v>
      </c>
      <c r="F5653" t="s">
        <v>29348</v>
      </c>
      <c r="G5653" t="s">
        <v>2488</v>
      </c>
      <c r="H5653">
        <v>249</v>
      </c>
      <c r="I5653" t="s">
        <v>2479</v>
      </c>
      <c r="J5653">
        <v>4</v>
      </c>
      <c r="K5653">
        <v>38</v>
      </c>
      <c r="L5653">
        <v>42</v>
      </c>
      <c r="Q5653">
        <v>0</v>
      </c>
      <c r="R5653">
        <v>0</v>
      </c>
      <c r="S5653">
        <v>42</v>
      </c>
      <c r="Y5653" t="s">
        <v>2497</v>
      </c>
      <c r="Z5653" t="s">
        <v>14959</v>
      </c>
      <c r="AA5653" t="s">
        <v>29349</v>
      </c>
      <c r="AB5653" t="s">
        <v>3384</v>
      </c>
      <c r="AC5653" t="s">
        <v>29350</v>
      </c>
      <c r="AD5653" s="249" t="str">
        <f>HYPERLINK("https://scontent.cdninstagram.com/t51.2885-15/s320x320/e35/21568843_156160271631765_1838825784618254336_n.jpg")</f>
        <v>https://scontent.cdninstagram.com/t51.2885-15/s320x320/e35/21568843_156160271631765_1838825784618254336_n.jpg</v>
      </c>
      <c r="AE5653" s="249" t="str">
        <f>HYPERLINK("https://scontent.cdninstagram.com/t51.2885-19/s150x150/12383154_623050247846166_2052580827_a.jpg")</f>
        <v>https://scontent.cdninstagram.com/t51.2885-19/s150x150/12383154_623050247846166_2052580827_a.jpg</v>
      </c>
    </row>
    <row r="5654" spans="1:31" ht="15" x14ac:dyDescent="0.25">
      <c r="A5654" t="s">
        <v>2474</v>
      </c>
      <c r="B5654" t="s">
        <v>29351</v>
      </c>
      <c r="C5654" s="221">
        <v>42987.56144675926</v>
      </c>
      <c r="D5654" t="s">
        <v>29352</v>
      </c>
      <c r="E5654" s="249" t="str">
        <f>HYPERLINK("https://www.instagram.com/p/BY1CLYUl3Al/")</f>
        <v>https://www.instagram.com/p/BY1CLYUl3Al/</v>
      </c>
      <c r="F5654" t="s">
        <v>29353</v>
      </c>
      <c r="G5654" t="s">
        <v>2478</v>
      </c>
      <c r="H5654">
        <v>90</v>
      </c>
      <c r="I5654" t="s">
        <v>3898</v>
      </c>
      <c r="J5654">
        <v>5</v>
      </c>
      <c r="K5654">
        <v>23</v>
      </c>
      <c r="L5654">
        <v>28</v>
      </c>
      <c r="Q5654">
        <v>0</v>
      </c>
      <c r="R5654">
        <v>0</v>
      </c>
      <c r="S5654">
        <v>28</v>
      </c>
      <c r="T5654" t="s">
        <v>29354</v>
      </c>
      <c r="V5654" t="s">
        <v>2161</v>
      </c>
      <c r="W5654">
        <v>48.843854265639997</v>
      </c>
      <c r="X5654">
        <v>9.2605946314326992</v>
      </c>
      <c r="Y5654" t="s">
        <v>10884</v>
      </c>
      <c r="Z5654" t="s">
        <v>9131</v>
      </c>
      <c r="AA5654" t="s">
        <v>2730</v>
      </c>
      <c r="AB5654" t="s">
        <v>2497</v>
      </c>
      <c r="AD5654" s="249" t="str">
        <f>HYPERLINK("https://scontent.cdninstagram.com/t51.2885-15/s320x320/e35/21435692_340731439705425_7346365509098536960_n.jpg")</f>
        <v>https://scontent.cdninstagram.com/t51.2885-15/s320x320/e35/21435692_340731439705425_7346365509098536960_n.jpg</v>
      </c>
      <c r="AE5654" s="249" t="str">
        <f>HYPERLINK("https://scontent.cdninstagram.com/t51.2885-19/s150x150/21689004_492526901107640_7064802549982822400_n.jpg")</f>
        <v>https://scontent.cdninstagram.com/t51.2885-19/s150x150/21689004_492526901107640_7064802549982822400_n.jpg</v>
      </c>
    </row>
    <row r="5655" spans="1:31" ht="15" x14ac:dyDescent="0.25">
      <c r="A5655" t="s">
        <v>2474</v>
      </c>
      <c r="B5655" t="s">
        <v>29355</v>
      </c>
      <c r="C5655" s="221">
        <v>42987.563715277778</v>
      </c>
      <c r="D5655" t="s">
        <v>29356</v>
      </c>
      <c r="E5655" s="249" t="str">
        <f>HYPERLINK("https://www.instagram.com/p/BY1CjUEBAsK/")</f>
        <v>https://www.instagram.com/p/BY1CjUEBAsK/</v>
      </c>
      <c r="F5655" t="s">
        <v>29357</v>
      </c>
      <c r="G5655" t="s">
        <v>2478</v>
      </c>
      <c r="H5655">
        <v>149</v>
      </c>
      <c r="I5655" t="s">
        <v>2479</v>
      </c>
      <c r="J5655">
        <v>1</v>
      </c>
      <c r="K5655">
        <v>27</v>
      </c>
      <c r="L5655">
        <v>28</v>
      </c>
      <c r="Q5655">
        <v>0</v>
      </c>
      <c r="R5655">
        <v>0</v>
      </c>
      <c r="S5655">
        <v>28</v>
      </c>
      <c r="Y5655" t="s">
        <v>29358</v>
      </c>
      <c r="Z5655" t="s">
        <v>2861</v>
      </c>
      <c r="AA5655" t="s">
        <v>8617</v>
      </c>
      <c r="AB5655" t="s">
        <v>29359</v>
      </c>
      <c r="AC5655" t="s">
        <v>3982</v>
      </c>
      <c r="AD5655" s="249" t="str">
        <f>HYPERLINK("https://scontent.cdninstagram.com/t51.2885-15/s320x320/e35/21577001_618339671837980_7833286634345857024_n.jpg")</f>
        <v>https://scontent.cdninstagram.com/t51.2885-15/s320x320/e35/21577001_618339671837980_7833286634345857024_n.jpg</v>
      </c>
      <c r="AE5655" s="249" t="str">
        <f>HYPERLINK("https://scontent.cdninstagram.com/t51.2885-19/s150x150/21480303_1938292766488087_7034097545315876864_n.jpg")</f>
        <v>https://scontent.cdninstagram.com/t51.2885-19/s150x150/21480303_1938292766488087_7034097545315876864_n.jpg</v>
      </c>
    </row>
    <row r="5656" spans="1:31" ht="15" x14ac:dyDescent="0.25">
      <c r="A5656" t="s">
        <v>2474</v>
      </c>
      <c r="B5656" t="s">
        <v>29360</v>
      </c>
      <c r="C5656" s="221">
        <v>42987.565474537034</v>
      </c>
      <c r="D5656" t="s">
        <v>29361</v>
      </c>
      <c r="E5656" s="249" t="str">
        <f>HYPERLINK("https://www.instagram.com/p/BY1C15zhoS0/")</f>
        <v>https://www.instagram.com/p/BY1C15zhoS0/</v>
      </c>
      <c r="F5656" t="s">
        <v>29362</v>
      </c>
      <c r="G5656" t="s">
        <v>2478</v>
      </c>
      <c r="H5656">
        <v>152</v>
      </c>
      <c r="I5656" t="s">
        <v>2479</v>
      </c>
      <c r="J5656">
        <v>0</v>
      </c>
      <c r="K5656">
        <v>13</v>
      </c>
      <c r="L5656">
        <v>13</v>
      </c>
      <c r="Q5656">
        <v>0</v>
      </c>
      <c r="R5656">
        <v>0</v>
      </c>
      <c r="S5656">
        <v>13</v>
      </c>
      <c r="Y5656" t="s">
        <v>2497</v>
      </c>
      <c r="Z5656" t="s">
        <v>29363</v>
      </c>
      <c r="AA5656" t="s">
        <v>29364</v>
      </c>
      <c r="AD5656" s="249" t="str">
        <f>HYPERLINK("https://scontent.cdninstagram.com/t51.2885-15/s320x320/e35/21434101_1430757247007527_6154169861464391680_n.jpg")</f>
        <v>https://scontent.cdninstagram.com/t51.2885-15/s320x320/e35/21434101_1430757247007527_6154169861464391680_n.jpg</v>
      </c>
      <c r="AE5656" s="249" t="str">
        <f>HYPERLINK("https://scontent.cdninstagram.com/t51.2885-19/s150x150/17493641_698806530304602_5389439823331196928_a.jpg")</f>
        <v>https://scontent.cdninstagram.com/t51.2885-19/s150x150/17493641_698806530304602_5389439823331196928_a.jpg</v>
      </c>
    </row>
    <row r="5657" spans="1:31" ht="15" x14ac:dyDescent="0.25">
      <c r="A5657" t="s">
        <v>2474</v>
      </c>
      <c r="B5657" t="s">
        <v>29365</v>
      </c>
      <c r="C5657" s="221">
        <v>42987.566493055558</v>
      </c>
      <c r="D5657" t="s">
        <v>29366</v>
      </c>
      <c r="E5657" s="249" t="str">
        <f>HYPERLINK("https://www.instagram.com/p/BY1DAnGBH34/")</f>
        <v>https://www.instagram.com/p/BY1DAnGBH34/</v>
      </c>
      <c r="F5657" t="s">
        <v>29367</v>
      </c>
      <c r="G5657" t="s">
        <v>2478</v>
      </c>
      <c r="H5657">
        <v>5</v>
      </c>
      <c r="I5657" t="s">
        <v>2479</v>
      </c>
      <c r="J5657">
        <v>0</v>
      </c>
      <c r="K5657">
        <v>3</v>
      </c>
      <c r="L5657">
        <v>3</v>
      </c>
      <c r="Q5657">
        <v>0</v>
      </c>
      <c r="R5657">
        <v>0</v>
      </c>
      <c r="S5657">
        <v>3</v>
      </c>
      <c r="Y5657" t="s">
        <v>29368</v>
      </c>
      <c r="Z5657" t="s">
        <v>29369</v>
      </c>
      <c r="AA5657" t="s">
        <v>2497</v>
      </c>
      <c r="AD5657" s="249" t="str">
        <f>HYPERLINK("https://scontent.cdninstagram.com/t51.2885-15/e35/p320x320/21479725_499752477055434_2512961695324831744_n.jpg")</f>
        <v>https://scontent.cdninstagram.com/t51.2885-15/e35/p320x320/21479725_499752477055434_2512961695324831744_n.jpg</v>
      </c>
      <c r="AE5657" s="249" t="str">
        <f>HYPERLINK("https://scontent.cdninstagram.com/t51.2885-19/s150x150/21436024_128605144449780_3223921259762941952_a.jpg")</f>
        <v>https://scontent.cdninstagram.com/t51.2885-19/s150x150/21436024_128605144449780_3223921259762941952_a.jpg</v>
      </c>
    </row>
    <row r="5658" spans="1:31" ht="15" x14ac:dyDescent="0.25">
      <c r="A5658" t="s">
        <v>2474</v>
      </c>
      <c r="B5658" t="s">
        <v>26568</v>
      </c>
      <c r="C5658" s="221">
        <v>42987.566967592589</v>
      </c>
      <c r="D5658" t="s">
        <v>29370</v>
      </c>
      <c r="E5658" s="249" t="str">
        <f>HYPERLINK("https://www.instagram.com/p/BY1DFqkF-Fm/")</f>
        <v>https://www.instagram.com/p/BY1DFqkF-Fm/</v>
      </c>
      <c r="F5658" t="s">
        <v>29371</v>
      </c>
      <c r="G5658" t="s">
        <v>2478</v>
      </c>
      <c r="H5658">
        <v>1681</v>
      </c>
      <c r="I5658" t="s">
        <v>2479</v>
      </c>
      <c r="J5658">
        <v>1</v>
      </c>
      <c r="K5658">
        <v>108</v>
      </c>
      <c r="L5658">
        <v>109</v>
      </c>
      <c r="Q5658">
        <v>0</v>
      </c>
      <c r="R5658">
        <v>0</v>
      </c>
      <c r="S5658">
        <v>109</v>
      </c>
      <c r="Y5658" t="s">
        <v>28262</v>
      </c>
      <c r="Z5658" t="s">
        <v>2497</v>
      </c>
      <c r="AA5658" t="s">
        <v>29372</v>
      </c>
      <c r="AB5658" t="s">
        <v>29373</v>
      </c>
      <c r="AC5658" t="s">
        <v>28016</v>
      </c>
      <c r="AD5658" s="249" t="str">
        <f>HYPERLINK("https://scontent.cdninstagram.com/t51.2885-15/s320x320/e35/21576351_1436692396378711_2358714292850655232_n.jpg")</f>
        <v>https://scontent.cdninstagram.com/t51.2885-15/s320x320/e35/21576351_1436692396378711_2358714292850655232_n.jpg</v>
      </c>
      <c r="AE5658" s="249" t="str">
        <f>HYPERLINK("https://scontent.cdninstagram.com/t51.2885-19/s150x150/13102422_480287725499798_1251561052_a.jpg")</f>
        <v>https://scontent.cdninstagram.com/t51.2885-19/s150x150/13102422_480287725499798_1251561052_a.jpg</v>
      </c>
    </row>
    <row r="5659" spans="1:31" ht="15" x14ac:dyDescent="0.25">
      <c r="A5659" t="s">
        <v>2474</v>
      </c>
      <c r="B5659" t="s">
        <v>29374</v>
      </c>
      <c r="C5659" s="221">
        <v>42987.571087962962</v>
      </c>
      <c r="D5659" t="s">
        <v>29375</v>
      </c>
      <c r="E5659" s="249" t="str">
        <f>HYPERLINK("https://www.instagram.com/p/BY1DxGPnFzd/")</f>
        <v>https://www.instagram.com/p/BY1DxGPnFzd/</v>
      </c>
      <c r="F5659" t="s">
        <v>29376</v>
      </c>
      <c r="G5659" t="s">
        <v>2631</v>
      </c>
      <c r="H5659">
        <v>1405</v>
      </c>
      <c r="I5659" t="s">
        <v>2903</v>
      </c>
      <c r="J5659">
        <v>0</v>
      </c>
      <c r="K5659">
        <v>21</v>
      </c>
      <c r="L5659">
        <v>21</v>
      </c>
      <c r="Q5659">
        <v>0</v>
      </c>
      <c r="R5659">
        <v>0</v>
      </c>
      <c r="S5659">
        <v>21</v>
      </c>
      <c r="T5659" t="s">
        <v>22860</v>
      </c>
      <c r="U5659" t="s">
        <v>134</v>
      </c>
      <c r="V5659" t="s">
        <v>2299</v>
      </c>
      <c r="W5659">
        <v>27.91</v>
      </c>
      <c r="X5659">
        <v>-82.35</v>
      </c>
      <c r="Y5659" t="s">
        <v>29377</v>
      </c>
      <c r="Z5659" t="s">
        <v>29378</v>
      </c>
      <c r="AA5659" t="s">
        <v>12626</v>
      </c>
      <c r="AB5659" t="s">
        <v>29379</v>
      </c>
      <c r="AC5659" t="s">
        <v>29380</v>
      </c>
      <c r="AD5659" s="249" t="str">
        <f>HYPERLINK("https://scontent.cdninstagram.com/t51.2885-15/s320x320/e15/21576350_1429809817100806_7579516198149160960_n.jpg")</f>
        <v>https://scontent.cdninstagram.com/t51.2885-15/s320x320/e15/21576350_1429809817100806_7579516198149160960_n.jpg</v>
      </c>
      <c r="AE5659" s="249" t="str">
        <f>HYPERLINK("https://scontent.cdninstagram.com/t51.2885-19/s150x150/20905128_463590980707843_7483066874951892992_a.jpg")</f>
        <v>https://scontent.cdninstagram.com/t51.2885-19/s150x150/20905128_463590980707843_7483066874951892992_a.jpg</v>
      </c>
    </row>
    <row r="5660" spans="1:31" ht="15" x14ac:dyDescent="0.25">
      <c r="A5660" t="s">
        <v>2474</v>
      </c>
      <c r="B5660" t="s">
        <v>6899</v>
      </c>
      <c r="C5660" s="221">
        <v>42987.57335648148</v>
      </c>
      <c r="D5660" t="s">
        <v>29381</v>
      </c>
      <c r="E5660" s="249" t="str">
        <f>HYPERLINK("https://www.instagram.com/p/BY1EI_TgG1r/")</f>
        <v>https://www.instagram.com/p/BY1EI_TgG1r/</v>
      </c>
      <c r="F5660" t="s">
        <v>29382</v>
      </c>
      <c r="G5660" t="s">
        <v>2478</v>
      </c>
      <c r="H5660">
        <v>36679</v>
      </c>
      <c r="I5660" t="s">
        <v>2479</v>
      </c>
      <c r="J5660">
        <v>8</v>
      </c>
      <c r="K5660">
        <v>629</v>
      </c>
      <c r="L5660">
        <v>637</v>
      </c>
      <c r="Q5660">
        <v>0</v>
      </c>
      <c r="R5660">
        <v>0</v>
      </c>
      <c r="S5660">
        <v>637</v>
      </c>
      <c r="AD5660" s="249" t="str">
        <f>HYPERLINK("https://scontent.cdninstagram.com/t51.2885-15/s320x320/e35/21436163_115703449145971_1496915704610291712_n.jpg")</f>
        <v>https://scontent.cdninstagram.com/t51.2885-15/s320x320/e35/21436163_115703449145971_1496915704610291712_n.jpg</v>
      </c>
      <c r="AE5660" s="249" t="str">
        <f>HYPERLINK("https://scontent.cdninstagram.com/t51.2885-19/s150x150/17493776_1474371442636277_6993911971573661696_n.jpg")</f>
        <v>https://scontent.cdninstagram.com/t51.2885-19/s150x150/17493776_1474371442636277_6993911971573661696_n.jpg</v>
      </c>
    </row>
    <row r="5661" spans="1:31" ht="15" x14ac:dyDescent="0.25">
      <c r="A5661" t="s">
        <v>2474</v>
      </c>
      <c r="B5661" t="s">
        <v>29383</v>
      </c>
      <c r="C5661" s="221">
        <v>42987.57534722222</v>
      </c>
      <c r="D5661" t="s">
        <v>29384</v>
      </c>
      <c r="E5661" s="249" t="str">
        <f>HYPERLINK("https://www.instagram.com/p/BY1EeAoD1LM/")</f>
        <v>https://www.instagram.com/p/BY1EeAoD1LM/</v>
      </c>
      <c r="F5661" t="s">
        <v>29385</v>
      </c>
      <c r="G5661" t="s">
        <v>2488</v>
      </c>
      <c r="H5661">
        <v>90</v>
      </c>
      <c r="I5661" t="s">
        <v>2479</v>
      </c>
      <c r="J5661">
        <v>1</v>
      </c>
      <c r="K5661">
        <v>9</v>
      </c>
      <c r="L5661">
        <v>10</v>
      </c>
      <c r="Q5661">
        <v>0</v>
      </c>
      <c r="R5661">
        <v>0</v>
      </c>
      <c r="S5661">
        <v>10</v>
      </c>
      <c r="Y5661" t="s">
        <v>2497</v>
      </c>
      <c r="AD5661" s="249" t="str">
        <f>HYPERLINK("https://scontent.cdninstagram.com/t51.2885-15/s320x320/e35/21433660_167506933814350_7962274814461214720_n.jpg")</f>
        <v>https://scontent.cdninstagram.com/t51.2885-15/s320x320/e35/21433660_167506933814350_7962274814461214720_n.jpg</v>
      </c>
      <c r="AE5661" s="249" t="str">
        <f>HYPERLINK("https://scontent.cdninstagram.com/t51.2885-19/s150x150/16585528_1753615101621695_1907017809305534464_a.jpg")</f>
        <v>https://scontent.cdninstagram.com/t51.2885-19/s150x150/16585528_1753615101621695_1907017809305534464_a.jpg</v>
      </c>
    </row>
    <row r="5662" spans="1:31" ht="15" x14ac:dyDescent="0.25">
      <c r="A5662" t="s">
        <v>2474</v>
      </c>
      <c r="B5662" t="s">
        <v>29386</v>
      </c>
      <c r="C5662" s="221">
        <v>42987.582152777781</v>
      </c>
      <c r="D5662" t="s">
        <v>29387</v>
      </c>
      <c r="E5662" s="249" t="str">
        <f>HYPERLINK("https://www.instagram.com/p/BY1Flz_FXRM/")</f>
        <v>https://www.instagram.com/p/BY1Flz_FXRM/</v>
      </c>
      <c r="F5662" t="s">
        <v>29388</v>
      </c>
      <c r="G5662" t="s">
        <v>2478</v>
      </c>
      <c r="H5662">
        <v>801</v>
      </c>
      <c r="I5662" t="s">
        <v>2479</v>
      </c>
      <c r="J5662">
        <v>3</v>
      </c>
      <c r="K5662">
        <v>24</v>
      </c>
      <c r="L5662">
        <v>27</v>
      </c>
      <c r="Q5662">
        <v>0</v>
      </c>
      <c r="R5662">
        <v>0</v>
      </c>
      <c r="S5662">
        <v>27</v>
      </c>
      <c r="T5662" t="s">
        <v>29389</v>
      </c>
      <c r="V5662" t="s">
        <v>2288</v>
      </c>
      <c r="W5662">
        <v>55.133223590775998</v>
      </c>
      <c r="X5662">
        <v>-1.5438798805172</v>
      </c>
      <c r="Y5662" t="s">
        <v>29390</v>
      </c>
      <c r="Z5662" t="s">
        <v>5982</v>
      </c>
      <c r="AA5662" t="s">
        <v>29391</v>
      </c>
      <c r="AB5662" t="s">
        <v>2617</v>
      </c>
      <c r="AC5662" t="s">
        <v>29392</v>
      </c>
      <c r="AD5662" s="249" t="str">
        <f>HYPERLINK("https://scontent.cdninstagram.com/t51.2885-15/s320x320/e35/21480364_794534370707270_8732805356251512832_n.jpg")</f>
        <v>https://scontent.cdninstagram.com/t51.2885-15/s320x320/e35/21480364_794534370707270_8732805356251512832_n.jpg</v>
      </c>
      <c r="AE5662" s="249" t="str">
        <f>HYPERLINK("https://scontent.cdninstagram.com/t51.2885-19/s150x150/16584830_250399278745256_1913479136630800384_a.jpg")</f>
        <v>https://scontent.cdninstagram.com/t51.2885-19/s150x150/16584830_250399278745256_1913479136630800384_a.jpg</v>
      </c>
    </row>
    <row r="5663" spans="1:31" ht="15" x14ac:dyDescent="0.25">
      <c r="A5663" t="s">
        <v>2474</v>
      </c>
      <c r="B5663" t="s">
        <v>29393</v>
      </c>
      <c r="C5663" s="221">
        <v>42987.582696759258</v>
      </c>
      <c r="D5663" t="s">
        <v>29394</v>
      </c>
      <c r="E5663" s="249" t="str">
        <f>HYPERLINK("https://www.instagram.com/p/BY1FriggsbJ/")</f>
        <v>https://www.instagram.com/p/BY1FriggsbJ/</v>
      </c>
      <c r="F5663" t="s">
        <v>29395</v>
      </c>
      <c r="G5663" t="s">
        <v>2478</v>
      </c>
      <c r="H5663">
        <v>415</v>
      </c>
      <c r="I5663" t="s">
        <v>2519</v>
      </c>
      <c r="J5663">
        <v>1</v>
      </c>
      <c r="K5663">
        <v>14</v>
      </c>
      <c r="L5663">
        <v>15</v>
      </c>
      <c r="Q5663">
        <v>0</v>
      </c>
      <c r="R5663">
        <v>0</v>
      </c>
      <c r="S5663">
        <v>15</v>
      </c>
      <c r="Y5663" t="s">
        <v>2497</v>
      </c>
      <c r="Z5663" t="s">
        <v>29396</v>
      </c>
      <c r="AA5663" t="s">
        <v>29397</v>
      </c>
      <c r="AB5663" t="s">
        <v>29398</v>
      </c>
      <c r="AC5663" t="s">
        <v>29399</v>
      </c>
      <c r="AD5663" s="249" t="str">
        <f>HYPERLINK("https://scontent.cdninstagram.com/t51.2885-15/s320x320/e35/21436318_122928775030854_2176953385712877568_n.jpg")</f>
        <v>https://scontent.cdninstagram.com/t51.2885-15/s320x320/e35/21436318_122928775030854_2176953385712877568_n.jpg</v>
      </c>
      <c r="AE5663" s="249" t="str">
        <f>HYPERLINK("https://scontent.cdninstagram.com/t51.2885-19/19227043_1352155224838696_7762620996258889728_a.jpg")</f>
        <v>https://scontent.cdninstagram.com/t51.2885-19/19227043_1352155224838696_7762620996258889728_a.jpg</v>
      </c>
    </row>
    <row r="5664" spans="1:31" ht="15" x14ac:dyDescent="0.25">
      <c r="A5664" t="s">
        <v>2474</v>
      </c>
      <c r="B5664" t="s">
        <v>29400</v>
      </c>
      <c r="C5664" s="221">
        <v>42987.592997685184</v>
      </c>
      <c r="D5664" t="s">
        <v>29401</v>
      </c>
      <c r="E5664" s="249" t="str">
        <f>HYPERLINK("https://www.instagram.com/p/BY1HYKsh97R/")</f>
        <v>https://www.instagram.com/p/BY1HYKsh97R/</v>
      </c>
      <c r="F5664" t="s">
        <v>29402</v>
      </c>
      <c r="G5664" t="s">
        <v>2478</v>
      </c>
      <c r="H5664">
        <v>310</v>
      </c>
      <c r="I5664" t="s">
        <v>2479</v>
      </c>
      <c r="J5664">
        <v>0</v>
      </c>
      <c r="K5664">
        <v>7</v>
      </c>
      <c r="L5664">
        <v>7</v>
      </c>
      <c r="Q5664">
        <v>0</v>
      </c>
      <c r="R5664">
        <v>0</v>
      </c>
      <c r="S5664">
        <v>7</v>
      </c>
      <c r="Y5664" t="s">
        <v>29403</v>
      </c>
      <c r="Z5664" t="s">
        <v>2497</v>
      </c>
      <c r="AA5664" t="s">
        <v>29404</v>
      </c>
      <c r="AB5664" t="s">
        <v>6982</v>
      </c>
      <c r="AC5664" t="s">
        <v>5884</v>
      </c>
      <c r="AD5664" s="249" t="str">
        <f>HYPERLINK("https://scontent.cdninstagram.com/t51.2885-15/e35/p320x320/21435761_1648949441783344_2643981609719562240_n.jpg")</f>
        <v>https://scontent.cdninstagram.com/t51.2885-15/e35/p320x320/21435761_1648949441783344_2643981609719562240_n.jpg</v>
      </c>
      <c r="AE5664" s="249" t="str">
        <f>HYPERLINK("https://scontent.cdninstagram.com/t51.2885-19/s150x150/18013203_496429997147956_4252152265969762304_a.jpg")</f>
        <v>https://scontent.cdninstagram.com/t51.2885-19/s150x150/18013203_496429997147956_4252152265969762304_a.jpg</v>
      </c>
    </row>
    <row r="5665" spans="1:31" ht="15" x14ac:dyDescent="0.25">
      <c r="A5665" t="s">
        <v>2474</v>
      </c>
      <c r="B5665" t="s">
        <v>29405</v>
      </c>
      <c r="C5665" s="221">
        <v>42987.598263888889</v>
      </c>
      <c r="D5665" t="s">
        <v>29406</v>
      </c>
      <c r="E5665" s="249" t="str">
        <f>HYPERLINK("https://www.instagram.com/p/BY1IPuNFVj2/")</f>
        <v>https://www.instagram.com/p/BY1IPuNFVj2/</v>
      </c>
      <c r="F5665" t="s">
        <v>29407</v>
      </c>
      <c r="G5665" t="s">
        <v>2478</v>
      </c>
      <c r="H5665">
        <v>287</v>
      </c>
      <c r="I5665" t="s">
        <v>2786</v>
      </c>
      <c r="J5665">
        <v>2</v>
      </c>
      <c r="K5665">
        <v>45</v>
      </c>
      <c r="L5665">
        <v>47</v>
      </c>
      <c r="Q5665">
        <v>0</v>
      </c>
      <c r="R5665">
        <v>0</v>
      </c>
      <c r="S5665">
        <v>47</v>
      </c>
      <c r="T5665" t="s">
        <v>29408</v>
      </c>
      <c r="V5665" t="s">
        <v>2222</v>
      </c>
      <c r="W5665">
        <v>52.467431060000003</v>
      </c>
      <c r="X5665">
        <v>4.8373190966667003</v>
      </c>
      <c r="Y5665" t="s">
        <v>29409</v>
      </c>
      <c r="Z5665" t="s">
        <v>3655</v>
      </c>
      <c r="AA5665" t="s">
        <v>29410</v>
      </c>
      <c r="AB5665" t="s">
        <v>29411</v>
      </c>
      <c r="AC5665" t="s">
        <v>29412</v>
      </c>
      <c r="AD5665" s="249" t="str">
        <f>HYPERLINK("https://scontent.cdninstagram.com/t51.2885-15/e35/p320x320/21480444_1983327161911247_8619613361476206592_n.jpg")</f>
        <v>https://scontent.cdninstagram.com/t51.2885-15/e35/p320x320/21480444_1983327161911247_8619613361476206592_n.jpg</v>
      </c>
      <c r="AE5665" s="249" t="str">
        <f>HYPERLINK("https://scontent.cdninstagram.com/t51.2885-19/s150x150/19534222_1867664340163314_4523739918727380992_a.jpg")</f>
        <v>https://scontent.cdninstagram.com/t51.2885-19/s150x150/19534222_1867664340163314_4523739918727380992_a.jpg</v>
      </c>
    </row>
    <row r="5666" spans="1:31" ht="15" x14ac:dyDescent="0.25">
      <c r="A5666" t="s">
        <v>2474</v>
      </c>
      <c r="B5666" t="s">
        <v>15206</v>
      </c>
      <c r="C5666" s="221">
        <v>42987.601956018516</v>
      </c>
      <c r="D5666" t="s">
        <v>29413</v>
      </c>
      <c r="E5666" s="249" t="str">
        <f>HYPERLINK("https://www.instagram.com/p/BY1I2kqFyt7/")</f>
        <v>https://www.instagram.com/p/BY1I2kqFyt7/</v>
      </c>
      <c r="F5666" t="s">
        <v>29414</v>
      </c>
      <c r="G5666" t="s">
        <v>2478</v>
      </c>
      <c r="H5666">
        <v>62431</v>
      </c>
      <c r="I5666" t="s">
        <v>2479</v>
      </c>
      <c r="J5666">
        <v>9</v>
      </c>
      <c r="K5666">
        <v>1572</v>
      </c>
      <c r="L5666">
        <v>1581</v>
      </c>
      <c r="Q5666">
        <v>0</v>
      </c>
      <c r="R5666">
        <v>0</v>
      </c>
      <c r="S5666">
        <v>1581</v>
      </c>
      <c r="AD5666" s="249" t="str">
        <f>HYPERLINK("https://scontent.cdninstagram.com/t51.2885-15/e35/p320x320/21576354_1811904142454768_5995945443828170752_n.jpg")</f>
        <v>https://scontent.cdninstagram.com/t51.2885-15/e35/p320x320/21576354_1811904142454768_5995945443828170752_n.jpg</v>
      </c>
      <c r="AE5666" s="249" t="str">
        <f>HYPERLINK("https://scontent.cdninstagram.com/t51.2885-19/17663530_1657274724581959_2295744149531394048_n.jpg")</f>
        <v>https://scontent.cdninstagram.com/t51.2885-19/17663530_1657274724581959_2295744149531394048_n.jpg</v>
      </c>
    </row>
    <row r="5667" spans="1:31" ht="15" x14ac:dyDescent="0.25">
      <c r="A5667" t="s">
        <v>2474</v>
      </c>
      <c r="B5667" t="s">
        <v>20025</v>
      </c>
      <c r="C5667" s="221">
        <v>42987.602106481485</v>
      </c>
      <c r="D5667" t="s">
        <v>29415</v>
      </c>
      <c r="E5667" s="249" t="str">
        <f>HYPERLINK("https://www.instagram.com/p/BY1I4RQDMGu/")</f>
        <v>https://www.instagram.com/p/BY1I4RQDMGu/</v>
      </c>
      <c r="F5667" t="s">
        <v>29416</v>
      </c>
      <c r="G5667" t="s">
        <v>2478</v>
      </c>
      <c r="H5667">
        <v>168</v>
      </c>
      <c r="I5667" t="s">
        <v>3170</v>
      </c>
      <c r="J5667">
        <v>3</v>
      </c>
      <c r="K5667">
        <v>19</v>
      </c>
      <c r="L5667">
        <v>22</v>
      </c>
      <c r="Q5667">
        <v>0</v>
      </c>
      <c r="R5667">
        <v>0</v>
      </c>
      <c r="S5667">
        <v>22</v>
      </c>
      <c r="Y5667" t="s">
        <v>2497</v>
      </c>
      <c r="Z5667" t="s">
        <v>2562</v>
      </c>
      <c r="AA5667" t="s">
        <v>29417</v>
      </c>
      <c r="AB5667" t="s">
        <v>8516</v>
      </c>
      <c r="AC5667" t="s">
        <v>3968</v>
      </c>
      <c r="AD5667" s="249" t="str">
        <f>HYPERLINK("https://scontent.cdninstagram.com/t51.2885-15/s320x320/e35/21433736_1364960206950126_4864293652358234112_n.jpg")</f>
        <v>https://scontent.cdninstagram.com/t51.2885-15/s320x320/e35/21433736_1364960206950126_4864293652358234112_n.jpg</v>
      </c>
      <c r="AE5667" s="249" t="str">
        <f>HYPERLINK("https://scontent.cdninstagram.com/t51.2885-19/s150x150/20347229_1517153248347957_1550576240027500544_a.jpg")</f>
        <v>https://scontent.cdninstagram.com/t51.2885-19/s150x150/20347229_1517153248347957_1550576240027500544_a.jpg</v>
      </c>
    </row>
    <row r="5668" spans="1:31" ht="15" x14ac:dyDescent="0.25">
      <c r="A5668" t="s">
        <v>2474</v>
      </c>
      <c r="B5668" t="s">
        <v>2961</v>
      </c>
      <c r="C5668" s="221">
        <v>42987.618506944447</v>
      </c>
      <c r="D5668" t="s">
        <v>29418</v>
      </c>
      <c r="E5668" s="249" t="str">
        <f>HYPERLINK("https://www.instagram.com/p/BY1LlJGA5it/")</f>
        <v>https://www.instagram.com/p/BY1LlJGA5it/</v>
      </c>
      <c r="F5668" t="s">
        <v>29419</v>
      </c>
      <c r="G5668" t="s">
        <v>2478</v>
      </c>
      <c r="H5668">
        <v>215</v>
      </c>
      <c r="I5668" t="s">
        <v>2479</v>
      </c>
      <c r="J5668">
        <v>10</v>
      </c>
      <c r="K5668">
        <v>42</v>
      </c>
      <c r="L5668">
        <v>52</v>
      </c>
      <c r="Q5668">
        <v>0</v>
      </c>
      <c r="R5668">
        <v>0</v>
      </c>
      <c r="S5668">
        <v>52</v>
      </c>
      <c r="T5668" t="s">
        <v>12685</v>
      </c>
      <c r="V5668" t="s">
        <v>2264</v>
      </c>
      <c r="W5668">
        <v>40</v>
      </c>
      <c r="X5668">
        <v>-3</v>
      </c>
      <c r="Y5668" t="s">
        <v>3446</v>
      </c>
      <c r="Z5668" t="s">
        <v>29420</v>
      </c>
      <c r="AA5668" t="s">
        <v>29421</v>
      </c>
      <c r="AB5668" t="s">
        <v>12013</v>
      </c>
      <c r="AC5668" t="s">
        <v>29422</v>
      </c>
      <c r="AD5668" s="249" t="str">
        <f>HYPERLINK("https://scontent.cdninstagram.com/t51.2885-15/e35/p320x320/21433614_338225469956315_6783252785006641152_n.jpg")</f>
        <v>https://scontent.cdninstagram.com/t51.2885-15/e35/p320x320/21433614_338225469956315_6783252785006641152_n.jpg</v>
      </c>
      <c r="AE5668" s="249" t="str">
        <f>HYPERLINK("https://scontent.cdninstagram.com/t51.2885-19/s150x150/21227716_838136586348112_416015832280203264_a.jpg")</f>
        <v>https://scontent.cdninstagram.com/t51.2885-19/s150x150/21227716_838136586348112_416015832280203264_a.jpg</v>
      </c>
    </row>
    <row r="5669" spans="1:31" ht="15" x14ac:dyDescent="0.25">
      <c r="A5669" t="s">
        <v>2474</v>
      </c>
      <c r="B5669" t="s">
        <v>26949</v>
      </c>
      <c r="C5669" s="221">
        <v>42987.641805555555</v>
      </c>
      <c r="D5669" t="s">
        <v>29423</v>
      </c>
      <c r="E5669" s="249" t="str">
        <f>HYPERLINK("https://www.instagram.com/p/BY1Pa78gN81/")</f>
        <v>https://www.instagram.com/p/BY1Pa78gN81/</v>
      </c>
      <c r="F5669" t="s">
        <v>29424</v>
      </c>
      <c r="G5669" t="s">
        <v>2488</v>
      </c>
      <c r="H5669">
        <v>62</v>
      </c>
      <c r="I5669" t="s">
        <v>2479</v>
      </c>
      <c r="J5669">
        <v>0</v>
      </c>
      <c r="K5669">
        <v>23</v>
      </c>
      <c r="L5669">
        <v>23</v>
      </c>
      <c r="Q5669">
        <v>0</v>
      </c>
      <c r="R5669">
        <v>0</v>
      </c>
      <c r="S5669">
        <v>23</v>
      </c>
      <c r="T5669" t="s">
        <v>25974</v>
      </c>
      <c r="V5669" t="s">
        <v>2154</v>
      </c>
      <c r="W5669">
        <v>47.533299999999997</v>
      </c>
      <c r="X5669">
        <v>-0.53333299999999995</v>
      </c>
      <c r="Y5669" t="s">
        <v>5230</v>
      </c>
      <c r="Z5669" t="s">
        <v>4779</v>
      </c>
      <c r="AA5669" t="s">
        <v>3804</v>
      </c>
      <c r="AB5669" t="s">
        <v>11319</v>
      </c>
      <c r="AC5669" t="s">
        <v>2497</v>
      </c>
      <c r="AD5669" s="249" t="str">
        <f>HYPERLINK("https://scontent.cdninstagram.com/t51.2885-15/s320x320/e35/21436277_113969669296145_7503016057443975168_n.jpg")</f>
        <v>https://scontent.cdninstagram.com/t51.2885-15/s320x320/e35/21436277_113969669296145_7503016057443975168_n.jpg</v>
      </c>
      <c r="AE5669" s="249" t="str">
        <f>HYPERLINK("https://scontent.cdninstagram.com/t51.2885-19/s150x150/18949503_1122155304550657_4049188449616396288_a.jpg")</f>
        <v>https://scontent.cdninstagram.com/t51.2885-19/s150x150/18949503_1122155304550657_4049188449616396288_a.jpg</v>
      </c>
    </row>
    <row r="5670" spans="1:31" ht="15" x14ac:dyDescent="0.25">
      <c r="A5670" t="s">
        <v>2474</v>
      </c>
      <c r="B5670" t="s">
        <v>3133</v>
      </c>
      <c r="C5670" s="221">
        <v>42987.642361111109</v>
      </c>
      <c r="D5670" t="s">
        <v>29425</v>
      </c>
      <c r="E5670" s="249" t="str">
        <f>HYPERLINK("https://www.instagram.com/p/BY1PgyvluJu/")</f>
        <v>https://www.instagram.com/p/BY1PgyvluJu/</v>
      </c>
      <c r="F5670" t="s">
        <v>29426</v>
      </c>
      <c r="G5670" t="s">
        <v>2478</v>
      </c>
      <c r="H5670">
        <v>332</v>
      </c>
      <c r="I5670" t="s">
        <v>2479</v>
      </c>
      <c r="J5670">
        <v>8</v>
      </c>
      <c r="K5670">
        <v>70</v>
      </c>
      <c r="L5670">
        <v>78</v>
      </c>
      <c r="Q5670">
        <v>0</v>
      </c>
      <c r="R5670">
        <v>0</v>
      </c>
      <c r="S5670">
        <v>78</v>
      </c>
      <c r="T5670" t="s">
        <v>29427</v>
      </c>
      <c r="V5670" t="s">
        <v>2161</v>
      </c>
      <c r="W5670">
        <v>50.833300000000001</v>
      </c>
      <c r="X5670">
        <v>12.916700000000001</v>
      </c>
      <c r="Y5670" t="s">
        <v>4582</v>
      </c>
      <c r="Z5670" t="s">
        <v>29428</v>
      </c>
      <c r="AA5670" t="s">
        <v>15164</v>
      </c>
      <c r="AB5670" t="s">
        <v>2497</v>
      </c>
      <c r="AC5670" t="s">
        <v>29429</v>
      </c>
      <c r="AD5670" s="249" t="str">
        <f>HYPERLINK("https://scontent.cdninstagram.com/t51.2885-15/s320x320/e35/21576475_1908857509366505_1577749080770084864_n.jpg")</f>
        <v>https://scontent.cdninstagram.com/t51.2885-15/s320x320/e35/21576475_1908857509366505_1577749080770084864_n.jpg</v>
      </c>
      <c r="AE5670" s="249" t="str">
        <f>HYPERLINK("https://scontent.cdninstagram.com/t51.2885-19/s150x150/21294933_140781739774378_8954867157003403264_a.jpg")</f>
        <v>https://scontent.cdninstagram.com/t51.2885-19/s150x150/21294933_140781739774378_8954867157003403264_a.jpg</v>
      </c>
    </row>
    <row r="5671" spans="1:31" ht="15" x14ac:dyDescent="0.25">
      <c r="A5671" t="s">
        <v>2474</v>
      </c>
      <c r="B5671" t="s">
        <v>29430</v>
      </c>
      <c r="C5671" s="221">
        <v>42987.652395833335</v>
      </c>
      <c r="D5671" t="s">
        <v>29431</v>
      </c>
      <c r="E5671" s="249" t="str">
        <f>HYPERLINK("https://www.instagram.com/p/BY1RKkQFf3b/")</f>
        <v>https://www.instagram.com/p/BY1RKkQFf3b/</v>
      </c>
      <c r="F5671" t="s">
        <v>29432</v>
      </c>
      <c r="G5671" t="s">
        <v>2631</v>
      </c>
      <c r="H5671">
        <v>82</v>
      </c>
      <c r="I5671" t="s">
        <v>5670</v>
      </c>
      <c r="J5671">
        <v>0</v>
      </c>
      <c r="K5671">
        <v>8</v>
      </c>
      <c r="L5671">
        <v>8</v>
      </c>
      <c r="Q5671">
        <v>0</v>
      </c>
      <c r="R5671">
        <v>0</v>
      </c>
      <c r="S5671">
        <v>8</v>
      </c>
      <c r="Y5671" t="s">
        <v>7589</v>
      </c>
      <c r="Z5671" t="s">
        <v>3262</v>
      </c>
      <c r="AA5671" t="s">
        <v>2483</v>
      </c>
      <c r="AB5671" t="s">
        <v>2492</v>
      </c>
      <c r="AC5671" t="s">
        <v>2497</v>
      </c>
      <c r="AD5671" s="249" t="str">
        <f>HYPERLINK("https://scontent.cdninstagram.com/t51.2885-15/s320x320/e15/21480447_701104480100122_3891660465222189056_n.jpg")</f>
        <v>https://scontent.cdninstagram.com/t51.2885-15/s320x320/e15/21480447_701104480100122_3891660465222189056_n.jpg</v>
      </c>
      <c r="AE5671" s="249" t="str">
        <f>HYPERLINK("https://scontent.cdninstagram.com/t51.2885-19/s150x150/21224397_344186206033126_5889983425200259072_a.jpg")</f>
        <v>https://scontent.cdninstagram.com/t51.2885-19/s150x150/21224397_344186206033126_5889983425200259072_a.jpg</v>
      </c>
    </row>
    <row r="5672" spans="1:31" ht="15" x14ac:dyDescent="0.25">
      <c r="A5672" t="s">
        <v>2474</v>
      </c>
      <c r="B5672" t="s">
        <v>8749</v>
      </c>
      <c r="C5672" s="221">
        <v>42987.661747685182</v>
      </c>
      <c r="D5672" t="s">
        <v>29433</v>
      </c>
      <c r="E5672" s="249" t="str">
        <f>HYPERLINK("https://www.instagram.com/p/BY1StNFFcAI/")</f>
        <v>https://www.instagram.com/p/BY1StNFFcAI/</v>
      </c>
      <c r="F5672" t="s">
        <v>29434</v>
      </c>
      <c r="G5672" t="s">
        <v>2478</v>
      </c>
      <c r="H5672">
        <v>476</v>
      </c>
      <c r="I5672" t="s">
        <v>2479</v>
      </c>
      <c r="J5672">
        <v>1</v>
      </c>
      <c r="K5672">
        <v>30</v>
      </c>
      <c r="L5672">
        <v>31</v>
      </c>
      <c r="Q5672">
        <v>0</v>
      </c>
      <c r="R5672">
        <v>0</v>
      </c>
      <c r="S5672">
        <v>31</v>
      </c>
      <c r="Y5672" t="s">
        <v>21592</v>
      </c>
      <c r="Z5672" t="s">
        <v>13912</v>
      </c>
      <c r="AA5672" t="s">
        <v>4987</v>
      </c>
      <c r="AB5672" t="s">
        <v>2497</v>
      </c>
      <c r="AC5672" t="s">
        <v>2615</v>
      </c>
      <c r="AD5672" s="249" t="str">
        <f>HYPERLINK("https://scontent.cdninstagram.com/t51.2885-15/s320x320/e35/21479743_807519116076290_6683241434977402880_n.jpg")</f>
        <v>https://scontent.cdninstagram.com/t51.2885-15/s320x320/e35/21479743_807519116076290_6683241434977402880_n.jpg</v>
      </c>
      <c r="AE5672" s="249" t="str">
        <f>HYPERLINK("https://scontent.cdninstagram.com/t51.2885-19/s150x150/21435920_387370281680102_986476661300002816_a.jpg")</f>
        <v>https://scontent.cdninstagram.com/t51.2885-19/s150x150/21435920_387370281680102_986476661300002816_a.jpg</v>
      </c>
    </row>
    <row r="5673" spans="1:31" ht="15" x14ac:dyDescent="0.25">
      <c r="A5673" t="s">
        <v>2474</v>
      </c>
      <c r="B5673" t="s">
        <v>29435</v>
      </c>
      <c r="C5673" s="221">
        <v>42987.679375</v>
      </c>
      <c r="D5673" t="s">
        <v>29436</v>
      </c>
      <c r="E5673" s="249" t="str">
        <f>HYPERLINK("https://www.instagram.com/p/BY1VnMEnSwG/")</f>
        <v>https://www.instagram.com/p/BY1VnMEnSwG/</v>
      </c>
      <c r="F5673" t="s">
        <v>29437</v>
      </c>
      <c r="G5673" t="s">
        <v>2488</v>
      </c>
      <c r="H5673">
        <v>420</v>
      </c>
      <c r="I5673" t="s">
        <v>2479</v>
      </c>
      <c r="J5673">
        <v>0</v>
      </c>
      <c r="K5673">
        <v>20</v>
      </c>
      <c r="L5673">
        <v>20</v>
      </c>
      <c r="Q5673">
        <v>0</v>
      </c>
      <c r="R5673">
        <v>0</v>
      </c>
      <c r="S5673">
        <v>20</v>
      </c>
      <c r="Y5673" t="s">
        <v>8592</v>
      </c>
      <c r="Z5673" t="s">
        <v>6116</v>
      </c>
      <c r="AA5673" t="s">
        <v>2497</v>
      </c>
      <c r="AB5673" t="s">
        <v>2911</v>
      </c>
      <c r="AC5673" t="s">
        <v>29438</v>
      </c>
      <c r="AD5673" s="249" t="str">
        <f>HYPERLINK("https://scontent.cdninstagram.com/t51.2885-15/e35/p320x320/21480371_310551372753584_6007629764917985280_n.jpg")</f>
        <v>https://scontent.cdninstagram.com/t51.2885-15/e35/p320x320/21480371_310551372753584_6007629764917985280_n.jpg</v>
      </c>
      <c r="AE5673" s="249" t="str">
        <f>HYPERLINK("https://scontent.cdninstagram.com/t51.2885-19/s150x150/10654915_1696374633913025_1053042428_a.jpg")</f>
        <v>https://scontent.cdninstagram.com/t51.2885-19/s150x150/10654915_1696374633913025_1053042428_a.jpg</v>
      </c>
    </row>
    <row r="5674" spans="1:31" ht="15" x14ac:dyDescent="0.25">
      <c r="A5674" t="s">
        <v>2474</v>
      </c>
      <c r="B5674" t="s">
        <v>5657</v>
      </c>
      <c r="C5674" s="221">
        <v>42987.685914351852</v>
      </c>
      <c r="D5674" t="s">
        <v>29439</v>
      </c>
      <c r="E5674" s="249" t="str">
        <f>HYPERLINK("https://www.instagram.com/p/BY1WsFLAkcZ/")</f>
        <v>https://www.instagram.com/p/BY1WsFLAkcZ/</v>
      </c>
      <c r="F5674" t="s">
        <v>29440</v>
      </c>
      <c r="G5674" t="s">
        <v>2478</v>
      </c>
      <c r="H5674">
        <v>114</v>
      </c>
      <c r="I5674" t="s">
        <v>2910</v>
      </c>
      <c r="J5674">
        <v>3</v>
      </c>
      <c r="K5674">
        <v>22</v>
      </c>
      <c r="L5674">
        <v>25</v>
      </c>
      <c r="Q5674">
        <v>0</v>
      </c>
      <c r="R5674">
        <v>0</v>
      </c>
      <c r="S5674">
        <v>25</v>
      </c>
      <c r="Y5674" t="s">
        <v>4582</v>
      </c>
      <c r="Z5674" t="s">
        <v>22263</v>
      </c>
      <c r="AA5674" t="s">
        <v>2492</v>
      </c>
      <c r="AB5674" t="s">
        <v>2497</v>
      </c>
      <c r="AC5674" t="s">
        <v>15521</v>
      </c>
      <c r="AD5674" s="249" t="str">
        <f>HYPERLINK("https://scontent.cdninstagram.com/t51.2885-15/e35/p320x320/21480169_1877795129204886_538535611259158528_n.jpg")</f>
        <v>https://scontent.cdninstagram.com/t51.2885-15/e35/p320x320/21480169_1877795129204886_538535611259158528_n.jpg</v>
      </c>
      <c r="AE5674" s="249" t="str">
        <f>HYPERLINK("https://scontent.cdninstagram.com/t51.2885-19/s150x150/18722414_1929874740617287_7467972564577419264_a.jpg")</f>
        <v>https://scontent.cdninstagram.com/t51.2885-19/s150x150/18722414_1929874740617287_7467972564577419264_a.jpg</v>
      </c>
    </row>
    <row r="5675" spans="1:31" ht="15" x14ac:dyDescent="0.25">
      <c r="A5675" t="s">
        <v>2474</v>
      </c>
      <c r="B5675" t="s">
        <v>29441</v>
      </c>
      <c r="C5675" s="221">
        <v>42987.693090277775</v>
      </c>
      <c r="D5675" t="s">
        <v>29442</v>
      </c>
      <c r="E5675" s="249" t="str">
        <f>HYPERLINK("https://www.instagram.com/p/BY1X31vnXof/")</f>
        <v>https://www.instagram.com/p/BY1X31vnXof/</v>
      </c>
      <c r="F5675" t="s">
        <v>29443</v>
      </c>
      <c r="G5675" t="s">
        <v>2478</v>
      </c>
      <c r="H5675">
        <v>84</v>
      </c>
      <c r="I5675" t="s">
        <v>2479</v>
      </c>
      <c r="J5675">
        <v>0</v>
      </c>
      <c r="K5675">
        <v>18</v>
      </c>
      <c r="L5675">
        <v>18</v>
      </c>
      <c r="Q5675">
        <v>0</v>
      </c>
      <c r="R5675">
        <v>0</v>
      </c>
      <c r="S5675">
        <v>18</v>
      </c>
      <c r="Y5675" t="s">
        <v>4754</v>
      </c>
      <c r="Z5675" t="s">
        <v>29444</v>
      </c>
      <c r="AA5675" t="s">
        <v>2492</v>
      </c>
      <c r="AB5675" t="s">
        <v>2497</v>
      </c>
      <c r="AC5675" t="s">
        <v>3196</v>
      </c>
      <c r="AD5675" s="249" t="str">
        <f>HYPERLINK("https://scontent.cdninstagram.com/t51.2885-15/s320x320/e35/21434137_345735822544261_9023588021013839872_n.jpg")</f>
        <v>https://scontent.cdninstagram.com/t51.2885-15/s320x320/e35/21434137_345735822544261_9023588021013839872_n.jpg</v>
      </c>
      <c r="AE5675" s="249" t="str">
        <f>HYPERLINK("https://scontent.cdninstagram.com/t51.2885-19/s150x150/20686538_1992753020956155_7288125997377912832_a.jpg")</f>
        <v>https://scontent.cdninstagram.com/t51.2885-19/s150x150/20686538_1992753020956155_7288125997377912832_a.jpg</v>
      </c>
    </row>
    <row r="5676" spans="1:31" ht="15" x14ac:dyDescent="0.25">
      <c r="A5676" t="s">
        <v>2474</v>
      </c>
      <c r="B5676" t="s">
        <v>29445</v>
      </c>
      <c r="C5676" s="221">
        <v>42987.703703703701</v>
      </c>
      <c r="D5676" t="s">
        <v>29446</v>
      </c>
      <c r="E5676" s="249" t="str">
        <f>HYPERLINK("https://www.instagram.com/p/BY1ZnvpnYV_/")</f>
        <v>https://www.instagram.com/p/BY1ZnvpnYV_/</v>
      </c>
      <c r="F5676" t="s">
        <v>29447</v>
      </c>
      <c r="G5676" t="s">
        <v>2478</v>
      </c>
      <c r="H5676">
        <v>48</v>
      </c>
      <c r="I5676" t="s">
        <v>3898</v>
      </c>
      <c r="J5676">
        <v>0</v>
      </c>
      <c r="K5676">
        <v>5</v>
      </c>
      <c r="L5676">
        <v>5</v>
      </c>
      <c r="Q5676">
        <v>0</v>
      </c>
      <c r="R5676">
        <v>0</v>
      </c>
      <c r="S5676">
        <v>5</v>
      </c>
      <c r="Y5676" t="s">
        <v>29448</v>
      </c>
      <c r="Z5676" t="s">
        <v>2562</v>
      </c>
      <c r="AA5676" t="s">
        <v>29449</v>
      </c>
      <c r="AB5676" t="s">
        <v>29450</v>
      </c>
      <c r="AC5676" t="s">
        <v>29451</v>
      </c>
      <c r="AD5676" s="249" t="str">
        <f>HYPERLINK("https://scontent.cdninstagram.com/t51.2885-15/s320x320/e35/21568607_123055435088440_4621975046376652800_n.jpg")</f>
        <v>https://scontent.cdninstagram.com/t51.2885-15/s320x320/e35/21568607_123055435088440_4621975046376652800_n.jpg</v>
      </c>
      <c r="AE5676" s="249" t="str">
        <f>HYPERLINK("https://scontent.cdninstagram.com/t51.2885-19/s150x150/19622845_1772487429710040_6633704725294350336_a.jpg")</f>
        <v>https://scontent.cdninstagram.com/t51.2885-19/s150x150/19622845_1772487429710040_6633704725294350336_a.jpg</v>
      </c>
    </row>
    <row r="5677" spans="1:31" ht="15" x14ac:dyDescent="0.25">
      <c r="A5677" t="s">
        <v>2474</v>
      </c>
      <c r="B5677" t="s">
        <v>29452</v>
      </c>
      <c r="C5677" s="221">
        <v>42987.713969907411</v>
      </c>
      <c r="D5677" t="s">
        <v>29453</v>
      </c>
      <c r="E5677" s="249" t="str">
        <f>HYPERLINK("https://www.instagram.com/p/BY1bT-DjPtp/")</f>
        <v>https://www.instagram.com/p/BY1bT-DjPtp/</v>
      </c>
      <c r="F5677" t="s">
        <v>29454</v>
      </c>
      <c r="G5677" t="s">
        <v>2478</v>
      </c>
      <c r="H5677">
        <v>1950</v>
      </c>
      <c r="I5677" t="s">
        <v>2582</v>
      </c>
      <c r="J5677">
        <v>1</v>
      </c>
      <c r="K5677">
        <v>26</v>
      </c>
      <c r="L5677">
        <v>27</v>
      </c>
      <c r="Q5677">
        <v>0</v>
      </c>
      <c r="R5677">
        <v>0</v>
      </c>
      <c r="S5677">
        <v>27</v>
      </c>
      <c r="Y5677" t="s">
        <v>29455</v>
      </c>
      <c r="Z5677" t="s">
        <v>2497</v>
      </c>
      <c r="AA5677" t="s">
        <v>13777</v>
      </c>
      <c r="AB5677" t="s">
        <v>2777</v>
      </c>
      <c r="AD5677" s="249" t="str">
        <f>HYPERLINK("https://scontent.cdninstagram.com/t51.2885-15/e35/p320x320/21576709_115731172437402_386533961284714496_n.jpg")</f>
        <v>https://scontent.cdninstagram.com/t51.2885-15/e35/p320x320/21576709_115731172437402_386533961284714496_n.jpg</v>
      </c>
      <c r="AE5677" s="249" t="str">
        <f>HYPERLINK("https://scontent.cdninstagram.com/t51.2885-19/s150x150/12327930_1901291796763223_917056294_a.jpg")</f>
        <v>https://scontent.cdninstagram.com/t51.2885-19/s150x150/12327930_1901291796763223_917056294_a.jpg</v>
      </c>
    </row>
    <row r="5678" spans="1:31" ht="15" x14ac:dyDescent="0.25">
      <c r="A5678" t="s">
        <v>2474</v>
      </c>
      <c r="B5678" t="s">
        <v>14206</v>
      </c>
      <c r="C5678" s="221">
        <v>42987.715740740743</v>
      </c>
      <c r="D5678" t="s">
        <v>29456</v>
      </c>
      <c r="E5678" s="249" t="str">
        <f>HYPERLINK("https://www.instagram.com/p/BY1bmp0jbd8/")</f>
        <v>https://www.instagram.com/p/BY1bmp0jbd8/</v>
      </c>
      <c r="F5678" t="s">
        <v>29457</v>
      </c>
      <c r="G5678" t="s">
        <v>2488</v>
      </c>
      <c r="H5678">
        <v>157</v>
      </c>
      <c r="I5678" t="s">
        <v>2479</v>
      </c>
      <c r="J5678">
        <v>0</v>
      </c>
      <c r="K5678">
        <v>20</v>
      </c>
      <c r="L5678">
        <v>20</v>
      </c>
      <c r="Q5678">
        <v>0</v>
      </c>
      <c r="R5678">
        <v>0</v>
      </c>
      <c r="S5678">
        <v>20</v>
      </c>
      <c r="Y5678" t="s">
        <v>29458</v>
      </c>
      <c r="Z5678" t="s">
        <v>3110</v>
      </c>
      <c r="AA5678" t="s">
        <v>29459</v>
      </c>
      <c r="AB5678" t="s">
        <v>3535</v>
      </c>
      <c r="AC5678" t="s">
        <v>2513</v>
      </c>
      <c r="AD5678" s="249" t="str">
        <f>HYPERLINK("https://scontent.cdninstagram.com/t51.2885-15/e35/p320x320/21569386_115334752516779_6508360202159390720_n.jpg")</f>
        <v>https://scontent.cdninstagram.com/t51.2885-15/e35/p320x320/21569386_115334752516779_6508360202159390720_n.jpg</v>
      </c>
      <c r="AE5678" s="249" t="str">
        <f>HYPERLINK("https://scontent.cdninstagram.com/t51.2885-19/s150x150/20225451_255713454928667_8870280215650107392_a.jpg")</f>
        <v>https://scontent.cdninstagram.com/t51.2885-19/s150x150/20225451_255713454928667_8870280215650107392_a.jpg</v>
      </c>
    </row>
    <row r="5679" spans="1:31" ht="15" x14ac:dyDescent="0.25">
      <c r="A5679" t="s">
        <v>2474</v>
      </c>
      <c r="B5679" t="s">
        <v>29460</v>
      </c>
      <c r="C5679" s="221">
        <v>42987.723796296297</v>
      </c>
      <c r="D5679" t="s">
        <v>29461</v>
      </c>
      <c r="E5679" s="249" t="str">
        <f>HYPERLINK("https://www.instagram.com/p/BY1c7rpHXq8/")</f>
        <v>https://www.instagram.com/p/BY1c7rpHXq8/</v>
      </c>
      <c r="F5679" t="s">
        <v>29462</v>
      </c>
      <c r="G5679" t="s">
        <v>2478</v>
      </c>
      <c r="H5679">
        <v>353</v>
      </c>
      <c r="I5679" t="s">
        <v>3575</v>
      </c>
      <c r="J5679">
        <v>1</v>
      </c>
      <c r="K5679">
        <v>14</v>
      </c>
      <c r="L5679">
        <v>15</v>
      </c>
      <c r="Q5679">
        <v>0</v>
      </c>
      <c r="R5679">
        <v>0</v>
      </c>
      <c r="S5679">
        <v>15</v>
      </c>
      <c r="Y5679" t="s">
        <v>29463</v>
      </c>
      <c r="Z5679" t="s">
        <v>29464</v>
      </c>
      <c r="AA5679" t="s">
        <v>20264</v>
      </c>
      <c r="AB5679" t="s">
        <v>3986</v>
      </c>
      <c r="AC5679" t="s">
        <v>29465</v>
      </c>
      <c r="AD5679" s="249" t="str">
        <f>HYPERLINK("https://scontent.cdninstagram.com/t51.2885-15/s320x320/e35/21433530_273445663156545_3375715020435357696_n.jpg")</f>
        <v>https://scontent.cdninstagram.com/t51.2885-15/s320x320/e35/21433530_273445663156545_3375715020435357696_n.jpg</v>
      </c>
      <c r="AE5679" s="249" t="str">
        <f>HYPERLINK("https://scontent.cdninstagram.com/t51.2885-19/s150x150/21373302_879632918869153_7305407202020294656_a.jpg")</f>
        <v>https://scontent.cdninstagram.com/t51.2885-19/s150x150/21373302_879632918869153_7305407202020294656_a.jpg</v>
      </c>
    </row>
    <row r="5680" spans="1:31" ht="15" x14ac:dyDescent="0.25">
      <c r="A5680" t="s">
        <v>2474</v>
      </c>
      <c r="B5680" t="s">
        <v>29466</v>
      </c>
      <c r="C5680" s="221">
        <v>42987.725914351853</v>
      </c>
      <c r="D5680" t="s">
        <v>29467</v>
      </c>
      <c r="E5680" s="249" t="str">
        <f>HYPERLINK("https://www.instagram.com/p/BY1dR_wlgBM/")</f>
        <v>https://www.instagram.com/p/BY1dR_wlgBM/</v>
      </c>
      <c r="F5680" t="s">
        <v>29468</v>
      </c>
      <c r="G5680" t="s">
        <v>2478</v>
      </c>
      <c r="H5680">
        <v>198</v>
      </c>
      <c r="I5680" t="s">
        <v>3025</v>
      </c>
      <c r="J5680">
        <v>8</v>
      </c>
      <c r="K5680">
        <v>52</v>
      </c>
      <c r="L5680">
        <v>60</v>
      </c>
      <c r="Q5680">
        <v>0</v>
      </c>
      <c r="R5680">
        <v>0</v>
      </c>
      <c r="S5680">
        <v>60</v>
      </c>
      <c r="Y5680" t="s">
        <v>11174</v>
      </c>
      <c r="Z5680" t="s">
        <v>3174</v>
      </c>
      <c r="AA5680" t="s">
        <v>4174</v>
      </c>
      <c r="AB5680" t="s">
        <v>29469</v>
      </c>
      <c r="AC5680" t="s">
        <v>11647</v>
      </c>
      <c r="AD5680" s="249" t="str">
        <f>HYPERLINK("https://scontent.cdninstagram.com/t51.2885-15/s320x320/e35/21436014_468020263584066_807828939731894272_n.jpg")</f>
        <v>https://scontent.cdninstagram.com/t51.2885-15/s320x320/e35/21436014_468020263584066_807828939731894272_n.jpg</v>
      </c>
      <c r="AE5680" s="249" t="str">
        <f>HYPERLINK("https://scontent.cdninstagram.com/t51.2885-19/s150x150/19227391_278653355931918_6711425590194339840_a.jpg")</f>
        <v>https://scontent.cdninstagram.com/t51.2885-19/s150x150/19227391_278653355931918_6711425590194339840_a.jpg</v>
      </c>
    </row>
    <row r="5681" spans="1:31" ht="15" x14ac:dyDescent="0.25">
      <c r="A5681" t="s">
        <v>2474</v>
      </c>
      <c r="B5681" t="s">
        <v>29470</v>
      </c>
      <c r="C5681" s="221">
        <v>42987.736527777779</v>
      </c>
      <c r="D5681" t="s">
        <v>29471</v>
      </c>
      <c r="E5681" s="249" t="str">
        <f>HYPERLINK("https://www.instagram.com/p/BY1fCAMA-gS/")</f>
        <v>https://www.instagram.com/p/BY1fCAMA-gS/</v>
      </c>
      <c r="F5681" t="s">
        <v>29472</v>
      </c>
      <c r="G5681" t="s">
        <v>2478</v>
      </c>
      <c r="H5681">
        <v>411</v>
      </c>
      <c r="I5681" t="s">
        <v>2519</v>
      </c>
      <c r="J5681">
        <v>2</v>
      </c>
      <c r="K5681">
        <v>38</v>
      </c>
      <c r="L5681">
        <v>40</v>
      </c>
      <c r="Q5681">
        <v>0</v>
      </c>
      <c r="R5681">
        <v>0</v>
      </c>
      <c r="S5681">
        <v>40</v>
      </c>
      <c r="Y5681" t="s">
        <v>29473</v>
      </c>
      <c r="Z5681" t="s">
        <v>29474</v>
      </c>
      <c r="AA5681" t="s">
        <v>2497</v>
      </c>
      <c r="AB5681" t="s">
        <v>29475</v>
      </c>
      <c r="AC5681" t="s">
        <v>29476</v>
      </c>
      <c r="AD5681" s="249" t="str">
        <f>HYPERLINK("https://scontent.cdninstagram.com/t51.2885-15/e35/p320x320/21576519_386886715064012_8397627169328594944_n.jpg")</f>
        <v>https://scontent.cdninstagram.com/t51.2885-15/e35/p320x320/21576519_386886715064012_8397627169328594944_n.jpg</v>
      </c>
      <c r="AE5681" s="249" t="str">
        <f>HYPERLINK("https://scontent.cdninstagram.com/t51.2885-19/s150x150/21149411_217236062140919_5042208046915256320_a.jpg")</f>
        <v>https://scontent.cdninstagram.com/t51.2885-19/s150x150/21149411_217236062140919_5042208046915256320_a.jpg</v>
      </c>
    </row>
    <row r="5682" spans="1:31" ht="15" x14ac:dyDescent="0.25">
      <c r="A5682" t="s">
        <v>2474</v>
      </c>
      <c r="B5682" t="s">
        <v>11082</v>
      </c>
      <c r="C5682" s="221">
        <v>42987.738425925927</v>
      </c>
      <c r="D5682" t="s">
        <v>29477</v>
      </c>
      <c r="E5682" s="249" t="str">
        <f>HYPERLINK("https://www.instagram.com/p/BY1fWAwj14x/")</f>
        <v>https://www.instagram.com/p/BY1fWAwj14x/</v>
      </c>
      <c r="F5682" t="s">
        <v>29478</v>
      </c>
      <c r="G5682" t="s">
        <v>2478</v>
      </c>
      <c r="H5682">
        <v>1037</v>
      </c>
      <c r="I5682" t="s">
        <v>2479</v>
      </c>
      <c r="J5682">
        <v>2</v>
      </c>
      <c r="K5682">
        <v>95</v>
      </c>
      <c r="L5682">
        <v>97</v>
      </c>
      <c r="Q5682">
        <v>0</v>
      </c>
      <c r="R5682">
        <v>0</v>
      </c>
      <c r="S5682">
        <v>97</v>
      </c>
      <c r="Y5682" t="s">
        <v>4174</v>
      </c>
      <c r="Z5682" t="s">
        <v>4319</v>
      </c>
      <c r="AA5682" t="s">
        <v>29479</v>
      </c>
      <c r="AB5682" t="s">
        <v>10223</v>
      </c>
      <c r="AC5682" t="s">
        <v>4218</v>
      </c>
      <c r="AD5682" s="249" t="str">
        <f>HYPERLINK("https://scontent.cdninstagram.com/t51.2885-15/s320x320/e35/21435910_544971082510985_3720898604257247232_n.jpg")</f>
        <v>https://scontent.cdninstagram.com/t51.2885-15/s320x320/e35/21435910_544971082510985_3720898604257247232_n.jpg</v>
      </c>
      <c r="AE5682" s="249" t="str">
        <f>HYPERLINK("https://scontent.cdninstagram.com/t51.2885-19/s150x150/16790256_1252551118168038_8589117040680239104_a.jpg")</f>
        <v>https://scontent.cdninstagram.com/t51.2885-19/s150x150/16790256_1252551118168038_8589117040680239104_a.jpg</v>
      </c>
    </row>
    <row r="5683" spans="1:31" ht="15" x14ac:dyDescent="0.25">
      <c r="A5683" t="s">
        <v>2474</v>
      </c>
      <c r="B5683" t="s">
        <v>29480</v>
      </c>
      <c r="C5683" s="221">
        <v>42987.740833333337</v>
      </c>
      <c r="D5683" t="s">
        <v>29481</v>
      </c>
      <c r="E5683" s="249" t="str">
        <f>HYPERLINK("https://www.instagram.com/p/BY1fvTfBvfa/")</f>
        <v>https://www.instagram.com/p/BY1fvTfBvfa/</v>
      </c>
      <c r="F5683" t="s">
        <v>29482</v>
      </c>
      <c r="G5683" t="s">
        <v>2478</v>
      </c>
      <c r="H5683">
        <v>663</v>
      </c>
      <c r="I5683" t="s">
        <v>2479</v>
      </c>
      <c r="J5683">
        <v>1</v>
      </c>
      <c r="K5683">
        <v>31</v>
      </c>
      <c r="L5683">
        <v>32</v>
      </c>
      <c r="Q5683">
        <v>0</v>
      </c>
      <c r="R5683">
        <v>0</v>
      </c>
      <c r="S5683">
        <v>32</v>
      </c>
      <c r="T5683" t="s">
        <v>29483</v>
      </c>
      <c r="V5683" t="s">
        <v>2271</v>
      </c>
      <c r="W5683">
        <v>47.6</v>
      </c>
      <c r="X5683">
        <v>8.6833299999999998</v>
      </c>
      <c r="Y5683" t="s">
        <v>29484</v>
      </c>
      <c r="Z5683" t="s">
        <v>9836</v>
      </c>
      <c r="AA5683" t="s">
        <v>15013</v>
      </c>
      <c r="AB5683" t="s">
        <v>29485</v>
      </c>
      <c r="AC5683" t="s">
        <v>28979</v>
      </c>
      <c r="AD5683" s="249" t="str">
        <f>HYPERLINK("https://scontent.cdninstagram.com/t51.2885-15/s320x320/e35/21433921_125255331540553_905394838462005248_n.jpg")</f>
        <v>https://scontent.cdninstagram.com/t51.2885-15/s320x320/e35/21433921_125255331540553_905394838462005248_n.jpg</v>
      </c>
      <c r="AE5683" s="249" t="str">
        <f>HYPERLINK("https://scontent.cdninstagram.com/t51.2885-19/s150x150/15535149_2180890305470532_947860554507091968_a.jpg")</f>
        <v>https://scontent.cdninstagram.com/t51.2885-19/s150x150/15535149_2180890305470532_947860554507091968_a.jpg</v>
      </c>
    </row>
    <row r="5684" spans="1:31" ht="15" x14ac:dyDescent="0.25">
      <c r="A5684" t="s">
        <v>2474</v>
      </c>
      <c r="B5684" t="s">
        <v>29486</v>
      </c>
      <c r="C5684" s="221">
        <v>42987.745706018519</v>
      </c>
      <c r="D5684" t="s">
        <v>29487</v>
      </c>
      <c r="E5684" s="249" t="str">
        <f>HYPERLINK("https://www.instagram.com/p/BY1giw2D6xr/")</f>
        <v>https://www.instagram.com/p/BY1giw2D6xr/</v>
      </c>
      <c r="F5684" t="s">
        <v>29488</v>
      </c>
      <c r="G5684" t="s">
        <v>2478</v>
      </c>
      <c r="H5684">
        <v>156</v>
      </c>
      <c r="I5684" t="s">
        <v>3025</v>
      </c>
      <c r="J5684">
        <v>2</v>
      </c>
      <c r="K5684">
        <v>55</v>
      </c>
      <c r="L5684">
        <v>57</v>
      </c>
      <c r="Q5684">
        <v>0</v>
      </c>
      <c r="R5684">
        <v>0</v>
      </c>
      <c r="S5684">
        <v>57</v>
      </c>
      <c r="Y5684" t="s">
        <v>6159</v>
      </c>
      <c r="Z5684" t="s">
        <v>2753</v>
      </c>
      <c r="AA5684" t="s">
        <v>2497</v>
      </c>
      <c r="AD5684" s="249" t="str">
        <f>HYPERLINK("https://scontent.cdninstagram.com/t51.2885-15/s320x320/e35/21576657_1671080526298183_5389411184489267200_n.jpg")</f>
        <v>https://scontent.cdninstagram.com/t51.2885-15/s320x320/e35/21576657_1671080526298183_5389411184489267200_n.jpg</v>
      </c>
      <c r="AE5684" s="249" t="str">
        <f>HYPERLINK("https://scontent.cdninstagram.com/t51.2885-19/s150x150/21434079_718761024985498_1970679133121806336_a.jpg")</f>
        <v>https://scontent.cdninstagram.com/t51.2885-19/s150x150/21434079_718761024985498_1970679133121806336_a.jpg</v>
      </c>
    </row>
    <row r="5685" spans="1:31" ht="15" x14ac:dyDescent="0.25">
      <c r="A5685" t="s">
        <v>2474</v>
      </c>
      <c r="B5685" t="s">
        <v>7232</v>
      </c>
      <c r="C5685" s="221">
        <v>42987.751076388886</v>
      </c>
      <c r="D5685" t="s">
        <v>29489</v>
      </c>
      <c r="E5685" s="249" t="str">
        <f>HYPERLINK("https://www.instagram.com/p/BY1hbXAHPXf/")</f>
        <v>https://www.instagram.com/p/BY1hbXAHPXf/</v>
      </c>
      <c r="F5685" t="s">
        <v>29490</v>
      </c>
      <c r="G5685" t="s">
        <v>2478</v>
      </c>
      <c r="H5685">
        <v>521</v>
      </c>
      <c r="I5685" t="s">
        <v>2510</v>
      </c>
      <c r="J5685">
        <v>2</v>
      </c>
      <c r="K5685">
        <v>25</v>
      </c>
      <c r="L5685">
        <v>27</v>
      </c>
      <c r="Q5685">
        <v>0</v>
      </c>
      <c r="R5685">
        <v>0</v>
      </c>
      <c r="S5685">
        <v>27</v>
      </c>
      <c r="Y5685" t="s">
        <v>5168</v>
      </c>
      <c r="Z5685" t="s">
        <v>7236</v>
      </c>
      <c r="AA5685" t="s">
        <v>25197</v>
      </c>
      <c r="AB5685" t="s">
        <v>13362</v>
      </c>
      <c r="AC5685" t="s">
        <v>22836</v>
      </c>
      <c r="AD5685" s="249" t="str">
        <f>HYPERLINK("https://scontent.cdninstagram.com/t51.2885-15/s320x320/e35/21435670_1064418310359198_72735962647494656_n.jpg")</f>
        <v>https://scontent.cdninstagram.com/t51.2885-15/s320x320/e35/21435670_1064418310359198_72735962647494656_n.jpg</v>
      </c>
      <c r="AE5685" s="249" t="str">
        <f>HYPERLINK("https://scontent.cdninstagram.com/t51.2885-19/s150x150/14482263_1660577494243200_2334360342223650816_a.jpg")</f>
        <v>https://scontent.cdninstagram.com/t51.2885-19/s150x150/14482263_1660577494243200_2334360342223650816_a.jpg</v>
      </c>
    </row>
    <row r="5686" spans="1:31" ht="15" x14ac:dyDescent="0.25">
      <c r="A5686" t="s">
        <v>2474</v>
      </c>
      <c r="B5686" t="s">
        <v>29491</v>
      </c>
      <c r="C5686" s="221">
        <v>42987.751770833333</v>
      </c>
      <c r="D5686" t="s">
        <v>29492</v>
      </c>
      <c r="E5686" s="249" t="str">
        <f>HYPERLINK("https://www.instagram.com/p/BY1hirHhHaJ/")</f>
        <v>https://www.instagram.com/p/BY1hirHhHaJ/</v>
      </c>
      <c r="F5686" t="s">
        <v>29493</v>
      </c>
      <c r="G5686" t="s">
        <v>2478</v>
      </c>
      <c r="H5686">
        <v>137</v>
      </c>
      <c r="I5686" t="s">
        <v>2479</v>
      </c>
      <c r="J5686">
        <v>1</v>
      </c>
      <c r="K5686">
        <v>32</v>
      </c>
      <c r="L5686">
        <v>33</v>
      </c>
      <c r="Q5686">
        <v>0</v>
      </c>
      <c r="R5686">
        <v>0</v>
      </c>
      <c r="S5686">
        <v>33</v>
      </c>
      <c r="Y5686" t="s">
        <v>29494</v>
      </c>
      <c r="Z5686" t="s">
        <v>29495</v>
      </c>
      <c r="AA5686" t="s">
        <v>9672</v>
      </c>
      <c r="AB5686" t="s">
        <v>6404</v>
      </c>
      <c r="AC5686" t="s">
        <v>2492</v>
      </c>
      <c r="AD5686" s="249" t="str">
        <f>HYPERLINK("https://scontent.cdninstagram.com/t51.2885-15/e35/p320x320/21434266_842147292633285_1259325376585269248_n.jpg")</f>
        <v>https://scontent.cdninstagram.com/t51.2885-15/e35/p320x320/21434266_842147292633285_1259325376585269248_n.jpg</v>
      </c>
      <c r="AE5686" s="249" t="str">
        <f>HYPERLINK("https://scontent.cdninstagram.com/t51.2885-19/s150x150/19228157_1269347886511176_2981234648098537472_a.jpg")</f>
        <v>https://scontent.cdninstagram.com/t51.2885-19/s150x150/19228157_1269347886511176_2981234648098537472_a.jpg</v>
      </c>
    </row>
    <row r="5687" spans="1:31" ht="15" x14ac:dyDescent="0.25">
      <c r="A5687" t="s">
        <v>2474</v>
      </c>
      <c r="B5687" t="s">
        <v>29496</v>
      </c>
      <c r="C5687" s="221">
        <v>42987.75340277778</v>
      </c>
      <c r="D5687" t="s">
        <v>29497</v>
      </c>
      <c r="E5687" s="249" t="str">
        <f>HYPERLINK("https://www.instagram.com/p/BY1hz7Nn-VL/")</f>
        <v>https://www.instagram.com/p/BY1hz7Nn-VL/</v>
      </c>
      <c r="F5687" t="s">
        <v>29498</v>
      </c>
      <c r="G5687" t="s">
        <v>2478</v>
      </c>
      <c r="H5687">
        <v>2242</v>
      </c>
      <c r="I5687" t="s">
        <v>2479</v>
      </c>
      <c r="J5687">
        <v>2</v>
      </c>
      <c r="K5687">
        <v>23</v>
      </c>
      <c r="L5687">
        <v>25</v>
      </c>
      <c r="Q5687">
        <v>0</v>
      </c>
      <c r="R5687">
        <v>0</v>
      </c>
      <c r="S5687">
        <v>25</v>
      </c>
      <c r="Y5687" t="s">
        <v>29499</v>
      </c>
      <c r="Z5687" t="s">
        <v>5884</v>
      </c>
      <c r="AA5687" t="s">
        <v>21286</v>
      </c>
      <c r="AB5687" t="s">
        <v>29500</v>
      </c>
      <c r="AC5687" t="s">
        <v>24032</v>
      </c>
      <c r="AD5687" s="249" t="str">
        <f>HYPERLINK("https://scontent.cdninstagram.com/t51.2885-15/s320x320/e35/21435834_1458153424267068_1747101543921876992_n.jpg")</f>
        <v>https://scontent.cdninstagram.com/t51.2885-15/s320x320/e35/21435834_1458153424267068_1747101543921876992_n.jpg</v>
      </c>
      <c r="AE5687" s="249" t="str">
        <f>HYPERLINK("https://scontent.cdninstagram.com/t51.2885-19/s150x150/21568642_2020681741551547_4555206704563748864_n.jpg")</f>
        <v>https://scontent.cdninstagram.com/t51.2885-19/s150x150/21568642_2020681741551547_4555206704563748864_n.jpg</v>
      </c>
    </row>
    <row r="5688" spans="1:31" ht="15" x14ac:dyDescent="0.25">
      <c r="A5688" t="s">
        <v>2474</v>
      </c>
      <c r="B5688" t="s">
        <v>29501</v>
      </c>
      <c r="C5688" s="221">
        <v>42987.758831018517</v>
      </c>
      <c r="D5688" t="s">
        <v>29502</v>
      </c>
      <c r="E5688" s="249" t="str">
        <f>HYPERLINK("https://www.instagram.com/p/BY1itHgDEIs/")</f>
        <v>https://www.instagram.com/p/BY1itHgDEIs/</v>
      </c>
      <c r="F5688" t="s">
        <v>29503</v>
      </c>
      <c r="G5688" t="s">
        <v>2478</v>
      </c>
      <c r="H5688">
        <v>171</v>
      </c>
      <c r="I5688" t="s">
        <v>2479</v>
      </c>
      <c r="J5688">
        <v>0</v>
      </c>
      <c r="K5688">
        <v>27</v>
      </c>
      <c r="L5688">
        <v>27</v>
      </c>
      <c r="Q5688">
        <v>0</v>
      </c>
      <c r="R5688">
        <v>0</v>
      </c>
      <c r="S5688">
        <v>27</v>
      </c>
      <c r="T5688" t="s">
        <v>29504</v>
      </c>
      <c r="V5688" t="s">
        <v>2141</v>
      </c>
      <c r="W5688">
        <v>56.6477</v>
      </c>
      <c r="X5688">
        <v>9.7937200000000004</v>
      </c>
      <c r="Y5688" t="s">
        <v>6779</v>
      </c>
      <c r="Z5688" t="s">
        <v>15484</v>
      </c>
      <c r="AA5688" t="s">
        <v>14126</v>
      </c>
      <c r="AB5688" t="s">
        <v>23213</v>
      </c>
      <c r="AC5688" t="s">
        <v>9835</v>
      </c>
      <c r="AD5688" s="249" t="str">
        <f>HYPERLINK("https://scontent.cdninstagram.com/t51.2885-15/s320x320/e35/21480124_1869465223368769_2460059517988110336_n.jpg")</f>
        <v>https://scontent.cdninstagram.com/t51.2885-15/s320x320/e35/21480124_1869465223368769_2460059517988110336_n.jpg</v>
      </c>
      <c r="AE5688" s="249" t="str">
        <f>HYPERLINK("https://scontent.cdninstagram.com/t51.2885-19/s150x150/16229201_380507802320375_1629926164548026368_a.jpg")</f>
        <v>https://scontent.cdninstagram.com/t51.2885-19/s150x150/16229201_380507802320375_1629926164548026368_a.jpg</v>
      </c>
    </row>
    <row r="5689" spans="1:31" ht="15" x14ac:dyDescent="0.25">
      <c r="A5689" t="s">
        <v>2474</v>
      </c>
      <c r="B5689" t="s">
        <v>29505</v>
      </c>
      <c r="C5689" s="221">
        <v>42987.76152777778</v>
      </c>
      <c r="D5689" t="s">
        <v>29506</v>
      </c>
      <c r="E5689" s="249" t="str">
        <f>HYPERLINK("https://www.instagram.com/p/BY1jJpVF1c0/")</f>
        <v>https://www.instagram.com/p/BY1jJpVF1c0/</v>
      </c>
      <c r="F5689" t="s">
        <v>29507</v>
      </c>
      <c r="G5689" t="s">
        <v>2478</v>
      </c>
      <c r="H5689">
        <v>128</v>
      </c>
      <c r="I5689" t="s">
        <v>2479</v>
      </c>
      <c r="J5689">
        <v>1</v>
      </c>
      <c r="K5689">
        <v>9</v>
      </c>
      <c r="L5689">
        <v>10</v>
      </c>
      <c r="Q5689">
        <v>0</v>
      </c>
      <c r="R5689">
        <v>0</v>
      </c>
      <c r="S5689">
        <v>10</v>
      </c>
      <c r="Y5689" t="s">
        <v>29508</v>
      </c>
      <c r="Z5689" t="s">
        <v>2497</v>
      </c>
      <c r="AA5689" t="s">
        <v>29509</v>
      </c>
      <c r="AD5689" s="249" t="str">
        <f>HYPERLINK("https://scontent.cdninstagram.com/t51.2885-15/s320x320/e35/21433682_134571167162251_3110077765693472768_n.jpg")</f>
        <v>https://scontent.cdninstagram.com/t51.2885-15/s320x320/e35/21433682_134571167162251_3110077765693472768_n.jpg</v>
      </c>
      <c r="AE5689" s="249" t="str">
        <f>HYPERLINK("https://scontent.cdninstagram.com/t51.2885-19/s150x150/16464819_1837531116529726_8005391888066543616_a.jpg")</f>
        <v>https://scontent.cdninstagram.com/t51.2885-19/s150x150/16464819_1837531116529726_8005391888066543616_a.jpg</v>
      </c>
    </row>
    <row r="5690" spans="1:31" ht="15" x14ac:dyDescent="0.25">
      <c r="A5690" t="s">
        <v>2474</v>
      </c>
      <c r="B5690" t="s">
        <v>29510</v>
      </c>
      <c r="C5690" s="221">
        <v>42987.775613425925</v>
      </c>
      <c r="D5690" t="s">
        <v>29511</v>
      </c>
      <c r="E5690" s="249" t="str">
        <f>HYPERLINK("https://www.instagram.com/p/BY1leNZBYwX/")</f>
        <v>https://www.instagram.com/p/BY1leNZBYwX/</v>
      </c>
      <c r="F5690" t="s">
        <v>29512</v>
      </c>
      <c r="G5690" t="s">
        <v>2478</v>
      </c>
      <c r="H5690">
        <v>11</v>
      </c>
      <c r="I5690" t="s">
        <v>2479</v>
      </c>
      <c r="J5690">
        <v>0</v>
      </c>
      <c r="K5690">
        <v>3</v>
      </c>
      <c r="L5690">
        <v>3</v>
      </c>
      <c r="Q5690">
        <v>0</v>
      </c>
      <c r="R5690">
        <v>0</v>
      </c>
      <c r="S5690">
        <v>3</v>
      </c>
      <c r="Y5690" t="s">
        <v>2497</v>
      </c>
      <c r="Z5690" t="s">
        <v>29513</v>
      </c>
      <c r="AA5690" t="s">
        <v>29514</v>
      </c>
      <c r="AD5690" s="249" t="str">
        <f>HYPERLINK("https://scontent.cdninstagram.com/t51.2885-15/s320x320/e35/21435592_125058714814480_5890792588448890880_n.jpg")</f>
        <v>https://scontent.cdninstagram.com/t51.2885-15/s320x320/e35/21435592_125058714814480_5890792588448890880_n.jpg</v>
      </c>
      <c r="AE5690" s="249" t="str">
        <f>HYPERLINK("https://scontent.cdninstagram.com/t51.2885-19/s150x150/21433846_1879462009037567_3512844770621784064_a.jpg")</f>
        <v>https://scontent.cdninstagram.com/t51.2885-19/s150x150/21433846_1879462009037567_3512844770621784064_a.jpg</v>
      </c>
    </row>
    <row r="5691" spans="1:31" ht="15" x14ac:dyDescent="0.25">
      <c r="A5691" t="s">
        <v>2474</v>
      </c>
      <c r="B5691" t="s">
        <v>29515</v>
      </c>
      <c r="C5691" s="221">
        <v>42987.785682870373</v>
      </c>
      <c r="D5691" t="s">
        <v>29516</v>
      </c>
      <c r="E5691" s="249" t="str">
        <f>HYPERLINK("https://www.instagram.com/p/BY1nIVGgfM_/")</f>
        <v>https://www.instagram.com/p/BY1nIVGgfM_/</v>
      </c>
      <c r="F5691" t="s">
        <v>29517</v>
      </c>
      <c r="G5691" t="s">
        <v>2478</v>
      </c>
      <c r="H5691">
        <v>574</v>
      </c>
      <c r="I5691" t="s">
        <v>3575</v>
      </c>
      <c r="J5691">
        <v>0</v>
      </c>
      <c r="K5691">
        <v>28</v>
      </c>
      <c r="L5691">
        <v>28</v>
      </c>
      <c r="Q5691">
        <v>0</v>
      </c>
      <c r="R5691">
        <v>0</v>
      </c>
      <c r="S5691">
        <v>28</v>
      </c>
      <c r="Y5691" t="s">
        <v>29518</v>
      </c>
      <c r="Z5691" t="s">
        <v>14135</v>
      </c>
      <c r="AA5691" t="s">
        <v>29519</v>
      </c>
      <c r="AB5691" t="s">
        <v>29520</v>
      </c>
      <c r="AC5691" t="s">
        <v>29521</v>
      </c>
      <c r="AD5691" s="249" t="str">
        <f>HYPERLINK("https://scontent.cdninstagram.com/t51.2885-15/s320x320/e35/21480545_364119164020707_7390473732306763776_n.jpg")</f>
        <v>https://scontent.cdninstagram.com/t51.2885-15/s320x320/e35/21480545_364119164020707_7390473732306763776_n.jpg</v>
      </c>
      <c r="AE5691" s="249" t="str">
        <f>HYPERLINK("https://scontent.cdninstagram.com/t51.2885-19/11849279_848134551935988_538523244_a.jpg")</f>
        <v>https://scontent.cdninstagram.com/t51.2885-19/11849279_848134551935988_538523244_a.jpg</v>
      </c>
    </row>
    <row r="5692" spans="1:31" ht="15" x14ac:dyDescent="0.25">
      <c r="A5692" t="s">
        <v>2474</v>
      </c>
      <c r="B5692" t="s">
        <v>29522</v>
      </c>
      <c r="C5692" s="221">
        <v>42987.794942129629</v>
      </c>
      <c r="D5692" t="s">
        <v>29523</v>
      </c>
      <c r="E5692" s="249" t="str">
        <f>HYPERLINK("https://www.instagram.com/p/BY1oqE7BwgS/")</f>
        <v>https://www.instagram.com/p/BY1oqE7BwgS/</v>
      </c>
      <c r="F5692" t="s">
        <v>29524</v>
      </c>
      <c r="G5692" t="s">
        <v>2478</v>
      </c>
      <c r="H5692">
        <v>339</v>
      </c>
      <c r="I5692" t="s">
        <v>2479</v>
      </c>
      <c r="J5692">
        <v>0</v>
      </c>
      <c r="K5692">
        <v>13</v>
      </c>
      <c r="L5692">
        <v>13</v>
      </c>
      <c r="Q5692">
        <v>0</v>
      </c>
      <c r="R5692">
        <v>0</v>
      </c>
      <c r="S5692">
        <v>13</v>
      </c>
      <c r="Y5692" t="s">
        <v>2497</v>
      </c>
      <c r="AD5692" s="249" t="str">
        <f>HYPERLINK("https://scontent.cdninstagram.com/t51.2885-15/s320x320/e35/21568699_1975919409356679_1009534824588771328_n.jpg")</f>
        <v>https://scontent.cdninstagram.com/t51.2885-15/s320x320/e35/21568699_1975919409356679_1009534824588771328_n.jpg</v>
      </c>
      <c r="AE5692" s="249" t="str">
        <f>HYPERLINK("https://scontent.cdninstagram.com/t51.2885-19/s150x150/18879634_575567902613933_2967447137358446592_a.jpg")</f>
        <v>https://scontent.cdninstagram.com/t51.2885-19/s150x150/18879634_575567902613933_2967447137358446592_a.jpg</v>
      </c>
    </row>
    <row r="5693" spans="1:31" ht="15" x14ac:dyDescent="0.25">
      <c r="A5693" t="s">
        <v>2474</v>
      </c>
      <c r="B5693" t="s">
        <v>29525</v>
      </c>
      <c r="C5693" s="221">
        <v>42987.799513888887</v>
      </c>
      <c r="D5693" t="s">
        <v>29526</v>
      </c>
      <c r="E5693" s="249" t="str">
        <f>HYPERLINK("https://www.instagram.com/p/BY1paMgn63K/")</f>
        <v>https://www.instagram.com/p/BY1paMgn63K/</v>
      </c>
      <c r="F5693" t="s">
        <v>29527</v>
      </c>
      <c r="G5693" t="s">
        <v>2488</v>
      </c>
      <c r="H5693">
        <v>88</v>
      </c>
      <c r="I5693" t="s">
        <v>2479</v>
      </c>
      <c r="J5693">
        <v>0</v>
      </c>
      <c r="K5693">
        <v>6</v>
      </c>
      <c r="L5693">
        <v>6</v>
      </c>
      <c r="Q5693">
        <v>0</v>
      </c>
      <c r="R5693">
        <v>0</v>
      </c>
      <c r="S5693">
        <v>6</v>
      </c>
      <c r="Y5693" t="s">
        <v>2958</v>
      </c>
      <c r="Z5693" t="s">
        <v>3224</v>
      </c>
      <c r="AA5693" t="s">
        <v>29528</v>
      </c>
      <c r="AB5693" t="s">
        <v>9011</v>
      </c>
      <c r="AC5693" t="s">
        <v>2734</v>
      </c>
      <c r="AD5693" s="249" t="str">
        <f>HYPERLINK("https://scontent.cdninstagram.com/t51.2885-15/s320x320/e15/21435957_1629256697126542_6047429663481921536_n.jpg")</f>
        <v>https://scontent.cdninstagram.com/t51.2885-15/s320x320/e15/21435957_1629256697126542_6047429663481921536_n.jpg</v>
      </c>
      <c r="AE5693" s="249" t="str">
        <f>HYPERLINK("https://scontent.cdninstagram.com/t51.2885-19/s150x150/21688516_804167346429766_2878754349004095488_n.jpg")</f>
        <v>https://scontent.cdninstagram.com/t51.2885-19/s150x150/21688516_804167346429766_2878754349004095488_n.jpg</v>
      </c>
    </row>
    <row r="5694" spans="1:31" ht="15" x14ac:dyDescent="0.25">
      <c r="A5694" t="s">
        <v>2474</v>
      </c>
      <c r="B5694" t="s">
        <v>29529</v>
      </c>
      <c r="C5694" s="221">
        <v>42987.800879629627</v>
      </c>
      <c r="D5694" t="s">
        <v>29530</v>
      </c>
      <c r="E5694" s="249" t="str">
        <f>HYPERLINK("https://www.instagram.com/p/BY1poolFarq/")</f>
        <v>https://www.instagram.com/p/BY1poolFarq/</v>
      </c>
      <c r="F5694" t="s">
        <v>29531</v>
      </c>
      <c r="G5694" t="s">
        <v>2478</v>
      </c>
      <c r="H5694">
        <v>120</v>
      </c>
      <c r="I5694" t="s">
        <v>2542</v>
      </c>
      <c r="J5694">
        <v>0</v>
      </c>
      <c r="K5694">
        <v>7</v>
      </c>
      <c r="L5694">
        <v>7</v>
      </c>
      <c r="Q5694">
        <v>0</v>
      </c>
      <c r="R5694">
        <v>0</v>
      </c>
      <c r="S5694">
        <v>7</v>
      </c>
      <c r="Y5694" t="s">
        <v>29532</v>
      </c>
      <c r="Z5694" t="s">
        <v>6835</v>
      </c>
      <c r="AA5694" t="s">
        <v>29533</v>
      </c>
      <c r="AB5694" t="s">
        <v>10527</v>
      </c>
      <c r="AC5694" t="s">
        <v>29534</v>
      </c>
      <c r="AD5694" s="249" t="str">
        <f>HYPERLINK("https://scontent.cdninstagram.com/t51.2885-15/s320x320/e35/21435655_1419141841456647_6416595910892978176_n.jpg")</f>
        <v>https://scontent.cdninstagram.com/t51.2885-15/s320x320/e35/21435655_1419141841456647_6416595910892978176_n.jpg</v>
      </c>
      <c r="AE5694" s="249" t="str">
        <f>HYPERLINK("https://scontent.cdninstagram.com/t51.2885-19/s150x150/19367860_1542533482488744_2429238351635677184_a.jpg")</f>
        <v>https://scontent.cdninstagram.com/t51.2885-19/s150x150/19367860_1542533482488744_2429238351635677184_a.jpg</v>
      </c>
    </row>
    <row r="5695" spans="1:31" ht="15" x14ac:dyDescent="0.25">
      <c r="A5695" t="s">
        <v>2474</v>
      </c>
      <c r="B5695" t="s">
        <v>29535</v>
      </c>
      <c r="C5695" s="221">
        <v>42987.807858796295</v>
      </c>
      <c r="D5695" t="s">
        <v>29536</v>
      </c>
      <c r="E5695" s="249" t="str">
        <f>HYPERLINK("https://www.instagram.com/p/BY1qyQWFcts/")</f>
        <v>https://www.instagram.com/p/BY1qyQWFcts/</v>
      </c>
      <c r="F5695" t="s">
        <v>29537</v>
      </c>
      <c r="G5695" t="s">
        <v>2478</v>
      </c>
      <c r="H5695">
        <v>58</v>
      </c>
      <c r="I5695" t="s">
        <v>2479</v>
      </c>
      <c r="J5695">
        <v>2</v>
      </c>
      <c r="K5695">
        <v>24</v>
      </c>
      <c r="L5695">
        <v>26</v>
      </c>
      <c r="Q5695">
        <v>0</v>
      </c>
      <c r="R5695">
        <v>0</v>
      </c>
      <c r="S5695">
        <v>26</v>
      </c>
      <c r="Y5695" t="s">
        <v>12871</v>
      </c>
      <c r="Z5695" t="s">
        <v>11627</v>
      </c>
      <c r="AA5695" t="s">
        <v>2734</v>
      </c>
      <c r="AB5695" t="s">
        <v>3549</v>
      </c>
      <c r="AC5695" t="s">
        <v>7560</v>
      </c>
      <c r="AD5695" s="249" t="str">
        <f>HYPERLINK("https://scontent.cdninstagram.com/t51.2885-15/s320x320/e35/21480387_1988783001387644_8912086525366239232_n.jpg")</f>
        <v>https://scontent.cdninstagram.com/t51.2885-15/s320x320/e35/21480387_1988783001387644_8912086525366239232_n.jpg</v>
      </c>
      <c r="AE5695" s="249" t="str">
        <f>HYPERLINK("https://scontent.cdninstagram.com/t51.2885-19/s150x150/21827616_531077723910456_4542887703271702528_n.jpg")</f>
        <v>https://scontent.cdninstagram.com/t51.2885-19/s150x150/21827616_531077723910456_4542887703271702528_n.jpg</v>
      </c>
    </row>
    <row r="5696" spans="1:31" ht="15" x14ac:dyDescent="0.25">
      <c r="A5696" t="s">
        <v>2474</v>
      </c>
      <c r="B5696" t="s">
        <v>7232</v>
      </c>
      <c r="C5696" s="221">
        <v>42987.845625000002</v>
      </c>
      <c r="D5696" t="s">
        <v>29538</v>
      </c>
      <c r="E5696" s="249" t="str">
        <f>HYPERLINK("https://www.instagram.com/p/BY1xAmXnEi4/")</f>
        <v>https://www.instagram.com/p/BY1xAmXnEi4/</v>
      </c>
      <c r="F5696" t="s">
        <v>29539</v>
      </c>
      <c r="G5696" t="s">
        <v>2631</v>
      </c>
      <c r="H5696">
        <v>522</v>
      </c>
      <c r="I5696" t="s">
        <v>2479</v>
      </c>
      <c r="J5696">
        <v>4</v>
      </c>
      <c r="K5696">
        <v>30</v>
      </c>
      <c r="L5696">
        <v>34</v>
      </c>
      <c r="Q5696">
        <v>0</v>
      </c>
      <c r="R5696">
        <v>0</v>
      </c>
      <c r="S5696">
        <v>34</v>
      </c>
      <c r="Y5696" t="s">
        <v>5168</v>
      </c>
      <c r="Z5696" t="s">
        <v>7236</v>
      </c>
      <c r="AA5696" t="s">
        <v>25197</v>
      </c>
      <c r="AB5696" t="s">
        <v>13362</v>
      </c>
      <c r="AC5696" t="s">
        <v>22836</v>
      </c>
      <c r="AD5696" s="249" t="str">
        <f>HYPERLINK("https://scontent.cdninstagram.com/t51.2885-15/e15/p320x320/21569241_1950037681946030_179965503433867264_n.jpg")</f>
        <v>https://scontent.cdninstagram.com/t51.2885-15/e15/p320x320/21569241_1950037681946030_179965503433867264_n.jpg</v>
      </c>
      <c r="AE5696" s="249" t="str">
        <f>HYPERLINK("https://scontent.cdninstagram.com/t51.2885-19/s150x150/14482263_1660577494243200_2334360342223650816_a.jpg")</f>
        <v>https://scontent.cdninstagram.com/t51.2885-19/s150x150/14482263_1660577494243200_2334360342223650816_a.jpg</v>
      </c>
    </row>
    <row r="5697" spans="1:31" ht="15" x14ac:dyDescent="0.25">
      <c r="A5697" t="s">
        <v>2474</v>
      </c>
      <c r="B5697" t="s">
        <v>3565</v>
      </c>
      <c r="C5697" s="221">
        <v>42987.875254629631</v>
      </c>
      <c r="D5697" t="s">
        <v>29540</v>
      </c>
      <c r="E5697" s="249" t="str">
        <f>HYPERLINK("https://www.instagram.com/p/BY115IFgC5W/")</f>
        <v>https://www.instagram.com/p/BY115IFgC5W/</v>
      </c>
      <c r="F5697" t="s">
        <v>29541</v>
      </c>
      <c r="G5697" t="s">
        <v>2478</v>
      </c>
      <c r="H5697">
        <v>57583</v>
      </c>
      <c r="I5697" t="s">
        <v>2927</v>
      </c>
      <c r="J5697">
        <v>5</v>
      </c>
      <c r="K5697">
        <v>678</v>
      </c>
      <c r="L5697">
        <v>683</v>
      </c>
      <c r="Q5697">
        <v>0</v>
      </c>
      <c r="R5697">
        <v>0</v>
      </c>
      <c r="S5697">
        <v>683</v>
      </c>
      <c r="AD5697" s="249" t="str">
        <f>HYPERLINK("https://scontent.cdninstagram.com/t51.2885-15/s320x320/e35/21434208_353919395040320_3238407020516212736_n.jpg")</f>
        <v>https://scontent.cdninstagram.com/t51.2885-15/s320x320/e35/21434208_353919395040320_3238407020516212736_n.jpg</v>
      </c>
      <c r="AE5697" s="249" t="str">
        <f>HYPERLINK("https://scontent.cdninstagram.com/t51.2885-19/s150x150/10268950_1639938246262719_2023719557_a.jpg")</f>
        <v>https://scontent.cdninstagram.com/t51.2885-19/s150x150/10268950_1639938246262719_2023719557_a.jpg</v>
      </c>
    </row>
    <row r="5698" spans="1:31" ht="15" x14ac:dyDescent="0.25">
      <c r="A5698" t="s">
        <v>2474</v>
      </c>
      <c r="B5698" t="s">
        <v>11483</v>
      </c>
      <c r="C5698" s="221">
        <v>42987.877708333333</v>
      </c>
      <c r="D5698" t="s">
        <v>29542</v>
      </c>
      <c r="E5698" s="249" t="str">
        <f>HYPERLINK("https://www.instagram.com/p/BY12TAvAoTJ/")</f>
        <v>https://www.instagram.com/p/BY12TAvAoTJ/</v>
      </c>
      <c r="F5698" t="s">
        <v>29543</v>
      </c>
      <c r="G5698" t="s">
        <v>2478</v>
      </c>
      <c r="H5698">
        <v>1891</v>
      </c>
      <c r="I5698" t="s">
        <v>2542</v>
      </c>
      <c r="J5698">
        <v>0</v>
      </c>
      <c r="K5698">
        <v>20</v>
      </c>
      <c r="L5698">
        <v>20</v>
      </c>
      <c r="Q5698">
        <v>0</v>
      </c>
      <c r="R5698">
        <v>0</v>
      </c>
      <c r="S5698">
        <v>20</v>
      </c>
      <c r="Y5698" t="s">
        <v>5168</v>
      </c>
      <c r="Z5698" t="s">
        <v>11488</v>
      </c>
      <c r="AA5698" t="s">
        <v>29544</v>
      </c>
      <c r="AB5698" t="s">
        <v>29545</v>
      </c>
      <c r="AC5698" t="s">
        <v>29546</v>
      </c>
      <c r="AD5698" s="249" t="str">
        <f>HYPERLINK("https://scontent.cdninstagram.com/t51.2885-15/e35/p320x320/21480527_1791444061147853_8187671309426098176_n.jpg")</f>
        <v>https://scontent.cdninstagram.com/t51.2885-15/e35/p320x320/21480527_1791444061147853_8187671309426098176_n.jpg</v>
      </c>
      <c r="AE5698" s="249" t="str">
        <f>HYPERLINK("https://scontent.cdninstagram.com/t51.2885-19/s150x150/14723077_109629699514452_3121925819526545408_a.jpg")</f>
        <v>https://scontent.cdninstagram.com/t51.2885-19/s150x150/14723077_109629699514452_3121925819526545408_a.jpg</v>
      </c>
    </row>
    <row r="5699" spans="1:31" ht="15" x14ac:dyDescent="0.25">
      <c r="A5699" t="s">
        <v>2474</v>
      </c>
      <c r="B5699" t="s">
        <v>5548</v>
      </c>
      <c r="C5699" s="221">
        <v>42987.877754629626</v>
      </c>
      <c r="D5699" t="s">
        <v>29547</v>
      </c>
      <c r="E5699" s="249" t="str">
        <f>HYPERLINK("https://www.instagram.com/p/BY12TfQHQhV/")</f>
        <v>https://www.instagram.com/p/BY12TfQHQhV/</v>
      </c>
      <c r="F5699" t="s">
        <v>29548</v>
      </c>
      <c r="G5699" t="s">
        <v>2478</v>
      </c>
      <c r="I5699" t="s">
        <v>2479</v>
      </c>
      <c r="J5699">
        <v>2</v>
      </c>
      <c r="K5699">
        <v>58</v>
      </c>
      <c r="L5699">
        <v>60</v>
      </c>
      <c r="Q5699">
        <v>0</v>
      </c>
      <c r="R5699">
        <v>0</v>
      </c>
      <c r="S5699">
        <v>60</v>
      </c>
      <c r="Y5699" t="s">
        <v>13887</v>
      </c>
      <c r="Z5699" t="s">
        <v>24819</v>
      </c>
      <c r="AA5699" t="s">
        <v>29549</v>
      </c>
      <c r="AB5699" t="s">
        <v>24820</v>
      </c>
      <c r="AC5699" t="s">
        <v>15200</v>
      </c>
      <c r="AD5699" s="249" t="str">
        <f>HYPERLINK("https://scontent.cdninstagram.com/t51.2885-15/s320x320/e35/21435958_389057378176986_7127166003401719808_n.jpg")</f>
        <v>https://scontent.cdninstagram.com/t51.2885-15/s320x320/e35/21435958_389057378176986_7127166003401719808_n.jpg</v>
      </c>
      <c r="AE5699" s="249" t="str">
        <f>HYPERLINK("https://scontent.cdninstagram.com/t51.2885-19/s150x150/13108909_1000696516646693_1898242059_a.jpg")</f>
        <v>https://scontent.cdninstagram.com/t51.2885-19/s150x150/13108909_1000696516646693_1898242059_a.jpg</v>
      </c>
    </row>
    <row r="5700" spans="1:31" ht="15" x14ac:dyDescent="0.25">
      <c r="A5700" t="s">
        <v>2474</v>
      </c>
      <c r="B5700" t="s">
        <v>29550</v>
      </c>
      <c r="C5700" s="221">
        <v>42987.884189814817</v>
      </c>
      <c r="D5700" t="s">
        <v>29551</v>
      </c>
      <c r="E5700" s="249" t="str">
        <f>HYPERLINK("https://www.instagram.com/p/BY13XROhGQ0/")</f>
        <v>https://www.instagram.com/p/BY13XROhGQ0/</v>
      </c>
      <c r="F5700" t="s">
        <v>29552</v>
      </c>
      <c r="G5700" t="s">
        <v>2478</v>
      </c>
      <c r="H5700">
        <v>273</v>
      </c>
      <c r="I5700" t="s">
        <v>3186</v>
      </c>
      <c r="J5700">
        <v>1</v>
      </c>
      <c r="K5700">
        <v>13</v>
      </c>
      <c r="L5700">
        <v>14</v>
      </c>
      <c r="Q5700">
        <v>0</v>
      </c>
      <c r="R5700">
        <v>0</v>
      </c>
      <c r="S5700">
        <v>14</v>
      </c>
      <c r="Y5700" t="s">
        <v>29553</v>
      </c>
      <c r="Z5700" t="s">
        <v>29554</v>
      </c>
      <c r="AA5700" t="s">
        <v>2492</v>
      </c>
      <c r="AB5700" t="s">
        <v>29555</v>
      </c>
      <c r="AC5700" t="s">
        <v>8878</v>
      </c>
      <c r="AD5700" s="249" t="str">
        <f>HYPERLINK("https://scontent.cdninstagram.com/t51.2885-15/s320x320/e35/21568463_124571651607909_5761288814689517568_n.jpg")</f>
        <v>https://scontent.cdninstagram.com/t51.2885-15/s320x320/e35/21568463_124571651607909_5761288814689517568_n.jpg</v>
      </c>
      <c r="AE5700" s="249" t="str">
        <f>HYPERLINK("https://scontent.cdninstagram.com/t51.2885-19/s150x150/13704268_903095963135879_73839585_a.jpg")</f>
        <v>https://scontent.cdninstagram.com/t51.2885-19/s150x150/13704268_903095963135879_73839585_a.jpg</v>
      </c>
    </row>
    <row r="5701" spans="1:31" ht="15" x14ac:dyDescent="0.25">
      <c r="A5701" t="s">
        <v>2474</v>
      </c>
      <c r="B5701" t="s">
        <v>29556</v>
      </c>
      <c r="C5701" s="221">
        <v>42987.895613425928</v>
      </c>
      <c r="D5701" t="s">
        <v>29557</v>
      </c>
      <c r="E5701" s="249" t="str">
        <f>HYPERLINK("https://www.instagram.com/p/BY15P1pFSTd/")</f>
        <v>https://www.instagram.com/p/BY15P1pFSTd/</v>
      </c>
      <c r="F5701" t="s">
        <v>29558</v>
      </c>
      <c r="G5701" t="s">
        <v>2478</v>
      </c>
      <c r="H5701">
        <v>35</v>
      </c>
      <c r="I5701" t="s">
        <v>2479</v>
      </c>
      <c r="J5701">
        <v>1</v>
      </c>
      <c r="K5701">
        <v>13</v>
      </c>
      <c r="L5701">
        <v>14</v>
      </c>
      <c r="Q5701">
        <v>0</v>
      </c>
      <c r="R5701">
        <v>0</v>
      </c>
      <c r="S5701">
        <v>14</v>
      </c>
      <c r="Y5701" t="s">
        <v>2949</v>
      </c>
      <c r="Z5701" t="s">
        <v>6311</v>
      </c>
      <c r="AA5701" t="s">
        <v>3569</v>
      </c>
      <c r="AB5701" t="s">
        <v>29559</v>
      </c>
      <c r="AC5701" t="s">
        <v>3244</v>
      </c>
      <c r="AD5701" s="249" t="str">
        <f>HYPERLINK("https://scontent.cdninstagram.com/t51.2885-15/s320x320/e35/21568721_162092641011813_2928153134402371584_n.jpg")</f>
        <v>https://scontent.cdninstagram.com/t51.2885-15/s320x320/e35/21568721_162092641011813_2928153134402371584_n.jpg</v>
      </c>
      <c r="AE5701" s="249" t="str">
        <f>HYPERLINK("https://scontent.cdninstagram.com/t51.2885-19/s150x150/21689909_1224725074340008_1004795843573710848_n.jpg")</f>
        <v>https://scontent.cdninstagram.com/t51.2885-19/s150x150/21689909_1224725074340008_1004795843573710848_n.jpg</v>
      </c>
    </row>
    <row r="5702" spans="1:31" ht="15" x14ac:dyDescent="0.25">
      <c r="A5702" t="s">
        <v>2474</v>
      </c>
      <c r="B5702" t="s">
        <v>7003</v>
      </c>
      <c r="C5702" s="221">
        <v>42987.897835648146</v>
      </c>
      <c r="D5702" t="s">
        <v>29560</v>
      </c>
      <c r="E5702" s="249" t="str">
        <f>HYPERLINK("https://www.instagram.com/p/BY15nNagEHl/")</f>
        <v>https://www.instagram.com/p/BY15nNagEHl/</v>
      </c>
      <c r="F5702" t="s">
        <v>29561</v>
      </c>
      <c r="G5702" t="s">
        <v>2478</v>
      </c>
      <c r="H5702">
        <v>24501</v>
      </c>
      <c r="I5702" t="s">
        <v>2479</v>
      </c>
      <c r="J5702">
        <v>11</v>
      </c>
      <c r="K5702">
        <v>486</v>
      </c>
      <c r="L5702">
        <v>497</v>
      </c>
      <c r="Q5702">
        <v>0</v>
      </c>
      <c r="R5702">
        <v>0</v>
      </c>
      <c r="S5702">
        <v>497</v>
      </c>
      <c r="Y5702" t="s">
        <v>15218</v>
      </c>
      <c r="Z5702" t="s">
        <v>7523</v>
      </c>
      <c r="AA5702" t="s">
        <v>7729</v>
      </c>
      <c r="AB5702" t="s">
        <v>11834</v>
      </c>
      <c r="AC5702" t="s">
        <v>4096</v>
      </c>
      <c r="AD5702" s="249" t="str">
        <f>HYPERLINK("https://scontent.cdninstagram.com/t51.2885-15/e35/p320x320/21435925_499634080388863_6805244808563523584_n.jpg")</f>
        <v>https://scontent.cdninstagram.com/t51.2885-15/e35/p320x320/21435925_499634080388863_6805244808563523584_n.jpg</v>
      </c>
      <c r="AE5702" s="249" t="str">
        <f>HYPERLINK("https://scontent.cdninstagram.com/t51.2885-19/s150x150/18299005_447807092243343_3242761266950832128_n.jpg")</f>
        <v>https://scontent.cdninstagram.com/t51.2885-19/s150x150/18299005_447807092243343_3242761266950832128_n.jpg</v>
      </c>
    </row>
    <row r="5703" spans="1:31" ht="15" x14ac:dyDescent="0.25">
      <c r="A5703" t="s">
        <v>2474</v>
      </c>
      <c r="B5703" t="s">
        <v>17216</v>
      </c>
      <c r="C5703" s="221">
        <v>42987.910254629627</v>
      </c>
      <c r="D5703" t="s">
        <v>29562</v>
      </c>
      <c r="E5703" s="249" t="str">
        <f>HYPERLINK("https://www.instagram.com/p/BY17qMBgFdc/")</f>
        <v>https://www.instagram.com/p/BY17qMBgFdc/</v>
      </c>
      <c r="F5703" t="s">
        <v>29563</v>
      </c>
      <c r="G5703" t="s">
        <v>2478</v>
      </c>
      <c r="H5703">
        <v>46</v>
      </c>
      <c r="I5703" t="s">
        <v>2479</v>
      </c>
      <c r="J5703">
        <v>1</v>
      </c>
      <c r="K5703">
        <v>8</v>
      </c>
      <c r="L5703">
        <v>9</v>
      </c>
      <c r="Q5703">
        <v>0</v>
      </c>
      <c r="R5703">
        <v>0</v>
      </c>
      <c r="S5703">
        <v>9</v>
      </c>
      <c r="Y5703" t="s">
        <v>11434</v>
      </c>
      <c r="Z5703" t="s">
        <v>2551</v>
      </c>
      <c r="AA5703" t="s">
        <v>29564</v>
      </c>
      <c r="AB5703" t="s">
        <v>4582</v>
      </c>
      <c r="AC5703" t="s">
        <v>3655</v>
      </c>
      <c r="AD5703" s="249" t="str">
        <f>HYPERLINK("https://scontent.cdninstagram.com/t51.2885-15/e35/p320x320/21433993_494437894266489_7175315915389534208_n.jpg")</f>
        <v>https://scontent.cdninstagram.com/t51.2885-15/e35/p320x320/21433993_494437894266489_7175315915389534208_n.jpg</v>
      </c>
      <c r="AE5703" s="249" t="str">
        <f>HYPERLINK("https://scontent.cdninstagram.com/t51.2885-19/s150x150/21148965_509922689345454_4827689016188993536_a.jpg")</f>
        <v>https://scontent.cdninstagram.com/t51.2885-19/s150x150/21148965_509922689345454_4827689016188993536_a.jpg</v>
      </c>
    </row>
    <row r="5704" spans="1:31" ht="15" x14ac:dyDescent="0.25">
      <c r="A5704" t="s">
        <v>2474</v>
      </c>
      <c r="B5704" t="s">
        <v>29186</v>
      </c>
      <c r="C5704" s="221">
        <v>42987.922291666669</v>
      </c>
      <c r="D5704" t="s">
        <v>29565</v>
      </c>
      <c r="E5704" s="249" t="str">
        <f>HYPERLINK("https://www.instagram.com/p/BY19pIbBM0R/")</f>
        <v>https://www.instagram.com/p/BY19pIbBM0R/</v>
      </c>
      <c r="F5704" t="s">
        <v>29566</v>
      </c>
      <c r="G5704" t="s">
        <v>2478</v>
      </c>
      <c r="H5704">
        <v>992</v>
      </c>
      <c r="I5704" t="s">
        <v>2479</v>
      </c>
      <c r="J5704">
        <v>0</v>
      </c>
      <c r="K5704">
        <v>43</v>
      </c>
      <c r="L5704">
        <v>43</v>
      </c>
      <c r="Q5704">
        <v>0</v>
      </c>
      <c r="R5704">
        <v>0</v>
      </c>
      <c r="S5704">
        <v>43</v>
      </c>
      <c r="Y5704" t="s">
        <v>3174</v>
      </c>
      <c r="Z5704" t="s">
        <v>10684</v>
      </c>
      <c r="AA5704" t="s">
        <v>3569</v>
      </c>
      <c r="AB5704" t="s">
        <v>12358</v>
      </c>
      <c r="AC5704" t="s">
        <v>29567</v>
      </c>
      <c r="AD5704" s="249" t="str">
        <f>HYPERLINK("https://scontent.cdninstagram.com/t51.2885-15/e35/p320x320/21479631_222064398325591_4816580873551872000_n.jpg")</f>
        <v>https://scontent.cdninstagram.com/t51.2885-15/e35/p320x320/21479631_222064398325591_4816580873551872000_n.jpg</v>
      </c>
      <c r="AE5704" s="249" t="str">
        <f>HYPERLINK("https://scontent.cdninstagram.com/t51.2885-19/s150x150/20067447_1385909644830434_8040372287863521280_a.jpg")</f>
        <v>https://scontent.cdninstagram.com/t51.2885-19/s150x150/20067447_1385909644830434_8040372287863521280_a.jpg</v>
      </c>
    </row>
    <row r="5705" spans="1:31" ht="15" x14ac:dyDescent="0.25">
      <c r="A5705" t="s">
        <v>2474</v>
      </c>
      <c r="B5705" t="s">
        <v>6899</v>
      </c>
      <c r="C5705" s="221">
        <v>42987.924479166664</v>
      </c>
      <c r="D5705" t="s">
        <v>29568</v>
      </c>
      <c r="E5705" s="249" t="str">
        <f>HYPERLINK("https://www.instagram.com/p/BY1-AR5ghZQ/")</f>
        <v>https://www.instagram.com/p/BY1-AR5ghZQ/</v>
      </c>
      <c r="F5705" t="s">
        <v>29569</v>
      </c>
      <c r="G5705" t="s">
        <v>2478</v>
      </c>
      <c r="H5705">
        <v>36669</v>
      </c>
      <c r="I5705" t="s">
        <v>2479</v>
      </c>
      <c r="J5705">
        <v>4</v>
      </c>
      <c r="K5705">
        <v>699</v>
      </c>
      <c r="L5705">
        <v>703</v>
      </c>
      <c r="Q5705">
        <v>0</v>
      </c>
      <c r="R5705">
        <v>0</v>
      </c>
      <c r="S5705">
        <v>703</v>
      </c>
      <c r="Y5705" t="s">
        <v>27118</v>
      </c>
      <c r="Z5705" t="s">
        <v>19912</v>
      </c>
      <c r="AA5705" t="s">
        <v>29570</v>
      </c>
      <c r="AB5705" t="s">
        <v>19911</v>
      </c>
      <c r="AC5705" t="s">
        <v>29571</v>
      </c>
      <c r="AD5705" s="249" t="str">
        <f>HYPERLINK("https://scontent.cdninstagram.com/t51.2885-15/s320x320/e35/21435592_311973822611193_481392879567110144_n.jpg")</f>
        <v>https://scontent.cdninstagram.com/t51.2885-15/s320x320/e35/21435592_311973822611193_481392879567110144_n.jpg</v>
      </c>
      <c r="AE5705" s="249" t="str">
        <f>HYPERLINK("https://scontent.cdninstagram.com/t51.2885-19/s150x150/17493776_1474371442636277_6993911971573661696_n.jpg")</f>
        <v>https://scontent.cdninstagram.com/t51.2885-19/s150x150/17493776_1474371442636277_6993911971573661696_n.jpg</v>
      </c>
    </row>
    <row r="5706" spans="1:31" ht="15" x14ac:dyDescent="0.25">
      <c r="A5706" t="s">
        <v>2474</v>
      </c>
      <c r="B5706" t="s">
        <v>29572</v>
      </c>
      <c r="C5706" s="221">
        <v>42987.926238425927</v>
      </c>
      <c r="D5706" t="s">
        <v>29573</v>
      </c>
      <c r="E5706" s="249" t="str">
        <f>HYPERLINK("https://www.instagram.com/p/BY1-S0OHl8K/")</f>
        <v>https://www.instagram.com/p/BY1-S0OHl8K/</v>
      </c>
      <c r="F5706" t="s">
        <v>29574</v>
      </c>
      <c r="G5706" t="s">
        <v>2478</v>
      </c>
      <c r="H5706">
        <v>195</v>
      </c>
      <c r="I5706" t="s">
        <v>2479</v>
      </c>
      <c r="J5706">
        <v>0</v>
      </c>
      <c r="K5706">
        <v>35</v>
      </c>
      <c r="L5706">
        <v>35</v>
      </c>
      <c r="Q5706">
        <v>0</v>
      </c>
      <c r="R5706">
        <v>0</v>
      </c>
      <c r="S5706">
        <v>35</v>
      </c>
      <c r="Y5706" t="s">
        <v>29575</v>
      </c>
      <c r="Z5706" t="s">
        <v>29576</v>
      </c>
      <c r="AA5706" t="s">
        <v>19318</v>
      </c>
      <c r="AB5706" t="s">
        <v>29577</v>
      </c>
      <c r="AC5706" t="s">
        <v>29578</v>
      </c>
      <c r="AD5706" s="249" t="str">
        <f>HYPERLINK("https://scontent.cdninstagram.com/t51.2885-15/s320x320/e35/21479622_342219119551405_1019142181098618880_n.jpg")</f>
        <v>https://scontent.cdninstagram.com/t51.2885-15/s320x320/e35/21479622_342219119551405_1019142181098618880_n.jpg</v>
      </c>
      <c r="AE5706" s="249" t="str">
        <f>HYPERLINK("https://scontent.cdninstagram.com/t51.2885-19/s150x150/19622837_113272655963943_3422648292742266880_a.jpg")</f>
        <v>https://scontent.cdninstagram.com/t51.2885-19/s150x150/19622837_113272655963943_3422648292742266880_a.jpg</v>
      </c>
    </row>
    <row r="5707" spans="1:31" ht="15" x14ac:dyDescent="0.25">
      <c r="A5707" t="s">
        <v>2474</v>
      </c>
      <c r="B5707" t="s">
        <v>29579</v>
      </c>
      <c r="C5707" s="221">
        <v>42987.927604166667</v>
      </c>
      <c r="D5707" t="s">
        <v>29580</v>
      </c>
      <c r="E5707" s="249" t="str">
        <f>HYPERLINK("https://www.instagram.com/p/BY1-hJTDgJd/")</f>
        <v>https://www.instagram.com/p/BY1-hJTDgJd/</v>
      </c>
      <c r="F5707" t="s">
        <v>29581</v>
      </c>
      <c r="G5707" t="s">
        <v>2478</v>
      </c>
      <c r="H5707">
        <v>1763</v>
      </c>
      <c r="I5707" t="s">
        <v>2479</v>
      </c>
      <c r="J5707">
        <v>11</v>
      </c>
      <c r="K5707">
        <v>219</v>
      </c>
      <c r="L5707">
        <v>230</v>
      </c>
      <c r="Q5707">
        <v>0</v>
      </c>
      <c r="R5707">
        <v>0</v>
      </c>
      <c r="S5707">
        <v>230</v>
      </c>
      <c r="T5707" t="s">
        <v>29582</v>
      </c>
      <c r="V5707" t="s">
        <v>2176</v>
      </c>
      <c r="W5707">
        <v>18.975000000000001</v>
      </c>
      <c r="X5707">
        <v>72.825800000000001</v>
      </c>
      <c r="Y5707" t="s">
        <v>29583</v>
      </c>
      <c r="Z5707" t="s">
        <v>29584</v>
      </c>
      <c r="AA5707" t="s">
        <v>29585</v>
      </c>
      <c r="AB5707" t="s">
        <v>11647</v>
      </c>
      <c r="AC5707" t="s">
        <v>9669</v>
      </c>
      <c r="AD5707" s="249" t="str">
        <f>HYPERLINK("https://scontent.cdninstagram.com/t51.2885-15/s320x320/e35/21569273_1934140626848014_8438486696453996544_n.jpg")</f>
        <v>https://scontent.cdninstagram.com/t51.2885-15/s320x320/e35/21569273_1934140626848014_8438486696453996544_n.jpg</v>
      </c>
      <c r="AE5707" s="249" t="str">
        <f>HYPERLINK("https://scontent.cdninstagram.com/t51.2885-19/s150x150/19534096_244970072672838_3915156461772079104_a.jpg")</f>
        <v>https://scontent.cdninstagram.com/t51.2885-19/s150x150/19534096_244970072672838_3915156461772079104_a.jpg</v>
      </c>
    </row>
    <row r="5708" spans="1:31" ht="15" x14ac:dyDescent="0.25">
      <c r="A5708" t="s">
        <v>2474</v>
      </c>
      <c r="B5708" t="s">
        <v>7232</v>
      </c>
      <c r="C5708" s="221">
        <v>42987.930625000001</v>
      </c>
      <c r="D5708" t="s">
        <v>29586</v>
      </c>
      <c r="E5708" s="249" t="str">
        <f>HYPERLINK("https://www.instagram.com/p/BY1_BEunBtR/")</f>
        <v>https://www.instagram.com/p/BY1_BEunBtR/</v>
      </c>
      <c r="F5708" t="s">
        <v>29587</v>
      </c>
      <c r="G5708" t="s">
        <v>2631</v>
      </c>
      <c r="H5708">
        <v>526</v>
      </c>
      <c r="I5708" t="s">
        <v>2479</v>
      </c>
      <c r="J5708">
        <v>3</v>
      </c>
      <c r="K5708">
        <v>33</v>
      </c>
      <c r="L5708">
        <v>36</v>
      </c>
      <c r="Q5708">
        <v>0</v>
      </c>
      <c r="R5708">
        <v>0</v>
      </c>
      <c r="S5708">
        <v>36</v>
      </c>
      <c r="Y5708" t="s">
        <v>5168</v>
      </c>
      <c r="Z5708" t="s">
        <v>7236</v>
      </c>
      <c r="AA5708" t="s">
        <v>25197</v>
      </c>
      <c r="AB5708" t="s">
        <v>13362</v>
      </c>
      <c r="AC5708" t="s">
        <v>22836</v>
      </c>
      <c r="AD5708" s="249" t="str">
        <f>HYPERLINK("https://scontent.cdninstagram.com/t51.2885-15/e15/p320x320/21435471_1736807416615015_9021855405436829696_n.jpg")</f>
        <v>https://scontent.cdninstagram.com/t51.2885-15/e15/p320x320/21435471_1736807416615015_9021855405436829696_n.jpg</v>
      </c>
      <c r="AE5708" s="249" t="str">
        <f>HYPERLINK("https://scontent.cdninstagram.com/t51.2885-19/s150x150/14482263_1660577494243200_2334360342223650816_a.jpg")</f>
        <v>https://scontent.cdninstagram.com/t51.2885-19/s150x150/14482263_1660577494243200_2334360342223650816_a.jpg</v>
      </c>
    </row>
    <row r="5709" spans="1:31" ht="15" x14ac:dyDescent="0.25">
      <c r="A5709" t="s">
        <v>2474</v>
      </c>
      <c r="B5709" t="s">
        <v>3248</v>
      </c>
      <c r="C5709" s="221">
        <v>42987.934282407405</v>
      </c>
      <c r="D5709" t="s">
        <v>29588</v>
      </c>
      <c r="E5709" s="249" t="str">
        <f>HYPERLINK("https://www.instagram.com/p/BY1_nnsnARJ/")</f>
        <v>https://www.instagram.com/p/BY1_nnsnARJ/</v>
      </c>
      <c r="F5709" t="s">
        <v>29589</v>
      </c>
      <c r="G5709" t="s">
        <v>2478</v>
      </c>
      <c r="H5709">
        <v>33730</v>
      </c>
      <c r="I5709" t="s">
        <v>2479</v>
      </c>
      <c r="J5709">
        <v>11</v>
      </c>
      <c r="K5709">
        <v>441</v>
      </c>
      <c r="L5709">
        <v>452</v>
      </c>
      <c r="Q5709">
        <v>0</v>
      </c>
      <c r="R5709">
        <v>0</v>
      </c>
      <c r="S5709">
        <v>452</v>
      </c>
      <c r="AD5709" s="249" t="str">
        <f>HYPERLINK("https://scontent.cdninstagram.com/t51.2885-15/s320x320/e35/21479625_116622065714217_5314622626906243072_n.jpg")</f>
        <v>https://scontent.cdninstagram.com/t51.2885-15/s320x320/e35/21479625_116622065714217_5314622626906243072_n.jpg</v>
      </c>
      <c r="AE5709" s="249" t="str">
        <f>HYPERLINK("https://scontent.cdninstagram.com/t51.2885-19/s150x150/16229301_1876915245885793_5124596849776263168_n.jpg")</f>
        <v>https://scontent.cdninstagram.com/t51.2885-19/s150x150/16229301_1876915245885793_5124596849776263168_n.jpg</v>
      </c>
    </row>
    <row r="5710" spans="1:31" ht="15" x14ac:dyDescent="0.25">
      <c r="A5710" t="s">
        <v>2474</v>
      </c>
      <c r="B5710" t="s">
        <v>29590</v>
      </c>
      <c r="C5710" s="221">
        <v>42987.936932870369</v>
      </c>
      <c r="D5710" t="s">
        <v>29591</v>
      </c>
      <c r="E5710" s="249" t="str">
        <f>HYPERLINK("https://www.instagram.com/p/BY2ADn_gOSb/")</f>
        <v>https://www.instagram.com/p/BY2ADn_gOSb/</v>
      </c>
      <c r="F5710" t="s">
        <v>29592</v>
      </c>
      <c r="G5710" t="s">
        <v>2631</v>
      </c>
      <c r="H5710">
        <v>142</v>
      </c>
      <c r="I5710" t="s">
        <v>2479</v>
      </c>
      <c r="J5710">
        <v>0</v>
      </c>
      <c r="K5710">
        <v>10</v>
      </c>
      <c r="L5710">
        <v>10</v>
      </c>
      <c r="Q5710">
        <v>0</v>
      </c>
      <c r="R5710">
        <v>0</v>
      </c>
      <c r="S5710">
        <v>10</v>
      </c>
      <c r="Y5710" t="s">
        <v>2497</v>
      </c>
      <c r="AD5710" s="249" t="str">
        <f>HYPERLINK("https://scontent.cdninstagram.com/t51.2885-15/s320x320/e15/21480027_130844657544639_7240250529505345536_n.jpg")</f>
        <v>https://scontent.cdninstagram.com/t51.2885-15/s320x320/e15/21480027_130844657544639_7240250529505345536_n.jpg</v>
      </c>
      <c r="AE5710" s="249" t="str">
        <f>HYPERLINK("https://scontent.cdninstagram.com/t51.2885-19/11049346_287280154729485_502469958_a.jpg")</f>
        <v>https://scontent.cdninstagram.com/t51.2885-19/11049346_287280154729485_502469958_a.jpg</v>
      </c>
    </row>
    <row r="5711" spans="1:31" ht="15" x14ac:dyDescent="0.25">
      <c r="A5711" t="s">
        <v>2474</v>
      </c>
      <c r="B5711" t="s">
        <v>29593</v>
      </c>
      <c r="C5711" s="221">
        <v>42987.961053240739</v>
      </c>
      <c r="D5711" t="s">
        <v>29594</v>
      </c>
      <c r="E5711" s="249" t="str">
        <f>HYPERLINK("https://www.instagram.com/p/BY2EB-6jEog/")</f>
        <v>https://www.instagram.com/p/BY2EB-6jEog/</v>
      </c>
      <c r="F5711" t="s">
        <v>29595</v>
      </c>
      <c r="G5711" t="s">
        <v>2478</v>
      </c>
      <c r="H5711">
        <v>242</v>
      </c>
      <c r="I5711" t="s">
        <v>2519</v>
      </c>
      <c r="J5711">
        <v>0</v>
      </c>
      <c r="K5711">
        <v>55</v>
      </c>
      <c r="L5711">
        <v>55</v>
      </c>
      <c r="Q5711">
        <v>0</v>
      </c>
      <c r="R5711">
        <v>0</v>
      </c>
      <c r="S5711">
        <v>55</v>
      </c>
      <c r="T5711" t="s">
        <v>29596</v>
      </c>
      <c r="U5711" t="s">
        <v>97</v>
      </c>
      <c r="V5711" t="s">
        <v>2299</v>
      </c>
      <c r="W5711">
        <v>34.007800000000003</v>
      </c>
      <c r="X5711">
        <v>-118.401</v>
      </c>
      <c r="Y5711" t="s">
        <v>29597</v>
      </c>
      <c r="Z5711" t="s">
        <v>20959</v>
      </c>
      <c r="AA5711" t="s">
        <v>2844</v>
      </c>
      <c r="AB5711" t="s">
        <v>4827</v>
      </c>
      <c r="AC5711" t="s">
        <v>2497</v>
      </c>
      <c r="AD5711" s="249" t="str">
        <f>HYPERLINK("https://scontent.cdninstagram.com/t51.2885-15/s320x320/e35/21434140_727565024099096_14558899751354368_n.jpg")</f>
        <v>https://scontent.cdninstagram.com/t51.2885-15/s320x320/e35/21434140_727565024099096_14558899751354368_n.jpg</v>
      </c>
      <c r="AE5711" s="249" t="str">
        <f>HYPERLINK("https://scontent.cdninstagram.com/t51.2885-19/s150x150/17267718_1771297929759417_8328175757150912512_a.jpg")</f>
        <v>https://scontent.cdninstagram.com/t51.2885-19/s150x150/17267718_1771297929759417_8328175757150912512_a.jpg</v>
      </c>
    </row>
    <row r="5712" spans="1:31" ht="15" x14ac:dyDescent="0.25">
      <c r="A5712" t="s">
        <v>2474</v>
      </c>
      <c r="B5712" t="s">
        <v>18309</v>
      </c>
      <c r="C5712" s="221">
        <v>42987.96603009259</v>
      </c>
      <c r="D5712" t="s">
        <v>29598</v>
      </c>
      <c r="E5712" s="249" t="str">
        <f>HYPERLINK("https://www.instagram.com/p/BY2E2fxjwAG/")</f>
        <v>https://www.instagram.com/p/BY2E2fxjwAG/</v>
      </c>
      <c r="F5712" t="s">
        <v>29599</v>
      </c>
      <c r="G5712" t="s">
        <v>2478</v>
      </c>
      <c r="H5712">
        <v>50</v>
      </c>
      <c r="I5712" t="s">
        <v>2479</v>
      </c>
      <c r="J5712">
        <v>0</v>
      </c>
      <c r="K5712">
        <v>11</v>
      </c>
      <c r="L5712">
        <v>11</v>
      </c>
      <c r="Q5712">
        <v>0</v>
      </c>
      <c r="R5712">
        <v>0</v>
      </c>
      <c r="S5712">
        <v>11</v>
      </c>
      <c r="Y5712" t="s">
        <v>4180</v>
      </c>
      <c r="Z5712" t="s">
        <v>3269</v>
      </c>
      <c r="AA5712" t="s">
        <v>2497</v>
      </c>
      <c r="AB5712" t="s">
        <v>10374</v>
      </c>
      <c r="AC5712" t="s">
        <v>2730</v>
      </c>
      <c r="AD5712" s="249" t="str">
        <f>HYPERLINK("https://scontent.cdninstagram.com/t51.2885-15/s320x320/e35/21433906_1634276833271109_7878098957312720896_n.jpg")</f>
        <v>https://scontent.cdninstagram.com/t51.2885-15/s320x320/e35/21433906_1634276833271109_7878098957312720896_n.jpg</v>
      </c>
      <c r="AE5712" s="249" t="str">
        <f>HYPERLINK("https://scontent.cdninstagram.com/t51.2885-19/s150x150/21224635_116853155713206_6935607206414909440_a.jpg")</f>
        <v>https://scontent.cdninstagram.com/t51.2885-19/s150x150/21224635_116853155713206_6935607206414909440_a.jpg</v>
      </c>
    </row>
    <row r="5713" spans="1:31" ht="15" x14ac:dyDescent="0.25">
      <c r="A5713" t="s">
        <v>2474</v>
      </c>
      <c r="B5713" t="s">
        <v>29600</v>
      </c>
      <c r="C5713" s="221">
        <v>42987.976365740738</v>
      </c>
      <c r="D5713" t="s">
        <v>29601</v>
      </c>
      <c r="E5713" s="249" t="str">
        <f>HYPERLINK("https://www.instagram.com/p/BY2Gje7hQZM/")</f>
        <v>https://www.instagram.com/p/BY2Gje7hQZM/</v>
      </c>
      <c r="F5713" t="s">
        <v>29602</v>
      </c>
      <c r="G5713" t="s">
        <v>2478</v>
      </c>
      <c r="I5713" t="s">
        <v>2479</v>
      </c>
      <c r="J5713">
        <v>0</v>
      </c>
      <c r="K5713">
        <v>9</v>
      </c>
      <c r="L5713">
        <v>9</v>
      </c>
      <c r="Q5713">
        <v>0</v>
      </c>
      <c r="R5713">
        <v>0</v>
      </c>
      <c r="S5713">
        <v>9</v>
      </c>
      <c r="Y5713" t="s">
        <v>29603</v>
      </c>
      <c r="Z5713" t="s">
        <v>2497</v>
      </c>
      <c r="AA5713" t="s">
        <v>29604</v>
      </c>
      <c r="AB5713" t="s">
        <v>29605</v>
      </c>
      <c r="AC5713" t="s">
        <v>29606</v>
      </c>
      <c r="AD5713" s="249" t="str">
        <f>HYPERLINK("https://scontent.cdninstagram.com/t51.2885-15/e35/p320x320/21569381_1471037816267017_9142931353849823232_n.jpg")</f>
        <v>https://scontent.cdninstagram.com/t51.2885-15/e35/p320x320/21569381_1471037816267017_9142931353849823232_n.jpg</v>
      </c>
      <c r="AE5713" s="249" t="str">
        <f>HYPERLINK("https://scontent.cdninstagram.com/t51.2885-19/s150x150/20902793_156549788256815_1683176582128074752_a.jpg")</f>
        <v>https://scontent.cdninstagram.com/t51.2885-19/s150x150/20902793_156549788256815_1683176582128074752_a.jpg</v>
      </c>
    </row>
    <row r="5714" spans="1:31" ht="15" x14ac:dyDescent="0.25">
      <c r="A5714" t="s">
        <v>2474</v>
      </c>
      <c r="B5714" t="s">
        <v>29607</v>
      </c>
      <c r="C5714" s="221">
        <v>42987.977534722224</v>
      </c>
      <c r="D5714" t="s">
        <v>29608</v>
      </c>
      <c r="E5714" s="249" t="str">
        <f>HYPERLINK("https://www.instagram.com/p/BY2GvzGgMU9/")</f>
        <v>https://www.instagram.com/p/BY2GvzGgMU9/</v>
      </c>
      <c r="F5714" t="s">
        <v>29609</v>
      </c>
      <c r="G5714" t="s">
        <v>2478</v>
      </c>
      <c r="H5714">
        <v>510</v>
      </c>
      <c r="I5714" t="s">
        <v>2896</v>
      </c>
      <c r="J5714">
        <v>0</v>
      </c>
      <c r="K5714">
        <v>17</v>
      </c>
      <c r="L5714">
        <v>17</v>
      </c>
      <c r="Q5714">
        <v>0</v>
      </c>
      <c r="R5714">
        <v>0</v>
      </c>
      <c r="S5714">
        <v>17</v>
      </c>
      <c r="T5714" t="s">
        <v>29610</v>
      </c>
      <c r="U5714" t="s">
        <v>618</v>
      </c>
      <c r="V5714" t="s">
        <v>2299</v>
      </c>
      <c r="W5714">
        <v>45.546716000000004</v>
      </c>
      <c r="X5714">
        <v>-94.152421000000004</v>
      </c>
      <c r="Y5714" t="s">
        <v>2497</v>
      </c>
      <c r="Z5714" t="s">
        <v>29611</v>
      </c>
      <c r="AA5714" t="s">
        <v>5686</v>
      </c>
      <c r="AB5714" t="s">
        <v>29612</v>
      </c>
      <c r="AC5714" t="s">
        <v>29613</v>
      </c>
      <c r="AD5714" s="249" t="str">
        <f>HYPERLINK("https://scontent.cdninstagram.com/t51.2885-15/s320x320/e35/21434036_147582812507395_8614752124217065472_n.jpg")</f>
        <v>https://scontent.cdninstagram.com/t51.2885-15/s320x320/e35/21434036_147582812507395_8614752124217065472_n.jpg</v>
      </c>
      <c r="AE5714" s="249" t="str">
        <f>HYPERLINK("https://scontent.cdninstagram.com/t51.2885-19/s150x150/19762078_100862343891220_2214440221049618432_a.jpg")</f>
        <v>https://scontent.cdninstagram.com/t51.2885-19/s150x150/19762078_100862343891220_2214440221049618432_a.jpg</v>
      </c>
    </row>
    <row r="5715" spans="1:31" ht="15" x14ac:dyDescent="0.25">
      <c r="A5715" t="s">
        <v>2474</v>
      </c>
      <c r="B5715" t="s">
        <v>29614</v>
      </c>
      <c r="C5715" s="221">
        <v>42987.984710648147</v>
      </c>
      <c r="D5715" t="s">
        <v>29615</v>
      </c>
      <c r="E5715" s="249" t="str">
        <f>HYPERLINK("https://www.instagram.com/p/BY2H7f_BFrw/")</f>
        <v>https://www.instagram.com/p/BY2H7f_BFrw/</v>
      </c>
      <c r="F5715" t="s">
        <v>29616</v>
      </c>
      <c r="G5715" t="s">
        <v>2488</v>
      </c>
      <c r="H5715">
        <v>8191</v>
      </c>
      <c r="I5715" t="s">
        <v>2479</v>
      </c>
      <c r="J5715">
        <v>13</v>
      </c>
      <c r="K5715">
        <v>1074</v>
      </c>
      <c r="L5715">
        <v>1087</v>
      </c>
      <c r="Q5715">
        <v>0</v>
      </c>
      <c r="R5715">
        <v>0</v>
      </c>
      <c r="S5715">
        <v>1087</v>
      </c>
      <c r="Y5715" t="s">
        <v>2861</v>
      </c>
      <c r="Z5715" t="s">
        <v>2497</v>
      </c>
      <c r="AA5715" t="s">
        <v>6724</v>
      </c>
      <c r="AB5715" t="s">
        <v>2730</v>
      </c>
      <c r="AC5715" t="s">
        <v>29617</v>
      </c>
      <c r="AD5715" s="249" t="str">
        <f>HYPERLINK("https://scontent.cdninstagram.com/t51.2885-15/s320x320/e35/21434059_172415329993166_4987933820800991232_n.jpg")</f>
        <v>https://scontent.cdninstagram.com/t51.2885-15/s320x320/e35/21434059_172415329993166_4987933820800991232_n.jpg</v>
      </c>
      <c r="AE5715" s="249" t="str">
        <f>HYPERLINK("https://scontent.cdninstagram.com/t51.2885-19/s150x150/13584089_1046446005392375_335712499_a.jpg")</f>
        <v>https://scontent.cdninstagram.com/t51.2885-19/s150x150/13584089_1046446005392375_335712499_a.jpg</v>
      </c>
    </row>
    <row r="5716" spans="1:31" ht="15" x14ac:dyDescent="0.25">
      <c r="A5716" t="s">
        <v>2474</v>
      </c>
      <c r="B5716" t="s">
        <v>28859</v>
      </c>
      <c r="C5716" s="221">
        <v>42987.986157407409</v>
      </c>
      <c r="D5716" t="s">
        <v>29618</v>
      </c>
      <c r="E5716" s="249" t="str">
        <f>HYPERLINK("https://www.instagram.com/p/BY2IKwmAxgN/")</f>
        <v>https://www.instagram.com/p/BY2IKwmAxgN/</v>
      </c>
      <c r="F5716" t="s">
        <v>29619</v>
      </c>
      <c r="G5716" t="s">
        <v>2478</v>
      </c>
      <c r="H5716">
        <v>506</v>
      </c>
      <c r="I5716" t="s">
        <v>2479</v>
      </c>
      <c r="J5716">
        <v>1</v>
      </c>
      <c r="K5716">
        <v>27</v>
      </c>
      <c r="L5716">
        <v>28</v>
      </c>
      <c r="Q5716">
        <v>0</v>
      </c>
      <c r="R5716">
        <v>0</v>
      </c>
      <c r="S5716">
        <v>28</v>
      </c>
      <c r="Y5716" t="s">
        <v>2497</v>
      </c>
      <c r="Z5716" t="s">
        <v>28863</v>
      </c>
      <c r="AA5716" t="s">
        <v>29620</v>
      </c>
      <c r="AB5716" t="s">
        <v>3196</v>
      </c>
      <c r="AC5716" t="s">
        <v>29621</v>
      </c>
      <c r="AD5716" s="249" t="str">
        <f>HYPERLINK("https://scontent.cdninstagram.com/t51.2885-15/s320x320/e35/21434019_120874608572505_1264570266093092864_n.jpg")</f>
        <v>https://scontent.cdninstagram.com/t51.2885-15/s320x320/e35/21434019_120874608572505_1264570266093092864_n.jpg</v>
      </c>
      <c r="AE5716" s="249" t="str">
        <f>HYPERLINK("https://scontent.cdninstagram.com/t51.2885-19/s150x150/19120395_176617522871130_2008281468719071232_a.jpg")</f>
        <v>https://scontent.cdninstagram.com/t51.2885-19/s150x150/19120395_176617522871130_2008281468719071232_a.jpg</v>
      </c>
    </row>
    <row r="5717" spans="1:31" ht="15" x14ac:dyDescent="0.25">
      <c r="A5717" t="s">
        <v>2474</v>
      </c>
      <c r="B5717" t="s">
        <v>29614</v>
      </c>
      <c r="C5717" s="221">
        <v>42987.987916666665</v>
      </c>
      <c r="D5717" t="s">
        <v>29622</v>
      </c>
      <c r="E5717" s="249" t="str">
        <f>HYPERLINK("https://www.instagram.com/p/BY2IdTlhTCj/")</f>
        <v>https://www.instagram.com/p/BY2IdTlhTCj/</v>
      </c>
      <c r="F5717" t="s">
        <v>29623</v>
      </c>
      <c r="G5717" t="s">
        <v>2478</v>
      </c>
      <c r="H5717">
        <v>8191</v>
      </c>
      <c r="I5717" t="s">
        <v>3273</v>
      </c>
      <c r="J5717">
        <v>2</v>
      </c>
      <c r="K5717">
        <v>964</v>
      </c>
      <c r="L5717">
        <v>966</v>
      </c>
      <c r="Q5717">
        <v>0</v>
      </c>
      <c r="R5717">
        <v>0</v>
      </c>
      <c r="S5717">
        <v>966</v>
      </c>
      <c r="Y5717" t="s">
        <v>2497</v>
      </c>
      <c r="Z5717" t="s">
        <v>29624</v>
      </c>
      <c r="AA5717" t="s">
        <v>4121</v>
      </c>
      <c r="AB5717" t="s">
        <v>29625</v>
      </c>
      <c r="AC5717" t="s">
        <v>8250</v>
      </c>
      <c r="AD5717" s="249" t="str">
        <f>HYPERLINK("https://scontent.cdninstagram.com/t51.2885-15/s320x320/e35/21576623_339299839827960_1770820384849920000_n.jpg")</f>
        <v>https://scontent.cdninstagram.com/t51.2885-15/s320x320/e35/21576623_339299839827960_1770820384849920000_n.jpg</v>
      </c>
      <c r="AE5717" s="249" t="str">
        <f>HYPERLINK("https://scontent.cdninstagram.com/t51.2885-19/s150x150/13584089_1046446005392375_335712499_a.jpg")</f>
        <v>https://scontent.cdninstagram.com/t51.2885-19/s150x150/13584089_1046446005392375_335712499_a.jpg</v>
      </c>
    </row>
    <row r="5718" spans="1:31" ht="15" x14ac:dyDescent="0.25">
      <c r="A5718" t="s">
        <v>2474</v>
      </c>
      <c r="B5718" t="s">
        <v>7457</v>
      </c>
      <c r="C5718" s="221">
        <v>42987.988287037035</v>
      </c>
      <c r="D5718" t="s">
        <v>29626</v>
      </c>
      <c r="E5718" s="249" t="str">
        <f>HYPERLINK("https://www.instagram.com/p/BY2IhLllUhf/")</f>
        <v>https://www.instagram.com/p/BY2IhLllUhf/</v>
      </c>
      <c r="F5718" t="s">
        <v>29627</v>
      </c>
      <c r="G5718" t="s">
        <v>2478</v>
      </c>
      <c r="H5718">
        <v>7307</v>
      </c>
      <c r="I5718" t="s">
        <v>3575</v>
      </c>
      <c r="J5718">
        <v>47</v>
      </c>
      <c r="K5718">
        <v>241</v>
      </c>
      <c r="L5718">
        <v>288</v>
      </c>
      <c r="Q5718">
        <v>0</v>
      </c>
      <c r="R5718">
        <v>0</v>
      </c>
      <c r="S5718">
        <v>288</v>
      </c>
      <c r="Y5718" t="s">
        <v>21757</v>
      </c>
      <c r="Z5718" t="s">
        <v>2497</v>
      </c>
      <c r="AA5718" t="s">
        <v>4180</v>
      </c>
      <c r="AB5718" t="s">
        <v>29628</v>
      </c>
      <c r="AC5718" t="s">
        <v>7461</v>
      </c>
      <c r="AD5718" s="249" t="str">
        <f>HYPERLINK("https://scontent.cdninstagram.com/t51.2885-15/e35/p320x320/21479796_1865519290430357_2203261636653875200_n.jpg")</f>
        <v>https://scontent.cdninstagram.com/t51.2885-15/e35/p320x320/21479796_1865519290430357_2203261636653875200_n.jpg</v>
      </c>
      <c r="AE5718" s="249" t="str">
        <f>HYPERLINK("https://scontent.cdninstagram.com/t51.2885-19/s150x150/18443212_284821451930273_9046638560735657984_a.jpg")</f>
        <v>https://scontent.cdninstagram.com/t51.2885-19/s150x150/18443212_284821451930273_9046638560735657984_a.jpg</v>
      </c>
    </row>
  </sheetData>
  <sortState ref="A6:R1005">
    <sortCondition descending="1" ref="C6:C1005"/>
  </sortState>
  <pageMargins left="0.75" right="0.75" top="1" bottom="1" header="0.5" footer="0.5"/>
  <pageSetup paperSize="9" orientation="portrait" horizontalDpi="300" verticalDpi="300"/>
  <headerFooter alignWithMargins="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B51"/>
  <sheetViews>
    <sheetView workbookViewId="0"/>
  </sheetViews>
  <sheetFormatPr defaultRowHeight="12.75" customHeight="1" x14ac:dyDescent="0.25"/>
  <cols>
    <col min="1" max="1" width="53.85546875" customWidth="1"/>
    <col min="3" max="3" width="17.85546875" bestFit="1" customWidth="1"/>
    <col min="4" max="4" width="62.85546875" bestFit="1" customWidth="1"/>
  </cols>
  <sheetData>
    <row r="1" spans="1:2" ht="12.75" customHeight="1" x14ac:dyDescent="0.25">
      <c r="A1" t="s">
        <v>2023</v>
      </c>
      <c r="B1" t="s">
        <v>2342</v>
      </c>
    </row>
    <row r="2" spans="1:2" ht="15" x14ac:dyDescent="0.25">
      <c r="A2" t="s">
        <v>29629</v>
      </c>
      <c r="B2">
        <v>566</v>
      </c>
    </row>
    <row r="3" spans="1:2" ht="15" x14ac:dyDescent="0.25">
      <c r="A3" t="s">
        <v>29630</v>
      </c>
      <c r="B3">
        <v>478</v>
      </c>
    </row>
    <row r="4" spans="1:2" ht="15" x14ac:dyDescent="0.25">
      <c r="A4" t="s">
        <v>29631</v>
      </c>
      <c r="B4">
        <v>374</v>
      </c>
    </row>
    <row r="5" spans="1:2" ht="15" x14ac:dyDescent="0.25">
      <c r="A5" t="s">
        <v>2734</v>
      </c>
      <c r="B5">
        <v>334</v>
      </c>
    </row>
    <row r="6" spans="1:2" ht="15" x14ac:dyDescent="0.25">
      <c r="A6" t="s">
        <v>29632</v>
      </c>
      <c r="B6">
        <v>295</v>
      </c>
    </row>
    <row r="7" spans="1:2" ht="15" x14ac:dyDescent="0.25">
      <c r="A7" t="s">
        <v>29633</v>
      </c>
      <c r="B7">
        <v>266</v>
      </c>
    </row>
    <row r="8" spans="1:2" ht="15" x14ac:dyDescent="0.25">
      <c r="A8" t="s">
        <v>29634</v>
      </c>
      <c r="B8">
        <v>215</v>
      </c>
    </row>
    <row r="9" spans="1:2" ht="15" x14ac:dyDescent="0.25">
      <c r="A9" t="s">
        <v>29635</v>
      </c>
      <c r="B9">
        <v>194</v>
      </c>
    </row>
    <row r="10" spans="1:2" ht="15" x14ac:dyDescent="0.25">
      <c r="A10" t="s">
        <v>29636</v>
      </c>
      <c r="B10">
        <v>193</v>
      </c>
    </row>
    <row r="11" spans="1:2" ht="15" x14ac:dyDescent="0.25">
      <c r="A11" t="s">
        <v>29637</v>
      </c>
      <c r="B11">
        <v>186</v>
      </c>
    </row>
    <row r="12" spans="1:2" ht="15" x14ac:dyDescent="0.25">
      <c r="A12" t="s">
        <v>29638</v>
      </c>
      <c r="B12">
        <v>183</v>
      </c>
    </row>
    <row r="13" spans="1:2" ht="15" x14ac:dyDescent="0.25">
      <c r="A13" t="s">
        <v>29639</v>
      </c>
      <c r="B13">
        <v>179</v>
      </c>
    </row>
    <row r="14" spans="1:2" ht="15" x14ac:dyDescent="0.25">
      <c r="A14" t="s">
        <v>29640</v>
      </c>
      <c r="B14">
        <v>179</v>
      </c>
    </row>
    <row r="15" spans="1:2" ht="15" x14ac:dyDescent="0.25">
      <c r="A15" t="s">
        <v>29641</v>
      </c>
      <c r="B15">
        <v>178</v>
      </c>
    </row>
    <row r="16" spans="1:2" ht="15" x14ac:dyDescent="0.25">
      <c r="A16" t="s">
        <v>29642</v>
      </c>
      <c r="B16">
        <v>166</v>
      </c>
    </row>
    <row r="17" spans="1:2" ht="15" x14ac:dyDescent="0.25">
      <c r="A17" t="s">
        <v>29643</v>
      </c>
      <c r="B17">
        <v>165</v>
      </c>
    </row>
    <row r="18" spans="1:2" ht="15" x14ac:dyDescent="0.25">
      <c r="A18" t="s">
        <v>29644</v>
      </c>
      <c r="B18">
        <v>165</v>
      </c>
    </row>
    <row r="19" spans="1:2" ht="15" x14ac:dyDescent="0.25">
      <c r="A19" t="s">
        <v>18088</v>
      </c>
      <c r="B19">
        <v>163</v>
      </c>
    </row>
    <row r="20" spans="1:2" ht="15" x14ac:dyDescent="0.25">
      <c r="A20" t="s">
        <v>29645</v>
      </c>
      <c r="B20">
        <v>160</v>
      </c>
    </row>
    <row r="21" spans="1:2" ht="15" x14ac:dyDescent="0.25">
      <c r="A21" t="s">
        <v>29646</v>
      </c>
      <c r="B21">
        <v>155</v>
      </c>
    </row>
    <row r="22" spans="1:2" ht="15" x14ac:dyDescent="0.25">
      <c r="A22" t="s">
        <v>2035</v>
      </c>
      <c r="B22">
        <v>151</v>
      </c>
    </row>
    <row r="23" spans="1:2" ht="15" x14ac:dyDescent="0.25">
      <c r="A23" t="s">
        <v>29647</v>
      </c>
      <c r="B23">
        <v>140</v>
      </c>
    </row>
    <row r="24" spans="1:2" ht="15" x14ac:dyDescent="0.25">
      <c r="A24" t="s">
        <v>29648</v>
      </c>
      <c r="B24">
        <v>131</v>
      </c>
    </row>
    <row r="25" spans="1:2" ht="15" x14ac:dyDescent="0.25">
      <c r="A25" t="s">
        <v>5552</v>
      </c>
      <c r="B25">
        <v>130</v>
      </c>
    </row>
    <row r="26" spans="1:2" ht="15" x14ac:dyDescent="0.25">
      <c r="A26" t="s">
        <v>29649</v>
      </c>
      <c r="B26">
        <v>125</v>
      </c>
    </row>
    <row r="27" spans="1:2" ht="15" x14ac:dyDescent="0.25">
      <c r="A27" t="s">
        <v>29650</v>
      </c>
      <c r="B27">
        <v>124</v>
      </c>
    </row>
    <row r="28" spans="1:2" ht="15" x14ac:dyDescent="0.25">
      <c r="A28" t="s">
        <v>29651</v>
      </c>
      <c r="B28">
        <v>121</v>
      </c>
    </row>
    <row r="29" spans="1:2" ht="15" x14ac:dyDescent="0.25">
      <c r="A29" t="s">
        <v>29652</v>
      </c>
      <c r="B29">
        <v>119</v>
      </c>
    </row>
    <row r="30" spans="1:2" ht="15" x14ac:dyDescent="0.25">
      <c r="A30" t="s">
        <v>29653</v>
      </c>
      <c r="B30">
        <v>119</v>
      </c>
    </row>
    <row r="31" spans="1:2" ht="15" x14ac:dyDescent="0.25">
      <c r="A31" t="s">
        <v>29654</v>
      </c>
      <c r="B31">
        <v>119</v>
      </c>
    </row>
    <row r="32" spans="1:2" ht="15" x14ac:dyDescent="0.25">
      <c r="A32" t="s">
        <v>29655</v>
      </c>
      <c r="B32">
        <v>119</v>
      </c>
    </row>
    <row r="33" spans="1:2" ht="15" x14ac:dyDescent="0.25">
      <c r="A33" t="s">
        <v>29656</v>
      </c>
      <c r="B33">
        <v>119</v>
      </c>
    </row>
    <row r="34" spans="1:2" ht="15" x14ac:dyDescent="0.25">
      <c r="A34" t="s">
        <v>29657</v>
      </c>
      <c r="B34">
        <v>118</v>
      </c>
    </row>
    <row r="35" spans="1:2" ht="15" x14ac:dyDescent="0.25">
      <c r="A35" t="s">
        <v>29658</v>
      </c>
      <c r="B35">
        <v>118</v>
      </c>
    </row>
    <row r="36" spans="1:2" ht="15" x14ac:dyDescent="0.25">
      <c r="A36" t="s">
        <v>29659</v>
      </c>
      <c r="B36">
        <v>118</v>
      </c>
    </row>
    <row r="37" spans="1:2" ht="15" x14ac:dyDescent="0.25">
      <c r="A37" t="s">
        <v>29660</v>
      </c>
      <c r="B37">
        <v>118</v>
      </c>
    </row>
    <row r="38" spans="1:2" ht="15" x14ac:dyDescent="0.25">
      <c r="A38" t="s">
        <v>29661</v>
      </c>
      <c r="B38">
        <v>118</v>
      </c>
    </row>
    <row r="39" spans="1:2" ht="15" x14ac:dyDescent="0.25">
      <c r="A39" t="s">
        <v>29662</v>
      </c>
      <c r="B39">
        <v>118</v>
      </c>
    </row>
    <row r="40" spans="1:2" ht="15" x14ac:dyDescent="0.25">
      <c r="A40" t="s">
        <v>29663</v>
      </c>
      <c r="B40">
        <v>118</v>
      </c>
    </row>
    <row r="41" spans="1:2" ht="15" x14ac:dyDescent="0.25">
      <c r="A41" t="s">
        <v>29664</v>
      </c>
      <c r="B41">
        <v>118</v>
      </c>
    </row>
    <row r="42" spans="1:2" ht="15" x14ac:dyDescent="0.25">
      <c r="A42" t="s">
        <v>29665</v>
      </c>
      <c r="B42">
        <v>118</v>
      </c>
    </row>
    <row r="43" spans="1:2" ht="15" x14ac:dyDescent="0.25">
      <c r="A43" t="s">
        <v>29666</v>
      </c>
      <c r="B43">
        <v>118</v>
      </c>
    </row>
    <row r="44" spans="1:2" ht="15" x14ac:dyDescent="0.25">
      <c r="A44" t="s">
        <v>29667</v>
      </c>
      <c r="B44">
        <v>118</v>
      </c>
    </row>
    <row r="45" spans="1:2" ht="15" x14ac:dyDescent="0.25">
      <c r="A45" t="s">
        <v>29668</v>
      </c>
      <c r="B45">
        <v>118</v>
      </c>
    </row>
    <row r="46" spans="1:2" ht="15" x14ac:dyDescent="0.25">
      <c r="A46" t="s">
        <v>29669</v>
      </c>
      <c r="B46">
        <v>118</v>
      </c>
    </row>
    <row r="47" spans="1:2" ht="15" x14ac:dyDescent="0.25">
      <c r="A47" t="s">
        <v>29670</v>
      </c>
      <c r="B47">
        <v>118</v>
      </c>
    </row>
    <row r="48" spans="1:2" ht="15" x14ac:dyDescent="0.25">
      <c r="A48" t="s">
        <v>29671</v>
      </c>
      <c r="B48">
        <v>118</v>
      </c>
    </row>
    <row r="49" spans="1:2" ht="15" x14ac:dyDescent="0.25">
      <c r="A49" t="s">
        <v>29672</v>
      </c>
      <c r="B49">
        <v>118</v>
      </c>
    </row>
    <row r="50" spans="1:2" ht="15" x14ac:dyDescent="0.25">
      <c r="A50" t="s">
        <v>29673</v>
      </c>
      <c r="B50">
        <v>118</v>
      </c>
    </row>
    <row r="51" spans="1:2" ht="15" x14ac:dyDescent="0.25">
      <c r="A51" t="s">
        <v>29674</v>
      </c>
      <c r="B51">
        <v>118</v>
      </c>
    </row>
  </sheetData>
  <sortState ref="B2:B10">
    <sortCondition descending="1" ref="B2:B10"/>
  </sortState>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19</vt:i4>
      </vt:variant>
      <vt:variant>
        <vt:lpstr>Named Ranges</vt:lpstr>
      </vt:variant>
      <vt:variant>
        <vt:i4>2</vt:i4>
      </vt:variant>
    </vt:vector>
  </HeadingPairs>
  <TitlesOfParts>
    <vt:vector size="21" baseType="lpstr">
      <vt:lpstr>Charts</vt:lpstr>
      <vt:lpstr>Scorecard</vt:lpstr>
      <vt:lpstr>Appendix</vt:lpstr>
      <vt:lpstr>Tables</vt:lpstr>
      <vt:lpstr>Controls</vt:lpstr>
      <vt:lpstr>Calculations</vt:lpstr>
      <vt:lpstr>Annotations</vt:lpstr>
      <vt:lpstr>Media</vt:lpstr>
      <vt:lpstr>Keywords</vt:lpstr>
      <vt:lpstr>People</vt:lpstr>
      <vt:lpstr>Filters</vt:lpstr>
      <vt:lpstr>Other Tags</vt:lpstr>
      <vt:lpstr>Cities</vt:lpstr>
      <vt:lpstr>Countries</vt:lpstr>
      <vt:lpstr>Terms</vt:lpstr>
      <vt:lpstr>PreviousPeople</vt:lpstr>
      <vt:lpstr>Scorecard Calcs</vt:lpstr>
      <vt:lpstr>TopMedia</vt:lpstr>
      <vt:lpstr>Definitions</vt:lpstr>
      <vt:lpstr>Charts!Print_Area</vt:lpstr>
      <vt:lpstr>Scorecard!Print_Area</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David</dc:creator>
  <cp:lastModifiedBy>Carrie Zampich</cp:lastModifiedBy>
  <cp:lastPrinted>2013-08-06T18:54:56Z</cp:lastPrinted>
  <dcterms:created xsi:type="dcterms:W3CDTF">2012-06-28T17:22:16Z</dcterms:created>
  <dcterms:modified xsi:type="dcterms:W3CDTF">2017-12-12T16:56:48Z</dcterms:modified>
</cp:coreProperties>
</file>